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sachev\Desktop\Приказ по ТП на 2019 год\Исполнение\Калмэнерго\"/>
    </mc:Choice>
  </mc:AlternateContent>
  <bookViews>
    <workbookView xWindow="120" yWindow="2235" windowWidth="15480" windowHeight="9165" tabRatio="898" firstSheet="1" activeTab="1"/>
  </bookViews>
  <sheets>
    <sheet name="НВВ ТБР" sheetId="52" state="hidden" r:id="rId1"/>
    <sheet name="Приложение 1" sheetId="48" r:id="rId2"/>
    <sheet name="приложение 1(1)" sheetId="51" state="hidden" r:id="rId3"/>
    <sheet name="Приложение 2" sheetId="47" r:id="rId4"/>
    <sheet name="Приложение 3" sheetId="46" r:id="rId5"/>
    <sheet name="Приложение 5" sheetId="45" r:id="rId6"/>
    <sheet name=" (стр.15)" sheetId="26" state="hidden" r:id="rId7"/>
    <sheet name="(стр.16)" sheetId="27" state="hidden" r:id="rId8"/>
    <sheet name="(Стр.17)" sheetId="19" state="hidden" r:id="rId9"/>
    <sheet name="Затр.2015-2017, 6мес 2018 " sheetId="34" state="hidden" r:id="rId10"/>
    <sheet name="БДР 5 мес 2018" sheetId="53" state="hidden" r:id="rId11"/>
    <sheet name="Выручка, УО_ 2015" sheetId="32" state="hidden" r:id="rId12"/>
    <sheet name="Выручка, УО_ 2016" sheetId="33" state="hidden" r:id="rId13"/>
    <sheet name="Выручка, УО_2017" sheetId="12" state="hidden" r:id="rId14"/>
    <sheet name="С1 2015" sheetId="35" state="hidden" r:id="rId15"/>
    <sheet name="C1 2016" sheetId="36" state="hidden" r:id="rId16"/>
    <sheet name="C1 2017" sheetId="37" state="hidden" r:id="rId17"/>
    <sheet name="СС 2015" sheetId="38" state="hidden" r:id="rId18"/>
    <sheet name="СС 2016" sheetId="39" state="hidden" r:id="rId19"/>
    <sheet name="СС2017 " sheetId="40" state="hidden" r:id="rId20"/>
    <sheet name="УО2017г" sheetId="16" state="hidden" r:id="rId21"/>
    <sheet name="выручка2017" sheetId="14" state="hidden" r:id="rId22"/>
    <sheet name="об.счета20" sheetId="11" state="hidden" r:id="rId23"/>
    <sheet name="Утв.СТС 2018г" sheetId="49" state="hidden" r:id="rId24"/>
    <sheet name="Утв.СП 2018г" sheetId="50" state="hidden" r:id="rId25"/>
    <sheet name="20 сч. 1пг 2018г" sheetId="54" state="hidden" r:id="rId26"/>
    <sheet name="6-10" sheetId="55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b" localSheetId="6">#REF!</definedName>
    <definedName name="\b" localSheetId="7">#REF!</definedName>
    <definedName name="\b" localSheetId="8">#REF!</definedName>
    <definedName name="\b" localSheetId="16">#REF!</definedName>
    <definedName name="\b" localSheetId="12">#REF!</definedName>
    <definedName name="\b" localSheetId="9">#REF!</definedName>
    <definedName name="\b" localSheetId="1">#REF!</definedName>
    <definedName name="\b" localSheetId="3">#REF!</definedName>
    <definedName name="\b" localSheetId="4">#REF!</definedName>
    <definedName name="\b" localSheetId="5">#REF!</definedName>
    <definedName name="\b" localSheetId="14">#REF!</definedName>
    <definedName name="\b" localSheetId="18">#REF!</definedName>
    <definedName name="\b">#REF!</definedName>
    <definedName name="\c" localSheetId="6">#REF!</definedName>
    <definedName name="\c" localSheetId="7">#REF!</definedName>
    <definedName name="\c" localSheetId="8">#REF!</definedName>
    <definedName name="\c" localSheetId="16">#REF!</definedName>
    <definedName name="\c" localSheetId="12">#REF!</definedName>
    <definedName name="\c" localSheetId="9">#REF!</definedName>
    <definedName name="\c" localSheetId="14">#REF!</definedName>
    <definedName name="\c">#REF!</definedName>
    <definedName name="\d" localSheetId="6">#REF!</definedName>
    <definedName name="\d" localSheetId="7">#REF!</definedName>
    <definedName name="\d" localSheetId="8">#REF!</definedName>
    <definedName name="\d" localSheetId="16">#REF!</definedName>
    <definedName name="\d" localSheetId="12">#REF!</definedName>
    <definedName name="\d" localSheetId="9">#REF!</definedName>
    <definedName name="\d" localSheetId="14">#REF!</definedName>
    <definedName name="\d">#REF!</definedName>
    <definedName name="\q" localSheetId="6">#REF!</definedName>
    <definedName name="\q" localSheetId="7">#REF!</definedName>
    <definedName name="\q" localSheetId="8">#REF!</definedName>
    <definedName name="\q" localSheetId="16">#REF!</definedName>
    <definedName name="\q" localSheetId="12">#REF!</definedName>
    <definedName name="\q" localSheetId="9">#REF!</definedName>
    <definedName name="\q" localSheetId="14">#REF!</definedName>
    <definedName name="\q">#REF!</definedName>
    <definedName name="\t" localSheetId="6">#REF!</definedName>
    <definedName name="\t" localSheetId="7">#REF!</definedName>
    <definedName name="\t" localSheetId="8">#REF!</definedName>
    <definedName name="\t" localSheetId="16">#REF!</definedName>
    <definedName name="\t" localSheetId="12">#REF!</definedName>
    <definedName name="\t" localSheetId="9">#REF!</definedName>
    <definedName name="\t" localSheetId="14">#REF!</definedName>
    <definedName name="\t">#REF!</definedName>
    <definedName name="\v" localSheetId="6">#REF!</definedName>
    <definedName name="\v" localSheetId="7">#REF!</definedName>
    <definedName name="\v" localSheetId="8">#REF!</definedName>
    <definedName name="\v" localSheetId="16">#REF!</definedName>
    <definedName name="\v" localSheetId="12">#REF!</definedName>
    <definedName name="\v" localSheetId="9">#REF!</definedName>
    <definedName name="\v" localSheetId="14">#REF!</definedName>
    <definedName name="\v">#REF!</definedName>
    <definedName name="_xlnm._FilterDatabase" localSheetId="6" hidden="1">' (стр.15)'!$B$7:$BB$254</definedName>
    <definedName name="_xlnm._FilterDatabase" localSheetId="7" hidden="1">'(стр.16)'!$B$7:$AT$231</definedName>
    <definedName name="_xlnm._FilterDatabase" localSheetId="8" hidden="1">'(Стр.17)'!$B$7:$AU$191</definedName>
    <definedName name="_xlnm._FilterDatabase" localSheetId="21" hidden="1">выручка2017!$A$15:$AG$2956</definedName>
    <definedName name="_xlnm._FilterDatabase" localSheetId="22" hidden="1">об.счета20!$A$14:$S$524</definedName>
    <definedName name="_xlnm._FilterDatabase" localSheetId="17" hidden="1">'СС 2015'!$C$6:$V$147</definedName>
    <definedName name="_xlnm._FilterDatabase" localSheetId="18" hidden="1">'СС 2016'!$B$7:$V$573</definedName>
    <definedName name="CompOt" localSheetId="6">#N/A</definedName>
    <definedName name="CompOt" localSheetId="7">#N/A</definedName>
    <definedName name="CompOt" localSheetId="8">#N/A</definedName>
    <definedName name="CompOt" localSheetId="15">#N/A</definedName>
    <definedName name="CompOt" localSheetId="16">#N/A</definedName>
    <definedName name="CompOt" localSheetId="11">#N/A</definedName>
    <definedName name="CompOt" localSheetId="12">#N/A</definedName>
    <definedName name="CompOt" localSheetId="9">#N/A</definedName>
    <definedName name="CompOt" localSheetId="14">#N/A</definedName>
    <definedName name="CompOt" localSheetId="17">#N/A</definedName>
    <definedName name="CompOt" localSheetId="18">#N/A</definedName>
    <definedName name="CompOt" localSheetId="19">#N/A</definedName>
    <definedName name="CompOt">#N/A</definedName>
    <definedName name="CompRas" localSheetId="6">#N/A</definedName>
    <definedName name="CompRas" localSheetId="7">#N/A</definedName>
    <definedName name="CompRas" localSheetId="8">#N/A</definedName>
    <definedName name="CompRas" localSheetId="15">#N/A</definedName>
    <definedName name="CompRas" localSheetId="16">#N/A</definedName>
    <definedName name="CompRas" localSheetId="11">#N/A</definedName>
    <definedName name="CompRas" localSheetId="12">#N/A</definedName>
    <definedName name="CompRas" localSheetId="9">#N/A</definedName>
    <definedName name="CompRas" localSheetId="14">#N/A</definedName>
    <definedName name="CompRas" localSheetId="17">#N/A</definedName>
    <definedName name="CompRas" localSheetId="18">#N/A</definedName>
    <definedName name="CompRas" localSheetId="19">#N/A</definedName>
    <definedName name="CompRas">#N/A</definedName>
    <definedName name="Contents">[1]Содержание!$A$3</definedName>
    <definedName name="Fider" localSheetId="6">#REF!</definedName>
    <definedName name="Fider" localSheetId="7">#REF!</definedName>
    <definedName name="Fider" localSheetId="8">#REF!</definedName>
    <definedName name="Fider" localSheetId="16">#REF!</definedName>
    <definedName name="Fider" localSheetId="12">#REF!</definedName>
    <definedName name="Fider" localSheetId="9">#REF!</definedName>
    <definedName name="Fider" localSheetId="1">#REF!</definedName>
    <definedName name="Fider" localSheetId="3">#REF!</definedName>
    <definedName name="Fider" localSheetId="4">#REF!</definedName>
    <definedName name="Fider" localSheetId="5">#REF!</definedName>
    <definedName name="Fider" localSheetId="14">#REF!</definedName>
    <definedName name="Fider" localSheetId="18">#REF!</definedName>
    <definedName name="Fider">#REF!</definedName>
    <definedName name="H?Address">[1]Заголовок!$B$7:$G$7</definedName>
    <definedName name="H?Description">[1]Заголовок!$A$4</definedName>
    <definedName name="H?EntityName">[1]Заголовок!$B$6:$G$6</definedName>
    <definedName name="H?Name">[1]Заголовок!$G$1</definedName>
    <definedName name="H?OKATO">[1]Заголовок!$D$12</definedName>
    <definedName name="H?OKFS">[1]Заголовок!$G$12</definedName>
    <definedName name="H?OKOGU">[1]Заголовок!$E$12</definedName>
    <definedName name="H?OKONX">[1]Заголовок!$C$12</definedName>
    <definedName name="H?OKOPF">[1]Заголовок!$F$12</definedName>
    <definedName name="H?OKPO">[1]Заголовок!$A$12</definedName>
    <definedName name="H?OKVD">[1]Заголовок!$B$12</definedName>
    <definedName name="H?Period">[1]Заголовок!$B$14</definedName>
    <definedName name="H?Table">[1]Заголовок!$A$4:$G$15</definedName>
    <definedName name="H?Title">[1]Заголовок!$A$2</definedName>
    <definedName name="Helper_ТЭС_Котельные">[2]Справочники!$A$2:$A$4,[2]Справочники!$A$16:$A$18</definedName>
    <definedName name="I97I" localSheetId="6">#REF!</definedName>
    <definedName name="I97I" localSheetId="7">#REF!</definedName>
    <definedName name="I97I" localSheetId="8">#REF!</definedName>
    <definedName name="I97I" localSheetId="16">#REF!</definedName>
    <definedName name="I97I" localSheetId="12">#REF!</definedName>
    <definedName name="I97I" localSheetId="9">#REF!</definedName>
    <definedName name="I97I" localSheetId="1">#REF!</definedName>
    <definedName name="I97I" localSheetId="3">#REF!</definedName>
    <definedName name="I97I" localSheetId="4">#REF!</definedName>
    <definedName name="I97I" localSheetId="5">#REF!</definedName>
    <definedName name="I97I" localSheetId="14">#REF!</definedName>
    <definedName name="I97I" localSheetId="18">#REF!</definedName>
    <definedName name="I97I">#REF!</definedName>
    <definedName name="IROV" localSheetId="6">#REF!</definedName>
    <definedName name="IROV" localSheetId="7">#REF!</definedName>
    <definedName name="IROV" localSheetId="8">#REF!</definedName>
    <definedName name="IROV" localSheetId="16">#REF!</definedName>
    <definedName name="IROV" localSheetId="12">#REF!</definedName>
    <definedName name="IROV" localSheetId="9">#REF!</definedName>
    <definedName name="IROV" localSheetId="14">#REF!</definedName>
    <definedName name="IROV">#REF!</definedName>
    <definedName name="IV" localSheetId="6">#REF!</definedName>
    <definedName name="IV" localSheetId="7">#REF!</definedName>
    <definedName name="IV" localSheetId="8">#REF!</definedName>
    <definedName name="IV" localSheetId="16">#REF!</definedName>
    <definedName name="IV" localSheetId="12">#REF!</definedName>
    <definedName name="IV" localSheetId="9">#REF!</definedName>
    <definedName name="IV" localSheetId="14">#REF!</definedName>
    <definedName name="IV">#REF!</definedName>
    <definedName name="KOM_RAS" localSheetId="6">#REF!</definedName>
    <definedName name="KOM_RAS" localSheetId="7">#REF!</definedName>
    <definedName name="KOM_RAS" localSheetId="8">#REF!</definedName>
    <definedName name="KOM_RAS" localSheetId="16">#REF!</definedName>
    <definedName name="KOM_RAS" localSheetId="12">#REF!</definedName>
    <definedName name="KOM_RAS" localSheetId="9">#REF!</definedName>
    <definedName name="KOM_RAS" localSheetId="14">#REF!</definedName>
    <definedName name="KOM_RAS">#REF!</definedName>
    <definedName name="KOMANDIR">[3]Нива!$I$101</definedName>
    <definedName name="KOMANDIROV" localSheetId="6">#REF!</definedName>
    <definedName name="KOMANDIROV" localSheetId="7">#REF!</definedName>
    <definedName name="KOMANDIROV" localSheetId="8">#REF!</definedName>
    <definedName name="KOMANDIROV" localSheetId="16">#REF!</definedName>
    <definedName name="KOMANDIROV" localSheetId="12">#REF!</definedName>
    <definedName name="KOMANDIROV" localSheetId="9">#REF!</definedName>
    <definedName name="KOMANDIROV" localSheetId="1">#REF!</definedName>
    <definedName name="KOMANDIROV" localSheetId="3">#REF!</definedName>
    <definedName name="KOMANDIROV" localSheetId="4">#REF!</definedName>
    <definedName name="KOMANDIROV" localSheetId="5">#REF!</definedName>
    <definedName name="KOMANDIROV" localSheetId="14">#REF!</definedName>
    <definedName name="KOMANDIROV" localSheetId="18">#REF!</definedName>
    <definedName name="KOMANDIROV">#REF!</definedName>
    <definedName name="KOMMAND" localSheetId="6">#REF!</definedName>
    <definedName name="KOMMAND" localSheetId="7">#REF!</definedName>
    <definedName name="KOMMAND" localSheetId="8">#REF!</definedName>
    <definedName name="KOMMAND" localSheetId="16">#REF!</definedName>
    <definedName name="KOMMAND" localSheetId="12">#REF!</definedName>
    <definedName name="KOMMAND" localSheetId="9">#REF!</definedName>
    <definedName name="KOMMAND" localSheetId="14">#REF!</definedName>
    <definedName name="KOMMAND">#REF!</definedName>
    <definedName name="KOMMANDIROV" localSheetId="6">#REF!</definedName>
    <definedName name="KOMMANDIROV" localSheetId="7">#REF!</definedName>
    <definedName name="KOMMANDIROV" localSheetId="8">#REF!</definedName>
    <definedName name="KOMMANDIROV" localSheetId="16">#REF!</definedName>
    <definedName name="KOMMANDIROV" localSheetId="12">#REF!</definedName>
    <definedName name="KOMMANDIROV" localSheetId="9">#REF!</definedName>
    <definedName name="KOMMANDIROV" localSheetId="14">#REF!</definedName>
    <definedName name="KOMMANDIROV">#REF!</definedName>
    <definedName name="LABEL" localSheetId="6">#REF!</definedName>
    <definedName name="LABEL" localSheetId="7">#REF!</definedName>
    <definedName name="LABEL" localSheetId="8">#REF!</definedName>
    <definedName name="LABEL" localSheetId="16">#REF!</definedName>
    <definedName name="LABEL" localSheetId="12">#REF!</definedName>
    <definedName name="LABEL" localSheetId="9">#REF!</definedName>
    <definedName name="LABEL" localSheetId="14">#REF!</definedName>
    <definedName name="LABEL">#REF!</definedName>
    <definedName name="MATERIAL" localSheetId="6">#REF!</definedName>
    <definedName name="MATERIAL" localSheetId="7">#REF!</definedName>
    <definedName name="MATERIAL" localSheetId="8">#REF!</definedName>
    <definedName name="MATERIAL" localSheetId="16">#REF!</definedName>
    <definedName name="MATERIAL" localSheetId="12">#REF!</definedName>
    <definedName name="MATERIAL" localSheetId="9">#REF!</definedName>
    <definedName name="MATERIAL" localSheetId="14">#REF!</definedName>
    <definedName name="MATERIAL">#REF!</definedName>
    <definedName name="P1_ESO_PROT" localSheetId="6" hidden="1">#REF!,#REF!,#REF!,#REF!,#REF!,#REF!,#REF!,#REF!</definedName>
    <definedName name="P1_ESO_PROT" localSheetId="7" hidden="1">#REF!,#REF!,#REF!,#REF!,#REF!,#REF!,#REF!,#REF!</definedName>
    <definedName name="P1_ESO_PROT" localSheetId="8" hidden="1">#REF!,#REF!,#REF!,#REF!,#REF!,#REF!,#REF!,#REF!</definedName>
    <definedName name="P1_ESO_PROT" localSheetId="16" hidden="1">#REF!,#REF!,#REF!,#REF!,#REF!,#REF!,#REF!,#REF!</definedName>
    <definedName name="P1_ESO_PROT" localSheetId="12" hidden="1">#REF!,#REF!,#REF!,#REF!,#REF!,#REF!,#REF!,#REF!</definedName>
    <definedName name="P1_ESO_PROT" localSheetId="9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4" hidden="1">#REF!,#REF!,#REF!,#REF!,#REF!,#REF!,#REF!,#REF!</definedName>
    <definedName name="P1_ESO_PROT" localSheetId="5" hidden="1">#REF!,#REF!,#REF!,#REF!,#REF!,#REF!,#REF!,#REF!</definedName>
    <definedName name="P1_ESO_PROT" localSheetId="14" hidden="1">#REF!,#REF!,#REF!,#REF!,#REF!,#REF!,#REF!,#REF!</definedName>
    <definedName name="P1_ESO_PROT" localSheetId="18" hidden="1">#REF!,#REF!,#REF!,#REF!,#REF!,#REF!,#REF!,#REF!</definedName>
    <definedName name="P1_ESO_PROT" hidden="1">#REF!,#REF!,#REF!,#REF!,#REF!,#REF!,#REF!,#REF!</definedName>
    <definedName name="P1_SBT_PROT" localSheetId="6" hidden="1">#REF!,#REF!,#REF!,#REF!,#REF!,#REF!,#REF!</definedName>
    <definedName name="P1_SBT_PROT" localSheetId="7" hidden="1">#REF!,#REF!,#REF!,#REF!,#REF!,#REF!,#REF!</definedName>
    <definedName name="P1_SBT_PROT" localSheetId="8" hidden="1">#REF!,#REF!,#REF!,#REF!,#REF!,#REF!,#REF!</definedName>
    <definedName name="P1_SBT_PROT" localSheetId="16" hidden="1">#REF!,#REF!,#REF!,#REF!,#REF!,#REF!,#REF!</definedName>
    <definedName name="P1_SBT_PROT" localSheetId="12" hidden="1">#REF!,#REF!,#REF!,#REF!,#REF!,#REF!,#REF!</definedName>
    <definedName name="P1_SBT_PROT" localSheetId="9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4" hidden="1">#REF!,#REF!,#REF!,#REF!,#REF!,#REF!,#REF!</definedName>
    <definedName name="P1_SBT_PROT" localSheetId="5" hidden="1">#REF!,#REF!,#REF!,#REF!,#REF!,#REF!,#REF!</definedName>
    <definedName name="P1_SBT_PROT" localSheetId="14" hidden="1">#REF!,#REF!,#REF!,#REF!,#REF!,#REF!,#REF!</definedName>
    <definedName name="P1_SBT_PROT" localSheetId="18" hidden="1">#REF!,#REF!,#REF!,#REF!,#REF!,#REF!,#REF!</definedName>
    <definedName name="P1_SBT_PROT" hidden="1">#REF!,#REF!,#REF!,#REF!,#REF!,#REF!,#REF!</definedName>
    <definedName name="P1_SCOPE_16_PRT" hidden="1">'[4]16'!$E$15:$I$16,'[4]16'!$E$18:$I$20,'[4]16'!$E$23:$I$23,'[4]16'!$E$26:$I$26,'[4]16'!$E$29:$I$29,'[4]16'!$E$32:$I$32,'[4]16'!$E$35:$I$35,'[4]16'!$B$34,'[4]16'!$B$37</definedName>
    <definedName name="P1_SCOPE_17_PRT" hidden="1">'[5]17 СМУП'!$E$13:$H$21,'[5]17 СМУП'!$J$9:$J$11,'[5]17 СМУП'!$J$13:$J$21,'[5]17 СМУП'!$E$24:$H$26,'[5]17 СМУП'!$E$28:$H$36,'[5]17 СМУП'!$J$24:$M$26,'[5]17 СМУП'!$J$28:$M$36,'[5]17 СМУП'!$E$39:$H$41</definedName>
    <definedName name="P1_SCOPE_4_PRT" hidden="1">'[4]4'!$F$23:$I$23,'[4]4'!$F$25:$I$25,'[4]4'!$F$27:$I$31,'[4]4'!$K$14:$N$20,'[4]4'!$K$23:$N$23,'[4]4'!$K$25:$N$25,'[4]4'!$K$27:$N$31,'[4]4'!$P$14:$S$20,'[4]4'!$P$23:$S$23</definedName>
    <definedName name="P1_SCOPE_5_PRT" hidden="1">'[4]5'!$F$23:$I$23,'[4]5'!$F$25:$I$25,'[4]5'!$F$27:$I$31,'[4]5'!$K$14:$N$21,'[4]5'!$K$23:$N$23,'[4]5'!$K$25:$N$25,'[4]5'!$K$27:$N$31,'[4]5'!$P$14:$S$21,'[4]5'!$P$23:$S$23</definedName>
    <definedName name="P1_SCOPE_F1_PRT" hidden="1">'[4]Ф-1 (для АО-энерго)'!$D$74:$E$84,'[4]Ф-1 (для АО-энерго)'!$D$71:$E$72,'[4]Ф-1 (для АО-энерго)'!$D$66:$E$69,'[4]Ф-1 (для АО-энерго)'!$D$61:$E$64</definedName>
    <definedName name="P1_SCOPE_F2_PRT" hidden="1">'[4]Ф-2 (для АО-энерго)'!$G$56,'[4]Ф-2 (для АО-энерго)'!$E$55:$E$56,'[4]Ф-2 (для АО-энерго)'!$F$55:$G$55,'[4]Ф-2 (для АО-энерго)'!$D$55</definedName>
    <definedName name="P1_SCOPE_FLOAD" localSheetId="6" hidden="1">#REF!,#REF!,#REF!,#REF!,#REF!,#REF!</definedName>
    <definedName name="P1_SCOPE_FLOAD" localSheetId="7" hidden="1">#REF!,#REF!,#REF!,#REF!,#REF!,#REF!</definedName>
    <definedName name="P1_SCOPE_FLOAD" localSheetId="8" hidden="1">#REF!,#REF!,#REF!,#REF!,#REF!,#REF!</definedName>
    <definedName name="P1_SCOPE_FLOAD" localSheetId="16" hidden="1">#REF!,#REF!,#REF!,#REF!,#REF!,#REF!</definedName>
    <definedName name="P1_SCOPE_FLOAD" localSheetId="12" hidden="1">#REF!,#REF!,#REF!,#REF!,#REF!,#REF!</definedName>
    <definedName name="P1_SCOPE_FLOAD" localSheetId="9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4" hidden="1">#REF!,#REF!,#REF!,#REF!,#REF!,#REF!</definedName>
    <definedName name="P1_SCOPE_FLOAD" localSheetId="5" hidden="1">#REF!,#REF!,#REF!,#REF!,#REF!,#REF!</definedName>
    <definedName name="P1_SCOPE_FLOAD" localSheetId="14" hidden="1">#REF!,#REF!,#REF!,#REF!,#REF!,#REF!</definedName>
    <definedName name="P1_SCOPE_FLOAD" localSheetId="18" hidden="1">#REF!,#REF!,#REF!,#REF!,#REF!,#REF!</definedName>
    <definedName name="P1_SCOPE_FLOAD" hidden="1">#REF!,#REF!,#REF!,#REF!,#REF!,#REF!</definedName>
    <definedName name="P1_SCOPE_FRML" localSheetId="6" hidden="1">#REF!,#REF!,#REF!,#REF!,#REF!,#REF!</definedName>
    <definedName name="P1_SCOPE_FRML" localSheetId="7" hidden="1">#REF!,#REF!,#REF!,#REF!,#REF!,#REF!</definedName>
    <definedName name="P1_SCOPE_FRML" localSheetId="8" hidden="1">#REF!,#REF!,#REF!,#REF!,#REF!,#REF!</definedName>
    <definedName name="P1_SCOPE_FRML" localSheetId="16" hidden="1">#REF!,#REF!,#REF!,#REF!,#REF!,#REF!</definedName>
    <definedName name="P1_SCOPE_FRML" localSheetId="12" hidden="1">#REF!,#REF!,#REF!,#REF!,#REF!,#REF!</definedName>
    <definedName name="P1_SCOPE_FRML" localSheetId="9" hidden="1">#REF!,#REF!,#REF!,#REF!,#REF!,#REF!</definedName>
    <definedName name="P1_SCOPE_FRML" localSheetId="14" hidden="1">#REF!,#REF!,#REF!,#REF!,#REF!,#REF!</definedName>
    <definedName name="P1_SCOPE_FRML" hidden="1">#REF!,#REF!,#REF!,#REF!,#REF!,#REF!</definedName>
    <definedName name="P1_SCOPE_PER_PRT" hidden="1">[4]перекрестка!$H$15:$H$19,[4]перекрестка!$H$21:$H$25,[4]перекрестка!$J$14:$J$25,[4]перекрестка!$K$15:$K$19,[4]перекрестка!$K$21:$K$25</definedName>
    <definedName name="P1_SCOPE_SV_LD" localSheetId="6" hidden="1">#REF!,#REF!,#REF!,#REF!,#REF!,#REF!,#REF!</definedName>
    <definedName name="P1_SCOPE_SV_LD" localSheetId="7" hidden="1">#REF!,#REF!,#REF!,#REF!,#REF!,#REF!,#REF!</definedName>
    <definedName name="P1_SCOPE_SV_LD" localSheetId="8" hidden="1">#REF!,#REF!,#REF!,#REF!,#REF!,#REF!,#REF!</definedName>
    <definedName name="P1_SCOPE_SV_LD" localSheetId="16" hidden="1">#REF!,#REF!,#REF!,#REF!,#REF!,#REF!,#REF!</definedName>
    <definedName name="P1_SCOPE_SV_LD" localSheetId="12" hidden="1">#REF!,#REF!,#REF!,#REF!,#REF!,#REF!,#REF!</definedName>
    <definedName name="P1_SCOPE_SV_LD" localSheetId="9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localSheetId="4" hidden="1">#REF!,#REF!,#REF!,#REF!,#REF!,#REF!,#REF!</definedName>
    <definedName name="P1_SCOPE_SV_LD" localSheetId="5" hidden="1">#REF!,#REF!,#REF!,#REF!,#REF!,#REF!,#REF!</definedName>
    <definedName name="P1_SCOPE_SV_LD" localSheetId="14" hidden="1">#REF!,#REF!,#REF!,#REF!,#REF!,#REF!,#REF!</definedName>
    <definedName name="P1_SCOPE_SV_LD" localSheetId="18" hidden="1">#REF!,#REF!,#REF!,#REF!,#REF!,#REF!,#REF!</definedName>
    <definedName name="P1_SCOPE_SV_LD" hidden="1">#REF!,#REF!,#REF!,#REF!,#REF!,#REF!,#REF!</definedName>
    <definedName name="P1_SCOPE_SV_LD1" hidden="1">[4]свод!$E$70:$M$79,[4]свод!$E$81:$M$81,[4]свод!$E$83:$M$88,[4]свод!$E$90:$M$90,[4]свод!$E$92:$M$96,[4]свод!$E$98:$M$98,[4]свод!$E$101:$M$102</definedName>
    <definedName name="P1_SCOPE_SV_PRT" hidden="1">[4]свод!$E$23:$H$26,[4]свод!$E$28:$I$29,[4]свод!$E$32:$I$36,[4]свод!$E$38:$I$40,[4]свод!$E$42:$I$53,[4]свод!$E$55:$I$56,[4]свод!$E$58:$I$63</definedName>
    <definedName name="P1_SET_PROT" localSheetId="6" hidden="1">#REF!,#REF!,#REF!,#REF!,#REF!,#REF!,#REF!</definedName>
    <definedName name="P1_SET_PROT" localSheetId="7" hidden="1">#REF!,#REF!,#REF!,#REF!,#REF!,#REF!,#REF!</definedName>
    <definedName name="P1_SET_PROT" localSheetId="8" hidden="1">#REF!,#REF!,#REF!,#REF!,#REF!,#REF!,#REF!</definedName>
    <definedName name="P1_SET_PROT" localSheetId="16" hidden="1">#REF!,#REF!,#REF!,#REF!,#REF!,#REF!,#REF!</definedName>
    <definedName name="P1_SET_PROT" localSheetId="12" hidden="1">#REF!,#REF!,#REF!,#REF!,#REF!,#REF!,#REF!</definedName>
    <definedName name="P1_SET_PROT" localSheetId="9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4" hidden="1">#REF!,#REF!,#REF!,#REF!,#REF!,#REF!,#REF!</definedName>
    <definedName name="P1_SET_PROT" localSheetId="5" hidden="1">#REF!,#REF!,#REF!,#REF!,#REF!,#REF!,#REF!</definedName>
    <definedName name="P1_SET_PROT" localSheetId="14" hidden="1">#REF!,#REF!,#REF!,#REF!,#REF!,#REF!,#REF!</definedName>
    <definedName name="P1_SET_PROT" localSheetId="18" hidden="1">#REF!,#REF!,#REF!,#REF!,#REF!,#REF!,#REF!</definedName>
    <definedName name="P1_SET_PROT" hidden="1">#REF!,#REF!,#REF!,#REF!,#REF!,#REF!,#REF!</definedName>
    <definedName name="P1_SET_PRT" localSheetId="6" hidden="1">#REF!,#REF!,#REF!,#REF!,#REF!,#REF!,#REF!</definedName>
    <definedName name="P1_SET_PRT" localSheetId="7" hidden="1">#REF!,#REF!,#REF!,#REF!,#REF!,#REF!,#REF!</definedName>
    <definedName name="P1_SET_PRT" localSheetId="8" hidden="1">#REF!,#REF!,#REF!,#REF!,#REF!,#REF!,#REF!</definedName>
    <definedName name="P1_SET_PRT" localSheetId="16" hidden="1">#REF!,#REF!,#REF!,#REF!,#REF!,#REF!,#REF!</definedName>
    <definedName name="P1_SET_PRT" localSheetId="12" hidden="1">#REF!,#REF!,#REF!,#REF!,#REF!,#REF!,#REF!</definedName>
    <definedName name="P1_SET_PRT" localSheetId="9" hidden="1">#REF!,#REF!,#REF!,#REF!,#REF!,#REF!,#REF!</definedName>
    <definedName name="P1_SET_PRT" localSheetId="14" hidden="1">#REF!,#REF!,#REF!,#REF!,#REF!,#REF!,#REF!</definedName>
    <definedName name="P1_SET_PRT" hidden="1">#REF!,#REF!,#REF!,#REF!,#REF!,#REF!,#REF!</definedName>
    <definedName name="P1_T1_Protect" hidden="1">[6]перекрестка!$J$42:$K$46,[6]перекрестка!$J$49,[6]перекрестка!$J$50:$K$54,[6]перекрестка!$J$55,[6]перекрестка!$J$56:$K$60,[6]перекрестка!$J$62:$K$66</definedName>
    <definedName name="P1_T16_Protect" hidden="1">'[6]16'!$G$10:$K$14,'[6]16'!$G$17:$K$17,'[6]16'!$G$20:$K$20,'[6]16'!$G$23:$K$23,'[6]16'!$G$26:$K$26,'[6]16'!$G$29:$K$29,'[6]16'!$G$33:$K$34,'[6]16'!$G$38:$K$40</definedName>
    <definedName name="P1_T17?L4">'[2]29'!$J$18:$J$25,'[2]29'!$G$18:$G$25,'[2]29'!$G$35:$G$42,'[2]29'!$J$35:$J$42,'[2]29'!$G$60,'[2]29'!$J$60,'[2]29'!$M$60,'[2]29'!$P$60,'[2]29'!$P$18:$P$25,'[2]29'!$G$9:$G$16</definedName>
    <definedName name="P1_T17?unit?РУБ.ГКАЛ">'[2]29'!$F$44:$F$51,'[2]29'!$I$44:$I$51,'[2]29'!$L$44:$L$51,'[2]29'!$F$18:$F$25,'[2]29'!$I$60,'[2]29'!$L$60,'[2]29'!$O$60,'[2]29'!$F$60,'[2]29'!$F$9:$F$16,'[2]29'!$I$9:$I$16</definedName>
    <definedName name="P1_T17?unit?ТГКАЛ">'[2]29'!$M$18:$M$25,'[2]29'!$J$18:$J$25,'[2]29'!$G$18:$G$25,'[2]29'!$G$35:$G$42,'[2]29'!$J$35:$J$42,'[2]29'!$G$60,'[2]29'!$J$60,'[2]29'!$M$60,'[2]29'!$P$60,'[2]29'!$G$9:$G$16</definedName>
    <definedName name="P1_T17_Protection">'[2]29'!$O$47:$P$51,'[2]29'!$L$47:$M$51,'[2]29'!$L$53:$M$53,'[2]29'!$L$55:$M$59,'[2]29'!$O$53:$P$53,'[2]29'!$O$55:$P$59,'[2]29'!$F$12:$G$16,'[2]29'!$F$10:$G$10</definedName>
    <definedName name="P1_T18.2_Protect" hidden="1">'[6]18.2'!$F$12:$J$19,'[6]18.2'!$F$22:$J$25,'[6]18.2'!$B$28:$J$37,'[6]18.2'!$F$39:$J$39,'[6]18.2'!$B$41:$J$43,'[6]18.2'!$F$47:$J$52,'[6]18.2'!$F$59:$J$59</definedName>
    <definedName name="P1_T20_Protection" hidden="1">'[2]20'!$E$4:$H$4,'[2]20'!$E$13:$H$13,'[2]20'!$E$16:$H$17,'[2]20'!$E$19:$H$19,'[2]20'!$J$4:$M$4,'[2]20'!$J$8:$M$11,'[2]20'!$J$13:$M$13,'[2]20'!$J$16:$M$17,'[2]20'!$J$19:$M$19</definedName>
    <definedName name="P1_T21_Protection">'[2]21'!$O$31:$S$33,'[2]21'!$E$11,'[2]21'!$G$11:$K$11,'[2]21'!$M$11,'[2]21'!$O$11:$S$11,'[2]21'!$E$14:$E$16,'[2]21'!$G$14:$K$16,'[2]21'!$M$14:$M$16,'[2]21'!$O$14:$S$16</definedName>
    <definedName name="P1_T23_Protection">'[2]23'!$F$9:$J$25,'[2]23'!$O$9:$P$25,'[2]23'!$A$32:$A$34,'[2]23'!$F$32:$J$34,'[2]23'!$O$32:$P$34,'[2]23'!$A$37:$A$53,'[2]23'!$F$37:$J$53,'[2]23'!$O$37:$P$53</definedName>
    <definedName name="P1_T25_protection">'[2]25'!$G$8:$J$21,'[2]25'!$G$24:$J$28,'[2]25'!$G$30:$J$33,'[2]25'!$G$35:$J$37,'[2]25'!$G$41:$J$42,'[2]25'!$L$8:$O$21,'[2]25'!$L$24:$O$28,'[2]25'!$L$30:$O$33</definedName>
    <definedName name="P1_T26_Protection">'[2]26'!$B$34:$B$36,'[2]26'!$F$8:$I$8,'[2]26'!$F$10:$I$11,'[2]26'!$F$13:$I$15,'[2]26'!$F$18:$I$19,'[2]26'!$F$22:$I$24,'[2]26'!$F$26:$I$26,'[2]26'!$F$29:$I$32</definedName>
    <definedName name="P1_T27_Protection">'[2]27'!$B$34:$B$36,'[2]27'!$F$8:$I$8,'[2]27'!$F$10:$I$11,'[2]27'!$F$13:$I$15,'[2]27'!$F$18:$I$19,'[2]27'!$F$22:$I$24,'[2]27'!$F$26:$I$26,'[2]27'!$F$29:$I$32</definedName>
    <definedName name="P1_T28?axis?R?ПЭ">'[2]28'!$D$16:$I$18,'[2]28'!$D$22:$I$24,'[2]28'!$D$28:$I$30,'[2]28'!$D$37:$I$39,'[2]28'!$D$42:$I$44,'[2]28'!$D$48:$I$50,'[2]28'!$D$54:$I$56,'[2]28'!$D$63:$I$65</definedName>
    <definedName name="P1_T28?axis?R?ПЭ?">'[2]28'!$B$16:$B$18,'[2]28'!$B$22:$B$24,'[2]28'!$B$28:$B$30,'[2]28'!$B$37:$B$39,'[2]28'!$B$42:$B$44,'[2]28'!$B$48:$B$50,'[2]28'!$B$54:$B$56,'[2]28'!$B$63:$B$65</definedName>
    <definedName name="P1_T28?Data">'[2]28'!$G$242:$H$265,'[2]28'!$D$242:$E$265,'[2]28'!$G$216:$H$239,'[2]28'!$D$268:$E$292,'[2]28'!$G$268:$H$292,'[2]28'!$D$216:$E$239,'[2]28'!$G$190:$H$213</definedName>
    <definedName name="P1_T28_Protection">'[2]28'!$B$74:$B$76,'[2]28'!$B$80:$B$82,'[2]28'!$B$89:$B$91,'[2]28'!$B$94:$B$96,'[2]28'!$B$100:$B$102,'[2]28'!$B$106:$B$108,'[2]28'!$B$115:$B$117,'[2]28'!$B$120:$B$122</definedName>
    <definedName name="P1_T4_Protect" hidden="1">'[6]4'!$G$20:$J$20,'[6]4'!$G$22:$J$22,'[6]4'!$G$24:$J$28,'[6]4'!$L$11:$O$17,'[6]4'!$L$20:$O$20,'[6]4'!$L$22:$O$22,'[6]4'!$L$24:$O$28,'[6]4'!$Q$11:$T$17,'[6]4'!$Q$20:$T$20</definedName>
    <definedName name="P1_T6_Protect" hidden="1">'[6]6'!$D$46:$H$55,'[6]6'!$J$46:$N$55,'[6]6'!$D$57:$H$59,'[6]6'!$J$57:$N$59,'[6]6'!$B$10:$B$19,'[6]6'!$D$10:$H$19,'[6]6'!$J$10:$N$19,'[6]6'!$D$21:$H$23,'[6]6'!$J$21:$N$23</definedName>
    <definedName name="P10_T1_Protect" hidden="1">[6]перекрестка!$F$42:$H$46,[6]перекрестка!$F$49:$G$49,[6]перекрестка!$F$50:$H$54,[6]перекрестка!$F$55:$G$55,[6]перекрестка!$F$56:$H$60</definedName>
    <definedName name="P10_T28_Protection">'[2]28'!$G$167:$H$169,'[2]28'!$D$172:$E$174,'[2]28'!$G$172:$H$174,'[2]28'!$D$178:$E$180,'[2]28'!$G$178:$H$181,'[2]28'!$D$184:$E$186,'[2]28'!$G$184:$H$186</definedName>
    <definedName name="P11_T1_Protect" hidden="1">[6]перекрестка!$F$62:$H$66,[6]перекрестка!$F$68:$H$72,[6]перекрестка!$F$74:$H$78,[6]перекрестка!$F$80:$H$84,[6]перекрестка!$F$89:$G$89</definedName>
    <definedName name="P11_T28_Protection">'[2]28'!$D$193:$E$195,'[2]28'!$G$193:$H$195,'[2]28'!$D$198:$E$200,'[2]28'!$G$198:$H$200,'[2]28'!$D$204:$E$206,'[2]28'!$G$204:$H$206,'[2]28'!$D$210:$E$212,'[2]28'!$B$68:$B$70</definedName>
    <definedName name="P12_T1_Protect" hidden="1">[6]перекрестка!$F$90:$H$94,[6]перекрестка!$F$95:$G$95,[6]перекрестка!$F$96:$H$100,[6]перекрестка!$F$102:$H$106,[6]перекрестка!$F$108:$H$112</definedName>
    <definedName name="P12_T28_Protection" localSheetId="6">P1_T28_Protection,P2_T28_Protection,P3_T28_Protection,P4_T28_Protection,P5_T28_Protection,P6_T28_Protection,P7_T28_Protection,P8_T28_Protection</definedName>
    <definedName name="P12_T28_Protection" localSheetId="7">P1_T28_Protection,P2_T28_Protection,P3_T28_Protection,P4_T28_Protection,P5_T28_Protection,P6_T28_Protection,P7_T28_Protection,P8_T28_Protection</definedName>
    <definedName name="P12_T28_Protection" localSheetId="8">[0]!P1_T28_Protection,[0]!P2_T28_Protection,[0]!P3_T28_Protection,[0]!P4_T28_Protection,[0]!P5_T28_Protection,[0]!P6_T28_Protection,[0]!P7_T28_Protection,[0]!P8_T28_Protection</definedName>
    <definedName name="P12_T28_Protection" localSheetId="15">P1_T28_Protection,P2_T28_Protection,P3_T28_Protection,P4_T28_Protection,P5_T28_Protection,P6_T28_Protection,P7_T28_Protection,P8_T28_Protection</definedName>
    <definedName name="P12_T28_Protection" localSheetId="16">P1_T28_Protection,P2_T28_Protection,P3_T28_Protection,P4_T28_Protection,P5_T28_Protection,P6_T28_Protection,P7_T28_Protection,P8_T28_Protection</definedName>
    <definedName name="P12_T28_Protection" localSheetId="11">P1_T28_Protection,P2_T28_Protection,P3_T28_Protection,P4_T28_Protection,P5_T28_Protection,P6_T28_Protection,P7_T28_Protection,P8_T28_Protection</definedName>
    <definedName name="P12_T28_Protection" localSheetId="12">P1_T28_Protection,P2_T28_Protection,P3_T28_Protection,P4_T28_Protection,P5_T28_Protection,P6_T28_Protection,P7_T28_Protection,P8_T28_Protection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14">P1_T28_Protection,P2_T28_Protection,P3_T28_Protection,P4_T28_Protection,P5_T28_Protection,P6_T28_Protection,P7_T28_Protection,P8_T28_Protection</definedName>
    <definedName name="P12_T28_Protection" localSheetId="17">P1_T28_Protection,P2_T28_Protection,P3_T28_Protection,P4_T28_Protection,P5_T28_Protection,P6_T28_Protection,P7_T28_Protection,P8_T28_Protection</definedName>
    <definedName name="P12_T28_Protection" localSheetId="18">P1_T28_Protection,P2_T28_Protection,P3_T28_Protection,P4_T28_Protection,P5_T28_Protection,P6_T28_Protection,P7_T28_Protection,P8_T28_Protection</definedName>
    <definedName name="P12_T28_Protection" localSheetId="19">P1_T28_Protection,P2_T28_Protection,P3_T28_Protection,P4_T28_Protection,P5_T28_Protection,P6_T28_Protection,P7_T28_Protection,P8_T28_Protection</definedName>
    <definedName name="P12_T28_Protection" localSheetId="24">P1_T28_Protection,P2_T28_Protection,P3_T28_Protection,P4_T28_Protection,P5_T28_Protection,P6_T28_Protection,P7_T28_Protection,P8_T28_Protection</definedName>
    <definedName name="P12_T28_Protection" localSheetId="23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_Protect" hidden="1">[6]перекрестка!$F$114:$H$118,[6]перекрестка!$F$120:$H$124,[6]перекрестка!$F$127:$G$127,[6]перекрестка!$F$128:$H$132,[6]перекрестка!$F$133:$G$133</definedName>
    <definedName name="P14_T1_Protect" hidden="1">[6]перекрестка!$F$134:$H$138,[6]перекрестка!$F$140:$H$144,[6]перекрестка!$F$146:$H$150,[6]перекрестка!$F$152:$H$156,[6]перекрестка!$F$158:$H$162</definedName>
    <definedName name="P15_T1_Protect" hidden="1">[6]перекрестка!$J$158:$K$162,[6]перекрестка!$J$152:$K$156,[6]перекрестка!$J$146:$K$150,[6]перекрестка!$J$140:$K$144,[6]перекрестка!$J$11</definedName>
    <definedName name="P16_T1_Protect" hidden="1">[6]перекрестка!$J$12:$K$16,[6]перекрестка!$J$17,[6]перекрестка!$J$18:$K$22,[6]перекрестка!$J$24:$K$28,[6]перекрестка!$J$30:$K$34,[6]перекрестка!$F$23:$G$23</definedName>
    <definedName name="P17_T1_Protect" hidden="1">[6]перекрестка!$F$29:$G$29,[6]перекрестка!$F$61:$G$61,[6]перекрестка!$F$67:$G$67,[6]перекрестка!$F$101:$G$101,[6]перекрестка!$F$107:$G$107</definedName>
    <definedName name="P18_T1_Protect" localSheetId="6" hidden="1">[6]перекрестка!$F$139:$G$139,[6]перекрестка!$F$145:$G$145,[6]перекрестка!$J$36:$K$40,P1_T1_Protect,P2_T1_Protect,P3_T1_Protect,P4_T1_Protect</definedName>
    <definedName name="P18_T1_Protect" localSheetId="7" hidden="1">[6]перекрестка!$F$139:$G$139,[6]перекрестка!$F$145:$G$145,[6]перекрестка!$J$36:$K$40,P1_T1_Protect,P2_T1_Protect,P3_T1_Protect,P4_T1_Protect</definedName>
    <definedName name="P18_T1_Protect" localSheetId="8" hidden="1">[6]перекрестка!$F$139:$G$139,[6]перекрестка!$F$145:$G$145,[6]перекрестка!$J$36:$K$40,[0]!P1_T1_Protect,[0]!P2_T1_Protect,[0]!P3_T1_Protect,[0]!P4_T1_Protect</definedName>
    <definedName name="P18_T1_Protect" localSheetId="15" hidden="1">[6]перекрестка!$F$139:$G$139,[6]перекрестка!$F$145:$G$145,[6]перекрестка!$J$36:$K$40,P1_T1_Protect,P2_T1_Protect,P3_T1_Protect,P4_T1_Protect</definedName>
    <definedName name="P18_T1_Protect" localSheetId="16" hidden="1">[6]перекрестка!$F$139:$G$139,[6]перекрестка!$F$145:$G$145,[6]перекрестка!$J$36:$K$40,P1_T1_Protect,P2_T1_Protect,P3_T1_Protect,P4_T1_Protect</definedName>
    <definedName name="P18_T1_Protect" localSheetId="11" hidden="1">[6]перекрестка!$F$139:$G$139,[6]перекрестка!$F$145:$G$145,[6]перекрестка!$J$36:$K$40,P1_T1_Protect,P2_T1_Protect,P3_T1_Protect,P4_T1_Protect</definedName>
    <definedName name="P18_T1_Protect" localSheetId="12" hidden="1">[6]перекрестка!$F$139:$G$139,[6]перекрестка!$F$145:$G$145,[6]перекрестка!$J$36:$K$40,P1_T1_Protect,P2_T1_Protect,P3_T1_Protect,P4_T1_Protect</definedName>
    <definedName name="P18_T1_Protect" localSheetId="9" hidden="1">[6]перекрестка!$F$139:$G$139,[6]перекрестка!$F$145:$G$145,[6]перекрестка!$J$36:$K$40,P1_T1_Protect,P2_T1_Protect,P3_T1_Protect,P4_T1_Protect</definedName>
    <definedName name="P18_T1_Protect" localSheetId="0" hidden="1">[6]перекрестка!$F$139:$G$139,[6]перекрестка!$F$145:$G$145,[6]перекрестка!$J$36:$K$40,P1_T1_Protect,P2_T1_Protect,P3_T1_Protect,P4_T1_Protect</definedName>
    <definedName name="P18_T1_Protect" localSheetId="1" hidden="1">[6]перекрестка!$F$139:$G$139,[6]перекрестка!$F$145:$G$145,[6]перекрестка!$J$36:$K$40,P1_T1_Protect,P2_T1_Protect,P3_T1_Protect,P4_T1_Protect</definedName>
    <definedName name="P18_T1_Protect" localSheetId="3" hidden="1">[6]перекрестка!$F$139:$G$139,[6]перекрестка!$F$145:$G$145,[6]перекрестка!$J$36:$K$40,P1_T1_Protect,P2_T1_Protect,P3_T1_Protect,P4_T1_Protect</definedName>
    <definedName name="P18_T1_Protect" localSheetId="4" hidden="1">[6]перекрестка!$F$139:$G$139,[6]перекрестка!$F$145:$G$145,[6]перекрестка!$J$36:$K$40,P1_T1_Protect,P2_T1_Protect,P3_T1_Protect,P4_T1_Protect</definedName>
    <definedName name="P18_T1_Protect" localSheetId="5" hidden="1">[6]перекрестка!$F$139:$G$139,[6]перекрестка!$F$145:$G$145,[6]перекрестка!$J$36:$K$40,P1_T1_Protect,P2_T1_Protect,P3_T1_Protect,P4_T1_Protect</definedName>
    <definedName name="P18_T1_Protect" localSheetId="14" hidden="1">[6]перекрестка!$F$139:$G$139,[6]перекрестка!$F$145:$G$145,[6]перекрестка!$J$36:$K$40,P1_T1_Protect,P2_T1_Protect,P3_T1_Protect,P4_T1_Protect</definedName>
    <definedName name="P18_T1_Protect" localSheetId="17" hidden="1">[6]перекрестка!$F$139:$G$139,[6]перекрестка!$F$145:$G$145,[6]перекрестка!$J$36:$K$40,P1_T1_Protect,P2_T1_Protect,P3_T1_Protect,P4_T1_Protect</definedName>
    <definedName name="P18_T1_Protect" localSheetId="18" hidden="1">[6]перекрестка!$F$139:$G$139,[6]перекрестка!$F$145:$G$145,[6]перекрестка!$J$36:$K$40,P1_T1_Protect,P2_T1_Protect,P3_T1_Protect,P4_T1_Protect</definedName>
    <definedName name="P18_T1_Protect" localSheetId="19" hidden="1">[6]перекрестка!$F$139:$G$139,[6]перекрестка!$F$145:$G$145,[6]перекрестка!$J$36:$K$40,P1_T1_Protect,P2_T1_Protect,P3_T1_Protect,P4_T1_Protect</definedName>
    <definedName name="P18_T1_Protect" localSheetId="24" hidden="1">[6]перекрестка!$F$139:$G$139,[6]перекрестка!$F$145:$G$145,[6]перекрестка!$J$36:$K$40,P1_T1_Protect,P2_T1_Protect,P3_T1_Protect,P4_T1_Protect</definedName>
    <definedName name="P18_T1_Protect" localSheetId="23" hidden="1">[6]перекрестка!$F$139:$G$139,[6]перекрестка!$F$145:$G$145,[6]перекрестка!$J$36:$K$40,P1_T1_Protect,P2_T1_Protect,P3_T1_Protect,P4_T1_Protect</definedName>
    <definedName name="P18_T1_Protect" hidden="1">[6]перекрестка!$F$139:$G$139,[6]перекрестка!$F$145:$G$145,[6]перекрестка!$J$36:$K$40,P1_T1_Protect,P2_T1_Protect,P3_T1_Protect,P4_T1_Protect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8" hidden="1">[0]!P5_T1_Protect,[0]!P6_T1_Protect,[0]!P7_T1_Protect,[0]!P8_T1_Protect,[0]!P9_T1_Protect,[0]!P10_T1_Protect,[0]!P11_T1_Protect,[0]!P12_T1_Protect,[0]!P13_T1_Protect,[0]!P14_T1_Protect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12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14" hidden="1">P5_T1_Protect,P6_T1_Protect,P7_T1_Protect,P8_T1_Protect,P9_T1_Protect,P10_T1_Protect,P11_T1_Protect,P12_T1_Protect,P13_T1_Protect,P14_T1_Protect</definedName>
    <definedName name="P19_T1_Protect" localSheetId="17" hidden="1">P5_T1_Protect,P6_T1_Protect,P7_T1_Protect,P8_T1_Protect,P9_T1_Protect,P10_T1_Protect,P11_T1_Protect,P12_T1_Protect,P13_T1_Protect,P14_T1_Protect</definedName>
    <definedName name="P19_T1_Protect" localSheetId="18" hidden="1">P5_T1_Protect,P6_T1_Protect,P7_T1_Protect,P8_T1_Protect,P9_T1_Protect,P10_T1_Protect,P11_T1_Protect,P12_T1_Protect,P13_T1_Protect,P14_T1_Protect</definedName>
    <definedName name="P19_T1_Protect" localSheetId="19" hidden="1">P5_T1_Protect,P6_T1_Protect,P7_T1_Protect,P8_T1_Protect,P9_T1_Protect,P10_T1_Protect,P11_T1_Protect,P12_T1_Protect,P13_T1_Protect,P14_T1_Protect</definedName>
    <definedName name="P19_T1_Protect" localSheetId="24" hidden="1">P5_T1_Protect,P6_T1_Protect,P7_T1_Protect,P8_T1_Protect,P9_T1_Protect,P10_T1_Protect,P11_T1_Protect,P12_T1_Protect,P13_T1_Protect,P14_T1_Protect</definedName>
    <definedName name="P19_T1_Protect" localSheetId="2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SCOPE_16_PRT" hidden="1">'[4]16'!$E$38:$I$38,'[4]16'!$E$41:$I$41,'[4]16'!$E$45:$I$47,'[4]16'!$E$49:$I$49,'[4]16'!$E$53:$I$54,'[4]16'!$E$56:$I$57,'[4]16'!$E$59:$I$59,'[4]16'!$E$9:$I$13</definedName>
    <definedName name="P2_SCOPE_4_PRT" hidden="1">'[4]4'!$P$25:$S$25,'[4]4'!$P$27:$S$31,'[4]4'!$U$14:$X$20,'[4]4'!$U$23:$X$23,'[4]4'!$U$25:$X$25,'[4]4'!$U$27:$X$31,'[4]4'!$Z$14:$AC$20,'[4]4'!$Z$23:$AC$23,'[4]4'!$Z$25:$AC$25</definedName>
    <definedName name="P2_SCOPE_5_PRT" hidden="1">'[4]5'!$P$25:$S$25,'[4]5'!$P$27:$S$31,'[4]5'!$U$14:$X$21,'[4]5'!$U$23:$X$23,'[4]5'!$U$25:$X$25,'[4]5'!$U$27:$X$31,'[4]5'!$Z$14:$AC$21,'[4]5'!$Z$23:$AC$23,'[4]5'!$Z$25:$AC$25</definedName>
    <definedName name="P2_SCOPE_F1_PRT" hidden="1">'[4]Ф-1 (для АО-энерго)'!$D$56:$E$59,'[4]Ф-1 (для АО-энерго)'!$D$34:$E$50,'[4]Ф-1 (для АО-энерго)'!$D$32:$E$32,'[4]Ф-1 (для АО-энерго)'!$D$23:$E$30</definedName>
    <definedName name="P2_SCOPE_F2_PRT" hidden="1">'[4]Ф-2 (для АО-энерго)'!$D$52:$G$54,'[4]Ф-2 (для АО-энерго)'!$C$21:$E$42,'[4]Ф-2 (для АО-энерго)'!$A$12:$E$12,'[4]Ф-2 (для АО-энерго)'!$C$8:$E$11</definedName>
    <definedName name="P2_SCOPE_PER_PRT" hidden="1">[4]перекрестка!$N$14:$N$25,[4]перекрестка!$N$27:$N$31,[4]перекрестка!$J$27:$K$31,[4]перекрестка!$F$27:$H$31,[4]перекрестка!$F$33:$H$37</definedName>
    <definedName name="P2_SCOPE_SV_PRT" hidden="1">[4]свод!$E$72:$I$79,[4]свод!$E$81:$I$81,[4]свод!$E$85:$H$88,[4]свод!$E$90:$I$90,[4]свод!$E$107:$I$112,[4]свод!$E$114:$I$117,[4]свод!$E$124:$H$127</definedName>
    <definedName name="P2_T1_Protect" hidden="1">[6]перекрестка!$J$68:$K$72,[6]перекрестка!$J$74:$K$78,[6]перекрестка!$J$80:$K$84,[6]перекрестка!$J$89,[6]перекрестка!$J$90:$K$94,[6]перекрестка!$J$95</definedName>
    <definedName name="P2_T17?L4">'[2]29'!$J$9:$J$16,'[2]29'!$M$9:$M$16,'[2]29'!$P$9:$P$16,'[2]29'!$G$44:$G$51,'[2]29'!$J$44:$J$51,'[2]29'!$M$44:$M$51,'[2]29'!$M$35:$M$42,'[2]29'!$P$35:$P$42,'[2]29'!$P$44:$P$51</definedName>
    <definedName name="P2_T17?unit?РУБ.ГКАЛ">'[2]29'!$I$18:$I$25,'[2]29'!$L$9:$L$16,'[2]29'!$L$18:$L$25,'[2]29'!$O$9:$O$16,'[2]29'!$F$35:$F$42,'[2]29'!$I$35:$I$42,'[2]29'!$L$35:$L$42,'[2]29'!$O$35:$O$51</definedName>
    <definedName name="P2_T17?unit?ТГКАЛ">'[2]29'!$J$9:$J$16,'[2]29'!$M$9:$M$16,'[2]29'!$P$9:$P$16,'[2]29'!$M$35:$M$42,'[2]29'!$P$35:$P$42,'[2]29'!$G$44:$G$51,'[2]29'!$J$44:$J$51,'[2]29'!$M$44:$M$51,'[2]29'!$P$44:$P$51</definedName>
    <definedName name="P2_T17_Protection">'[2]29'!$F$19:$G$19,'[2]29'!$F$21:$G$25,'[2]29'!$F$27:$G$27,'[2]29'!$F$29:$G$33,'[2]29'!$F$36:$G$36,'[2]29'!$F$38:$G$42,'[2]29'!$F$45:$G$45,'[2]29'!$F$47:$G$51</definedName>
    <definedName name="P2_T21_Protection">'[2]21'!$E$20:$E$22,'[2]21'!$G$20:$K$22,'[2]21'!$M$20:$M$22,'[2]21'!$O$20:$S$22,'[2]21'!$E$26:$E$28,'[2]21'!$G$26:$K$28,'[2]21'!$M$26:$M$28,'[2]21'!$O$26:$S$28</definedName>
    <definedName name="P2_T25_protection">'[2]25'!$L$35:$O$37,'[2]25'!$L$41:$O$42,'[2]25'!$Q$8:$T$21,'[2]25'!$Q$24:$T$28,'[2]25'!$Q$30:$T$33,'[2]25'!$Q$35:$T$37,'[2]25'!$Q$41:$T$42,'[2]25'!$B$35:$B$37</definedName>
    <definedName name="P2_T26_Protection">'[2]26'!$F$34:$I$36,'[2]26'!$K$8:$N$8,'[2]26'!$K$10:$N$11,'[2]26'!$K$13:$N$15,'[2]26'!$K$18:$N$19,'[2]26'!$K$22:$N$24,'[2]26'!$K$26:$N$26,'[2]26'!$K$29:$N$32</definedName>
    <definedName name="P2_T27_Protection">'[2]27'!$F$34:$I$36,'[2]27'!$K$8:$N$8,'[2]27'!$K$10:$N$11,'[2]27'!$K$13:$N$15,'[2]27'!$K$18:$N$19,'[2]27'!$K$22:$N$24,'[2]27'!$K$26:$N$26,'[2]27'!$K$29:$N$32</definedName>
    <definedName name="P2_T28?axis?R?ПЭ">'[2]28'!$D$68:$I$70,'[2]28'!$D$74:$I$76,'[2]28'!$D$80:$I$82,'[2]28'!$D$89:$I$91,'[2]28'!$D$94:$I$96,'[2]28'!$D$100:$I$102,'[2]28'!$D$106:$I$108,'[2]28'!$D$115:$I$117</definedName>
    <definedName name="P2_T28?axis?R?ПЭ?">'[2]28'!$B$68:$B$70,'[2]28'!$B$74:$B$76,'[2]28'!$B$80:$B$82,'[2]28'!$B$89:$B$91,'[2]28'!$B$94:$B$96,'[2]28'!$B$100:$B$102,'[2]28'!$B$106:$B$108,'[2]28'!$B$115:$B$117</definedName>
    <definedName name="P2_T28_Protection">'[2]28'!$B$126:$B$128,'[2]28'!$B$132:$B$134,'[2]28'!$B$141:$B$143,'[2]28'!$B$146:$B$148,'[2]28'!$B$152:$B$154,'[2]28'!$B$158:$B$160,'[2]28'!$B$167:$B$169</definedName>
    <definedName name="P2_T4_Protect" hidden="1">'[6]4'!$Q$22:$T$22,'[6]4'!$Q$24:$T$28,'[6]4'!$V$24:$Y$28,'[6]4'!$V$22:$Y$22,'[6]4'!$V$20:$Y$20,'[6]4'!$V$11:$Y$17,'[6]4'!$AA$11:$AD$17,'[6]4'!$AA$20:$AD$20,'[6]4'!$AA$22:$AD$22</definedName>
    <definedName name="P3_SCOPE_F1_PRT" hidden="1">'[4]Ф-1 (для АО-энерго)'!$E$16:$E$17,'[4]Ф-1 (для АО-энерго)'!$C$4:$D$4,'[4]Ф-1 (для АО-энерго)'!$C$7:$E$10,'[4]Ф-1 (для АО-энерго)'!$A$11:$E$11</definedName>
    <definedName name="P3_SCOPE_PER_PRT" hidden="1">[4]перекрестка!$J$33:$K$37,[4]перекрестка!$N$33:$N$37,[4]перекрестка!$F$39:$H$43,[4]перекрестка!$J$39:$K$43,[4]перекрестка!$N$39:$N$43</definedName>
    <definedName name="P3_SCOPE_SV_PRT" hidden="1">[4]свод!$D$135:$G$135,[4]свод!$I$135:$I$140,[4]свод!$H$137:$H$140,[4]свод!$D$138:$G$140,[4]свод!$E$15:$I$16,[4]свод!$E$120:$I$121,[4]свод!$E$18:$I$19</definedName>
    <definedName name="P3_T1_Protect" hidden="1">[6]перекрестка!$J$96:$K$100,[6]перекрестка!$J$102:$K$106,[6]перекрестка!$J$108:$K$112,[6]перекрестка!$J$114:$K$118,[6]перекрестка!$J$120:$K$124</definedName>
    <definedName name="P3_T17_Protection">'[2]29'!$F$53:$G$53,'[2]29'!$F$55:$G$59,'[2]29'!$I$55:$J$59,'[2]29'!$I$53:$J$53,'[2]29'!$I$47:$J$51,'[2]29'!$I$45:$J$45,'[2]29'!$I$38:$J$42,'[2]29'!$I$36:$J$36</definedName>
    <definedName name="P3_T21_Protection" localSheetId="6">'[2]21'!$E$31:$E$33,'[2]21'!$G$31:$K$33,'[2]21'!$B$14:$B$16,'[2]21'!$B$20:$B$22,'[2]21'!$B$26:$B$28,'[2]21'!$B$31:$B$33,'[2]21'!$M$31:$M$33,P1_T21_Protection</definedName>
    <definedName name="P3_T21_Protection" localSheetId="7">'[2]21'!$E$31:$E$33,'[2]21'!$G$31:$K$33,'[2]21'!$B$14:$B$16,'[2]21'!$B$20:$B$22,'[2]21'!$B$26:$B$28,'[2]21'!$B$31:$B$33,'[2]21'!$M$31:$M$33,P1_T21_Protection</definedName>
    <definedName name="P3_T21_Protection" localSheetId="8">'[2]21'!$E$31:$E$33,'[2]21'!$G$31:$K$33,'[2]21'!$B$14:$B$16,'[2]21'!$B$20:$B$22,'[2]21'!$B$26:$B$28,'[2]21'!$B$31:$B$33,'[2]21'!$M$31:$M$33,[0]!P1_T21_Protection</definedName>
    <definedName name="P3_T21_Protection" localSheetId="15">'[2]21'!$E$31:$E$33,'[2]21'!$G$31:$K$33,'[2]21'!$B$14:$B$16,'[2]21'!$B$20:$B$22,'[2]21'!$B$26:$B$28,'[2]21'!$B$31:$B$33,'[2]21'!$M$31:$M$33,P1_T21_Protection</definedName>
    <definedName name="P3_T21_Protection" localSheetId="16">'[2]21'!$E$31:$E$33,'[2]21'!$G$31:$K$33,'[2]21'!$B$14:$B$16,'[2]21'!$B$20:$B$22,'[2]21'!$B$26:$B$28,'[2]21'!$B$31:$B$33,'[2]21'!$M$31:$M$33,P1_T21_Protection</definedName>
    <definedName name="P3_T21_Protection" localSheetId="11">'[2]21'!$E$31:$E$33,'[2]21'!$G$31:$K$33,'[2]21'!$B$14:$B$16,'[2]21'!$B$20:$B$22,'[2]21'!$B$26:$B$28,'[2]21'!$B$31:$B$33,'[2]21'!$M$31:$M$33,P1_T21_Protection</definedName>
    <definedName name="P3_T21_Protection" localSheetId="12">'[2]21'!$E$31:$E$33,'[2]21'!$G$31:$K$33,'[2]21'!$B$14:$B$16,'[2]21'!$B$20:$B$22,'[2]21'!$B$26:$B$28,'[2]21'!$B$31:$B$33,'[2]21'!$M$31:$M$33,P1_T21_Protection</definedName>
    <definedName name="P3_T21_Protection" localSheetId="9">'[2]21'!$E$31:$E$33,'[2]21'!$G$31:$K$33,'[2]21'!$B$14:$B$16,'[2]21'!$B$20:$B$22,'[2]21'!$B$26:$B$28,'[2]21'!$B$31:$B$33,'[2]21'!$M$31:$M$33,P1_T21_Protection</definedName>
    <definedName name="P3_T21_Protection" localSheetId="0">'[2]21'!$E$31:$E$33,'[2]21'!$G$31:$K$33,'[2]21'!$B$14:$B$16,'[2]21'!$B$20:$B$22,'[2]21'!$B$26:$B$28,'[2]21'!$B$31:$B$33,'[2]21'!$M$31:$M$33,P1_T21_Protection</definedName>
    <definedName name="P3_T21_Protection" localSheetId="1">'[2]21'!$E$31:$E$33,'[2]21'!$G$31:$K$33,'[2]21'!$B$14:$B$16,'[2]21'!$B$20:$B$22,'[2]21'!$B$26:$B$28,'[2]21'!$B$31:$B$33,'[2]21'!$M$31:$M$33,P1_T21_Protection</definedName>
    <definedName name="P3_T21_Protection" localSheetId="3">'[2]21'!$E$31:$E$33,'[2]21'!$G$31:$K$33,'[2]21'!$B$14:$B$16,'[2]21'!$B$20:$B$22,'[2]21'!$B$26:$B$28,'[2]21'!$B$31:$B$33,'[2]21'!$M$31:$M$33,P1_T21_Protection</definedName>
    <definedName name="P3_T21_Protection" localSheetId="4">'[2]21'!$E$31:$E$33,'[2]21'!$G$31:$K$33,'[2]21'!$B$14:$B$16,'[2]21'!$B$20:$B$22,'[2]21'!$B$26:$B$28,'[2]21'!$B$31:$B$33,'[2]21'!$M$31:$M$33,P1_T21_Protection</definedName>
    <definedName name="P3_T21_Protection" localSheetId="5">'[2]21'!$E$31:$E$33,'[2]21'!$G$31:$K$33,'[2]21'!$B$14:$B$16,'[2]21'!$B$20:$B$22,'[2]21'!$B$26:$B$28,'[2]21'!$B$31:$B$33,'[2]21'!$M$31:$M$33,P1_T21_Protection</definedName>
    <definedName name="P3_T21_Protection" localSheetId="14">'[2]21'!$E$31:$E$33,'[2]21'!$G$31:$K$33,'[2]21'!$B$14:$B$16,'[2]21'!$B$20:$B$22,'[2]21'!$B$26:$B$28,'[2]21'!$B$31:$B$33,'[2]21'!$M$31:$M$33,P1_T21_Protection</definedName>
    <definedName name="P3_T21_Protection" localSheetId="17">'[2]21'!$E$31:$E$33,'[2]21'!$G$31:$K$33,'[2]21'!$B$14:$B$16,'[2]21'!$B$20:$B$22,'[2]21'!$B$26:$B$28,'[2]21'!$B$31:$B$33,'[2]21'!$M$31:$M$33,P1_T21_Protection</definedName>
    <definedName name="P3_T21_Protection" localSheetId="18">'[2]21'!$E$31:$E$33,'[2]21'!$G$31:$K$33,'[2]21'!$B$14:$B$16,'[2]21'!$B$20:$B$22,'[2]21'!$B$26:$B$28,'[2]21'!$B$31:$B$33,'[2]21'!$M$31:$M$33,P1_T21_Protection</definedName>
    <definedName name="P3_T21_Protection" localSheetId="19">'[2]21'!$E$31:$E$33,'[2]21'!$G$31:$K$33,'[2]21'!$B$14:$B$16,'[2]21'!$B$20:$B$22,'[2]21'!$B$26:$B$28,'[2]21'!$B$31:$B$33,'[2]21'!$M$31:$M$33,P1_T21_Protection</definedName>
    <definedName name="P3_T21_Protection" localSheetId="24">'[2]21'!$E$31:$E$33,'[2]21'!$G$31:$K$33,'[2]21'!$B$14:$B$16,'[2]21'!$B$20:$B$22,'[2]21'!$B$26:$B$28,'[2]21'!$B$31:$B$33,'[2]21'!$M$31:$M$33,P1_T21_Protection</definedName>
    <definedName name="P3_T21_Protection" localSheetId="23">'[2]21'!$E$31:$E$33,'[2]21'!$G$31:$K$33,'[2]21'!$B$14:$B$16,'[2]21'!$B$20:$B$22,'[2]21'!$B$26:$B$28,'[2]21'!$B$31:$B$33,'[2]21'!$M$31:$M$33,P1_T21_Protection</definedName>
    <definedName name="P3_T21_Protection">'[2]21'!$E$31:$E$33,'[2]21'!$G$31:$K$33,'[2]21'!$B$14:$B$16,'[2]21'!$B$20:$B$22,'[2]21'!$B$26:$B$28,'[2]21'!$B$31:$B$33,'[2]21'!$M$31:$M$33,P1_T21_Protection</definedName>
    <definedName name="P3_T27_Protection">'[2]27'!$K$34:$N$36,'[2]27'!$P$8:$S$8,'[2]27'!$P$10:$S$11,'[2]27'!$P$13:$S$15,'[2]27'!$P$18:$S$19,'[2]27'!$P$22:$S$24,'[2]27'!$P$26:$S$26,'[2]27'!$P$29:$S$32</definedName>
    <definedName name="P3_T28?axis?R?ПЭ">'[2]28'!$D$120:$I$122,'[2]28'!$D$126:$I$128,'[2]28'!$D$132:$I$134,'[2]28'!$D$141:$I$143,'[2]28'!$D$146:$I$148,'[2]28'!$D$152:$I$154,'[2]28'!$D$158:$I$160</definedName>
    <definedName name="P3_T28?axis?R?ПЭ?">'[2]28'!$B$120:$B$122,'[2]28'!$B$126:$B$128,'[2]28'!$B$132:$B$134,'[2]28'!$B$141:$B$143,'[2]28'!$B$146:$B$148,'[2]28'!$B$152:$B$154,'[2]28'!$B$158:$B$160</definedName>
    <definedName name="P3_T28_Protection">'[2]28'!$B$172:$B$174,'[2]28'!$B$178:$B$180,'[2]28'!$B$184:$B$186,'[2]28'!$B$193:$B$195,'[2]28'!$B$198:$B$200,'[2]28'!$B$204:$B$206,'[2]28'!$B$210:$B$212</definedName>
    <definedName name="P4_SCOPE_F1_PRT" hidden="1">'[4]Ф-1 (для АО-энерго)'!$C$13:$E$13,'[4]Ф-1 (для АО-энерго)'!$A$14:$E$14,'[4]Ф-1 (для АО-энерго)'!$C$23:$C$50,'[4]Ф-1 (для АО-энерго)'!$C$54:$C$95</definedName>
    <definedName name="P4_SCOPE_PER_PRT" hidden="1">[4]перекрестка!$F$45:$H$49,[4]перекрестка!$J$45:$K$49,[4]перекрестка!$N$45:$N$49,[4]перекрестка!$F$53:$G$64,[4]перекрестка!$H$54:$H$58</definedName>
    <definedName name="P4_T1_Protect" hidden="1">[6]перекрестка!$J$127,[6]перекрестка!$J$128:$K$132,[6]перекрестка!$J$133,[6]перекрестка!$J$134:$K$138,[6]перекрестка!$N$11:$N$22,[6]перекрестка!$N$24:$N$28</definedName>
    <definedName name="P4_T17_Protection">'[2]29'!$I$29:$J$33,'[2]29'!$I$27:$J$27,'[2]29'!$I$21:$J$25,'[2]29'!$I$19:$J$19,'[2]29'!$I$12:$J$16,'[2]29'!$I$10:$J$10,'[2]29'!$L$10:$M$10,'[2]29'!$L$12:$M$16</definedName>
    <definedName name="P4_T28?axis?R?ПЭ">'[2]28'!$D$167:$I$169,'[2]28'!$D$172:$I$174,'[2]28'!$D$178:$I$180,'[2]28'!$D$184:$I$186,'[2]28'!$D$193:$I$195,'[2]28'!$D$198:$I$200,'[2]28'!$D$204:$I$206</definedName>
    <definedName name="P4_T28?axis?R?ПЭ?">'[2]28'!$B$167:$B$169,'[2]28'!$B$172:$B$174,'[2]28'!$B$178:$B$180,'[2]28'!$B$184:$B$186,'[2]28'!$B$193:$B$195,'[2]28'!$B$198:$B$200,'[2]28'!$B$204:$B$206</definedName>
    <definedName name="P4_T28_Protection">'[2]28'!$B$219:$B$221,'[2]28'!$B$224:$B$226,'[2]28'!$B$230:$B$232,'[2]28'!$B$236:$B$238,'[2]28'!$B$245:$B$247,'[2]28'!$B$250:$B$252,'[2]28'!$B$256:$B$258</definedName>
    <definedName name="P5_SCOPE_PER_PRT" hidden="1">[4]перекрестка!$H$60:$H$64,[4]перекрестка!$J$53:$J$64,[4]перекрестка!$K$54:$K$58,[4]перекрестка!$K$60:$K$64,[4]перекрестка!$N$53:$N$64</definedName>
    <definedName name="P5_T1_Protect" hidden="1">[6]перекрестка!$N$30:$N$34,[6]перекрестка!$N$36:$N$40,[6]перекрестка!$N$42:$N$46,[6]перекрестка!$N$49:$N$60,[6]перекрестка!$N$62:$N$66</definedName>
    <definedName name="P5_T17_Protection">'[2]29'!$L$19:$M$19,'[2]29'!$L$21:$M$27,'[2]29'!$L$29:$M$33,'[2]29'!$L$36:$M$36,'[2]29'!$L$38:$M$42,'[2]29'!$L$45:$M$45,'[2]29'!$O$10:$P$10,'[2]29'!$O$12:$P$16</definedName>
    <definedName name="P5_T28?axis?R?ПЭ">'[2]28'!$D$210:$I$212,'[2]28'!$D$219:$I$221,'[2]28'!$D$224:$I$226,'[2]28'!$D$230:$I$232,'[2]28'!$D$236:$I$238,'[2]28'!$D$245:$I$247,'[2]28'!$D$250:$I$252</definedName>
    <definedName name="P5_T28?axis?R?ПЭ?">'[2]28'!$B$210:$B$212,'[2]28'!$B$219:$B$221,'[2]28'!$B$224:$B$226,'[2]28'!$B$230:$B$232,'[2]28'!$B$236:$B$238,'[2]28'!$B$245:$B$247,'[2]28'!$B$250:$B$252</definedName>
    <definedName name="P5_T28_Protection">'[2]28'!$B$262:$B$264,'[2]28'!$B$271:$B$273,'[2]28'!$B$276:$B$278,'[2]28'!$B$282:$B$284,'[2]28'!$B$288:$B$291,'[2]28'!$B$11:$B$13,'[2]28'!$B$16:$B$18,'[2]28'!$B$22:$B$24</definedName>
    <definedName name="P6_SCOPE_PER_PRT" hidden="1">[4]перекрестка!$F$66:$H$70,[4]перекрестка!$J$66:$K$70,[4]перекрестка!$N$66:$N$70,[4]перекрестка!$F$72:$H$76,[4]перекрестка!$J$72:$K$76</definedName>
    <definedName name="P6_T1_Protect" hidden="1">[6]перекрестка!$N$68:$N$72,[6]перекрестка!$N$74:$N$78,[6]перекрестка!$N$80:$N$84,[6]перекрестка!$N$89:$N$100,[6]перекрестка!$N$102:$N$106</definedName>
    <definedName name="P6_T17_Protection" localSheetId="6">'[2]29'!$O$19:$P$19,'[2]29'!$O$21:$P$25,'[2]29'!$O$27:$P$27,'[2]29'!$O$29:$P$33,'[2]29'!$O$36:$P$36,'[2]29'!$O$38:$P$42,'[2]29'!$O$45:$P$45,P1_T17_Protection</definedName>
    <definedName name="P6_T17_Protection" localSheetId="7">'[2]29'!$O$19:$P$19,'[2]29'!$O$21:$P$25,'[2]29'!$O$27:$P$27,'[2]29'!$O$29:$P$33,'[2]29'!$O$36:$P$36,'[2]29'!$O$38:$P$42,'[2]29'!$O$45:$P$45,P1_T17_Protection</definedName>
    <definedName name="P6_T17_Protection" localSheetId="8">'[2]29'!$O$19:$P$19,'[2]29'!$O$21:$P$25,'[2]29'!$O$27:$P$27,'[2]29'!$O$29:$P$33,'[2]29'!$O$36:$P$36,'[2]29'!$O$38:$P$42,'[2]29'!$O$45:$P$45,[0]!P1_T17_Protection</definedName>
    <definedName name="P6_T17_Protection" localSheetId="15">'[2]29'!$O$19:$P$19,'[2]29'!$O$21:$P$25,'[2]29'!$O$27:$P$27,'[2]29'!$O$29:$P$33,'[2]29'!$O$36:$P$36,'[2]29'!$O$38:$P$42,'[2]29'!$O$45:$P$45,P1_T17_Protection</definedName>
    <definedName name="P6_T17_Protection" localSheetId="16">'[2]29'!$O$19:$P$19,'[2]29'!$O$21:$P$25,'[2]29'!$O$27:$P$27,'[2]29'!$O$29:$P$33,'[2]29'!$O$36:$P$36,'[2]29'!$O$38:$P$42,'[2]29'!$O$45:$P$45,P1_T17_Protection</definedName>
    <definedName name="P6_T17_Protection" localSheetId="11">'[2]29'!$O$19:$P$19,'[2]29'!$O$21:$P$25,'[2]29'!$O$27:$P$27,'[2]29'!$O$29:$P$33,'[2]29'!$O$36:$P$36,'[2]29'!$O$38:$P$42,'[2]29'!$O$45:$P$45,P1_T17_Protection</definedName>
    <definedName name="P6_T17_Protection" localSheetId="12">'[2]29'!$O$19:$P$19,'[2]29'!$O$21:$P$25,'[2]29'!$O$27:$P$27,'[2]29'!$O$29:$P$33,'[2]29'!$O$36:$P$36,'[2]29'!$O$38:$P$42,'[2]29'!$O$45:$P$45,P1_T17_Protection</definedName>
    <definedName name="P6_T17_Protection" localSheetId="9">'[2]29'!$O$19:$P$19,'[2]29'!$O$21:$P$25,'[2]29'!$O$27:$P$27,'[2]29'!$O$29:$P$33,'[2]29'!$O$36:$P$36,'[2]29'!$O$38:$P$42,'[2]29'!$O$45:$P$45,P1_T17_Protection</definedName>
    <definedName name="P6_T17_Protection" localSheetId="0">'[2]29'!$O$19:$P$19,'[2]29'!$O$21:$P$25,'[2]29'!$O$27:$P$27,'[2]29'!$O$29:$P$33,'[2]29'!$O$36:$P$36,'[2]29'!$O$38:$P$42,'[2]29'!$O$45:$P$45,P1_T17_Protection</definedName>
    <definedName name="P6_T17_Protection" localSheetId="1">'[2]29'!$O$19:$P$19,'[2]29'!$O$21:$P$25,'[2]29'!$O$27:$P$27,'[2]29'!$O$29:$P$33,'[2]29'!$O$36:$P$36,'[2]29'!$O$38:$P$42,'[2]29'!$O$45:$P$45,P1_T17_Protection</definedName>
    <definedName name="P6_T17_Protection" localSheetId="3">'[2]29'!$O$19:$P$19,'[2]29'!$O$21:$P$25,'[2]29'!$O$27:$P$27,'[2]29'!$O$29:$P$33,'[2]29'!$O$36:$P$36,'[2]29'!$O$38:$P$42,'[2]29'!$O$45:$P$45,P1_T17_Protection</definedName>
    <definedName name="P6_T17_Protection" localSheetId="4">'[2]29'!$O$19:$P$19,'[2]29'!$O$21:$P$25,'[2]29'!$O$27:$P$27,'[2]29'!$O$29:$P$33,'[2]29'!$O$36:$P$36,'[2]29'!$O$38:$P$42,'[2]29'!$O$45:$P$45,P1_T17_Protection</definedName>
    <definedName name="P6_T17_Protection" localSheetId="5">'[2]29'!$O$19:$P$19,'[2]29'!$O$21:$P$25,'[2]29'!$O$27:$P$27,'[2]29'!$O$29:$P$33,'[2]29'!$O$36:$P$36,'[2]29'!$O$38:$P$42,'[2]29'!$O$45:$P$45,P1_T17_Protection</definedName>
    <definedName name="P6_T17_Protection" localSheetId="14">'[2]29'!$O$19:$P$19,'[2]29'!$O$21:$P$25,'[2]29'!$O$27:$P$27,'[2]29'!$O$29:$P$33,'[2]29'!$O$36:$P$36,'[2]29'!$O$38:$P$42,'[2]29'!$O$45:$P$45,P1_T17_Protection</definedName>
    <definedName name="P6_T17_Protection" localSheetId="17">'[2]29'!$O$19:$P$19,'[2]29'!$O$21:$P$25,'[2]29'!$O$27:$P$27,'[2]29'!$O$29:$P$33,'[2]29'!$O$36:$P$36,'[2]29'!$O$38:$P$42,'[2]29'!$O$45:$P$45,P1_T17_Protection</definedName>
    <definedName name="P6_T17_Protection" localSheetId="18">'[2]29'!$O$19:$P$19,'[2]29'!$O$21:$P$25,'[2]29'!$O$27:$P$27,'[2]29'!$O$29:$P$33,'[2]29'!$O$36:$P$36,'[2]29'!$O$38:$P$42,'[2]29'!$O$45:$P$45,P1_T17_Protection</definedName>
    <definedName name="P6_T17_Protection" localSheetId="19">'[2]29'!$O$19:$P$19,'[2]29'!$O$21:$P$25,'[2]29'!$O$27:$P$27,'[2]29'!$O$29:$P$33,'[2]29'!$O$36:$P$36,'[2]29'!$O$38:$P$42,'[2]29'!$O$45:$P$45,P1_T17_Protection</definedName>
    <definedName name="P6_T17_Protection" localSheetId="24">'[2]29'!$O$19:$P$19,'[2]29'!$O$21:$P$25,'[2]29'!$O$27:$P$27,'[2]29'!$O$29:$P$33,'[2]29'!$O$36:$P$36,'[2]29'!$O$38:$P$42,'[2]29'!$O$45:$P$45,P1_T17_Protection</definedName>
    <definedName name="P6_T17_Protection" localSheetId="23">'[2]29'!$O$19:$P$19,'[2]29'!$O$21:$P$25,'[2]29'!$O$27:$P$27,'[2]29'!$O$29:$P$33,'[2]29'!$O$36:$P$36,'[2]29'!$O$38:$P$42,'[2]29'!$O$45:$P$45,P1_T17_Protection</definedName>
    <definedName name="P6_T17_Protection">'[2]29'!$O$19:$P$19,'[2]29'!$O$21:$P$25,'[2]29'!$O$27:$P$27,'[2]29'!$O$29:$P$33,'[2]29'!$O$36:$P$36,'[2]29'!$O$38:$P$42,'[2]29'!$O$45:$P$45,P1_T17_Protection</definedName>
    <definedName name="P6_T28?axis?R?ПЭ" localSheetId="6">'[2]28'!$D$256:$I$258,'[2]28'!$D$262:$I$264,'[2]28'!$D$271:$I$273,'[2]28'!$D$276:$I$278,'[2]28'!$D$282:$I$284,'[2]28'!$D$288:$I$291,'[2]28'!$D$11:$I$13,P1_T28?axis?R?ПЭ</definedName>
    <definedName name="P6_T28?axis?R?ПЭ" localSheetId="7">'[2]28'!$D$256:$I$258,'[2]28'!$D$262:$I$264,'[2]28'!$D$271:$I$273,'[2]28'!$D$276:$I$278,'[2]28'!$D$282:$I$284,'[2]28'!$D$288:$I$291,'[2]28'!$D$11:$I$13,P1_T28?axis?R?ПЭ</definedName>
    <definedName name="P6_T28?axis?R?ПЭ" localSheetId="8">'[2]28'!$D$256:$I$258,'[2]28'!$D$262:$I$264,'[2]28'!$D$271:$I$273,'[2]28'!$D$276:$I$278,'[2]28'!$D$282:$I$284,'[2]28'!$D$288:$I$291,'[2]28'!$D$11:$I$13,[0]!P1_T28?axis?R?ПЭ</definedName>
    <definedName name="P6_T28?axis?R?ПЭ" localSheetId="15">'[2]28'!$D$256:$I$258,'[2]28'!$D$262:$I$264,'[2]28'!$D$271:$I$273,'[2]28'!$D$276:$I$278,'[2]28'!$D$282:$I$284,'[2]28'!$D$288:$I$291,'[2]28'!$D$11:$I$13,P1_T28?axis?R?ПЭ</definedName>
    <definedName name="P6_T28?axis?R?ПЭ" localSheetId="16">'[2]28'!$D$256:$I$258,'[2]28'!$D$262:$I$264,'[2]28'!$D$271:$I$273,'[2]28'!$D$276:$I$278,'[2]28'!$D$282:$I$284,'[2]28'!$D$288:$I$291,'[2]28'!$D$11:$I$13,P1_T28?axis?R?ПЭ</definedName>
    <definedName name="P6_T28?axis?R?ПЭ" localSheetId="11">'[2]28'!$D$256:$I$258,'[2]28'!$D$262:$I$264,'[2]28'!$D$271:$I$273,'[2]28'!$D$276:$I$278,'[2]28'!$D$282:$I$284,'[2]28'!$D$288:$I$291,'[2]28'!$D$11:$I$13,P1_T28?axis?R?ПЭ</definedName>
    <definedName name="P6_T28?axis?R?ПЭ" localSheetId="12">'[2]28'!$D$256:$I$258,'[2]28'!$D$262:$I$264,'[2]28'!$D$271:$I$273,'[2]28'!$D$276:$I$278,'[2]28'!$D$282:$I$284,'[2]28'!$D$288:$I$291,'[2]28'!$D$11:$I$13,P1_T28?axis?R?ПЭ</definedName>
    <definedName name="P6_T28?axis?R?ПЭ" localSheetId="9">'[2]28'!$D$256:$I$258,'[2]28'!$D$262:$I$264,'[2]28'!$D$271:$I$273,'[2]28'!$D$276:$I$278,'[2]28'!$D$282:$I$284,'[2]28'!$D$288:$I$291,'[2]28'!$D$11:$I$13,P1_T28?axis?R?ПЭ</definedName>
    <definedName name="P6_T28?axis?R?ПЭ" localSheetId="0">'[2]28'!$D$256:$I$258,'[2]28'!$D$262:$I$264,'[2]28'!$D$271:$I$273,'[2]28'!$D$276:$I$278,'[2]28'!$D$282:$I$284,'[2]28'!$D$288:$I$291,'[2]28'!$D$11:$I$13,P1_T28?axis?R?ПЭ</definedName>
    <definedName name="P6_T28?axis?R?ПЭ" localSheetId="1">'[2]28'!$D$256:$I$258,'[2]28'!$D$262:$I$264,'[2]28'!$D$271:$I$273,'[2]28'!$D$276:$I$278,'[2]28'!$D$282:$I$284,'[2]28'!$D$288:$I$291,'[2]28'!$D$11:$I$13,P1_T28?axis?R?ПЭ</definedName>
    <definedName name="P6_T28?axis?R?ПЭ" localSheetId="3">'[2]28'!$D$256:$I$258,'[2]28'!$D$262:$I$264,'[2]28'!$D$271:$I$273,'[2]28'!$D$276:$I$278,'[2]28'!$D$282:$I$284,'[2]28'!$D$288:$I$291,'[2]28'!$D$11:$I$13,P1_T28?axis?R?ПЭ</definedName>
    <definedName name="P6_T28?axis?R?ПЭ" localSheetId="4">'[2]28'!$D$256:$I$258,'[2]28'!$D$262:$I$264,'[2]28'!$D$271:$I$273,'[2]28'!$D$276:$I$278,'[2]28'!$D$282:$I$284,'[2]28'!$D$288:$I$291,'[2]28'!$D$11:$I$13,P1_T28?axis?R?ПЭ</definedName>
    <definedName name="P6_T28?axis?R?ПЭ" localSheetId="5">'[2]28'!$D$256:$I$258,'[2]28'!$D$262:$I$264,'[2]28'!$D$271:$I$273,'[2]28'!$D$276:$I$278,'[2]28'!$D$282:$I$284,'[2]28'!$D$288:$I$291,'[2]28'!$D$11:$I$13,P1_T28?axis?R?ПЭ</definedName>
    <definedName name="P6_T28?axis?R?ПЭ" localSheetId="14">'[2]28'!$D$256:$I$258,'[2]28'!$D$262:$I$264,'[2]28'!$D$271:$I$273,'[2]28'!$D$276:$I$278,'[2]28'!$D$282:$I$284,'[2]28'!$D$288:$I$291,'[2]28'!$D$11:$I$13,P1_T28?axis?R?ПЭ</definedName>
    <definedName name="P6_T28?axis?R?ПЭ" localSheetId="17">'[2]28'!$D$256:$I$258,'[2]28'!$D$262:$I$264,'[2]28'!$D$271:$I$273,'[2]28'!$D$276:$I$278,'[2]28'!$D$282:$I$284,'[2]28'!$D$288:$I$291,'[2]28'!$D$11:$I$13,P1_T28?axis?R?ПЭ</definedName>
    <definedName name="P6_T28?axis?R?ПЭ" localSheetId="18">'[2]28'!$D$256:$I$258,'[2]28'!$D$262:$I$264,'[2]28'!$D$271:$I$273,'[2]28'!$D$276:$I$278,'[2]28'!$D$282:$I$284,'[2]28'!$D$288:$I$291,'[2]28'!$D$11:$I$13,P1_T28?axis?R?ПЭ</definedName>
    <definedName name="P6_T28?axis?R?ПЭ" localSheetId="19">'[2]28'!$D$256:$I$258,'[2]28'!$D$262:$I$264,'[2]28'!$D$271:$I$273,'[2]28'!$D$276:$I$278,'[2]28'!$D$282:$I$284,'[2]28'!$D$288:$I$291,'[2]28'!$D$11:$I$13,P1_T28?axis?R?ПЭ</definedName>
    <definedName name="P6_T28?axis?R?ПЭ" localSheetId="24">'[2]28'!$D$256:$I$258,'[2]28'!$D$262:$I$264,'[2]28'!$D$271:$I$273,'[2]28'!$D$276:$I$278,'[2]28'!$D$282:$I$284,'[2]28'!$D$288:$I$291,'[2]28'!$D$11:$I$13,P1_T28?axis?R?ПЭ</definedName>
    <definedName name="P6_T28?axis?R?ПЭ" localSheetId="23">'[2]28'!$D$256:$I$258,'[2]28'!$D$262:$I$264,'[2]28'!$D$271:$I$273,'[2]28'!$D$276:$I$278,'[2]28'!$D$282:$I$284,'[2]28'!$D$288:$I$291,'[2]28'!$D$11:$I$13,P1_T28?axis?R?ПЭ</definedName>
    <definedName name="P6_T28?axis?R?ПЭ">'[2]28'!$D$256:$I$258,'[2]28'!$D$262:$I$264,'[2]28'!$D$271:$I$273,'[2]28'!$D$276:$I$278,'[2]28'!$D$282:$I$284,'[2]28'!$D$288:$I$291,'[2]28'!$D$11:$I$13,P1_T28?axis?R?ПЭ</definedName>
    <definedName name="P6_T28?axis?R?ПЭ?" localSheetId="6">'[2]28'!$B$256:$B$258,'[2]28'!$B$262:$B$264,'[2]28'!$B$271:$B$273,'[2]28'!$B$276:$B$278,'[2]28'!$B$282:$B$284,'[2]28'!$B$288:$B$291,'[2]28'!$B$11:$B$13,P1_T28?axis?R?ПЭ?</definedName>
    <definedName name="P6_T28?axis?R?ПЭ?" localSheetId="7">'[2]28'!$B$256:$B$258,'[2]28'!$B$262:$B$264,'[2]28'!$B$271:$B$273,'[2]28'!$B$276:$B$278,'[2]28'!$B$282:$B$284,'[2]28'!$B$288:$B$291,'[2]28'!$B$11:$B$13,P1_T28?axis?R?ПЭ?</definedName>
    <definedName name="P6_T28?axis?R?ПЭ?" localSheetId="8">'[2]28'!$B$256:$B$258,'[2]28'!$B$262:$B$264,'[2]28'!$B$271:$B$273,'[2]28'!$B$276:$B$278,'[2]28'!$B$282:$B$284,'[2]28'!$B$288:$B$291,'[2]28'!$B$11:$B$13,[0]!P1_T28?axis?R?ПЭ?</definedName>
    <definedName name="P6_T28?axis?R?ПЭ?" localSheetId="15">'[2]28'!$B$256:$B$258,'[2]28'!$B$262:$B$264,'[2]28'!$B$271:$B$273,'[2]28'!$B$276:$B$278,'[2]28'!$B$282:$B$284,'[2]28'!$B$288:$B$291,'[2]28'!$B$11:$B$13,P1_T28?axis?R?ПЭ?</definedName>
    <definedName name="P6_T28?axis?R?ПЭ?" localSheetId="16">'[2]28'!$B$256:$B$258,'[2]28'!$B$262:$B$264,'[2]28'!$B$271:$B$273,'[2]28'!$B$276:$B$278,'[2]28'!$B$282:$B$284,'[2]28'!$B$288:$B$291,'[2]28'!$B$11:$B$13,P1_T28?axis?R?ПЭ?</definedName>
    <definedName name="P6_T28?axis?R?ПЭ?" localSheetId="11">'[2]28'!$B$256:$B$258,'[2]28'!$B$262:$B$264,'[2]28'!$B$271:$B$273,'[2]28'!$B$276:$B$278,'[2]28'!$B$282:$B$284,'[2]28'!$B$288:$B$291,'[2]28'!$B$11:$B$13,P1_T28?axis?R?ПЭ?</definedName>
    <definedName name="P6_T28?axis?R?ПЭ?" localSheetId="12">'[2]28'!$B$256:$B$258,'[2]28'!$B$262:$B$264,'[2]28'!$B$271:$B$273,'[2]28'!$B$276:$B$278,'[2]28'!$B$282:$B$284,'[2]28'!$B$288:$B$291,'[2]28'!$B$11:$B$13,P1_T28?axis?R?ПЭ?</definedName>
    <definedName name="P6_T28?axis?R?ПЭ?" localSheetId="9">'[2]28'!$B$256:$B$258,'[2]28'!$B$262:$B$264,'[2]28'!$B$271:$B$273,'[2]28'!$B$276:$B$278,'[2]28'!$B$282:$B$284,'[2]28'!$B$288:$B$291,'[2]28'!$B$11:$B$13,P1_T28?axis?R?ПЭ?</definedName>
    <definedName name="P6_T28?axis?R?ПЭ?" localSheetId="0">'[2]28'!$B$256:$B$258,'[2]28'!$B$262:$B$264,'[2]28'!$B$271:$B$273,'[2]28'!$B$276:$B$278,'[2]28'!$B$282:$B$284,'[2]28'!$B$288:$B$291,'[2]28'!$B$11:$B$13,P1_T28?axis?R?ПЭ?</definedName>
    <definedName name="P6_T28?axis?R?ПЭ?" localSheetId="1">'[2]28'!$B$256:$B$258,'[2]28'!$B$262:$B$264,'[2]28'!$B$271:$B$273,'[2]28'!$B$276:$B$278,'[2]28'!$B$282:$B$284,'[2]28'!$B$288:$B$291,'[2]28'!$B$11:$B$13,P1_T28?axis?R?ПЭ?</definedName>
    <definedName name="P6_T28?axis?R?ПЭ?" localSheetId="3">'[2]28'!$B$256:$B$258,'[2]28'!$B$262:$B$264,'[2]28'!$B$271:$B$273,'[2]28'!$B$276:$B$278,'[2]28'!$B$282:$B$284,'[2]28'!$B$288:$B$291,'[2]28'!$B$11:$B$13,P1_T28?axis?R?ПЭ?</definedName>
    <definedName name="P6_T28?axis?R?ПЭ?" localSheetId="4">'[2]28'!$B$256:$B$258,'[2]28'!$B$262:$B$264,'[2]28'!$B$271:$B$273,'[2]28'!$B$276:$B$278,'[2]28'!$B$282:$B$284,'[2]28'!$B$288:$B$291,'[2]28'!$B$11:$B$13,P1_T28?axis?R?ПЭ?</definedName>
    <definedName name="P6_T28?axis?R?ПЭ?" localSheetId="5">'[2]28'!$B$256:$B$258,'[2]28'!$B$262:$B$264,'[2]28'!$B$271:$B$273,'[2]28'!$B$276:$B$278,'[2]28'!$B$282:$B$284,'[2]28'!$B$288:$B$291,'[2]28'!$B$11:$B$13,P1_T28?axis?R?ПЭ?</definedName>
    <definedName name="P6_T28?axis?R?ПЭ?" localSheetId="14">'[2]28'!$B$256:$B$258,'[2]28'!$B$262:$B$264,'[2]28'!$B$271:$B$273,'[2]28'!$B$276:$B$278,'[2]28'!$B$282:$B$284,'[2]28'!$B$288:$B$291,'[2]28'!$B$11:$B$13,P1_T28?axis?R?ПЭ?</definedName>
    <definedName name="P6_T28?axis?R?ПЭ?" localSheetId="17">'[2]28'!$B$256:$B$258,'[2]28'!$B$262:$B$264,'[2]28'!$B$271:$B$273,'[2]28'!$B$276:$B$278,'[2]28'!$B$282:$B$284,'[2]28'!$B$288:$B$291,'[2]28'!$B$11:$B$13,P1_T28?axis?R?ПЭ?</definedName>
    <definedName name="P6_T28?axis?R?ПЭ?" localSheetId="18">'[2]28'!$B$256:$B$258,'[2]28'!$B$262:$B$264,'[2]28'!$B$271:$B$273,'[2]28'!$B$276:$B$278,'[2]28'!$B$282:$B$284,'[2]28'!$B$288:$B$291,'[2]28'!$B$11:$B$13,P1_T28?axis?R?ПЭ?</definedName>
    <definedName name="P6_T28?axis?R?ПЭ?" localSheetId="19">'[2]28'!$B$256:$B$258,'[2]28'!$B$262:$B$264,'[2]28'!$B$271:$B$273,'[2]28'!$B$276:$B$278,'[2]28'!$B$282:$B$284,'[2]28'!$B$288:$B$291,'[2]28'!$B$11:$B$13,P1_T28?axis?R?ПЭ?</definedName>
    <definedName name="P6_T28?axis?R?ПЭ?" localSheetId="24">'[2]28'!$B$256:$B$258,'[2]28'!$B$262:$B$264,'[2]28'!$B$271:$B$273,'[2]28'!$B$276:$B$278,'[2]28'!$B$282:$B$284,'[2]28'!$B$288:$B$291,'[2]28'!$B$11:$B$13,P1_T28?axis?R?ПЭ?</definedName>
    <definedName name="P6_T28?axis?R?ПЭ?" localSheetId="23">'[2]28'!$B$256:$B$258,'[2]28'!$B$262:$B$264,'[2]28'!$B$271:$B$273,'[2]28'!$B$276:$B$278,'[2]28'!$B$282:$B$284,'[2]28'!$B$288:$B$291,'[2]28'!$B$11:$B$13,P1_T28?axis?R?ПЭ?</definedName>
    <definedName name="P6_T28?axis?R?ПЭ?">'[2]28'!$B$256:$B$258,'[2]28'!$B$262:$B$264,'[2]28'!$B$271:$B$273,'[2]28'!$B$276:$B$278,'[2]28'!$B$282:$B$284,'[2]28'!$B$288:$B$291,'[2]28'!$B$11:$B$13,P1_T28?axis?R?ПЭ?</definedName>
    <definedName name="P6_T28_Protection">'[2]28'!$B$28:$B$30,'[2]28'!$B$37:$B$39,'[2]28'!$B$42:$B$44,'[2]28'!$B$48:$B$50,'[2]28'!$B$54:$B$56,'[2]28'!$B$63:$B$65,'[2]28'!$G$210:$H$212,'[2]28'!$D$11:$E$13</definedName>
    <definedName name="P7_SCOPE_PER_PRT" hidden="1">[4]перекрестка!$N$72:$N$76,[4]перекрестка!$F$78:$H$82,[4]перекрестка!$J$78:$K$82,[4]перекрестка!$N$78:$N$82,[4]перекрестка!$F$84:$H$88</definedName>
    <definedName name="P7_T1_Protect" hidden="1">[6]перекрестка!$N$108:$N$112,[6]перекрестка!$N$114:$N$118,[6]перекрестка!$N$120:$N$124,[6]перекрестка!$N$127:$N$138,[6]перекрестка!$N$140:$N$144</definedName>
    <definedName name="P7_T28_Protection">'[2]28'!$G$11:$H$13,'[2]28'!$D$16:$E$18,'[2]28'!$G$16:$H$18,'[2]28'!$D$22:$E$24,'[2]28'!$G$22:$H$24,'[2]28'!$D$28:$E$30,'[2]28'!$G$28:$H$30,'[2]28'!$D$37:$E$39</definedName>
    <definedName name="P8_SCOPE_PER_PRT" localSheetId="6" hidden="1">[4]перекрестка!$J$84:$K$88,[4]перекрестка!$N$84:$N$88,[4]перекрестка!$F$14:$G$25,P1_SCOPE_PER_PRT,P2_SCOPE_PER_PRT,P3_SCOPE_PER_PRT,P4_SCOPE_PER_PRT</definedName>
    <definedName name="P8_SCOPE_PER_PRT" localSheetId="7" hidden="1">[4]перекрестка!$J$84:$K$88,[4]перекрестка!$N$84:$N$88,[4]перекрестка!$F$14:$G$25,P1_SCOPE_PER_PRT,P2_SCOPE_PER_PRT,P3_SCOPE_PER_PRT,P4_SCOPE_PER_PRT</definedName>
    <definedName name="P8_SCOPE_PER_PRT" localSheetId="8" hidden="1">[4]перекрестка!$J$84:$K$88,[4]перекрестка!$N$84:$N$88,[4]перекрестка!$F$14:$G$25,[0]!P1_SCOPE_PER_PRT,[0]!P2_SCOPE_PER_PRT,[0]!P3_SCOPE_PER_PRT,[0]!P4_SCOPE_PER_PRT</definedName>
    <definedName name="P8_SCOPE_PER_PRT" localSheetId="15" hidden="1">[4]перекрестка!$J$84:$K$88,[4]перекрестка!$N$84:$N$88,[4]перекрестка!$F$14:$G$25,P1_SCOPE_PER_PRT,P2_SCOPE_PER_PRT,P3_SCOPE_PER_PRT,P4_SCOPE_PER_PRT</definedName>
    <definedName name="P8_SCOPE_PER_PRT" localSheetId="16" hidden="1">[4]перекрестка!$J$84:$K$88,[4]перекрестка!$N$84:$N$88,[4]перекрестка!$F$14:$G$25,P1_SCOPE_PER_PRT,P2_SCOPE_PER_PRT,P3_SCOPE_PER_PRT,P4_SCOPE_PER_PRT</definedName>
    <definedName name="P8_SCOPE_PER_PRT" localSheetId="11" hidden="1">[4]перекрестка!$J$84:$K$88,[4]перекрестка!$N$84:$N$88,[4]перекрестка!$F$14:$G$25,P1_SCOPE_PER_PRT,P2_SCOPE_PER_PRT,P3_SCOPE_PER_PRT,P4_SCOPE_PER_PRT</definedName>
    <definedName name="P8_SCOPE_PER_PRT" localSheetId="12" hidden="1">[4]перекрестка!$J$84:$K$88,[4]перекрестка!$N$84:$N$88,[4]перекрестка!$F$14:$G$25,P1_SCOPE_PER_PRT,P2_SCOPE_PER_PRT,P3_SCOPE_PER_PRT,P4_SCOPE_PER_PRT</definedName>
    <definedName name="P8_SCOPE_PER_PRT" localSheetId="9" hidden="1">[4]перекрестка!$J$84:$K$88,[4]перекрестка!$N$84:$N$88,[4]перекрестка!$F$14:$G$25,P1_SCOPE_PER_PRT,P2_SCOPE_PER_PRT,P3_SCOPE_PER_PRT,P4_SCOPE_PER_PRT</definedName>
    <definedName name="P8_SCOPE_PER_PRT" localSheetId="0" hidden="1">[4]перекрестка!$J$84:$K$88,[4]перекрестка!$N$84:$N$88,[4]перекрестка!$F$14:$G$25,P1_SCOPE_PER_PRT,P2_SCOPE_PER_PRT,P3_SCOPE_PER_PRT,P4_SCOPE_PER_PRT</definedName>
    <definedName name="P8_SCOPE_PER_PRT" localSheetId="1" hidden="1">[4]перекрестка!$J$84:$K$88,[4]перекрестка!$N$84:$N$88,[4]перекрестка!$F$14:$G$25,P1_SCOPE_PER_PRT,P2_SCOPE_PER_PRT,P3_SCOPE_PER_PRT,P4_SCOPE_PER_PRT</definedName>
    <definedName name="P8_SCOPE_PER_PRT" localSheetId="3" hidden="1">[4]перекрестка!$J$84:$K$88,[4]перекрестка!$N$84:$N$88,[4]перекрестка!$F$14:$G$25,P1_SCOPE_PER_PRT,P2_SCOPE_PER_PRT,P3_SCOPE_PER_PRT,P4_SCOPE_PER_PRT</definedName>
    <definedName name="P8_SCOPE_PER_PRT" localSheetId="4" hidden="1">[4]перекрестка!$J$84:$K$88,[4]перекрестка!$N$84:$N$88,[4]перекрестка!$F$14:$G$25,P1_SCOPE_PER_PRT,P2_SCOPE_PER_PRT,P3_SCOPE_PER_PRT,P4_SCOPE_PER_PRT</definedName>
    <definedName name="P8_SCOPE_PER_PRT" localSheetId="5" hidden="1">[4]перекрестка!$J$84:$K$88,[4]перекрестка!$N$84:$N$88,[4]перекрестка!$F$14:$G$25,P1_SCOPE_PER_PRT,P2_SCOPE_PER_PRT,P3_SCOPE_PER_PRT,P4_SCOPE_PER_PRT</definedName>
    <definedName name="P8_SCOPE_PER_PRT" localSheetId="14" hidden="1">[4]перекрестка!$J$84:$K$88,[4]перекрестка!$N$84:$N$88,[4]перекрестка!$F$14:$G$25,P1_SCOPE_PER_PRT,P2_SCOPE_PER_PRT,P3_SCOPE_PER_PRT,P4_SCOPE_PER_PRT</definedName>
    <definedName name="P8_SCOPE_PER_PRT" localSheetId="17" hidden="1">[4]перекрестка!$J$84:$K$88,[4]перекрестка!$N$84:$N$88,[4]перекрестка!$F$14:$G$25,P1_SCOPE_PER_PRT,P2_SCOPE_PER_PRT,P3_SCOPE_PER_PRT,P4_SCOPE_PER_PRT</definedName>
    <definedName name="P8_SCOPE_PER_PRT" localSheetId="18" hidden="1">[4]перекрестка!$J$84:$K$88,[4]перекрестка!$N$84:$N$88,[4]перекрестка!$F$14:$G$25,P1_SCOPE_PER_PRT,P2_SCOPE_PER_PRT,P3_SCOPE_PER_PRT,P4_SCOPE_PER_PRT</definedName>
    <definedName name="P8_SCOPE_PER_PRT" localSheetId="19" hidden="1">[4]перекрестка!$J$84:$K$88,[4]перекрестка!$N$84:$N$88,[4]перекрестка!$F$14:$G$25,P1_SCOPE_PER_PRT,P2_SCOPE_PER_PRT,P3_SCOPE_PER_PRT,P4_SCOPE_PER_PRT</definedName>
    <definedName name="P8_SCOPE_PER_PRT" localSheetId="24" hidden="1">[4]перекрестка!$J$84:$K$88,[4]перекрестка!$N$84:$N$88,[4]перекрестка!$F$14:$G$25,P1_SCOPE_PER_PRT,P2_SCOPE_PER_PRT,P3_SCOPE_PER_PRT,P4_SCOPE_PER_PRT</definedName>
    <definedName name="P8_SCOPE_PER_PRT" localSheetId="23" hidden="1">[4]перекрестка!$J$84:$K$88,[4]перекрестка!$N$84:$N$88,[4]перекрестка!$F$14:$G$25,P1_SCOPE_PER_PRT,P2_SCOPE_PER_PRT,P3_SCOPE_PER_PRT,P4_SCOPE_PER_PRT</definedName>
    <definedName name="P8_SCOPE_PER_PRT" hidden="1">[4]перекрестка!$J$84:$K$88,[4]перекрестка!$N$84:$N$88,[4]перекрестка!$F$14:$G$25,P1_SCOPE_PER_PRT,P2_SCOPE_PER_PRT,P3_SCOPE_PER_PRT,P4_SCOPE_PER_PRT</definedName>
    <definedName name="P8_T1_Protect" hidden="1">[6]перекрестка!$N$146:$N$150,[6]перекрестка!$N$152:$N$156,[6]перекрестка!$N$158:$N$162,[6]перекрестка!$F$11:$G$11,[6]перекрестка!$F$12:$H$16</definedName>
    <definedName name="P8_T28_Protection">'[2]28'!$G$37:$H$39,'[2]28'!$D$42:$E$44,'[2]28'!$G$42:$H$44,'[2]28'!$D$48:$E$50,'[2]28'!$G$48:$H$50,'[2]28'!$D$54:$E$56,'[2]28'!$G$54:$H$56,'[2]28'!$D$89:$E$91</definedName>
    <definedName name="P9_T1_Protect" hidden="1">[6]перекрестка!$F$17:$G$17,[6]перекрестка!$F$18:$H$22,[6]перекрестка!$F$24:$H$28,[6]перекрестка!$F$30:$H$34,[6]перекрестка!$F$36:$H$40</definedName>
    <definedName name="P9_T28_Protection">'[2]28'!$G$89:$H$91,'[2]28'!$G$94:$H$96,'[2]28'!$D$94:$E$96,'[2]28'!$D$100:$E$102,'[2]28'!$G$100:$H$102,'[2]28'!$D$106:$E$108,'[2]28'!$G$106:$H$108,'[2]28'!$D$167:$E$169</definedName>
    <definedName name="QQQ" localSheetId="6">#REF!</definedName>
    <definedName name="QQQ" localSheetId="7">#REF!</definedName>
    <definedName name="QQQ" localSheetId="8">#REF!</definedName>
    <definedName name="QQQ" localSheetId="16">#REF!</definedName>
    <definedName name="QQQ" localSheetId="12">#REF!</definedName>
    <definedName name="QQQ" localSheetId="9">#REF!</definedName>
    <definedName name="QQQ" localSheetId="1">#REF!</definedName>
    <definedName name="QQQ" localSheetId="3">#REF!</definedName>
    <definedName name="QQQ" localSheetId="4">#REF!</definedName>
    <definedName name="QQQ" localSheetId="5">#REF!</definedName>
    <definedName name="QQQ" localSheetId="14">#REF!</definedName>
    <definedName name="QQQ" localSheetId="18">#REF!</definedName>
    <definedName name="QQQ">#REF!</definedName>
    <definedName name="RABOTA" localSheetId="6">#REF!</definedName>
    <definedName name="RABOTA" localSheetId="7">#REF!</definedName>
    <definedName name="RABOTA" localSheetId="8">#REF!</definedName>
    <definedName name="RABOTA" localSheetId="16">#REF!</definedName>
    <definedName name="RABOTA" localSheetId="12">#REF!</definedName>
    <definedName name="RABOTA" localSheetId="9">#REF!</definedName>
    <definedName name="RABOTA" localSheetId="14">#REF!</definedName>
    <definedName name="RABOTA">#REF!</definedName>
    <definedName name="SCOPE_16_PRT" localSheetId="6">P1_SCOPE_16_PRT,P2_SCOPE_16_PRT</definedName>
    <definedName name="SCOPE_16_PRT" localSheetId="7">P1_SCOPE_16_PRT,P2_SCOPE_16_PRT</definedName>
    <definedName name="SCOPE_16_PRT" localSheetId="8">[0]!P1_SCOPE_16_PRT,[0]!P2_SCOPE_16_PRT</definedName>
    <definedName name="SCOPE_16_PRT" localSheetId="15">P1_SCOPE_16_PRT,P2_SCOPE_16_PRT</definedName>
    <definedName name="SCOPE_16_PRT" localSheetId="16">P1_SCOPE_16_PRT,P2_SCOPE_16_PRT</definedName>
    <definedName name="SCOPE_16_PRT" localSheetId="11">P1_SCOPE_16_PRT,P2_SCOPE_16_PRT</definedName>
    <definedName name="SCOPE_16_PRT" localSheetId="12">P1_SCOPE_16_PRT,P2_SCOPE_16_PRT</definedName>
    <definedName name="SCOPE_16_PRT" localSheetId="9">P1_SCOPE_16_PRT,P2_SCOPE_16_PRT</definedName>
    <definedName name="SCOPE_16_PRT" localSheetId="0">P1_SCOPE_16_PRT,P2_SCOPE_16_PRT</definedName>
    <definedName name="SCOPE_16_PRT" localSheetId="1">P1_SCOPE_16_PRT,P2_SCOPE_16_PRT</definedName>
    <definedName name="SCOPE_16_PRT" localSheetId="3">P1_SCOPE_16_PRT,P2_SCOPE_16_PRT</definedName>
    <definedName name="SCOPE_16_PRT" localSheetId="4">P1_SCOPE_16_PRT,P2_SCOPE_16_PRT</definedName>
    <definedName name="SCOPE_16_PRT" localSheetId="5">P1_SCOPE_16_PRT,P2_SCOPE_16_PRT</definedName>
    <definedName name="SCOPE_16_PRT" localSheetId="14">P1_SCOPE_16_PRT,P2_SCOPE_16_PRT</definedName>
    <definedName name="SCOPE_16_PRT" localSheetId="17">P1_SCOPE_16_PRT,P2_SCOPE_16_PRT</definedName>
    <definedName name="SCOPE_16_PRT" localSheetId="18">P1_SCOPE_16_PRT,P2_SCOPE_16_PRT</definedName>
    <definedName name="SCOPE_16_PRT" localSheetId="19">P1_SCOPE_16_PRT,P2_SCOPE_16_PRT</definedName>
    <definedName name="SCOPE_16_PRT">P1_SCOPE_16_PRT,P2_SCOPE_16_PRT</definedName>
    <definedName name="SCOPE_17.1_PRT">'[4]17.1'!$D$14:$F$17,'[4]17.1'!$D$19:$F$22,'[4]17.1'!$I$9:$I$12,'[4]17.1'!$I$14:$I$17,'[4]17.1'!$I$19:$I$22,'[4]17.1'!$D$9:$F$12</definedName>
    <definedName name="SCOPE_17_PRT" localSheetId="6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7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8">'[5]17 СМУП'!$J$39:$M$41,'[5]17 СМУП'!$E$43:$H$51,'[5]17 СМУП'!$J$43:$M$51,'[5]17 СМУП'!$E$54:$H$56,'[5]17 СМУП'!$E$58:$H$66,'[5]17 СМУП'!$E$69:$M$81,'[5]17 СМУП'!$E$9:$H$11,[0]!P1_SCOPE_17_PRT</definedName>
    <definedName name="SCOPE_17_PRT" localSheetId="15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6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1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2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9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0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3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4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5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4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7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8">'[5]17 СМУП'!$J$39:$M$41,'[5]17 СМУП'!$E$43:$H$51,'[5]17 СМУП'!$J$43:$M$51,'[5]17 СМУП'!$E$54:$H$56,'[5]17 СМУП'!$E$58:$H$66,'[5]17 СМУП'!$E$69:$M$81,'[5]17 СМУП'!$E$9:$H$11,P1_SCOPE_17_PRT</definedName>
    <definedName name="SCOPE_17_PRT" localSheetId="19">'[5]17 СМУП'!$J$39:$M$41,'[5]17 СМУП'!$E$43:$H$51,'[5]17 СМУП'!$J$43:$M$51,'[5]17 СМУП'!$E$54:$H$56,'[5]17 СМУП'!$E$58:$H$66,'[5]17 СМУП'!$E$69:$M$81,'[5]17 СМУП'!$E$9:$H$11,P1_SCOPE_17_PRT</definedName>
    <definedName name="SCOPE_17_PRT">'[5]17 СМУП'!$J$39:$M$41,'[5]17 СМУП'!$E$43:$H$51,'[5]17 СМУП'!$J$43:$M$51,'[5]17 СМУП'!$E$54:$H$56,'[5]17 СМУП'!$E$58:$H$66,'[5]17 СМУП'!$E$69:$M$81,'[5]17 СМУП'!$E$9:$H$11,P1_SCOPE_17_PRT</definedName>
    <definedName name="SCOPE_24_LD">'[4]24'!$E$8:$J$47,'[4]24'!$E$49:$J$66</definedName>
    <definedName name="SCOPE_24_PRT">'[4]24'!$E$41:$I$41,'[4]24'!$E$34:$I$34,'[4]24'!$E$36:$I$36,'[4]24'!$E$43:$I$43</definedName>
    <definedName name="SCOPE_25_PRT">'[4]25'!$E$20:$I$20,'[4]25'!$E$34:$I$34,'[4]25'!$E$41:$I$41,'[4]25'!$E$8:$I$10</definedName>
    <definedName name="SCOPE_4_PRT" localSheetId="6">'[4]4'!$Z$27:$AC$31,'[4]4'!$F$14:$I$20,P1_SCOPE_4_PRT,P2_SCOPE_4_PRT</definedName>
    <definedName name="SCOPE_4_PRT" localSheetId="7">'[4]4'!$Z$27:$AC$31,'[4]4'!$F$14:$I$20,P1_SCOPE_4_PRT,P2_SCOPE_4_PRT</definedName>
    <definedName name="SCOPE_4_PRT" localSheetId="8">'[4]4'!$Z$27:$AC$31,'[4]4'!$F$14:$I$20,[0]!P1_SCOPE_4_PRT,[0]!P2_SCOPE_4_PRT</definedName>
    <definedName name="SCOPE_4_PRT" localSheetId="15">'[4]4'!$Z$27:$AC$31,'[4]4'!$F$14:$I$20,P1_SCOPE_4_PRT,P2_SCOPE_4_PRT</definedName>
    <definedName name="SCOPE_4_PRT" localSheetId="16">'[4]4'!$Z$27:$AC$31,'[4]4'!$F$14:$I$20,P1_SCOPE_4_PRT,P2_SCOPE_4_PRT</definedName>
    <definedName name="SCOPE_4_PRT" localSheetId="11">'[4]4'!$Z$27:$AC$31,'[4]4'!$F$14:$I$20,P1_SCOPE_4_PRT,P2_SCOPE_4_PRT</definedName>
    <definedName name="SCOPE_4_PRT" localSheetId="12">'[4]4'!$Z$27:$AC$31,'[4]4'!$F$14:$I$20,P1_SCOPE_4_PRT,P2_SCOPE_4_PRT</definedName>
    <definedName name="SCOPE_4_PRT" localSheetId="9">'[4]4'!$Z$27:$AC$31,'[4]4'!$F$14:$I$20,P1_SCOPE_4_PRT,P2_SCOPE_4_PRT</definedName>
    <definedName name="SCOPE_4_PRT" localSheetId="0">'[4]4'!$Z$27:$AC$31,'[4]4'!$F$14:$I$20,P1_SCOPE_4_PRT,P2_SCOPE_4_PRT</definedName>
    <definedName name="SCOPE_4_PRT" localSheetId="1">'[4]4'!$Z$27:$AC$31,'[4]4'!$F$14:$I$20,P1_SCOPE_4_PRT,P2_SCOPE_4_PRT</definedName>
    <definedName name="SCOPE_4_PRT" localSheetId="3">'[4]4'!$Z$27:$AC$31,'[4]4'!$F$14:$I$20,P1_SCOPE_4_PRT,P2_SCOPE_4_PRT</definedName>
    <definedName name="SCOPE_4_PRT" localSheetId="4">'[4]4'!$Z$27:$AC$31,'[4]4'!$F$14:$I$20,P1_SCOPE_4_PRT,P2_SCOPE_4_PRT</definedName>
    <definedName name="SCOPE_4_PRT" localSheetId="5">'[4]4'!$Z$27:$AC$31,'[4]4'!$F$14:$I$20,P1_SCOPE_4_PRT,P2_SCOPE_4_PRT</definedName>
    <definedName name="SCOPE_4_PRT" localSheetId="14">'[4]4'!$Z$27:$AC$31,'[4]4'!$F$14:$I$20,P1_SCOPE_4_PRT,P2_SCOPE_4_PRT</definedName>
    <definedName name="SCOPE_4_PRT" localSheetId="17">'[4]4'!$Z$27:$AC$31,'[4]4'!$F$14:$I$20,P1_SCOPE_4_PRT,P2_SCOPE_4_PRT</definedName>
    <definedName name="SCOPE_4_PRT" localSheetId="18">'[4]4'!$Z$27:$AC$31,'[4]4'!$F$14:$I$20,P1_SCOPE_4_PRT,P2_SCOPE_4_PRT</definedName>
    <definedName name="SCOPE_4_PRT" localSheetId="19">'[4]4'!$Z$27:$AC$31,'[4]4'!$F$14:$I$20,P1_SCOPE_4_PRT,P2_SCOPE_4_PRT</definedName>
    <definedName name="SCOPE_4_PRT">'[4]4'!$Z$27:$AC$31,'[4]4'!$F$14:$I$20,P1_SCOPE_4_PRT,P2_SCOPE_4_PRT</definedName>
    <definedName name="SCOPE_5_PRT" localSheetId="6">'[4]5'!$Z$27:$AC$31,'[4]5'!$F$14:$I$21,P1_SCOPE_5_PRT,P2_SCOPE_5_PRT</definedName>
    <definedName name="SCOPE_5_PRT" localSheetId="7">'[4]5'!$Z$27:$AC$31,'[4]5'!$F$14:$I$21,P1_SCOPE_5_PRT,P2_SCOPE_5_PRT</definedName>
    <definedName name="SCOPE_5_PRT" localSheetId="8">'[4]5'!$Z$27:$AC$31,'[4]5'!$F$14:$I$21,[0]!P1_SCOPE_5_PRT,[0]!P2_SCOPE_5_PRT</definedName>
    <definedName name="SCOPE_5_PRT" localSheetId="15">'[4]5'!$Z$27:$AC$31,'[4]5'!$F$14:$I$21,P1_SCOPE_5_PRT,P2_SCOPE_5_PRT</definedName>
    <definedName name="SCOPE_5_PRT" localSheetId="16">'[4]5'!$Z$27:$AC$31,'[4]5'!$F$14:$I$21,P1_SCOPE_5_PRT,P2_SCOPE_5_PRT</definedName>
    <definedName name="SCOPE_5_PRT" localSheetId="11">'[4]5'!$Z$27:$AC$31,'[4]5'!$F$14:$I$21,P1_SCOPE_5_PRT,P2_SCOPE_5_PRT</definedName>
    <definedName name="SCOPE_5_PRT" localSheetId="12">'[4]5'!$Z$27:$AC$31,'[4]5'!$F$14:$I$21,P1_SCOPE_5_PRT,P2_SCOPE_5_PRT</definedName>
    <definedName name="SCOPE_5_PRT" localSheetId="9">'[4]5'!$Z$27:$AC$31,'[4]5'!$F$14:$I$21,P1_SCOPE_5_PRT,P2_SCOPE_5_PRT</definedName>
    <definedName name="SCOPE_5_PRT" localSheetId="0">'[4]5'!$Z$27:$AC$31,'[4]5'!$F$14:$I$21,P1_SCOPE_5_PRT,P2_SCOPE_5_PRT</definedName>
    <definedName name="SCOPE_5_PRT" localSheetId="1">'[4]5'!$Z$27:$AC$31,'[4]5'!$F$14:$I$21,P1_SCOPE_5_PRT,P2_SCOPE_5_PRT</definedName>
    <definedName name="SCOPE_5_PRT" localSheetId="3">'[4]5'!$Z$27:$AC$31,'[4]5'!$F$14:$I$21,P1_SCOPE_5_PRT,P2_SCOPE_5_PRT</definedName>
    <definedName name="SCOPE_5_PRT" localSheetId="4">'[4]5'!$Z$27:$AC$31,'[4]5'!$F$14:$I$21,P1_SCOPE_5_PRT,P2_SCOPE_5_PRT</definedName>
    <definedName name="SCOPE_5_PRT" localSheetId="5">'[4]5'!$Z$27:$AC$31,'[4]5'!$F$14:$I$21,P1_SCOPE_5_PRT,P2_SCOPE_5_PRT</definedName>
    <definedName name="SCOPE_5_PRT" localSheetId="14">'[4]5'!$Z$27:$AC$31,'[4]5'!$F$14:$I$21,P1_SCOPE_5_PRT,P2_SCOPE_5_PRT</definedName>
    <definedName name="SCOPE_5_PRT" localSheetId="17">'[4]5'!$Z$27:$AC$31,'[4]5'!$F$14:$I$21,P1_SCOPE_5_PRT,P2_SCOPE_5_PRT</definedName>
    <definedName name="SCOPE_5_PRT" localSheetId="18">'[4]5'!$Z$27:$AC$31,'[4]5'!$F$14:$I$21,P1_SCOPE_5_PRT,P2_SCOPE_5_PRT</definedName>
    <definedName name="SCOPE_5_PRT" localSheetId="19">'[4]5'!$Z$27:$AC$31,'[4]5'!$F$14:$I$21,P1_SCOPE_5_PRT,P2_SCOPE_5_PRT</definedName>
    <definedName name="SCOPE_5_PRT">'[4]5'!$Z$27:$AC$31,'[4]5'!$F$14:$I$21,P1_SCOPE_5_PRT,P2_SCOPE_5_PRT</definedName>
    <definedName name="SCOPE_F1_PRT" localSheetId="6">'[4]Ф-1 (для АО-энерго)'!$D$86:$E$95,P1_SCOPE_F1_PRT,P2_SCOPE_F1_PRT,P3_SCOPE_F1_PRT,P4_SCOPE_F1_PRT</definedName>
    <definedName name="SCOPE_F1_PRT" localSheetId="7">'[4]Ф-1 (для АО-энерго)'!$D$86:$E$95,P1_SCOPE_F1_PRT,P2_SCOPE_F1_PRT,P3_SCOPE_F1_PRT,P4_SCOPE_F1_PRT</definedName>
    <definedName name="SCOPE_F1_PRT" localSheetId="8">'[4]Ф-1 (для АО-энерго)'!$D$86:$E$95,[0]!P1_SCOPE_F1_PRT,[0]!P2_SCOPE_F1_PRT,[0]!P3_SCOPE_F1_PRT,[0]!P4_SCOPE_F1_PRT</definedName>
    <definedName name="SCOPE_F1_PRT" localSheetId="15">'[4]Ф-1 (для АО-энерго)'!$D$86:$E$95,P1_SCOPE_F1_PRT,P2_SCOPE_F1_PRT,P3_SCOPE_F1_PRT,P4_SCOPE_F1_PRT</definedName>
    <definedName name="SCOPE_F1_PRT" localSheetId="16">'[4]Ф-1 (для АО-энерго)'!$D$86:$E$95,P1_SCOPE_F1_PRT,P2_SCOPE_F1_PRT,P3_SCOPE_F1_PRT,P4_SCOPE_F1_PRT</definedName>
    <definedName name="SCOPE_F1_PRT" localSheetId="11">'[4]Ф-1 (для АО-энерго)'!$D$86:$E$95,P1_SCOPE_F1_PRT,P2_SCOPE_F1_PRT,P3_SCOPE_F1_PRT,P4_SCOPE_F1_PRT</definedName>
    <definedName name="SCOPE_F1_PRT" localSheetId="12">'[4]Ф-1 (для АО-энерго)'!$D$86:$E$95,P1_SCOPE_F1_PRT,P2_SCOPE_F1_PRT,P3_SCOPE_F1_PRT,P4_SCOPE_F1_PRT</definedName>
    <definedName name="SCOPE_F1_PRT" localSheetId="9">'[4]Ф-1 (для АО-энерго)'!$D$86:$E$95,P1_SCOPE_F1_PRT,P2_SCOPE_F1_PRT,P3_SCOPE_F1_PRT,P4_SCOPE_F1_PRT</definedName>
    <definedName name="SCOPE_F1_PRT" localSheetId="0">'[4]Ф-1 (для АО-энерго)'!$D$86:$E$95,P1_SCOPE_F1_PRT,P2_SCOPE_F1_PRT,P3_SCOPE_F1_PRT,P4_SCOPE_F1_PRT</definedName>
    <definedName name="SCOPE_F1_PRT" localSheetId="1">'[4]Ф-1 (для АО-энерго)'!$D$86:$E$95,P1_SCOPE_F1_PRT,P2_SCOPE_F1_PRT,P3_SCOPE_F1_PRT,P4_SCOPE_F1_PRT</definedName>
    <definedName name="SCOPE_F1_PRT" localSheetId="3">'[4]Ф-1 (для АО-энерго)'!$D$86:$E$95,P1_SCOPE_F1_PRT,P2_SCOPE_F1_PRT,P3_SCOPE_F1_PRT,P4_SCOPE_F1_PRT</definedName>
    <definedName name="SCOPE_F1_PRT" localSheetId="4">'[4]Ф-1 (для АО-энерго)'!$D$86:$E$95,P1_SCOPE_F1_PRT,P2_SCOPE_F1_PRT,P3_SCOPE_F1_PRT,P4_SCOPE_F1_PRT</definedName>
    <definedName name="SCOPE_F1_PRT" localSheetId="5">'[4]Ф-1 (для АО-энерго)'!$D$86:$E$95,P1_SCOPE_F1_PRT,P2_SCOPE_F1_PRT,P3_SCOPE_F1_PRT,P4_SCOPE_F1_PRT</definedName>
    <definedName name="SCOPE_F1_PRT" localSheetId="14">'[4]Ф-1 (для АО-энерго)'!$D$86:$E$95,P1_SCOPE_F1_PRT,P2_SCOPE_F1_PRT,P3_SCOPE_F1_PRT,P4_SCOPE_F1_PRT</definedName>
    <definedName name="SCOPE_F1_PRT" localSheetId="17">'[4]Ф-1 (для АО-энерго)'!$D$86:$E$95,P1_SCOPE_F1_PRT,P2_SCOPE_F1_PRT,P3_SCOPE_F1_PRT,P4_SCOPE_F1_PRT</definedName>
    <definedName name="SCOPE_F1_PRT" localSheetId="18">'[4]Ф-1 (для АО-энерго)'!$D$86:$E$95,P1_SCOPE_F1_PRT,P2_SCOPE_F1_PRT,P3_SCOPE_F1_PRT,P4_SCOPE_F1_PRT</definedName>
    <definedName name="SCOPE_F1_PRT" localSheetId="19">'[4]Ф-1 (для АО-энерго)'!$D$86:$E$95,P1_SCOPE_F1_PRT,P2_SCOPE_F1_PRT,P3_SCOPE_F1_PRT,P4_SCOPE_F1_PRT</definedName>
    <definedName name="SCOPE_F1_PRT">'[4]Ф-1 (для АО-энерго)'!$D$86:$E$95,P1_SCOPE_F1_PRT,P2_SCOPE_F1_PRT,P3_SCOPE_F1_PRT,P4_SCOPE_F1_PRT</definedName>
    <definedName name="SCOPE_F2_PRT" localSheetId="6">'[4]Ф-2 (для АО-энерго)'!$C$5:$D$5,'[4]Ф-2 (для АО-энерго)'!$C$52:$C$57,'[4]Ф-2 (для АО-энерго)'!$D$57:$G$57,P1_SCOPE_F2_PRT,P2_SCOPE_F2_PRT</definedName>
    <definedName name="SCOPE_F2_PRT" localSheetId="7">'[4]Ф-2 (для АО-энерго)'!$C$5:$D$5,'[4]Ф-2 (для АО-энерго)'!$C$52:$C$57,'[4]Ф-2 (для АО-энерго)'!$D$57:$G$57,P1_SCOPE_F2_PRT,P2_SCOPE_F2_PRT</definedName>
    <definedName name="SCOPE_F2_PRT" localSheetId="8">'[4]Ф-2 (для АО-энерго)'!$C$5:$D$5,'[4]Ф-2 (для АО-энерго)'!$C$52:$C$57,'[4]Ф-2 (для АО-энерго)'!$D$57:$G$57,[0]!P1_SCOPE_F2_PRT,[0]!P2_SCOPE_F2_PRT</definedName>
    <definedName name="SCOPE_F2_PRT" localSheetId="15">'[4]Ф-2 (для АО-энерго)'!$C$5:$D$5,'[4]Ф-2 (для АО-энерго)'!$C$52:$C$57,'[4]Ф-2 (для АО-энерго)'!$D$57:$G$57,P1_SCOPE_F2_PRT,P2_SCOPE_F2_PRT</definedName>
    <definedName name="SCOPE_F2_PRT" localSheetId="16">'[4]Ф-2 (для АО-энерго)'!$C$5:$D$5,'[4]Ф-2 (для АО-энерго)'!$C$52:$C$57,'[4]Ф-2 (для АО-энерго)'!$D$57:$G$57,P1_SCOPE_F2_PRT,P2_SCOPE_F2_PRT</definedName>
    <definedName name="SCOPE_F2_PRT" localSheetId="11">'[4]Ф-2 (для АО-энерго)'!$C$5:$D$5,'[4]Ф-2 (для АО-энерго)'!$C$52:$C$57,'[4]Ф-2 (для АО-энерго)'!$D$57:$G$57,P1_SCOPE_F2_PRT,P2_SCOPE_F2_PRT</definedName>
    <definedName name="SCOPE_F2_PRT" localSheetId="12">'[4]Ф-2 (для АО-энерго)'!$C$5:$D$5,'[4]Ф-2 (для АО-энерго)'!$C$52:$C$57,'[4]Ф-2 (для АО-энерго)'!$D$57:$G$57,P1_SCOPE_F2_PRT,P2_SCOPE_F2_PRT</definedName>
    <definedName name="SCOPE_F2_PRT" localSheetId="9">'[4]Ф-2 (для АО-энерго)'!$C$5:$D$5,'[4]Ф-2 (для АО-энерго)'!$C$52:$C$57,'[4]Ф-2 (для АО-энерго)'!$D$57:$G$57,P1_SCOPE_F2_PRT,P2_SCOPE_F2_PRT</definedName>
    <definedName name="SCOPE_F2_PRT" localSheetId="0">'[4]Ф-2 (для АО-энерго)'!$C$5:$D$5,'[4]Ф-2 (для АО-энерго)'!$C$52:$C$57,'[4]Ф-2 (для АО-энерго)'!$D$57:$G$57,P1_SCOPE_F2_PRT,P2_SCOPE_F2_PRT</definedName>
    <definedName name="SCOPE_F2_PRT" localSheetId="1">'[4]Ф-2 (для АО-энерго)'!$C$5:$D$5,'[4]Ф-2 (для АО-энерго)'!$C$52:$C$57,'[4]Ф-2 (для АО-энерго)'!$D$57:$G$57,P1_SCOPE_F2_PRT,P2_SCOPE_F2_PRT</definedName>
    <definedName name="SCOPE_F2_PRT" localSheetId="3">'[4]Ф-2 (для АО-энерго)'!$C$5:$D$5,'[4]Ф-2 (для АО-энерго)'!$C$52:$C$57,'[4]Ф-2 (для АО-энерго)'!$D$57:$G$57,P1_SCOPE_F2_PRT,P2_SCOPE_F2_PRT</definedName>
    <definedName name="SCOPE_F2_PRT" localSheetId="4">'[4]Ф-2 (для АО-энерго)'!$C$5:$D$5,'[4]Ф-2 (для АО-энерго)'!$C$52:$C$57,'[4]Ф-2 (для АО-энерго)'!$D$57:$G$57,P1_SCOPE_F2_PRT,P2_SCOPE_F2_PRT</definedName>
    <definedName name="SCOPE_F2_PRT" localSheetId="5">'[4]Ф-2 (для АО-энерго)'!$C$5:$D$5,'[4]Ф-2 (для АО-энерго)'!$C$52:$C$57,'[4]Ф-2 (для АО-энерго)'!$D$57:$G$57,P1_SCOPE_F2_PRT,P2_SCOPE_F2_PRT</definedName>
    <definedName name="SCOPE_F2_PRT" localSheetId="14">'[4]Ф-2 (для АО-энерго)'!$C$5:$D$5,'[4]Ф-2 (для АО-энерго)'!$C$52:$C$57,'[4]Ф-2 (для АО-энерго)'!$D$57:$G$57,P1_SCOPE_F2_PRT,P2_SCOPE_F2_PRT</definedName>
    <definedName name="SCOPE_F2_PRT" localSheetId="17">'[4]Ф-2 (для АО-энерго)'!$C$5:$D$5,'[4]Ф-2 (для АО-энерго)'!$C$52:$C$57,'[4]Ф-2 (для АО-энерго)'!$D$57:$G$57,P1_SCOPE_F2_PRT,P2_SCOPE_F2_PRT</definedName>
    <definedName name="SCOPE_F2_PRT" localSheetId="18">'[4]Ф-2 (для АО-энерго)'!$C$5:$D$5,'[4]Ф-2 (для АО-энерго)'!$C$52:$C$57,'[4]Ф-2 (для АО-энерго)'!$D$57:$G$57,P1_SCOPE_F2_PRT,P2_SCOPE_F2_PRT</definedName>
    <definedName name="SCOPE_F2_PRT" localSheetId="19">'[4]Ф-2 (для АО-энерго)'!$C$5:$D$5,'[4]Ф-2 (для АО-энерго)'!$C$52:$C$57,'[4]Ф-2 (для АО-энерго)'!$D$57:$G$57,P1_SCOPE_F2_PRT,P2_SCOPE_F2_PRT</definedName>
    <definedName name="SCOPE_F2_PRT">'[4]Ф-2 (для АО-энерго)'!$C$5:$D$5,'[4]Ф-2 (для АО-энерго)'!$C$52:$C$57,'[4]Ф-2 (для АО-энерго)'!$D$57:$G$57,P1_SCOPE_F2_PRT,P2_SCOPE_F2_PRT</definedName>
    <definedName name="SCOPE_PER_PRT" localSheetId="6">P5_SCOPE_PER_PRT,P6_SCOPE_PER_PRT,P7_SCOPE_PER_PRT,' (стр.15)'!P8_SCOPE_PER_PRT</definedName>
    <definedName name="SCOPE_PER_PRT" localSheetId="7">P5_SCOPE_PER_PRT,P6_SCOPE_PER_PRT,P7_SCOPE_PER_PRT,'(стр.16)'!P8_SCOPE_PER_PRT</definedName>
    <definedName name="SCOPE_PER_PRT" localSheetId="8">[0]!P5_SCOPE_PER_PRT,[0]!P6_SCOPE_PER_PRT,[0]!P7_SCOPE_PER_PRT,'(Стр.17)'!P8_SCOPE_PER_PRT</definedName>
    <definedName name="SCOPE_PER_PRT" localSheetId="15">P5_SCOPE_PER_PRT,P6_SCOPE_PER_PRT,P7_SCOPE_PER_PRT,'C1 2016'!P8_SCOPE_PER_PRT</definedName>
    <definedName name="SCOPE_PER_PRT" localSheetId="16">P5_SCOPE_PER_PRT,P6_SCOPE_PER_PRT,P7_SCOPE_PER_PRT,'C1 2017'!P8_SCOPE_PER_PRT</definedName>
    <definedName name="SCOPE_PER_PRT" localSheetId="11">P5_SCOPE_PER_PRT,P6_SCOPE_PER_PRT,P7_SCOPE_PER_PRT,'Выручка, УО_ 2015'!P8_SCOPE_PER_PRT</definedName>
    <definedName name="SCOPE_PER_PRT" localSheetId="12">P5_SCOPE_PER_PRT,P6_SCOPE_PER_PRT,P7_SCOPE_PER_PRT,'Выручка, УО_ 2016'!P8_SCOPE_PER_PRT</definedName>
    <definedName name="SCOPE_PER_PRT" localSheetId="9">P5_SCOPE_PER_PRT,P6_SCOPE_PER_PRT,P7_SCOPE_PER_PRT,'Затр.2015-2017, 6мес 2018 '!P8_SCOPE_PER_PRT</definedName>
    <definedName name="SCOPE_PER_PRT" localSheetId="0">P5_SCOPE_PER_PRT,P6_SCOPE_PER_PRT,P7_SCOPE_PER_PRT,'НВВ ТБР'!P8_SCOPE_PER_PRT</definedName>
    <definedName name="SCOPE_PER_PRT" localSheetId="1">P5_SCOPE_PER_PRT,P6_SCOPE_PER_PRT,P7_SCOPE_PER_PRT,'Приложение 1'!P8_SCOPE_PER_PRT</definedName>
    <definedName name="SCOPE_PER_PRT" localSheetId="3">P5_SCOPE_PER_PRT,P6_SCOPE_PER_PRT,P7_SCOPE_PER_PRT,'Приложение 2'!P8_SCOPE_PER_PRT</definedName>
    <definedName name="SCOPE_PER_PRT" localSheetId="4">P5_SCOPE_PER_PRT,P6_SCOPE_PER_PRT,P7_SCOPE_PER_PRT,'Приложение 3'!P8_SCOPE_PER_PRT</definedName>
    <definedName name="SCOPE_PER_PRT" localSheetId="5">P5_SCOPE_PER_PRT,P6_SCOPE_PER_PRT,P7_SCOPE_PER_PRT,'Приложение 5'!P8_SCOPE_PER_PRT</definedName>
    <definedName name="SCOPE_PER_PRT" localSheetId="14">P5_SCOPE_PER_PRT,P6_SCOPE_PER_PRT,P7_SCOPE_PER_PRT,'С1 2015'!P8_SCOPE_PER_PRT</definedName>
    <definedName name="SCOPE_PER_PRT" localSheetId="17">P5_SCOPE_PER_PRT,P6_SCOPE_PER_PRT,P7_SCOPE_PER_PRT,'СС 2015'!P8_SCOPE_PER_PRT</definedName>
    <definedName name="SCOPE_PER_PRT" localSheetId="18">P5_SCOPE_PER_PRT,P6_SCOPE_PER_PRT,P7_SCOPE_PER_PRT,'СС 2016'!P8_SCOPE_PER_PRT</definedName>
    <definedName name="SCOPE_PER_PRT" localSheetId="19">P5_SCOPE_PER_PRT,P6_SCOPE_PER_PRT,P7_SCOPE_PER_PRT,'СС2017 '!P8_SCOPE_PER_PRT</definedName>
    <definedName name="SCOPE_PER_PRT">P5_SCOPE_PER_PRT,P6_SCOPE_PER_PRT,P7_SCOPE_PER_PRT,P8_SCOPE_PER_PRT</definedName>
    <definedName name="SCOPE_SPR_PRT">[4]Справочники!$D$21:$J$22,[4]Справочники!$E$13:$I$14,[4]Справочники!$F$27:$H$28</definedName>
    <definedName name="SCOPE_SV_LD1" localSheetId="6">[4]свод!$E$104:$M$104,[4]свод!$E$106:$M$117,[4]свод!$E$120:$M$121,[4]свод!$E$123:$M$127,[4]свод!$E$10:$M$68,P1_SCOPE_SV_LD1</definedName>
    <definedName name="SCOPE_SV_LD1" localSheetId="7">[4]свод!$E$104:$M$104,[4]свод!$E$106:$M$117,[4]свод!$E$120:$M$121,[4]свод!$E$123:$M$127,[4]свод!$E$10:$M$68,P1_SCOPE_SV_LD1</definedName>
    <definedName name="SCOPE_SV_LD1" localSheetId="8">[4]свод!$E$104:$M$104,[4]свод!$E$106:$M$117,[4]свод!$E$120:$M$121,[4]свод!$E$123:$M$127,[4]свод!$E$10:$M$68,[0]!P1_SCOPE_SV_LD1</definedName>
    <definedName name="SCOPE_SV_LD1" localSheetId="15">[4]свод!$E$104:$M$104,[4]свод!$E$106:$M$117,[4]свод!$E$120:$M$121,[4]свод!$E$123:$M$127,[4]свод!$E$10:$M$68,P1_SCOPE_SV_LD1</definedName>
    <definedName name="SCOPE_SV_LD1" localSheetId="16">[4]свод!$E$104:$M$104,[4]свод!$E$106:$M$117,[4]свод!$E$120:$M$121,[4]свод!$E$123:$M$127,[4]свод!$E$10:$M$68,P1_SCOPE_SV_LD1</definedName>
    <definedName name="SCOPE_SV_LD1" localSheetId="11">[4]свод!$E$104:$M$104,[4]свод!$E$106:$M$117,[4]свод!$E$120:$M$121,[4]свод!$E$123:$M$127,[4]свод!$E$10:$M$68,P1_SCOPE_SV_LD1</definedName>
    <definedName name="SCOPE_SV_LD1" localSheetId="12">[4]свод!$E$104:$M$104,[4]свод!$E$106:$M$117,[4]свод!$E$120:$M$121,[4]свод!$E$123:$M$127,[4]свод!$E$10:$M$68,P1_SCOPE_SV_LD1</definedName>
    <definedName name="SCOPE_SV_LD1" localSheetId="9">[4]свод!$E$104:$M$104,[4]свод!$E$106:$M$117,[4]свод!$E$120:$M$121,[4]свод!$E$123:$M$127,[4]свод!$E$10:$M$68,P1_SCOPE_SV_LD1</definedName>
    <definedName name="SCOPE_SV_LD1" localSheetId="0">[4]свод!$E$104:$M$104,[4]свод!$E$106:$M$117,[4]свод!$E$120:$M$121,[4]свод!$E$123:$M$127,[4]свод!$E$10:$M$68,P1_SCOPE_SV_LD1</definedName>
    <definedName name="SCOPE_SV_LD1" localSheetId="1">[4]свод!$E$104:$M$104,[4]свод!$E$106:$M$117,[4]свод!$E$120:$M$121,[4]свод!$E$123:$M$127,[4]свод!$E$10:$M$68,P1_SCOPE_SV_LD1</definedName>
    <definedName name="SCOPE_SV_LD1" localSheetId="3">[4]свод!$E$104:$M$104,[4]свод!$E$106:$M$117,[4]свод!$E$120:$M$121,[4]свод!$E$123:$M$127,[4]свод!$E$10:$M$68,P1_SCOPE_SV_LD1</definedName>
    <definedName name="SCOPE_SV_LD1" localSheetId="4">[4]свод!$E$104:$M$104,[4]свод!$E$106:$M$117,[4]свод!$E$120:$M$121,[4]свод!$E$123:$M$127,[4]свод!$E$10:$M$68,P1_SCOPE_SV_LD1</definedName>
    <definedName name="SCOPE_SV_LD1" localSheetId="5">[4]свод!$E$104:$M$104,[4]свод!$E$106:$M$117,[4]свод!$E$120:$M$121,[4]свод!$E$123:$M$127,[4]свод!$E$10:$M$68,P1_SCOPE_SV_LD1</definedName>
    <definedName name="SCOPE_SV_LD1" localSheetId="14">[4]свод!$E$104:$M$104,[4]свод!$E$106:$M$117,[4]свод!$E$120:$M$121,[4]свод!$E$123:$M$127,[4]свод!$E$10:$M$68,P1_SCOPE_SV_LD1</definedName>
    <definedName name="SCOPE_SV_LD1" localSheetId="17">[4]свод!$E$104:$M$104,[4]свод!$E$106:$M$117,[4]свод!$E$120:$M$121,[4]свод!$E$123:$M$127,[4]свод!$E$10:$M$68,P1_SCOPE_SV_LD1</definedName>
    <definedName name="SCOPE_SV_LD1" localSheetId="18">[4]свод!$E$104:$M$104,[4]свод!$E$106:$M$117,[4]свод!$E$120:$M$121,[4]свод!$E$123:$M$127,[4]свод!$E$10:$M$68,P1_SCOPE_SV_LD1</definedName>
    <definedName name="SCOPE_SV_LD1" localSheetId="19">[4]свод!$E$104:$M$104,[4]свод!$E$106:$M$117,[4]свод!$E$120:$M$121,[4]свод!$E$123:$M$127,[4]свод!$E$10:$M$68,P1_SCOPE_SV_LD1</definedName>
    <definedName name="SCOPE_SV_LD1">[4]свод!$E$104:$M$104,[4]свод!$E$106:$M$117,[4]свод!$E$120:$M$121,[4]свод!$E$123:$M$127,[4]свод!$E$10:$M$68,P1_SCOPE_SV_LD1</definedName>
    <definedName name="SCOPE_SV_PRT" localSheetId="6">P1_SCOPE_SV_PRT,P2_SCOPE_SV_PRT,P3_SCOPE_SV_PRT</definedName>
    <definedName name="SCOPE_SV_PRT" localSheetId="7">P1_SCOPE_SV_PRT,P2_SCOPE_SV_PRT,P3_SCOPE_SV_PRT</definedName>
    <definedName name="SCOPE_SV_PRT" localSheetId="8">[0]!P1_SCOPE_SV_PRT,[0]!P2_SCOPE_SV_PRT,[0]!P3_SCOPE_SV_PRT</definedName>
    <definedName name="SCOPE_SV_PRT" localSheetId="15">P1_SCOPE_SV_PRT,P2_SCOPE_SV_PRT,P3_SCOPE_SV_PRT</definedName>
    <definedName name="SCOPE_SV_PRT" localSheetId="16">P1_SCOPE_SV_PRT,P2_SCOPE_SV_PRT,P3_SCOPE_SV_PRT</definedName>
    <definedName name="SCOPE_SV_PRT" localSheetId="11">P1_SCOPE_SV_PRT,P2_SCOPE_SV_PRT,P3_SCOPE_SV_PRT</definedName>
    <definedName name="SCOPE_SV_PRT" localSheetId="12">P1_SCOPE_SV_PRT,P2_SCOPE_SV_PRT,P3_SCOPE_SV_PRT</definedName>
    <definedName name="SCOPE_SV_PRT" localSheetId="9">P1_SCOPE_SV_PRT,P2_SCOPE_SV_PRT,P3_SCOPE_SV_PRT</definedName>
    <definedName name="SCOPE_SV_PRT" localSheetId="0">P1_SCOPE_SV_PRT,P2_SCOPE_SV_PRT,P3_SCOPE_SV_PRT</definedName>
    <definedName name="SCOPE_SV_PRT" localSheetId="1">P1_SCOPE_SV_PRT,P2_SCOPE_SV_PRT,P3_SCOPE_SV_PRT</definedName>
    <definedName name="SCOPE_SV_PRT" localSheetId="3">P1_SCOPE_SV_PRT,P2_SCOPE_SV_PRT,P3_SCOPE_SV_PRT</definedName>
    <definedName name="SCOPE_SV_PRT" localSheetId="4">P1_SCOPE_SV_PRT,P2_SCOPE_SV_PRT,P3_SCOPE_SV_PRT</definedName>
    <definedName name="SCOPE_SV_PRT" localSheetId="5">P1_SCOPE_SV_PRT,P2_SCOPE_SV_PRT,P3_SCOPE_SV_PRT</definedName>
    <definedName name="SCOPE_SV_PRT" localSheetId="14">P1_SCOPE_SV_PRT,P2_SCOPE_SV_PRT,P3_SCOPE_SV_PRT</definedName>
    <definedName name="SCOPE_SV_PRT" localSheetId="17">P1_SCOPE_SV_PRT,P2_SCOPE_SV_PRT,P3_SCOPE_SV_PRT</definedName>
    <definedName name="SCOPE_SV_PRT" localSheetId="18">P1_SCOPE_SV_PRT,P2_SCOPE_SV_PRT,P3_SCOPE_SV_PRT</definedName>
    <definedName name="SCOPE_SV_PRT" localSheetId="19">P1_SCOPE_SV_PRT,P2_SCOPE_SV_PRT,P3_SCOPE_SV_PRT</definedName>
    <definedName name="SCOPE_SV_PRT">P1_SCOPE_SV_PRT,P2_SCOPE_SV_PRT,P3_SCOPE_SV_PRT</definedName>
    <definedName name="Sheet2?prefix?">"H"</definedName>
    <definedName name="T1?Columns">[1]перекрестка!$A$7:$O$7</definedName>
    <definedName name="T1?Scope">[1]перекрестка!$F$8:$O$163</definedName>
    <definedName name="T1_Protect" localSheetId="6">P15_T1_Protect,P16_T1_Protect,P17_T1_Protect,' (стр.15)'!P18_T1_Protect,' (стр.15)'!P19_T1_Protect</definedName>
    <definedName name="T1_Protect" localSheetId="7">P15_T1_Protect,P16_T1_Protect,P17_T1_Protect,'(стр.16)'!P18_T1_Protect,'(стр.16)'!P19_T1_Protect</definedName>
    <definedName name="T1_Protect" localSheetId="8">[0]!P15_T1_Protect,[0]!P16_T1_Protect,[0]!P17_T1_Protect,'(Стр.17)'!P18_T1_Protect,'(Стр.17)'!P19_T1_Protect</definedName>
    <definedName name="T1_Protect" localSheetId="15">P15_T1_Protect,P16_T1_Protect,P17_T1_Protect,'C1 2016'!P18_T1_Protect,'C1 2016'!P19_T1_Protect</definedName>
    <definedName name="T1_Protect" localSheetId="16">P15_T1_Protect,P16_T1_Protect,P17_T1_Protect,'C1 2017'!P18_T1_Protect,'C1 2017'!P19_T1_Protect</definedName>
    <definedName name="T1_Protect" localSheetId="11">P15_T1_Protect,P16_T1_Protect,P17_T1_Protect,'Выручка, УО_ 2015'!P18_T1_Protect,'Выручка, УО_ 2015'!P19_T1_Protect</definedName>
    <definedName name="T1_Protect" localSheetId="12">P15_T1_Protect,P16_T1_Protect,P17_T1_Protect,'Выручка, УО_ 2016'!P18_T1_Protect,'Выручка, УО_ 2016'!P19_T1_Protect</definedName>
    <definedName name="T1_Protect" localSheetId="9">P15_T1_Protect,P16_T1_Protect,P17_T1_Protect,'Затр.2015-2017, 6мес 2018 '!P18_T1_Protect,'Затр.2015-2017, 6мес 2018 '!P19_T1_Protect</definedName>
    <definedName name="T1_Protect" localSheetId="0">P15_T1_Protect,P16_T1_Protect,P17_T1_Protect,'НВВ ТБР'!P18_T1_Protect,'НВВ ТБР'!P19_T1_Protect</definedName>
    <definedName name="T1_Protect" localSheetId="1">P15_T1_Protect,P16_T1_Protect,P17_T1_Protect,'Приложение 1'!P18_T1_Protect,'Приложение 1'!P19_T1_Protect</definedName>
    <definedName name="T1_Protect" localSheetId="3">P15_T1_Protect,P16_T1_Protect,P17_T1_Protect,'Приложение 2'!P18_T1_Protect,'Приложение 2'!P19_T1_Protect</definedName>
    <definedName name="T1_Protect" localSheetId="4">P15_T1_Protect,P16_T1_Protect,P17_T1_Protect,'Приложение 3'!P18_T1_Protect,'Приложение 3'!P19_T1_Protect</definedName>
    <definedName name="T1_Protect" localSheetId="5">P15_T1_Protect,P16_T1_Protect,P17_T1_Protect,'Приложение 5'!P18_T1_Protect,'Приложение 5'!P19_T1_Protect</definedName>
    <definedName name="T1_Protect" localSheetId="14">P15_T1_Protect,P16_T1_Protect,P17_T1_Protect,'С1 2015'!P18_T1_Protect,'С1 2015'!P19_T1_Protect</definedName>
    <definedName name="T1_Protect" localSheetId="17">P15_T1_Protect,P16_T1_Protect,P17_T1_Protect,'СС 2015'!P18_T1_Protect,'СС 2015'!P19_T1_Protect</definedName>
    <definedName name="T1_Protect" localSheetId="18">P15_T1_Protect,P16_T1_Protect,P17_T1_Protect,'СС 2016'!P18_T1_Protect,'СС 2016'!P19_T1_Protect</definedName>
    <definedName name="T1_Protect" localSheetId="19">P15_T1_Protect,P16_T1_Protect,P17_T1_Protect,'СС2017 '!P18_T1_Protect,'СС2017 '!P19_T1_Protect</definedName>
    <definedName name="T1_Protect">P15_T1_Protect,P16_T1_Protect,P17_T1_Protect,P18_T1_Protect,P19_T1_Protect</definedName>
    <definedName name="T11?Data">#N/A</definedName>
    <definedName name="T15?Columns">'[1]15'!$E$8:$I$8</definedName>
    <definedName name="T15?ItemComments">'[1]15'!$D$9:$D$75</definedName>
    <definedName name="T15?Items">'[1]15'!$C$9:$C$75</definedName>
    <definedName name="T15?Scope">'[1]15'!$E$9:$I$75</definedName>
    <definedName name="T15?ВРАС">'[1]15'!$B$36:$B$60</definedName>
    <definedName name="T15_Protect">'[6]15'!$E$25:$I$29,'[6]15'!$E$31:$I$34,'[6]15'!$E$36:$I$60,'[6]15'!$E$64:$I$65,'[6]15'!$E$9:$I$17,'[6]15'!$B$36:$B$60,'[6]15'!$E$19:$I$21</definedName>
    <definedName name="T16?Columns">'[1]16'!$G$6:$K$6</definedName>
    <definedName name="T16?ItemComments">'[1]16'!$F$7:$F$47</definedName>
    <definedName name="T16?Items">'[1]16'!$D$7:$D$47</definedName>
    <definedName name="T16?Scope">'[1]16'!$G$7:$K$47</definedName>
    <definedName name="T16?Units">'[1]16'!$E$7:$E$47</definedName>
    <definedName name="T16_Protect" localSheetId="6">'[6]16'!$G$44:$K$44,'[6]16'!$G$7:$K$8,P1_T16_Protect</definedName>
    <definedName name="T16_Protect" localSheetId="7">'[6]16'!$G$44:$K$44,'[6]16'!$G$7:$K$8,P1_T16_Protect</definedName>
    <definedName name="T16_Protect" localSheetId="8">'[6]16'!$G$44:$K$44,'[6]16'!$G$7:$K$8,[0]!P1_T16_Protect</definedName>
    <definedName name="T16_Protect" localSheetId="15">'[6]16'!$G$44:$K$44,'[6]16'!$G$7:$K$8,P1_T16_Protect</definedName>
    <definedName name="T16_Protect" localSheetId="16">'[6]16'!$G$44:$K$44,'[6]16'!$G$7:$K$8,P1_T16_Protect</definedName>
    <definedName name="T16_Protect" localSheetId="11">'[6]16'!$G$44:$K$44,'[6]16'!$G$7:$K$8,P1_T16_Protect</definedName>
    <definedName name="T16_Protect" localSheetId="12">'[6]16'!$G$44:$K$44,'[6]16'!$G$7:$K$8,P1_T16_Protect</definedName>
    <definedName name="T16_Protect" localSheetId="9">'[6]16'!$G$44:$K$44,'[6]16'!$G$7:$K$8,P1_T16_Protect</definedName>
    <definedName name="T16_Protect" localSheetId="0">'[6]16'!$G$44:$K$44,'[6]16'!$G$7:$K$8,P1_T16_Protect</definedName>
    <definedName name="T16_Protect" localSheetId="1">'[6]16'!$G$44:$K$44,'[6]16'!$G$7:$K$8,P1_T16_Protect</definedName>
    <definedName name="T16_Protect" localSheetId="3">'[6]16'!$G$44:$K$44,'[6]16'!$G$7:$K$8,P1_T16_Protect</definedName>
    <definedName name="T16_Protect" localSheetId="4">'[6]16'!$G$44:$K$44,'[6]16'!$G$7:$K$8,P1_T16_Protect</definedName>
    <definedName name="T16_Protect" localSheetId="5">'[6]16'!$G$44:$K$44,'[6]16'!$G$7:$K$8,P1_T16_Protect</definedName>
    <definedName name="T16_Protect" localSheetId="14">'[6]16'!$G$44:$K$44,'[6]16'!$G$7:$K$8,P1_T16_Protect</definedName>
    <definedName name="T16_Protect" localSheetId="17">'[6]16'!$G$44:$K$44,'[6]16'!$G$7:$K$8,P1_T16_Protect</definedName>
    <definedName name="T16_Protect" localSheetId="18">'[6]16'!$G$44:$K$44,'[6]16'!$G$7:$K$8,P1_T16_Protect</definedName>
    <definedName name="T16_Protect" localSheetId="19">'[6]16'!$G$44:$K$44,'[6]16'!$G$7:$K$8,P1_T16_Protect</definedName>
    <definedName name="T16_Protect">'[6]16'!$G$44:$K$44,'[6]16'!$G$7:$K$8,P1_T16_Protect</definedName>
    <definedName name="T17.1?Equipment">'[1]17.1'!$B$7:$B$27</definedName>
    <definedName name="T17.1?ItemComments">'[1]17.1'!$D$4:$I$4</definedName>
    <definedName name="T17.1?Items">'[1]17.1'!$D$5:$I$5</definedName>
    <definedName name="T17.1?Scope">'[1]17.1'!$D$7:$I$27</definedName>
    <definedName name="T17.1_Protect">'[6]17.1'!$D$14:$F$17,'[6]17.1'!$D$19:$F$22,'[6]17.1'!$I$9:$I$12,'[6]17.1'!$I$14:$I$17,'[6]17.1'!$I$19:$I$22,'[6]17.1'!$D$9:$F$12</definedName>
    <definedName name="T17?Columns">'[1]17'!$D$6:$H$6</definedName>
    <definedName name="T17?ItemComments">'[1]17'!$B$7:$B$12</definedName>
    <definedName name="T17?Items">'[1]17'!$C$7:$C$12</definedName>
    <definedName name="T17?L7">'[2]29'!$L$60,'[2]29'!$O$60,'[2]29'!$F$60,'[2]29'!$I$60</definedName>
    <definedName name="T17?Scope">'[1]17'!$D$7:$H$12</definedName>
    <definedName name="T17?unit?ГКАЛЧ">'[2]29'!$M$26:$M$33,'[2]29'!$P$26:$P$33,'[2]29'!$G$52:$G$59,'[2]29'!$J$52:$J$59,'[2]29'!$M$52:$M$59,'[2]29'!$P$52:$P$59,'[2]29'!$G$26:$G$33,'[2]29'!$J$26:$J$33</definedName>
    <definedName name="T17?unit?РУБ.ГКАЛ" localSheetId="6">'[2]29'!$O$18:$O$25,P1_T17?unit?РУБ.ГКАЛ,P2_T17?unit?РУБ.ГКАЛ</definedName>
    <definedName name="T17?unit?РУБ.ГКАЛ" localSheetId="7">'[2]29'!$O$18:$O$25,P1_T17?unit?РУБ.ГКАЛ,P2_T17?unit?РУБ.ГКАЛ</definedName>
    <definedName name="T17?unit?РУБ.ГКАЛ" localSheetId="8">'[2]29'!$O$18:$O$25,[0]!P1_T17?unit?РУБ.ГКАЛ,[0]!P2_T17?unit?РУБ.ГКАЛ</definedName>
    <definedName name="T17?unit?РУБ.ГКАЛ" localSheetId="15">'[2]29'!$O$18:$O$25,P1_T17?unit?РУБ.ГКАЛ,P2_T17?unit?РУБ.ГКАЛ</definedName>
    <definedName name="T17?unit?РУБ.ГКАЛ" localSheetId="16">'[2]29'!$O$18:$O$25,P1_T17?unit?РУБ.ГКАЛ,P2_T17?unit?РУБ.ГКАЛ</definedName>
    <definedName name="T17?unit?РУБ.ГКАЛ" localSheetId="11">'[2]29'!$O$18:$O$25,P1_T17?unit?РУБ.ГКАЛ,P2_T17?unit?РУБ.ГКАЛ</definedName>
    <definedName name="T17?unit?РУБ.ГКАЛ" localSheetId="12">'[2]29'!$O$18:$O$25,P1_T17?unit?РУБ.ГКАЛ,P2_T17?unit?РУБ.ГКАЛ</definedName>
    <definedName name="T17?unit?РУБ.ГКАЛ" localSheetId="9">'[2]29'!$O$18:$O$25,P1_T17?unit?РУБ.ГКАЛ,P2_T17?unit?РУБ.ГКАЛ</definedName>
    <definedName name="T17?unit?РУБ.ГКАЛ" localSheetId="0">'[2]29'!$O$18:$O$25,P1_T17?unit?РУБ.ГКАЛ,P2_T17?unit?РУБ.ГКАЛ</definedName>
    <definedName name="T17?unit?РУБ.ГКАЛ" localSheetId="1">'[2]29'!$O$18:$O$25,P1_T17?unit?РУБ.ГКАЛ,P2_T17?unit?РУБ.ГКАЛ</definedName>
    <definedName name="T17?unit?РУБ.ГКАЛ" localSheetId="3">'[2]29'!$O$18:$O$25,P1_T17?unit?РУБ.ГКАЛ,P2_T17?unit?РУБ.ГКАЛ</definedName>
    <definedName name="T17?unit?РУБ.ГКАЛ" localSheetId="4">'[2]29'!$O$18:$O$25,P1_T17?unit?РУБ.ГКАЛ,P2_T17?unit?РУБ.ГКАЛ</definedName>
    <definedName name="T17?unit?РУБ.ГКАЛ" localSheetId="5">'[2]29'!$O$18:$O$25,P1_T17?unit?РУБ.ГКАЛ,P2_T17?unit?РУБ.ГКАЛ</definedName>
    <definedName name="T17?unit?РУБ.ГКАЛ" localSheetId="14">'[2]29'!$O$18:$O$25,P1_T17?unit?РУБ.ГКАЛ,P2_T17?unit?РУБ.ГКАЛ</definedName>
    <definedName name="T17?unit?РУБ.ГКАЛ" localSheetId="17">'[2]29'!$O$18:$O$25,P1_T17?unit?РУБ.ГКАЛ,P2_T17?unit?РУБ.ГКАЛ</definedName>
    <definedName name="T17?unit?РУБ.ГКАЛ" localSheetId="18">'[2]29'!$O$18:$O$25,P1_T17?unit?РУБ.ГКАЛ,P2_T17?unit?РУБ.ГКАЛ</definedName>
    <definedName name="T17?unit?РУБ.ГКАЛ" localSheetId="19">'[2]29'!$O$18:$O$25,P1_T17?unit?РУБ.ГКАЛ,P2_T17?unit?РУБ.ГКАЛ</definedName>
    <definedName name="T17?unit?РУБ.ГКАЛ">'[2]29'!$O$18:$O$25,P1_T17?unit?РУБ.ГКАЛ,P2_T17?unit?РУБ.ГКАЛ</definedName>
    <definedName name="T17?unit?ТГКАЛ" localSheetId="6">'[2]29'!$P$18:$P$25,P1_T17?unit?ТГКАЛ,P2_T17?unit?ТГКАЛ</definedName>
    <definedName name="T17?unit?ТГКАЛ" localSheetId="7">'[2]29'!$P$18:$P$25,P1_T17?unit?ТГКАЛ,P2_T17?unit?ТГКАЛ</definedName>
    <definedName name="T17?unit?ТГКАЛ" localSheetId="8">'[2]29'!$P$18:$P$25,[0]!P1_T17?unit?ТГКАЛ,[0]!P2_T17?unit?ТГКАЛ</definedName>
    <definedName name="T17?unit?ТГКАЛ" localSheetId="15">'[2]29'!$P$18:$P$25,P1_T17?unit?ТГКАЛ,P2_T17?unit?ТГКАЛ</definedName>
    <definedName name="T17?unit?ТГКАЛ" localSheetId="16">'[2]29'!$P$18:$P$25,P1_T17?unit?ТГКАЛ,P2_T17?unit?ТГКАЛ</definedName>
    <definedName name="T17?unit?ТГКАЛ" localSheetId="11">'[2]29'!$P$18:$P$25,P1_T17?unit?ТГКАЛ,P2_T17?unit?ТГКАЛ</definedName>
    <definedName name="T17?unit?ТГКАЛ" localSheetId="12">'[2]29'!$P$18:$P$25,P1_T17?unit?ТГКАЛ,P2_T17?unit?ТГКАЛ</definedName>
    <definedName name="T17?unit?ТГКАЛ" localSheetId="9">'[2]29'!$P$18:$P$25,P1_T17?unit?ТГКАЛ,P2_T17?unit?ТГКАЛ</definedName>
    <definedName name="T17?unit?ТГКАЛ" localSheetId="0">'[2]29'!$P$18:$P$25,P1_T17?unit?ТГКАЛ,P2_T17?unit?ТГКАЛ</definedName>
    <definedName name="T17?unit?ТГКАЛ" localSheetId="1">'[2]29'!$P$18:$P$25,P1_T17?unit?ТГКАЛ,P2_T17?unit?ТГКАЛ</definedName>
    <definedName name="T17?unit?ТГКАЛ" localSheetId="3">'[2]29'!$P$18:$P$25,P1_T17?unit?ТГКАЛ,P2_T17?unit?ТГКАЛ</definedName>
    <definedName name="T17?unit?ТГКАЛ" localSheetId="4">'[2]29'!$P$18:$P$25,P1_T17?unit?ТГКАЛ,P2_T17?unit?ТГКАЛ</definedName>
    <definedName name="T17?unit?ТГКАЛ" localSheetId="5">'[2]29'!$P$18:$P$25,P1_T17?unit?ТГКАЛ,P2_T17?unit?ТГКАЛ</definedName>
    <definedName name="T17?unit?ТГКАЛ" localSheetId="14">'[2]29'!$P$18:$P$25,P1_T17?unit?ТГКАЛ,P2_T17?unit?ТГКАЛ</definedName>
    <definedName name="T17?unit?ТГКАЛ" localSheetId="17">'[2]29'!$P$18:$P$25,P1_T17?unit?ТГКАЛ,P2_T17?unit?ТГКАЛ</definedName>
    <definedName name="T17?unit?ТГКАЛ" localSheetId="18">'[2]29'!$P$18:$P$25,P1_T17?unit?ТГКАЛ,P2_T17?unit?ТГКАЛ</definedName>
    <definedName name="T17?unit?ТГКАЛ" localSheetId="19">'[2]29'!$P$18:$P$25,P1_T17?unit?ТГКАЛ,P2_T17?unit?ТГКАЛ</definedName>
    <definedName name="T17?unit?ТГКАЛ">'[2]29'!$P$18:$P$25,P1_T17?unit?ТГКАЛ,P2_T17?unit?ТГКАЛ</definedName>
    <definedName name="T17?unit?ТРУБ.ГКАЛЧ.МЕС">'[2]29'!$L$26:$L$33,'[2]29'!$O$26:$O$33,'[2]29'!$F$52:$F$59,'[2]29'!$I$52:$I$59,'[2]29'!$L$52:$L$59,'[2]29'!$O$52:$O$59,'[2]29'!$F$26:$F$33,'[2]29'!$I$26:$I$33</definedName>
    <definedName name="T17_Protect" localSheetId="6">'[6]21.3'!$E$54:$I$57,'[6]21.3'!$E$10:$I$10,P1_T17_Protect</definedName>
    <definedName name="T17_Protect" localSheetId="7">'[6]21.3'!$E$54:$I$57,'[6]21.3'!$E$10:$I$10,P1_T17_Protect</definedName>
    <definedName name="T17_Protect" localSheetId="8">'[6]21.3'!$E$54:$I$57,'[6]21.3'!$E$10:$I$10,P1_T17_Protect</definedName>
    <definedName name="T17_Protect" localSheetId="15">'[6]21.3'!$E$54:$I$57,'[6]21.3'!$E$10:$I$10,P1_T17_Protect</definedName>
    <definedName name="T17_Protect" localSheetId="16">'[6]21.3'!$E$54:$I$57,'[6]21.3'!$E$10:$I$10,P1_T17_Protect</definedName>
    <definedName name="T17_Protect" localSheetId="11">'[6]21.3'!$E$54:$I$57,'[6]21.3'!$E$10:$I$10,P1_T17_Protect</definedName>
    <definedName name="T17_Protect" localSheetId="12">'[6]21.3'!$E$54:$I$57,'[6]21.3'!$E$10:$I$10,P1_T17_Protect</definedName>
    <definedName name="T17_Protect" localSheetId="9">'[6]21.3'!$E$54:$I$57,'[6]21.3'!$E$10:$I$10,P1_T17_Protect</definedName>
    <definedName name="T17_Protect" localSheetId="0">'[6]21.3'!$E$54:$I$57,'[6]21.3'!$E$10:$I$10,P1_T17_Protect</definedName>
    <definedName name="T17_Protect" localSheetId="1">'[6]21.3'!$E$54:$I$57,'[6]21.3'!$E$10:$I$10,P1_T17_Protect</definedName>
    <definedName name="T17_Protect" localSheetId="3">'[6]21.3'!$E$54:$I$57,'[6]21.3'!$E$10:$I$10,P1_T17_Protect</definedName>
    <definedName name="T17_Protect" localSheetId="4">'[6]21.3'!$E$54:$I$57,'[6]21.3'!$E$10:$I$10,P1_T17_Protect</definedName>
    <definedName name="T17_Protect" localSheetId="5">'[6]21.3'!$E$54:$I$57,'[6]21.3'!$E$10:$I$10,P1_T17_Protect</definedName>
    <definedName name="T17_Protect" localSheetId="14">'[6]21.3'!$E$54:$I$57,'[6]21.3'!$E$10:$I$10,P1_T17_Protect</definedName>
    <definedName name="T17_Protect" localSheetId="17">'[6]21.3'!$E$54:$I$57,'[6]21.3'!$E$10:$I$10,P1_T17_Protect</definedName>
    <definedName name="T17_Protect" localSheetId="18">'[6]21.3'!$E$54:$I$57,'[6]21.3'!$E$10:$I$10,P1_T17_Protect</definedName>
    <definedName name="T17_Protect" localSheetId="19">'[6]21.3'!$E$54:$I$57,'[6]21.3'!$E$10:$I$10,P1_T17_Protect</definedName>
    <definedName name="T17_Protect">'[6]21.3'!$E$54:$I$57,'[6]21.3'!$E$10:$I$10,P1_T17_Protect</definedName>
    <definedName name="T17_Protection" localSheetId="6">P2_T17_Protection,P3_T17_Protection,P4_T17_Protection,P5_T17_Protection,' (стр.15)'!P6_T17_Protection</definedName>
    <definedName name="T17_Protection" localSheetId="7">P2_T17_Protection,P3_T17_Protection,P4_T17_Protection,P5_T17_Protection,'(стр.16)'!P6_T17_Protection</definedName>
    <definedName name="T17_Protection" localSheetId="8">[0]!P2_T17_Protection,[0]!P3_T17_Protection,[0]!P4_T17_Protection,[0]!P5_T17_Protection,'(Стр.17)'!P6_T17_Protection</definedName>
    <definedName name="T17_Protection" localSheetId="15">P2_T17_Protection,P3_T17_Protection,P4_T17_Protection,P5_T17_Protection,'C1 2016'!P6_T17_Protection</definedName>
    <definedName name="T17_Protection" localSheetId="16">P2_T17_Protection,P3_T17_Protection,P4_T17_Protection,P5_T17_Protection,'C1 2017'!P6_T17_Protection</definedName>
    <definedName name="T17_Protection" localSheetId="11">P2_T17_Protection,P3_T17_Protection,P4_T17_Protection,P5_T17_Protection,'Выручка, УО_ 2015'!P6_T17_Protection</definedName>
    <definedName name="T17_Protection" localSheetId="12">P2_T17_Protection,P3_T17_Protection,P4_T17_Protection,P5_T17_Protection,'Выручка, УО_ 2016'!P6_T17_Protection</definedName>
    <definedName name="T17_Protection" localSheetId="9">P2_T17_Protection,P3_T17_Protection,P4_T17_Protection,P5_T17_Protection,'Затр.2015-2017, 6мес 2018 '!P6_T17_Protection</definedName>
    <definedName name="T17_Protection" localSheetId="0">P2_T17_Protection,P3_T17_Protection,P4_T17_Protection,P5_T17_Protection,'НВВ ТБР'!P6_T17_Protection</definedName>
    <definedName name="T17_Protection" localSheetId="1">P2_T17_Protection,P3_T17_Protection,P4_T17_Protection,P5_T17_Protection,'Приложение 1'!P6_T17_Protection</definedName>
    <definedName name="T17_Protection" localSheetId="3">P2_T17_Protection,P3_T17_Protection,P4_T17_Protection,P5_T17_Protection,'Приложение 2'!P6_T17_Protection</definedName>
    <definedName name="T17_Protection" localSheetId="4">P2_T17_Protection,P3_T17_Protection,P4_T17_Protection,P5_T17_Protection,'Приложение 3'!P6_T17_Protection</definedName>
    <definedName name="T17_Protection" localSheetId="5">P2_T17_Protection,P3_T17_Protection,P4_T17_Protection,P5_T17_Protection,'Приложение 5'!P6_T17_Protection</definedName>
    <definedName name="T17_Protection" localSheetId="14">P2_T17_Protection,P3_T17_Protection,P4_T17_Protection,P5_T17_Protection,'С1 2015'!P6_T17_Protection</definedName>
    <definedName name="T17_Protection" localSheetId="17">P2_T17_Protection,P3_T17_Protection,P4_T17_Protection,P5_T17_Protection,'СС 2015'!P6_T17_Protection</definedName>
    <definedName name="T17_Protection" localSheetId="18">P2_T17_Protection,P3_T17_Protection,P4_T17_Protection,P5_T17_Protection,'СС 2016'!P6_T17_Protection</definedName>
    <definedName name="T17_Protection" localSheetId="19">P2_T17_Protection,P3_T17_Protection,P4_T17_Protection,P5_T17_Protection,'СС2017 '!P6_T17_Protection</definedName>
    <definedName name="T17_Protection">P2_T17_Protection,P3_T17_Protection,P4_T17_Protection,P5_T17_Protection,P6_T17_Protection</definedName>
    <definedName name="T18.1?Data" localSheetId="6">P1_T18.1?Data,P2_T18.1?Data</definedName>
    <definedName name="T18.1?Data" localSheetId="7">P1_T18.1?Data,P2_T18.1?Data</definedName>
    <definedName name="T18.1?Data" localSheetId="8">P1_T18.1?Data,P2_T18.1?Data</definedName>
    <definedName name="T18.1?Data" localSheetId="15">P1_T18.1?Data,P2_T18.1?Data</definedName>
    <definedName name="T18.1?Data" localSheetId="16">P1_T18.1?Data,P2_T18.1?Data</definedName>
    <definedName name="T18.1?Data" localSheetId="11">P1_T18.1?Data,P2_T18.1?Data</definedName>
    <definedName name="T18.1?Data" localSheetId="12">P1_T18.1?Data,P2_T18.1?Data</definedName>
    <definedName name="T18.1?Data" localSheetId="9">P1_T18.1?Data,P2_T18.1?Data</definedName>
    <definedName name="T18.1?Data" localSheetId="0">P1_T18.1?Data,P2_T18.1?Data</definedName>
    <definedName name="T18.1?Data" localSheetId="1">P1_T18.1?Data,P2_T18.1?Data</definedName>
    <definedName name="T18.1?Data" localSheetId="3">P1_T18.1?Data,P2_T18.1?Data</definedName>
    <definedName name="T18.1?Data" localSheetId="4">P1_T18.1?Data,P2_T18.1?Data</definedName>
    <definedName name="T18.1?Data" localSheetId="5">P1_T18.1?Data,P2_T18.1?Data</definedName>
    <definedName name="T18.1?Data" localSheetId="14">P1_T18.1?Data,P2_T18.1?Data</definedName>
    <definedName name="T18.1?Data" localSheetId="17">P1_T18.1?Data,P2_T18.1?Data</definedName>
    <definedName name="T18.1?Data" localSheetId="18">P1_T18.1?Data,P2_T18.1?Data</definedName>
    <definedName name="T18.1?Data" localSheetId="19">P1_T18.1?Data,P2_T18.1?Data</definedName>
    <definedName name="T18.1?Data">P1_T18.1?Data,P2_T18.1?Data</definedName>
    <definedName name="T18.2?Columns">'[1]18.2'!$F$5:$J$5</definedName>
    <definedName name="T18.2?item_ext?СБЫТ" localSheetId="6">'[6]18.2'!#REF!,'[6]18.2'!#REF!</definedName>
    <definedName name="T18.2?item_ext?СБЫТ" localSheetId="7">'[6]18.2'!#REF!,'[6]18.2'!#REF!</definedName>
    <definedName name="T18.2?item_ext?СБЫТ" localSheetId="8">'[6]18.2'!#REF!,'[6]18.2'!#REF!</definedName>
    <definedName name="T18.2?item_ext?СБЫТ" localSheetId="15">'[6]18.2'!#REF!,'[6]18.2'!#REF!</definedName>
    <definedName name="T18.2?item_ext?СБЫТ" localSheetId="16">'[6]18.2'!#REF!,'[6]18.2'!#REF!</definedName>
    <definedName name="T18.2?item_ext?СБЫТ" localSheetId="11">'[6]18.2'!#REF!,'[6]18.2'!#REF!</definedName>
    <definedName name="T18.2?item_ext?СБЫТ" localSheetId="12">'[6]18.2'!#REF!,'[6]18.2'!#REF!</definedName>
    <definedName name="T18.2?item_ext?СБЫТ" localSheetId="9">'[6]18.2'!#REF!,'[6]18.2'!#REF!</definedName>
    <definedName name="T18.2?item_ext?СБЫТ" localSheetId="1">'[6]18.2'!#REF!,'[6]18.2'!#REF!</definedName>
    <definedName name="T18.2?item_ext?СБЫТ" localSheetId="3">'[6]18.2'!#REF!,'[6]18.2'!#REF!</definedName>
    <definedName name="T18.2?item_ext?СБЫТ" localSheetId="4">'[6]18.2'!#REF!,'[6]18.2'!#REF!</definedName>
    <definedName name="T18.2?item_ext?СБЫТ" localSheetId="5">'[6]18.2'!#REF!,'[6]18.2'!#REF!</definedName>
    <definedName name="T18.2?item_ext?СБЫТ" localSheetId="14">'[6]18.2'!#REF!,'[6]18.2'!#REF!</definedName>
    <definedName name="T18.2?item_ext?СБЫТ" localSheetId="17">'[6]18.2'!#REF!,'[6]18.2'!#REF!</definedName>
    <definedName name="T18.2?item_ext?СБЫТ" localSheetId="18">'[6]18.2'!#REF!,'[6]18.2'!#REF!</definedName>
    <definedName name="T18.2?item_ext?СБЫТ" localSheetId="19">'[6]18.2'!#REF!,'[6]18.2'!#REF!</definedName>
    <definedName name="T18.2?item_ext?СБЫТ">'[6]18.2'!#REF!,'[6]18.2'!#REF!</definedName>
    <definedName name="T18.2?ItemComments">'[1]18.2'!$E$6:$E$64</definedName>
    <definedName name="T18.2?Items">'[1]18.2'!$C$6:$C$64</definedName>
    <definedName name="T18.2?Scope">'[1]18.2'!$F$6:$J$64</definedName>
    <definedName name="T18.2?Units">'[1]18.2'!$D$6:$D$64</definedName>
    <definedName name="T18.2?ВРАС">'[6]18.2'!$B$41:$B$43,'[6]18.2'!$B$28:$B$37</definedName>
    <definedName name="T18.2_Protect" localSheetId="6">'[6]18.2'!$F$63:$J$64,'[6]18.2'!$F$67:$J$67,'[6]18.2'!$F$69:$J$72,'[6]18.2'!$F$6:$J$8,P1_T18.2_Protect</definedName>
    <definedName name="T18.2_Protect" localSheetId="7">'[6]18.2'!$F$63:$J$64,'[6]18.2'!$F$67:$J$67,'[6]18.2'!$F$69:$J$72,'[6]18.2'!$F$6:$J$8,P1_T18.2_Protect</definedName>
    <definedName name="T18.2_Protect" localSheetId="8">'[6]18.2'!$F$63:$J$64,'[6]18.2'!$F$67:$J$67,'[6]18.2'!$F$69:$J$72,'[6]18.2'!$F$6:$J$8,[0]!P1_T18.2_Protect</definedName>
    <definedName name="T18.2_Protect" localSheetId="15">'[6]18.2'!$F$63:$J$64,'[6]18.2'!$F$67:$J$67,'[6]18.2'!$F$69:$J$72,'[6]18.2'!$F$6:$J$8,P1_T18.2_Protect</definedName>
    <definedName name="T18.2_Protect" localSheetId="16">'[6]18.2'!$F$63:$J$64,'[6]18.2'!$F$67:$J$67,'[6]18.2'!$F$69:$J$72,'[6]18.2'!$F$6:$J$8,P1_T18.2_Protect</definedName>
    <definedName name="T18.2_Protect" localSheetId="11">'[6]18.2'!$F$63:$J$64,'[6]18.2'!$F$67:$J$67,'[6]18.2'!$F$69:$J$72,'[6]18.2'!$F$6:$J$8,P1_T18.2_Protect</definedName>
    <definedName name="T18.2_Protect" localSheetId="12">'[6]18.2'!$F$63:$J$64,'[6]18.2'!$F$67:$J$67,'[6]18.2'!$F$69:$J$72,'[6]18.2'!$F$6:$J$8,P1_T18.2_Protect</definedName>
    <definedName name="T18.2_Protect" localSheetId="9">'[6]18.2'!$F$63:$J$64,'[6]18.2'!$F$67:$J$67,'[6]18.2'!$F$69:$J$72,'[6]18.2'!$F$6:$J$8,P1_T18.2_Protect</definedName>
    <definedName name="T18.2_Protect" localSheetId="0">'[6]18.2'!$F$63:$J$64,'[6]18.2'!$F$67:$J$67,'[6]18.2'!$F$69:$J$72,'[6]18.2'!$F$6:$J$8,P1_T18.2_Protect</definedName>
    <definedName name="T18.2_Protect" localSheetId="1">'[6]18.2'!$F$63:$J$64,'[6]18.2'!$F$67:$J$67,'[6]18.2'!$F$69:$J$72,'[6]18.2'!$F$6:$J$8,P1_T18.2_Protect</definedName>
    <definedName name="T18.2_Protect" localSheetId="3">'[6]18.2'!$F$63:$J$64,'[6]18.2'!$F$67:$J$67,'[6]18.2'!$F$69:$J$72,'[6]18.2'!$F$6:$J$8,P1_T18.2_Protect</definedName>
    <definedName name="T18.2_Protect" localSheetId="4">'[6]18.2'!$F$63:$J$64,'[6]18.2'!$F$67:$J$67,'[6]18.2'!$F$69:$J$72,'[6]18.2'!$F$6:$J$8,P1_T18.2_Protect</definedName>
    <definedName name="T18.2_Protect" localSheetId="5">'[6]18.2'!$F$63:$J$64,'[6]18.2'!$F$67:$J$67,'[6]18.2'!$F$69:$J$72,'[6]18.2'!$F$6:$J$8,P1_T18.2_Protect</definedName>
    <definedName name="T18.2_Protect" localSheetId="14">'[6]18.2'!$F$63:$J$64,'[6]18.2'!$F$67:$J$67,'[6]18.2'!$F$69:$J$72,'[6]18.2'!$F$6:$J$8,P1_T18.2_Protect</definedName>
    <definedName name="T18.2_Protect" localSheetId="17">'[6]18.2'!$F$63:$J$64,'[6]18.2'!$F$67:$J$67,'[6]18.2'!$F$69:$J$72,'[6]18.2'!$F$6:$J$8,P1_T18.2_Protect</definedName>
    <definedName name="T18.2_Protect" localSheetId="18">'[6]18.2'!$F$63:$J$64,'[6]18.2'!$F$67:$J$67,'[6]18.2'!$F$69:$J$72,'[6]18.2'!$F$6:$J$8,P1_T18.2_Protect</definedName>
    <definedName name="T18.2_Protect" localSheetId="19">'[6]18.2'!$F$63:$J$64,'[6]18.2'!$F$67:$J$67,'[6]18.2'!$F$69:$J$72,'[6]18.2'!$F$6:$J$8,P1_T18.2_Protect</definedName>
    <definedName name="T18.2_Protect">'[6]18.2'!$F$63:$J$64,'[6]18.2'!$F$67:$J$67,'[6]18.2'!$F$69:$J$72,'[6]18.2'!$F$6:$J$8,P1_T18.2_Protect</definedName>
    <definedName name="T19.1.1?Data" localSheetId="6">P1_T19.1.1?Data,P2_T19.1.1?Data</definedName>
    <definedName name="T19.1.1?Data" localSheetId="7">P1_T19.1.1?Data,P2_T19.1.1?Data</definedName>
    <definedName name="T19.1.1?Data" localSheetId="8">P1_T19.1.1?Data,P2_T19.1.1?Data</definedName>
    <definedName name="T19.1.1?Data" localSheetId="15">P1_T19.1.1?Data,P2_T19.1.1?Data</definedName>
    <definedName name="T19.1.1?Data" localSheetId="16">P1_T19.1.1?Data,P2_T19.1.1?Data</definedName>
    <definedName name="T19.1.1?Data" localSheetId="11">P1_T19.1.1?Data,P2_T19.1.1?Data</definedName>
    <definedName name="T19.1.1?Data" localSheetId="12">P1_T19.1.1?Data,P2_T19.1.1?Data</definedName>
    <definedName name="T19.1.1?Data" localSheetId="9">P1_T19.1.1?Data,P2_T19.1.1?Data</definedName>
    <definedName name="T19.1.1?Data" localSheetId="0">P1_T19.1.1?Data,P2_T19.1.1?Data</definedName>
    <definedName name="T19.1.1?Data" localSheetId="1">P1_T19.1.1?Data,P2_T19.1.1?Data</definedName>
    <definedName name="T19.1.1?Data" localSheetId="3">P1_T19.1.1?Data,P2_T19.1.1?Data</definedName>
    <definedName name="T19.1.1?Data" localSheetId="4">P1_T19.1.1?Data,P2_T19.1.1?Data</definedName>
    <definedName name="T19.1.1?Data" localSheetId="5">P1_T19.1.1?Data,P2_T19.1.1?Data</definedName>
    <definedName name="T19.1.1?Data" localSheetId="14">P1_T19.1.1?Data,P2_T19.1.1?Data</definedName>
    <definedName name="T19.1.1?Data" localSheetId="17">P1_T19.1.1?Data,P2_T19.1.1?Data</definedName>
    <definedName name="T19.1.1?Data" localSheetId="18">P1_T19.1.1?Data,P2_T19.1.1?Data</definedName>
    <definedName name="T19.1.1?Data" localSheetId="19">P1_T19.1.1?Data,P2_T19.1.1?Data</definedName>
    <definedName name="T19.1.1?Data">P1_T19.1.1?Data,P2_T19.1.1?Data</definedName>
    <definedName name="T19.1.2?Data" localSheetId="6">P1_T19.1.2?Data,P2_T19.1.2?Data</definedName>
    <definedName name="T19.1.2?Data" localSheetId="7">P1_T19.1.2?Data,P2_T19.1.2?Data</definedName>
    <definedName name="T19.1.2?Data" localSheetId="8">P1_T19.1.2?Data,P2_T19.1.2?Data</definedName>
    <definedName name="T19.1.2?Data" localSheetId="15">P1_T19.1.2?Data,P2_T19.1.2?Data</definedName>
    <definedName name="T19.1.2?Data" localSheetId="16">P1_T19.1.2?Data,P2_T19.1.2?Data</definedName>
    <definedName name="T19.1.2?Data" localSheetId="11">P1_T19.1.2?Data,P2_T19.1.2?Data</definedName>
    <definedName name="T19.1.2?Data" localSheetId="12">P1_T19.1.2?Data,P2_T19.1.2?Data</definedName>
    <definedName name="T19.1.2?Data" localSheetId="9">P1_T19.1.2?Data,P2_T19.1.2?Data</definedName>
    <definedName name="T19.1.2?Data" localSheetId="0">P1_T19.1.2?Data,P2_T19.1.2?Data</definedName>
    <definedName name="T19.1.2?Data" localSheetId="1">P1_T19.1.2?Data,P2_T19.1.2?Data</definedName>
    <definedName name="T19.1.2?Data" localSheetId="3">P1_T19.1.2?Data,P2_T19.1.2?Data</definedName>
    <definedName name="T19.1.2?Data" localSheetId="4">P1_T19.1.2?Data,P2_T19.1.2?Data</definedName>
    <definedName name="T19.1.2?Data" localSheetId="5">P1_T19.1.2?Data,P2_T19.1.2?Data</definedName>
    <definedName name="T19.1.2?Data" localSheetId="14">P1_T19.1.2?Data,P2_T19.1.2?Data</definedName>
    <definedName name="T19.1.2?Data" localSheetId="17">P1_T19.1.2?Data,P2_T19.1.2?Data</definedName>
    <definedName name="T19.1.2?Data" localSheetId="18">P1_T19.1.2?Data,P2_T19.1.2?Data</definedName>
    <definedName name="T19.1.2?Data" localSheetId="19">P1_T19.1.2?Data,P2_T19.1.2?Data</definedName>
    <definedName name="T19.1.2?Data">P1_T19.1.2?Data,P2_T19.1.2?Data</definedName>
    <definedName name="T19.2?Data" localSheetId="6">P1_T19.2?Data,P2_T19.2?Data</definedName>
    <definedName name="T19.2?Data" localSheetId="7">P1_T19.2?Data,P2_T19.2?Data</definedName>
    <definedName name="T19.2?Data" localSheetId="8">P1_T19.2?Data,P2_T19.2?Data</definedName>
    <definedName name="T19.2?Data" localSheetId="15">P1_T19.2?Data,P2_T19.2?Data</definedName>
    <definedName name="T19.2?Data" localSheetId="16">P1_T19.2?Data,P2_T19.2?Data</definedName>
    <definedName name="T19.2?Data" localSheetId="11">P1_T19.2?Data,P2_T19.2?Data</definedName>
    <definedName name="T19.2?Data" localSheetId="12">P1_T19.2?Data,P2_T19.2?Data</definedName>
    <definedName name="T19.2?Data" localSheetId="9">P1_T19.2?Data,P2_T19.2?Data</definedName>
    <definedName name="T19.2?Data" localSheetId="0">P1_T19.2?Data,P2_T19.2?Data</definedName>
    <definedName name="T19.2?Data" localSheetId="1">P1_T19.2?Data,P2_T19.2?Data</definedName>
    <definedName name="T19.2?Data" localSheetId="3">P1_T19.2?Data,P2_T19.2?Data</definedName>
    <definedName name="T19.2?Data" localSheetId="4">P1_T19.2?Data,P2_T19.2?Data</definedName>
    <definedName name="T19.2?Data" localSheetId="5">P1_T19.2?Data,P2_T19.2?Data</definedName>
    <definedName name="T19.2?Data" localSheetId="14">P1_T19.2?Data,P2_T19.2?Data</definedName>
    <definedName name="T19.2?Data" localSheetId="17">P1_T19.2?Data,P2_T19.2?Data</definedName>
    <definedName name="T19.2?Data" localSheetId="18">P1_T19.2?Data,P2_T19.2?Data</definedName>
    <definedName name="T19.2?Data" localSheetId="19">P1_T19.2?Data,P2_T19.2?Data</definedName>
    <definedName name="T19.2?Data">P1_T19.2?Data,P2_T19.2?Data</definedName>
    <definedName name="T19?Data">'[2]19'!$J$8:$M$16,'[2]19'!$C$8:$H$16</definedName>
    <definedName name="T19_Protection">'[2]19'!$E$13:$H$13,'[2]19'!$E$15:$H$15,'[2]19'!$J$8:$M$11,'[2]19'!$J$13:$M$13,'[2]19'!$J$15:$M$15,'[2]19'!$E$4:$H$4,'[2]19'!$J$4:$M$4,'[2]19'!$E$8:$H$11</definedName>
    <definedName name="T2.1?Data">#N/A</definedName>
    <definedName name="T2.3_Protect">'[6]2.3'!$F$30:$G$34,'[6]2.3'!$H$24:$K$28</definedName>
    <definedName name="T2?Columns">'[1]3'!$E$6:$X$6</definedName>
    <definedName name="T20.1?Columns">'[1]20.1'!$B$6:$K$6</definedName>
    <definedName name="T20.1?Investments">'[1]20.1'!$A$7:$A$22</definedName>
    <definedName name="T20.1?Scope">'[1]20.1'!$B$7:$K$22</definedName>
    <definedName name="T20.1_Protect">'[1]20.1'!$A$8:$K$20</definedName>
    <definedName name="T20?Columns">'[1]20'!$E$6:$I$6</definedName>
    <definedName name="T20?ItemComments">'[1]20'!$D$7:$D$26</definedName>
    <definedName name="T20?Items">'[1]20'!$C$7:$C$26</definedName>
    <definedName name="T20?Scope">'[1]20'!$E$7:$I$26</definedName>
    <definedName name="T20?unit?МКВТЧ">'[2]20'!$C$13:$M$13,'[2]20'!$C$15:$M$19,'[2]20'!$C$8:$M$11</definedName>
    <definedName name="T20_Protect">'[6]20'!$E$13:$I$20,'[6]20'!$E$9:$I$10</definedName>
    <definedName name="T20_Protection" localSheetId="6">'[2]20'!$E$8:$H$11,P1_T20_Protection</definedName>
    <definedName name="T20_Protection" localSheetId="7">'[2]20'!$E$8:$H$11,P1_T20_Protection</definedName>
    <definedName name="T20_Protection" localSheetId="8">'[2]20'!$E$8:$H$11,[0]!P1_T20_Protection</definedName>
    <definedName name="T20_Protection" localSheetId="15">'[2]20'!$E$8:$H$11,P1_T20_Protection</definedName>
    <definedName name="T20_Protection" localSheetId="16">'[2]20'!$E$8:$H$11,P1_T20_Protection</definedName>
    <definedName name="T20_Protection" localSheetId="11">'[2]20'!$E$8:$H$11,P1_T20_Protection</definedName>
    <definedName name="T20_Protection" localSheetId="12">'[2]20'!$E$8:$H$11,P1_T20_Protection</definedName>
    <definedName name="T20_Protection" localSheetId="9">'[2]20'!$E$8:$H$11,P1_T20_Protection</definedName>
    <definedName name="T20_Protection" localSheetId="0">'[2]20'!$E$8:$H$11,P1_T20_Protection</definedName>
    <definedName name="T20_Protection" localSheetId="1">'[2]20'!$E$8:$H$11,P1_T20_Protection</definedName>
    <definedName name="T20_Protection" localSheetId="3">'[2]20'!$E$8:$H$11,P1_T20_Protection</definedName>
    <definedName name="T20_Protection" localSheetId="4">'[2]20'!$E$8:$H$11,P1_T20_Protection</definedName>
    <definedName name="T20_Protection" localSheetId="5">'[2]20'!$E$8:$H$11,P1_T20_Protection</definedName>
    <definedName name="T20_Protection" localSheetId="14">'[2]20'!$E$8:$H$11,P1_T20_Protection</definedName>
    <definedName name="T20_Protection" localSheetId="17">'[2]20'!$E$8:$H$11,P1_T20_Protection</definedName>
    <definedName name="T20_Protection" localSheetId="18">'[2]20'!$E$8:$H$11,P1_T20_Protection</definedName>
    <definedName name="T20_Protection" localSheetId="19">'[2]20'!$E$8:$H$11,P1_T20_Protection</definedName>
    <definedName name="T20_Protection">'[2]20'!$E$8:$H$11,P1_T20_Protection</definedName>
    <definedName name="T21.2.1?Data" localSheetId="6">P1_T21.2.1?Data,P2_T21.2.1?Data</definedName>
    <definedName name="T21.2.1?Data" localSheetId="7">P1_T21.2.1?Data,P2_T21.2.1?Data</definedName>
    <definedName name="T21.2.1?Data" localSheetId="8">P1_T21.2.1?Data,P2_T21.2.1?Data</definedName>
    <definedName name="T21.2.1?Data" localSheetId="15">P1_T21.2.1?Data,P2_T21.2.1?Data</definedName>
    <definedName name="T21.2.1?Data" localSheetId="16">P1_T21.2.1?Data,P2_T21.2.1?Data</definedName>
    <definedName name="T21.2.1?Data" localSheetId="11">P1_T21.2.1?Data,P2_T21.2.1?Data</definedName>
    <definedName name="T21.2.1?Data" localSheetId="12">P1_T21.2.1?Data,P2_T21.2.1?Data</definedName>
    <definedName name="T21.2.1?Data" localSheetId="9">P1_T21.2.1?Data,P2_T21.2.1?Data</definedName>
    <definedName name="T21.2.1?Data" localSheetId="0">P1_T21.2.1?Data,P2_T21.2.1?Data</definedName>
    <definedName name="T21.2.1?Data" localSheetId="1">P1_T21.2.1?Data,P2_T21.2.1?Data</definedName>
    <definedName name="T21.2.1?Data" localSheetId="3">P1_T21.2.1?Data,P2_T21.2.1?Data</definedName>
    <definedName name="T21.2.1?Data" localSheetId="4">P1_T21.2.1?Data,P2_T21.2.1?Data</definedName>
    <definedName name="T21.2.1?Data" localSheetId="5">P1_T21.2.1?Data,P2_T21.2.1?Data</definedName>
    <definedName name="T21.2.1?Data" localSheetId="14">P1_T21.2.1?Data,P2_T21.2.1?Data</definedName>
    <definedName name="T21.2.1?Data" localSheetId="17">P1_T21.2.1?Data,P2_T21.2.1?Data</definedName>
    <definedName name="T21.2.1?Data" localSheetId="18">P1_T21.2.1?Data,P2_T21.2.1?Data</definedName>
    <definedName name="T21.2.1?Data" localSheetId="19">P1_T21.2.1?Data,P2_T21.2.1?Data</definedName>
    <definedName name="T21.2.1?Data">P1_T21.2.1?Data,P2_T21.2.1?Data</definedName>
    <definedName name="T21.2.2?Data" localSheetId="6">P1_T21.2.2?Data,P2_T21.2.2?Data</definedName>
    <definedName name="T21.2.2?Data" localSheetId="7">P1_T21.2.2?Data,P2_T21.2.2?Data</definedName>
    <definedName name="T21.2.2?Data" localSheetId="8">P1_T21.2.2?Data,P2_T21.2.2?Data</definedName>
    <definedName name="T21.2.2?Data" localSheetId="15">P1_T21.2.2?Data,P2_T21.2.2?Data</definedName>
    <definedName name="T21.2.2?Data" localSheetId="16">P1_T21.2.2?Data,P2_T21.2.2?Data</definedName>
    <definedName name="T21.2.2?Data" localSheetId="11">P1_T21.2.2?Data,P2_T21.2.2?Data</definedName>
    <definedName name="T21.2.2?Data" localSheetId="12">P1_T21.2.2?Data,P2_T21.2.2?Data</definedName>
    <definedName name="T21.2.2?Data" localSheetId="9">P1_T21.2.2?Data,P2_T21.2.2?Data</definedName>
    <definedName name="T21.2.2?Data" localSheetId="0">P1_T21.2.2?Data,P2_T21.2.2?Data</definedName>
    <definedName name="T21.2.2?Data" localSheetId="1">P1_T21.2.2?Data,P2_T21.2.2?Data</definedName>
    <definedName name="T21.2.2?Data" localSheetId="3">P1_T21.2.2?Data,P2_T21.2.2?Data</definedName>
    <definedName name="T21.2.2?Data" localSheetId="4">P1_T21.2.2?Data,P2_T21.2.2?Data</definedName>
    <definedName name="T21.2.2?Data" localSheetId="5">P1_T21.2.2?Data,P2_T21.2.2?Data</definedName>
    <definedName name="T21.2.2?Data" localSheetId="14">P1_T21.2.2?Data,P2_T21.2.2?Data</definedName>
    <definedName name="T21.2.2?Data" localSheetId="17">P1_T21.2.2?Data,P2_T21.2.2?Data</definedName>
    <definedName name="T21.2.2?Data" localSheetId="18">P1_T21.2.2?Data,P2_T21.2.2?Data</definedName>
    <definedName name="T21.2.2?Data" localSheetId="19">P1_T21.2.2?Data,P2_T21.2.2?Data</definedName>
    <definedName name="T21.2.2?Data">P1_T21.2.2?Data,P2_T21.2.2?Data</definedName>
    <definedName name="T21.3?Columns">'[1]21.3'!$E$9:$I$9</definedName>
    <definedName name="T21.3?item_ext?СБЫТ" localSheetId="6">'[6]21.3'!#REF!,'[6]21.3'!#REF!</definedName>
    <definedName name="T21.3?item_ext?СБЫТ" localSheetId="7">'[6]21.3'!#REF!,'[6]21.3'!#REF!</definedName>
    <definedName name="T21.3?item_ext?СБЫТ" localSheetId="8">'[6]21.3'!#REF!,'[6]21.3'!#REF!</definedName>
    <definedName name="T21.3?item_ext?СБЫТ" localSheetId="15">'[6]21.3'!#REF!,'[6]21.3'!#REF!</definedName>
    <definedName name="T21.3?item_ext?СБЫТ" localSheetId="16">'[6]21.3'!#REF!,'[6]21.3'!#REF!</definedName>
    <definedName name="T21.3?item_ext?СБЫТ" localSheetId="11">'[6]21.3'!#REF!,'[6]21.3'!#REF!</definedName>
    <definedName name="T21.3?item_ext?СБЫТ" localSheetId="12">'[6]21.3'!#REF!,'[6]21.3'!#REF!</definedName>
    <definedName name="T21.3?item_ext?СБЫТ" localSheetId="9">'[6]21.3'!#REF!,'[6]21.3'!#REF!</definedName>
    <definedName name="T21.3?item_ext?СБЫТ" localSheetId="0">'[6]21.3'!#REF!,'[6]21.3'!#REF!</definedName>
    <definedName name="T21.3?item_ext?СБЫТ" localSheetId="1">'[6]21.3'!#REF!,'[6]21.3'!#REF!</definedName>
    <definedName name="T21.3?item_ext?СБЫТ" localSheetId="3">'[6]21.3'!#REF!,'[6]21.3'!#REF!</definedName>
    <definedName name="T21.3?item_ext?СБЫТ" localSheetId="4">'[6]21.3'!#REF!,'[6]21.3'!#REF!</definedName>
    <definedName name="T21.3?item_ext?СБЫТ" localSheetId="5">'[6]21.3'!#REF!,'[6]21.3'!#REF!</definedName>
    <definedName name="T21.3?item_ext?СБЫТ" localSheetId="14">'[6]21.3'!#REF!,'[6]21.3'!#REF!</definedName>
    <definedName name="T21.3?item_ext?СБЫТ" localSheetId="17">'[6]21.3'!#REF!,'[6]21.3'!#REF!</definedName>
    <definedName name="T21.3?item_ext?СБЫТ" localSheetId="18">'[6]21.3'!#REF!,'[6]21.3'!#REF!</definedName>
    <definedName name="T21.3?item_ext?СБЫТ" localSheetId="19">'[6]21.3'!#REF!,'[6]21.3'!#REF!</definedName>
    <definedName name="T21.3?item_ext?СБЫТ">'[6]21.3'!#REF!,'[6]21.3'!#REF!</definedName>
    <definedName name="T21.3?ItemComments">'[1]21.3'!$D$10:$D$57</definedName>
    <definedName name="T21.3?Items">'[1]21.3'!$C$10:$C$57</definedName>
    <definedName name="T21.3?Scope">'[1]21.3'!$E$10:$I$57</definedName>
    <definedName name="T21.3?ВРАС">'[6]21.3'!$B$28:$B$30,'[6]21.3'!$B$48:$B$50</definedName>
    <definedName name="T21.3_Protect">'[6]21.3'!$E$19:$I$22,'[6]21.3'!$E$24:$I$25,'[6]21.3'!$B$28:$I$30,'[6]21.3'!$E$32:$I$32,'[6]21.3'!$E$35:$I$45,'[6]21.3'!$B$48:$I$50,'[6]21.3'!$E$13:$I$17</definedName>
    <definedName name="T21.4?Data" localSheetId="6">P1_T21.4?Data,P2_T21.4?Data</definedName>
    <definedName name="T21.4?Data" localSheetId="7">P1_T21.4?Data,P2_T21.4?Data</definedName>
    <definedName name="T21.4?Data" localSheetId="8">P1_T21.4?Data,P2_T21.4?Data</definedName>
    <definedName name="T21.4?Data" localSheetId="15">P1_T21.4?Data,P2_T21.4?Data</definedName>
    <definedName name="T21.4?Data" localSheetId="16">P1_T21.4?Data,P2_T21.4?Data</definedName>
    <definedName name="T21.4?Data" localSheetId="11">P1_T21.4?Data,P2_T21.4?Data</definedName>
    <definedName name="T21.4?Data" localSheetId="12">P1_T21.4?Data,P2_T21.4?Data</definedName>
    <definedName name="T21.4?Data" localSheetId="9">P1_T21.4?Data,P2_T21.4?Data</definedName>
    <definedName name="T21.4?Data" localSheetId="0">P1_T21.4?Data,P2_T21.4?Data</definedName>
    <definedName name="T21.4?Data" localSheetId="1">P1_T21.4?Data,P2_T21.4?Data</definedName>
    <definedName name="T21.4?Data" localSheetId="3">P1_T21.4?Data,P2_T21.4?Data</definedName>
    <definedName name="T21.4?Data" localSheetId="4">P1_T21.4?Data,P2_T21.4?Data</definedName>
    <definedName name="T21.4?Data" localSheetId="5">P1_T21.4?Data,P2_T21.4?Data</definedName>
    <definedName name="T21.4?Data" localSheetId="14">P1_T21.4?Data,P2_T21.4?Data</definedName>
    <definedName name="T21.4?Data" localSheetId="17">P1_T21.4?Data,P2_T21.4?Data</definedName>
    <definedName name="T21.4?Data" localSheetId="18">P1_T21.4?Data,P2_T21.4?Data</definedName>
    <definedName name="T21.4?Data" localSheetId="19">P1_T21.4?Data,P2_T21.4?Data</definedName>
    <definedName name="T21.4?Data">P1_T21.4?Data,P2_T21.4?Data</definedName>
    <definedName name="T21?axis?R?ПЭ">'[2]21'!$D$14:$S$16,'[2]21'!$D$26:$S$28,'[2]21'!$D$20:$S$22</definedName>
    <definedName name="T21?axis?R?ПЭ?">'[2]21'!$B$14:$B$16,'[2]21'!$B$26:$B$28,'[2]21'!$B$20:$B$22</definedName>
    <definedName name="T21?Data">'[2]21'!$D$14:$S$16,'[2]21'!$D$18:$S$18,'[2]21'!$D$20:$S$22,'[2]21'!$D$24:$S$24,'[2]21'!$D$26:$S$28,'[2]21'!$D$31:$S$33,'[2]21'!$D$11:$S$12</definedName>
    <definedName name="T21?L1">'[2]21'!$D$11:$S$12,'[2]21'!$D$14:$S$16,'[2]21'!$D$18:$S$18,'[2]21'!$D$20:$S$22,'[2]21'!$D$26:$S$28,'[2]21'!$D$24:$S$24</definedName>
    <definedName name="T21_Protection" localSheetId="6">P2_T21_Protection,' (стр.15)'!P3_T21_Protection</definedName>
    <definedName name="T21_Protection" localSheetId="7">P2_T21_Protection,'(стр.16)'!P3_T21_Protection</definedName>
    <definedName name="T21_Protection" localSheetId="8">[0]!P2_T21_Protection,'(Стр.17)'!P3_T21_Protection</definedName>
    <definedName name="T21_Protection" localSheetId="15">P2_T21_Protection,'C1 2016'!P3_T21_Protection</definedName>
    <definedName name="T21_Protection" localSheetId="16">P2_T21_Protection,'C1 2017'!P3_T21_Protection</definedName>
    <definedName name="T21_Protection" localSheetId="11">P2_T21_Protection,'Выручка, УО_ 2015'!P3_T21_Protection</definedName>
    <definedName name="T21_Protection" localSheetId="12">P2_T21_Protection,'Выручка, УО_ 2016'!P3_T21_Protection</definedName>
    <definedName name="T21_Protection" localSheetId="9">P2_T21_Protection,'Затр.2015-2017, 6мес 2018 '!P3_T21_Protection</definedName>
    <definedName name="T21_Protection" localSheetId="0">P2_T21_Protection,'НВВ ТБР'!P3_T21_Protection</definedName>
    <definedName name="T21_Protection" localSheetId="1">P2_T21_Protection,'Приложение 1'!P3_T21_Protection</definedName>
    <definedName name="T21_Protection" localSheetId="3">P2_T21_Protection,'Приложение 2'!P3_T21_Protection</definedName>
    <definedName name="T21_Protection" localSheetId="4">P2_T21_Protection,'Приложение 3'!P3_T21_Protection</definedName>
    <definedName name="T21_Protection" localSheetId="5">P2_T21_Protection,'Приложение 5'!P3_T21_Protection</definedName>
    <definedName name="T21_Protection" localSheetId="14">P2_T21_Protection,'С1 2015'!P3_T21_Protection</definedName>
    <definedName name="T21_Protection" localSheetId="17">P2_T21_Protection,'СС 2015'!P3_T21_Protection</definedName>
    <definedName name="T21_Protection" localSheetId="18">P2_T21_Protection,'СС 2016'!P3_T21_Protection</definedName>
    <definedName name="T21_Protection" localSheetId="19">P2_T21_Protection,'СС2017 '!P3_T21_Protection</definedName>
    <definedName name="T21_Protection">P2_T21_Protection,P3_T21_Protection</definedName>
    <definedName name="T22?item_ext?ВСЕГО">'[2]22'!$E$8:$F$31,'[2]22'!$I$8:$J$31</definedName>
    <definedName name="T22?item_ext?ЭС">'[2]22'!$K$8:$L$31,'[2]22'!$G$8:$H$31</definedName>
    <definedName name="T22?L1">'[2]22'!$G$8:$G$31,'[2]22'!$I$8:$I$31,'[2]22'!$K$8:$K$31,'[2]22'!$E$8:$E$31</definedName>
    <definedName name="T22?L2">'[2]22'!$H$8:$H$31,'[2]22'!$J$8:$J$31,'[2]22'!$L$8:$L$31,'[2]22'!$F$8:$F$31</definedName>
    <definedName name="T22?unit?ГКАЛ.Ч">'[2]22'!$G$8:$G$31,'[2]22'!$I$8:$I$31,'[2]22'!$K$8:$K$31,'[2]22'!$E$8:$E$31</definedName>
    <definedName name="T22?unit?ТГКАЛ">'[2]22'!$H$8:$H$31,'[2]22'!$J$8:$J$31,'[2]22'!$L$8:$L$31,'[2]22'!$F$8:$F$31</definedName>
    <definedName name="T22_Protection">'[2]22'!$E$19:$L$23,'[2]22'!$E$25:$L$25,'[2]22'!$E$27:$L$31,'[2]22'!$E$17:$L$17</definedName>
    <definedName name="T23?axis?R?ВТОП">'[2]23'!$E$8:$P$30,'[2]23'!$E$36:$P$58</definedName>
    <definedName name="T23?axis?R?ВТОП?">'[2]23'!$C$8:$C$30,'[2]23'!$C$36:$C$58</definedName>
    <definedName name="T23?axis?R?ПЭ">'[2]23'!$E$8:$P$30,'[2]23'!$E$36:$P$58</definedName>
    <definedName name="T23?axis?R?ПЭ?">'[2]23'!$B$8:$B$30,'[2]23'!$B$36:$B$58</definedName>
    <definedName name="T23?axis?R?СЦТ">'[2]23'!$E$32:$P$34,'[2]23'!$E$60:$P$62</definedName>
    <definedName name="T23?axis?R?СЦТ?">'[2]23'!$A$60:$A$62,'[2]23'!$A$32:$A$34</definedName>
    <definedName name="T23?Data">'[2]23'!$E$37:$P$63,'[2]23'!$E$9:$P$35</definedName>
    <definedName name="T23?item_ext?ВСЕГО">'[2]23'!$A$55:$P$58,'[2]23'!$A$27:$P$30</definedName>
    <definedName name="T23?item_ext?ИТОГО">'[2]23'!$A$59:$P$59,'[2]23'!$A$31:$P$31</definedName>
    <definedName name="T23?item_ext?СЦТ">'[2]23'!$A$60:$P$62,'[2]23'!$A$32:$P$34</definedName>
    <definedName name="T23_Protection" localSheetId="6">'[2]23'!$A$60:$A$62,'[2]23'!$F$60:$J$62,'[2]23'!$O$60:$P$62,'[2]23'!$A$9:$A$25,P1_T23_Protection</definedName>
    <definedName name="T23_Protection" localSheetId="7">'[2]23'!$A$60:$A$62,'[2]23'!$F$60:$J$62,'[2]23'!$O$60:$P$62,'[2]23'!$A$9:$A$25,P1_T23_Protection</definedName>
    <definedName name="T23_Protection" localSheetId="8">'[2]23'!$A$60:$A$62,'[2]23'!$F$60:$J$62,'[2]23'!$O$60:$P$62,'[2]23'!$A$9:$A$25,[0]!P1_T23_Protection</definedName>
    <definedName name="T23_Protection" localSheetId="15">'[2]23'!$A$60:$A$62,'[2]23'!$F$60:$J$62,'[2]23'!$O$60:$P$62,'[2]23'!$A$9:$A$25,P1_T23_Protection</definedName>
    <definedName name="T23_Protection" localSheetId="16">'[2]23'!$A$60:$A$62,'[2]23'!$F$60:$J$62,'[2]23'!$O$60:$P$62,'[2]23'!$A$9:$A$25,P1_T23_Protection</definedName>
    <definedName name="T23_Protection" localSheetId="11">'[2]23'!$A$60:$A$62,'[2]23'!$F$60:$J$62,'[2]23'!$O$60:$P$62,'[2]23'!$A$9:$A$25,P1_T23_Protection</definedName>
    <definedName name="T23_Protection" localSheetId="12">'[2]23'!$A$60:$A$62,'[2]23'!$F$60:$J$62,'[2]23'!$O$60:$P$62,'[2]23'!$A$9:$A$25,P1_T23_Protection</definedName>
    <definedName name="T23_Protection" localSheetId="9">'[2]23'!$A$60:$A$62,'[2]23'!$F$60:$J$62,'[2]23'!$O$60:$P$62,'[2]23'!$A$9:$A$25,P1_T23_Protection</definedName>
    <definedName name="T23_Protection" localSheetId="0">'[2]23'!$A$60:$A$62,'[2]23'!$F$60:$J$62,'[2]23'!$O$60:$P$62,'[2]23'!$A$9:$A$25,P1_T23_Protection</definedName>
    <definedName name="T23_Protection" localSheetId="1">'[2]23'!$A$60:$A$62,'[2]23'!$F$60:$J$62,'[2]23'!$O$60:$P$62,'[2]23'!$A$9:$A$25,P1_T23_Protection</definedName>
    <definedName name="T23_Protection" localSheetId="3">'[2]23'!$A$60:$A$62,'[2]23'!$F$60:$J$62,'[2]23'!$O$60:$P$62,'[2]23'!$A$9:$A$25,P1_T23_Protection</definedName>
    <definedName name="T23_Protection" localSheetId="4">'[2]23'!$A$60:$A$62,'[2]23'!$F$60:$J$62,'[2]23'!$O$60:$P$62,'[2]23'!$A$9:$A$25,P1_T23_Protection</definedName>
    <definedName name="T23_Protection" localSheetId="5">'[2]23'!$A$60:$A$62,'[2]23'!$F$60:$J$62,'[2]23'!$O$60:$P$62,'[2]23'!$A$9:$A$25,P1_T23_Protection</definedName>
    <definedName name="T23_Protection" localSheetId="14">'[2]23'!$A$60:$A$62,'[2]23'!$F$60:$J$62,'[2]23'!$O$60:$P$62,'[2]23'!$A$9:$A$25,P1_T23_Protection</definedName>
    <definedName name="T23_Protection" localSheetId="17">'[2]23'!$A$60:$A$62,'[2]23'!$F$60:$J$62,'[2]23'!$O$60:$P$62,'[2]23'!$A$9:$A$25,P1_T23_Protection</definedName>
    <definedName name="T23_Protection" localSheetId="18">'[2]23'!$A$60:$A$62,'[2]23'!$F$60:$J$62,'[2]23'!$O$60:$P$62,'[2]23'!$A$9:$A$25,P1_T23_Protection</definedName>
    <definedName name="T23_Protection" localSheetId="19">'[2]23'!$A$60:$A$62,'[2]23'!$F$60:$J$62,'[2]23'!$O$60:$P$62,'[2]23'!$A$9:$A$25,P1_T23_Protection</definedName>
    <definedName name="T23_Protection">'[2]23'!$A$60:$A$62,'[2]23'!$F$60:$J$62,'[2]23'!$O$60:$P$62,'[2]23'!$A$9:$A$25,P1_T23_Protection</definedName>
    <definedName name="T24?Columns">'[1]24'!$G$5:$K$5</definedName>
    <definedName name="T24?ItemComments">'[1]24'!$F$6:$F$45</definedName>
    <definedName name="T24?Items">'[1]24'!$D$6:$D$45</definedName>
    <definedName name="T24?Scope">'[1]24'!$G$6:$K$45</definedName>
    <definedName name="T24?Units">'[1]24'!$E$6:$E$45</definedName>
    <definedName name="T24?НАП">'[1]24'!$B$6:$B$45</definedName>
    <definedName name="T24_Protection">'[2]24'!$E$24:$H$37,'[2]24'!$B$35:$B$37,'[2]24'!$E$41:$H$42,'[2]24'!$J$8:$M$21,'[2]24'!$J$24:$M$37,'[2]24'!$J$41:$M$42,'[2]24'!$E$8:$H$21</definedName>
    <definedName name="T25?Columns">'[1]25'!$G$5:$K$5</definedName>
    <definedName name="T25?ItemComments">'[1]25'!$F$6:$F$43</definedName>
    <definedName name="T25?Items">'[1]25'!$D$6:$D$43</definedName>
    <definedName name="T25?Scope">'[1]25'!$G$6:$K$43</definedName>
    <definedName name="T25?Units">'[1]25'!$E$6:$E$43</definedName>
    <definedName name="T25?НАП">'[1]25'!$B$10:$B$43</definedName>
    <definedName name="T25_Protect">'[1]25'!$G$6:$K$8</definedName>
    <definedName name="T25_protection" localSheetId="6">P1_T25_protection,P2_T25_protection</definedName>
    <definedName name="T25_protection" localSheetId="7">P1_T25_protection,P2_T25_protection</definedName>
    <definedName name="T25_protection" localSheetId="8">[0]!P1_T25_protection,[0]!P2_T25_protection</definedName>
    <definedName name="T25_protection" localSheetId="15">P1_T25_protection,P2_T25_protection</definedName>
    <definedName name="T25_protection" localSheetId="16">P1_T25_protection,P2_T25_protection</definedName>
    <definedName name="T25_protection" localSheetId="11">P1_T25_protection,P2_T25_protection</definedName>
    <definedName name="T25_protection" localSheetId="12">P1_T25_protection,P2_T25_protection</definedName>
    <definedName name="T25_protection" localSheetId="9">P1_T25_protection,P2_T25_protection</definedName>
    <definedName name="T25_protection" localSheetId="0">P1_T25_protection,P2_T25_protection</definedName>
    <definedName name="T25_protection" localSheetId="1">P1_T25_protection,P2_T25_protection</definedName>
    <definedName name="T25_protection" localSheetId="3">P1_T25_protection,P2_T25_protection</definedName>
    <definedName name="T25_protection" localSheetId="4">P1_T25_protection,P2_T25_protection</definedName>
    <definedName name="T25_protection" localSheetId="5">P1_T25_protection,P2_T25_protection</definedName>
    <definedName name="T25_protection" localSheetId="14">P1_T25_protection,P2_T25_protection</definedName>
    <definedName name="T25_protection" localSheetId="17">P1_T25_protection,P2_T25_protection</definedName>
    <definedName name="T25_protection" localSheetId="18">P1_T25_protection,P2_T25_protection</definedName>
    <definedName name="T25_protection" localSheetId="19">P1_T25_protection,P2_T25_protection</definedName>
    <definedName name="T25_protection">P1_T25_protection,P2_T25_protection</definedName>
    <definedName name="T26?axis?R?ВРАС">'[2]26'!$C$34:$N$36,'[2]26'!$C$22:$N$24</definedName>
    <definedName name="T26?axis?R?ВРАС?">'[2]26'!$B$34:$B$36,'[2]26'!$B$22:$B$24</definedName>
    <definedName name="T26?L1">'[2]26'!$F$8:$N$8,'[2]26'!$C$8:$D$8</definedName>
    <definedName name="T26?L1.1">'[2]26'!$F$10:$N$10,'[2]26'!$C$10:$D$10</definedName>
    <definedName name="T26?L2">'[2]26'!$F$11:$N$11,'[2]26'!$C$11:$D$11</definedName>
    <definedName name="T26?L2.1">'[2]26'!$F$13:$N$13,'[2]26'!$C$13:$D$13</definedName>
    <definedName name="T26?L3">'[2]26'!$F$14:$N$14,'[2]26'!$C$14:$D$14</definedName>
    <definedName name="T26?L4">'[2]26'!$F$15:$N$15,'[2]26'!$C$15:$D$15</definedName>
    <definedName name="T26?L5">'[2]26'!$F$16:$N$16,'[2]26'!$C$16:$D$16</definedName>
    <definedName name="T26?L5.1">'[2]26'!$F$18:$N$18,'[2]26'!$C$18:$D$18</definedName>
    <definedName name="T26?L5.2">'[2]26'!$F$19:$N$19,'[2]26'!$C$19:$D$19</definedName>
    <definedName name="T26?L5.3">'[2]26'!$F$20:$N$20,'[2]26'!$C$20:$D$20</definedName>
    <definedName name="T26?L5.3.x">'[2]26'!$F$22:$N$24,'[2]26'!$C$22:$D$24</definedName>
    <definedName name="T26?L6">'[2]26'!$F$26:$N$26,'[2]26'!$C$26:$D$26</definedName>
    <definedName name="T26?L7">'[2]26'!$F$27:$N$27,'[2]26'!$C$27:$D$27</definedName>
    <definedName name="T26?L7.1">'[2]26'!$F$29:$N$29,'[2]26'!$C$29:$D$29</definedName>
    <definedName name="T26?L7.2">'[2]26'!$F$30:$N$30,'[2]26'!$C$30:$D$30</definedName>
    <definedName name="T26?L7.3">'[2]26'!$F$31:$N$31,'[2]26'!$C$31:$D$31</definedName>
    <definedName name="T26?L7.4">'[2]26'!$F$32:$N$32,'[2]26'!$C$32:$D$32</definedName>
    <definedName name="T26?L7.4.x">'[2]26'!$F$34:$N$36,'[2]26'!$C$34:$D$36</definedName>
    <definedName name="T26?L8">'[2]26'!$F$38:$N$38,'[2]26'!$C$38:$D$38</definedName>
    <definedName name="T26_Protection" localSheetId="6">'[2]26'!$K$34:$N$36,'[2]26'!$B$22:$B$24,P1_T26_Protection,P2_T26_Protection</definedName>
    <definedName name="T26_Protection" localSheetId="7">'[2]26'!$K$34:$N$36,'[2]26'!$B$22:$B$24,P1_T26_Protection,P2_T26_Protection</definedName>
    <definedName name="T26_Protection" localSheetId="8">'[2]26'!$K$34:$N$36,'[2]26'!$B$22:$B$24,[0]!P1_T26_Protection,[0]!P2_T26_Protection</definedName>
    <definedName name="T26_Protection" localSheetId="15">'[2]26'!$K$34:$N$36,'[2]26'!$B$22:$B$24,P1_T26_Protection,P2_T26_Protection</definedName>
    <definedName name="T26_Protection" localSheetId="16">'[2]26'!$K$34:$N$36,'[2]26'!$B$22:$B$24,P1_T26_Protection,P2_T26_Protection</definedName>
    <definedName name="T26_Protection" localSheetId="11">'[2]26'!$K$34:$N$36,'[2]26'!$B$22:$B$24,P1_T26_Protection,P2_T26_Protection</definedName>
    <definedName name="T26_Protection" localSheetId="12">'[2]26'!$K$34:$N$36,'[2]26'!$B$22:$B$24,P1_T26_Protection,P2_T26_Protection</definedName>
    <definedName name="T26_Protection" localSheetId="9">'[2]26'!$K$34:$N$36,'[2]26'!$B$22:$B$24,P1_T26_Protection,P2_T26_Protection</definedName>
    <definedName name="T26_Protection" localSheetId="0">'[2]26'!$K$34:$N$36,'[2]26'!$B$22:$B$24,P1_T26_Protection,P2_T26_Protection</definedName>
    <definedName name="T26_Protection" localSheetId="1">'[2]26'!$K$34:$N$36,'[2]26'!$B$22:$B$24,P1_T26_Protection,P2_T26_Protection</definedName>
    <definedName name="T26_Protection" localSheetId="3">'[2]26'!$K$34:$N$36,'[2]26'!$B$22:$B$24,P1_T26_Protection,P2_T26_Protection</definedName>
    <definedName name="T26_Protection" localSheetId="4">'[2]26'!$K$34:$N$36,'[2]26'!$B$22:$B$24,P1_T26_Protection,P2_T26_Protection</definedName>
    <definedName name="T26_Protection" localSheetId="5">'[2]26'!$K$34:$N$36,'[2]26'!$B$22:$B$24,P1_T26_Protection,P2_T26_Protection</definedName>
    <definedName name="T26_Protection" localSheetId="14">'[2]26'!$K$34:$N$36,'[2]26'!$B$22:$B$24,P1_T26_Protection,P2_T26_Protection</definedName>
    <definedName name="T26_Protection" localSheetId="17">'[2]26'!$K$34:$N$36,'[2]26'!$B$22:$B$24,P1_T26_Protection,P2_T26_Protection</definedName>
    <definedName name="T26_Protection" localSheetId="18">'[2]26'!$K$34:$N$36,'[2]26'!$B$22:$B$24,P1_T26_Protection,P2_T26_Protection</definedName>
    <definedName name="T26_Protection" localSheetId="19">'[2]26'!$K$34:$N$36,'[2]26'!$B$22:$B$24,P1_T26_Protection,P2_T26_Protection</definedName>
    <definedName name="T26_Protection">'[2]26'!$K$34:$N$36,'[2]26'!$B$22:$B$24,P1_T26_Protection,P2_T26_Protection</definedName>
    <definedName name="T27?axis?R?ВРАС">'[2]27'!$C$34:$S$36,'[2]27'!$C$22:$S$24</definedName>
    <definedName name="T27?axis?R?ВРАС?">'[2]27'!$B$34:$B$36,'[2]27'!$B$22:$B$24</definedName>
    <definedName name="T27?Items">'[1]27'!$A$8:$A$35</definedName>
    <definedName name="T27?L1.1">'[2]27'!$F$10:$S$10,'[2]27'!$C$10:$D$10</definedName>
    <definedName name="T27?L2.1">'[2]27'!$F$13:$S$13,'[2]27'!$C$13:$D$13</definedName>
    <definedName name="T27?L5.3">'[2]27'!$F$20:$S$20,'[2]27'!$C$20:$D$20</definedName>
    <definedName name="T27?L5.3.x">'[2]27'!$F$22:$S$24,'[2]27'!$C$22:$D$24</definedName>
    <definedName name="T27?L7">'[2]27'!$F$27:$S$27,'[2]27'!$C$27:$D$27</definedName>
    <definedName name="T27?L7.1">'[2]27'!$F$29:$S$29,'[2]27'!$C$29:$D$29</definedName>
    <definedName name="T27?L7.2">'[2]27'!$F$30:$S$30,'[2]27'!$C$30:$D$30</definedName>
    <definedName name="T27?L7.3">'[2]27'!$F$31:$S$31,'[2]27'!$C$31:$D$31</definedName>
    <definedName name="T27?L7.4">'[2]27'!$F$32:$S$32,'[2]27'!$C$32:$D$32</definedName>
    <definedName name="T27?L7.4.x">'[2]27'!$F$34:$S$36,'[2]27'!$C$34:$D$36</definedName>
    <definedName name="T27?L8">'[2]27'!$F$38:$S$38,'[2]27'!$C$38:$D$38</definedName>
    <definedName name="T27?Scope">'[1]27'!$D$8:$BM$35</definedName>
    <definedName name="T27?НАП">'[1]27'!$D$6:$BM$6</definedName>
    <definedName name="T27?ПОТ">'[1]27'!$D$4:$BM$4</definedName>
    <definedName name="T27_Protect">'[6]27'!$E$12:$E$13,'[6]27'!$K$4:$AH$4,'[6]27'!$AK$12:$AK$13</definedName>
    <definedName name="T27_Protection" localSheetId="6">'[2]27'!$P$34:$S$36,'[2]27'!$B$22:$B$24,P1_T27_Protection,P2_T27_Protection,P3_T27_Protection</definedName>
    <definedName name="T27_Protection" localSheetId="7">'[2]27'!$P$34:$S$36,'[2]27'!$B$22:$B$24,P1_T27_Protection,P2_T27_Protection,P3_T27_Protection</definedName>
    <definedName name="T27_Protection" localSheetId="8">'[2]27'!$P$34:$S$36,'[2]27'!$B$22:$B$24,[0]!P1_T27_Protection,[0]!P2_T27_Protection,[0]!P3_T27_Protection</definedName>
    <definedName name="T27_Protection" localSheetId="15">'[2]27'!$P$34:$S$36,'[2]27'!$B$22:$B$24,P1_T27_Protection,P2_T27_Protection,P3_T27_Protection</definedName>
    <definedName name="T27_Protection" localSheetId="16">'[2]27'!$P$34:$S$36,'[2]27'!$B$22:$B$24,P1_T27_Protection,P2_T27_Protection,P3_T27_Protection</definedName>
    <definedName name="T27_Protection" localSheetId="11">'[2]27'!$P$34:$S$36,'[2]27'!$B$22:$B$24,P1_T27_Protection,P2_T27_Protection,P3_T27_Protection</definedName>
    <definedName name="T27_Protection" localSheetId="12">'[2]27'!$P$34:$S$36,'[2]27'!$B$22:$B$24,P1_T27_Protection,P2_T27_Protection,P3_T27_Protection</definedName>
    <definedName name="T27_Protection" localSheetId="9">'[2]27'!$P$34:$S$36,'[2]27'!$B$22:$B$24,P1_T27_Protection,P2_T27_Protection,P3_T27_Protection</definedName>
    <definedName name="T27_Protection" localSheetId="0">'[2]27'!$P$34:$S$36,'[2]27'!$B$22:$B$24,P1_T27_Protection,P2_T27_Protection,P3_T27_Protection</definedName>
    <definedName name="T27_Protection" localSheetId="1">'[2]27'!$P$34:$S$36,'[2]27'!$B$22:$B$24,P1_T27_Protection,P2_T27_Protection,P3_T27_Protection</definedName>
    <definedName name="T27_Protection" localSheetId="3">'[2]27'!$P$34:$S$36,'[2]27'!$B$22:$B$24,P1_T27_Protection,P2_T27_Protection,P3_T27_Protection</definedName>
    <definedName name="T27_Protection" localSheetId="4">'[2]27'!$P$34:$S$36,'[2]27'!$B$22:$B$24,P1_T27_Protection,P2_T27_Protection,P3_T27_Protection</definedName>
    <definedName name="T27_Protection" localSheetId="5">'[2]27'!$P$34:$S$36,'[2]27'!$B$22:$B$24,P1_T27_Protection,P2_T27_Protection,P3_T27_Protection</definedName>
    <definedName name="T27_Protection" localSheetId="14">'[2]27'!$P$34:$S$36,'[2]27'!$B$22:$B$24,P1_T27_Protection,P2_T27_Protection,P3_T27_Protection</definedName>
    <definedName name="T27_Protection" localSheetId="17">'[2]27'!$P$34:$S$36,'[2]27'!$B$22:$B$24,P1_T27_Protection,P2_T27_Protection,P3_T27_Protection</definedName>
    <definedName name="T27_Protection" localSheetId="18">'[2]27'!$P$34:$S$36,'[2]27'!$B$22:$B$24,P1_T27_Protection,P2_T27_Protection,P3_T27_Protection</definedName>
    <definedName name="T27_Protection" localSheetId="19">'[2]27'!$P$34:$S$36,'[2]27'!$B$22:$B$24,P1_T27_Protection,P2_T27_Protection,P3_T27_Protection</definedName>
    <definedName name="T27_Protection">'[2]27'!$P$34:$S$36,'[2]27'!$B$22:$B$24,P1_T27_Protection,P2_T27_Protection,P3_T27_Protection</definedName>
    <definedName name="T28.3?unit?РУБ.ГКАЛ" localSheetId="6">P1_T28.3?unit?РУБ.ГКАЛ,P2_T28.3?unit?РУБ.ГКАЛ</definedName>
    <definedName name="T28.3?unit?РУБ.ГКАЛ" localSheetId="7">P1_T28.3?unit?РУБ.ГКАЛ,P2_T28.3?unit?РУБ.ГКАЛ</definedName>
    <definedName name="T28.3?unit?РУБ.ГКАЛ" localSheetId="8">P1_T28.3?unit?РУБ.ГКАЛ,P2_T28.3?unit?РУБ.ГКАЛ</definedName>
    <definedName name="T28.3?unit?РУБ.ГКАЛ" localSheetId="15">P1_T28.3?unit?РУБ.ГКАЛ,P2_T28.3?unit?РУБ.ГКАЛ</definedName>
    <definedName name="T28.3?unit?РУБ.ГКАЛ" localSheetId="16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12">P1_T28.3?unit?РУБ.ГКАЛ,P2_T28.3?unit?РУБ.ГКАЛ</definedName>
    <definedName name="T28.3?unit?РУБ.ГКАЛ" localSheetId="9">P1_T28.3?unit?РУБ.ГКАЛ,P2_T28.3?unit?РУБ.ГКАЛ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4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14">P1_T28.3?unit?РУБ.ГКАЛ,P2_T28.3?unit?РУБ.ГКАЛ</definedName>
    <definedName name="T28.3?unit?РУБ.ГКАЛ" localSheetId="17">P1_T28.3?unit?РУБ.ГКАЛ,P2_T28.3?unit?РУБ.ГКАЛ</definedName>
    <definedName name="T28.3?unit?РУБ.ГКАЛ" localSheetId="18">P1_T28.3?unit?РУБ.ГКАЛ,P2_T28.3?unit?РУБ.ГКАЛ</definedName>
    <definedName name="T28.3?unit?РУБ.ГКАЛ" localSheetId="19">P1_T28.3?unit?РУБ.ГКАЛ,P2_T28.3?unit?РУБ.ГКАЛ</definedName>
    <definedName name="T28.3?unit?РУБ.ГКАЛ">P1_T28.3?unit?РУБ.ГКАЛ,P2_T28.3?unit?РУБ.ГКАЛ</definedName>
    <definedName name="T28?axis?R?ПЭ" localSheetId="6">P2_T28?axis?R?ПЭ,P3_T28?axis?R?ПЭ,P4_T28?axis?R?ПЭ,P5_T28?axis?R?ПЭ,' (стр.15)'!P6_T28?axis?R?ПЭ</definedName>
    <definedName name="T28?axis?R?ПЭ" localSheetId="7">P2_T28?axis?R?ПЭ,P3_T28?axis?R?ПЭ,P4_T28?axis?R?ПЭ,P5_T28?axis?R?ПЭ,'(стр.16)'!P6_T28?axis?R?ПЭ</definedName>
    <definedName name="T28?axis?R?ПЭ" localSheetId="8">[0]!P2_T28?axis?R?ПЭ,[0]!P3_T28?axis?R?ПЭ,[0]!P4_T28?axis?R?ПЭ,[0]!P5_T28?axis?R?ПЭ,'(Стр.17)'!P6_T28?axis?R?ПЭ</definedName>
    <definedName name="T28?axis?R?ПЭ" localSheetId="15">P2_T28?axis?R?ПЭ,P3_T28?axis?R?ПЭ,P4_T28?axis?R?ПЭ,P5_T28?axis?R?ПЭ,'C1 2016'!P6_T28?axis?R?ПЭ</definedName>
    <definedName name="T28?axis?R?ПЭ" localSheetId="16">P2_T28?axis?R?ПЭ,P3_T28?axis?R?ПЭ,P4_T28?axis?R?ПЭ,P5_T28?axis?R?ПЭ,'C1 2017'!P6_T28?axis?R?ПЭ</definedName>
    <definedName name="T28?axis?R?ПЭ" localSheetId="11">P2_T28?axis?R?ПЭ,P3_T28?axis?R?ПЭ,P4_T28?axis?R?ПЭ,P5_T28?axis?R?ПЭ,'Выручка, УО_ 2015'!P6_T28?axis?R?ПЭ</definedName>
    <definedName name="T28?axis?R?ПЭ" localSheetId="12">P2_T28?axis?R?ПЭ,P3_T28?axis?R?ПЭ,P4_T28?axis?R?ПЭ,P5_T28?axis?R?ПЭ,'Выручка, УО_ 2016'!P6_T28?axis?R?ПЭ</definedName>
    <definedName name="T28?axis?R?ПЭ" localSheetId="9">P2_T28?axis?R?ПЭ,P3_T28?axis?R?ПЭ,P4_T28?axis?R?ПЭ,P5_T28?axis?R?ПЭ,'Затр.2015-2017, 6мес 2018 '!P6_T28?axis?R?ПЭ</definedName>
    <definedName name="T28?axis?R?ПЭ" localSheetId="0">P2_T28?axis?R?ПЭ,P3_T28?axis?R?ПЭ,P4_T28?axis?R?ПЭ,P5_T28?axis?R?ПЭ,'НВВ ТБР'!P6_T28?axis?R?ПЭ</definedName>
    <definedName name="T28?axis?R?ПЭ" localSheetId="1">P2_T28?axis?R?ПЭ,P3_T28?axis?R?ПЭ,P4_T28?axis?R?ПЭ,P5_T28?axis?R?ПЭ,'Приложение 1'!P6_T28?axis?R?ПЭ</definedName>
    <definedName name="T28?axis?R?ПЭ" localSheetId="3">P2_T28?axis?R?ПЭ,P3_T28?axis?R?ПЭ,P4_T28?axis?R?ПЭ,P5_T28?axis?R?ПЭ,'Приложение 2'!P6_T28?axis?R?ПЭ</definedName>
    <definedName name="T28?axis?R?ПЭ" localSheetId="4">P2_T28?axis?R?ПЭ,P3_T28?axis?R?ПЭ,P4_T28?axis?R?ПЭ,P5_T28?axis?R?ПЭ,'Приложение 3'!P6_T28?axis?R?ПЭ</definedName>
    <definedName name="T28?axis?R?ПЭ" localSheetId="5">P2_T28?axis?R?ПЭ,P3_T28?axis?R?ПЭ,P4_T28?axis?R?ПЭ,P5_T28?axis?R?ПЭ,'Приложение 5'!P6_T28?axis?R?ПЭ</definedName>
    <definedName name="T28?axis?R?ПЭ" localSheetId="14">P2_T28?axis?R?ПЭ,P3_T28?axis?R?ПЭ,P4_T28?axis?R?ПЭ,P5_T28?axis?R?ПЭ,'С1 2015'!P6_T28?axis?R?ПЭ</definedName>
    <definedName name="T28?axis?R?ПЭ" localSheetId="17">P2_T28?axis?R?ПЭ,P3_T28?axis?R?ПЭ,P4_T28?axis?R?ПЭ,P5_T28?axis?R?ПЭ,'СС 2015'!P6_T28?axis?R?ПЭ</definedName>
    <definedName name="T28?axis?R?ПЭ" localSheetId="18">P2_T28?axis?R?ПЭ,P3_T28?axis?R?ПЭ,P4_T28?axis?R?ПЭ,P5_T28?axis?R?ПЭ,'СС 2016'!P6_T28?axis?R?ПЭ</definedName>
    <definedName name="T28?axis?R?ПЭ" localSheetId="19">P2_T28?axis?R?ПЭ,P3_T28?axis?R?ПЭ,P4_T28?axis?R?ПЭ,P5_T28?axis?R?ПЭ,'СС2017 '!P6_T28?axis?R?ПЭ</definedName>
    <definedName name="T28?axis?R?ПЭ">P2_T28?axis?R?ПЭ,P3_T28?axis?R?ПЭ,P4_T28?axis?R?ПЭ,P5_T28?axis?R?ПЭ,P6_T28?axis?R?ПЭ</definedName>
    <definedName name="T28?axis?R?ПЭ?" localSheetId="6">P2_T28?axis?R?ПЭ?,P3_T28?axis?R?ПЭ?,P4_T28?axis?R?ПЭ?,P5_T28?axis?R?ПЭ?,' (стр.15)'!P6_T28?axis?R?ПЭ?</definedName>
    <definedName name="T28?axis?R?ПЭ?" localSheetId="7">P2_T28?axis?R?ПЭ?,P3_T28?axis?R?ПЭ?,P4_T28?axis?R?ПЭ?,P5_T28?axis?R?ПЭ?,'(стр.16)'!P6_T28?axis?R?ПЭ?</definedName>
    <definedName name="T28?axis?R?ПЭ?" localSheetId="8">[0]!P2_T28?axis?R?ПЭ?,[0]!P3_T28?axis?R?ПЭ?,[0]!P4_T28?axis?R?ПЭ?,[0]!P5_T28?axis?R?ПЭ?,'(Стр.17)'!P6_T28?axis?R?ПЭ?</definedName>
    <definedName name="T28?axis?R?ПЭ?" localSheetId="15">P2_T28?axis?R?ПЭ?,P3_T28?axis?R?ПЭ?,P4_T28?axis?R?ПЭ?,P5_T28?axis?R?ПЭ?,'C1 2016'!P6_T28?axis?R?ПЭ?</definedName>
    <definedName name="T28?axis?R?ПЭ?" localSheetId="16">P2_T28?axis?R?ПЭ?,P3_T28?axis?R?ПЭ?,P4_T28?axis?R?ПЭ?,P5_T28?axis?R?ПЭ?,'C1 2017'!P6_T28?axis?R?ПЭ?</definedName>
    <definedName name="T28?axis?R?ПЭ?" localSheetId="11">P2_T28?axis?R?ПЭ?,P3_T28?axis?R?ПЭ?,P4_T28?axis?R?ПЭ?,P5_T28?axis?R?ПЭ?,'Выручка, УО_ 2015'!P6_T28?axis?R?ПЭ?</definedName>
    <definedName name="T28?axis?R?ПЭ?" localSheetId="12">P2_T28?axis?R?ПЭ?,P3_T28?axis?R?ПЭ?,P4_T28?axis?R?ПЭ?,P5_T28?axis?R?ПЭ?,'Выручка, УО_ 2016'!P6_T28?axis?R?ПЭ?</definedName>
    <definedName name="T28?axis?R?ПЭ?" localSheetId="9">P2_T28?axis?R?ПЭ?,P3_T28?axis?R?ПЭ?,P4_T28?axis?R?ПЭ?,P5_T28?axis?R?ПЭ?,'Затр.2015-2017, 6мес 2018 '!P6_T28?axis?R?ПЭ?</definedName>
    <definedName name="T28?axis?R?ПЭ?" localSheetId="0">P2_T28?axis?R?ПЭ?,P3_T28?axis?R?ПЭ?,P4_T28?axis?R?ПЭ?,P5_T28?axis?R?ПЭ?,'НВВ ТБР'!P6_T28?axis?R?ПЭ?</definedName>
    <definedName name="T28?axis?R?ПЭ?" localSheetId="1">P2_T28?axis?R?ПЭ?,P3_T28?axis?R?ПЭ?,P4_T28?axis?R?ПЭ?,P5_T28?axis?R?ПЭ?,'Приложение 1'!P6_T28?axis?R?ПЭ?</definedName>
    <definedName name="T28?axis?R?ПЭ?" localSheetId="3">P2_T28?axis?R?ПЭ?,P3_T28?axis?R?ПЭ?,P4_T28?axis?R?ПЭ?,P5_T28?axis?R?ПЭ?,'Приложение 2'!P6_T28?axis?R?ПЭ?</definedName>
    <definedName name="T28?axis?R?ПЭ?" localSheetId="4">P2_T28?axis?R?ПЭ?,P3_T28?axis?R?ПЭ?,P4_T28?axis?R?ПЭ?,P5_T28?axis?R?ПЭ?,'Приложение 3'!P6_T28?axis?R?ПЭ?</definedName>
    <definedName name="T28?axis?R?ПЭ?" localSheetId="5">P2_T28?axis?R?ПЭ?,P3_T28?axis?R?ПЭ?,P4_T28?axis?R?ПЭ?,P5_T28?axis?R?ПЭ?,'Приложение 5'!P6_T28?axis?R?ПЭ?</definedName>
    <definedName name="T28?axis?R?ПЭ?" localSheetId="14">P2_T28?axis?R?ПЭ?,P3_T28?axis?R?ПЭ?,P4_T28?axis?R?ПЭ?,P5_T28?axis?R?ПЭ?,'С1 2015'!P6_T28?axis?R?ПЭ?</definedName>
    <definedName name="T28?axis?R?ПЭ?" localSheetId="17">P2_T28?axis?R?ПЭ?,P3_T28?axis?R?ПЭ?,P4_T28?axis?R?ПЭ?,P5_T28?axis?R?ПЭ?,'СС 2015'!P6_T28?axis?R?ПЭ?</definedName>
    <definedName name="T28?axis?R?ПЭ?" localSheetId="18">P2_T28?axis?R?ПЭ?,P3_T28?axis?R?ПЭ?,P4_T28?axis?R?ПЭ?,P5_T28?axis?R?ПЭ?,'СС 2016'!P6_T28?axis?R?ПЭ?</definedName>
    <definedName name="T28?axis?R?ПЭ?" localSheetId="19">P2_T28?axis?R?ПЭ?,P3_T28?axis?R?ПЭ?,P4_T28?axis?R?ПЭ?,P5_T28?axis?R?ПЭ?,'СС2017 '!P6_T28?axis?R?ПЭ?</definedName>
    <definedName name="T28?axis?R?ПЭ?">P2_T28?axis?R?ПЭ?,P3_T28?axis?R?ПЭ?,P4_T28?axis?R?ПЭ?,P5_T28?axis?R?ПЭ?,P6_T28?axis?R?ПЭ?</definedName>
    <definedName name="T28?Data" localSheetId="6">'[2]28'!$D$190:$E$213,'[2]28'!$G$164:$H$187,'[2]28'!$D$164:$E$187,'[2]28'!$D$138:$I$161,'[2]28'!$D$8:$I$109,'[2]28'!$D$112:$I$135,P1_T28?Data</definedName>
    <definedName name="T28?Data" localSheetId="7">'[2]28'!$D$190:$E$213,'[2]28'!$G$164:$H$187,'[2]28'!$D$164:$E$187,'[2]28'!$D$138:$I$161,'[2]28'!$D$8:$I$109,'[2]28'!$D$112:$I$135,P1_T28?Data</definedName>
    <definedName name="T28?Data" localSheetId="8">'[2]28'!$D$190:$E$213,'[2]28'!$G$164:$H$187,'[2]28'!$D$164:$E$187,'[2]28'!$D$138:$I$161,'[2]28'!$D$8:$I$109,'[2]28'!$D$112:$I$135,[0]!P1_T28?Data</definedName>
    <definedName name="T28?Data" localSheetId="15">'[2]28'!$D$190:$E$213,'[2]28'!$G$164:$H$187,'[2]28'!$D$164:$E$187,'[2]28'!$D$138:$I$161,'[2]28'!$D$8:$I$109,'[2]28'!$D$112:$I$135,P1_T28?Data</definedName>
    <definedName name="T28?Data" localSheetId="16">'[2]28'!$D$190:$E$213,'[2]28'!$G$164:$H$187,'[2]28'!$D$164:$E$187,'[2]28'!$D$138:$I$161,'[2]28'!$D$8:$I$109,'[2]28'!$D$112:$I$135,P1_T28?Data</definedName>
    <definedName name="T28?Data" localSheetId="11">'[2]28'!$D$190:$E$213,'[2]28'!$G$164:$H$187,'[2]28'!$D$164:$E$187,'[2]28'!$D$138:$I$161,'[2]28'!$D$8:$I$109,'[2]28'!$D$112:$I$135,P1_T28?Data</definedName>
    <definedName name="T28?Data" localSheetId="12">'[2]28'!$D$190:$E$213,'[2]28'!$G$164:$H$187,'[2]28'!$D$164:$E$187,'[2]28'!$D$138:$I$161,'[2]28'!$D$8:$I$109,'[2]28'!$D$112:$I$135,P1_T28?Data</definedName>
    <definedName name="T28?Data" localSheetId="9">'[2]28'!$D$190:$E$213,'[2]28'!$G$164:$H$187,'[2]28'!$D$164:$E$187,'[2]28'!$D$138:$I$161,'[2]28'!$D$8:$I$109,'[2]28'!$D$112:$I$135,P1_T28?Data</definedName>
    <definedName name="T28?Data" localSheetId="0">'[2]28'!$D$190:$E$213,'[2]28'!$G$164:$H$187,'[2]28'!$D$164:$E$187,'[2]28'!$D$138:$I$161,'[2]28'!$D$8:$I$109,'[2]28'!$D$112:$I$135,P1_T28?Data</definedName>
    <definedName name="T28?Data" localSheetId="1">'[2]28'!$D$190:$E$213,'[2]28'!$G$164:$H$187,'[2]28'!$D$164:$E$187,'[2]28'!$D$138:$I$161,'[2]28'!$D$8:$I$109,'[2]28'!$D$112:$I$135,P1_T28?Data</definedName>
    <definedName name="T28?Data" localSheetId="3">'[2]28'!$D$190:$E$213,'[2]28'!$G$164:$H$187,'[2]28'!$D$164:$E$187,'[2]28'!$D$138:$I$161,'[2]28'!$D$8:$I$109,'[2]28'!$D$112:$I$135,P1_T28?Data</definedName>
    <definedName name="T28?Data" localSheetId="4">'[2]28'!$D$190:$E$213,'[2]28'!$G$164:$H$187,'[2]28'!$D$164:$E$187,'[2]28'!$D$138:$I$161,'[2]28'!$D$8:$I$109,'[2]28'!$D$112:$I$135,P1_T28?Data</definedName>
    <definedName name="T28?Data" localSheetId="5">'[2]28'!$D$190:$E$213,'[2]28'!$G$164:$H$187,'[2]28'!$D$164:$E$187,'[2]28'!$D$138:$I$161,'[2]28'!$D$8:$I$109,'[2]28'!$D$112:$I$135,P1_T28?Data</definedName>
    <definedName name="T28?Data" localSheetId="14">'[2]28'!$D$190:$E$213,'[2]28'!$G$164:$H$187,'[2]28'!$D$164:$E$187,'[2]28'!$D$138:$I$161,'[2]28'!$D$8:$I$109,'[2]28'!$D$112:$I$135,P1_T28?Data</definedName>
    <definedName name="T28?Data" localSheetId="17">'[2]28'!$D$190:$E$213,'[2]28'!$G$164:$H$187,'[2]28'!$D$164:$E$187,'[2]28'!$D$138:$I$161,'[2]28'!$D$8:$I$109,'[2]28'!$D$112:$I$135,P1_T28?Data</definedName>
    <definedName name="T28?Data" localSheetId="18">'[2]28'!$D$190:$E$213,'[2]28'!$G$164:$H$187,'[2]28'!$D$164:$E$187,'[2]28'!$D$138:$I$161,'[2]28'!$D$8:$I$109,'[2]28'!$D$112:$I$135,P1_T28?Data</definedName>
    <definedName name="T28?Data" localSheetId="19">'[2]28'!$D$190:$E$213,'[2]28'!$G$164:$H$187,'[2]28'!$D$164:$E$187,'[2]28'!$D$138:$I$161,'[2]28'!$D$8:$I$109,'[2]28'!$D$112:$I$135,P1_T28?Data</definedName>
    <definedName name="T28?Data">'[2]28'!$D$190:$E$213,'[2]28'!$G$164:$H$187,'[2]28'!$D$164:$E$187,'[2]28'!$D$138:$I$161,'[2]28'!$D$8:$I$109,'[2]28'!$D$112:$I$135,P1_T28?Data</definedName>
    <definedName name="T28?item_ext?ВСЕГО">'[2]28'!$I$8:$I$292,'[2]28'!$F$8:$F$292</definedName>
    <definedName name="T28?item_ext?ТЭ">'[2]28'!$E$8:$E$292,'[2]28'!$H$8:$H$292</definedName>
    <definedName name="T28?item_ext?ЭЭ">'[2]28'!$D$8:$D$292,'[2]28'!$G$8:$G$292</definedName>
    <definedName name="T28?L1.1.x">'[2]28'!$D$16:$I$18,'[2]28'!$D$11:$I$13</definedName>
    <definedName name="T28?L10.1.x">'[2]28'!$D$250:$I$252,'[2]28'!$D$245:$I$247</definedName>
    <definedName name="T28?L11.1.x">'[2]28'!$D$276:$I$278,'[2]28'!$D$271:$I$273</definedName>
    <definedName name="T28?L2.1.x">'[2]28'!$D$42:$I$44,'[2]28'!$D$37:$I$39</definedName>
    <definedName name="T28?L3.1.x">'[2]28'!$D$68:$I$70,'[2]28'!$D$63:$I$65</definedName>
    <definedName name="T28?L4.1.x">'[2]28'!$D$94:$I$96,'[2]28'!$D$89:$I$91</definedName>
    <definedName name="T28?L5.1.x">'[2]28'!$D$120:$I$122,'[2]28'!$D$115:$I$117</definedName>
    <definedName name="T28?L6.1.x">'[2]28'!$D$146:$I$148,'[2]28'!$D$141:$I$143</definedName>
    <definedName name="T28?L7.1.x">'[2]28'!$D$172:$I$174,'[2]28'!$D$167:$I$169</definedName>
    <definedName name="T28?L8.1.x">'[2]28'!$D$198:$I$200,'[2]28'!$D$193:$I$195</definedName>
    <definedName name="T28?L9.1.x">'[2]28'!$D$224:$I$226,'[2]28'!$D$219:$I$221</definedName>
    <definedName name="T28?unit?ГКАЛЧ">'[2]28'!$H$164:$H$187,'[2]28'!$E$164:$E$187</definedName>
    <definedName name="T28?unit?МКВТЧ">'[2]28'!$G$190:$G$213,'[2]28'!$D$190:$D$213</definedName>
    <definedName name="T28?unit?РУБ.ГКАЛ">'[2]28'!$E$216:$E$239,'[2]28'!$E$268:$E$292,'[2]28'!$H$268:$H$292,'[2]28'!$H$216:$H$239</definedName>
    <definedName name="T28?unit?РУБ.ГКАЛЧ.МЕС">'[2]28'!$H$242:$H$265,'[2]28'!$E$242:$E$265</definedName>
    <definedName name="T28?unit?РУБ.ТКВТ.МЕС">'[2]28'!$G$242:$G$265,'[2]28'!$D$242:$D$265</definedName>
    <definedName name="T28?unit?РУБ.ТКВТЧ">'[2]28'!$G$216:$G$239,'[2]28'!$D$268:$D$292,'[2]28'!$G$268:$G$292,'[2]28'!$D$216:$D$239</definedName>
    <definedName name="T28?unit?ТГКАЛ">'[2]28'!$H$190:$H$213,'[2]28'!$E$190:$E$213</definedName>
    <definedName name="T28?unit?ТКВТ">'[2]28'!$G$164:$G$187,'[2]28'!$D$164:$D$187</definedName>
    <definedName name="T28?unit?ТРУБ">'[2]28'!$D$138:$I$161,'[2]28'!$D$8:$I$109</definedName>
    <definedName name="T28_Protection" localSheetId="6">P9_T28_Protection,P10_T28_Protection,P11_T28_Protection,' (стр.15)'!P12_T28_Protection</definedName>
    <definedName name="T28_Protection" localSheetId="7">P9_T28_Protection,P10_T28_Protection,P11_T28_Protection,'(стр.16)'!P12_T28_Protection</definedName>
    <definedName name="T28_Protection" localSheetId="8">[0]!P9_T28_Protection,[0]!P10_T28_Protection,[0]!P11_T28_Protection,'(Стр.17)'!P12_T28_Protection</definedName>
    <definedName name="T28_Protection" localSheetId="15">P9_T28_Protection,P10_T28_Protection,P11_T28_Protection,'C1 2016'!P12_T28_Protection</definedName>
    <definedName name="T28_Protection" localSheetId="16">P9_T28_Protection,P10_T28_Protection,P11_T28_Protection,'C1 2017'!P12_T28_Protection</definedName>
    <definedName name="T28_Protection" localSheetId="11">P9_T28_Protection,P10_T28_Protection,P11_T28_Protection,'Выручка, УО_ 2015'!P12_T28_Protection</definedName>
    <definedName name="T28_Protection" localSheetId="12">P9_T28_Protection,P10_T28_Protection,P11_T28_Protection,'Выручка, УО_ 2016'!P12_T28_Protection</definedName>
    <definedName name="T28_Protection" localSheetId="9">P9_T28_Protection,P10_T28_Protection,P11_T28_Protection,'Затр.2015-2017, 6мес 2018 '!P12_T28_Protection</definedName>
    <definedName name="T28_Protection" localSheetId="0">P9_T28_Protection,P10_T28_Protection,P11_T28_Protection,'НВВ ТБР'!P12_T28_Protection</definedName>
    <definedName name="T28_Protection" localSheetId="1">P9_T28_Protection,P10_T28_Protection,P11_T28_Protection,'Приложение 1'!P12_T28_Protection</definedName>
    <definedName name="T28_Protection" localSheetId="3">P9_T28_Protection,P10_T28_Protection,P11_T28_Protection,'Приложение 2'!P12_T28_Protection</definedName>
    <definedName name="T28_Protection" localSheetId="4">P9_T28_Protection,P10_T28_Protection,P11_T28_Protection,'Приложение 3'!P12_T28_Protection</definedName>
    <definedName name="T28_Protection" localSheetId="5">P9_T28_Protection,P10_T28_Protection,P11_T28_Protection,'Приложение 5'!P12_T28_Protection</definedName>
    <definedName name="T28_Protection" localSheetId="14">P9_T28_Protection,P10_T28_Protection,P11_T28_Protection,'С1 2015'!P12_T28_Protection</definedName>
    <definedName name="T28_Protection" localSheetId="17">P9_T28_Protection,P10_T28_Protection,P11_T28_Protection,'СС 2015'!P12_T28_Protection</definedName>
    <definedName name="T28_Protection" localSheetId="18">P9_T28_Protection,P10_T28_Protection,P11_T28_Protection,'СС 2016'!P12_T28_Protection</definedName>
    <definedName name="T28_Protection" localSheetId="19">P9_T28_Protection,P10_T28_Protection,P11_T28_Protection,'СС2017 '!P12_T28_Protection</definedName>
    <definedName name="T28_Protection">P9_T28_Protection,P10_T28_Protection,P11_T28_Protection,P12_T28_Protection</definedName>
    <definedName name="T29?item_ext?1СТ" localSheetId="6">P1_T29?item_ext?1СТ</definedName>
    <definedName name="T29?item_ext?1СТ" localSheetId="7">P1_T29?item_ext?1СТ</definedName>
    <definedName name="T29?item_ext?1СТ" localSheetId="8">P1_T29?item_ext?1СТ</definedName>
    <definedName name="T29?item_ext?1СТ" localSheetId="15">P1_T29?item_ext?1СТ</definedName>
    <definedName name="T29?item_ext?1СТ" localSheetId="16">P1_T29?item_ext?1СТ</definedName>
    <definedName name="T29?item_ext?1СТ" localSheetId="11">P1_T29?item_ext?1СТ</definedName>
    <definedName name="T29?item_ext?1СТ" localSheetId="12">P1_T29?item_ext?1СТ</definedName>
    <definedName name="T29?item_ext?1СТ" localSheetId="9">P1_T29?item_ext?1СТ</definedName>
    <definedName name="T29?item_ext?1СТ" localSheetId="0">P1_T29?item_ext?1СТ</definedName>
    <definedName name="T29?item_ext?1СТ" localSheetId="1">P1_T29?item_ext?1СТ</definedName>
    <definedName name="T29?item_ext?1СТ" localSheetId="3">P1_T29?item_ext?1СТ</definedName>
    <definedName name="T29?item_ext?1СТ" localSheetId="4">P1_T29?item_ext?1СТ</definedName>
    <definedName name="T29?item_ext?1СТ" localSheetId="5">P1_T29?item_ext?1СТ</definedName>
    <definedName name="T29?item_ext?1СТ" localSheetId="14">P1_T29?item_ext?1СТ</definedName>
    <definedName name="T29?item_ext?1СТ" localSheetId="17">P1_T29?item_ext?1СТ</definedName>
    <definedName name="T29?item_ext?1СТ" localSheetId="18">P1_T29?item_ext?1СТ</definedName>
    <definedName name="T29?item_ext?1СТ" localSheetId="19">P1_T29?item_ext?1СТ</definedName>
    <definedName name="T29?item_ext?1СТ">P1_T29?item_ext?1СТ</definedName>
    <definedName name="T29?item_ext?2СТ.М" localSheetId="6">P1_T29?item_ext?2СТ.М</definedName>
    <definedName name="T29?item_ext?2СТ.М" localSheetId="7">P1_T29?item_ext?2СТ.М</definedName>
    <definedName name="T29?item_ext?2СТ.М" localSheetId="8">P1_T29?item_ext?2СТ.М</definedName>
    <definedName name="T29?item_ext?2СТ.М" localSheetId="15">P1_T29?item_ext?2СТ.М</definedName>
    <definedName name="T29?item_ext?2СТ.М" localSheetId="16">P1_T29?item_ext?2СТ.М</definedName>
    <definedName name="T29?item_ext?2СТ.М" localSheetId="11">P1_T29?item_ext?2СТ.М</definedName>
    <definedName name="T29?item_ext?2СТ.М" localSheetId="12">P1_T29?item_ext?2СТ.М</definedName>
    <definedName name="T29?item_ext?2СТ.М" localSheetId="9">P1_T29?item_ext?2СТ.М</definedName>
    <definedName name="T29?item_ext?2СТ.М" localSheetId="0">P1_T29?item_ext?2СТ.М</definedName>
    <definedName name="T29?item_ext?2СТ.М" localSheetId="1">P1_T29?item_ext?2СТ.М</definedName>
    <definedName name="T29?item_ext?2СТ.М" localSheetId="3">P1_T29?item_ext?2СТ.М</definedName>
    <definedName name="T29?item_ext?2СТ.М" localSheetId="4">P1_T29?item_ext?2СТ.М</definedName>
    <definedName name="T29?item_ext?2СТ.М" localSheetId="5">P1_T29?item_ext?2СТ.М</definedName>
    <definedName name="T29?item_ext?2СТ.М" localSheetId="14">P1_T29?item_ext?2СТ.М</definedName>
    <definedName name="T29?item_ext?2СТ.М" localSheetId="17">P1_T29?item_ext?2СТ.М</definedName>
    <definedName name="T29?item_ext?2СТ.М" localSheetId="18">P1_T29?item_ext?2СТ.М</definedName>
    <definedName name="T29?item_ext?2СТ.М" localSheetId="19">P1_T29?item_ext?2СТ.М</definedName>
    <definedName name="T29?item_ext?2СТ.М">P1_T29?item_ext?2СТ.М</definedName>
    <definedName name="T29?item_ext?2СТ.Э" localSheetId="6">P1_T29?item_ext?2СТ.Э</definedName>
    <definedName name="T29?item_ext?2СТ.Э" localSheetId="7">P1_T29?item_ext?2СТ.Э</definedName>
    <definedName name="T29?item_ext?2СТ.Э" localSheetId="8">P1_T29?item_ext?2СТ.Э</definedName>
    <definedName name="T29?item_ext?2СТ.Э" localSheetId="15">P1_T29?item_ext?2СТ.Э</definedName>
    <definedName name="T29?item_ext?2СТ.Э" localSheetId="16">P1_T29?item_ext?2СТ.Э</definedName>
    <definedName name="T29?item_ext?2СТ.Э" localSheetId="11">P1_T29?item_ext?2СТ.Э</definedName>
    <definedName name="T29?item_ext?2СТ.Э" localSheetId="12">P1_T29?item_ext?2СТ.Э</definedName>
    <definedName name="T29?item_ext?2СТ.Э" localSheetId="9">P1_T29?item_ext?2СТ.Э</definedName>
    <definedName name="T29?item_ext?2СТ.Э" localSheetId="0">P1_T29?item_ext?2СТ.Э</definedName>
    <definedName name="T29?item_ext?2СТ.Э" localSheetId="1">P1_T29?item_ext?2СТ.Э</definedName>
    <definedName name="T29?item_ext?2СТ.Э" localSheetId="3">P1_T29?item_ext?2СТ.Э</definedName>
    <definedName name="T29?item_ext?2СТ.Э" localSheetId="4">P1_T29?item_ext?2СТ.Э</definedName>
    <definedName name="T29?item_ext?2СТ.Э" localSheetId="5">P1_T29?item_ext?2СТ.Э</definedName>
    <definedName name="T29?item_ext?2СТ.Э" localSheetId="14">P1_T29?item_ext?2СТ.Э</definedName>
    <definedName name="T29?item_ext?2СТ.Э" localSheetId="17">P1_T29?item_ext?2СТ.Э</definedName>
    <definedName name="T29?item_ext?2СТ.Э" localSheetId="18">P1_T29?item_ext?2СТ.Э</definedName>
    <definedName name="T29?item_ext?2СТ.Э" localSheetId="19">P1_T29?item_ext?2СТ.Э</definedName>
    <definedName name="T29?item_ext?2СТ.Э">P1_T29?item_ext?2СТ.Э</definedName>
    <definedName name="T29?L10" localSheetId="6">P1_T29?L10</definedName>
    <definedName name="T29?L10" localSheetId="7">P1_T29?L10</definedName>
    <definedName name="T29?L10" localSheetId="8">P1_T29?L10</definedName>
    <definedName name="T29?L10" localSheetId="15">P1_T29?L10</definedName>
    <definedName name="T29?L10" localSheetId="16">P1_T29?L10</definedName>
    <definedName name="T29?L10" localSheetId="11">P1_T29?L10</definedName>
    <definedName name="T29?L10" localSheetId="12">P1_T29?L10</definedName>
    <definedName name="T29?L10" localSheetId="9">P1_T29?L10</definedName>
    <definedName name="T29?L10" localSheetId="0">P1_T29?L10</definedName>
    <definedName name="T29?L10" localSheetId="1">P1_T29?L10</definedName>
    <definedName name="T29?L10" localSheetId="3">P1_T29?L10</definedName>
    <definedName name="T29?L10" localSheetId="4">P1_T29?L10</definedName>
    <definedName name="T29?L10" localSheetId="5">P1_T29?L10</definedName>
    <definedName name="T29?L10" localSheetId="14">P1_T29?L10</definedName>
    <definedName name="T29?L10" localSheetId="17">P1_T29?L10</definedName>
    <definedName name="T29?L10" localSheetId="18">P1_T29?L10</definedName>
    <definedName name="T29?L10" localSheetId="19">P1_T29?L10</definedName>
    <definedName name="T29?L10">P1_T29?L10</definedName>
    <definedName name="T3?ItemComments">'[1]3'!$B$7:$B$21</definedName>
    <definedName name="T3?Items">'[1]3'!$C$7:$C$21</definedName>
    <definedName name="T3?Scope">'[1]3'!$E$7:$X$21</definedName>
    <definedName name="T3?НАП">'[1]3'!$E$5:$X$5</definedName>
    <definedName name="T3_Protect">'[1]3'!$E$8:$X$20</definedName>
    <definedName name="T4?Columns">'[1]4'!$F$7:$AD$7</definedName>
    <definedName name="T4?ItemComments">'[1]4'!$E$8:$E$29</definedName>
    <definedName name="T4?Items">'[1]4'!$C$8:$C$29</definedName>
    <definedName name="T4?Scope">'[1]4'!$F$8:$AD$29</definedName>
    <definedName name="T4?Units">'[1]4'!$D$8:$D$29</definedName>
    <definedName name="T4?НАП">'[1]4'!$F$6:$AD$6</definedName>
    <definedName name="T4_Protect" localSheetId="6">'[6]4'!$AA$24:$AD$28,'[6]4'!$G$11:$J$17,P1_T4_Protect,P2_T4_Protect</definedName>
    <definedName name="T4_Protect" localSheetId="7">'[6]4'!$AA$24:$AD$28,'[6]4'!$G$11:$J$17,P1_T4_Protect,P2_T4_Protect</definedName>
    <definedName name="T4_Protect" localSheetId="8">'[6]4'!$AA$24:$AD$28,'[6]4'!$G$11:$J$17,[0]!P1_T4_Protect,[0]!P2_T4_Protect</definedName>
    <definedName name="T4_Protect" localSheetId="15">'[6]4'!$AA$24:$AD$28,'[6]4'!$G$11:$J$17,P1_T4_Protect,P2_T4_Protect</definedName>
    <definedName name="T4_Protect" localSheetId="16">'[6]4'!$AA$24:$AD$28,'[6]4'!$G$11:$J$17,P1_T4_Protect,P2_T4_Protect</definedName>
    <definedName name="T4_Protect" localSheetId="11">'[6]4'!$AA$24:$AD$28,'[6]4'!$G$11:$J$17,P1_T4_Protect,P2_T4_Protect</definedName>
    <definedName name="T4_Protect" localSheetId="12">'[6]4'!$AA$24:$AD$28,'[6]4'!$G$11:$J$17,P1_T4_Protect,P2_T4_Protect</definedName>
    <definedName name="T4_Protect" localSheetId="9">'[6]4'!$AA$24:$AD$28,'[6]4'!$G$11:$J$17,P1_T4_Protect,P2_T4_Protect</definedName>
    <definedName name="T4_Protect" localSheetId="0">'[6]4'!$AA$24:$AD$28,'[6]4'!$G$11:$J$17,P1_T4_Protect,P2_T4_Protect</definedName>
    <definedName name="T4_Protect" localSheetId="1">'[6]4'!$AA$24:$AD$28,'[6]4'!$G$11:$J$17,P1_T4_Protect,P2_T4_Protect</definedName>
    <definedName name="T4_Protect" localSheetId="3">'[6]4'!$AA$24:$AD$28,'[6]4'!$G$11:$J$17,P1_T4_Protect,P2_T4_Protect</definedName>
    <definedName name="T4_Protect" localSheetId="4">'[6]4'!$AA$24:$AD$28,'[6]4'!$G$11:$J$17,P1_T4_Protect,P2_T4_Protect</definedName>
    <definedName name="T4_Protect" localSheetId="5">'[6]4'!$AA$24:$AD$28,'[6]4'!$G$11:$J$17,P1_T4_Protect,P2_T4_Protect</definedName>
    <definedName name="T4_Protect" localSheetId="14">'[6]4'!$AA$24:$AD$28,'[6]4'!$G$11:$J$17,P1_T4_Protect,P2_T4_Protect</definedName>
    <definedName name="T4_Protect" localSheetId="17">'[6]4'!$AA$24:$AD$28,'[6]4'!$G$11:$J$17,P1_T4_Protect,P2_T4_Protect</definedName>
    <definedName name="T4_Protect" localSheetId="18">'[6]4'!$AA$24:$AD$28,'[6]4'!$G$11:$J$17,P1_T4_Protect,P2_T4_Protect</definedName>
    <definedName name="T4_Protect" localSheetId="19">'[6]4'!$AA$24:$AD$28,'[6]4'!$G$11:$J$17,P1_T4_Protect,P2_T4_Protect</definedName>
    <definedName name="T4_Protect">'[6]4'!$AA$24:$AD$28,'[6]4'!$G$11:$J$17,P1_T4_Protect,P2_T4_Protect</definedName>
    <definedName name="T5?Columns">'[1]5'!$F$7:$AD$7</definedName>
    <definedName name="T5?ItemComments">'[1]5'!$E$8:$E$29</definedName>
    <definedName name="T5?Items">'[1]5'!$C$8:$C$29</definedName>
    <definedName name="T5?Scope">'[1]5'!$F$8:$AD$28</definedName>
    <definedName name="T5?Units">'[1]5'!$D$8:$D$29</definedName>
    <definedName name="T6?Columns">'[1]6'!$C$6:$U$6</definedName>
    <definedName name="T6?FirstYear">'[1]6'!$A$7</definedName>
    <definedName name="T6?Scope">'[1]6'!$C$7:$U$60</definedName>
    <definedName name="T6?НАП">'[1]6'!$C$5:$U$5</definedName>
    <definedName name="T6?ПОТ">'[1]6'!$B$7:$B$60</definedName>
    <definedName name="T6_Protect" localSheetId="6">'[6]6'!$B$28:$B$37,'[6]6'!$D$28:$H$37,'[6]6'!$J$28:$N$37,'[6]6'!$D$39:$H$41,'[6]6'!$J$39:$N$41,'[6]6'!$B$46:$B$55,P1_T6_Protect</definedName>
    <definedName name="T6_Protect" localSheetId="7">'[6]6'!$B$28:$B$37,'[6]6'!$D$28:$H$37,'[6]6'!$J$28:$N$37,'[6]6'!$D$39:$H$41,'[6]6'!$J$39:$N$41,'[6]6'!$B$46:$B$55,P1_T6_Protect</definedName>
    <definedName name="T6_Protect" localSheetId="8">'[6]6'!$B$28:$B$37,'[6]6'!$D$28:$H$37,'[6]6'!$J$28:$N$37,'[6]6'!$D$39:$H$41,'[6]6'!$J$39:$N$41,'[6]6'!$B$46:$B$55,[0]!P1_T6_Protect</definedName>
    <definedName name="T6_Protect" localSheetId="15">'[6]6'!$B$28:$B$37,'[6]6'!$D$28:$H$37,'[6]6'!$J$28:$N$37,'[6]6'!$D$39:$H$41,'[6]6'!$J$39:$N$41,'[6]6'!$B$46:$B$55,P1_T6_Protect</definedName>
    <definedName name="T6_Protect" localSheetId="16">'[6]6'!$B$28:$B$37,'[6]6'!$D$28:$H$37,'[6]6'!$J$28:$N$37,'[6]6'!$D$39:$H$41,'[6]6'!$J$39:$N$41,'[6]6'!$B$46:$B$55,P1_T6_Protect</definedName>
    <definedName name="T6_Protect" localSheetId="11">'[6]6'!$B$28:$B$37,'[6]6'!$D$28:$H$37,'[6]6'!$J$28:$N$37,'[6]6'!$D$39:$H$41,'[6]6'!$J$39:$N$41,'[6]6'!$B$46:$B$55,P1_T6_Protect</definedName>
    <definedName name="T6_Protect" localSheetId="12">'[6]6'!$B$28:$B$37,'[6]6'!$D$28:$H$37,'[6]6'!$J$28:$N$37,'[6]6'!$D$39:$H$41,'[6]6'!$J$39:$N$41,'[6]6'!$B$46:$B$55,P1_T6_Protect</definedName>
    <definedName name="T6_Protect" localSheetId="9">'[6]6'!$B$28:$B$37,'[6]6'!$D$28:$H$37,'[6]6'!$J$28:$N$37,'[6]6'!$D$39:$H$41,'[6]6'!$J$39:$N$41,'[6]6'!$B$46:$B$55,P1_T6_Protect</definedName>
    <definedName name="T6_Protect" localSheetId="0">'[6]6'!$B$28:$B$37,'[6]6'!$D$28:$H$37,'[6]6'!$J$28:$N$37,'[6]6'!$D$39:$H$41,'[6]6'!$J$39:$N$41,'[6]6'!$B$46:$B$55,P1_T6_Protect</definedName>
    <definedName name="T6_Protect" localSheetId="1">'[6]6'!$B$28:$B$37,'[6]6'!$D$28:$H$37,'[6]6'!$J$28:$N$37,'[6]6'!$D$39:$H$41,'[6]6'!$J$39:$N$41,'[6]6'!$B$46:$B$55,P1_T6_Protect</definedName>
    <definedName name="T6_Protect" localSheetId="3">'[6]6'!$B$28:$B$37,'[6]6'!$D$28:$H$37,'[6]6'!$J$28:$N$37,'[6]6'!$D$39:$H$41,'[6]6'!$J$39:$N$41,'[6]6'!$B$46:$B$55,P1_T6_Protect</definedName>
    <definedName name="T6_Protect" localSheetId="4">'[6]6'!$B$28:$B$37,'[6]6'!$D$28:$H$37,'[6]6'!$J$28:$N$37,'[6]6'!$D$39:$H$41,'[6]6'!$J$39:$N$41,'[6]6'!$B$46:$B$55,P1_T6_Protect</definedName>
    <definedName name="T6_Protect" localSheetId="5">'[6]6'!$B$28:$B$37,'[6]6'!$D$28:$H$37,'[6]6'!$J$28:$N$37,'[6]6'!$D$39:$H$41,'[6]6'!$J$39:$N$41,'[6]6'!$B$46:$B$55,P1_T6_Protect</definedName>
    <definedName name="T6_Protect" localSheetId="14">'[6]6'!$B$28:$B$37,'[6]6'!$D$28:$H$37,'[6]6'!$J$28:$N$37,'[6]6'!$D$39:$H$41,'[6]6'!$J$39:$N$41,'[6]6'!$B$46:$B$55,P1_T6_Protect</definedName>
    <definedName name="T6_Protect" localSheetId="17">'[6]6'!$B$28:$B$37,'[6]6'!$D$28:$H$37,'[6]6'!$J$28:$N$37,'[6]6'!$D$39:$H$41,'[6]6'!$J$39:$N$41,'[6]6'!$B$46:$B$55,P1_T6_Protect</definedName>
    <definedName name="T6_Protect" localSheetId="18">'[6]6'!$B$28:$B$37,'[6]6'!$D$28:$H$37,'[6]6'!$J$28:$N$37,'[6]6'!$D$39:$H$41,'[6]6'!$J$39:$N$41,'[6]6'!$B$46:$B$55,P1_T6_Protect</definedName>
    <definedName name="T6_Protect" localSheetId="19">'[6]6'!$B$28:$B$37,'[6]6'!$D$28:$H$37,'[6]6'!$J$28:$N$37,'[6]6'!$D$39:$H$41,'[6]6'!$J$39:$N$41,'[6]6'!$B$46:$B$55,P1_T6_Protect</definedName>
    <definedName name="T6_Protect">'[6]6'!$B$28:$B$37,'[6]6'!$D$28:$H$37,'[6]6'!$J$28:$N$37,'[6]6'!$D$39:$H$41,'[6]6'!$J$39:$N$41,'[6]6'!$B$46:$B$55,P1_T6_Protect</definedName>
    <definedName name="T7?Data">#N/A</definedName>
    <definedName name="TP2.1?Columns">'[1]P2.1'!$A$6:$H$6</definedName>
    <definedName name="TP2.1?Scope">'[1]P2.1'!$F$7:$H$44</definedName>
    <definedName name="TP2.1_Protect">'[6]P2.1'!$F$28:$G$37,'[6]P2.1'!$F$40:$G$43,'[6]P2.1'!$F$7:$G$26</definedName>
    <definedName name="TP2.2?Columns">'[1]P2.2'!$A$6:$H$6</definedName>
    <definedName name="TP2.2?Scope">'[1]P2.2'!$F$7:$H$51</definedName>
    <definedName name="TRANSPORT" localSheetId="6">#REF!</definedName>
    <definedName name="TRANSPORT" localSheetId="7">#REF!</definedName>
    <definedName name="TRANSPORT" localSheetId="8">#REF!</definedName>
    <definedName name="TRANSPORT" localSheetId="16">#REF!</definedName>
    <definedName name="TRANSPORT" localSheetId="12">#REF!</definedName>
    <definedName name="TRANSPORT" localSheetId="9">#REF!</definedName>
    <definedName name="TRANSPORT" localSheetId="1">#REF!</definedName>
    <definedName name="TRANSPORT" localSheetId="3">#REF!</definedName>
    <definedName name="TRANSPORT" localSheetId="4">#REF!</definedName>
    <definedName name="TRANSPORT" localSheetId="5">#REF!</definedName>
    <definedName name="TRANSPORT" localSheetId="14">#REF!</definedName>
    <definedName name="TRANSPORT" localSheetId="18">#REF!</definedName>
    <definedName name="TRANSPORT">#REF!</definedName>
    <definedName name="WORK" localSheetId="6">#REF!</definedName>
    <definedName name="WORK" localSheetId="7">#REF!</definedName>
    <definedName name="WORK" localSheetId="8">#REF!</definedName>
    <definedName name="WORK" localSheetId="16">#REF!</definedName>
    <definedName name="WORK" localSheetId="12">#REF!</definedName>
    <definedName name="WORK" localSheetId="9">#REF!</definedName>
    <definedName name="WORK" localSheetId="14">#REF!</definedName>
    <definedName name="WORK">#REF!</definedName>
    <definedName name="а" localSheetId="6">#REF!</definedName>
    <definedName name="а" localSheetId="7">#REF!</definedName>
    <definedName name="а" localSheetId="8">#REF!</definedName>
    <definedName name="а" localSheetId="16">#REF!</definedName>
    <definedName name="а" localSheetId="12">#REF!</definedName>
    <definedName name="а" localSheetId="9">#REF!</definedName>
    <definedName name="а" localSheetId="14">#REF!</definedName>
    <definedName name="а">#REF!</definedName>
    <definedName name="А1" localSheetId="6">#REF!</definedName>
    <definedName name="А1" localSheetId="7">#REF!</definedName>
    <definedName name="А1" localSheetId="8">#REF!</definedName>
    <definedName name="А1" localSheetId="16">#REF!</definedName>
    <definedName name="А1" localSheetId="12">#REF!</definedName>
    <definedName name="А1" localSheetId="9">#REF!</definedName>
    <definedName name="А1" localSheetId="14">#REF!</definedName>
    <definedName name="А1">#REF!</definedName>
    <definedName name="б" localSheetId="6">#N/A</definedName>
    <definedName name="б" localSheetId="7">#N/A</definedName>
    <definedName name="б" localSheetId="8">#N/A</definedName>
    <definedName name="б" localSheetId="15">#N/A</definedName>
    <definedName name="б" localSheetId="16">#N/A</definedName>
    <definedName name="б" localSheetId="11">#N/A</definedName>
    <definedName name="б" localSheetId="12">#N/A</definedName>
    <definedName name="б" localSheetId="9">#N/A</definedName>
    <definedName name="б" localSheetId="14">#N/A</definedName>
    <definedName name="б" localSheetId="17">#N/A</definedName>
    <definedName name="б" localSheetId="18">#N/A</definedName>
    <definedName name="б" localSheetId="19">#N/A</definedName>
    <definedName name="б">#N/A</definedName>
    <definedName name="БазовыйПериод" localSheetId="6">#REF!</definedName>
    <definedName name="БазовыйПериод" localSheetId="7">#REF!</definedName>
    <definedName name="БазовыйПериод" localSheetId="8">#REF!</definedName>
    <definedName name="БазовыйПериод" localSheetId="16">#REF!</definedName>
    <definedName name="БазовыйПериод" localSheetId="12">#REF!</definedName>
    <definedName name="БазовыйПериод" localSheetId="9">#REF!</definedName>
    <definedName name="БазовыйПериод" localSheetId="1">#REF!</definedName>
    <definedName name="БазовыйПериод" localSheetId="3">#REF!</definedName>
    <definedName name="БазовыйПериод" localSheetId="4">#REF!</definedName>
    <definedName name="БазовыйПериод" localSheetId="5">#REF!</definedName>
    <definedName name="БазовыйПериод" localSheetId="14">#REF!</definedName>
    <definedName name="БазовыйПериод" localSheetId="18">#REF!</definedName>
    <definedName name="БазовыйПериод">#REF!</definedName>
    <definedName name="БазовыйПериод_2" localSheetId="6">#REF!</definedName>
    <definedName name="БазовыйПериод_2" localSheetId="7">#REF!</definedName>
    <definedName name="БазовыйПериод_2" localSheetId="8">#REF!</definedName>
    <definedName name="БазовыйПериод_2" localSheetId="16">#REF!</definedName>
    <definedName name="БазовыйПериод_2" localSheetId="12">#REF!</definedName>
    <definedName name="БазовыйПериод_2" localSheetId="9">#REF!</definedName>
    <definedName name="БазовыйПериод_2" localSheetId="14">#REF!</definedName>
    <definedName name="БазовыйПериод_2" localSheetId="18">#REF!</definedName>
    <definedName name="БазовыйПериод_2">#REF!</definedName>
    <definedName name="в23ё" localSheetId="6">#N/A</definedName>
    <definedName name="в23ё" localSheetId="7">#N/A</definedName>
    <definedName name="в23ё" localSheetId="8">#N/A</definedName>
    <definedName name="в23ё" localSheetId="15">#N/A</definedName>
    <definedName name="в23ё" localSheetId="16">#N/A</definedName>
    <definedName name="в23ё" localSheetId="11">#N/A</definedName>
    <definedName name="в23ё" localSheetId="12">#N/A</definedName>
    <definedName name="в23ё" localSheetId="9">#N/A</definedName>
    <definedName name="в23ё" localSheetId="14">#N/A</definedName>
    <definedName name="в23ё" localSheetId="17">#N/A</definedName>
    <definedName name="в23ё" localSheetId="18">#N/A</definedName>
    <definedName name="в23ё" localSheetId="19">#N/A</definedName>
    <definedName name="в23ё">#N/A</definedName>
    <definedName name="вв" localSheetId="6">#N/A</definedName>
    <definedName name="вв" localSheetId="7">#N/A</definedName>
    <definedName name="вв" localSheetId="8">#N/A</definedName>
    <definedName name="вв" localSheetId="15">#N/A</definedName>
    <definedName name="вв" localSheetId="16">#N/A</definedName>
    <definedName name="вв" localSheetId="11">#N/A</definedName>
    <definedName name="вв" localSheetId="12">#N/A</definedName>
    <definedName name="вв" localSheetId="9">#N/A</definedName>
    <definedName name="вв" localSheetId="14">#N/A</definedName>
    <definedName name="вв" localSheetId="17">#N/A</definedName>
    <definedName name="вв" localSheetId="18">#N/A</definedName>
    <definedName name="вв" localSheetId="19">#N/A</definedName>
    <definedName name="вв">#N/A</definedName>
    <definedName name="вит" localSheetId="6">#REF!</definedName>
    <definedName name="вит" localSheetId="7">#REF!</definedName>
    <definedName name="вит" localSheetId="8">#REF!</definedName>
    <definedName name="вит" localSheetId="16">#REF!</definedName>
    <definedName name="вит" localSheetId="12">#REF!</definedName>
    <definedName name="вит" localSheetId="9">#REF!</definedName>
    <definedName name="вит" localSheetId="1">#REF!</definedName>
    <definedName name="вит" localSheetId="3">#REF!</definedName>
    <definedName name="вит" localSheetId="4">#REF!</definedName>
    <definedName name="вит" localSheetId="5">#REF!</definedName>
    <definedName name="вит" localSheetId="14">#REF!</definedName>
    <definedName name="вит" localSheetId="18">#REF!</definedName>
    <definedName name="вит">#REF!</definedName>
    <definedName name="ддд" localSheetId="6">#REF!</definedName>
    <definedName name="ддд" localSheetId="7">#REF!</definedName>
    <definedName name="ддд" localSheetId="8">#REF!</definedName>
    <definedName name="ддд" localSheetId="16">#REF!</definedName>
    <definedName name="ддд" localSheetId="12">#REF!</definedName>
    <definedName name="ддд" localSheetId="9">#REF!</definedName>
    <definedName name="ддд" localSheetId="14">#REF!</definedName>
    <definedName name="ддд" localSheetId="18">#REF!</definedName>
    <definedName name="ддд">#REF!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 localSheetId="7">#REF!,#REF!,#REF!,#REF!,[0]!P1_ДиапазонЗащиты,[0]!P2_ДиапазонЗащиты,[0]!P3_ДиапазонЗащиты,[0]!P4_ДиапазонЗащиты</definedName>
    <definedName name="ДиапазонЗащиты" localSheetId="8">#REF!,#REF!,#REF!,#REF!,[0]!P1_ДиапазонЗащиты,[0]!P2_ДиапазонЗащиты,[0]!P3_ДиапазонЗащиты,[0]!P4_ДиапазонЗащиты</definedName>
    <definedName name="ДиапазонЗащиты" localSheetId="15">#REF!,#REF!,#REF!,#REF!,[0]!P1_ДиапазонЗащиты,[0]!P2_ДиапазонЗащиты,[0]!P3_ДиапазонЗащиты,[0]!P4_ДиапазонЗащиты</definedName>
    <definedName name="ДиапазонЗащиты" localSheetId="16">#REF!,#REF!,#REF!,#REF!,[0]!P1_ДиапазонЗащиты,[0]!P2_ДиапазонЗащиты,[0]!P3_ДиапазонЗащиты,[0]!P4_ДиапазонЗащиты</definedName>
    <definedName name="ДиапазонЗащиты" localSheetId="11">#REF!,#REF!,#REF!,#REF!,[0]!P1_ДиапазонЗащиты,[0]!P2_ДиапазонЗащиты,[0]!P3_ДиапазонЗащиты,[0]!P4_ДиапазонЗащиты</definedName>
    <definedName name="ДиапазонЗащиты" localSheetId="12">#REF!,#REF!,#REF!,#REF!,[0]!P1_ДиапазонЗащиты,[0]!P2_ДиапазонЗащиты,[0]!P3_ДиапазонЗащиты,[0]!P4_ДиапазонЗащиты</definedName>
    <definedName name="ДиапазонЗащиты" localSheetId="9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 localSheetId="14">#REF!,#REF!,#REF!,#REF!,[0]!P1_ДиапазонЗащиты,[0]!P2_ДиапазонЗащиты,[0]!P3_ДиапазонЗащиты,[0]!P4_ДиапазонЗащиты</definedName>
    <definedName name="ДиапазонЗащиты" localSheetId="17">#REF!,#REF!,#REF!,#REF!,[0]!P1_ДиапазонЗащиты,[0]!P2_ДиапазонЗащиты,[0]!P3_ДиапазонЗащиты,[0]!P4_ДиапазонЗащиты</definedName>
    <definedName name="ДиапазонЗащиты" localSheetId="18">#REF!,#REF!,#REF!,#REF!,[0]!P1_ДиапазонЗащиты,[0]!P2_ДиапазонЗащиты,[0]!P3_ДиапазонЗащиты,[0]!P4_ДиапазонЗащиты</definedName>
    <definedName name="ДиапазонЗащиты" localSheetId="19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затрат_15_по_6_10" localSheetId="6">#REF!</definedName>
    <definedName name="затрат_15_по_6_10" localSheetId="7">#REF!</definedName>
    <definedName name="затрат_15_по_6_10" localSheetId="8">#REF!</definedName>
    <definedName name="затрат_15_по_6_10" localSheetId="16">#REF!</definedName>
    <definedName name="затрат_15_по_6_10" localSheetId="12">#REF!</definedName>
    <definedName name="затрат_15_по_6_10" localSheetId="9">#REF!</definedName>
    <definedName name="затрат_15_по_6_10" localSheetId="1">#REF!</definedName>
    <definedName name="затрат_15_по_6_10" localSheetId="3">#REF!</definedName>
    <definedName name="затрат_15_по_6_10" localSheetId="4">#REF!</definedName>
    <definedName name="затрат_15_по_6_10" localSheetId="5">#REF!</definedName>
    <definedName name="затрат_15_по_6_10" localSheetId="18">#REF!</definedName>
    <definedName name="затрат_15_по_6_10">#REF!</definedName>
    <definedName name="затраты_15_по_04" localSheetId="6">#REF!</definedName>
    <definedName name="затраты_15_по_04" localSheetId="7">#REF!</definedName>
    <definedName name="затраты_15_по_04" localSheetId="8">#REF!</definedName>
    <definedName name="затраты_15_по_04" localSheetId="16">#REF!</definedName>
    <definedName name="затраты_15_по_04" localSheetId="12">#REF!</definedName>
    <definedName name="затраты_15_по_04" localSheetId="9">#REF!</definedName>
    <definedName name="затраты_15_по_04" localSheetId="18">#REF!</definedName>
    <definedName name="затраты_15_по_04">#REF!</definedName>
    <definedName name="затраты04" localSheetId="15">'[7]Затраты 2015'!$H$562</definedName>
    <definedName name="затраты04" localSheetId="16">'[7]Затраты 2015'!$H$562</definedName>
    <definedName name="затраты04" localSheetId="11">'[7]Затраты 2015'!$H$562</definedName>
    <definedName name="затраты04" localSheetId="12">'[7]Затраты 2015'!$H$562</definedName>
    <definedName name="затраты04" localSheetId="9">'[7]Затраты 2015'!$H$562</definedName>
    <definedName name="затраты04" localSheetId="14">'[8]Затраты 2015'!$H$562</definedName>
    <definedName name="затраты04" localSheetId="17">'[7]Затраты 2015'!$H$562</definedName>
    <definedName name="затраты04" localSheetId="18">'[7]Затраты 2015'!$H$562</definedName>
    <definedName name="затраты04" localSheetId="19">'[9]Затраты 2015'!$H$562</definedName>
    <definedName name="затраты04" localSheetId="24">'[9]Затраты 2015'!$H$562</definedName>
    <definedName name="затраты04" localSheetId="23">'[9]Затраты 2015'!$H$562</definedName>
    <definedName name="затраты04">'[9]Затраты 2015'!$H$562</definedName>
    <definedName name="затраты150.0.4" localSheetId="6">'[10]Затраты 2015'!$F$567</definedName>
    <definedName name="затраты150.0.4" localSheetId="7">'[10]Затраты 2015'!$F$567</definedName>
    <definedName name="затраты150.0.4" localSheetId="15">'[11]Затраты 2015'!$F$567</definedName>
    <definedName name="затраты150.0.4" localSheetId="16">'[11]Затраты 2015'!$F$567</definedName>
    <definedName name="затраты150.0.4" localSheetId="11">'[11]Затраты 2015'!$F$567</definedName>
    <definedName name="затраты150.0.4" localSheetId="12">'[11]Затраты 2015'!$F$567</definedName>
    <definedName name="затраты150.0.4" localSheetId="9">'[11]Затраты 2015'!$F$567</definedName>
    <definedName name="затраты150.0.4" localSheetId="0">'[12]Затраты 2015'!$F$567</definedName>
    <definedName name="затраты150.0.4" localSheetId="14">'[8]Затраты 2015'!$H$567</definedName>
    <definedName name="затраты150.0.4" localSheetId="17">'[11]Затраты 2015'!$F$567</definedName>
    <definedName name="затраты150.0.4" localSheetId="18">'[11]Затраты 2015'!$F$567</definedName>
    <definedName name="затраты150.0.4" localSheetId="19">'[10]Затраты 2015'!$F$567</definedName>
    <definedName name="затраты150.0.4" localSheetId="24">'[10]Затраты 2015'!$F$567</definedName>
    <definedName name="затраты150.0.4" localSheetId="23">'[10]Затраты 2015'!$F$567</definedName>
    <definedName name="затраты150.0.4">'[10]Затраты 2015'!$F$567</definedName>
    <definedName name="затраты150_по_04" localSheetId="6">#REF!</definedName>
    <definedName name="затраты150_по_04" localSheetId="7">#REF!</definedName>
    <definedName name="затраты150_по_04" localSheetId="8">#REF!</definedName>
    <definedName name="затраты150_по_04" localSheetId="16">#REF!</definedName>
    <definedName name="затраты150_по_04" localSheetId="12">#REF!</definedName>
    <definedName name="затраты150_по_04" localSheetId="9">#REF!</definedName>
    <definedName name="затраты150_по_04" localSheetId="1">#REF!</definedName>
    <definedName name="затраты150_по_04" localSheetId="3">#REF!</definedName>
    <definedName name="затраты150_по_04" localSheetId="4">#REF!</definedName>
    <definedName name="затраты150_по_04" localSheetId="5">#REF!</definedName>
    <definedName name="затраты150_по_04" localSheetId="18">#REF!</definedName>
    <definedName name="затраты150_по_04">#REF!</definedName>
    <definedName name="затраты150_по_6_10" localSheetId="6">#REF!</definedName>
    <definedName name="затраты150_по_6_10" localSheetId="7">#REF!</definedName>
    <definedName name="затраты150_по_6_10" localSheetId="8">#REF!</definedName>
    <definedName name="затраты150_по_6_10" localSheetId="15">#REF!</definedName>
    <definedName name="затраты150_по_6_10" localSheetId="16">#REF!</definedName>
    <definedName name="затраты150_по_6_10" localSheetId="11">#REF!</definedName>
    <definedName name="затраты150_по_6_10" localSheetId="12">#REF!</definedName>
    <definedName name="затраты150_по_6_10" localSheetId="9">#REF!</definedName>
    <definedName name="затраты150_по_6_10" localSheetId="14">#REF!</definedName>
    <definedName name="затраты150_по_6_10" localSheetId="17">#REF!</definedName>
    <definedName name="затраты150_по_6_10" localSheetId="18">#REF!</definedName>
    <definedName name="затраты150_по_6_10" localSheetId="19">#REF!</definedName>
    <definedName name="затраты150_по_6_10">#REF!</definedName>
    <definedName name="затраты620" localSheetId="15">'[7]Затраты 2015'!$H$563</definedName>
    <definedName name="затраты620" localSheetId="16">'[7]Затраты 2015'!$H$563</definedName>
    <definedName name="затраты620" localSheetId="11">'[7]Затраты 2015'!$H$563</definedName>
    <definedName name="затраты620" localSheetId="12">'[7]Затраты 2015'!$H$563</definedName>
    <definedName name="затраты620" localSheetId="9">'[7]Затраты 2015'!$H$563</definedName>
    <definedName name="затраты620" localSheetId="14">'[8]Затраты 2015'!$H$563</definedName>
    <definedName name="затраты620" localSheetId="17">'[7]Затраты 2015'!$H$563</definedName>
    <definedName name="затраты620" localSheetId="18">'[7]Затраты 2015'!$H$563</definedName>
    <definedName name="затраты620" localSheetId="19">'[9]Затраты 2015'!$H$563</definedName>
    <definedName name="затраты620" localSheetId="24">'[9]Затраты 2015'!$H$563</definedName>
    <definedName name="затраты620" localSheetId="23">'[9]Затраты 2015'!$H$563</definedName>
    <definedName name="затраты620">'[9]Затраты 2015'!$H$563</definedName>
    <definedName name="затратыдо150" localSheetId="6">'[13]Затраты 2014'!$F$29</definedName>
    <definedName name="затратыдо150" localSheetId="7">'[13]Затраты 2014'!$F$29</definedName>
    <definedName name="затратыдо150" localSheetId="15">'[14]Затраты 2014'!$F$29</definedName>
    <definedName name="затратыдо150" localSheetId="16">'[14]Затраты 2014'!$F$29</definedName>
    <definedName name="затратыдо150" localSheetId="11">'[14]Затраты 2014'!$F$29</definedName>
    <definedName name="затратыдо150" localSheetId="12">'[14]Затраты 2014'!$F$29</definedName>
    <definedName name="затратыдо150" localSheetId="9">'[14]Затраты 2014'!$F$29</definedName>
    <definedName name="затратыдо150" localSheetId="0">'[15]Затраты 2014'!$F$29</definedName>
    <definedName name="затратыдо150" localSheetId="14">'[14]Затраты 2014'!$F$29</definedName>
    <definedName name="затратыдо150" localSheetId="17">'[14]Затраты 2014'!$F$29</definedName>
    <definedName name="затратыдо150" localSheetId="18">'[14]Затраты 2014'!$F$29</definedName>
    <definedName name="затратыдо150" localSheetId="19">'[13]Затраты 2014'!$F$29</definedName>
    <definedName name="затратыдо150" localSheetId="24">'[13]Затраты 2014'!$F$29</definedName>
    <definedName name="затратыдо150" localSheetId="23">'[13]Затраты 2014'!$F$29</definedName>
    <definedName name="затратыдо150">'[13]Затраты 2014'!$F$29</definedName>
    <definedName name="затратыдо150.6.20" localSheetId="6">'[10]Затраты 2015'!$F$568</definedName>
    <definedName name="затратыдо150.6.20" localSheetId="7">'[10]Затраты 2015'!$F$568</definedName>
    <definedName name="затратыдо150.6.20" localSheetId="15">'[11]Затраты 2015'!$F$568</definedName>
    <definedName name="затратыдо150.6.20" localSheetId="16">'[11]Затраты 2015'!$F$568</definedName>
    <definedName name="затратыдо150.6.20" localSheetId="11">'[11]Затраты 2015'!$F$568</definedName>
    <definedName name="затратыдо150.6.20" localSheetId="12">'[11]Затраты 2015'!$F$568</definedName>
    <definedName name="затратыдо150.6.20" localSheetId="9">'[11]Затраты 2015'!$F$568</definedName>
    <definedName name="затратыдо150.6.20" localSheetId="0">'[12]Затраты 2015'!$F$568</definedName>
    <definedName name="затратыдо150.6.20" localSheetId="14">'[8]Затраты 2015'!$H$568</definedName>
    <definedName name="затратыдо150.6.20" localSheetId="17">'[11]Затраты 2015'!$F$568</definedName>
    <definedName name="затратыдо150.6.20" localSheetId="18">'[11]Затраты 2015'!$F$568</definedName>
    <definedName name="затратыдо150.6.20" localSheetId="19">'[10]Затраты 2015'!$F$568</definedName>
    <definedName name="затратыдо150.6.20" localSheetId="24">'[10]Затраты 2015'!$F$568</definedName>
    <definedName name="затратыдо150.6.20" localSheetId="23">'[10]Затраты 2015'!$F$568</definedName>
    <definedName name="затратыдо150.6.20">'[10]Затраты 2015'!$F$568</definedName>
    <definedName name="й" localSheetId="6">#N/A</definedName>
    <definedName name="й" localSheetId="7">#N/A</definedName>
    <definedName name="й" localSheetId="8">#N/A</definedName>
    <definedName name="й" localSheetId="15">#N/A</definedName>
    <definedName name="й" localSheetId="16">#N/A</definedName>
    <definedName name="й" localSheetId="11">#N/A</definedName>
    <definedName name="й" localSheetId="12">#N/A</definedName>
    <definedName name="й" localSheetId="9">#N/A</definedName>
    <definedName name="й" localSheetId="14">#N/A</definedName>
    <definedName name="й" localSheetId="17">#N/A</definedName>
    <definedName name="й" localSheetId="18">#N/A</definedName>
    <definedName name="й" localSheetId="19">#N/A</definedName>
    <definedName name="й">#N/A</definedName>
    <definedName name="йй" localSheetId="6">#N/A</definedName>
    <definedName name="йй" localSheetId="7">#N/A</definedName>
    <definedName name="йй" localSheetId="8">#N/A</definedName>
    <definedName name="йй" localSheetId="15">#N/A</definedName>
    <definedName name="йй" localSheetId="16">#N/A</definedName>
    <definedName name="йй" localSheetId="11">#N/A</definedName>
    <definedName name="йй" localSheetId="12">#N/A</definedName>
    <definedName name="йй" localSheetId="9">#N/A</definedName>
    <definedName name="йй" localSheetId="14">#N/A</definedName>
    <definedName name="йй" localSheetId="17">#N/A</definedName>
    <definedName name="йй" localSheetId="18">#N/A</definedName>
    <definedName name="йй" localSheetId="19">#N/A</definedName>
    <definedName name="йй">#N/A</definedName>
    <definedName name="к">[16]Заголовок!$B$14</definedName>
    <definedName name="ке" localSheetId="6">#N/A</definedName>
    <definedName name="ке" localSheetId="7">#N/A</definedName>
    <definedName name="ке" localSheetId="8">#N/A</definedName>
    <definedName name="ке" localSheetId="15">#N/A</definedName>
    <definedName name="ке" localSheetId="16">#N/A</definedName>
    <definedName name="ке" localSheetId="11">#N/A</definedName>
    <definedName name="ке" localSheetId="12">#N/A</definedName>
    <definedName name="ке" localSheetId="9">#N/A</definedName>
    <definedName name="ке" localSheetId="14">#N/A</definedName>
    <definedName name="ке" localSheetId="17">#N/A</definedName>
    <definedName name="ке" localSheetId="18">#N/A</definedName>
    <definedName name="ке" localSheetId="19">#N/A</definedName>
    <definedName name="ке">#N/A</definedName>
    <definedName name="Лист1" localSheetId="6">#REF!</definedName>
    <definedName name="Лист1" localSheetId="7">#REF!</definedName>
    <definedName name="Лист1" localSheetId="8">#REF!</definedName>
    <definedName name="Лист1" localSheetId="16">#REF!</definedName>
    <definedName name="Лист1" localSheetId="12">#REF!</definedName>
    <definedName name="Лист1" localSheetId="9">#REF!</definedName>
    <definedName name="Лист1" localSheetId="1">#REF!</definedName>
    <definedName name="Лист1" localSheetId="3">#REF!</definedName>
    <definedName name="Лист1" localSheetId="4">#REF!</definedName>
    <definedName name="Лист1" localSheetId="5">#REF!</definedName>
    <definedName name="Лист1" localSheetId="14">#REF!</definedName>
    <definedName name="Лист1" localSheetId="18">#REF!</definedName>
    <definedName name="Лист1">#REF!</definedName>
    <definedName name="Лист1?prefix?">"T1"</definedName>
    <definedName name="Лист10?prefix?">"T17.1"</definedName>
    <definedName name="Лист14?prefix?">"T107"</definedName>
    <definedName name="Лист19?prefix?">"T21.3"</definedName>
    <definedName name="лист2" localSheetId="6">#REF!</definedName>
    <definedName name="лист2" localSheetId="7">#REF!</definedName>
    <definedName name="лист2" localSheetId="8">#REF!</definedName>
    <definedName name="лист2" localSheetId="16">#REF!</definedName>
    <definedName name="лист2" localSheetId="12">#REF!</definedName>
    <definedName name="лист2" localSheetId="9">#REF!</definedName>
    <definedName name="лист2" localSheetId="1">#REF!</definedName>
    <definedName name="лист2" localSheetId="3">#REF!</definedName>
    <definedName name="лист2" localSheetId="4">#REF!</definedName>
    <definedName name="лист2" localSheetId="5">#REF!</definedName>
    <definedName name="лист2" localSheetId="14">#REF!</definedName>
    <definedName name="лист2" localSheetId="18">#REF!</definedName>
    <definedName name="лист2">#REF!</definedName>
    <definedName name="Лист2?prefix?">"T2"</definedName>
    <definedName name="Лист21?prefix?">"T108"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материал" localSheetId="6">'[17]ВВ втор (Без-1)'!#REF!</definedName>
    <definedName name="материал" localSheetId="7">'[17]ВВ втор (Без-1)'!#REF!</definedName>
    <definedName name="материал" localSheetId="8">'[17]ВВ втор (Без-1)'!#REF!</definedName>
    <definedName name="материал" localSheetId="16">'[17]ВВ втор (Без-1)'!#REF!</definedName>
    <definedName name="материал" localSheetId="12">'[17]ВВ втор (Без-1)'!#REF!</definedName>
    <definedName name="материал" localSheetId="9">'[17]ВВ втор (Без-1)'!#REF!</definedName>
    <definedName name="материал" localSheetId="1">'[17]ВВ втор (Без-1)'!#REF!</definedName>
    <definedName name="материал" localSheetId="3">'[17]ВВ втор (Без-1)'!#REF!</definedName>
    <definedName name="материал" localSheetId="4">'[17]ВВ втор (Без-1)'!#REF!</definedName>
    <definedName name="материал" localSheetId="5">'[17]ВВ втор (Без-1)'!#REF!</definedName>
    <definedName name="материал" localSheetId="14">'[17]ВВ втор (Без-1)'!#REF!</definedName>
    <definedName name="материал" localSheetId="18">'[17]ВВ втор (Без-1)'!#REF!</definedName>
    <definedName name="материал">'[17]ВВ втор (Без-1)'!#REF!</definedName>
    <definedName name="мым" localSheetId="6">#N/A</definedName>
    <definedName name="мым" localSheetId="7">#N/A</definedName>
    <definedName name="мым" localSheetId="8">#N/A</definedName>
    <definedName name="мым" localSheetId="15">#N/A</definedName>
    <definedName name="мым" localSheetId="16">#N/A</definedName>
    <definedName name="мым" localSheetId="11">#N/A</definedName>
    <definedName name="мым" localSheetId="12">#N/A</definedName>
    <definedName name="мым" localSheetId="9">#N/A</definedName>
    <definedName name="мым" localSheetId="14">#N/A</definedName>
    <definedName name="мым" localSheetId="17">#N/A</definedName>
    <definedName name="мым" localSheetId="18">#N/A</definedName>
    <definedName name="мым" localSheetId="19">#N/A</definedName>
    <definedName name="мым">#N/A</definedName>
    <definedName name="_xlnm.Print_Area" localSheetId="6">' (стр.15)'!$A$1:$T$261</definedName>
    <definedName name="_xlnm.Print_Area" localSheetId="7">'(стр.16)'!$A$1:$T$238</definedName>
    <definedName name="_xlnm.Print_Area" localSheetId="8">'(Стр.17)'!$A$1:$T$200</definedName>
    <definedName name="_xlnm.Print_Area" localSheetId="1">'Приложение 1'!$A$1:$U$441</definedName>
    <definedName name="_xlnm.Print_Area" localSheetId="2">'приложение 1(1)'!$A$1:$U$697</definedName>
    <definedName name="_xlnm.Print_Area" localSheetId="3">'Приложение 2'!$A$1:$O$23</definedName>
    <definedName name="_xlnm.Print_Area" localSheetId="4">'Приложение 3'!$A$1:$O$36</definedName>
    <definedName name="_xlnm.Print_Area" localSheetId="5">'Приложение 5'!$A$1:$U$441</definedName>
    <definedName name="_xlnm.Print_Area" localSheetId="24">'Утв.СП 2018г'!$A$1:$H$142</definedName>
    <definedName name="_xlnm.Print_Area" localSheetId="23">'Утв.СТС 2018г'!$A$1:$H$141</definedName>
    <definedName name="п">[16]Заголовок!$B$16</definedName>
    <definedName name="ПериодРегулирования" localSheetId="6">[18]Заголовок!$B$14</definedName>
    <definedName name="ПериодРегулирования" localSheetId="7">[18]Заголовок!$B$14</definedName>
    <definedName name="ПериодРегулирования" localSheetId="8">[18]Заголовок!$B$14</definedName>
    <definedName name="ПериодРегулирования" localSheetId="15">[19]Заголовок!$B$14</definedName>
    <definedName name="ПериодРегулирования" localSheetId="16">[19]Заголовок!$B$14</definedName>
    <definedName name="ПериодРегулирования" localSheetId="11">[19]Заголовок!$B$14</definedName>
    <definedName name="ПериодРегулирования" localSheetId="12">[19]Заголовок!$B$14</definedName>
    <definedName name="ПериодРегулирования" localSheetId="9">[19]Заголовок!$B$14</definedName>
    <definedName name="ПериодРегулирования" localSheetId="14">[18]Заголовок!$B$14</definedName>
    <definedName name="ПериодРегулирования" localSheetId="17">[19]Заголовок!$B$14</definedName>
    <definedName name="ПериодРегулирования" localSheetId="18">[19]Заголовок!$B$14</definedName>
    <definedName name="ПериодРегулирования" localSheetId="19">[18]Заголовок!$B$14</definedName>
    <definedName name="ПериодРегулирования">[18]Заголовок!$B$14</definedName>
    <definedName name="ПериодРегулирования_2">[16]Заголовок!$B$14</definedName>
    <definedName name="Периоды_18_2" localSheetId="6">'[6]18.2'!#REF!</definedName>
    <definedName name="Периоды_18_2" localSheetId="7">'[6]18.2'!#REF!</definedName>
    <definedName name="Периоды_18_2" localSheetId="8">'[6]18.2'!#REF!</definedName>
    <definedName name="Периоды_18_2" localSheetId="16">'[6]18.2'!#REF!</definedName>
    <definedName name="Периоды_18_2" localSheetId="12">'[6]18.2'!#REF!</definedName>
    <definedName name="Периоды_18_2" localSheetId="9">'[6]18.2'!#REF!</definedName>
    <definedName name="Периоды_18_2" localSheetId="1">'[6]18.2'!#REF!</definedName>
    <definedName name="Периоды_18_2" localSheetId="3">'[6]18.2'!#REF!</definedName>
    <definedName name="Периоды_18_2" localSheetId="4">'[6]18.2'!#REF!</definedName>
    <definedName name="Периоды_18_2" localSheetId="5">'[6]18.2'!#REF!</definedName>
    <definedName name="Периоды_18_2" localSheetId="18">'[6]18.2'!#REF!</definedName>
    <definedName name="Периоды_18_2">'[6]18.2'!#REF!</definedName>
    <definedName name="ПоследнийГод" localSheetId="6">[18]Заголовок!$B$16</definedName>
    <definedName name="ПоследнийГод" localSheetId="7">[18]Заголовок!$B$16</definedName>
    <definedName name="ПоследнийГод" localSheetId="8">[18]Заголовок!$B$16</definedName>
    <definedName name="ПоследнийГод" localSheetId="15">[19]Заголовок!$B$16</definedName>
    <definedName name="ПоследнийГод" localSheetId="16">[19]Заголовок!$B$16</definedName>
    <definedName name="ПоследнийГод" localSheetId="11">[19]Заголовок!$B$16</definedName>
    <definedName name="ПоследнийГод" localSheetId="12">[19]Заголовок!$B$16</definedName>
    <definedName name="ПоследнийГод" localSheetId="9">[19]Заголовок!$B$16</definedName>
    <definedName name="ПоследнийГод" localSheetId="14">[18]Заголовок!$B$16</definedName>
    <definedName name="ПоследнийГод" localSheetId="17">[19]Заголовок!$B$16</definedName>
    <definedName name="ПоследнийГод" localSheetId="18">[19]Заголовок!$B$16</definedName>
    <definedName name="ПоследнийГод" localSheetId="19">[18]Заголовок!$B$16</definedName>
    <definedName name="ПоследнийГод">[18]Заголовок!$B$16</definedName>
    <definedName name="ПоследнийГод_2">[16]Заголовок!$B$16</definedName>
    <definedName name="расчет" localSheetId="6">#N/A</definedName>
    <definedName name="расчет" localSheetId="7">#N/A</definedName>
    <definedName name="расчет" localSheetId="8">#N/A</definedName>
    <definedName name="расчет" localSheetId="15">#N/A</definedName>
    <definedName name="расчет" localSheetId="16">#N/A</definedName>
    <definedName name="расчет" localSheetId="11">#N/A</definedName>
    <definedName name="расчет" localSheetId="12">#N/A</definedName>
    <definedName name="расчет" localSheetId="9">#N/A</definedName>
    <definedName name="расчет" localSheetId="14">#N/A</definedName>
    <definedName name="расчет" localSheetId="17">#N/A</definedName>
    <definedName name="расчет" localSheetId="18">#N/A</definedName>
    <definedName name="расчет" localSheetId="19">#N/A</definedName>
    <definedName name="расчет">#N/A</definedName>
    <definedName name="с" localSheetId="6">#N/A</definedName>
    <definedName name="с" localSheetId="7">#N/A</definedName>
    <definedName name="с" localSheetId="8">#N/A</definedName>
    <definedName name="с" localSheetId="15">#N/A</definedName>
    <definedName name="с" localSheetId="16">#N/A</definedName>
    <definedName name="с" localSheetId="11">#N/A</definedName>
    <definedName name="с" localSheetId="12">#N/A</definedName>
    <definedName name="с" localSheetId="9">#N/A</definedName>
    <definedName name="с" localSheetId="14">#N/A</definedName>
    <definedName name="с" localSheetId="17">#N/A</definedName>
    <definedName name="с" localSheetId="18">#N/A</definedName>
    <definedName name="с" localSheetId="19">#N/A</definedName>
    <definedName name="с">#N/A</definedName>
    <definedName name="сс" localSheetId="6">#N/A</definedName>
    <definedName name="сс" localSheetId="7">#N/A</definedName>
    <definedName name="сс" localSheetId="8">#N/A</definedName>
    <definedName name="сс" localSheetId="15">#N/A</definedName>
    <definedName name="сс" localSheetId="16">#N/A</definedName>
    <definedName name="сс" localSheetId="11">#N/A</definedName>
    <definedName name="сс" localSheetId="12">#N/A</definedName>
    <definedName name="сс" localSheetId="9">#N/A</definedName>
    <definedName name="сс" localSheetId="14">#N/A</definedName>
    <definedName name="сс" localSheetId="17">#N/A</definedName>
    <definedName name="сс" localSheetId="18">#N/A</definedName>
    <definedName name="сс" localSheetId="19">#N/A</definedName>
    <definedName name="сс">#N/A</definedName>
    <definedName name="сссс" localSheetId="6">#N/A</definedName>
    <definedName name="сссс" localSheetId="7">#N/A</definedName>
    <definedName name="сссс" localSheetId="8">#N/A</definedName>
    <definedName name="сссс" localSheetId="15">#N/A</definedName>
    <definedName name="сссс" localSheetId="16">#N/A</definedName>
    <definedName name="сссс" localSheetId="11">#N/A</definedName>
    <definedName name="сссс" localSheetId="12">#N/A</definedName>
    <definedName name="сссс" localSheetId="9">#N/A</definedName>
    <definedName name="сссс" localSheetId="14">#N/A</definedName>
    <definedName name="сссс" localSheetId="17">#N/A</definedName>
    <definedName name="сссс" localSheetId="18">#N/A</definedName>
    <definedName name="сссс" localSheetId="19">#N/A</definedName>
    <definedName name="сссс">#N/A</definedName>
    <definedName name="ссы" localSheetId="6">#N/A</definedName>
    <definedName name="ссы" localSheetId="7">#N/A</definedName>
    <definedName name="ссы" localSheetId="8">#N/A</definedName>
    <definedName name="ссы" localSheetId="15">#N/A</definedName>
    <definedName name="ссы" localSheetId="16">#N/A</definedName>
    <definedName name="ссы" localSheetId="11">#N/A</definedName>
    <definedName name="ссы" localSheetId="12">#N/A</definedName>
    <definedName name="ссы" localSheetId="9">#N/A</definedName>
    <definedName name="ссы" localSheetId="14">#N/A</definedName>
    <definedName name="ссы" localSheetId="17">#N/A</definedName>
    <definedName name="ссы" localSheetId="18">#N/A</definedName>
    <definedName name="ссы" localSheetId="19">#N/A</definedName>
    <definedName name="ссы">#N/A</definedName>
    <definedName name="ссы2" localSheetId="6">#N/A</definedName>
    <definedName name="ссы2" localSheetId="7">#N/A</definedName>
    <definedName name="ссы2" localSheetId="8">#N/A</definedName>
    <definedName name="ссы2" localSheetId="15">#N/A</definedName>
    <definedName name="ссы2" localSheetId="16">#N/A</definedName>
    <definedName name="ссы2" localSheetId="11">#N/A</definedName>
    <definedName name="ссы2" localSheetId="12">#N/A</definedName>
    <definedName name="ссы2" localSheetId="9">#N/A</definedName>
    <definedName name="ссы2" localSheetId="14">#N/A</definedName>
    <definedName name="ссы2" localSheetId="17">#N/A</definedName>
    <definedName name="ссы2" localSheetId="18">#N/A</definedName>
    <definedName name="ссы2" localSheetId="19">#N/A</definedName>
    <definedName name="ссы2">#N/A</definedName>
    <definedName name="у" localSheetId="6">#N/A</definedName>
    <definedName name="у" localSheetId="7">#N/A</definedName>
    <definedName name="у" localSheetId="8">#N/A</definedName>
    <definedName name="у" localSheetId="15">#N/A</definedName>
    <definedName name="у" localSheetId="16">#N/A</definedName>
    <definedName name="у" localSheetId="11">#N/A</definedName>
    <definedName name="у" localSheetId="12">#N/A</definedName>
    <definedName name="у" localSheetId="9">#N/A</definedName>
    <definedName name="у" localSheetId="14">#N/A</definedName>
    <definedName name="у" localSheetId="17">#N/A</definedName>
    <definedName name="у" localSheetId="18">#N/A</definedName>
    <definedName name="у" localSheetId="19">#N/A</definedName>
    <definedName name="у">#N/A</definedName>
    <definedName name="форма" localSheetId="6">#REF!</definedName>
    <definedName name="форма" localSheetId="7">#REF!</definedName>
    <definedName name="форма" localSheetId="8">#REF!</definedName>
    <definedName name="форма" localSheetId="16">#REF!</definedName>
    <definedName name="форма" localSheetId="12">#REF!</definedName>
    <definedName name="форма" localSheetId="9">#REF!</definedName>
    <definedName name="форма" localSheetId="1">#REF!</definedName>
    <definedName name="форма" localSheetId="3">#REF!</definedName>
    <definedName name="форма" localSheetId="4">#REF!</definedName>
    <definedName name="форма" localSheetId="5">#REF!</definedName>
    <definedName name="форма" localSheetId="14">#REF!</definedName>
    <definedName name="форма" localSheetId="18">#REF!</definedName>
    <definedName name="форма">#REF!</definedName>
    <definedName name="ФОРМА1" localSheetId="6">#REF!</definedName>
    <definedName name="ФОРМА1" localSheetId="7">#REF!</definedName>
    <definedName name="ФОРМА1" localSheetId="8">#REF!</definedName>
    <definedName name="ФОРМА1" localSheetId="16">#REF!</definedName>
    <definedName name="ФОРМА1" localSheetId="12">#REF!</definedName>
    <definedName name="ФОРМА1" localSheetId="9">#REF!</definedName>
    <definedName name="ФОРМА1" localSheetId="14">#REF!</definedName>
    <definedName name="ФОРМА1" localSheetId="18">#REF!</definedName>
    <definedName name="ФОРМА1">#REF!</definedName>
    <definedName name="ц" localSheetId="6">#N/A</definedName>
    <definedName name="ц" localSheetId="7">#N/A</definedName>
    <definedName name="ц" localSheetId="8">#N/A</definedName>
    <definedName name="ц" localSheetId="15">#N/A</definedName>
    <definedName name="ц" localSheetId="16">#N/A</definedName>
    <definedName name="ц" localSheetId="11">#N/A</definedName>
    <definedName name="ц" localSheetId="12">#N/A</definedName>
    <definedName name="ц" localSheetId="9">#N/A</definedName>
    <definedName name="ц" localSheetId="14">#N/A</definedName>
    <definedName name="ц" localSheetId="17">#N/A</definedName>
    <definedName name="ц" localSheetId="18">#N/A</definedName>
    <definedName name="ц" localSheetId="19">#N/A</definedName>
    <definedName name="ц">#N/A</definedName>
    <definedName name="цу" localSheetId="6">#N/A</definedName>
    <definedName name="цу" localSheetId="7">#N/A</definedName>
    <definedName name="цу" localSheetId="8">#N/A</definedName>
    <definedName name="цу" localSheetId="15">#N/A</definedName>
    <definedName name="цу" localSheetId="16">#N/A</definedName>
    <definedName name="цу" localSheetId="11">#N/A</definedName>
    <definedName name="цу" localSheetId="12">#N/A</definedName>
    <definedName name="цу" localSheetId="9">#N/A</definedName>
    <definedName name="цу" localSheetId="14">#N/A</definedName>
    <definedName name="цу" localSheetId="17">#N/A</definedName>
    <definedName name="цу" localSheetId="18">#N/A</definedName>
    <definedName name="цу" localSheetId="19">#N/A</definedName>
    <definedName name="цу">#N/A</definedName>
    <definedName name="ыв" localSheetId="6">#N/A</definedName>
    <definedName name="ыв" localSheetId="7">#N/A</definedName>
    <definedName name="ыв" localSheetId="8">#N/A</definedName>
    <definedName name="ыв" localSheetId="15">#N/A</definedName>
    <definedName name="ыв" localSheetId="16">#N/A</definedName>
    <definedName name="ыв" localSheetId="11">#N/A</definedName>
    <definedName name="ыв" localSheetId="12">#N/A</definedName>
    <definedName name="ыв" localSheetId="9">#N/A</definedName>
    <definedName name="ыв" localSheetId="14">#N/A</definedName>
    <definedName name="ыв" localSheetId="17">#N/A</definedName>
    <definedName name="ыв" localSheetId="18">#N/A</definedName>
    <definedName name="ыв" localSheetId="19">#N/A</definedName>
    <definedName name="ыв">#N/A</definedName>
    <definedName name="ыыыы" localSheetId="6">#N/A</definedName>
    <definedName name="ыыыы" localSheetId="7">#N/A</definedName>
    <definedName name="ыыыы" localSheetId="8">#N/A</definedName>
    <definedName name="ыыыы" localSheetId="15">#N/A</definedName>
    <definedName name="ыыыы" localSheetId="16">#N/A</definedName>
    <definedName name="ыыыы" localSheetId="11">#N/A</definedName>
    <definedName name="ыыыы" localSheetId="12">#N/A</definedName>
    <definedName name="ыыыы" localSheetId="9">#N/A</definedName>
    <definedName name="ыыыы" localSheetId="14">#N/A</definedName>
    <definedName name="ыыыы" localSheetId="17">#N/A</definedName>
    <definedName name="ыыыы" localSheetId="18">#N/A</definedName>
    <definedName name="ыыыы" localSheetId="19">#N/A</definedName>
    <definedName name="ыыыы">#N/A</definedName>
  </definedNames>
  <calcPr calcId="152511"/>
</workbook>
</file>

<file path=xl/calcChain.xml><?xml version="1.0" encoding="utf-8"?>
<calcChain xmlns="http://schemas.openxmlformats.org/spreadsheetml/2006/main">
  <c r="W14" i="47" l="1"/>
  <c r="W49" i="47" s="1"/>
  <c r="V14" i="47"/>
  <c r="V49" i="47" s="1"/>
  <c r="U14" i="47"/>
  <c r="U49" i="47" s="1"/>
  <c r="AB3" i="48" l="1"/>
  <c r="AB4" i="48" s="1"/>
  <c r="AA3" i="48"/>
  <c r="AA4" i="48" s="1"/>
  <c r="Z3" i="48"/>
  <c r="Z4" i="48" s="1"/>
  <c r="AC429" i="48"/>
  <c r="AB429" i="48"/>
  <c r="AA429" i="48"/>
  <c r="Z429" i="48"/>
  <c r="AC411" i="48"/>
  <c r="AB411" i="48"/>
  <c r="AA411" i="48"/>
  <c r="Z411" i="48"/>
  <c r="AC395" i="48"/>
  <c r="AB395" i="48"/>
  <c r="AA395" i="48"/>
  <c r="Z395" i="48"/>
  <c r="AC393" i="48"/>
  <c r="AB393" i="48"/>
  <c r="AA393" i="48"/>
  <c r="Z393" i="48"/>
  <c r="AC392" i="48"/>
  <c r="AB392" i="48"/>
  <c r="AA392" i="48"/>
  <c r="Z392" i="48"/>
  <c r="AC380" i="48"/>
  <c r="AB380" i="48"/>
  <c r="AA380" i="48"/>
  <c r="Z380" i="48"/>
  <c r="AC344" i="48"/>
  <c r="AB344" i="48"/>
  <c r="AA344" i="48"/>
  <c r="Z344" i="48"/>
  <c r="AC255" i="48"/>
  <c r="AB255" i="48"/>
  <c r="AA255" i="48"/>
  <c r="Z255" i="48"/>
  <c r="AC235" i="48"/>
  <c r="AB235" i="48"/>
  <c r="AA235" i="48"/>
  <c r="Z235" i="48"/>
  <c r="AC127" i="48"/>
  <c r="AB127" i="48"/>
  <c r="AA127" i="48"/>
  <c r="Z127" i="48"/>
  <c r="AC108" i="48"/>
  <c r="AB108" i="48"/>
  <c r="AA108" i="48"/>
  <c r="Z108" i="48"/>
  <c r="AC107" i="48"/>
  <c r="AB107" i="48"/>
  <c r="AA107" i="48"/>
  <c r="Z107" i="48"/>
  <c r="AC102" i="48"/>
  <c r="AB102" i="48"/>
  <c r="AA102" i="48"/>
  <c r="Z102" i="48"/>
  <c r="AC83" i="48"/>
  <c r="AB83" i="48"/>
  <c r="AA83" i="48"/>
  <c r="Z83" i="48"/>
  <c r="AC71" i="48"/>
  <c r="AB71" i="48"/>
  <c r="AA71" i="48"/>
  <c r="Z71" i="48"/>
  <c r="AC49" i="48"/>
  <c r="AB49" i="48"/>
  <c r="AA49" i="48"/>
  <c r="Z49" i="48"/>
  <c r="AC44" i="48"/>
  <c r="AB44" i="48"/>
  <c r="AA44" i="48"/>
  <c r="Z44" i="48"/>
  <c r="AC43" i="48"/>
  <c r="AB43" i="48"/>
  <c r="AA43" i="48"/>
  <c r="Z43" i="48"/>
  <c r="AC25" i="48"/>
  <c r="AB25" i="48"/>
  <c r="AA25" i="48"/>
  <c r="Z25" i="48"/>
  <c r="Z20" i="48"/>
  <c r="AA20" i="48"/>
  <c r="AB20" i="48"/>
  <c r="AC20" i="48"/>
  <c r="AC19" i="48"/>
  <c r="AB19" i="48"/>
  <c r="AA19" i="48"/>
  <c r="Z19" i="48"/>
  <c r="AC685" i="51"/>
  <c r="AB685" i="51"/>
  <c r="AA685" i="51"/>
  <c r="Z685" i="51"/>
  <c r="AC667" i="51"/>
  <c r="AB667" i="51"/>
  <c r="AA667" i="51"/>
  <c r="Z667" i="51"/>
  <c r="AC649" i="51"/>
  <c r="AB649" i="51"/>
  <c r="AA649" i="51"/>
  <c r="Z649" i="51"/>
  <c r="AC647" i="51"/>
  <c r="AB647" i="51"/>
  <c r="AA647" i="51"/>
  <c r="Z647" i="51"/>
  <c r="AC646" i="51"/>
  <c r="AB646" i="51"/>
  <c r="AA646" i="51"/>
  <c r="Z646" i="51"/>
  <c r="AC634" i="51"/>
  <c r="AB634" i="51"/>
  <c r="AA634" i="51"/>
  <c r="Z634" i="51"/>
  <c r="AC617" i="51"/>
  <c r="AB617" i="51"/>
  <c r="AA617" i="51"/>
  <c r="Z617" i="51"/>
  <c r="AC615" i="51"/>
  <c r="AB615" i="51"/>
  <c r="AA615" i="51"/>
  <c r="Z615" i="51"/>
  <c r="AC614" i="51"/>
  <c r="AB614" i="51"/>
  <c r="AA614" i="51"/>
  <c r="Z614" i="51"/>
  <c r="AC566" i="51"/>
  <c r="AB566" i="51"/>
  <c r="AA566" i="51"/>
  <c r="Z566" i="51"/>
  <c r="AC477" i="51"/>
  <c r="AB477" i="51"/>
  <c r="AA477" i="51"/>
  <c r="Z477" i="51"/>
  <c r="AC457" i="51"/>
  <c r="AB457" i="51"/>
  <c r="AA457" i="51"/>
  <c r="Z457" i="51"/>
  <c r="AC349" i="51"/>
  <c r="AB349" i="51"/>
  <c r="AA349" i="51"/>
  <c r="Z349" i="51"/>
  <c r="AC306" i="51"/>
  <c r="AB306" i="51"/>
  <c r="AA306" i="51"/>
  <c r="Z306" i="51"/>
  <c r="AC294" i="51"/>
  <c r="AB294" i="51"/>
  <c r="AA294" i="51"/>
  <c r="Z294" i="51"/>
  <c r="AC274" i="51"/>
  <c r="AB274" i="51"/>
  <c r="AA274" i="51"/>
  <c r="Z274" i="51"/>
  <c r="AC250" i="51"/>
  <c r="AB250" i="51"/>
  <c r="AA250" i="51"/>
  <c r="Z250" i="51"/>
  <c r="AC238" i="51"/>
  <c r="AB238" i="51"/>
  <c r="AA238" i="51"/>
  <c r="Z238" i="51"/>
  <c r="AC219" i="51"/>
  <c r="AB219" i="51"/>
  <c r="AA219" i="51"/>
  <c r="Z219" i="51"/>
  <c r="AC218" i="51"/>
  <c r="AB218" i="51"/>
  <c r="AA218" i="51"/>
  <c r="Z218" i="51"/>
  <c r="AC213" i="51"/>
  <c r="AB213" i="51"/>
  <c r="AA213" i="51"/>
  <c r="Z213" i="51"/>
  <c r="AC194" i="51"/>
  <c r="AB194" i="51"/>
  <c r="AA194" i="51"/>
  <c r="Z194" i="51"/>
  <c r="AC182" i="51"/>
  <c r="AB182" i="51"/>
  <c r="AA182" i="51"/>
  <c r="Z182" i="51"/>
  <c r="AC128" i="51"/>
  <c r="AB128" i="51"/>
  <c r="AA128" i="51"/>
  <c r="Z128" i="51"/>
  <c r="AC101" i="51"/>
  <c r="AB101" i="51"/>
  <c r="AA101" i="51"/>
  <c r="Z101" i="51"/>
  <c r="AC77" i="51"/>
  <c r="AB77" i="51"/>
  <c r="AA77" i="51"/>
  <c r="Z77" i="51"/>
  <c r="AC71" i="51"/>
  <c r="AB71" i="51"/>
  <c r="AA71" i="51"/>
  <c r="Z71" i="51"/>
  <c r="AC49" i="51"/>
  <c r="AB49" i="51"/>
  <c r="AA49" i="51"/>
  <c r="Z49" i="51"/>
  <c r="Z44" i="51"/>
  <c r="AA44" i="51"/>
  <c r="AB44" i="51"/>
  <c r="AC44" i="51"/>
  <c r="AC43" i="51"/>
  <c r="AB43" i="51"/>
  <c r="AA43" i="51"/>
  <c r="Z43" i="51"/>
  <c r="AC25" i="51"/>
  <c r="AB25" i="51"/>
  <c r="AA25" i="51"/>
  <c r="Z25" i="51"/>
  <c r="AC20" i="51"/>
  <c r="AB20" i="51"/>
  <c r="AA20" i="51"/>
  <c r="Z20" i="51"/>
  <c r="AC19" i="51"/>
  <c r="AB19" i="51"/>
  <c r="AA19" i="51"/>
  <c r="Z19" i="51"/>
  <c r="P8" i="49" l="1"/>
  <c r="T10" i="49" s="1"/>
  <c r="O9" i="50" l="1"/>
  <c r="N9" i="50"/>
  <c r="L7" i="50" l="1"/>
  <c r="N7" i="50" s="1"/>
  <c r="P10" i="47"/>
  <c r="Q10" i="47" s="1"/>
  <c r="R10" i="47" s="1"/>
  <c r="S10" i="47" s="1"/>
  <c r="T10" i="47" s="1"/>
  <c r="U10" i="47" s="1"/>
  <c r="V10" i="47" s="1"/>
  <c r="W10" i="47" s="1"/>
  <c r="X10" i="47" s="1"/>
  <c r="Y10" i="47" s="1"/>
  <c r="Z10" i="47" s="1"/>
  <c r="AA10" i="47" s="1"/>
  <c r="AB10" i="47" s="1"/>
  <c r="AC10" i="47" s="1"/>
  <c r="AD10" i="47" s="1"/>
  <c r="AE10" i="47" s="1"/>
  <c r="AF10" i="47" s="1"/>
  <c r="AD12" i="47"/>
  <c r="AD11" i="47"/>
  <c r="AD13" i="47" s="1"/>
  <c r="AC12" i="47"/>
  <c r="AC11" i="47"/>
  <c r="AC13" i="47" s="1"/>
  <c r="C237" i="40" l="1"/>
  <c r="C207" i="40" s="1"/>
  <c r="C34" i="12" s="1"/>
  <c r="E34" i="12" s="1"/>
  <c r="H204" i="39" l="1"/>
  <c r="P60" i="19" l="1"/>
  <c r="P169" i="19"/>
  <c r="F11" i="19" l="1"/>
  <c r="AK393" i="45"/>
  <c r="AK395" i="45"/>
  <c r="AK392" i="45"/>
  <c r="AK82" i="45"/>
  <c r="AK101" i="45"/>
  <c r="AK106" i="45"/>
  <c r="AK107" i="45"/>
  <c r="AK55" i="48"/>
  <c r="AK54" i="45"/>
  <c r="AK48" i="45"/>
  <c r="AK43" i="45"/>
  <c r="AK42" i="45"/>
  <c r="AK18" i="45"/>
  <c r="J427" i="45"/>
  <c r="T427" i="45" s="1"/>
  <c r="X427" i="45" s="1"/>
  <c r="AF427" i="45" s="1"/>
  <c r="I427" i="45"/>
  <c r="S427" i="45" s="1"/>
  <c r="W427" i="45" s="1"/>
  <c r="AE427" i="45" s="1"/>
  <c r="H427" i="45"/>
  <c r="R427" i="45" s="1"/>
  <c r="V427" i="45" s="1"/>
  <c r="AD427" i="45" s="1"/>
  <c r="J409" i="45"/>
  <c r="T409" i="45" s="1"/>
  <c r="X409" i="45" s="1"/>
  <c r="AF409" i="45" s="1"/>
  <c r="I409" i="45"/>
  <c r="S409" i="45" s="1"/>
  <c r="W409" i="45" s="1"/>
  <c r="AE409" i="45" s="1"/>
  <c r="H409" i="45"/>
  <c r="R409" i="45" s="1"/>
  <c r="V409" i="45" s="1"/>
  <c r="AD409" i="45" s="1"/>
  <c r="Z392" i="45"/>
  <c r="AA392" i="45"/>
  <c r="AB392" i="45"/>
  <c r="AC392" i="45"/>
  <c r="Z393" i="45"/>
  <c r="AA393" i="45"/>
  <c r="AB393" i="45"/>
  <c r="AC393" i="45"/>
  <c r="AD393" i="45"/>
  <c r="Z395" i="45"/>
  <c r="AA395" i="45"/>
  <c r="AB395" i="45"/>
  <c r="AC395" i="45"/>
  <c r="AF395" i="45"/>
  <c r="T395" i="45"/>
  <c r="J378" i="45"/>
  <c r="T378" i="45" s="1"/>
  <c r="X378" i="45" s="1"/>
  <c r="AF378" i="45" s="1"/>
  <c r="I378" i="45"/>
  <c r="S378" i="45" s="1"/>
  <c r="W378" i="45" s="1"/>
  <c r="AE378" i="45" s="1"/>
  <c r="H378" i="45"/>
  <c r="R378" i="45" s="1"/>
  <c r="V378" i="45" s="1"/>
  <c r="AD378" i="45" s="1"/>
  <c r="J342" i="45"/>
  <c r="T342" i="45" s="1"/>
  <c r="X342" i="45" s="1"/>
  <c r="AF342" i="45" s="1"/>
  <c r="I342" i="45"/>
  <c r="S342" i="45" s="1"/>
  <c r="W342" i="45" s="1"/>
  <c r="AE342" i="45" s="1"/>
  <c r="H342" i="45"/>
  <c r="R342" i="45" s="1"/>
  <c r="V342" i="45" s="1"/>
  <c r="AD342" i="45" s="1"/>
  <c r="AJ255" i="45"/>
  <c r="Y255" i="45"/>
  <c r="AG255" i="45" s="1"/>
  <c r="AH255" i="45" s="1"/>
  <c r="Q233" i="45"/>
  <c r="L233" i="45"/>
  <c r="U125" i="45"/>
  <c r="U233" i="45" s="1"/>
  <c r="P125" i="45"/>
  <c r="P233" i="45" s="1"/>
  <c r="P342" i="45" s="1"/>
  <c r="P378" i="45" s="1"/>
  <c r="P409" i="45" s="1"/>
  <c r="P427" i="45" s="1"/>
  <c r="K125" i="45"/>
  <c r="K233" i="45" s="1"/>
  <c r="K342" i="45" s="1"/>
  <c r="K378" i="45" s="1"/>
  <c r="K409" i="45" s="1"/>
  <c r="K427" i="45" s="1"/>
  <c r="J125" i="45"/>
  <c r="J233" i="45" s="1"/>
  <c r="I125" i="45"/>
  <c r="S125" i="45" s="1"/>
  <c r="W125" i="45" s="1"/>
  <c r="AE125" i="45" s="1"/>
  <c r="H125" i="45"/>
  <c r="H233" i="45" s="1"/>
  <c r="AC107" i="45"/>
  <c r="AB107" i="45"/>
  <c r="AA107" i="45"/>
  <c r="Z107" i="45"/>
  <c r="AC106" i="45"/>
  <c r="AB106" i="45"/>
  <c r="AA106" i="45"/>
  <c r="Z106" i="45"/>
  <c r="AC101" i="45"/>
  <c r="AB101" i="45"/>
  <c r="AA101" i="45"/>
  <c r="Z101" i="45"/>
  <c r="AC82" i="45"/>
  <c r="AB82" i="45"/>
  <c r="AA82" i="45"/>
  <c r="Z82" i="45"/>
  <c r="AC70" i="45"/>
  <c r="AB70" i="45"/>
  <c r="AA70" i="45"/>
  <c r="Z70" i="45"/>
  <c r="G67" i="45"/>
  <c r="Y69" i="45"/>
  <c r="AG69" i="45" s="1"/>
  <c r="T69" i="45"/>
  <c r="X69" i="45" s="1"/>
  <c r="AF69" i="45" s="1"/>
  <c r="S69" i="45"/>
  <c r="W69" i="45" s="1"/>
  <c r="AE69" i="45" s="1"/>
  <c r="R69" i="45"/>
  <c r="V69" i="45" s="1"/>
  <c r="AD69" i="45" s="1"/>
  <c r="O69" i="45"/>
  <c r="N69" i="45"/>
  <c r="M69" i="45"/>
  <c r="Z12" i="45"/>
  <c r="AA12" i="45"/>
  <c r="AB12" i="45"/>
  <c r="AC12" i="45"/>
  <c r="AL18" i="45" s="1"/>
  <c r="Z18" i="45"/>
  <c r="AA18" i="45"/>
  <c r="AB18" i="45"/>
  <c r="AC18" i="45"/>
  <c r="Z19" i="45"/>
  <c r="AA19" i="45"/>
  <c r="AB19" i="45"/>
  <c r="AC19" i="45"/>
  <c r="Z24" i="45"/>
  <c r="AA24" i="45"/>
  <c r="AB24" i="45"/>
  <c r="AC24" i="45"/>
  <c r="Z42" i="45"/>
  <c r="AA42" i="45"/>
  <c r="AB42" i="45"/>
  <c r="AC42" i="45"/>
  <c r="Z43" i="45"/>
  <c r="AA43" i="45"/>
  <c r="AB43" i="45"/>
  <c r="AC43" i="45"/>
  <c r="Z48" i="45"/>
  <c r="AA48" i="45"/>
  <c r="AB48" i="45"/>
  <c r="AC48" i="45"/>
  <c r="M19" i="45"/>
  <c r="N19" i="45"/>
  <c r="Y11" i="45"/>
  <c r="AG11" i="45" s="1"/>
  <c r="T11" i="45"/>
  <c r="X11" i="45" s="1"/>
  <c r="AF11" i="45" s="1"/>
  <c r="S11" i="45"/>
  <c r="W11" i="45" s="1"/>
  <c r="AE11" i="45" s="1"/>
  <c r="R11" i="45"/>
  <c r="V11" i="45" s="1"/>
  <c r="AD11" i="45" s="1"/>
  <c r="O11" i="45"/>
  <c r="N11" i="45"/>
  <c r="M11" i="45"/>
  <c r="AB54" i="55"/>
  <c r="AA54" i="55"/>
  <c r="Z54" i="55"/>
  <c r="AC54" i="55" s="1"/>
  <c r="AD54" i="55" s="1"/>
  <c r="Y59" i="55"/>
  <c r="T109" i="55"/>
  <c r="S109" i="55"/>
  <c r="R109" i="55"/>
  <c r="P109" i="55"/>
  <c r="O109" i="55"/>
  <c r="N109" i="55"/>
  <c r="M109" i="55"/>
  <c r="Q109" i="55" s="1"/>
  <c r="I109" i="55"/>
  <c r="J109" i="55"/>
  <c r="K109" i="55"/>
  <c r="H109" i="55"/>
  <c r="L109" i="55" s="1"/>
  <c r="U59" i="55"/>
  <c r="S59" i="55"/>
  <c r="W59" i="55" s="1"/>
  <c r="AE59" i="55" s="1"/>
  <c r="P59" i="55"/>
  <c r="N59" i="55"/>
  <c r="R54" i="55"/>
  <c r="Q54" i="55"/>
  <c r="P54" i="55"/>
  <c r="N54" i="55"/>
  <c r="M54" i="55"/>
  <c r="L54" i="55"/>
  <c r="O54" i="55" s="1"/>
  <c r="I54" i="55"/>
  <c r="J54" i="55"/>
  <c r="H54" i="55"/>
  <c r="K54" i="55" s="1"/>
  <c r="AE54" i="55" l="1"/>
  <c r="AL43" i="45"/>
  <c r="AL432" i="45"/>
  <c r="AM432" i="45" s="1"/>
  <c r="AL430" i="45"/>
  <c r="AM430" i="45" s="1"/>
  <c r="AL412" i="45"/>
  <c r="AM412" i="45" s="1"/>
  <c r="AL414" i="45"/>
  <c r="AM414" i="45" s="1"/>
  <c r="AL416" i="45"/>
  <c r="AM416" i="45" s="1"/>
  <c r="AL418" i="45"/>
  <c r="AM418" i="45" s="1"/>
  <c r="AL420" i="45"/>
  <c r="AM420" i="45" s="1"/>
  <c r="AL422" i="45"/>
  <c r="AM422" i="45" s="1"/>
  <c r="AL59" i="45"/>
  <c r="AL57" i="45"/>
  <c r="AL55" i="45"/>
  <c r="AL53" i="45"/>
  <c r="AL51" i="45"/>
  <c r="AL49" i="45"/>
  <c r="AL47" i="45"/>
  <c r="AL45" i="45"/>
  <c r="AL41" i="45"/>
  <c r="AL39" i="45"/>
  <c r="AL37" i="45"/>
  <c r="AL35" i="45"/>
  <c r="AL33" i="45"/>
  <c r="AL31" i="45"/>
  <c r="AL29" i="45"/>
  <c r="AL27" i="45"/>
  <c r="AL25" i="45"/>
  <c r="AL23" i="45"/>
  <c r="AL21" i="45"/>
  <c r="AL19" i="45"/>
  <c r="AL17" i="45"/>
  <c r="AL15" i="45"/>
  <c r="AL13" i="45"/>
  <c r="AL117" i="45"/>
  <c r="AL115" i="45"/>
  <c r="AL113" i="45"/>
  <c r="AL111" i="45"/>
  <c r="AL109" i="45"/>
  <c r="AL107" i="45"/>
  <c r="AL105" i="45"/>
  <c r="AL103" i="45"/>
  <c r="AL101" i="45"/>
  <c r="AL99" i="45"/>
  <c r="AL97" i="45"/>
  <c r="AL95" i="45"/>
  <c r="AL93" i="45"/>
  <c r="AL91" i="45"/>
  <c r="AL89" i="45"/>
  <c r="AL87" i="45"/>
  <c r="AL85" i="45"/>
  <c r="AL83" i="45"/>
  <c r="AL81" i="45"/>
  <c r="AL79" i="45"/>
  <c r="AL77" i="45"/>
  <c r="AL75" i="45"/>
  <c r="AL73" i="45"/>
  <c r="AL71" i="45"/>
  <c r="AL228" i="45"/>
  <c r="AM228" i="45" s="1"/>
  <c r="AL226" i="45"/>
  <c r="AM226" i="45" s="1"/>
  <c r="AL224" i="45"/>
  <c r="AM224" i="45" s="1"/>
  <c r="AL222" i="45"/>
  <c r="AM222" i="45" s="1"/>
  <c r="AL220" i="45"/>
  <c r="AM220" i="45" s="1"/>
  <c r="AL218" i="45"/>
  <c r="AM218" i="45" s="1"/>
  <c r="AL216" i="45"/>
  <c r="AM216" i="45" s="1"/>
  <c r="AL214" i="45"/>
  <c r="AM214" i="45" s="1"/>
  <c r="AL212" i="45"/>
  <c r="AM212" i="45" s="1"/>
  <c r="AL210" i="45"/>
  <c r="AM210" i="45" s="1"/>
  <c r="AL208" i="45"/>
  <c r="AM208" i="45" s="1"/>
  <c r="AL206" i="45"/>
  <c r="AM206" i="45" s="1"/>
  <c r="AL204" i="45"/>
  <c r="AM204" i="45" s="1"/>
  <c r="AL202" i="45"/>
  <c r="AM202" i="45" s="1"/>
  <c r="AL200" i="45"/>
  <c r="AM200" i="45" s="1"/>
  <c r="AL198" i="45"/>
  <c r="AM198" i="45" s="1"/>
  <c r="AL196" i="45"/>
  <c r="AM196" i="45" s="1"/>
  <c r="AL194" i="45"/>
  <c r="AM194" i="45" s="1"/>
  <c r="AL192" i="45"/>
  <c r="AM192" i="45" s="1"/>
  <c r="AL190" i="45"/>
  <c r="AM190" i="45" s="1"/>
  <c r="AL188" i="45"/>
  <c r="AM188" i="45" s="1"/>
  <c r="AL186" i="45"/>
  <c r="AM186" i="45" s="1"/>
  <c r="AL431" i="45"/>
  <c r="AM431" i="45" s="1"/>
  <c r="AL413" i="45"/>
  <c r="AM413" i="45" s="1"/>
  <c r="AL417" i="45"/>
  <c r="AM417" i="45" s="1"/>
  <c r="AL421" i="45"/>
  <c r="AM421" i="45" s="1"/>
  <c r="AL56" i="45"/>
  <c r="AL52" i="45"/>
  <c r="AL48" i="45"/>
  <c r="AL44" i="45"/>
  <c r="AL40" i="45"/>
  <c r="AL36" i="45"/>
  <c r="AL32" i="45"/>
  <c r="AL28" i="45"/>
  <c r="AL24" i="45"/>
  <c r="AL20" i="45"/>
  <c r="AL16" i="45"/>
  <c r="AL12" i="45"/>
  <c r="AL114" i="45"/>
  <c r="AL110" i="45"/>
  <c r="AL106" i="45"/>
  <c r="AL102" i="45"/>
  <c r="AL98" i="45"/>
  <c r="AL94" i="45"/>
  <c r="AL90" i="45"/>
  <c r="AL86" i="45"/>
  <c r="AL82" i="45"/>
  <c r="AL78" i="45"/>
  <c r="AL74" i="45"/>
  <c r="AL70" i="45"/>
  <c r="AL225" i="45"/>
  <c r="AM225" i="45" s="1"/>
  <c r="AL221" i="45"/>
  <c r="AM221" i="45" s="1"/>
  <c r="AL217" i="45"/>
  <c r="AM217" i="45" s="1"/>
  <c r="AL213" i="45"/>
  <c r="AM213" i="45" s="1"/>
  <c r="AL209" i="45"/>
  <c r="AM209" i="45" s="1"/>
  <c r="AL205" i="45"/>
  <c r="AM205" i="45" s="1"/>
  <c r="AL201" i="45"/>
  <c r="AM201" i="45" s="1"/>
  <c r="AL197" i="45"/>
  <c r="AM197" i="45" s="1"/>
  <c r="AL193" i="45"/>
  <c r="AM193" i="45" s="1"/>
  <c r="AL189" i="45"/>
  <c r="AM189" i="45" s="1"/>
  <c r="AL185" i="45"/>
  <c r="AM185" i="45" s="1"/>
  <c r="AL183" i="45"/>
  <c r="AM183" i="45" s="1"/>
  <c r="AL181" i="45"/>
  <c r="AM181" i="45" s="1"/>
  <c r="AL179" i="45"/>
  <c r="AM179" i="45" s="1"/>
  <c r="AL177" i="45"/>
  <c r="AM177" i="45" s="1"/>
  <c r="AL175" i="45"/>
  <c r="AM175" i="45" s="1"/>
  <c r="AL173" i="45"/>
  <c r="AM173" i="45" s="1"/>
  <c r="AL171" i="45"/>
  <c r="AM171" i="45" s="1"/>
  <c r="AL169" i="45"/>
  <c r="AM169" i="45" s="1"/>
  <c r="AL167" i="45"/>
  <c r="AM167" i="45" s="1"/>
  <c r="AL165" i="45"/>
  <c r="AM165" i="45" s="1"/>
  <c r="AL163" i="45"/>
  <c r="AM163" i="45" s="1"/>
  <c r="AL161" i="45"/>
  <c r="AM161" i="45" s="1"/>
  <c r="AL159" i="45"/>
  <c r="AM159" i="45" s="1"/>
  <c r="AL157" i="45"/>
  <c r="AM157" i="45" s="1"/>
  <c r="AL155" i="45"/>
  <c r="AM155" i="45" s="1"/>
  <c r="AL153" i="45"/>
  <c r="AM153" i="45" s="1"/>
  <c r="AL151" i="45"/>
  <c r="AM151" i="45" s="1"/>
  <c r="AL149" i="45"/>
  <c r="AM149" i="45" s="1"/>
  <c r="AL147" i="45"/>
  <c r="AM147" i="45" s="1"/>
  <c r="AL145" i="45"/>
  <c r="AM145" i="45" s="1"/>
  <c r="AL143" i="45"/>
  <c r="AM143" i="45" s="1"/>
  <c r="AL141" i="45"/>
  <c r="AM141" i="45" s="1"/>
  <c r="AL139" i="45"/>
  <c r="AM139" i="45" s="1"/>
  <c r="AL137" i="45"/>
  <c r="AM137" i="45" s="1"/>
  <c r="AL135" i="45"/>
  <c r="AM135" i="45" s="1"/>
  <c r="AL133" i="45"/>
  <c r="AM133" i="45" s="1"/>
  <c r="AL131" i="45"/>
  <c r="AM131" i="45" s="1"/>
  <c r="AL129" i="45"/>
  <c r="AM129" i="45" s="1"/>
  <c r="AL127" i="45"/>
  <c r="AM127" i="45" s="1"/>
  <c r="AL335" i="45"/>
  <c r="AM335" i="45" s="1"/>
  <c r="AL333" i="45"/>
  <c r="AM333" i="45" s="1"/>
  <c r="AL331" i="45"/>
  <c r="AM331" i="45" s="1"/>
  <c r="AL329" i="45"/>
  <c r="AM329" i="45" s="1"/>
  <c r="AL327" i="45"/>
  <c r="AM327" i="45" s="1"/>
  <c r="AL325" i="45"/>
  <c r="AM325" i="45" s="1"/>
  <c r="AL323" i="45"/>
  <c r="AM323" i="45" s="1"/>
  <c r="AL321" i="45"/>
  <c r="AM321" i="45" s="1"/>
  <c r="AL319" i="45"/>
  <c r="AM319" i="45" s="1"/>
  <c r="AL317" i="45"/>
  <c r="AM317" i="45" s="1"/>
  <c r="AL315" i="45"/>
  <c r="AM315" i="45" s="1"/>
  <c r="AL313" i="45"/>
  <c r="AM313" i="45" s="1"/>
  <c r="AL311" i="45"/>
  <c r="AM311" i="45" s="1"/>
  <c r="AL309" i="45"/>
  <c r="AM309" i="45" s="1"/>
  <c r="AL429" i="45"/>
  <c r="AM429" i="45" s="1"/>
  <c r="AL415" i="45"/>
  <c r="AM415" i="45" s="1"/>
  <c r="AL419" i="45"/>
  <c r="AM419" i="45" s="1"/>
  <c r="AL411" i="45"/>
  <c r="AM411" i="45" s="1"/>
  <c r="AL58" i="45"/>
  <c r="AL54" i="45"/>
  <c r="AL50" i="45"/>
  <c r="AL46" i="45"/>
  <c r="AL42" i="45"/>
  <c r="AL38" i="45"/>
  <c r="AL34" i="45"/>
  <c r="AL30" i="45"/>
  <c r="AL26" i="45"/>
  <c r="AL22" i="45"/>
  <c r="AL14" i="45"/>
  <c r="AL116" i="45"/>
  <c r="AL112" i="45"/>
  <c r="AL108" i="45"/>
  <c r="AL104" i="45"/>
  <c r="AL100" i="45"/>
  <c r="AL96" i="45"/>
  <c r="AL92" i="45"/>
  <c r="AL88" i="45"/>
  <c r="AL84" i="45"/>
  <c r="AL80" i="45"/>
  <c r="AL76" i="45"/>
  <c r="AL72" i="45"/>
  <c r="AL227" i="45"/>
  <c r="AM227" i="45" s="1"/>
  <c r="AL223" i="45"/>
  <c r="AM223" i="45" s="1"/>
  <c r="AL219" i="45"/>
  <c r="AM219" i="45" s="1"/>
  <c r="AL215" i="45"/>
  <c r="AM215" i="45" s="1"/>
  <c r="AL211" i="45"/>
  <c r="AM211" i="45" s="1"/>
  <c r="AL207" i="45"/>
  <c r="AM207" i="45" s="1"/>
  <c r="AL203" i="45"/>
  <c r="AM203" i="45" s="1"/>
  <c r="AL199" i="45"/>
  <c r="AM199" i="45" s="1"/>
  <c r="AL195" i="45"/>
  <c r="AM195" i="45" s="1"/>
  <c r="AL191" i="45"/>
  <c r="AM191" i="45" s="1"/>
  <c r="AL187" i="45"/>
  <c r="AM187" i="45" s="1"/>
  <c r="AL184" i="45"/>
  <c r="AM184" i="45" s="1"/>
  <c r="AL182" i="45"/>
  <c r="AM182" i="45" s="1"/>
  <c r="AL180" i="45"/>
  <c r="AM180" i="45" s="1"/>
  <c r="AL178" i="45"/>
  <c r="AM178" i="45" s="1"/>
  <c r="AL176" i="45"/>
  <c r="AM176" i="45" s="1"/>
  <c r="AL174" i="45"/>
  <c r="AM174" i="45" s="1"/>
  <c r="AL172" i="45"/>
  <c r="AM172" i="45" s="1"/>
  <c r="AL170" i="45"/>
  <c r="AM170" i="45" s="1"/>
  <c r="AL168" i="45"/>
  <c r="AM168" i="45" s="1"/>
  <c r="AL166" i="45"/>
  <c r="AM166" i="45" s="1"/>
  <c r="AL164" i="45"/>
  <c r="AM164" i="45" s="1"/>
  <c r="AL162" i="45"/>
  <c r="AM162" i="45" s="1"/>
  <c r="AL160" i="45"/>
  <c r="AM160" i="45" s="1"/>
  <c r="AL158" i="45"/>
  <c r="AM158" i="45" s="1"/>
  <c r="AL156" i="45"/>
  <c r="AM156" i="45" s="1"/>
  <c r="AL154" i="45"/>
  <c r="AM154" i="45" s="1"/>
  <c r="AL152" i="45"/>
  <c r="AM152" i="45" s="1"/>
  <c r="AL150" i="45"/>
  <c r="AM150" i="45" s="1"/>
  <c r="AL148" i="45"/>
  <c r="AM148" i="45" s="1"/>
  <c r="AL146" i="45"/>
  <c r="AM146" i="45" s="1"/>
  <c r="AL144" i="45"/>
  <c r="AM144" i="45" s="1"/>
  <c r="AL142" i="45"/>
  <c r="AM142" i="45" s="1"/>
  <c r="AL140" i="45"/>
  <c r="AM140" i="45" s="1"/>
  <c r="AL138" i="45"/>
  <c r="AM138" i="45" s="1"/>
  <c r="AL136" i="45"/>
  <c r="AM136" i="45" s="1"/>
  <c r="AL134" i="45"/>
  <c r="AM134" i="45" s="1"/>
  <c r="AL132" i="45"/>
  <c r="AM132" i="45" s="1"/>
  <c r="AL130" i="45"/>
  <c r="AM130" i="45" s="1"/>
  <c r="AL128" i="45"/>
  <c r="AM128" i="45" s="1"/>
  <c r="AL336" i="45"/>
  <c r="AM336" i="45" s="1"/>
  <c r="AL334" i="45"/>
  <c r="AM334" i="45" s="1"/>
  <c r="AL332" i="45"/>
  <c r="AM332" i="45" s="1"/>
  <c r="AL330" i="45"/>
  <c r="AM330" i="45" s="1"/>
  <c r="AL328" i="45"/>
  <c r="AM328" i="45" s="1"/>
  <c r="AL326" i="45"/>
  <c r="AM326" i="45" s="1"/>
  <c r="AL324" i="45"/>
  <c r="AM324" i="45" s="1"/>
  <c r="AL322" i="45"/>
  <c r="AM322" i="45" s="1"/>
  <c r="AL320" i="45"/>
  <c r="AM320" i="45" s="1"/>
  <c r="AL318" i="45"/>
  <c r="AM318" i="45" s="1"/>
  <c r="AL316" i="45"/>
  <c r="AM316" i="45" s="1"/>
  <c r="AL314" i="45"/>
  <c r="AM314" i="45" s="1"/>
  <c r="AL312" i="45"/>
  <c r="AM312" i="45" s="1"/>
  <c r="AL308" i="45"/>
  <c r="AM308" i="45" s="1"/>
  <c r="AL306" i="45"/>
  <c r="AM306" i="45" s="1"/>
  <c r="AL304" i="45"/>
  <c r="AM304" i="45" s="1"/>
  <c r="AL302" i="45"/>
  <c r="AM302" i="45" s="1"/>
  <c r="AL300" i="45"/>
  <c r="AM300" i="45" s="1"/>
  <c r="AL298" i="45"/>
  <c r="AM298" i="45" s="1"/>
  <c r="AL296" i="45"/>
  <c r="AM296" i="45" s="1"/>
  <c r="AL294" i="45"/>
  <c r="AM294" i="45" s="1"/>
  <c r="AL292" i="45"/>
  <c r="AM292" i="45" s="1"/>
  <c r="AL290" i="45"/>
  <c r="AM290" i="45" s="1"/>
  <c r="AL288" i="45"/>
  <c r="AM288" i="45" s="1"/>
  <c r="AL286" i="45"/>
  <c r="AM286" i="45" s="1"/>
  <c r="AL284" i="45"/>
  <c r="AM284" i="45" s="1"/>
  <c r="AL282" i="45"/>
  <c r="AM282" i="45" s="1"/>
  <c r="AL280" i="45"/>
  <c r="AM280" i="45" s="1"/>
  <c r="AL278" i="45"/>
  <c r="AM278" i="45" s="1"/>
  <c r="AL276" i="45"/>
  <c r="AM276" i="45" s="1"/>
  <c r="AL274" i="45"/>
  <c r="AM274" i="45" s="1"/>
  <c r="AL272" i="45"/>
  <c r="AM272" i="45" s="1"/>
  <c r="AL270" i="45"/>
  <c r="AM270" i="45" s="1"/>
  <c r="AL268" i="45"/>
  <c r="AM268" i="45" s="1"/>
  <c r="AL266" i="45"/>
  <c r="AM266" i="45" s="1"/>
  <c r="AL264" i="45"/>
  <c r="AM264" i="45" s="1"/>
  <c r="AL262" i="45"/>
  <c r="AM262" i="45" s="1"/>
  <c r="AL260" i="45"/>
  <c r="AM260" i="45" s="1"/>
  <c r="AL258" i="45"/>
  <c r="AM258" i="45" s="1"/>
  <c r="AL256" i="45"/>
  <c r="AM256" i="45" s="1"/>
  <c r="AL254" i="45"/>
  <c r="AM254" i="45" s="1"/>
  <c r="AL252" i="45"/>
  <c r="AM252" i="45" s="1"/>
  <c r="AL250" i="45"/>
  <c r="AM250" i="45" s="1"/>
  <c r="AL248" i="45"/>
  <c r="AM248" i="45" s="1"/>
  <c r="AL246" i="45"/>
  <c r="AM246" i="45" s="1"/>
  <c r="AL244" i="45"/>
  <c r="AM244" i="45" s="1"/>
  <c r="AL242" i="45"/>
  <c r="AM242" i="45" s="1"/>
  <c r="AL240" i="45"/>
  <c r="AM240" i="45" s="1"/>
  <c r="AL238" i="45"/>
  <c r="AM238" i="45" s="1"/>
  <c r="AL236" i="45"/>
  <c r="AM236" i="45" s="1"/>
  <c r="AL345" i="45"/>
  <c r="AM345" i="45" s="1"/>
  <c r="AL347" i="45"/>
  <c r="AM347" i="45" s="1"/>
  <c r="AL349" i="45"/>
  <c r="AM349" i="45" s="1"/>
  <c r="AL351" i="45"/>
  <c r="AM351" i="45" s="1"/>
  <c r="AL353" i="45"/>
  <c r="AM353" i="45" s="1"/>
  <c r="AL355" i="45"/>
  <c r="AM355" i="45" s="1"/>
  <c r="AL357" i="45"/>
  <c r="AM357" i="45" s="1"/>
  <c r="AL359" i="45"/>
  <c r="AM359" i="45" s="1"/>
  <c r="AL361" i="45"/>
  <c r="AM361" i="45" s="1"/>
  <c r="AL363" i="45"/>
  <c r="AM363" i="45" s="1"/>
  <c r="AL365" i="45"/>
  <c r="AM365" i="45" s="1"/>
  <c r="AL367" i="45"/>
  <c r="AM367" i="45" s="1"/>
  <c r="AL369" i="45"/>
  <c r="AM369" i="45" s="1"/>
  <c r="AL371" i="45"/>
  <c r="AM371" i="45" s="1"/>
  <c r="AL373" i="45"/>
  <c r="AM373" i="45" s="1"/>
  <c r="AL403" i="45"/>
  <c r="AM403" i="45" s="1"/>
  <c r="AL382" i="45"/>
  <c r="AM382" i="45" s="1"/>
  <c r="AL384" i="45"/>
  <c r="AM384" i="45" s="1"/>
  <c r="AL386" i="45"/>
  <c r="AM386" i="45" s="1"/>
  <c r="AL388" i="45"/>
  <c r="AM388" i="45" s="1"/>
  <c r="AL390" i="45"/>
  <c r="AM390" i="45" s="1"/>
  <c r="AL392" i="45"/>
  <c r="AL394" i="45"/>
  <c r="AM394" i="45" s="1"/>
  <c r="AL396" i="45"/>
  <c r="AM396" i="45" s="1"/>
  <c r="AL398" i="45"/>
  <c r="AM398" i="45" s="1"/>
  <c r="AL400" i="45"/>
  <c r="AM400" i="45" s="1"/>
  <c r="AL402" i="45"/>
  <c r="AM402" i="45" s="1"/>
  <c r="AL310" i="45"/>
  <c r="AM310" i="45" s="1"/>
  <c r="AL307" i="45"/>
  <c r="AM307" i="45" s="1"/>
  <c r="AL305" i="45"/>
  <c r="AM305" i="45" s="1"/>
  <c r="AL303" i="45"/>
  <c r="AM303" i="45" s="1"/>
  <c r="AL301" i="45"/>
  <c r="AM301" i="45" s="1"/>
  <c r="AL299" i="45"/>
  <c r="AM299" i="45" s="1"/>
  <c r="AL297" i="45"/>
  <c r="AM297" i="45" s="1"/>
  <c r="AL295" i="45"/>
  <c r="AM295" i="45" s="1"/>
  <c r="AL293" i="45"/>
  <c r="AM293" i="45" s="1"/>
  <c r="AL291" i="45"/>
  <c r="AM291" i="45" s="1"/>
  <c r="AL289" i="45"/>
  <c r="AM289" i="45" s="1"/>
  <c r="AL287" i="45"/>
  <c r="AM287" i="45" s="1"/>
  <c r="AL285" i="45"/>
  <c r="AM285" i="45" s="1"/>
  <c r="AL283" i="45"/>
  <c r="AM283" i="45" s="1"/>
  <c r="AL281" i="45"/>
  <c r="AM281" i="45" s="1"/>
  <c r="AL279" i="45"/>
  <c r="AM279" i="45" s="1"/>
  <c r="AL277" i="45"/>
  <c r="AM277" i="45" s="1"/>
  <c r="AL275" i="45"/>
  <c r="AM275" i="45" s="1"/>
  <c r="AL273" i="45"/>
  <c r="AM273" i="45" s="1"/>
  <c r="AL271" i="45"/>
  <c r="AM271" i="45" s="1"/>
  <c r="AL269" i="45"/>
  <c r="AM269" i="45" s="1"/>
  <c r="AL267" i="45"/>
  <c r="AM267" i="45" s="1"/>
  <c r="AL265" i="45"/>
  <c r="AM265" i="45" s="1"/>
  <c r="AL263" i="45"/>
  <c r="AM263" i="45" s="1"/>
  <c r="AL261" i="45"/>
  <c r="AM261" i="45" s="1"/>
  <c r="AL259" i="45"/>
  <c r="AM259" i="45" s="1"/>
  <c r="AL257" i="45"/>
  <c r="AM257" i="45" s="1"/>
  <c r="AL255" i="45"/>
  <c r="AM255" i="45" s="1"/>
  <c r="AL253" i="45"/>
  <c r="AM253" i="45" s="1"/>
  <c r="AL251" i="45"/>
  <c r="AM251" i="45" s="1"/>
  <c r="AL249" i="45"/>
  <c r="AM249" i="45" s="1"/>
  <c r="AL247" i="45"/>
  <c r="AM247" i="45" s="1"/>
  <c r="AL245" i="45"/>
  <c r="AM245" i="45" s="1"/>
  <c r="AL243" i="45"/>
  <c r="AM243" i="45" s="1"/>
  <c r="AL241" i="45"/>
  <c r="AM241" i="45" s="1"/>
  <c r="AL239" i="45"/>
  <c r="AM239" i="45" s="1"/>
  <c r="AL237" i="45"/>
  <c r="AM237" i="45" s="1"/>
  <c r="AL235" i="45"/>
  <c r="AM235" i="45" s="1"/>
  <c r="AL346" i="45"/>
  <c r="AM346" i="45" s="1"/>
  <c r="AL348" i="45"/>
  <c r="AM348" i="45" s="1"/>
  <c r="AL350" i="45"/>
  <c r="AM350" i="45" s="1"/>
  <c r="AL352" i="45"/>
  <c r="AM352" i="45" s="1"/>
  <c r="AL354" i="45"/>
  <c r="AM354" i="45" s="1"/>
  <c r="AL356" i="45"/>
  <c r="AM356" i="45" s="1"/>
  <c r="AL358" i="45"/>
  <c r="AM358" i="45" s="1"/>
  <c r="AL360" i="45"/>
  <c r="AM360" i="45" s="1"/>
  <c r="AL362" i="45"/>
  <c r="AM362" i="45" s="1"/>
  <c r="AL364" i="45"/>
  <c r="AM364" i="45" s="1"/>
  <c r="AL366" i="45"/>
  <c r="AM366" i="45" s="1"/>
  <c r="AL368" i="45"/>
  <c r="AM368" i="45" s="1"/>
  <c r="AL370" i="45"/>
  <c r="AM370" i="45" s="1"/>
  <c r="AL372" i="45"/>
  <c r="AM372" i="45" s="1"/>
  <c r="AL344" i="45"/>
  <c r="AM344" i="45" s="1"/>
  <c r="AL381" i="45"/>
  <c r="AM381" i="45" s="1"/>
  <c r="AL383" i="45"/>
  <c r="AM383" i="45" s="1"/>
  <c r="AL385" i="45"/>
  <c r="AM385" i="45" s="1"/>
  <c r="AL387" i="45"/>
  <c r="AM387" i="45" s="1"/>
  <c r="AL389" i="45"/>
  <c r="AM389" i="45" s="1"/>
  <c r="AL391" i="45"/>
  <c r="AM391" i="45" s="1"/>
  <c r="AL393" i="45"/>
  <c r="AL395" i="45"/>
  <c r="AL397" i="45"/>
  <c r="AM397" i="45" s="1"/>
  <c r="AL399" i="45"/>
  <c r="AM399" i="45" s="1"/>
  <c r="AL401" i="45"/>
  <c r="AM401" i="45" s="1"/>
  <c r="AL380" i="45"/>
  <c r="AM380" i="45" s="1"/>
  <c r="M409" i="45"/>
  <c r="O409" i="45"/>
  <c r="M427" i="45"/>
  <c r="O427" i="45"/>
  <c r="N409" i="45"/>
  <c r="N427" i="45"/>
  <c r="M378" i="45"/>
  <c r="O378" i="45"/>
  <c r="N378" i="45"/>
  <c r="R233" i="45"/>
  <c r="V233" i="45" s="1"/>
  <c r="AD233" i="45" s="1"/>
  <c r="M233" i="45"/>
  <c r="T233" i="45"/>
  <c r="X233" i="45" s="1"/>
  <c r="AF233" i="45" s="1"/>
  <c r="O233" i="45"/>
  <c r="U342" i="45"/>
  <c r="Y233" i="45"/>
  <c r="AG233" i="45" s="1"/>
  <c r="N125" i="45"/>
  <c r="Y125" i="45"/>
  <c r="AG125" i="45" s="1"/>
  <c r="I233" i="45"/>
  <c r="N342" i="45"/>
  <c r="M125" i="45"/>
  <c r="O125" i="45"/>
  <c r="R125" i="45"/>
  <c r="V125" i="45" s="1"/>
  <c r="AD125" i="45" s="1"/>
  <c r="T125" i="45"/>
  <c r="X125" i="45" s="1"/>
  <c r="AF125" i="45" s="1"/>
  <c r="M342" i="45"/>
  <c r="O342" i="45"/>
  <c r="AG59" i="55"/>
  <c r="R59" i="55"/>
  <c r="V59" i="55" s="1"/>
  <c r="AD59" i="55" s="1"/>
  <c r="M59" i="55"/>
  <c r="T59" i="55"/>
  <c r="X59" i="55" s="1"/>
  <c r="AF59" i="55" s="1"/>
  <c r="O59" i="55"/>
  <c r="AL430" i="48"/>
  <c r="AM430" i="48" s="1"/>
  <c r="AL431" i="48"/>
  <c r="AM431" i="48" s="1"/>
  <c r="AL432" i="48"/>
  <c r="AM432" i="48" s="1"/>
  <c r="AL429" i="48"/>
  <c r="AM429" i="48" s="1"/>
  <c r="AL412" i="48"/>
  <c r="AM412" i="48" s="1"/>
  <c r="AL413" i="48"/>
  <c r="AM413" i="48" s="1"/>
  <c r="AL414" i="48"/>
  <c r="AM414" i="48" s="1"/>
  <c r="AL415" i="48"/>
  <c r="AM415" i="48" s="1"/>
  <c r="AL416" i="48"/>
  <c r="AM416" i="48" s="1"/>
  <c r="AL417" i="48"/>
  <c r="AM417" i="48" s="1"/>
  <c r="AL418" i="48"/>
  <c r="AM418" i="48" s="1"/>
  <c r="AL419" i="48"/>
  <c r="AM419" i="48" s="1"/>
  <c r="AL420" i="48"/>
  <c r="AM420" i="48" s="1"/>
  <c r="AL421" i="48"/>
  <c r="AM421" i="48" s="1"/>
  <c r="AL422" i="48"/>
  <c r="AM422" i="48" s="1"/>
  <c r="AL411" i="48"/>
  <c r="AM411" i="48" s="1"/>
  <c r="AK395" i="48"/>
  <c r="AL395" i="48" s="1"/>
  <c r="AK393" i="48"/>
  <c r="AL393" i="48" s="1"/>
  <c r="AK392" i="48"/>
  <c r="AL381" i="48"/>
  <c r="AM381" i="48" s="1"/>
  <c r="AL382" i="48"/>
  <c r="AM382" i="48" s="1"/>
  <c r="AL383" i="48"/>
  <c r="AM383" i="48" s="1"/>
  <c r="AL384" i="48"/>
  <c r="AM384" i="48" s="1"/>
  <c r="AL385" i="48"/>
  <c r="AM385" i="48" s="1"/>
  <c r="AL386" i="48"/>
  <c r="AM386" i="48" s="1"/>
  <c r="AL387" i="48"/>
  <c r="AM387" i="48" s="1"/>
  <c r="AL388" i="48"/>
  <c r="AM388" i="48" s="1"/>
  <c r="AL389" i="48"/>
  <c r="AM389" i="48" s="1"/>
  <c r="AL390" i="48"/>
  <c r="AM390" i="48" s="1"/>
  <c r="AL391" i="48"/>
  <c r="AM391" i="48" s="1"/>
  <c r="AL392" i="48"/>
  <c r="AL394" i="48"/>
  <c r="AM394" i="48" s="1"/>
  <c r="AL396" i="48"/>
  <c r="AM396" i="48" s="1"/>
  <c r="AL397" i="48"/>
  <c r="AM397" i="48" s="1"/>
  <c r="AL398" i="48"/>
  <c r="AM398" i="48" s="1"/>
  <c r="AL399" i="48"/>
  <c r="AM399" i="48" s="1"/>
  <c r="AL400" i="48"/>
  <c r="AM400" i="48" s="1"/>
  <c r="AL401" i="48"/>
  <c r="AM401" i="48" s="1"/>
  <c r="AL402" i="48"/>
  <c r="AM402" i="48" s="1"/>
  <c r="AL403" i="48"/>
  <c r="AM403" i="48" s="1"/>
  <c r="AL380" i="48"/>
  <c r="AM380" i="48" s="1"/>
  <c r="AL345" i="48"/>
  <c r="AM345" i="48" s="1"/>
  <c r="AL346" i="48"/>
  <c r="AM346" i="48" s="1"/>
  <c r="AL347" i="48"/>
  <c r="AM347" i="48" s="1"/>
  <c r="AL348" i="48"/>
  <c r="AM348" i="48" s="1"/>
  <c r="AL349" i="48"/>
  <c r="AM349" i="48" s="1"/>
  <c r="AL350" i="48"/>
  <c r="AM350" i="48" s="1"/>
  <c r="AL351" i="48"/>
  <c r="AM351" i="48" s="1"/>
  <c r="AL352" i="48"/>
  <c r="AM352" i="48" s="1"/>
  <c r="AL353" i="48"/>
  <c r="AM353" i="48" s="1"/>
  <c r="AL354" i="48"/>
  <c r="AM354" i="48" s="1"/>
  <c r="AL355" i="48"/>
  <c r="AM355" i="48" s="1"/>
  <c r="AL356" i="48"/>
  <c r="AM356" i="48" s="1"/>
  <c r="AL357" i="48"/>
  <c r="AM357" i="48" s="1"/>
  <c r="AL358" i="48"/>
  <c r="AM358" i="48" s="1"/>
  <c r="AL359" i="48"/>
  <c r="AM359" i="48" s="1"/>
  <c r="AL360" i="48"/>
  <c r="AM360" i="48" s="1"/>
  <c r="AL361" i="48"/>
  <c r="AM361" i="48" s="1"/>
  <c r="AL362" i="48"/>
  <c r="AM362" i="48" s="1"/>
  <c r="AL363" i="48"/>
  <c r="AM363" i="48" s="1"/>
  <c r="AL364" i="48"/>
  <c r="AM364" i="48" s="1"/>
  <c r="AL365" i="48"/>
  <c r="AM365" i="48" s="1"/>
  <c r="AL366" i="48"/>
  <c r="AM366" i="48" s="1"/>
  <c r="AL367" i="48"/>
  <c r="AM367" i="48" s="1"/>
  <c r="AL368" i="48"/>
  <c r="AM368" i="48" s="1"/>
  <c r="AL369" i="48"/>
  <c r="AM369" i="48" s="1"/>
  <c r="AL370" i="48"/>
  <c r="AM370" i="48" s="1"/>
  <c r="AL371" i="48"/>
  <c r="AM371" i="48" s="1"/>
  <c r="AL372" i="48"/>
  <c r="AM372" i="48" s="1"/>
  <c r="AL373" i="48"/>
  <c r="AM373" i="48" s="1"/>
  <c r="AL344" i="48"/>
  <c r="AM344" i="48" s="1"/>
  <c r="AL334" i="48"/>
  <c r="AM334" i="48" s="1"/>
  <c r="AL335" i="48"/>
  <c r="AM335" i="48" s="1"/>
  <c r="AL336" i="48"/>
  <c r="AM336" i="48" s="1"/>
  <c r="AL333" i="48"/>
  <c r="AM333" i="48" s="1"/>
  <c r="AL332" i="48"/>
  <c r="AM332" i="48" s="1"/>
  <c r="AL331" i="48"/>
  <c r="AM331" i="48" s="1"/>
  <c r="AL330" i="48"/>
  <c r="AM330" i="48" s="1"/>
  <c r="AL329" i="48"/>
  <c r="AM329" i="48" s="1"/>
  <c r="AL328" i="48"/>
  <c r="AM328" i="48" s="1"/>
  <c r="AL327" i="48"/>
  <c r="AM327" i="48" s="1"/>
  <c r="AL326" i="48"/>
  <c r="AM326" i="48" s="1"/>
  <c r="AL325" i="48"/>
  <c r="AM325" i="48" s="1"/>
  <c r="AL324" i="48"/>
  <c r="AM324" i="48" s="1"/>
  <c r="AL323" i="48"/>
  <c r="AM323" i="48" s="1"/>
  <c r="AL322" i="48"/>
  <c r="AM322" i="48" s="1"/>
  <c r="AL321" i="48"/>
  <c r="AM321" i="48" s="1"/>
  <c r="AL320" i="48"/>
  <c r="AM320" i="48" s="1"/>
  <c r="AL319" i="48"/>
  <c r="AM319" i="48" s="1"/>
  <c r="AL318" i="48"/>
  <c r="AM318" i="48" s="1"/>
  <c r="AL317" i="48"/>
  <c r="AM317" i="48" s="1"/>
  <c r="AL316" i="48"/>
  <c r="AM316" i="48" s="1"/>
  <c r="AL315" i="48"/>
  <c r="AM315" i="48" s="1"/>
  <c r="AL314" i="48"/>
  <c r="AM314" i="48" s="1"/>
  <c r="AL313" i="48"/>
  <c r="AM313" i="48" s="1"/>
  <c r="AL312" i="48"/>
  <c r="AM312" i="48" s="1"/>
  <c r="AL311" i="48"/>
  <c r="AM311" i="48" s="1"/>
  <c r="AL310" i="48"/>
  <c r="AM310" i="48" s="1"/>
  <c r="AL309" i="48"/>
  <c r="AM309" i="48" s="1"/>
  <c r="AL308" i="48"/>
  <c r="AM308" i="48" s="1"/>
  <c r="AL307" i="48"/>
  <c r="AM307" i="48" s="1"/>
  <c r="AL306" i="48"/>
  <c r="AM306" i="48" s="1"/>
  <c r="AL305" i="48"/>
  <c r="AM305" i="48" s="1"/>
  <c r="AL304" i="48"/>
  <c r="AM304" i="48" s="1"/>
  <c r="AL303" i="48"/>
  <c r="AM303" i="48" s="1"/>
  <c r="AL302" i="48"/>
  <c r="AM302" i="48" s="1"/>
  <c r="AL301" i="48"/>
  <c r="AM301" i="48" s="1"/>
  <c r="AL300" i="48"/>
  <c r="AM300" i="48" s="1"/>
  <c r="AL299" i="48"/>
  <c r="AM299" i="48" s="1"/>
  <c r="AL298" i="48"/>
  <c r="AM298" i="48" s="1"/>
  <c r="AL297" i="48"/>
  <c r="AM297" i="48" s="1"/>
  <c r="AL296" i="48"/>
  <c r="AM296" i="48" s="1"/>
  <c r="AL295" i="48"/>
  <c r="AM295" i="48" s="1"/>
  <c r="AL294" i="48"/>
  <c r="AM294" i="48" s="1"/>
  <c r="AL293" i="48"/>
  <c r="AM293" i="48" s="1"/>
  <c r="AL292" i="48"/>
  <c r="AM292" i="48" s="1"/>
  <c r="AL291" i="48"/>
  <c r="AM291" i="48" s="1"/>
  <c r="AL290" i="48"/>
  <c r="AM290" i="48" s="1"/>
  <c r="AL289" i="48"/>
  <c r="AM289" i="48" s="1"/>
  <c r="AL288" i="48"/>
  <c r="AM288" i="48" s="1"/>
  <c r="AL287" i="48"/>
  <c r="AM287" i="48" s="1"/>
  <c r="AL286" i="48"/>
  <c r="AM286" i="48" s="1"/>
  <c r="AL285" i="48"/>
  <c r="AM285" i="48" s="1"/>
  <c r="AL284" i="48"/>
  <c r="AM284" i="48" s="1"/>
  <c r="AL283" i="48"/>
  <c r="AM283" i="48" s="1"/>
  <c r="AL282" i="48"/>
  <c r="AM282" i="48" s="1"/>
  <c r="AL281" i="48"/>
  <c r="AM281" i="48" s="1"/>
  <c r="AL280" i="48"/>
  <c r="AM280" i="48" s="1"/>
  <c r="AL279" i="48"/>
  <c r="AM279" i="48" s="1"/>
  <c r="AL278" i="48"/>
  <c r="AM278" i="48" s="1"/>
  <c r="AL277" i="48"/>
  <c r="AM277" i="48" s="1"/>
  <c r="AL276" i="48"/>
  <c r="AM276" i="48" s="1"/>
  <c r="AL275" i="48"/>
  <c r="AM275" i="48" s="1"/>
  <c r="AL274" i="48"/>
  <c r="AM274" i="48" s="1"/>
  <c r="AL273" i="48"/>
  <c r="AM273" i="48" s="1"/>
  <c r="AL272" i="48"/>
  <c r="AM272" i="48" s="1"/>
  <c r="AL271" i="48"/>
  <c r="AM271" i="48" s="1"/>
  <c r="AL270" i="48"/>
  <c r="AM270" i="48" s="1"/>
  <c r="AL269" i="48"/>
  <c r="AM269" i="48" s="1"/>
  <c r="AL268" i="48"/>
  <c r="AM268" i="48" s="1"/>
  <c r="AL267" i="48"/>
  <c r="AM267" i="48" s="1"/>
  <c r="AL266" i="48"/>
  <c r="AM266" i="48" s="1"/>
  <c r="AL265" i="48"/>
  <c r="AM265" i="48" s="1"/>
  <c r="AL264" i="48"/>
  <c r="AM264" i="48" s="1"/>
  <c r="AL263" i="48"/>
  <c r="AM263" i="48" s="1"/>
  <c r="AL262" i="48"/>
  <c r="AM262" i="48" s="1"/>
  <c r="AL261" i="48"/>
  <c r="AM261" i="48" s="1"/>
  <c r="AL260" i="48"/>
  <c r="AM260" i="48" s="1"/>
  <c r="AL259" i="48"/>
  <c r="AM259" i="48" s="1"/>
  <c r="AL258" i="48"/>
  <c r="AM258" i="48" s="1"/>
  <c r="AL257" i="48"/>
  <c r="AM257" i="48" s="1"/>
  <c r="AL256" i="48"/>
  <c r="AM256" i="48" s="1"/>
  <c r="AL255" i="48"/>
  <c r="AM255" i="48" s="1"/>
  <c r="AL254" i="48"/>
  <c r="AM254" i="48" s="1"/>
  <c r="AL253" i="48"/>
  <c r="AM253" i="48" s="1"/>
  <c r="AL252" i="48"/>
  <c r="AM252" i="48" s="1"/>
  <c r="AL251" i="48"/>
  <c r="AM251" i="48" s="1"/>
  <c r="AL250" i="48"/>
  <c r="AM250" i="48" s="1"/>
  <c r="AL249" i="48"/>
  <c r="AM249" i="48" s="1"/>
  <c r="AL248" i="48"/>
  <c r="AM248" i="48" s="1"/>
  <c r="AL247" i="48"/>
  <c r="AM247" i="48" s="1"/>
  <c r="AL246" i="48"/>
  <c r="AM246" i="48" s="1"/>
  <c r="AL245" i="48"/>
  <c r="AM245" i="48" s="1"/>
  <c r="AL244" i="48"/>
  <c r="AM244" i="48" s="1"/>
  <c r="AL243" i="48"/>
  <c r="AM243" i="48" s="1"/>
  <c r="AL242" i="48"/>
  <c r="AM242" i="48" s="1"/>
  <c r="AL241" i="48"/>
  <c r="AM241" i="48" s="1"/>
  <c r="AL240" i="48"/>
  <c r="AM240" i="48" s="1"/>
  <c r="AL239" i="48"/>
  <c r="AM239" i="48" s="1"/>
  <c r="AL238" i="48"/>
  <c r="AM238" i="48" s="1"/>
  <c r="AL237" i="48"/>
  <c r="AM237" i="48" s="1"/>
  <c r="AL236" i="48"/>
  <c r="AM236" i="48" s="1"/>
  <c r="AL235" i="48"/>
  <c r="AM235" i="48" s="1"/>
  <c r="AL128" i="48"/>
  <c r="AM128" i="48" s="1"/>
  <c r="AL129" i="48"/>
  <c r="AM129" i="48" s="1"/>
  <c r="AL130" i="48"/>
  <c r="AM130" i="48" s="1"/>
  <c r="AL131" i="48"/>
  <c r="AM131" i="48" s="1"/>
  <c r="AL132" i="48"/>
  <c r="AM132" i="48" s="1"/>
  <c r="AL133" i="48"/>
  <c r="AM133" i="48" s="1"/>
  <c r="AL134" i="48"/>
  <c r="AM134" i="48" s="1"/>
  <c r="AL135" i="48"/>
  <c r="AM135" i="48" s="1"/>
  <c r="AL136" i="48"/>
  <c r="AM136" i="48" s="1"/>
  <c r="AL137" i="48"/>
  <c r="AM137" i="48" s="1"/>
  <c r="AL138" i="48"/>
  <c r="AM138" i="48" s="1"/>
  <c r="AL139" i="48"/>
  <c r="AM139" i="48" s="1"/>
  <c r="AL140" i="48"/>
  <c r="AM140" i="48" s="1"/>
  <c r="AL141" i="48"/>
  <c r="AM141" i="48" s="1"/>
  <c r="AL142" i="48"/>
  <c r="AM142" i="48" s="1"/>
  <c r="AL143" i="48"/>
  <c r="AM143" i="48" s="1"/>
  <c r="AL144" i="48"/>
  <c r="AM144" i="48" s="1"/>
  <c r="AL145" i="48"/>
  <c r="AM145" i="48" s="1"/>
  <c r="AL146" i="48"/>
  <c r="AM146" i="48" s="1"/>
  <c r="AL147" i="48"/>
  <c r="AM147" i="48" s="1"/>
  <c r="AL148" i="48"/>
  <c r="AM148" i="48" s="1"/>
  <c r="AL149" i="48"/>
  <c r="AM149" i="48" s="1"/>
  <c r="AL150" i="48"/>
  <c r="AM150" i="48" s="1"/>
  <c r="AL151" i="48"/>
  <c r="AM151" i="48" s="1"/>
  <c r="AL152" i="48"/>
  <c r="AM152" i="48" s="1"/>
  <c r="AL153" i="48"/>
  <c r="AM153" i="48" s="1"/>
  <c r="AL154" i="48"/>
  <c r="AM154" i="48" s="1"/>
  <c r="AL155" i="48"/>
  <c r="AM155" i="48" s="1"/>
  <c r="AL156" i="48"/>
  <c r="AM156" i="48" s="1"/>
  <c r="AL157" i="48"/>
  <c r="AM157" i="48" s="1"/>
  <c r="AL158" i="48"/>
  <c r="AM158" i="48" s="1"/>
  <c r="AL159" i="48"/>
  <c r="AM159" i="48" s="1"/>
  <c r="AL160" i="48"/>
  <c r="AM160" i="48" s="1"/>
  <c r="AL161" i="48"/>
  <c r="AM161" i="48" s="1"/>
  <c r="AL162" i="48"/>
  <c r="AM162" i="48" s="1"/>
  <c r="AL163" i="48"/>
  <c r="AM163" i="48" s="1"/>
  <c r="AL164" i="48"/>
  <c r="AM164" i="48" s="1"/>
  <c r="AL165" i="48"/>
  <c r="AM165" i="48" s="1"/>
  <c r="AL166" i="48"/>
  <c r="AM166" i="48" s="1"/>
  <c r="AL167" i="48"/>
  <c r="AM167" i="48" s="1"/>
  <c r="AL168" i="48"/>
  <c r="AM168" i="48" s="1"/>
  <c r="AL169" i="48"/>
  <c r="AM169" i="48" s="1"/>
  <c r="AL170" i="48"/>
  <c r="AM170" i="48" s="1"/>
  <c r="AL171" i="48"/>
  <c r="AM171" i="48" s="1"/>
  <c r="AL172" i="48"/>
  <c r="AM172" i="48" s="1"/>
  <c r="AL173" i="48"/>
  <c r="AM173" i="48" s="1"/>
  <c r="AL174" i="48"/>
  <c r="AM174" i="48" s="1"/>
  <c r="AL175" i="48"/>
  <c r="AM175" i="48" s="1"/>
  <c r="AL176" i="48"/>
  <c r="AM176" i="48" s="1"/>
  <c r="AL177" i="48"/>
  <c r="AM177" i="48" s="1"/>
  <c r="AL178" i="48"/>
  <c r="AM178" i="48" s="1"/>
  <c r="AL179" i="48"/>
  <c r="AM179" i="48" s="1"/>
  <c r="AL180" i="48"/>
  <c r="AM180" i="48" s="1"/>
  <c r="AL181" i="48"/>
  <c r="AM181" i="48" s="1"/>
  <c r="AL182" i="48"/>
  <c r="AM182" i="48" s="1"/>
  <c r="AL183" i="48"/>
  <c r="AM183" i="48" s="1"/>
  <c r="AL184" i="48"/>
  <c r="AM184" i="48" s="1"/>
  <c r="AL185" i="48"/>
  <c r="AM185" i="48" s="1"/>
  <c r="AL186" i="48"/>
  <c r="AM186" i="48" s="1"/>
  <c r="AL187" i="48"/>
  <c r="AM187" i="48" s="1"/>
  <c r="AL188" i="48"/>
  <c r="AM188" i="48" s="1"/>
  <c r="AL189" i="48"/>
  <c r="AM189" i="48" s="1"/>
  <c r="AL190" i="48"/>
  <c r="AM190" i="48" s="1"/>
  <c r="AL191" i="48"/>
  <c r="AM191" i="48" s="1"/>
  <c r="AL192" i="48"/>
  <c r="AM192" i="48" s="1"/>
  <c r="AL193" i="48"/>
  <c r="AM193" i="48" s="1"/>
  <c r="AL194" i="48"/>
  <c r="AM194" i="48" s="1"/>
  <c r="AL195" i="48"/>
  <c r="AM195" i="48" s="1"/>
  <c r="AL196" i="48"/>
  <c r="AM196" i="48" s="1"/>
  <c r="AL197" i="48"/>
  <c r="AM197" i="48" s="1"/>
  <c r="AL198" i="48"/>
  <c r="AM198" i="48" s="1"/>
  <c r="AL199" i="48"/>
  <c r="AM199" i="48" s="1"/>
  <c r="AL200" i="48"/>
  <c r="AM200" i="48" s="1"/>
  <c r="AL201" i="48"/>
  <c r="AM201" i="48" s="1"/>
  <c r="AL202" i="48"/>
  <c r="AM202" i="48" s="1"/>
  <c r="AL203" i="48"/>
  <c r="AM203" i="48" s="1"/>
  <c r="AL204" i="48"/>
  <c r="AM204" i="48" s="1"/>
  <c r="AL205" i="48"/>
  <c r="AM205" i="48" s="1"/>
  <c r="AL206" i="48"/>
  <c r="AM206" i="48" s="1"/>
  <c r="AL207" i="48"/>
  <c r="AM207" i="48" s="1"/>
  <c r="AL208" i="48"/>
  <c r="AM208" i="48" s="1"/>
  <c r="AL209" i="48"/>
  <c r="AM209" i="48" s="1"/>
  <c r="AL210" i="48"/>
  <c r="AM210" i="48" s="1"/>
  <c r="AL211" i="48"/>
  <c r="AM211" i="48" s="1"/>
  <c r="AL212" i="48"/>
  <c r="AM212" i="48" s="1"/>
  <c r="AL213" i="48"/>
  <c r="AM213" i="48" s="1"/>
  <c r="AL214" i="48"/>
  <c r="AM214" i="48" s="1"/>
  <c r="AL215" i="48"/>
  <c r="AM215" i="48" s="1"/>
  <c r="AL216" i="48"/>
  <c r="AM216" i="48" s="1"/>
  <c r="AL217" i="48"/>
  <c r="AM217" i="48" s="1"/>
  <c r="AL218" i="48"/>
  <c r="AM218" i="48" s="1"/>
  <c r="AL219" i="48"/>
  <c r="AM219" i="48" s="1"/>
  <c r="AL220" i="48"/>
  <c r="AM220" i="48" s="1"/>
  <c r="AL221" i="48"/>
  <c r="AM221" i="48" s="1"/>
  <c r="AL222" i="48"/>
  <c r="AM222" i="48" s="1"/>
  <c r="AL223" i="48"/>
  <c r="AM223" i="48" s="1"/>
  <c r="AL224" i="48"/>
  <c r="AM224" i="48" s="1"/>
  <c r="AL225" i="48"/>
  <c r="AM225" i="48" s="1"/>
  <c r="AL226" i="48"/>
  <c r="AM226" i="48" s="1"/>
  <c r="AL227" i="48"/>
  <c r="AM227" i="48" s="1"/>
  <c r="AL228" i="48"/>
  <c r="AM228" i="48" s="1"/>
  <c r="AL127" i="48"/>
  <c r="AM127" i="48" s="1"/>
  <c r="AK108" i="48"/>
  <c r="AL108" i="48" s="1"/>
  <c r="AK107" i="48"/>
  <c r="AL107" i="48" s="1"/>
  <c r="AK102" i="48"/>
  <c r="AL102" i="48" s="1"/>
  <c r="AK83" i="48"/>
  <c r="AL83" i="48" s="1"/>
  <c r="AL72" i="48"/>
  <c r="AM72" i="48" s="1"/>
  <c r="AL73" i="48"/>
  <c r="AM73" i="48" s="1"/>
  <c r="AL74" i="48"/>
  <c r="AM74" i="48" s="1"/>
  <c r="AL75" i="48"/>
  <c r="AM75" i="48" s="1"/>
  <c r="AL76" i="48"/>
  <c r="AM76" i="48" s="1"/>
  <c r="AL77" i="48"/>
  <c r="AM77" i="48" s="1"/>
  <c r="AL78" i="48"/>
  <c r="AM78" i="48" s="1"/>
  <c r="AL79" i="48"/>
  <c r="AM79" i="48" s="1"/>
  <c r="AL80" i="48"/>
  <c r="AM80" i="48" s="1"/>
  <c r="AL81" i="48"/>
  <c r="AM81" i="48" s="1"/>
  <c r="AL82" i="48"/>
  <c r="AM82" i="48" s="1"/>
  <c r="AL84" i="48"/>
  <c r="AM84" i="48" s="1"/>
  <c r="AL85" i="48"/>
  <c r="AM85" i="48" s="1"/>
  <c r="AL86" i="48"/>
  <c r="AM86" i="48" s="1"/>
  <c r="AL87" i="48"/>
  <c r="AM87" i="48" s="1"/>
  <c r="AL88" i="48"/>
  <c r="AM88" i="48" s="1"/>
  <c r="AL89" i="48"/>
  <c r="AM89" i="48" s="1"/>
  <c r="AL90" i="48"/>
  <c r="AM90" i="48" s="1"/>
  <c r="AL91" i="48"/>
  <c r="AM91" i="48" s="1"/>
  <c r="AL92" i="48"/>
  <c r="AM92" i="48" s="1"/>
  <c r="AL93" i="48"/>
  <c r="AM93" i="48" s="1"/>
  <c r="AL94" i="48"/>
  <c r="AM94" i="48" s="1"/>
  <c r="AL95" i="48"/>
  <c r="AM95" i="48" s="1"/>
  <c r="AL96" i="48"/>
  <c r="AM96" i="48" s="1"/>
  <c r="AL97" i="48"/>
  <c r="AM97" i="48" s="1"/>
  <c r="AL98" i="48"/>
  <c r="AM98" i="48" s="1"/>
  <c r="AL99" i="48"/>
  <c r="AM99" i="48" s="1"/>
  <c r="AL100" i="48"/>
  <c r="AM100" i="48" s="1"/>
  <c r="AL101" i="48"/>
  <c r="AM101" i="48" s="1"/>
  <c r="AL103" i="48"/>
  <c r="AM103" i="48" s="1"/>
  <c r="AL104" i="48"/>
  <c r="AM104" i="48" s="1"/>
  <c r="AL105" i="48"/>
  <c r="AM105" i="48" s="1"/>
  <c r="AL106" i="48"/>
  <c r="AM106" i="48" s="1"/>
  <c r="AL109" i="48"/>
  <c r="AM109" i="48" s="1"/>
  <c r="AL110" i="48"/>
  <c r="AM110" i="48" s="1"/>
  <c r="AL111" i="48"/>
  <c r="AM111" i="48" s="1"/>
  <c r="AL112" i="48"/>
  <c r="AM112" i="48" s="1"/>
  <c r="AL113" i="48"/>
  <c r="AM113" i="48" s="1"/>
  <c r="AL114" i="48"/>
  <c r="AM114" i="48" s="1"/>
  <c r="AL115" i="48"/>
  <c r="AM115" i="48" s="1"/>
  <c r="AL116" i="48"/>
  <c r="AM116" i="48" s="1"/>
  <c r="AL117" i="48"/>
  <c r="AM117" i="48" s="1"/>
  <c r="AL118" i="48"/>
  <c r="AM118" i="48" s="1"/>
  <c r="AL71" i="48"/>
  <c r="AM71" i="48" s="1"/>
  <c r="AL13" i="48"/>
  <c r="AK49" i="48"/>
  <c r="AL49" i="48" s="1"/>
  <c r="AK44" i="48"/>
  <c r="AL44" i="48" s="1"/>
  <c r="AK43" i="48"/>
  <c r="AL43" i="48" s="1"/>
  <c r="AL60" i="48"/>
  <c r="AL59" i="48"/>
  <c r="AL58" i="48"/>
  <c r="AL57" i="48"/>
  <c r="AL56" i="48"/>
  <c r="AL55" i="48"/>
  <c r="AL54" i="48"/>
  <c r="AL53" i="48"/>
  <c r="AL52" i="48"/>
  <c r="AL51" i="48"/>
  <c r="AL50" i="48"/>
  <c r="AL48" i="48"/>
  <c r="AL47" i="48"/>
  <c r="AL46" i="48"/>
  <c r="AL45" i="48"/>
  <c r="AL42" i="48"/>
  <c r="AL41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L28" i="48"/>
  <c r="AL27" i="48"/>
  <c r="AL26" i="48"/>
  <c r="AL25" i="48"/>
  <c r="AL24" i="48"/>
  <c r="AL23" i="48"/>
  <c r="AL22" i="48"/>
  <c r="AL21" i="48"/>
  <c r="AL20" i="48"/>
  <c r="AL18" i="48"/>
  <c r="AL17" i="48"/>
  <c r="AL16" i="48"/>
  <c r="AL15" i="48"/>
  <c r="AL14" i="48"/>
  <c r="AK19" i="48"/>
  <c r="AL19" i="48" s="1"/>
  <c r="Y342" i="45" l="1"/>
  <c r="AG342" i="45" s="1"/>
  <c r="U378" i="45"/>
  <c r="N233" i="45"/>
  <c r="S233" i="45"/>
  <c r="W233" i="45" s="1"/>
  <c r="AE233" i="45" s="1"/>
  <c r="AM14" i="48"/>
  <c r="AM15" i="48"/>
  <c r="AM16" i="48"/>
  <c r="AM17" i="48"/>
  <c r="AM18" i="48"/>
  <c r="AM21" i="48"/>
  <c r="AM22" i="48"/>
  <c r="AM23" i="48"/>
  <c r="AM24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1" i="48"/>
  <c r="AM42" i="48"/>
  <c r="AM45" i="48"/>
  <c r="AM46" i="48"/>
  <c r="AM47" i="48"/>
  <c r="AM48" i="48"/>
  <c r="AM50" i="48"/>
  <c r="AM51" i="48"/>
  <c r="AM52" i="48"/>
  <c r="AM53" i="48"/>
  <c r="AM54" i="48"/>
  <c r="AM55" i="48"/>
  <c r="AM56" i="48"/>
  <c r="AM57" i="48"/>
  <c r="AM58" i="48"/>
  <c r="AM59" i="48"/>
  <c r="AM60" i="48"/>
  <c r="AM13" i="48"/>
  <c r="Y378" i="45" l="1"/>
  <c r="AG378" i="45" s="1"/>
  <c r="U409" i="45"/>
  <c r="Y477" i="51"/>
  <c r="AG477" i="51" s="1"/>
  <c r="AH477" i="51" s="1"/>
  <c r="U427" i="45" l="1"/>
  <c r="Y427" i="45" s="1"/>
  <c r="AG427" i="45" s="1"/>
  <c r="Y409" i="45"/>
  <c r="AG409" i="45" s="1"/>
  <c r="N614" i="51"/>
  <c r="G193" i="27" l="1"/>
  <c r="E112" i="54" l="1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133" i="54"/>
  <c r="E134" i="54"/>
  <c r="E135" i="54"/>
  <c r="E136" i="54"/>
  <c r="E137" i="54"/>
  <c r="E138" i="54"/>
  <c r="E139" i="54"/>
  <c r="E140" i="54"/>
  <c r="E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11" i="54"/>
  <c r="C112" i="54"/>
  <c r="C113" i="54"/>
  <c r="M113" i="54" s="1"/>
  <c r="R113" i="54" s="1"/>
  <c r="C114" i="54"/>
  <c r="M114" i="54" s="1"/>
  <c r="R114" i="54" s="1"/>
  <c r="C115" i="54"/>
  <c r="C116" i="54"/>
  <c r="C117" i="54"/>
  <c r="M117" i="54" s="1"/>
  <c r="R117" i="54" s="1"/>
  <c r="C118" i="54"/>
  <c r="M118" i="54" s="1"/>
  <c r="R118" i="54" s="1"/>
  <c r="C119" i="54"/>
  <c r="M119" i="54" s="1"/>
  <c r="R119" i="54" s="1"/>
  <c r="C120" i="54"/>
  <c r="C121" i="54"/>
  <c r="M121" i="54" s="1"/>
  <c r="R121" i="54" s="1"/>
  <c r="C122" i="54"/>
  <c r="M122" i="54" s="1"/>
  <c r="R122" i="54" s="1"/>
  <c r="C123" i="54"/>
  <c r="C124" i="54"/>
  <c r="M124" i="54" s="1"/>
  <c r="R124" i="54" s="1"/>
  <c r="C125" i="54"/>
  <c r="C126" i="54"/>
  <c r="M126" i="54" s="1"/>
  <c r="R126" i="54" s="1"/>
  <c r="C127" i="54"/>
  <c r="C128" i="54"/>
  <c r="M128" i="54" s="1"/>
  <c r="R128" i="54" s="1"/>
  <c r="C129" i="54"/>
  <c r="M129" i="54" s="1"/>
  <c r="R129" i="54" s="1"/>
  <c r="C130" i="54"/>
  <c r="C131" i="54"/>
  <c r="M131" i="54" s="1"/>
  <c r="R131" i="54" s="1"/>
  <c r="C132" i="54"/>
  <c r="C133" i="54"/>
  <c r="M133" i="54" s="1"/>
  <c r="R133" i="54" s="1"/>
  <c r="C134" i="54"/>
  <c r="C135" i="54"/>
  <c r="C136" i="54"/>
  <c r="C137" i="54"/>
  <c r="M137" i="54" s="1"/>
  <c r="R137" i="54" s="1"/>
  <c r="C138" i="54"/>
  <c r="C139" i="54"/>
  <c r="M139" i="54" s="1"/>
  <c r="R139" i="54" s="1"/>
  <c r="C140" i="54"/>
  <c r="M140" i="54" s="1"/>
  <c r="R140" i="54" s="1"/>
  <c r="C111" i="54"/>
  <c r="M115" i="54" l="1"/>
  <c r="R115" i="54" s="1"/>
  <c r="M120" i="54"/>
  <c r="R120" i="54" s="1"/>
  <c r="M132" i="54"/>
  <c r="R132" i="54" s="1"/>
  <c r="M116" i="54"/>
  <c r="R116" i="54" s="1"/>
  <c r="M125" i="54"/>
  <c r="R125" i="54" s="1"/>
  <c r="M134" i="54"/>
  <c r="R134" i="54" s="1"/>
  <c r="M130" i="54"/>
  <c r="R130" i="54" s="1"/>
  <c r="M127" i="54"/>
  <c r="R127" i="54" s="1"/>
  <c r="M135" i="54"/>
  <c r="R135" i="54" s="1"/>
  <c r="M123" i="54"/>
  <c r="R123" i="54" s="1"/>
  <c r="M112" i="54"/>
  <c r="R112" i="54" s="1"/>
  <c r="M138" i="54"/>
  <c r="R138" i="54" s="1"/>
  <c r="M136" i="54"/>
  <c r="R136" i="54" s="1"/>
  <c r="C143" i="54"/>
  <c r="E143" i="54"/>
  <c r="D143" i="54"/>
  <c r="M111" i="54"/>
  <c r="M143" i="54" l="1"/>
  <c r="R111" i="54"/>
  <c r="R143" i="54" s="1"/>
  <c r="E5" i="14" l="1"/>
  <c r="AG683" i="51"/>
  <c r="AG665" i="51"/>
  <c r="AG564" i="51" l="1"/>
  <c r="X403" i="48" l="1"/>
  <c r="W403" i="48"/>
  <c r="V403" i="48"/>
  <c r="X402" i="48"/>
  <c r="W402" i="48"/>
  <c r="V402" i="48"/>
  <c r="X401" i="48"/>
  <c r="W401" i="48"/>
  <c r="V401" i="48"/>
  <c r="X400" i="48"/>
  <c r="W400" i="48"/>
  <c r="V400" i="48"/>
  <c r="X399" i="48"/>
  <c r="W399" i="48"/>
  <c r="V399" i="48"/>
  <c r="X398" i="48"/>
  <c r="W398" i="48"/>
  <c r="V398" i="48"/>
  <c r="X397" i="48"/>
  <c r="W397" i="48"/>
  <c r="V397" i="48"/>
  <c r="X396" i="48"/>
  <c r="W396" i="48"/>
  <c r="V396" i="48"/>
  <c r="X395" i="48"/>
  <c r="X395" i="45" s="1"/>
  <c r="X394" i="48"/>
  <c r="W394" i="48"/>
  <c r="V394" i="48"/>
  <c r="V393" i="48"/>
  <c r="V393" i="45" s="1"/>
  <c r="X391" i="48"/>
  <c r="W391" i="48"/>
  <c r="V391" i="48"/>
  <c r="X390" i="48"/>
  <c r="W390" i="48"/>
  <c r="V390" i="48"/>
  <c r="X389" i="48"/>
  <c r="W389" i="48"/>
  <c r="V389" i="48"/>
  <c r="X388" i="48"/>
  <c r="W388" i="48"/>
  <c r="V388" i="48"/>
  <c r="X387" i="48"/>
  <c r="W387" i="48"/>
  <c r="V387" i="48"/>
  <c r="X386" i="48"/>
  <c r="W386" i="48"/>
  <c r="V386" i="48"/>
  <c r="X385" i="48"/>
  <c r="W385" i="48"/>
  <c r="V385" i="48"/>
  <c r="X384" i="48"/>
  <c r="W384" i="48"/>
  <c r="V384" i="48"/>
  <c r="X383" i="48"/>
  <c r="W383" i="48"/>
  <c r="V383" i="48"/>
  <c r="X382" i="48"/>
  <c r="W382" i="48"/>
  <c r="V382" i="48"/>
  <c r="X381" i="48"/>
  <c r="W381" i="48"/>
  <c r="V381" i="48"/>
  <c r="X380" i="48"/>
  <c r="W380" i="48"/>
  <c r="V380" i="48"/>
  <c r="P173" i="19"/>
  <c r="P168" i="19"/>
  <c r="R646" i="51"/>
  <c r="V646" i="51" s="1"/>
  <c r="AD646" i="51" s="1"/>
  <c r="M646" i="51"/>
  <c r="H646" i="51"/>
  <c r="AG632" i="51"/>
  <c r="T647" i="51"/>
  <c r="T646" i="51"/>
  <c r="T392" i="48" s="1"/>
  <c r="T392" i="45" s="1"/>
  <c r="AG600" i="51"/>
  <c r="G194" i="27"/>
  <c r="BB202" i="27"/>
  <c r="BF204" i="27" s="1"/>
  <c r="AZ200" i="27"/>
  <c r="S615" i="51"/>
  <c r="S393" i="48" s="1"/>
  <c r="S393" i="45" s="1"/>
  <c r="N615" i="51"/>
  <c r="Q615" i="51" s="1"/>
  <c r="I615" i="51"/>
  <c r="L615" i="51" s="1"/>
  <c r="I614" i="51"/>
  <c r="I392" i="48" s="1"/>
  <c r="I392" i="45" s="1"/>
  <c r="R614" i="51"/>
  <c r="M614" i="51"/>
  <c r="Q614" i="51" s="1"/>
  <c r="H614" i="51"/>
  <c r="BB203" i="27" l="1"/>
  <c r="N617" i="51"/>
  <c r="M392" i="48"/>
  <c r="I393" i="48"/>
  <c r="I393" i="45" s="1"/>
  <c r="N392" i="48"/>
  <c r="N392" i="45" s="1"/>
  <c r="L614" i="51"/>
  <c r="V614" i="51"/>
  <c r="AD614" i="51" s="1"/>
  <c r="W615" i="51"/>
  <c r="AE615" i="51" s="1"/>
  <c r="AH615" i="51" s="1"/>
  <c r="AI615" i="51" s="1"/>
  <c r="AJ615" i="51" s="1"/>
  <c r="T727" i="51"/>
  <c r="H392" i="48"/>
  <c r="H392" i="45" s="1"/>
  <c r="R392" i="48"/>
  <c r="N393" i="48"/>
  <c r="T393" i="48"/>
  <c r="T393" i="45" s="1"/>
  <c r="AZ201" i="27"/>
  <c r="N395" i="48"/>
  <c r="G233" i="26"/>
  <c r="P233" i="26"/>
  <c r="Q233" i="26"/>
  <c r="N395" i="45" l="1"/>
  <c r="R392" i="45"/>
  <c r="V392" i="48"/>
  <c r="W393" i="48"/>
  <c r="W393" i="45" s="1"/>
  <c r="N393" i="45"/>
  <c r="M392" i="45"/>
  <c r="AE393" i="48"/>
  <c r="AE393" i="45" s="1"/>
  <c r="N727" i="51"/>
  <c r="Q617" i="51"/>
  <c r="V392" i="45" l="1"/>
  <c r="AD392" i="48"/>
  <c r="AD392" i="45" s="1"/>
  <c r="AG455" i="51"/>
  <c r="AG347" i="51"/>
  <c r="X477" i="51"/>
  <c r="W477" i="51"/>
  <c r="V477" i="51"/>
  <c r="AJ341" i="51" l="1"/>
  <c r="AJ340" i="51"/>
  <c r="AJ339" i="51"/>
  <c r="AJ338" i="51"/>
  <c r="AJ337" i="51"/>
  <c r="AJ336" i="51"/>
  <c r="AJ335" i="51"/>
  <c r="AJ334" i="51"/>
  <c r="AJ333" i="51"/>
  <c r="AJ332" i="51"/>
  <c r="AJ331" i="51"/>
  <c r="AJ325" i="51"/>
  <c r="AG292" i="51"/>
  <c r="X341" i="51"/>
  <c r="W341" i="51"/>
  <c r="V341" i="51"/>
  <c r="X340" i="51"/>
  <c r="W340" i="51"/>
  <c r="V340" i="51"/>
  <c r="X339" i="51"/>
  <c r="W339" i="51"/>
  <c r="V339" i="51"/>
  <c r="X338" i="51"/>
  <c r="W338" i="51"/>
  <c r="V338" i="51"/>
  <c r="X337" i="51"/>
  <c r="W337" i="51"/>
  <c r="V337" i="51"/>
  <c r="X336" i="51"/>
  <c r="W336" i="51"/>
  <c r="V336" i="51"/>
  <c r="X335" i="51"/>
  <c r="W335" i="51"/>
  <c r="V335" i="51"/>
  <c r="X334" i="51"/>
  <c r="W334" i="51"/>
  <c r="V334" i="51"/>
  <c r="X333" i="51"/>
  <c r="W333" i="51"/>
  <c r="V333" i="51"/>
  <c r="X332" i="51"/>
  <c r="W332" i="51"/>
  <c r="V332" i="51"/>
  <c r="X331" i="51"/>
  <c r="AF331" i="51" s="1"/>
  <c r="W331" i="51"/>
  <c r="AE331" i="51" s="1"/>
  <c r="V331" i="51"/>
  <c r="AD331" i="51" s="1"/>
  <c r="X330" i="51"/>
  <c r="AF330" i="51" s="1"/>
  <c r="W330" i="51"/>
  <c r="AE330" i="51" s="1"/>
  <c r="V330" i="51"/>
  <c r="AD330" i="51" s="1"/>
  <c r="X329" i="51"/>
  <c r="AF329" i="51" s="1"/>
  <c r="W329" i="51"/>
  <c r="AE329" i="51" s="1"/>
  <c r="V329" i="51"/>
  <c r="AD329" i="51" s="1"/>
  <c r="X328" i="51"/>
  <c r="AF328" i="51" s="1"/>
  <c r="W328" i="51"/>
  <c r="AE328" i="51" s="1"/>
  <c r="V328" i="51"/>
  <c r="AD328" i="51" s="1"/>
  <c r="X327" i="51"/>
  <c r="AF327" i="51" s="1"/>
  <c r="W327" i="51"/>
  <c r="AE327" i="51" s="1"/>
  <c r="V327" i="51"/>
  <c r="AD327" i="51" s="1"/>
  <c r="X326" i="51"/>
  <c r="AF326" i="51" s="1"/>
  <c r="W326" i="51"/>
  <c r="AE326" i="51" s="1"/>
  <c r="V326" i="51"/>
  <c r="AD326" i="51" s="1"/>
  <c r="X325" i="51"/>
  <c r="AF325" i="51" s="1"/>
  <c r="W325" i="51"/>
  <c r="AE325" i="51" s="1"/>
  <c r="V325" i="51"/>
  <c r="AD325" i="51" s="1"/>
  <c r="X324" i="51"/>
  <c r="AF324" i="51" s="1"/>
  <c r="W324" i="51"/>
  <c r="AE324" i="51" s="1"/>
  <c r="V324" i="51"/>
  <c r="AD324" i="51" s="1"/>
  <c r="X323" i="51"/>
  <c r="AF323" i="51" s="1"/>
  <c r="W323" i="51"/>
  <c r="AE323" i="51" s="1"/>
  <c r="V323" i="51"/>
  <c r="AD323" i="51" s="1"/>
  <c r="X322" i="51"/>
  <c r="AF322" i="51" s="1"/>
  <c r="W322" i="51"/>
  <c r="AE322" i="51" s="1"/>
  <c r="V322" i="51"/>
  <c r="AD322" i="51" s="1"/>
  <c r="X321" i="51"/>
  <c r="AF321" i="51" s="1"/>
  <c r="W321" i="51"/>
  <c r="AE321" i="51" s="1"/>
  <c r="V321" i="51"/>
  <c r="AD321" i="51" s="1"/>
  <c r="X320" i="51"/>
  <c r="AF320" i="51" s="1"/>
  <c r="W320" i="51"/>
  <c r="AE320" i="51" s="1"/>
  <c r="V320" i="51"/>
  <c r="AD320" i="51" s="1"/>
  <c r="X319" i="51"/>
  <c r="AF319" i="51" s="1"/>
  <c r="W319" i="51"/>
  <c r="AE319" i="51" s="1"/>
  <c r="V319" i="51"/>
  <c r="AD319" i="51" s="1"/>
  <c r="X318" i="51"/>
  <c r="AF318" i="51" s="1"/>
  <c r="W318" i="51"/>
  <c r="AE318" i="51" s="1"/>
  <c r="V318" i="51"/>
  <c r="AD318" i="51" s="1"/>
  <c r="X317" i="51"/>
  <c r="AF317" i="51" s="1"/>
  <c r="W317" i="51"/>
  <c r="AE317" i="51" s="1"/>
  <c r="V317" i="51"/>
  <c r="AD317" i="51" s="1"/>
  <c r="X316" i="51"/>
  <c r="AF316" i="51" s="1"/>
  <c r="W316" i="51"/>
  <c r="AE316" i="51" s="1"/>
  <c r="V316" i="51"/>
  <c r="AD316" i="51" s="1"/>
  <c r="X315" i="51"/>
  <c r="AF315" i="51" s="1"/>
  <c r="W315" i="51"/>
  <c r="AE315" i="51" s="1"/>
  <c r="V315" i="51"/>
  <c r="AD315" i="51" s="1"/>
  <c r="X314" i="51"/>
  <c r="AF314" i="51" s="1"/>
  <c r="W314" i="51"/>
  <c r="AE314" i="51" s="1"/>
  <c r="V314" i="51"/>
  <c r="AD314" i="51" s="1"/>
  <c r="X313" i="51"/>
  <c r="AF313" i="51" s="1"/>
  <c r="W313" i="51"/>
  <c r="AE313" i="51" s="1"/>
  <c r="V313" i="51"/>
  <c r="AD313" i="51" s="1"/>
  <c r="X312" i="51"/>
  <c r="AF312" i="51" s="1"/>
  <c r="W312" i="51"/>
  <c r="AE312" i="51" s="1"/>
  <c r="V312" i="51"/>
  <c r="AD312" i="51" s="1"/>
  <c r="X311" i="51"/>
  <c r="AF311" i="51" s="1"/>
  <c r="W311" i="51"/>
  <c r="AE311" i="51" s="1"/>
  <c r="V311" i="51"/>
  <c r="AD311" i="51" s="1"/>
  <c r="X310" i="51"/>
  <c r="AF310" i="51" s="1"/>
  <c r="W310" i="51"/>
  <c r="AE310" i="51" s="1"/>
  <c r="V310" i="51"/>
  <c r="AD310" i="51" s="1"/>
  <c r="X309" i="51"/>
  <c r="AF309" i="51" s="1"/>
  <c r="W309" i="51"/>
  <c r="AE309" i="51" s="1"/>
  <c r="V309" i="51"/>
  <c r="AD309" i="51" s="1"/>
  <c r="X308" i="51"/>
  <c r="AF308" i="51" s="1"/>
  <c r="W308" i="51"/>
  <c r="AE308" i="51" s="1"/>
  <c r="V308" i="51"/>
  <c r="AD308" i="51" s="1"/>
  <c r="X307" i="51"/>
  <c r="AF307" i="51" s="1"/>
  <c r="W307" i="51"/>
  <c r="AE307" i="51" s="1"/>
  <c r="V307" i="51"/>
  <c r="AD307" i="51" s="1"/>
  <c r="X306" i="51"/>
  <c r="AF306" i="51" s="1"/>
  <c r="W306" i="51"/>
  <c r="AE306" i="51" s="1"/>
  <c r="X305" i="51"/>
  <c r="W305" i="51"/>
  <c r="V305" i="51"/>
  <c r="X304" i="51"/>
  <c r="W304" i="51"/>
  <c r="V304" i="51"/>
  <c r="X303" i="51"/>
  <c r="W303" i="51"/>
  <c r="V303" i="51"/>
  <c r="X302" i="51"/>
  <c r="W302" i="51"/>
  <c r="V302" i="51"/>
  <c r="X301" i="51"/>
  <c r="W301" i="51"/>
  <c r="V301" i="51"/>
  <c r="X300" i="51"/>
  <c r="W300" i="51"/>
  <c r="V300" i="51"/>
  <c r="X299" i="51"/>
  <c r="W299" i="51"/>
  <c r="V299" i="51"/>
  <c r="X298" i="51"/>
  <c r="W298" i="51"/>
  <c r="V298" i="51"/>
  <c r="X297" i="51"/>
  <c r="W297" i="51"/>
  <c r="V297" i="51"/>
  <c r="X296" i="51"/>
  <c r="W296" i="51"/>
  <c r="V296" i="51"/>
  <c r="X295" i="51"/>
  <c r="W295" i="51"/>
  <c r="V295" i="51"/>
  <c r="X294" i="51"/>
  <c r="W294" i="51"/>
  <c r="V294" i="51"/>
  <c r="AJ330" i="51" l="1"/>
  <c r="AJ276" i="51" l="1"/>
  <c r="AJ277" i="51"/>
  <c r="AJ278" i="51"/>
  <c r="AJ279" i="51"/>
  <c r="AJ280" i="51"/>
  <c r="AJ281" i="51"/>
  <c r="AJ282" i="51"/>
  <c r="AJ283" i="51"/>
  <c r="AJ284" i="51"/>
  <c r="AJ285" i="51"/>
  <c r="AG236" i="51"/>
  <c r="Y239" i="51"/>
  <c r="Y240" i="51"/>
  <c r="Y241" i="51"/>
  <c r="Y242" i="51"/>
  <c r="Y243" i="51"/>
  <c r="Y244" i="51"/>
  <c r="Y245" i="51"/>
  <c r="Y246" i="51"/>
  <c r="Y247" i="51"/>
  <c r="Y248" i="51"/>
  <c r="Y249" i="51"/>
  <c r="Y250" i="51"/>
  <c r="Y251" i="51"/>
  <c r="Y252" i="51"/>
  <c r="Y253" i="51"/>
  <c r="Y254" i="51"/>
  <c r="Y255" i="51"/>
  <c r="Y256" i="51"/>
  <c r="Y257" i="51"/>
  <c r="Y258" i="51"/>
  <c r="Y259" i="51"/>
  <c r="Y260" i="51"/>
  <c r="Y261" i="51"/>
  <c r="Y262" i="51"/>
  <c r="Y263" i="51"/>
  <c r="Y264" i="51"/>
  <c r="Y265" i="51"/>
  <c r="Y266" i="51"/>
  <c r="Y267" i="51"/>
  <c r="Y268" i="51"/>
  <c r="Y269" i="51"/>
  <c r="Y270" i="51"/>
  <c r="Y271" i="51"/>
  <c r="Y272" i="51"/>
  <c r="Y273" i="51"/>
  <c r="Y274" i="51"/>
  <c r="Y275" i="51"/>
  <c r="Y276" i="51"/>
  <c r="Y277" i="51"/>
  <c r="Y278" i="51"/>
  <c r="Y279" i="51"/>
  <c r="Y280" i="51"/>
  <c r="Y281" i="51"/>
  <c r="Y282" i="51"/>
  <c r="Y283" i="51"/>
  <c r="Y284" i="51"/>
  <c r="Y285" i="51"/>
  <c r="Y238" i="51"/>
  <c r="V239" i="51"/>
  <c r="W239" i="51"/>
  <c r="X239" i="51"/>
  <c r="V240" i="51"/>
  <c r="W240" i="51"/>
  <c r="X240" i="51"/>
  <c r="V241" i="51"/>
  <c r="W241" i="51"/>
  <c r="X241" i="51"/>
  <c r="V242" i="51"/>
  <c r="W242" i="51"/>
  <c r="X242" i="51"/>
  <c r="V243" i="51"/>
  <c r="W243" i="51"/>
  <c r="X243" i="51"/>
  <c r="V244" i="51"/>
  <c r="W244" i="51"/>
  <c r="X244" i="51"/>
  <c r="V245" i="51"/>
  <c r="W245" i="51"/>
  <c r="X245" i="51"/>
  <c r="V246" i="51"/>
  <c r="W246" i="51"/>
  <c r="X246" i="51"/>
  <c r="V247" i="51"/>
  <c r="W247" i="51"/>
  <c r="X247" i="51"/>
  <c r="V248" i="51"/>
  <c r="W248" i="51"/>
  <c r="X248" i="51"/>
  <c r="V249" i="51"/>
  <c r="W249" i="51"/>
  <c r="X249" i="51"/>
  <c r="W250" i="51"/>
  <c r="X250" i="51"/>
  <c r="V251" i="51"/>
  <c r="W251" i="51"/>
  <c r="X251" i="51"/>
  <c r="V252" i="51"/>
  <c r="W252" i="51"/>
  <c r="X252" i="51"/>
  <c r="V253" i="51"/>
  <c r="W253" i="51"/>
  <c r="X253" i="51"/>
  <c r="V254" i="51"/>
  <c r="W254" i="51"/>
  <c r="X254" i="51"/>
  <c r="V255" i="51"/>
  <c r="W255" i="51"/>
  <c r="X255" i="51"/>
  <c r="V256" i="51"/>
  <c r="W256" i="51"/>
  <c r="X256" i="51"/>
  <c r="V257" i="51"/>
  <c r="W257" i="51"/>
  <c r="X257" i="51"/>
  <c r="V258" i="51"/>
  <c r="W258" i="51"/>
  <c r="X258" i="51"/>
  <c r="V259" i="51"/>
  <c r="W259" i="51"/>
  <c r="X259" i="51"/>
  <c r="V260" i="51"/>
  <c r="W260" i="51"/>
  <c r="X260" i="51"/>
  <c r="V261" i="51"/>
  <c r="W261" i="51"/>
  <c r="X261" i="51"/>
  <c r="V262" i="51"/>
  <c r="W262" i="51"/>
  <c r="X262" i="51"/>
  <c r="V263" i="51"/>
  <c r="W263" i="51"/>
  <c r="X263" i="51"/>
  <c r="V264" i="51"/>
  <c r="W264" i="51"/>
  <c r="X264" i="51"/>
  <c r="V265" i="51"/>
  <c r="W265" i="51"/>
  <c r="X265" i="51"/>
  <c r="V266" i="51"/>
  <c r="W266" i="51"/>
  <c r="X266" i="51"/>
  <c r="V267" i="51"/>
  <c r="W267" i="51"/>
  <c r="X267" i="51"/>
  <c r="V268" i="51"/>
  <c r="W268" i="51"/>
  <c r="X268" i="51"/>
  <c r="V269" i="51"/>
  <c r="W269" i="51"/>
  <c r="X269" i="51"/>
  <c r="V270" i="51"/>
  <c r="W270" i="51"/>
  <c r="X270" i="51"/>
  <c r="V271" i="51"/>
  <c r="W271" i="51"/>
  <c r="X271" i="51"/>
  <c r="V272" i="51"/>
  <c r="W272" i="51"/>
  <c r="X272" i="51"/>
  <c r="V273" i="51"/>
  <c r="W273" i="51"/>
  <c r="X273" i="51"/>
  <c r="V275" i="51"/>
  <c r="W275" i="51"/>
  <c r="X275" i="51"/>
  <c r="V276" i="51"/>
  <c r="W276" i="51"/>
  <c r="X276" i="51"/>
  <c r="V277" i="51"/>
  <c r="W277" i="51"/>
  <c r="X277" i="51"/>
  <c r="V278" i="51"/>
  <c r="W278" i="51"/>
  <c r="X278" i="51"/>
  <c r="V279" i="51"/>
  <c r="W279" i="51"/>
  <c r="X279" i="51"/>
  <c r="V280" i="51"/>
  <c r="W280" i="51"/>
  <c r="X280" i="51"/>
  <c r="V281" i="51"/>
  <c r="W281" i="51"/>
  <c r="X281" i="51"/>
  <c r="V282" i="51"/>
  <c r="W282" i="51"/>
  <c r="X282" i="51"/>
  <c r="V283" i="51"/>
  <c r="W283" i="51"/>
  <c r="X283" i="51"/>
  <c r="V284" i="51"/>
  <c r="W284" i="51"/>
  <c r="X284" i="51"/>
  <c r="V285" i="51"/>
  <c r="W285" i="51"/>
  <c r="X285" i="51"/>
  <c r="X238" i="51"/>
  <c r="W238" i="51"/>
  <c r="V238" i="51"/>
  <c r="F92" i="19"/>
  <c r="AE275" i="51" l="1"/>
  <c r="AF273" i="51"/>
  <c r="AD273" i="51"/>
  <c r="AE272" i="51"/>
  <c r="AF271" i="51"/>
  <c r="AD271" i="51"/>
  <c r="AE270" i="51"/>
  <c r="AF269" i="51"/>
  <c r="AD269" i="51"/>
  <c r="AJ269" i="51" s="1"/>
  <c r="AE268" i="51"/>
  <c r="AF267" i="51"/>
  <c r="AD267" i="51"/>
  <c r="AE266" i="51"/>
  <c r="AF265" i="51"/>
  <c r="AD265" i="51"/>
  <c r="AE264" i="51"/>
  <c r="AF263" i="51"/>
  <c r="AD263" i="51"/>
  <c r="AE262" i="51"/>
  <c r="AF261" i="51"/>
  <c r="AD261" i="51"/>
  <c r="AE260" i="51"/>
  <c r="AF259" i="51"/>
  <c r="AD259" i="51"/>
  <c r="AE258" i="51"/>
  <c r="AF257" i="51"/>
  <c r="AD257" i="51"/>
  <c r="AE256" i="51"/>
  <c r="AF255" i="51"/>
  <c r="AD255" i="51"/>
  <c r="AE254" i="51"/>
  <c r="AF253" i="51"/>
  <c r="AD253" i="51"/>
  <c r="AE252" i="51"/>
  <c r="AF251" i="51"/>
  <c r="AD251" i="51"/>
  <c r="AE250" i="51"/>
  <c r="AF275" i="51"/>
  <c r="AD275" i="51"/>
  <c r="AJ275" i="51" s="1"/>
  <c r="AE273" i="51"/>
  <c r="AF272" i="51"/>
  <c r="AD272" i="51"/>
  <c r="AE271" i="51"/>
  <c r="AF270" i="51"/>
  <c r="AD270" i="51"/>
  <c r="AE269" i="51"/>
  <c r="AF268" i="51"/>
  <c r="AD268" i="51"/>
  <c r="AE267" i="51"/>
  <c r="AF266" i="51"/>
  <c r="AD266" i="51"/>
  <c r="AE265" i="51"/>
  <c r="AF264" i="51"/>
  <c r="AD264" i="51"/>
  <c r="AE263" i="51"/>
  <c r="AF262" i="51"/>
  <c r="AD262" i="51"/>
  <c r="AE261" i="51"/>
  <c r="AF260" i="51"/>
  <c r="AD260" i="51"/>
  <c r="AE259" i="51"/>
  <c r="AF258" i="51"/>
  <c r="AD258" i="51"/>
  <c r="AE257" i="51"/>
  <c r="AF256" i="51"/>
  <c r="AD256" i="51"/>
  <c r="AE255" i="51"/>
  <c r="AF254" i="51"/>
  <c r="AD254" i="51"/>
  <c r="AE253" i="51"/>
  <c r="AF252" i="51"/>
  <c r="AD252" i="51"/>
  <c r="AE251" i="51"/>
  <c r="AF250" i="51"/>
  <c r="AJ477" i="51"/>
  <c r="X229" i="51"/>
  <c r="W229" i="51"/>
  <c r="V229" i="51"/>
  <c r="X228" i="51"/>
  <c r="W228" i="51"/>
  <c r="V228" i="51"/>
  <c r="X227" i="51"/>
  <c r="W227" i="51"/>
  <c r="V227" i="51"/>
  <c r="X226" i="51"/>
  <c r="W226" i="51"/>
  <c r="V226" i="51"/>
  <c r="X225" i="51"/>
  <c r="W225" i="51"/>
  <c r="V225" i="51"/>
  <c r="X224" i="51"/>
  <c r="W224" i="51"/>
  <c r="V224" i="51"/>
  <c r="X223" i="51"/>
  <c r="W223" i="51"/>
  <c r="V223" i="51"/>
  <c r="X222" i="51"/>
  <c r="W222" i="51"/>
  <c r="V222" i="51"/>
  <c r="X221" i="51"/>
  <c r="W221" i="51"/>
  <c r="V221" i="51"/>
  <c r="X220" i="51"/>
  <c r="W220" i="51"/>
  <c r="V220" i="51"/>
  <c r="X219" i="51"/>
  <c r="V219" i="51"/>
  <c r="X217" i="51"/>
  <c r="AF217" i="51" s="1"/>
  <c r="W217" i="51"/>
  <c r="AE217" i="51" s="1"/>
  <c r="V217" i="51"/>
  <c r="AD217" i="51" s="1"/>
  <c r="X216" i="51"/>
  <c r="AF216" i="51" s="1"/>
  <c r="W216" i="51"/>
  <c r="AE216" i="51" s="1"/>
  <c r="V216" i="51"/>
  <c r="AD216" i="51" s="1"/>
  <c r="X215" i="51"/>
  <c r="AF215" i="51" s="1"/>
  <c r="W215" i="51"/>
  <c r="AE215" i="51" s="1"/>
  <c r="V215" i="51"/>
  <c r="AD215" i="51" s="1"/>
  <c r="X214" i="51"/>
  <c r="AF214" i="51" s="1"/>
  <c r="W214" i="51"/>
  <c r="AE214" i="51" s="1"/>
  <c r="V214" i="51"/>
  <c r="AD214" i="51" s="1"/>
  <c r="X213" i="51"/>
  <c r="V213" i="51"/>
  <c r="X212" i="51"/>
  <c r="AF212" i="51" s="1"/>
  <c r="W212" i="51"/>
  <c r="AE212" i="51" s="1"/>
  <c r="V212" i="51"/>
  <c r="AD212" i="51" s="1"/>
  <c r="X211" i="51"/>
  <c r="AF211" i="51" s="1"/>
  <c r="W211" i="51"/>
  <c r="AE211" i="51" s="1"/>
  <c r="V211" i="51"/>
  <c r="AD211" i="51" s="1"/>
  <c r="X210" i="51"/>
  <c r="AF210" i="51" s="1"/>
  <c r="W210" i="51"/>
  <c r="AE210" i="51" s="1"/>
  <c r="V210" i="51"/>
  <c r="AD210" i="51" s="1"/>
  <c r="X209" i="51"/>
  <c r="AF209" i="51" s="1"/>
  <c r="W209" i="51"/>
  <c r="AE209" i="51" s="1"/>
  <c r="V209" i="51"/>
  <c r="AD209" i="51" s="1"/>
  <c r="X208" i="51"/>
  <c r="AF208" i="51" s="1"/>
  <c r="W208" i="51"/>
  <c r="AE208" i="51" s="1"/>
  <c r="V208" i="51"/>
  <c r="AD208" i="51" s="1"/>
  <c r="X207" i="51"/>
  <c r="AF207" i="51" s="1"/>
  <c r="W207" i="51"/>
  <c r="AE207" i="51" s="1"/>
  <c r="V207" i="51"/>
  <c r="AD207" i="51" s="1"/>
  <c r="X206" i="51"/>
  <c r="AF206" i="51" s="1"/>
  <c r="W206" i="51"/>
  <c r="AE206" i="51" s="1"/>
  <c r="V206" i="51"/>
  <c r="AD206" i="51" s="1"/>
  <c r="X205" i="51"/>
  <c r="AF205" i="51" s="1"/>
  <c r="W205" i="51"/>
  <c r="AE205" i="51" s="1"/>
  <c r="V205" i="51"/>
  <c r="AD205" i="51" s="1"/>
  <c r="X204" i="51"/>
  <c r="AF204" i="51" s="1"/>
  <c r="W204" i="51"/>
  <c r="AE204" i="51" s="1"/>
  <c r="V204" i="51"/>
  <c r="AD204" i="51" s="1"/>
  <c r="X203" i="51"/>
  <c r="AF203" i="51" s="1"/>
  <c r="W203" i="51"/>
  <c r="AE203" i="51" s="1"/>
  <c r="V203" i="51"/>
  <c r="AD203" i="51" s="1"/>
  <c r="X202" i="51"/>
  <c r="AF202" i="51" s="1"/>
  <c r="W202" i="51"/>
  <c r="AE202" i="51" s="1"/>
  <c r="V202" i="51"/>
  <c r="AD202" i="51" s="1"/>
  <c r="X201" i="51"/>
  <c r="AF201" i="51" s="1"/>
  <c r="W201" i="51"/>
  <c r="AE201" i="51" s="1"/>
  <c r="V201" i="51"/>
  <c r="AD201" i="51" s="1"/>
  <c r="X200" i="51"/>
  <c r="AF200" i="51" s="1"/>
  <c r="W200" i="51"/>
  <c r="AE200" i="51" s="1"/>
  <c r="V200" i="51"/>
  <c r="AD200" i="51" s="1"/>
  <c r="X199" i="51"/>
  <c r="AF199" i="51" s="1"/>
  <c r="W199" i="51"/>
  <c r="AE199" i="51" s="1"/>
  <c r="V199" i="51"/>
  <c r="AD199" i="51" s="1"/>
  <c r="X198" i="51"/>
  <c r="AF198" i="51" s="1"/>
  <c r="W198" i="51"/>
  <c r="AE198" i="51" s="1"/>
  <c r="V198" i="51"/>
  <c r="AD198" i="51" s="1"/>
  <c r="X197" i="51"/>
  <c r="AF197" i="51" s="1"/>
  <c r="W197" i="51"/>
  <c r="AE197" i="51" s="1"/>
  <c r="V197" i="51"/>
  <c r="AD197" i="51" s="1"/>
  <c r="X196" i="51"/>
  <c r="AF196" i="51" s="1"/>
  <c r="W196" i="51"/>
  <c r="AE196" i="51" s="1"/>
  <c r="V196" i="51"/>
  <c r="AD196" i="51" s="1"/>
  <c r="X195" i="51"/>
  <c r="AF195" i="51" s="1"/>
  <c r="W195" i="51"/>
  <c r="AE195" i="51" s="1"/>
  <c r="V195" i="51"/>
  <c r="AD195" i="51" s="1"/>
  <c r="W194" i="51"/>
  <c r="V194" i="51"/>
  <c r="X193" i="51"/>
  <c r="W193" i="51"/>
  <c r="V193" i="51"/>
  <c r="X192" i="51"/>
  <c r="W192" i="51"/>
  <c r="V192" i="51"/>
  <c r="X191" i="51"/>
  <c r="W191" i="51"/>
  <c r="V191" i="51"/>
  <c r="X190" i="51"/>
  <c r="W190" i="51"/>
  <c r="V190" i="51"/>
  <c r="X189" i="51"/>
  <c r="W189" i="51"/>
  <c r="V189" i="51"/>
  <c r="X188" i="51"/>
  <c r="W188" i="51"/>
  <c r="V188" i="51"/>
  <c r="X187" i="51"/>
  <c r="W187" i="51"/>
  <c r="V187" i="51"/>
  <c r="X186" i="51"/>
  <c r="W186" i="51"/>
  <c r="V186" i="51"/>
  <c r="X185" i="51"/>
  <c r="W185" i="51"/>
  <c r="V185" i="51"/>
  <c r="X184" i="51"/>
  <c r="W184" i="51"/>
  <c r="V184" i="51"/>
  <c r="X183" i="51"/>
  <c r="W183" i="51"/>
  <c r="V183" i="51"/>
  <c r="X182" i="51"/>
  <c r="W182" i="51"/>
  <c r="V182" i="51"/>
  <c r="AH196" i="51" l="1"/>
  <c r="AH198" i="51"/>
  <c r="AH200" i="51"/>
  <c r="AH202" i="51"/>
  <c r="AH204" i="51"/>
  <c r="AH206" i="51"/>
  <c r="AH208" i="51"/>
  <c r="AH210" i="51"/>
  <c r="AH212" i="51"/>
  <c r="AH215" i="51"/>
  <c r="AH217" i="51"/>
  <c r="AE194" i="51"/>
  <c r="AF213" i="51"/>
  <c r="AF219" i="51"/>
  <c r="AD194" i="51"/>
  <c r="AD213" i="51"/>
  <c r="AD219" i="51"/>
  <c r="AH195" i="51"/>
  <c r="AH197" i="51"/>
  <c r="AH199" i="51"/>
  <c r="AH201" i="51"/>
  <c r="AH203" i="51"/>
  <c r="AH205" i="51"/>
  <c r="AH207" i="51"/>
  <c r="AH209" i="51"/>
  <c r="AH211" i="51"/>
  <c r="AH214" i="51"/>
  <c r="AH216" i="51"/>
  <c r="AG180" i="51" l="1"/>
  <c r="AG126" i="51"/>
  <c r="T292" i="51" l="1"/>
  <c r="X292" i="51" s="1"/>
  <c r="AF292" i="51" s="1"/>
  <c r="S292" i="51"/>
  <c r="W292" i="51" s="1"/>
  <c r="AE292" i="51" s="1"/>
  <c r="R292" i="51"/>
  <c r="V292" i="51" s="1"/>
  <c r="AD292" i="51" s="1"/>
  <c r="O292" i="51"/>
  <c r="N292" i="51"/>
  <c r="M292" i="51"/>
  <c r="AJ100" i="51"/>
  <c r="AJ99" i="51"/>
  <c r="AJ98" i="51"/>
  <c r="AJ97" i="51"/>
  <c r="AJ96" i="51"/>
  <c r="AJ95" i="51"/>
  <c r="AJ94" i="51"/>
  <c r="AJ93" i="51"/>
  <c r="AJ92" i="51"/>
  <c r="AJ91" i="51"/>
  <c r="AJ90" i="51"/>
  <c r="AJ89" i="51"/>
  <c r="AJ88" i="51"/>
  <c r="AJ87" i="51"/>
  <c r="AJ86" i="51"/>
  <c r="AJ85" i="51"/>
  <c r="AJ84" i="51"/>
  <c r="AJ83" i="51"/>
  <c r="AJ82" i="51"/>
  <c r="AJ81" i="51"/>
  <c r="AJ80" i="51"/>
  <c r="AJ79" i="51"/>
  <c r="AJ78" i="51"/>
  <c r="AG69" i="51"/>
  <c r="X118" i="51"/>
  <c r="W118" i="51"/>
  <c r="V118" i="51"/>
  <c r="X117" i="51"/>
  <c r="W117" i="51"/>
  <c r="V117" i="51"/>
  <c r="X116" i="51"/>
  <c r="W116" i="51"/>
  <c r="V116" i="51"/>
  <c r="X115" i="51"/>
  <c r="W115" i="51"/>
  <c r="V115" i="51"/>
  <c r="X114" i="51"/>
  <c r="W114" i="51"/>
  <c r="V114" i="51"/>
  <c r="X113" i="51"/>
  <c r="W113" i="51"/>
  <c r="V113" i="51"/>
  <c r="X112" i="51"/>
  <c r="W112" i="51"/>
  <c r="V112" i="51"/>
  <c r="X111" i="51"/>
  <c r="W111" i="51"/>
  <c r="V111" i="51"/>
  <c r="X110" i="51"/>
  <c r="W110" i="51"/>
  <c r="V110" i="51"/>
  <c r="X109" i="51"/>
  <c r="W109" i="51"/>
  <c r="V109" i="51"/>
  <c r="X108" i="51"/>
  <c r="W108" i="51"/>
  <c r="V108" i="51"/>
  <c r="X107" i="51"/>
  <c r="W107" i="51"/>
  <c r="V107" i="51"/>
  <c r="X106" i="51"/>
  <c r="W106" i="51"/>
  <c r="V106" i="51"/>
  <c r="X105" i="51"/>
  <c r="W105" i="51"/>
  <c r="V105" i="51"/>
  <c r="X104" i="51"/>
  <c r="W104" i="51"/>
  <c r="V104" i="51"/>
  <c r="X103" i="51"/>
  <c r="W103" i="51"/>
  <c r="V103" i="51"/>
  <c r="X102" i="51"/>
  <c r="W102" i="51"/>
  <c r="V102" i="51"/>
  <c r="X100" i="51"/>
  <c r="AF100" i="51" s="1"/>
  <c r="W100" i="51"/>
  <c r="AE100" i="51" s="1"/>
  <c r="V100" i="51"/>
  <c r="AD100" i="51" s="1"/>
  <c r="X99" i="51"/>
  <c r="AF99" i="51" s="1"/>
  <c r="W99" i="51"/>
  <c r="AE99" i="51" s="1"/>
  <c r="V99" i="51"/>
  <c r="AD99" i="51" s="1"/>
  <c r="X98" i="51"/>
  <c r="AF98" i="51" s="1"/>
  <c r="W98" i="51"/>
  <c r="AE98" i="51" s="1"/>
  <c r="V98" i="51"/>
  <c r="AD98" i="51" s="1"/>
  <c r="X97" i="51"/>
  <c r="AF97" i="51" s="1"/>
  <c r="W97" i="51"/>
  <c r="AE97" i="51" s="1"/>
  <c r="V97" i="51"/>
  <c r="AD97" i="51" s="1"/>
  <c r="X96" i="51"/>
  <c r="AF96" i="51" s="1"/>
  <c r="W96" i="51"/>
  <c r="AE96" i="51" s="1"/>
  <c r="V96" i="51"/>
  <c r="AD96" i="51" s="1"/>
  <c r="X95" i="51"/>
  <c r="AF95" i="51" s="1"/>
  <c r="W95" i="51"/>
  <c r="AE95" i="51" s="1"/>
  <c r="V95" i="51"/>
  <c r="AD95" i="51" s="1"/>
  <c r="X94" i="51"/>
  <c r="AF94" i="51" s="1"/>
  <c r="W94" i="51"/>
  <c r="AE94" i="51" s="1"/>
  <c r="V94" i="51"/>
  <c r="AD94" i="51" s="1"/>
  <c r="X93" i="51"/>
  <c r="AF93" i="51" s="1"/>
  <c r="W93" i="51"/>
  <c r="AE93" i="51" s="1"/>
  <c r="V93" i="51"/>
  <c r="AD93" i="51" s="1"/>
  <c r="X92" i="51"/>
  <c r="AF92" i="51" s="1"/>
  <c r="W92" i="51"/>
  <c r="AE92" i="51" s="1"/>
  <c r="V92" i="51"/>
  <c r="AD92" i="51" s="1"/>
  <c r="X91" i="51"/>
  <c r="AF91" i="51" s="1"/>
  <c r="W91" i="51"/>
  <c r="AE91" i="51" s="1"/>
  <c r="V91" i="51"/>
  <c r="AD91" i="51" s="1"/>
  <c r="X90" i="51"/>
  <c r="AF90" i="51" s="1"/>
  <c r="W90" i="51"/>
  <c r="AE90" i="51" s="1"/>
  <c r="V90" i="51"/>
  <c r="AD90" i="51" s="1"/>
  <c r="X89" i="51"/>
  <c r="AF89" i="51" s="1"/>
  <c r="W89" i="51"/>
  <c r="AE89" i="51" s="1"/>
  <c r="V89" i="51"/>
  <c r="AD89" i="51" s="1"/>
  <c r="X88" i="51"/>
  <c r="AF88" i="51" s="1"/>
  <c r="W88" i="51"/>
  <c r="AE88" i="51" s="1"/>
  <c r="V88" i="51"/>
  <c r="AD88" i="51" s="1"/>
  <c r="X87" i="51"/>
  <c r="AF87" i="51" s="1"/>
  <c r="W87" i="51"/>
  <c r="AE87" i="51" s="1"/>
  <c r="V87" i="51"/>
  <c r="AD87" i="51" s="1"/>
  <c r="X86" i="51"/>
  <c r="AF86" i="51" s="1"/>
  <c r="W86" i="51"/>
  <c r="AE86" i="51" s="1"/>
  <c r="V86" i="51"/>
  <c r="AD86" i="51" s="1"/>
  <c r="X85" i="51"/>
  <c r="AF85" i="51" s="1"/>
  <c r="W85" i="51"/>
  <c r="AE85" i="51" s="1"/>
  <c r="V85" i="51"/>
  <c r="AD85" i="51" s="1"/>
  <c r="X84" i="51"/>
  <c r="AF84" i="51" s="1"/>
  <c r="W84" i="51"/>
  <c r="AE84" i="51" s="1"/>
  <c r="V84" i="51"/>
  <c r="AD84" i="51" s="1"/>
  <c r="X83" i="51"/>
  <c r="AF83" i="51" s="1"/>
  <c r="W83" i="51"/>
  <c r="AE83" i="51" s="1"/>
  <c r="V83" i="51"/>
  <c r="AD83" i="51" s="1"/>
  <c r="X82" i="51"/>
  <c r="AF82" i="51" s="1"/>
  <c r="W82" i="51"/>
  <c r="AE82" i="51" s="1"/>
  <c r="V82" i="51"/>
  <c r="AD82" i="51" s="1"/>
  <c r="X81" i="51"/>
  <c r="AF81" i="51" s="1"/>
  <c r="W81" i="51"/>
  <c r="AE81" i="51" s="1"/>
  <c r="V81" i="51"/>
  <c r="AD81" i="51" s="1"/>
  <c r="X80" i="51"/>
  <c r="AF80" i="51" s="1"/>
  <c r="W80" i="51"/>
  <c r="AE80" i="51" s="1"/>
  <c r="V80" i="51"/>
  <c r="AD80" i="51" s="1"/>
  <c r="X79" i="51"/>
  <c r="AF79" i="51" s="1"/>
  <c r="W79" i="51"/>
  <c r="AE79" i="51" s="1"/>
  <c r="V79" i="51"/>
  <c r="AD79" i="51" s="1"/>
  <c r="X78" i="51"/>
  <c r="AF78" i="51" s="1"/>
  <c r="W78" i="51"/>
  <c r="AE78" i="51" s="1"/>
  <c r="V78" i="51"/>
  <c r="AD78" i="51" s="1"/>
  <c r="X76" i="51"/>
  <c r="AF76" i="51" s="1"/>
  <c r="W76" i="51"/>
  <c r="AE76" i="51" s="1"/>
  <c r="V76" i="51"/>
  <c r="AD76" i="51" s="1"/>
  <c r="X75" i="51"/>
  <c r="AF75" i="51" s="1"/>
  <c r="W75" i="51"/>
  <c r="AE75" i="51" s="1"/>
  <c r="V75" i="51"/>
  <c r="AD75" i="51" s="1"/>
  <c r="X74" i="51"/>
  <c r="AF74" i="51" s="1"/>
  <c r="W74" i="51"/>
  <c r="AE74" i="51" s="1"/>
  <c r="V74" i="51"/>
  <c r="AD74" i="51" s="1"/>
  <c r="X73" i="51"/>
  <c r="AF73" i="51" s="1"/>
  <c r="W73" i="51"/>
  <c r="AE73" i="51" s="1"/>
  <c r="V73" i="51"/>
  <c r="AD73" i="51" s="1"/>
  <c r="X72" i="51"/>
  <c r="AF72" i="51" s="1"/>
  <c r="W72" i="51"/>
  <c r="AE72" i="51" s="1"/>
  <c r="V72" i="51"/>
  <c r="AD72" i="51" s="1"/>
  <c r="X71" i="51"/>
  <c r="W71" i="51"/>
  <c r="V71" i="51"/>
  <c r="W77" i="51"/>
  <c r="AF71" i="51" l="1"/>
  <c r="AD71" i="51"/>
  <c r="AE77" i="51"/>
  <c r="AE71" i="51"/>
  <c r="F224" i="19" l="1"/>
  <c r="R632" i="51" l="1"/>
  <c r="V632" i="51" s="1"/>
  <c r="AD632" i="51" s="1"/>
  <c r="M632" i="51"/>
  <c r="X60" i="51" l="1"/>
  <c r="W60" i="51"/>
  <c r="V60" i="51"/>
  <c r="X59" i="51"/>
  <c r="W59" i="51"/>
  <c r="V59" i="51"/>
  <c r="X58" i="51"/>
  <c r="W58" i="51"/>
  <c r="V58" i="51"/>
  <c r="X57" i="51"/>
  <c r="W57" i="51"/>
  <c r="V57" i="51"/>
  <c r="X56" i="51"/>
  <c r="W56" i="51"/>
  <c r="V56" i="51"/>
  <c r="X55" i="51"/>
  <c r="W55" i="51"/>
  <c r="V55" i="51"/>
  <c r="X54" i="51"/>
  <c r="W54" i="51"/>
  <c r="V54" i="51"/>
  <c r="X53" i="51"/>
  <c r="W53" i="51"/>
  <c r="V53" i="51"/>
  <c r="X52" i="51"/>
  <c r="W52" i="51"/>
  <c r="V52" i="51"/>
  <c r="X51" i="51"/>
  <c r="W51" i="51"/>
  <c r="V51" i="51"/>
  <c r="X50" i="51"/>
  <c r="W50" i="51"/>
  <c r="V50" i="51"/>
  <c r="X49" i="51"/>
  <c r="W49" i="51"/>
  <c r="X48" i="51"/>
  <c r="W48" i="51"/>
  <c r="V48" i="51"/>
  <c r="X47" i="51"/>
  <c r="W47" i="51"/>
  <c r="V47" i="51"/>
  <c r="X46" i="51"/>
  <c r="W46" i="51"/>
  <c r="V46" i="51"/>
  <c r="X45" i="51"/>
  <c r="W45" i="51"/>
  <c r="V45" i="51"/>
  <c r="X44" i="51"/>
  <c r="X42" i="51"/>
  <c r="W42" i="51"/>
  <c r="V42" i="51"/>
  <c r="X41" i="51"/>
  <c r="W41" i="51"/>
  <c r="V41" i="51"/>
  <c r="X40" i="51"/>
  <c r="W40" i="51"/>
  <c r="V40" i="51"/>
  <c r="X39" i="51"/>
  <c r="W39" i="51"/>
  <c r="V39" i="51"/>
  <c r="X38" i="51"/>
  <c r="W38" i="51"/>
  <c r="V38" i="51"/>
  <c r="X37" i="51"/>
  <c r="W37" i="51"/>
  <c r="V37" i="51"/>
  <c r="X36" i="51"/>
  <c r="W36" i="51"/>
  <c r="V36" i="51"/>
  <c r="X35" i="51"/>
  <c r="W35" i="51"/>
  <c r="V35" i="51"/>
  <c r="X34" i="51"/>
  <c r="W34" i="51"/>
  <c r="V34" i="51"/>
  <c r="X33" i="51"/>
  <c r="W33" i="51"/>
  <c r="V33" i="51"/>
  <c r="X32" i="51"/>
  <c r="W32" i="51"/>
  <c r="V32" i="51"/>
  <c r="X31" i="51"/>
  <c r="W31" i="51"/>
  <c r="V31" i="51"/>
  <c r="X30" i="51"/>
  <c r="W30" i="51"/>
  <c r="V30" i="51"/>
  <c r="X29" i="51"/>
  <c r="W29" i="51"/>
  <c r="V29" i="51"/>
  <c r="X28" i="51"/>
  <c r="W28" i="51"/>
  <c r="V28" i="51"/>
  <c r="X27" i="51"/>
  <c r="W27" i="51"/>
  <c r="V27" i="51"/>
  <c r="X26" i="51"/>
  <c r="W26" i="51"/>
  <c r="V26" i="51"/>
  <c r="W25" i="51"/>
  <c r="V25" i="51"/>
  <c r="X24" i="51"/>
  <c r="W24" i="51"/>
  <c r="V24" i="51"/>
  <c r="X23" i="51"/>
  <c r="W23" i="51"/>
  <c r="V23" i="51"/>
  <c r="X22" i="51"/>
  <c r="W22" i="51"/>
  <c r="V22" i="51"/>
  <c r="X21" i="51"/>
  <c r="W21" i="51"/>
  <c r="V21" i="51"/>
  <c r="W20" i="51"/>
  <c r="V20" i="51"/>
  <c r="X18" i="51"/>
  <c r="W18" i="51"/>
  <c r="V18" i="51"/>
  <c r="X17" i="51"/>
  <c r="W17" i="51"/>
  <c r="V17" i="51"/>
  <c r="X16" i="51"/>
  <c r="W16" i="51"/>
  <c r="V16" i="51"/>
  <c r="X15" i="51"/>
  <c r="W15" i="51"/>
  <c r="V15" i="51"/>
  <c r="X14" i="51"/>
  <c r="W14" i="51"/>
  <c r="V14" i="51"/>
  <c r="X13" i="51"/>
  <c r="W13" i="51"/>
  <c r="V13" i="51"/>
  <c r="AE13" i="51" l="1"/>
  <c r="AD14" i="51"/>
  <c r="AF14" i="51"/>
  <c r="AE15" i="51"/>
  <c r="AD16" i="51"/>
  <c r="AF16" i="51"/>
  <c r="AE17" i="51"/>
  <c r="AD18" i="51"/>
  <c r="AF18" i="51"/>
  <c r="AE20" i="51"/>
  <c r="AE21" i="51"/>
  <c r="AD22" i="51"/>
  <c r="AF22" i="51"/>
  <c r="AE23" i="51"/>
  <c r="AD24" i="51"/>
  <c r="AF24" i="51"/>
  <c r="AE25" i="51"/>
  <c r="AE26" i="51"/>
  <c r="AD27" i="51"/>
  <c r="AF27" i="51"/>
  <c r="AE28" i="51"/>
  <c r="AD29" i="51"/>
  <c r="AF29" i="51"/>
  <c r="AE30" i="51"/>
  <c r="AD31" i="51"/>
  <c r="AF31" i="51"/>
  <c r="AE32" i="51"/>
  <c r="AD33" i="51"/>
  <c r="AF33" i="51"/>
  <c r="AE34" i="51"/>
  <c r="AD35" i="51"/>
  <c r="AF35" i="51"/>
  <c r="AE36" i="51"/>
  <c r="AD37" i="51"/>
  <c r="AF37" i="51"/>
  <c r="AE38" i="51"/>
  <c r="AD39" i="51"/>
  <c r="AF39" i="51"/>
  <c r="AE40" i="51"/>
  <c r="AD41" i="51"/>
  <c r="AF41" i="51"/>
  <c r="AE42" i="51"/>
  <c r="AF44" i="51"/>
  <c r="AE45" i="51"/>
  <c r="AD46" i="51"/>
  <c r="AF46" i="51"/>
  <c r="AE47" i="51"/>
  <c r="AD48" i="51"/>
  <c r="AF48" i="51"/>
  <c r="AF49" i="51"/>
  <c r="AE50" i="51"/>
  <c r="AD51" i="51"/>
  <c r="AF51" i="51"/>
  <c r="AE52" i="51"/>
  <c r="AD53" i="51"/>
  <c r="AF53" i="51"/>
  <c r="AE54" i="51"/>
  <c r="AD55" i="51"/>
  <c r="AF55" i="51"/>
  <c r="AE56" i="51"/>
  <c r="AD57" i="51"/>
  <c r="AF57" i="51"/>
  <c r="AE58" i="51"/>
  <c r="AD59" i="51"/>
  <c r="AF59" i="51"/>
  <c r="AE60" i="51"/>
  <c r="AD13" i="51"/>
  <c r="AF13" i="51"/>
  <c r="AE14" i="51"/>
  <c r="AD15" i="51"/>
  <c r="AF15" i="51"/>
  <c r="AE16" i="51"/>
  <c r="AD17" i="51"/>
  <c r="AF17" i="51"/>
  <c r="AE18" i="51"/>
  <c r="AD20" i="51"/>
  <c r="AD21" i="51"/>
  <c r="AF21" i="51"/>
  <c r="AE22" i="51"/>
  <c r="AD23" i="51"/>
  <c r="AF23" i="51"/>
  <c r="AE24" i="51"/>
  <c r="AD25" i="51"/>
  <c r="AD26" i="51"/>
  <c r="AF26" i="51"/>
  <c r="AE27" i="51"/>
  <c r="AD28" i="51"/>
  <c r="AF28" i="51"/>
  <c r="AE29" i="51"/>
  <c r="AD30" i="51"/>
  <c r="AF30" i="51"/>
  <c r="AE31" i="51"/>
  <c r="AD32" i="51"/>
  <c r="AF32" i="51"/>
  <c r="AE33" i="51"/>
  <c r="AD34" i="51"/>
  <c r="AF34" i="51"/>
  <c r="AE35" i="51"/>
  <c r="AD36" i="51"/>
  <c r="AF36" i="51"/>
  <c r="AE37" i="51"/>
  <c r="AD38" i="51"/>
  <c r="AF38" i="51"/>
  <c r="AE39" i="51"/>
  <c r="AD40" i="51"/>
  <c r="AF40" i="51"/>
  <c r="AE41" i="51"/>
  <c r="AD42" i="51"/>
  <c r="AF42" i="51"/>
  <c r="AD45" i="51"/>
  <c r="AF45" i="51"/>
  <c r="AE46" i="51"/>
  <c r="AD47" i="51"/>
  <c r="AF47" i="51"/>
  <c r="AE48" i="51"/>
  <c r="AE49" i="51"/>
  <c r="AD50" i="51"/>
  <c r="AF50" i="51"/>
  <c r="AE51" i="51"/>
  <c r="AD52" i="51"/>
  <c r="AF52" i="51"/>
  <c r="AE53" i="51"/>
  <c r="AD54" i="51"/>
  <c r="AF54" i="51"/>
  <c r="AE55" i="51"/>
  <c r="AD56" i="51"/>
  <c r="AF56" i="51"/>
  <c r="AE57" i="51"/>
  <c r="AD58" i="51"/>
  <c r="AF58" i="51"/>
  <c r="AE59" i="51"/>
  <c r="AD60" i="51"/>
  <c r="AF60" i="51"/>
  <c r="AG11" i="51"/>
  <c r="Y9" i="47" l="1"/>
  <c r="Z9" i="47" s="1"/>
  <c r="X8" i="46" l="1"/>
  <c r="U8" i="46"/>
  <c r="Y8" i="46" s="1"/>
  <c r="V8" i="46" l="1"/>
  <c r="Z8" i="46" s="1"/>
  <c r="F10" i="52"/>
  <c r="F36" i="52" l="1"/>
  <c r="H36" i="52" s="1"/>
  <c r="F34" i="52"/>
  <c r="H34" i="52" s="1"/>
  <c r="F33" i="52"/>
  <c r="H33" i="52" s="1"/>
  <c r="H32" i="52" s="1"/>
  <c r="F32" i="52"/>
  <c r="G10" i="52"/>
  <c r="H10" i="52" s="1"/>
  <c r="G9" i="52"/>
  <c r="H9" i="52" s="1"/>
  <c r="B8" i="52"/>
  <c r="C8" i="52" s="1"/>
  <c r="D8" i="52" s="1"/>
  <c r="E8" i="52" s="1"/>
  <c r="F8" i="52" s="1"/>
  <c r="G8" i="52" s="1"/>
  <c r="H8" i="52" s="1"/>
  <c r="I8" i="52" s="1"/>
  <c r="J8" i="52" s="1"/>
  <c r="K8" i="52" s="1"/>
  <c r="Y255" i="48" l="1"/>
  <c r="Q233" i="48"/>
  <c r="L233" i="48"/>
  <c r="AJ118" i="48"/>
  <c r="AJ117" i="45" s="1"/>
  <c r="AM117" i="45" s="1"/>
  <c r="AJ117" i="48"/>
  <c r="AJ116" i="45" s="1"/>
  <c r="AM116" i="45" s="1"/>
  <c r="AJ116" i="48"/>
  <c r="AJ115" i="45" s="1"/>
  <c r="AM115" i="45" s="1"/>
  <c r="AJ115" i="48"/>
  <c r="AJ114" i="45" s="1"/>
  <c r="AM114" i="45" s="1"/>
  <c r="AJ114" i="48"/>
  <c r="AJ113" i="45" s="1"/>
  <c r="AM113" i="45" s="1"/>
  <c r="AJ113" i="48"/>
  <c r="AJ112" i="45" s="1"/>
  <c r="AM112" i="45" s="1"/>
  <c r="AJ112" i="48"/>
  <c r="AJ111" i="45" s="1"/>
  <c r="AM111" i="45" s="1"/>
  <c r="AJ111" i="48"/>
  <c r="AJ110" i="45" s="1"/>
  <c r="AM110" i="45" s="1"/>
  <c r="AJ110" i="48"/>
  <c r="AJ109" i="45" s="1"/>
  <c r="AM109" i="45" s="1"/>
  <c r="AJ109" i="48"/>
  <c r="AJ108" i="45" s="1"/>
  <c r="AM108" i="45" s="1"/>
  <c r="AJ106" i="48"/>
  <c r="AJ105" i="45" s="1"/>
  <c r="AM105" i="45" s="1"/>
  <c r="AJ105" i="48"/>
  <c r="AJ104" i="45" s="1"/>
  <c r="AM104" i="45" s="1"/>
  <c r="AJ104" i="48"/>
  <c r="AJ103" i="45" s="1"/>
  <c r="AM103" i="45" s="1"/>
  <c r="AJ103" i="48"/>
  <c r="AJ102" i="45" s="1"/>
  <c r="AM102" i="45" s="1"/>
  <c r="AJ100" i="48"/>
  <c r="AJ99" i="45" s="1"/>
  <c r="AM99" i="45" s="1"/>
  <c r="AJ99" i="48"/>
  <c r="AJ98" i="45" s="1"/>
  <c r="AM98" i="45" s="1"/>
  <c r="AJ98" i="48"/>
  <c r="AJ97" i="45" s="1"/>
  <c r="AM97" i="45" s="1"/>
  <c r="AJ97" i="48"/>
  <c r="AJ96" i="45" s="1"/>
  <c r="AM96" i="45" s="1"/>
  <c r="AJ96" i="48"/>
  <c r="AJ95" i="45" s="1"/>
  <c r="AM95" i="45" s="1"/>
  <c r="AJ95" i="48"/>
  <c r="AJ94" i="45" s="1"/>
  <c r="AM94" i="45" s="1"/>
  <c r="AJ94" i="48"/>
  <c r="AJ93" i="45" s="1"/>
  <c r="AM93" i="45" s="1"/>
  <c r="AJ93" i="48"/>
  <c r="AJ92" i="45" s="1"/>
  <c r="AM92" i="45" s="1"/>
  <c r="AJ92" i="48"/>
  <c r="AJ91" i="45" s="1"/>
  <c r="AM91" i="45" s="1"/>
  <c r="AJ91" i="48"/>
  <c r="AJ90" i="45" s="1"/>
  <c r="AM90" i="45" s="1"/>
  <c r="AJ90" i="48"/>
  <c r="AJ89" i="45" s="1"/>
  <c r="AM89" i="45" s="1"/>
  <c r="AJ89" i="48"/>
  <c r="AJ88" i="45" s="1"/>
  <c r="AM88" i="45" s="1"/>
  <c r="AJ88" i="48"/>
  <c r="AJ87" i="45" s="1"/>
  <c r="AM87" i="45" s="1"/>
  <c r="AJ87" i="48"/>
  <c r="AJ86" i="45" s="1"/>
  <c r="AM86" i="45" s="1"/>
  <c r="AJ86" i="48"/>
  <c r="AJ85" i="45" s="1"/>
  <c r="AM85" i="45" s="1"/>
  <c r="AJ85" i="48"/>
  <c r="AJ84" i="45" s="1"/>
  <c r="AM84" i="45" s="1"/>
  <c r="AJ84" i="48"/>
  <c r="AJ83" i="45" s="1"/>
  <c r="AM83" i="45" s="1"/>
  <c r="AJ82" i="48"/>
  <c r="AJ81" i="45" s="1"/>
  <c r="AM81" i="45" s="1"/>
  <c r="AJ81" i="48"/>
  <c r="AJ80" i="45" s="1"/>
  <c r="AM80" i="45" s="1"/>
  <c r="AJ80" i="48"/>
  <c r="AJ79" i="45" s="1"/>
  <c r="AM79" i="45" s="1"/>
  <c r="AJ79" i="48"/>
  <c r="AJ78" i="45" s="1"/>
  <c r="AM78" i="45" s="1"/>
  <c r="AJ76" i="48"/>
  <c r="AJ75" i="45" s="1"/>
  <c r="AM75" i="45" s="1"/>
  <c r="AJ75" i="48"/>
  <c r="AJ74" i="45" s="1"/>
  <c r="AM74" i="45" s="1"/>
  <c r="AJ74" i="48"/>
  <c r="AJ73" i="45" s="1"/>
  <c r="AM73" i="45" s="1"/>
  <c r="AJ73" i="48"/>
  <c r="AJ72" i="45" s="1"/>
  <c r="AM72" i="45" s="1"/>
  <c r="AJ72" i="48"/>
  <c r="AJ71" i="45" s="1"/>
  <c r="AM71" i="45" s="1"/>
  <c r="AJ71" i="48"/>
  <c r="AJ70" i="45" s="1"/>
  <c r="AM70" i="45" s="1"/>
  <c r="Y118" i="48"/>
  <c r="Y117" i="45" s="1"/>
  <c r="X118" i="48"/>
  <c r="W118" i="48"/>
  <c r="V118" i="48"/>
  <c r="Y117" i="48"/>
  <c r="Y116" i="45" s="1"/>
  <c r="X117" i="48"/>
  <c r="W117" i="48"/>
  <c r="V117" i="48"/>
  <c r="Y116" i="48"/>
  <c r="Y115" i="45" s="1"/>
  <c r="X116" i="48"/>
  <c r="W116" i="48"/>
  <c r="V116" i="48"/>
  <c r="Y115" i="48"/>
  <c r="Y114" i="45" s="1"/>
  <c r="X115" i="48"/>
  <c r="W115" i="48"/>
  <c r="V115" i="48"/>
  <c r="Y114" i="48"/>
  <c r="Y113" i="45" s="1"/>
  <c r="X114" i="48"/>
  <c r="W114" i="48"/>
  <c r="V114" i="48"/>
  <c r="Y113" i="48"/>
  <c r="Y112" i="45" s="1"/>
  <c r="X113" i="48"/>
  <c r="W113" i="48"/>
  <c r="V113" i="48"/>
  <c r="Y112" i="48"/>
  <c r="Y111" i="45" s="1"/>
  <c r="X112" i="48"/>
  <c r="W112" i="48"/>
  <c r="V112" i="48"/>
  <c r="Y111" i="48"/>
  <c r="Y110" i="45" s="1"/>
  <c r="X111" i="48"/>
  <c r="W111" i="48"/>
  <c r="V111" i="48"/>
  <c r="Y110" i="48"/>
  <c r="Y109" i="45" s="1"/>
  <c r="X110" i="48"/>
  <c r="W110" i="48"/>
  <c r="V110" i="48"/>
  <c r="Y109" i="48"/>
  <c r="Y108" i="45" s="1"/>
  <c r="X109" i="48"/>
  <c r="W109" i="48"/>
  <c r="V109" i="48"/>
  <c r="Y108" i="48"/>
  <c r="Y107" i="45" s="1"/>
  <c r="X108" i="48"/>
  <c r="V108" i="48"/>
  <c r="Y107" i="48"/>
  <c r="Y106" i="45" s="1"/>
  <c r="Y106" i="48"/>
  <c r="Y105" i="45" s="1"/>
  <c r="X106" i="48"/>
  <c r="W106" i="48"/>
  <c r="V106" i="48"/>
  <c r="Y105" i="48"/>
  <c r="Y104" i="45" s="1"/>
  <c r="X105" i="48"/>
  <c r="W105" i="48"/>
  <c r="V105" i="48"/>
  <c r="Y104" i="48"/>
  <c r="Y103" i="45" s="1"/>
  <c r="X104" i="48"/>
  <c r="W104" i="48"/>
  <c r="V104" i="48"/>
  <c r="Y103" i="48"/>
  <c r="Y102" i="45" s="1"/>
  <c r="X103" i="48"/>
  <c r="W103" i="48"/>
  <c r="V103" i="48"/>
  <c r="Y102" i="48"/>
  <c r="Y101" i="45" s="1"/>
  <c r="X102" i="48"/>
  <c r="V102" i="48"/>
  <c r="Y101" i="48"/>
  <c r="Y100" i="45" s="1"/>
  <c r="X101" i="48"/>
  <c r="W101" i="48"/>
  <c r="V101" i="48"/>
  <c r="Y100" i="48"/>
  <c r="Y99" i="45" s="1"/>
  <c r="X100" i="48"/>
  <c r="W100" i="48"/>
  <c r="V100" i="48"/>
  <c r="Y99" i="48"/>
  <c r="Y98" i="45" s="1"/>
  <c r="X99" i="48"/>
  <c r="W99" i="48"/>
  <c r="V99" i="48"/>
  <c r="Y98" i="48"/>
  <c r="Y97" i="45" s="1"/>
  <c r="X98" i="48"/>
  <c r="W98" i="48"/>
  <c r="V98" i="48"/>
  <c r="Y97" i="48"/>
  <c r="Y96" i="45" s="1"/>
  <c r="X97" i="48"/>
  <c r="W97" i="48"/>
  <c r="V97" i="48"/>
  <c r="Y96" i="48"/>
  <c r="Y95" i="45" s="1"/>
  <c r="X96" i="48"/>
  <c r="W96" i="48"/>
  <c r="V96" i="48"/>
  <c r="Y95" i="48"/>
  <c r="Y94" i="45" s="1"/>
  <c r="X95" i="48"/>
  <c r="W95" i="48"/>
  <c r="V95" i="48"/>
  <c r="Y94" i="48"/>
  <c r="Y93" i="45" s="1"/>
  <c r="X94" i="48"/>
  <c r="W94" i="48"/>
  <c r="V94" i="48"/>
  <c r="Y93" i="48"/>
  <c r="Y92" i="45" s="1"/>
  <c r="X93" i="48"/>
  <c r="W93" i="48"/>
  <c r="V93" i="48"/>
  <c r="Y92" i="48"/>
  <c r="Y91" i="45" s="1"/>
  <c r="X92" i="48"/>
  <c r="W92" i="48"/>
  <c r="V92" i="48"/>
  <c r="Y91" i="48"/>
  <c r="Y90" i="45" s="1"/>
  <c r="X91" i="48"/>
  <c r="W91" i="48"/>
  <c r="V91" i="48"/>
  <c r="Y90" i="48"/>
  <c r="Y89" i="45" s="1"/>
  <c r="X90" i="48"/>
  <c r="W90" i="48"/>
  <c r="V90" i="48"/>
  <c r="Y89" i="48"/>
  <c r="Y88" i="45" s="1"/>
  <c r="X89" i="48"/>
  <c r="W89" i="48"/>
  <c r="V89" i="48"/>
  <c r="Y88" i="48"/>
  <c r="Y87" i="45" s="1"/>
  <c r="X88" i="48"/>
  <c r="W88" i="48"/>
  <c r="V88" i="48"/>
  <c r="Y87" i="48"/>
  <c r="Y86" i="45" s="1"/>
  <c r="X87" i="48"/>
  <c r="W87" i="48"/>
  <c r="V87" i="48"/>
  <c r="Y86" i="48"/>
  <c r="Y85" i="45" s="1"/>
  <c r="X86" i="48"/>
  <c r="W86" i="48"/>
  <c r="V86" i="48"/>
  <c r="Y85" i="48"/>
  <c r="Y84" i="45" s="1"/>
  <c r="X85" i="48"/>
  <c r="W85" i="48"/>
  <c r="V85" i="48"/>
  <c r="Y84" i="48"/>
  <c r="Y83" i="45" s="1"/>
  <c r="X84" i="48"/>
  <c r="W84" i="48"/>
  <c r="V84" i="48"/>
  <c r="Y83" i="48"/>
  <c r="Y82" i="45" s="1"/>
  <c r="W83" i="48"/>
  <c r="Y82" i="48"/>
  <c r="Y81" i="45" s="1"/>
  <c r="X82" i="48"/>
  <c r="W82" i="48"/>
  <c r="V82" i="48"/>
  <c r="Y81" i="48"/>
  <c r="Y80" i="45" s="1"/>
  <c r="X81" i="48"/>
  <c r="W81" i="48"/>
  <c r="V81" i="48"/>
  <c r="Y80" i="48"/>
  <c r="Y79" i="45" s="1"/>
  <c r="X80" i="48"/>
  <c r="W80" i="48"/>
  <c r="V80" i="48"/>
  <c r="Y79" i="48"/>
  <c r="Y78" i="45" s="1"/>
  <c r="X79" i="48"/>
  <c r="W79" i="48"/>
  <c r="V79" i="48"/>
  <c r="Y78" i="48"/>
  <c r="Y77" i="45" s="1"/>
  <c r="X78" i="48"/>
  <c r="W78" i="48"/>
  <c r="V78" i="48"/>
  <c r="Y77" i="48"/>
  <c r="Y76" i="45" s="1"/>
  <c r="X77" i="48"/>
  <c r="W77" i="48"/>
  <c r="V77" i="48"/>
  <c r="Y76" i="48"/>
  <c r="Y75" i="45" s="1"/>
  <c r="X76" i="48"/>
  <c r="W76" i="48"/>
  <c r="V76" i="48"/>
  <c r="Y75" i="48"/>
  <c r="Y74" i="45" s="1"/>
  <c r="X75" i="48"/>
  <c r="W75" i="48"/>
  <c r="V75" i="48"/>
  <c r="Y74" i="48"/>
  <c r="Y73" i="45" s="1"/>
  <c r="X74" i="48"/>
  <c r="W74" i="48"/>
  <c r="V74" i="48"/>
  <c r="Y73" i="48"/>
  <c r="Y72" i="45" s="1"/>
  <c r="X73" i="48"/>
  <c r="W73" i="48"/>
  <c r="V73" i="48"/>
  <c r="Y72" i="48"/>
  <c r="Y71" i="45" s="1"/>
  <c r="X72" i="48"/>
  <c r="W72" i="48"/>
  <c r="V72" i="48"/>
  <c r="Y71" i="48"/>
  <c r="Y70" i="45" s="1"/>
  <c r="X71" i="48"/>
  <c r="W71" i="48"/>
  <c r="V71" i="48"/>
  <c r="AJ14" i="48"/>
  <c r="AJ13" i="45" s="1"/>
  <c r="AM13" i="45" s="1"/>
  <c r="AJ15" i="48"/>
  <c r="AJ14" i="45" s="1"/>
  <c r="AM14" i="45" s="1"/>
  <c r="AJ16" i="48"/>
  <c r="AJ15" i="45" s="1"/>
  <c r="AM15" i="45" s="1"/>
  <c r="AJ17" i="48"/>
  <c r="AJ16" i="45" s="1"/>
  <c r="AM16" i="45" s="1"/>
  <c r="AJ18" i="48"/>
  <c r="AJ17" i="45" s="1"/>
  <c r="AM17" i="45" s="1"/>
  <c r="AJ21" i="48"/>
  <c r="AJ20" i="45" s="1"/>
  <c r="AM20" i="45" s="1"/>
  <c r="AJ22" i="48"/>
  <c r="AJ21" i="45" s="1"/>
  <c r="AM21" i="45" s="1"/>
  <c r="AJ23" i="48"/>
  <c r="AJ22" i="45" s="1"/>
  <c r="AM22" i="45" s="1"/>
  <c r="AJ24" i="48"/>
  <c r="AJ23" i="45" s="1"/>
  <c r="AM23" i="45" s="1"/>
  <c r="AJ26" i="48"/>
  <c r="AJ25" i="45" s="1"/>
  <c r="AM25" i="45" s="1"/>
  <c r="AJ27" i="48"/>
  <c r="AJ26" i="45" s="1"/>
  <c r="AM26" i="45" s="1"/>
  <c r="AJ28" i="48"/>
  <c r="AJ27" i="45" s="1"/>
  <c r="AM27" i="45" s="1"/>
  <c r="AJ29" i="48"/>
  <c r="AJ28" i="45" s="1"/>
  <c r="AM28" i="45" s="1"/>
  <c r="AJ30" i="48"/>
  <c r="AJ29" i="45" s="1"/>
  <c r="AM29" i="45" s="1"/>
  <c r="AJ31" i="48"/>
  <c r="AJ30" i="45" s="1"/>
  <c r="AM30" i="45" s="1"/>
  <c r="AJ32" i="48"/>
  <c r="AJ31" i="45" s="1"/>
  <c r="AM31" i="45" s="1"/>
  <c r="AJ33" i="48"/>
  <c r="AJ32" i="45" s="1"/>
  <c r="AM32" i="45" s="1"/>
  <c r="AJ34" i="48"/>
  <c r="AJ33" i="45" s="1"/>
  <c r="AM33" i="45" s="1"/>
  <c r="AJ35" i="48"/>
  <c r="AJ34" i="45" s="1"/>
  <c r="AM34" i="45" s="1"/>
  <c r="AJ36" i="48"/>
  <c r="AJ35" i="45" s="1"/>
  <c r="AM35" i="45" s="1"/>
  <c r="AJ37" i="48"/>
  <c r="AJ36" i="45" s="1"/>
  <c r="AM36" i="45" s="1"/>
  <c r="AJ38" i="48"/>
  <c r="AJ37" i="45" s="1"/>
  <c r="AM37" i="45" s="1"/>
  <c r="AJ39" i="48"/>
  <c r="AJ38" i="45" s="1"/>
  <c r="AM38" i="45" s="1"/>
  <c r="AJ40" i="48"/>
  <c r="AJ39" i="45" s="1"/>
  <c r="AM39" i="45" s="1"/>
  <c r="AJ41" i="48"/>
  <c r="AJ40" i="45" s="1"/>
  <c r="AM40" i="45" s="1"/>
  <c r="AJ42" i="48"/>
  <c r="AJ41" i="45" s="1"/>
  <c r="AM41" i="45" s="1"/>
  <c r="AJ46" i="48"/>
  <c r="AJ45" i="45" s="1"/>
  <c r="AM45" i="45" s="1"/>
  <c r="AJ47" i="48"/>
  <c r="AJ46" i="45" s="1"/>
  <c r="AM46" i="45" s="1"/>
  <c r="AJ48" i="48"/>
  <c r="AJ47" i="45" s="1"/>
  <c r="AM47" i="45" s="1"/>
  <c r="AJ50" i="48"/>
  <c r="AJ49" i="45" s="1"/>
  <c r="AM49" i="45" s="1"/>
  <c r="AJ51" i="48"/>
  <c r="AJ50" i="45" s="1"/>
  <c r="AM50" i="45" s="1"/>
  <c r="AJ52" i="48"/>
  <c r="AJ51" i="45" s="1"/>
  <c r="AM51" i="45" s="1"/>
  <c r="AJ53" i="48"/>
  <c r="AJ52" i="45" s="1"/>
  <c r="AM52" i="45" s="1"/>
  <c r="AJ54" i="48"/>
  <c r="AJ53" i="45" s="1"/>
  <c r="AM53" i="45" s="1"/>
  <c r="AJ55" i="48"/>
  <c r="AJ54" i="45" s="1"/>
  <c r="AM54" i="45" s="1"/>
  <c r="AJ56" i="48"/>
  <c r="AJ55" i="45" s="1"/>
  <c r="AM55" i="45" s="1"/>
  <c r="AJ57" i="48"/>
  <c r="AJ56" i="45" s="1"/>
  <c r="AM56" i="45" s="1"/>
  <c r="AJ58" i="48"/>
  <c r="AJ57" i="45" s="1"/>
  <c r="AM57" i="45" s="1"/>
  <c r="AJ59" i="48"/>
  <c r="AJ58" i="45" s="1"/>
  <c r="AM58" i="45" s="1"/>
  <c r="AJ60" i="48"/>
  <c r="AJ59" i="45" s="1"/>
  <c r="AM59" i="45" s="1"/>
  <c r="AJ13" i="48"/>
  <c r="AJ12" i="45" s="1"/>
  <c r="AM12" i="45" s="1"/>
  <c r="AJ45" i="48"/>
  <c r="AJ44" i="45" s="1"/>
  <c r="AM44" i="45" s="1"/>
  <c r="V14" i="48"/>
  <c r="W14" i="48"/>
  <c r="X14" i="48"/>
  <c r="Y14" i="48"/>
  <c r="Y13" i="45" s="1"/>
  <c r="V15" i="48"/>
  <c r="W15" i="48"/>
  <c r="X15" i="48"/>
  <c r="Y15" i="48"/>
  <c r="Y14" i="45" s="1"/>
  <c r="V16" i="48"/>
  <c r="W16" i="48"/>
  <c r="X16" i="48"/>
  <c r="Y16" i="48"/>
  <c r="Y15" i="45" s="1"/>
  <c r="V17" i="48"/>
  <c r="W17" i="48"/>
  <c r="X17" i="48"/>
  <c r="Y17" i="48"/>
  <c r="Y16" i="45" s="1"/>
  <c r="V18" i="48"/>
  <c r="W18" i="48"/>
  <c r="X18" i="48"/>
  <c r="Y18" i="48"/>
  <c r="Y17" i="45" s="1"/>
  <c r="Y19" i="48"/>
  <c r="Y18" i="45" s="1"/>
  <c r="V20" i="48"/>
  <c r="W20" i="48"/>
  <c r="Y20" i="48"/>
  <c r="Y19" i="45" s="1"/>
  <c r="V21" i="48"/>
  <c r="W21" i="48"/>
  <c r="X21" i="48"/>
  <c r="Y21" i="48"/>
  <c r="Y20" i="45" s="1"/>
  <c r="V22" i="48"/>
  <c r="W22" i="48"/>
  <c r="X22" i="48"/>
  <c r="Y22" i="48"/>
  <c r="Y21" i="45" s="1"/>
  <c r="V23" i="48"/>
  <c r="W23" i="48"/>
  <c r="X23" i="48"/>
  <c r="Y23" i="48"/>
  <c r="Y22" i="45" s="1"/>
  <c r="V24" i="48"/>
  <c r="W24" i="48"/>
  <c r="X24" i="48"/>
  <c r="Y24" i="48"/>
  <c r="Y23" i="45" s="1"/>
  <c r="V25" i="48"/>
  <c r="W25" i="48"/>
  <c r="Y25" i="48"/>
  <c r="Y24" i="45" s="1"/>
  <c r="V26" i="48"/>
  <c r="W26" i="48"/>
  <c r="X26" i="48"/>
  <c r="Y26" i="48"/>
  <c r="Y25" i="45" s="1"/>
  <c r="V27" i="48"/>
  <c r="W27" i="48"/>
  <c r="X27" i="48"/>
  <c r="Y27" i="48"/>
  <c r="Y26" i="45" s="1"/>
  <c r="V28" i="48"/>
  <c r="W28" i="48"/>
  <c r="X28" i="48"/>
  <c r="Y28" i="48"/>
  <c r="Y27" i="45" s="1"/>
  <c r="V29" i="48"/>
  <c r="W29" i="48"/>
  <c r="X29" i="48"/>
  <c r="Y29" i="48"/>
  <c r="Y28" i="45" s="1"/>
  <c r="V30" i="48"/>
  <c r="W30" i="48"/>
  <c r="X30" i="48"/>
  <c r="Y30" i="48"/>
  <c r="Y29" i="45" s="1"/>
  <c r="V31" i="48"/>
  <c r="W31" i="48"/>
  <c r="X31" i="48"/>
  <c r="Y31" i="48"/>
  <c r="Y30" i="45" s="1"/>
  <c r="V32" i="48"/>
  <c r="W32" i="48"/>
  <c r="X32" i="48"/>
  <c r="Y32" i="48"/>
  <c r="Y31" i="45" s="1"/>
  <c r="V33" i="48"/>
  <c r="W33" i="48"/>
  <c r="X33" i="48"/>
  <c r="Y33" i="48"/>
  <c r="Y32" i="45" s="1"/>
  <c r="V34" i="48"/>
  <c r="W34" i="48"/>
  <c r="X34" i="48"/>
  <c r="Y34" i="48"/>
  <c r="Y33" i="45" s="1"/>
  <c r="V35" i="48"/>
  <c r="W35" i="48"/>
  <c r="X35" i="48"/>
  <c r="Y35" i="48"/>
  <c r="Y34" i="45" s="1"/>
  <c r="V36" i="48"/>
  <c r="W36" i="48"/>
  <c r="X36" i="48"/>
  <c r="Y36" i="48"/>
  <c r="Y35" i="45" s="1"/>
  <c r="V37" i="48"/>
  <c r="W37" i="48"/>
  <c r="X37" i="48"/>
  <c r="Y37" i="48"/>
  <c r="Y36" i="45" s="1"/>
  <c r="V38" i="48"/>
  <c r="W38" i="48"/>
  <c r="X38" i="48"/>
  <c r="Y38" i="48"/>
  <c r="Y37" i="45" s="1"/>
  <c r="V39" i="48"/>
  <c r="W39" i="48"/>
  <c r="X39" i="48"/>
  <c r="Y39" i="48"/>
  <c r="Y38" i="45" s="1"/>
  <c r="V40" i="48"/>
  <c r="W40" i="48"/>
  <c r="X40" i="48"/>
  <c r="Y40" i="48"/>
  <c r="Y39" i="45" s="1"/>
  <c r="V41" i="48"/>
  <c r="W41" i="48"/>
  <c r="X41" i="48"/>
  <c r="Y41" i="48"/>
  <c r="Y40" i="45" s="1"/>
  <c r="V42" i="48"/>
  <c r="W42" i="48"/>
  <c r="X42" i="48"/>
  <c r="Y42" i="48"/>
  <c r="Y41" i="45" s="1"/>
  <c r="Y43" i="48"/>
  <c r="Y42" i="45" s="1"/>
  <c r="X44" i="48"/>
  <c r="Y44" i="48"/>
  <c r="Y43" i="45" s="1"/>
  <c r="V45" i="48"/>
  <c r="W45" i="48"/>
  <c r="X45" i="48"/>
  <c r="Y45" i="48"/>
  <c r="Y44" i="45" s="1"/>
  <c r="V46" i="48"/>
  <c r="W46" i="48"/>
  <c r="X46" i="48"/>
  <c r="Y46" i="48"/>
  <c r="Y45" i="45" s="1"/>
  <c r="V47" i="48"/>
  <c r="W47" i="48"/>
  <c r="X47" i="48"/>
  <c r="Y47" i="48"/>
  <c r="Y46" i="45" s="1"/>
  <c r="V48" i="48"/>
  <c r="W48" i="48"/>
  <c r="X48" i="48"/>
  <c r="Y48" i="48"/>
  <c r="Y47" i="45" s="1"/>
  <c r="W49" i="48"/>
  <c r="X49" i="48"/>
  <c r="Y49" i="48"/>
  <c r="Y48" i="45" s="1"/>
  <c r="V50" i="48"/>
  <c r="W50" i="48"/>
  <c r="X50" i="48"/>
  <c r="Y50" i="48"/>
  <c r="Y49" i="45" s="1"/>
  <c r="V51" i="48"/>
  <c r="W51" i="48"/>
  <c r="X51" i="48"/>
  <c r="Y51" i="48"/>
  <c r="Y50" i="45" s="1"/>
  <c r="V52" i="48"/>
  <c r="W52" i="48"/>
  <c r="X52" i="48"/>
  <c r="Y52" i="48"/>
  <c r="Y51" i="45" s="1"/>
  <c r="V53" i="48"/>
  <c r="W53" i="48"/>
  <c r="X53" i="48"/>
  <c r="Y53" i="48"/>
  <c r="Y52" i="45" s="1"/>
  <c r="V54" i="48"/>
  <c r="W54" i="48"/>
  <c r="X54" i="48"/>
  <c r="Y54" i="48"/>
  <c r="Y53" i="45" s="1"/>
  <c r="V55" i="48"/>
  <c r="W55" i="48"/>
  <c r="X55" i="48"/>
  <c r="Y55" i="48"/>
  <c r="Y54" i="45" s="1"/>
  <c r="V56" i="48"/>
  <c r="W56" i="48"/>
  <c r="X56" i="48"/>
  <c r="Y56" i="48"/>
  <c r="Y55" i="45" s="1"/>
  <c r="V57" i="48"/>
  <c r="W57" i="48"/>
  <c r="X57" i="48"/>
  <c r="Y57" i="48"/>
  <c r="Y56" i="45" s="1"/>
  <c r="V58" i="48"/>
  <c r="W58" i="48"/>
  <c r="X58" i="48"/>
  <c r="Y58" i="48"/>
  <c r="Y57" i="45" s="1"/>
  <c r="V59" i="48"/>
  <c r="W59" i="48"/>
  <c r="X59" i="48"/>
  <c r="Y59" i="48"/>
  <c r="Y58" i="45" s="1"/>
  <c r="V60" i="48"/>
  <c r="W60" i="48"/>
  <c r="X60" i="48"/>
  <c r="Y60" i="48"/>
  <c r="Y59" i="45" s="1"/>
  <c r="W13" i="48"/>
  <c r="X13" i="48"/>
  <c r="Y13" i="48"/>
  <c r="Y12" i="45" s="1"/>
  <c r="V13" i="48"/>
  <c r="Y11" i="48"/>
  <c r="AG11" i="48" s="1"/>
  <c r="T236" i="51"/>
  <c r="X236" i="51" s="1"/>
  <c r="AF236" i="51" s="1"/>
  <c r="S236" i="51"/>
  <c r="W236" i="51" s="1"/>
  <c r="AE236" i="51" s="1"/>
  <c r="R236" i="51"/>
  <c r="V236" i="51" s="1"/>
  <c r="AD236" i="51" s="1"/>
  <c r="O236" i="51"/>
  <c r="N236" i="51"/>
  <c r="M236" i="51"/>
  <c r="T180" i="51"/>
  <c r="X180" i="51" s="1"/>
  <c r="AF180" i="51" s="1"/>
  <c r="S180" i="51"/>
  <c r="W180" i="51" s="1"/>
  <c r="AE180" i="51" s="1"/>
  <c r="R180" i="51"/>
  <c r="V180" i="51" s="1"/>
  <c r="AD180" i="51" s="1"/>
  <c r="O180" i="51"/>
  <c r="N180" i="51"/>
  <c r="M180" i="51"/>
  <c r="AF13" i="48" l="1"/>
  <c r="AF12" i="45" s="1"/>
  <c r="X12" i="45"/>
  <c r="AE60" i="48"/>
  <c r="AE59" i="45" s="1"/>
  <c r="W59" i="45"/>
  <c r="AE59" i="48"/>
  <c r="AE58" i="45" s="1"/>
  <c r="W58" i="45"/>
  <c r="AE58" i="48"/>
  <c r="AE57" i="45" s="1"/>
  <c r="W57" i="45"/>
  <c r="AE57" i="48"/>
  <c r="AE56" i="45" s="1"/>
  <c r="W56" i="45"/>
  <c r="AE56" i="48"/>
  <c r="AE55" i="45" s="1"/>
  <c r="W55" i="45"/>
  <c r="AE55" i="48"/>
  <c r="AE54" i="45" s="1"/>
  <c r="W54" i="45"/>
  <c r="AE54" i="48"/>
  <c r="AE53" i="45" s="1"/>
  <c r="W53" i="45"/>
  <c r="AE53" i="48"/>
  <c r="AE52" i="45" s="1"/>
  <c r="W52" i="45"/>
  <c r="AE52" i="48"/>
  <c r="AE51" i="45" s="1"/>
  <c r="W51" i="45"/>
  <c r="AE51" i="48"/>
  <c r="AE50" i="45" s="1"/>
  <c r="W50" i="45"/>
  <c r="AE50" i="48"/>
  <c r="AE49" i="45" s="1"/>
  <c r="W49" i="45"/>
  <c r="AE49" i="48"/>
  <c r="AE48" i="45" s="1"/>
  <c r="W48" i="45"/>
  <c r="AF48" i="48"/>
  <c r="AF47" i="45" s="1"/>
  <c r="X47" i="45"/>
  <c r="AD48" i="48"/>
  <c r="AD47" i="45" s="1"/>
  <c r="V47" i="45"/>
  <c r="AF47" i="48"/>
  <c r="AF46" i="45" s="1"/>
  <c r="X46" i="45"/>
  <c r="AD47" i="48"/>
  <c r="AD46" i="45" s="1"/>
  <c r="V46" i="45"/>
  <c r="AF46" i="48"/>
  <c r="AF45" i="45" s="1"/>
  <c r="X45" i="45"/>
  <c r="AD46" i="48"/>
  <c r="AD45" i="45" s="1"/>
  <c r="V45" i="45"/>
  <c r="AF45" i="48"/>
  <c r="AF44" i="45" s="1"/>
  <c r="X44" i="45"/>
  <c r="AD45" i="48"/>
  <c r="AD44" i="45" s="1"/>
  <c r="V44" i="45"/>
  <c r="AF44" i="48"/>
  <c r="AF43" i="45" s="1"/>
  <c r="X43" i="45"/>
  <c r="AE42" i="48"/>
  <c r="AE41" i="45" s="1"/>
  <c r="W41" i="45"/>
  <c r="AE41" i="48"/>
  <c r="AE40" i="45" s="1"/>
  <c r="W40" i="45"/>
  <c r="AE40" i="48"/>
  <c r="AE39" i="45" s="1"/>
  <c r="W39" i="45"/>
  <c r="AE39" i="48"/>
  <c r="AE38" i="45" s="1"/>
  <c r="W38" i="45"/>
  <c r="AE38" i="48"/>
  <c r="AE37" i="45" s="1"/>
  <c r="W37" i="45"/>
  <c r="AE37" i="48"/>
  <c r="AE36" i="45" s="1"/>
  <c r="W36" i="45"/>
  <c r="AE36" i="48"/>
  <c r="AE35" i="45" s="1"/>
  <c r="W35" i="45"/>
  <c r="AE35" i="48"/>
  <c r="AE34" i="45" s="1"/>
  <c r="W34" i="45"/>
  <c r="AE34" i="48"/>
  <c r="AE33" i="45" s="1"/>
  <c r="W33" i="45"/>
  <c r="AE33" i="48"/>
  <c r="AE32" i="45" s="1"/>
  <c r="W32" i="45"/>
  <c r="AE32" i="48"/>
  <c r="AE31" i="45" s="1"/>
  <c r="W31" i="45"/>
  <c r="AE31" i="48"/>
  <c r="AE30" i="45" s="1"/>
  <c r="W30" i="45"/>
  <c r="AE30" i="48"/>
  <c r="AE29" i="45" s="1"/>
  <c r="W29" i="45"/>
  <c r="AE29" i="48"/>
  <c r="AE28" i="45" s="1"/>
  <c r="W28" i="45"/>
  <c r="AE28" i="48"/>
  <c r="AE27" i="45" s="1"/>
  <c r="W27" i="45"/>
  <c r="AE27" i="48"/>
  <c r="AE26" i="45" s="1"/>
  <c r="W26" i="45"/>
  <c r="AE26" i="48"/>
  <c r="AE25" i="45" s="1"/>
  <c r="W25" i="45"/>
  <c r="AD25" i="48"/>
  <c r="AD24" i="45" s="1"/>
  <c r="V24" i="45"/>
  <c r="AF24" i="48"/>
  <c r="AF23" i="45" s="1"/>
  <c r="X23" i="45"/>
  <c r="AD24" i="48"/>
  <c r="AD23" i="45" s="1"/>
  <c r="V23" i="45"/>
  <c r="AF23" i="48"/>
  <c r="AF22" i="45" s="1"/>
  <c r="X22" i="45"/>
  <c r="AD23" i="48"/>
  <c r="AD22" i="45" s="1"/>
  <c r="V22" i="45"/>
  <c r="AF22" i="48"/>
  <c r="AF21" i="45" s="1"/>
  <c r="X21" i="45"/>
  <c r="AD22" i="48"/>
  <c r="AD21" i="45" s="1"/>
  <c r="V21" i="45"/>
  <c r="AF21" i="48"/>
  <c r="AF20" i="45" s="1"/>
  <c r="X20" i="45"/>
  <c r="AD21" i="48"/>
  <c r="AD20" i="45" s="1"/>
  <c r="V20" i="45"/>
  <c r="AE20" i="48"/>
  <c r="AE19" i="45" s="1"/>
  <c r="W19" i="45"/>
  <c r="AF18" i="48"/>
  <c r="AF17" i="45" s="1"/>
  <c r="X17" i="45"/>
  <c r="AD18" i="48"/>
  <c r="AD17" i="45" s="1"/>
  <c r="V17" i="45"/>
  <c r="AF17" i="48"/>
  <c r="AF16" i="45" s="1"/>
  <c r="X16" i="45"/>
  <c r="AD17" i="48"/>
  <c r="AD16" i="45" s="1"/>
  <c r="V16" i="45"/>
  <c r="AF16" i="48"/>
  <c r="AF15" i="45" s="1"/>
  <c r="X15" i="45"/>
  <c r="AD16" i="48"/>
  <c r="AD15" i="45" s="1"/>
  <c r="V15" i="45"/>
  <c r="AF15" i="48"/>
  <c r="AF14" i="45" s="1"/>
  <c r="X14" i="45"/>
  <c r="AD15" i="48"/>
  <c r="AD14" i="45" s="1"/>
  <c r="V14" i="45"/>
  <c r="AF14" i="48"/>
  <c r="AF13" i="45" s="1"/>
  <c r="X13" i="45"/>
  <c r="AD14" i="48"/>
  <c r="AD13" i="45" s="1"/>
  <c r="V13" i="45"/>
  <c r="AE71" i="48"/>
  <c r="AE70" i="45" s="1"/>
  <c r="W70" i="45"/>
  <c r="AE72" i="48"/>
  <c r="AE71" i="45" s="1"/>
  <c r="W71" i="45"/>
  <c r="AE73" i="48"/>
  <c r="AE72" i="45" s="1"/>
  <c r="W72" i="45"/>
  <c r="AE74" i="48"/>
  <c r="AE73" i="45" s="1"/>
  <c r="W73" i="45"/>
  <c r="AE75" i="48"/>
  <c r="AE74" i="45" s="1"/>
  <c r="W74" i="45"/>
  <c r="AE76" i="48"/>
  <c r="AE75" i="45" s="1"/>
  <c r="W75" i="45"/>
  <c r="AE77" i="48"/>
  <c r="AE76" i="45" s="1"/>
  <c r="W76" i="45"/>
  <c r="AE78" i="48"/>
  <c r="AE77" i="45" s="1"/>
  <c r="W77" i="45"/>
  <c r="AE79" i="48"/>
  <c r="AE78" i="45" s="1"/>
  <c r="W78" i="45"/>
  <c r="AE80" i="48"/>
  <c r="AE79" i="45" s="1"/>
  <c r="W79" i="45"/>
  <c r="AE81" i="48"/>
  <c r="AE80" i="45" s="1"/>
  <c r="W80" i="45"/>
  <c r="AE82" i="48"/>
  <c r="AE81" i="45" s="1"/>
  <c r="W81" i="45"/>
  <c r="AE84" i="48"/>
  <c r="AE83" i="45" s="1"/>
  <c r="W83" i="45"/>
  <c r="AE85" i="48"/>
  <c r="AE84" i="45" s="1"/>
  <c r="W84" i="45"/>
  <c r="AE86" i="48"/>
  <c r="AE85" i="45" s="1"/>
  <c r="W85" i="45"/>
  <c r="AE87" i="48"/>
  <c r="AE86" i="45" s="1"/>
  <c r="W86" i="45"/>
  <c r="AE88" i="48"/>
  <c r="AE87" i="45" s="1"/>
  <c r="W87" i="45"/>
  <c r="AE89" i="48"/>
  <c r="AE88" i="45" s="1"/>
  <c r="W88" i="45"/>
  <c r="AE90" i="48"/>
  <c r="AE89" i="45" s="1"/>
  <c r="W89" i="45"/>
  <c r="AE91" i="48"/>
  <c r="AE90" i="45" s="1"/>
  <c r="W90" i="45"/>
  <c r="AE92" i="48"/>
  <c r="AE91" i="45" s="1"/>
  <c r="W91" i="45"/>
  <c r="AE93" i="48"/>
  <c r="AE92" i="45" s="1"/>
  <c r="W92" i="45"/>
  <c r="AE94" i="48"/>
  <c r="AE93" i="45" s="1"/>
  <c r="W93" i="45"/>
  <c r="AE95" i="48"/>
  <c r="AE94" i="45" s="1"/>
  <c r="W94" i="45"/>
  <c r="AE96" i="48"/>
  <c r="AE95" i="45" s="1"/>
  <c r="W95" i="45"/>
  <c r="AE97" i="48"/>
  <c r="AE96" i="45" s="1"/>
  <c r="W96" i="45"/>
  <c r="AE98" i="48"/>
  <c r="AE97" i="45" s="1"/>
  <c r="W97" i="45"/>
  <c r="AE99" i="48"/>
  <c r="AE98" i="45" s="1"/>
  <c r="W98" i="45"/>
  <c r="AE100" i="48"/>
  <c r="AE99" i="45" s="1"/>
  <c r="W99" i="45"/>
  <c r="AE101" i="48"/>
  <c r="AE100" i="45" s="1"/>
  <c r="W100" i="45"/>
  <c r="AF102" i="48"/>
  <c r="AF101" i="45" s="1"/>
  <c r="X101" i="45"/>
  <c r="AD103" i="48"/>
  <c r="AD102" i="45" s="1"/>
  <c r="V102" i="45"/>
  <c r="AF103" i="48"/>
  <c r="AF102" i="45" s="1"/>
  <c r="X102" i="45"/>
  <c r="AD104" i="48"/>
  <c r="AD103" i="45" s="1"/>
  <c r="V103" i="45"/>
  <c r="AF104" i="48"/>
  <c r="AF103" i="45" s="1"/>
  <c r="X103" i="45"/>
  <c r="AD105" i="48"/>
  <c r="AD104" i="45" s="1"/>
  <c r="V104" i="45"/>
  <c r="AF105" i="48"/>
  <c r="AF104" i="45" s="1"/>
  <c r="X104" i="45"/>
  <c r="AD106" i="48"/>
  <c r="AD105" i="45" s="1"/>
  <c r="V105" i="45"/>
  <c r="AF106" i="48"/>
  <c r="AF105" i="45" s="1"/>
  <c r="X105" i="45"/>
  <c r="AF108" i="48"/>
  <c r="AF107" i="45" s="1"/>
  <c r="X107" i="45"/>
  <c r="AD109" i="48"/>
  <c r="AD108" i="45" s="1"/>
  <c r="V108" i="45"/>
  <c r="AF109" i="48"/>
  <c r="AF108" i="45" s="1"/>
  <c r="X108" i="45"/>
  <c r="AD110" i="48"/>
  <c r="AD109" i="45" s="1"/>
  <c r="V109" i="45"/>
  <c r="AF110" i="48"/>
  <c r="AF109" i="45" s="1"/>
  <c r="X109" i="45"/>
  <c r="AD111" i="48"/>
  <c r="AD110" i="45" s="1"/>
  <c r="V110" i="45"/>
  <c r="AF111" i="48"/>
  <c r="AF110" i="45" s="1"/>
  <c r="X110" i="45"/>
  <c r="AD112" i="48"/>
  <c r="AD111" i="45" s="1"/>
  <c r="V111" i="45"/>
  <c r="AF112" i="48"/>
  <c r="AF111" i="45" s="1"/>
  <c r="X111" i="45"/>
  <c r="AD113" i="48"/>
  <c r="AD112" i="45" s="1"/>
  <c r="V112" i="45"/>
  <c r="AF113" i="48"/>
  <c r="AF112" i="45" s="1"/>
  <c r="X112" i="45"/>
  <c r="AD114" i="48"/>
  <c r="AD113" i="45" s="1"/>
  <c r="V113" i="45"/>
  <c r="AF114" i="48"/>
  <c r="AF113" i="45" s="1"/>
  <c r="X113" i="45"/>
  <c r="AD115" i="48"/>
  <c r="AD114" i="45" s="1"/>
  <c r="V114" i="45"/>
  <c r="AF115" i="48"/>
  <c r="AF114" i="45" s="1"/>
  <c r="X114" i="45"/>
  <c r="AD116" i="48"/>
  <c r="AD115" i="45" s="1"/>
  <c r="V115" i="45"/>
  <c r="AF116" i="48"/>
  <c r="AF115" i="45" s="1"/>
  <c r="X115" i="45"/>
  <c r="AD117" i="48"/>
  <c r="AD116" i="45" s="1"/>
  <c r="V116" i="45"/>
  <c r="AF117" i="48"/>
  <c r="AF116" i="45" s="1"/>
  <c r="X116" i="45"/>
  <c r="AD118" i="48"/>
  <c r="AD117" i="45" s="1"/>
  <c r="V117" i="45"/>
  <c r="AF118" i="48"/>
  <c r="AF117" i="45" s="1"/>
  <c r="X117" i="45"/>
  <c r="AD13" i="48"/>
  <c r="AD12" i="45" s="1"/>
  <c r="V12" i="45"/>
  <c r="AE13" i="48"/>
  <c r="AE12" i="45" s="1"/>
  <c r="W12" i="45"/>
  <c r="AF60" i="48"/>
  <c r="AF59" i="45" s="1"/>
  <c r="X59" i="45"/>
  <c r="AD60" i="48"/>
  <c r="AD59" i="45" s="1"/>
  <c r="V59" i="45"/>
  <c r="AF59" i="48"/>
  <c r="AF58" i="45" s="1"/>
  <c r="X58" i="45"/>
  <c r="AD59" i="48"/>
  <c r="AD58" i="45" s="1"/>
  <c r="V58" i="45"/>
  <c r="AF58" i="48"/>
  <c r="AF57" i="45" s="1"/>
  <c r="X57" i="45"/>
  <c r="AD58" i="48"/>
  <c r="AD57" i="45" s="1"/>
  <c r="V57" i="45"/>
  <c r="AF57" i="48"/>
  <c r="AF56" i="45" s="1"/>
  <c r="X56" i="45"/>
  <c r="AD57" i="48"/>
  <c r="AD56" i="45" s="1"/>
  <c r="V56" i="45"/>
  <c r="AF56" i="48"/>
  <c r="AF55" i="45" s="1"/>
  <c r="X55" i="45"/>
  <c r="AD56" i="48"/>
  <c r="AD55" i="45" s="1"/>
  <c r="V55" i="45"/>
  <c r="AF55" i="48"/>
  <c r="AF54" i="45" s="1"/>
  <c r="X54" i="45"/>
  <c r="AD55" i="48"/>
  <c r="AD54" i="45" s="1"/>
  <c r="V54" i="45"/>
  <c r="AF54" i="48"/>
  <c r="AF53" i="45" s="1"/>
  <c r="X53" i="45"/>
  <c r="AD54" i="48"/>
  <c r="AD53" i="45" s="1"/>
  <c r="V53" i="45"/>
  <c r="AF53" i="48"/>
  <c r="AF52" i="45" s="1"/>
  <c r="X52" i="45"/>
  <c r="AD53" i="48"/>
  <c r="AD52" i="45" s="1"/>
  <c r="V52" i="45"/>
  <c r="AF52" i="48"/>
  <c r="AF51" i="45" s="1"/>
  <c r="X51" i="45"/>
  <c r="AD52" i="48"/>
  <c r="AD51" i="45" s="1"/>
  <c r="V51" i="45"/>
  <c r="AF51" i="48"/>
  <c r="AF50" i="45" s="1"/>
  <c r="X50" i="45"/>
  <c r="AD51" i="48"/>
  <c r="AD50" i="45" s="1"/>
  <c r="V50" i="45"/>
  <c r="AF50" i="48"/>
  <c r="AF49" i="45" s="1"/>
  <c r="X49" i="45"/>
  <c r="AD50" i="48"/>
  <c r="AD49" i="45" s="1"/>
  <c r="V49" i="45"/>
  <c r="AF49" i="48"/>
  <c r="AF48" i="45" s="1"/>
  <c r="X48" i="45"/>
  <c r="AE48" i="48"/>
  <c r="AE47" i="45" s="1"/>
  <c r="W47" i="45"/>
  <c r="AE47" i="48"/>
  <c r="AE46" i="45" s="1"/>
  <c r="W46" i="45"/>
  <c r="AE46" i="48"/>
  <c r="AE45" i="45" s="1"/>
  <c r="W45" i="45"/>
  <c r="AE45" i="48"/>
  <c r="AE44" i="45" s="1"/>
  <c r="W44" i="45"/>
  <c r="AF42" i="48"/>
  <c r="AF41" i="45" s="1"/>
  <c r="X41" i="45"/>
  <c r="AD42" i="48"/>
  <c r="AD41" i="45" s="1"/>
  <c r="V41" i="45"/>
  <c r="AF41" i="48"/>
  <c r="AF40" i="45" s="1"/>
  <c r="X40" i="45"/>
  <c r="AD41" i="48"/>
  <c r="AD40" i="45" s="1"/>
  <c r="V40" i="45"/>
  <c r="AF40" i="48"/>
  <c r="AF39" i="45" s="1"/>
  <c r="X39" i="45"/>
  <c r="AD40" i="48"/>
  <c r="AD39" i="45" s="1"/>
  <c r="V39" i="45"/>
  <c r="AF39" i="48"/>
  <c r="AF38" i="45" s="1"/>
  <c r="X38" i="45"/>
  <c r="AD39" i="48"/>
  <c r="AD38" i="45" s="1"/>
  <c r="V38" i="45"/>
  <c r="AF38" i="48"/>
  <c r="AF37" i="45" s="1"/>
  <c r="X37" i="45"/>
  <c r="AD38" i="48"/>
  <c r="AD37" i="45" s="1"/>
  <c r="V37" i="45"/>
  <c r="AF37" i="48"/>
  <c r="AF36" i="45" s="1"/>
  <c r="X36" i="45"/>
  <c r="AD37" i="48"/>
  <c r="AD36" i="45" s="1"/>
  <c r="V36" i="45"/>
  <c r="AF36" i="48"/>
  <c r="AF35" i="45" s="1"/>
  <c r="X35" i="45"/>
  <c r="AD36" i="48"/>
  <c r="AD35" i="45" s="1"/>
  <c r="V35" i="45"/>
  <c r="AF35" i="48"/>
  <c r="AF34" i="45" s="1"/>
  <c r="X34" i="45"/>
  <c r="AD35" i="48"/>
  <c r="AD34" i="45" s="1"/>
  <c r="V34" i="45"/>
  <c r="AF34" i="48"/>
  <c r="AF33" i="45" s="1"/>
  <c r="X33" i="45"/>
  <c r="AD34" i="48"/>
  <c r="AD33" i="45" s="1"/>
  <c r="V33" i="45"/>
  <c r="AF33" i="48"/>
  <c r="AF32" i="45" s="1"/>
  <c r="X32" i="45"/>
  <c r="AD33" i="48"/>
  <c r="AD32" i="45" s="1"/>
  <c r="V32" i="45"/>
  <c r="AF32" i="48"/>
  <c r="AF31" i="45" s="1"/>
  <c r="X31" i="45"/>
  <c r="AD32" i="48"/>
  <c r="AD31" i="45" s="1"/>
  <c r="V31" i="45"/>
  <c r="AF31" i="48"/>
  <c r="AF30" i="45" s="1"/>
  <c r="X30" i="45"/>
  <c r="AD31" i="48"/>
  <c r="AD30" i="45" s="1"/>
  <c r="V30" i="45"/>
  <c r="AF30" i="48"/>
  <c r="AF29" i="45" s="1"/>
  <c r="X29" i="45"/>
  <c r="AD30" i="48"/>
  <c r="AD29" i="45" s="1"/>
  <c r="V29" i="45"/>
  <c r="AF29" i="48"/>
  <c r="AF28" i="45" s="1"/>
  <c r="X28" i="45"/>
  <c r="AD29" i="48"/>
  <c r="AD28" i="45" s="1"/>
  <c r="V28" i="45"/>
  <c r="AF28" i="48"/>
  <c r="AF27" i="45" s="1"/>
  <c r="X27" i="45"/>
  <c r="AD28" i="48"/>
  <c r="AD27" i="45" s="1"/>
  <c r="V27" i="45"/>
  <c r="AF27" i="48"/>
  <c r="AF26" i="45" s="1"/>
  <c r="X26" i="45"/>
  <c r="AD27" i="48"/>
  <c r="AD26" i="45" s="1"/>
  <c r="V26" i="45"/>
  <c r="AF26" i="48"/>
  <c r="AF25" i="45" s="1"/>
  <c r="X25" i="45"/>
  <c r="AD26" i="48"/>
  <c r="AD25" i="45" s="1"/>
  <c r="V25" i="45"/>
  <c r="AE25" i="48"/>
  <c r="AE24" i="45" s="1"/>
  <c r="W24" i="45"/>
  <c r="AE24" i="48"/>
  <c r="AE23" i="45" s="1"/>
  <c r="W23" i="45"/>
  <c r="AE23" i="48"/>
  <c r="AE22" i="45" s="1"/>
  <c r="W22" i="45"/>
  <c r="AE22" i="48"/>
  <c r="AE21" i="45" s="1"/>
  <c r="W21" i="45"/>
  <c r="AE21" i="48"/>
  <c r="AE20" i="45" s="1"/>
  <c r="W20" i="45"/>
  <c r="AD20" i="48"/>
  <c r="AD19" i="45" s="1"/>
  <c r="V19" i="45"/>
  <c r="AE18" i="48"/>
  <c r="AE17" i="45" s="1"/>
  <c r="W17" i="45"/>
  <c r="AE17" i="48"/>
  <c r="AE16" i="45" s="1"/>
  <c r="W16" i="45"/>
  <c r="AE16" i="48"/>
  <c r="AE15" i="45" s="1"/>
  <c r="W15" i="45"/>
  <c r="AE15" i="48"/>
  <c r="AE14" i="45" s="1"/>
  <c r="W14" i="45"/>
  <c r="AE14" i="48"/>
  <c r="AE13" i="45" s="1"/>
  <c r="W13" i="45"/>
  <c r="AD71" i="48"/>
  <c r="AD70" i="45" s="1"/>
  <c r="V70" i="45"/>
  <c r="AF71" i="48"/>
  <c r="AF70" i="45" s="1"/>
  <c r="X70" i="45"/>
  <c r="AD72" i="48"/>
  <c r="AD71" i="45" s="1"/>
  <c r="V71" i="45"/>
  <c r="AF72" i="48"/>
  <c r="AF71" i="45" s="1"/>
  <c r="X71" i="45"/>
  <c r="AD73" i="48"/>
  <c r="AD72" i="45" s="1"/>
  <c r="V72" i="45"/>
  <c r="AF73" i="48"/>
  <c r="AF72" i="45" s="1"/>
  <c r="X72" i="45"/>
  <c r="AD74" i="48"/>
  <c r="AD73" i="45" s="1"/>
  <c r="V73" i="45"/>
  <c r="AF74" i="48"/>
  <c r="AF73" i="45" s="1"/>
  <c r="X73" i="45"/>
  <c r="AD75" i="48"/>
  <c r="AD74" i="45" s="1"/>
  <c r="V74" i="45"/>
  <c r="AF75" i="48"/>
  <c r="AF74" i="45" s="1"/>
  <c r="X74" i="45"/>
  <c r="AD76" i="48"/>
  <c r="AD75" i="45" s="1"/>
  <c r="V75" i="45"/>
  <c r="AF76" i="48"/>
  <c r="AF75" i="45" s="1"/>
  <c r="X75" i="45"/>
  <c r="AD77" i="48"/>
  <c r="V76" i="45"/>
  <c r="AF77" i="48"/>
  <c r="AF76" i="45" s="1"/>
  <c r="X76" i="45"/>
  <c r="AD78" i="48"/>
  <c r="V77" i="45"/>
  <c r="AF78" i="48"/>
  <c r="AF77" i="45" s="1"/>
  <c r="X77" i="45"/>
  <c r="AD79" i="48"/>
  <c r="AD78" i="45" s="1"/>
  <c r="V78" i="45"/>
  <c r="AF79" i="48"/>
  <c r="AF78" i="45" s="1"/>
  <c r="X78" i="45"/>
  <c r="AD80" i="48"/>
  <c r="AD79" i="45" s="1"/>
  <c r="V79" i="45"/>
  <c r="AF80" i="48"/>
  <c r="AF79" i="45" s="1"/>
  <c r="X79" i="45"/>
  <c r="AD81" i="48"/>
  <c r="AD80" i="45" s="1"/>
  <c r="V80" i="45"/>
  <c r="AF81" i="48"/>
  <c r="AF80" i="45" s="1"/>
  <c r="X80" i="45"/>
  <c r="AD82" i="48"/>
  <c r="AD81" i="45" s="1"/>
  <c r="V81" i="45"/>
  <c r="AF82" i="48"/>
  <c r="AF81" i="45" s="1"/>
  <c r="X81" i="45"/>
  <c r="AE83" i="48"/>
  <c r="AE82" i="45" s="1"/>
  <c r="W82" i="45"/>
  <c r="AD84" i="48"/>
  <c r="AD83" i="45" s="1"/>
  <c r="V83" i="45"/>
  <c r="AF84" i="48"/>
  <c r="AF83" i="45" s="1"/>
  <c r="X83" i="45"/>
  <c r="AD85" i="48"/>
  <c r="AD84" i="45" s="1"/>
  <c r="V84" i="45"/>
  <c r="AF85" i="48"/>
  <c r="AF84" i="45" s="1"/>
  <c r="X84" i="45"/>
  <c r="AD86" i="48"/>
  <c r="AD85" i="45" s="1"/>
  <c r="V85" i="45"/>
  <c r="AF86" i="48"/>
  <c r="AF85" i="45" s="1"/>
  <c r="X85" i="45"/>
  <c r="AD87" i="48"/>
  <c r="AD86" i="45" s="1"/>
  <c r="V86" i="45"/>
  <c r="AF87" i="48"/>
  <c r="AF86" i="45" s="1"/>
  <c r="X86" i="45"/>
  <c r="AD88" i="48"/>
  <c r="AD87" i="45" s="1"/>
  <c r="V87" i="45"/>
  <c r="AF88" i="48"/>
  <c r="AF87" i="45" s="1"/>
  <c r="X87" i="45"/>
  <c r="AD89" i="48"/>
  <c r="AD88" i="45" s="1"/>
  <c r="V88" i="45"/>
  <c r="AF89" i="48"/>
  <c r="AF88" i="45" s="1"/>
  <c r="X88" i="45"/>
  <c r="AD90" i="48"/>
  <c r="AD89" i="45" s="1"/>
  <c r="V89" i="45"/>
  <c r="AF90" i="48"/>
  <c r="AF89" i="45" s="1"/>
  <c r="X89" i="45"/>
  <c r="AD91" i="48"/>
  <c r="AD90" i="45" s="1"/>
  <c r="V90" i="45"/>
  <c r="AF91" i="48"/>
  <c r="AF90" i="45" s="1"/>
  <c r="X90" i="45"/>
  <c r="AD92" i="48"/>
  <c r="AD91" i="45" s="1"/>
  <c r="V91" i="45"/>
  <c r="AF92" i="48"/>
  <c r="AF91" i="45" s="1"/>
  <c r="X91" i="45"/>
  <c r="AD93" i="48"/>
  <c r="AD92" i="45" s="1"/>
  <c r="V92" i="45"/>
  <c r="AF93" i="48"/>
  <c r="AF92" i="45" s="1"/>
  <c r="X92" i="45"/>
  <c r="AD94" i="48"/>
  <c r="AD93" i="45" s="1"/>
  <c r="V93" i="45"/>
  <c r="AF94" i="48"/>
  <c r="AF93" i="45" s="1"/>
  <c r="X93" i="45"/>
  <c r="AD95" i="48"/>
  <c r="AD94" i="45" s="1"/>
  <c r="V94" i="45"/>
  <c r="AF95" i="48"/>
  <c r="AF94" i="45" s="1"/>
  <c r="X94" i="45"/>
  <c r="AD96" i="48"/>
  <c r="AD95" i="45" s="1"/>
  <c r="V95" i="45"/>
  <c r="AF96" i="48"/>
  <c r="AF95" i="45" s="1"/>
  <c r="X95" i="45"/>
  <c r="AD97" i="48"/>
  <c r="AD96" i="45" s="1"/>
  <c r="V96" i="45"/>
  <c r="AF97" i="48"/>
  <c r="AF96" i="45" s="1"/>
  <c r="X96" i="45"/>
  <c r="AD98" i="48"/>
  <c r="AD97" i="45" s="1"/>
  <c r="V97" i="45"/>
  <c r="AF98" i="48"/>
  <c r="AF97" i="45" s="1"/>
  <c r="X97" i="45"/>
  <c r="AD99" i="48"/>
  <c r="AD98" i="45" s="1"/>
  <c r="V98" i="45"/>
  <c r="AF99" i="48"/>
  <c r="AF98" i="45" s="1"/>
  <c r="X98" i="45"/>
  <c r="AD100" i="48"/>
  <c r="AD99" i="45" s="1"/>
  <c r="V99" i="45"/>
  <c r="AF100" i="48"/>
  <c r="AF99" i="45" s="1"/>
  <c r="X99" i="45"/>
  <c r="AD101" i="48"/>
  <c r="V100" i="45"/>
  <c r="AF101" i="48"/>
  <c r="AF100" i="45" s="1"/>
  <c r="X100" i="45"/>
  <c r="AD102" i="48"/>
  <c r="AD101" i="45" s="1"/>
  <c r="V101" i="45"/>
  <c r="AE103" i="48"/>
  <c r="AE102" i="45" s="1"/>
  <c r="W102" i="45"/>
  <c r="AE104" i="48"/>
  <c r="AE103" i="45" s="1"/>
  <c r="W103" i="45"/>
  <c r="AE105" i="48"/>
  <c r="AE104" i="45" s="1"/>
  <c r="W104" i="45"/>
  <c r="AE106" i="48"/>
  <c r="AE105" i="45" s="1"/>
  <c r="W105" i="45"/>
  <c r="AD108" i="48"/>
  <c r="AD107" i="45" s="1"/>
  <c r="V107" i="45"/>
  <c r="AE109" i="48"/>
  <c r="AE108" i="45" s="1"/>
  <c r="W108" i="45"/>
  <c r="AE110" i="48"/>
  <c r="AE109" i="45" s="1"/>
  <c r="W109" i="45"/>
  <c r="AE111" i="48"/>
  <c r="AE110" i="45" s="1"/>
  <c r="W110" i="45"/>
  <c r="AE112" i="48"/>
  <c r="AE111" i="45" s="1"/>
  <c r="W111" i="45"/>
  <c r="AE113" i="48"/>
  <c r="AE112" i="45" s="1"/>
  <c r="W112" i="45"/>
  <c r="AE114" i="48"/>
  <c r="AE113" i="45" s="1"/>
  <c r="W113" i="45"/>
  <c r="AE115" i="48"/>
  <c r="AE114" i="45" s="1"/>
  <c r="W114" i="45"/>
  <c r="AE116" i="48"/>
  <c r="AE115" i="45" s="1"/>
  <c r="W115" i="45"/>
  <c r="AE117" i="48"/>
  <c r="AE116" i="45" s="1"/>
  <c r="W116" i="45"/>
  <c r="AE118" i="48"/>
  <c r="AE117" i="45" s="1"/>
  <c r="W117" i="45"/>
  <c r="AG255" i="48"/>
  <c r="AH255" i="48" s="1"/>
  <c r="AG71" i="48" l="1"/>
  <c r="AG70" i="45" s="1"/>
  <c r="AJ101" i="48"/>
  <c r="AJ100" i="45" s="1"/>
  <c r="AM100" i="45" s="1"/>
  <c r="AD100" i="45"/>
  <c r="AJ78" i="48"/>
  <c r="AJ77" i="45" s="1"/>
  <c r="AM77" i="45" s="1"/>
  <c r="AD77" i="45"/>
  <c r="AJ77" i="48"/>
  <c r="AJ76" i="45" s="1"/>
  <c r="AM76" i="45" s="1"/>
  <c r="AD76" i="45"/>
  <c r="AG13" i="48"/>
  <c r="AJ255" i="48"/>
  <c r="AO255" i="48"/>
  <c r="AO337" i="48" s="1"/>
  <c r="C35" i="52" s="1"/>
  <c r="E35" i="52" s="1"/>
  <c r="J19" i="51" l="1"/>
  <c r="T632" i="51" l="1"/>
  <c r="X632" i="51" s="1"/>
  <c r="AF632" i="51" s="1"/>
  <c r="O632" i="51"/>
  <c r="S632" i="51"/>
  <c r="W632" i="51" s="1"/>
  <c r="AE632" i="51" s="1"/>
  <c r="N632" i="51"/>
  <c r="F73" i="19"/>
  <c r="J683" i="51"/>
  <c r="T683" i="51" s="1"/>
  <c r="X683" i="51" s="1"/>
  <c r="AF683" i="51" s="1"/>
  <c r="I683" i="51"/>
  <c r="S683" i="51" s="1"/>
  <c r="W683" i="51" s="1"/>
  <c r="AE683" i="51" s="1"/>
  <c r="H683" i="51"/>
  <c r="R683" i="51" s="1"/>
  <c r="V683" i="51" s="1"/>
  <c r="AD683" i="51" s="1"/>
  <c r="J665" i="51"/>
  <c r="T665" i="51" s="1"/>
  <c r="X665" i="51" s="1"/>
  <c r="AF665" i="51" s="1"/>
  <c r="I665" i="51"/>
  <c r="S665" i="51" s="1"/>
  <c r="W665" i="51" s="1"/>
  <c r="AE665" i="51" s="1"/>
  <c r="H665" i="51"/>
  <c r="R665" i="51" s="1"/>
  <c r="V665" i="51" s="1"/>
  <c r="AD665" i="51" s="1"/>
  <c r="J600" i="51"/>
  <c r="T600" i="51" s="1"/>
  <c r="X600" i="51" s="1"/>
  <c r="AF600" i="51" s="1"/>
  <c r="I600" i="51"/>
  <c r="S600" i="51" s="1"/>
  <c r="W600" i="51" s="1"/>
  <c r="AE600" i="51" s="1"/>
  <c r="H600" i="51"/>
  <c r="R600" i="51" s="1"/>
  <c r="V600" i="51" s="1"/>
  <c r="AD600" i="51" s="1"/>
  <c r="J564" i="51"/>
  <c r="T564" i="51" s="1"/>
  <c r="X564" i="51" s="1"/>
  <c r="AF564" i="51" s="1"/>
  <c r="I564" i="51"/>
  <c r="S564" i="51" s="1"/>
  <c r="W564" i="51" s="1"/>
  <c r="AE564" i="51" s="1"/>
  <c r="H564" i="51"/>
  <c r="R564" i="51" s="1"/>
  <c r="V564" i="51" s="1"/>
  <c r="AD564" i="51" s="1"/>
  <c r="J347" i="51"/>
  <c r="J455" i="51" s="1"/>
  <c r="I347" i="51"/>
  <c r="I455" i="51" s="1"/>
  <c r="H347" i="51"/>
  <c r="H455" i="51" s="1"/>
  <c r="U69" i="51"/>
  <c r="U347" i="51" s="1"/>
  <c r="U455" i="51" s="1"/>
  <c r="U564" i="51" s="1"/>
  <c r="U600" i="51" s="1"/>
  <c r="U665" i="51" s="1"/>
  <c r="U683" i="51" s="1"/>
  <c r="P69" i="51"/>
  <c r="P347" i="51" s="1"/>
  <c r="P455" i="51" s="1"/>
  <c r="P564" i="51" s="1"/>
  <c r="P600" i="51" s="1"/>
  <c r="P665" i="51" s="1"/>
  <c r="P683" i="51" s="1"/>
  <c r="K69" i="51"/>
  <c r="J69" i="51"/>
  <c r="I69" i="51"/>
  <c r="H69" i="51"/>
  <c r="T11" i="51"/>
  <c r="X11" i="51" s="1"/>
  <c r="AF11" i="51" s="1"/>
  <c r="S11" i="51"/>
  <c r="W11" i="51" s="1"/>
  <c r="AE11" i="51" s="1"/>
  <c r="R11" i="51"/>
  <c r="V11" i="51" s="1"/>
  <c r="AD11" i="51" s="1"/>
  <c r="O11" i="51"/>
  <c r="N11" i="51"/>
  <c r="M11" i="51"/>
  <c r="R69" i="51" l="1"/>
  <c r="V69" i="51" s="1"/>
  <c r="AD69" i="51" s="1"/>
  <c r="H126" i="51"/>
  <c r="T69" i="51"/>
  <c r="X69" i="51" s="1"/>
  <c r="AF69" i="51" s="1"/>
  <c r="J126" i="51"/>
  <c r="S69" i="51"/>
  <c r="W69" i="51" s="1"/>
  <c r="AE69" i="51" s="1"/>
  <c r="I126" i="51"/>
  <c r="K347" i="51"/>
  <c r="K455" i="51" s="1"/>
  <c r="K564" i="51" s="1"/>
  <c r="K600" i="51" s="1"/>
  <c r="K665" i="51" s="1"/>
  <c r="K683" i="51" s="1"/>
  <c r="K126" i="51"/>
  <c r="P126" i="51" s="1"/>
  <c r="U126" i="51" s="1"/>
  <c r="M69" i="51"/>
  <c r="O69" i="51"/>
  <c r="S455" i="51"/>
  <c r="W455" i="51" s="1"/>
  <c r="AE455" i="51" s="1"/>
  <c r="N455" i="51"/>
  <c r="N347" i="51"/>
  <c r="S347" i="51"/>
  <c r="W347" i="51" s="1"/>
  <c r="AE347" i="51" s="1"/>
  <c r="N69" i="51"/>
  <c r="R455" i="51"/>
  <c r="V455" i="51" s="1"/>
  <c r="AD455" i="51" s="1"/>
  <c r="M455" i="51"/>
  <c r="T455" i="51"/>
  <c r="X455" i="51" s="1"/>
  <c r="AF455" i="51" s="1"/>
  <c r="O455" i="51"/>
  <c r="M347" i="51"/>
  <c r="O347" i="51"/>
  <c r="R347" i="51"/>
  <c r="V347" i="51" s="1"/>
  <c r="AD347" i="51" s="1"/>
  <c r="T347" i="51"/>
  <c r="X347" i="51" s="1"/>
  <c r="AF347" i="51" s="1"/>
  <c r="M564" i="51"/>
  <c r="O564" i="51"/>
  <c r="N600" i="51"/>
  <c r="M665" i="51"/>
  <c r="O665" i="51"/>
  <c r="N683" i="51"/>
  <c r="N564" i="51"/>
  <c r="M600" i="51"/>
  <c r="O600" i="51"/>
  <c r="N665" i="51"/>
  <c r="M683" i="51"/>
  <c r="O683" i="51"/>
  <c r="S126" i="51" l="1"/>
  <c r="W126" i="51" s="1"/>
  <c r="AE126" i="51" s="1"/>
  <c r="N126" i="51"/>
  <c r="T126" i="51"/>
  <c r="X126" i="51" s="1"/>
  <c r="AF126" i="51" s="1"/>
  <c r="O126" i="51"/>
  <c r="R126" i="51"/>
  <c r="V126" i="51" s="1"/>
  <c r="AD126" i="51" s="1"/>
  <c r="M126" i="51"/>
  <c r="BE22" i="35"/>
  <c r="Q64" i="40"/>
  <c r="G11" i="35"/>
  <c r="G10" i="50" l="1"/>
  <c r="G9" i="50"/>
  <c r="F75" i="26" l="1"/>
  <c r="H49" i="51" s="1"/>
  <c r="F71" i="26"/>
  <c r="H44" i="51" s="1"/>
  <c r="L49" i="51" l="1"/>
  <c r="H49" i="48"/>
  <c r="H48" i="45" s="1"/>
  <c r="H44" i="48"/>
  <c r="H43" i="45" s="1"/>
  <c r="G9" i="49" l="1"/>
  <c r="G8" i="49"/>
  <c r="L49" i="48" l="1"/>
  <c r="L48" i="45" s="1"/>
  <c r="W12" i="47" l="1"/>
  <c r="J427" i="48" l="1"/>
  <c r="T427" i="48" s="1"/>
  <c r="X427" i="48" s="1"/>
  <c r="AF427" i="48" s="1"/>
  <c r="I427" i="48"/>
  <c r="S427" i="48" s="1"/>
  <c r="W427" i="48" s="1"/>
  <c r="AE427" i="48" s="1"/>
  <c r="H427" i="48"/>
  <c r="R427" i="48" s="1"/>
  <c r="V427" i="48" s="1"/>
  <c r="AD427" i="48" s="1"/>
  <c r="J409" i="48"/>
  <c r="T409" i="48" s="1"/>
  <c r="X409" i="48" s="1"/>
  <c r="AF409" i="48" s="1"/>
  <c r="I409" i="48"/>
  <c r="S409" i="48" s="1"/>
  <c r="W409" i="48" s="1"/>
  <c r="AE409" i="48" s="1"/>
  <c r="H409" i="48"/>
  <c r="R409" i="48" s="1"/>
  <c r="V409" i="48" s="1"/>
  <c r="AD409" i="48" s="1"/>
  <c r="J378" i="48"/>
  <c r="T378" i="48" s="1"/>
  <c r="X378" i="48" s="1"/>
  <c r="AF378" i="48" s="1"/>
  <c r="I378" i="48"/>
  <c r="S378" i="48" s="1"/>
  <c r="W378" i="48" s="1"/>
  <c r="AE378" i="48" s="1"/>
  <c r="H378" i="48"/>
  <c r="R378" i="48" s="1"/>
  <c r="V378" i="48" s="1"/>
  <c r="AD378" i="48" s="1"/>
  <c r="J342" i="48"/>
  <c r="T342" i="48" s="1"/>
  <c r="X342" i="48" s="1"/>
  <c r="AF342" i="48" s="1"/>
  <c r="I342" i="48"/>
  <c r="S342" i="48" s="1"/>
  <c r="W342" i="48" s="1"/>
  <c r="AE342" i="48" s="1"/>
  <c r="H342" i="48"/>
  <c r="R342" i="48" s="1"/>
  <c r="V342" i="48" s="1"/>
  <c r="AD342" i="48" s="1"/>
  <c r="J125" i="48"/>
  <c r="J233" i="48" s="1"/>
  <c r="O233" i="48" s="1"/>
  <c r="I125" i="48"/>
  <c r="I233" i="48" s="1"/>
  <c r="N233" i="48" s="1"/>
  <c r="H125" i="48"/>
  <c r="H233" i="48" s="1"/>
  <c r="M233" i="48" s="1"/>
  <c r="U69" i="48"/>
  <c r="P69" i="48"/>
  <c r="P125" i="48" s="1"/>
  <c r="K69" i="48"/>
  <c r="K125" i="48" s="1"/>
  <c r="J69" i="48"/>
  <c r="T69" i="48" s="1"/>
  <c r="X69" i="48" s="1"/>
  <c r="AF69" i="48" s="1"/>
  <c r="I69" i="48"/>
  <c r="S69" i="48" s="1"/>
  <c r="W69" i="48" s="1"/>
  <c r="AE69" i="48" s="1"/>
  <c r="H69" i="48"/>
  <c r="R69" i="48" s="1"/>
  <c r="V69" i="48" s="1"/>
  <c r="AD69" i="48" s="1"/>
  <c r="T11" i="48"/>
  <c r="X11" i="48" s="1"/>
  <c r="AF11" i="48" s="1"/>
  <c r="S11" i="48"/>
  <c r="W11" i="48" s="1"/>
  <c r="AE11" i="48" s="1"/>
  <c r="R11" i="48"/>
  <c r="V11" i="48" s="1"/>
  <c r="AD11" i="48" s="1"/>
  <c r="O11" i="48"/>
  <c r="N11" i="48"/>
  <c r="M11" i="48"/>
  <c r="O25" i="46"/>
  <c r="N25" i="46"/>
  <c r="M25" i="46"/>
  <c r="L25" i="46"/>
  <c r="K25" i="46"/>
  <c r="J25" i="46"/>
  <c r="O19" i="46"/>
  <c r="N19" i="46"/>
  <c r="M19" i="46"/>
  <c r="L19" i="46"/>
  <c r="K19" i="46"/>
  <c r="J19" i="46"/>
  <c r="O16" i="46"/>
  <c r="N16" i="46"/>
  <c r="M16" i="46"/>
  <c r="L16" i="46"/>
  <c r="K16" i="46"/>
  <c r="J16" i="46"/>
  <c r="O11" i="46"/>
  <c r="D14" i="47" s="1"/>
  <c r="G14" i="47" s="1"/>
  <c r="N11" i="46"/>
  <c r="H14" i="47" s="1"/>
  <c r="K14" i="47" s="1"/>
  <c r="M11" i="46"/>
  <c r="L14" i="47" s="1"/>
  <c r="O14" i="47" s="1"/>
  <c r="L11" i="46"/>
  <c r="D13" i="47" s="1"/>
  <c r="G13" i="47" s="1"/>
  <c r="K11" i="46"/>
  <c r="H13" i="47" s="1"/>
  <c r="K13" i="47" s="1"/>
  <c r="J11" i="46"/>
  <c r="L13" i="47" s="1"/>
  <c r="O13" i="47" s="1"/>
  <c r="M8" i="46"/>
  <c r="K8" i="46"/>
  <c r="N8" i="46" s="1"/>
  <c r="G8" i="46"/>
  <c r="F8" i="46"/>
  <c r="I8" i="46" s="1"/>
  <c r="E8" i="46"/>
  <c r="H8" i="46" s="1"/>
  <c r="K233" i="48" l="1"/>
  <c r="K342" i="48" s="1"/>
  <c r="K378" i="48" s="1"/>
  <c r="K409" i="48" s="1"/>
  <c r="K427" i="48" s="1"/>
  <c r="U125" i="48"/>
  <c r="Y69" i="48"/>
  <c r="AG69" i="48" s="1"/>
  <c r="P233" i="48"/>
  <c r="P342" i="48" s="1"/>
  <c r="P378" i="48" s="1"/>
  <c r="P409" i="48" s="1"/>
  <c r="P427" i="48" s="1"/>
  <c r="N69" i="48"/>
  <c r="R233" i="48"/>
  <c r="V233" i="48" s="1"/>
  <c r="AD233" i="48" s="1"/>
  <c r="T233" i="48"/>
  <c r="X233" i="48" s="1"/>
  <c r="AF233" i="48" s="1"/>
  <c r="M125" i="48"/>
  <c r="O125" i="48"/>
  <c r="R125" i="48"/>
  <c r="V125" i="48" s="1"/>
  <c r="AD125" i="48" s="1"/>
  <c r="T125" i="48"/>
  <c r="X125" i="48" s="1"/>
  <c r="AF125" i="48" s="1"/>
  <c r="M69" i="48"/>
  <c r="O69" i="48"/>
  <c r="S233" i="48"/>
  <c r="W233" i="48" s="1"/>
  <c r="AE233" i="48" s="1"/>
  <c r="N125" i="48"/>
  <c r="S125" i="48"/>
  <c r="W125" i="48" s="1"/>
  <c r="AE125" i="48" s="1"/>
  <c r="M342" i="48"/>
  <c r="O342" i="48"/>
  <c r="N378" i="48"/>
  <c r="M409" i="48"/>
  <c r="O409" i="48"/>
  <c r="N427" i="48"/>
  <c r="N342" i="48"/>
  <c r="M378" i="48"/>
  <c r="O378" i="48"/>
  <c r="N409" i="48"/>
  <c r="M427" i="48"/>
  <c r="O427" i="48"/>
  <c r="L8" i="46"/>
  <c r="O8" i="46" s="1"/>
  <c r="U233" i="48" l="1"/>
  <c r="Y125" i="48"/>
  <c r="AG125" i="48" s="1"/>
  <c r="U342" i="48" l="1"/>
  <c r="Y233" i="48"/>
  <c r="AG233" i="48" s="1"/>
  <c r="U378" i="48" l="1"/>
  <c r="Y342" i="48"/>
  <c r="AG342" i="48" s="1"/>
  <c r="E25" i="34"/>
  <c r="AL42" i="37"/>
  <c r="AA42" i="37"/>
  <c r="P42" i="37"/>
  <c r="K42" i="37"/>
  <c r="U409" i="48" l="1"/>
  <c r="Y378" i="48"/>
  <c r="AG378" i="48" s="1"/>
  <c r="K228" i="40"/>
  <c r="K212" i="40"/>
  <c r="E209" i="40"/>
  <c r="D209" i="40"/>
  <c r="D207" i="40"/>
  <c r="F25" i="34" s="1"/>
  <c r="K206" i="40"/>
  <c r="K203" i="40"/>
  <c r="K202" i="40"/>
  <c r="K197" i="40"/>
  <c r="K194" i="40" s="1"/>
  <c r="K186" i="40" s="1"/>
  <c r="E185" i="40"/>
  <c r="D185" i="40"/>
  <c r="N182" i="40"/>
  <c r="H182" i="40"/>
  <c r="G182" i="40"/>
  <c r="N181" i="40"/>
  <c r="H181" i="40"/>
  <c r="G181" i="40"/>
  <c r="N180" i="40"/>
  <c r="H180" i="40"/>
  <c r="G180" i="40"/>
  <c r="N179" i="40"/>
  <c r="H179" i="40"/>
  <c r="G179" i="40"/>
  <c r="N178" i="40"/>
  <c r="H178" i="40"/>
  <c r="G178" i="40"/>
  <c r="N177" i="40"/>
  <c r="H177" i="40"/>
  <c r="G177" i="40"/>
  <c r="N176" i="40"/>
  <c r="H176" i="40"/>
  <c r="G176" i="40"/>
  <c r="N175" i="40"/>
  <c r="H175" i="40"/>
  <c r="G175" i="40"/>
  <c r="N174" i="40"/>
  <c r="H174" i="40"/>
  <c r="G174" i="40"/>
  <c r="N173" i="40"/>
  <c r="H173" i="40"/>
  <c r="G173" i="40"/>
  <c r="N172" i="40"/>
  <c r="H172" i="40"/>
  <c r="G172" i="40"/>
  <c r="N171" i="40"/>
  <c r="H171" i="40"/>
  <c r="G171" i="40"/>
  <c r="N170" i="40"/>
  <c r="H170" i="40"/>
  <c r="G170" i="40"/>
  <c r="N169" i="40"/>
  <c r="H169" i="40"/>
  <c r="G169" i="40"/>
  <c r="N168" i="40"/>
  <c r="H168" i="40"/>
  <c r="G168" i="40"/>
  <c r="N167" i="40"/>
  <c r="H167" i="40"/>
  <c r="G167" i="40"/>
  <c r="N166" i="40"/>
  <c r="H166" i="40"/>
  <c r="G166" i="40"/>
  <c r="N165" i="40"/>
  <c r="H165" i="40"/>
  <c r="G165" i="40"/>
  <c r="N164" i="40"/>
  <c r="H164" i="40"/>
  <c r="G164" i="40"/>
  <c r="N163" i="40"/>
  <c r="H163" i="40"/>
  <c r="G163" i="40"/>
  <c r="D162" i="40"/>
  <c r="N161" i="40"/>
  <c r="H161" i="40"/>
  <c r="G161" i="40"/>
  <c r="N160" i="40"/>
  <c r="H160" i="40"/>
  <c r="G160" i="40"/>
  <c r="N159" i="40"/>
  <c r="H159" i="40"/>
  <c r="G159" i="40"/>
  <c r="N158" i="40"/>
  <c r="H158" i="40"/>
  <c r="G158" i="40"/>
  <c r="N157" i="40"/>
  <c r="H157" i="40"/>
  <c r="G157" i="40"/>
  <c r="N156" i="40"/>
  <c r="H156" i="40"/>
  <c r="G156" i="40"/>
  <c r="N155" i="40"/>
  <c r="H155" i="40"/>
  <c r="G155" i="40"/>
  <c r="N154" i="40"/>
  <c r="H154" i="40"/>
  <c r="G154" i="40"/>
  <c r="N153" i="40"/>
  <c r="H153" i="40"/>
  <c r="G153" i="40"/>
  <c r="D152" i="40"/>
  <c r="N151" i="40"/>
  <c r="H151" i="40"/>
  <c r="G151" i="40"/>
  <c r="N150" i="40"/>
  <c r="H150" i="40"/>
  <c r="G150" i="40"/>
  <c r="N149" i="40"/>
  <c r="H149" i="40"/>
  <c r="G149" i="40"/>
  <c r="N148" i="40"/>
  <c r="H148" i="40"/>
  <c r="G148" i="40"/>
  <c r="N147" i="40"/>
  <c r="H147" i="40"/>
  <c r="G147" i="40"/>
  <c r="D146" i="40"/>
  <c r="N145" i="40"/>
  <c r="H145" i="40"/>
  <c r="G145" i="40"/>
  <c r="N144" i="40"/>
  <c r="H144" i="40"/>
  <c r="G144" i="40"/>
  <c r="N143" i="40"/>
  <c r="H143" i="40"/>
  <c r="G143" i="40"/>
  <c r="N142" i="40"/>
  <c r="H142" i="40"/>
  <c r="G142" i="40"/>
  <c r="N141" i="40"/>
  <c r="H141" i="40"/>
  <c r="G141" i="40"/>
  <c r="D140" i="40"/>
  <c r="N139" i="40"/>
  <c r="H139" i="40"/>
  <c r="G139" i="40"/>
  <c r="N138" i="40"/>
  <c r="H138" i="40"/>
  <c r="G138" i="40"/>
  <c r="D137" i="40"/>
  <c r="N136" i="40"/>
  <c r="H136" i="40"/>
  <c r="G136" i="40"/>
  <c r="N135" i="40"/>
  <c r="H135" i="40"/>
  <c r="G135" i="40"/>
  <c r="N134" i="40"/>
  <c r="H134" i="40"/>
  <c r="G134" i="40"/>
  <c r="N133" i="40"/>
  <c r="H133" i="40"/>
  <c r="G133" i="40"/>
  <c r="D132" i="40"/>
  <c r="N131" i="40"/>
  <c r="H131" i="40"/>
  <c r="G131" i="40"/>
  <c r="N130" i="40"/>
  <c r="H130" i="40"/>
  <c r="G130" i="40"/>
  <c r="N129" i="40"/>
  <c r="H129" i="40"/>
  <c r="G129" i="40"/>
  <c r="N128" i="40"/>
  <c r="H128" i="40"/>
  <c r="G128" i="40"/>
  <c r="N127" i="40"/>
  <c r="H127" i="40"/>
  <c r="G127" i="40"/>
  <c r="N126" i="40"/>
  <c r="H126" i="40"/>
  <c r="G126" i="40"/>
  <c r="N125" i="40"/>
  <c r="H125" i="40"/>
  <c r="G125" i="40"/>
  <c r="N124" i="40"/>
  <c r="H124" i="40"/>
  <c r="G124" i="40"/>
  <c r="D123" i="40"/>
  <c r="D122" i="40"/>
  <c r="N121" i="40"/>
  <c r="H121" i="40"/>
  <c r="G121" i="40"/>
  <c r="N120" i="40"/>
  <c r="H120" i="40"/>
  <c r="G120" i="40"/>
  <c r="N119" i="40"/>
  <c r="H119" i="40"/>
  <c r="G119" i="40"/>
  <c r="N118" i="40"/>
  <c r="H118" i="40"/>
  <c r="G118" i="40"/>
  <c r="N117" i="40"/>
  <c r="H117" i="40"/>
  <c r="G117" i="40"/>
  <c r="N116" i="40"/>
  <c r="H116" i="40"/>
  <c r="G116" i="40"/>
  <c r="N115" i="40"/>
  <c r="H115" i="40"/>
  <c r="G115" i="40"/>
  <c r="N114" i="40"/>
  <c r="H114" i="40"/>
  <c r="G114" i="40"/>
  <c r="D113" i="40"/>
  <c r="N112" i="40"/>
  <c r="H112" i="40"/>
  <c r="G112" i="40"/>
  <c r="N111" i="40"/>
  <c r="H111" i="40"/>
  <c r="G111" i="40"/>
  <c r="N110" i="40"/>
  <c r="H110" i="40"/>
  <c r="G110" i="40"/>
  <c r="N109" i="40"/>
  <c r="H109" i="40"/>
  <c r="G109" i="40"/>
  <c r="N108" i="40"/>
  <c r="H108" i="40"/>
  <c r="G108" i="40"/>
  <c r="D107" i="40"/>
  <c r="N106" i="40"/>
  <c r="H106" i="40"/>
  <c r="G106" i="40"/>
  <c r="N105" i="40"/>
  <c r="H105" i="40"/>
  <c r="G105" i="40"/>
  <c r="N104" i="40"/>
  <c r="H104" i="40"/>
  <c r="G104" i="40"/>
  <c r="N103" i="40"/>
  <c r="H103" i="40"/>
  <c r="G103" i="40"/>
  <c r="N102" i="40"/>
  <c r="H102" i="40"/>
  <c r="G102" i="40"/>
  <c r="D101" i="40"/>
  <c r="D100" i="40"/>
  <c r="N99" i="40"/>
  <c r="H99" i="40"/>
  <c r="G99" i="40"/>
  <c r="N98" i="40"/>
  <c r="H98" i="40"/>
  <c r="G98" i="40"/>
  <c r="N97" i="40"/>
  <c r="H97" i="40"/>
  <c r="G97" i="40"/>
  <c r="N96" i="40"/>
  <c r="H96" i="40"/>
  <c r="G96" i="40"/>
  <c r="N95" i="40"/>
  <c r="H95" i="40"/>
  <c r="G95" i="40"/>
  <c r="N94" i="40"/>
  <c r="H94" i="40"/>
  <c r="G94" i="40"/>
  <c r="N93" i="40"/>
  <c r="H93" i="40"/>
  <c r="G93" i="40"/>
  <c r="D92" i="40"/>
  <c r="N91" i="40"/>
  <c r="H91" i="40"/>
  <c r="G91" i="40"/>
  <c r="N90" i="40"/>
  <c r="H90" i="40"/>
  <c r="G90" i="40"/>
  <c r="N89" i="40"/>
  <c r="H89" i="40"/>
  <c r="G89" i="40"/>
  <c r="N88" i="40"/>
  <c r="H88" i="40"/>
  <c r="G88" i="40"/>
  <c r="N87" i="40"/>
  <c r="H87" i="40"/>
  <c r="G87" i="40"/>
  <c r="N86" i="40"/>
  <c r="H86" i="40"/>
  <c r="G86" i="40"/>
  <c r="D85" i="40"/>
  <c r="N84" i="40"/>
  <c r="H84" i="40"/>
  <c r="G84" i="40"/>
  <c r="N83" i="40"/>
  <c r="H83" i="40"/>
  <c r="G83" i="40"/>
  <c r="N82" i="40"/>
  <c r="H82" i="40"/>
  <c r="G82" i="40"/>
  <c r="D81" i="40"/>
  <c r="D80" i="40"/>
  <c r="N79" i="40"/>
  <c r="H79" i="40"/>
  <c r="G79" i="40"/>
  <c r="N78" i="40"/>
  <c r="H78" i="40"/>
  <c r="G78" i="40"/>
  <c r="N77" i="40"/>
  <c r="H77" i="40"/>
  <c r="G77" i="40"/>
  <c r="D76" i="40"/>
  <c r="D75" i="40" s="1"/>
  <c r="N74" i="40"/>
  <c r="H74" i="40"/>
  <c r="G74" i="40"/>
  <c r="N73" i="40"/>
  <c r="H73" i="40"/>
  <c r="G73" i="40"/>
  <c r="N72" i="40"/>
  <c r="H72" i="40"/>
  <c r="G72" i="40"/>
  <c r="N71" i="40"/>
  <c r="H71" i="40"/>
  <c r="G71" i="40"/>
  <c r="N70" i="40"/>
  <c r="H70" i="40"/>
  <c r="G70" i="40"/>
  <c r="N69" i="40"/>
  <c r="H69" i="40"/>
  <c r="G69" i="40"/>
  <c r="N68" i="40"/>
  <c r="H68" i="40"/>
  <c r="G68" i="40"/>
  <c r="N67" i="40"/>
  <c r="H67" i="40"/>
  <c r="G67" i="40"/>
  <c r="N66" i="40"/>
  <c r="H66" i="40"/>
  <c r="G66" i="40"/>
  <c r="N65" i="40"/>
  <c r="H65" i="40"/>
  <c r="G65" i="40"/>
  <c r="D64" i="40"/>
  <c r="N63" i="40"/>
  <c r="H63" i="40"/>
  <c r="G63" i="40"/>
  <c r="N62" i="40"/>
  <c r="H62" i="40"/>
  <c r="G62" i="40"/>
  <c r="N61" i="40"/>
  <c r="H61" i="40"/>
  <c r="G61" i="40"/>
  <c r="N60" i="40"/>
  <c r="H60" i="40"/>
  <c r="G60" i="40"/>
  <c r="N59" i="40"/>
  <c r="H59" i="40"/>
  <c r="G59" i="40"/>
  <c r="N58" i="40"/>
  <c r="H58" i="40"/>
  <c r="G58" i="40"/>
  <c r="N57" i="40"/>
  <c r="H57" i="40"/>
  <c r="G57" i="40"/>
  <c r="D56" i="40"/>
  <c r="N55" i="40"/>
  <c r="H55" i="40"/>
  <c r="G55" i="40"/>
  <c r="N54" i="40"/>
  <c r="H54" i="40"/>
  <c r="G54" i="40"/>
  <c r="N53" i="40"/>
  <c r="H53" i="40"/>
  <c r="G53" i="40"/>
  <c r="N52" i="40"/>
  <c r="H52" i="40"/>
  <c r="G52" i="40"/>
  <c r="D51" i="40"/>
  <c r="N50" i="40"/>
  <c r="H50" i="40"/>
  <c r="G50" i="40"/>
  <c r="N49" i="40"/>
  <c r="H49" i="40"/>
  <c r="G49" i="40"/>
  <c r="D48" i="40"/>
  <c r="D47" i="40" s="1"/>
  <c r="N46" i="40"/>
  <c r="H46" i="40"/>
  <c r="G46" i="40"/>
  <c r="N45" i="40"/>
  <c r="H45" i="40"/>
  <c r="G45" i="40"/>
  <c r="N44" i="40"/>
  <c r="H44" i="40"/>
  <c r="G44" i="40"/>
  <c r="N43" i="40"/>
  <c r="H43" i="40"/>
  <c r="G43" i="40"/>
  <c r="N42" i="40"/>
  <c r="H42" i="40"/>
  <c r="G42" i="40"/>
  <c r="D41" i="40"/>
  <c r="N40" i="40"/>
  <c r="H40" i="40"/>
  <c r="G40" i="40"/>
  <c r="N39" i="40"/>
  <c r="H39" i="40"/>
  <c r="G39" i="40"/>
  <c r="D38" i="40"/>
  <c r="D37" i="40" s="1"/>
  <c r="N36" i="40"/>
  <c r="H36" i="40"/>
  <c r="G36" i="40"/>
  <c r="N35" i="40"/>
  <c r="H35" i="40"/>
  <c r="G35" i="40"/>
  <c r="N34" i="40"/>
  <c r="H34" i="40"/>
  <c r="G34" i="40"/>
  <c r="N33" i="40"/>
  <c r="H33" i="40"/>
  <c r="G33" i="40"/>
  <c r="D32" i="40"/>
  <c r="D31" i="40" s="1"/>
  <c r="N30" i="40"/>
  <c r="H30" i="40"/>
  <c r="G30" i="40"/>
  <c r="N29" i="40"/>
  <c r="H29" i="40"/>
  <c r="G29" i="40"/>
  <c r="D28" i="40"/>
  <c r="D27" i="40" s="1"/>
  <c r="N26" i="40"/>
  <c r="H26" i="40"/>
  <c r="G26" i="40"/>
  <c r="N25" i="40"/>
  <c r="H25" i="40"/>
  <c r="G25" i="40"/>
  <c r="N24" i="40"/>
  <c r="H24" i="40"/>
  <c r="G24" i="40"/>
  <c r="N23" i="40"/>
  <c r="H23" i="40"/>
  <c r="G23" i="40"/>
  <c r="N22" i="40"/>
  <c r="H22" i="40"/>
  <c r="G22" i="40"/>
  <c r="N21" i="40"/>
  <c r="H21" i="40"/>
  <c r="G21" i="40"/>
  <c r="N20" i="40"/>
  <c r="H20" i="40"/>
  <c r="G20" i="40"/>
  <c r="N19" i="40"/>
  <c r="H19" i="40"/>
  <c r="G19" i="40"/>
  <c r="N18" i="40"/>
  <c r="H18" i="40"/>
  <c r="G18" i="40"/>
  <c r="N17" i="40"/>
  <c r="H17" i="40"/>
  <c r="G17" i="40"/>
  <c r="N16" i="40"/>
  <c r="H16" i="40"/>
  <c r="G16" i="40"/>
  <c r="N15" i="40"/>
  <c r="H15" i="40"/>
  <c r="G15" i="40"/>
  <c r="N14" i="40"/>
  <c r="H14" i="40"/>
  <c r="G14" i="40"/>
  <c r="N13" i="40"/>
  <c r="H13" i="40"/>
  <c r="G13" i="40"/>
  <c r="D12" i="40"/>
  <c r="D8" i="40" s="1"/>
  <c r="D2" i="40" s="1"/>
  <c r="N11" i="40"/>
  <c r="H11" i="40"/>
  <c r="G11" i="40"/>
  <c r="N10" i="40"/>
  <c r="H10" i="40"/>
  <c r="G10" i="40"/>
  <c r="D9" i="40"/>
  <c r="K8" i="40"/>
  <c r="L8" i="40" s="1"/>
  <c r="C7" i="40"/>
  <c r="D7" i="40" s="1"/>
  <c r="E7" i="40" s="1"/>
  <c r="F7" i="40" s="1"/>
  <c r="G7" i="40" s="1"/>
  <c r="H7" i="40" s="1"/>
  <c r="H3" i="40"/>
  <c r="G3" i="40"/>
  <c r="D3" i="40"/>
  <c r="C3" i="40"/>
  <c r="L231" i="39"/>
  <c r="K231" i="39"/>
  <c r="J231" i="39"/>
  <c r="I231" i="39"/>
  <c r="H231" i="39"/>
  <c r="L228" i="39"/>
  <c r="L227" i="39"/>
  <c r="E227" i="39"/>
  <c r="L225" i="39"/>
  <c r="C224" i="39"/>
  <c r="C223" i="39"/>
  <c r="C222" i="39"/>
  <c r="C221" i="39"/>
  <c r="P133" i="39" s="1"/>
  <c r="C220" i="39"/>
  <c r="C219" i="39"/>
  <c r="C218" i="39"/>
  <c r="C217" i="39"/>
  <c r="C216" i="39"/>
  <c r="C215" i="39"/>
  <c r="C214" i="39"/>
  <c r="C213" i="39"/>
  <c r="P85" i="39" s="1"/>
  <c r="C212" i="39"/>
  <c r="C211" i="39"/>
  <c r="L210" i="39"/>
  <c r="K210" i="39"/>
  <c r="J210" i="39"/>
  <c r="I210" i="39"/>
  <c r="H210" i="39"/>
  <c r="C210" i="39"/>
  <c r="Q206" i="39"/>
  <c r="F206" i="39"/>
  <c r="E206" i="39"/>
  <c r="L204" i="39"/>
  <c r="L203" i="39" s="1"/>
  <c r="K204" i="39"/>
  <c r="J204" i="39"/>
  <c r="I204" i="39"/>
  <c r="D204" i="39"/>
  <c r="D25" i="34" s="1"/>
  <c r="C204" i="39"/>
  <c r="C203" i="39"/>
  <c r="C202" i="39"/>
  <c r="C201" i="39"/>
  <c r="H201" i="39" s="1"/>
  <c r="C200" i="39"/>
  <c r="C199" i="39"/>
  <c r="C198" i="39"/>
  <c r="C197" i="39"/>
  <c r="C196" i="39"/>
  <c r="C195" i="39"/>
  <c r="C194" i="39"/>
  <c r="C193" i="39"/>
  <c r="C192" i="39"/>
  <c r="C191" i="39"/>
  <c r="C190" i="39"/>
  <c r="C189" i="39"/>
  <c r="C188" i="39"/>
  <c r="C184" i="39"/>
  <c r="C183" i="39"/>
  <c r="Q182" i="39"/>
  <c r="F182" i="39"/>
  <c r="E182" i="39"/>
  <c r="C182" i="39"/>
  <c r="P179" i="39"/>
  <c r="J179" i="39"/>
  <c r="I179" i="39"/>
  <c r="H179" i="39"/>
  <c r="P178" i="39"/>
  <c r="J178" i="39"/>
  <c r="I178" i="39"/>
  <c r="H178" i="39"/>
  <c r="P177" i="39"/>
  <c r="J177" i="39"/>
  <c r="I177" i="39"/>
  <c r="H177" i="39"/>
  <c r="P176" i="39"/>
  <c r="J176" i="39"/>
  <c r="I176" i="39"/>
  <c r="H176" i="39"/>
  <c r="P175" i="39"/>
  <c r="J175" i="39"/>
  <c r="I175" i="39"/>
  <c r="H175" i="39"/>
  <c r="P174" i="39"/>
  <c r="J174" i="39"/>
  <c r="I174" i="39"/>
  <c r="H174" i="39"/>
  <c r="P173" i="39"/>
  <c r="J173" i="39"/>
  <c r="I173" i="39"/>
  <c r="H173" i="39"/>
  <c r="P172" i="39"/>
  <c r="J172" i="39"/>
  <c r="I172" i="39"/>
  <c r="H172" i="39"/>
  <c r="P171" i="39"/>
  <c r="J171" i="39"/>
  <c r="I171" i="39"/>
  <c r="H171" i="39"/>
  <c r="P170" i="39"/>
  <c r="J170" i="39"/>
  <c r="I170" i="39"/>
  <c r="H170" i="39"/>
  <c r="P169" i="39"/>
  <c r="J169" i="39"/>
  <c r="I169" i="39"/>
  <c r="H169" i="39"/>
  <c r="P168" i="39"/>
  <c r="J168" i="39"/>
  <c r="I168" i="39"/>
  <c r="H168" i="39"/>
  <c r="P167" i="39"/>
  <c r="J167" i="39"/>
  <c r="I167" i="39"/>
  <c r="H167" i="39"/>
  <c r="P166" i="39"/>
  <c r="J166" i="39"/>
  <c r="I166" i="39"/>
  <c r="H166" i="39"/>
  <c r="P165" i="39"/>
  <c r="J165" i="39"/>
  <c r="I165" i="39"/>
  <c r="H165" i="39"/>
  <c r="J164" i="39"/>
  <c r="I164" i="39"/>
  <c r="H164" i="39"/>
  <c r="J163" i="39"/>
  <c r="I163" i="39"/>
  <c r="H163" i="39"/>
  <c r="J162" i="39"/>
  <c r="I162" i="39"/>
  <c r="H162" i="39"/>
  <c r="J161" i="39"/>
  <c r="I161" i="39"/>
  <c r="H161" i="39"/>
  <c r="P160" i="39"/>
  <c r="J160" i="39"/>
  <c r="J159" i="39" s="1"/>
  <c r="I160" i="39"/>
  <c r="H160" i="39"/>
  <c r="H159" i="39" s="1"/>
  <c r="R159" i="39"/>
  <c r="S159" i="39" s="1"/>
  <c r="Q159" i="39"/>
  <c r="I159" i="39"/>
  <c r="P158" i="39"/>
  <c r="J158" i="39"/>
  <c r="I158" i="39"/>
  <c r="H158" i="39"/>
  <c r="J157" i="39"/>
  <c r="I157" i="39"/>
  <c r="H157" i="39"/>
  <c r="P156" i="39"/>
  <c r="J156" i="39"/>
  <c r="I156" i="39"/>
  <c r="H156" i="39"/>
  <c r="P155" i="39"/>
  <c r="J155" i="39"/>
  <c r="I155" i="39"/>
  <c r="H155" i="39"/>
  <c r="P154" i="39"/>
  <c r="J154" i="39"/>
  <c r="I154" i="39"/>
  <c r="H154" i="39"/>
  <c r="P153" i="39"/>
  <c r="J153" i="39"/>
  <c r="I153" i="39"/>
  <c r="H153" i="39"/>
  <c r="P152" i="39"/>
  <c r="J152" i="39"/>
  <c r="I152" i="39"/>
  <c r="H152" i="39"/>
  <c r="P151" i="39"/>
  <c r="J151" i="39"/>
  <c r="I151" i="39"/>
  <c r="H151" i="39"/>
  <c r="P150" i="39"/>
  <c r="J150" i="39"/>
  <c r="J149" i="39" s="1"/>
  <c r="I150" i="39"/>
  <c r="I149" i="39" s="1"/>
  <c r="H150" i="39"/>
  <c r="H149" i="39" s="1"/>
  <c r="R149" i="39"/>
  <c r="S149" i="39" s="1"/>
  <c r="Q149" i="39"/>
  <c r="P148" i="39"/>
  <c r="J148" i="39"/>
  <c r="I148" i="39"/>
  <c r="H148" i="39"/>
  <c r="P147" i="39"/>
  <c r="J147" i="39"/>
  <c r="I147" i="39"/>
  <c r="H147" i="39"/>
  <c r="P146" i="39"/>
  <c r="J146" i="39"/>
  <c r="I146" i="39"/>
  <c r="H146" i="39"/>
  <c r="P145" i="39"/>
  <c r="J145" i="39"/>
  <c r="I145" i="39"/>
  <c r="H145" i="39"/>
  <c r="H144" i="39" s="1"/>
  <c r="R144" i="39"/>
  <c r="S144" i="39" s="1"/>
  <c r="Q144" i="39"/>
  <c r="J144" i="39"/>
  <c r="I144" i="39"/>
  <c r="P143" i="39"/>
  <c r="J143" i="39"/>
  <c r="I143" i="39"/>
  <c r="H143" i="39"/>
  <c r="P142" i="39"/>
  <c r="J142" i="39"/>
  <c r="I142" i="39"/>
  <c r="H142" i="39"/>
  <c r="P141" i="39"/>
  <c r="J141" i="39"/>
  <c r="I141" i="39"/>
  <c r="H141" i="39"/>
  <c r="P140" i="39"/>
  <c r="J140" i="39"/>
  <c r="I140" i="39"/>
  <c r="H140" i="39"/>
  <c r="P139" i="39"/>
  <c r="J139" i="39"/>
  <c r="J138" i="39" s="1"/>
  <c r="I139" i="39"/>
  <c r="H139" i="39"/>
  <c r="H138" i="39" s="1"/>
  <c r="R138" i="39"/>
  <c r="S138" i="39" s="1"/>
  <c r="Q138" i="39"/>
  <c r="I138" i="39"/>
  <c r="P137" i="39"/>
  <c r="J137" i="39"/>
  <c r="I137" i="39"/>
  <c r="H137" i="39"/>
  <c r="P136" i="39"/>
  <c r="J136" i="39"/>
  <c r="J135" i="39" s="1"/>
  <c r="I136" i="39"/>
  <c r="I135" i="39" s="1"/>
  <c r="H136" i="39"/>
  <c r="H135" i="39" s="1"/>
  <c r="R135" i="39"/>
  <c r="S135" i="39" s="1"/>
  <c r="Q135" i="39"/>
  <c r="P134" i="39"/>
  <c r="J134" i="39"/>
  <c r="I134" i="39"/>
  <c r="H134" i="39"/>
  <c r="J133" i="39"/>
  <c r="I133" i="39"/>
  <c r="H133" i="39"/>
  <c r="P132" i="39"/>
  <c r="J132" i="39"/>
  <c r="I132" i="39"/>
  <c r="H132" i="39"/>
  <c r="P131" i="39"/>
  <c r="J131" i="39"/>
  <c r="J130" i="39" s="1"/>
  <c r="I131" i="39"/>
  <c r="H131" i="39"/>
  <c r="H130" i="39" s="1"/>
  <c r="R130" i="39"/>
  <c r="S130" i="39" s="1"/>
  <c r="Q130" i="39"/>
  <c r="I130" i="39"/>
  <c r="P129" i="39"/>
  <c r="J129" i="39"/>
  <c r="I129" i="39"/>
  <c r="H129" i="39"/>
  <c r="P128" i="39"/>
  <c r="J128" i="39"/>
  <c r="I128" i="39"/>
  <c r="H128" i="39"/>
  <c r="P127" i="39"/>
  <c r="J127" i="39"/>
  <c r="I127" i="39"/>
  <c r="H127" i="39"/>
  <c r="P126" i="39"/>
  <c r="J126" i="39"/>
  <c r="I126" i="39"/>
  <c r="H126" i="39"/>
  <c r="P125" i="39"/>
  <c r="J125" i="39"/>
  <c r="I125" i="39"/>
  <c r="H125" i="39"/>
  <c r="P124" i="39"/>
  <c r="J124" i="39"/>
  <c r="I124" i="39"/>
  <c r="H124" i="39"/>
  <c r="P123" i="39"/>
  <c r="J123" i="39"/>
  <c r="I123" i="39"/>
  <c r="H123" i="39"/>
  <c r="P122" i="39"/>
  <c r="J122" i="39"/>
  <c r="I122" i="39"/>
  <c r="H122" i="39"/>
  <c r="P121" i="39"/>
  <c r="J121" i="39"/>
  <c r="J120" i="39" s="1"/>
  <c r="I121" i="39"/>
  <c r="I120" i="39" s="1"/>
  <c r="H121" i="39"/>
  <c r="H120" i="39" s="1"/>
  <c r="H119" i="39" s="1"/>
  <c r="R120" i="39"/>
  <c r="S120" i="39" s="1"/>
  <c r="Q120" i="39"/>
  <c r="R119" i="39"/>
  <c r="S119" i="39" s="1"/>
  <c r="Q119" i="39"/>
  <c r="P118" i="39"/>
  <c r="J118" i="39"/>
  <c r="I118" i="39"/>
  <c r="H118" i="39"/>
  <c r="P117" i="39"/>
  <c r="J117" i="39"/>
  <c r="I117" i="39"/>
  <c r="H117" i="39"/>
  <c r="P116" i="39"/>
  <c r="J116" i="39"/>
  <c r="I116" i="39"/>
  <c r="H116" i="39"/>
  <c r="P115" i="39"/>
  <c r="J115" i="39"/>
  <c r="I115" i="39"/>
  <c r="H115" i="39"/>
  <c r="P114" i="39"/>
  <c r="J114" i="39"/>
  <c r="I114" i="39"/>
  <c r="H114" i="39"/>
  <c r="P113" i="39"/>
  <c r="J113" i="39"/>
  <c r="J112" i="39" s="1"/>
  <c r="I113" i="39"/>
  <c r="I112" i="39" s="1"/>
  <c r="H113" i="39"/>
  <c r="S112" i="39"/>
  <c r="R112" i="39"/>
  <c r="Q112" i="39"/>
  <c r="H112" i="39"/>
  <c r="P111" i="39"/>
  <c r="J111" i="39"/>
  <c r="I111" i="39"/>
  <c r="H111" i="39"/>
  <c r="P110" i="39"/>
  <c r="J110" i="39"/>
  <c r="I110" i="39"/>
  <c r="H110" i="39"/>
  <c r="P109" i="39"/>
  <c r="J109" i="39"/>
  <c r="I109" i="39"/>
  <c r="H109" i="39"/>
  <c r="P108" i="39"/>
  <c r="J108" i="39"/>
  <c r="J107" i="39" s="1"/>
  <c r="I108" i="39"/>
  <c r="I107" i="39" s="1"/>
  <c r="H108" i="39"/>
  <c r="H107" i="39" s="1"/>
  <c r="R107" i="39"/>
  <c r="S107" i="39" s="1"/>
  <c r="Q107" i="39"/>
  <c r="P106" i="39"/>
  <c r="J106" i="39"/>
  <c r="I106" i="39"/>
  <c r="H106" i="39"/>
  <c r="P105" i="39"/>
  <c r="J105" i="39"/>
  <c r="I105" i="39"/>
  <c r="H105" i="39"/>
  <c r="P104" i="39"/>
  <c r="J104" i="39"/>
  <c r="J103" i="39" s="1"/>
  <c r="J102" i="39" s="1"/>
  <c r="I104" i="39"/>
  <c r="I103" i="39" s="1"/>
  <c r="H104" i="39"/>
  <c r="H103" i="39" s="1"/>
  <c r="R103" i="39"/>
  <c r="S103" i="39" s="1"/>
  <c r="Q103" i="39"/>
  <c r="R102" i="39"/>
  <c r="S102" i="39" s="1"/>
  <c r="P101" i="39"/>
  <c r="J101" i="39"/>
  <c r="I101" i="39"/>
  <c r="H101" i="39"/>
  <c r="P100" i="39"/>
  <c r="J100" i="39"/>
  <c r="I100" i="39"/>
  <c r="H100" i="39"/>
  <c r="P99" i="39"/>
  <c r="J99" i="39"/>
  <c r="I99" i="39"/>
  <c r="H99" i="39"/>
  <c r="P98" i="39"/>
  <c r="J98" i="39"/>
  <c r="I98" i="39"/>
  <c r="H98" i="39"/>
  <c r="P97" i="39"/>
  <c r="J97" i="39"/>
  <c r="I97" i="39"/>
  <c r="H97" i="39"/>
  <c r="P96" i="39"/>
  <c r="J96" i="39"/>
  <c r="I96" i="39"/>
  <c r="H96" i="39"/>
  <c r="P95" i="39"/>
  <c r="J95" i="39"/>
  <c r="J94" i="39" s="1"/>
  <c r="I95" i="39"/>
  <c r="I94" i="39" s="1"/>
  <c r="H95" i="39"/>
  <c r="S94" i="39"/>
  <c r="R94" i="39"/>
  <c r="Q94" i="39"/>
  <c r="H94" i="39"/>
  <c r="P93" i="39"/>
  <c r="J93" i="39"/>
  <c r="I93" i="39"/>
  <c r="H93" i="39"/>
  <c r="P92" i="39"/>
  <c r="J92" i="39"/>
  <c r="I92" i="39"/>
  <c r="H92" i="39"/>
  <c r="P91" i="39"/>
  <c r="J91" i="39"/>
  <c r="I91" i="39"/>
  <c r="H91" i="39"/>
  <c r="P90" i="39"/>
  <c r="J90" i="39"/>
  <c r="I90" i="39"/>
  <c r="H90" i="39"/>
  <c r="P89" i="39"/>
  <c r="J89" i="39"/>
  <c r="I89" i="39"/>
  <c r="H89" i="39"/>
  <c r="P88" i="39"/>
  <c r="J88" i="39"/>
  <c r="J87" i="39" s="1"/>
  <c r="I88" i="39"/>
  <c r="I87" i="39" s="1"/>
  <c r="H88" i="39"/>
  <c r="H87" i="39" s="1"/>
  <c r="R87" i="39"/>
  <c r="S87" i="39" s="1"/>
  <c r="Q87" i="39"/>
  <c r="P86" i="39"/>
  <c r="P157" i="39" s="1"/>
  <c r="J86" i="39"/>
  <c r="I86" i="39"/>
  <c r="H86" i="39"/>
  <c r="J85" i="39"/>
  <c r="J84" i="39" s="1"/>
  <c r="J83" i="39" s="1"/>
  <c r="I85" i="39"/>
  <c r="I84" i="39" s="1"/>
  <c r="H85" i="39"/>
  <c r="H84" i="39" s="1"/>
  <c r="R84" i="39"/>
  <c r="S84" i="39" s="1"/>
  <c r="Q84" i="39"/>
  <c r="R83" i="39"/>
  <c r="S83" i="39" s="1"/>
  <c r="P82" i="39"/>
  <c r="J82" i="39"/>
  <c r="I82" i="39"/>
  <c r="H82" i="39"/>
  <c r="P81" i="39"/>
  <c r="J81" i="39"/>
  <c r="J80" i="39" s="1"/>
  <c r="I81" i="39"/>
  <c r="I80" i="39" s="1"/>
  <c r="H81" i="39"/>
  <c r="H80" i="39" s="1"/>
  <c r="R80" i="39"/>
  <c r="S80" i="39" s="1"/>
  <c r="Q80" i="39"/>
  <c r="R79" i="39"/>
  <c r="S79" i="39" s="1"/>
  <c r="P78" i="39"/>
  <c r="J78" i="39"/>
  <c r="I78" i="39"/>
  <c r="H78" i="39"/>
  <c r="P77" i="39"/>
  <c r="J77" i="39"/>
  <c r="I77" i="39"/>
  <c r="H77" i="39"/>
  <c r="P76" i="39"/>
  <c r="J76" i="39"/>
  <c r="I76" i="39"/>
  <c r="H76" i="39"/>
  <c r="P75" i="39"/>
  <c r="J75" i="39"/>
  <c r="I75" i="39"/>
  <c r="H75" i="39"/>
  <c r="P74" i="39"/>
  <c r="J74" i="39"/>
  <c r="I74" i="39"/>
  <c r="H74" i="39"/>
  <c r="P73" i="39"/>
  <c r="J73" i="39"/>
  <c r="I73" i="39"/>
  <c r="H73" i="39"/>
  <c r="P72" i="39"/>
  <c r="J72" i="39"/>
  <c r="I72" i="39"/>
  <c r="H72" i="39"/>
  <c r="P71" i="39"/>
  <c r="J71" i="39"/>
  <c r="I71" i="39"/>
  <c r="H71" i="39"/>
  <c r="P70" i="39"/>
  <c r="J70" i="39"/>
  <c r="I70" i="39"/>
  <c r="H70" i="39"/>
  <c r="P69" i="39"/>
  <c r="J69" i="39"/>
  <c r="I69" i="39"/>
  <c r="I68" i="39" s="1"/>
  <c r="H69" i="39"/>
  <c r="R68" i="39"/>
  <c r="S68" i="39" s="1"/>
  <c r="Q68" i="39"/>
  <c r="P67" i="39"/>
  <c r="J67" i="39"/>
  <c r="I67" i="39"/>
  <c r="H67" i="39"/>
  <c r="P66" i="39"/>
  <c r="J66" i="39"/>
  <c r="I66" i="39"/>
  <c r="H66" i="39"/>
  <c r="P65" i="39"/>
  <c r="J65" i="39"/>
  <c r="I65" i="39"/>
  <c r="H65" i="39"/>
  <c r="P64" i="39"/>
  <c r="J64" i="39"/>
  <c r="I64" i="39"/>
  <c r="H64" i="39"/>
  <c r="P63" i="39"/>
  <c r="J63" i="39"/>
  <c r="I63" i="39"/>
  <c r="H63" i="39"/>
  <c r="P62" i="39"/>
  <c r="J62" i="39"/>
  <c r="I62" i="39"/>
  <c r="H62" i="39"/>
  <c r="P61" i="39"/>
  <c r="J61" i="39"/>
  <c r="I61" i="39"/>
  <c r="H61" i="39"/>
  <c r="P60" i="39"/>
  <c r="J60" i="39"/>
  <c r="J59" i="39" s="1"/>
  <c r="I60" i="39"/>
  <c r="I59" i="39" s="1"/>
  <c r="H60" i="39"/>
  <c r="H59" i="39" s="1"/>
  <c r="R59" i="39"/>
  <c r="S59" i="39" s="1"/>
  <c r="Q59" i="39"/>
  <c r="P58" i="39"/>
  <c r="J58" i="39"/>
  <c r="I58" i="39"/>
  <c r="H58" i="39"/>
  <c r="P57" i="39"/>
  <c r="J57" i="39"/>
  <c r="I57" i="39"/>
  <c r="H57" i="39"/>
  <c r="P56" i="39"/>
  <c r="J56" i="39"/>
  <c r="I56" i="39"/>
  <c r="H56" i="39"/>
  <c r="P55" i="39"/>
  <c r="J55" i="39"/>
  <c r="J54" i="39" s="1"/>
  <c r="I55" i="39"/>
  <c r="I54" i="39" s="1"/>
  <c r="H55" i="39"/>
  <c r="H54" i="39" s="1"/>
  <c r="R54" i="39"/>
  <c r="S54" i="39" s="1"/>
  <c r="Q54" i="39"/>
  <c r="P53" i="39"/>
  <c r="J53" i="39"/>
  <c r="I53" i="39"/>
  <c r="H53" i="39"/>
  <c r="P52" i="39"/>
  <c r="J52" i="39"/>
  <c r="I52" i="39"/>
  <c r="H52" i="39"/>
  <c r="P51" i="39"/>
  <c r="J51" i="39"/>
  <c r="J50" i="39" s="1"/>
  <c r="L185" i="39" s="1"/>
  <c r="I51" i="39"/>
  <c r="I50" i="39" s="1"/>
  <c r="H51" i="39"/>
  <c r="H50" i="39" s="1"/>
  <c r="J185" i="39" s="1"/>
  <c r="AA27" i="36" s="1"/>
  <c r="R50" i="39"/>
  <c r="S50" i="39" s="1"/>
  <c r="Q50" i="39"/>
  <c r="R49" i="39"/>
  <c r="S49" i="39" s="1"/>
  <c r="P48" i="39"/>
  <c r="J48" i="39"/>
  <c r="I48" i="39"/>
  <c r="H48" i="39"/>
  <c r="P47" i="39"/>
  <c r="J47" i="39"/>
  <c r="I47" i="39"/>
  <c r="H47" i="39"/>
  <c r="P46" i="39"/>
  <c r="J46" i="39"/>
  <c r="I46" i="39"/>
  <c r="H46" i="39"/>
  <c r="P45" i="39"/>
  <c r="J45" i="39"/>
  <c r="I45" i="39"/>
  <c r="H45" i="39"/>
  <c r="P44" i="39"/>
  <c r="J44" i="39"/>
  <c r="J43" i="39" s="1"/>
  <c r="I44" i="39"/>
  <c r="I43" i="39" s="1"/>
  <c r="H44" i="39"/>
  <c r="H43" i="39" s="1"/>
  <c r="R43" i="39"/>
  <c r="S43" i="39" s="1"/>
  <c r="Q43" i="39"/>
  <c r="P42" i="39"/>
  <c r="J42" i="39"/>
  <c r="I42" i="39"/>
  <c r="H42" i="39"/>
  <c r="P41" i="39"/>
  <c r="J41" i="39"/>
  <c r="I41" i="39"/>
  <c r="H41" i="39"/>
  <c r="P40" i="39"/>
  <c r="J40" i="39"/>
  <c r="J39" i="39" s="1"/>
  <c r="I40" i="39"/>
  <c r="H40" i="39"/>
  <c r="H39" i="39" s="1"/>
  <c r="R39" i="39"/>
  <c r="S39" i="39" s="1"/>
  <c r="Q39" i="39"/>
  <c r="R38" i="39"/>
  <c r="S38" i="39" s="1"/>
  <c r="J37" i="39"/>
  <c r="I37" i="39"/>
  <c r="H37" i="39"/>
  <c r="P36" i="39"/>
  <c r="J36" i="39"/>
  <c r="J35" i="39" s="1"/>
  <c r="I36" i="39"/>
  <c r="I35" i="39" s="1"/>
  <c r="H36" i="39"/>
  <c r="H35" i="39" s="1"/>
  <c r="R35" i="39"/>
  <c r="S35" i="39" s="1"/>
  <c r="Q35" i="39"/>
  <c r="P34" i="39"/>
  <c r="J34" i="39"/>
  <c r="I34" i="39"/>
  <c r="H34" i="39"/>
  <c r="P33" i="39"/>
  <c r="J33" i="39"/>
  <c r="J32" i="39" s="1"/>
  <c r="I33" i="39"/>
  <c r="I32" i="39" s="1"/>
  <c r="H33" i="39"/>
  <c r="H32" i="39" s="1"/>
  <c r="R32" i="39"/>
  <c r="S32" i="39" s="1"/>
  <c r="Q32" i="39"/>
  <c r="R31" i="39"/>
  <c r="S31" i="39" s="1"/>
  <c r="P30" i="39"/>
  <c r="J30" i="39"/>
  <c r="I30" i="39"/>
  <c r="H30" i="39"/>
  <c r="P29" i="39"/>
  <c r="J29" i="39"/>
  <c r="J28" i="39" s="1"/>
  <c r="I29" i="39"/>
  <c r="I28" i="39" s="1"/>
  <c r="H29" i="39"/>
  <c r="H28" i="39" s="1"/>
  <c r="R28" i="39"/>
  <c r="S28" i="39" s="1"/>
  <c r="Q28" i="39"/>
  <c r="R27" i="39"/>
  <c r="S27" i="39" s="1"/>
  <c r="P26" i="39"/>
  <c r="J26" i="39"/>
  <c r="I26" i="39"/>
  <c r="H26" i="39"/>
  <c r="P25" i="39"/>
  <c r="J25" i="39"/>
  <c r="I25" i="39"/>
  <c r="H25" i="39"/>
  <c r="P24" i="39"/>
  <c r="J24" i="39"/>
  <c r="I24" i="39"/>
  <c r="H24" i="39"/>
  <c r="P23" i="39"/>
  <c r="J23" i="39"/>
  <c r="I23" i="39"/>
  <c r="H23" i="39"/>
  <c r="P22" i="39"/>
  <c r="J22" i="39"/>
  <c r="I22" i="39"/>
  <c r="H22" i="39"/>
  <c r="P21" i="39"/>
  <c r="J21" i="39"/>
  <c r="I21" i="39"/>
  <c r="H21" i="39"/>
  <c r="P20" i="39"/>
  <c r="J20" i="39"/>
  <c r="I20" i="39"/>
  <c r="H20" i="39"/>
  <c r="P19" i="39"/>
  <c r="J19" i="39"/>
  <c r="I19" i="39"/>
  <c r="H19" i="39"/>
  <c r="P18" i="39"/>
  <c r="J18" i="39"/>
  <c r="I18" i="39"/>
  <c r="H18" i="39"/>
  <c r="P17" i="39"/>
  <c r="J17" i="39"/>
  <c r="I17" i="39"/>
  <c r="H17" i="39"/>
  <c r="P16" i="39"/>
  <c r="J16" i="39"/>
  <c r="I16" i="39"/>
  <c r="H16" i="39"/>
  <c r="P15" i="39"/>
  <c r="J15" i="39"/>
  <c r="I15" i="39"/>
  <c r="H15" i="39"/>
  <c r="P14" i="39"/>
  <c r="J14" i="39"/>
  <c r="I14" i="39"/>
  <c r="H14" i="39"/>
  <c r="P13" i="39"/>
  <c r="J13" i="39"/>
  <c r="J12" i="39" s="1"/>
  <c r="I13" i="39"/>
  <c r="I12" i="39" s="1"/>
  <c r="H13" i="39"/>
  <c r="H12" i="39" s="1"/>
  <c r="R12" i="39"/>
  <c r="S12" i="39" s="1"/>
  <c r="Q12" i="39"/>
  <c r="P11" i="39"/>
  <c r="J11" i="39"/>
  <c r="I11" i="39"/>
  <c r="H11" i="39"/>
  <c r="P10" i="39"/>
  <c r="J10" i="39"/>
  <c r="J9" i="39" s="1"/>
  <c r="I10" i="39"/>
  <c r="I9" i="39" s="1"/>
  <c r="H10" i="39"/>
  <c r="H9" i="39" s="1"/>
  <c r="R9" i="39"/>
  <c r="S9" i="39" s="1"/>
  <c r="Q9" i="39"/>
  <c r="Q7" i="39"/>
  <c r="M7" i="39"/>
  <c r="N7" i="39" s="1"/>
  <c r="D7" i="39"/>
  <c r="E7" i="39" s="1"/>
  <c r="F7" i="39" s="1"/>
  <c r="G7" i="39" s="1"/>
  <c r="H7" i="39" s="1"/>
  <c r="I7" i="39" s="1"/>
  <c r="J7" i="39" s="1"/>
  <c r="U5" i="39"/>
  <c r="T5" i="39"/>
  <c r="S5" i="39"/>
  <c r="R5" i="39"/>
  <c r="I4" i="39"/>
  <c r="H4" i="39"/>
  <c r="E4" i="39"/>
  <c r="D4" i="39"/>
  <c r="Q3" i="39"/>
  <c r="J3" i="39"/>
  <c r="I3" i="39"/>
  <c r="H3" i="39"/>
  <c r="T1" i="39"/>
  <c r="U1" i="39" s="1"/>
  <c r="R1" i="39"/>
  <c r="S1" i="39" s="1"/>
  <c r="I1" i="39"/>
  <c r="L200" i="38"/>
  <c r="N197" i="38"/>
  <c r="L197" i="38"/>
  <c r="K197" i="38"/>
  <c r="J197" i="38"/>
  <c r="I197" i="38"/>
  <c r="H197" i="38"/>
  <c r="G197" i="38" s="1"/>
  <c r="N196" i="38"/>
  <c r="L196" i="38"/>
  <c r="K196" i="38"/>
  <c r="J196" i="38"/>
  <c r="I196" i="38"/>
  <c r="H196" i="38"/>
  <c r="C196" i="38"/>
  <c r="N195" i="38"/>
  <c r="N193" i="38"/>
  <c r="C193" i="38"/>
  <c r="O124" i="38" s="1"/>
  <c r="P124" i="38" s="1"/>
  <c r="N192" i="38"/>
  <c r="C192" i="38"/>
  <c r="O116" i="38" s="1"/>
  <c r="P116" i="38" s="1"/>
  <c r="N191" i="38"/>
  <c r="C191" i="38"/>
  <c r="O118" i="38" s="1"/>
  <c r="P118" i="38" s="1"/>
  <c r="N190" i="38"/>
  <c r="C190" i="38"/>
  <c r="O112" i="38" s="1"/>
  <c r="P112" i="38" s="1"/>
  <c r="N189" i="38"/>
  <c r="C189" i="38"/>
  <c r="O143" i="38" s="1"/>
  <c r="P143" i="38" s="1"/>
  <c r="N188" i="38"/>
  <c r="C188" i="38"/>
  <c r="O70" i="38" s="1"/>
  <c r="P70" i="38" s="1"/>
  <c r="N187" i="38"/>
  <c r="C187" i="38"/>
  <c r="O57" i="38" s="1"/>
  <c r="P57" i="38" s="1"/>
  <c r="N186" i="38"/>
  <c r="C186" i="38"/>
  <c r="O53" i="38" s="1"/>
  <c r="P53" i="38" s="1"/>
  <c r="N185" i="38"/>
  <c r="C185" i="38"/>
  <c r="O37" i="38" s="1"/>
  <c r="P37" i="38" s="1"/>
  <c r="N184" i="38"/>
  <c r="C184" i="38"/>
  <c r="O28" i="38" s="1"/>
  <c r="P28" i="38" s="1"/>
  <c r="N183" i="38"/>
  <c r="C183" i="38"/>
  <c r="O25" i="38" s="1"/>
  <c r="P25" i="38" s="1"/>
  <c r="N182" i="38"/>
  <c r="C182" i="38"/>
  <c r="O23" i="38" s="1"/>
  <c r="P23" i="38" s="1"/>
  <c r="N181" i="38"/>
  <c r="C181" i="38"/>
  <c r="O80" i="38" s="1"/>
  <c r="P80" i="38" s="1"/>
  <c r="N180" i="38"/>
  <c r="C180" i="38"/>
  <c r="O9" i="38" s="1"/>
  <c r="P9" i="38" s="1"/>
  <c r="N179" i="38"/>
  <c r="L179" i="38"/>
  <c r="K179" i="38"/>
  <c r="J179" i="38"/>
  <c r="F179" i="38" s="1"/>
  <c r="I179" i="38"/>
  <c r="H179" i="38"/>
  <c r="C179" i="38"/>
  <c r="F175" i="38"/>
  <c r="E175" i="38"/>
  <c r="O173" i="38"/>
  <c r="N173" i="38"/>
  <c r="D173" i="38"/>
  <c r="C173" i="38"/>
  <c r="C172" i="38"/>
  <c r="N171" i="38"/>
  <c r="C171" i="38"/>
  <c r="N170" i="38"/>
  <c r="C170" i="38"/>
  <c r="C169" i="38"/>
  <c r="C168" i="38"/>
  <c r="N167" i="38"/>
  <c r="C167" i="38"/>
  <c r="O12" i="38" s="1"/>
  <c r="P12" i="38" s="1"/>
  <c r="N166" i="38"/>
  <c r="C166" i="38"/>
  <c r="O109" i="38" s="1"/>
  <c r="P109" i="38" s="1"/>
  <c r="N165" i="38"/>
  <c r="C165" i="38"/>
  <c r="N164" i="38"/>
  <c r="C164" i="38"/>
  <c r="C163" i="38"/>
  <c r="N162" i="38"/>
  <c r="C162" i="38"/>
  <c r="O102" i="38" s="1"/>
  <c r="P102" i="38" s="1"/>
  <c r="N161" i="38"/>
  <c r="C161" i="38"/>
  <c r="O130" i="38" s="1"/>
  <c r="P130" i="38" s="1"/>
  <c r="C160" i="38"/>
  <c r="N159" i="38"/>
  <c r="C159" i="38"/>
  <c r="O87" i="38" s="1"/>
  <c r="P87" i="38" s="1"/>
  <c r="N158" i="38"/>
  <c r="C158" i="38"/>
  <c r="O27" i="38" s="1"/>
  <c r="P27" i="38" s="1"/>
  <c r="N157" i="38"/>
  <c r="C157" i="38"/>
  <c r="O101" i="38" s="1"/>
  <c r="P101" i="38" s="1"/>
  <c r="N153" i="38"/>
  <c r="C153" i="38"/>
  <c r="O51" i="38" s="1"/>
  <c r="P51" i="38" s="1"/>
  <c r="E151" i="38"/>
  <c r="D151" i="38"/>
  <c r="C27" i="34" s="1"/>
  <c r="F150" i="38"/>
  <c r="E150" i="38"/>
  <c r="L149" i="38"/>
  <c r="K149" i="38"/>
  <c r="J149" i="38"/>
  <c r="I149" i="38"/>
  <c r="H149" i="38"/>
  <c r="O147" i="38"/>
  <c r="P147" i="38" s="1"/>
  <c r="F147" i="38"/>
  <c r="G147" i="38" s="1"/>
  <c r="D147" i="38"/>
  <c r="O146" i="38"/>
  <c r="P146" i="38" s="1"/>
  <c r="F146" i="38"/>
  <c r="G146" i="38" s="1"/>
  <c r="D146" i="38"/>
  <c r="O145" i="38"/>
  <c r="P145" i="38" s="1"/>
  <c r="F145" i="38"/>
  <c r="G145" i="38" s="1"/>
  <c r="D145" i="38"/>
  <c r="F144" i="38"/>
  <c r="G144" i="38" s="1"/>
  <c r="D144" i="38"/>
  <c r="G143" i="38"/>
  <c r="F143" i="38"/>
  <c r="D143" i="38"/>
  <c r="M143" i="38" s="1"/>
  <c r="F142" i="38"/>
  <c r="G142" i="38" s="1"/>
  <c r="D142" i="38"/>
  <c r="M142" i="38" s="1"/>
  <c r="F141" i="38"/>
  <c r="G141" i="38" s="1"/>
  <c r="D141" i="38"/>
  <c r="F140" i="38"/>
  <c r="G140" i="38" s="1"/>
  <c r="D140" i="38"/>
  <c r="G139" i="38"/>
  <c r="F139" i="38"/>
  <c r="D139" i="38"/>
  <c r="M139" i="38" s="1"/>
  <c r="F138" i="38"/>
  <c r="G138" i="38" s="1"/>
  <c r="D138" i="38"/>
  <c r="M138" i="38" s="1"/>
  <c r="F137" i="38"/>
  <c r="G137" i="38" s="1"/>
  <c r="D137" i="38"/>
  <c r="F136" i="38"/>
  <c r="G136" i="38" s="1"/>
  <c r="D136" i="38"/>
  <c r="G135" i="38"/>
  <c r="F135" i="38"/>
  <c r="D135" i="38"/>
  <c r="M135" i="38" s="1"/>
  <c r="F134" i="38"/>
  <c r="G134" i="38" s="1"/>
  <c r="D134" i="38"/>
  <c r="M134" i="38" s="1"/>
  <c r="F133" i="38"/>
  <c r="G133" i="38" s="1"/>
  <c r="D133" i="38"/>
  <c r="F132" i="38"/>
  <c r="G132" i="38" s="1"/>
  <c r="D132" i="38"/>
  <c r="L132" i="38" s="1"/>
  <c r="F131" i="38"/>
  <c r="G131" i="38" s="1"/>
  <c r="D131" i="38"/>
  <c r="L131" i="38" s="1"/>
  <c r="F130" i="38"/>
  <c r="G130" i="38" s="1"/>
  <c r="D130" i="38"/>
  <c r="L130" i="38" s="1"/>
  <c r="G129" i="38"/>
  <c r="F129" i="38"/>
  <c r="D129" i="38"/>
  <c r="F128" i="38"/>
  <c r="G128" i="38" s="1"/>
  <c r="D128" i="38"/>
  <c r="L128" i="38" s="1"/>
  <c r="F127" i="38"/>
  <c r="G127" i="38" s="1"/>
  <c r="D127" i="38"/>
  <c r="L127" i="38" s="1"/>
  <c r="F126" i="38"/>
  <c r="G126" i="38" s="1"/>
  <c r="D126" i="38"/>
  <c r="L126" i="38" s="1"/>
  <c r="G125" i="38"/>
  <c r="F125" i="38"/>
  <c r="D125" i="38"/>
  <c r="F124" i="38"/>
  <c r="G124" i="38" s="1"/>
  <c r="D124" i="38"/>
  <c r="L124" i="38" s="1"/>
  <c r="F123" i="38"/>
  <c r="G123" i="38" s="1"/>
  <c r="D123" i="38"/>
  <c r="F122" i="38"/>
  <c r="G122" i="38" s="1"/>
  <c r="D122" i="38"/>
  <c r="L122" i="38" s="1"/>
  <c r="G121" i="38"/>
  <c r="F121" i="38"/>
  <c r="D121" i="38"/>
  <c r="F120" i="38"/>
  <c r="G120" i="38" s="1"/>
  <c r="D120" i="38"/>
  <c r="L120" i="38" s="1"/>
  <c r="F119" i="38"/>
  <c r="G119" i="38" s="1"/>
  <c r="D119" i="38"/>
  <c r="F118" i="38"/>
  <c r="G118" i="38" s="1"/>
  <c r="D118" i="38"/>
  <c r="L118" i="38" s="1"/>
  <c r="G117" i="38"/>
  <c r="F117" i="38"/>
  <c r="D117" i="38"/>
  <c r="F116" i="38"/>
  <c r="G116" i="38" s="1"/>
  <c r="D116" i="38"/>
  <c r="L116" i="38" s="1"/>
  <c r="F115" i="38"/>
  <c r="G115" i="38" s="1"/>
  <c r="D115" i="38"/>
  <c r="F114" i="38"/>
  <c r="G114" i="38" s="1"/>
  <c r="D114" i="38"/>
  <c r="L114" i="38" s="1"/>
  <c r="G113" i="38"/>
  <c r="F113" i="38"/>
  <c r="D113" i="38"/>
  <c r="F112" i="38"/>
  <c r="G112" i="38" s="1"/>
  <c r="D112" i="38"/>
  <c r="L112" i="38" s="1"/>
  <c r="F111" i="38"/>
  <c r="G111" i="38" s="1"/>
  <c r="D111" i="38"/>
  <c r="F110" i="38"/>
  <c r="G110" i="38" s="1"/>
  <c r="D110" i="38"/>
  <c r="L110" i="38" s="1"/>
  <c r="G109" i="38"/>
  <c r="F109" i="38"/>
  <c r="D109" i="38"/>
  <c r="F108" i="38"/>
  <c r="G108" i="38" s="1"/>
  <c r="D108" i="38"/>
  <c r="L108" i="38" s="1"/>
  <c r="F107" i="38"/>
  <c r="G107" i="38" s="1"/>
  <c r="D107" i="38"/>
  <c r="L107" i="38" s="1"/>
  <c r="F106" i="38"/>
  <c r="G106" i="38" s="1"/>
  <c r="D106" i="38"/>
  <c r="L106" i="38" s="1"/>
  <c r="F105" i="38"/>
  <c r="G105" i="38" s="1"/>
  <c r="D105" i="38"/>
  <c r="F104" i="38"/>
  <c r="G104" i="38" s="1"/>
  <c r="D104" i="38"/>
  <c r="L104" i="38" s="1"/>
  <c r="O103" i="38"/>
  <c r="P103" i="38" s="1"/>
  <c r="F103" i="38"/>
  <c r="G103" i="38" s="1"/>
  <c r="D103" i="38"/>
  <c r="F102" i="38"/>
  <c r="G102" i="38" s="1"/>
  <c r="D102" i="38"/>
  <c r="G101" i="38"/>
  <c r="F101" i="38"/>
  <c r="D101" i="38"/>
  <c r="M101" i="38" s="1"/>
  <c r="F100" i="38"/>
  <c r="G100" i="38" s="1"/>
  <c r="D100" i="38"/>
  <c r="M100" i="38" s="1"/>
  <c r="F99" i="38"/>
  <c r="G99" i="38" s="1"/>
  <c r="D99" i="38"/>
  <c r="F98" i="38"/>
  <c r="G98" i="38" s="1"/>
  <c r="D98" i="38"/>
  <c r="G97" i="38"/>
  <c r="F97" i="38"/>
  <c r="D97" i="38"/>
  <c r="M97" i="38" s="1"/>
  <c r="F96" i="38"/>
  <c r="G96" i="38" s="1"/>
  <c r="D96" i="38"/>
  <c r="M96" i="38" s="1"/>
  <c r="F95" i="38"/>
  <c r="G95" i="38" s="1"/>
  <c r="D95" i="38"/>
  <c r="F94" i="38"/>
  <c r="G94" i="38" s="1"/>
  <c r="D94" i="38"/>
  <c r="G93" i="38"/>
  <c r="F93" i="38"/>
  <c r="D93" i="38"/>
  <c r="M93" i="38" s="1"/>
  <c r="F92" i="38"/>
  <c r="G92" i="38" s="1"/>
  <c r="D92" i="38"/>
  <c r="M92" i="38" s="1"/>
  <c r="F91" i="38"/>
  <c r="G91" i="38" s="1"/>
  <c r="D91" i="38"/>
  <c r="F90" i="38"/>
  <c r="G90" i="38" s="1"/>
  <c r="D90" i="38"/>
  <c r="F89" i="38"/>
  <c r="G89" i="38" s="1"/>
  <c r="D89" i="38"/>
  <c r="F88" i="38"/>
  <c r="G88" i="38" s="1"/>
  <c r="D88" i="38"/>
  <c r="F87" i="38"/>
  <c r="G87" i="38" s="1"/>
  <c r="D87" i="38"/>
  <c r="F86" i="38"/>
  <c r="G86" i="38" s="1"/>
  <c r="D86" i="38"/>
  <c r="F85" i="38"/>
  <c r="G85" i="38" s="1"/>
  <c r="D85" i="38"/>
  <c r="F84" i="38"/>
  <c r="G84" i="38" s="1"/>
  <c r="D84" i="38"/>
  <c r="G83" i="38"/>
  <c r="F83" i="38"/>
  <c r="D83" i="38"/>
  <c r="M83" i="38" s="1"/>
  <c r="F82" i="38"/>
  <c r="G82" i="38" s="1"/>
  <c r="D82" i="38"/>
  <c r="M82" i="38" s="1"/>
  <c r="F81" i="38"/>
  <c r="G81" i="38" s="1"/>
  <c r="D81" i="38"/>
  <c r="F80" i="38"/>
  <c r="G80" i="38" s="1"/>
  <c r="D80" i="38"/>
  <c r="G79" i="38"/>
  <c r="F79" i="38"/>
  <c r="D79" i="38"/>
  <c r="M79" i="38" s="1"/>
  <c r="F78" i="38"/>
  <c r="G78" i="38" s="1"/>
  <c r="D78" i="38"/>
  <c r="F77" i="38"/>
  <c r="G77" i="38" s="1"/>
  <c r="D77" i="38"/>
  <c r="F76" i="38"/>
  <c r="G76" i="38" s="1"/>
  <c r="D76" i="38"/>
  <c r="F75" i="38"/>
  <c r="G75" i="38" s="1"/>
  <c r="D75" i="38"/>
  <c r="F74" i="38"/>
  <c r="G74" i="38" s="1"/>
  <c r="D74" i="38"/>
  <c r="F73" i="38"/>
  <c r="G73" i="38" s="1"/>
  <c r="D73" i="38"/>
  <c r="F72" i="38"/>
  <c r="G72" i="38" s="1"/>
  <c r="D72" i="38"/>
  <c r="F71" i="38"/>
  <c r="G71" i="38" s="1"/>
  <c r="D71" i="38"/>
  <c r="F70" i="38"/>
  <c r="G70" i="38" s="1"/>
  <c r="D70" i="38"/>
  <c r="M70" i="38" s="1"/>
  <c r="F69" i="38"/>
  <c r="G69" i="38" s="1"/>
  <c r="D69" i="38"/>
  <c r="F68" i="38"/>
  <c r="G68" i="38" s="1"/>
  <c r="D68" i="38"/>
  <c r="G67" i="38"/>
  <c r="F67" i="38"/>
  <c r="D67" i="38"/>
  <c r="M67" i="38" s="1"/>
  <c r="F66" i="38"/>
  <c r="G66" i="38" s="1"/>
  <c r="D66" i="38"/>
  <c r="M66" i="38" s="1"/>
  <c r="F65" i="38"/>
  <c r="G65" i="38" s="1"/>
  <c r="D65" i="38"/>
  <c r="F64" i="38"/>
  <c r="G64" i="38" s="1"/>
  <c r="D64" i="38"/>
  <c r="G63" i="38"/>
  <c r="F63" i="38"/>
  <c r="D63" i="38"/>
  <c r="M63" i="38" s="1"/>
  <c r="F62" i="38"/>
  <c r="G62" i="38" s="1"/>
  <c r="D62" i="38"/>
  <c r="M62" i="38" s="1"/>
  <c r="F61" i="38"/>
  <c r="G61" i="38" s="1"/>
  <c r="D61" i="38"/>
  <c r="F60" i="38"/>
  <c r="G60" i="38" s="1"/>
  <c r="D60" i="38"/>
  <c r="G59" i="38"/>
  <c r="F59" i="38"/>
  <c r="D59" i="38"/>
  <c r="M59" i="38" s="1"/>
  <c r="F58" i="38"/>
  <c r="G58" i="38" s="1"/>
  <c r="D58" i="38"/>
  <c r="M58" i="38" s="1"/>
  <c r="F57" i="38"/>
  <c r="G57" i="38" s="1"/>
  <c r="D57" i="38"/>
  <c r="F56" i="38"/>
  <c r="G56" i="38" s="1"/>
  <c r="D56" i="38"/>
  <c r="F55" i="38"/>
  <c r="G55" i="38" s="1"/>
  <c r="D55" i="38"/>
  <c r="F54" i="38"/>
  <c r="G54" i="38" s="1"/>
  <c r="D54" i="38"/>
  <c r="F53" i="38"/>
  <c r="G53" i="38" s="1"/>
  <c r="D53" i="38"/>
  <c r="F52" i="38"/>
  <c r="G52" i="38" s="1"/>
  <c r="D52" i="38"/>
  <c r="F51" i="38"/>
  <c r="G51" i="38" s="1"/>
  <c r="D51" i="38"/>
  <c r="F50" i="38"/>
  <c r="G50" i="38" s="1"/>
  <c r="D50" i="38"/>
  <c r="F49" i="38"/>
  <c r="G49" i="38" s="1"/>
  <c r="D49" i="38"/>
  <c r="F48" i="38"/>
  <c r="G48" i="38" s="1"/>
  <c r="D48" i="38"/>
  <c r="F47" i="38"/>
  <c r="G47" i="38" s="1"/>
  <c r="D47" i="38"/>
  <c r="F46" i="38"/>
  <c r="G46" i="38" s="1"/>
  <c r="D46" i="38"/>
  <c r="F45" i="38"/>
  <c r="G45" i="38" s="1"/>
  <c r="D45" i="38"/>
  <c r="F44" i="38"/>
  <c r="G44" i="38" s="1"/>
  <c r="D44" i="38"/>
  <c r="F43" i="38"/>
  <c r="G43" i="38" s="1"/>
  <c r="D43" i="38"/>
  <c r="Q42" i="38"/>
  <c r="F42" i="38"/>
  <c r="G42" i="38" s="1"/>
  <c r="D42" i="38"/>
  <c r="Q41" i="38"/>
  <c r="F41" i="38"/>
  <c r="G41" i="38" s="1"/>
  <c r="D41" i="38"/>
  <c r="Q40" i="38"/>
  <c r="G40" i="38"/>
  <c r="F40" i="38"/>
  <c r="D40" i="38"/>
  <c r="M40" i="38" s="1"/>
  <c r="Q39" i="38"/>
  <c r="F39" i="38"/>
  <c r="G39" i="38" s="1"/>
  <c r="D39" i="38"/>
  <c r="F38" i="38"/>
  <c r="G38" i="38" s="1"/>
  <c r="D38" i="38"/>
  <c r="F37" i="38"/>
  <c r="G37" i="38" s="1"/>
  <c r="D37" i="38"/>
  <c r="F36" i="38"/>
  <c r="G36" i="38" s="1"/>
  <c r="D36" i="38"/>
  <c r="F35" i="38"/>
  <c r="G35" i="38" s="1"/>
  <c r="D35" i="38"/>
  <c r="F34" i="38"/>
  <c r="G34" i="38" s="1"/>
  <c r="D34" i="38"/>
  <c r="G33" i="38"/>
  <c r="F33" i="38"/>
  <c r="D33" i="38"/>
  <c r="M33" i="38" s="1"/>
  <c r="F32" i="38"/>
  <c r="G32" i="38" s="1"/>
  <c r="D32" i="38"/>
  <c r="M32" i="38" s="1"/>
  <c r="F31" i="38"/>
  <c r="G31" i="38" s="1"/>
  <c r="D31" i="38"/>
  <c r="F30" i="38"/>
  <c r="G30" i="38" s="1"/>
  <c r="D30" i="38"/>
  <c r="F29" i="38"/>
  <c r="G29" i="38" s="1"/>
  <c r="D29" i="38"/>
  <c r="F28" i="38"/>
  <c r="G28" i="38" s="1"/>
  <c r="D28" i="38"/>
  <c r="G27" i="38"/>
  <c r="F27" i="38"/>
  <c r="D27" i="38"/>
  <c r="M27" i="38" s="1"/>
  <c r="F26" i="38"/>
  <c r="G26" i="38" s="1"/>
  <c r="D26" i="38"/>
  <c r="M26" i="38" s="1"/>
  <c r="F25" i="38"/>
  <c r="G25" i="38" s="1"/>
  <c r="D25" i="38"/>
  <c r="F24" i="38"/>
  <c r="G24" i="38" s="1"/>
  <c r="D24" i="38"/>
  <c r="G23" i="38"/>
  <c r="F23" i="38"/>
  <c r="D23" i="38"/>
  <c r="M23" i="38" s="1"/>
  <c r="F22" i="38"/>
  <c r="G22" i="38" s="1"/>
  <c r="D22" i="38"/>
  <c r="M22" i="38" s="1"/>
  <c r="F21" i="38"/>
  <c r="G21" i="38" s="1"/>
  <c r="D21" i="38"/>
  <c r="F20" i="38"/>
  <c r="G20" i="38" s="1"/>
  <c r="D20" i="38"/>
  <c r="L20" i="38" s="1"/>
  <c r="F19" i="38"/>
  <c r="G19" i="38" s="1"/>
  <c r="D19" i="38"/>
  <c r="F18" i="38"/>
  <c r="G18" i="38" s="1"/>
  <c r="D18" i="38"/>
  <c r="Q17" i="38"/>
  <c r="F17" i="38"/>
  <c r="G17" i="38" s="1"/>
  <c r="D17" i="38"/>
  <c r="Q16" i="38"/>
  <c r="F16" i="38"/>
  <c r="G16" i="38" s="1"/>
  <c r="D16" i="38"/>
  <c r="G15" i="38"/>
  <c r="F15" i="38"/>
  <c r="D15" i="38"/>
  <c r="M15" i="38" s="1"/>
  <c r="F14" i="38"/>
  <c r="G14" i="38" s="1"/>
  <c r="D14" i="38"/>
  <c r="M14" i="38" s="1"/>
  <c r="F13" i="38"/>
  <c r="G13" i="38" s="1"/>
  <c r="D13" i="38"/>
  <c r="F12" i="38"/>
  <c r="G12" i="38" s="1"/>
  <c r="D12" i="38"/>
  <c r="F11" i="38"/>
  <c r="G11" i="38" s="1"/>
  <c r="D11" i="38"/>
  <c r="F10" i="38"/>
  <c r="G10" i="38" s="1"/>
  <c r="D10" i="38"/>
  <c r="G9" i="38"/>
  <c r="F9" i="38"/>
  <c r="D9" i="38"/>
  <c r="M9" i="38" s="1"/>
  <c r="F8" i="38"/>
  <c r="G8" i="38" s="1"/>
  <c r="D8" i="38"/>
  <c r="J7" i="38"/>
  <c r="I7" i="38"/>
  <c r="H7" i="38"/>
  <c r="E7" i="38"/>
  <c r="J3" i="38"/>
  <c r="I3" i="38"/>
  <c r="H3" i="38"/>
  <c r="G3" i="38"/>
  <c r="F3" i="38"/>
  <c r="D95" i="37"/>
  <c r="E95" i="37" s="1"/>
  <c r="F95" i="37" s="1"/>
  <c r="G95" i="37" s="1"/>
  <c r="H95" i="37" s="1"/>
  <c r="I95" i="37" s="1"/>
  <c r="J95" i="37" s="1"/>
  <c r="K95" i="37" s="1"/>
  <c r="L95" i="37" s="1"/>
  <c r="M95" i="37" s="1"/>
  <c r="N95" i="37" s="1"/>
  <c r="O95" i="37" s="1"/>
  <c r="P95" i="37" s="1"/>
  <c r="Q95" i="37" s="1"/>
  <c r="R95" i="37" s="1"/>
  <c r="S95" i="37" s="1"/>
  <c r="T95" i="37" s="1"/>
  <c r="U95" i="37" s="1"/>
  <c r="V95" i="37" s="1"/>
  <c r="W95" i="37" s="1"/>
  <c r="X95" i="37" s="1"/>
  <c r="Y95" i="37" s="1"/>
  <c r="Z95" i="37" s="1"/>
  <c r="AA95" i="37" s="1"/>
  <c r="AB95" i="37" s="1"/>
  <c r="AC95" i="37" s="1"/>
  <c r="AD95" i="37" s="1"/>
  <c r="AE95" i="37" s="1"/>
  <c r="AF95" i="37" s="1"/>
  <c r="AG95" i="37" s="1"/>
  <c r="AH95" i="37" s="1"/>
  <c r="AI95" i="37" s="1"/>
  <c r="AJ95" i="37" s="1"/>
  <c r="AK95" i="37" s="1"/>
  <c r="AL95" i="37" s="1"/>
  <c r="AM95" i="37" s="1"/>
  <c r="AN95" i="37" s="1"/>
  <c r="AO95" i="37" s="1"/>
  <c r="AP95" i="37" s="1"/>
  <c r="AQ95" i="37" s="1"/>
  <c r="AR95" i="37" s="1"/>
  <c r="AS95" i="37" s="1"/>
  <c r="AT95" i="37" s="1"/>
  <c r="AU95" i="37" s="1"/>
  <c r="AV95" i="37" s="1"/>
  <c r="AW95" i="37" s="1"/>
  <c r="AX95" i="37" s="1"/>
  <c r="AY95" i="37" s="1"/>
  <c r="AZ95" i="37" s="1"/>
  <c r="BA95" i="37" s="1"/>
  <c r="BB95" i="37" s="1"/>
  <c r="BC95" i="37" s="1"/>
  <c r="BD95" i="37" s="1"/>
  <c r="BE95" i="37" s="1"/>
  <c r="BF95" i="37" s="1"/>
  <c r="BG95" i="37" s="1"/>
  <c r="K91" i="37"/>
  <c r="W84" i="37"/>
  <c r="S84" i="37"/>
  <c r="Q84" i="37"/>
  <c r="O84" i="37"/>
  <c r="M84" i="37"/>
  <c r="L84" i="37"/>
  <c r="J84" i="37"/>
  <c r="H84" i="37"/>
  <c r="G84" i="37"/>
  <c r="AA82" i="37"/>
  <c r="AA83" i="37" s="1"/>
  <c r="P82" i="37"/>
  <c r="P83" i="37" s="1"/>
  <c r="K82" i="37"/>
  <c r="W79" i="37"/>
  <c r="S79" i="37"/>
  <c r="Q79" i="37"/>
  <c r="O79" i="37"/>
  <c r="M79" i="37"/>
  <c r="L79" i="37"/>
  <c r="J79" i="37"/>
  <c r="H79" i="37"/>
  <c r="G79" i="37"/>
  <c r="AA77" i="37"/>
  <c r="AA78" i="37" s="1"/>
  <c r="P77" i="37"/>
  <c r="P78" i="37" s="1"/>
  <c r="K77" i="37"/>
  <c r="K78" i="37" s="1"/>
  <c r="AA75" i="37"/>
  <c r="P75" i="37"/>
  <c r="K75" i="37"/>
  <c r="AA74" i="37"/>
  <c r="P74" i="37"/>
  <c r="K74" i="37"/>
  <c r="F74" i="37"/>
  <c r="E74" i="37"/>
  <c r="AH66" i="37"/>
  <c r="AD66" i="37"/>
  <c r="AB66" i="37"/>
  <c r="W66" i="37"/>
  <c r="S66" i="37"/>
  <c r="Q66" i="37"/>
  <c r="O66" i="37"/>
  <c r="M66" i="37"/>
  <c r="L66" i="37"/>
  <c r="J66" i="37"/>
  <c r="H66" i="37"/>
  <c r="G66" i="37"/>
  <c r="AL64" i="37"/>
  <c r="AL65" i="37" s="1"/>
  <c r="AA64" i="37"/>
  <c r="AA65" i="37" s="1"/>
  <c r="P64" i="37"/>
  <c r="P65" i="37" s="1"/>
  <c r="K64" i="37"/>
  <c r="AH61" i="37"/>
  <c r="AD61" i="37"/>
  <c r="AB61" i="37"/>
  <c r="W61" i="37"/>
  <c r="S61" i="37"/>
  <c r="Q61" i="37"/>
  <c r="O61" i="37"/>
  <c r="M61" i="37"/>
  <c r="L61" i="37"/>
  <c r="J61" i="37"/>
  <c r="H61" i="37"/>
  <c r="G61" i="37"/>
  <c r="AL59" i="37"/>
  <c r="AL60" i="37" s="1"/>
  <c r="AA59" i="37"/>
  <c r="AA60" i="37" s="1"/>
  <c r="P59" i="37"/>
  <c r="P60" i="37" s="1"/>
  <c r="K59" i="37"/>
  <c r="AL57" i="37"/>
  <c r="AA57" i="37"/>
  <c r="P57" i="37"/>
  <c r="K57" i="37"/>
  <c r="AL56" i="37"/>
  <c r="AA56" i="37"/>
  <c r="P56" i="37"/>
  <c r="K56" i="37"/>
  <c r="F55" i="37"/>
  <c r="E55" i="37"/>
  <c r="BE49" i="37"/>
  <c r="BD49" i="37"/>
  <c r="BC49" i="37"/>
  <c r="BB49" i="37"/>
  <c r="BA49" i="37"/>
  <c r="BI49" i="37" s="1"/>
  <c r="C48" i="37"/>
  <c r="C47" i="37"/>
  <c r="C46" i="37"/>
  <c r="C45" i="37"/>
  <c r="BC42" i="37"/>
  <c r="BB42" i="37"/>
  <c r="BA42" i="37"/>
  <c r="BI42" i="37" s="1"/>
  <c r="AV42" i="37"/>
  <c r="AU42" i="37"/>
  <c r="AK42" i="37"/>
  <c r="AJ42" i="37"/>
  <c r="Z42" i="37"/>
  <c r="Y42" i="37"/>
  <c r="J42" i="37"/>
  <c r="C41" i="37"/>
  <c r="C39" i="37"/>
  <c r="C36" i="37"/>
  <c r="C35" i="37"/>
  <c r="C34" i="37"/>
  <c r="C31" i="37"/>
  <c r="A30" i="37"/>
  <c r="A31" i="37" s="1"/>
  <c r="A32" i="37" s="1"/>
  <c r="A33" i="37" s="1"/>
  <c r="A44" i="37" s="1"/>
  <c r="AW22" i="37"/>
  <c r="AW21" i="37" s="1"/>
  <c r="AW3" i="37" s="1"/>
  <c r="AL22" i="37"/>
  <c r="AL21" i="37" s="1"/>
  <c r="AA22" i="37"/>
  <c r="AV21" i="37"/>
  <c r="AU21" i="37"/>
  <c r="AU3" i="37" s="1"/>
  <c r="AK21" i="37"/>
  <c r="AK3" i="37" s="1"/>
  <c r="AJ21" i="37"/>
  <c r="Z21" i="37"/>
  <c r="Z3" i="37" s="1"/>
  <c r="P21" i="37"/>
  <c r="P3" i="37" s="1"/>
  <c r="K21" i="37"/>
  <c r="K3" i="37" s="1"/>
  <c r="BK20" i="37"/>
  <c r="AW19" i="37"/>
  <c r="AW18" i="37" s="1"/>
  <c r="AL19" i="37"/>
  <c r="AL18" i="37" s="1"/>
  <c r="AA19" i="37"/>
  <c r="AV18" i="37"/>
  <c r="AU18" i="37"/>
  <c r="AK18" i="37"/>
  <c r="AJ18" i="37"/>
  <c r="Z18" i="37"/>
  <c r="Y18" i="37"/>
  <c r="P18" i="37"/>
  <c r="K18" i="37"/>
  <c r="AT16" i="37"/>
  <c r="AR16" i="37"/>
  <c r="AP16" i="37"/>
  <c r="AN16" i="37"/>
  <c r="AI16" i="37"/>
  <c r="AH16" i="37"/>
  <c r="AE16" i="37"/>
  <c r="AD16" i="37"/>
  <c r="AC16" i="37"/>
  <c r="AB16" i="37"/>
  <c r="X16" i="37"/>
  <c r="W16" i="37"/>
  <c r="T16" i="37"/>
  <c r="S16" i="37"/>
  <c r="R16" i="37"/>
  <c r="Q16" i="37"/>
  <c r="N16" i="37"/>
  <c r="K16" i="37"/>
  <c r="H16" i="37"/>
  <c r="G16" i="37"/>
  <c r="AT15" i="37"/>
  <c r="AS15" i="37"/>
  <c r="AR15" i="37"/>
  <c r="AQ15" i="37"/>
  <c r="AP15" i="37"/>
  <c r="AO15" i="37"/>
  <c r="AN15" i="37"/>
  <c r="AM15" i="37"/>
  <c r="AI15" i="37"/>
  <c r="AH15" i="37"/>
  <c r="AE15" i="37"/>
  <c r="AD15" i="37"/>
  <c r="AC15" i="37"/>
  <c r="AB15" i="37"/>
  <c r="X15" i="37"/>
  <c r="W15" i="37"/>
  <c r="T15" i="37"/>
  <c r="S15" i="37"/>
  <c r="R15" i="37"/>
  <c r="Q15" i="37"/>
  <c r="N15" i="37"/>
  <c r="J15" i="37"/>
  <c r="O15" i="37" s="1"/>
  <c r="H15" i="37"/>
  <c r="G15" i="37"/>
  <c r="AT14" i="37"/>
  <c r="AS14" i="37"/>
  <c r="AR14" i="37"/>
  <c r="AQ14" i="37"/>
  <c r="AP14" i="37"/>
  <c r="AO14" i="37"/>
  <c r="AN14" i="37"/>
  <c r="AM14" i="37"/>
  <c r="AI14" i="37"/>
  <c r="AH14" i="37"/>
  <c r="AE14" i="37"/>
  <c r="AD14" i="37"/>
  <c r="AC14" i="37"/>
  <c r="AB14" i="37"/>
  <c r="X14" i="37"/>
  <c r="W14" i="37"/>
  <c r="T14" i="37"/>
  <c r="S14" i="37"/>
  <c r="R14" i="37"/>
  <c r="Q14" i="37"/>
  <c r="N14" i="37"/>
  <c r="J14" i="37"/>
  <c r="O14" i="37" s="1"/>
  <c r="H14" i="37"/>
  <c r="G14" i="37"/>
  <c r="AT13" i="37"/>
  <c r="AS13" i="37"/>
  <c r="AR13" i="37"/>
  <c r="AQ13" i="37"/>
  <c r="AP13" i="37"/>
  <c r="AO13" i="37"/>
  <c r="AN13" i="37"/>
  <c r="AM13" i="37"/>
  <c r="AI13" i="37"/>
  <c r="AH13" i="37"/>
  <c r="AE13" i="37"/>
  <c r="AD13" i="37"/>
  <c r="AC13" i="37"/>
  <c r="AB13" i="37"/>
  <c r="X13" i="37"/>
  <c r="W13" i="37"/>
  <c r="T13" i="37"/>
  <c r="S13" i="37"/>
  <c r="R13" i="37"/>
  <c r="Q13" i="37"/>
  <c r="N13" i="37"/>
  <c r="N12" i="37" s="1"/>
  <c r="J13" i="37"/>
  <c r="O13" i="37" s="1"/>
  <c r="H13" i="37"/>
  <c r="H12" i="37" s="1"/>
  <c r="G13" i="37"/>
  <c r="AT12" i="37"/>
  <c r="AH12" i="37"/>
  <c r="V12" i="37"/>
  <c r="U12" i="37"/>
  <c r="T12" i="37"/>
  <c r="I12" i="37"/>
  <c r="B12" i="37"/>
  <c r="B16" i="37" s="1"/>
  <c r="B17" i="37" s="1"/>
  <c r="B18" i="37" s="1"/>
  <c r="B21" i="37" s="1"/>
  <c r="B24" i="37" s="1"/>
  <c r="B25" i="37" s="1"/>
  <c r="AT11" i="37"/>
  <c r="AS11" i="37"/>
  <c r="AR11" i="37"/>
  <c r="AQ11" i="37"/>
  <c r="AP11" i="37"/>
  <c r="AO11" i="37"/>
  <c r="AN11" i="37"/>
  <c r="AM11" i="37"/>
  <c r="AI11" i="37"/>
  <c r="AH11" i="37"/>
  <c r="AE11" i="37"/>
  <c r="AD11" i="37"/>
  <c r="AC11" i="37"/>
  <c r="AB11" i="37"/>
  <c r="X11" i="37"/>
  <c r="W11" i="37"/>
  <c r="T11" i="37"/>
  <c r="S11" i="37"/>
  <c r="R11" i="37"/>
  <c r="Q11" i="37"/>
  <c r="N11" i="37"/>
  <c r="J11" i="37"/>
  <c r="O11" i="37" s="1"/>
  <c r="H11" i="37"/>
  <c r="G11" i="37"/>
  <c r="C9" i="37"/>
  <c r="D9" i="37" s="1"/>
  <c r="E9" i="37" s="1"/>
  <c r="F9" i="37" s="1"/>
  <c r="G9" i="37" s="1"/>
  <c r="H9" i="37" s="1"/>
  <c r="I9" i="37" s="1"/>
  <c r="J9" i="37" s="1"/>
  <c r="K9" i="37" s="1"/>
  <c r="L9" i="37" s="1"/>
  <c r="M9" i="37" s="1"/>
  <c r="N9" i="37" s="1"/>
  <c r="O9" i="37" s="1"/>
  <c r="P9" i="37" s="1"/>
  <c r="Q9" i="37" s="1"/>
  <c r="S9" i="37" s="1"/>
  <c r="U9" i="37" s="1"/>
  <c r="W9" i="37" s="1"/>
  <c r="AA9" i="37" s="1"/>
  <c r="AB9" i="37" s="1"/>
  <c r="AD9" i="37" s="1"/>
  <c r="AF9" i="37" s="1"/>
  <c r="AH9" i="37" s="1"/>
  <c r="AL9" i="37" s="1"/>
  <c r="AM9" i="37" s="1"/>
  <c r="AO9" i="37" s="1"/>
  <c r="AQ9" i="37" s="1"/>
  <c r="AS9" i="37" s="1"/>
  <c r="AW9" i="37" s="1"/>
  <c r="AV3" i="37"/>
  <c r="AL2" i="37"/>
  <c r="Y2" i="37"/>
  <c r="AA2" i="37" s="1"/>
  <c r="AL1" i="37"/>
  <c r="AA1" i="37"/>
  <c r="AW151" i="36"/>
  <c r="AT151" i="36"/>
  <c r="AS151" i="36"/>
  <c r="AR151" i="36"/>
  <c r="AQ151" i="36"/>
  <c r="AP151" i="36"/>
  <c r="AO151" i="36"/>
  <c r="AN151" i="36"/>
  <c r="AV151" i="36" s="1"/>
  <c r="AM151" i="36"/>
  <c r="AU151" i="36" s="1"/>
  <c r="AI151" i="36"/>
  <c r="AH151" i="36"/>
  <c r="AG151" i="36"/>
  <c r="AF151" i="36"/>
  <c r="AE151" i="36"/>
  <c r="AD151" i="36"/>
  <c r="AC151" i="36"/>
  <c r="AK151" i="36" s="1"/>
  <c r="AB151" i="36"/>
  <c r="X151" i="36"/>
  <c r="W151" i="36"/>
  <c r="V151" i="36"/>
  <c r="U151" i="36"/>
  <c r="T151" i="36"/>
  <c r="S151" i="36"/>
  <c r="R151" i="36"/>
  <c r="Z151" i="36" s="1"/>
  <c r="Q151" i="36"/>
  <c r="Y151" i="36" s="1"/>
  <c r="O151" i="36"/>
  <c r="N151" i="36"/>
  <c r="M151" i="36"/>
  <c r="L151" i="36"/>
  <c r="J151" i="36"/>
  <c r="I151" i="36"/>
  <c r="BC151" i="36" s="1"/>
  <c r="H151" i="36"/>
  <c r="G151" i="36"/>
  <c r="A132" i="36"/>
  <c r="A133" i="36" s="1"/>
  <c r="A134" i="36" s="1"/>
  <c r="A135" i="36" s="1"/>
  <c r="A146" i="36" s="1"/>
  <c r="AX128" i="36"/>
  <c r="BD123" i="36"/>
  <c r="BC123" i="36"/>
  <c r="BB123" i="36"/>
  <c r="BA123" i="36"/>
  <c r="BI123" i="36" s="1"/>
  <c r="AV123" i="36"/>
  <c r="AU123" i="36"/>
  <c r="AK123" i="36"/>
  <c r="AJ123" i="36"/>
  <c r="Z123" i="36"/>
  <c r="Y123" i="36"/>
  <c r="A104" i="36"/>
  <c r="A105" i="36" s="1"/>
  <c r="A106" i="36" s="1"/>
  <c r="A107" i="36" s="1"/>
  <c r="A118" i="36" s="1"/>
  <c r="AX100" i="36"/>
  <c r="AW99" i="36"/>
  <c r="F97" i="36"/>
  <c r="D95" i="36"/>
  <c r="E95" i="36" s="1"/>
  <c r="F95" i="36" s="1"/>
  <c r="G95" i="36" s="1"/>
  <c r="H95" i="36" s="1"/>
  <c r="I95" i="36" s="1"/>
  <c r="J95" i="36" s="1"/>
  <c r="K95" i="36" s="1"/>
  <c r="L95" i="36" s="1"/>
  <c r="M95" i="36" s="1"/>
  <c r="N95" i="36" s="1"/>
  <c r="O95" i="36" s="1"/>
  <c r="P95" i="36" s="1"/>
  <c r="Q95" i="36" s="1"/>
  <c r="R95" i="36" s="1"/>
  <c r="S95" i="36" s="1"/>
  <c r="T95" i="36" s="1"/>
  <c r="U95" i="36" s="1"/>
  <c r="V95" i="36" s="1"/>
  <c r="W95" i="36" s="1"/>
  <c r="X95" i="36" s="1"/>
  <c r="Y95" i="36" s="1"/>
  <c r="Z95" i="36" s="1"/>
  <c r="AA95" i="36" s="1"/>
  <c r="AB95" i="36" s="1"/>
  <c r="AC95" i="36" s="1"/>
  <c r="AD95" i="36" s="1"/>
  <c r="AE95" i="36" s="1"/>
  <c r="AF95" i="36" s="1"/>
  <c r="AG95" i="36" s="1"/>
  <c r="AH95" i="36" s="1"/>
  <c r="AI95" i="36" s="1"/>
  <c r="AJ95" i="36" s="1"/>
  <c r="AK95" i="36" s="1"/>
  <c r="AL95" i="36" s="1"/>
  <c r="AM95" i="36" s="1"/>
  <c r="AN95" i="36" s="1"/>
  <c r="AO95" i="36" s="1"/>
  <c r="AP95" i="36" s="1"/>
  <c r="AQ95" i="36" s="1"/>
  <c r="AR95" i="36" s="1"/>
  <c r="AS95" i="36" s="1"/>
  <c r="AT95" i="36" s="1"/>
  <c r="AU95" i="36" s="1"/>
  <c r="AV95" i="36" s="1"/>
  <c r="AW95" i="36" s="1"/>
  <c r="AX95" i="36" s="1"/>
  <c r="AY95" i="36" s="1"/>
  <c r="AZ95" i="36" s="1"/>
  <c r="BA95" i="36" s="1"/>
  <c r="BB95" i="36" s="1"/>
  <c r="BC95" i="36" s="1"/>
  <c r="BD95" i="36" s="1"/>
  <c r="BE95" i="36" s="1"/>
  <c r="BF95" i="36" s="1"/>
  <c r="BG95" i="36" s="1"/>
  <c r="K91" i="36"/>
  <c r="W84" i="36"/>
  <c r="S84" i="36"/>
  <c r="Q84" i="36"/>
  <c r="O84" i="36"/>
  <c r="M84" i="36"/>
  <c r="L84" i="36"/>
  <c r="J84" i="36"/>
  <c r="H84" i="36"/>
  <c r="G84" i="36"/>
  <c r="AA82" i="36"/>
  <c r="AA83" i="36" s="1"/>
  <c r="P82" i="36"/>
  <c r="P83" i="36" s="1"/>
  <c r="K82" i="36"/>
  <c r="W79" i="36"/>
  <c r="S79" i="36"/>
  <c r="Q79" i="36"/>
  <c r="O79" i="36"/>
  <c r="M79" i="36"/>
  <c r="L79" i="36"/>
  <c r="J79" i="36"/>
  <c r="H79" i="36"/>
  <c r="G79" i="36"/>
  <c r="AA77" i="36"/>
  <c r="AA78" i="36" s="1"/>
  <c r="P77" i="36"/>
  <c r="P78" i="36" s="1"/>
  <c r="K77" i="36"/>
  <c r="K78" i="36" s="1"/>
  <c r="AA75" i="36"/>
  <c r="P75" i="36"/>
  <c r="K75" i="36"/>
  <c r="AA74" i="36"/>
  <c r="P74" i="36"/>
  <c r="K74" i="36"/>
  <c r="F74" i="36"/>
  <c r="E74" i="36"/>
  <c r="AH66" i="36"/>
  <c r="AD66" i="36"/>
  <c r="AB66" i="36"/>
  <c r="W66" i="36"/>
  <c r="S66" i="36"/>
  <c r="Q66" i="36"/>
  <c r="O66" i="36"/>
  <c r="M66" i="36"/>
  <c r="L66" i="36"/>
  <c r="J66" i="36"/>
  <c r="H66" i="36"/>
  <c r="G66" i="36"/>
  <c r="AL64" i="36"/>
  <c r="AL65" i="36" s="1"/>
  <c r="AA64" i="36"/>
  <c r="AA65" i="36" s="1"/>
  <c r="P64" i="36"/>
  <c r="P65" i="36" s="1"/>
  <c r="K64" i="36"/>
  <c r="AH61" i="36"/>
  <c r="AD61" i="36"/>
  <c r="AB61" i="36"/>
  <c r="W61" i="36"/>
  <c r="S61" i="36"/>
  <c r="Q61" i="36"/>
  <c r="O61" i="36"/>
  <c r="M61" i="36"/>
  <c r="L61" i="36"/>
  <c r="J61" i="36"/>
  <c r="H61" i="36"/>
  <c r="G61" i="36"/>
  <c r="AL59" i="36"/>
  <c r="AL60" i="36" s="1"/>
  <c r="AA59" i="36"/>
  <c r="AA60" i="36" s="1"/>
  <c r="P59" i="36"/>
  <c r="P60" i="36" s="1"/>
  <c r="K59" i="36"/>
  <c r="AL57" i="36"/>
  <c r="AA57" i="36"/>
  <c r="P57" i="36"/>
  <c r="K57" i="36"/>
  <c r="AL56" i="36"/>
  <c r="AA56" i="36"/>
  <c r="P56" i="36"/>
  <c r="K56" i="36"/>
  <c r="F55" i="36"/>
  <c r="E55" i="36"/>
  <c r="BE49" i="36"/>
  <c r="BD49" i="36"/>
  <c r="BC49" i="36"/>
  <c r="BB49" i="36"/>
  <c r="BJ49" i="36" s="1"/>
  <c r="BA49" i="36"/>
  <c r="C48" i="36"/>
  <c r="C47" i="36"/>
  <c r="AW148" i="36"/>
  <c r="C46" i="36"/>
  <c r="C45" i="36"/>
  <c r="AW146" i="36"/>
  <c r="AW144" i="36"/>
  <c r="C41" i="36"/>
  <c r="C39" i="36"/>
  <c r="C36" i="36"/>
  <c r="AW138" i="36" s="1"/>
  <c r="C35" i="36"/>
  <c r="C34" i="36"/>
  <c r="C31" i="36"/>
  <c r="A30" i="36"/>
  <c r="A31" i="36" s="1"/>
  <c r="A32" i="36" s="1"/>
  <c r="A33" i="36" s="1"/>
  <c r="A44" i="36" s="1"/>
  <c r="AW130" i="36"/>
  <c r="AW129" i="36"/>
  <c r="BK23" i="36"/>
  <c r="AL21" i="36"/>
  <c r="AK21" i="36"/>
  <c r="AJ21" i="36"/>
  <c r="AA21" i="36"/>
  <c r="Z21" i="36"/>
  <c r="Y21" i="36"/>
  <c r="P21" i="36"/>
  <c r="K21" i="36"/>
  <c r="K3" i="36" s="1"/>
  <c r="BE19" i="36"/>
  <c r="AL18" i="36"/>
  <c r="AK18" i="36"/>
  <c r="AJ18" i="36"/>
  <c r="Z18" i="36"/>
  <c r="Y18" i="36"/>
  <c r="P18" i="36"/>
  <c r="K18" i="36"/>
  <c r="BK17" i="36"/>
  <c r="AT16" i="36"/>
  <c r="AS16" i="36" s="1"/>
  <c r="AR16" i="36"/>
  <c r="AQ16" i="36" s="1"/>
  <c r="AP16" i="36"/>
  <c r="AO16" i="36" s="1"/>
  <c r="AN16" i="36"/>
  <c r="AM16" i="36" s="1"/>
  <c r="AI16" i="36"/>
  <c r="AH16" i="36"/>
  <c r="AG16" i="36"/>
  <c r="AE16" i="36"/>
  <c r="AD16" i="36"/>
  <c r="AC16" i="36"/>
  <c r="AB16" i="36"/>
  <c r="X16" i="36"/>
  <c r="W16" i="36"/>
  <c r="T16" i="36"/>
  <c r="S16" i="36"/>
  <c r="R16" i="36"/>
  <c r="Q16" i="36"/>
  <c r="N16" i="36"/>
  <c r="K16" i="36"/>
  <c r="H16" i="36"/>
  <c r="G16" i="36"/>
  <c r="AT15" i="36"/>
  <c r="AS15" i="36"/>
  <c r="AR15" i="36"/>
  <c r="AQ15" i="36"/>
  <c r="AP15" i="36"/>
  <c r="AO15" i="36"/>
  <c r="AN15" i="36"/>
  <c r="AM15" i="36"/>
  <c r="AI15" i="36"/>
  <c r="AH15" i="36"/>
  <c r="AG15" i="36"/>
  <c r="AF15" i="36"/>
  <c r="AE15" i="36"/>
  <c r="AD15" i="36"/>
  <c r="AC15" i="36"/>
  <c r="AB15" i="36"/>
  <c r="X15" i="36"/>
  <c r="W15" i="36"/>
  <c r="T15" i="36"/>
  <c r="S15" i="36"/>
  <c r="R15" i="36"/>
  <c r="Q15" i="36"/>
  <c r="N15" i="36"/>
  <c r="J15" i="36"/>
  <c r="H15" i="36"/>
  <c r="G15" i="36"/>
  <c r="AT14" i="36"/>
  <c r="AS14" i="36"/>
  <c r="AR14" i="36"/>
  <c r="AQ14" i="36"/>
  <c r="AP14" i="36"/>
  <c r="AO14" i="36"/>
  <c r="AN14" i="36"/>
  <c r="AM14" i="36"/>
  <c r="AI14" i="36"/>
  <c r="AH14" i="36"/>
  <c r="AG14" i="36"/>
  <c r="AF14" i="36"/>
  <c r="AE14" i="36"/>
  <c r="AD14" i="36"/>
  <c r="AC14" i="36"/>
  <c r="AB14" i="36"/>
  <c r="X14" i="36"/>
  <c r="W14" i="36"/>
  <c r="T14" i="36"/>
  <c r="S14" i="36"/>
  <c r="R14" i="36"/>
  <c r="Q14" i="36"/>
  <c r="N14" i="36"/>
  <c r="J14" i="36"/>
  <c r="O14" i="36" s="1"/>
  <c r="H14" i="36"/>
  <c r="G14" i="36"/>
  <c r="AT13" i="36"/>
  <c r="AS13" i="36"/>
  <c r="AS12" i="36" s="1"/>
  <c r="AR13" i="36"/>
  <c r="AQ13" i="36"/>
  <c r="AQ12" i="36" s="1"/>
  <c r="AP13" i="36"/>
  <c r="AO13" i="36"/>
  <c r="AO12" i="36" s="1"/>
  <c r="AN13" i="36"/>
  <c r="AM13" i="36"/>
  <c r="AM12" i="36" s="1"/>
  <c r="AI13" i="36"/>
  <c r="AI12" i="36" s="1"/>
  <c r="AH13" i="36"/>
  <c r="AG13" i="36"/>
  <c r="AG12" i="36" s="1"/>
  <c r="AF13" i="36"/>
  <c r="AE13" i="36"/>
  <c r="AE12" i="36" s="1"/>
  <c r="AD13" i="36"/>
  <c r="AC13" i="36"/>
  <c r="AC12" i="36" s="1"/>
  <c r="AB13" i="36"/>
  <c r="X13" i="36"/>
  <c r="W13" i="36"/>
  <c r="W12" i="36" s="1"/>
  <c r="T13" i="36"/>
  <c r="S13" i="36"/>
  <c r="S12" i="36" s="1"/>
  <c r="R13" i="36"/>
  <c r="Q13" i="36"/>
  <c r="Q12" i="36" s="1"/>
  <c r="N13" i="36"/>
  <c r="J13" i="36"/>
  <c r="H13" i="36"/>
  <c r="G13" i="36"/>
  <c r="G12" i="36" s="1"/>
  <c r="V12" i="36"/>
  <c r="U12" i="36"/>
  <c r="I12" i="36"/>
  <c r="B12" i="36"/>
  <c r="B16" i="36" s="1"/>
  <c r="B17" i="36" s="1"/>
  <c r="B18" i="36" s="1"/>
  <c r="B21" i="36" s="1"/>
  <c r="B24" i="36" s="1"/>
  <c r="B25" i="36" s="1"/>
  <c r="AT11" i="36"/>
  <c r="AS11" i="36"/>
  <c r="AR11" i="36"/>
  <c r="AQ11" i="36"/>
  <c r="AP11" i="36"/>
  <c r="AO11" i="36"/>
  <c r="AN11" i="36"/>
  <c r="AM11" i="36"/>
  <c r="AI11" i="36"/>
  <c r="AH11" i="36"/>
  <c r="AG11" i="36"/>
  <c r="AE11" i="36"/>
  <c r="AD11" i="36"/>
  <c r="AC11" i="36"/>
  <c r="AB11" i="36"/>
  <c r="X11" i="36"/>
  <c r="W11" i="36"/>
  <c r="T11" i="36"/>
  <c r="S11" i="36"/>
  <c r="R11" i="36"/>
  <c r="Q11" i="36"/>
  <c r="N11" i="36"/>
  <c r="J11" i="36"/>
  <c r="O11" i="36" s="1"/>
  <c r="H11" i="36"/>
  <c r="G11" i="36"/>
  <c r="C9" i="36"/>
  <c r="D9" i="36" s="1"/>
  <c r="E9" i="36" s="1"/>
  <c r="F9" i="36" s="1"/>
  <c r="G9" i="36" s="1"/>
  <c r="H9" i="36" s="1"/>
  <c r="I9" i="36" s="1"/>
  <c r="J9" i="36" s="1"/>
  <c r="K9" i="36" s="1"/>
  <c r="L9" i="36" s="1"/>
  <c r="M9" i="36" s="1"/>
  <c r="N9" i="36" s="1"/>
  <c r="O9" i="36" s="1"/>
  <c r="P9" i="36" s="1"/>
  <c r="Q9" i="36" s="1"/>
  <c r="S9" i="36" s="1"/>
  <c r="U9" i="36" s="1"/>
  <c r="W9" i="36" s="1"/>
  <c r="AA9" i="36" s="1"/>
  <c r="AB9" i="36" s="1"/>
  <c r="AD9" i="36" s="1"/>
  <c r="AF9" i="36" s="1"/>
  <c r="AH9" i="36" s="1"/>
  <c r="AL9" i="36" s="1"/>
  <c r="AM9" i="36" s="1"/>
  <c r="AO9" i="36" s="1"/>
  <c r="AQ9" i="36" s="1"/>
  <c r="AS9" i="36" s="1"/>
  <c r="AW9" i="36" s="1"/>
  <c r="AW3" i="36"/>
  <c r="AV3" i="36"/>
  <c r="AU3" i="36"/>
  <c r="AK3" i="36"/>
  <c r="Z3" i="36"/>
  <c r="P3" i="36"/>
  <c r="AL2" i="36"/>
  <c r="AL3" i="36" s="1"/>
  <c r="Y2" i="36"/>
  <c r="AA2" i="36" s="1"/>
  <c r="AL1" i="36"/>
  <c r="AA1" i="36"/>
  <c r="AW151" i="35"/>
  <c r="AT151" i="35"/>
  <c r="AS151" i="35"/>
  <c r="AR151" i="35"/>
  <c r="AQ151" i="35"/>
  <c r="AP151" i="35"/>
  <c r="AO151" i="35"/>
  <c r="AN151" i="35"/>
  <c r="AV151" i="35" s="1"/>
  <c r="AM151" i="35"/>
  <c r="AU151" i="35" s="1"/>
  <c r="AI151" i="35"/>
  <c r="AH151" i="35"/>
  <c r="AG151" i="35"/>
  <c r="AF151" i="35"/>
  <c r="AE151" i="35"/>
  <c r="AD151" i="35"/>
  <c r="AC151" i="35"/>
  <c r="AK151" i="35" s="1"/>
  <c r="AB151" i="35"/>
  <c r="AJ151" i="35" s="1"/>
  <c r="X151" i="35"/>
  <c r="W151" i="35"/>
  <c r="V151" i="35"/>
  <c r="U151" i="35"/>
  <c r="T151" i="35"/>
  <c r="S151" i="35"/>
  <c r="R151" i="35"/>
  <c r="Z151" i="35" s="1"/>
  <c r="Q151" i="35"/>
  <c r="Y151" i="35" s="1"/>
  <c r="O151" i="35"/>
  <c r="N151" i="35"/>
  <c r="M151" i="35"/>
  <c r="L151" i="35"/>
  <c r="J151" i="35"/>
  <c r="I151" i="35"/>
  <c r="BC151" i="35" s="1"/>
  <c r="H151" i="35"/>
  <c r="G151" i="35"/>
  <c r="A132" i="35"/>
  <c r="A133" i="35" s="1"/>
  <c r="A134" i="35" s="1"/>
  <c r="A135" i="35" s="1"/>
  <c r="A146" i="35" s="1"/>
  <c r="AX128" i="35"/>
  <c r="BI123" i="35"/>
  <c r="BD123" i="35"/>
  <c r="BC123" i="35"/>
  <c r="BB123" i="35"/>
  <c r="BA123" i="35"/>
  <c r="AV123" i="35"/>
  <c r="AU123" i="35"/>
  <c r="AK123" i="35"/>
  <c r="AJ123" i="35"/>
  <c r="Z123" i="35"/>
  <c r="Y123" i="35"/>
  <c r="A104" i="35"/>
  <c r="A105" i="35" s="1"/>
  <c r="A106" i="35" s="1"/>
  <c r="A107" i="35" s="1"/>
  <c r="A118" i="35" s="1"/>
  <c r="AX100" i="35"/>
  <c r="AW99" i="35"/>
  <c r="F97" i="35"/>
  <c r="F95" i="35"/>
  <c r="G95" i="35" s="1"/>
  <c r="H95" i="35" s="1"/>
  <c r="I95" i="35" s="1"/>
  <c r="J95" i="35" s="1"/>
  <c r="K95" i="35" s="1"/>
  <c r="L95" i="35" s="1"/>
  <c r="M95" i="35" s="1"/>
  <c r="N95" i="35" s="1"/>
  <c r="O95" i="35" s="1"/>
  <c r="P95" i="35" s="1"/>
  <c r="Q95" i="35" s="1"/>
  <c r="R95" i="35" s="1"/>
  <c r="S95" i="35" s="1"/>
  <c r="T95" i="35" s="1"/>
  <c r="U95" i="35" s="1"/>
  <c r="V95" i="35" s="1"/>
  <c r="W95" i="35" s="1"/>
  <c r="X95" i="35" s="1"/>
  <c r="Y95" i="35" s="1"/>
  <c r="Z95" i="35" s="1"/>
  <c r="AA95" i="35" s="1"/>
  <c r="AB95" i="35" s="1"/>
  <c r="AC95" i="35" s="1"/>
  <c r="AD95" i="35" s="1"/>
  <c r="AE95" i="35" s="1"/>
  <c r="AF95" i="35" s="1"/>
  <c r="AG95" i="35" s="1"/>
  <c r="AH95" i="35" s="1"/>
  <c r="AI95" i="35" s="1"/>
  <c r="AJ95" i="35" s="1"/>
  <c r="AK95" i="35" s="1"/>
  <c r="AL95" i="35" s="1"/>
  <c r="AM95" i="35" s="1"/>
  <c r="AN95" i="35" s="1"/>
  <c r="AO95" i="35" s="1"/>
  <c r="AP95" i="35" s="1"/>
  <c r="AQ95" i="35" s="1"/>
  <c r="AR95" i="35" s="1"/>
  <c r="AS95" i="35" s="1"/>
  <c r="AT95" i="35" s="1"/>
  <c r="AU95" i="35" s="1"/>
  <c r="AV95" i="35" s="1"/>
  <c r="AW95" i="35" s="1"/>
  <c r="AX95" i="35" s="1"/>
  <c r="AY95" i="35" s="1"/>
  <c r="AZ95" i="35" s="1"/>
  <c r="BA95" i="35" s="1"/>
  <c r="BB95" i="35" s="1"/>
  <c r="BC95" i="35" s="1"/>
  <c r="BD95" i="35" s="1"/>
  <c r="BE95" i="35" s="1"/>
  <c r="BF95" i="35" s="1"/>
  <c r="BG95" i="35" s="1"/>
  <c r="D95" i="35"/>
  <c r="E95" i="35" s="1"/>
  <c r="W84" i="35"/>
  <c r="S84" i="35"/>
  <c r="Q84" i="35"/>
  <c r="O84" i="35"/>
  <c r="M84" i="35"/>
  <c r="L84" i="35"/>
  <c r="J84" i="35"/>
  <c r="H84" i="35"/>
  <c r="G84" i="35"/>
  <c r="AA82" i="35"/>
  <c r="AA83" i="35" s="1"/>
  <c r="P82" i="35"/>
  <c r="P83" i="35" s="1"/>
  <c r="K82" i="35"/>
  <c r="K83" i="35" s="1"/>
  <c r="W79" i="35"/>
  <c r="S79" i="35"/>
  <c r="Q79" i="35"/>
  <c r="O79" i="35"/>
  <c r="M79" i="35"/>
  <c r="L79" i="35"/>
  <c r="J79" i="35"/>
  <c r="H79" i="35"/>
  <c r="G79" i="35"/>
  <c r="AA77" i="35"/>
  <c r="AA78" i="35" s="1"/>
  <c r="P77" i="35"/>
  <c r="P78" i="35" s="1"/>
  <c r="K77" i="35"/>
  <c r="AA75" i="35"/>
  <c r="P75" i="35"/>
  <c r="K75" i="35"/>
  <c r="AA74" i="35"/>
  <c r="P74" i="35"/>
  <c r="K74" i="35"/>
  <c r="F74" i="35"/>
  <c r="E74" i="35"/>
  <c r="AH66" i="35"/>
  <c r="AD66" i="35"/>
  <c r="AB66" i="35"/>
  <c r="W66" i="35"/>
  <c r="S66" i="35"/>
  <c r="Q66" i="35"/>
  <c r="O66" i="35"/>
  <c r="M66" i="35"/>
  <c r="L66" i="35"/>
  <c r="J66" i="35"/>
  <c r="H66" i="35"/>
  <c r="G66" i="35"/>
  <c r="AL64" i="35"/>
  <c r="AL65" i="35" s="1"/>
  <c r="AA64" i="35"/>
  <c r="AA65" i="35" s="1"/>
  <c r="P64" i="35"/>
  <c r="P65" i="35" s="1"/>
  <c r="K64" i="35"/>
  <c r="AH61" i="35"/>
  <c r="AD61" i="35"/>
  <c r="AB61" i="35"/>
  <c r="W61" i="35"/>
  <c r="S61" i="35"/>
  <c r="Q61" i="35"/>
  <c r="O61" i="35"/>
  <c r="M61" i="35"/>
  <c r="L61" i="35"/>
  <c r="J61" i="35"/>
  <c r="H61" i="35"/>
  <c r="G61" i="35"/>
  <c r="AL59" i="35"/>
  <c r="AL60" i="35" s="1"/>
  <c r="AA59" i="35"/>
  <c r="AA60" i="35" s="1"/>
  <c r="P59" i="35"/>
  <c r="P60" i="35" s="1"/>
  <c r="K59" i="35"/>
  <c r="AL57" i="35"/>
  <c r="AA57" i="35"/>
  <c r="P57" i="35"/>
  <c r="K57" i="35"/>
  <c r="AL56" i="35"/>
  <c r="AA56" i="35"/>
  <c r="P56" i="35"/>
  <c r="K56" i="35"/>
  <c r="F55" i="35"/>
  <c r="E55" i="35"/>
  <c r="BE49" i="35"/>
  <c r="BD49" i="35"/>
  <c r="BC49" i="35"/>
  <c r="BB49" i="35"/>
  <c r="BJ49" i="35" s="1"/>
  <c r="BA49" i="35"/>
  <c r="C48" i="35"/>
  <c r="C47" i="35"/>
  <c r="C46" i="35"/>
  <c r="C45" i="35"/>
  <c r="C41" i="35"/>
  <c r="C39" i="35"/>
  <c r="C36" i="35"/>
  <c r="C35" i="35"/>
  <c r="C34" i="35"/>
  <c r="C31" i="35"/>
  <c r="A30" i="35"/>
  <c r="A31" i="35" s="1"/>
  <c r="A32" i="35" s="1"/>
  <c r="A33" i="35" s="1"/>
  <c r="A44" i="35" s="1"/>
  <c r="AX26" i="35"/>
  <c r="AX24" i="35"/>
  <c r="AL21" i="35"/>
  <c r="AJ21" i="35"/>
  <c r="Z21" i="35"/>
  <c r="BK22" i="35"/>
  <c r="AK21" i="35"/>
  <c r="AA21" i="35"/>
  <c r="Y21" i="35"/>
  <c r="K21" i="35"/>
  <c r="BK20" i="35"/>
  <c r="AW18" i="35"/>
  <c r="AU18" i="35"/>
  <c r="AK18" i="35"/>
  <c r="AA18" i="35"/>
  <c r="Y18" i="35"/>
  <c r="AV18" i="35"/>
  <c r="AL18" i="35"/>
  <c r="AJ18" i="35"/>
  <c r="Z18" i="35"/>
  <c r="P18" i="35"/>
  <c r="AT16" i="35"/>
  <c r="AS16" i="35"/>
  <c r="AR16" i="35"/>
  <c r="AQ16" i="35"/>
  <c r="AP16" i="35"/>
  <c r="AO16" i="35"/>
  <c r="AN16" i="35"/>
  <c r="AM16" i="35"/>
  <c r="AI16" i="35"/>
  <c r="AH16" i="35"/>
  <c r="AG16" i="35"/>
  <c r="AE16" i="35"/>
  <c r="AD16" i="35"/>
  <c r="AC16" i="35"/>
  <c r="AB16" i="35"/>
  <c r="X16" i="35"/>
  <c r="W16" i="35"/>
  <c r="T16" i="35"/>
  <c r="S16" i="35"/>
  <c r="R16" i="35"/>
  <c r="Z16" i="35" s="1"/>
  <c r="Q16" i="35"/>
  <c r="N16" i="35"/>
  <c r="H16" i="35"/>
  <c r="G16" i="35"/>
  <c r="AT15" i="35"/>
  <c r="AS15" i="35"/>
  <c r="AR15" i="35"/>
  <c r="AQ15" i="35"/>
  <c r="AP15" i="35"/>
  <c r="AO15" i="35"/>
  <c r="AN15" i="35"/>
  <c r="AM15" i="35"/>
  <c r="AI15" i="35"/>
  <c r="AH15" i="35"/>
  <c r="AG15" i="35"/>
  <c r="AF15" i="35"/>
  <c r="AE15" i="35"/>
  <c r="AD15" i="35"/>
  <c r="AC15" i="35"/>
  <c r="AB15" i="35"/>
  <c r="X15" i="35"/>
  <c r="W15" i="35"/>
  <c r="T15" i="35"/>
  <c r="S15" i="35"/>
  <c r="R15" i="35"/>
  <c r="Q15" i="35"/>
  <c r="N15" i="35"/>
  <c r="J15" i="35"/>
  <c r="O15" i="35" s="1"/>
  <c r="H15" i="35"/>
  <c r="M15" i="35" s="1"/>
  <c r="G15" i="35"/>
  <c r="AT14" i="35"/>
  <c r="AS14" i="35"/>
  <c r="AR14" i="35"/>
  <c r="AQ14" i="35"/>
  <c r="AP14" i="35"/>
  <c r="AO14" i="35"/>
  <c r="AN14" i="35"/>
  <c r="AV14" i="35" s="1"/>
  <c r="AM14" i="35"/>
  <c r="AI14" i="35"/>
  <c r="AH14" i="35"/>
  <c r="AG14" i="35"/>
  <c r="AF14" i="35"/>
  <c r="AE14" i="35"/>
  <c r="AD14" i="35"/>
  <c r="AC14" i="35"/>
  <c r="AB14" i="35"/>
  <c r="X14" i="35"/>
  <c r="W14" i="35"/>
  <c r="T14" i="35"/>
  <c r="S14" i="35"/>
  <c r="R14" i="35"/>
  <c r="Q14" i="35"/>
  <c r="N14" i="35"/>
  <c r="J14" i="35"/>
  <c r="H14" i="35"/>
  <c r="G14" i="35"/>
  <c r="L14" i="35" s="1"/>
  <c r="AT13" i="35"/>
  <c r="AT12" i="35" s="1"/>
  <c r="AS13" i="35"/>
  <c r="AR13" i="35"/>
  <c r="AQ13" i="35"/>
  <c r="AP13" i="35"/>
  <c r="AP12" i="35" s="1"/>
  <c r="AO13" i="35"/>
  <c r="AN13" i="35"/>
  <c r="AN12" i="35" s="1"/>
  <c r="AM13" i="35"/>
  <c r="AI13" i="35"/>
  <c r="AH13" i="35"/>
  <c r="AG13" i="35"/>
  <c r="AF13" i="35"/>
  <c r="AE13" i="35"/>
  <c r="AD13" i="35"/>
  <c r="AC13" i="35"/>
  <c r="AK13" i="35" s="1"/>
  <c r="AB13" i="35"/>
  <c r="X13" i="35"/>
  <c r="W13" i="35"/>
  <c r="T13" i="35"/>
  <c r="S13" i="35"/>
  <c r="R13" i="35"/>
  <c r="Q13" i="35"/>
  <c r="N13" i="35"/>
  <c r="N12" i="35" s="1"/>
  <c r="J13" i="35"/>
  <c r="O13" i="35" s="1"/>
  <c r="H13" i="35"/>
  <c r="G13" i="35"/>
  <c r="AR12" i="35"/>
  <c r="V12" i="35"/>
  <c r="U12" i="35"/>
  <c r="I12" i="35"/>
  <c r="B12" i="35"/>
  <c r="B16" i="35" s="1"/>
  <c r="B17" i="35" s="1"/>
  <c r="B18" i="35" s="1"/>
  <c r="B21" i="35" s="1"/>
  <c r="B24" i="35" s="1"/>
  <c r="B25" i="35" s="1"/>
  <c r="AT11" i="35"/>
  <c r="AS11" i="35"/>
  <c r="AR11" i="35"/>
  <c r="AQ11" i="35"/>
  <c r="AP11" i="35"/>
  <c r="AO11" i="35"/>
  <c r="AN11" i="35"/>
  <c r="AM11" i="35"/>
  <c r="AU11" i="35" s="1"/>
  <c r="AI11" i="35"/>
  <c r="AH11" i="35"/>
  <c r="AG11" i="35"/>
  <c r="AE11" i="35"/>
  <c r="AD11" i="35"/>
  <c r="AC11" i="35"/>
  <c r="AB11" i="35"/>
  <c r="X11" i="35"/>
  <c r="W11" i="35"/>
  <c r="T11" i="35"/>
  <c r="S11" i="35"/>
  <c r="R11" i="35"/>
  <c r="Q11" i="35"/>
  <c r="N11" i="35"/>
  <c r="J11" i="35"/>
  <c r="H11" i="35"/>
  <c r="L11" i="35"/>
  <c r="C9" i="35"/>
  <c r="D9" i="35" s="1"/>
  <c r="E9" i="35" s="1"/>
  <c r="F9" i="35" s="1"/>
  <c r="G9" i="35" s="1"/>
  <c r="H9" i="35" s="1"/>
  <c r="I9" i="35" s="1"/>
  <c r="J9" i="35" s="1"/>
  <c r="K9" i="35" s="1"/>
  <c r="L9" i="35" s="1"/>
  <c r="M9" i="35" s="1"/>
  <c r="N9" i="35" s="1"/>
  <c r="O9" i="35" s="1"/>
  <c r="P9" i="35" s="1"/>
  <c r="Q9" i="35" s="1"/>
  <c r="S9" i="35" s="1"/>
  <c r="U9" i="35" s="1"/>
  <c r="W9" i="35" s="1"/>
  <c r="AA9" i="35" s="1"/>
  <c r="AB9" i="35" s="1"/>
  <c r="AD9" i="35" s="1"/>
  <c r="AF9" i="35" s="1"/>
  <c r="AH9" i="35" s="1"/>
  <c r="AL9" i="35" s="1"/>
  <c r="AM9" i="35" s="1"/>
  <c r="AO9" i="35" s="1"/>
  <c r="AQ9" i="35" s="1"/>
  <c r="AS9" i="35" s="1"/>
  <c r="AW9" i="35" s="1"/>
  <c r="C6" i="34"/>
  <c r="D6" i="34" s="1"/>
  <c r="E6" i="34" s="1"/>
  <c r="F6" i="34" s="1"/>
  <c r="AE51" i="33"/>
  <c r="AD51" i="33"/>
  <c r="AA51" i="33"/>
  <c r="H51" i="33"/>
  <c r="AE48" i="33"/>
  <c r="AD48" i="33"/>
  <c r="AA48" i="33"/>
  <c r="H48" i="33"/>
  <c r="AE47" i="33"/>
  <c r="AD47" i="33"/>
  <c r="AA47" i="33"/>
  <c r="H47" i="33"/>
  <c r="AE46" i="33"/>
  <c r="AD46" i="33"/>
  <c r="AA46" i="33"/>
  <c r="H46" i="33"/>
  <c r="E37" i="33"/>
  <c r="O33" i="33"/>
  <c r="C33" i="33"/>
  <c r="O32" i="33"/>
  <c r="O31" i="33"/>
  <c r="O30" i="33"/>
  <c r="R30" i="33" s="1"/>
  <c r="C30" i="33"/>
  <c r="O29" i="33"/>
  <c r="C29" i="33"/>
  <c r="D228" i="39" s="1"/>
  <c r="E228" i="39" s="1"/>
  <c r="O28" i="33"/>
  <c r="C28" i="33"/>
  <c r="AE28" i="33" s="1"/>
  <c r="O27" i="33"/>
  <c r="C27" i="33"/>
  <c r="D210" i="39" s="1"/>
  <c r="F210" i="39" s="1"/>
  <c r="O26" i="33"/>
  <c r="Q26" i="33" s="1"/>
  <c r="C26" i="33"/>
  <c r="D227" i="39" s="1"/>
  <c r="O25" i="33"/>
  <c r="C25" i="33"/>
  <c r="R24" i="33"/>
  <c r="Q24" i="33"/>
  <c r="O24" i="33"/>
  <c r="F24" i="33"/>
  <c r="E24" i="33"/>
  <c r="Q23" i="33"/>
  <c r="O23" i="33"/>
  <c r="Q27" i="33" s="1"/>
  <c r="F23" i="33"/>
  <c r="L20" i="33"/>
  <c r="AF16" i="33"/>
  <c r="AA16" i="33"/>
  <c r="O15" i="33"/>
  <c r="M15" i="33"/>
  <c r="L15" i="33"/>
  <c r="G15" i="33" s="1"/>
  <c r="F15" i="33"/>
  <c r="E15" i="33" s="1"/>
  <c r="G14" i="33"/>
  <c r="K24" i="33" s="1"/>
  <c r="F14" i="33"/>
  <c r="K23" i="33" s="1"/>
  <c r="D14" i="33"/>
  <c r="AG13" i="33"/>
  <c r="AD13" i="33"/>
  <c r="V13" i="33"/>
  <c r="V11" i="33" s="1"/>
  <c r="U13" i="33"/>
  <c r="C13" i="33"/>
  <c r="AD12" i="33"/>
  <c r="U12" i="33"/>
  <c r="AD11" i="33"/>
  <c r="F11" i="33"/>
  <c r="J23" i="33" s="1"/>
  <c r="D11" i="33"/>
  <c r="C11" i="33"/>
  <c r="AA10" i="33"/>
  <c r="U10" i="33"/>
  <c r="Q10" i="33"/>
  <c r="F10" i="33"/>
  <c r="I23" i="33" s="1"/>
  <c r="C10" i="33"/>
  <c r="AD9" i="33"/>
  <c r="AD8" i="33"/>
  <c r="AD7" i="33"/>
  <c r="AD10" i="33" s="1"/>
  <c r="Q7" i="33"/>
  <c r="Q16" i="33" s="1"/>
  <c r="F7" i="33"/>
  <c r="AD23" i="33" s="1"/>
  <c r="D7" i="33"/>
  <c r="C7" i="33"/>
  <c r="C9" i="33" s="1"/>
  <c r="Q6" i="33"/>
  <c r="I6" i="33"/>
  <c r="I16" i="33" s="1"/>
  <c r="H6" i="33"/>
  <c r="F6" i="33"/>
  <c r="D6" i="33"/>
  <c r="AB5" i="33"/>
  <c r="G5" i="33"/>
  <c r="C24" i="33" s="1"/>
  <c r="D5" i="33"/>
  <c r="O2" i="33"/>
  <c r="G2" i="33"/>
  <c r="O1" i="33"/>
  <c r="G1" i="33"/>
  <c r="E51" i="32"/>
  <c r="D51" i="32"/>
  <c r="C51" i="32"/>
  <c r="G51" i="32" s="1"/>
  <c r="B51" i="32"/>
  <c r="F51" i="32" s="1"/>
  <c r="G50" i="32"/>
  <c r="F50" i="32"/>
  <c r="G49" i="32"/>
  <c r="F49" i="32"/>
  <c r="B43" i="32"/>
  <c r="B42" i="32"/>
  <c r="B41" i="32"/>
  <c r="D34" i="32"/>
  <c r="W29" i="32"/>
  <c r="B29" i="32"/>
  <c r="D29" i="32" s="1"/>
  <c r="W28" i="32"/>
  <c r="D28" i="32"/>
  <c r="W27" i="32"/>
  <c r="B27" i="32"/>
  <c r="D171" i="38" s="1"/>
  <c r="W26" i="32"/>
  <c r="B26" i="32"/>
  <c r="E26" i="32" s="1"/>
  <c r="W25" i="32"/>
  <c r="B25" i="32"/>
  <c r="D197" i="38" s="1"/>
  <c r="W24" i="32"/>
  <c r="B24" i="32"/>
  <c r="W23" i="32"/>
  <c r="B23" i="32"/>
  <c r="D179" i="38" s="1"/>
  <c r="W22" i="32"/>
  <c r="B22" i="32"/>
  <c r="D196" i="38" s="1"/>
  <c r="W21" i="32"/>
  <c r="B21" i="32"/>
  <c r="D21" i="32" s="1"/>
  <c r="Y20" i="32"/>
  <c r="W20" i="32"/>
  <c r="Y19" i="32"/>
  <c r="W19" i="32"/>
  <c r="W31" i="32" s="1"/>
  <c r="B13" i="32"/>
  <c r="T10" i="32"/>
  <c r="H10" i="32"/>
  <c r="G10" i="32"/>
  <c r="D10" i="32"/>
  <c r="J19" i="32" s="1"/>
  <c r="T9" i="32"/>
  <c r="K9" i="32"/>
  <c r="J9" i="32"/>
  <c r="I9" i="32"/>
  <c r="H9" i="32"/>
  <c r="G9" i="32"/>
  <c r="F9" i="32"/>
  <c r="D9" i="32"/>
  <c r="I19" i="32" s="1"/>
  <c r="T8" i="32"/>
  <c r="H8" i="32"/>
  <c r="G8" i="32"/>
  <c r="D8" i="32"/>
  <c r="B8" i="32" s="1"/>
  <c r="V7" i="32"/>
  <c r="T7" i="32"/>
  <c r="D7" i="32"/>
  <c r="C42" i="32" s="1"/>
  <c r="V6" i="32"/>
  <c r="T6" i="32"/>
  <c r="J6" i="32"/>
  <c r="I6" i="32"/>
  <c r="H6" i="32"/>
  <c r="G6" i="32"/>
  <c r="F6" i="32"/>
  <c r="D6" i="32"/>
  <c r="C41" i="32" s="1"/>
  <c r="K5" i="32"/>
  <c r="F3" i="39" l="1"/>
  <c r="Y29" i="32"/>
  <c r="Q29" i="33"/>
  <c r="I39" i="39"/>
  <c r="D225" i="39"/>
  <c r="F7" i="32"/>
  <c r="H7" i="32"/>
  <c r="J7" i="32"/>
  <c r="K7" i="32"/>
  <c r="R10" i="33"/>
  <c r="BD151" i="35"/>
  <c r="BE1" i="36"/>
  <c r="AA3" i="36"/>
  <c r="BJ123" i="36"/>
  <c r="BD151" i="36"/>
  <c r="BE1" i="37"/>
  <c r="BE2" i="37"/>
  <c r="BJ49" i="37"/>
  <c r="BK49" i="37" s="1"/>
  <c r="D3" i="38"/>
  <c r="M12" i="38"/>
  <c r="M13" i="38"/>
  <c r="M16" i="38"/>
  <c r="M18" i="38"/>
  <c r="M21" i="38"/>
  <c r="M24" i="38"/>
  <c r="M25" i="38"/>
  <c r="M28" i="38"/>
  <c r="M30" i="38"/>
  <c r="M31" i="38"/>
  <c r="M34" i="38"/>
  <c r="M36" i="38"/>
  <c r="M42" i="38"/>
  <c r="M57" i="38"/>
  <c r="M60" i="38"/>
  <c r="M61" i="38"/>
  <c r="M64" i="38"/>
  <c r="M65" i="38"/>
  <c r="M68" i="38"/>
  <c r="M69" i="38"/>
  <c r="M81" i="38"/>
  <c r="M84" i="38"/>
  <c r="M90" i="38"/>
  <c r="M91" i="38"/>
  <c r="M94" i="38"/>
  <c r="M95" i="38"/>
  <c r="M98" i="38"/>
  <c r="M99" i="38"/>
  <c r="M102" i="38"/>
  <c r="M127" i="38"/>
  <c r="M133" i="38"/>
  <c r="M136" i="38"/>
  <c r="M137" i="38"/>
  <c r="M140" i="38"/>
  <c r="M141" i="38"/>
  <c r="P37" i="39"/>
  <c r="J186" i="39"/>
  <c r="AA28" i="36" s="1"/>
  <c r="Q83" i="39"/>
  <c r="I119" i="39"/>
  <c r="P161" i="39"/>
  <c r="P162" i="39"/>
  <c r="P163" i="39"/>
  <c r="P164" i="39"/>
  <c r="AL42" i="36"/>
  <c r="P42" i="36"/>
  <c r="AA42" i="36"/>
  <c r="K42" i="36"/>
  <c r="N178" i="38"/>
  <c r="N168" i="38" s="1"/>
  <c r="F5" i="32"/>
  <c r="I5" i="32"/>
  <c r="D27" i="32"/>
  <c r="I83" i="39"/>
  <c r="I79" i="39" s="1"/>
  <c r="I102" i="39"/>
  <c r="J119" i="39"/>
  <c r="J79" i="39" s="1"/>
  <c r="L186" i="39"/>
  <c r="K186" i="39"/>
  <c r="AL28" i="36" s="1"/>
  <c r="Q49" i="39"/>
  <c r="Q38" i="39"/>
  <c r="Q31" i="39" s="1"/>
  <c r="Q27" i="39" s="1"/>
  <c r="I38" i="39"/>
  <c r="H38" i="39"/>
  <c r="H31" i="39" s="1"/>
  <c r="H83" i="39"/>
  <c r="Q102" i="39"/>
  <c r="H102" i="39"/>
  <c r="J38" i="39"/>
  <c r="J31" i="39" s="1"/>
  <c r="H68" i="39"/>
  <c r="H49" i="39" s="1"/>
  <c r="J68" i="39"/>
  <c r="J49" i="39" s="1"/>
  <c r="Q79" i="39"/>
  <c r="O13" i="38"/>
  <c r="P13" i="38" s="1"/>
  <c r="O14" i="38"/>
  <c r="P14" i="38" s="1"/>
  <c r="O15" i="38"/>
  <c r="P15" i="38" s="1"/>
  <c r="O32" i="38"/>
  <c r="P32" i="38" s="1"/>
  <c r="O33" i="38"/>
  <c r="P33" i="38" s="1"/>
  <c r="O111" i="38"/>
  <c r="P111" i="38" s="1"/>
  <c r="O113" i="38"/>
  <c r="P113" i="38" s="1"/>
  <c r="O115" i="38"/>
  <c r="P115" i="38" s="1"/>
  <c r="O117" i="38"/>
  <c r="P117" i="38" s="1"/>
  <c r="O119" i="38"/>
  <c r="P119" i="38" s="1"/>
  <c r="O121" i="38"/>
  <c r="P121" i="38" s="1"/>
  <c r="O123" i="38"/>
  <c r="P123" i="38" s="1"/>
  <c r="O125" i="38"/>
  <c r="P125" i="38" s="1"/>
  <c r="U427" i="48"/>
  <c r="Y427" i="48" s="1"/>
  <c r="AG427" i="48" s="1"/>
  <c r="Y409" i="48"/>
  <c r="AG409" i="48" s="1"/>
  <c r="O10" i="38"/>
  <c r="P10" i="38" s="1"/>
  <c r="O24" i="38"/>
  <c r="P24" i="38" s="1"/>
  <c r="O38" i="38"/>
  <c r="P38" i="38" s="1"/>
  <c r="O77" i="38"/>
  <c r="P77" i="38" s="1"/>
  <c r="O135" i="38"/>
  <c r="P135" i="38" s="1"/>
  <c r="O26" i="38"/>
  <c r="P26" i="38" s="1"/>
  <c r="O129" i="38"/>
  <c r="P129" i="38" s="1"/>
  <c r="O50" i="38"/>
  <c r="P50" i="38" s="1"/>
  <c r="O73" i="38"/>
  <c r="P73" i="38" s="1"/>
  <c r="AA79" i="36"/>
  <c r="O46" i="38"/>
  <c r="P46" i="38" s="1"/>
  <c r="O85" i="38"/>
  <c r="P85" i="38" s="1"/>
  <c r="O17" i="38"/>
  <c r="P17" i="38" s="1"/>
  <c r="O44" i="38"/>
  <c r="P44" i="38" s="1"/>
  <c r="O48" i="38"/>
  <c r="P48" i="38" s="1"/>
  <c r="O54" i="38"/>
  <c r="P54" i="38" s="1"/>
  <c r="O71" i="38"/>
  <c r="P71" i="38" s="1"/>
  <c r="O75" i="38"/>
  <c r="P75" i="38" s="1"/>
  <c r="O89" i="38"/>
  <c r="P89" i="38" s="1"/>
  <c r="O106" i="38"/>
  <c r="P106" i="38" s="1"/>
  <c r="B6" i="32"/>
  <c r="M6" i="32" s="1"/>
  <c r="B10" i="32"/>
  <c r="E10" i="32"/>
  <c r="J20" i="32" s="1"/>
  <c r="AD12" i="35"/>
  <c r="AH12" i="35"/>
  <c r="O52" i="38"/>
  <c r="P52" i="38" s="1"/>
  <c r="O126" i="38"/>
  <c r="P126" i="38" s="1"/>
  <c r="N194" i="38"/>
  <c r="N172" i="38" s="1"/>
  <c r="N169" i="38" s="1"/>
  <c r="O11" i="38"/>
  <c r="P11" i="38" s="1"/>
  <c r="O22" i="38"/>
  <c r="P22" i="38" s="1"/>
  <c r="O30" i="38"/>
  <c r="P30" i="38" s="1"/>
  <c r="O31" i="38"/>
  <c r="P31" i="38" s="1"/>
  <c r="O39" i="38"/>
  <c r="P39" i="38" s="1"/>
  <c r="O41" i="38"/>
  <c r="P41" i="38" s="1"/>
  <c r="O43" i="38"/>
  <c r="P43" i="38" s="1"/>
  <c r="O45" i="38"/>
  <c r="P45" i="38" s="1"/>
  <c r="O47" i="38"/>
  <c r="P47" i="38" s="1"/>
  <c r="O49" i="38"/>
  <c r="P49" i="38" s="1"/>
  <c r="O55" i="38"/>
  <c r="P55" i="38" s="1"/>
  <c r="O68" i="38"/>
  <c r="P68" i="38" s="1"/>
  <c r="O69" i="38"/>
  <c r="P69" i="38" s="1"/>
  <c r="O72" i="38"/>
  <c r="P72" i="38" s="1"/>
  <c r="O74" i="38"/>
  <c r="P74" i="38" s="1"/>
  <c r="O76" i="38"/>
  <c r="P76" i="38" s="1"/>
  <c r="O144" i="38"/>
  <c r="P144" i="38" s="1"/>
  <c r="N163" i="38"/>
  <c r="N160" i="38" s="1"/>
  <c r="AP12" i="37"/>
  <c r="AO16" i="37"/>
  <c r="AS16" i="37"/>
  <c r="AM16" i="37"/>
  <c r="AQ16" i="37"/>
  <c r="BE20" i="37"/>
  <c r="BF49" i="37"/>
  <c r="BF49" i="36"/>
  <c r="BI49" i="36"/>
  <c r="L16" i="38"/>
  <c r="L22" i="38"/>
  <c r="L24" i="38"/>
  <c r="L26" i="38"/>
  <c r="L32" i="38"/>
  <c r="L34" i="38"/>
  <c r="L36" i="38"/>
  <c r="L62" i="38"/>
  <c r="L68" i="38"/>
  <c r="L82" i="38"/>
  <c r="L84" i="38"/>
  <c r="L129" i="38"/>
  <c r="M129" i="38"/>
  <c r="G7" i="38"/>
  <c r="L12" i="38"/>
  <c r="L14" i="38"/>
  <c r="L18" i="38"/>
  <c r="L28" i="38"/>
  <c r="L30" i="38"/>
  <c r="L58" i="38"/>
  <c r="L60" i="38"/>
  <c r="L64" i="38"/>
  <c r="L66" i="38"/>
  <c r="L70" i="38"/>
  <c r="L103" i="38"/>
  <c r="M103" i="38"/>
  <c r="L105" i="38"/>
  <c r="M105" i="38"/>
  <c r="L134" i="38"/>
  <c r="O100" i="38"/>
  <c r="P100" i="38" s="1"/>
  <c r="O99" i="38"/>
  <c r="P99" i="38" s="1"/>
  <c r="O98" i="38"/>
  <c r="P98" i="38" s="1"/>
  <c r="O97" i="38"/>
  <c r="P97" i="38" s="1"/>
  <c r="O96" i="38"/>
  <c r="P96" i="38" s="1"/>
  <c r="O95" i="38"/>
  <c r="P95" i="38" s="1"/>
  <c r="O94" i="38"/>
  <c r="P94" i="38" s="1"/>
  <c r="O93" i="38"/>
  <c r="P93" i="38" s="1"/>
  <c r="O92" i="38"/>
  <c r="P92" i="38" s="1"/>
  <c r="O91" i="38"/>
  <c r="P91" i="38" s="1"/>
  <c r="O90" i="38"/>
  <c r="P90" i="38" s="1"/>
  <c r="O142" i="38"/>
  <c r="P142" i="38" s="1"/>
  <c r="O141" i="38"/>
  <c r="P141" i="38" s="1"/>
  <c r="O140" i="38"/>
  <c r="P140" i="38" s="1"/>
  <c r="O139" i="38"/>
  <c r="P139" i="38" s="1"/>
  <c r="O138" i="38"/>
  <c r="P138" i="38" s="1"/>
  <c r="O137" i="38"/>
  <c r="P137" i="38" s="1"/>
  <c r="O136" i="38"/>
  <c r="P136" i="38" s="1"/>
  <c r="O134" i="38"/>
  <c r="P134" i="38" s="1"/>
  <c r="O133" i="38"/>
  <c r="P133" i="38" s="1"/>
  <c r="O108" i="38"/>
  <c r="P108" i="38" s="1"/>
  <c r="O107" i="38"/>
  <c r="P107" i="38" s="1"/>
  <c r="D7" i="38"/>
  <c r="F7" i="38"/>
  <c r="M8" i="38"/>
  <c r="L8" i="38"/>
  <c r="M10" i="38"/>
  <c r="L10" i="38"/>
  <c r="M11" i="38"/>
  <c r="O16" i="38"/>
  <c r="P16" i="38" s="1"/>
  <c r="M17" i="38"/>
  <c r="L17" i="38"/>
  <c r="M19" i="38"/>
  <c r="O20" i="38"/>
  <c r="P20" i="38" s="1"/>
  <c r="O21" i="38"/>
  <c r="P21" i="38" s="1"/>
  <c r="M29" i="38"/>
  <c r="M35" i="38"/>
  <c r="M37" i="38"/>
  <c r="M38" i="38"/>
  <c r="L38" i="38"/>
  <c r="M39" i="38"/>
  <c r="O40" i="38"/>
  <c r="P40" i="38" s="1"/>
  <c r="M41" i="38"/>
  <c r="O42" i="38"/>
  <c r="P42" i="38" s="1"/>
  <c r="M43" i="38"/>
  <c r="M44" i="38"/>
  <c r="L44" i="38"/>
  <c r="M45" i="38"/>
  <c r="M46" i="38"/>
  <c r="L46" i="38"/>
  <c r="M47" i="38"/>
  <c r="M48" i="38"/>
  <c r="L48" i="38"/>
  <c r="M49" i="38"/>
  <c r="M50" i="38"/>
  <c r="L50" i="38"/>
  <c r="M51" i="38"/>
  <c r="M52" i="38"/>
  <c r="L52" i="38"/>
  <c r="M53" i="38"/>
  <c r="M54" i="38"/>
  <c r="L54" i="38"/>
  <c r="M55" i="38"/>
  <c r="M56" i="38"/>
  <c r="L56" i="38"/>
  <c r="O58" i="38"/>
  <c r="P58" i="38" s="1"/>
  <c r="O59" i="38"/>
  <c r="P59" i="38" s="1"/>
  <c r="O60" i="38"/>
  <c r="P60" i="38" s="1"/>
  <c r="O61" i="38"/>
  <c r="P61" i="38" s="1"/>
  <c r="O62" i="38"/>
  <c r="P62" i="38" s="1"/>
  <c r="O63" i="38"/>
  <c r="P63" i="38" s="1"/>
  <c r="O64" i="38"/>
  <c r="P64" i="38" s="1"/>
  <c r="O65" i="38"/>
  <c r="P65" i="38" s="1"/>
  <c r="O66" i="38"/>
  <c r="P66" i="38" s="1"/>
  <c r="O67" i="38"/>
  <c r="P67" i="38" s="1"/>
  <c r="M71" i="38"/>
  <c r="M72" i="38"/>
  <c r="L72" i="38"/>
  <c r="M73" i="38"/>
  <c r="M74" i="38"/>
  <c r="L74" i="38"/>
  <c r="M75" i="38"/>
  <c r="M76" i="38"/>
  <c r="L76" i="38"/>
  <c r="M77" i="38"/>
  <c r="M78" i="38"/>
  <c r="L78" i="38"/>
  <c r="M80" i="38"/>
  <c r="L80" i="38"/>
  <c r="O81" i="38"/>
  <c r="P81" i="38" s="1"/>
  <c r="O82" i="38"/>
  <c r="P82" i="38" s="1"/>
  <c r="O83" i="38"/>
  <c r="P83" i="38" s="1"/>
  <c r="O84" i="38"/>
  <c r="P84" i="38" s="1"/>
  <c r="O86" i="38"/>
  <c r="P86" i="38" s="1"/>
  <c r="O88" i="38"/>
  <c r="P88" i="38" s="1"/>
  <c r="L90" i="38"/>
  <c r="L92" i="38"/>
  <c r="L94" i="38"/>
  <c r="L96" i="38"/>
  <c r="L98" i="38"/>
  <c r="L100" i="38"/>
  <c r="L102" i="38"/>
  <c r="O105" i="38"/>
  <c r="P105" i="38" s="1"/>
  <c r="M107" i="38"/>
  <c r="L109" i="38"/>
  <c r="M109" i="38"/>
  <c r="L111" i="38"/>
  <c r="M111" i="38"/>
  <c r="L113" i="38"/>
  <c r="M113" i="38"/>
  <c r="L115" i="38"/>
  <c r="M115" i="38"/>
  <c r="L117" i="38"/>
  <c r="M117" i="38"/>
  <c r="L119" i="38"/>
  <c r="M119" i="38"/>
  <c r="L121" i="38"/>
  <c r="M121" i="38"/>
  <c r="L123" i="38"/>
  <c r="M123" i="38"/>
  <c r="L125" i="38"/>
  <c r="M125" i="38"/>
  <c r="M131" i="38"/>
  <c r="L136" i="38"/>
  <c r="L138" i="38"/>
  <c r="L140" i="38"/>
  <c r="L142" i="38"/>
  <c r="O132" i="38"/>
  <c r="P132" i="38" s="1"/>
  <c r="O131" i="38"/>
  <c r="P131" i="38" s="1"/>
  <c r="O128" i="38"/>
  <c r="P128" i="38" s="1"/>
  <c r="O127" i="38"/>
  <c r="P127" i="38" s="1"/>
  <c r="E197" i="38"/>
  <c r="M85" i="38"/>
  <c r="M86" i="38"/>
  <c r="L86" i="38"/>
  <c r="M87" i="38"/>
  <c r="M88" i="38"/>
  <c r="L88" i="38"/>
  <c r="M89" i="38"/>
  <c r="M144" i="38"/>
  <c r="L144" i="38"/>
  <c r="M145" i="38"/>
  <c r="M146" i="38"/>
  <c r="L146" i="38"/>
  <c r="M147" i="38"/>
  <c r="G149" i="38"/>
  <c r="BF49" i="35"/>
  <c r="BG49" i="35" s="1"/>
  <c r="BI49" i="35"/>
  <c r="T5" i="32"/>
  <c r="T12" i="35"/>
  <c r="J12" i="37"/>
  <c r="AB12" i="37"/>
  <c r="D5" i="32"/>
  <c r="B19" i="32" s="1"/>
  <c r="H5" i="32"/>
  <c r="J5" i="32"/>
  <c r="B7" i="32"/>
  <c r="M7" i="32" s="1"/>
  <c r="E8" i="32"/>
  <c r="E9" i="32"/>
  <c r="I20" i="32" s="1"/>
  <c r="F5" i="33"/>
  <c r="C23" i="33" s="1"/>
  <c r="F16" i="33"/>
  <c r="W13" i="33"/>
  <c r="J12" i="35"/>
  <c r="AW13" i="35"/>
  <c r="AK12" i="36"/>
  <c r="AA15" i="35"/>
  <c r="AK16" i="35"/>
  <c r="K66" i="35"/>
  <c r="I67" i="35" s="1"/>
  <c r="AA66" i="35"/>
  <c r="P84" i="35"/>
  <c r="O12" i="37"/>
  <c r="AD12" i="37"/>
  <c r="R12" i="37"/>
  <c r="X12" i="37"/>
  <c r="AN12" i="37"/>
  <c r="AR12" i="37"/>
  <c r="P79" i="37"/>
  <c r="AA79" i="37"/>
  <c r="O8" i="38"/>
  <c r="P8" i="38" s="1"/>
  <c r="O18" i="38"/>
  <c r="P18" i="38" s="1"/>
  <c r="O19" i="38"/>
  <c r="P19" i="38" s="1"/>
  <c r="O29" i="38"/>
  <c r="P29" i="38" s="1"/>
  <c r="O34" i="38"/>
  <c r="P34" i="38" s="1"/>
  <c r="O35" i="38"/>
  <c r="P35" i="38" s="1"/>
  <c r="O36" i="38"/>
  <c r="P36" i="38" s="1"/>
  <c r="O56" i="38"/>
  <c r="P56" i="38" s="1"/>
  <c r="O78" i="38"/>
  <c r="P78" i="38" s="1"/>
  <c r="O79" i="38"/>
  <c r="P79" i="38" s="1"/>
  <c r="O104" i="38"/>
  <c r="P104" i="38" s="1"/>
  <c r="O110" i="38"/>
  <c r="P110" i="38" s="1"/>
  <c r="O114" i="38"/>
  <c r="P114" i="38" s="1"/>
  <c r="O120" i="38"/>
  <c r="P120" i="38" s="1"/>
  <c r="O122" i="38"/>
  <c r="P122" i="38" s="1"/>
  <c r="AW25" i="37"/>
  <c r="AW24" i="37" s="1"/>
  <c r="B9" i="32"/>
  <c r="E14" i="33"/>
  <c r="H23" i="33"/>
  <c r="AE23" i="33"/>
  <c r="AW16" i="35"/>
  <c r="K61" i="35"/>
  <c r="I62" i="35" s="1"/>
  <c r="AA61" i="35"/>
  <c r="Q62" i="35"/>
  <c r="K79" i="35"/>
  <c r="O80" i="35" s="1"/>
  <c r="O77" i="35" s="1"/>
  <c r="O78" i="35" s="1"/>
  <c r="AA79" i="35"/>
  <c r="P66" i="36"/>
  <c r="K61" i="37"/>
  <c r="AL61" i="37"/>
  <c r="P66" i="37"/>
  <c r="AA66" i="37"/>
  <c r="C7" i="32"/>
  <c r="D26" i="32"/>
  <c r="O26" i="32" s="1"/>
  <c r="E7" i="33"/>
  <c r="AA23" i="33"/>
  <c r="AV12" i="35"/>
  <c r="L16" i="35"/>
  <c r="AH62" i="35"/>
  <c r="S80" i="35"/>
  <c r="S77" i="35" s="1"/>
  <c r="S78" i="35" s="1"/>
  <c r="AW147" i="36"/>
  <c r="AL48" i="36"/>
  <c r="AA48" i="36"/>
  <c r="P48" i="36"/>
  <c r="K48" i="36"/>
  <c r="AL42" i="35"/>
  <c r="AW42" i="35"/>
  <c r="AW144" i="35" s="1"/>
  <c r="AA42" i="35"/>
  <c r="P42" i="35"/>
  <c r="K42" i="35"/>
  <c r="Y3" i="36"/>
  <c r="H152" i="40"/>
  <c r="G101" i="40"/>
  <c r="G107" i="40"/>
  <c r="G113" i="40"/>
  <c r="G56" i="40"/>
  <c r="G64" i="40"/>
  <c r="G76" i="40"/>
  <c r="H85" i="40"/>
  <c r="H113" i="40"/>
  <c r="C182" i="40"/>
  <c r="K182" i="40" s="1"/>
  <c r="H38" i="40"/>
  <c r="H48" i="40"/>
  <c r="J188" i="40" s="1"/>
  <c r="G51" i="40"/>
  <c r="H76" i="40"/>
  <c r="G85" i="40"/>
  <c r="C115" i="40"/>
  <c r="K115" i="40" s="1"/>
  <c r="C117" i="40"/>
  <c r="K117" i="40" s="1"/>
  <c r="C119" i="40"/>
  <c r="K119" i="40" s="1"/>
  <c r="C121" i="40"/>
  <c r="K121" i="40" s="1"/>
  <c r="G28" i="40"/>
  <c r="G32" i="40"/>
  <c r="G38" i="40"/>
  <c r="H51" i="40"/>
  <c r="C66" i="40"/>
  <c r="K66" i="40" s="1"/>
  <c r="C68" i="40"/>
  <c r="K68" i="40" s="1"/>
  <c r="C70" i="40"/>
  <c r="K70" i="40" s="1"/>
  <c r="C72" i="40"/>
  <c r="K72" i="40" s="1"/>
  <c r="C74" i="40"/>
  <c r="K74" i="40" s="1"/>
  <c r="C78" i="40"/>
  <c r="K78" i="40" s="1"/>
  <c r="C82" i="40"/>
  <c r="K82" i="40" s="1"/>
  <c r="C84" i="40"/>
  <c r="K84" i="40" s="1"/>
  <c r="C87" i="40"/>
  <c r="K87" i="40" s="1"/>
  <c r="C89" i="40"/>
  <c r="C218" i="40" s="1"/>
  <c r="C93" i="40"/>
  <c r="K93" i="40" s="1"/>
  <c r="C95" i="40"/>
  <c r="K95" i="40" s="1"/>
  <c r="C97" i="40"/>
  <c r="K97" i="40" s="1"/>
  <c r="C99" i="40"/>
  <c r="C217" i="40" s="1"/>
  <c r="C181" i="40"/>
  <c r="K181" i="40" s="1"/>
  <c r="C34" i="40"/>
  <c r="K34" i="40" s="1"/>
  <c r="C36" i="40"/>
  <c r="K36" i="40" s="1"/>
  <c r="C42" i="40"/>
  <c r="K42" i="40" s="1"/>
  <c r="C44" i="40"/>
  <c r="K44" i="40" s="1"/>
  <c r="C46" i="40"/>
  <c r="K46" i="40" s="1"/>
  <c r="C50" i="40"/>
  <c r="K50" i="40" s="1"/>
  <c r="C53" i="40"/>
  <c r="K53" i="40" s="1"/>
  <c r="C55" i="40"/>
  <c r="K55" i="40" s="1"/>
  <c r="C57" i="40"/>
  <c r="K57" i="40" s="1"/>
  <c r="C59" i="40"/>
  <c r="K59" i="40" s="1"/>
  <c r="C62" i="40"/>
  <c r="K62" i="40" s="1"/>
  <c r="H132" i="40"/>
  <c r="H140" i="40"/>
  <c r="H146" i="40"/>
  <c r="G9" i="40"/>
  <c r="H28" i="40"/>
  <c r="C30" i="40"/>
  <c r="K30" i="40" s="1"/>
  <c r="H64" i="40"/>
  <c r="J190" i="40" s="1"/>
  <c r="C67" i="40"/>
  <c r="K67" i="40" s="1"/>
  <c r="C69" i="40"/>
  <c r="K69" i="40" s="1"/>
  <c r="C71" i="40"/>
  <c r="K71" i="40" s="1"/>
  <c r="C73" i="40"/>
  <c r="K73" i="40" s="1"/>
  <c r="H92" i="40"/>
  <c r="H101" i="40"/>
  <c r="C103" i="40"/>
  <c r="K103" i="40" s="1"/>
  <c r="C105" i="40"/>
  <c r="K105" i="40" s="1"/>
  <c r="H107" i="40"/>
  <c r="C114" i="40"/>
  <c r="K114" i="40" s="1"/>
  <c r="C116" i="40"/>
  <c r="K116" i="40" s="1"/>
  <c r="C118" i="40"/>
  <c r="K118" i="40" s="1"/>
  <c r="C120" i="40"/>
  <c r="C124" i="40"/>
  <c r="K124" i="40" s="1"/>
  <c r="C126" i="40"/>
  <c r="K126" i="40" s="1"/>
  <c r="C128" i="40"/>
  <c r="K128" i="40" s="1"/>
  <c r="H137" i="40"/>
  <c r="C171" i="40"/>
  <c r="K171" i="40" s="1"/>
  <c r="C173" i="40"/>
  <c r="K173" i="40" s="1"/>
  <c r="C175" i="40"/>
  <c r="K175" i="40" s="1"/>
  <c r="C177" i="40"/>
  <c r="K177" i="40" s="1"/>
  <c r="C179" i="40"/>
  <c r="K179" i="40" s="1"/>
  <c r="C65" i="40"/>
  <c r="K65" i="40" s="1"/>
  <c r="H9" i="40"/>
  <c r="C13" i="40"/>
  <c r="C15" i="40"/>
  <c r="K15" i="40" s="1"/>
  <c r="C17" i="40"/>
  <c r="K17" i="40" s="1"/>
  <c r="C19" i="40"/>
  <c r="K19" i="40" s="1"/>
  <c r="C21" i="40"/>
  <c r="K21" i="40" s="1"/>
  <c r="C23" i="40"/>
  <c r="K23" i="40" s="1"/>
  <c r="C25" i="40"/>
  <c r="K25" i="40" s="1"/>
  <c r="H32" i="40"/>
  <c r="C35" i="40"/>
  <c r="K35" i="40" s="1"/>
  <c r="C40" i="40"/>
  <c r="K40" i="40" s="1"/>
  <c r="C49" i="40"/>
  <c r="C77" i="40"/>
  <c r="K77" i="40" s="1"/>
  <c r="C79" i="40"/>
  <c r="K79" i="40" s="1"/>
  <c r="G81" i="40"/>
  <c r="H81" i="40"/>
  <c r="C83" i="40"/>
  <c r="K83" i="40" s="1"/>
  <c r="C91" i="40"/>
  <c r="K91" i="40" s="1"/>
  <c r="G92" i="40"/>
  <c r="C94" i="40"/>
  <c r="K94" i="40" s="1"/>
  <c r="C96" i="40"/>
  <c r="K96" i="40" s="1"/>
  <c r="C98" i="40"/>
  <c r="K98" i="40" s="1"/>
  <c r="C102" i="40"/>
  <c r="K102" i="40" s="1"/>
  <c r="C104" i="40"/>
  <c r="K104" i="40" s="1"/>
  <c r="C106" i="40"/>
  <c r="K106" i="40" s="1"/>
  <c r="C109" i="40"/>
  <c r="K109" i="40" s="1"/>
  <c r="C111" i="40"/>
  <c r="K111" i="40" s="1"/>
  <c r="G123" i="40"/>
  <c r="C125" i="40"/>
  <c r="K125" i="40" s="1"/>
  <c r="C127" i="40"/>
  <c r="K127" i="40" s="1"/>
  <c r="C129" i="40"/>
  <c r="K129" i="40" s="1"/>
  <c r="C163" i="40"/>
  <c r="K163" i="40" s="1"/>
  <c r="H162" i="40"/>
  <c r="C165" i="40"/>
  <c r="K165" i="40" s="1"/>
  <c r="C167" i="40"/>
  <c r="K167" i="40" s="1"/>
  <c r="C169" i="40"/>
  <c r="K169" i="40" s="1"/>
  <c r="C33" i="40"/>
  <c r="K33" i="40" s="1"/>
  <c r="C39" i="40"/>
  <c r="K39" i="40" s="1"/>
  <c r="C29" i="40"/>
  <c r="K29" i="40" s="1"/>
  <c r="G48" i="40"/>
  <c r="C11" i="40"/>
  <c r="K11" i="40" s="1"/>
  <c r="H12" i="40"/>
  <c r="C14" i="40"/>
  <c r="K14" i="40" s="1"/>
  <c r="C16" i="40"/>
  <c r="K16" i="40" s="1"/>
  <c r="C18" i="40"/>
  <c r="K18" i="40" s="1"/>
  <c r="C20" i="40"/>
  <c r="K20" i="40" s="1"/>
  <c r="C22" i="40"/>
  <c r="K22" i="40" s="1"/>
  <c r="C24" i="40"/>
  <c r="K24" i="40" s="1"/>
  <c r="C26" i="40"/>
  <c r="K26" i="40" s="1"/>
  <c r="G41" i="40"/>
  <c r="H41" i="40"/>
  <c r="C43" i="40"/>
  <c r="K43" i="40" s="1"/>
  <c r="C45" i="40"/>
  <c r="K45" i="40" s="1"/>
  <c r="C52" i="40"/>
  <c r="K52" i="40" s="1"/>
  <c r="C54" i="40"/>
  <c r="K54" i="40" s="1"/>
  <c r="C63" i="40"/>
  <c r="K63" i="40" s="1"/>
  <c r="C86" i="40"/>
  <c r="K86" i="40" s="1"/>
  <c r="C88" i="40"/>
  <c r="K88" i="40" s="1"/>
  <c r="C90" i="40"/>
  <c r="K90" i="40" s="1"/>
  <c r="C108" i="40"/>
  <c r="K108" i="40" s="1"/>
  <c r="C110" i="40"/>
  <c r="K110" i="40" s="1"/>
  <c r="C112" i="40"/>
  <c r="K112" i="40" s="1"/>
  <c r="H123" i="40"/>
  <c r="C130" i="40"/>
  <c r="K130" i="40" s="1"/>
  <c r="C133" i="40"/>
  <c r="K133" i="40" s="1"/>
  <c r="C135" i="40"/>
  <c r="K135" i="40" s="1"/>
  <c r="C138" i="40"/>
  <c r="K138" i="40" s="1"/>
  <c r="C141" i="40"/>
  <c r="K141" i="40" s="1"/>
  <c r="C143" i="40"/>
  <c r="K143" i="40" s="1"/>
  <c r="C145" i="40"/>
  <c r="K145" i="40" s="1"/>
  <c r="C148" i="40"/>
  <c r="K148" i="40" s="1"/>
  <c r="C150" i="40"/>
  <c r="K150" i="40" s="1"/>
  <c r="C153" i="40"/>
  <c r="K153" i="40" s="1"/>
  <c r="C155" i="40"/>
  <c r="K155" i="40" s="1"/>
  <c r="C157" i="40"/>
  <c r="K157" i="40" s="1"/>
  <c r="C159" i="40"/>
  <c r="K159" i="40" s="1"/>
  <c r="C161" i="40"/>
  <c r="K161" i="40" s="1"/>
  <c r="C61" i="40"/>
  <c r="K61" i="40" s="1"/>
  <c r="C131" i="40"/>
  <c r="K131" i="40" s="1"/>
  <c r="C134" i="40"/>
  <c r="K134" i="40" s="1"/>
  <c r="C136" i="40"/>
  <c r="K136" i="40" s="1"/>
  <c r="C139" i="40"/>
  <c r="K139" i="40" s="1"/>
  <c r="C142" i="40"/>
  <c r="K142" i="40" s="1"/>
  <c r="C144" i="40"/>
  <c r="K144" i="40" s="1"/>
  <c r="C147" i="40"/>
  <c r="K147" i="40" s="1"/>
  <c r="C149" i="40"/>
  <c r="K149" i="40" s="1"/>
  <c r="C151" i="40"/>
  <c r="K151" i="40" s="1"/>
  <c r="C154" i="40"/>
  <c r="K154" i="40" s="1"/>
  <c r="C156" i="40"/>
  <c r="K156" i="40" s="1"/>
  <c r="C158" i="40"/>
  <c r="K158" i="40" s="1"/>
  <c r="C160" i="40"/>
  <c r="K160" i="40" s="1"/>
  <c r="C10" i="40"/>
  <c r="G12" i="40"/>
  <c r="C58" i="40"/>
  <c r="K58" i="40" s="1"/>
  <c r="C60" i="40"/>
  <c r="K60" i="40" s="1"/>
  <c r="C164" i="40"/>
  <c r="K164" i="40" s="1"/>
  <c r="C166" i="40"/>
  <c r="K166" i="40" s="1"/>
  <c r="C168" i="40"/>
  <c r="K168" i="40" s="1"/>
  <c r="C170" i="40"/>
  <c r="K170" i="40" s="1"/>
  <c r="C172" i="40"/>
  <c r="K172" i="40" s="1"/>
  <c r="C174" i="40"/>
  <c r="K174" i="40" s="1"/>
  <c r="C176" i="40"/>
  <c r="K176" i="40" s="1"/>
  <c r="C178" i="40"/>
  <c r="K178" i="40" s="1"/>
  <c r="C180" i="40"/>
  <c r="K180" i="40" s="1"/>
  <c r="J227" i="40"/>
  <c r="F227" i="40"/>
  <c r="J226" i="40"/>
  <c r="H226" i="40"/>
  <c r="F226" i="40"/>
  <c r="D226" i="40"/>
  <c r="J225" i="40"/>
  <c r="F225" i="40"/>
  <c r="J224" i="40"/>
  <c r="F224" i="40"/>
  <c r="J223" i="40"/>
  <c r="F223" i="40"/>
  <c r="J222" i="40"/>
  <c r="F222" i="40"/>
  <c r="J221" i="40"/>
  <c r="F221" i="40"/>
  <c r="J220" i="40"/>
  <c r="H220" i="40"/>
  <c r="F220" i="40"/>
  <c r="D220" i="40"/>
  <c r="J219" i="40"/>
  <c r="F219" i="40"/>
  <c r="J218" i="40"/>
  <c r="F218" i="40"/>
  <c r="J217" i="40"/>
  <c r="F217" i="40"/>
  <c r="J216" i="40"/>
  <c r="F216" i="40"/>
  <c r="J215" i="40"/>
  <c r="F215" i="40"/>
  <c r="J214" i="40"/>
  <c r="F214" i="40"/>
  <c r="J205" i="40"/>
  <c r="AL46" i="37" s="1"/>
  <c r="H205" i="40"/>
  <c r="P46" i="37" s="1"/>
  <c r="F205" i="40"/>
  <c r="D205" i="40"/>
  <c r="F23" i="34" s="1"/>
  <c r="I227" i="40"/>
  <c r="I226" i="40"/>
  <c r="G226" i="40"/>
  <c r="E226" i="40"/>
  <c r="C226" i="40"/>
  <c r="I225" i="40"/>
  <c r="I224" i="40"/>
  <c r="I223" i="40"/>
  <c r="I222" i="40"/>
  <c r="I221" i="40"/>
  <c r="I220" i="40"/>
  <c r="G220" i="40"/>
  <c r="E220" i="40"/>
  <c r="C220" i="40"/>
  <c r="I219" i="40"/>
  <c r="I218" i="40"/>
  <c r="I217" i="40"/>
  <c r="I216" i="40"/>
  <c r="I215" i="40"/>
  <c r="I214" i="40"/>
  <c r="E213" i="40"/>
  <c r="G205" i="40"/>
  <c r="K46" i="37" s="1"/>
  <c r="C205" i="40"/>
  <c r="E23" i="34" s="1"/>
  <c r="I204" i="40"/>
  <c r="AA45" i="37" s="1"/>
  <c r="G204" i="40"/>
  <c r="K45" i="37" s="1"/>
  <c r="E204" i="40"/>
  <c r="C204" i="40"/>
  <c r="I201" i="40"/>
  <c r="AA40" i="37" s="1"/>
  <c r="I200" i="40"/>
  <c r="AA39" i="37" s="1"/>
  <c r="I199" i="40"/>
  <c r="AA38" i="37" s="1"/>
  <c r="I198" i="40"/>
  <c r="AA37" i="37" s="1"/>
  <c r="J196" i="40"/>
  <c r="AL35" i="37" s="1"/>
  <c r="F196" i="40"/>
  <c r="J195" i="40"/>
  <c r="AL34" i="37" s="1"/>
  <c r="F195" i="40"/>
  <c r="I193" i="40"/>
  <c r="AA32" i="37" s="1"/>
  <c r="I192" i="40"/>
  <c r="AA31" i="37" s="1"/>
  <c r="I191" i="40"/>
  <c r="AA30" i="37" s="1"/>
  <c r="J187" i="40"/>
  <c r="AL26" i="37" s="1"/>
  <c r="I205" i="40"/>
  <c r="AA46" i="37" s="1"/>
  <c r="E205" i="40"/>
  <c r="J204" i="40"/>
  <c r="H204" i="40"/>
  <c r="F204" i="40"/>
  <c r="D204" i="40"/>
  <c r="J201" i="40"/>
  <c r="AL40" i="37" s="1"/>
  <c r="F201" i="40"/>
  <c r="J200" i="40"/>
  <c r="AL39" i="37" s="1"/>
  <c r="F200" i="40"/>
  <c r="J199" i="40"/>
  <c r="AL38" i="37" s="1"/>
  <c r="F199" i="40"/>
  <c r="J198" i="40"/>
  <c r="AL37" i="37" s="1"/>
  <c r="F198" i="40"/>
  <c r="I196" i="40"/>
  <c r="AA35" i="37" s="1"/>
  <c r="I195" i="40"/>
  <c r="AA34" i="37" s="1"/>
  <c r="J193" i="40"/>
  <c r="AL32" i="37" s="1"/>
  <c r="F193" i="40"/>
  <c r="J192" i="40"/>
  <c r="F192" i="40"/>
  <c r="J191" i="40"/>
  <c r="AL30" i="37" s="1"/>
  <c r="F191" i="40"/>
  <c r="I187" i="40"/>
  <c r="F187" i="40"/>
  <c r="H56" i="40"/>
  <c r="G132" i="40"/>
  <c r="G137" i="40"/>
  <c r="G140" i="40"/>
  <c r="G146" i="40"/>
  <c r="G152" i="40"/>
  <c r="G162" i="40"/>
  <c r="I31" i="39"/>
  <c r="K185" i="39"/>
  <c r="AL27" i="36" s="1"/>
  <c r="I49" i="39"/>
  <c r="I27" i="39" s="1"/>
  <c r="I8" i="39" s="1"/>
  <c r="I2" i="39" s="1"/>
  <c r="F226" i="39"/>
  <c r="Q228" i="39"/>
  <c r="Q227" i="39"/>
  <c r="Q226" i="39"/>
  <c r="E226" i="39"/>
  <c r="E225" i="39" s="1"/>
  <c r="L224" i="39"/>
  <c r="J224" i="39"/>
  <c r="L222" i="39"/>
  <c r="J222" i="39"/>
  <c r="L219" i="39"/>
  <c r="L217" i="39"/>
  <c r="H217" i="39"/>
  <c r="D217" i="39"/>
  <c r="L215" i="39"/>
  <c r="L212" i="39"/>
  <c r="J219" i="39"/>
  <c r="J217" i="39"/>
  <c r="F217" i="39"/>
  <c r="J215" i="39"/>
  <c r="J212" i="39"/>
  <c r="D23" i="34"/>
  <c r="L198" i="39"/>
  <c r="L196" i="39"/>
  <c r="J198" i="39"/>
  <c r="AA40" i="36" s="1"/>
  <c r="J196" i="39"/>
  <c r="AA38" i="36" s="1"/>
  <c r="K195" i="39"/>
  <c r="AL37" i="36" s="1"/>
  <c r="L193" i="39"/>
  <c r="J193" i="39"/>
  <c r="AA35" i="36" s="1"/>
  <c r="J192" i="39"/>
  <c r="AA34" i="36" s="1"/>
  <c r="L190" i="39"/>
  <c r="J190" i="39"/>
  <c r="AA32" i="36" s="1"/>
  <c r="L188" i="39"/>
  <c r="J188" i="39"/>
  <c r="AA30" i="36" s="1"/>
  <c r="L184" i="39"/>
  <c r="J184" i="39"/>
  <c r="K192" i="39"/>
  <c r="AL34" i="36" s="1"/>
  <c r="L189" i="39"/>
  <c r="K189" i="39"/>
  <c r="AL31" i="36" s="1"/>
  <c r="L197" i="39"/>
  <c r="J197" i="39"/>
  <c r="AA39" i="36" s="1"/>
  <c r="K197" i="39"/>
  <c r="AL39" i="36" s="1"/>
  <c r="Q200" i="39"/>
  <c r="L201" i="39"/>
  <c r="J201" i="39"/>
  <c r="AA45" i="36" s="1"/>
  <c r="K45" i="36"/>
  <c r="G45" i="36" s="1"/>
  <c r="F201" i="39"/>
  <c r="D201" i="39"/>
  <c r="D22" i="34" s="1"/>
  <c r="G201" i="39"/>
  <c r="K201" i="39"/>
  <c r="AL45" i="36" s="1"/>
  <c r="Q202" i="39"/>
  <c r="Q204" i="39"/>
  <c r="Q210" i="39"/>
  <c r="L211" i="39"/>
  <c r="J211" i="39"/>
  <c r="K211" i="39"/>
  <c r="K184" i="39"/>
  <c r="AL26" i="36" s="1"/>
  <c r="K188" i="39"/>
  <c r="AL30" i="36" s="1"/>
  <c r="J189" i="39"/>
  <c r="AA31" i="36" s="1"/>
  <c r="K190" i="39"/>
  <c r="AL32" i="36" s="1"/>
  <c r="K193" i="39"/>
  <c r="AL35" i="36" s="1"/>
  <c r="L195" i="39"/>
  <c r="J195" i="39"/>
  <c r="AA37" i="36" s="1"/>
  <c r="I201" i="39"/>
  <c r="P45" i="36" s="1"/>
  <c r="Q201" i="39"/>
  <c r="E204" i="39"/>
  <c r="F204" i="39" s="1"/>
  <c r="D203" i="39"/>
  <c r="D24" i="34" s="1"/>
  <c r="D21" i="34" s="1"/>
  <c r="G204" i="39"/>
  <c r="E210" i="39"/>
  <c r="G210" i="39"/>
  <c r="K196" i="39"/>
  <c r="AL38" i="36" s="1"/>
  <c r="K198" i="39"/>
  <c r="AL40" i="36" s="1"/>
  <c r="L213" i="39"/>
  <c r="J213" i="39"/>
  <c r="K213" i="39"/>
  <c r="L214" i="39"/>
  <c r="J214" i="39"/>
  <c r="K214" i="39"/>
  <c r="L216" i="39"/>
  <c r="J216" i="39"/>
  <c r="K216" i="39"/>
  <c r="Q217" i="39"/>
  <c r="L218" i="39"/>
  <c r="J218" i="39"/>
  <c r="K218" i="39"/>
  <c r="L220" i="39"/>
  <c r="J220" i="39"/>
  <c r="K220" i="39"/>
  <c r="L221" i="39"/>
  <c r="J221" i="39"/>
  <c r="K221" i="39"/>
  <c r="L223" i="39"/>
  <c r="E223" i="39"/>
  <c r="G223" i="39"/>
  <c r="I223" i="39"/>
  <c r="K223" i="39"/>
  <c r="Q223" i="39"/>
  <c r="K212" i="39"/>
  <c r="K215" i="39"/>
  <c r="E217" i="39"/>
  <c r="G217" i="39"/>
  <c r="I217" i="39"/>
  <c r="K217" i="39"/>
  <c r="K219" i="39"/>
  <c r="K222" i="39"/>
  <c r="D223" i="39"/>
  <c r="F223" i="39"/>
  <c r="H223" i="39"/>
  <c r="J223" i="39"/>
  <c r="K224" i="39"/>
  <c r="L9" i="38"/>
  <c r="L11" i="38"/>
  <c r="L13" i="38"/>
  <c r="L15" i="38"/>
  <c r="L19" i="38"/>
  <c r="D150" i="38"/>
  <c r="D148" i="38" s="1"/>
  <c r="M20" i="38"/>
  <c r="L21" i="38"/>
  <c r="L23" i="38"/>
  <c r="L25" i="38"/>
  <c r="L27" i="38"/>
  <c r="L29" i="38"/>
  <c r="L31" i="38"/>
  <c r="L33" i="38"/>
  <c r="L35" i="38"/>
  <c r="L37" i="38"/>
  <c r="L39" i="38"/>
  <c r="L40" i="38"/>
  <c r="L41" i="38"/>
  <c r="L42" i="38"/>
  <c r="L43" i="38"/>
  <c r="L45" i="38"/>
  <c r="L47" i="38"/>
  <c r="L49" i="38"/>
  <c r="L51" i="38"/>
  <c r="L53" i="38"/>
  <c r="L55" i="38"/>
  <c r="L57" i="38"/>
  <c r="L59" i="38"/>
  <c r="L61" i="38"/>
  <c r="L63" i="38"/>
  <c r="L65" i="38"/>
  <c r="L67" i="38"/>
  <c r="L69" i="38"/>
  <c r="L71" i="38"/>
  <c r="L73" i="38"/>
  <c r="L75" i="38"/>
  <c r="L77" i="38"/>
  <c r="L79" i="38"/>
  <c r="L81" i="38"/>
  <c r="L83" i="38"/>
  <c r="L85" i="38"/>
  <c r="L87" i="38"/>
  <c r="L89" i="38"/>
  <c r="L91" i="38"/>
  <c r="L93" i="38"/>
  <c r="L95" i="38"/>
  <c r="L97" i="38"/>
  <c r="L99" i="38"/>
  <c r="L101" i="38"/>
  <c r="M104" i="38"/>
  <c r="M106" i="38"/>
  <c r="M108" i="38"/>
  <c r="M110" i="38"/>
  <c r="M112" i="38"/>
  <c r="M114" i="38"/>
  <c r="M116" i="38"/>
  <c r="M118" i="38"/>
  <c r="M120" i="38"/>
  <c r="M122" i="38"/>
  <c r="M124" i="38"/>
  <c r="M126" i="38"/>
  <c r="M128" i="38"/>
  <c r="M130" i="38"/>
  <c r="M132" i="38"/>
  <c r="K195" i="38"/>
  <c r="K194" i="38" s="1"/>
  <c r="I195" i="38"/>
  <c r="I194" i="38" s="1"/>
  <c r="G195" i="38"/>
  <c r="E195" i="38"/>
  <c r="L195" i="38"/>
  <c r="L194" i="38" s="1"/>
  <c r="J195" i="38"/>
  <c r="J194" i="38" s="1"/>
  <c r="H195" i="38"/>
  <c r="H194" i="38" s="1"/>
  <c r="F195" i="38"/>
  <c r="D195" i="38"/>
  <c r="D194" i="38" s="1"/>
  <c r="D172" i="38" s="1"/>
  <c r="K182" i="38"/>
  <c r="G182" i="38"/>
  <c r="D182" i="38"/>
  <c r="L181" i="38"/>
  <c r="J181" i="38"/>
  <c r="H181" i="38"/>
  <c r="F181" i="38"/>
  <c r="D181" i="38"/>
  <c r="L180" i="38"/>
  <c r="J180" i="38"/>
  <c r="F180" i="38"/>
  <c r="L170" i="38"/>
  <c r="H170" i="38"/>
  <c r="K45" i="35" s="1"/>
  <c r="D170" i="38"/>
  <c r="C22" i="34" s="1"/>
  <c r="L167" i="38"/>
  <c r="AW40" i="35" s="1"/>
  <c r="AO40" i="35" s="1"/>
  <c r="H167" i="38"/>
  <c r="K40" i="35" s="1"/>
  <c r="D167" i="38"/>
  <c r="C19" i="34" s="1"/>
  <c r="L166" i="38"/>
  <c r="AW39" i="35" s="1"/>
  <c r="H166" i="38"/>
  <c r="K39" i="35" s="1"/>
  <c r="D166" i="38"/>
  <c r="C18" i="34" s="1"/>
  <c r="L165" i="38"/>
  <c r="AW38" i="35" s="1"/>
  <c r="AR38" i="35" s="1"/>
  <c r="H165" i="38"/>
  <c r="K38" i="35" s="1"/>
  <c r="I38" i="35" s="1"/>
  <c r="D165" i="38"/>
  <c r="C17" i="34" s="1"/>
  <c r="L164" i="38"/>
  <c r="AW37" i="35" s="1"/>
  <c r="H164" i="38"/>
  <c r="K37" i="35" s="1"/>
  <c r="G37" i="35" s="1"/>
  <c r="D164" i="38"/>
  <c r="C16" i="34" s="1"/>
  <c r="L162" i="38"/>
  <c r="AW35" i="35" s="1"/>
  <c r="AQ35" i="35" s="1"/>
  <c r="H162" i="38"/>
  <c r="K35" i="35" s="1"/>
  <c r="D162" i="38"/>
  <c r="C14" i="34" s="1"/>
  <c r="L161" i="38"/>
  <c r="AW34" i="35" s="1"/>
  <c r="H161" i="38"/>
  <c r="K34" i="35" s="1"/>
  <c r="G34" i="35" s="1"/>
  <c r="D161" i="38"/>
  <c r="C13" i="34" s="1"/>
  <c r="L159" i="38"/>
  <c r="AW32" i="35" s="1"/>
  <c r="AW134" i="35" s="1"/>
  <c r="H159" i="38"/>
  <c r="K32" i="35" s="1"/>
  <c r="D159" i="38"/>
  <c r="C11" i="34" s="1"/>
  <c r="L158" i="38"/>
  <c r="AW31" i="35" s="1"/>
  <c r="AW133" i="35" s="1"/>
  <c r="H158" i="38"/>
  <c r="K31" i="35" s="1"/>
  <c r="F158" i="38"/>
  <c r="D158" i="38"/>
  <c r="L157" i="38"/>
  <c r="AW30" i="35" s="1"/>
  <c r="J157" i="38"/>
  <c r="AA30" i="35" s="1"/>
  <c r="H157" i="38"/>
  <c r="K30" i="35" s="1"/>
  <c r="I30" i="35" s="1"/>
  <c r="F157" i="38"/>
  <c r="D157" i="38"/>
  <c r="C9" i="34" s="1"/>
  <c r="L153" i="38"/>
  <c r="AW26" i="35" s="1"/>
  <c r="J153" i="38"/>
  <c r="AA26" i="35" s="1"/>
  <c r="H153" i="38"/>
  <c r="K26" i="35" s="1"/>
  <c r="F153" i="38"/>
  <c r="D153" i="38"/>
  <c r="C8" i="34" s="1"/>
  <c r="H180" i="38"/>
  <c r="D180" i="38"/>
  <c r="J170" i="38"/>
  <c r="F170" i="38"/>
  <c r="J167" i="38"/>
  <c r="AA40" i="35" s="1"/>
  <c r="F167" i="38"/>
  <c r="J166" i="38"/>
  <c r="AA39" i="35" s="1"/>
  <c r="F166" i="38"/>
  <c r="J165" i="38"/>
  <c r="AA38" i="35" s="1"/>
  <c r="F165" i="38"/>
  <c r="J164" i="38"/>
  <c r="AA37" i="35" s="1"/>
  <c r="F164" i="38"/>
  <c r="J162" i="38"/>
  <c r="AA35" i="35" s="1"/>
  <c r="F162" i="38"/>
  <c r="J161" i="38"/>
  <c r="AA34" i="35" s="1"/>
  <c r="F161" i="38"/>
  <c r="J159" i="38"/>
  <c r="AA32" i="35" s="1"/>
  <c r="F159" i="38"/>
  <c r="K155" i="38"/>
  <c r="AL28" i="35" s="1"/>
  <c r="I155" i="38"/>
  <c r="P28" i="35" s="1"/>
  <c r="G155" i="38"/>
  <c r="E155" i="38"/>
  <c r="L154" i="38"/>
  <c r="AW27" i="35" s="1"/>
  <c r="J154" i="38"/>
  <c r="AA27" i="35" s="1"/>
  <c r="H154" i="38"/>
  <c r="K27" i="35" s="1"/>
  <c r="F154" i="38"/>
  <c r="D154" i="38"/>
  <c r="L155" i="38"/>
  <c r="AW28" i="35" s="1"/>
  <c r="AW130" i="35" s="1"/>
  <c r="J155" i="38"/>
  <c r="AA28" i="35" s="1"/>
  <c r="H155" i="38"/>
  <c r="K28" i="35" s="1"/>
  <c r="F155" i="38"/>
  <c r="D155" i="38"/>
  <c r="K154" i="38"/>
  <c r="AL27" i="35" s="1"/>
  <c r="I154" i="38"/>
  <c r="P27" i="35" s="1"/>
  <c r="G154" i="38"/>
  <c r="E154" i="38"/>
  <c r="K153" i="38"/>
  <c r="AL26" i="35" s="1"/>
  <c r="K157" i="38"/>
  <c r="AL30" i="35" s="1"/>
  <c r="L133" i="38"/>
  <c r="L135" i="38"/>
  <c r="L137" i="38"/>
  <c r="L139" i="38"/>
  <c r="L141" i="38"/>
  <c r="L143" i="38"/>
  <c r="L145" i="38"/>
  <c r="L147" i="38"/>
  <c r="I153" i="38"/>
  <c r="P26" i="35" s="1"/>
  <c r="I157" i="38"/>
  <c r="P30" i="35" s="1"/>
  <c r="K158" i="38"/>
  <c r="AL31" i="35" s="1"/>
  <c r="I158" i="38"/>
  <c r="P31" i="35" s="1"/>
  <c r="J158" i="38"/>
  <c r="AA31" i="35" s="1"/>
  <c r="K159" i="38"/>
  <c r="AL32" i="35" s="1"/>
  <c r="K161" i="38"/>
  <c r="AL34" i="35" s="1"/>
  <c r="K162" i="38"/>
  <c r="AL35" i="35" s="1"/>
  <c r="K164" i="38"/>
  <c r="AL37" i="35" s="1"/>
  <c r="K165" i="38"/>
  <c r="AL38" i="35" s="1"/>
  <c r="K166" i="38"/>
  <c r="AL39" i="35" s="1"/>
  <c r="K167" i="38"/>
  <c r="AL40" i="35" s="1"/>
  <c r="K170" i="38"/>
  <c r="G179" i="38"/>
  <c r="E179" i="38"/>
  <c r="K181" i="38"/>
  <c r="K180" i="38"/>
  <c r="L183" i="38"/>
  <c r="J183" i="38"/>
  <c r="H183" i="38"/>
  <c r="F183" i="38"/>
  <c r="D183" i="38"/>
  <c r="G183" i="38"/>
  <c r="K183" i="38"/>
  <c r="L184" i="38"/>
  <c r="J184" i="38"/>
  <c r="H184" i="38"/>
  <c r="F184" i="38"/>
  <c r="D184" i="38"/>
  <c r="G184" i="38"/>
  <c r="K184" i="38"/>
  <c r="L185" i="38"/>
  <c r="J185" i="38"/>
  <c r="H185" i="38"/>
  <c r="F185" i="38"/>
  <c r="D185" i="38"/>
  <c r="G185" i="38"/>
  <c r="K185" i="38"/>
  <c r="L186" i="38"/>
  <c r="J186" i="38"/>
  <c r="H186" i="38"/>
  <c r="F186" i="38"/>
  <c r="D186" i="38"/>
  <c r="G186" i="38"/>
  <c r="K186" i="38"/>
  <c r="L187" i="38"/>
  <c r="J187" i="38"/>
  <c r="H187" i="38"/>
  <c r="F187" i="38"/>
  <c r="D187" i="38"/>
  <c r="G187" i="38"/>
  <c r="K187" i="38"/>
  <c r="K188" i="38"/>
  <c r="K189" i="38"/>
  <c r="K190" i="38"/>
  <c r="K191" i="38"/>
  <c r="K192" i="38"/>
  <c r="K193" i="38"/>
  <c r="I159" i="38"/>
  <c r="P32" i="35" s="1"/>
  <c r="I161" i="38"/>
  <c r="P34" i="35" s="1"/>
  <c r="I162" i="38"/>
  <c r="P35" i="35" s="1"/>
  <c r="I164" i="38"/>
  <c r="P37" i="35" s="1"/>
  <c r="I165" i="38"/>
  <c r="P38" i="35" s="1"/>
  <c r="I166" i="38"/>
  <c r="P39" i="35" s="1"/>
  <c r="I167" i="38"/>
  <c r="P40" i="35" s="1"/>
  <c r="G170" i="38"/>
  <c r="I170" i="38"/>
  <c r="G180" i="38"/>
  <c r="I180" i="38"/>
  <c r="G181" i="38"/>
  <c r="I181" i="38"/>
  <c r="L182" i="38"/>
  <c r="J182" i="38"/>
  <c r="H182" i="38"/>
  <c r="F182" i="38"/>
  <c r="I182" i="38"/>
  <c r="I183" i="38"/>
  <c r="I184" i="38"/>
  <c r="I185" i="38"/>
  <c r="I186" i="38"/>
  <c r="I187" i="38"/>
  <c r="D188" i="38"/>
  <c r="F188" i="38"/>
  <c r="H188" i="38"/>
  <c r="J188" i="38"/>
  <c r="L188" i="38"/>
  <c r="D189" i="38"/>
  <c r="F189" i="38"/>
  <c r="H189" i="38"/>
  <c r="J189" i="38"/>
  <c r="L189" i="38"/>
  <c r="D190" i="38"/>
  <c r="F190" i="38"/>
  <c r="H190" i="38"/>
  <c r="J190" i="38"/>
  <c r="L190" i="38"/>
  <c r="D191" i="38"/>
  <c r="F191" i="38"/>
  <c r="H191" i="38"/>
  <c r="J191" i="38"/>
  <c r="L191" i="38"/>
  <c r="D192" i="38"/>
  <c r="F192" i="38"/>
  <c r="H192" i="38"/>
  <c r="J192" i="38"/>
  <c r="L192" i="38"/>
  <c r="D193" i="38"/>
  <c r="F193" i="38"/>
  <c r="H193" i="38"/>
  <c r="J193" i="38"/>
  <c r="L193" i="38"/>
  <c r="G188" i="38"/>
  <c r="I188" i="38"/>
  <c r="G189" i="38"/>
  <c r="I189" i="38"/>
  <c r="G190" i="38"/>
  <c r="I190" i="38"/>
  <c r="G191" i="38"/>
  <c r="I191" i="38"/>
  <c r="G192" i="38"/>
  <c r="I192" i="38"/>
  <c r="G193" i="38"/>
  <c r="I193" i="38"/>
  <c r="E196" i="38"/>
  <c r="G196" i="38"/>
  <c r="F197" i="38"/>
  <c r="O197" i="38"/>
  <c r="B44" i="37"/>
  <c r="B31" i="37"/>
  <c r="B30" i="37"/>
  <c r="B26" i="37"/>
  <c r="B33" i="37"/>
  <c r="B32" i="37"/>
  <c r="BE22" i="37"/>
  <c r="BK22" i="37"/>
  <c r="AA21" i="37"/>
  <c r="L11" i="37"/>
  <c r="Z11" i="37"/>
  <c r="AJ11" i="37"/>
  <c r="AL11" i="37"/>
  <c r="AV11" i="37"/>
  <c r="G12" i="37"/>
  <c r="Q12" i="37"/>
  <c r="S12" i="37"/>
  <c r="W12" i="37"/>
  <c r="AC12" i="37"/>
  <c r="AE12" i="37"/>
  <c r="AI12" i="37"/>
  <c r="AM12" i="37"/>
  <c r="AO12" i="37"/>
  <c r="AQ12" i="37"/>
  <c r="AS12" i="37"/>
  <c r="L13" i="37"/>
  <c r="Z13" i="37"/>
  <c r="AJ13" i="37"/>
  <c r="AL13" i="37"/>
  <c r="AV13" i="37"/>
  <c r="K14" i="37"/>
  <c r="M14" i="37"/>
  <c r="Y14" i="37"/>
  <c r="AA14" i="37"/>
  <c r="AK14" i="37"/>
  <c r="AU14" i="37"/>
  <c r="AW14" i="37"/>
  <c r="L15" i="37"/>
  <c r="Z15" i="37"/>
  <c r="AJ15" i="37"/>
  <c r="AL15" i="37"/>
  <c r="AV15" i="37"/>
  <c r="J16" i="37"/>
  <c r="O16" i="37" s="1"/>
  <c r="L16" i="37"/>
  <c r="Z16" i="37"/>
  <c r="AJ16" i="37"/>
  <c r="AL16" i="37"/>
  <c r="AV16" i="37"/>
  <c r="BK17" i="37"/>
  <c r="AA18" i="37"/>
  <c r="BK18" i="37" s="1"/>
  <c r="BE19" i="37"/>
  <c r="Y21" i="37"/>
  <c r="Y3" i="37" s="1"/>
  <c r="BE23" i="37"/>
  <c r="AF62" i="37"/>
  <c r="AF59" i="37" s="1"/>
  <c r="AF60" i="37" s="1"/>
  <c r="N62" i="37"/>
  <c r="N59" i="37" s="1"/>
  <c r="N60" i="37" s="1"/>
  <c r="U62" i="37"/>
  <c r="U59" i="37" s="1"/>
  <c r="U60" i="37" s="1"/>
  <c r="K62" i="37"/>
  <c r="I62" i="37"/>
  <c r="J62" i="37"/>
  <c r="M62" i="37"/>
  <c r="M59" i="37" s="1"/>
  <c r="M60" i="37" s="1"/>
  <c r="Q62" i="37"/>
  <c r="Q59" i="37" s="1"/>
  <c r="Q60" i="37" s="1"/>
  <c r="W62" i="37"/>
  <c r="W64" i="37" s="1"/>
  <c r="W65" i="37" s="1"/>
  <c r="AL62" i="37"/>
  <c r="AF64" i="37"/>
  <c r="AF65" i="37" s="1"/>
  <c r="K11" i="37"/>
  <c r="M11" i="37"/>
  <c r="Y11" i="37"/>
  <c r="AA11" i="37"/>
  <c r="AK11" i="37"/>
  <c r="AU11" i="37"/>
  <c r="AW11" i="37"/>
  <c r="AM31" i="37" s="1"/>
  <c r="K13" i="37"/>
  <c r="M13" i="37"/>
  <c r="Y13" i="37"/>
  <c r="AA13" i="37"/>
  <c r="AK13" i="37"/>
  <c r="AU13" i="37"/>
  <c r="AW13" i="37"/>
  <c r="AN26" i="37" s="1"/>
  <c r="L14" i="37"/>
  <c r="Z14" i="37"/>
  <c r="AJ14" i="37"/>
  <c r="AL14" i="37"/>
  <c r="AV14" i="37"/>
  <c r="K15" i="37"/>
  <c r="M15" i="37"/>
  <c r="Y15" i="37"/>
  <c r="AA15" i="37"/>
  <c r="AK15" i="37"/>
  <c r="AU15" i="37"/>
  <c r="AW15" i="37"/>
  <c r="AP28" i="37" s="1"/>
  <c r="M16" i="37"/>
  <c r="Y16" i="37"/>
  <c r="AA16" i="37"/>
  <c r="AK16" i="37"/>
  <c r="AU16" i="37"/>
  <c r="BK19" i="37"/>
  <c r="BK23" i="37"/>
  <c r="BG49" i="37"/>
  <c r="H62" i="37"/>
  <c r="L62" i="37"/>
  <c r="L64" i="37" s="1"/>
  <c r="L65" i="37" s="1"/>
  <c r="O62" i="37"/>
  <c r="S62" i="37"/>
  <c r="S59" i="37" s="1"/>
  <c r="S60" i="37" s="1"/>
  <c r="AB62" i="37"/>
  <c r="AB64" i="37" s="1"/>
  <c r="AB65" i="37" s="1"/>
  <c r="AH62" i="37"/>
  <c r="AH59" i="37" s="1"/>
  <c r="AH60" i="37" s="1"/>
  <c r="BD42" i="37"/>
  <c r="BF42" i="37" s="1"/>
  <c r="K60" i="37"/>
  <c r="G62" i="37"/>
  <c r="AD62" i="37"/>
  <c r="AD59" i="37" s="1"/>
  <c r="AD60" i="37" s="1"/>
  <c r="K65" i="37"/>
  <c r="K83" i="37"/>
  <c r="K84" i="37"/>
  <c r="L85" i="37" s="1"/>
  <c r="L82" i="37" s="1"/>
  <c r="L83" i="37" s="1"/>
  <c r="P84" i="37"/>
  <c r="AA84" i="37"/>
  <c r="BE42" i="37"/>
  <c r="P61" i="37"/>
  <c r="P62" i="37" s="1"/>
  <c r="AA61" i="37"/>
  <c r="AA62" i="37" s="1"/>
  <c r="K66" i="37"/>
  <c r="G67" i="37" s="1"/>
  <c r="AL66" i="37"/>
  <c r="K79" i="37"/>
  <c r="B146" i="36"/>
  <c r="B135" i="36"/>
  <c r="B134" i="36"/>
  <c r="B133" i="36"/>
  <c r="B132" i="36"/>
  <c r="B128" i="36"/>
  <c r="B127" i="36"/>
  <c r="B118" i="36"/>
  <c r="B106" i="36"/>
  <c r="B104" i="36"/>
  <c r="B100" i="36"/>
  <c r="B99" i="36"/>
  <c r="B107" i="36"/>
  <c r="B105" i="36"/>
  <c r="B44" i="36"/>
  <c r="B33" i="36"/>
  <c r="B32" i="36"/>
  <c r="B31" i="36"/>
  <c r="B30" i="36"/>
  <c r="B26" i="36"/>
  <c r="E25" i="36"/>
  <c r="BE2" i="36"/>
  <c r="K11" i="36"/>
  <c r="M11" i="36"/>
  <c r="Y11" i="36"/>
  <c r="AA11" i="36"/>
  <c r="AJ11" i="36"/>
  <c r="AL11" i="36"/>
  <c r="AV11" i="36"/>
  <c r="Y12" i="36"/>
  <c r="AU12" i="36"/>
  <c r="L13" i="36"/>
  <c r="Z13" i="36"/>
  <c r="AJ13" i="36"/>
  <c r="AL13" i="36"/>
  <c r="AD27" i="36" s="1"/>
  <c r="AV13" i="36"/>
  <c r="K14" i="36"/>
  <c r="H42" i="36" s="1"/>
  <c r="M14" i="36"/>
  <c r="Y14" i="36"/>
  <c r="AA14" i="36"/>
  <c r="T42" i="36" s="1"/>
  <c r="AK14" i="36"/>
  <c r="AU14" i="36"/>
  <c r="AW14" i="36"/>
  <c r="AM42" i="36" s="1"/>
  <c r="L15" i="36"/>
  <c r="Z15" i="36"/>
  <c r="AJ15" i="36"/>
  <c r="AL15" i="36"/>
  <c r="AD28" i="36" s="1"/>
  <c r="AV15" i="36"/>
  <c r="J16" i="36"/>
  <c r="L16" i="36"/>
  <c r="Z16" i="36"/>
  <c r="AK16" i="36"/>
  <c r="AU16" i="36"/>
  <c r="AW16" i="36"/>
  <c r="AN120" i="36" s="1"/>
  <c r="BK19" i="36"/>
  <c r="BK20" i="36"/>
  <c r="BK21" i="36"/>
  <c r="J11" i="47" s="1"/>
  <c r="J12" i="47" s="1"/>
  <c r="BE22" i="36"/>
  <c r="BE23" i="36"/>
  <c r="F99" i="36" s="1"/>
  <c r="L11" i="36"/>
  <c r="Z11" i="36"/>
  <c r="AK11" i="36"/>
  <c r="AU11" i="36"/>
  <c r="AW11" i="36"/>
  <c r="AO105" i="36" s="1"/>
  <c r="H12" i="36"/>
  <c r="J12" i="36"/>
  <c r="N12" i="36"/>
  <c r="R12" i="36"/>
  <c r="T12" i="36"/>
  <c r="X12" i="36"/>
  <c r="AB12" i="36"/>
  <c r="AD12" i="36"/>
  <c r="AF12" i="36"/>
  <c r="AH12" i="36"/>
  <c r="AN12" i="36"/>
  <c r="AP12" i="36"/>
  <c r="AR12" i="36"/>
  <c r="AT12" i="36"/>
  <c r="K13" i="36"/>
  <c r="M13" i="36"/>
  <c r="O13" i="36"/>
  <c r="Y13" i="36"/>
  <c r="AA13" i="36"/>
  <c r="S27" i="36" s="1"/>
  <c r="AK13" i="36"/>
  <c r="AU13" i="36"/>
  <c r="AW13" i="36"/>
  <c r="AM27" i="36" s="1"/>
  <c r="L14" i="36"/>
  <c r="Z14" i="36"/>
  <c r="AJ14" i="36"/>
  <c r="AL14" i="36"/>
  <c r="AV14" i="36"/>
  <c r="K15" i="36"/>
  <c r="M15" i="36"/>
  <c r="O15" i="36"/>
  <c r="Y15" i="36"/>
  <c r="AA15" i="36"/>
  <c r="T28" i="36" s="1"/>
  <c r="AK15" i="36"/>
  <c r="AU15" i="36"/>
  <c r="AW15" i="36"/>
  <c r="AP28" i="36" s="1"/>
  <c r="M16" i="36"/>
  <c r="Y16" i="36"/>
  <c r="AA16" i="36"/>
  <c r="AJ16" i="36"/>
  <c r="AL16" i="36"/>
  <c r="AV16" i="36"/>
  <c r="AA18" i="36"/>
  <c r="BE20" i="36"/>
  <c r="E99" i="36" s="1"/>
  <c r="BK22" i="36"/>
  <c r="AW136" i="36"/>
  <c r="AW149" i="36"/>
  <c r="BG49" i="36"/>
  <c r="AK98" i="36"/>
  <c r="AW150" i="36"/>
  <c r="BK49" i="36"/>
  <c r="K60" i="36"/>
  <c r="K65" i="36"/>
  <c r="K83" i="36"/>
  <c r="K84" i="36"/>
  <c r="P84" i="36"/>
  <c r="AA84" i="36"/>
  <c r="AA85" i="36" s="1"/>
  <c r="P98" i="36"/>
  <c r="Z98" i="36"/>
  <c r="AJ98" i="36"/>
  <c r="AL98" i="36"/>
  <c r="K61" i="36"/>
  <c r="G62" i="36" s="1"/>
  <c r="P61" i="36"/>
  <c r="AA61" i="36"/>
  <c r="AA62" i="36" s="1"/>
  <c r="AL61" i="36"/>
  <c r="K66" i="36"/>
  <c r="J67" i="36" s="1"/>
  <c r="AA66" i="36"/>
  <c r="AL66" i="36"/>
  <c r="K79" i="36"/>
  <c r="P79" i="36"/>
  <c r="K98" i="36"/>
  <c r="Y98" i="36"/>
  <c r="AA98" i="36"/>
  <c r="BK123" i="36"/>
  <c r="BJ151" i="36"/>
  <c r="BI151" i="36"/>
  <c r="BK151" i="36" s="1"/>
  <c r="AJ151" i="36"/>
  <c r="BA151" i="36"/>
  <c r="BB151" i="36"/>
  <c r="B146" i="35"/>
  <c r="B135" i="35"/>
  <c r="B134" i="35"/>
  <c r="B133" i="35"/>
  <c r="B132" i="35"/>
  <c r="B128" i="35"/>
  <c r="B106" i="35"/>
  <c r="B104" i="35"/>
  <c r="B100" i="35"/>
  <c r="B99" i="35"/>
  <c r="B44" i="35"/>
  <c r="B127" i="35"/>
  <c r="B118" i="35"/>
  <c r="B107" i="35"/>
  <c r="B105" i="35"/>
  <c r="B33" i="35"/>
  <c r="B32" i="35"/>
  <c r="B31" i="35"/>
  <c r="B26" i="35"/>
  <c r="B30" i="35"/>
  <c r="S12" i="35"/>
  <c r="AU15" i="35"/>
  <c r="H39" i="35"/>
  <c r="M16" i="35"/>
  <c r="AR30" i="35"/>
  <c r="AP34" i="35"/>
  <c r="AP37" i="35"/>
  <c r="H38" i="35"/>
  <c r="AT38" i="35"/>
  <c r="AL11" i="35"/>
  <c r="AB31" i="35" s="1"/>
  <c r="AJ11" i="35"/>
  <c r="K13" i="35"/>
  <c r="Q12" i="35"/>
  <c r="W12" i="35"/>
  <c r="Y13" i="35"/>
  <c r="AJ14" i="35"/>
  <c r="K11" i="35"/>
  <c r="J32" i="35" s="1"/>
  <c r="O11" i="35"/>
  <c r="Z11" i="35"/>
  <c r="AK11" i="35"/>
  <c r="AW11" i="35"/>
  <c r="AP31" i="35" s="1"/>
  <c r="H12" i="35"/>
  <c r="R12" i="35"/>
  <c r="X12" i="35"/>
  <c r="AB12" i="35"/>
  <c r="AF12" i="35"/>
  <c r="M13" i="35"/>
  <c r="AA13" i="35"/>
  <c r="AC12" i="35"/>
  <c r="AE12" i="35"/>
  <c r="AG12" i="35"/>
  <c r="AI12" i="35"/>
  <c r="AM101" i="35"/>
  <c r="AM100" i="35"/>
  <c r="AM12" i="35"/>
  <c r="AO12" i="35"/>
  <c r="AO100" i="35"/>
  <c r="AO101" i="35"/>
  <c r="AQ101" i="35"/>
  <c r="AQ100" i="35"/>
  <c r="AQ12" i="35"/>
  <c r="AS12" i="35"/>
  <c r="AS100" i="35"/>
  <c r="AS101" i="35"/>
  <c r="AU13" i="35"/>
  <c r="K14" i="35"/>
  <c r="H42" i="35" s="1"/>
  <c r="G12" i="35"/>
  <c r="O14" i="35"/>
  <c r="Z14" i="35"/>
  <c r="AL14" i="35"/>
  <c r="K15" i="35"/>
  <c r="Y15" i="35"/>
  <c r="AK15" i="35"/>
  <c r="AW15" i="35"/>
  <c r="AN102" i="35" s="1"/>
  <c r="AL16" i="35"/>
  <c r="AD40" i="35" s="1"/>
  <c r="AJ16" i="35"/>
  <c r="AM122" i="35"/>
  <c r="AM120" i="35"/>
  <c r="AM117" i="35"/>
  <c r="AM114" i="35"/>
  <c r="AM112" i="35"/>
  <c r="AM113" i="35"/>
  <c r="AM111" i="35"/>
  <c r="AM109" i="35"/>
  <c r="AM121" i="35"/>
  <c r="AM119" i="35"/>
  <c r="AM108" i="35"/>
  <c r="AM37" i="35"/>
  <c r="AM30" i="35"/>
  <c r="AM104" i="35"/>
  <c r="AO122" i="35"/>
  <c r="AO120" i="35"/>
  <c r="AO117" i="35"/>
  <c r="AO114" i="35"/>
  <c r="AO112" i="35"/>
  <c r="AO121" i="35"/>
  <c r="AO119" i="35"/>
  <c r="AO109" i="35"/>
  <c r="AO113" i="35"/>
  <c r="AO111" i="35"/>
  <c r="AO108" i="35"/>
  <c r="AO104" i="35"/>
  <c r="AO37" i="35"/>
  <c r="AO30" i="35"/>
  <c r="AQ122" i="35"/>
  <c r="AQ120" i="35"/>
  <c r="AQ117" i="35"/>
  <c r="AQ114" i="35"/>
  <c r="AQ112" i="35"/>
  <c r="AQ113" i="35"/>
  <c r="AQ111" i="35"/>
  <c r="AQ109" i="35"/>
  <c r="AQ121" i="35"/>
  <c r="AQ119" i="35"/>
  <c r="AQ108" i="35"/>
  <c r="AQ37" i="35"/>
  <c r="AQ30" i="35"/>
  <c r="AQ104" i="35"/>
  <c r="AS122" i="35"/>
  <c r="AS120" i="35"/>
  <c r="AS117" i="35"/>
  <c r="AS114" i="35"/>
  <c r="AS112" i="35"/>
  <c r="AS121" i="35"/>
  <c r="AS119" i="35"/>
  <c r="AS109" i="35"/>
  <c r="AS113" i="35"/>
  <c r="AS111" i="35"/>
  <c r="AS108" i="35"/>
  <c r="AS104" i="35"/>
  <c r="AS37" i="35"/>
  <c r="AS30" i="35"/>
  <c r="AU16" i="35"/>
  <c r="BK17" i="35"/>
  <c r="BE19" i="35"/>
  <c r="K18" i="35"/>
  <c r="BK19" i="35"/>
  <c r="P21" i="35"/>
  <c r="BK23" i="35"/>
  <c r="AJ98" i="35"/>
  <c r="P98" i="35"/>
  <c r="BE23" i="35"/>
  <c r="F99" i="35" s="1"/>
  <c r="H30" i="35"/>
  <c r="AP30" i="35"/>
  <c r="AN34" i="35"/>
  <c r="I35" i="35"/>
  <c r="AN37" i="35"/>
  <c r="AM39" i="35"/>
  <c r="I40" i="35"/>
  <c r="L67" i="35"/>
  <c r="P66" i="35"/>
  <c r="P67" i="35" s="1"/>
  <c r="L80" i="35"/>
  <c r="L77" i="35" s="1"/>
  <c r="L78" i="35" s="1"/>
  <c r="P79" i="35"/>
  <c r="P80" i="35" s="1"/>
  <c r="K84" i="35"/>
  <c r="M85" i="35" s="1"/>
  <c r="M82" i="35" s="1"/>
  <c r="M83" i="35" s="1"/>
  <c r="AA84" i="35"/>
  <c r="L62" i="35"/>
  <c r="L59" i="35" s="1"/>
  <c r="L60" i="35" s="1"/>
  <c r="P61" i="35"/>
  <c r="P62" i="35" s="1"/>
  <c r="AB62" i="35"/>
  <c r="AB59" i="35" s="1"/>
  <c r="AB60" i="35" s="1"/>
  <c r="AL61" i="35"/>
  <c r="AL62" i="35" s="1"/>
  <c r="AB67" i="35"/>
  <c r="AL66" i="35"/>
  <c r="AL67" i="35" s="1"/>
  <c r="M11" i="35"/>
  <c r="Y11" i="35"/>
  <c r="AA11" i="35"/>
  <c r="AV11" i="35"/>
  <c r="L13" i="35"/>
  <c r="Z13" i="35"/>
  <c r="AJ13" i="35"/>
  <c r="AL13" i="35"/>
  <c r="AN101" i="35"/>
  <c r="AN100" i="35"/>
  <c r="AP101" i="35"/>
  <c r="AP100" i="35"/>
  <c r="AR101" i="35"/>
  <c r="AR100" i="35"/>
  <c r="AT101" i="35"/>
  <c r="AT100" i="35"/>
  <c r="AV13" i="35"/>
  <c r="M14" i="35"/>
  <c r="Y14" i="35"/>
  <c r="AA14" i="35"/>
  <c r="W42" i="35" s="1"/>
  <c r="AK14" i="35"/>
  <c r="AU14" i="35"/>
  <c r="AW14" i="35"/>
  <c r="AN116" i="35" s="1"/>
  <c r="L15" i="35"/>
  <c r="Z15" i="35"/>
  <c r="AJ15" i="35"/>
  <c r="AL15" i="35"/>
  <c r="AV15" i="35"/>
  <c r="J16" i="35"/>
  <c r="O16" i="35" s="1"/>
  <c r="Y16" i="35"/>
  <c r="AA16" i="35"/>
  <c r="W34" i="35" s="1"/>
  <c r="AN121" i="35"/>
  <c r="AN119" i="35"/>
  <c r="AN113" i="35"/>
  <c r="AN111" i="35"/>
  <c r="AN122" i="35"/>
  <c r="AN120" i="35"/>
  <c r="AN108" i="35"/>
  <c r="AN104" i="35"/>
  <c r="AN117" i="35"/>
  <c r="AN114" i="35"/>
  <c r="AN112" i="35"/>
  <c r="AN109" i="35"/>
  <c r="AP121" i="35"/>
  <c r="AP119" i="35"/>
  <c r="AP113" i="35"/>
  <c r="AP111" i="35"/>
  <c r="AP117" i="35"/>
  <c r="AP114" i="35"/>
  <c r="AP112" i="35"/>
  <c r="AP108" i="35"/>
  <c r="AP104" i="35"/>
  <c r="AP122" i="35"/>
  <c r="AP120" i="35"/>
  <c r="AP109" i="35"/>
  <c r="AR121" i="35"/>
  <c r="AR119" i="35"/>
  <c r="AR113" i="35"/>
  <c r="AR111" i="35"/>
  <c r="AR122" i="35"/>
  <c r="AR120" i="35"/>
  <c r="AR108" i="35"/>
  <c r="AR104" i="35"/>
  <c r="AR117" i="35"/>
  <c r="AR114" i="35"/>
  <c r="AR112" i="35"/>
  <c r="AR109" i="35"/>
  <c r="AT121" i="35"/>
  <c r="AT119" i="35"/>
  <c r="AT113" i="35"/>
  <c r="AT111" i="35"/>
  <c r="AT117" i="35"/>
  <c r="AT114" i="35"/>
  <c r="AT112" i="35"/>
  <c r="AT108" i="35"/>
  <c r="AT104" i="35"/>
  <c r="AT122" i="35"/>
  <c r="AT120" i="35"/>
  <c r="AT109" i="35"/>
  <c r="AV16" i="35"/>
  <c r="BE20" i="35"/>
  <c r="E99" i="35" s="1"/>
  <c r="G30" i="35"/>
  <c r="G38" i="35"/>
  <c r="AN39" i="35"/>
  <c r="AP39" i="35"/>
  <c r="AR39" i="35"/>
  <c r="AT39" i="35"/>
  <c r="G45" i="35"/>
  <c r="BK49" i="35"/>
  <c r="Q59" i="35"/>
  <c r="Q60" i="35" s="1"/>
  <c r="AH59" i="35"/>
  <c r="AH60" i="35" s="1"/>
  <c r="K60" i="35"/>
  <c r="AF62" i="35"/>
  <c r="AF59" i="35" s="1"/>
  <c r="AF60" i="35" s="1"/>
  <c r="N62" i="35"/>
  <c r="N64" i="35" s="1"/>
  <c r="N65" i="35" s="1"/>
  <c r="J62" i="35"/>
  <c r="J59" i="35" s="1"/>
  <c r="J60" i="35" s="1"/>
  <c r="W62" i="35"/>
  <c r="W64" i="35" s="1"/>
  <c r="W65" i="35" s="1"/>
  <c r="G62" i="35"/>
  <c r="K62" i="35"/>
  <c r="U62" i="35"/>
  <c r="AD62" i="35"/>
  <c r="AF64" i="35"/>
  <c r="AF65" i="35" s="1"/>
  <c r="Q64" i="35"/>
  <c r="Q65" i="35" s="1"/>
  <c r="AH64" i="35"/>
  <c r="AH65" i="35" s="1"/>
  <c r="K65" i="35"/>
  <c r="AF67" i="35"/>
  <c r="N67" i="35"/>
  <c r="J67" i="35"/>
  <c r="W67" i="35"/>
  <c r="G67" i="35"/>
  <c r="K67" i="35"/>
  <c r="U67" i="35"/>
  <c r="AD67" i="35"/>
  <c r="K78" i="35"/>
  <c r="J80" i="35"/>
  <c r="J77" i="35" s="1"/>
  <c r="J78" i="35" s="1"/>
  <c r="W80" i="35"/>
  <c r="W77" i="35" s="1"/>
  <c r="W78" i="35" s="1"/>
  <c r="I80" i="35"/>
  <c r="I77" i="35" s="1"/>
  <c r="I78" i="35" s="1"/>
  <c r="M80" i="35"/>
  <c r="M77" i="35" s="1"/>
  <c r="M78" i="35" s="1"/>
  <c r="Q80" i="35"/>
  <c r="Q77" i="35" s="1"/>
  <c r="Q78" i="35" s="1"/>
  <c r="AK98" i="35"/>
  <c r="AA98" i="35"/>
  <c r="Y98" i="35"/>
  <c r="K98" i="35"/>
  <c r="Z98" i="35"/>
  <c r="AL98" i="35"/>
  <c r="BJ123" i="35"/>
  <c r="BK123" i="35" s="1"/>
  <c r="BB151" i="35"/>
  <c r="BA151" i="35"/>
  <c r="BI151" i="35"/>
  <c r="E23" i="33"/>
  <c r="K37" i="33"/>
  <c r="C35" i="33"/>
  <c r="J37" i="33"/>
  <c r="F8" i="33"/>
  <c r="F9" i="33" s="1"/>
  <c r="D8" i="33"/>
  <c r="W12" i="33"/>
  <c r="AB14" i="33"/>
  <c r="AG16" i="33"/>
  <c r="AG15" i="33"/>
  <c r="AG9" i="33"/>
  <c r="AG8" i="33"/>
  <c r="AG6" i="33"/>
  <c r="F30" i="33"/>
  <c r="E30" i="33" s="1"/>
  <c r="G30" i="33" s="1"/>
  <c r="F28" i="33"/>
  <c r="E28" i="33" s="1"/>
  <c r="F29" i="33"/>
  <c r="E29" i="33" s="1"/>
  <c r="F27" i="33"/>
  <c r="E27" i="33" s="1"/>
  <c r="AE26" i="33"/>
  <c r="AE32" i="33"/>
  <c r="Q32" i="33"/>
  <c r="R32" i="33" s="1"/>
  <c r="C40" i="33"/>
  <c r="C39" i="33"/>
  <c r="D16" i="33"/>
  <c r="D10" i="33"/>
  <c r="E6" i="33"/>
  <c r="H16" i="33"/>
  <c r="C6" i="33"/>
  <c r="S7" i="33"/>
  <c r="H7" i="33" s="1"/>
  <c r="I37" i="33"/>
  <c r="E11" i="33"/>
  <c r="U11" i="33"/>
  <c r="R12" i="33" s="1"/>
  <c r="AG11" i="33"/>
  <c r="AG12" i="33"/>
  <c r="AG14" i="33"/>
  <c r="L24" i="33"/>
  <c r="AB15" i="33"/>
  <c r="AD16" i="33"/>
  <c r="H37" i="33"/>
  <c r="G37" i="33" s="1"/>
  <c r="L23" i="33"/>
  <c r="O39" i="33"/>
  <c r="AE25" i="33"/>
  <c r="E25" i="33"/>
  <c r="Q25" i="33"/>
  <c r="R25" i="33" s="1"/>
  <c r="F26" i="33"/>
  <c r="R26" i="33"/>
  <c r="R27" i="33"/>
  <c r="AE29" i="33"/>
  <c r="C34" i="33"/>
  <c r="C36" i="33"/>
  <c r="AA42" i="33"/>
  <c r="AA27" i="33" s="1"/>
  <c r="AF7" i="33"/>
  <c r="D9" i="33"/>
  <c r="R23" i="33"/>
  <c r="AE27" i="33"/>
  <c r="Q28" i="33"/>
  <c r="R28" i="33" s="1"/>
  <c r="R29" i="33"/>
  <c r="AE31" i="33"/>
  <c r="Q31" i="33"/>
  <c r="R31" i="33" s="1"/>
  <c r="AE33" i="33"/>
  <c r="AA33" i="33"/>
  <c r="E33" i="33"/>
  <c r="Q33" i="33"/>
  <c r="R33" i="33" s="1"/>
  <c r="AA28" i="33"/>
  <c r="G34" i="32"/>
  <c r="G24" i="32"/>
  <c r="G22" i="32"/>
  <c r="G23" i="32"/>
  <c r="G25" i="32"/>
  <c r="M13" i="32"/>
  <c r="N7" i="32"/>
  <c r="J25" i="32"/>
  <c r="J23" i="32"/>
  <c r="J34" i="32"/>
  <c r="K173" i="38" s="1"/>
  <c r="AL48" i="35" s="1"/>
  <c r="AG48" i="35" s="1"/>
  <c r="J24" i="32"/>
  <c r="J22" i="32"/>
  <c r="C43" i="32"/>
  <c r="N6" i="32"/>
  <c r="S6" i="32"/>
  <c r="G7" i="32"/>
  <c r="I7" i="32"/>
  <c r="M8" i="32"/>
  <c r="N8" i="32" s="1"/>
  <c r="O8" i="32"/>
  <c r="S8" i="32"/>
  <c r="I34" i="32"/>
  <c r="J173" i="38" s="1"/>
  <c r="AA48" i="35" s="1"/>
  <c r="I24" i="32"/>
  <c r="I22" i="32"/>
  <c r="M9" i="32"/>
  <c r="N9" i="32" s="1"/>
  <c r="O9" i="32"/>
  <c r="S9" i="32"/>
  <c r="M10" i="32"/>
  <c r="N10" i="32" s="1"/>
  <c r="O10" i="32"/>
  <c r="S10" i="32"/>
  <c r="I23" i="32"/>
  <c r="W30" i="32"/>
  <c r="O1" i="32"/>
  <c r="G5" i="32"/>
  <c r="C6" i="32"/>
  <c r="E6" i="32"/>
  <c r="O6" i="32"/>
  <c r="P6" i="32" s="1"/>
  <c r="O7" i="32"/>
  <c r="P7" i="32" s="1"/>
  <c r="S7" i="32"/>
  <c r="C8" i="32"/>
  <c r="C9" i="32"/>
  <c r="C10" i="32"/>
  <c r="D13" i="32"/>
  <c r="H19" i="32"/>
  <c r="Y27" i="32"/>
  <c r="Z27" i="32" s="1"/>
  <c r="Y26" i="32"/>
  <c r="Z26" i="32" s="1"/>
  <c r="Y25" i="32"/>
  <c r="Z25" i="32" s="1"/>
  <c r="Y23" i="32"/>
  <c r="Z23" i="32" s="1"/>
  <c r="Y21" i="32"/>
  <c r="W37" i="32"/>
  <c r="W39" i="32" s="1"/>
  <c r="Z20" i="32"/>
  <c r="Y22" i="32"/>
  <c r="Y24" i="32"/>
  <c r="Z24" i="32" s="1"/>
  <c r="I25" i="32"/>
  <c r="F26" i="32"/>
  <c r="Y28" i="32"/>
  <c r="Z28" i="32" s="1"/>
  <c r="Z29" i="32"/>
  <c r="Y31" i="32"/>
  <c r="Z19" i="32"/>
  <c r="Y30" i="32" l="1"/>
  <c r="Z21" i="32"/>
  <c r="F22" i="34"/>
  <c r="R39" i="33"/>
  <c r="AL45" i="37"/>
  <c r="AJ12" i="37"/>
  <c r="AW16" i="37"/>
  <c r="AP30" i="37" s="1"/>
  <c r="F34" i="32"/>
  <c r="H173" i="38"/>
  <c r="J172" i="38"/>
  <c r="AA47" i="35" s="1"/>
  <c r="H172" i="38"/>
  <c r="K47" i="35" s="1"/>
  <c r="G47" i="35" s="1"/>
  <c r="K172" i="38"/>
  <c r="AL47" i="35" s="1"/>
  <c r="AI42" i="35"/>
  <c r="H34" i="35"/>
  <c r="AH39" i="35"/>
  <c r="AE37" i="35"/>
  <c r="AC48" i="35"/>
  <c r="AE34" i="35"/>
  <c r="AT46" i="36"/>
  <c r="AT106" i="35"/>
  <c r="AR111" i="36"/>
  <c r="AL67" i="36"/>
  <c r="C187" i="40"/>
  <c r="C9" i="40"/>
  <c r="K9" i="40" s="1"/>
  <c r="E22" i="34"/>
  <c r="K13" i="40"/>
  <c r="D192" i="40" s="1"/>
  <c r="F10" i="34" s="1"/>
  <c r="C12" i="40"/>
  <c r="K12" i="40" s="1"/>
  <c r="AH31" i="35"/>
  <c r="J64" i="35"/>
  <c r="J65" i="35" s="1"/>
  <c r="AS27" i="36"/>
  <c r="AT121" i="36"/>
  <c r="AP108" i="36"/>
  <c r="H80" i="35"/>
  <c r="H77" i="35" s="1"/>
  <c r="H78" i="35" s="1"/>
  <c r="O62" i="35"/>
  <c r="S67" i="35"/>
  <c r="AP105" i="35"/>
  <c r="S42" i="35"/>
  <c r="AC37" i="35"/>
  <c r="AC34" i="35"/>
  <c r="AC47" i="35"/>
  <c r="AM31" i="35"/>
  <c r="G80" i="35"/>
  <c r="G77" i="35" s="1"/>
  <c r="G78" i="35" s="1"/>
  <c r="Q67" i="35"/>
  <c r="S62" i="35"/>
  <c r="H62" i="35"/>
  <c r="AH67" i="35"/>
  <c r="O67" i="35"/>
  <c r="B5" i="32"/>
  <c r="M5" i="32" s="1"/>
  <c r="N5" i="32" s="1"/>
  <c r="G27" i="35"/>
  <c r="H67" i="35"/>
  <c r="G42" i="36"/>
  <c r="AF27" i="36"/>
  <c r="J27" i="39"/>
  <c r="J8" i="39" s="1"/>
  <c r="J2" i="39" s="1"/>
  <c r="Q8" i="39"/>
  <c r="R177" i="39" s="1"/>
  <c r="S177" i="39" s="1"/>
  <c r="E177" i="39" s="1"/>
  <c r="H79" i="39"/>
  <c r="R179" i="39"/>
  <c r="S179" i="39" s="1"/>
  <c r="E179" i="39" s="1"/>
  <c r="R175" i="39"/>
  <c r="S175" i="39" s="1"/>
  <c r="E175" i="39" s="1"/>
  <c r="R171" i="39"/>
  <c r="S171" i="39" s="1"/>
  <c r="E171" i="39" s="1"/>
  <c r="R167" i="39"/>
  <c r="S167" i="39" s="1"/>
  <c r="E167" i="39" s="1"/>
  <c r="R163" i="39"/>
  <c r="S163" i="39" s="1"/>
  <c r="E163" i="39" s="1"/>
  <c r="R88" i="39"/>
  <c r="S88" i="39" s="1"/>
  <c r="E88" i="39" s="1"/>
  <c r="R81" i="39"/>
  <c r="S81" i="39" s="1"/>
  <c r="E81" i="39" s="1"/>
  <c r="R75" i="39"/>
  <c r="S75" i="39" s="1"/>
  <c r="E75" i="39" s="1"/>
  <c r="R71" i="39"/>
  <c r="S71" i="39" s="1"/>
  <c r="E71" i="39" s="1"/>
  <c r="R23" i="39"/>
  <c r="S23" i="39" s="1"/>
  <c r="E23" i="39" s="1"/>
  <c r="R19" i="39"/>
  <c r="S19" i="39" s="1"/>
  <c r="E19" i="39" s="1"/>
  <c r="R15" i="39"/>
  <c r="S15" i="39" s="1"/>
  <c r="E15" i="39" s="1"/>
  <c r="Q2" i="39"/>
  <c r="R29" i="39"/>
  <c r="S29" i="39" s="1"/>
  <c r="E29" i="39" s="1"/>
  <c r="R44" i="39"/>
  <c r="S44" i="39" s="1"/>
  <c r="E44" i="39" s="1"/>
  <c r="R48" i="39"/>
  <c r="S48" i="39" s="1"/>
  <c r="E48" i="39" s="1"/>
  <c r="R40" i="39"/>
  <c r="S40" i="39" s="1"/>
  <c r="E40" i="39" s="1"/>
  <c r="R53" i="39"/>
  <c r="S53" i="39" s="1"/>
  <c r="E53" i="39" s="1"/>
  <c r="R58" i="39"/>
  <c r="S58" i="39" s="1"/>
  <c r="E58" i="39" s="1"/>
  <c r="R63" i="39"/>
  <c r="S63" i="39" s="1"/>
  <c r="E63" i="39" s="1"/>
  <c r="R67" i="39"/>
  <c r="S67" i="39" s="1"/>
  <c r="E67" i="39" s="1"/>
  <c r="R90" i="39"/>
  <c r="S90" i="39" s="1"/>
  <c r="E90" i="39" s="1"/>
  <c r="R108" i="39"/>
  <c r="S108" i="39" s="1"/>
  <c r="E108" i="39" s="1"/>
  <c r="R158" i="39"/>
  <c r="S158" i="39" s="1"/>
  <c r="E158" i="39" s="1"/>
  <c r="R97" i="39"/>
  <c r="S97" i="39" s="1"/>
  <c r="E97" i="39" s="1"/>
  <c r="R101" i="39"/>
  <c r="S101" i="39" s="1"/>
  <c r="E101" i="39" s="1"/>
  <c r="G214" i="39" s="1"/>
  <c r="R113" i="39"/>
  <c r="S113" i="39" s="1"/>
  <c r="E113" i="39" s="1"/>
  <c r="R117" i="39"/>
  <c r="S117" i="39" s="1"/>
  <c r="E117" i="39" s="1"/>
  <c r="R123" i="39"/>
  <c r="S123" i="39" s="1"/>
  <c r="E123" i="39" s="1"/>
  <c r="R127" i="39"/>
  <c r="S127" i="39" s="1"/>
  <c r="E127" i="39" s="1"/>
  <c r="R132" i="39"/>
  <c r="S132" i="39" s="1"/>
  <c r="E132" i="39" s="1"/>
  <c r="R137" i="39"/>
  <c r="S137" i="39" s="1"/>
  <c r="E137" i="39" s="1"/>
  <c r="R142" i="39"/>
  <c r="S142" i="39" s="1"/>
  <c r="E142" i="39" s="1"/>
  <c r="R147" i="39"/>
  <c r="S147" i="39" s="1"/>
  <c r="E147" i="39" s="1"/>
  <c r="R152" i="39"/>
  <c r="S152" i="39" s="1"/>
  <c r="E152" i="39" s="1"/>
  <c r="R156" i="39"/>
  <c r="S156" i="39" s="1"/>
  <c r="E156" i="39" s="1"/>
  <c r="R176" i="39"/>
  <c r="S176" i="39" s="1"/>
  <c r="E176" i="39" s="1"/>
  <c r="R172" i="39"/>
  <c r="S172" i="39" s="1"/>
  <c r="E172" i="39" s="1"/>
  <c r="R168" i="39"/>
  <c r="S168" i="39" s="1"/>
  <c r="E168" i="39" s="1"/>
  <c r="R164" i="39"/>
  <c r="S164" i="39" s="1"/>
  <c r="E164" i="39" s="1"/>
  <c r="R160" i="39"/>
  <c r="S160" i="39" s="1"/>
  <c r="E160" i="39" s="1"/>
  <c r="R82" i="39"/>
  <c r="S82" i="39" s="1"/>
  <c r="E82" i="39" s="1"/>
  <c r="R76" i="39"/>
  <c r="S76" i="39" s="1"/>
  <c r="E76" i="39" s="1"/>
  <c r="R72" i="39"/>
  <c r="S72" i="39" s="1"/>
  <c r="E72" i="39" s="1"/>
  <c r="R24" i="39"/>
  <c r="S24" i="39" s="1"/>
  <c r="E24" i="39" s="1"/>
  <c r="R20" i="39"/>
  <c r="S20" i="39" s="1"/>
  <c r="E20" i="39" s="1"/>
  <c r="R16" i="39"/>
  <c r="S16" i="39" s="1"/>
  <c r="E16" i="39" s="1"/>
  <c r="R10" i="39"/>
  <c r="R30" i="39"/>
  <c r="S30" i="39" s="1"/>
  <c r="E30" i="39" s="1"/>
  <c r="R45" i="39"/>
  <c r="S45" i="39" s="1"/>
  <c r="E45" i="39" s="1"/>
  <c r="R51" i="39"/>
  <c r="S51" i="39" s="1"/>
  <c r="E51" i="39" s="1"/>
  <c r="R41" i="39"/>
  <c r="S41" i="39" s="1"/>
  <c r="E41" i="39" s="1"/>
  <c r="R55" i="39"/>
  <c r="S55" i="39" s="1"/>
  <c r="E55" i="39" s="1"/>
  <c r="R60" i="39"/>
  <c r="S60" i="39" s="1"/>
  <c r="E60" i="39" s="1"/>
  <c r="R64" i="39"/>
  <c r="S64" i="39" s="1"/>
  <c r="E64" i="39" s="1"/>
  <c r="R69" i="39"/>
  <c r="S69" i="39" s="1"/>
  <c r="E69" i="39" s="1"/>
  <c r="R91" i="39"/>
  <c r="S91" i="39" s="1"/>
  <c r="E91" i="39" s="1"/>
  <c r="G215" i="39" s="1"/>
  <c r="R109" i="39"/>
  <c r="S109" i="39" s="1"/>
  <c r="E109" i="39" s="1"/>
  <c r="R157" i="39"/>
  <c r="S157" i="39" s="1"/>
  <c r="E157" i="39" s="1"/>
  <c r="R98" i="39"/>
  <c r="S98" i="39" s="1"/>
  <c r="E98" i="39" s="1"/>
  <c r="R104" i="39"/>
  <c r="S104" i="39" s="1"/>
  <c r="E104" i="39" s="1"/>
  <c r="R114" i="39"/>
  <c r="S114" i="39" s="1"/>
  <c r="E114" i="39" s="1"/>
  <c r="R118" i="39"/>
  <c r="S118" i="39" s="1"/>
  <c r="E118" i="39" s="1"/>
  <c r="G222" i="39" s="1"/>
  <c r="R124" i="39"/>
  <c r="S124" i="39" s="1"/>
  <c r="E124" i="39" s="1"/>
  <c r="R128" i="39"/>
  <c r="S128" i="39" s="1"/>
  <c r="E128" i="39" s="1"/>
  <c r="R133" i="39"/>
  <c r="S133" i="39" s="1"/>
  <c r="E133" i="39" s="1"/>
  <c r="R139" i="39"/>
  <c r="S139" i="39" s="1"/>
  <c r="E139" i="39" s="1"/>
  <c r="R143" i="39"/>
  <c r="S143" i="39" s="1"/>
  <c r="E143" i="39" s="1"/>
  <c r="R148" i="39"/>
  <c r="S148" i="39" s="1"/>
  <c r="E148" i="39" s="1"/>
  <c r="R153" i="39"/>
  <c r="S153" i="39" s="1"/>
  <c r="E153" i="39" s="1"/>
  <c r="H27" i="39"/>
  <c r="H8" i="39" s="1"/>
  <c r="H2" i="39" s="1"/>
  <c r="AL31" i="37"/>
  <c r="AI31" i="37" s="1"/>
  <c r="AT108" i="36"/>
  <c r="AT122" i="36"/>
  <c r="AR117" i="36"/>
  <c r="AN113" i="36"/>
  <c r="AE42" i="35"/>
  <c r="AH28" i="36"/>
  <c r="AG27" i="36"/>
  <c r="AT111" i="36"/>
  <c r="AT113" i="36"/>
  <c r="AT117" i="36"/>
  <c r="AR46" i="36"/>
  <c r="AR113" i="36"/>
  <c r="AP46" i="36"/>
  <c r="AP148" i="36" s="1"/>
  <c r="AP122" i="36"/>
  <c r="AT116" i="36"/>
  <c r="AH40" i="35"/>
  <c r="AE38" i="35"/>
  <c r="AH35" i="35"/>
  <c r="AI30" i="35"/>
  <c r="W30" i="35"/>
  <c r="AA85" i="37"/>
  <c r="AT35" i="35"/>
  <c r="AC45" i="37"/>
  <c r="AP40" i="35"/>
  <c r="AP142" i="35" s="1"/>
  <c r="AC30" i="35"/>
  <c r="AT40" i="35"/>
  <c r="AT142" i="35" s="1"/>
  <c r="AP35" i="35"/>
  <c r="AP137" i="35" s="1"/>
  <c r="AO35" i="35"/>
  <c r="AO137" i="35" s="1"/>
  <c r="AM32" i="35"/>
  <c r="C225" i="40"/>
  <c r="AS42" i="35"/>
  <c r="AT141" i="35"/>
  <c r="AP141" i="35"/>
  <c r="AO27" i="36"/>
  <c r="N64" i="37"/>
  <c r="N65" i="37" s="1"/>
  <c r="AG34" i="35"/>
  <c r="AP121" i="36"/>
  <c r="AN111" i="36"/>
  <c r="AN117" i="36"/>
  <c r="AP116" i="36"/>
  <c r="AD64" i="37"/>
  <c r="AD65" i="37" s="1"/>
  <c r="Q64" i="37"/>
  <c r="Q65" i="37" s="1"/>
  <c r="N152" i="38"/>
  <c r="P9" i="32"/>
  <c r="E7" i="32"/>
  <c r="R28" i="36"/>
  <c r="AC27" i="36"/>
  <c r="AR116" i="36"/>
  <c r="AN116" i="36"/>
  <c r="AB27" i="36"/>
  <c r="AI46" i="37"/>
  <c r="Q34" i="35"/>
  <c r="S37" i="35"/>
  <c r="S38" i="35"/>
  <c r="AC38" i="35"/>
  <c r="AH32" i="35"/>
  <c r="AE30" i="35"/>
  <c r="Q30" i="35"/>
  <c r="AO142" i="35"/>
  <c r="L64" i="35"/>
  <c r="L65" i="35" s="1"/>
  <c r="AB64" i="35"/>
  <c r="AB65" i="35" s="1"/>
  <c r="AQ30" i="37"/>
  <c r="AM30" i="37"/>
  <c r="AM34" i="37"/>
  <c r="AQ28" i="37"/>
  <c r="AM28" i="37"/>
  <c r="AS26" i="37"/>
  <c r="AQ26" i="37"/>
  <c r="AO26" i="37"/>
  <c r="AM26" i="37"/>
  <c r="AT31" i="37"/>
  <c r="AR31" i="37"/>
  <c r="AP31" i="37"/>
  <c r="AN31" i="37"/>
  <c r="AS30" i="37"/>
  <c r="AO30" i="37"/>
  <c r="AR28" i="37"/>
  <c r="AN28" i="37"/>
  <c r="AT26" i="37"/>
  <c r="AR26" i="37"/>
  <c r="AP26" i="37"/>
  <c r="AN27" i="37"/>
  <c r="AS32" i="37"/>
  <c r="AQ32" i="37"/>
  <c r="AO32" i="37"/>
  <c r="AM32" i="37"/>
  <c r="AR30" i="37"/>
  <c r="AN30" i="37"/>
  <c r="AS28" i="37"/>
  <c r="AO28" i="37"/>
  <c r="AS27" i="37"/>
  <c r="AQ27" i="37"/>
  <c r="AO27" i="37"/>
  <c r="AM27" i="37"/>
  <c r="AT32" i="37"/>
  <c r="AR32" i="37"/>
  <c r="AP32" i="37"/>
  <c r="AN32" i="37"/>
  <c r="AT30" i="37"/>
  <c r="AT28" i="37"/>
  <c r="AT27" i="37"/>
  <c r="AR27" i="37"/>
  <c r="AP27" i="37"/>
  <c r="AS31" i="37"/>
  <c r="AQ31" i="37"/>
  <c r="AO31" i="37"/>
  <c r="AI45" i="37"/>
  <c r="AC46" i="37"/>
  <c r="BJ42" i="37"/>
  <c r="G45" i="37"/>
  <c r="H45" i="37"/>
  <c r="I45" i="37"/>
  <c r="P45" i="37"/>
  <c r="J189" i="40"/>
  <c r="AL28" i="37" s="1"/>
  <c r="AD28" i="37" s="1"/>
  <c r="AL27" i="37"/>
  <c r="AD27" i="37" s="1"/>
  <c r="I190" i="40"/>
  <c r="I189" i="40"/>
  <c r="AA28" i="37" s="1"/>
  <c r="Q28" i="37" s="1"/>
  <c r="I188" i="40"/>
  <c r="AA27" i="37" s="1"/>
  <c r="AL3" i="37"/>
  <c r="X28" i="36"/>
  <c r="AQ27" i="36"/>
  <c r="AR108" i="36"/>
  <c r="AR121" i="36"/>
  <c r="AR122" i="36"/>
  <c r="AP111" i="36"/>
  <c r="AP113" i="36"/>
  <c r="AP117" i="36"/>
  <c r="AN46" i="36"/>
  <c r="AN108" i="36"/>
  <c r="AN121" i="36"/>
  <c r="AN122" i="36"/>
  <c r="R42" i="36"/>
  <c r="AR40" i="35"/>
  <c r="AR142" i="35" s="1"/>
  <c r="AN40" i="35"/>
  <c r="AR35" i="35"/>
  <c r="AR137" i="35" s="1"/>
  <c r="AN35" i="35"/>
  <c r="S30" i="35"/>
  <c r="Q27" i="35"/>
  <c r="R27" i="35"/>
  <c r="AP26" i="35"/>
  <c r="AT26" i="35"/>
  <c r="AN26" i="35"/>
  <c r="U28" i="35"/>
  <c r="X28" i="35"/>
  <c r="W28" i="35"/>
  <c r="T28" i="35"/>
  <c r="S28" i="35"/>
  <c r="V28" i="35"/>
  <c r="Q28" i="35"/>
  <c r="R28" i="35"/>
  <c r="AW129" i="35"/>
  <c r="AM27" i="35"/>
  <c r="AO27" i="35"/>
  <c r="AQ27" i="35"/>
  <c r="AQ129" i="35" s="1"/>
  <c r="AP27" i="35"/>
  <c r="AP129" i="35" s="1"/>
  <c r="AT27" i="35"/>
  <c r="AT129" i="35" s="1"/>
  <c r="AS27" i="35"/>
  <c r="AN27" i="35"/>
  <c r="AR27" i="35"/>
  <c r="AD27" i="35"/>
  <c r="H28" i="35"/>
  <c r="M7" i="38"/>
  <c r="L7" i="38"/>
  <c r="T27" i="35"/>
  <c r="AT32" i="35"/>
  <c r="AT134" i="35" s="1"/>
  <c r="AT31" i="35"/>
  <c r="H31" i="35"/>
  <c r="G28" i="35"/>
  <c r="AR129" i="35"/>
  <c r="G32" i="35"/>
  <c r="G31" i="35"/>
  <c r="H32" i="35"/>
  <c r="G80" i="40"/>
  <c r="AV12" i="37"/>
  <c r="Z12" i="37"/>
  <c r="AO42" i="35"/>
  <c r="AT137" i="35"/>
  <c r="AH48" i="35"/>
  <c r="P14" i="35"/>
  <c r="AB38" i="35"/>
  <c r="AI48" i="35"/>
  <c r="AI37" i="35"/>
  <c r="AG38" i="35"/>
  <c r="AG47" i="35"/>
  <c r="AI27" i="36"/>
  <c r="AE27" i="36"/>
  <c r="AT45" i="36"/>
  <c r="AT109" i="36"/>
  <c r="AT104" i="36"/>
  <c r="AT112" i="36"/>
  <c r="AT119" i="36"/>
  <c r="AT114" i="36"/>
  <c r="AT120" i="36"/>
  <c r="AR45" i="36"/>
  <c r="AR109" i="36"/>
  <c r="AR104" i="36"/>
  <c r="AR112" i="36"/>
  <c r="AR119" i="36"/>
  <c r="AR114" i="36"/>
  <c r="AR120" i="36"/>
  <c r="AP45" i="36"/>
  <c r="AP109" i="36"/>
  <c r="AP104" i="36"/>
  <c r="AP112" i="36"/>
  <c r="AP119" i="36"/>
  <c r="AP114" i="36"/>
  <c r="AP120" i="36"/>
  <c r="AN45" i="36"/>
  <c r="AN109" i="36"/>
  <c r="AN104" i="36"/>
  <c r="AN112" i="36"/>
  <c r="AN119" i="36"/>
  <c r="AN114" i="36"/>
  <c r="AT42" i="36"/>
  <c r="AR42" i="36"/>
  <c r="AP42" i="36"/>
  <c r="AN42" i="36"/>
  <c r="AM105" i="36"/>
  <c r="AH27" i="36"/>
  <c r="W59" i="37"/>
  <c r="W60" i="37" s="1"/>
  <c r="C214" i="40"/>
  <c r="L59" i="37"/>
  <c r="L60" i="37" s="1"/>
  <c r="AH64" i="37"/>
  <c r="AH65" i="37" s="1"/>
  <c r="U64" i="37"/>
  <c r="U65" i="37" s="1"/>
  <c r="M64" i="37"/>
  <c r="M65" i="37" s="1"/>
  <c r="S64" i="37"/>
  <c r="S65" i="37" s="1"/>
  <c r="K53" i="35"/>
  <c r="AA67" i="35"/>
  <c r="AQ38" i="37"/>
  <c r="AO37" i="37"/>
  <c r="F39" i="33"/>
  <c r="O85" i="35"/>
  <c r="O82" i="35" s="1"/>
  <c r="O83" i="35" s="1"/>
  <c r="Q48" i="35"/>
  <c r="AR141" i="35"/>
  <c r="W38" i="35"/>
  <c r="Q38" i="35"/>
  <c r="W37" i="35"/>
  <c r="Q37" i="35"/>
  <c r="S34" i="35"/>
  <c r="AP32" i="35"/>
  <c r="AA67" i="36"/>
  <c r="AL62" i="36"/>
  <c r="P62" i="36"/>
  <c r="AT148" i="36"/>
  <c r="X42" i="36"/>
  <c r="AQ105" i="36"/>
  <c r="AB59" i="37"/>
  <c r="AB60" i="37" s="1"/>
  <c r="AN34" i="37"/>
  <c r="AE46" i="37"/>
  <c r="AE45" i="37"/>
  <c r="AI39" i="35"/>
  <c r="AI31" i="35"/>
  <c r="M67" i="35"/>
  <c r="AI40" i="35"/>
  <c r="AI38" i="35"/>
  <c r="AG32" i="35"/>
  <c r="AA62" i="35"/>
  <c r="K89" i="40"/>
  <c r="D218" i="40" s="1"/>
  <c r="W59" i="35"/>
  <c r="W60" i="35" s="1"/>
  <c r="H85" i="35"/>
  <c r="H82" i="35" s="1"/>
  <c r="H83" i="35" s="1"/>
  <c r="AM28" i="35"/>
  <c r="AP102" i="35"/>
  <c r="AT102" i="35"/>
  <c r="AS32" i="35"/>
  <c r="AQ31" i="35"/>
  <c r="AQ32" i="35"/>
  <c r="AN106" i="35"/>
  <c r="AR106" i="35"/>
  <c r="H27" i="35"/>
  <c r="J27" i="35"/>
  <c r="L80" i="36"/>
  <c r="L77" i="36" s="1"/>
  <c r="L78" i="36" s="1"/>
  <c r="Q80" i="36"/>
  <c r="Q77" i="36" s="1"/>
  <c r="Q78" i="36" s="1"/>
  <c r="AM28" i="36"/>
  <c r="AN28" i="36"/>
  <c r="AR28" i="36"/>
  <c r="O59" i="37"/>
  <c r="O60" i="37" s="1"/>
  <c r="O64" i="37"/>
  <c r="O65" i="37" s="1"/>
  <c r="J64" i="37"/>
  <c r="J65" i="37" s="1"/>
  <c r="J59" i="37"/>
  <c r="J60" i="37" s="1"/>
  <c r="AG37" i="35"/>
  <c r="AB37" i="35"/>
  <c r="AI34" i="35"/>
  <c r="AB34" i="35"/>
  <c r="AW132" i="35"/>
  <c r="AN30" i="35"/>
  <c r="AT30" i="35"/>
  <c r="AW136" i="35"/>
  <c r="AT34" i="35"/>
  <c r="AM34" i="35"/>
  <c r="AO34" i="35"/>
  <c r="AQ34" i="35"/>
  <c r="AS34" i="35"/>
  <c r="AR34" i="35"/>
  <c r="H35" i="35"/>
  <c r="G35" i="35"/>
  <c r="AW139" i="35"/>
  <c r="AT37" i="35"/>
  <c r="AR37" i="35"/>
  <c r="AW141" i="35"/>
  <c r="AO39" i="35"/>
  <c r="AO141" i="35" s="1"/>
  <c r="AS39" i="35"/>
  <c r="AQ39" i="35"/>
  <c r="AQ141" i="35" s="1"/>
  <c r="G40" i="35"/>
  <c r="H40" i="35"/>
  <c r="AD47" i="35"/>
  <c r="AI47" i="35"/>
  <c r="AE47" i="35"/>
  <c r="N59" i="35"/>
  <c r="N60" i="35" s="1"/>
  <c r="AB27" i="35"/>
  <c r="AF27" i="35"/>
  <c r="F34" i="33"/>
  <c r="AT105" i="35"/>
  <c r="Q85" i="35"/>
  <c r="Q82" i="35" s="1"/>
  <c r="Q83" i="35" s="1"/>
  <c r="G85" i="35"/>
  <c r="G82" i="35" s="1"/>
  <c r="G83" i="35" s="1"/>
  <c r="AR32" i="35"/>
  <c r="AN32" i="35"/>
  <c r="AR31" i="35"/>
  <c r="AN31" i="35"/>
  <c r="AH27" i="35"/>
  <c r="X27" i="35"/>
  <c r="AR102" i="35"/>
  <c r="AP106" i="35"/>
  <c r="AS141" i="35"/>
  <c r="AT28" i="36"/>
  <c r="Q27" i="36"/>
  <c r="W27" i="36"/>
  <c r="AW12" i="36"/>
  <c r="O16" i="36"/>
  <c r="AE28" i="36"/>
  <c r="AB28" i="36"/>
  <c r="AF28" i="36"/>
  <c r="AM37" i="37"/>
  <c r="AR34" i="37"/>
  <c r="AR35" i="37"/>
  <c r="AS37" i="37"/>
  <c r="AM38" i="37"/>
  <c r="AD35" i="35"/>
  <c r="AG35" i="35"/>
  <c r="AG30" i="35"/>
  <c r="AD30" i="35"/>
  <c r="AW128" i="35"/>
  <c r="AM26" i="35"/>
  <c r="AO26" i="35"/>
  <c r="AQ26" i="35"/>
  <c r="AS26" i="35"/>
  <c r="AR26" i="35"/>
  <c r="AW137" i="35"/>
  <c r="AM35" i="35"/>
  <c r="AS35" i="35"/>
  <c r="AS137" i="35" s="1"/>
  <c r="I37" i="35"/>
  <c r="H37" i="35"/>
  <c r="AW140" i="35"/>
  <c r="AP38" i="35"/>
  <c r="AM38" i="35"/>
  <c r="AO38" i="35"/>
  <c r="AO140" i="35" s="1"/>
  <c r="AQ38" i="35"/>
  <c r="AQ140" i="35" s="1"/>
  <c r="AS38" i="35"/>
  <c r="AS140" i="35" s="1"/>
  <c r="AN38" i="35"/>
  <c r="I39" i="35"/>
  <c r="G39" i="35"/>
  <c r="AW142" i="35"/>
  <c r="AS40" i="35"/>
  <c r="AS142" i="35" s="1"/>
  <c r="AM40" i="35"/>
  <c r="AA80" i="35"/>
  <c r="I64" i="35"/>
  <c r="I65" i="35" s="1"/>
  <c r="I59" i="35"/>
  <c r="I60" i="35" s="1"/>
  <c r="P45" i="35"/>
  <c r="AL45" i="35"/>
  <c r="AQ40" i="35"/>
  <c r="AQ142" i="35" s="1"/>
  <c r="R34" i="35"/>
  <c r="AA85" i="35"/>
  <c r="AS118" i="35"/>
  <c r="AO118" i="35"/>
  <c r="Z12" i="35"/>
  <c r="AG31" i="35"/>
  <c r="P80" i="36"/>
  <c r="AS105" i="36"/>
  <c r="C10" i="34"/>
  <c r="E8" i="33"/>
  <c r="E9" i="33" s="1"/>
  <c r="N80" i="35"/>
  <c r="N77" i="35" s="1"/>
  <c r="N78" i="35" s="1"/>
  <c r="U80" i="35"/>
  <c r="U77" i="35" s="1"/>
  <c r="U78" i="35" s="1"/>
  <c r="K80" i="35"/>
  <c r="AA45" i="35"/>
  <c r="AW45" i="35"/>
  <c r="M62" i="35"/>
  <c r="K99" i="40"/>
  <c r="D217" i="40" s="1"/>
  <c r="D191" i="40"/>
  <c r="F9" i="34" s="1"/>
  <c r="C152" i="40"/>
  <c r="K152" i="40" s="1"/>
  <c r="AA26" i="37"/>
  <c r="AA26" i="36"/>
  <c r="K49" i="40"/>
  <c r="D187" i="40" s="1"/>
  <c r="F8" i="34" s="1"/>
  <c r="C196" i="40"/>
  <c r="G37" i="40"/>
  <c r="G31" i="40" s="1"/>
  <c r="C223" i="40"/>
  <c r="C195" i="40"/>
  <c r="C48" i="40"/>
  <c r="H37" i="40"/>
  <c r="H31" i="40" s="1"/>
  <c r="C146" i="40"/>
  <c r="K146" i="40" s="1"/>
  <c r="C140" i="40"/>
  <c r="K140" i="40" s="1"/>
  <c r="C137" i="40"/>
  <c r="K137" i="40" s="1"/>
  <c r="C216" i="40"/>
  <c r="C162" i="40"/>
  <c r="K162" i="40" s="1"/>
  <c r="K120" i="40"/>
  <c r="D225" i="40" s="1"/>
  <c r="C191" i="40"/>
  <c r="C215" i="40"/>
  <c r="C132" i="40"/>
  <c r="K132" i="40" s="1"/>
  <c r="H47" i="40"/>
  <c r="D195" i="40"/>
  <c r="F13" i="34" s="1"/>
  <c r="C193" i="40"/>
  <c r="C192" i="40"/>
  <c r="G47" i="40"/>
  <c r="C28" i="40"/>
  <c r="K28" i="40" s="1"/>
  <c r="C221" i="40"/>
  <c r="C81" i="40"/>
  <c r="K81" i="40" s="1"/>
  <c r="C201" i="40"/>
  <c r="H100" i="40"/>
  <c r="C198" i="40"/>
  <c r="C200" i="40"/>
  <c r="C224" i="40"/>
  <c r="C227" i="40"/>
  <c r="C222" i="40"/>
  <c r="C113" i="40"/>
  <c r="K113" i="40" s="1"/>
  <c r="H80" i="40"/>
  <c r="G100" i="40"/>
  <c r="C199" i="40"/>
  <c r="C101" i="40"/>
  <c r="K101" i="40" s="1"/>
  <c r="C219" i="40"/>
  <c r="C38" i="40"/>
  <c r="K38" i="40" s="1"/>
  <c r="H122" i="40"/>
  <c r="C92" i="40"/>
  <c r="K92" i="40" s="1"/>
  <c r="C64" i="40"/>
  <c r="K64" i="40" s="1"/>
  <c r="D190" i="40" s="1"/>
  <c r="C32" i="40"/>
  <c r="K32" i="40" s="1"/>
  <c r="C123" i="40"/>
  <c r="K123" i="40" s="1"/>
  <c r="C56" i="40"/>
  <c r="K56" i="40" s="1"/>
  <c r="C51" i="40"/>
  <c r="C41" i="40"/>
  <c r="K41" i="40" s="1"/>
  <c r="C76" i="40"/>
  <c r="K76" i="40" s="1"/>
  <c r="D221" i="40"/>
  <c r="D216" i="40"/>
  <c r="C107" i="40"/>
  <c r="C85" i="40"/>
  <c r="D198" i="40"/>
  <c r="F16" i="34" s="1"/>
  <c r="D199" i="40"/>
  <c r="F17" i="34" s="1"/>
  <c r="D200" i="40"/>
  <c r="F18" i="34" s="1"/>
  <c r="D193" i="40"/>
  <c r="F11" i="34" s="1"/>
  <c r="D196" i="40"/>
  <c r="F14" i="34" s="1"/>
  <c r="D219" i="40"/>
  <c r="D223" i="40"/>
  <c r="K10" i="40"/>
  <c r="D214" i="40" s="1"/>
  <c r="D224" i="40"/>
  <c r="D215" i="40"/>
  <c r="D227" i="40"/>
  <c r="D222" i="40"/>
  <c r="D201" i="40"/>
  <c r="F19" i="34" s="1"/>
  <c r="L209" i="39"/>
  <c r="L199" i="39" s="1"/>
  <c r="L194" i="39" s="1"/>
  <c r="L191" i="39" s="1"/>
  <c r="G122" i="40"/>
  <c r="J209" i="39"/>
  <c r="J199" i="39" s="1"/>
  <c r="K209" i="39"/>
  <c r="K199" i="39" s="1"/>
  <c r="AL43" i="36" s="1"/>
  <c r="D200" i="39"/>
  <c r="E201" i="39"/>
  <c r="F153" i="39"/>
  <c r="D153" i="39"/>
  <c r="G153" i="39"/>
  <c r="F148" i="39"/>
  <c r="D148" i="39"/>
  <c r="G148" i="39"/>
  <c r="F143" i="39"/>
  <c r="D143" i="39"/>
  <c r="G143" i="39"/>
  <c r="F139" i="39"/>
  <c r="D139" i="39"/>
  <c r="G139" i="39"/>
  <c r="F133" i="39"/>
  <c r="D133" i="39"/>
  <c r="G133" i="39"/>
  <c r="F128" i="39"/>
  <c r="G128" i="39" s="1"/>
  <c r="D128" i="39"/>
  <c r="F124" i="39"/>
  <c r="G124" i="39" s="1"/>
  <c r="D124" i="39"/>
  <c r="F118" i="39"/>
  <c r="H222" i="39" s="1"/>
  <c r="D118" i="39"/>
  <c r="G118" i="39"/>
  <c r="I222" i="39" s="1"/>
  <c r="F114" i="39"/>
  <c r="D114" i="39"/>
  <c r="G114" i="39"/>
  <c r="F104" i="39"/>
  <c r="G104" i="39" s="1"/>
  <c r="D104" i="39"/>
  <c r="F98" i="39"/>
  <c r="D98" i="39"/>
  <c r="G98" i="39"/>
  <c r="F157" i="39"/>
  <c r="D157" i="39"/>
  <c r="G157" i="39"/>
  <c r="F109" i="39"/>
  <c r="D109" i="39"/>
  <c r="G109" i="39"/>
  <c r="F91" i="39"/>
  <c r="H215" i="39" s="1"/>
  <c r="D91" i="39"/>
  <c r="G91" i="39"/>
  <c r="I215" i="39" s="1"/>
  <c r="F69" i="39"/>
  <c r="D69" i="39"/>
  <c r="G69" i="39"/>
  <c r="F64" i="39"/>
  <c r="G64" i="39" s="1"/>
  <c r="D64" i="39"/>
  <c r="F60" i="39"/>
  <c r="G60" i="39" s="1"/>
  <c r="D60" i="39"/>
  <c r="F55" i="39"/>
  <c r="D55" i="39"/>
  <c r="G55" i="39"/>
  <c r="F41" i="39"/>
  <c r="D41" i="39"/>
  <c r="G41" i="39"/>
  <c r="F48" i="39"/>
  <c r="G48" i="39" s="1"/>
  <c r="D48" i="39"/>
  <c r="F44" i="39"/>
  <c r="G44" i="39" s="1"/>
  <c r="D44" i="39"/>
  <c r="F29" i="39"/>
  <c r="D29" i="39"/>
  <c r="E28" i="39"/>
  <c r="J187" i="39"/>
  <c r="Q225" i="39"/>
  <c r="Q203" i="39" s="1"/>
  <c r="S10" i="39"/>
  <c r="F16" i="39"/>
  <c r="D16" i="39"/>
  <c r="G16" i="39"/>
  <c r="F20" i="39"/>
  <c r="D20" i="39"/>
  <c r="G20" i="39"/>
  <c r="F24" i="39"/>
  <c r="D24" i="39"/>
  <c r="G24" i="39"/>
  <c r="F72" i="39"/>
  <c r="G72" i="39" s="1"/>
  <c r="D72" i="39"/>
  <c r="F76" i="39"/>
  <c r="G76" i="39" s="1"/>
  <c r="D76" i="39"/>
  <c r="F82" i="39"/>
  <c r="G82" i="39" s="1"/>
  <c r="D82" i="39"/>
  <c r="F160" i="39"/>
  <c r="D160" i="39"/>
  <c r="F164" i="39"/>
  <c r="G164" i="39" s="1"/>
  <c r="D164" i="39"/>
  <c r="F168" i="39"/>
  <c r="G168" i="39" s="1"/>
  <c r="D168" i="39"/>
  <c r="F172" i="39"/>
  <c r="G172" i="39" s="1"/>
  <c r="D172" i="39"/>
  <c r="F176" i="39"/>
  <c r="G176" i="39" s="1"/>
  <c r="D176" i="39"/>
  <c r="K187" i="39"/>
  <c r="F156" i="39"/>
  <c r="D156" i="39"/>
  <c r="G156" i="39"/>
  <c r="F152" i="39"/>
  <c r="D152" i="39"/>
  <c r="G152" i="39"/>
  <c r="F147" i="39"/>
  <c r="D147" i="39"/>
  <c r="G147" i="39"/>
  <c r="F142" i="39"/>
  <c r="D142" i="39"/>
  <c r="G142" i="39"/>
  <c r="F137" i="39"/>
  <c r="G137" i="39" s="1"/>
  <c r="D137" i="39"/>
  <c r="F132" i="39"/>
  <c r="G132" i="39" s="1"/>
  <c r="D132" i="39"/>
  <c r="F127" i="39"/>
  <c r="G127" i="39" s="1"/>
  <c r="D127" i="39"/>
  <c r="F123" i="39"/>
  <c r="G123" i="39" s="1"/>
  <c r="D123" i="39"/>
  <c r="F117" i="39"/>
  <c r="D117" i="39"/>
  <c r="G117" i="39"/>
  <c r="F113" i="39"/>
  <c r="D113" i="39"/>
  <c r="G113" i="39"/>
  <c r="F101" i="39"/>
  <c r="H214" i="39" s="1"/>
  <c r="D101" i="39"/>
  <c r="F97" i="39"/>
  <c r="G97" i="39" s="1"/>
  <c r="D97" i="39"/>
  <c r="F158" i="39"/>
  <c r="D158" i="39"/>
  <c r="G158" i="39"/>
  <c r="F108" i="39"/>
  <c r="D108" i="39"/>
  <c r="G108" i="39"/>
  <c r="F90" i="39"/>
  <c r="G90" i="39" s="1"/>
  <c r="D90" i="39"/>
  <c r="F67" i="39"/>
  <c r="G67" i="39" s="1"/>
  <c r="D67" i="39"/>
  <c r="F63" i="39"/>
  <c r="G63" i="39" s="1"/>
  <c r="D63" i="39"/>
  <c r="F58" i="39"/>
  <c r="G58" i="39" s="1"/>
  <c r="D58" i="39"/>
  <c r="F53" i="39"/>
  <c r="D53" i="39"/>
  <c r="G53" i="39"/>
  <c r="F40" i="39"/>
  <c r="G40" i="39" s="1"/>
  <c r="D40" i="39"/>
  <c r="F51" i="39"/>
  <c r="D51" i="39"/>
  <c r="G51" i="39"/>
  <c r="F45" i="39"/>
  <c r="D45" i="39"/>
  <c r="G45" i="39"/>
  <c r="F30" i="39"/>
  <c r="G30" i="39" s="1"/>
  <c r="D30" i="39"/>
  <c r="L187" i="39"/>
  <c r="E203" i="39"/>
  <c r="F15" i="39"/>
  <c r="G15" i="39" s="1"/>
  <c r="D15" i="39"/>
  <c r="F19" i="39"/>
  <c r="D19" i="39"/>
  <c r="G19" i="39"/>
  <c r="F23" i="39"/>
  <c r="G23" i="39" s="1"/>
  <c r="D23" i="39"/>
  <c r="F71" i="39"/>
  <c r="G71" i="39" s="1"/>
  <c r="D71" i="39"/>
  <c r="F75" i="39"/>
  <c r="G75" i="39" s="1"/>
  <c r="D75" i="39"/>
  <c r="E80" i="39"/>
  <c r="F81" i="39"/>
  <c r="H198" i="39" s="1"/>
  <c r="D81" i="39"/>
  <c r="F88" i="39"/>
  <c r="D88" i="39"/>
  <c r="F163" i="39"/>
  <c r="G163" i="39" s="1"/>
  <c r="D163" i="39"/>
  <c r="F167" i="39"/>
  <c r="G167" i="39" s="1"/>
  <c r="D167" i="39"/>
  <c r="F171" i="39"/>
  <c r="G171" i="39" s="1"/>
  <c r="D171" i="39"/>
  <c r="F175" i="39"/>
  <c r="G175" i="39" s="1"/>
  <c r="D175" i="39"/>
  <c r="F177" i="39"/>
  <c r="G177" i="39" s="1"/>
  <c r="D177" i="39"/>
  <c r="F179" i="39"/>
  <c r="G179" i="39" s="1"/>
  <c r="D179" i="39"/>
  <c r="E193" i="38"/>
  <c r="O193" i="38" s="1"/>
  <c r="E191" i="38"/>
  <c r="O191" i="38" s="1"/>
  <c r="E189" i="38"/>
  <c r="O189" i="38" s="1"/>
  <c r="I178" i="38"/>
  <c r="I168" i="38" s="1"/>
  <c r="P41" i="35" s="1"/>
  <c r="P43" i="35" s="1"/>
  <c r="E187" i="38"/>
  <c r="O187" i="38" s="1"/>
  <c r="E185" i="38"/>
  <c r="O185" i="38" s="1"/>
  <c r="E183" i="38"/>
  <c r="O183" i="38" s="1"/>
  <c r="G178" i="38"/>
  <c r="G168" i="38" s="1"/>
  <c r="K156" i="38"/>
  <c r="AL29" i="35" s="1"/>
  <c r="E180" i="38"/>
  <c r="O180" i="38" s="1"/>
  <c r="H178" i="38"/>
  <c r="H168" i="38" s="1"/>
  <c r="K41" i="35" s="1"/>
  <c r="K43" i="35" s="1"/>
  <c r="G43" i="35" s="1"/>
  <c r="F156" i="38"/>
  <c r="J156" i="38"/>
  <c r="AA29" i="35" s="1"/>
  <c r="E157" i="38"/>
  <c r="O157" i="38" s="1"/>
  <c r="E159" i="38"/>
  <c r="O159" i="38" s="1"/>
  <c r="E162" i="38"/>
  <c r="O162" i="38" s="1"/>
  <c r="E165" i="38"/>
  <c r="O165" i="38" s="1"/>
  <c r="E167" i="38"/>
  <c r="O167" i="38" s="1"/>
  <c r="J178" i="38"/>
  <c r="J168" i="38" s="1"/>
  <c r="E181" i="38"/>
  <c r="O181" i="38" s="1"/>
  <c r="G194" i="38"/>
  <c r="O196" i="38"/>
  <c r="F196" i="38"/>
  <c r="F194" i="38" s="1"/>
  <c r="E192" i="38"/>
  <c r="O192" i="38" s="1"/>
  <c r="E190" i="38"/>
  <c r="O190" i="38" s="1"/>
  <c r="E188" i="38"/>
  <c r="O188" i="38" s="1"/>
  <c r="E182" i="38"/>
  <c r="O182" i="38" s="1"/>
  <c r="E186" i="38"/>
  <c r="O186" i="38" s="1"/>
  <c r="E184" i="38"/>
  <c r="O184" i="38" s="1"/>
  <c r="K178" i="38"/>
  <c r="K168" i="38" s="1"/>
  <c r="O179" i="38"/>
  <c r="I156" i="38"/>
  <c r="P29" i="35" s="1"/>
  <c r="D178" i="38"/>
  <c r="D168" i="38" s="1"/>
  <c r="D156" i="38"/>
  <c r="H156" i="38"/>
  <c r="K29" i="35" s="1"/>
  <c r="E153" i="38"/>
  <c r="L156" i="38"/>
  <c r="AW29" i="35" s="1"/>
  <c r="AW131" i="35" s="1"/>
  <c r="E158" i="38"/>
  <c r="O158" i="38" s="1"/>
  <c r="E161" i="38"/>
  <c r="E164" i="38"/>
  <c r="E166" i="38"/>
  <c r="O166" i="38" s="1"/>
  <c r="E170" i="38"/>
  <c r="F178" i="38"/>
  <c r="F168" i="38" s="1"/>
  <c r="F163" i="38" s="1"/>
  <c r="F160" i="38" s="1"/>
  <c r="L178" i="38"/>
  <c r="L168" i="38" s="1"/>
  <c r="O195" i="38"/>
  <c r="E194" i="38"/>
  <c r="N80" i="37"/>
  <c r="N77" i="37" s="1"/>
  <c r="N78" i="37" s="1"/>
  <c r="U80" i="37"/>
  <c r="U77" i="37" s="1"/>
  <c r="U78" i="37" s="1"/>
  <c r="K80" i="37"/>
  <c r="I80" i="37"/>
  <c r="I77" i="37" s="1"/>
  <c r="I78" i="37" s="1"/>
  <c r="AL67" i="37"/>
  <c r="P85" i="37"/>
  <c r="M80" i="37"/>
  <c r="M77" i="37" s="1"/>
  <c r="M78" i="37" s="1"/>
  <c r="M67" i="37"/>
  <c r="BK42" i="37"/>
  <c r="Q85" i="37"/>
  <c r="Q82" i="37" s="1"/>
  <c r="Q83" i="37" s="1"/>
  <c r="J85" i="37"/>
  <c r="J82" i="37" s="1"/>
  <c r="J83" i="37" s="1"/>
  <c r="W80" i="37"/>
  <c r="W77" i="37" s="1"/>
  <c r="W78" i="37" s="1"/>
  <c r="P80" i="37"/>
  <c r="G80" i="37"/>
  <c r="G77" i="37" s="1"/>
  <c r="G78" i="37" s="1"/>
  <c r="AB67" i="37"/>
  <c r="O67" i="37"/>
  <c r="H67" i="37"/>
  <c r="H64" i="37"/>
  <c r="H65" i="37" s="1"/>
  <c r="H59" i="37"/>
  <c r="H60" i="37" s="1"/>
  <c r="AN35" i="37"/>
  <c r="AT34" i="37"/>
  <c r="AP34" i="37"/>
  <c r="AU32" i="37"/>
  <c r="AV28" i="37"/>
  <c r="AS39" i="37"/>
  <c r="AS46" i="37"/>
  <c r="AS43" i="37"/>
  <c r="AS47" i="37"/>
  <c r="AQ39" i="37"/>
  <c r="AQ46" i="37"/>
  <c r="AQ43" i="37"/>
  <c r="AQ47" i="37"/>
  <c r="AO39" i="37"/>
  <c r="AO46" i="37"/>
  <c r="AO43" i="37"/>
  <c r="AO47" i="37"/>
  <c r="AM39" i="37"/>
  <c r="AM46" i="37"/>
  <c r="AM43" i="37"/>
  <c r="AM47" i="37"/>
  <c r="V46" i="37"/>
  <c r="U45" i="37"/>
  <c r="U46" i="37"/>
  <c r="V45" i="37"/>
  <c r="W45" i="37"/>
  <c r="S45" i="37"/>
  <c r="Q45" i="37"/>
  <c r="I46" i="37"/>
  <c r="S85" i="37"/>
  <c r="S82" i="37" s="1"/>
  <c r="S83" i="37" s="1"/>
  <c r="O80" i="37"/>
  <c r="O77" i="37" s="1"/>
  <c r="O78" i="37" s="1"/>
  <c r="H80" i="37"/>
  <c r="H77" i="37" s="1"/>
  <c r="H78" i="37" s="1"/>
  <c r="W67" i="37"/>
  <c r="P67" i="37"/>
  <c r="AP35" i="37"/>
  <c r="AS34" i="37"/>
  <c r="AO34" i="37"/>
  <c r="AT29" i="37"/>
  <c r="AP29" i="37"/>
  <c r="E25" i="37"/>
  <c r="BE18" i="37"/>
  <c r="M11" i="47" s="1"/>
  <c r="M12" i="47" s="1"/>
  <c r="AT38" i="37"/>
  <c r="AT45" i="37"/>
  <c r="AT39" i="37"/>
  <c r="AT46" i="37"/>
  <c r="AR37" i="37"/>
  <c r="AR43" i="37"/>
  <c r="AR47" i="37"/>
  <c r="AR40" i="37"/>
  <c r="AR48" i="37"/>
  <c r="AP38" i="37"/>
  <c r="AP45" i="37"/>
  <c r="AP39" i="37"/>
  <c r="AP46" i="37"/>
  <c r="AN37" i="37"/>
  <c r="AN43" i="37"/>
  <c r="AN47" i="37"/>
  <c r="AN40" i="37"/>
  <c r="AN48" i="37"/>
  <c r="AH45" i="37"/>
  <c r="AH46" i="37"/>
  <c r="AB45" i="37"/>
  <c r="AB46" i="37"/>
  <c r="X45" i="37"/>
  <c r="X46" i="37"/>
  <c r="R45" i="37"/>
  <c r="R46" i="37"/>
  <c r="P16" i="37"/>
  <c r="P15" i="37"/>
  <c r="AW12" i="37"/>
  <c r="AU12" i="37"/>
  <c r="AA12" i="37"/>
  <c r="Y12" i="37"/>
  <c r="AA3" i="37"/>
  <c r="BE21" i="37"/>
  <c r="BE3" i="37" s="1"/>
  <c r="F25" i="37"/>
  <c r="BK21" i="37"/>
  <c r="N11" i="47" s="1"/>
  <c r="N12" i="47" s="1"/>
  <c r="AS38" i="37"/>
  <c r="AO38" i="37"/>
  <c r="AF67" i="37"/>
  <c r="N67" i="37"/>
  <c r="U67" i="37"/>
  <c r="K67" i="37"/>
  <c r="I67" i="37"/>
  <c r="BG42" i="37"/>
  <c r="U85" i="37"/>
  <c r="U82" i="37" s="1"/>
  <c r="U83" i="37" s="1"/>
  <c r="K85" i="37"/>
  <c r="I85" i="37"/>
  <c r="I82" i="37" s="1"/>
  <c r="I83" i="37" s="1"/>
  <c r="N85" i="37"/>
  <c r="N82" i="37" s="1"/>
  <c r="N83" i="37" s="1"/>
  <c r="Q80" i="37"/>
  <c r="Q77" i="37" s="1"/>
  <c r="Q78" i="37" s="1"/>
  <c r="Q67" i="37"/>
  <c r="G64" i="37"/>
  <c r="G65" i="37" s="1"/>
  <c r="G59" i="37"/>
  <c r="G60" i="37" s="1"/>
  <c r="W85" i="37"/>
  <c r="W82" i="37" s="1"/>
  <c r="W83" i="37" s="1"/>
  <c r="M85" i="37"/>
  <c r="M82" i="37" s="1"/>
  <c r="M83" i="37" s="1"/>
  <c r="G85" i="37"/>
  <c r="G82" i="37" s="1"/>
  <c r="G83" i="37" s="1"/>
  <c r="AA80" i="37"/>
  <c r="J80" i="37"/>
  <c r="J77" i="37" s="1"/>
  <c r="J78" i="37" s="1"/>
  <c r="AH67" i="37"/>
  <c r="S67" i="37"/>
  <c r="L67" i="37"/>
  <c r="AU31" i="37"/>
  <c r="AU27" i="37"/>
  <c r="AS35" i="37"/>
  <c r="AS40" i="37"/>
  <c r="AS48" i="37"/>
  <c r="AS45" i="37"/>
  <c r="AQ35" i="37"/>
  <c r="AQ40" i="37"/>
  <c r="AQ48" i="37"/>
  <c r="AQ45" i="37"/>
  <c r="AO35" i="37"/>
  <c r="AO40" i="37"/>
  <c r="AO48" i="37"/>
  <c r="AO45" i="37"/>
  <c r="AM35" i="37"/>
  <c r="AM40" i="37"/>
  <c r="AM48" i="37"/>
  <c r="AM45" i="37"/>
  <c r="W46" i="37"/>
  <c r="S46" i="37"/>
  <c r="Q46" i="37"/>
  <c r="H46" i="37"/>
  <c r="P14" i="37"/>
  <c r="M12" i="37"/>
  <c r="O85" i="37"/>
  <c r="O82" i="37" s="1"/>
  <c r="O83" i="37" s="1"/>
  <c r="H85" i="37"/>
  <c r="H82" i="37" s="1"/>
  <c r="H83" i="37" s="1"/>
  <c r="S80" i="37"/>
  <c r="S77" i="37" s="1"/>
  <c r="S78" i="37" s="1"/>
  <c r="L80" i="37"/>
  <c r="L77" i="37" s="1"/>
  <c r="L78" i="37" s="1"/>
  <c r="AD67" i="37"/>
  <c r="AA67" i="37"/>
  <c r="J67" i="37"/>
  <c r="I64" i="37"/>
  <c r="I65" i="37" s="1"/>
  <c r="I59" i="37"/>
  <c r="I60" i="37" s="1"/>
  <c r="AT35" i="37"/>
  <c r="AQ34" i="37"/>
  <c r="AT37" i="37"/>
  <c r="AT43" i="37"/>
  <c r="AT47" i="37"/>
  <c r="AT40" i="37"/>
  <c r="AT48" i="37"/>
  <c r="AR38" i="37"/>
  <c r="AR45" i="37"/>
  <c r="AR39" i="37"/>
  <c r="AR46" i="37"/>
  <c r="AP37" i="37"/>
  <c r="AP43" i="37"/>
  <c r="AP47" i="37"/>
  <c r="AP40" i="37"/>
  <c r="AP48" i="37"/>
  <c r="AN38" i="37"/>
  <c r="AN45" i="37"/>
  <c r="AN39" i="37"/>
  <c r="AN46" i="37"/>
  <c r="AF46" i="37"/>
  <c r="AG45" i="37"/>
  <c r="AG46" i="37"/>
  <c r="AF45" i="37"/>
  <c r="AD45" i="37"/>
  <c r="AD46" i="37"/>
  <c r="T45" i="37"/>
  <c r="T46" i="37"/>
  <c r="O45" i="37"/>
  <c r="G46" i="37"/>
  <c r="L12" i="37"/>
  <c r="P13" i="37"/>
  <c r="AK12" i="37"/>
  <c r="K12" i="37"/>
  <c r="P11" i="37"/>
  <c r="AL12" i="37"/>
  <c r="AQ37" i="37"/>
  <c r="AU37" i="37" s="1"/>
  <c r="G64" i="36"/>
  <c r="G65" i="36" s="1"/>
  <c r="G59" i="36"/>
  <c r="G60" i="36" s="1"/>
  <c r="U85" i="36"/>
  <c r="U82" i="36" s="1"/>
  <c r="U83" i="36" s="1"/>
  <c r="K85" i="36"/>
  <c r="I85" i="36"/>
  <c r="I82" i="36" s="1"/>
  <c r="I83" i="36" s="1"/>
  <c r="N85" i="36"/>
  <c r="N82" i="36" s="1"/>
  <c r="N83" i="36" s="1"/>
  <c r="Q85" i="36"/>
  <c r="Q82" i="36" s="1"/>
  <c r="Q83" i="36" s="1"/>
  <c r="J85" i="36"/>
  <c r="J82" i="36" s="1"/>
  <c r="J83" i="36" s="1"/>
  <c r="W80" i="36"/>
  <c r="W77" i="36" s="1"/>
  <c r="W78" i="36" s="1"/>
  <c r="M80" i="36"/>
  <c r="M77" i="36" s="1"/>
  <c r="M78" i="36" s="1"/>
  <c r="G80" i="36"/>
  <c r="G77" i="36" s="1"/>
  <c r="G78" i="36" s="1"/>
  <c r="AB67" i="36"/>
  <c r="O67" i="36"/>
  <c r="H67" i="36"/>
  <c r="AB62" i="36"/>
  <c r="O62" i="36"/>
  <c r="H62" i="36"/>
  <c r="O85" i="36"/>
  <c r="O82" i="36" s="1"/>
  <c r="O83" i="36" s="1"/>
  <c r="H85" i="36"/>
  <c r="H82" i="36" s="1"/>
  <c r="H83" i="36" s="1"/>
  <c r="S80" i="36"/>
  <c r="S77" i="36" s="1"/>
  <c r="S78" i="36" s="1"/>
  <c r="AD67" i="36"/>
  <c r="Q67" i="36"/>
  <c r="W62" i="36"/>
  <c r="M62" i="36"/>
  <c r="AV28" i="36"/>
  <c r="AU27" i="36"/>
  <c r="AK27" i="36"/>
  <c r="AT34" i="36"/>
  <c r="AT47" i="36"/>
  <c r="AT149" i="36" s="1"/>
  <c r="AT118" i="36"/>
  <c r="AR147" i="36"/>
  <c r="AR148" i="36"/>
  <c r="AR48" i="36"/>
  <c r="AR150" i="36" s="1"/>
  <c r="AP47" i="36"/>
  <c r="AP149" i="36" s="1"/>
  <c r="AP118" i="36"/>
  <c r="AN147" i="36"/>
  <c r="AV45" i="36"/>
  <c r="AN34" i="36"/>
  <c r="AV109" i="36"/>
  <c r="AN48" i="36"/>
  <c r="AV108" i="36"/>
  <c r="AV113" i="36"/>
  <c r="AV121" i="36"/>
  <c r="AV117" i="36"/>
  <c r="AV122" i="36"/>
  <c r="V48" i="36"/>
  <c r="U48" i="36"/>
  <c r="U45" i="36"/>
  <c r="V45" i="36"/>
  <c r="I45" i="36"/>
  <c r="I48" i="36"/>
  <c r="H48" i="36"/>
  <c r="AQ102" i="36"/>
  <c r="AM102" i="36"/>
  <c r="V28" i="36"/>
  <c r="U28" i="36"/>
  <c r="AT144" i="36"/>
  <c r="AR144" i="36"/>
  <c r="AP144" i="36"/>
  <c r="AN144" i="36"/>
  <c r="AV42" i="36"/>
  <c r="AH42" i="36"/>
  <c r="AF42" i="36"/>
  <c r="AD42" i="36"/>
  <c r="AB42" i="36"/>
  <c r="AS101" i="36"/>
  <c r="AS129" i="36" s="1"/>
  <c r="AQ101" i="36"/>
  <c r="AQ129" i="36" s="1"/>
  <c r="AO101" i="36"/>
  <c r="AO129" i="36" s="1"/>
  <c r="AM101" i="36"/>
  <c r="U27" i="36"/>
  <c r="V27" i="36"/>
  <c r="O12" i="36"/>
  <c r="Z12" i="36"/>
  <c r="AS106" i="36"/>
  <c r="AQ106" i="36"/>
  <c r="AO106" i="36"/>
  <c r="AM106" i="36"/>
  <c r="P11" i="36"/>
  <c r="AR27" i="36"/>
  <c r="AN27" i="36"/>
  <c r="X27" i="36"/>
  <c r="R27" i="36"/>
  <c r="AS34" i="36"/>
  <c r="AS47" i="36"/>
  <c r="AS48" i="36"/>
  <c r="AS108" i="36"/>
  <c r="AS109" i="36"/>
  <c r="AS114" i="36"/>
  <c r="AS120" i="36"/>
  <c r="AS113" i="36"/>
  <c r="AS121" i="36"/>
  <c r="AQ34" i="36"/>
  <c r="AQ45" i="36"/>
  <c r="AQ48" i="36"/>
  <c r="AQ108" i="36"/>
  <c r="AQ109" i="36"/>
  <c r="AQ114" i="36"/>
  <c r="AQ120" i="36"/>
  <c r="AQ113" i="36"/>
  <c r="AQ121" i="36"/>
  <c r="AO34" i="36"/>
  <c r="AO45" i="36"/>
  <c r="AO48" i="36"/>
  <c r="AO108" i="36"/>
  <c r="AO109" i="36"/>
  <c r="AO114" i="36"/>
  <c r="AO120" i="36"/>
  <c r="AO113" i="36"/>
  <c r="AO121" i="36"/>
  <c r="AM34" i="36"/>
  <c r="AM45" i="36"/>
  <c r="AM48" i="36"/>
  <c r="AM108" i="36"/>
  <c r="AM109" i="36"/>
  <c r="AM114" i="36"/>
  <c r="AM120" i="36"/>
  <c r="AM113" i="36"/>
  <c r="AM121" i="36"/>
  <c r="AD45" i="36"/>
  <c r="AD48" i="36"/>
  <c r="X48" i="36"/>
  <c r="T45" i="36"/>
  <c r="R48" i="36"/>
  <c r="G48" i="36"/>
  <c r="AR102" i="36"/>
  <c r="AR130" i="36" s="1"/>
  <c r="AN102" i="36"/>
  <c r="P15" i="36"/>
  <c r="AS116" i="36"/>
  <c r="AQ116" i="36"/>
  <c r="AO116" i="36"/>
  <c r="AM116" i="36"/>
  <c r="AM144" i="36" s="1"/>
  <c r="AI42" i="36"/>
  <c r="AG42" i="36"/>
  <c r="AE42" i="36"/>
  <c r="AC42" i="36"/>
  <c r="V42" i="36"/>
  <c r="Z42" i="36" s="1"/>
  <c r="U42" i="36"/>
  <c r="W42" i="36"/>
  <c r="S42" i="36"/>
  <c r="Q42" i="36"/>
  <c r="AT101" i="36"/>
  <c r="AR101" i="36"/>
  <c r="AP101" i="36"/>
  <c r="AN101" i="36"/>
  <c r="K12" i="36"/>
  <c r="AT105" i="36"/>
  <c r="AR105" i="36"/>
  <c r="AP105" i="36"/>
  <c r="AN105" i="36"/>
  <c r="E127" i="36"/>
  <c r="AG28" i="36"/>
  <c r="AC28" i="36"/>
  <c r="BK18" i="36"/>
  <c r="I11" i="47" s="1"/>
  <c r="I12" i="47" s="1"/>
  <c r="AS28" i="36"/>
  <c r="AO28" i="36"/>
  <c r="W28" i="36"/>
  <c r="Q28" i="36"/>
  <c r="N80" i="36"/>
  <c r="N77" i="36" s="1"/>
  <c r="N78" i="36" s="1"/>
  <c r="U80" i="36"/>
  <c r="U77" i="36" s="1"/>
  <c r="U78" i="36" s="1"/>
  <c r="K80" i="36"/>
  <c r="I80" i="36"/>
  <c r="I77" i="36" s="1"/>
  <c r="I78" i="36" s="1"/>
  <c r="AF67" i="36"/>
  <c r="N67" i="36"/>
  <c r="U67" i="36"/>
  <c r="K67" i="36"/>
  <c r="I67" i="36"/>
  <c r="AF62" i="36"/>
  <c r="N62" i="36"/>
  <c r="U62" i="36"/>
  <c r="K62" i="36"/>
  <c r="I62" i="36"/>
  <c r="P85" i="36"/>
  <c r="M67" i="36"/>
  <c r="W85" i="36"/>
  <c r="W82" i="36" s="1"/>
  <c r="W83" i="36" s="1"/>
  <c r="M85" i="36"/>
  <c r="M82" i="36" s="1"/>
  <c r="M83" i="36" s="1"/>
  <c r="G85" i="36"/>
  <c r="G82" i="36" s="1"/>
  <c r="G83" i="36" s="1"/>
  <c r="AA80" i="36"/>
  <c r="J80" i="36"/>
  <c r="J77" i="36" s="1"/>
  <c r="J78" i="36" s="1"/>
  <c r="AH67" i="36"/>
  <c r="S67" i="36"/>
  <c r="L67" i="36"/>
  <c r="AH62" i="36"/>
  <c r="S62" i="36"/>
  <c r="L62" i="36"/>
  <c r="S85" i="36"/>
  <c r="S82" i="36" s="1"/>
  <c r="S83" i="36" s="1"/>
  <c r="L85" i="36"/>
  <c r="L82" i="36" s="1"/>
  <c r="L83" i="36" s="1"/>
  <c r="O80" i="36"/>
  <c r="O77" i="36" s="1"/>
  <c r="O78" i="36" s="1"/>
  <c r="H80" i="36"/>
  <c r="H77" i="36" s="1"/>
  <c r="H78" i="36" s="1"/>
  <c r="W67" i="36"/>
  <c r="P67" i="36"/>
  <c r="G67" i="36"/>
  <c r="AD62" i="36"/>
  <c r="Q62" i="36"/>
  <c r="J62" i="36"/>
  <c r="AJ28" i="36"/>
  <c r="AT147" i="36"/>
  <c r="AT48" i="36"/>
  <c r="AT150" i="36" s="1"/>
  <c r="AR34" i="36"/>
  <c r="AR47" i="36"/>
  <c r="AR149" i="36" s="1"/>
  <c r="AP147" i="36"/>
  <c r="AP34" i="36"/>
  <c r="AP48" i="36"/>
  <c r="AP150" i="36" s="1"/>
  <c r="AN47" i="36"/>
  <c r="AN148" i="36"/>
  <c r="AV46" i="36"/>
  <c r="AV111" i="36"/>
  <c r="AV104" i="36"/>
  <c r="AV112" i="36"/>
  <c r="AN118" i="36"/>
  <c r="AV119" i="36"/>
  <c r="AV114" i="36"/>
  <c r="AV120" i="36"/>
  <c r="AF48" i="36"/>
  <c r="AF45" i="36"/>
  <c r="AH45" i="36"/>
  <c r="AH48" i="36"/>
  <c r="AE45" i="36"/>
  <c r="AE48" i="36"/>
  <c r="AC45" i="36"/>
  <c r="AC48" i="36"/>
  <c r="W45" i="36"/>
  <c r="W48" i="36"/>
  <c r="S45" i="36"/>
  <c r="S48" i="36"/>
  <c r="Q45" i="36"/>
  <c r="Q48" i="36"/>
  <c r="H45" i="36"/>
  <c r="AS102" i="36"/>
  <c r="AO102" i="36"/>
  <c r="AT115" i="36"/>
  <c r="AT110" i="36" s="1"/>
  <c r="AT107" i="36" s="1"/>
  <c r="AR115" i="36"/>
  <c r="AR110" i="36" s="1"/>
  <c r="AR107" i="36" s="1"/>
  <c r="AP115" i="36"/>
  <c r="AP110" i="36" s="1"/>
  <c r="AP107" i="36" s="1"/>
  <c r="AV116" i="36"/>
  <c r="AN115" i="36"/>
  <c r="AN110" i="36" s="1"/>
  <c r="AN107" i="36" s="1"/>
  <c r="P14" i="36"/>
  <c r="M42" i="36" s="1"/>
  <c r="AS100" i="36"/>
  <c r="AQ100" i="36"/>
  <c r="AO100" i="36"/>
  <c r="AM100" i="36"/>
  <c r="M12" i="36"/>
  <c r="AV12" i="36"/>
  <c r="AL12" i="36"/>
  <c r="AJ12" i="36"/>
  <c r="AU105" i="36"/>
  <c r="AT27" i="36"/>
  <c r="AP27" i="36"/>
  <c r="AJ27" i="36"/>
  <c r="T27" i="36"/>
  <c r="BE21" i="36"/>
  <c r="BE3" i="36" s="1"/>
  <c r="F25" i="36"/>
  <c r="F127" i="36" s="1"/>
  <c r="AS46" i="36"/>
  <c r="AS45" i="36"/>
  <c r="AS104" i="36"/>
  <c r="AS112" i="36"/>
  <c r="AS111" i="36"/>
  <c r="AS117" i="36"/>
  <c r="AS122" i="36"/>
  <c r="AS119" i="36"/>
  <c r="AQ46" i="36"/>
  <c r="AQ47" i="36"/>
  <c r="AQ104" i="36"/>
  <c r="AQ112" i="36"/>
  <c r="AQ111" i="36"/>
  <c r="AQ117" i="36"/>
  <c r="AQ122" i="36"/>
  <c r="AQ119" i="36"/>
  <c r="AO46" i="36"/>
  <c r="AO47" i="36"/>
  <c r="AO104" i="36"/>
  <c r="AO112" i="36"/>
  <c r="AO111" i="36"/>
  <c r="AO117" i="36"/>
  <c r="AO122" i="36"/>
  <c r="AO119" i="36"/>
  <c r="AM46" i="36"/>
  <c r="AM47" i="36"/>
  <c r="AM104" i="36"/>
  <c r="AU104" i="36" s="1"/>
  <c r="AM112" i="36"/>
  <c r="AU112" i="36" s="1"/>
  <c r="AM111" i="36"/>
  <c r="AM117" i="36"/>
  <c r="AU117" i="36" s="1"/>
  <c r="AM122" i="36"/>
  <c r="AU122" i="36" s="1"/>
  <c r="AM119" i="36"/>
  <c r="AI45" i="36"/>
  <c r="AI48" i="36"/>
  <c r="AG45" i="36"/>
  <c r="AG48" i="36"/>
  <c r="AB45" i="36"/>
  <c r="AB48" i="36"/>
  <c r="X45" i="36"/>
  <c r="T48" i="36"/>
  <c r="R45" i="36"/>
  <c r="P16" i="36"/>
  <c r="AT102" i="36"/>
  <c r="AT130" i="36" s="1"/>
  <c r="AP102" i="36"/>
  <c r="AP130" i="36" s="1"/>
  <c r="AS42" i="36"/>
  <c r="AQ42" i="36"/>
  <c r="AO42" i="36"/>
  <c r="I42" i="36"/>
  <c r="AT100" i="36"/>
  <c r="AR100" i="36"/>
  <c r="AP100" i="36"/>
  <c r="AN100" i="36"/>
  <c r="L12" i="36"/>
  <c r="P13" i="36"/>
  <c r="AT106" i="36"/>
  <c r="AR106" i="36"/>
  <c r="AP106" i="36"/>
  <c r="AN106" i="36"/>
  <c r="BE18" i="36"/>
  <c r="AI28" i="36"/>
  <c r="AA12" i="36"/>
  <c r="AQ28" i="36"/>
  <c r="S28" i="36"/>
  <c r="L42" i="35"/>
  <c r="N42" i="35"/>
  <c r="AN115" i="35"/>
  <c r="AN110" i="35" s="1"/>
  <c r="AN107" i="35" s="1"/>
  <c r="BJ151" i="35"/>
  <c r="U64" i="35"/>
  <c r="U65" i="35" s="1"/>
  <c r="U59" i="35"/>
  <c r="U60" i="35" s="1"/>
  <c r="G64" i="35"/>
  <c r="G65" i="35" s="1"/>
  <c r="G59" i="35"/>
  <c r="G60" i="35" s="1"/>
  <c r="AN141" i="35"/>
  <c r="AV141" i="35" s="1"/>
  <c r="AV39" i="35"/>
  <c r="AK38" i="35"/>
  <c r="J37" i="35"/>
  <c r="AN137" i="35"/>
  <c r="AV35" i="35"/>
  <c r="AK34" i="35"/>
  <c r="AN134" i="35"/>
  <c r="AV32" i="35"/>
  <c r="AV31" i="35"/>
  <c r="J30" i="35"/>
  <c r="AJ27" i="35"/>
  <c r="AV112" i="35"/>
  <c r="AV117" i="35"/>
  <c r="AV108" i="35"/>
  <c r="AV122" i="35"/>
  <c r="AV113" i="35"/>
  <c r="AV121" i="35"/>
  <c r="AK47" i="35"/>
  <c r="W45" i="35"/>
  <c r="S47" i="35"/>
  <c r="Q45" i="35"/>
  <c r="AF28" i="35"/>
  <c r="AB28" i="35"/>
  <c r="AH28" i="35"/>
  <c r="AD28" i="35"/>
  <c r="AQ116" i="35"/>
  <c r="AQ115" i="35" s="1"/>
  <c r="AQ110" i="35" s="1"/>
  <c r="AQ107" i="35" s="1"/>
  <c r="AM116" i="35"/>
  <c r="V42" i="35"/>
  <c r="U42" i="35"/>
  <c r="Q42" i="35"/>
  <c r="AT103" i="35"/>
  <c r="AR103" i="35"/>
  <c r="AP103" i="35"/>
  <c r="AN103" i="35"/>
  <c r="AF26" i="35"/>
  <c r="AB26" i="35"/>
  <c r="AI27" i="35"/>
  <c r="AE27" i="35"/>
  <c r="AH26" i="35"/>
  <c r="AD26" i="35"/>
  <c r="P13" i="35"/>
  <c r="M27" i="35" s="1"/>
  <c r="L12" i="35"/>
  <c r="I47" i="35"/>
  <c r="U85" i="35"/>
  <c r="U82" i="35" s="1"/>
  <c r="U83" i="35" s="1"/>
  <c r="K85" i="35"/>
  <c r="I85" i="35"/>
  <c r="I82" i="35" s="1"/>
  <c r="I83" i="35" s="1"/>
  <c r="W85" i="35"/>
  <c r="W82" i="35" s="1"/>
  <c r="W83" i="35" s="1"/>
  <c r="L85" i="35"/>
  <c r="L82" i="35" s="1"/>
  <c r="L83" i="35" s="1"/>
  <c r="J85" i="35"/>
  <c r="J82" i="35" s="1"/>
  <c r="J83" i="35" s="1"/>
  <c r="N85" i="35"/>
  <c r="N82" i="35" s="1"/>
  <c r="N83" i="35" s="1"/>
  <c r="S85" i="35"/>
  <c r="S82" i="35" s="1"/>
  <c r="S83" i="35" s="1"/>
  <c r="AN45" i="35"/>
  <c r="AM141" i="35"/>
  <c r="AU141" i="35" s="1"/>
  <c r="AU39" i="35"/>
  <c r="AR140" i="35"/>
  <c r="AR139" i="35"/>
  <c r="AR136" i="35"/>
  <c r="T34" i="35"/>
  <c r="AP132" i="35"/>
  <c r="T30" i="35"/>
  <c r="AM129" i="35"/>
  <c r="AU27" i="35"/>
  <c r="AC27" i="35"/>
  <c r="AN128" i="35"/>
  <c r="BE21" i="35"/>
  <c r="F25" i="35"/>
  <c r="F127" i="35" s="1"/>
  <c r="BK21" i="35"/>
  <c r="F11" i="47" s="1"/>
  <c r="E25" i="35"/>
  <c r="E127" i="35" s="1"/>
  <c r="BE18" i="35"/>
  <c r="AS136" i="35"/>
  <c r="AQ136" i="35"/>
  <c r="AQ45" i="35"/>
  <c r="AO136" i="35"/>
  <c r="AM136" i="35"/>
  <c r="AU34" i="35"/>
  <c r="AM140" i="35"/>
  <c r="AU140" i="35" s="1"/>
  <c r="AU38" i="35"/>
  <c r="AU108" i="35"/>
  <c r="AU121" i="35"/>
  <c r="AM45" i="35"/>
  <c r="AU109" i="35"/>
  <c r="AU113" i="35"/>
  <c r="AU114" i="35"/>
  <c r="AU120" i="35"/>
  <c r="AG45" i="35"/>
  <c r="AF48" i="35"/>
  <c r="AF47" i="35"/>
  <c r="AF40" i="35"/>
  <c r="AF39" i="35"/>
  <c r="AF35" i="35"/>
  <c r="AE48" i="35"/>
  <c r="AH47" i="35"/>
  <c r="AF45" i="35"/>
  <c r="AE40" i="35"/>
  <c r="AE39" i="35"/>
  <c r="AF38" i="35"/>
  <c r="AF37" i="35"/>
  <c r="AC35" i="35"/>
  <c r="AF34" i="35"/>
  <c r="AH30" i="35"/>
  <c r="AC40" i="35"/>
  <c r="AC39" i="35"/>
  <c r="AH38" i="35"/>
  <c r="AH37" i="35"/>
  <c r="AE35" i="35"/>
  <c r="AH34" i="35"/>
  <c r="AF30" i="35"/>
  <c r="AB39" i="35"/>
  <c r="AB47" i="35"/>
  <c r="AB48" i="35"/>
  <c r="X39" i="35"/>
  <c r="X47" i="35"/>
  <c r="X48" i="35"/>
  <c r="T39" i="35"/>
  <c r="T47" i="35"/>
  <c r="T48" i="35"/>
  <c r="R35" i="35"/>
  <c r="R40" i="35"/>
  <c r="R45" i="35"/>
  <c r="I28" i="35"/>
  <c r="J28" i="35"/>
  <c r="AT42" i="35"/>
  <c r="AR116" i="35"/>
  <c r="AR115" i="35" s="1"/>
  <c r="AR110" i="35" s="1"/>
  <c r="AR107" i="35" s="1"/>
  <c r="AP42" i="35"/>
  <c r="AG42" i="35"/>
  <c r="AC42" i="35"/>
  <c r="O42" i="35"/>
  <c r="I42" i="35"/>
  <c r="AW12" i="35"/>
  <c r="AU12" i="35"/>
  <c r="AK12" i="35"/>
  <c r="V27" i="35"/>
  <c r="Z27" i="35" s="1"/>
  <c r="U26" i="35"/>
  <c r="U27" i="35"/>
  <c r="V26" i="35"/>
  <c r="R26" i="35"/>
  <c r="X26" i="35"/>
  <c r="T26" i="35"/>
  <c r="AJ12" i="35"/>
  <c r="AL12" i="35"/>
  <c r="I32" i="35"/>
  <c r="I31" i="35"/>
  <c r="W27" i="35"/>
  <c r="AT128" i="35"/>
  <c r="AS102" i="35"/>
  <c r="AS103" i="35" s="1"/>
  <c r="AO102" i="35"/>
  <c r="AO103" i="35" s="1"/>
  <c r="AI28" i="35"/>
  <c r="AE28" i="35"/>
  <c r="W26" i="35"/>
  <c r="Q26" i="35"/>
  <c r="AS105" i="35"/>
  <c r="AQ105" i="35"/>
  <c r="AM105" i="35"/>
  <c r="AM133" i="35" s="1"/>
  <c r="X31" i="35"/>
  <c r="R32" i="35"/>
  <c r="P85" i="35"/>
  <c r="AG39" i="35"/>
  <c r="AP140" i="35"/>
  <c r="X38" i="35"/>
  <c r="AP139" i="35"/>
  <c r="AD37" i="35"/>
  <c r="T37" i="35"/>
  <c r="AM137" i="35"/>
  <c r="AU35" i="35"/>
  <c r="J35" i="35"/>
  <c r="AT136" i="35"/>
  <c r="I34" i="35"/>
  <c r="J34" i="35" s="1"/>
  <c r="AO32" i="35"/>
  <c r="AU32" i="35" s="1"/>
  <c r="AO31" i="35"/>
  <c r="AR132" i="35"/>
  <c r="AB30" i="35"/>
  <c r="AS129" i="35"/>
  <c r="AQ28" i="35"/>
  <c r="AQ29" i="35" s="1"/>
  <c r="AF42" i="35"/>
  <c r="X42" i="35"/>
  <c r="S26" i="35"/>
  <c r="AO106" i="35"/>
  <c r="AD32" i="35"/>
  <c r="T31" i="35"/>
  <c r="AU40" i="35"/>
  <c r="AI35" i="35"/>
  <c r="AD38" i="35"/>
  <c r="AR128" i="35"/>
  <c r="BK151" i="35"/>
  <c r="AD59" i="35"/>
  <c r="AD60" i="35" s="1"/>
  <c r="AD64" i="35"/>
  <c r="AD65" i="35" s="1"/>
  <c r="I45" i="35"/>
  <c r="AN142" i="35"/>
  <c r="AV40" i="35"/>
  <c r="J38" i="35"/>
  <c r="AK37" i="35"/>
  <c r="AT133" i="35"/>
  <c r="AP133" i="35"/>
  <c r="AK30" i="35"/>
  <c r="AN129" i="35"/>
  <c r="AV27" i="35"/>
  <c r="AT118" i="35"/>
  <c r="AR118" i="35"/>
  <c r="AP118" i="35"/>
  <c r="AV109" i="35"/>
  <c r="AV114" i="35"/>
  <c r="AV104" i="35"/>
  <c r="AV120" i="35"/>
  <c r="AV111" i="35"/>
  <c r="AV119" i="35"/>
  <c r="AN118" i="35"/>
  <c r="AE45" i="35"/>
  <c r="AC45" i="35"/>
  <c r="V48" i="35"/>
  <c r="U47" i="35"/>
  <c r="U45" i="35"/>
  <c r="U48" i="35"/>
  <c r="V45" i="35"/>
  <c r="V40" i="35"/>
  <c r="V39" i="35"/>
  <c r="U38" i="35"/>
  <c r="U37" i="35"/>
  <c r="Y37" i="35" s="1"/>
  <c r="V35" i="35"/>
  <c r="U34" i="35"/>
  <c r="Y34" i="35" s="1"/>
  <c r="U30" i="35"/>
  <c r="W48" i="35"/>
  <c r="S48" i="35"/>
  <c r="V47" i="35"/>
  <c r="W40" i="35"/>
  <c r="S40" i="35"/>
  <c r="W39" i="35"/>
  <c r="S39" i="35"/>
  <c r="V38" i="35"/>
  <c r="V37" i="35"/>
  <c r="U35" i="35"/>
  <c r="Q35" i="35"/>
  <c r="U40" i="35"/>
  <c r="Q40" i="35"/>
  <c r="U39" i="35"/>
  <c r="Q39" i="35"/>
  <c r="W35" i="35"/>
  <c r="S35" i="35"/>
  <c r="V34" i="35"/>
  <c r="V30" i="35"/>
  <c r="W47" i="35"/>
  <c r="S45" i="35"/>
  <c r="Q47" i="35"/>
  <c r="AV102" i="35"/>
  <c r="P15" i="35"/>
  <c r="L28" i="35" s="1"/>
  <c r="AQ42" i="35"/>
  <c r="AM42" i="35"/>
  <c r="AS116" i="35"/>
  <c r="AS115" i="35" s="1"/>
  <c r="AS110" i="35" s="1"/>
  <c r="AS107" i="35" s="1"/>
  <c r="AO116" i="35"/>
  <c r="AO115" i="35" s="1"/>
  <c r="AO110" i="35" s="1"/>
  <c r="AO107" i="35" s="1"/>
  <c r="M42" i="35"/>
  <c r="AV101" i="35"/>
  <c r="AV106" i="35"/>
  <c r="V32" i="35"/>
  <c r="V31" i="35"/>
  <c r="U32" i="35"/>
  <c r="Q32" i="35"/>
  <c r="W31" i="35"/>
  <c r="S31" i="35"/>
  <c r="W32" i="35"/>
  <c r="S32" i="35"/>
  <c r="U31" i="35"/>
  <c r="Q31" i="35"/>
  <c r="X45" i="35"/>
  <c r="H45" i="35"/>
  <c r="AN140" i="35"/>
  <c r="AV38" i="35"/>
  <c r="R38" i="35"/>
  <c r="AN139" i="35"/>
  <c r="AV37" i="35"/>
  <c r="R37" i="35"/>
  <c r="AN136" i="35"/>
  <c r="AV34" i="35"/>
  <c r="X34" i="35"/>
  <c r="AT132" i="35"/>
  <c r="X30" i="35"/>
  <c r="Z28" i="35"/>
  <c r="AG27" i="35"/>
  <c r="BK18" i="35"/>
  <c r="E11" i="47" s="1"/>
  <c r="AS132" i="35"/>
  <c r="AS139" i="35"/>
  <c r="AS45" i="35"/>
  <c r="AQ132" i="35"/>
  <c r="AQ139" i="35"/>
  <c r="AQ118" i="35"/>
  <c r="AO132" i="35"/>
  <c r="AO139" i="35"/>
  <c r="AO45" i="35"/>
  <c r="AU104" i="35"/>
  <c r="AM132" i="35"/>
  <c r="AU30" i="35"/>
  <c r="AM139" i="35"/>
  <c r="AU37" i="35"/>
  <c r="AM118" i="35"/>
  <c r="AU119" i="35"/>
  <c r="AU111" i="35"/>
  <c r="AU112" i="35"/>
  <c r="AU117" i="35"/>
  <c r="AU122" i="35"/>
  <c r="AI45" i="35"/>
  <c r="AD39" i="35"/>
  <c r="AD48" i="35"/>
  <c r="AB35" i="35"/>
  <c r="AB40" i="35"/>
  <c r="X35" i="35"/>
  <c r="X40" i="35"/>
  <c r="T35" i="35"/>
  <c r="T40" i="35"/>
  <c r="R47" i="35"/>
  <c r="R39" i="35"/>
  <c r="R48" i="35"/>
  <c r="P16" i="35"/>
  <c r="AR28" i="35"/>
  <c r="AR130" i="35" s="1"/>
  <c r="AN28" i="35"/>
  <c r="AT28" i="35"/>
  <c r="AT130" i="35" s="1"/>
  <c r="AP28" i="35"/>
  <c r="AP130" i="35" s="1"/>
  <c r="Y28" i="35"/>
  <c r="AT116" i="35"/>
  <c r="AT115" i="35" s="1"/>
  <c r="AT110" i="35" s="1"/>
  <c r="AT107" i="35" s="1"/>
  <c r="AR42" i="35"/>
  <c r="AP116" i="35"/>
  <c r="AP115" i="35" s="1"/>
  <c r="AP110" i="35" s="1"/>
  <c r="AP107" i="35" s="1"/>
  <c r="AN42" i="35"/>
  <c r="J42" i="35"/>
  <c r="K12" i="35"/>
  <c r="AS128" i="35"/>
  <c r="AQ128" i="35"/>
  <c r="AO128" i="35"/>
  <c r="AM128" i="35"/>
  <c r="AM29" i="35"/>
  <c r="AU101" i="35"/>
  <c r="AI26" i="35"/>
  <c r="AG26" i="35"/>
  <c r="AE26" i="35"/>
  <c r="AC26" i="35"/>
  <c r="O12" i="35"/>
  <c r="M12" i="35"/>
  <c r="AN105" i="35"/>
  <c r="AR105" i="35"/>
  <c r="AR133" i="35" s="1"/>
  <c r="J31" i="35"/>
  <c r="S27" i="35"/>
  <c r="AS28" i="35"/>
  <c r="AO28" i="35"/>
  <c r="AC28" i="35"/>
  <c r="AH42" i="35"/>
  <c r="AD42" i="35"/>
  <c r="AB42" i="35"/>
  <c r="T42" i="35"/>
  <c r="AA12" i="35"/>
  <c r="Y12" i="35"/>
  <c r="I27" i="35"/>
  <c r="AS106" i="35"/>
  <c r="AQ106" i="35"/>
  <c r="AQ134" i="35" s="1"/>
  <c r="AM106" i="35"/>
  <c r="AF32" i="35"/>
  <c r="AF31" i="35"/>
  <c r="AC32" i="35"/>
  <c r="AE31" i="35"/>
  <c r="AE32" i="35"/>
  <c r="AC31" i="35"/>
  <c r="AB32" i="35"/>
  <c r="X32" i="35"/>
  <c r="R31" i="35"/>
  <c r="AR45" i="35"/>
  <c r="J40" i="35"/>
  <c r="AT140" i="35"/>
  <c r="T38" i="35"/>
  <c r="AT139" i="35"/>
  <c r="X37" i="35"/>
  <c r="AQ137" i="35"/>
  <c r="AP136" i="35"/>
  <c r="AD34" i="35"/>
  <c r="AI32" i="35"/>
  <c r="AS31" i="35"/>
  <c r="AN132" i="35"/>
  <c r="AV30" i="35"/>
  <c r="R30" i="35"/>
  <c r="AO129" i="35"/>
  <c r="AP128" i="35"/>
  <c r="H47" i="35"/>
  <c r="AQ102" i="35"/>
  <c r="AQ103" i="35" s="1"/>
  <c r="AM102" i="35"/>
  <c r="AM130" i="35" s="1"/>
  <c r="AG28" i="35"/>
  <c r="R42" i="35"/>
  <c r="AO105" i="35"/>
  <c r="AD31" i="35"/>
  <c r="T32" i="35"/>
  <c r="AM142" i="35"/>
  <c r="AG40" i="35"/>
  <c r="AB45" i="35"/>
  <c r="T45" i="35"/>
  <c r="G42" i="35"/>
  <c r="P11" i="35"/>
  <c r="AA25" i="33"/>
  <c r="F36" i="33"/>
  <c r="L37" i="33"/>
  <c r="K43" i="33"/>
  <c r="G43" i="33"/>
  <c r="E43" i="33"/>
  <c r="F43" i="33"/>
  <c r="AE16" i="33"/>
  <c r="AE14" i="33"/>
  <c r="L43" i="33"/>
  <c r="H43" i="33"/>
  <c r="AE8" i="33"/>
  <c r="C43" i="33"/>
  <c r="AE15" i="33"/>
  <c r="AE10" i="33"/>
  <c r="AE9" i="33"/>
  <c r="AE7" i="33"/>
  <c r="AD21" i="33" s="1"/>
  <c r="AE6" i="33"/>
  <c r="I43" i="33"/>
  <c r="R6" i="33"/>
  <c r="C16" i="33"/>
  <c r="AA32" i="33"/>
  <c r="AA29" i="33"/>
  <c r="E26" i="33"/>
  <c r="H12" i="33"/>
  <c r="F12" i="33"/>
  <c r="F13" i="33" s="1"/>
  <c r="D12" i="33"/>
  <c r="D13" i="33" s="1"/>
  <c r="I12" i="33"/>
  <c r="I13" i="33" s="1"/>
  <c r="E12" i="33"/>
  <c r="E13" i="33" s="1"/>
  <c r="AE11" i="33"/>
  <c r="H8" i="33"/>
  <c r="AA31" i="33"/>
  <c r="AF10" i="33"/>
  <c r="AG10" i="33" s="1"/>
  <c r="AG7" i="33"/>
  <c r="AA26" i="33"/>
  <c r="AE13" i="33"/>
  <c r="R11" i="33"/>
  <c r="R13" i="33"/>
  <c r="I7" i="33"/>
  <c r="R7" i="33"/>
  <c r="H10" i="33"/>
  <c r="E5" i="33"/>
  <c r="E16" i="33"/>
  <c r="E10" i="33"/>
  <c r="F35" i="33"/>
  <c r="AE12" i="33"/>
  <c r="W11" i="33"/>
  <c r="J43" i="33"/>
  <c r="Q39" i="33"/>
  <c r="E35" i="33"/>
  <c r="G23" i="33"/>
  <c r="Y37" i="32"/>
  <c r="Y39" i="32" s="1"/>
  <c r="H25" i="32"/>
  <c r="H23" i="32"/>
  <c r="H24" i="32"/>
  <c r="H22" i="32"/>
  <c r="H34" i="32"/>
  <c r="I173" i="38" s="1"/>
  <c r="P48" i="35" s="1"/>
  <c r="D41" i="32"/>
  <c r="E5" i="32"/>
  <c r="B20" i="32" s="1"/>
  <c r="S5" i="32"/>
  <c r="AA20" i="32"/>
  <c r="AB20" i="32" s="1"/>
  <c r="C13" i="32"/>
  <c r="D12" i="32"/>
  <c r="C5" i="32"/>
  <c r="Z22" i="32"/>
  <c r="AA22" i="32" s="1"/>
  <c r="AB22" i="32" s="1"/>
  <c r="P10" i="32"/>
  <c r="P8" i="32"/>
  <c r="Q6" i="32"/>
  <c r="G160" i="39" l="1"/>
  <c r="G29" i="39"/>
  <c r="H188" i="39"/>
  <c r="Q11" i="47"/>
  <c r="C9" i="52" s="1"/>
  <c r="E12" i="47"/>
  <c r="Q12" i="47" s="1"/>
  <c r="R11" i="47"/>
  <c r="C10" i="52" s="1"/>
  <c r="F12" i="47"/>
  <c r="R12" i="47" s="1"/>
  <c r="H196" i="39"/>
  <c r="R155" i="39"/>
  <c r="S155" i="39" s="1"/>
  <c r="E155" i="39" s="1"/>
  <c r="R151" i="39"/>
  <c r="S151" i="39" s="1"/>
  <c r="E151" i="39" s="1"/>
  <c r="R146" i="39"/>
  <c r="S146" i="39" s="1"/>
  <c r="E146" i="39" s="1"/>
  <c r="R141" i="39"/>
  <c r="S141" i="39" s="1"/>
  <c r="E141" i="39" s="1"/>
  <c r="R136" i="39"/>
  <c r="S136" i="39" s="1"/>
  <c r="E136" i="39" s="1"/>
  <c r="R131" i="39"/>
  <c r="S131" i="39" s="1"/>
  <c r="E131" i="39" s="1"/>
  <c r="R126" i="39"/>
  <c r="S126" i="39" s="1"/>
  <c r="E126" i="39" s="1"/>
  <c r="R122" i="39"/>
  <c r="S122" i="39" s="1"/>
  <c r="E122" i="39" s="1"/>
  <c r="R116" i="39"/>
  <c r="S116" i="39" s="1"/>
  <c r="E116" i="39" s="1"/>
  <c r="R106" i="39"/>
  <c r="S106" i="39" s="1"/>
  <c r="E106" i="39" s="1"/>
  <c r="R100" i="39"/>
  <c r="S100" i="39" s="1"/>
  <c r="E100" i="39" s="1"/>
  <c r="R96" i="39"/>
  <c r="S96" i="39" s="1"/>
  <c r="E96" i="39" s="1"/>
  <c r="R111" i="39"/>
  <c r="S111" i="39" s="1"/>
  <c r="E111" i="39" s="1"/>
  <c r="R93" i="39"/>
  <c r="S93" i="39" s="1"/>
  <c r="E93" i="39" s="1"/>
  <c r="R89" i="39"/>
  <c r="S89" i="39" s="1"/>
  <c r="E89" i="39" s="1"/>
  <c r="R66" i="39"/>
  <c r="S66" i="39" s="1"/>
  <c r="E66" i="39" s="1"/>
  <c r="R62" i="39"/>
  <c r="S62" i="39" s="1"/>
  <c r="E62" i="39" s="1"/>
  <c r="R57" i="39"/>
  <c r="S57" i="39" s="1"/>
  <c r="E57" i="39" s="1"/>
  <c r="R52" i="39"/>
  <c r="S52" i="39" s="1"/>
  <c r="E52" i="39" s="1"/>
  <c r="R37" i="39"/>
  <c r="S37" i="39" s="1"/>
  <c r="E37" i="39" s="1"/>
  <c r="R47" i="39"/>
  <c r="S47" i="39" s="1"/>
  <c r="E47" i="39" s="1"/>
  <c r="R34" i="39"/>
  <c r="S34" i="39" s="1"/>
  <c r="E34" i="39" s="1"/>
  <c r="Q4" i="39"/>
  <c r="R14" i="39"/>
  <c r="S14" i="39" s="1"/>
  <c r="E14" i="39" s="1"/>
  <c r="R18" i="39"/>
  <c r="S18" i="39" s="1"/>
  <c r="E18" i="39" s="1"/>
  <c r="R22" i="39"/>
  <c r="S22" i="39" s="1"/>
  <c r="E22" i="39" s="1"/>
  <c r="R26" i="39"/>
  <c r="S26" i="39" s="1"/>
  <c r="E26" i="39" s="1"/>
  <c r="R74" i="39"/>
  <c r="S74" i="39" s="1"/>
  <c r="E74" i="39" s="1"/>
  <c r="R78" i="39"/>
  <c r="S78" i="39" s="1"/>
  <c r="E78" i="39" s="1"/>
  <c r="R86" i="39"/>
  <c r="S86" i="39" s="1"/>
  <c r="E86" i="39" s="1"/>
  <c r="R162" i="39"/>
  <c r="S162" i="39" s="1"/>
  <c r="E162" i="39" s="1"/>
  <c r="R166" i="39"/>
  <c r="S166" i="39" s="1"/>
  <c r="E166" i="39" s="1"/>
  <c r="R170" i="39"/>
  <c r="S170" i="39" s="1"/>
  <c r="E170" i="39" s="1"/>
  <c r="R174" i="39"/>
  <c r="S174" i="39" s="1"/>
  <c r="E174" i="39" s="1"/>
  <c r="R178" i="39"/>
  <c r="S178" i="39" s="1"/>
  <c r="E178" i="39" s="1"/>
  <c r="R154" i="39"/>
  <c r="S154" i="39" s="1"/>
  <c r="E154" i="39" s="1"/>
  <c r="R150" i="39"/>
  <c r="S150" i="39" s="1"/>
  <c r="E150" i="39" s="1"/>
  <c r="R145" i="39"/>
  <c r="S145" i="39" s="1"/>
  <c r="E145" i="39" s="1"/>
  <c r="R140" i="39"/>
  <c r="S140" i="39" s="1"/>
  <c r="E140" i="39" s="1"/>
  <c r="R134" i="39"/>
  <c r="S134" i="39" s="1"/>
  <c r="E134" i="39" s="1"/>
  <c r="R129" i="39"/>
  <c r="S129" i="39" s="1"/>
  <c r="E129" i="39" s="1"/>
  <c r="R125" i="39"/>
  <c r="S125" i="39" s="1"/>
  <c r="E125" i="39" s="1"/>
  <c r="R121" i="39"/>
  <c r="S121" i="39" s="1"/>
  <c r="E121" i="39" s="1"/>
  <c r="R115" i="39"/>
  <c r="S115" i="39" s="1"/>
  <c r="E115" i="39" s="1"/>
  <c r="R105" i="39"/>
  <c r="S105" i="39" s="1"/>
  <c r="E105" i="39" s="1"/>
  <c r="R99" i="39"/>
  <c r="S99" i="39" s="1"/>
  <c r="E99" i="39" s="1"/>
  <c r="R95" i="39"/>
  <c r="S95" i="39" s="1"/>
  <c r="E95" i="39" s="1"/>
  <c r="R110" i="39"/>
  <c r="S110" i="39" s="1"/>
  <c r="E110" i="39" s="1"/>
  <c r="R92" i="39"/>
  <c r="S92" i="39" s="1"/>
  <c r="E92" i="39" s="1"/>
  <c r="R70" i="39"/>
  <c r="S70" i="39" s="1"/>
  <c r="E70" i="39" s="1"/>
  <c r="R65" i="39"/>
  <c r="S65" i="39" s="1"/>
  <c r="E65" i="39" s="1"/>
  <c r="R61" i="39"/>
  <c r="S61" i="39" s="1"/>
  <c r="E61" i="39" s="1"/>
  <c r="R56" i="39"/>
  <c r="S56" i="39" s="1"/>
  <c r="E56" i="39" s="1"/>
  <c r="R42" i="39"/>
  <c r="S42" i="39" s="1"/>
  <c r="E42" i="39" s="1"/>
  <c r="R36" i="39"/>
  <c r="S36" i="39" s="1"/>
  <c r="E36" i="39" s="1"/>
  <c r="R46" i="39"/>
  <c r="S46" i="39" s="1"/>
  <c r="E46" i="39" s="1"/>
  <c r="R33" i="39"/>
  <c r="S33" i="39" s="1"/>
  <c r="E33" i="39" s="1"/>
  <c r="R11" i="39"/>
  <c r="R13" i="39"/>
  <c r="S13" i="39" s="1"/>
  <c r="E13" i="39" s="1"/>
  <c r="R17" i="39"/>
  <c r="S17" i="39" s="1"/>
  <c r="E17" i="39" s="1"/>
  <c r="R21" i="39"/>
  <c r="S21" i="39" s="1"/>
  <c r="E21" i="39" s="1"/>
  <c r="R25" i="39"/>
  <c r="S25" i="39" s="1"/>
  <c r="E25" i="39" s="1"/>
  <c r="R73" i="39"/>
  <c r="S73" i="39" s="1"/>
  <c r="E73" i="39" s="1"/>
  <c r="R77" i="39"/>
  <c r="S77" i="39" s="1"/>
  <c r="E77" i="39" s="1"/>
  <c r="R85" i="39"/>
  <c r="S85" i="39" s="1"/>
  <c r="E85" i="39" s="1"/>
  <c r="R161" i="39"/>
  <c r="S161" i="39" s="1"/>
  <c r="E161" i="39" s="1"/>
  <c r="R165" i="39"/>
  <c r="S165" i="39" s="1"/>
  <c r="E165" i="39" s="1"/>
  <c r="R169" i="39"/>
  <c r="S169" i="39" s="1"/>
  <c r="E169" i="39" s="1"/>
  <c r="R173" i="39"/>
  <c r="S173" i="39" s="1"/>
  <c r="E173" i="39" s="1"/>
  <c r="I43" i="35"/>
  <c r="M39" i="35"/>
  <c r="I172" i="38"/>
  <c r="P47" i="35" s="1"/>
  <c r="M47" i="35" s="1"/>
  <c r="BB47" i="35" s="1"/>
  <c r="G173" i="38"/>
  <c r="K48" i="35"/>
  <c r="G172" i="38"/>
  <c r="AV142" i="35"/>
  <c r="M48" i="35"/>
  <c r="AR118" i="36"/>
  <c r="AT99" i="35"/>
  <c r="H43" i="35"/>
  <c r="H41" i="35" s="1"/>
  <c r="J22" i="34"/>
  <c r="M30" i="35"/>
  <c r="O59" i="35"/>
  <c r="O60" i="35" s="1"/>
  <c r="O64" i="35"/>
  <c r="O65" i="35" s="1"/>
  <c r="H59" i="35"/>
  <c r="H60" i="35" s="1"/>
  <c r="H64" i="35"/>
  <c r="H65" i="35" s="1"/>
  <c r="S64" i="35"/>
  <c r="S65" i="35" s="1"/>
  <c r="S59" i="35"/>
  <c r="S60" i="35" s="1"/>
  <c r="AV137" i="35"/>
  <c r="G101" i="39"/>
  <c r="I214" i="39" s="1"/>
  <c r="G221" i="39"/>
  <c r="G220" i="39"/>
  <c r="G195" i="39"/>
  <c r="G218" i="39"/>
  <c r="G212" i="39"/>
  <c r="G224" i="39"/>
  <c r="G192" i="39"/>
  <c r="G189" i="39"/>
  <c r="G184" i="39"/>
  <c r="G196" i="39"/>
  <c r="G193" i="39"/>
  <c r="G188" i="39"/>
  <c r="G198" i="39"/>
  <c r="G219" i="39"/>
  <c r="AO99" i="35"/>
  <c r="AV148" i="36"/>
  <c r="E11" i="34"/>
  <c r="E17" i="34"/>
  <c r="E18" i="34"/>
  <c r="E9" i="34"/>
  <c r="E14" i="34"/>
  <c r="E19" i="34"/>
  <c r="E16" i="34"/>
  <c r="E10" i="34"/>
  <c r="E13" i="34"/>
  <c r="AH28" i="37"/>
  <c r="AI28" i="37"/>
  <c r="AG28" i="37"/>
  <c r="AE28" i="37"/>
  <c r="AC28" i="37"/>
  <c r="AF28" i="37"/>
  <c r="M40" i="35"/>
  <c r="M37" i="35"/>
  <c r="BB37" i="35" s="1"/>
  <c r="M45" i="35"/>
  <c r="AQ130" i="36"/>
  <c r="AQ148" i="36"/>
  <c r="AP129" i="36"/>
  <c r="O194" i="38"/>
  <c r="O172" i="38" s="1"/>
  <c r="AR134" i="35"/>
  <c r="AV34" i="37"/>
  <c r="J45" i="37"/>
  <c r="W28" i="37"/>
  <c r="K194" i="39"/>
  <c r="K191" i="39" s="1"/>
  <c r="AN99" i="35"/>
  <c r="AR29" i="35"/>
  <c r="AO130" i="35"/>
  <c r="AO149" i="36"/>
  <c r="AU38" i="37"/>
  <c r="AG27" i="37"/>
  <c r="U28" i="37"/>
  <c r="S28" i="37"/>
  <c r="AF27" i="37"/>
  <c r="V28" i="37"/>
  <c r="T28" i="37"/>
  <c r="AE27" i="37"/>
  <c r="R28" i="37"/>
  <c r="X28" i="37"/>
  <c r="E8" i="34"/>
  <c r="AB27" i="37"/>
  <c r="AI27" i="37"/>
  <c r="AH27" i="37"/>
  <c r="AC27" i="37"/>
  <c r="AB28" i="37"/>
  <c r="W27" i="37"/>
  <c r="S27" i="37"/>
  <c r="V27" i="37"/>
  <c r="X27" i="37"/>
  <c r="T27" i="37"/>
  <c r="Q27" i="37"/>
  <c r="U27" i="37"/>
  <c r="R27" i="37"/>
  <c r="K51" i="40"/>
  <c r="D189" i="40" s="1"/>
  <c r="C189" i="40"/>
  <c r="K48" i="40"/>
  <c r="D188" i="40" s="1"/>
  <c r="C188" i="40"/>
  <c r="AV106" i="36"/>
  <c r="AV129" i="35"/>
  <c r="BB30" i="35"/>
  <c r="AU142" i="35"/>
  <c r="AV103" i="35"/>
  <c r="AV30" i="37"/>
  <c r="BB40" i="35"/>
  <c r="AO118" i="36"/>
  <c r="AQ118" i="36"/>
  <c r="AQ149" i="36"/>
  <c r="AS118" i="36"/>
  <c r="AT129" i="36"/>
  <c r="AV115" i="36"/>
  <c r="AV101" i="36"/>
  <c r="AU113" i="36"/>
  <c r="AU114" i="36"/>
  <c r="O46" i="37"/>
  <c r="H163" i="38"/>
  <c r="H160" i="38" s="1"/>
  <c r="O178" i="38"/>
  <c r="O168" i="38" s="1"/>
  <c r="I163" i="38"/>
  <c r="P36" i="35" s="1"/>
  <c r="BB39" i="35"/>
  <c r="AV132" i="35"/>
  <c r="M29" i="35"/>
  <c r="M35" i="35"/>
  <c r="M34" i="35"/>
  <c r="M38" i="35"/>
  <c r="M43" i="35"/>
  <c r="AP29" i="35"/>
  <c r="AS133" i="35"/>
  <c r="AS99" i="35"/>
  <c r="AS130" i="35"/>
  <c r="AP99" i="35"/>
  <c r="AP134" i="35"/>
  <c r="AU106" i="35"/>
  <c r="BK14" i="35"/>
  <c r="BK11" i="35"/>
  <c r="AV118" i="35"/>
  <c r="AO148" i="36"/>
  <c r="AS148" i="36"/>
  <c r="J45" i="36"/>
  <c r="AV105" i="36"/>
  <c r="AU121" i="36"/>
  <c r="AU120" i="36"/>
  <c r="AU109" i="36"/>
  <c r="L163" i="38"/>
  <c r="AW41" i="35"/>
  <c r="E178" i="38"/>
  <c r="E168" i="38" s="1"/>
  <c r="D169" i="38"/>
  <c r="J163" i="38"/>
  <c r="AA41" i="35"/>
  <c r="M64" i="35"/>
  <c r="M65" i="35" s="1"/>
  <c r="M59" i="35"/>
  <c r="M60" i="35" s="1"/>
  <c r="AD45" i="35"/>
  <c r="AH45" i="35"/>
  <c r="J39" i="35"/>
  <c r="K36" i="35"/>
  <c r="I29" i="35"/>
  <c r="I26" i="35" s="1"/>
  <c r="G29" i="35"/>
  <c r="H29" i="35"/>
  <c r="D163" i="38"/>
  <c r="D160" i="38" s="1"/>
  <c r="C20" i="34"/>
  <c r="C15" i="34" s="1"/>
  <c r="C12" i="34" s="1"/>
  <c r="K163" i="38"/>
  <c r="AL41" i="35"/>
  <c r="I160" i="38"/>
  <c r="AT45" i="35"/>
  <c r="AT147" i="35" s="1"/>
  <c r="AW147" i="35"/>
  <c r="AP45" i="35"/>
  <c r="AP147" i="35" s="1"/>
  <c r="AP146" i="36"/>
  <c r="AT44" i="36"/>
  <c r="J194" i="39"/>
  <c r="J191" i="39" s="1"/>
  <c r="AA43" i="36"/>
  <c r="AS29" i="35"/>
  <c r="Z34" i="35"/>
  <c r="H27" i="40"/>
  <c r="C122" i="40"/>
  <c r="K122" i="40" s="1"/>
  <c r="C37" i="40"/>
  <c r="K37" i="40" s="1"/>
  <c r="H75" i="40"/>
  <c r="G75" i="40"/>
  <c r="G27" i="40"/>
  <c r="C47" i="40"/>
  <c r="K47" i="40" s="1"/>
  <c r="K85" i="40"/>
  <c r="C80" i="40"/>
  <c r="K80" i="40" s="1"/>
  <c r="K107" i="40"/>
  <c r="C100" i="40"/>
  <c r="K100" i="40" s="1"/>
  <c r="M179" i="39"/>
  <c r="N179" i="39"/>
  <c r="M175" i="39"/>
  <c r="N175" i="39"/>
  <c r="M171" i="39"/>
  <c r="N171" i="39"/>
  <c r="M167" i="39"/>
  <c r="N167" i="39"/>
  <c r="M163" i="39"/>
  <c r="N163" i="39"/>
  <c r="M88" i="39"/>
  <c r="N88" i="39"/>
  <c r="M81" i="39"/>
  <c r="N81" i="39"/>
  <c r="D80" i="39"/>
  <c r="D198" i="39"/>
  <c r="D19" i="34" s="1"/>
  <c r="N23" i="39"/>
  <c r="M23" i="39"/>
  <c r="N19" i="39"/>
  <c r="M19" i="39"/>
  <c r="N15" i="39"/>
  <c r="M15" i="39"/>
  <c r="N51" i="39"/>
  <c r="M51" i="39"/>
  <c r="N40" i="39"/>
  <c r="M40" i="39"/>
  <c r="N53" i="39"/>
  <c r="M53" i="39"/>
  <c r="N58" i="39"/>
  <c r="M58" i="39"/>
  <c r="N63" i="39"/>
  <c r="M63" i="39"/>
  <c r="N67" i="39"/>
  <c r="M67" i="39"/>
  <c r="N90" i="39"/>
  <c r="M90" i="39"/>
  <c r="N97" i="39"/>
  <c r="M97" i="39"/>
  <c r="N101" i="39"/>
  <c r="F214" i="39" s="1"/>
  <c r="M101" i="39"/>
  <c r="D214" i="39"/>
  <c r="N123" i="39"/>
  <c r="M123" i="39"/>
  <c r="N127" i="39"/>
  <c r="M127" i="39"/>
  <c r="N132" i="39"/>
  <c r="M132" i="39"/>
  <c r="N137" i="39"/>
  <c r="M137" i="39"/>
  <c r="N142" i="39"/>
  <c r="M142" i="39"/>
  <c r="I196" i="39"/>
  <c r="P38" i="36" s="1"/>
  <c r="K38" i="36"/>
  <c r="N152" i="39"/>
  <c r="M152" i="39"/>
  <c r="N156" i="39"/>
  <c r="M156" i="39"/>
  <c r="M160" i="39"/>
  <c r="N160" i="39"/>
  <c r="M82" i="39"/>
  <c r="N82" i="39"/>
  <c r="M76" i="39"/>
  <c r="N76" i="39"/>
  <c r="M72" i="39"/>
  <c r="N72" i="39"/>
  <c r="G28" i="39"/>
  <c r="I188" i="39"/>
  <c r="P30" i="36" s="1"/>
  <c r="F28" i="39"/>
  <c r="K30" i="36"/>
  <c r="N55" i="39"/>
  <c r="M55" i="39"/>
  <c r="N69" i="39"/>
  <c r="M69" i="39"/>
  <c r="N91" i="39"/>
  <c r="F215" i="39" s="1"/>
  <c r="M91" i="39"/>
  <c r="D215" i="39"/>
  <c r="N109" i="39"/>
  <c r="M109" i="39"/>
  <c r="N157" i="39"/>
  <c r="M157" i="39"/>
  <c r="N98" i="39"/>
  <c r="M98" i="39"/>
  <c r="N133" i="39"/>
  <c r="M133" i="39"/>
  <c r="N139" i="39"/>
  <c r="M139" i="39"/>
  <c r="N143" i="39"/>
  <c r="M143" i="39"/>
  <c r="N148" i="39"/>
  <c r="M148" i="39"/>
  <c r="N153" i="39"/>
  <c r="M153" i="39"/>
  <c r="M177" i="39"/>
  <c r="N177" i="39"/>
  <c r="G88" i="39"/>
  <c r="F80" i="39"/>
  <c r="K40" i="36"/>
  <c r="G81" i="39"/>
  <c r="M75" i="39"/>
  <c r="N75" i="39"/>
  <c r="M71" i="39"/>
  <c r="N71" i="39"/>
  <c r="N30" i="39"/>
  <c r="M30" i="39"/>
  <c r="N45" i="39"/>
  <c r="M45" i="39"/>
  <c r="N108" i="39"/>
  <c r="M108" i="39"/>
  <c r="N158" i="39"/>
  <c r="M158" i="39"/>
  <c r="N113" i="39"/>
  <c r="M113" i="39"/>
  <c r="N117" i="39"/>
  <c r="M117" i="39"/>
  <c r="N147" i="39"/>
  <c r="F196" i="39" s="1"/>
  <c r="M147" i="39"/>
  <c r="D196" i="39"/>
  <c r="D17" i="34" s="1"/>
  <c r="M176" i="39"/>
  <c r="N176" i="39"/>
  <c r="M172" i="39"/>
  <c r="N172" i="39"/>
  <c r="M168" i="39"/>
  <c r="N168" i="39"/>
  <c r="M164" i="39"/>
  <c r="N164" i="39"/>
  <c r="N24" i="39"/>
  <c r="M24" i="39"/>
  <c r="N20" i="39"/>
  <c r="M20" i="39"/>
  <c r="N16" i="39"/>
  <c r="M16" i="39"/>
  <c r="E10" i="39"/>
  <c r="N29" i="39"/>
  <c r="M29" i="39"/>
  <c r="D28" i="39"/>
  <c r="D188" i="39"/>
  <c r="D9" i="34" s="1"/>
  <c r="N44" i="39"/>
  <c r="M44" i="39"/>
  <c r="N48" i="39"/>
  <c r="M48" i="39"/>
  <c r="N41" i="39"/>
  <c r="M41" i="39"/>
  <c r="N60" i="39"/>
  <c r="M60" i="39"/>
  <c r="N64" i="39"/>
  <c r="M64" i="39"/>
  <c r="N104" i="39"/>
  <c r="M104" i="39"/>
  <c r="N114" i="39"/>
  <c r="M114" i="39"/>
  <c r="N118" i="39"/>
  <c r="F222" i="39" s="1"/>
  <c r="M118" i="39"/>
  <c r="D222" i="39"/>
  <c r="N124" i="39"/>
  <c r="M124" i="39"/>
  <c r="N128" i="39"/>
  <c r="M128" i="39"/>
  <c r="E163" i="38"/>
  <c r="E160" i="38" s="1"/>
  <c r="O164" i="38"/>
  <c r="O163" i="38" s="1"/>
  <c r="O161" i="38"/>
  <c r="O170" i="38"/>
  <c r="E156" i="38"/>
  <c r="O153" i="38"/>
  <c r="AS29" i="37"/>
  <c r="BK11" i="37"/>
  <c r="AV46" i="37"/>
  <c r="AN44" i="37"/>
  <c r="AV45" i="37"/>
  <c r="AT41" i="37"/>
  <c r="AT36" i="37" s="1"/>
  <c r="AT33" i="37" s="1"/>
  <c r="AV27" i="37"/>
  <c r="BK14" i="37"/>
  <c r="AU48" i="37"/>
  <c r="AU35" i="37"/>
  <c r="AM29" i="37"/>
  <c r="BK15" i="37"/>
  <c r="BK16" i="37"/>
  <c r="L45" i="37"/>
  <c r="L46" i="37"/>
  <c r="BA46" i="37" s="1"/>
  <c r="BI46" i="37" s="1"/>
  <c r="AJ46" i="37"/>
  <c r="AJ45" i="37"/>
  <c r="AV40" i="37"/>
  <c r="AV43" i="37"/>
  <c r="AV41" i="37" s="1"/>
  <c r="AN41" i="37"/>
  <c r="AN36" i="37" s="1"/>
  <c r="AN33" i="37" s="1"/>
  <c r="AP44" i="37"/>
  <c r="AU30" i="37"/>
  <c r="M46" i="37"/>
  <c r="Y45" i="37"/>
  <c r="AU43" i="37"/>
  <c r="AU41" i="37" s="1"/>
  <c r="AM41" i="37"/>
  <c r="AM36" i="37" s="1"/>
  <c r="AM33" i="37" s="1"/>
  <c r="AU39" i="37"/>
  <c r="AO41" i="37"/>
  <c r="AO36" i="37" s="1"/>
  <c r="AO33" i="37" s="1"/>
  <c r="AQ41" i="37"/>
  <c r="AQ36" i="37" s="1"/>
  <c r="AQ33" i="37" s="1"/>
  <c r="AS41" i="37"/>
  <c r="AS36" i="37" s="1"/>
  <c r="AS33" i="37" s="1"/>
  <c r="AR29" i="37"/>
  <c r="AV35" i="37"/>
  <c r="AO29" i="37"/>
  <c r="AU28" i="37"/>
  <c r="BK13" i="37"/>
  <c r="P12" i="37"/>
  <c r="AV39" i="37"/>
  <c r="AV38" i="37"/>
  <c r="AP41" i="37"/>
  <c r="AP36" i="37" s="1"/>
  <c r="AP33" i="37" s="1"/>
  <c r="AR44" i="37"/>
  <c r="AV32" i="37"/>
  <c r="AU34" i="37"/>
  <c r="Y46" i="37"/>
  <c r="AK46" i="37"/>
  <c r="AU45" i="37"/>
  <c r="AM44" i="37"/>
  <c r="AU40" i="37"/>
  <c r="AO44" i="37"/>
  <c r="AQ44" i="37"/>
  <c r="AS44" i="37"/>
  <c r="AQ29" i="37"/>
  <c r="N46" i="37"/>
  <c r="BC46" i="37" s="1"/>
  <c r="N45" i="37"/>
  <c r="Z46" i="37"/>
  <c r="Z45" i="37"/>
  <c r="AV48" i="37"/>
  <c r="AV47" i="37"/>
  <c r="AV37" i="37"/>
  <c r="AR41" i="37"/>
  <c r="AR36" i="37" s="1"/>
  <c r="AR33" i="37" s="1"/>
  <c r="AT44" i="37"/>
  <c r="AV31" i="37"/>
  <c r="M45" i="37"/>
  <c r="AK45" i="37"/>
  <c r="AU47" i="37"/>
  <c r="AU46" i="37"/>
  <c r="AN29" i="37"/>
  <c r="BD45" i="37"/>
  <c r="J46" i="37"/>
  <c r="BB42" i="36"/>
  <c r="AN103" i="36"/>
  <c r="AN99" i="36"/>
  <c r="AR103" i="36"/>
  <c r="AR99" i="36"/>
  <c r="AQ144" i="36"/>
  <c r="L48" i="36"/>
  <c r="BA48" i="36" s="1"/>
  <c r="BI48" i="36" s="1"/>
  <c r="Z45" i="36"/>
  <c r="AU111" i="36"/>
  <c r="AM148" i="36"/>
  <c r="AU148" i="36" s="1"/>
  <c r="AU46" i="36"/>
  <c r="AM103" i="36"/>
  <c r="AQ103" i="36"/>
  <c r="BK14" i="36"/>
  <c r="Y48" i="36"/>
  <c r="AK48" i="36"/>
  <c r="AV118" i="36"/>
  <c r="AV110" i="36"/>
  <c r="AV107" i="36" s="1"/>
  <c r="AN149" i="36"/>
  <c r="AV149" i="36" s="1"/>
  <c r="AV47" i="36"/>
  <c r="AP44" i="36"/>
  <c r="AR136" i="36"/>
  <c r="AT146" i="36"/>
  <c r="J59" i="36"/>
  <c r="J60" i="36" s="1"/>
  <c r="J64" i="36"/>
  <c r="J65" i="36" s="1"/>
  <c r="AD59" i="36"/>
  <c r="AD60" i="36" s="1"/>
  <c r="AD64" i="36"/>
  <c r="AD65" i="36" s="1"/>
  <c r="L59" i="36"/>
  <c r="L60" i="36" s="1"/>
  <c r="L64" i="36"/>
  <c r="L65" i="36" s="1"/>
  <c r="AH64" i="36"/>
  <c r="AH65" i="36" s="1"/>
  <c r="AH59" i="36"/>
  <c r="AH60" i="36" s="1"/>
  <c r="I64" i="36"/>
  <c r="I65" i="36" s="1"/>
  <c r="I59" i="36"/>
  <c r="I60" i="36" s="1"/>
  <c r="U64" i="36"/>
  <c r="U65" i="36" s="1"/>
  <c r="U59" i="36"/>
  <c r="U60" i="36" s="1"/>
  <c r="AF59" i="36"/>
  <c r="AF60" i="36" s="1"/>
  <c r="AF64" i="36"/>
  <c r="AF65" i="36" s="1"/>
  <c r="Y28" i="36"/>
  <c r="AO130" i="36"/>
  <c r="AK28" i="36"/>
  <c r="Y42" i="36"/>
  <c r="AO115" i="36"/>
  <c r="AO110" i="36" s="1"/>
  <c r="AO107" i="36" s="1"/>
  <c r="AO99" i="36" s="1"/>
  <c r="AS115" i="36"/>
  <c r="AS110" i="36" s="1"/>
  <c r="AS107" i="36" s="1"/>
  <c r="AS99" i="36" s="1"/>
  <c r="AV102" i="36"/>
  <c r="AU108" i="36"/>
  <c r="AM147" i="36"/>
  <c r="AU45" i="36"/>
  <c r="AM44" i="36"/>
  <c r="AM136" i="36"/>
  <c r="AU34" i="36"/>
  <c r="AO147" i="36"/>
  <c r="AO44" i="36"/>
  <c r="AO136" i="36"/>
  <c r="AQ147" i="36"/>
  <c r="AQ44" i="36"/>
  <c r="AQ136" i="36"/>
  <c r="AS149" i="36"/>
  <c r="AS136" i="36"/>
  <c r="BK16" i="36"/>
  <c r="AN129" i="36"/>
  <c r="AV27" i="36"/>
  <c r="AU106" i="36"/>
  <c r="AU101" i="36"/>
  <c r="BK13" i="36"/>
  <c r="AJ42" i="36"/>
  <c r="AV144" i="36"/>
  <c r="AU102" i="36"/>
  <c r="BK15" i="36"/>
  <c r="M45" i="36"/>
  <c r="BB45" i="36" s="1"/>
  <c r="M48" i="36"/>
  <c r="AV147" i="36"/>
  <c r="AR146" i="36"/>
  <c r="AT136" i="36"/>
  <c r="AM129" i="36"/>
  <c r="AU129" i="36" s="1"/>
  <c r="AN130" i="36"/>
  <c r="AV130" i="36" s="1"/>
  <c r="M59" i="36"/>
  <c r="M60" i="36" s="1"/>
  <c r="M64" i="36"/>
  <c r="M65" i="36" s="1"/>
  <c r="O64" i="36"/>
  <c r="O65" i="36" s="1"/>
  <c r="O59" i="36"/>
  <c r="O60" i="36" s="1"/>
  <c r="J48" i="36"/>
  <c r="AU28" i="36"/>
  <c r="P12" i="36"/>
  <c r="AP103" i="36"/>
  <c r="AP99" i="36"/>
  <c r="AT103" i="36"/>
  <c r="AT99" i="36"/>
  <c r="AO144" i="36"/>
  <c r="AS144" i="36"/>
  <c r="N45" i="36"/>
  <c r="N48" i="36"/>
  <c r="BC48" i="36" s="1"/>
  <c r="L45" i="36"/>
  <c r="AJ48" i="36"/>
  <c r="AJ45" i="36"/>
  <c r="AU119" i="36"/>
  <c r="AU118" i="36" s="1"/>
  <c r="AM118" i="36"/>
  <c r="AM149" i="36"/>
  <c r="AU47" i="36"/>
  <c r="AS147" i="36"/>
  <c r="AS44" i="36"/>
  <c r="BK11" i="36"/>
  <c r="AO103" i="36"/>
  <c r="AS103" i="36"/>
  <c r="J42" i="36"/>
  <c r="N42" i="36"/>
  <c r="O42" i="36"/>
  <c r="L42" i="36"/>
  <c r="Y45" i="36"/>
  <c r="AK45" i="36"/>
  <c r="AP136" i="36"/>
  <c r="Q59" i="36"/>
  <c r="Q60" i="36" s="1"/>
  <c r="Q64" i="36"/>
  <c r="Q65" i="36" s="1"/>
  <c r="S59" i="36"/>
  <c r="S60" i="36" s="1"/>
  <c r="S64" i="36"/>
  <c r="S65" i="36" s="1"/>
  <c r="N59" i="36"/>
  <c r="N60" i="36" s="1"/>
  <c r="N64" i="36"/>
  <c r="N65" i="36" s="1"/>
  <c r="AS130" i="36"/>
  <c r="AK42" i="36"/>
  <c r="AM115" i="36"/>
  <c r="AM110" i="36" s="1"/>
  <c r="AM107" i="36" s="1"/>
  <c r="AU116" i="36"/>
  <c r="AU115" i="36" s="1"/>
  <c r="AQ115" i="36"/>
  <c r="AQ110" i="36" s="1"/>
  <c r="AQ107" i="36" s="1"/>
  <c r="AQ99" i="36" s="1"/>
  <c r="O45" i="36"/>
  <c r="O48" i="36"/>
  <c r="Z48" i="36"/>
  <c r="AM150" i="36"/>
  <c r="AU48" i="36"/>
  <c r="AO150" i="36"/>
  <c r="AQ150" i="36"/>
  <c r="AS150" i="36"/>
  <c r="Z27" i="36"/>
  <c r="AR129" i="36"/>
  <c r="AN150" i="36"/>
  <c r="AV150" i="36" s="1"/>
  <c r="AV48" i="36"/>
  <c r="AN136" i="36"/>
  <c r="AV34" i="36"/>
  <c r="AN44" i="36"/>
  <c r="AR44" i="36"/>
  <c r="Y27" i="36"/>
  <c r="Z28" i="36"/>
  <c r="W59" i="36"/>
  <c r="W60" i="36" s="1"/>
  <c r="W64" i="36"/>
  <c r="W65" i="36" s="1"/>
  <c r="H64" i="36"/>
  <c r="H65" i="36" s="1"/>
  <c r="H59" i="36"/>
  <c r="H60" i="36" s="1"/>
  <c r="AB59" i="36"/>
  <c r="AB60" i="36" s="1"/>
  <c r="AB64" i="36"/>
  <c r="AB65" i="36" s="1"/>
  <c r="AM130" i="36"/>
  <c r="AU42" i="36"/>
  <c r="AQ99" i="35"/>
  <c r="L31" i="35"/>
  <c r="N32" i="35"/>
  <c r="BC32" i="35" s="1"/>
  <c r="L32" i="35"/>
  <c r="N31" i="35"/>
  <c r="BC31" i="35" s="1"/>
  <c r="Z30" i="35"/>
  <c r="AJ32" i="35"/>
  <c r="AK32" i="35"/>
  <c r="G26" i="35"/>
  <c r="AC29" i="35"/>
  <c r="AG29" i="35"/>
  <c r="AO29" i="35"/>
  <c r="AU29" i="35" s="1"/>
  <c r="AO131" i="35"/>
  <c r="AS131" i="35"/>
  <c r="BD42" i="35"/>
  <c r="AN130" i="35"/>
  <c r="AV130" i="35" s="1"/>
  <c r="AV28" i="35"/>
  <c r="N34" i="35"/>
  <c r="BC34" i="35" s="1"/>
  <c r="L38" i="35"/>
  <c r="N45" i="35"/>
  <c r="BC45" i="35" s="1"/>
  <c r="N40" i="35"/>
  <c r="N35" i="35"/>
  <c r="N47" i="35"/>
  <c r="BC47" i="35" s="1"/>
  <c r="L48" i="35"/>
  <c r="L47" i="35"/>
  <c r="L39" i="35"/>
  <c r="L29" i="35"/>
  <c r="L43" i="35"/>
  <c r="L41" i="35" s="1"/>
  <c r="L45" i="35"/>
  <c r="N30" i="35"/>
  <c r="L37" i="35"/>
  <c r="N48" i="35"/>
  <c r="N43" i="35"/>
  <c r="N41" i="35" s="1"/>
  <c r="N39" i="35"/>
  <c r="N29" i="35"/>
  <c r="L40" i="35"/>
  <c r="L35" i="35"/>
  <c r="L30" i="35"/>
  <c r="L34" i="35"/>
  <c r="N37" i="35"/>
  <c r="N38" i="35"/>
  <c r="Z47" i="35"/>
  <c r="AJ40" i="35"/>
  <c r="AS147" i="35"/>
  <c r="Y27" i="35"/>
  <c r="AV136" i="35"/>
  <c r="Z37" i="35"/>
  <c r="Z38" i="35"/>
  <c r="AV140" i="35"/>
  <c r="BB45" i="35"/>
  <c r="Y31" i="35"/>
  <c r="Y32" i="35"/>
  <c r="BB42" i="35"/>
  <c r="AM144" i="35"/>
  <c r="AU42" i="35"/>
  <c r="BK15" i="35"/>
  <c r="AK45" i="35"/>
  <c r="BA28" i="35"/>
  <c r="BI28" i="35" s="1"/>
  <c r="Y30" i="35"/>
  <c r="AO144" i="35"/>
  <c r="J45" i="35"/>
  <c r="Y48" i="35"/>
  <c r="AQ130" i="35"/>
  <c r="AJ30" i="35"/>
  <c r="AO133" i="35"/>
  <c r="AU137" i="35"/>
  <c r="AJ31" i="35"/>
  <c r="Q29" i="35"/>
  <c r="BK16" i="35"/>
  <c r="AT29" i="35"/>
  <c r="O31" i="35"/>
  <c r="BD31" i="35" s="1"/>
  <c r="X29" i="35"/>
  <c r="V29" i="35"/>
  <c r="U29" i="35"/>
  <c r="AM103" i="35"/>
  <c r="AU103" i="35" s="1"/>
  <c r="Z45" i="35"/>
  <c r="Z35" i="35"/>
  <c r="AJ47" i="35"/>
  <c r="AK40" i="35"/>
  <c r="AK35" i="35"/>
  <c r="AM147" i="35"/>
  <c r="AU45" i="35"/>
  <c r="AU136" i="35"/>
  <c r="AQ133" i="35"/>
  <c r="AJ38" i="35"/>
  <c r="J47" i="35"/>
  <c r="M32" i="35"/>
  <c r="N27" i="35"/>
  <c r="BC27" i="35" s="1"/>
  <c r="O27" i="35"/>
  <c r="L27" i="35"/>
  <c r="BA27" i="35" s="1"/>
  <c r="BI27" i="35" s="1"/>
  <c r="AD29" i="35"/>
  <c r="AB29" i="35"/>
  <c r="AR99" i="35"/>
  <c r="Y42" i="35"/>
  <c r="O40" i="35"/>
  <c r="BD40" i="35" s="1"/>
  <c r="O39" i="35"/>
  <c r="O48" i="35"/>
  <c r="O34" i="35"/>
  <c r="O38" i="35"/>
  <c r="BD38" i="35" s="1"/>
  <c r="O43" i="35"/>
  <c r="O41" i="35" s="1"/>
  <c r="O47" i="35"/>
  <c r="Y38" i="35"/>
  <c r="J43" i="35"/>
  <c r="J41" i="35" s="1"/>
  <c r="AV116" i="35"/>
  <c r="AV115" i="35" s="1"/>
  <c r="AV110" i="35" s="1"/>
  <c r="AV107" i="35" s="1"/>
  <c r="BB27" i="35"/>
  <c r="AS134" i="35"/>
  <c r="BA42" i="35"/>
  <c r="BI42" i="35" s="1"/>
  <c r="G41" i="35"/>
  <c r="AJ45" i="35"/>
  <c r="Z42" i="35"/>
  <c r="AU102" i="35"/>
  <c r="AP131" i="35"/>
  <c r="AR147" i="35"/>
  <c r="Z31" i="35"/>
  <c r="AK31" i="35"/>
  <c r="AJ42" i="35"/>
  <c r="AK28" i="35"/>
  <c r="AV105" i="35"/>
  <c r="AE29" i="35"/>
  <c r="AI29" i="35"/>
  <c r="AM131" i="35"/>
  <c r="AN144" i="35"/>
  <c r="AV42" i="35"/>
  <c r="AR144" i="35"/>
  <c r="Z48" i="35"/>
  <c r="Z39" i="35"/>
  <c r="AJ35" i="35"/>
  <c r="AU118" i="35"/>
  <c r="AU139" i="35"/>
  <c r="AU132" i="35"/>
  <c r="AO147" i="35"/>
  <c r="AU31" i="35"/>
  <c r="AM134" i="35"/>
  <c r="BB34" i="35"/>
  <c r="AV139" i="35"/>
  <c r="AV100" i="35"/>
  <c r="M41" i="35"/>
  <c r="M36" i="35" s="1"/>
  <c r="M33" i="35" s="1"/>
  <c r="AQ144" i="35"/>
  <c r="N28" i="35"/>
  <c r="BC28" i="35" s="1"/>
  <c r="M28" i="35"/>
  <c r="M26" i="35" s="1"/>
  <c r="O28" i="35"/>
  <c r="BD28" i="35" s="1"/>
  <c r="Y47" i="35"/>
  <c r="Y39" i="35"/>
  <c r="Y40" i="35"/>
  <c r="Y35" i="35"/>
  <c r="AR131" i="35"/>
  <c r="S29" i="35"/>
  <c r="BB35" i="35"/>
  <c r="AO134" i="35"/>
  <c r="BB38" i="35"/>
  <c r="Z32" i="35"/>
  <c r="AU105" i="35"/>
  <c r="W29" i="35"/>
  <c r="AT131" i="35"/>
  <c r="O32" i="35"/>
  <c r="T29" i="35"/>
  <c r="R29" i="35"/>
  <c r="BC42" i="35"/>
  <c r="I41" i="35"/>
  <c r="AK42" i="35"/>
  <c r="AP144" i="35"/>
  <c r="AT144" i="35"/>
  <c r="Z40" i="35"/>
  <c r="AJ48" i="35"/>
  <c r="AJ39" i="35"/>
  <c r="AK39" i="35"/>
  <c r="AQ147" i="35"/>
  <c r="AN29" i="35"/>
  <c r="AK27" i="35"/>
  <c r="AU129" i="35"/>
  <c r="AJ34" i="35"/>
  <c r="AJ37" i="35"/>
  <c r="AN147" i="35"/>
  <c r="AV45" i="35"/>
  <c r="M31" i="35"/>
  <c r="P12" i="35"/>
  <c r="BK13" i="35"/>
  <c r="AH29" i="35"/>
  <c r="AF29" i="35"/>
  <c r="AU116" i="35"/>
  <c r="AU115" i="35" s="1"/>
  <c r="AU110" i="35" s="1"/>
  <c r="AU107" i="35" s="1"/>
  <c r="AM115" i="35"/>
  <c r="AM110" i="35" s="1"/>
  <c r="AM107" i="35" s="1"/>
  <c r="AM99" i="35" s="1"/>
  <c r="AJ28" i="35"/>
  <c r="O35" i="35"/>
  <c r="O29" i="35"/>
  <c r="O30" i="35"/>
  <c r="O37" i="35"/>
  <c r="BD37" i="35" s="1"/>
  <c r="O45" i="35"/>
  <c r="Y45" i="35"/>
  <c r="AN133" i="35"/>
  <c r="AV133" i="35" s="1"/>
  <c r="AS144" i="35"/>
  <c r="AK48" i="35"/>
  <c r="AU28" i="35"/>
  <c r="W14" i="33"/>
  <c r="X11" i="33"/>
  <c r="V14" i="33"/>
  <c r="X13" i="33"/>
  <c r="I10" i="33"/>
  <c r="I8" i="33"/>
  <c r="I9" i="33" s="1"/>
  <c r="H13" i="33"/>
  <c r="K42" i="33"/>
  <c r="G42" i="33"/>
  <c r="E42" i="33"/>
  <c r="L42" i="33"/>
  <c r="C42" i="33"/>
  <c r="P4" i="33"/>
  <c r="J42" i="33"/>
  <c r="F42" i="33"/>
  <c r="I42" i="33"/>
  <c r="H42" i="33"/>
  <c r="I28" i="33"/>
  <c r="I46" i="33"/>
  <c r="I26" i="33"/>
  <c r="I227" i="39" s="1"/>
  <c r="I25" i="33"/>
  <c r="I27" i="33"/>
  <c r="I33" i="33"/>
  <c r="I29" i="33"/>
  <c r="I228" i="39" s="1"/>
  <c r="AD28" i="33"/>
  <c r="AD26" i="33"/>
  <c r="AD25" i="33"/>
  <c r="AD27" i="33"/>
  <c r="AD33" i="33"/>
  <c r="AD29" i="33"/>
  <c r="AD32" i="33"/>
  <c r="AD31" i="33"/>
  <c r="H26" i="33"/>
  <c r="H25" i="33"/>
  <c r="H29" i="33"/>
  <c r="H33" i="33"/>
  <c r="H28" i="33"/>
  <c r="G28" i="33" s="1"/>
  <c r="H27" i="33"/>
  <c r="G27" i="33" s="1"/>
  <c r="G33" i="33"/>
  <c r="G25" i="33"/>
  <c r="J27" i="33"/>
  <c r="J29" i="33"/>
  <c r="J228" i="39" s="1"/>
  <c r="J26" i="33"/>
  <c r="J227" i="39" s="1"/>
  <c r="J25" i="33"/>
  <c r="J33" i="33"/>
  <c r="J28" i="33"/>
  <c r="X12" i="33"/>
  <c r="U14" i="33"/>
  <c r="E39" i="33"/>
  <c r="E36" i="33"/>
  <c r="H9" i="33"/>
  <c r="L25" i="33"/>
  <c r="L27" i="33"/>
  <c r="L30" i="33"/>
  <c r="L33" i="33"/>
  <c r="L28" i="33"/>
  <c r="L26" i="33"/>
  <c r="L29" i="33"/>
  <c r="L200" i="39"/>
  <c r="L183" i="39" s="1"/>
  <c r="L230" i="39" s="1"/>
  <c r="L232" i="39" s="1"/>
  <c r="K28" i="33"/>
  <c r="K33" i="33"/>
  <c r="K25" i="33"/>
  <c r="K29" i="33"/>
  <c r="K228" i="39" s="1"/>
  <c r="K26" i="33"/>
  <c r="K227" i="39" s="1"/>
  <c r="K225" i="39" s="1"/>
  <c r="K203" i="39" s="1"/>
  <c r="AL47" i="36" s="1"/>
  <c r="K27" i="33"/>
  <c r="E34" i="33"/>
  <c r="E20" i="32"/>
  <c r="E19" i="32"/>
  <c r="G27" i="32" s="1"/>
  <c r="Z30" i="32"/>
  <c r="Z37" i="32"/>
  <c r="Z39" i="32" s="1"/>
  <c r="D42" i="32"/>
  <c r="G20" i="32" s="1"/>
  <c r="Z31" i="32"/>
  <c r="B30" i="32"/>
  <c r="B38" i="32"/>
  <c r="B37" i="32"/>
  <c r="B32" i="32"/>
  <c r="B31" i="32"/>
  <c r="F173" i="39" l="1"/>
  <c r="G173" i="39" s="1"/>
  <c r="D173" i="39"/>
  <c r="F165" i="39"/>
  <c r="G165" i="39" s="1"/>
  <c r="D165" i="39"/>
  <c r="G213" i="39"/>
  <c r="E84" i="39"/>
  <c r="D85" i="39"/>
  <c r="F85" i="39"/>
  <c r="D73" i="39"/>
  <c r="F73" i="39"/>
  <c r="G73" i="39" s="1"/>
  <c r="D21" i="39"/>
  <c r="F21" i="39"/>
  <c r="G21" i="39" s="1"/>
  <c r="F13" i="39"/>
  <c r="E12" i="39"/>
  <c r="D13" i="39"/>
  <c r="F33" i="39"/>
  <c r="E32" i="39"/>
  <c r="D33" i="39"/>
  <c r="D36" i="39"/>
  <c r="F36" i="39"/>
  <c r="E35" i="39"/>
  <c r="E54" i="39"/>
  <c r="D56" i="39"/>
  <c r="F56" i="39"/>
  <c r="G56" i="39"/>
  <c r="D65" i="39"/>
  <c r="F65" i="39"/>
  <c r="G65" i="39" s="1"/>
  <c r="D92" i="39"/>
  <c r="F92" i="39"/>
  <c r="G92" i="39"/>
  <c r="F95" i="39"/>
  <c r="G95" i="39"/>
  <c r="D95" i="39"/>
  <c r="E94" i="39"/>
  <c r="E103" i="39"/>
  <c r="F105" i="39"/>
  <c r="D105" i="39"/>
  <c r="D121" i="39"/>
  <c r="E120" i="39"/>
  <c r="F121" i="39"/>
  <c r="G121" i="39"/>
  <c r="D129" i="39"/>
  <c r="F129" i="39"/>
  <c r="G129" i="39" s="1"/>
  <c r="D140" i="39"/>
  <c r="E138" i="39"/>
  <c r="F140" i="39"/>
  <c r="F150" i="39"/>
  <c r="D150" i="39"/>
  <c r="E149" i="39"/>
  <c r="F178" i="39"/>
  <c r="G178" i="39" s="1"/>
  <c r="D178" i="39"/>
  <c r="F170" i="39"/>
  <c r="G170" i="39" s="1"/>
  <c r="D170" i="39"/>
  <c r="F162" i="39"/>
  <c r="G162" i="39" s="1"/>
  <c r="D162" i="39"/>
  <c r="D78" i="39"/>
  <c r="F78" i="39"/>
  <c r="G78" i="39" s="1"/>
  <c r="D26" i="39"/>
  <c r="F26" i="39"/>
  <c r="G26" i="39" s="1"/>
  <c r="F18" i="39"/>
  <c r="G18" i="39" s="1"/>
  <c r="D18" i="39"/>
  <c r="F47" i="39"/>
  <c r="G47" i="39" s="1"/>
  <c r="D47" i="39"/>
  <c r="D52" i="39"/>
  <c r="F52" i="39"/>
  <c r="E50" i="39"/>
  <c r="F62" i="39"/>
  <c r="G62" i="39"/>
  <c r="D62" i="39"/>
  <c r="D89" i="39"/>
  <c r="F89" i="39"/>
  <c r="E87" i="39"/>
  <c r="D111" i="39"/>
  <c r="F111" i="39"/>
  <c r="G111" i="39" s="1"/>
  <c r="D100" i="39"/>
  <c r="F100" i="39"/>
  <c r="G100" i="39" s="1"/>
  <c r="D116" i="39"/>
  <c r="F116" i="39"/>
  <c r="G116" i="39" s="1"/>
  <c r="F126" i="39"/>
  <c r="G126" i="39" s="1"/>
  <c r="D126" i="39"/>
  <c r="F136" i="39"/>
  <c r="G136" i="39"/>
  <c r="D136" i="39"/>
  <c r="E135" i="39"/>
  <c r="D146" i="39"/>
  <c r="F146" i="39"/>
  <c r="G146" i="39" s="1"/>
  <c r="D155" i="39"/>
  <c r="F155" i="39"/>
  <c r="G155" i="39" s="1"/>
  <c r="G190" i="39"/>
  <c r="J19" i="34"/>
  <c r="L19" i="34" s="1"/>
  <c r="J9" i="34"/>
  <c r="L9" i="34" s="1"/>
  <c r="J17" i="34"/>
  <c r="L17" i="34" s="1"/>
  <c r="G197" i="39"/>
  <c r="F169" i="39"/>
  <c r="G169" i="39" s="1"/>
  <c r="D169" i="39"/>
  <c r="F161" i="39"/>
  <c r="E159" i="39"/>
  <c r="D161" i="39"/>
  <c r="D77" i="39"/>
  <c r="F77" i="39"/>
  <c r="G77" i="39" s="1"/>
  <c r="D25" i="39"/>
  <c r="F25" i="39"/>
  <c r="G25" i="39" s="1"/>
  <c r="F17" i="39"/>
  <c r="G17" i="39" s="1"/>
  <c r="D17" i="39"/>
  <c r="S11" i="39"/>
  <c r="R8" i="39"/>
  <c r="R7" i="39" s="1"/>
  <c r="F46" i="39"/>
  <c r="F43" i="39" s="1"/>
  <c r="D46" i="39"/>
  <c r="E43" i="39"/>
  <c r="D42" i="39"/>
  <c r="E39" i="39"/>
  <c r="E38" i="39" s="1"/>
  <c r="F42" i="39"/>
  <c r="F39" i="39" s="1"/>
  <c r="F38" i="39" s="1"/>
  <c r="F61" i="39"/>
  <c r="F59" i="39" s="1"/>
  <c r="E59" i="39"/>
  <c r="D61" i="39"/>
  <c r="E68" i="39"/>
  <c r="F70" i="39"/>
  <c r="G70" i="39"/>
  <c r="D70" i="39"/>
  <c r="D110" i="39"/>
  <c r="E107" i="39"/>
  <c r="F110" i="39"/>
  <c r="D99" i="39"/>
  <c r="F99" i="39"/>
  <c r="G99" i="39" s="1"/>
  <c r="F115" i="39"/>
  <c r="D115" i="39"/>
  <c r="E112" i="39"/>
  <c r="F125" i="39"/>
  <c r="G125" i="39"/>
  <c r="D125" i="39"/>
  <c r="F134" i="39"/>
  <c r="G134" i="39" s="1"/>
  <c r="D134" i="39"/>
  <c r="D145" i="39"/>
  <c r="F145" i="39"/>
  <c r="E144" i="39"/>
  <c r="F154" i="39"/>
  <c r="G154" i="39" s="1"/>
  <c r="D154" i="39"/>
  <c r="F174" i="39"/>
  <c r="G174" i="39" s="1"/>
  <c r="D174" i="39"/>
  <c r="F166" i="39"/>
  <c r="G166" i="39" s="1"/>
  <c r="D166" i="39"/>
  <c r="D86" i="39"/>
  <c r="F86" i="39"/>
  <c r="D74" i="39"/>
  <c r="F74" i="39"/>
  <c r="G74" i="39" s="1"/>
  <c r="F22" i="39"/>
  <c r="G22" i="39" s="1"/>
  <c r="D22" i="39"/>
  <c r="F14" i="39"/>
  <c r="G14" i="39"/>
  <c r="D14" i="39"/>
  <c r="D34" i="39"/>
  <c r="F34" i="39"/>
  <c r="G34" i="39" s="1"/>
  <c r="D37" i="39"/>
  <c r="F37" i="39"/>
  <c r="G37" i="39"/>
  <c r="F57" i="39"/>
  <c r="G57" i="39"/>
  <c r="D57" i="39"/>
  <c r="D66" i="39"/>
  <c r="F66" i="39"/>
  <c r="G66" i="39"/>
  <c r="F93" i="39"/>
  <c r="G93" i="39" s="1"/>
  <c r="D93" i="39"/>
  <c r="F96" i="39"/>
  <c r="G96" i="39" s="1"/>
  <c r="D96" i="39"/>
  <c r="D106" i="39"/>
  <c r="F106" i="39"/>
  <c r="G106" i="39" s="1"/>
  <c r="D122" i="39"/>
  <c r="F122" i="39"/>
  <c r="G122" i="39"/>
  <c r="D131" i="39"/>
  <c r="F131" i="39"/>
  <c r="E130" i="39"/>
  <c r="F141" i="39"/>
  <c r="G141" i="39" s="1"/>
  <c r="D141" i="39"/>
  <c r="F151" i="39"/>
  <c r="G151" i="39" s="1"/>
  <c r="D151" i="39"/>
  <c r="G216" i="39"/>
  <c r="D10" i="52"/>
  <c r="I10" i="52"/>
  <c r="D9" i="52"/>
  <c r="I9" i="52"/>
  <c r="I225" i="39"/>
  <c r="I203" i="39" s="1"/>
  <c r="P47" i="36" s="1"/>
  <c r="L47" i="36" s="1"/>
  <c r="AE47" i="36"/>
  <c r="AI47" i="36"/>
  <c r="AB47" i="36"/>
  <c r="AF47" i="36"/>
  <c r="AD47" i="36"/>
  <c r="AH47" i="36"/>
  <c r="AC47" i="36"/>
  <c r="AG47" i="36"/>
  <c r="J225" i="39"/>
  <c r="J203" i="39" s="1"/>
  <c r="AA47" i="36" s="1"/>
  <c r="G26" i="33"/>
  <c r="H227" i="39"/>
  <c r="M47" i="36"/>
  <c r="N47" i="36"/>
  <c r="O47" i="36"/>
  <c r="G48" i="35"/>
  <c r="I48" i="35"/>
  <c r="H48" i="35"/>
  <c r="BB48" i="35" s="1"/>
  <c r="G29" i="33"/>
  <c r="H228" i="39"/>
  <c r="L22" i="34"/>
  <c r="O160" i="38"/>
  <c r="D152" i="38"/>
  <c r="D174" i="38" s="1"/>
  <c r="AV134" i="35"/>
  <c r="F188" i="39"/>
  <c r="AR25" i="37"/>
  <c r="AR24" i="37" s="1"/>
  <c r="AP25" i="37"/>
  <c r="AP24" i="37" s="1"/>
  <c r="AJ28" i="37"/>
  <c r="C190" i="40"/>
  <c r="AK28" i="37"/>
  <c r="AT25" i="37"/>
  <c r="AT24" i="37" s="1"/>
  <c r="AS25" i="37"/>
  <c r="AS24" i="37" s="1"/>
  <c r="K200" i="39"/>
  <c r="AU149" i="36"/>
  <c r="H171" i="38"/>
  <c r="F171" i="38"/>
  <c r="M46" i="36"/>
  <c r="I200" i="39"/>
  <c r="P44" i="36" s="1"/>
  <c r="Z27" i="37"/>
  <c r="AK27" i="37"/>
  <c r="Y28" i="37"/>
  <c r="AO25" i="37"/>
  <c r="AO24" i="37" s="1"/>
  <c r="AM25" i="37"/>
  <c r="AM24" i="37" s="1"/>
  <c r="AN25" i="37"/>
  <c r="AN24" i="37" s="1"/>
  <c r="AJ27" i="37"/>
  <c r="Z28" i="37"/>
  <c r="AQ25" i="37"/>
  <c r="AQ24" i="37" s="1"/>
  <c r="AU36" i="37"/>
  <c r="Y27" i="37"/>
  <c r="BE35" i="35"/>
  <c r="AU100" i="35"/>
  <c r="BJ42" i="35"/>
  <c r="AV29" i="35"/>
  <c r="AV26" i="35" s="1"/>
  <c r="AU130" i="36"/>
  <c r="AV44" i="36"/>
  <c r="AU130" i="35"/>
  <c r="AQ131" i="35"/>
  <c r="AU131" i="35" s="1"/>
  <c r="AL43" i="35"/>
  <c r="H26" i="35"/>
  <c r="AA43" i="35"/>
  <c r="L160" i="38"/>
  <c r="AW36" i="35"/>
  <c r="AW138" i="35" s="1"/>
  <c r="AU26" i="35"/>
  <c r="AN131" i="35"/>
  <c r="AM99" i="36"/>
  <c r="AV29" i="37"/>
  <c r="AV36" i="37"/>
  <c r="AV33" i="37" s="1"/>
  <c r="P33" i="35"/>
  <c r="K160" i="38"/>
  <c r="AL36" i="35"/>
  <c r="J29" i="35"/>
  <c r="J26" i="35" s="1"/>
  <c r="K33" i="35"/>
  <c r="J160" i="38"/>
  <c r="AA36" i="35"/>
  <c r="AW43" i="35"/>
  <c r="AW143" i="35"/>
  <c r="BE47" i="35"/>
  <c r="BE28" i="35"/>
  <c r="BE38" i="35"/>
  <c r="BB29" i="35"/>
  <c r="H8" i="40"/>
  <c r="H2" i="40" s="1"/>
  <c r="C31" i="40"/>
  <c r="K31" i="40" s="1"/>
  <c r="G8" i="40"/>
  <c r="G2" i="40" s="1"/>
  <c r="C75" i="40"/>
  <c r="K75" i="40" s="1"/>
  <c r="N28" i="39"/>
  <c r="M28" i="39"/>
  <c r="G80" i="39"/>
  <c r="I198" i="39"/>
  <c r="P40" i="36" s="1"/>
  <c r="Q214" i="39"/>
  <c r="E214" i="39"/>
  <c r="M80" i="39"/>
  <c r="N80" i="39"/>
  <c r="Q198" i="39"/>
  <c r="E198" i="39"/>
  <c r="E222" i="39"/>
  <c r="Q222" i="39"/>
  <c r="Q188" i="39"/>
  <c r="E188" i="39"/>
  <c r="F10" i="39"/>
  <c r="D10" i="39"/>
  <c r="Q196" i="39"/>
  <c r="E196" i="39"/>
  <c r="E215" i="39"/>
  <c r="Q215" i="39"/>
  <c r="F198" i="39"/>
  <c r="AU44" i="37"/>
  <c r="AU33" i="37"/>
  <c r="AU29" i="37"/>
  <c r="AU26" i="37" s="1"/>
  <c r="AV44" i="37"/>
  <c r="BD46" i="37"/>
  <c r="BB45" i="37"/>
  <c r="BC45" i="37"/>
  <c r="BE46" i="37"/>
  <c r="BK12" i="37"/>
  <c r="BE45" i="37"/>
  <c r="BA45" i="37"/>
  <c r="BB46" i="37"/>
  <c r="AV26" i="37"/>
  <c r="AU150" i="36"/>
  <c r="BE45" i="36"/>
  <c r="BD42" i="36"/>
  <c r="AS146" i="36"/>
  <c r="BA45" i="36"/>
  <c r="BI45" i="36" s="1"/>
  <c r="AN146" i="36"/>
  <c r="AV129" i="36"/>
  <c r="AQ146" i="36"/>
  <c r="AU147" i="36"/>
  <c r="AU146" i="36" s="1"/>
  <c r="AM146" i="36"/>
  <c r="BE42" i="36"/>
  <c r="AU103" i="36"/>
  <c r="AU100" i="36" s="1"/>
  <c r="AU110" i="36"/>
  <c r="AU107" i="36" s="1"/>
  <c r="BC42" i="36"/>
  <c r="BJ42" i="36" s="1"/>
  <c r="AV136" i="36"/>
  <c r="BA42" i="36"/>
  <c r="BK12" i="36"/>
  <c r="BD48" i="36"/>
  <c r="AV146" i="36"/>
  <c r="BC45" i="36"/>
  <c r="BB48" i="36"/>
  <c r="AO146" i="36"/>
  <c r="AU136" i="36"/>
  <c r="AU44" i="36"/>
  <c r="BE48" i="36"/>
  <c r="AV103" i="36"/>
  <c r="AV100" i="36" s="1"/>
  <c r="AV99" i="36" s="1"/>
  <c r="AU144" i="36"/>
  <c r="BD45" i="36"/>
  <c r="AU99" i="35"/>
  <c r="J36" i="35"/>
  <c r="BB26" i="35"/>
  <c r="BE45" i="35"/>
  <c r="O36" i="35"/>
  <c r="O33" i="35" s="1"/>
  <c r="BB31" i="35"/>
  <c r="BJ31" i="35" s="1"/>
  <c r="I36" i="35"/>
  <c r="AU134" i="35"/>
  <c r="BK12" i="35"/>
  <c r="BF42" i="35"/>
  <c r="BD30" i="35"/>
  <c r="BE42" i="35"/>
  <c r="O26" i="35"/>
  <c r="BD27" i="35"/>
  <c r="BJ27" i="35" s="1"/>
  <c r="N26" i="35"/>
  <c r="BD47" i="35"/>
  <c r="BJ47" i="35" s="1"/>
  <c r="AV131" i="35"/>
  <c r="AV128" i="35" s="1"/>
  <c r="Y29" i="35"/>
  <c r="Y26" i="35" s="1"/>
  <c r="BE48" i="35"/>
  <c r="BD45" i="35"/>
  <c r="BJ45" i="35" s="1"/>
  <c r="BE30" i="35"/>
  <c r="BE32" i="35"/>
  <c r="AU133" i="35"/>
  <c r="BE27" i="35"/>
  <c r="N36" i="35"/>
  <c r="N33" i="35" s="1"/>
  <c r="BC37" i="35"/>
  <c r="BJ37" i="35" s="1"/>
  <c r="BA30" i="35"/>
  <c r="BI30" i="35" s="1"/>
  <c r="BA40" i="35"/>
  <c r="BI40" i="35" s="1"/>
  <c r="BC39" i="35"/>
  <c r="BC48" i="35"/>
  <c r="L36" i="35"/>
  <c r="L33" i="35" s="1"/>
  <c r="BA37" i="35"/>
  <c r="BI37" i="35" s="1"/>
  <c r="BA45" i="35"/>
  <c r="BI45" i="35" s="1"/>
  <c r="BA29" i="35"/>
  <c r="BI29" i="35" s="1"/>
  <c r="BA47" i="35"/>
  <c r="BC40" i="35"/>
  <c r="BJ40" i="35" s="1"/>
  <c r="BA32" i="35"/>
  <c r="BI32" i="35" s="1"/>
  <c r="BA31" i="35"/>
  <c r="BI31" i="35" s="1"/>
  <c r="BD29" i="35"/>
  <c r="AV147" i="35"/>
  <c r="Z29" i="35"/>
  <c r="Z26" i="35" s="1"/>
  <c r="BD32" i="35"/>
  <c r="BE40" i="35"/>
  <c r="BE39" i="35"/>
  <c r="BB28" i="35"/>
  <c r="BJ28" i="35" s="1"/>
  <c r="AV99" i="35"/>
  <c r="AV144" i="35"/>
  <c r="G36" i="35"/>
  <c r="BD39" i="35"/>
  <c r="AJ29" i="35"/>
  <c r="AJ26" i="35" s="1"/>
  <c r="L26" i="35"/>
  <c r="BA26" i="35" s="1"/>
  <c r="BB32" i="35"/>
  <c r="AU147" i="35"/>
  <c r="BD35" i="35"/>
  <c r="BD34" i="35"/>
  <c r="BJ34" i="35" s="1"/>
  <c r="AU144" i="35"/>
  <c r="H36" i="35"/>
  <c r="BE31" i="35"/>
  <c r="BC38" i="35"/>
  <c r="BJ38" i="35" s="1"/>
  <c r="BA34" i="35"/>
  <c r="BA35" i="35"/>
  <c r="BI35" i="35" s="1"/>
  <c r="BC29" i="35"/>
  <c r="BC30" i="35"/>
  <c r="BA39" i="35"/>
  <c r="BI39" i="35" s="1"/>
  <c r="BA48" i="35"/>
  <c r="BC35" i="35"/>
  <c r="BJ35" i="35" s="1"/>
  <c r="BA38" i="35"/>
  <c r="BI38" i="35" s="1"/>
  <c r="AK29" i="35"/>
  <c r="AK26" i="35" s="1"/>
  <c r="BE37" i="35"/>
  <c r="BE34" i="35"/>
  <c r="K36" i="33"/>
  <c r="K39" i="33"/>
  <c r="L35" i="33"/>
  <c r="L34" i="33"/>
  <c r="K34" i="33"/>
  <c r="K35" i="33"/>
  <c r="L36" i="33"/>
  <c r="L39" i="33"/>
  <c r="O11" i="33"/>
  <c r="M11" i="33"/>
  <c r="K11" i="33"/>
  <c r="N11" i="33"/>
  <c r="J11" i="33"/>
  <c r="L11" i="33"/>
  <c r="K20" i="32"/>
  <c r="D20" i="32"/>
  <c r="D43" i="32"/>
  <c r="H20" i="32" s="1"/>
  <c r="E34" i="32"/>
  <c r="L173" i="38" s="1"/>
  <c r="E24" i="32"/>
  <c r="D24" i="32" s="1"/>
  <c r="F24" i="32" s="1"/>
  <c r="E22" i="32"/>
  <c r="D22" i="32" s="1"/>
  <c r="F22" i="32" s="1"/>
  <c r="E25" i="32"/>
  <c r="D25" i="32" s="1"/>
  <c r="F25" i="32" s="1"/>
  <c r="E23" i="32"/>
  <c r="D23" i="32" s="1"/>
  <c r="F23" i="32" s="1"/>
  <c r="G29" i="32"/>
  <c r="D19" i="32"/>
  <c r="J27" i="32"/>
  <c r="K171" i="38" s="1"/>
  <c r="J29" i="32"/>
  <c r="K19" i="32"/>
  <c r="I29" i="32"/>
  <c r="I27" i="32"/>
  <c r="J171" i="38" s="1"/>
  <c r="G28" i="32"/>
  <c r="G21" i="32"/>
  <c r="J21" i="32"/>
  <c r="J28" i="32"/>
  <c r="I28" i="32"/>
  <c r="I21" i="32"/>
  <c r="H27" i="32"/>
  <c r="H28" i="32"/>
  <c r="H29" i="32"/>
  <c r="H21" i="32"/>
  <c r="E9" i="52" l="1"/>
  <c r="K9" i="52" s="1"/>
  <c r="J9" i="52"/>
  <c r="E10" i="52"/>
  <c r="K10" i="52" s="1"/>
  <c r="J10" i="52"/>
  <c r="M151" i="39"/>
  <c r="N151" i="39"/>
  <c r="M141" i="39"/>
  <c r="N141" i="39"/>
  <c r="D130" i="39"/>
  <c r="D221" i="39"/>
  <c r="M131" i="39"/>
  <c r="N131" i="39"/>
  <c r="N106" i="39"/>
  <c r="M106" i="39"/>
  <c r="N57" i="39"/>
  <c r="M57" i="39"/>
  <c r="M14" i="39"/>
  <c r="N14" i="39"/>
  <c r="M74" i="39"/>
  <c r="N74" i="39"/>
  <c r="M86" i="39"/>
  <c r="D220" i="39"/>
  <c r="N86" i="39"/>
  <c r="F220" i="39" s="1"/>
  <c r="D144" i="39"/>
  <c r="D218" i="39"/>
  <c r="N145" i="39"/>
  <c r="M145" i="39"/>
  <c r="M125" i="39"/>
  <c r="N125" i="39"/>
  <c r="M115" i="39"/>
  <c r="D112" i="39"/>
  <c r="D193" i="39"/>
  <c r="D14" i="34" s="1"/>
  <c r="J14" i="34" s="1"/>
  <c r="L14" i="34" s="1"/>
  <c r="N115" i="39"/>
  <c r="M99" i="39"/>
  <c r="N99" i="39"/>
  <c r="M70" i="39"/>
  <c r="D68" i="39"/>
  <c r="N70" i="39"/>
  <c r="F68" i="39"/>
  <c r="M61" i="39"/>
  <c r="N61" i="39"/>
  <c r="D59" i="39"/>
  <c r="G61" i="39"/>
  <c r="G59" i="39" s="1"/>
  <c r="G42" i="39"/>
  <c r="G39" i="39" s="1"/>
  <c r="G38" i="39" s="1"/>
  <c r="G46" i="39"/>
  <c r="G43" i="39" s="1"/>
  <c r="N17" i="39"/>
  <c r="M17" i="39"/>
  <c r="D190" i="39"/>
  <c r="D11" i="34" s="1"/>
  <c r="J11" i="34" s="1"/>
  <c r="L11" i="34" s="1"/>
  <c r="N161" i="39"/>
  <c r="D159" i="39"/>
  <c r="M161" i="39"/>
  <c r="G161" i="39"/>
  <c r="F159" i="39"/>
  <c r="H190" i="39"/>
  <c r="K32" i="36" s="1"/>
  <c r="G135" i="39"/>
  <c r="N126" i="39"/>
  <c r="M126" i="39"/>
  <c r="D219" i="39"/>
  <c r="M89" i="39"/>
  <c r="D87" i="39"/>
  <c r="N89" i="39"/>
  <c r="F219" i="39" s="1"/>
  <c r="E49" i="39"/>
  <c r="H184" i="39"/>
  <c r="F50" i="39"/>
  <c r="N47" i="39"/>
  <c r="M47" i="39"/>
  <c r="M18" i="39"/>
  <c r="N18" i="39"/>
  <c r="M26" i="39"/>
  <c r="N26" i="39"/>
  <c r="M78" i="39"/>
  <c r="N78" i="39"/>
  <c r="N150" i="39"/>
  <c r="M150" i="39"/>
  <c r="D149" i="39"/>
  <c r="D195" i="39"/>
  <c r="D16" i="34" s="1"/>
  <c r="J16" i="34" s="1"/>
  <c r="L16" i="34" s="1"/>
  <c r="H195" i="39"/>
  <c r="K37" i="36" s="1"/>
  <c r="F149" i="39"/>
  <c r="F138" i="39"/>
  <c r="M140" i="39"/>
  <c r="D138" i="39"/>
  <c r="N140" i="39"/>
  <c r="G120" i="39"/>
  <c r="E119" i="39"/>
  <c r="M105" i="39"/>
  <c r="N105" i="39"/>
  <c r="D103" i="39"/>
  <c r="D216" i="39"/>
  <c r="F103" i="39"/>
  <c r="H216" i="39"/>
  <c r="G94" i="39"/>
  <c r="I212" i="39"/>
  <c r="I224" i="39"/>
  <c r="M92" i="39"/>
  <c r="N92" i="39"/>
  <c r="D224" i="39"/>
  <c r="G54" i="39"/>
  <c r="I186" i="39" s="1"/>
  <c r="P28" i="36" s="1"/>
  <c r="D54" i="39"/>
  <c r="M56" i="39"/>
  <c r="N56" i="39"/>
  <c r="N36" i="39"/>
  <c r="M36" i="39"/>
  <c r="D35" i="39"/>
  <c r="E31" i="39"/>
  <c r="E27" i="39" s="1"/>
  <c r="N13" i="39"/>
  <c r="D12" i="39"/>
  <c r="M13" i="39"/>
  <c r="D189" i="39"/>
  <c r="D10" i="34" s="1"/>
  <c r="J10" i="34" s="1"/>
  <c r="L10" i="34" s="1"/>
  <c r="H189" i="39"/>
  <c r="K31" i="36" s="1"/>
  <c r="F12" i="39"/>
  <c r="G13" i="39"/>
  <c r="N21" i="39"/>
  <c r="M21" i="39"/>
  <c r="M73" i="39"/>
  <c r="N73" i="39"/>
  <c r="N85" i="39"/>
  <c r="F213" i="39" s="1"/>
  <c r="D213" i="39"/>
  <c r="M85" i="39"/>
  <c r="D84" i="39"/>
  <c r="G131" i="39"/>
  <c r="F130" i="39"/>
  <c r="H221" i="39"/>
  <c r="N122" i="39"/>
  <c r="M122" i="39"/>
  <c r="M96" i="39"/>
  <c r="N96" i="39"/>
  <c r="M93" i="39"/>
  <c r="N93" i="39"/>
  <c r="N66" i="39"/>
  <c r="M66" i="39"/>
  <c r="M37" i="39"/>
  <c r="N37" i="39"/>
  <c r="N34" i="39"/>
  <c r="M34" i="39"/>
  <c r="M22" i="39"/>
  <c r="N22" i="39"/>
  <c r="H220" i="39"/>
  <c r="N220" i="39" s="1"/>
  <c r="G86" i="39"/>
  <c r="I220" i="39" s="1"/>
  <c r="N166" i="39"/>
  <c r="M166" i="39"/>
  <c r="N174" i="39"/>
  <c r="M174" i="39"/>
  <c r="N154" i="39"/>
  <c r="M154" i="39"/>
  <c r="G145" i="39"/>
  <c r="H218" i="39"/>
  <c r="F144" i="39"/>
  <c r="M134" i="39"/>
  <c r="N134" i="39"/>
  <c r="G115" i="39"/>
  <c r="H193" i="39"/>
  <c r="K35" i="36" s="1"/>
  <c r="F112" i="39"/>
  <c r="G110" i="39"/>
  <c r="G107" i="39" s="1"/>
  <c r="F107" i="39"/>
  <c r="N110" i="39"/>
  <c r="M110" i="39"/>
  <c r="D107" i="39"/>
  <c r="G68" i="39"/>
  <c r="D39" i="39"/>
  <c r="M42" i="39"/>
  <c r="N42" i="39"/>
  <c r="M46" i="39"/>
  <c r="D43" i="39"/>
  <c r="N46" i="39"/>
  <c r="E11" i="39"/>
  <c r="S8" i="39"/>
  <c r="N25" i="39"/>
  <c r="M25" i="39"/>
  <c r="M77" i="39"/>
  <c r="N77" i="39"/>
  <c r="N169" i="39"/>
  <c r="M169" i="39"/>
  <c r="M155" i="39"/>
  <c r="N155" i="39"/>
  <c r="M146" i="39"/>
  <c r="N146" i="39"/>
  <c r="N136" i="39"/>
  <c r="F197" i="39" s="1"/>
  <c r="M136" i="39"/>
  <c r="D135" i="39"/>
  <c r="D197" i="39"/>
  <c r="D18" i="34" s="1"/>
  <c r="J18" i="34" s="1"/>
  <c r="L18" i="34" s="1"/>
  <c r="H197" i="39"/>
  <c r="K39" i="36" s="1"/>
  <c r="F135" i="39"/>
  <c r="N116" i="39"/>
  <c r="M116" i="39"/>
  <c r="M100" i="39"/>
  <c r="N100" i="39"/>
  <c r="M111" i="39"/>
  <c r="N111" i="39"/>
  <c r="G89" i="39"/>
  <c r="H219" i="39"/>
  <c r="F87" i="39"/>
  <c r="N62" i="39"/>
  <c r="M62" i="39"/>
  <c r="G52" i="39"/>
  <c r="M52" i="39"/>
  <c r="D50" i="39"/>
  <c r="D184" i="39"/>
  <c r="D8" i="34" s="1"/>
  <c r="J8" i="34" s="1"/>
  <c r="L8" i="34" s="1"/>
  <c r="N52" i="39"/>
  <c r="N162" i="39"/>
  <c r="M162" i="39"/>
  <c r="N170" i="39"/>
  <c r="M170" i="39"/>
  <c r="N178" i="39"/>
  <c r="M178" i="39"/>
  <c r="G150" i="39"/>
  <c r="G140" i="39"/>
  <c r="G138" i="39" s="1"/>
  <c r="M129" i="39"/>
  <c r="N129" i="39"/>
  <c r="F120" i="39"/>
  <c r="F119" i="39" s="1"/>
  <c r="N121" i="39"/>
  <c r="M121" i="39"/>
  <c r="D120" i="39"/>
  <c r="G105" i="39"/>
  <c r="E102" i="39"/>
  <c r="D94" i="39"/>
  <c r="D212" i="39"/>
  <c r="N95" i="39"/>
  <c r="F212" i="39" s="1"/>
  <c r="M95" i="39"/>
  <c r="F94" i="39"/>
  <c r="H212" i="39"/>
  <c r="H224" i="39"/>
  <c r="M65" i="39"/>
  <c r="N65" i="39"/>
  <c r="F54" i="39"/>
  <c r="F35" i="39"/>
  <c r="G36" i="39"/>
  <c r="G35" i="39" s="1"/>
  <c r="D32" i="39"/>
  <c r="D192" i="39"/>
  <c r="D13" i="34" s="1"/>
  <c r="J13" i="34" s="1"/>
  <c r="L13" i="34" s="1"/>
  <c r="M33" i="39"/>
  <c r="N33" i="39"/>
  <c r="F192" i="39" s="1"/>
  <c r="G33" i="39"/>
  <c r="H192" i="39"/>
  <c r="K34" i="36" s="1"/>
  <c r="F32" i="39"/>
  <c r="F31" i="39" s="1"/>
  <c r="F84" i="39"/>
  <c r="F83" i="39" s="1"/>
  <c r="G85" i="39"/>
  <c r="H213" i="39"/>
  <c r="N213" i="39" s="1"/>
  <c r="E83" i="39"/>
  <c r="N165" i="39"/>
  <c r="M165" i="39"/>
  <c r="N173" i="39"/>
  <c r="M173" i="39"/>
  <c r="AK47" i="36"/>
  <c r="J48" i="35"/>
  <c r="BD48" i="35" s="1"/>
  <c r="E200" i="39"/>
  <c r="BJ48" i="35"/>
  <c r="H225" i="39"/>
  <c r="H203" i="39" s="1"/>
  <c r="G227" i="39"/>
  <c r="F227" i="39"/>
  <c r="U47" i="36"/>
  <c r="V47" i="36"/>
  <c r="W47" i="36"/>
  <c r="Q47" i="36"/>
  <c r="R47" i="36"/>
  <c r="T47" i="36"/>
  <c r="S47" i="36"/>
  <c r="X47" i="36"/>
  <c r="AJ47" i="36"/>
  <c r="C25" i="34"/>
  <c r="J25" i="34" s="1"/>
  <c r="L25" i="34" s="1"/>
  <c r="AW48" i="35"/>
  <c r="E173" i="38"/>
  <c r="L172" i="38"/>
  <c r="G228" i="39"/>
  <c r="G225" i="39" s="1"/>
  <c r="G203" i="39" s="1"/>
  <c r="G200" i="39" s="1"/>
  <c r="F228" i="39"/>
  <c r="AU128" i="35"/>
  <c r="BJ45" i="36"/>
  <c r="BJ30" i="35"/>
  <c r="AL46" i="35"/>
  <c r="K169" i="38"/>
  <c r="AL44" i="35" s="1"/>
  <c r="I171" i="38"/>
  <c r="G171" i="38"/>
  <c r="G169" i="38" s="1"/>
  <c r="AU25" i="37"/>
  <c r="AU24" i="37" s="1"/>
  <c r="AL44" i="36"/>
  <c r="K183" i="39"/>
  <c r="K230" i="39" s="1"/>
  <c r="K232" i="39" s="1"/>
  <c r="AA46" i="35"/>
  <c r="J169" i="38"/>
  <c r="AA44" i="35" s="1"/>
  <c r="L46" i="36"/>
  <c r="L44" i="36" s="1"/>
  <c r="O46" i="36"/>
  <c r="O44" i="36" s="1"/>
  <c r="N46" i="36"/>
  <c r="N44" i="36" s="1"/>
  <c r="M44" i="36"/>
  <c r="J200" i="39"/>
  <c r="AE44" i="36"/>
  <c r="AI44" i="36"/>
  <c r="AG44" i="36"/>
  <c r="AH44" i="36"/>
  <c r="AF44" i="36"/>
  <c r="AD44" i="36"/>
  <c r="K46" i="35"/>
  <c r="E171" i="38"/>
  <c r="H169" i="38"/>
  <c r="AV25" i="37"/>
  <c r="AV24" i="37" s="1"/>
  <c r="BF46" i="37"/>
  <c r="BG46" i="37" s="1"/>
  <c r="BJ46" i="37"/>
  <c r="BF45" i="37"/>
  <c r="BG45" i="37" s="1"/>
  <c r="BI45" i="37"/>
  <c r="BJ45" i="37"/>
  <c r="BF48" i="36"/>
  <c r="BG48" i="36" s="1"/>
  <c r="BJ48" i="36"/>
  <c r="BF42" i="36"/>
  <c r="BG42" i="36" s="1"/>
  <c r="BI42" i="36"/>
  <c r="BF28" i="35"/>
  <c r="BG28" i="35" s="1"/>
  <c r="BJ39" i="35"/>
  <c r="I22" i="46" s="1"/>
  <c r="Z22" i="46" s="1"/>
  <c r="BF27" i="35"/>
  <c r="BG27" i="35" s="1"/>
  <c r="BF48" i="35"/>
  <c r="BI48" i="35"/>
  <c r="BF34" i="35"/>
  <c r="BI34" i="35"/>
  <c r="BK34" i="35" s="1"/>
  <c r="BJ32" i="35"/>
  <c r="BJ29" i="35"/>
  <c r="BK29" i="35" s="1"/>
  <c r="BG34" i="35"/>
  <c r="BF47" i="35"/>
  <c r="BG47" i="35" s="1"/>
  <c r="BI47" i="35"/>
  <c r="BF37" i="35"/>
  <c r="BG37" i="35" s="1"/>
  <c r="I29" i="46"/>
  <c r="Z29" i="46" s="1"/>
  <c r="I23" i="46"/>
  <c r="Z23" i="46" s="1"/>
  <c r="I14" i="46"/>
  <c r="Z14" i="46" s="1"/>
  <c r="I21" i="46"/>
  <c r="Z21" i="46" s="1"/>
  <c r="AW145" i="35"/>
  <c r="AO43" i="35"/>
  <c r="AS43" i="35"/>
  <c r="AR43" i="35"/>
  <c r="AM43" i="35"/>
  <c r="AT43" i="35"/>
  <c r="AN43" i="35"/>
  <c r="AQ43" i="35"/>
  <c r="AP43" i="35"/>
  <c r="J152" i="38"/>
  <c r="AA33" i="35"/>
  <c r="AW33" i="35"/>
  <c r="S43" i="35"/>
  <c r="V43" i="35"/>
  <c r="W43" i="35"/>
  <c r="U43" i="35"/>
  <c r="R43" i="35"/>
  <c r="T43" i="35"/>
  <c r="X43" i="35"/>
  <c r="Q43" i="35"/>
  <c r="AB43" i="35"/>
  <c r="AE43" i="35"/>
  <c r="AE41" i="35" s="1"/>
  <c r="AE36" i="35" s="1"/>
  <c r="AE33" i="35" s="1"/>
  <c r="AH43" i="35"/>
  <c r="AH41" i="35" s="1"/>
  <c r="AH36" i="35" s="1"/>
  <c r="AH33" i="35" s="1"/>
  <c r="AC43" i="35"/>
  <c r="AF43" i="35"/>
  <c r="AG43" i="35"/>
  <c r="AG41" i="35" s="1"/>
  <c r="AG36" i="35" s="1"/>
  <c r="AG33" i="35" s="1"/>
  <c r="AD43" i="35"/>
  <c r="AI43" i="35"/>
  <c r="AI41" i="35" s="1"/>
  <c r="AI36" i="35" s="1"/>
  <c r="AI33" i="35" s="1"/>
  <c r="AL33" i="35"/>
  <c r="BF45" i="35"/>
  <c r="BG45" i="35" s="1"/>
  <c r="BG42" i="35"/>
  <c r="BF38" i="35"/>
  <c r="BG38" i="35" s="1"/>
  <c r="BF39" i="35"/>
  <c r="BG39" i="35" s="1"/>
  <c r="BF31" i="35"/>
  <c r="BG31" i="35" s="1"/>
  <c r="C27" i="40"/>
  <c r="C8" i="40" s="1"/>
  <c r="G10" i="39"/>
  <c r="N10" i="39"/>
  <c r="M10" i="39"/>
  <c r="AU99" i="36"/>
  <c r="BF45" i="36"/>
  <c r="E26" i="46"/>
  <c r="BG45" i="36"/>
  <c r="H33" i="35"/>
  <c r="BF29" i="35"/>
  <c r="BF40" i="35"/>
  <c r="BG40" i="35" s="1"/>
  <c r="BE29" i="35"/>
  <c r="I33" i="35"/>
  <c r="BF35" i="35"/>
  <c r="BG35" i="35" s="1"/>
  <c r="BK42" i="35"/>
  <c r="G33" i="35"/>
  <c r="BK28" i="35"/>
  <c r="F14" i="46"/>
  <c r="V14" i="46" s="1"/>
  <c r="BF32" i="35"/>
  <c r="BG32" i="35" s="1"/>
  <c r="BF30" i="35"/>
  <c r="BG30" i="35" s="1"/>
  <c r="BE26" i="35"/>
  <c r="BG48" i="35"/>
  <c r="BC26" i="35"/>
  <c r="BD26" i="35"/>
  <c r="J33" i="35"/>
  <c r="G11" i="33"/>
  <c r="J3" i="33"/>
  <c r="J6" i="33"/>
  <c r="J12" i="33"/>
  <c r="J13" i="33" s="1"/>
  <c r="J7" i="33"/>
  <c r="K6" i="33"/>
  <c r="K3" i="33"/>
  <c r="K12" i="33"/>
  <c r="K13" i="33" s="1"/>
  <c r="K7" i="33"/>
  <c r="O6" i="33"/>
  <c r="O12" i="33"/>
  <c r="O13" i="33" s="1"/>
  <c r="O7" i="33"/>
  <c r="L3" i="33"/>
  <c r="L6" i="33"/>
  <c r="L7" i="33"/>
  <c r="L12" i="33"/>
  <c r="L13" i="33" s="1"/>
  <c r="N3" i="33"/>
  <c r="N6" i="33"/>
  <c r="N12" i="33"/>
  <c r="N13" i="33" s="1"/>
  <c r="N7" i="33"/>
  <c r="M6" i="33"/>
  <c r="M3" i="33"/>
  <c r="M12" i="33"/>
  <c r="M13" i="33" s="1"/>
  <c r="M7" i="33"/>
  <c r="J30" i="32"/>
  <c r="J31" i="32"/>
  <c r="D31" i="32"/>
  <c r="F19" i="32"/>
  <c r="D37" i="32"/>
  <c r="D30" i="32"/>
  <c r="F20" i="32"/>
  <c r="E37" i="32"/>
  <c r="G37" i="32"/>
  <c r="G32" i="32"/>
  <c r="G31" i="32"/>
  <c r="I30" i="32"/>
  <c r="I31" i="32"/>
  <c r="I32" i="32"/>
  <c r="K34" i="32"/>
  <c r="K29" i="32"/>
  <c r="O29" i="32" s="1"/>
  <c r="K28" i="32"/>
  <c r="O28" i="32" s="1"/>
  <c r="K24" i="32"/>
  <c r="O24" i="32" s="1"/>
  <c r="K22" i="32"/>
  <c r="O22" i="32" s="1"/>
  <c r="K23" i="32"/>
  <c r="O23" i="32" s="1"/>
  <c r="K21" i="32"/>
  <c r="O21" i="32" s="1"/>
  <c r="K27" i="32"/>
  <c r="L171" i="38" s="1"/>
  <c r="K25" i="32"/>
  <c r="O25" i="32" s="1"/>
  <c r="O19" i="32"/>
  <c r="J32" i="32"/>
  <c r="O27" i="32"/>
  <c r="E31" i="32"/>
  <c r="H32" i="32"/>
  <c r="H30" i="32"/>
  <c r="H31" i="32"/>
  <c r="E30" i="32"/>
  <c r="E32" i="32"/>
  <c r="B33" i="32" s="1"/>
  <c r="G30" i="32"/>
  <c r="O20" i="32"/>
  <c r="I213" i="39" l="1"/>
  <c r="G84" i="39"/>
  <c r="I192" i="39"/>
  <c r="P34" i="36" s="1"/>
  <c r="G32" i="39"/>
  <c r="G31" i="39" s="1"/>
  <c r="Q192" i="39"/>
  <c r="E192" i="39"/>
  <c r="N32" i="39"/>
  <c r="M32" i="39"/>
  <c r="N94" i="39"/>
  <c r="M94" i="39"/>
  <c r="G103" i="39"/>
  <c r="G102" i="39" s="1"/>
  <c r="I216" i="39"/>
  <c r="I195" i="39"/>
  <c r="P37" i="36" s="1"/>
  <c r="G149" i="39"/>
  <c r="E184" i="39"/>
  <c r="Q184" i="39"/>
  <c r="I219" i="39"/>
  <c r="G87" i="39"/>
  <c r="M135" i="39"/>
  <c r="N135" i="39"/>
  <c r="D11" i="39"/>
  <c r="F11" i="39"/>
  <c r="G211" i="39"/>
  <c r="G209" i="39" s="1"/>
  <c r="G199" i="39" s="1"/>
  <c r="G194" i="39" s="1"/>
  <c r="G191" i="39" s="1"/>
  <c r="G183" i="39" s="1"/>
  <c r="E9" i="39"/>
  <c r="N43" i="39"/>
  <c r="M43" i="39"/>
  <c r="N39" i="39"/>
  <c r="M39" i="39"/>
  <c r="D38" i="39"/>
  <c r="M107" i="39"/>
  <c r="N107" i="39"/>
  <c r="I218" i="39"/>
  <c r="G144" i="39"/>
  <c r="M84" i="39"/>
  <c r="D83" i="39"/>
  <c r="N84" i="39"/>
  <c r="I189" i="39"/>
  <c r="P31" i="36" s="1"/>
  <c r="G12" i="39"/>
  <c r="Q189" i="39"/>
  <c r="E189" i="39"/>
  <c r="F189" i="39"/>
  <c r="M35" i="39"/>
  <c r="N35" i="39"/>
  <c r="O28" i="36"/>
  <c r="M28" i="36"/>
  <c r="L28" i="36"/>
  <c r="N28" i="36"/>
  <c r="F224" i="39"/>
  <c r="F102" i="39"/>
  <c r="N103" i="39"/>
  <c r="M103" i="39"/>
  <c r="D102" i="39"/>
  <c r="Q216" i="39"/>
  <c r="E216" i="39"/>
  <c r="M138" i="39"/>
  <c r="N138" i="39"/>
  <c r="N149" i="39"/>
  <c r="M149" i="39"/>
  <c r="F195" i="39"/>
  <c r="K26" i="36"/>
  <c r="Q219" i="39"/>
  <c r="E219" i="39"/>
  <c r="I190" i="39"/>
  <c r="P32" i="36" s="1"/>
  <c r="G159" i="39"/>
  <c r="N159" i="39"/>
  <c r="M159" i="39"/>
  <c r="M59" i="39"/>
  <c r="N59" i="39"/>
  <c r="E193" i="39"/>
  <c r="Q193" i="39"/>
  <c r="F218" i="39"/>
  <c r="N144" i="39"/>
  <c r="M144" i="39"/>
  <c r="F221" i="39"/>
  <c r="F79" i="39"/>
  <c r="H186" i="39"/>
  <c r="G186" i="39" s="1"/>
  <c r="E212" i="39"/>
  <c r="Q212" i="39"/>
  <c r="E79" i="39"/>
  <c r="N120" i="39"/>
  <c r="M120" i="39"/>
  <c r="D119" i="39"/>
  <c r="F184" i="39"/>
  <c r="N50" i="39"/>
  <c r="M50" i="39"/>
  <c r="D185" i="39"/>
  <c r="D49" i="39"/>
  <c r="I184" i="39"/>
  <c r="G50" i="39"/>
  <c r="Q197" i="39"/>
  <c r="E197" i="39"/>
  <c r="S7" i="39"/>
  <c r="T70" i="39"/>
  <c r="I193" i="39"/>
  <c r="P35" i="36" s="1"/>
  <c r="G112" i="39"/>
  <c r="G130" i="39"/>
  <c r="G119" i="39" s="1"/>
  <c r="I221" i="39"/>
  <c r="Q213" i="39"/>
  <c r="E213" i="39"/>
  <c r="M12" i="39"/>
  <c r="N12" i="39"/>
  <c r="D186" i="39"/>
  <c r="D187" i="39" s="1"/>
  <c r="M54" i="39"/>
  <c r="N54" i="39"/>
  <c r="Q224" i="39"/>
  <c r="E224" i="39"/>
  <c r="F216" i="39"/>
  <c r="Q195" i="39"/>
  <c r="E195" i="39"/>
  <c r="H185" i="39"/>
  <c r="F49" i="39"/>
  <c r="F27" i="39" s="1"/>
  <c r="N87" i="39"/>
  <c r="M87" i="39"/>
  <c r="I197" i="39"/>
  <c r="P39" i="36" s="1"/>
  <c r="Q190" i="39"/>
  <c r="E190" i="39"/>
  <c r="F190" i="39"/>
  <c r="M68" i="39"/>
  <c r="N68" i="39"/>
  <c r="F193" i="39"/>
  <c r="N112" i="39"/>
  <c r="M112" i="39"/>
  <c r="Q218" i="39"/>
  <c r="E218" i="39"/>
  <c r="Q220" i="39"/>
  <c r="E220" i="39"/>
  <c r="Q221" i="39"/>
  <c r="E221" i="39"/>
  <c r="N130" i="39"/>
  <c r="M130" i="39"/>
  <c r="Z47" i="36"/>
  <c r="AW47" i="35"/>
  <c r="C24" i="34"/>
  <c r="AW150" i="35"/>
  <c r="AQ48" i="35"/>
  <c r="AQ150" i="35" s="1"/>
  <c r="AM48" i="35"/>
  <c r="AO48" i="35"/>
  <c r="AO150" i="35" s="1"/>
  <c r="AS48" i="35"/>
  <c r="AS150" i="35" s="1"/>
  <c r="AN48" i="35"/>
  <c r="AP48" i="35"/>
  <c r="AP150" i="35" s="1"/>
  <c r="AR48" i="35"/>
  <c r="AR150" i="35" s="1"/>
  <c r="AT48" i="35"/>
  <c r="AT150" i="35" s="1"/>
  <c r="F173" i="38"/>
  <c r="F172" i="38" s="1"/>
  <c r="F169" i="38" s="1"/>
  <c r="F152" i="38" s="1"/>
  <c r="E172" i="38"/>
  <c r="Y47" i="36"/>
  <c r="F225" i="39"/>
  <c r="F203" i="39" s="1"/>
  <c r="F200" i="39" s="1"/>
  <c r="H200" i="39"/>
  <c r="K44" i="36" s="1"/>
  <c r="K47" i="36"/>
  <c r="U26" i="46"/>
  <c r="K27" i="40"/>
  <c r="K152" i="38"/>
  <c r="AW46" i="35"/>
  <c r="C23" i="34"/>
  <c r="L169" i="38"/>
  <c r="K44" i="35"/>
  <c r="H152" i="38"/>
  <c r="I46" i="35"/>
  <c r="G46" i="35"/>
  <c r="H46" i="35"/>
  <c r="K52" i="35"/>
  <c r="K89" i="35" s="1"/>
  <c r="U44" i="36"/>
  <c r="W44" i="36"/>
  <c r="S44" i="36"/>
  <c r="T44" i="36"/>
  <c r="V44" i="36"/>
  <c r="X44" i="36"/>
  <c r="W46" i="35"/>
  <c r="W44" i="35" s="1"/>
  <c r="V46" i="35"/>
  <c r="V44" i="35" s="1"/>
  <c r="U46" i="35"/>
  <c r="U44" i="35" s="1"/>
  <c r="T46" i="35"/>
  <c r="T44" i="35" s="1"/>
  <c r="S46" i="35"/>
  <c r="S44" i="35" s="1"/>
  <c r="R46" i="35"/>
  <c r="Q46" i="35"/>
  <c r="X46" i="35"/>
  <c r="X44" i="35" s="1"/>
  <c r="G7" i="33"/>
  <c r="O171" i="38"/>
  <c r="O169" i="38" s="1"/>
  <c r="O152" i="38" s="1"/>
  <c r="E169" i="38"/>
  <c r="E152" i="38" s="1"/>
  <c r="AJ44" i="36"/>
  <c r="AB44" i="36"/>
  <c r="AK44" i="36"/>
  <c r="AC44" i="36"/>
  <c r="AA44" i="36"/>
  <c r="J183" i="39"/>
  <c r="J230" i="39" s="1"/>
  <c r="J232" i="39" s="1"/>
  <c r="P46" i="35"/>
  <c r="I169" i="38"/>
  <c r="AI46" i="35"/>
  <c r="AI44" i="35" s="1"/>
  <c r="AI25" i="35" s="1"/>
  <c r="AI24" i="35" s="1"/>
  <c r="AD46" i="35"/>
  <c r="AD44" i="35" s="1"/>
  <c r="AH46" i="35"/>
  <c r="AH44" i="35" s="1"/>
  <c r="AH25" i="35" s="1"/>
  <c r="AH24" i="35" s="1"/>
  <c r="AE46" i="35"/>
  <c r="AE44" i="35" s="1"/>
  <c r="AE25" i="35" s="1"/>
  <c r="AE24" i="35" s="1"/>
  <c r="AG46" i="35"/>
  <c r="AG44" i="35" s="1"/>
  <c r="AG25" i="35" s="1"/>
  <c r="AG24" i="35" s="1"/>
  <c r="AF46" i="35"/>
  <c r="AF44" i="35" s="1"/>
  <c r="AB46" i="35"/>
  <c r="AC46" i="35"/>
  <c r="I26" i="46"/>
  <c r="Z26" i="46" s="1"/>
  <c r="F26" i="46"/>
  <c r="V26" i="46" s="1"/>
  <c r="F29" i="46"/>
  <c r="V29" i="46" s="1"/>
  <c r="I18" i="46"/>
  <c r="Z18" i="46" s="1"/>
  <c r="I20" i="46"/>
  <c r="Z20" i="46" s="1"/>
  <c r="F15" i="46"/>
  <c r="V15" i="46" s="1"/>
  <c r="F17" i="46"/>
  <c r="V17" i="46" s="1"/>
  <c r="G27" i="46"/>
  <c r="X27" i="46" s="1"/>
  <c r="F23" i="46"/>
  <c r="V23" i="46" s="1"/>
  <c r="I28" i="46"/>
  <c r="Z28" i="46" s="1"/>
  <c r="I13" i="46"/>
  <c r="Z13" i="46" s="1"/>
  <c r="F21" i="46"/>
  <c r="V21" i="46" s="1"/>
  <c r="F20" i="46"/>
  <c r="V20" i="46" s="1"/>
  <c r="I15" i="46"/>
  <c r="Z15" i="46" s="1"/>
  <c r="BG29" i="35"/>
  <c r="F13" i="46"/>
  <c r="V13" i="46" s="1"/>
  <c r="F28" i="46"/>
  <c r="V28" i="46" s="1"/>
  <c r="F18" i="46"/>
  <c r="V18" i="46" s="1"/>
  <c r="F22" i="46"/>
  <c r="V22" i="46" s="1"/>
  <c r="I17" i="46"/>
  <c r="Z17" i="46" s="1"/>
  <c r="H29" i="46"/>
  <c r="Y29" i="46" s="1"/>
  <c r="H26" i="46"/>
  <c r="Y26" i="46" s="1"/>
  <c r="G26" i="46"/>
  <c r="X26" i="46" s="1"/>
  <c r="D26" i="46"/>
  <c r="T26" i="46" s="1"/>
  <c r="E29" i="46"/>
  <c r="U29" i="46" s="1"/>
  <c r="BK46" i="37"/>
  <c r="D27" i="46"/>
  <c r="T27" i="46" s="1"/>
  <c r="AL25" i="35"/>
  <c r="AL107" i="35" s="1"/>
  <c r="AL135" i="35" s="1"/>
  <c r="AD41" i="35"/>
  <c r="AD36" i="35" s="1"/>
  <c r="AD33" i="35" s="1"/>
  <c r="AF41" i="35"/>
  <c r="AF36" i="35" s="1"/>
  <c r="AF33" i="35" s="1"/>
  <c r="AK43" i="35"/>
  <c r="AK41" i="35" s="1"/>
  <c r="AK36" i="35" s="1"/>
  <c r="AK33" i="35" s="1"/>
  <c r="AC41" i="35"/>
  <c r="AC36" i="35" s="1"/>
  <c r="AC33" i="35" s="1"/>
  <c r="AJ43" i="35"/>
  <c r="AJ41" i="35" s="1"/>
  <c r="AJ36" i="35" s="1"/>
  <c r="AJ33" i="35" s="1"/>
  <c r="AB41" i="35"/>
  <c r="AB36" i="35" s="1"/>
  <c r="AB33" i="35" s="1"/>
  <c r="Y43" i="35"/>
  <c r="Q41" i="35"/>
  <c r="BA43" i="35"/>
  <c r="BI43" i="35" s="1"/>
  <c r="T41" i="35"/>
  <c r="T36" i="35" s="1"/>
  <c r="T33" i="35" s="1"/>
  <c r="BC43" i="35"/>
  <c r="U41" i="35"/>
  <c r="V41" i="35"/>
  <c r="V36" i="35" s="1"/>
  <c r="V33" i="35" s="1"/>
  <c r="V25" i="35" s="1"/>
  <c r="V24" i="35" s="1"/>
  <c r="AQ145" i="35"/>
  <c r="AQ143" i="35" s="1"/>
  <c r="AQ138" i="35" s="1"/>
  <c r="AQ135" i="35" s="1"/>
  <c r="AQ41" i="35"/>
  <c r="AQ36" i="35" s="1"/>
  <c r="AQ33" i="35" s="1"/>
  <c r="AT145" i="35"/>
  <c r="AT143" i="35" s="1"/>
  <c r="AT138" i="35" s="1"/>
  <c r="AT135" i="35" s="1"/>
  <c r="AT41" i="35"/>
  <c r="AT36" i="35" s="1"/>
  <c r="AT33" i="35" s="1"/>
  <c r="AR145" i="35"/>
  <c r="AR143" i="35" s="1"/>
  <c r="AR138" i="35" s="1"/>
  <c r="AR135" i="35" s="1"/>
  <c r="AR41" i="35"/>
  <c r="AR36" i="35" s="1"/>
  <c r="AR33" i="35" s="1"/>
  <c r="AO145" i="35"/>
  <c r="AO143" i="35" s="1"/>
  <c r="AO138" i="35" s="1"/>
  <c r="AO135" i="35" s="1"/>
  <c r="AO41" i="35"/>
  <c r="AO36" i="35" s="1"/>
  <c r="AO33" i="35" s="1"/>
  <c r="X41" i="35"/>
  <c r="X36" i="35" s="1"/>
  <c r="X33" i="35" s="1"/>
  <c r="Z43" i="35"/>
  <c r="Z41" i="35" s="1"/>
  <c r="Z36" i="35" s="1"/>
  <c r="Z33" i="35" s="1"/>
  <c r="R41" i="35"/>
  <c r="R36" i="35" s="1"/>
  <c r="R33" i="35" s="1"/>
  <c r="W41" i="35"/>
  <c r="BD43" i="35"/>
  <c r="BB43" i="35"/>
  <c r="S41" i="35"/>
  <c r="AW135" i="35"/>
  <c r="AA25" i="35"/>
  <c r="AA107" i="35" s="1"/>
  <c r="AA135" i="35" s="1"/>
  <c r="AP145" i="35"/>
  <c r="AP143" i="35" s="1"/>
  <c r="AP138" i="35" s="1"/>
  <c r="AP135" i="35" s="1"/>
  <c r="AP41" i="35"/>
  <c r="AP36" i="35" s="1"/>
  <c r="AP33" i="35" s="1"/>
  <c r="AV43" i="35"/>
  <c r="AV41" i="35" s="1"/>
  <c r="AV36" i="35" s="1"/>
  <c r="AV33" i="35" s="1"/>
  <c r="AN145" i="35"/>
  <c r="AN41" i="35"/>
  <c r="AN36" i="35" s="1"/>
  <c r="AN33" i="35" s="1"/>
  <c r="AM145" i="35"/>
  <c r="AU43" i="35"/>
  <c r="AU41" i="35" s="1"/>
  <c r="AU36" i="35" s="1"/>
  <c r="AU33" i="35" s="1"/>
  <c r="AM41" i="35"/>
  <c r="AM36" i="35" s="1"/>
  <c r="AM33" i="35" s="1"/>
  <c r="AS145" i="35"/>
  <c r="AS143" i="35" s="1"/>
  <c r="AS138" i="35" s="1"/>
  <c r="AS135" i="35" s="1"/>
  <c r="AS41" i="35"/>
  <c r="AS36" i="35" s="1"/>
  <c r="AS33" i="35" s="1"/>
  <c r="BK48" i="36"/>
  <c r="BK48" i="35"/>
  <c r="BK40" i="35"/>
  <c r="BK31" i="35"/>
  <c r="BK38" i="35"/>
  <c r="BK39" i="35"/>
  <c r="C2" i="40"/>
  <c r="BK45" i="37"/>
  <c r="BK45" i="36"/>
  <c r="BK42" i="36"/>
  <c r="BF26" i="35"/>
  <c r="BG26" i="35" s="1"/>
  <c r="BK30" i="35"/>
  <c r="BK27" i="35"/>
  <c r="BK26" i="35" s="1"/>
  <c r="BI26" i="35"/>
  <c r="BK35" i="35"/>
  <c r="BK37" i="35"/>
  <c r="BK45" i="35"/>
  <c r="BK47" i="35"/>
  <c r="BK32" i="35"/>
  <c r="BJ26" i="35"/>
  <c r="I12" i="46" s="1"/>
  <c r="Z12" i="46" s="1"/>
  <c r="M8" i="33"/>
  <c r="M9" i="33" s="1"/>
  <c r="N16" i="33"/>
  <c r="N10" i="33"/>
  <c r="L16" i="33"/>
  <c r="L10" i="33"/>
  <c r="K16" i="33"/>
  <c r="K10" i="33"/>
  <c r="J8" i="33"/>
  <c r="G13" i="33"/>
  <c r="Y13" i="33" s="1"/>
  <c r="O3" i="33"/>
  <c r="M10" i="33"/>
  <c r="M16" i="33"/>
  <c r="N8" i="33"/>
  <c r="N9" i="33" s="1"/>
  <c r="L8" i="33"/>
  <c r="L9" i="33" s="1"/>
  <c r="O8" i="33"/>
  <c r="O9" i="33" s="1"/>
  <c r="O16" i="33"/>
  <c r="O10" i="33"/>
  <c r="K8" i="33"/>
  <c r="K9" i="33" s="1"/>
  <c r="G12" i="33"/>
  <c r="Y12" i="33" s="1"/>
  <c r="J16" i="33"/>
  <c r="J10" i="33"/>
  <c r="G6" i="33"/>
  <c r="J24" i="33"/>
  <c r="AB11" i="33"/>
  <c r="Y11" i="33"/>
  <c r="K31" i="32"/>
  <c r="O31" i="32" s="1"/>
  <c r="K30" i="32"/>
  <c r="O30" i="32" s="1"/>
  <c r="F27" i="32"/>
  <c r="F21" i="32"/>
  <c r="F29" i="32"/>
  <c r="F28" i="32"/>
  <c r="K32" i="32"/>
  <c r="G83" i="39" l="1"/>
  <c r="G79" i="39" s="1"/>
  <c r="K27" i="36"/>
  <c r="P26" i="36"/>
  <c r="M119" i="39"/>
  <c r="N119" i="39"/>
  <c r="H187" i="39"/>
  <c r="M83" i="39"/>
  <c r="N83" i="39"/>
  <c r="D79" i="39"/>
  <c r="N38" i="39"/>
  <c r="M38" i="39"/>
  <c r="D31" i="39"/>
  <c r="N11" i="39"/>
  <c r="F211" i="39" s="1"/>
  <c r="F209" i="39" s="1"/>
  <c r="F199" i="39" s="1"/>
  <c r="F194" i="39" s="1"/>
  <c r="F191" i="39" s="1"/>
  <c r="F183" i="39" s="1"/>
  <c r="M11" i="39"/>
  <c r="D211" i="39"/>
  <c r="D209" i="39" s="1"/>
  <c r="D199" i="39" s="1"/>
  <c r="D9" i="39"/>
  <c r="I185" i="39"/>
  <c r="P27" i="36" s="1"/>
  <c r="G49" i="39"/>
  <c r="N49" i="39"/>
  <c r="M49" i="39"/>
  <c r="K28" i="36"/>
  <c r="N102" i="39"/>
  <c r="M102" i="39"/>
  <c r="E8" i="39"/>
  <c r="Q1" i="39" s="1"/>
  <c r="G11" i="39"/>
  <c r="H211" i="39"/>
  <c r="H209" i="39" s="1"/>
  <c r="H199" i="39" s="1"/>
  <c r="F9" i="39"/>
  <c r="F8" i="39" s="1"/>
  <c r="F2" i="39" s="1"/>
  <c r="G27" i="39"/>
  <c r="AA26" i="46"/>
  <c r="AM150" i="35"/>
  <c r="AU150" i="35" s="1"/>
  <c r="AU48" i="35"/>
  <c r="AW149" i="35"/>
  <c r="AN47" i="35"/>
  <c r="AR47" i="35"/>
  <c r="AR149" i="35" s="1"/>
  <c r="AT47" i="35"/>
  <c r="AT149" i="35" s="1"/>
  <c r="AS47" i="35"/>
  <c r="AS149" i="35" s="1"/>
  <c r="AO47" i="35"/>
  <c r="AO149" i="35" s="1"/>
  <c r="AP47" i="35"/>
  <c r="AP149" i="35" s="1"/>
  <c r="AM47" i="35"/>
  <c r="AQ47" i="35"/>
  <c r="AQ149" i="35" s="1"/>
  <c r="W26" i="46"/>
  <c r="C28" i="52" s="1"/>
  <c r="G47" i="36"/>
  <c r="H47" i="36"/>
  <c r="I47" i="36"/>
  <c r="BE47" i="36"/>
  <c r="AV48" i="35"/>
  <c r="AN150" i="35"/>
  <c r="AV150" i="35" s="1"/>
  <c r="C21" i="34"/>
  <c r="C7" i="34" s="1"/>
  <c r="C28" i="34" s="1"/>
  <c r="J23" i="34"/>
  <c r="AD25" i="35"/>
  <c r="AD24" i="35" s="1"/>
  <c r="X25" i="35"/>
  <c r="X24" i="35" s="1"/>
  <c r="T25" i="35"/>
  <c r="T24" i="35" s="1"/>
  <c r="AF25" i="35"/>
  <c r="AF24" i="35" s="1"/>
  <c r="D28" i="52"/>
  <c r="J46" i="35"/>
  <c r="J44" i="35" s="1"/>
  <c r="AB44" i="35"/>
  <c r="AB25" i="35" s="1"/>
  <c r="AB24" i="35" s="1"/>
  <c r="AJ46" i="35"/>
  <c r="AJ44" i="35" s="1"/>
  <c r="AJ25" i="35" s="1"/>
  <c r="AJ24" i="35" s="1"/>
  <c r="L46" i="35"/>
  <c r="L44" i="35" s="1"/>
  <c r="O46" i="35"/>
  <c r="O44" i="35" s="1"/>
  <c r="O25" i="35" s="1"/>
  <c r="O24" i="35" s="1"/>
  <c r="M46" i="35"/>
  <c r="M44" i="35" s="1"/>
  <c r="M25" i="35" s="1"/>
  <c r="M24" i="35" s="1"/>
  <c r="N46" i="35"/>
  <c r="N44" i="35" s="1"/>
  <c r="E148" i="38"/>
  <c r="C149" i="38"/>
  <c r="Y46" i="35"/>
  <c r="Y44" i="35" s="1"/>
  <c r="Q44" i="35"/>
  <c r="R44" i="36"/>
  <c r="Z44" i="36"/>
  <c r="Q44" i="36"/>
  <c r="G44" i="35"/>
  <c r="G25" i="35" s="1"/>
  <c r="G24" i="35" s="1"/>
  <c r="AC44" i="35"/>
  <c r="AC25" i="35" s="1"/>
  <c r="AC24" i="35" s="1"/>
  <c r="AK46" i="35"/>
  <c r="AK44" i="35" s="1"/>
  <c r="AK25" i="35" s="1"/>
  <c r="AK24" i="35" s="1"/>
  <c r="P44" i="35"/>
  <c r="I152" i="38"/>
  <c r="G161" i="38"/>
  <c r="G164" i="38"/>
  <c r="G166" i="38"/>
  <c r="G153" i="38"/>
  <c r="G158" i="38"/>
  <c r="G159" i="38"/>
  <c r="G162" i="38"/>
  <c r="G165" i="38"/>
  <c r="G167" i="38"/>
  <c r="G157" i="38"/>
  <c r="Z46" i="35"/>
  <c r="Z44" i="35" s="1"/>
  <c r="Z25" i="35" s="1"/>
  <c r="Z24" i="35" s="1"/>
  <c r="R44" i="35"/>
  <c r="R25" i="35" s="1"/>
  <c r="R24" i="35" s="1"/>
  <c r="H44" i="35"/>
  <c r="BB46" i="35"/>
  <c r="I44" i="35"/>
  <c r="I25" i="35" s="1"/>
  <c r="I24" i="35" s="1"/>
  <c r="K25" i="35"/>
  <c r="AW44" i="35"/>
  <c r="L152" i="38"/>
  <c r="E149" i="38" s="1"/>
  <c r="AM46" i="35"/>
  <c r="AW148" i="35"/>
  <c r="AS46" i="35"/>
  <c r="AN46" i="35"/>
  <c r="AR46" i="35"/>
  <c r="AP46" i="35"/>
  <c r="AT46" i="35"/>
  <c r="AO46" i="35"/>
  <c r="AQ46" i="35"/>
  <c r="BJ43" i="35"/>
  <c r="BF43" i="35"/>
  <c r="F12" i="46"/>
  <c r="V12" i="46" s="1"/>
  <c r="F31" i="32"/>
  <c r="F30" i="32"/>
  <c r="G10" i="33"/>
  <c r="AB10" i="33" s="1"/>
  <c r="G8" i="33"/>
  <c r="F37" i="32"/>
  <c r="AU145" i="35"/>
  <c r="AU143" i="35" s="1"/>
  <c r="AU138" i="35" s="1"/>
  <c r="AU135" i="35" s="1"/>
  <c r="AM143" i="35"/>
  <c r="AM138" i="35" s="1"/>
  <c r="AM135" i="35" s="1"/>
  <c r="AV145" i="35"/>
  <c r="AV143" i="35" s="1"/>
  <c r="AV138" i="35" s="1"/>
  <c r="AV135" i="35" s="1"/>
  <c r="AN143" i="35"/>
  <c r="AN138" i="35" s="1"/>
  <c r="AN135" i="35" s="1"/>
  <c r="S36" i="35"/>
  <c r="BB41" i="35"/>
  <c r="F24" i="46"/>
  <c r="V24" i="46" s="1"/>
  <c r="Q36" i="35"/>
  <c r="BA41" i="35"/>
  <c r="AA24" i="35"/>
  <c r="AA122" i="35"/>
  <c r="AA118" i="35"/>
  <c r="AA146" i="35" s="1"/>
  <c r="AA116" i="35"/>
  <c r="AA112" i="35"/>
  <c r="AA123" i="35"/>
  <c r="AA151" i="35" s="1"/>
  <c r="AA113" i="35"/>
  <c r="AA109" i="35"/>
  <c r="AA105" i="35"/>
  <c r="AA119" i="35"/>
  <c r="AA103" i="35"/>
  <c r="AA131" i="35" s="1"/>
  <c r="AA101" i="35"/>
  <c r="AA106" i="35"/>
  <c r="AA120" i="35"/>
  <c r="AA114" i="35"/>
  <c r="AA111" i="35"/>
  <c r="AA121" i="35"/>
  <c r="AA108" i="35"/>
  <c r="AA102" i="35"/>
  <c r="AA100" i="35"/>
  <c r="AA104" i="35"/>
  <c r="AA115" i="35"/>
  <c r="AA143" i="35" s="1"/>
  <c r="AA110" i="35"/>
  <c r="AA138" i="35" s="1"/>
  <c r="AA117" i="35"/>
  <c r="W36" i="35"/>
  <c r="BD41" i="35"/>
  <c r="U36" i="35"/>
  <c r="BC41" i="35"/>
  <c r="BE43" i="35"/>
  <c r="BG43" i="35" s="1"/>
  <c r="Y41" i="35"/>
  <c r="AL24" i="35"/>
  <c r="AL123" i="35"/>
  <c r="AL151" i="35" s="1"/>
  <c r="AL119" i="35"/>
  <c r="AL113" i="35"/>
  <c r="AL114" i="35"/>
  <c r="AL106" i="35"/>
  <c r="AL103" i="35"/>
  <c r="AL131" i="35" s="1"/>
  <c r="AL101" i="35"/>
  <c r="AL122" i="35"/>
  <c r="AL118" i="35"/>
  <c r="AL146" i="35" s="1"/>
  <c r="AL121" i="35"/>
  <c r="AL111" i="35"/>
  <c r="AL116" i="35"/>
  <c r="AL112" i="35"/>
  <c r="AL108" i="35"/>
  <c r="AL104" i="35"/>
  <c r="AL102" i="35"/>
  <c r="AL100" i="35"/>
  <c r="AL120" i="35"/>
  <c r="AL109" i="35"/>
  <c r="AL105" i="35"/>
  <c r="AL115" i="35"/>
  <c r="AL143" i="35" s="1"/>
  <c r="AL110" i="35"/>
  <c r="AL138" i="35" s="1"/>
  <c r="AL117" i="35"/>
  <c r="J36" i="33"/>
  <c r="J34" i="33"/>
  <c r="J39" i="33"/>
  <c r="J35" i="33"/>
  <c r="I24" i="33"/>
  <c r="T7" i="33"/>
  <c r="AB6" i="33"/>
  <c r="M18" i="33"/>
  <c r="M19" i="33" s="1"/>
  <c r="G16" i="33"/>
  <c r="AB16" i="33" s="1"/>
  <c r="T6" i="33"/>
  <c r="T10" i="33" s="1"/>
  <c r="AE24" i="33"/>
  <c r="AA24" i="33"/>
  <c r="H24" i="33"/>
  <c r="AD24" i="33"/>
  <c r="G9" i="33"/>
  <c r="AB7" i="33"/>
  <c r="J9" i="33"/>
  <c r="H194" i="39" l="1"/>
  <c r="H191" i="39" s="1"/>
  <c r="H183" i="39" s="1"/>
  <c r="H230" i="39" s="1"/>
  <c r="H232" i="39" s="1"/>
  <c r="K41" i="36"/>
  <c r="D194" i="39"/>
  <c r="D191" i="39" s="1"/>
  <c r="D183" i="39" s="1"/>
  <c r="D20" i="34"/>
  <c r="D15" i="34" s="1"/>
  <c r="D12" i="34" s="1"/>
  <c r="D7" i="34" s="1"/>
  <c r="N79" i="39"/>
  <c r="M79" i="39"/>
  <c r="I187" i="39"/>
  <c r="G185" i="39"/>
  <c r="G9" i="39"/>
  <c r="G8" i="39" s="1"/>
  <c r="G2" i="39" s="1"/>
  <c r="I211" i="39"/>
  <c r="I209" i="39" s="1"/>
  <c r="I199" i="39" s="1"/>
  <c r="I194" i="39" s="1"/>
  <c r="I191" i="39" s="1"/>
  <c r="I183" i="39" s="1"/>
  <c r="I230" i="39" s="1"/>
  <c r="I232" i="39" s="1"/>
  <c r="I28" i="36"/>
  <c r="BC28" i="36" s="1"/>
  <c r="J28" i="36"/>
  <c r="BD28" i="36" s="1"/>
  <c r="BE28" i="36"/>
  <c r="G28" i="36"/>
  <c r="BA28" i="36" s="1"/>
  <c r="H28" i="36"/>
  <c r="BB28" i="36" s="1"/>
  <c r="N27" i="36"/>
  <c r="L27" i="36"/>
  <c r="O27" i="36"/>
  <c r="M27" i="36"/>
  <c r="N9" i="39"/>
  <c r="M9" i="39"/>
  <c r="E211" i="39"/>
  <c r="E209" i="39" s="1"/>
  <c r="E199" i="39" s="1"/>
  <c r="E194" i="39" s="1"/>
  <c r="E191" i="39" s="1"/>
  <c r="E183" i="39" s="1"/>
  <c r="F181" i="39" s="1"/>
  <c r="Q211" i="39"/>
  <c r="Q209" i="39" s="1"/>
  <c r="Q199" i="39" s="1"/>
  <c r="Q194" i="39" s="1"/>
  <c r="Q191" i="39" s="1"/>
  <c r="Q183" i="39" s="1"/>
  <c r="N31" i="39"/>
  <c r="D27" i="39"/>
  <c r="M31" i="39"/>
  <c r="G187" i="39"/>
  <c r="BE27" i="36"/>
  <c r="G27" i="36"/>
  <c r="BA27" i="36" s="1"/>
  <c r="H27" i="36"/>
  <c r="BB27" i="36" s="1"/>
  <c r="I27" i="36"/>
  <c r="BC27" i="36" s="1"/>
  <c r="J27" i="36"/>
  <c r="BC47" i="36"/>
  <c r="I44" i="36"/>
  <c r="BC44" i="36" s="1"/>
  <c r="BB47" i="36"/>
  <c r="H44" i="36"/>
  <c r="BB44" i="36" s="1"/>
  <c r="AU47" i="35"/>
  <c r="AM149" i="35"/>
  <c r="AU149" i="35" s="1"/>
  <c r="AN149" i="35"/>
  <c r="AV149" i="35" s="1"/>
  <c r="AV47" i="35"/>
  <c r="J47" i="36"/>
  <c r="BA47" i="36"/>
  <c r="G44" i="36"/>
  <c r="L23" i="34"/>
  <c r="BA46" i="35"/>
  <c r="BI46" i="35" s="1"/>
  <c r="H27" i="46"/>
  <c r="Y27" i="46" s="1"/>
  <c r="BC46" i="35"/>
  <c r="BE44" i="35"/>
  <c r="F28" i="52"/>
  <c r="E28" i="52"/>
  <c r="G28" i="52"/>
  <c r="J28" i="52" s="1"/>
  <c r="F19" i="46"/>
  <c r="F16" i="46" s="1"/>
  <c r="V19" i="46"/>
  <c r="V16" i="46" s="1"/>
  <c r="BA44" i="36"/>
  <c r="AO148" i="35"/>
  <c r="AO146" i="35" s="1"/>
  <c r="AO127" i="35" s="1"/>
  <c r="AO44" i="35"/>
  <c r="AO25" i="35" s="1"/>
  <c r="AO24" i="35" s="1"/>
  <c r="AP148" i="35"/>
  <c r="AP146" i="35" s="1"/>
  <c r="AP127" i="35" s="1"/>
  <c r="AP44" i="35"/>
  <c r="AP25" i="35" s="1"/>
  <c r="AP24" i="35" s="1"/>
  <c r="AN148" i="35"/>
  <c r="AV46" i="35"/>
  <c r="AV44" i="35" s="1"/>
  <c r="AV25" i="35" s="1"/>
  <c r="AV24" i="35" s="1"/>
  <c r="AN44" i="35"/>
  <c r="AN25" i="35" s="1"/>
  <c r="AN24" i="35" s="1"/>
  <c r="M152" i="38"/>
  <c r="C150" i="38"/>
  <c r="E27" i="46"/>
  <c r="P25" i="35"/>
  <c r="P118" i="35" s="1"/>
  <c r="P146" i="35" s="1"/>
  <c r="BA44" i="35"/>
  <c r="L25" i="35"/>
  <c r="L24" i="35" s="1"/>
  <c r="BD46" i="35"/>
  <c r="BJ46" i="35" s="1"/>
  <c r="AQ148" i="35"/>
  <c r="AQ146" i="35" s="1"/>
  <c r="AQ127" i="35" s="1"/>
  <c r="AQ44" i="35"/>
  <c r="AQ25" i="35" s="1"/>
  <c r="AQ24" i="35" s="1"/>
  <c r="AT148" i="35"/>
  <c r="AT146" i="35" s="1"/>
  <c r="AT127" i="35" s="1"/>
  <c r="AT44" i="35"/>
  <c r="AT25" i="35" s="1"/>
  <c r="AT24" i="35" s="1"/>
  <c r="AR148" i="35"/>
  <c r="AR146" i="35" s="1"/>
  <c r="AR127" i="35" s="1"/>
  <c r="AR44" i="35"/>
  <c r="AR25" i="35" s="1"/>
  <c r="AR24" i="35" s="1"/>
  <c r="AS148" i="35"/>
  <c r="AS146" i="35" s="1"/>
  <c r="AS127" i="35" s="1"/>
  <c r="AS44" i="35"/>
  <c r="AS25" i="35" s="1"/>
  <c r="AS24" i="35" s="1"/>
  <c r="AM148" i="35"/>
  <c r="AU46" i="35"/>
  <c r="AU44" i="35" s="1"/>
  <c r="AU25" i="35" s="1"/>
  <c r="AU24" i="35" s="1"/>
  <c r="AM44" i="35"/>
  <c r="AM25" i="35" s="1"/>
  <c r="AM24" i="35" s="1"/>
  <c r="AW146" i="35"/>
  <c r="AW127" i="35" s="1"/>
  <c r="AW25" i="35"/>
  <c r="AW24" i="35" s="1"/>
  <c r="K107" i="35"/>
  <c r="K135" i="35" s="1"/>
  <c r="K118" i="35"/>
  <c r="K146" i="35" s="1"/>
  <c r="K112" i="35"/>
  <c r="K111" i="35"/>
  <c r="K119" i="35"/>
  <c r="K101" i="35"/>
  <c r="K120" i="35"/>
  <c r="K114" i="35"/>
  <c r="K109" i="35"/>
  <c r="K121" i="35"/>
  <c r="K102" i="35"/>
  <c r="K106" i="35"/>
  <c r="K90" i="35"/>
  <c r="K122" i="35"/>
  <c r="K116" i="35"/>
  <c r="K115" i="35"/>
  <c r="K143" i="35" s="1"/>
  <c r="K123" i="35"/>
  <c r="K103" i="35"/>
  <c r="K104" i="35"/>
  <c r="K117" i="35"/>
  <c r="K113" i="35"/>
  <c r="K105" i="35"/>
  <c r="K108" i="35"/>
  <c r="K100" i="35"/>
  <c r="K24" i="35"/>
  <c r="K110" i="35"/>
  <c r="K138" i="35" s="1"/>
  <c r="BB44" i="35"/>
  <c r="H25" i="35"/>
  <c r="H24" i="35" s="1"/>
  <c r="M153" i="38"/>
  <c r="G156" i="38"/>
  <c r="G163" i="38"/>
  <c r="G160" i="38" s="1"/>
  <c r="G152" i="38" s="1"/>
  <c r="BF46" i="35"/>
  <c r="BE46" i="35"/>
  <c r="Y44" i="36"/>
  <c r="BE44" i="36" s="1"/>
  <c r="BC44" i="35"/>
  <c r="N25" i="35"/>
  <c r="N24" i="35" s="1"/>
  <c r="BD44" i="35"/>
  <c r="J25" i="35"/>
  <c r="J24" i="35" s="1"/>
  <c r="BJ41" i="35"/>
  <c r="I24" i="46"/>
  <c r="Z24" i="46" s="1"/>
  <c r="AI105" i="35"/>
  <c r="AI133" i="35" s="1"/>
  <c r="AD105" i="35"/>
  <c r="AF105" i="35"/>
  <c r="AF133" i="35" s="1"/>
  <c r="AL133" i="35"/>
  <c r="AE105" i="35"/>
  <c r="AE133" i="35" s="1"/>
  <c r="AC105" i="35"/>
  <c r="AB105" i="35"/>
  <c r="AH105" i="35"/>
  <c r="AH133" i="35" s="1"/>
  <c r="AG105" i="35"/>
  <c r="AG133" i="35" s="1"/>
  <c r="AF120" i="35"/>
  <c r="AF148" i="35" s="1"/>
  <c r="AB120" i="35"/>
  <c r="AI120" i="35"/>
  <c r="AI148" i="35" s="1"/>
  <c r="AC120" i="35"/>
  <c r="AD120" i="35"/>
  <c r="AH120" i="35"/>
  <c r="AH148" i="35" s="1"/>
  <c r="AL148" i="35"/>
  <c r="AG120" i="35"/>
  <c r="AG148" i="35" s="1"/>
  <c r="AE120" i="35"/>
  <c r="AE148" i="35" s="1"/>
  <c r="AL130" i="35"/>
  <c r="AB102" i="35"/>
  <c r="AE102" i="35"/>
  <c r="AE130" i="35" s="1"/>
  <c r="AG102" i="35"/>
  <c r="AG130" i="35" s="1"/>
  <c r="AD102" i="35"/>
  <c r="AI102" i="35"/>
  <c r="AI130" i="35" s="1"/>
  <c r="AH102" i="35"/>
  <c r="AH130" i="35" s="1"/>
  <c r="AF102" i="35"/>
  <c r="AF130" i="35" s="1"/>
  <c r="AC102" i="35"/>
  <c r="AB108" i="35"/>
  <c r="AF108" i="35"/>
  <c r="AC108" i="35"/>
  <c r="AH108" i="35"/>
  <c r="AH136" i="35" s="1"/>
  <c r="AD108" i="35"/>
  <c r="AL136" i="35"/>
  <c r="AE108" i="35"/>
  <c r="AE136" i="35" s="1"/>
  <c r="AI108" i="35"/>
  <c r="AI136" i="35" s="1"/>
  <c r="AG108" i="35"/>
  <c r="AH116" i="35"/>
  <c r="AD116" i="35"/>
  <c r="AB116" i="35"/>
  <c r="AG116" i="35"/>
  <c r="AE116" i="35"/>
  <c r="AF116" i="35"/>
  <c r="AL144" i="35"/>
  <c r="AC116" i="35"/>
  <c r="AI116" i="35"/>
  <c r="AF121" i="35"/>
  <c r="AF149" i="35" s="1"/>
  <c r="AB121" i="35"/>
  <c r="AI121" i="35"/>
  <c r="AI149" i="35" s="1"/>
  <c r="AE121" i="35"/>
  <c r="AE149" i="35" s="1"/>
  <c r="AG121" i="35"/>
  <c r="AG149" i="35" s="1"/>
  <c r="AH121" i="35"/>
  <c r="AH149" i="35" s="1"/>
  <c r="AD121" i="35"/>
  <c r="AC121" i="35"/>
  <c r="AL149" i="35"/>
  <c r="AD122" i="35"/>
  <c r="AF122" i="35"/>
  <c r="AF150" i="35" s="1"/>
  <c r="AB122" i="35"/>
  <c r="AG122" i="35"/>
  <c r="AG150" i="35" s="1"/>
  <c r="AL150" i="35"/>
  <c r="AC122" i="35"/>
  <c r="AH122" i="35"/>
  <c r="AH150" i="35" s="1"/>
  <c r="AE122" i="35"/>
  <c r="AE150" i="35" s="1"/>
  <c r="AI122" i="35"/>
  <c r="AI150" i="35" s="1"/>
  <c r="AF114" i="35"/>
  <c r="AF142" i="35" s="1"/>
  <c r="AD114" i="35"/>
  <c r="AB114" i="35"/>
  <c r="AC114" i="35"/>
  <c r="AH114" i="35"/>
  <c r="AH142" i="35" s="1"/>
  <c r="AL142" i="35"/>
  <c r="AE114" i="35"/>
  <c r="AE142" i="35" s="1"/>
  <c r="AI114" i="35"/>
  <c r="AI142" i="35" s="1"/>
  <c r="AG114" i="35"/>
  <c r="AG142" i="35" s="1"/>
  <c r="AD119" i="35"/>
  <c r="AB119" i="35"/>
  <c r="AF119" i="35"/>
  <c r="AL147" i="35"/>
  <c r="AG119" i="35"/>
  <c r="AI119" i="35"/>
  <c r="AE119" i="35"/>
  <c r="AC119" i="35"/>
  <c r="AH119" i="35"/>
  <c r="U33" i="35"/>
  <c r="BC36" i="35"/>
  <c r="W33" i="35"/>
  <c r="BD36" i="35"/>
  <c r="R104" i="35"/>
  <c r="W104" i="35"/>
  <c r="W132" i="35" s="1"/>
  <c r="T104" i="35"/>
  <c r="T132" i="35" s="1"/>
  <c r="U104" i="35"/>
  <c r="U132" i="35" s="1"/>
  <c r="S104" i="35"/>
  <c r="S132" i="35" s="1"/>
  <c r="X104" i="35"/>
  <c r="X132" i="35" s="1"/>
  <c r="V104" i="35"/>
  <c r="V132" i="35" s="1"/>
  <c r="Q104" i="35"/>
  <c r="AA132" i="35"/>
  <c r="S102" i="35"/>
  <c r="S130" i="35" s="1"/>
  <c r="R102" i="35"/>
  <c r="AA130" i="35"/>
  <c r="U102" i="35"/>
  <c r="U130" i="35" s="1"/>
  <c r="T102" i="35"/>
  <c r="T130" i="35" s="1"/>
  <c r="W102" i="35"/>
  <c r="W130" i="35" s="1"/>
  <c r="V102" i="35"/>
  <c r="V130" i="35" s="1"/>
  <c r="X102" i="35"/>
  <c r="X130" i="35" s="1"/>
  <c r="Q102" i="35"/>
  <c r="Q121" i="35"/>
  <c r="W121" i="35"/>
  <c r="W149" i="35" s="1"/>
  <c r="U121" i="35"/>
  <c r="U149" i="35" s="1"/>
  <c r="S121" i="35"/>
  <c r="S149" i="35" s="1"/>
  <c r="X121" i="35"/>
  <c r="X149" i="35" s="1"/>
  <c r="V121" i="35"/>
  <c r="V149" i="35" s="1"/>
  <c r="AA149" i="35"/>
  <c r="R121" i="35"/>
  <c r="T121" i="35"/>
  <c r="AA142" i="35"/>
  <c r="W114" i="35"/>
  <c r="W142" i="35" s="1"/>
  <c r="S114" i="35"/>
  <c r="S142" i="35" s="1"/>
  <c r="V114" i="35"/>
  <c r="V142" i="35" s="1"/>
  <c r="T114" i="35"/>
  <c r="T142" i="35" s="1"/>
  <c r="U114" i="35"/>
  <c r="U142" i="35" s="1"/>
  <c r="X114" i="35"/>
  <c r="X142" i="35" s="1"/>
  <c r="R114" i="35"/>
  <c r="Q114" i="35"/>
  <c r="X106" i="35"/>
  <c r="X134" i="35" s="1"/>
  <c r="R106" i="35"/>
  <c r="R134" i="35" s="1"/>
  <c r="S106" i="35"/>
  <c r="S134" i="35" s="1"/>
  <c r="U106" i="35"/>
  <c r="U134" i="35" s="1"/>
  <c r="V106" i="35"/>
  <c r="V134" i="35" s="1"/>
  <c r="W106" i="35"/>
  <c r="W134" i="35" s="1"/>
  <c r="Q106" i="35"/>
  <c r="AA134" i="35"/>
  <c r="T106" i="35"/>
  <c r="U105" i="35"/>
  <c r="U133" i="35" s="1"/>
  <c r="V105" i="35"/>
  <c r="V133" i="35" s="1"/>
  <c r="Q105" i="35"/>
  <c r="Q133" i="35" s="1"/>
  <c r="W105" i="35"/>
  <c r="W133" i="35" s="1"/>
  <c r="X105" i="35"/>
  <c r="X133" i="35" s="1"/>
  <c r="R105" i="35"/>
  <c r="T105" i="35"/>
  <c r="T133" i="35" s="1"/>
  <c r="AA133" i="35"/>
  <c r="S105" i="35"/>
  <c r="AA141" i="35"/>
  <c r="Q113" i="35"/>
  <c r="X113" i="35"/>
  <c r="X141" i="35" s="1"/>
  <c r="V113" i="35"/>
  <c r="V141" i="35" s="1"/>
  <c r="U113" i="35"/>
  <c r="U141" i="35" s="1"/>
  <c r="R113" i="35"/>
  <c r="W113" i="35"/>
  <c r="W141" i="35" s="1"/>
  <c r="T113" i="35"/>
  <c r="T141" i="35" s="1"/>
  <c r="S113" i="35"/>
  <c r="S141" i="35" s="1"/>
  <c r="AA140" i="35"/>
  <c r="S112" i="35"/>
  <c r="S140" i="35" s="1"/>
  <c r="T112" i="35"/>
  <c r="T140" i="35" s="1"/>
  <c r="R112" i="35"/>
  <c r="V112" i="35"/>
  <c r="V140" i="35" s="1"/>
  <c r="Q112" i="35"/>
  <c r="X112" i="35"/>
  <c r="X140" i="35" s="1"/>
  <c r="U112" i="35"/>
  <c r="U140" i="35" s="1"/>
  <c r="W112" i="35"/>
  <c r="W140" i="35" s="1"/>
  <c r="Q33" i="35"/>
  <c r="BA36" i="35"/>
  <c r="BJ36" i="35"/>
  <c r="BJ33" i="35" s="1"/>
  <c r="AF117" i="35"/>
  <c r="AF145" i="35" s="1"/>
  <c r="AB117" i="35"/>
  <c r="AD117" i="35"/>
  <c r="AC117" i="35"/>
  <c r="AH117" i="35"/>
  <c r="AH145" i="35" s="1"/>
  <c r="AG117" i="35"/>
  <c r="AG145" i="35" s="1"/>
  <c r="AE117" i="35"/>
  <c r="AE145" i="35" s="1"/>
  <c r="AI117" i="35"/>
  <c r="AI145" i="35" s="1"/>
  <c r="AL145" i="35"/>
  <c r="AF109" i="35"/>
  <c r="AF137" i="35" s="1"/>
  <c r="AI109" i="35"/>
  <c r="AI137" i="35" s="1"/>
  <c r="AC109" i="35"/>
  <c r="AH109" i="35"/>
  <c r="AH137" i="35" s="1"/>
  <c r="AB109" i="35"/>
  <c r="AD109" i="35"/>
  <c r="AE109" i="35"/>
  <c r="AE137" i="35" s="1"/>
  <c r="AL137" i="35"/>
  <c r="AG109" i="35"/>
  <c r="AG137" i="35" s="1"/>
  <c r="AF100" i="35"/>
  <c r="AD100" i="35"/>
  <c r="AG100" i="35"/>
  <c r="AE100" i="35"/>
  <c r="AL128" i="35"/>
  <c r="AC100" i="35"/>
  <c r="AH100" i="35"/>
  <c r="AI100" i="35"/>
  <c r="AB100" i="35"/>
  <c r="AL99" i="35"/>
  <c r="AF104" i="35"/>
  <c r="AF132" i="35" s="1"/>
  <c r="AB104" i="35"/>
  <c r="AE104" i="35"/>
  <c r="AE132" i="35" s="1"/>
  <c r="AI104" i="35"/>
  <c r="AI132" i="35" s="1"/>
  <c r="AC104" i="35"/>
  <c r="AH104" i="35"/>
  <c r="AH132" i="35" s="1"/>
  <c r="AG104" i="35"/>
  <c r="AG132" i="35" s="1"/>
  <c r="AD104" i="35"/>
  <c r="AL132" i="35"/>
  <c r="AF112" i="35"/>
  <c r="AF140" i="35" s="1"/>
  <c r="AB112" i="35"/>
  <c r="AL140" i="35"/>
  <c r="AD112" i="35"/>
  <c r="AC112" i="35"/>
  <c r="AH112" i="35"/>
  <c r="AH140" i="35" s="1"/>
  <c r="AG112" i="35"/>
  <c r="AG140" i="35" s="1"/>
  <c r="AE112" i="35"/>
  <c r="AE140" i="35" s="1"/>
  <c r="AI112" i="35"/>
  <c r="AI140" i="35" s="1"/>
  <c r="AF111" i="35"/>
  <c r="AD111" i="35"/>
  <c r="AL139" i="35"/>
  <c r="AH111" i="35"/>
  <c r="AH139" i="35" s="1"/>
  <c r="AC111" i="35"/>
  <c r="AB111" i="35"/>
  <c r="AG111" i="35"/>
  <c r="AE111" i="35"/>
  <c r="AE139" i="35" s="1"/>
  <c r="AI111" i="35"/>
  <c r="AI139" i="35" s="1"/>
  <c r="AL129" i="35"/>
  <c r="AC101" i="35"/>
  <c r="AH101" i="35"/>
  <c r="AH129" i="35" s="1"/>
  <c r="AD101" i="35"/>
  <c r="AG101" i="35"/>
  <c r="AG129" i="35" s="1"/>
  <c r="AF101" i="35"/>
  <c r="AF129" i="35" s="1"/>
  <c r="AE101" i="35"/>
  <c r="AE129" i="35" s="1"/>
  <c r="AB101" i="35"/>
  <c r="AI101" i="35"/>
  <c r="AI129" i="35" s="1"/>
  <c r="AI106" i="35"/>
  <c r="AI134" i="35" s="1"/>
  <c r="AD106" i="35"/>
  <c r="AF106" i="35"/>
  <c r="AF134" i="35" s="1"/>
  <c r="AE106" i="35"/>
  <c r="AE134" i="35" s="1"/>
  <c r="AG106" i="35"/>
  <c r="AG134" i="35" s="1"/>
  <c r="AB106" i="35"/>
  <c r="AC106" i="35"/>
  <c r="AH106" i="35"/>
  <c r="AH134" i="35" s="1"/>
  <c r="AL134" i="35"/>
  <c r="AF113" i="35"/>
  <c r="AF141" i="35" s="1"/>
  <c r="AB113" i="35"/>
  <c r="AC113" i="35"/>
  <c r="AL141" i="35"/>
  <c r="AG113" i="35"/>
  <c r="AG141" i="35" s="1"/>
  <c r="AE113" i="35"/>
  <c r="AE141" i="35" s="1"/>
  <c r="AH113" i="35"/>
  <c r="AH141" i="35" s="1"/>
  <c r="AI113" i="35"/>
  <c r="AI141" i="35" s="1"/>
  <c r="AD113" i="35"/>
  <c r="Y36" i="35"/>
  <c r="BE41" i="35"/>
  <c r="S117" i="35"/>
  <c r="S145" i="35" s="1"/>
  <c r="U117" i="35"/>
  <c r="U145" i="35" s="1"/>
  <c r="V117" i="35"/>
  <c r="V145" i="35" s="1"/>
  <c r="W117" i="35"/>
  <c r="W145" i="35" s="1"/>
  <c r="T117" i="35"/>
  <c r="T145" i="35" s="1"/>
  <c r="Q117" i="35"/>
  <c r="X117" i="35"/>
  <c r="R117" i="35"/>
  <c r="AA145" i="35"/>
  <c r="V100" i="35"/>
  <c r="Q100" i="35"/>
  <c r="U100" i="35"/>
  <c r="W100" i="35"/>
  <c r="S100" i="35"/>
  <c r="R100" i="35"/>
  <c r="X100" i="35"/>
  <c r="T100" i="35"/>
  <c r="AA99" i="35"/>
  <c r="AA128" i="35"/>
  <c r="X108" i="35"/>
  <c r="X136" i="35" s="1"/>
  <c r="V108" i="35"/>
  <c r="V136" i="35" s="1"/>
  <c r="U108" i="35"/>
  <c r="U136" i="35" s="1"/>
  <c r="T108" i="35"/>
  <c r="T136" i="35" s="1"/>
  <c r="R108" i="35"/>
  <c r="Q108" i="35"/>
  <c r="AA136" i="35"/>
  <c r="S108" i="35"/>
  <c r="W108" i="35"/>
  <c r="AA139" i="35"/>
  <c r="W111" i="35"/>
  <c r="W139" i="35" s="1"/>
  <c r="Q111" i="35"/>
  <c r="U111" i="35"/>
  <c r="U139" i="35" s="1"/>
  <c r="T111" i="35"/>
  <c r="T139" i="35" s="1"/>
  <c r="R111" i="35"/>
  <c r="X111" i="35"/>
  <c r="X139" i="35" s="1"/>
  <c r="V111" i="35"/>
  <c r="V139" i="35" s="1"/>
  <c r="S111" i="35"/>
  <c r="AA148" i="35"/>
  <c r="U120" i="35"/>
  <c r="U148" i="35" s="1"/>
  <c r="S120" i="35"/>
  <c r="S148" i="35" s="1"/>
  <c r="X120" i="35"/>
  <c r="X148" i="35" s="1"/>
  <c r="V120" i="35"/>
  <c r="V148" i="35" s="1"/>
  <c r="T120" i="35"/>
  <c r="T148" i="35" s="1"/>
  <c r="R120" i="35"/>
  <c r="W120" i="35"/>
  <c r="W148" i="35" s="1"/>
  <c r="Q120" i="35"/>
  <c r="V101" i="35"/>
  <c r="V129" i="35" s="1"/>
  <c r="U101" i="35"/>
  <c r="U129" i="35" s="1"/>
  <c r="S101" i="35"/>
  <c r="S129" i="35" s="1"/>
  <c r="W101" i="35"/>
  <c r="W129" i="35" s="1"/>
  <c r="Q101" i="35"/>
  <c r="AA129" i="35"/>
  <c r="T101" i="35"/>
  <c r="T129" i="35" s="1"/>
  <c r="X101" i="35"/>
  <c r="X129" i="35" s="1"/>
  <c r="R101" i="35"/>
  <c r="AA147" i="35"/>
  <c r="S119" i="35"/>
  <c r="V119" i="35"/>
  <c r="W119" i="35"/>
  <c r="X119" i="35"/>
  <c r="U119" i="35"/>
  <c r="Q119" i="35"/>
  <c r="T119" i="35"/>
  <c r="T147" i="35" s="1"/>
  <c r="R119" i="35"/>
  <c r="AA137" i="35"/>
  <c r="W109" i="35"/>
  <c r="W137" i="35" s="1"/>
  <c r="Q109" i="35"/>
  <c r="V109" i="35"/>
  <c r="V137" i="35" s="1"/>
  <c r="S109" i="35"/>
  <c r="S137" i="35" s="1"/>
  <c r="X109" i="35"/>
  <c r="X137" i="35" s="1"/>
  <c r="U109" i="35"/>
  <c r="U137" i="35" s="1"/>
  <c r="T109" i="35"/>
  <c r="T137" i="35" s="1"/>
  <c r="R109" i="35"/>
  <c r="AA144" i="35"/>
  <c r="V116" i="35"/>
  <c r="W116" i="35"/>
  <c r="R116" i="35"/>
  <c r="S116" i="35"/>
  <c r="U116" i="35"/>
  <c r="Q116" i="35"/>
  <c r="X116" i="35"/>
  <c r="X144" i="35" s="1"/>
  <c r="T116" i="35"/>
  <c r="AA150" i="35"/>
  <c r="T122" i="35"/>
  <c r="T150" i="35" s="1"/>
  <c r="U122" i="35"/>
  <c r="U150" i="35" s="1"/>
  <c r="V122" i="35"/>
  <c r="V150" i="35" s="1"/>
  <c r="Q122" i="35"/>
  <c r="S122" i="35"/>
  <c r="S150" i="35" s="1"/>
  <c r="X122" i="35"/>
  <c r="X150" i="35" s="1"/>
  <c r="R122" i="35"/>
  <c r="W122" i="35"/>
  <c r="W150" i="35" s="1"/>
  <c r="BF41" i="35"/>
  <c r="BI41" i="35"/>
  <c r="BI36" i="35" s="1"/>
  <c r="BK43" i="35"/>
  <c r="BK41" i="35" s="1"/>
  <c r="BK36" i="35" s="1"/>
  <c r="BK33" i="35" s="1"/>
  <c r="S33" i="35"/>
  <c r="BB36" i="35"/>
  <c r="H40" i="33"/>
  <c r="H39" i="33"/>
  <c r="H36" i="33"/>
  <c r="H34" i="33"/>
  <c r="G24" i="33"/>
  <c r="H35" i="33"/>
  <c r="AE40" i="33"/>
  <c r="AE34" i="33"/>
  <c r="AE39" i="33"/>
  <c r="AE45" i="33" s="1"/>
  <c r="AE49" i="33" s="1"/>
  <c r="AE52" i="33" s="1"/>
  <c r="AE35" i="33"/>
  <c r="AD39" i="33"/>
  <c r="AD45" i="33" s="1"/>
  <c r="AD49" i="33" s="1"/>
  <c r="AD52" i="33" s="1"/>
  <c r="AD34" i="33"/>
  <c r="AD40" i="33"/>
  <c r="AD35" i="33"/>
  <c r="AA40" i="33"/>
  <c r="AA34" i="33"/>
  <c r="AA39" i="33"/>
  <c r="AA45" i="33" s="1"/>
  <c r="AA49" i="33" s="1"/>
  <c r="AA52" i="33" s="1"/>
  <c r="AA35" i="33"/>
  <c r="I39" i="33"/>
  <c r="P11" i="33" s="1"/>
  <c r="I36" i="33"/>
  <c r="I34" i="33"/>
  <c r="I35" i="33"/>
  <c r="BI27" i="36" l="1"/>
  <c r="M27" i="39"/>
  <c r="N27" i="39"/>
  <c r="D8" i="39"/>
  <c r="BI28" i="36"/>
  <c r="BF28" i="36"/>
  <c r="BG28" i="36" s="1"/>
  <c r="BD27" i="36"/>
  <c r="BF27" i="36" s="1"/>
  <c r="BG27" i="36" s="1"/>
  <c r="BJ27" i="36"/>
  <c r="BK27" i="36" s="1"/>
  <c r="BJ28" i="36"/>
  <c r="BK28" i="36" s="1"/>
  <c r="D27" i="34"/>
  <c r="D28" i="34" s="1"/>
  <c r="D182" i="39"/>
  <c r="BI47" i="36"/>
  <c r="BI44" i="36" s="1"/>
  <c r="BD47" i="36"/>
  <c r="BF47" i="36" s="1"/>
  <c r="BG47" i="36" s="1"/>
  <c r="J44" i="36"/>
  <c r="BD44" i="36" s="1"/>
  <c r="BF44" i="36" s="1"/>
  <c r="BG44" i="36" s="1"/>
  <c r="BJ47" i="36"/>
  <c r="H28" i="46" s="1"/>
  <c r="Y28" i="46" s="1"/>
  <c r="U27" i="46"/>
  <c r="BG46" i="36"/>
  <c r="AA127" i="35"/>
  <c r="H28" i="52"/>
  <c r="I28" i="52"/>
  <c r="K28" i="52" s="1"/>
  <c r="I19" i="46"/>
  <c r="I16" i="46" s="1"/>
  <c r="Z19" i="46"/>
  <c r="Z16" i="46" s="1"/>
  <c r="H25" i="46"/>
  <c r="Y25" i="46"/>
  <c r="I27" i="46"/>
  <c r="Z27" i="46" s="1"/>
  <c r="AA27" i="46" s="1"/>
  <c r="BJ44" i="35"/>
  <c r="BK46" i="35"/>
  <c r="BK44" i="35" s="1"/>
  <c r="BK25" i="35" s="1"/>
  <c r="BI44" i="35"/>
  <c r="F27" i="46"/>
  <c r="V27" i="46" s="1"/>
  <c r="W27" i="46" s="1"/>
  <c r="K128" i="35"/>
  <c r="K99" i="35"/>
  <c r="J105" i="35"/>
  <c r="I105" i="35"/>
  <c r="H105" i="35"/>
  <c r="H133" i="35" s="1"/>
  <c r="G105" i="35"/>
  <c r="G133" i="35" s="1"/>
  <c r="K133" i="35"/>
  <c r="K145" i="35"/>
  <c r="I117" i="35"/>
  <c r="I145" i="35" s="1"/>
  <c r="H117" i="35"/>
  <c r="H145" i="35" s="1"/>
  <c r="G117" i="35"/>
  <c r="G145" i="35" s="1"/>
  <c r="H103" i="35"/>
  <c r="H131" i="35" s="1"/>
  <c r="I103" i="35"/>
  <c r="I131" i="35" s="1"/>
  <c r="K131" i="35"/>
  <c r="G103" i="35"/>
  <c r="I122" i="35"/>
  <c r="I150" i="35" s="1"/>
  <c r="G122" i="35"/>
  <c r="H122" i="35"/>
  <c r="H150" i="35" s="1"/>
  <c r="K150" i="35"/>
  <c r="I106" i="35"/>
  <c r="I134" i="35" s="1"/>
  <c r="J106" i="35"/>
  <c r="J134" i="35" s="1"/>
  <c r="H106" i="35"/>
  <c r="H134" i="35" s="1"/>
  <c r="G106" i="35"/>
  <c r="K134" i="35"/>
  <c r="K149" i="35"/>
  <c r="I121" i="35"/>
  <c r="H121" i="35"/>
  <c r="G121" i="35"/>
  <c r="K142" i="35"/>
  <c r="I114" i="35"/>
  <c r="G114" i="35"/>
  <c r="H114" i="35"/>
  <c r="I101" i="35"/>
  <c r="K129" i="35"/>
  <c r="J101" i="35"/>
  <c r="H101" i="35"/>
  <c r="G101" i="35"/>
  <c r="G111" i="35"/>
  <c r="K139" i="35"/>
  <c r="I111" i="35"/>
  <c r="H111" i="35"/>
  <c r="AU148" i="35"/>
  <c r="AU146" i="35" s="1"/>
  <c r="AU127" i="35" s="1"/>
  <c r="AM146" i="35"/>
  <c r="AM127" i="35" s="1"/>
  <c r="AV148" i="35"/>
  <c r="AV146" i="35" s="1"/>
  <c r="AV127" i="35" s="1"/>
  <c r="AN146" i="35"/>
  <c r="AN127" i="35" s="1"/>
  <c r="BJ25" i="35"/>
  <c r="BG46" i="35"/>
  <c r="I108" i="35"/>
  <c r="I136" i="35" s="1"/>
  <c r="G108" i="35"/>
  <c r="K136" i="35"/>
  <c r="H108" i="35"/>
  <c r="H136" i="35" s="1"/>
  <c r="K141" i="35"/>
  <c r="I113" i="35"/>
  <c r="G113" i="35"/>
  <c r="H113" i="35"/>
  <c r="H141" i="35" s="1"/>
  <c r="H104" i="35"/>
  <c r="K132" i="35"/>
  <c r="I104" i="35"/>
  <c r="I132" i="35" s="1"/>
  <c r="G104" i="35"/>
  <c r="G132" i="35" s="1"/>
  <c r="K151" i="35"/>
  <c r="G116" i="35"/>
  <c r="H116" i="35"/>
  <c r="I116" i="35"/>
  <c r="K144" i="35"/>
  <c r="J116" i="35"/>
  <c r="H102" i="35"/>
  <c r="J102" i="35"/>
  <c r="I102" i="35"/>
  <c r="G102" i="35"/>
  <c r="K130" i="35"/>
  <c r="H109" i="35"/>
  <c r="I109" i="35"/>
  <c r="G109" i="35"/>
  <c r="K137" i="35"/>
  <c r="I120" i="35"/>
  <c r="H120" i="35"/>
  <c r="K148" i="35"/>
  <c r="G120" i="35"/>
  <c r="H119" i="35"/>
  <c r="I119" i="35"/>
  <c r="K147" i="35"/>
  <c r="G119" i="35"/>
  <c r="G112" i="35"/>
  <c r="K140" i="35"/>
  <c r="I112" i="35"/>
  <c r="H112" i="35"/>
  <c r="BF44" i="35"/>
  <c r="BG44" i="35" s="1"/>
  <c r="P107" i="35"/>
  <c r="P135" i="35" s="1"/>
  <c r="P24" i="35"/>
  <c r="P101" i="35"/>
  <c r="P106" i="35"/>
  <c r="P119" i="35"/>
  <c r="P112" i="35"/>
  <c r="P104" i="35"/>
  <c r="P115" i="35"/>
  <c r="P143" i="35" s="1"/>
  <c r="P110" i="35"/>
  <c r="P138" i="35" s="1"/>
  <c r="P109" i="35"/>
  <c r="P102" i="35"/>
  <c r="P111" i="35"/>
  <c r="P114" i="35"/>
  <c r="P117" i="35"/>
  <c r="P122" i="35"/>
  <c r="P105" i="35"/>
  <c r="P100" i="35"/>
  <c r="P120" i="35"/>
  <c r="P123" i="35"/>
  <c r="P151" i="35" s="1"/>
  <c r="P103" i="35"/>
  <c r="P113" i="35"/>
  <c r="P116" i="35"/>
  <c r="P108" i="35"/>
  <c r="P121" i="35"/>
  <c r="AX25" i="35"/>
  <c r="S25" i="35"/>
  <c r="S24" i="35" s="1"/>
  <c r="BB33" i="35"/>
  <c r="BB25" i="35" s="1"/>
  <c r="Y122" i="35"/>
  <c r="Q150" i="35"/>
  <c r="Y150" i="35" s="1"/>
  <c r="U144" i="35"/>
  <c r="U143" i="35" s="1"/>
  <c r="U115" i="35"/>
  <c r="U110" i="35" s="1"/>
  <c r="U107" i="35" s="1"/>
  <c r="Z116" i="35"/>
  <c r="R115" i="35"/>
  <c r="R110" i="35" s="1"/>
  <c r="R107" i="35" s="1"/>
  <c r="R144" i="35"/>
  <c r="V115" i="35"/>
  <c r="V110" i="35" s="1"/>
  <c r="V107" i="35" s="1"/>
  <c r="V144" i="35"/>
  <c r="V143" i="35" s="1"/>
  <c r="V138" i="35" s="1"/>
  <c r="V135" i="35" s="1"/>
  <c r="Z109" i="35"/>
  <c r="R137" i="35"/>
  <c r="Z137" i="35" s="1"/>
  <c r="Y109" i="35"/>
  <c r="Q137" i="35"/>
  <c r="Y137" i="35" s="1"/>
  <c r="U118" i="35"/>
  <c r="U147" i="35"/>
  <c r="U146" i="35" s="1"/>
  <c r="W118" i="35"/>
  <c r="W147" i="35"/>
  <c r="W146" i="35" s="1"/>
  <c r="S147" i="35"/>
  <c r="S146" i="35" s="1"/>
  <c r="S118" i="35"/>
  <c r="R129" i="35"/>
  <c r="Z129" i="35" s="1"/>
  <c r="Z101" i="35"/>
  <c r="Y101" i="35"/>
  <c r="Q129" i="35"/>
  <c r="Y129" i="35" s="1"/>
  <c r="S139" i="35"/>
  <c r="Y111" i="35"/>
  <c r="Q139" i="35"/>
  <c r="S136" i="35"/>
  <c r="Q136" i="35"/>
  <c r="Y108" i="35"/>
  <c r="T128" i="35"/>
  <c r="T103" i="35"/>
  <c r="R128" i="35"/>
  <c r="R103" i="35"/>
  <c r="W128" i="35"/>
  <c r="W131" i="35" s="1"/>
  <c r="W103" i="35"/>
  <c r="Q128" i="35"/>
  <c r="Q103" i="35"/>
  <c r="X115" i="35"/>
  <c r="X110" i="35" s="1"/>
  <c r="X107" i="35" s="1"/>
  <c r="X145" i="35"/>
  <c r="X143" i="35" s="1"/>
  <c r="X138" i="35" s="1"/>
  <c r="X135" i="35" s="1"/>
  <c r="BG41" i="35"/>
  <c r="AB141" i="35"/>
  <c r="AJ113" i="35"/>
  <c r="AK106" i="35"/>
  <c r="AC134" i="35"/>
  <c r="AK134" i="35" s="1"/>
  <c r="AJ101" i="35"/>
  <c r="AB129" i="35"/>
  <c r="AD129" i="35"/>
  <c r="AC129" i="35"/>
  <c r="AK129" i="35" s="1"/>
  <c r="AK101" i="35"/>
  <c r="AG139" i="35"/>
  <c r="AC139" i="35"/>
  <c r="AK111" i="35"/>
  <c r="AF139" i="35"/>
  <c r="AD140" i="35"/>
  <c r="AB140" i="35"/>
  <c r="AJ112" i="35"/>
  <c r="AK104" i="35"/>
  <c r="AC132" i="35"/>
  <c r="AK132" i="35" s="1"/>
  <c r="AB103" i="35"/>
  <c r="AB128" i="35"/>
  <c r="AH128" i="35"/>
  <c r="AH103" i="35"/>
  <c r="AL127" i="35"/>
  <c r="AG128" i="35"/>
  <c r="AG131" i="35" s="1"/>
  <c r="AG103" i="35"/>
  <c r="AF128" i="35"/>
  <c r="AF131" i="35" s="1"/>
  <c r="AF103" i="35"/>
  <c r="AD137" i="35"/>
  <c r="AD145" i="35"/>
  <c r="BF36" i="35"/>
  <c r="BI112" i="35"/>
  <c r="Z113" i="35"/>
  <c r="R141" i="35"/>
  <c r="Z141" i="35" s="1"/>
  <c r="Q141" i="35"/>
  <c r="Y141" i="35" s="1"/>
  <c r="Y113" i="35"/>
  <c r="Y105" i="35"/>
  <c r="S133" i="35"/>
  <c r="Y133" i="35" s="1"/>
  <c r="Y114" i="35"/>
  <c r="Q142" i="35"/>
  <c r="Y142" i="35" s="1"/>
  <c r="Z121" i="35"/>
  <c r="R149" i="35"/>
  <c r="Q130" i="35"/>
  <c r="Y130" i="35" s="1"/>
  <c r="Y102" i="35"/>
  <c r="Q132" i="35"/>
  <c r="Y132" i="35" s="1"/>
  <c r="Y104" i="35"/>
  <c r="AK119" i="35"/>
  <c r="AC118" i="35"/>
  <c r="AC147" i="35"/>
  <c r="AI147" i="35"/>
  <c r="AI146" i="35" s="1"/>
  <c r="AI118" i="35"/>
  <c r="AB118" i="35"/>
  <c r="AB147" i="35"/>
  <c r="AB142" i="35"/>
  <c r="AJ114" i="35"/>
  <c r="AC150" i="35"/>
  <c r="AK150" i="35" s="1"/>
  <c r="AK122" i="35"/>
  <c r="AD149" i="35"/>
  <c r="AC115" i="35"/>
  <c r="AC110" i="35" s="1"/>
  <c r="AC107" i="35" s="1"/>
  <c r="AC144" i="35"/>
  <c r="AK116" i="35"/>
  <c r="AF115" i="35"/>
  <c r="AF110" i="35" s="1"/>
  <c r="AF107" i="35" s="1"/>
  <c r="AF144" i="35"/>
  <c r="AF143" i="35" s="1"/>
  <c r="AG144" i="35"/>
  <c r="AG143" i="35" s="1"/>
  <c r="AG115" i="35"/>
  <c r="AG110" i="35" s="1"/>
  <c r="AG107" i="35" s="1"/>
  <c r="AD144" i="35"/>
  <c r="AD115" i="35"/>
  <c r="AD110" i="35" s="1"/>
  <c r="AD107" i="35" s="1"/>
  <c r="AG136" i="35"/>
  <c r="AD136" i="35"/>
  <c r="AK108" i="35"/>
  <c r="AC136" i="35"/>
  <c r="AB136" i="35"/>
  <c r="AJ108" i="35"/>
  <c r="AJ102" i="35"/>
  <c r="AB130" i="35"/>
  <c r="AD148" i="35"/>
  <c r="AK105" i="35"/>
  <c r="AC133" i="35"/>
  <c r="AK133" i="35" s="1"/>
  <c r="AD133" i="35"/>
  <c r="BI33" i="35"/>
  <c r="BI25" i="35" s="1"/>
  <c r="BI102" i="35"/>
  <c r="BJ112" i="35"/>
  <c r="BK112" i="35" s="1"/>
  <c r="Z122" i="35"/>
  <c r="R150" i="35"/>
  <c r="Z150" i="35" s="1"/>
  <c r="T115" i="35"/>
  <c r="T110" i="35" s="1"/>
  <c r="T107" i="35" s="1"/>
  <c r="T144" i="35"/>
  <c r="T143" i="35" s="1"/>
  <c r="T138" i="35" s="1"/>
  <c r="T135" i="35" s="1"/>
  <c r="Y116" i="35"/>
  <c r="Q144" i="35"/>
  <c r="Q115" i="35"/>
  <c r="Q110" i="35" s="1"/>
  <c r="Q107" i="35" s="1"/>
  <c r="S144" i="35"/>
  <c r="S143" i="35" s="1"/>
  <c r="S115" i="35"/>
  <c r="S110" i="35" s="1"/>
  <c r="S107" i="35" s="1"/>
  <c r="W144" i="35"/>
  <c r="W115" i="35"/>
  <c r="W110" i="35" s="1"/>
  <c r="W107" i="35" s="1"/>
  <c r="W99" i="35" s="1"/>
  <c r="R147" i="35"/>
  <c r="R118" i="35"/>
  <c r="R99" i="35" s="1"/>
  <c r="Z119" i="35"/>
  <c r="Q118" i="35"/>
  <c r="Q147" i="35"/>
  <c r="Y119" i="35"/>
  <c r="X118" i="35"/>
  <c r="X147" i="35"/>
  <c r="X146" i="35" s="1"/>
  <c r="V147" i="35"/>
  <c r="V146" i="35" s="1"/>
  <c r="V118" i="35"/>
  <c r="V99" i="35" s="1"/>
  <c r="Y120" i="35"/>
  <c r="Q148" i="35"/>
  <c r="Y148" i="35" s="1"/>
  <c r="R148" i="35"/>
  <c r="Z148" i="35" s="1"/>
  <c r="Z120" i="35"/>
  <c r="Z111" i="35"/>
  <c r="R139" i="35"/>
  <c r="Z139" i="35" s="1"/>
  <c r="U138" i="35"/>
  <c r="U135" i="35" s="1"/>
  <c r="W136" i="35"/>
  <c r="Z108" i="35"/>
  <c r="R136" i="35"/>
  <c r="Z136" i="35" s="1"/>
  <c r="X99" i="35"/>
  <c r="X128" i="35"/>
  <c r="X103" i="35"/>
  <c r="S128" i="35"/>
  <c r="S131" i="35" s="1"/>
  <c r="S103" i="35"/>
  <c r="U128" i="35"/>
  <c r="U99" i="35"/>
  <c r="U103" i="35"/>
  <c r="V128" i="35"/>
  <c r="V103" i="35"/>
  <c r="Z117" i="35"/>
  <c r="R145" i="35"/>
  <c r="Y117" i="35"/>
  <c r="Q145" i="35"/>
  <c r="Y145" i="35" s="1"/>
  <c r="W143" i="35"/>
  <c r="W138" i="35" s="1"/>
  <c r="BJ101" i="35"/>
  <c r="Y33" i="35"/>
  <c r="BE36" i="35"/>
  <c r="BG36" i="35" s="1"/>
  <c r="BI122" i="35"/>
  <c r="AD141" i="35"/>
  <c r="BI113" i="35"/>
  <c r="AC141" i="35"/>
  <c r="AK141" i="35" s="1"/>
  <c r="AK113" i="35"/>
  <c r="AB134" i="35"/>
  <c r="BI106" i="35"/>
  <c r="AJ106" i="35"/>
  <c r="AD134" i="35"/>
  <c r="AB139" i="35"/>
  <c r="AJ111" i="35"/>
  <c r="AD139" i="35"/>
  <c r="AC140" i="35"/>
  <c r="AK140" i="35" s="1"/>
  <c r="AK112" i="35"/>
  <c r="AD132" i="35"/>
  <c r="AB132" i="35"/>
  <c r="AJ104" i="35"/>
  <c r="AI128" i="35"/>
  <c r="AI131" i="35" s="1"/>
  <c r="AI103" i="35"/>
  <c r="AC103" i="35"/>
  <c r="AC128" i="35"/>
  <c r="AE103" i="35"/>
  <c r="AE128" i="35"/>
  <c r="AE131" i="35" s="1"/>
  <c r="AD128" i="35"/>
  <c r="AD103" i="35"/>
  <c r="AB137" i="35"/>
  <c r="AJ109" i="35"/>
  <c r="AK109" i="35"/>
  <c r="AC137" i="35"/>
  <c r="AK137" i="35" s="1"/>
  <c r="AK117" i="35"/>
  <c r="AC145" i="35"/>
  <c r="AK145" i="35" s="1"/>
  <c r="AJ117" i="35"/>
  <c r="AB145" i="35"/>
  <c r="Q25" i="35"/>
  <c r="Q24" i="35" s="1"/>
  <c r="BA33" i="35"/>
  <c r="BI119" i="35"/>
  <c r="Q140" i="35"/>
  <c r="Y140" i="35" s="1"/>
  <c r="Y112" i="35"/>
  <c r="R140" i="35"/>
  <c r="Z140" i="35" s="1"/>
  <c r="Z112" i="35"/>
  <c r="R133" i="35"/>
  <c r="Z133" i="35" s="1"/>
  <c r="Z105" i="35"/>
  <c r="Z106" i="35"/>
  <c r="T134" i="35"/>
  <c r="Z134" i="35" s="1"/>
  <c r="Y106" i="35"/>
  <c r="Q134" i="35"/>
  <c r="Y134" i="35" s="1"/>
  <c r="R142" i="35"/>
  <c r="Z142" i="35" s="1"/>
  <c r="Z114" i="35"/>
  <c r="T118" i="35"/>
  <c r="T149" i="35"/>
  <c r="T146" i="35" s="1"/>
  <c r="Q149" i="35"/>
  <c r="Y149" i="35" s="1"/>
  <c r="Y121" i="35"/>
  <c r="R130" i="35"/>
  <c r="Z130" i="35" s="1"/>
  <c r="Z102" i="35"/>
  <c r="R132" i="35"/>
  <c r="Z132" i="35" s="1"/>
  <c r="Z104" i="35"/>
  <c r="W25" i="35"/>
  <c r="W24" i="35" s="1"/>
  <c r="BD33" i="35"/>
  <c r="BD25" i="35" s="1"/>
  <c r="BI104" i="35"/>
  <c r="U25" i="35"/>
  <c r="U24" i="35" s="1"/>
  <c r="BC33" i="35"/>
  <c r="BC25" i="35" s="1"/>
  <c r="BJ108" i="35"/>
  <c r="BJ105" i="35"/>
  <c r="BJ113" i="35"/>
  <c r="BI117" i="35"/>
  <c r="AJ119" i="35"/>
  <c r="AH147" i="35"/>
  <c r="AH146" i="35" s="1"/>
  <c r="AH118" i="35"/>
  <c r="AE147" i="35"/>
  <c r="AE146" i="35" s="1"/>
  <c r="AE118" i="35"/>
  <c r="AG147" i="35"/>
  <c r="AG146" i="35" s="1"/>
  <c r="AG118" i="35"/>
  <c r="AF147" i="35"/>
  <c r="AF146" i="35" s="1"/>
  <c r="AF118" i="35"/>
  <c r="AD147" i="35"/>
  <c r="AD118" i="35"/>
  <c r="BI114" i="35"/>
  <c r="AK114" i="35"/>
  <c r="AC142" i="35"/>
  <c r="AK142" i="35" s="1"/>
  <c r="AD142" i="35"/>
  <c r="AB150" i="35"/>
  <c r="AJ122" i="35"/>
  <c r="AD150" i="35"/>
  <c r="AC149" i="35"/>
  <c r="AK149" i="35" s="1"/>
  <c r="AK121" i="35"/>
  <c r="AB149" i="35"/>
  <c r="AJ121" i="35"/>
  <c r="AI144" i="35"/>
  <c r="AI143" i="35" s="1"/>
  <c r="AI138" i="35" s="1"/>
  <c r="AI135" i="35" s="1"/>
  <c r="AI115" i="35"/>
  <c r="AI110" i="35" s="1"/>
  <c r="AI107" i="35" s="1"/>
  <c r="AI99" i="35" s="1"/>
  <c r="AE144" i="35"/>
  <c r="AE143" i="35" s="1"/>
  <c r="AE138" i="35" s="1"/>
  <c r="AE135" i="35" s="1"/>
  <c r="AE115" i="35"/>
  <c r="AE110" i="35" s="1"/>
  <c r="AE107" i="35" s="1"/>
  <c r="AB144" i="35"/>
  <c r="AB115" i="35"/>
  <c r="AB110" i="35" s="1"/>
  <c r="AB107" i="35" s="1"/>
  <c r="AB99" i="35" s="1"/>
  <c r="AJ116" i="35"/>
  <c r="AJ115" i="35" s="1"/>
  <c r="AH144" i="35"/>
  <c r="AH143" i="35" s="1"/>
  <c r="AH138" i="35" s="1"/>
  <c r="AH135" i="35" s="1"/>
  <c r="AH115" i="35"/>
  <c r="AH110" i="35" s="1"/>
  <c r="AH107" i="35" s="1"/>
  <c r="AF136" i="35"/>
  <c r="AC130" i="35"/>
  <c r="AK130" i="35" s="1"/>
  <c r="AK102" i="35"/>
  <c r="AD130" i="35"/>
  <c r="AK120" i="35"/>
  <c r="AC148" i="35"/>
  <c r="AK148" i="35" s="1"/>
  <c r="AB148" i="35"/>
  <c r="AJ120" i="35"/>
  <c r="BI120" i="35"/>
  <c r="AJ105" i="35"/>
  <c r="BE105" i="35" s="1"/>
  <c r="AB133" i="35"/>
  <c r="BJ104" i="35"/>
  <c r="H45" i="33"/>
  <c r="H49" i="33" s="1"/>
  <c r="H52" i="33" s="1"/>
  <c r="P7" i="33"/>
  <c r="G39" i="33"/>
  <c r="G36" i="33"/>
  <c r="G34" i="33"/>
  <c r="G35" i="33"/>
  <c r="E3" i="39" l="1"/>
  <c r="E2" i="39" s="1"/>
  <c r="N8" i="39"/>
  <c r="M8" i="39"/>
  <c r="D2" i="39"/>
  <c r="BJ44" i="36"/>
  <c r="BK47" i="36"/>
  <c r="BK44" i="36" s="1"/>
  <c r="E28" i="46"/>
  <c r="AJ110" i="35"/>
  <c r="AJ107" i="35" s="1"/>
  <c r="AI127" i="35"/>
  <c r="BE117" i="35"/>
  <c r="Z145" i="35"/>
  <c r="S99" i="35"/>
  <c r="AC99" i="35"/>
  <c r="C29" i="52"/>
  <c r="D29" i="52"/>
  <c r="F25" i="46"/>
  <c r="F11" i="46" s="1"/>
  <c r="V25" i="46"/>
  <c r="V11" i="46" s="1"/>
  <c r="I25" i="46"/>
  <c r="I11" i="46" s="1"/>
  <c r="Z25" i="46"/>
  <c r="Z11" i="46" s="1"/>
  <c r="O121" i="35"/>
  <c r="O149" i="35" s="1"/>
  <c r="M121" i="35"/>
  <c r="M149" i="35" s="1"/>
  <c r="N121" i="35"/>
  <c r="N149" i="35" s="1"/>
  <c r="L121" i="35"/>
  <c r="L149" i="35" s="1"/>
  <c r="P149" i="35"/>
  <c r="O116" i="35"/>
  <c r="L116" i="35"/>
  <c r="P144" i="35"/>
  <c r="N116" i="35"/>
  <c r="M116" i="35"/>
  <c r="L103" i="35"/>
  <c r="L131" i="35" s="1"/>
  <c r="N103" i="35"/>
  <c r="N131" i="35" s="1"/>
  <c r="P131" i="35"/>
  <c r="M103" i="35"/>
  <c r="M131" i="35" s="1"/>
  <c r="O103" i="35"/>
  <c r="O131" i="35" s="1"/>
  <c r="L120" i="35"/>
  <c r="O120" i="35"/>
  <c r="O148" i="35" s="1"/>
  <c r="P148" i="35"/>
  <c r="N120" i="35"/>
  <c r="N148" i="35" s="1"/>
  <c r="M120" i="35"/>
  <c r="M148" i="35" s="1"/>
  <c r="M105" i="35"/>
  <c r="N105" i="35"/>
  <c r="N133" i="35" s="1"/>
  <c r="P133" i="35"/>
  <c r="L105" i="35"/>
  <c r="O105" i="35"/>
  <c r="O133" i="35" s="1"/>
  <c r="N117" i="35"/>
  <c r="P145" i="35"/>
  <c r="M117" i="35"/>
  <c r="L117" i="35"/>
  <c r="O117" i="35"/>
  <c r="O145" i="35" s="1"/>
  <c r="L111" i="35"/>
  <c r="M111" i="35"/>
  <c r="M139" i="35" s="1"/>
  <c r="N111" i="35"/>
  <c r="N139" i="35" s="1"/>
  <c r="O111" i="35"/>
  <c r="O139" i="35" s="1"/>
  <c r="P139" i="35"/>
  <c r="O109" i="35"/>
  <c r="O137" i="35" s="1"/>
  <c r="M109" i="35"/>
  <c r="M137" i="35" s="1"/>
  <c r="L109" i="35"/>
  <c r="N109" i="35"/>
  <c r="N137" i="35" s="1"/>
  <c r="P137" i="35"/>
  <c r="O112" i="35"/>
  <c r="O140" i="35" s="1"/>
  <c r="M112" i="35"/>
  <c r="M140" i="35" s="1"/>
  <c r="L112" i="35"/>
  <c r="N112" i="35"/>
  <c r="N140" i="35" s="1"/>
  <c r="P140" i="35"/>
  <c r="N106" i="35"/>
  <c r="P134" i="35"/>
  <c r="M106" i="35"/>
  <c r="O106" i="35"/>
  <c r="L106" i="35"/>
  <c r="L134" i="35" s="1"/>
  <c r="I140" i="35"/>
  <c r="G140" i="35"/>
  <c r="J112" i="35"/>
  <c r="H147" i="35"/>
  <c r="H118" i="35"/>
  <c r="I148" i="35"/>
  <c r="BC120" i="35"/>
  <c r="J109" i="35"/>
  <c r="G137" i="35"/>
  <c r="H137" i="35"/>
  <c r="G130" i="35"/>
  <c r="J130" i="35"/>
  <c r="J144" i="35"/>
  <c r="I144" i="35"/>
  <c r="I115" i="35"/>
  <c r="I110" i="35" s="1"/>
  <c r="I107" i="35" s="1"/>
  <c r="G144" i="35"/>
  <c r="G143" i="35" s="1"/>
  <c r="G115" i="35"/>
  <c r="G110" i="35" s="1"/>
  <c r="G107" i="35" s="1"/>
  <c r="BE123" i="35"/>
  <c r="J104" i="35"/>
  <c r="H132" i="35"/>
  <c r="J113" i="35"/>
  <c r="G141" i="35"/>
  <c r="H139" i="35"/>
  <c r="BB111" i="35"/>
  <c r="G100" i="35"/>
  <c r="G129" i="35"/>
  <c r="J129" i="35"/>
  <c r="I129" i="35"/>
  <c r="I100" i="35"/>
  <c r="J114" i="35"/>
  <c r="G142" i="35"/>
  <c r="H149" i="35"/>
  <c r="BA106" i="35"/>
  <c r="G134" i="35"/>
  <c r="J122" i="35"/>
  <c r="G150" i="35"/>
  <c r="J103" i="35"/>
  <c r="J131" i="35" s="1"/>
  <c r="G131" i="35"/>
  <c r="J117" i="35"/>
  <c r="I133" i="35"/>
  <c r="BC105" i="35"/>
  <c r="AY25" i="35"/>
  <c r="AX1" i="35"/>
  <c r="AY2" i="35" s="1"/>
  <c r="N108" i="35"/>
  <c r="O108" i="35"/>
  <c r="O136" i="35" s="1"/>
  <c r="P136" i="35"/>
  <c r="L108" i="35"/>
  <c r="M108" i="35"/>
  <c r="L113" i="35"/>
  <c r="O113" i="35"/>
  <c r="O141" i="35" s="1"/>
  <c r="P141" i="35"/>
  <c r="N113" i="35"/>
  <c r="N141" i="35" s="1"/>
  <c r="M113" i="35"/>
  <c r="P128" i="35"/>
  <c r="P99" i="35"/>
  <c r="AX99" i="35" s="1"/>
  <c r="AY99" i="35" s="1"/>
  <c r="N122" i="35"/>
  <c r="L122" i="35"/>
  <c r="P150" i="35"/>
  <c r="O122" i="35"/>
  <c r="O150" i="35" s="1"/>
  <c r="M122" i="35"/>
  <c r="P142" i="35"/>
  <c r="O114" i="35"/>
  <c r="O142" i="35" s="1"/>
  <c r="L114" i="35"/>
  <c r="L142" i="35" s="1"/>
  <c r="BA142" i="35" s="1"/>
  <c r="M114" i="35"/>
  <c r="M142" i="35" s="1"/>
  <c r="N114" i="35"/>
  <c r="N142" i="35" s="1"/>
  <c r="P130" i="35"/>
  <c r="N102" i="35"/>
  <c r="N130" i="35" s="1"/>
  <c r="O102" i="35"/>
  <c r="O130" i="35" s="1"/>
  <c r="M102" i="35"/>
  <c r="M130" i="35" s="1"/>
  <c r="L102" i="35"/>
  <c r="L130" i="35" s="1"/>
  <c r="N104" i="35"/>
  <c r="O104" i="35"/>
  <c r="O132" i="35" s="1"/>
  <c r="P132" i="35"/>
  <c r="L104" i="35"/>
  <c r="M104" i="35"/>
  <c r="M132" i="35" s="1"/>
  <c r="BB132" i="35" s="1"/>
  <c r="L119" i="35"/>
  <c r="N119" i="35"/>
  <c r="BC119" i="35" s="1"/>
  <c r="P147" i="35"/>
  <c r="O119" i="35"/>
  <c r="M119" i="35"/>
  <c r="N101" i="35"/>
  <c r="L101" i="35"/>
  <c r="P129" i="35"/>
  <c r="O101" i="35"/>
  <c r="M101" i="35"/>
  <c r="BB101" i="35" s="1"/>
  <c r="H140" i="35"/>
  <c r="BB140" i="35" s="1"/>
  <c r="G147" i="35"/>
  <c r="J119" i="35"/>
  <c r="G118" i="35"/>
  <c r="I118" i="35"/>
  <c r="I147" i="35"/>
  <c r="J120" i="35"/>
  <c r="G148" i="35"/>
  <c r="H148" i="35"/>
  <c r="BB120" i="35"/>
  <c r="I137" i="35"/>
  <c r="BC137" i="35" s="1"/>
  <c r="I130" i="35"/>
  <c r="BC130" i="35" s="1"/>
  <c r="H130" i="35"/>
  <c r="BB102" i="35"/>
  <c r="H144" i="35"/>
  <c r="H143" i="35" s="1"/>
  <c r="H115" i="35"/>
  <c r="H110" i="35" s="1"/>
  <c r="H107" i="35" s="1"/>
  <c r="BE151" i="35"/>
  <c r="I141" i="35"/>
  <c r="BC141" i="35" s="1"/>
  <c r="BC113" i="35"/>
  <c r="G136" i="35"/>
  <c r="J108" i="35"/>
  <c r="I139" i="35"/>
  <c r="BC139" i="35" s="1"/>
  <c r="J111" i="35"/>
  <c r="G139" i="35"/>
  <c r="H100" i="35"/>
  <c r="H129" i="35"/>
  <c r="H142" i="35"/>
  <c r="BB114" i="35"/>
  <c r="I142" i="35"/>
  <c r="BC114" i="35"/>
  <c r="J121" i="35"/>
  <c r="BA121" i="35"/>
  <c r="G149" i="35"/>
  <c r="I149" i="35"/>
  <c r="BC149" i="35" s="1"/>
  <c r="J133" i="35"/>
  <c r="BD133" i="35" s="1"/>
  <c r="K127" i="35"/>
  <c r="AH99" i="35"/>
  <c r="BE120" i="35"/>
  <c r="AE127" i="35"/>
  <c r="AJ139" i="35"/>
  <c r="BK113" i="35"/>
  <c r="Q99" i="35"/>
  <c r="T99" i="35"/>
  <c r="AF99" i="35"/>
  <c r="AE99" i="35"/>
  <c r="BK104" i="35"/>
  <c r="AJ149" i="35"/>
  <c r="AJ150" i="35"/>
  <c r="BE150" i="35" s="1"/>
  <c r="AD146" i="35"/>
  <c r="BE121" i="35"/>
  <c r="BE112" i="35"/>
  <c r="BA149" i="35"/>
  <c r="BJ102" i="35"/>
  <c r="BF33" i="35"/>
  <c r="BA25" i="35"/>
  <c r="AJ137" i="35"/>
  <c r="BE137" i="35" s="1"/>
  <c r="AD131" i="35"/>
  <c r="AC131" i="35"/>
  <c r="AK131" i="35" s="1"/>
  <c r="AK128" i="35" s="1"/>
  <c r="BE106" i="35"/>
  <c r="AJ134" i="35"/>
  <c r="BE33" i="35"/>
  <c r="BE25" i="35" s="1"/>
  <c r="Y25" i="35"/>
  <c r="Y24" i="35" s="1"/>
  <c r="U131" i="35"/>
  <c r="U127" i="35"/>
  <c r="X127" i="35"/>
  <c r="X131" i="35"/>
  <c r="Y118" i="35"/>
  <c r="Y115" i="35"/>
  <c r="Y110" i="35" s="1"/>
  <c r="Y107" i="35" s="1"/>
  <c r="BJ119" i="35"/>
  <c r="BJ147" i="35"/>
  <c r="BJ129" i="35"/>
  <c r="BJ148" i="35"/>
  <c r="BJ137" i="35"/>
  <c r="AJ136" i="35"/>
  <c r="AD99" i="35"/>
  <c r="AD143" i="35"/>
  <c r="AD138" i="35" s="1"/>
  <c r="AD135" i="35" s="1"/>
  <c r="AD127" i="35" s="1"/>
  <c r="AC143" i="35"/>
  <c r="AC138" i="35" s="1"/>
  <c r="AC135" i="35" s="1"/>
  <c r="AK144" i="35"/>
  <c r="AK143" i="35" s="1"/>
  <c r="BE122" i="35"/>
  <c r="AJ142" i="35"/>
  <c r="AB146" i="35"/>
  <c r="AJ147" i="35"/>
  <c r="AK147" i="35"/>
  <c r="AK146" i="35" s="1"/>
  <c r="AC146" i="35"/>
  <c r="BE119" i="35"/>
  <c r="AK118" i="35"/>
  <c r="BI147" i="35"/>
  <c r="BB149" i="35"/>
  <c r="BJ106" i="35"/>
  <c r="BK106" i="35" s="1"/>
  <c r="AH131" i="35"/>
  <c r="AH127" i="35"/>
  <c r="AB131" i="35"/>
  <c r="AJ140" i="35"/>
  <c r="BE140" i="35" s="1"/>
  <c r="AK139" i="35"/>
  <c r="AG138" i="35"/>
  <c r="AG135" i="35" s="1"/>
  <c r="AG127" i="35" s="1"/>
  <c r="AJ129" i="35"/>
  <c r="BI141" i="35"/>
  <c r="AJ141" i="35"/>
  <c r="BE141" i="35" s="1"/>
  <c r="BI116" i="35"/>
  <c r="BI115" i="35" s="1"/>
  <c r="BD103" i="35"/>
  <c r="Z103" i="35"/>
  <c r="Z100" i="35" s="1"/>
  <c r="R131" i="35"/>
  <c r="T127" i="35"/>
  <c r="T131" i="35"/>
  <c r="BE108" i="35"/>
  <c r="Y139" i="35"/>
  <c r="BE101" i="35"/>
  <c r="R143" i="35"/>
  <c r="R138" i="35" s="1"/>
  <c r="R135" i="35" s="1"/>
  <c r="Z144" i="35"/>
  <c r="Z115" i="35"/>
  <c r="Z110" i="35" s="1"/>
  <c r="Z107" i="35" s="1"/>
  <c r="BI101" i="35"/>
  <c r="BJ120" i="35"/>
  <c r="BK120" i="35" s="1"/>
  <c r="BB142" i="35"/>
  <c r="BA130" i="35"/>
  <c r="AJ133" i="35"/>
  <c r="BE133" i="35" s="1"/>
  <c r="AJ148" i="35"/>
  <c r="BE148" i="35" s="1"/>
  <c r="AJ144" i="35"/>
  <c r="AB143" i="35"/>
  <c r="AB138" i="35" s="1"/>
  <c r="AB135" i="35" s="1"/>
  <c r="AB127" i="35" s="1"/>
  <c r="AG99" i="35"/>
  <c r="AJ118" i="35"/>
  <c r="BJ150" i="35"/>
  <c r="BI105" i="35"/>
  <c r="BK105" i="35" s="1"/>
  <c r="BI140" i="35"/>
  <c r="BI139" i="35"/>
  <c r="BK119" i="35"/>
  <c r="BI109" i="35"/>
  <c r="BJ130" i="35"/>
  <c r="BK24" i="35"/>
  <c r="BI133" i="35"/>
  <c r="AJ145" i="35"/>
  <c r="BE145" i="35" s="1"/>
  <c r="BI145" i="35"/>
  <c r="BE109" i="35"/>
  <c r="AK103" i="35"/>
  <c r="AK100" i="35" s="1"/>
  <c r="AJ132" i="35"/>
  <c r="BE132" i="35" s="1"/>
  <c r="BJ144" i="35"/>
  <c r="BI144" i="35"/>
  <c r="BJ132" i="35"/>
  <c r="V131" i="35"/>
  <c r="V127" i="35"/>
  <c r="BB103" i="35"/>
  <c r="W135" i="35"/>
  <c r="W127" i="35" s="1"/>
  <c r="Q146" i="35"/>
  <c r="Q127" i="35" s="1"/>
  <c r="Y147" i="35"/>
  <c r="Z118" i="35"/>
  <c r="Z147" i="35"/>
  <c r="R146" i="35"/>
  <c r="Q143" i="35"/>
  <c r="Q138" i="35" s="1"/>
  <c r="Q135" i="35" s="1"/>
  <c r="Y144" i="35"/>
  <c r="BJ140" i="35"/>
  <c r="BB139" i="35"/>
  <c r="BJ111" i="35"/>
  <c r="BI129" i="35"/>
  <c r="BJ114" i="35"/>
  <c r="BK114" i="35" s="1"/>
  <c r="BK102" i="35"/>
  <c r="AJ130" i="35"/>
  <c r="BE130" i="35" s="1"/>
  <c r="BI136" i="35"/>
  <c r="AK136" i="35"/>
  <c r="BE116" i="35"/>
  <c r="AK115" i="35"/>
  <c r="AK110" i="35" s="1"/>
  <c r="AK107" i="35" s="1"/>
  <c r="BE114" i="35"/>
  <c r="BJ117" i="35"/>
  <c r="BK117" i="35" s="1"/>
  <c r="BJ141" i="35"/>
  <c r="BE104" i="35"/>
  <c r="BE102" i="35"/>
  <c r="Z149" i="35"/>
  <c r="BE149" i="35" s="1"/>
  <c r="BE113" i="35"/>
  <c r="BI111" i="35"/>
  <c r="BK111" i="35" s="1"/>
  <c r="BI137" i="35"/>
  <c r="BK137" i="35" s="1"/>
  <c r="BI121" i="35"/>
  <c r="BI118" i="35" s="1"/>
  <c r="BJ149" i="35"/>
  <c r="BJ121" i="35"/>
  <c r="BK121" i="35" s="1"/>
  <c r="AJ103" i="35"/>
  <c r="AJ100" i="35" s="1"/>
  <c r="AF138" i="35"/>
  <c r="AF135" i="35" s="1"/>
  <c r="AF127" i="35" s="1"/>
  <c r="BJ122" i="35"/>
  <c r="BK122" i="35" s="1"/>
  <c r="BI150" i="35"/>
  <c r="BK150" i="35" s="1"/>
  <c r="BJ116" i="35"/>
  <c r="BI108" i="35"/>
  <c r="BK108" i="35" s="1"/>
  <c r="Y103" i="35"/>
  <c r="BA103" i="35"/>
  <c r="Q131" i="35"/>
  <c r="Y136" i="35"/>
  <c r="BE111" i="35"/>
  <c r="S138" i="35"/>
  <c r="S135" i="35" s="1"/>
  <c r="S127" i="35" s="1"/>
  <c r="BJ142" i="35"/>
  <c r="BJ109" i="35"/>
  <c r="BI130" i="35"/>
  <c r="BK130" i="35" s="1"/>
  <c r="BA134" i="35" l="1"/>
  <c r="Z143" i="35"/>
  <c r="Z138" i="35" s="1"/>
  <c r="Z135" i="35" s="1"/>
  <c r="BB148" i="35"/>
  <c r="BB112" i="35"/>
  <c r="BC133" i="35"/>
  <c r="BB121" i="35"/>
  <c r="U28" i="46"/>
  <c r="E25" i="46"/>
  <c r="BB137" i="35"/>
  <c r="AJ99" i="35"/>
  <c r="Z99" i="35"/>
  <c r="BE129" i="35"/>
  <c r="BB130" i="35"/>
  <c r="BE142" i="35"/>
  <c r="BE115" i="35"/>
  <c r="BE110" i="35" s="1"/>
  <c r="BE107" i="35" s="1"/>
  <c r="BE134" i="35"/>
  <c r="BD105" i="35"/>
  <c r="BC121" i="35"/>
  <c r="BC142" i="35"/>
  <c r="BC111" i="35"/>
  <c r="BC102" i="35"/>
  <c r="BC109" i="35"/>
  <c r="BB109" i="35"/>
  <c r="BC148" i="35"/>
  <c r="BC140" i="35"/>
  <c r="D11" i="47"/>
  <c r="G11" i="47" s="1"/>
  <c r="X11" i="47" s="1"/>
  <c r="G29" i="52"/>
  <c r="F29" i="52"/>
  <c r="E29" i="52"/>
  <c r="I29" i="52"/>
  <c r="D12" i="47"/>
  <c r="G12" i="47" s="1"/>
  <c r="X12" i="47" s="1"/>
  <c r="J149" i="35"/>
  <c r="BD149" i="35" s="1"/>
  <c r="BD121" i="35"/>
  <c r="J136" i="35"/>
  <c r="BD136" i="35" s="1"/>
  <c r="BD108" i="35"/>
  <c r="H138" i="35"/>
  <c r="H135" i="35" s="1"/>
  <c r="J118" i="35"/>
  <c r="BD120" i="35"/>
  <c r="J148" i="35"/>
  <c r="BD148" i="35" s="1"/>
  <c r="G146" i="35"/>
  <c r="O129" i="35"/>
  <c r="O128" i="35" s="1"/>
  <c r="O100" i="35"/>
  <c r="BD101" i="35"/>
  <c r="L129" i="35"/>
  <c r="L128" i="35" s="1"/>
  <c r="L100" i="35"/>
  <c r="M147" i="35"/>
  <c r="M118" i="35"/>
  <c r="BB118" i="35" s="1"/>
  <c r="L147" i="35"/>
  <c r="L118" i="35"/>
  <c r="BA118" i="35" s="1"/>
  <c r="BA119" i="35"/>
  <c r="L132" i="35"/>
  <c r="BA132" i="35" s="1"/>
  <c r="BA104" i="35"/>
  <c r="M150" i="35"/>
  <c r="BB150" i="35" s="1"/>
  <c r="BB122" i="35"/>
  <c r="N150" i="35"/>
  <c r="BC150" i="35" s="1"/>
  <c r="BC122" i="35"/>
  <c r="P127" i="35"/>
  <c r="AX127" i="35" s="1"/>
  <c r="AY127" i="35" s="1"/>
  <c r="M136" i="35"/>
  <c r="BB136" i="35" s="1"/>
  <c r="BB108" i="35"/>
  <c r="N136" i="35"/>
  <c r="BC136" i="35" s="1"/>
  <c r="BC108" i="35"/>
  <c r="J145" i="35"/>
  <c r="BD145" i="35" s="1"/>
  <c r="BD117" i="35"/>
  <c r="J150" i="35"/>
  <c r="BD150" i="35" s="1"/>
  <c r="BD122" i="35"/>
  <c r="I99" i="35"/>
  <c r="J100" i="35"/>
  <c r="BA129" i="35"/>
  <c r="G128" i="35"/>
  <c r="G99" i="35"/>
  <c r="BA100" i="35"/>
  <c r="BD113" i="35"/>
  <c r="J141" i="35"/>
  <c r="BD141" i="35" s="1"/>
  <c r="G138" i="35"/>
  <c r="G135" i="35" s="1"/>
  <c r="I143" i="35"/>
  <c r="I138" i="35" s="1"/>
  <c r="I135" i="35" s="1"/>
  <c r="J115" i="35"/>
  <c r="J110" i="35" s="1"/>
  <c r="J107" i="35" s="1"/>
  <c r="BD102" i="35"/>
  <c r="BA102" i="35"/>
  <c r="J137" i="35"/>
  <c r="BD137" i="35" s="1"/>
  <c r="BD109" i="35"/>
  <c r="BD112" i="35"/>
  <c r="J140" i="35"/>
  <c r="BD140" i="35" s="1"/>
  <c r="M134" i="35"/>
  <c r="BB134" i="35" s="1"/>
  <c r="BB106" i="35"/>
  <c r="N134" i="35"/>
  <c r="BC134" i="35" s="1"/>
  <c r="BC106" i="35"/>
  <c r="L137" i="35"/>
  <c r="BA137" i="35" s="1"/>
  <c r="BA109" i="35"/>
  <c r="M145" i="35"/>
  <c r="BB145" i="35" s="1"/>
  <c r="BB117" i="35"/>
  <c r="N145" i="35"/>
  <c r="BC145" i="35" s="1"/>
  <c r="BC117" i="35"/>
  <c r="L133" i="35"/>
  <c r="BA133" i="35" s="1"/>
  <c r="BA105" i="35"/>
  <c r="L148" i="35"/>
  <c r="BA148" i="35" s="1"/>
  <c r="BA120" i="35"/>
  <c r="M115" i="35"/>
  <c r="M110" i="35" s="1"/>
  <c r="M107" i="35" s="1"/>
  <c r="M144" i="35"/>
  <c r="BB116" i="35"/>
  <c r="O115" i="35"/>
  <c r="O110" i="35" s="1"/>
  <c r="O107" i="35" s="1"/>
  <c r="O144" i="35"/>
  <c r="BD116" i="35"/>
  <c r="BC103" i="35"/>
  <c r="H128" i="35"/>
  <c r="H99" i="35"/>
  <c r="BD111" i="35"/>
  <c r="J139" i="35"/>
  <c r="BD139" i="35" s="1"/>
  <c r="I146" i="35"/>
  <c r="J147" i="35"/>
  <c r="BD119" i="35"/>
  <c r="M129" i="35"/>
  <c r="M128" i="35" s="1"/>
  <c r="M100" i="35"/>
  <c r="N100" i="35"/>
  <c r="N129" i="35"/>
  <c r="N128" i="35" s="1"/>
  <c r="BC101" i="35"/>
  <c r="O147" i="35"/>
  <c r="O146" i="35" s="1"/>
  <c r="O118" i="35"/>
  <c r="N147" i="35"/>
  <c r="N118" i="35"/>
  <c r="BC118" i="35" s="1"/>
  <c r="N132" i="35"/>
  <c r="BC132" i="35" s="1"/>
  <c r="BC104" i="35"/>
  <c r="L150" i="35"/>
  <c r="BA150" i="35" s="1"/>
  <c r="BA122" i="35"/>
  <c r="M141" i="35"/>
  <c r="BB141" i="35" s="1"/>
  <c r="BB113" i="35"/>
  <c r="L141" i="35"/>
  <c r="BA141" i="35" s="1"/>
  <c r="BA113" i="35"/>
  <c r="L136" i="35"/>
  <c r="BA136" i="35" s="1"/>
  <c r="BA108" i="35"/>
  <c r="BA147" i="35"/>
  <c r="BA114" i="35"/>
  <c r="J142" i="35"/>
  <c r="BD142" i="35" s="1"/>
  <c r="BD114" i="35"/>
  <c r="I128" i="35"/>
  <c r="BC128" i="35" s="1"/>
  <c r="J128" i="35"/>
  <c r="BA101" i="35"/>
  <c r="BB104" i="35"/>
  <c r="J132" i="35"/>
  <c r="BD132" i="35" s="1"/>
  <c r="BD104" i="35"/>
  <c r="BD130" i="35"/>
  <c r="BB119" i="35"/>
  <c r="H146" i="35"/>
  <c r="BC112" i="35"/>
  <c r="O134" i="35"/>
  <c r="BD134" i="35" s="1"/>
  <c r="BD106" i="35"/>
  <c r="L140" i="35"/>
  <c r="BA140" i="35" s="1"/>
  <c r="BA112" i="35"/>
  <c r="L139" i="35"/>
  <c r="BA139" i="35" s="1"/>
  <c r="BA111" i="35"/>
  <c r="L145" i="35"/>
  <c r="BA145" i="35" s="1"/>
  <c r="BA117" i="35"/>
  <c r="M133" i="35"/>
  <c r="BB133" i="35" s="1"/>
  <c r="BB105" i="35"/>
  <c r="N144" i="35"/>
  <c r="N115" i="35"/>
  <c r="N110" i="35" s="1"/>
  <c r="N107" i="35" s="1"/>
  <c r="BC116" i="35"/>
  <c r="BC115" i="35" s="1"/>
  <c r="L144" i="35"/>
  <c r="L115" i="35"/>
  <c r="L110" i="35" s="1"/>
  <c r="L107" i="35" s="1"/>
  <c r="BA116" i="35"/>
  <c r="BA115" i="35" s="1"/>
  <c r="AK138" i="35"/>
  <c r="AK135" i="35" s="1"/>
  <c r="AK127" i="35" s="1"/>
  <c r="BE139" i="35"/>
  <c r="BE103" i="35"/>
  <c r="R127" i="35"/>
  <c r="BK141" i="35"/>
  <c r="BI103" i="35"/>
  <c r="BE136" i="35"/>
  <c r="Y131" i="35"/>
  <c r="BK129" i="35"/>
  <c r="Z146" i="35"/>
  <c r="Y146" i="35"/>
  <c r="BE147" i="35"/>
  <c r="BI143" i="35"/>
  <c r="BK144" i="35"/>
  <c r="BJ134" i="35"/>
  <c r="BK109" i="35"/>
  <c r="BK118" i="35"/>
  <c r="BK140" i="35"/>
  <c r="Y100" i="35"/>
  <c r="BB131" i="35"/>
  <c r="BA131" i="35"/>
  <c r="Z131" i="35"/>
  <c r="Z128" i="35" s="1"/>
  <c r="Z127" i="35" s="1"/>
  <c r="BI110" i="35"/>
  <c r="BI107" i="35" s="1"/>
  <c r="BK147" i="35"/>
  <c r="BJ133" i="35"/>
  <c r="BK133" i="35" s="1"/>
  <c r="BE118" i="35"/>
  <c r="BJ146" i="35"/>
  <c r="BJ118" i="35"/>
  <c r="BD131" i="35"/>
  <c r="BK116" i="35"/>
  <c r="BK115" i="35" s="1"/>
  <c r="BK110" i="35" s="1"/>
  <c r="BK107" i="35" s="1"/>
  <c r="BJ115" i="35"/>
  <c r="BJ145" i="35"/>
  <c r="BK145" i="35" s="1"/>
  <c r="BJ110" i="35"/>
  <c r="BJ107" i="35" s="1"/>
  <c r="Y143" i="35"/>
  <c r="Y138" i="35" s="1"/>
  <c r="Y135" i="35" s="1"/>
  <c r="BE144" i="35"/>
  <c r="BE143" i="35" s="1"/>
  <c r="BJ103" i="35"/>
  <c r="BK103" i="35" s="1"/>
  <c r="BJ143" i="35"/>
  <c r="AK99" i="35"/>
  <c r="BI149" i="35"/>
  <c r="BK149" i="35" s="1"/>
  <c r="AJ143" i="35"/>
  <c r="AJ138" i="35" s="1"/>
  <c r="AJ135" i="35" s="1"/>
  <c r="BI100" i="35"/>
  <c r="BI99" i="35" s="1"/>
  <c r="BK101" i="35"/>
  <c r="BK100" i="35" s="1"/>
  <c r="AJ131" i="35"/>
  <c r="AJ128" i="35" s="1"/>
  <c r="BI148" i="35"/>
  <c r="BK148" i="35" s="1"/>
  <c r="BJ136" i="35"/>
  <c r="AJ146" i="35"/>
  <c r="AC127" i="35"/>
  <c r="BI134" i="35"/>
  <c r="BK134" i="35" s="1"/>
  <c r="BI142" i="35"/>
  <c r="BK142" i="35" s="1"/>
  <c r="BJ139" i="35"/>
  <c r="BJ138" i="35" s="1"/>
  <c r="BC131" i="35"/>
  <c r="BG33" i="35"/>
  <c r="BF25" i="35"/>
  <c r="BI132" i="35"/>
  <c r="BK132" i="35" s="1"/>
  <c r="M99" i="35" l="1"/>
  <c r="N143" i="35"/>
  <c r="N138" i="35" s="1"/>
  <c r="N135" i="35" s="1"/>
  <c r="BD129" i="35"/>
  <c r="U25" i="46"/>
  <c r="BC110" i="35"/>
  <c r="BC107" i="35" s="1"/>
  <c r="BD115" i="35"/>
  <c r="J143" i="35"/>
  <c r="J138" i="35" s="1"/>
  <c r="J135" i="35" s="1"/>
  <c r="BC129" i="35"/>
  <c r="BB115" i="35"/>
  <c r="BB110" i="35" s="1"/>
  <c r="BB107" i="35" s="1"/>
  <c r="H29" i="52"/>
  <c r="J29" i="52"/>
  <c r="K29" i="52" s="1"/>
  <c r="BE138" i="35"/>
  <c r="BD128" i="35"/>
  <c r="N99" i="35"/>
  <c r="BC99" i="35" s="1"/>
  <c r="J146" i="35"/>
  <c r="BD146" i="35" s="1"/>
  <c r="BD147" i="35"/>
  <c r="BB100" i="35"/>
  <c r="BB129" i="35"/>
  <c r="O143" i="35"/>
  <c r="O138" i="35" s="1"/>
  <c r="O135" i="35" s="1"/>
  <c r="O127" i="35" s="1"/>
  <c r="BD144" i="35"/>
  <c r="BD143" i="35" s="1"/>
  <c r="BD138" i="35" s="1"/>
  <c r="BD135" i="35" s="1"/>
  <c r="BC144" i="35"/>
  <c r="BC143" i="35" s="1"/>
  <c r="BC138" i="35" s="1"/>
  <c r="BC135" i="35" s="1"/>
  <c r="BC100" i="35"/>
  <c r="L99" i="35"/>
  <c r="BA99" i="35" s="1"/>
  <c r="L143" i="35"/>
  <c r="L138" i="35" s="1"/>
  <c r="L135" i="35" s="1"/>
  <c r="BA144" i="35"/>
  <c r="BA143" i="35" s="1"/>
  <c r="BA138" i="35" s="1"/>
  <c r="BA135" i="35" s="1"/>
  <c r="BA110" i="35"/>
  <c r="BA107" i="35" s="1"/>
  <c r="N146" i="35"/>
  <c r="BC147" i="35"/>
  <c r="BC146" i="35"/>
  <c r="BD110" i="35"/>
  <c r="BD107" i="35" s="1"/>
  <c r="BB99" i="35"/>
  <c r="H127" i="35"/>
  <c r="BB128" i="35"/>
  <c r="M143" i="35"/>
  <c r="M138" i="35" s="1"/>
  <c r="M135" i="35" s="1"/>
  <c r="BB144" i="35"/>
  <c r="BB143" i="35" s="1"/>
  <c r="BB138" i="35" s="1"/>
  <c r="BB135" i="35" s="1"/>
  <c r="I127" i="35"/>
  <c r="BA128" i="35"/>
  <c r="G127" i="35"/>
  <c r="BD100" i="35"/>
  <c r="J99" i="35"/>
  <c r="L146" i="35"/>
  <c r="M146" i="35"/>
  <c r="BB146" i="35" s="1"/>
  <c r="BB147" i="35"/>
  <c r="O99" i="35"/>
  <c r="BD118" i="35"/>
  <c r="AJ127" i="35"/>
  <c r="BK146" i="35"/>
  <c r="BJ131" i="35"/>
  <c r="BJ128" i="35" s="1"/>
  <c r="BI138" i="35"/>
  <c r="BI135" i="35" s="1"/>
  <c r="BE146" i="35"/>
  <c r="Y128" i="35"/>
  <c r="BE128" i="35" s="1"/>
  <c r="BE131" i="35"/>
  <c r="BJ100" i="35"/>
  <c r="BJ99" i="35" s="1"/>
  <c r="BJ135" i="35"/>
  <c r="BK99" i="35"/>
  <c r="BK139" i="35"/>
  <c r="BI146" i="35"/>
  <c r="BE100" i="35"/>
  <c r="BE99" i="35" s="1"/>
  <c r="Y99" i="35"/>
  <c r="BK143" i="35"/>
  <c r="BI131" i="35"/>
  <c r="BE135" i="35"/>
  <c r="BK136" i="35"/>
  <c r="L127" i="35" l="1"/>
  <c r="BA127" i="35" s="1"/>
  <c r="N127" i="35"/>
  <c r="M127" i="35"/>
  <c r="BB127" i="35" s="1"/>
  <c r="BD99" i="35"/>
  <c r="BC127" i="35"/>
  <c r="BA146" i="35"/>
  <c r="J127" i="35"/>
  <c r="BD127" i="35" s="1"/>
  <c r="BK131" i="35"/>
  <c r="BK128" i="35" s="1"/>
  <c r="BI128" i="35"/>
  <c r="BI127" i="35" s="1"/>
  <c r="BJ127" i="35"/>
  <c r="BK138" i="35"/>
  <c r="BK135" i="35" s="1"/>
  <c r="BE127" i="35"/>
  <c r="BF127" i="35" s="1"/>
  <c r="Y127" i="35"/>
  <c r="BK127" i="35" l="1"/>
  <c r="AA29" i="37" l="1"/>
  <c r="T26" i="37"/>
  <c r="R26" i="37"/>
  <c r="X26" i="37"/>
  <c r="S26" i="37"/>
  <c r="W26" i="37"/>
  <c r="V26" i="37"/>
  <c r="U26" i="37"/>
  <c r="Q26" i="37"/>
  <c r="AL29" i="37"/>
  <c r="AB26" i="37"/>
  <c r="AH26" i="37"/>
  <c r="AD26" i="37"/>
  <c r="AF26" i="37"/>
  <c r="AG26" i="37"/>
  <c r="AE26" i="37"/>
  <c r="AC26" i="37"/>
  <c r="AI26" i="37"/>
  <c r="AI29" i="37" l="1"/>
  <c r="AE29" i="37"/>
  <c r="AF29" i="37"/>
  <c r="AH29" i="37"/>
  <c r="R30" i="37"/>
  <c r="X30" i="37"/>
  <c r="T30" i="37"/>
  <c r="W30" i="37"/>
  <c r="S30" i="37"/>
  <c r="V30" i="37"/>
  <c r="U30" i="37"/>
  <c r="Q30" i="37"/>
  <c r="T35" i="37"/>
  <c r="X35" i="37"/>
  <c r="U35" i="37"/>
  <c r="W35" i="37"/>
  <c r="S35" i="37"/>
  <c r="Q35" i="37"/>
  <c r="R35" i="37"/>
  <c r="V35" i="37"/>
  <c r="AC37" i="37"/>
  <c r="AH37" i="37"/>
  <c r="AI37" i="37"/>
  <c r="AE37" i="37"/>
  <c r="AD37" i="37"/>
  <c r="AF37" i="37"/>
  <c r="AG37" i="37"/>
  <c r="AB37" i="37"/>
  <c r="Q39" i="37"/>
  <c r="S39" i="37"/>
  <c r="W39" i="37"/>
  <c r="V39" i="37"/>
  <c r="X39" i="37"/>
  <c r="U39" i="37"/>
  <c r="R39" i="37"/>
  <c r="T39" i="37"/>
  <c r="R34" i="37"/>
  <c r="X34" i="37"/>
  <c r="T34" i="37"/>
  <c r="V34" i="37"/>
  <c r="U34" i="37"/>
  <c r="W34" i="37"/>
  <c r="Q34" i="37"/>
  <c r="S34" i="37"/>
  <c r="AD32" i="37"/>
  <c r="AC32" i="37"/>
  <c r="AI32" i="37"/>
  <c r="AB32" i="37"/>
  <c r="AH32" i="37"/>
  <c r="AE32" i="37"/>
  <c r="AG32" i="37"/>
  <c r="AF32" i="37"/>
  <c r="AD35" i="37"/>
  <c r="AB35" i="37"/>
  <c r="AH35" i="37"/>
  <c r="AC35" i="37"/>
  <c r="AE35" i="37"/>
  <c r="AI35" i="37"/>
  <c r="AG35" i="37"/>
  <c r="AF35" i="37"/>
  <c r="Q37" i="37"/>
  <c r="T37" i="37"/>
  <c r="X37" i="37"/>
  <c r="V37" i="37"/>
  <c r="U37" i="37"/>
  <c r="W37" i="37"/>
  <c r="R37" i="37"/>
  <c r="S37" i="37"/>
  <c r="AE38" i="37"/>
  <c r="AI38" i="37"/>
  <c r="AB38" i="37"/>
  <c r="AF38" i="37"/>
  <c r="AH38" i="37"/>
  <c r="AG38" i="37"/>
  <c r="AD38" i="37"/>
  <c r="AC38" i="37"/>
  <c r="AC29" i="37"/>
  <c r="AG29" i="37"/>
  <c r="AD29" i="37"/>
  <c r="AB29" i="37"/>
  <c r="AE34" i="37"/>
  <c r="AD34" i="37"/>
  <c r="AC34" i="37"/>
  <c r="AI34" i="37"/>
  <c r="AB34" i="37"/>
  <c r="AH34" i="37"/>
  <c r="AG34" i="37"/>
  <c r="AF34" i="37"/>
  <c r="AC30" i="37"/>
  <c r="AI30" i="37"/>
  <c r="AD30" i="37"/>
  <c r="AE30" i="37"/>
  <c r="AB30" i="37"/>
  <c r="AH30" i="37"/>
  <c r="AF30" i="37"/>
  <c r="AG30" i="37"/>
  <c r="S38" i="37"/>
  <c r="W38" i="37"/>
  <c r="V38" i="37"/>
  <c r="U38" i="37"/>
  <c r="X38" i="37"/>
  <c r="Q38" i="37"/>
  <c r="R38" i="37"/>
  <c r="T38" i="37"/>
  <c r="AB31" i="37"/>
  <c r="AH31" i="37"/>
  <c r="AE31" i="37"/>
  <c r="AD31" i="37"/>
  <c r="AC31" i="37"/>
  <c r="AG31" i="37"/>
  <c r="AF31" i="37"/>
  <c r="Q31" i="37"/>
  <c r="W31" i="37"/>
  <c r="S31" i="37"/>
  <c r="R31" i="37"/>
  <c r="X31" i="37"/>
  <c r="U31" i="37"/>
  <c r="V31" i="37"/>
  <c r="T31" i="37"/>
  <c r="AC40" i="37"/>
  <c r="AE40" i="37"/>
  <c r="AI40" i="37"/>
  <c r="AD40" i="37"/>
  <c r="AG40" i="37"/>
  <c r="AB40" i="37"/>
  <c r="AF40" i="37"/>
  <c r="AH40" i="37"/>
  <c r="U40" i="37"/>
  <c r="R40" i="37"/>
  <c r="V40" i="37"/>
  <c r="W40" i="37"/>
  <c r="S40" i="37"/>
  <c r="Q40" i="37"/>
  <c r="T40" i="37"/>
  <c r="X40" i="37"/>
  <c r="S32" i="37"/>
  <c r="Q32" i="37"/>
  <c r="W32" i="37"/>
  <c r="T32" i="37"/>
  <c r="U32" i="37"/>
  <c r="V32" i="37"/>
  <c r="R32" i="37"/>
  <c r="X32" i="37"/>
  <c r="Q29" i="37"/>
  <c r="U29" i="37"/>
  <c r="W29" i="37"/>
  <c r="X29" i="37"/>
  <c r="T29" i="37"/>
  <c r="AC39" i="37"/>
  <c r="AE39" i="37"/>
  <c r="AI39" i="37"/>
  <c r="AB39" i="37"/>
  <c r="AF39" i="37"/>
  <c r="AH39" i="37"/>
  <c r="AG39" i="37"/>
  <c r="AD39" i="37"/>
  <c r="V29" i="37"/>
  <c r="S29" i="37"/>
  <c r="R29" i="37"/>
  <c r="AK31" i="37" l="1"/>
  <c r="AK29" i="37"/>
  <c r="AK26" i="37" s="1"/>
  <c r="AJ39" i="37"/>
  <c r="Z32" i="37"/>
  <c r="Y32" i="37"/>
  <c r="Z31" i="37"/>
  <c r="Y38" i="37"/>
  <c r="AK38" i="37"/>
  <c r="AJ38" i="37"/>
  <c r="Y37" i="37"/>
  <c r="AK35" i="37"/>
  <c r="AJ35" i="37"/>
  <c r="AJ32" i="37"/>
  <c r="AK32" i="37"/>
  <c r="Z39" i="37"/>
  <c r="Y39" i="37"/>
  <c r="AJ37" i="37"/>
  <c r="AK37" i="37"/>
  <c r="Y35" i="37"/>
  <c r="Y30" i="37"/>
  <c r="Z29" i="37"/>
  <c r="Z26" i="37" s="1"/>
  <c r="AK39" i="37"/>
  <c r="Y29" i="37"/>
  <c r="Y40" i="37"/>
  <c r="Z40" i="37"/>
  <c r="AJ40" i="37"/>
  <c r="AK40" i="37"/>
  <c r="Y31" i="37"/>
  <c r="AJ31" i="37"/>
  <c r="Z38" i="37"/>
  <c r="AJ30" i="37"/>
  <c r="AK30" i="37"/>
  <c r="AJ34" i="37"/>
  <c r="AK34" i="37"/>
  <c r="AJ29" i="37"/>
  <c r="AJ26" i="37" s="1"/>
  <c r="Z37" i="37"/>
  <c r="Y34" i="37"/>
  <c r="Z34" i="37"/>
  <c r="Z35" i="37"/>
  <c r="Z30" i="37"/>
  <c r="Y26" i="37" l="1"/>
  <c r="BK24" i="37" l="1"/>
  <c r="Q35" i="36" l="1"/>
  <c r="R32" i="36"/>
  <c r="R30" i="36"/>
  <c r="W31" i="36"/>
  <c r="T26" i="36"/>
  <c r="L30" i="36"/>
  <c r="AW128" i="36"/>
  <c r="AN26" i="36"/>
  <c r="AR26" i="36"/>
  <c r="AP26" i="36"/>
  <c r="AT26" i="36"/>
  <c r="AO26" i="36"/>
  <c r="AQ26" i="36"/>
  <c r="AS26" i="36"/>
  <c r="AM26" i="36"/>
  <c r="AW134" i="36"/>
  <c r="AO32" i="36"/>
  <c r="AO134" i="36" s="1"/>
  <c r="AS32" i="36"/>
  <c r="AS134" i="36" s="1"/>
  <c r="AM32" i="36"/>
  <c r="AQ32" i="36"/>
  <c r="AQ134" i="36" s="1"/>
  <c r="AT32" i="36"/>
  <c r="AT134" i="36" s="1"/>
  <c r="AR32" i="36"/>
  <c r="AR134" i="36" s="1"/>
  <c r="AP32" i="36"/>
  <c r="AP134" i="36" s="1"/>
  <c r="AN32" i="36"/>
  <c r="Q40" i="36"/>
  <c r="S40" i="36"/>
  <c r="W40" i="36"/>
  <c r="U40" i="36"/>
  <c r="V40" i="36"/>
  <c r="R40" i="36"/>
  <c r="T40" i="36"/>
  <c r="X40" i="36"/>
  <c r="AW137" i="36"/>
  <c r="AP35" i="36"/>
  <c r="AT35" i="36"/>
  <c r="AN35" i="36"/>
  <c r="AR35" i="36"/>
  <c r="AS35" i="36"/>
  <c r="AQ35" i="36"/>
  <c r="AO35" i="36"/>
  <c r="AM35" i="36"/>
  <c r="AH32" i="36"/>
  <c r="AE32" i="36"/>
  <c r="AC32" i="36"/>
  <c r="AB32" i="36"/>
  <c r="AD32" i="36"/>
  <c r="AG32" i="36"/>
  <c r="AF32" i="36"/>
  <c r="AI32" i="36"/>
  <c r="AW133" i="36"/>
  <c r="AQ31" i="36"/>
  <c r="AQ133" i="36" s="1"/>
  <c r="AM31" i="36"/>
  <c r="AO31" i="36"/>
  <c r="AO133" i="36" s="1"/>
  <c r="AT31" i="36"/>
  <c r="AT133" i="36" s="1"/>
  <c r="AR31" i="36"/>
  <c r="AR133" i="36" s="1"/>
  <c r="AP31" i="36"/>
  <c r="AP133" i="36" s="1"/>
  <c r="AN31" i="36"/>
  <c r="AS31" i="36"/>
  <c r="AS133" i="36" s="1"/>
  <c r="X37" i="36"/>
  <c r="V37" i="36"/>
  <c r="U37" i="36"/>
  <c r="W37" i="36"/>
  <c r="S37" i="36"/>
  <c r="Q37" i="36"/>
  <c r="R37" i="36"/>
  <c r="T37" i="36"/>
  <c r="S32" i="36"/>
  <c r="W32" i="36"/>
  <c r="Q38" i="36"/>
  <c r="S38" i="36"/>
  <c r="W38" i="36"/>
  <c r="V38" i="36"/>
  <c r="U38" i="36"/>
  <c r="T38" i="36"/>
  <c r="X38" i="36"/>
  <c r="R38" i="36"/>
  <c r="AW139" i="36"/>
  <c r="AN37" i="36"/>
  <c r="AT37" i="36"/>
  <c r="AP37" i="36"/>
  <c r="AR37" i="36"/>
  <c r="AS37" i="36"/>
  <c r="AQ37" i="36"/>
  <c r="AO37" i="36"/>
  <c r="AM37" i="36"/>
  <c r="S30" i="36"/>
  <c r="T30" i="36"/>
  <c r="U31" i="36"/>
  <c r="U35" i="36"/>
  <c r="R35" i="36"/>
  <c r="R39" i="36"/>
  <c r="T39" i="36"/>
  <c r="U39" i="36"/>
  <c r="V39" i="36"/>
  <c r="W39" i="36"/>
  <c r="S39" i="36"/>
  <c r="Q39" i="36"/>
  <c r="X39" i="36"/>
  <c r="Q34" i="36"/>
  <c r="S34" i="36"/>
  <c r="W34" i="36"/>
  <c r="R34" i="36"/>
  <c r="V34" i="36"/>
  <c r="U34" i="36"/>
  <c r="T34" i="36"/>
  <c r="X34" i="36"/>
  <c r="AH30" i="36"/>
  <c r="AD30" i="36"/>
  <c r="AE30" i="36"/>
  <c r="AC30" i="36"/>
  <c r="AB30" i="36"/>
  <c r="AI30" i="36"/>
  <c r="AG30" i="36"/>
  <c r="AF30" i="36"/>
  <c r="AD40" i="36"/>
  <c r="AF40" i="36"/>
  <c r="AI40" i="36"/>
  <c r="AG40" i="36"/>
  <c r="AH40" i="36"/>
  <c r="AE40" i="36"/>
  <c r="AC40" i="36"/>
  <c r="AB40" i="36"/>
  <c r="AC31" i="36"/>
  <c r="AB31" i="36"/>
  <c r="AD31" i="36"/>
  <c r="AI31" i="36"/>
  <c r="AE31" i="36"/>
  <c r="AF31" i="36"/>
  <c r="AH31" i="36"/>
  <c r="AG31" i="36"/>
  <c r="AW141" i="36"/>
  <c r="AN39" i="36"/>
  <c r="AR39" i="36"/>
  <c r="AR141" i="36" s="1"/>
  <c r="AP39" i="36"/>
  <c r="AP141" i="36" s="1"/>
  <c r="AT39" i="36"/>
  <c r="AT141" i="36" s="1"/>
  <c r="AS39" i="36"/>
  <c r="AS141" i="36" s="1"/>
  <c r="AQ39" i="36"/>
  <c r="AQ141" i="36" s="1"/>
  <c r="AO39" i="36"/>
  <c r="AO141" i="36" s="1"/>
  <c r="AM39" i="36"/>
  <c r="AW132" i="36"/>
  <c r="AT30" i="36"/>
  <c r="AT132" i="36" s="1"/>
  <c r="AP30" i="36"/>
  <c r="AP132" i="36" s="1"/>
  <c r="AR30" i="36"/>
  <c r="AR132" i="36" s="1"/>
  <c r="AN30" i="36"/>
  <c r="AS30" i="36"/>
  <c r="AS132" i="36" s="1"/>
  <c r="AQ30" i="36"/>
  <c r="AQ132" i="36" s="1"/>
  <c r="AO30" i="36"/>
  <c r="AO132" i="36" s="1"/>
  <c r="AM30" i="36"/>
  <c r="AW140" i="36"/>
  <c r="AP38" i="36"/>
  <c r="AP140" i="36" s="1"/>
  <c r="AR38" i="36"/>
  <c r="AR140" i="36" s="1"/>
  <c r="AN38" i="36"/>
  <c r="AT38" i="36"/>
  <c r="AT140" i="36" s="1"/>
  <c r="AS38" i="36"/>
  <c r="AS140" i="36" s="1"/>
  <c r="AQ38" i="36"/>
  <c r="AQ140" i="36" s="1"/>
  <c r="AO38" i="36"/>
  <c r="AO140" i="36" s="1"/>
  <c r="AM38" i="36"/>
  <c r="AH37" i="36"/>
  <c r="AI37" i="36"/>
  <c r="AG37" i="36"/>
  <c r="AB37" i="36"/>
  <c r="AD37" i="36"/>
  <c r="AE37" i="36"/>
  <c r="AC37" i="36"/>
  <c r="AF37" i="36"/>
  <c r="AA29" i="36"/>
  <c r="S26" i="36"/>
  <c r="W26" i="36"/>
  <c r="AF38" i="36"/>
  <c r="AH38" i="36"/>
  <c r="AI38" i="36"/>
  <c r="AG38" i="36"/>
  <c r="AB38" i="36"/>
  <c r="AD38" i="36"/>
  <c r="AE38" i="36"/>
  <c r="AC38" i="36"/>
  <c r="AL29" i="36"/>
  <c r="AB26" i="36"/>
  <c r="AF26" i="36"/>
  <c r="AD26" i="36"/>
  <c r="AH26" i="36"/>
  <c r="AC26" i="36"/>
  <c r="AI26" i="36"/>
  <c r="AE26" i="36"/>
  <c r="AG26" i="36"/>
  <c r="AW142" i="36"/>
  <c r="AP40" i="36"/>
  <c r="AP142" i="36" s="1"/>
  <c r="AT40" i="36"/>
  <c r="AT142" i="36" s="1"/>
  <c r="AN40" i="36"/>
  <c r="AR40" i="36"/>
  <c r="AR142" i="36" s="1"/>
  <c r="AQ40" i="36"/>
  <c r="AQ142" i="36" s="1"/>
  <c r="AO40" i="36"/>
  <c r="AO142" i="36" s="1"/>
  <c r="AM40" i="36"/>
  <c r="AS40" i="36"/>
  <c r="AS142" i="36" s="1"/>
  <c r="AF35" i="36"/>
  <c r="AH35" i="36"/>
  <c r="AE35" i="36"/>
  <c r="AC35" i="36"/>
  <c r="AB35" i="36"/>
  <c r="AD35" i="36"/>
  <c r="AI35" i="36"/>
  <c r="AG35" i="36"/>
  <c r="AI39" i="36"/>
  <c r="AG39" i="36"/>
  <c r="AH39" i="36"/>
  <c r="AE39" i="36"/>
  <c r="AC39" i="36"/>
  <c r="AB39" i="36"/>
  <c r="AF39" i="36"/>
  <c r="AD39" i="36"/>
  <c r="AD34" i="36"/>
  <c r="AF34" i="36"/>
  <c r="AE34" i="36"/>
  <c r="AC34" i="36"/>
  <c r="AH34" i="36"/>
  <c r="AI34" i="36"/>
  <c r="AG34" i="36"/>
  <c r="AB34" i="36"/>
  <c r="AW131" i="36"/>
  <c r="M30" i="36" l="1"/>
  <c r="T31" i="36"/>
  <c r="V26" i="36"/>
  <c r="V29" i="36" s="1"/>
  <c r="R26" i="36"/>
  <c r="R29" i="36" s="1"/>
  <c r="O30" i="36"/>
  <c r="T35" i="36"/>
  <c r="S35" i="36"/>
  <c r="S31" i="36"/>
  <c r="Q31" i="36"/>
  <c r="X30" i="36"/>
  <c r="U30" i="36"/>
  <c r="V32" i="36"/>
  <c r="T32" i="36"/>
  <c r="U26" i="36"/>
  <c r="U29" i="36" s="1"/>
  <c r="Q26" i="36"/>
  <c r="Q29" i="36" s="1"/>
  <c r="X26" i="36"/>
  <c r="X29" i="36" s="1"/>
  <c r="N30" i="36"/>
  <c r="X35" i="36"/>
  <c r="V35" i="36"/>
  <c r="W35" i="36"/>
  <c r="V31" i="36"/>
  <c r="X31" i="36"/>
  <c r="R31" i="36"/>
  <c r="V30" i="36"/>
  <c r="Q30" i="36"/>
  <c r="W30" i="36"/>
  <c r="U32" i="36"/>
  <c r="Q32" i="36"/>
  <c r="X32" i="36"/>
  <c r="AL41" i="36"/>
  <c r="AA41" i="36"/>
  <c r="L40" i="36"/>
  <c r="N38" i="36"/>
  <c r="H40" i="36"/>
  <c r="G38" i="36"/>
  <c r="G30" i="36"/>
  <c r="H38" i="36"/>
  <c r="I38" i="36"/>
  <c r="AW145" i="36"/>
  <c r="AW41" i="36"/>
  <c r="AW143" i="36" s="1"/>
  <c r="AN43" i="36"/>
  <c r="AR43" i="36"/>
  <c r="AP43" i="36"/>
  <c r="AT43" i="36"/>
  <c r="AS43" i="36"/>
  <c r="AQ43" i="36"/>
  <c r="AO43" i="36"/>
  <c r="AM43" i="36"/>
  <c r="AJ34" i="36"/>
  <c r="AK34" i="36"/>
  <c r="AK39" i="36"/>
  <c r="AJ35" i="36"/>
  <c r="AM142" i="36"/>
  <c r="AU142" i="36" s="1"/>
  <c r="AU40" i="36"/>
  <c r="AN142" i="36"/>
  <c r="AV142" i="36" s="1"/>
  <c r="AV40" i="36"/>
  <c r="AG29" i="36"/>
  <c r="AI29" i="36"/>
  <c r="AC29" i="36"/>
  <c r="AD29" i="36"/>
  <c r="AB29" i="36"/>
  <c r="AK38" i="36"/>
  <c r="W29" i="36"/>
  <c r="T29" i="36"/>
  <c r="AN140" i="36"/>
  <c r="AV140" i="36" s="1"/>
  <c r="AV38" i="36"/>
  <c r="AM132" i="36"/>
  <c r="AU132" i="36" s="1"/>
  <c r="AU30" i="36"/>
  <c r="AN132" i="36"/>
  <c r="AV132" i="36" s="1"/>
  <c r="AV30" i="36"/>
  <c r="AN141" i="36"/>
  <c r="AV141" i="36" s="1"/>
  <c r="AV39" i="36"/>
  <c r="AK31" i="36"/>
  <c r="AJ40" i="36"/>
  <c r="AK30" i="36"/>
  <c r="Y34" i="36"/>
  <c r="Y39" i="36"/>
  <c r="Z39" i="36"/>
  <c r="AO139" i="36"/>
  <c r="AS139" i="36"/>
  <c r="AP139" i="36"/>
  <c r="AN139" i="36"/>
  <c r="AV37" i="36"/>
  <c r="Z38" i="36"/>
  <c r="Y38" i="36"/>
  <c r="Y37" i="36"/>
  <c r="AN133" i="36"/>
  <c r="AV133" i="36" s="1"/>
  <c r="AV31" i="36"/>
  <c r="AK32" i="36"/>
  <c r="AM137" i="36"/>
  <c r="AU35" i="36"/>
  <c r="AQ137" i="36"/>
  <c r="AR137" i="36"/>
  <c r="AT137" i="36"/>
  <c r="Z40" i="36"/>
  <c r="AM134" i="36"/>
  <c r="AU134" i="36" s="1"/>
  <c r="AU32" i="36"/>
  <c r="AM128" i="36"/>
  <c r="AM29" i="36"/>
  <c r="AQ128" i="36"/>
  <c r="AQ29" i="36"/>
  <c r="AT128" i="36"/>
  <c r="AT29" i="36"/>
  <c r="AR128" i="36"/>
  <c r="AR29" i="36"/>
  <c r="M40" i="36"/>
  <c r="W43" i="36"/>
  <c r="Q43" i="36"/>
  <c r="U43" i="36"/>
  <c r="R43" i="36"/>
  <c r="M38" i="36"/>
  <c r="AJ39" i="36"/>
  <c r="AK35" i="36"/>
  <c r="AE29" i="36"/>
  <c r="AH29" i="36"/>
  <c r="AF29" i="36"/>
  <c r="AJ38" i="36"/>
  <c r="S29" i="36"/>
  <c r="AK37" i="36"/>
  <c r="AJ37" i="36"/>
  <c r="AM140" i="36"/>
  <c r="AU140" i="36" s="1"/>
  <c r="AU38" i="36"/>
  <c r="AM141" i="36"/>
  <c r="AU141" i="36" s="1"/>
  <c r="AU39" i="36"/>
  <c r="AJ31" i="36"/>
  <c r="AK40" i="36"/>
  <c r="AJ30" i="36"/>
  <c r="Z34" i="36"/>
  <c r="AM139" i="36"/>
  <c r="AU37" i="36"/>
  <c r="AQ139" i="36"/>
  <c r="AR139" i="36"/>
  <c r="AT139" i="36"/>
  <c r="Z37" i="36"/>
  <c r="AM133" i="36"/>
  <c r="AU133" i="36" s="1"/>
  <c r="AU31" i="36"/>
  <c r="AJ32" i="36"/>
  <c r="AO137" i="36"/>
  <c r="AS137" i="36"/>
  <c r="AN137" i="36"/>
  <c r="AV35" i="36"/>
  <c r="AP137" i="36"/>
  <c r="Y40" i="36"/>
  <c r="AN134" i="36"/>
  <c r="AV134" i="36" s="1"/>
  <c r="AV32" i="36"/>
  <c r="AS128" i="36"/>
  <c r="AS29" i="36"/>
  <c r="AO128" i="36"/>
  <c r="AO29" i="36"/>
  <c r="AP128" i="36"/>
  <c r="AP29" i="36"/>
  <c r="AN128" i="36"/>
  <c r="AN29" i="36"/>
  <c r="AA51" i="37"/>
  <c r="Z30" i="36" l="1"/>
  <c r="Z31" i="36"/>
  <c r="AD43" i="36"/>
  <c r="AD41" i="36" s="1"/>
  <c r="AD36" i="36" s="1"/>
  <c r="AD33" i="36" s="1"/>
  <c r="AD25" i="36" s="1"/>
  <c r="AD24" i="36" s="1"/>
  <c r="AG43" i="36"/>
  <c r="AG41" i="36" s="1"/>
  <c r="AG36" i="36" s="1"/>
  <c r="AG33" i="36" s="1"/>
  <c r="AG25" i="36" s="1"/>
  <c r="AG24" i="36" s="1"/>
  <c r="AC43" i="36"/>
  <c r="AC41" i="36" s="1"/>
  <c r="AC36" i="36" s="1"/>
  <c r="AC33" i="36" s="1"/>
  <c r="AC25" i="36" s="1"/>
  <c r="AC24" i="36" s="1"/>
  <c r="AH43" i="36"/>
  <c r="AH41" i="36" s="1"/>
  <c r="AH36" i="36" s="1"/>
  <c r="AH33" i="36" s="1"/>
  <c r="AH25" i="36" s="1"/>
  <c r="AH24" i="36" s="1"/>
  <c r="Y32" i="36"/>
  <c r="Z35" i="36"/>
  <c r="T43" i="36"/>
  <c r="T41" i="36" s="1"/>
  <c r="T36" i="36" s="1"/>
  <c r="T33" i="36" s="1"/>
  <c r="T25" i="36" s="1"/>
  <c r="T24" i="36" s="1"/>
  <c r="V43" i="36"/>
  <c r="V41" i="36" s="1"/>
  <c r="V36" i="36" s="1"/>
  <c r="V33" i="36" s="1"/>
  <c r="V25" i="36" s="1"/>
  <c r="V24" i="36" s="1"/>
  <c r="X43" i="36"/>
  <c r="X41" i="36" s="1"/>
  <c r="X36" i="36" s="1"/>
  <c r="X33" i="36" s="1"/>
  <c r="X25" i="36" s="1"/>
  <c r="X24" i="36" s="1"/>
  <c r="S43" i="36"/>
  <c r="Y43" i="36" s="1"/>
  <c r="Y41" i="36" s="1"/>
  <c r="Y36" i="36" s="1"/>
  <c r="AF43" i="36"/>
  <c r="AF41" i="36" s="1"/>
  <c r="AF36" i="36" s="1"/>
  <c r="AF33" i="36" s="1"/>
  <c r="AF25" i="36" s="1"/>
  <c r="AF24" i="36" s="1"/>
  <c r="AI43" i="36"/>
  <c r="AI41" i="36" s="1"/>
  <c r="AI36" i="36" s="1"/>
  <c r="AI33" i="36" s="1"/>
  <c r="AI25" i="36" s="1"/>
  <c r="AI24" i="36" s="1"/>
  <c r="AB43" i="36"/>
  <c r="AE43" i="36"/>
  <c r="AE41" i="36" s="1"/>
  <c r="AE36" i="36" s="1"/>
  <c r="AE33" i="36" s="1"/>
  <c r="AE25" i="36" s="1"/>
  <c r="AE24" i="36" s="1"/>
  <c r="Y30" i="36"/>
  <c r="BE30" i="36" s="1"/>
  <c r="Y31" i="36"/>
  <c r="Y35" i="36"/>
  <c r="Z32" i="36"/>
  <c r="O38" i="36"/>
  <c r="G40" i="36"/>
  <c r="BA40" i="36" s="1"/>
  <c r="BI40" i="36" s="1"/>
  <c r="O40" i="36"/>
  <c r="L38" i="36"/>
  <c r="I40" i="36"/>
  <c r="N40" i="36"/>
  <c r="I30" i="36"/>
  <c r="BC30" i="36" s="1"/>
  <c r="H30" i="36"/>
  <c r="BB30" i="36" s="1"/>
  <c r="G39" i="36"/>
  <c r="AV29" i="36"/>
  <c r="AV26" i="36" s="1"/>
  <c r="BE40" i="36"/>
  <c r="Z29" i="36"/>
  <c r="Z26" i="36" s="1"/>
  <c r="BE38" i="36"/>
  <c r="G32" i="36"/>
  <c r="I32" i="36"/>
  <c r="H32" i="36"/>
  <c r="H34" i="36"/>
  <c r="G34" i="36"/>
  <c r="I34" i="36"/>
  <c r="AA51" i="36"/>
  <c r="AP131" i="36"/>
  <c r="AS131" i="36"/>
  <c r="AV137" i="36"/>
  <c r="BB40" i="36"/>
  <c r="Q41" i="36"/>
  <c r="Q36" i="36" s="1"/>
  <c r="Q33" i="36" s="1"/>
  <c r="Q25" i="36" s="1"/>
  <c r="Q24" i="36" s="1"/>
  <c r="W41" i="36"/>
  <c r="W36" i="36" s="1"/>
  <c r="W33" i="36" s="1"/>
  <c r="W25" i="36" s="1"/>
  <c r="W24" i="36" s="1"/>
  <c r="AT131" i="36"/>
  <c r="AM131" i="36"/>
  <c r="AU137" i="36"/>
  <c r="AK29" i="36"/>
  <c r="AK26" i="36" s="1"/>
  <c r="AO145" i="36"/>
  <c r="AO143" i="36" s="1"/>
  <c r="AO138" i="36" s="1"/>
  <c r="AO135" i="36" s="1"/>
  <c r="AO127" i="36" s="1"/>
  <c r="AO41" i="36"/>
  <c r="AO36" i="36" s="1"/>
  <c r="AO33" i="36" s="1"/>
  <c r="AO25" i="36" s="1"/>
  <c r="AO24" i="36" s="1"/>
  <c r="AS145" i="36"/>
  <c r="AS143" i="36" s="1"/>
  <c r="AS138" i="36" s="1"/>
  <c r="AS135" i="36" s="1"/>
  <c r="AS127" i="36" s="1"/>
  <c r="AS41" i="36"/>
  <c r="AS36" i="36" s="1"/>
  <c r="AS33" i="36" s="1"/>
  <c r="AS25" i="36" s="1"/>
  <c r="AS24" i="36" s="1"/>
  <c r="AP145" i="36"/>
  <c r="AP143" i="36" s="1"/>
  <c r="AP138" i="36" s="1"/>
  <c r="AP135" i="36" s="1"/>
  <c r="AP127" i="36" s="1"/>
  <c r="AP41" i="36"/>
  <c r="AP36" i="36" s="1"/>
  <c r="AP33" i="36" s="1"/>
  <c r="AP25" i="36" s="1"/>
  <c r="AP24" i="36" s="1"/>
  <c r="AN145" i="36"/>
  <c r="AV43" i="36"/>
  <c r="AV41" i="36" s="1"/>
  <c r="AV36" i="36" s="1"/>
  <c r="AV33" i="36" s="1"/>
  <c r="AN41" i="36"/>
  <c r="AN36" i="36" s="1"/>
  <c r="AN33" i="36" s="1"/>
  <c r="AN25" i="36" s="1"/>
  <c r="AN24" i="36" s="1"/>
  <c r="BA30" i="36"/>
  <c r="BI30" i="36" s="1"/>
  <c r="J38" i="36"/>
  <c r="AL36" i="36"/>
  <c r="G37" i="36"/>
  <c r="I37" i="36"/>
  <c r="H37" i="36"/>
  <c r="H35" i="36"/>
  <c r="G35" i="36"/>
  <c r="I35" i="36"/>
  <c r="K53" i="36"/>
  <c r="G31" i="36"/>
  <c r="I31" i="36"/>
  <c r="H31" i="36"/>
  <c r="AN131" i="36"/>
  <c r="AO131" i="36"/>
  <c r="AU139" i="36"/>
  <c r="R41" i="36"/>
  <c r="R36" i="36" s="1"/>
  <c r="R33" i="36" s="1"/>
  <c r="R25" i="36" s="1"/>
  <c r="R24" i="36" s="1"/>
  <c r="U41" i="36"/>
  <c r="U36" i="36" s="1"/>
  <c r="U33" i="36" s="1"/>
  <c r="U25" i="36" s="1"/>
  <c r="U24" i="36" s="1"/>
  <c r="AA36" i="36"/>
  <c r="AR131" i="36"/>
  <c r="AQ131" i="36"/>
  <c r="AU29" i="36"/>
  <c r="AU26" i="36" s="1"/>
  <c r="AV139" i="36"/>
  <c r="Y29" i="36"/>
  <c r="Y26" i="36" s="1"/>
  <c r="AJ29" i="36"/>
  <c r="AJ26" i="36" s="1"/>
  <c r="AM145" i="36"/>
  <c r="AU43" i="36"/>
  <c r="AU41" i="36" s="1"/>
  <c r="AU36" i="36" s="1"/>
  <c r="AU33" i="36" s="1"/>
  <c r="AM41" i="36"/>
  <c r="AM36" i="36" s="1"/>
  <c r="AM33" i="36" s="1"/>
  <c r="AM25" i="36" s="1"/>
  <c r="AM24" i="36" s="1"/>
  <c r="AQ145" i="36"/>
  <c r="AQ143" i="36" s="1"/>
  <c r="AQ138" i="36" s="1"/>
  <c r="AQ135" i="36" s="1"/>
  <c r="AQ127" i="36" s="1"/>
  <c r="AQ41" i="36"/>
  <c r="AQ36" i="36" s="1"/>
  <c r="AQ33" i="36" s="1"/>
  <c r="AQ25" i="36" s="1"/>
  <c r="AQ24" i="36" s="1"/>
  <c r="AT145" i="36"/>
  <c r="AT143" i="36" s="1"/>
  <c r="AT138" i="36" s="1"/>
  <c r="AT135" i="36" s="1"/>
  <c r="AT127" i="36" s="1"/>
  <c r="AT41" i="36"/>
  <c r="AT36" i="36" s="1"/>
  <c r="AT33" i="36" s="1"/>
  <c r="AT25" i="36" s="1"/>
  <c r="AT24" i="36" s="1"/>
  <c r="AR145" i="36"/>
  <c r="AR143" i="36" s="1"/>
  <c r="AR138" i="36" s="1"/>
  <c r="AR135" i="36" s="1"/>
  <c r="AR127" i="36" s="1"/>
  <c r="AR41" i="36"/>
  <c r="AR36" i="36" s="1"/>
  <c r="AR33" i="36" s="1"/>
  <c r="AR25" i="36" s="1"/>
  <c r="AR24" i="36" s="1"/>
  <c r="BC38" i="36"/>
  <c r="BB38" i="36"/>
  <c r="AJ43" i="36" l="1"/>
  <c r="AJ41" i="36" s="1"/>
  <c r="AJ36" i="36" s="1"/>
  <c r="AJ33" i="36" s="1"/>
  <c r="AJ25" i="36" s="1"/>
  <c r="AJ24" i="36" s="1"/>
  <c r="BA38" i="36"/>
  <c r="BI38" i="36" s="1"/>
  <c r="AB41" i="36"/>
  <c r="AB36" i="36" s="1"/>
  <c r="AB33" i="36" s="1"/>
  <c r="AB25" i="36" s="1"/>
  <c r="AB24" i="36" s="1"/>
  <c r="J40" i="36"/>
  <c r="BD40" i="36" s="1"/>
  <c r="Z43" i="36"/>
  <c r="Z41" i="36" s="1"/>
  <c r="Z36" i="36" s="1"/>
  <c r="Z33" i="36" s="1"/>
  <c r="Z25" i="36" s="1"/>
  <c r="Z24" i="36" s="1"/>
  <c r="Y33" i="36"/>
  <c r="Y25" i="36" s="1"/>
  <c r="Y24" i="36" s="1"/>
  <c r="S41" i="36"/>
  <c r="S36" i="36" s="1"/>
  <c r="S33" i="36" s="1"/>
  <c r="S25" i="36" s="1"/>
  <c r="S24" i="36" s="1"/>
  <c r="AK43" i="36"/>
  <c r="AK41" i="36" s="1"/>
  <c r="AK36" i="36" s="1"/>
  <c r="AK33" i="36" s="1"/>
  <c r="AK25" i="36" s="1"/>
  <c r="AK24" i="36" s="1"/>
  <c r="AV25" i="36"/>
  <c r="AV24" i="36" s="1"/>
  <c r="BC40" i="36"/>
  <c r="J30" i="36"/>
  <c r="BD30" i="36" s="1"/>
  <c r="BF30" i="36" s="1"/>
  <c r="BG30" i="36" s="1"/>
  <c r="I39" i="36"/>
  <c r="L34" i="36"/>
  <c r="BA34" i="36" s="1"/>
  <c r="BI34" i="36" s="1"/>
  <c r="N35" i="36"/>
  <c r="BC35" i="36" s="1"/>
  <c r="M31" i="36"/>
  <c r="BB31" i="36" s="1"/>
  <c r="M32" i="36"/>
  <c r="BB32" i="36" s="1"/>
  <c r="H39" i="36"/>
  <c r="K43" i="36"/>
  <c r="AX26" i="37"/>
  <c r="L31" i="36"/>
  <c r="BA31" i="36" s="1"/>
  <c r="BI31" i="36" s="1"/>
  <c r="N31" i="36"/>
  <c r="BC31" i="36" s="1"/>
  <c r="M35" i="36"/>
  <c r="BB35" i="36" s="1"/>
  <c r="O35" i="36"/>
  <c r="N32" i="36"/>
  <c r="BC32" i="36" s="1"/>
  <c r="O32" i="36"/>
  <c r="M37" i="36"/>
  <c r="BB37" i="36" s="1"/>
  <c r="L37" i="36"/>
  <c r="BA37" i="36" s="1"/>
  <c r="BI37" i="36" s="1"/>
  <c r="O37" i="36"/>
  <c r="N37" i="36"/>
  <c r="BC37" i="36" s="1"/>
  <c r="M34" i="36"/>
  <c r="BB34" i="36" s="1"/>
  <c r="O34" i="36"/>
  <c r="AV131" i="36"/>
  <c r="AV128" i="36" s="1"/>
  <c r="J31" i="36"/>
  <c r="BE35" i="36"/>
  <c r="J37" i="36"/>
  <c r="BD38" i="36"/>
  <c r="BJ38" i="36" s="1"/>
  <c r="AV145" i="36"/>
  <c r="AV143" i="36" s="1"/>
  <c r="AV138" i="36" s="1"/>
  <c r="AV135" i="36" s="1"/>
  <c r="AN143" i="36"/>
  <c r="AN138" i="36" s="1"/>
  <c r="AN135" i="36" s="1"/>
  <c r="AN127" i="36" s="1"/>
  <c r="AW135" i="36"/>
  <c r="AW127" i="36" s="1"/>
  <c r="AW25" i="36"/>
  <c r="AW24" i="36" s="1"/>
  <c r="BE34" i="36"/>
  <c r="J32" i="36"/>
  <c r="K29" i="36"/>
  <c r="L39" i="36"/>
  <c r="BA39" i="36" s="1"/>
  <c r="BI39" i="36" s="1"/>
  <c r="N39" i="36"/>
  <c r="M39" i="36"/>
  <c r="O39" i="36"/>
  <c r="AX26" i="36"/>
  <c r="AU145" i="36"/>
  <c r="AU143" i="36" s="1"/>
  <c r="AU138" i="36" s="1"/>
  <c r="AU135" i="36" s="1"/>
  <c r="AM143" i="36"/>
  <c r="AM138" i="36" s="1"/>
  <c r="AM135" i="36" s="1"/>
  <c r="AM127" i="36" s="1"/>
  <c r="AU25" i="36"/>
  <c r="AU24" i="36" s="1"/>
  <c r="AA33" i="36"/>
  <c r="BE31" i="36"/>
  <c r="J35" i="36"/>
  <c r="BE39" i="36"/>
  <c r="BE37" i="36"/>
  <c r="AL33" i="36"/>
  <c r="AU131" i="36"/>
  <c r="AU128" i="36" s="1"/>
  <c r="J34" i="36"/>
  <c r="BE32" i="36"/>
  <c r="P43" i="36"/>
  <c r="BJ40" i="36" l="1"/>
  <c r="BJ30" i="36"/>
  <c r="H21" i="46"/>
  <c r="E21" i="46"/>
  <c r="E13" i="46"/>
  <c r="BF38" i="36"/>
  <c r="BG38" i="36" s="1"/>
  <c r="BB39" i="36"/>
  <c r="BF40" i="36"/>
  <c r="BG40" i="36" s="1"/>
  <c r="J39" i="36"/>
  <c r="N34" i="36"/>
  <c r="BC34" i="36" s="1"/>
  <c r="L32" i="36"/>
  <c r="BA32" i="36" s="1"/>
  <c r="BI32" i="36" s="1"/>
  <c r="L35" i="36"/>
  <c r="BA35" i="36" s="1"/>
  <c r="BI35" i="36" s="1"/>
  <c r="O31" i="36"/>
  <c r="BD31" i="36" s="1"/>
  <c r="BF31" i="36" s="1"/>
  <c r="BG31" i="36" s="1"/>
  <c r="K36" i="36"/>
  <c r="K33" i="36" s="1"/>
  <c r="BK38" i="36"/>
  <c r="BD34" i="36"/>
  <c r="AU127" i="36"/>
  <c r="AL25" i="36"/>
  <c r="AL107" i="36" s="1"/>
  <c r="AL135" i="36" s="1"/>
  <c r="AA25" i="36"/>
  <c r="AA107" i="36" s="1"/>
  <c r="AA135" i="36" s="1"/>
  <c r="K52" i="36"/>
  <c r="K89" i="36" s="1"/>
  <c r="I29" i="36"/>
  <c r="G29" i="36"/>
  <c r="G26" i="36" s="1"/>
  <c r="H29" i="36"/>
  <c r="BD32" i="36"/>
  <c r="BJ32" i="36" s="1"/>
  <c r="P41" i="36"/>
  <c r="O43" i="36"/>
  <c r="L43" i="36"/>
  <c r="N43" i="36"/>
  <c r="M43" i="36"/>
  <c r="BD35" i="36"/>
  <c r="BJ35" i="36" s="1"/>
  <c r="BD37" i="36"/>
  <c r="BF37" i="36" s="1"/>
  <c r="BG37" i="36" s="1"/>
  <c r="BC39" i="36"/>
  <c r="AV127" i="36"/>
  <c r="BE43" i="36"/>
  <c r="G43" i="36"/>
  <c r="I43" i="36"/>
  <c r="H43" i="36"/>
  <c r="Y21" i="46" l="1"/>
  <c r="U21" i="46"/>
  <c r="U13" i="46"/>
  <c r="BJ34" i="36"/>
  <c r="BJ37" i="36"/>
  <c r="BJ31" i="36"/>
  <c r="H13" i="46"/>
  <c r="E23" i="46"/>
  <c r="BF35" i="36"/>
  <c r="BG35" i="36" s="1"/>
  <c r="BF34" i="36"/>
  <c r="BG34" i="36" s="1"/>
  <c r="BD39" i="36"/>
  <c r="BF39" i="36" s="1"/>
  <c r="BG39" i="36" s="1"/>
  <c r="BF32" i="36"/>
  <c r="BG32" i="36" s="1"/>
  <c r="BK30" i="36"/>
  <c r="BB43" i="36"/>
  <c r="H41" i="36"/>
  <c r="BA43" i="36"/>
  <c r="BI43" i="36" s="1"/>
  <c r="G41" i="36"/>
  <c r="N41" i="36"/>
  <c r="N36" i="36" s="1"/>
  <c r="N33" i="36" s="1"/>
  <c r="O41" i="36"/>
  <c r="O36" i="36" s="1"/>
  <c r="O33" i="36" s="1"/>
  <c r="P36" i="36"/>
  <c r="BE41" i="36"/>
  <c r="H26" i="36"/>
  <c r="I26" i="36"/>
  <c r="P29" i="36"/>
  <c r="BE26" i="36"/>
  <c r="BC43" i="36"/>
  <c r="I41" i="36"/>
  <c r="J43" i="36"/>
  <c r="M41" i="36"/>
  <c r="M36" i="36" s="1"/>
  <c r="M33" i="36" s="1"/>
  <c r="L41" i="36"/>
  <c r="L36" i="36" s="1"/>
  <c r="L33" i="36" s="1"/>
  <c r="J29" i="36"/>
  <c r="K92" i="36"/>
  <c r="AA24" i="36"/>
  <c r="AA123" i="36"/>
  <c r="AA151" i="36" s="1"/>
  <c r="AA119" i="36"/>
  <c r="AA122" i="36"/>
  <c r="AA118" i="36"/>
  <c r="AA146" i="36" s="1"/>
  <c r="AA116" i="36"/>
  <c r="AA101" i="36"/>
  <c r="AA121" i="36"/>
  <c r="AA120" i="36"/>
  <c r="AA102" i="36"/>
  <c r="AA114" i="36"/>
  <c r="AA111" i="36"/>
  <c r="AA112" i="36"/>
  <c r="AA104" i="36"/>
  <c r="AA105" i="36"/>
  <c r="AA113" i="36"/>
  <c r="AA100" i="36"/>
  <c r="AA106" i="36"/>
  <c r="AA109" i="36"/>
  <c r="AA108" i="36"/>
  <c r="AA103" i="36"/>
  <c r="AA131" i="36" s="1"/>
  <c r="AA117" i="36"/>
  <c r="AA115" i="36"/>
  <c r="AA143" i="36" s="1"/>
  <c r="AA110" i="36"/>
  <c r="AA138" i="36" s="1"/>
  <c r="AA52" i="36"/>
  <c r="K25" i="36"/>
  <c r="K90" i="36" s="1"/>
  <c r="AL24" i="36"/>
  <c r="AL120" i="36"/>
  <c r="AL121" i="36"/>
  <c r="AL102" i="36"/>
  <c r="AL122" i="36"/>
  <c r="AL118" i="36"/>
  <c r="AL146" i="36" s="1"/>
  <c r="AL116" i="36"/>
  <c r="AL123" i="36"/>
  <c r="AL151" i="36" s="1"/>
  <c r="AL119" i="36"/>
  <c r="AL101" i="36"/>
  <c r="AL105" i="36"/>
  <c r="AL111" i="36"/>
  <c r="AL100" i="36"/>
  <c r="AL109" i="36"/>
  <c r="AL113" i="36"/>
  <c r="AL106" i="36"/>
  <c r="AL104" i="36"/>
  <c r="AL114" i="36"/>
  <c r="AL112" i="36"/>
  <c r="AL108" i="36"/>
  <c r="AL117" i="36"/>
  <c r="AL103" i="36"/>
  <c r="AL131" i="36" s="1"/>
  <c r="AL115" i="36"/>
  <c r="AL143" i="36" s="1"/>
  <c r="AL110" i="36"/>
  <c r="AL138" i="36" s="1"/>
  <c r="Y13" i="46" l="1"/>
  <c r="U23" i="46"/>
  <c r="BJ39" i="36"/>
  <c r="BK39" i="36" s="1"/>
  <c r="BK34" i="36"/>
  <c r="H20" i="46"/>
  <c r="H23" i="46"/>
  <c r="H18" i="46"/>
  <c r="H15" i="46"/>
  <c r="E22" i="46"/>
  <c r="E20" i="46"/>
  <c r="E18" i="46"/>
  <c r="E17" i="46"/>
  <c r="E14" i="46"/>
  <c r="BK31" i="36"/>
  <c r="BK40" i="36"/>
  <c r="BK35" i="36"/>
  <c r="AI117" i="36"/>
  <c r="AI145" i="36" s="1"/>
  <c r="AG117" i="36"/>
  <c r="AG145" i="36" s="1"/>
  <c r="AF117" i="36"/>
  <c r="AF145" i="36" s="1"/>
  <c r="AH117" i="36"/>
  <c r="AH145" i="36" s="1"/>
  <c r="AB117" i="36"/>
  <c r="AD117" i="36"/>
  <c r="AE117" i="36"/>
  <c r="AE145" i="36" s="1"/>
  <c r="AC117" i="36"/>
  <c r="AL145" i="36"/>
  <c r="AH112" i="36"/>
  <c r="AH140" i="36" s="1"/>
  <c r="AI112" i="36"/>
  <c r="AI140" i="36" s="1"/>
  <c r="AG112" i="36"/>
  <c r="AG140" i="36" s="1"/>
  <c r="AB112" i="36"/>
  <c r="AD112" i="36"/>
  <c r="AE112" i="36"/>
  <c r="AE140" i="36" s="1"/>
  <c r="AC112" i="36"/>
  <c r="AF112" i="36"/>
  <c r="AF140" i="36" s="1"/>
  <c r="AL140" i="36"/>
  <c r="AE104" i="36"/>
  <c r="AE132" i="36" s="1"/>
  <c r="AC104" i="36"/>
  <c r="AH104" i="36"/>
  <c r="AH132" i="36" s="1"/>
  <c r="AI104" i="36"/>
  <c r="AI132" i="36" s="1"/>
  <c r="AG104" i="36"/>
  <c r="AG132" i="36" s="1"/>
  <c r="AB104" i="36"/>
  <c r="AF104" i="36"/>
  <c r="AF132" i="36" s="1"/>
  <c r="AD104" i="36"/>
  <c r="AL132" i="36"/>
  <c r="AF113" i="36"/>
  <c r="AF141" i="36" s="1"/>
  <c r="AH113" i="36"/>
  <c r="AH141" i="36" s="1"/>
  <c r="AE113" i="36"/>
  <c r="AE141" i="36" s="1"/>
  <c r="AB113" i="36"/>
  <c r="AD113" i="36"/>
  <c r="AC113" i="36"/>
  <c r="AI113" i="36"/>
  <c r="AI141" i="36" s="1"/>
  <c r="AG113" i="36"/>
  <c r="AG141" i="36" s="1"/>
  <c r="AL141" i="36"/>
  <c r="AL99" i="36"/>
  <c r="AC100" i="36"/>
  <c r="AE100" i="36"/>
  <c r="AG100" i="36"/>
  <c r="AI100" i="36"/>
  <c r="AH100" i="36"/>
  <c r="AD100" i="36"/>
  <c r="AF100" i="36"/>
  <c r="AB100" i="36"/>
  <c r="AL128" i="36"/>
  <c r="AC105" i="36"/>
  <c r="AE105" i="36"/>
  <c r="AE133" i="36" s="1"/>
  <c r="AB105" i="36"/>
  <c r="AD105" i="36"/>
  <c r="AG105" i="36"/>
  <c r="AG133" i="36" s="1"/>
  <c r="AI105" i="36"/>
  <c r="AI133" i="36" s="1"/>
  <c r="AF105" i="36"/>
  <c r="AF133" i="36" s="1"/>
  <c r="AH105" i="36"/>
  <c r="AH133" i="36" s="1"/>
  <c r="AL133" i="36"/>
  <c r="AI119" i="36"/>
  <c r="AG119" i="36"/>
  <c r="AH119" i="36"/>
  <c r="AE119" i="36"/>
  <c r="AC119" i="36"/>
  <c r="AB119" i="36"/>
  <c r="AL147" i="36"/>
  <c r="AF119" i="36"/>
  <c r="AD119" i="36"/>
  <c r="AB116" i="36"/>
  <c r="AD116" i="36"/>
  <c r="AF116" i="36"/>
  <c r="AH116" i="36"/>
  <c r="AL144" i="36"/>
  <c r="AG116" i="36"/>
  <c r="AC116" i="36"/>
  <c r="AI116" i="36"/>
  <c r="AE116" i="36"/>
  <c r="AL150" i="36"/>
  <c r="AD122" i="36"/>
  <c r="AF122" i="36"/>
  <c r="AF150" i="36" s="1"/>
  <c r="AE122" i="36"/>
  <c r="AE150" i="36" s="1"/>
  <c r="AC122" i="36"/>
  <c r="AI122" i="36"/>
  <c r="AI150" i="36" s="1"/>
  <c r="AG122" i="36"/>
  <c r="AG150" i="36" s="1"/>
  <c r="AH122" i="36"/>
  <c r="AH150" i="36" s="1"/>
  <c r="AB122" i="36"/>
  <c r="AD121" i="36"/>
  <c r="AL149" i="36"/>
  <c r="AF121" i="36"/>
  <c r="AF149" i="36" s="1"/>
  <c r="AI121" i="36"/>
  <c r="AI149" i="36" s="1"/>
  <c r="AG121" i="36"/>
  <c r="AG149" i="36" s="1"/>
  <c r="AH121" i="36"/>
  <c r="AH149" i="36" s="1"/>
  <c r="AE121" i="36"/>
  <c r="AE149" i="36" s="1"/>
  <c r="AC121" i="36"/>
  <c r="AB121" i="36"/>
  <c r="K107" i="36"/>
  <c r="K135" i="36" s="1"/>
  <c r="Q109" i="36"/>
  <c r="S109" i="36"/>
  <c r="S137" i="36" s="1"/>
  <c r="W109" i="36"/>
  <c r="W137" i="36" s="1"/>
  <c r="V109" i="36"/>
  <c r="V137" i="36" s="1"/>
  <c r="R109" i="36"/>
  <c r="U109" i="36"/>
  <c r="U137" i="36" s="1"/>
  <c r="T109" i="36"/>
  <c r="T137" i="36" s="1"/>
  <c r="X109" i="36"/>
  <c r="X137" i="36" s="1"/>
  <c r="AA137" i="36"/>
  <c r="AA99" i="36"/>
  <c r="W100" i="36"/>
  <c r="Q100" i="36"/>
  <c r="T100" i="36"/>
  <c r="V100" i="36"/>
  <c r="U100" i="36"/>
  <c r="S100" i="36"/>
  <c r="X100" i="36"/>
  <c r="R100" i="36"/>
  <c r="AA128" i="36"/>
  <c r="Q105" i="36"/>
  <c r="S105" i="36"/>
  <c r="S133" i="36" s="1"/>
  <c r="W105" i="36"/>
  <c r="W133" i="36" s="1"/>
  <c r="R105" i="36"/>
  <c r="T105" i="36"/>
  <c r="T133" i="36" s="1"/>
  <c r="X105" i="36"/>
  <c r="X133" i="36" s="1"/>
  <c r="U105" i="36"/>
  <c r="U133" i="36" s="1"/>
  <c r="V105" i="36"/>
  <c r="V133" i="36" s="1"/>
  <c r="AA133" i="36"/>
  <c r="U112" i="36"/>
  <c r="U140" i="36" s="1"/>
  <c r="T112" i="36"/>
  <c r="T140" i="36" s="1"/>
  <c r="X112" i="36"/>
  <c r="X140" i="36" s="1"/>
  <c r="V112" i="36"/>
  <c r="V140" i="36" s="1"/>
  <c r="W112" i="36"/>
  <c r="W140" i="36" s="1"/>
  <c r="S112" i="36"/>
  <c r="S140" i="36" s="1"/>
  <c r="Q112" i="36"/>
  <c r="R112" i="36"/>
  <c r="AA140" i="36"/>
  <c r="X114" i="36"/>
  <c r="X142" i="36" s="1"/>
  <c r="V114" i="36"/>
  <c r="V142" i="36" s="1"/>
  <c r="U114" i="36"/>
  <c r="U142" i="36" s="1"/>
  <c r="W114" i="36"/>
  <c r="W142" i="36" s="1"/>
  <c r="S114" i="36"/>
  <c r="S142" i="36" s="1"/>
  <c r="Q114" i="36"/>
  <c r="R114" i="36"/>
  <c r="T114" i="36"/>
  <c r="T142" i="36" s="1"/>
  <c r="AA142" i="36"/>
  <c r="AA148" i="36"/>
  <c r="V120" i="36"/>
  <c r="V148" i="36" s="1"/>
  <c r="U120" i="36"/>
  <c r="U148" i="36" s="1"/>
  <c r="W120" i="36"/>
  <c r="W148" i="36" s="1"/>
  <c r="S120" i="36"/>
  <c r="S148" i="36" s="1"/>
  <c r="Q120" i="36"/>
  <c r="R120" i="36"/>
  <c r="T120" i="36"/>
  <c r="T148" i="36" s="1"/>
  <c r="X120" i="36"/>
  <c r="X148" i="36" s="1"/>
  <c r="Q101" i="36"/>
  <c r="S101" i="36"/>
  <c r="S129" i="36" s="1"/>
  <c r="W101" i="36"/>
  <c r="W129" i="36" s="1"/>
  <c r="AA129" i="36"/>
  <c r="V101" i="36"/>
  <c r="V129" i="36" s="1"/>
  <c r="U101" i="36"/>
  <c r="U129" i="36" s="1"/>
  <c r="X101" i="36"/>
  <c r="X129" i="36" s="1"/>
  <c r="R101" i="36"/>
  <c r="T101" i="36"/>
  <c r="T129" i="36" s="1"/>
  <c r="AA147" i="36"/>
  <c r="R119" i="36"/>
  <c r="T119" i="36"/>
  <c r="U119" i="36"/>
  <c r="V119" i="36"/>
  <c r="W119" i="36"/>
  <c r="S119" i="36"/>
  <c r="Q119" i="36"/>
  <c r="X119" i="36"/>
  <c r="BD43" i="36"/>
  <c r="BJ43" i="36" s="1"/>
  <c r="J41" i="36"/>
  <c r="P33" i="36"/>
  <c r="BE36" i="36"/>
  <c r="AD108" i="36"/>
  <c r="AF108" i="36"/>
  <c r="AE108" i="36"/>
  <c r="AC108" i="36"/>
  <c r="AH108" i="36"/>
  <c r="AI108" i="36"/>
  <c r="AG108" i="36"/>
  <c r="AB108" i="36"/>
  <c r="AL136" i="36"/>
  <c r="AH114" i="36"/>
  <c r="AH142" i="36" s="1"/>
  <c r="AB114" i="36"/>
  <c r="AD114" i="36"/>
  <c r="AE114" i="36"/>
  <c r="AE142" i="36" s="1"/>
  <c r="AC114" i="36"/>
  <c r="AF114" i="36"/>
  <c r="AF142" i="36" s="1"/>
  <c r="AI114" i="36"/>
  <c r="AI142" i="36" s="1"/>
  <c r="AG114" i="36"/>
  <c r="AG142" i="36" s="1"/>
  <c r="AL142" i="36"/>
  <c r="AH106" i="36"/>
  <c r="AH134" i="36" s="1"/>
  <c r="AG106" i="36"/>
  <c r="AG134" i="36" s="1"/>
  <c r="AI106" i="36"/>
  <c r="AI134" i="36" s="1"/>
  <c r="AB106" i="36"/>
  <c r="AD106" i="36"/>
  <c r="AC106" i="36"/>
  <c r="AF106" i="36"/>
  <c r="AF134" i="36" s="1"/>
  <c r="AE106" i="36"/>
  <c r="AE134" i="36" s="1"/>
  <c r="AL134" i="36"/>
  <c r="AC109" i="36"/>
  <c r="AD109" i="36"/>
  <c r="AF109" i="36"/>
  <c r="AF137" i="36" s="1"/>
  <c r="AI109" i="36"/>
  <c r="AI137" i="36" s="1"/>
  <c r="AG109" i="36"/>
  <c r="AG137" i="36" s="1"/>
  <c r="AH109" i="36"/>
  <c r="AH137" i="36" s="1"/>
  <c r="AE109" i="36"/>
  <c r="AE137" i="36" s="1"/>
  <c r="AB109" i="36"/>
  <c r="AL137" i="36"/>
  <c r="AH111" i="36"/>
  <c r="AE111" i="36"/>
  <c r="AB111" i="36"/>
  <c r="AC111" i="36"/>
  <c r="AD111" i="36"/>
  <c r="AI111" i="36"/>
  <c r="AG111" i="36"/>
  <c r="AF111" i="36"/>
  <c r="AL139" i="36"/>
  <c r="AL129" i="36"/>
  <c r="AC101" i="36"/>
  <c r="AE101" i="36"/>
  <c r="AE129" i="36" s="1"/>
  <c r="AG101" i="36"/>
  <c r="AG129" i="36" s="1"/>
  <c r="AI101" i="36"/>
  <c r="AI129" i="36" s="1"/>
  <c r="AF101" i="36"/>
  <c r="AF129" i="36" s="1"/>
  <c r="AB101" i="36"/>
  <c r="AH101" i="36"/>
  <c r="AH129" i="36" s="1"/>
  <c r="AD101" i="36"/>
  <c r="AC102" i="36"/>
  <c r="AG102" i="36"/>
  <c r="AG130" i="36" s="1"/>
  <c r="AL130" i="36"/>
  <c r="AE102" i="36"/>
  <c r="AE130" i="36" s="1"/>
  <c r="AI102" i="36"/>
  <c r="AI130" i="36" s="1"/>
  <c r="AF102" i="36"/>
  <c r="AF130" i="36" s="1"/>
  <c r="AD102" i="36"/>
  <c r="AB102" i="36"/>
  <c r="AH102" i="36"/>
  <c r="AH130" i="36" s="1"/>
  <c r="AL148" i="36"/>
  <c r="AE120" i="36"/>
  <c r="AE148" i="36" s="1"/>
  <c r="AC120" i="36"/>
  <c r="AI120" i="36"/>
  <c r="AI148" i="36" s="1"/>
  <c r="AG120" i="36"/>
  <c r="AG148" i="36" s="1"/>
  <c r="AB120" i="36"/>
  <c r="AH120" i="36"/>
  <c r="AH148" i="36" s="1"/>
  <c r="AF120" i="36"/>
  <c r="AF148" i="36" s="1"/>
  <c r="AD120" i="36"/>
  <c r="K24" i="36"/>
  <c r="K123" i="36"/>
  <c r="K119" i="36"/>
  <c r="K122" i="36"/>
  <c r="K118" i="36"/>
  <c r="K116" i="36"/>
  <c r="K101" i="36"/>
  <c r="K121" i="36"/>
  <c r="K120" i="36"/>
  <c r="K102" i="36"/>
  <c r="K104" i="36"/>
  <c r="K114" i="36"/>
  <c r="K112" i="36"/>
  <c r="K106" i="36"/>
  <c r="K111" i="36"/>
  <c r="K109" i="36"/>
  <c r="K105" i="36"/>
  <c r="K108" i="36"/>
  <c r="K113" i="36"/>
  <c r="K115" i="36"/>
  <c r="K143" i="36" s="1"/>
  <c r="K100" i="36"/>
  <c r="K103" i="36"/>
  <c r="K117" i="36"/>
  <c r="K110" i="36"/>
  <c r="K138" i="36" s="1"/>
  <c r="Q117" i="36"/>
  <c r="S117" i="36"/>
  <c r="S145" i="36" s="1"/>
  <c r="W117" i="36"/>
  <c r="W145" i="36" s="1"/>
  <c r="V117" i="36"/>
  <c r="V145" i="36" s="1"/>
  <c r="U117" i="36"/>
  <c r="U145" i="36" s="1"/>
  <c r="T117" i="36"/>
  <c r="T145" i="36" s="1"/>
  <c r="X117" i="36"/>
  <c r="X145" i="36" s="1"/>
  <c r="R117" i="36"/>
  <c r="AA145" i="36"/>
  <c r="Q108" i="36"/>
  <c r="S108" i="36"/>
  <c r="W108" i="36"/>
  <c r="V108" i="36"/>
  <c r="X108" i="36"/>
  <c r="U108" i="36"/>
  <c r="R108" i="36"/>
  <c r="T108" i="36"/>
  <c r="AA136" i="36"/>
  <c r="R106" i="36"/>
  <c r="T106" i="36"/>
  <c r="T134" i="36" s="1"/>
  <c r="X106" i="36"/>
  <c r="X134" i="36" s="1"/>
  <c r="S106" i="36"/>
  <c r="S134" i="36" s="1"/>
  <c r="V106" i="36"/>
  <c r="V134" i="36" s="1"/>
  <c r="U106" i="36"/>
  <c r="U134" i="36" s="1"/>
  <c r="W106" i="36"/>
  <c r="W134" i="36" s="1"/>
  <c r="Q106" i="36"/>
  <c r="AA134" i="36"/>
  <c r="Q113" i="36"/>
  <c r="S113" i="36"/>
  <c r="S141" i="36" s="1"/>
  <c r="W113" i="36"/>
  <c r="W141" i="36" s="1"/>
  <c r="U113" i="36"/>
  <c r="U141" i="36" s="1"/>
  <c r="T113" i="36"/>
  <c r="T141" i="36" s="1"/>
  <c r="X113" i="36"/>
  <c r="X141" i="36" s="1"/>
  <c r="V113" i="36"/>
  <c r="V141" i="36" s="1"/>
  <c r="R113" i="36"/>
  <c r="AA141" i="36"/>
  <c r="U104" i="36"/>
  <c r="U132" i="36" s="1"/>
  <c r="W104" i="36"/>
  <c r="W132" i="36" s="1"/>
  <c r="S104" i="36"/>
  <c r="S132" i="36" s="1"/>
  <c r="Q104" i="36"/>
  <c r="R104" i="36"/>
  <c r="V104" i="36"/>
  <c r="V132" i="36" s="1"/>
  <c r="T104" i="36"/>
  <c r="T132" i="36" s="1"/>
  <c r="X104" i="36"/>
  <c r="X132" i="36" s="1"/>
  <c r="AA132" i="36"/>
  <c r="U111" i="36"/>
  <c r="W111" i="36"/>
  <c r="S111" i="36"/>
  <c r="Q111" i="36"/>
  <c r="X111" i="36"/>
  <c r="V111" i="36"/>
  <c r="R111" i="36"/>
  <c r="T111" i="36"/>
  <c r="AA139" i="36"/>
  <c r="AA130" i="36"/>
  <c r="S102" i="36"/>
  <c r="S130" i="36" s="1"/>
  <c r="V102" i="36"/>
  <c r="V130" i="36" s="1"/>
  <c r="W102" i="36"/>
  <c r="W130" i="36" s="1"/>
  <c r="X102" i="36"/>
  <c r="X130" i="36" s="1"/>
  <c r="U102" i="36"/>
  <c r="U130" i="36" s="1"/>
  <c r="Q102" i="36"/>
  <c r="R102" i="36"/>
  <c r="T102" i="36"/>
  <c r="T130" i="36" s="1"/>
  <c r="Q121" i="36"/>
  <c r="S121" i="36"/>
  <c r="S149" i="36" s="1"/>
  <c r="W121" i="36"/>
  <c r="W149" i="36" s="1"/>
  <c r="AA149" i="36"/>
  <c r="R121" i="36"/>
  <c r="U121" i="36"/>
  <c r="U149" i="36" s="1"/>
  <c r="V121" i="36"/>
  <c r="V149" i="36" s="1"/>
  <c r="T121" i="36"/>
  <c r="T149" i="36" s="1"/>
  <c r="X121" i="36"/>
  <c r="X149" i="36" s="1"/>
  <c r="Q116" i="36"/>
  <c r="S116" i="36"/>
  <c r="W116" i="36"/>
  <c r="AA144" i="36"/>
  <c r="R116" i="36"/>
  <c r="T116" i="36"/>
  <c r="X116" i="36"/>
  <c r="U116" i="36"/>
  <c r="V116" i="36"/>
  <c r="Q122" i="36"/>
  <c r="S122" i="36"/>
  <c r="S150" i="36" s="1"/>
  <c r="W122" i="36"/>
  <c r="W150" i="36" s="1"/>
  <c r="V122" i="36"/>
  <c r="V150" i="36" s="1"/>
  <c r="U122" i="36"/>
  <c r="U150" i="36" s="1"/>
  <c r="AA150" i="36"/>
  <c r="R122" i="36"/>
  <c r="T122" i="36"/>
  <c r="T150" i="36" s="1"/>
  <c r="X122" i="36"/>
  <c r="X150" i="36" s="1"/>
  <c r="J26" i="36"/>
  <c r="BK37" i="36"/>
  <c r="BC41" i="36"/>
  <c r="I36" i="36"/>
  <c r="M29" i="36"/>
  <c r="O29" i="36"/>
  <c r="L29" i="36"/>
  <c r="N29" i="36"/>
  <c r="BE29" i="36"/>
  <c r="BA41" i="36"/>
  <c r="G36" i="36"/>
  <c r="BB41" i="36"/>
  <c r="H36" i="36"/>
  <c r="Y15" i="46" l="1"/>
  <c r="Y23" i="46"/>
  <c r="Y18" i="46"/>
  <c r="Y20" i="46"/>
  <c r="U17" i="46"/>
  <c r="U20" i="46"/>
  <c r="U18" i="46"/>
  <c r="U22" i="46"/>
  <c r="U14" i="46"/>
  <c r="BF43" i="36"/>
  <c r="BG43" i="36" s="1"/>
  <c r="H22" i="46"/>
  <c r="H17" i="46"/>
  <c r="H14" i="46"/>
  <c r="E24" i="46"/>
  <c r="E19" i="46" s="1"/>
  <c r="E15" i="46"/>
  <c r="BK32" i="36"/>
  <c r="BI41" i="36"/>
  <c r="N26" i="36"/>
  <c r="BC29" i="36"/>
  <c r="O26" i="36"/>
  <c r="O25" i="36" s="1"/>
  <c r="O24" i="36" s="1"/>
  <c r="BC36" i="36"/>
  <c r="I33" i="36"/>
  <c r="V115" i="36"/>
  <c r="V110" i="36" s="1"/>
  <c r="V107" i="36" s="1"/>
  <c r="V144" i="36"/>
  <c r="V143" i="36" s="1"/>
  <c r="X115" i="36"/>
  <c r="X110" i="36" s="1"/>
  <c r="X107" i="36" s="1"/>
  <c r="X144" i="36"/>
  <c r="X143" i="36" s="1"/>
  <c r="Z116" i="36"/>
  <c r="R115" i="36"/>
  <c r="R110" i="36" s="1"/>
  <c r="R107" i="36" s="1"/>
  <c r="R144" i="36"/>
  <c r="W115" i="36"/>
  <c r="W110" i="36" s="1"/>
  <c r="W107" i="36" s="1"/>
  <c r="W144" i="36"/>
  <c r="W143" i="36" s="1"/>
  <c r="Q115" i="36"/>
  <c r="Q110" i="36" s="1"/>
  <c r="Q107" i="36" s="1"/>
  <c r="Y116" i="36"/>
  <c r="Q144" i="36"/>
  <c r="Y102" i="36"/>
  <c r="Q130" i="36"/>
  <c r="Y130" i="36" s="1"/>
  <c r="T139" i="36"/>
  <c r="V139" i="36"/>
  <c r="Y111" i="36"/>
  <c r="Q139" i="36"/>
  <c r="W139" i="36"/>
  <c r="Z104" i="36"/>
  <c r="R132" i="36"/>
  <c r="Z132" i="36" s="1"/>
  <c r="Z113" i="36"/>
  <c r="R141" i="36"/>
  <c r="Z141" i="36" s="1"/>
  <c r="Z106" i="36"/>
  <c r="R134" i="36"/>
  <c r="Z134" i="36" s="1"/>
  <c r="T136" i="36"/>
  <c r="U136" i="36"/>
  <c r="V136" i="36"/>
  <c r="S136" i="36"/>
  <c r="Y117" i="36"/>
  <c r="Q145" i="36"/>
  <c r="Y145" i="36" s="1"/>
  <c r="G117" i="36"/>
  <c r="I117" i="36"/>
  <c r="H117" i="36"/>
  <c r="K145" i="36"/>
  <c r="K99" i="36"/>
  <c r="K128" i="36"/>
  <c r="G113" i="36"/>
  <c r="H113" i="36"/>
  <c r="I113" i="36"/>
  <c r="K141" i="36"/>
  <c r="J105" i="36"/>
  <c r="G105" i="36"/>
  <c r="H105" i="36"/>
  <c r="I105" i="36"/>
  <c r="K133" i="36"/>
  <c r="G111" i="36"/>
  <c r="H111" i="36"/>
  <c r="I111" i="36"/>
  <c r="K139" i="36"/>
  <c r="G112" i="36"/>
  <c r="H112" i="36"/>
  <c r="I112" i="36"/>
  <c r="K140" i="36"/>
  <c r="G104" i="36"/>
  <c r="H104" i="36"/>
  <c r="I104" i="36"/>
  <c r="K132" i="36"/>
  <c r="H120" i="36"/>
  <c r="G120" i="36"/>
  <c r="I120" i="36"/>
  <c r="K148" i="36"/>
  <c r="H101" i="36"/>
  <c r="K129" i="36"/>
  <c r="I101" i="36"/>
  <c r="J101" i="36"/>
  <c r="G101" i="36"/>
  <c r="K146" i="36"/>
  <c r="H119" i="36"/>
  <c r="G119" i="36"/>
  <c r="I119" i="36"/>
  <c r="K147" i="36"/>
  <c r="AD148" i="36"/>
  <c r="AK120" i="36"/>
  <c r="AC148" i="36"/>
  <c r="AK148" i="36" s="1"/>
  <c r="AJ102" i="36"/>
  <c r="AB130" i="36"/>
  <c r="AD129" i="36"/>
  <c r="AJ101" i="36"/>
  <c r="AB129" i="36"/>
  <c r="AF139" i="36"/>
  <c r="AI139" i="36"/>
  <c r="AK111" i="36"/>
  <c r="AC139" i="36"/>
  <c r="AE139" i="36"/>
  <c r="AK109" i="36"/>
  <c r="AC137" i="36"/>
  <c r="AK137" i="36" s="1"/>
  <c r="AK106" i="36"/>
  <c r="AC134" i="36"/>
  <c r="AK134" i="36" s="1"/>
  <c r="AJ106" i="36"/>
  <c r="AB134" i="36"/>
  <c r="AK114" i="36"/>
  <c r="AC142" i="36"/>
  <c r="AK142" i="36" s="1"/>
  <c r="AD142" i="36"/>
  <c r="AJ108" i="36"/>
  <c r="AB136" i="36"/>
  <c r="AI136" i="36"/>
  <c r="AK108" i="36"/>
  <c r="AC136" i="36"/>
  <c r="AF136" i="36"/>
  <c r="BE33" i="36"/>
  <c r="P25" i="36"/>
  <c r="BD41" i="36"/>
  <c r="BF41" i="36" s="1"/>
  <c r="BG41" i="36" s="1"/>
  <c r="J36" i="36"/>
  <c r="Y119" i="36"/>
  <c r="Q118" i="36"/>
  <c r="Q147" i="36"/>
  <c r="W118" i="36"/>
  <c r="W147" i="36"/>
  <c r="W146" i="36" s="1"/>
  <c r="U118" i="36"/>
  <c r="U147" i="36"/>
  <c r="U146" i="36" s="1"/>
  <c r="R118" i="36"/>
  <c r="Z119" i="36"/>
  <c r="R147" i="36"/>
  <c r="Y101" i="36"/>
  <c r="Q129" i="36"/>
  <c r="Y129" i="36" s="1"/>
  <c r="Y120" i="36"/>
  <c r="Q148" i="36"/>
  <c r="Y148" i="36" s="1"/>
  <c r="Z114" i="36"/>
  <c r="R142" i="36"/>
  <c r="Z142" i="36" s="1"/>
  <c r="Z112" i="36"/>
  <c r="R140" i="36"/>
  <c r="Z140" i="36" s="1"/>
  <c r="Y105" i="36"/>
  <c r="Q133" i="36"/>
  <c r="Y133" i="36" s="1"/>
  <c r="R103" i="36"/>
  <c r="R128" i="36"/>
  <c r="S103" i="36"/>
  <c r="S128" i="36"/>
  <c r="V103" i="36"/>
  <c r="V128" i="36"/>
  <c r="Q103" i="36"/>
  <c r="Q128" i="36"/>
  <c r="AK121" i="36"/>
  <c r="AC149" i="36"/>
  <c r="AK149" i="36" s="1"/>
  <c r="AJ122" i="36"/>
  <c r="AB150" i="36"/>
  <c r="AK122" i="36"/>
  <c r="AC150" i="36"/>
  <c r="AK150" i="36" s="1"/>
  <c r="AI115" i="36"/>
  <c r="AI110" i="36" s="1"/>
  <c r="AI107" i="36" s="1"/>
  <c r="AI144" i="36"/>
  <c r="AI143" i="36" s="1"/>
  <c r="AG115" i="36"/>
  <c r="AG144" i="36"/>
  <c r="AG143" i="36" s="1"/>
  <c r="AH115" i="36"/>
  <c r="AH110" i="36" s="1"/>
  <c r="AH107" i="36" s="1"/>
  <c r="AH144" i="36"/>
  <c r="AH143" i="36" s="1"/>
  <c r="AD115" i="36"/>
  <c r="AD110" i="36" s="1"/>
  <c r="AD107" i="36" s="1"/>
  <c r="AD144" i="36"/>
  <c r="AD118" i="36"/>
  <c r="AD147" i="36"/>
  <c r="AK119" i="36"/>
  <c r="AC118" i="36"/>
  <c r="AC147" i="36"/>
  <c r="AH118" i="36"/>
  <c r="AH147" i="36"/>
  <c r="AH146" i="36" s="1"/>
  <c r="AI118" i="36"/>
  <c r="AI147" i="36"/>
  <c r="AI146" i="36" s="1"/>
  <c r="AD133" i="36"/>
  <c r="AL127" i="36"/>
  <c r="AF103" i="36"/>
  <c r="AF128" i="36"/>
  <c r="AH103" i="36"/>
  <c r="AH128" i="36"/>
  <c r="AG103" i="36"/>
  <c r="AG128" i="36"/>
  <c r="AC103" i="36"/>
  <c r="AC128" i="36"/>
  <c r="AD141" i="36"/>
  <c r="AD132" i="36"/>
  <c r="AJ104" i="36"/>
  <c r="AB132" i="36"/>
  <c r="AK104" i="36"/>
  <c r="AC132" i="36"/>
  <c r="AK132" i="36" s="1"/>
  <c r="AK112" i="36"/>
  <c r="AC140" i="36"/>
  <c r="AK140" i="36" s="1"/>
  <c r="AD140" i="36"/>
  <c r="AK117" i="36"/>
  <c r="AC145" i="36"/>
  <c r="AK145" i="36" s="1"/>
  <c r="AD145" i="36"/>
  <c r="BB36" i="36"/>
  <c r="H33" i="36"/>
  <c r="BA36" i="36"/>
  <c r="G33" i="36"/>
  <c r="L26" i="36"/>
  <c r="BA26" i="36" s="1"/>
  <c r="BA29" i="36"/>
  <c r="BI29" i="36" s="1"/>
  <c r="M26" i="36"/>
  <c r="BB29" i="36"/>
  <c r="BD29" i="36"/>
  <c r="Z122" i="36"/>
  <c r="R150" i="36"/>
  <c r="Z150" i="36" s="1"/>
  <c r="Y122" i="36"/>
  <c r="Q150" i="36"/>
  <c r="Y150" i="36" s="1"/>
  <c r="U115" i="36"/>
  <c r="U110" i="36" s="1"/>
  <c r="U107" i="36" s="1"/>
  <c r="U144" i="36"/>
  <c r="U143" i="36" s="1"/>
  <c r="T115" i="36"/>
  <c r="T110" i="36" s="1"/>
  <c r="T107" i="36" s="1"/>
  <c r="T144" i="36"/>
  <c r="T143" i="36" s="1"/>
  <c r="S115" i="36"/>
  <c r="S110" i="36" s="1"/>
  <c r="S107" i="36" s="1"/>
  <c r="S144" i="36"/>
  <c r="S143" i="36" s="1"/>
  <c r="Z121" i="36"/>
  <c r="R149" i="36"/>
  <c r="Z149" i="36" s="1"/>
  <c r="Y121" i="36"/>
  <c r="Q149" i="36"/>
  <c r="Y149" i="36" s="1"/>
  <c r="Z102" i="36"/>
  <c r="R130" i="36"/>
  <c r="Z130" i="36" s="1"/>
  <c r="Z111" i="36"/>
  <c r="R139" i="36"/>
  <c r="X139" i="36"/>
  <c r="S139" i="36"/>
  <c r="U139" i="36"/>
  <c r="Y104" i="36"/>
  <c r="Q132" i="36"/>
  <c r="Y132" i="36" s="1"/>
  <c r="Y113" i="36"/>
  <c r="Q141" i="36"/>
  <c r="Y141" i="36" s="1"/>
  <c r="Y106" i="36"/>
  <c r="Q134" i="36"/>
  <c r="Y134" i="36" s="1"/>
  <c r="Z108" i="36"/>
  <c r="R136" i="36"/>
  <c r="X136" i="36"/>
  <c r="W136" i="36"/>
  <c r="Y108" i="36"/>
  <c r="Q136" i="36"/>
  <c r="Z117" i="36"/>
  <c r="R145" i="36"/>
  <c r="Z145" i="36" s="1"/>
  <c r="G103" i="36"/>
  <c r="H103" i="36"/>
  <c r="I103" i="36"/>
  <c r="K131" i="36"/>
  <c r="G108" i="36"/>
  <c r="H108" i="36"/>
  <c r="I108" i="36"/>
  <c r="K136" i="36"/>
  <c r="G109" i="36"/>
  <c r="H109" i="36"/>
  <c r="I109" i="36"/>
  <c r="K137" i="36"/>
  <c r="G106" i="36"/>
  <c r="J106" i="36"/>
  <c r="I106" i="36"/>
  <c r="H106" i="36"/>
  <c r="K134" i="36"/>
  <c r="H114" i="36"/>
  <c r="G114" i="36"/>
  <c r="I114" i="36"/>
  <c r="K142" i="36"/>
  <c r="K130" i="36"/>
  <c r="G102" i="36"/>
  <c r="J102" i="36"/>
  <c r="H102" i="36"/>
  <c r="I102" i="36"/>
  <c r="G121" i="36"/>
  <c r="I121" i="36"/>
  <c r="H121" i="36"/>
  <c r="K149" i="36"/>
  <c r="G116" i="36"/>
  <c r="J116" i="36"/>
  <c r="K144" i="36"/>
  <c r="I116" i="36"/>
  <c r="H116" i="36"/>
  <c r="G122" i="36"/>
  <c r="I122" i="36"/>
  <c r="H122" i="36"/>
  <c r="K150" i="36"/>
  <c r="K151" i="36"/>
  <c r="AJ120" i="36"/>
  <c r="AB148" i="36"/>
  <c r="AD130" i="36"/>
  <c r="AK102" i="36"/>
  <c r="AC130" i="36"/>
  <c r="AK130" i="36" s="1"/>
  <c r="AK101" i="36"/>
  <c r="AC129" i="36"/>
  <c r="AK129" i="36" s="1"/>
  <c r="AG110" i="36"/>
  <c r="AG107" i="36" s="1"/>
  <c r="AG139" i="36"/>
  <c r="AD139" i="36"/>
  <c r="AJ111" i="36"/>
  <c r="AB139" i="36"/>
  <c r="AH139" i="36"/>
  <c r="AJ109" i="36"/>
  <c r="AB137" i="36"/>
  <c r="AD137" i="36"/>
  <c r="AD134" i="36"/>
  <c r="AJ114" i="36"/>
  <c r="AB142" i="36"/>
  <c r="AG136" i="36"/>
  <c r="AH136" i="36"/>
  <c r="AE136" i="36"/>
  <c r="AD136" i="36"/>
  <c r="X118" i="36"/>
  <c r="X147" i="36"/>
  <c r="X146" i="36" s="1"/>
  <c r="S118" i="36"/>
  <c r="S147" i="36"/>
  <c r="S146" i="36" s="1"/>
  <c r="V118" i="36"/>
  <c r="V147" i="36"/>
  <c r="V146" i="36" s="1"/>
  <c r="T118" i="36"/>
  <c r="T147" i="36"/>
  <c r="T146" i="36" s="1"/>
  <c r="Z101" i="36"/>
  <c r="R129" i="36"/>
  <c r="Z129" i="36" s="1"/>
  <c r="Z120" i="36"/>
  <c r="R148" i="36"/>
  <c r="Z148" i="36" s="1"/>
  <c r="Y114" i="36"/>
  <c r="Q142" i="36"/>
  <c r="Y142" i="36" s="1"/>
  <c r="Y112" i="36"/>
  <c r="Q140" i="36"/>
  <c r="Y140" i="36" s="1"/>
  <c r="Z105" i="36"/>
  <c r="R133" i="36"/>
  <c r="Z133" i="36" s="1"/>
  <c r="AA127" i="36"/>
  <c r="X103" i="36"/>
  <c r="X128" i="36"/>
  <c r="U103" i="36"/>
  <c r="U128" i="36"/>
  <c r="T103" i="36"/>
  <c r="T128" i="36"/>
  <c r="W103" i="36"/>
  <c r="W128" i="36"/>
  <c r="Z109" i="36"/>
  <c r="R137" i="36"/>
  <c r="Z137" i="36" s="1"/>
  <c r="Y109" i="36"/>
  <c r="Q137" i="36"/>
  <c r="Y137" i="36" s="1"/>
  <c r="AJ121" i="36"/>
  <c r="AB149" i="36"/>
  <c r="AD149" i="36"/>
  <c r="AD150" i="36"/>
  <c r="AE115" i="36"/>
  <c r="AE110" i="36" s="1"/>
  <c r="AE107" i="36" s="1"/>
  <c r="AE144" i="36"/>
  <c r="AE143" i="36" s="1"/>
  <c r="AC115" i="36"/>
  <c r="AC110" i="36" s="1"/>
  <c r="AC107" i="36" s="1"/>
  <c r="AK116" i="36"/>
  <c r="AC144" i="36"/>
  <c r="AF115" i="36"/>
  <c r="AF110" i="36" s="1"/>
  <c r="AF107" i="36" s="1"/>
  <c r="AF144" i="36"/>
  <c r="AF143" i="36" s="1"/>
  <c r="AJ116" i="36"/>
  <c r="AB115" i="36"/>
  <c r="AB110" i="36" s="1"/>
  <c r="AB107" i="36" s="1"/>
  <c r="AB144" i="36"/>
  <c r="AF118" i="36"/>
  <c r="AF147" i="36"/>
  <c r="AF146" i="36" s="1"/>
  <c r="AB118" i="36"/>
  <c r="AJ119" i="36"/>
  <c r="AB147" i="36"/>
  <c r="AE118" i="36"/>
  <c r="AE147" i="36"/>
  <c r="AE146" i="36" s="1"/>
  <c r="AG118" i="36"/>
  <c r="AG147" i="36"/>
  <c r="AG146" i="36" s="1"/>
  <c r="AJ105" i="36"/>
  <c r="AB133" i="36"/>
  <c r="AK105" i="36"/>
  <c r="AC133" i="36"/>
  <c r="AK133" i="36" s="1"/>
  <c r="AB103" i="36"/>
  <c r="AB128" i="36"/>
  <c r="AD103" i="36"/>
  <c r="AD128" i="36"/>
  <c r="AI103" i="36"/>
  <c r="AI128" i="36"/>
  <c r="AE103" i="36"/>
  <c r="AE128" i="36"/>
  <c r="AK113" i="36"/>
  <c r="AC141" i="36"/>
  <c r="AK141" i="36" s="1"/>
  <c r="AJ113" i="36"/>
  <c r="AB141" i="36"/>
  <c r="AJ112" i="36"/>
  <c r="AB140" i="36"/>
  <c r="AJ117" i="36"/>
  <c r="AB145" i="36"/>
  <c r="Y17" i="46" l="1"/>
  <c r="Y14" i="46"/>
  <c r="Y22" i="46"/>
  <c r="U24" i="46"/>
  <c r="U15" i="46"/>
  <c r="U99" i="36"/>
  <c r="BJ29" i="36"/>
  <c r="BJ41" i="36"/>
  <c r="BJ36" i="36" s="1"/>
  <c r="BJ33" i="36" s="1"/>
  <c r="H24" i="46"/>
  <c r="AD99" i="36"/>
  <c r="AC99" i="36"/>
  <c r="AH99" i="36"/>
  <c r="U138" i="36"/>
  <c r="U135" i="36" s="1"/>
  <c r="U127" i="36" s="1"/>
  <c r="X138" i="36"/>
  <c r="X135" i="36" s="1"/>
  <c r="X127" i="36" s="1"/>
  <c r="R99" i="36"/>
  <c r="S138" i="36"/>
  <c r="S135" i="36" s="1"/>
  <c r="S127" i="36" s="1"/>
  <c r="X99" i="36"/>
  <c r="W138" i="36"/>
  <c r="W135" i="36" s="1"/>
  <c r="W127" i="36" s="1"/>
  <c r="BD26" i="36"/>
  <c r="BI36" i="36"/>
  <c r="BI33" i="36" s="1"/>
  <c r="AE99" i="36"/>
  <c r="AG99" i="36"/>
  <c r="S99" i="36"/>
  <c r="Q99" i="36"/>
  <c r="W99" i="36"/>
  <c r="V99" i="36"/>
  <c r="T99" i="36"/>
  <c r="AJ118" i="36"/>
  <c r="AB99" i="36"/>
  <c r="AF99" i="36"/>
  <c r="AK115" i="36"/>
  <c r="AK110" i="36" s="1"/>
  <c r="AK107" i="36" s="1"/>
  <c r="AH138" i="36"/>
  <c r="AH135" i="36" s="1"/>
  <c r="AH127" i="36" s="1"/>
  <c r="AG138" i="36"/>
  <c r="AG135" i="36" s="1"/>
  <c r="AG127" i="36" s="1"/>
  <c r="J114" i="36"/>
  <c r="J142" i="36" s="1"/>
  <c r="AK118" i="36"/>
  <c r="AI99" i="36"/>
  <c r="V138" i="36"/>
  <c r="V135" i="36" s="1"/>
  <c r="V127" i="36" s="1"/>
  <c r="BK43" i="36"/>
  <c r="BK41" i="36" s="1"/>
  <c r="BK36" i="36" s="1"/>
  <c r="BK33" i="36" s="1"/>
  <c r="AJ140" i="36"/>
  <c r="AE131" i="36"/>
  <c r="AD131" i="36"/>
  <c r="AJ133" i="36"/>
  <c r="AJ115" i="36"/>
  <c r="AJ110" i="36" s="1"/>
  <c r="AJ107" i="36" s="1"/>
  <c r="AJ149" i="36"/>
  <c r="T131" i="36"/>
  <c r="X131" i="36"/>
  <c r="AJ137" i="36"/>
  <c r="AJ148" i="36"/>
  <c r="H150" i="36"/>
  <c r="G150" i="36"/>
  <c r="J122" i="36"/>
  <c r="I115" i="36"/>
  <c r="I110" i="36" s="1"/>
  <c r="I107" i="36" s="1"/>
  <c r="I144" i="36"/>
  <c r="J144" i="36"/>
  <c r="H149" i="36"/>
  <c r="G149" i="36"/>
  <c r="H130" i="36"/>
  <c r="G130" i="36"/>
  <c r="I142" i="36"/>
  <c r="H142" i="36"/>
  <c r="H134" i="36"/>
  <c r="J134" i="36"/>
  <c r="I137" i="36"/>
  <c r="G137" i="36"/>
  <c r="I136" i="36"/>
  <c r="G136" i="36"/>
  <c r="J108" i="36"/>
  <c r="I131" i="36"/>
  <c r="G131" i="36"/>
  <c r="J103" i="36"/>
  <c r="J100" i="36" s="1"/>
  <c r="Z136" i="36"/>
  <c r="BF29" i="36"/>
  <c r="BG29" i="36" s="1"/>
  <c r="AC131" i="36"/>
  <c r="AK103" i="36"/>
  <c r="AK100" i="36" s="1"/>
  <c r="AH131" i="36"/>
  <c r="AD146" i="36"/>
  <c r="AJ150" i="36"/>
  <c r="V131" i="36"/>
  <c r="R131" i="36"/>
  <c r="Z103" i="36"/>
  <c r="Z100" i="36" s="1"/>
  <c r="Z118" i="36"/>
  <c r="Y147" i="36"/>
  <c r="Y146" i="36" s="1"/>
  <c r="Q146" i="36"/>
  <c r="Y118" i="36"/>
  <c r="BD36" i="36"/>
  <c r="BF36" i="36" s="1"/>
  <c r="BG36" i="36" s="1"/>
  <c r="J33" i="36"/>
  <c r="P24" i="36"/>
  <c r="P122" i="36"/>
  <c r="P118" i="36"/>
  <c r="P116" i="36"/>
  <c r="P123" i="36"/>
  <c r="P119" i="36"/>
  <c r="P102" i="36"/>
  <c r="P120" i="36"/>
  <c r="P121" i="36"/>
  <c r="P101" i="36"/>
  <c r="P104" i="36"/>
  <c r="P114" i="36"/>
  <c r="P112" i="36"/>
  <c r="P105" i="36"/>
  <c r="P106" i="36"/>
  <c r="P111" i="36"/>
  <c r="P113" i="36"/>
  <c r="P109" i="36"/>
  <c r="P108" i="36"/>
  <c r="P117" i="36"/>
  <c r="P115" i="36"/>
  <c r="P143" i="36" s="1"/>
  <c r="P100" i="36"/>
  <c r="P110" i="36"/>
  <c r="P138" i="36" s="1"/>
  <c r="AX25" i="36"/>
  <c r="AY25" i="36" s="1"/>
  <c r="P103" i="36"/>
  <c r="P107" i="36"/>
  <c r="P135" i="36" s="1"/>
  <c r="AK136" i="36"/>
  <c r="AE138" i="36"/>
  <c r="AE135" i="36" s="1"/>
  <c r="AE127" i="36" s="1"/>
  <c r="AK139" i="36"/>
  <c r="AJ130" i="36"/>
  <c r="I118" i="36"/>
  <c r="I147" i="36"/>
  <c r="H118" i="36"/>
  <c r="H147" i="36"/>
  <c r="J129" i="36"/>
  <c r="I148" i="36"/>
  <c r="H148" i="36"/>
  <c r="J120" i="36"/>
  <c r="I132" i="36"/>
  <c r="G132" i="36"/>
  <c r="J104" i="36"/>
  <c r="I140" i="36"/>
  <c r="G140" i="36"/>
  <c r="J112" i="36"/>
  <c r="I139" i="36"/>
  <c r="G139" i="36"/>
  <c r="I133" i="36"/>
  <c r="G133" i="36"/>
  <c r="I141" i="36"/>
  <c r="G141" i="36"/>
  <c r="I145" i="36"/>
  <c r="Y139" i="36"/>
  <c r="Y115" i="36"/>
  <c r="Y110" i="36" s="1"/>
  <c r="Y107" i="36" s="1"/>
  <c r="Z144" i="36"/>
  <c r="Z143" i="36" s="1"/>
  <c r="R143" i="36"/>
  <c r="R138" i="36" s="1"/>
  <c r="R135" i="36" s="1"/>
  <c r="Z115" i="36"/>
  <c r="Z110" i="36" s="1"/>
  <c r="Z107" i="36" s="1"/>
  <c r="BC33" i="36"/>
  <c r="I25" i="36"/>
  <c r="I24" i="36" s="1"/>
  <c r="AJ145" i="36"/>
  <c r="AJ141" i="36"/>
  <c r="AI131" i="36"/>
  <c r="AB131" i="36"/>
  <c r="AJ103" i="36"/>
  <c r="AJ100" i="36" s="1"/>
  <c r="AJ147" i="36"/>
  <c r="AB146" i="36"/>
  <c r="AJ144" i="36"/>
  <c r="AB143" i="36"/>
  <c r="AB138" i="36" s="1"/>
  <c r="AB135" i="36" s="1"/>
  <c r="AK144" i="36"/>
  <c r="AK143" i="36" s="1"/>
  <c r="AC143" i="36"/>
  <c r="AC138" i="36" s="1"/>
  <c r="AC135" i="36" s="1"/>
  <c r="W131" i="36"/>
  <c r="U131" i="36"/>
  <c r="AJ142" i="36"/>
  <c r="AJ139" i="36"/>
  <c r="I150" i="36"/>
  <c r="H115" i="36"/>
  <c r="H110" i="36" s="1"/>
  <c r="H107" i="36" s="1"/>
  <c r="H144" i="36"/>
  <c r="G115" i="36"/>
  <c r="G110" i="36" s="1"/>
  <c r="G107" i="36" s="1"/>
  <c r="G144" i="36"/>
  <c r="I149" i="36"/>
  <c r="J121" i="36"/>
  <c r="I130" i="36"/>
  <c r="J130" i="36"/>
  <c r="G142" i="36"/>
  <c r="I134" i="36"/>
  <c r="G134" i="36"/>
  <c r="H137" i="36"/>
  <c r="J109" i="36"/>
  <c r="H136" i="36"/>
  <c r="H131" i="36"/>
  <c r="Y136" i="36"/>
  <c r="Z139" i="36"/>
  <c r="M25" i="36"/>
  <c r="M24" i="36" s="1"/>
  <c r="BB26" i="36"/>
  <c r="L25" i="36"/>
  <c r="L24" i="36" s="1"/>
  <c r="BA33" i="36"/>
  <c r="G25" i="36"/>
  <c r="G24" i="36" s="1"/>
  <c r="BB33" i="36"/>
  <c r="H25" i="36"/>
  <c r="H24" i="36" s="1"/>
  <c r="AJ132" i="36"/>
  <c r="AG131" i="36"/>
  <c r="AF131" i="36"/>
  <c r="AK147" i="36"/>
  <c r="AK146" i="36" s="1"/>
  <c r="AC146" i="36"/>
  <c r="AD143" i="36"/>
  <c r="AD138" i="36" s="1"/>
  <c r="AD135" i="36" s="1"/>
  <c r="Q131" i="36"/>
  <c r="Y103" i="36"/>
  <c r="Y100" i="36" s="1"/>
  <c r="S131" i="36"/>
  <c r="Z147" i="36"/>
  <c r="Z146" i="36" s="1"/>
  <c r="R146" i="36"/>
  <c r="BE25" i="36"/>
  <c r="AJ136" i="36"/>
  <c r="AJ134" i="36"/>
  <c r="AI138" i="36"/>
  <c r="AI135" i="36" s="1"/>
  <c r="AI127" i="36" s="1"/>
  <c r="AF138" i="36"/>
  <c r="AF135" i="36" s="1"/>
  <c r="AF127" i="36" s="1"/>
  <c r="AJ129" i="36"/>
  <c r="G118" i="36"/>
  <c r="G147" i="36"/>
  <c r="J119" i="36"/>
  <c r="G100" i="36"/>
  <c r="G129" i="36"/>
  <c r="I100" i="36"/>
  <c r="I129" i="36"/>
  <c r="H100" i="36"/>
  <c r="H129" i="36"/>
  <c r="G148" i="36"/>
  <c r="H132" i="36"/>
  <c r="H140" i="36"/>
  <c r="H139" i="36"/>
  <c r="J111" i="36"/>
  <c r="H133" i="36"/>
  <c r="J133" i="36"/>
  <c r="H141" i="36"/>
  <c r="J113" i="36"/>
  <c r="K127" i="36"/>
  <c r="H145" i="36"/>
  <c r="G145" i="36"/>
  <c r="J117" i="36"/>
  <c r="T138" i="36"/>
  <c r="T135" i="36" s="1"/>
  <c r="T127" i="36" s="1"/>
  <c r="Y144" i="36"/>
  <c r="Y143" i="36" s="1"/>
  <c r="Q143" i="36"/>
  <c r="Q138" i="36" s="1"/>
  <c r="Q135" i="36" s="1"/>
  <c r="N25" i="36"/>
  <c r="N24" i="36" s="1"/>
  <c r="BC26" i="36"/>
  <c r="U19" i="46" l="1"/>
  <c r="U16" i="46" s="1"/>
  <c r="Y24" i="46"/>
  <c r="H19" i="46"/>
  <c r="H16" i="46" s="1"/>
  <c r="E16" i="46"/>
  <c r="BJ26" i="36"/>
  <c r="H12" i="46" s="1"/>
  <c r="Y12" i="46" s="1"/>
  <c r="BC25" i="36"/>
  <c r="Q127" i="36"/>
  <c r="Z138" i="36"/>
  <c r="Z135" i="36" s="1"/>
  <c r="Y99" i="36"/>
  <c r="AB127" i="36"/>
  <c r="AD127" i="36"/>
  <c r="AJ146" i="36"/>
  <c r="Z131" i="36"/>
  <c r="Z128" i="36" s="1"/>
  <c r="AJ99" i="36"/>
  <c r="AJ143" i="36"/>
  <c r="AJ138" i="36" s="1"/>
  <c r="AJ135" i="36" s="1"/>
  <c r="Y131" i="36"/>
  <c r="Y128" i="36" s="1"/>
  <c r="R127" i="36"/>
  <c r="AC127" i="36"/>
  <c r="J145" i="36"/>
  <c r="J143" i="36" s="1"/>
  <c r="J139" i="36"/>
  <c r="H128" i="36"/>
  <c r="I128" i="36"/>
  <c r="G99" i="36"/>
  <c r="J118" i="36"/>
  <c r="J147" i="36"/>
  <c r="J137" i="36"/>
  <c r="J149" i="36"/>
  <c r="G143" i="36"/>
  <c r="G138" i="36" s="1"/>
  <c r="G135" i="36" s="1"/>
  <c r="AK99" i="36"/>
  <c r="AJ131" i="36"/>
  <c r="AJ128" i="36" s="1"/>
  <c r="J140" i="36"/>
  <c r="J132" i="36"/>
  <c r="J148" i="36"/>
  <c r="H146" i="36"/>
  <c r="I146" i="36"/>
  <c r="AK138" i="36"/>
  <c r="AK135" i="36" s="1"/>
  <c r="P99" i="36"/>
  <c r="AX99" i="36" s="1"/>
  <c r="AY99" i="36" s="1"/>
  <c r="P128" i="36"/>
  <c r="BE100" i="36"/>
  <c r="L117" i="36"/>
  <c r="O117" i="36"/>
  <c r="O145" i="36" s="1"/>
  <c r="N117" i="36"/>
  <c r="M117" i="36"/>
  <c r="P145" i="36"/>
  <c r="BE145" i="36" s="1"/>
  <c r="BE117" i="36"/>
  <c r="O109" i="36"/>
  <c r="O137" i="36" s="1"/>
  <c r="L109" i="36"/>
  <c r="N109" i="36"/>
  <c r="M109" i="36"/>
  <c r="P137" i="36"/>
  <c r="BE137" i="36" s="1"/>
  <c r="BE109" i="36"/>
  <c r="L111" i="36"/>
  <c r="M111" i="36"/>
  <c r="N111" i="36"/>
  <c r="O111" i="36"/>
  <c r="BD111" i="36" s="1"/>
  <c r="P139" i="36"/>
  <c r="BE139" i="36" s="1"/>
  <c r="BE111" i="36"/>
  <c r="M105" i="36"/>
  <c r="L105" i="36"/>
  <c r="O105" i="36"/>
  <c r="N105" i="36"/>
  <c r="P133" i="36"/>
  <c r="BE133" i="36" s="1"/>
  <c r="BE105" i="36"/>
  <c r="M114" i="36"/>
  <c r="N114" i="36"/>
  <c r="O114" i="36"/>
  <c r="L114" i="36"/>
  <c r="P142" i="36"/>
  <c r="BE142" i="36" s="1"/>
  <c r="BE114" i="36"/>
  <c r="P129" i="36"/>
  <c r="BE129" i="36" s="1"/>
  <c r="N101" i="36"/>
  <c r="M101" i="36"/>
  <c r="L101" i="36"/>
  <c r="O101" i="36"/>
  <c r="BE101" i="36"/>
  <c r="P148" i="36"/>
  <c r="BE148" i="36" s="1"/>
  <c r="L120" i="36"/>
  <c r="M120" i="36"/>
  <c r="N120" i="36"/>
  <c r="O120" i="36"/>
  <c r="O148" i="36" s="1"/>
  <c r="BE120" i="36"/>
  <c r="P147" i="36"/>
  <c r="BE147" i="36" s="1"/>
  <c r="M119" i="36"/>
  <c r="L119" i="36"/>
  <c r="O119" i="36"/>
  <c r="N119" i="36"/>
  <c r="BE119" i="36"/>
  <c r="P144" i="36"/>
  <c r="BE144" i="36" s="1"/>
  <c r="O116" i="36"/>
  <c r="L116" i="36"/>
  <c r="N116" i="36"/>
  <c r="M116" i="36"/>
  <c r="BE116" i="36"/>
  <c r="P150" i="36"/>
  <c r="BE150" i="36" s="1"/>
  <c r="M122" i="36"/>
  <c r="L122" i="36"/>
  <c r="O122" i="36"/>
  <c r="O150" i="36" s="1"/>
  <c r="N122" i="36"/>
  <c r="BE122" i="36"/>
  <c r="BD33" i="36"/>
  <c r="BD25" i="36" s="1"/>
  <c r="J25" i="36"/>
  <c r="J24" i="36" s="1"/>
  <c r="AK131" i="36"/>
  <c r="AK128" i="36" s="1"/>
  <c r="BK29" i="36"/>
  <c r="BK26" i="36" s="1"/>
  <c r="BK25" i="36" s="1"/>
  <c r="BI26" i="36"/>
  <c r="E12" i="46" s="1"/>
  <c r="E11" i="46" s="1"/>
  <c r="J131" i="36"/>
  <c r="J128" i="36" s="1"/>
  <c r="J136" i="36"/>
  <c r="J115" i="36"/>
  <c r="J110" i="36" s="1"/>
  <c r="J107" i="36" s="1"/>
  <c r="I143" i="36"/>
  <c r="I138" i="36" s="1"/>
  <c r="I135" i="36" s="1"/>
  <c r="J141" i="36"/>
  <c r="H99" i="36"/>
  <c r="I99" i="36"/>
  <c r="G128" i="36"/>
  <c r="G146" i="36"/>
  <c r="BF26" i="36"/>
  <c r="BA25" i="36"/>
  <c r="BB25" i="36"/>
  <c r="H143" i="36"/>
  <c r="H138" i="36" s="1"/>
  <c r="H135" i="36" s="1"/>
  <c r="Z99" i="36"/>
  <c r="Y138" i="36"/>
  <c r="Y135" i="36" s="1"/>
  <c r="O103" i="36"/>
  <c r="O131" i="36" s="1"/>
  <c r="L103" i="36"/>
  <c r="N103" i="36"/>
  <c r="M103" i="36"/>
  <c r="P131" i="36"/>
  <c r="BE103" i="36"/>
  <c r="N108" i="36"/>
  <c r="M108" i="36"/>
  <c r="O108" i="36"/>
  <c r="L108" i="36"/>
  <c r="P136" i="36"/>
  <c r="BE136" i="36" s="1"/>
  <c r="BE108" i="36"/>
  <c r="N113" i="36"/>
  <c r="M113" i="36"/>
  <c r="O113" i="36"/>
  <c r="O141" i="36" s="1"/>
  <c r="L113" i="36"/>
  <c r="P141" i="36"/>
  <c r="BE141" i="36" s="1"/>
  <c r="BE113" i="36"/>
  <c r="M106" i="36"/>
  <c r="O106" i="36"/>
  <c r="N106" i="36"/>
  <c r="L106" i="36"/>
  <c r="P134" i="36"/>
  <c r="BE134" i="36" s="1"/>
  <c r="BE106" i="36"/>
  <c r="L112" i="36"/>
  <c r="M112" i="36"/>
  <c r="N112" i="36"/>
  <c r="O112" i="36"/>
  <c r="O140" i="36" s="1"/>
  <c r="P140" i="36"/>
  <c r="BE140" i="36" s="1"/>
  <c r="BE112" i="36"/>
  <c r="L104" i="36"/>
  <c r="M104" i="36"/>
  <c r="N104" i="36"/>
  <c r="O104" i="36"/>
  <c r="O132" i="36" s="1"/>
  <c r="P132" i="36"/>
  <c r="BE132" i="36" s="1"/>
  <c r="BE104" i="36"/>
  <c r="P149" i="36"/>
  <c r="BE149" i="36" s="1"/>
  <c r="O121" i="36"/>
  <c r="O149" i="36" s="1"/>
  <c r="L121" i="36"/>
  <c r="N121" i="36"/>
  <c r="M121" i="36"/>
  <c r="BE121" i="36"/>
  <c r="P130" i="36"/>
  <c r="BE130" i="36" s="1"/>
  <c r="O102" i="36"/>
  <c r="N102" i="36"/>
  <c r="L102" i="36"/>
  <c r="M102" i="36"/>
  <c r="BE102" i="36"/>
  <c r="P151" i="36"/>
  <c r="BE151" i="36" s="1"/>
  <c r="BE123" i="36"/>
  <c r="P146" i="36"/>
  <c r="BE118" i="36"/>
  <c r="J150" i="36"/>
  <c r="U12" i="46" l="1"/>
  <c r="BE115" i="36"/>
  <c r="BE110" i="36" s="1"/>
  <c r="BE107" i="36" s="1"/>
  <c r="BE99" i="36" s="1"/>
  <c r="Y19" i="46"/>
  <c r="Y16" i="46" s="1"/>
  <c r="BJ25" i="36"/>
  <c r="H11" i="46"/>
  <c r="H12" i="47" s="1"/>
  <c r="Y127" i="36"/>
  <c r="BE146" i="36"/>
  <c r="BD122" i="36"/>
  <c r="J99" i="36"/>
  <c r="Z127" i="36"/>
  <c r="BK24" i="36"/>
  <c r="BD150" i="36"/>
  <c r="BE143" i="36"/>
  <c r="BE138" i="36" s="1"/>
  <c r="BE135" i="36" s="1"/>
  <c r="BE131" i="36"/>
  <c r="BI25" i="36"/>
  <c r="AJ127" i="36"/>
  <c r="M130" i="36"/>
  <c r="BB102" i="36"/>
  <c r="N130" i="36"/>
  <c r="BC130" i="36" s="1"/>
  <c r="BC102" i="36"/>
  <c r="M149" i="36"/>
  <c r="BB121" i="36"/>
  <c r="L149" i="36"/>
  <c r="BA121" i="36"/>
  <c r="BI121" i="36" s="1"/>
  <c r="N132" i="36"/>
  <c r="BC132" i="36" s="1"/>
  <c r="BC104" i="36"/>
  <c r="L132" i="36"/>
  <c r="BA104" i="36"/>
  <c r="BI104" i="36" s="1"/>
  <c r="N140" i="36"/>
  <c r="BC140" i="36" s="1"/>
  <c r="BC112" i="36"/>
  <c r="L140" i="36"/>
  <c r="BA112" i="36"/>
  <c r="BI112" i="36" s="1"/>
  <c r="N134" i="36"/>
  <c r="BC134" i="36" s="1"/>
  <c r="BC106" i="36"/>
  <c r="M134" i="36"/>
  <c r="BB106" i="36"/>
  <c r="N141" i="36"/>
  <c r="BC141" i="36" s="1"/>
  <c r="BC113" i="36"/>
  <c r="O136" i="36"/>
  <c r="BD136" i="36" s="1"/>
  <c r="N136" i="36"/>
  <c r="BC108" i="36"/>
  <c r="N131" i="36"/>
  <c r="BC131" i="36" s="1"/>
  <c r="BC103" i="36"/>
  <c r="BD113" i="36"/>
  <c r="BD103" i="36"/>
  <c r="AK127" i="36"/>
  <c r="N150" i="36"/>
  <c r="BC150" i="36" s="1"/>
  <c r="BC122" i="36"/>
  <c r="L150" i="36"/>
  <c r="BA122" i="36"/>
  <c r="BI122" i="36" s="1"/>
  <c r="M115" i="36"/>
  <c r="M110" i="36" s="1"/>
  <c r="M107" i="36" s="1"/>
  <c r="M144" i="36"/>
  <c r="BB116" i="36"/>
  <c r="L115" i="36"/>
  <c r="L110" i="36" s="1"/>
  <c r="L107" i="36" s="1"/>
  <c r="L144" i="36"/>
  <c r="BA116" i="36"/>
  <c r="BI116" i="36" s="1"/>
  <c r="N118" i="36"/>
  <c r="BC118" i="36" s="1"/>
  <c r="N147" i="36"/>
  <c r="BC119" i="36"/>
  <c r="L118" i="36"/>
  <c r="BA118" i="36" s="1"/>
  <c r="L147" i="36"/>
  <c r="BA119" i="36"/>
  <c r="BI119" i="36" s="1"/>
  <c r="M148" i="36"/>
  <c r="BB120" i="36"/>
  <c r="O100" i="36"/>
  <c r="O129" i="36"/>
  <c r="BD101" i="36"/>
  <c r="M100" i="36"/>
  <c r="M129" i="36"/>
  <c r="BB101" i="36"/>
  <c r="O142" i="36"/>
  <c r="BD142" i="36" s="1"/>
  <c r="BD114" i="36"/>
  <c r="M142" i="36"/>
  <c r="BB114" i="36"/>
  <c r="O133" i="36"/>
  <c r="BD133" i="36" s="1"/>
  <c r="BD105" i="36"/>
  <c r="M133" i="36"/>
  <c r="BB105" i="36"/>
  <c r="N139" i="36"/>
  <c r="BC111" i="36"/>
  <c r="L139" i="36"/>
  <c r="BA111" i="36"/>
  <c r="BI111" i="36" s="1"/>
  <c r="N137" i="36"/>
  <c r="BC137" i="36" s="1"/>
  <c r="BC109" i="36"/>
  <c r="N145" i="36"/>
  <c r="BC145" i="36" s="1"/>
  <c r="BC117" i="36"/>
  <c r="L145" i="36"/>
  <c r="BA117" i="36"/>
  <c r="BI117" i="36" s="1"/>
  <c r="P127" i="36"/>
  <c r="AX127" i="36" s="1"/>
  <c r="AY127" i="36" s="1"/>
  <c r="BE128" i="36"/>
  <c r="BD120" i="36"/>
  <c r="BD132" i="36"/>
  <c r="BD112" i="36"/>
  <c r="BD121" i="36"/>
  <c r="BD137" i="36"/>
  <c r="BF33" i="36"/>
  <c r="BG33" i="36" s="1"/>
  <c r="J146" i="36"/>
  <c r="BD145" i="36"/>
  <c r="L130" i="36"/>
  <c r="BA102" i="36"/>
  <c r="BI102" i="36" s="1"/>
  <c r="O130" i="36"/>
  <c r="BD130" i="36" s="1"/>
  <c r="BD102" i="36"/>
  <c r="N149" i="36"/>
  <c r="BC149" i="36" s="1"/>
  <c r="BC121" i="36"/>
  <c r="M132" i="36"/>
  <c r="BB104" i="36"/>
  <c r="M140" i="36"/>
  <c r="BB112" i="36"/>
  <c r="L134" i="36"/>
  <c r="BA106" i="36"/>
  <c r="BI106" i="36" s="1"/>
  <c r="O134" i="36"/>
  <c r="BD134" i="36" s="1"/>
  <c r="BD106" i="36"/>
  <c r="L141" i="36"/>
  <c r="BA113" i="36"/>
  <c r="BI113" i="36" s="1"/>
  <c r="M141" i="36"/>
  <c r="BB113" i="36"/>
  <c r="L136" i="36"/>
  <c r="BA108" i="36"/>
  <c r="BI108" i="36" s="1"/>
  <c r="M136" i="36"/>
  <c r="BB108" i="36"/>
  <c r="M131" i="36"/>
  <c r="BB103" i="36"/>
  <c r="L131" i="36"/>
  <c r="BA103" i="36"/>
  <c r="BI103" i="36" s="1"/>
  <c r="BG26" i="36"/>
  <c r="G127" i="36"/>
  <c r="BD141" i="36"/>
  <c r="BD108" i="36"/>
  <c r="BD131" i="36"/>
  <c r="M150" i="36"/>
  <c r="BB122" i="36"/>
  <c r="N115" i="36"/>
  <c r="N110" i="36" s="1"/>
  <c r="N107" i="36" s="1"/>
  <c r="N144" i="36"/>
  <c r="BC116" i="36"/>
  <c r="O115" i="36"/>
  <c r="O110" i="36" s="1"/>
  <c r="O107" i="36" s="1"/>
  <c r="O144" i="36"/>
  <c r="BD116" i="36"/>
  <c r="O118" i="36"/>
  <c r="BD118" i="36" s="1"/>
  <c r="O147" i="36"/>
  <c r="O146" i="36" s="1"/>
  <c r="M118" i="36"/>
  <c r="BB118" i="36" s="1"/>
  <c r="M147" i="36"/>
  <c r="BB119" i="36"/>
  <c r="N148" i="36"/>
  <c r="BC148" i="36" s="1"/>
  <c r="BC120" i="36"/>
  <c r="L148" i="36"/>
  <c r="BA120" i="36"/>
  <c r="BI120" i="36" s="1"/>
  <c r="L100" i="36"/>
  <c r="L129" i="36"/>
  <c r="BA101" i="36"/>
  <c r="BI101" i="36" s="1"/>
  <c r="N100" i="36"/>
  <c r="N129" i="36"/>
  <c r="BC101" i="36"/>
  <c r="L142" i="36"/>
  <c r="BA114" i="36"/>
  <c r="BI114" i="36" s="1"/>
  <c r="N142" i="36"/>
  <c r="BC142" i="36" s="1"/>
  <c r="BC114" i="36"/>
  <c r="N133" i="36"/>
  <c r="BC133" i="36" s="1"/>
  <c r="BC105" i="36"/>
  <c r="L133" i="36"/>
  <c r="BA105" i="36"/>
  <c r="BI105" i="36" s="1"/>
  <c r="O139" i="36"/>
  <c r="BD139" i="36" s="1"/>
  <c r="M139" i="36"/>
  <c r="BB111" i="36"/>
  <c r="M137" i="36"/>
  <c r="BB109" i="36"/>
  <c r="L137" i="36"/>
  <c r="BA109" i="36"/>
  <c r="BI109" i="36" s="1"/>
  <c r="M145" i="36"/>
  <c r="BB117" i="36"/>
  <c r="BD148" i="36"/>
  <c r="BD104" i="36"/>
  <c r="BD140" i="36"/>
  <c r="BD149" i="36"/>
  <c r="BD109" i="36"/>
  <c r="BD119" i="36"/>
  <c r="I127" i="36"/>
  <c r="H127" i="36"/>
  <c r="J138" i="36"/>
  <c r="J135" i="36" s="1"/>
  <c r="BD117" i="36"/>
  <c r="K12" i="47" l="1"/>
  <c r="U11" i="46"/>
  <c r="BJ111" i="36"/>
  <c r="Y11" i="46"/>
  <c r="BJ113" i="36"/>
  <c r="BK113" i="36" s="1"/>
  <c r="BJ122" i="36"/>
  <c r="BK122" i="36" s="1"/>
  <c r="BJ103" i="36"/>
  <c r="BK103" i="36" s="1"/>
  <c r="BJ112" i="36"/>
  <c r="BJ109" i="36"/>
  <c r="BC115" i="36"/>
  <c r="BC110" i="36" s="1"/>
  <c r="BC107" i="36" s="1"/>
  <c r="BF25" i="36"/>
  <c r="BJ108" i="36"/>
  <c r="BJ117" i="36"/>
  <c r="BK117" i="36" s="1"/>
  <c r="BJ119" i="36"/>
  <c r="BJ116" i="36"/>
  <c r="BJ114" i="36"/>
  <c r="BJ120" i="36"/>
  <c r="BK120" i="36" s="1"/>
  <c r="BJ121" i="36"/>
  <c r="BJ104" i="36"/>
  <c r="BJ105" i="36"/>
  <c r="BJ101" i="36"/>
  <c r="BJ106" i="36"/>
  <c r="BJ102" i="36"/>
  <c r="H11" i="47"/>
  <c r="J127" i="36"/>
  <c r="BB145" i="36"/>
  <c r="BB137" i="36"/>
  <c r="BA133" i="36"/>
  <c r="N128" i="36"/>
  <c r="BC129" i="36"/>
  <c r="L99" i="36"/>
  <c r="BA99" i="36" s="1"/>
  <c r="BA100" i="36"/>
  <c r="M146" i="36"/>
  <c r="BB146" i="36" s="1"/>
  <c r="BB147" i="36"/>
  <c r="O143" i="36"/>
  <c r="O138" i="36" s="1"/>
  <c r="O135" i="36" s="1"/>
  <c r="BD144" i="36"/>
  <c r="BD143" i="36" s="1"/>
  <c r="BD138" i="36" s="1"/>
  <c r="BD135" i="36" s="1"/>
  <c r="BB150" i="36"/>
  <c r="BA131" i="36"/>
  <c r="BB136" i="36"/>
  <c r="BA136" i="36"/>
  <c r="BA141" i="36"/>
  <c r="BB140" i="36"/>
  <c r="BA130" i="36"/>
  <c r="BD147" i="36"/>
  <c r="BA145" i="36"/>
  <c r="BB142" i="36"/>
  <c r="M99" i="36"/>
  <c r="BB99" i="36" s="1"/>
  <c r="BB100" i="36"/>
  <c r="O99" i="36"/>
  <c r="BD99" i="36" s="1"/>
  <c r="BD100" i="36"/>
  <c r="BB148" i="36"/>
  <c r="L143" i="36"/>
  <c r="L138" i="36" s="1"/>
  <c r="L135" i="36" s="1"/>
  <c r="BA144" i="36"/>
  <c r="M143" i="36"/>
  <c r="M138" i="36" s="1"/>
  <c r="M135" i="36" s="1"/>
  <c r="BB144" i="36"/>
  <c r="BA150" i="36"/>
  <c r="BA140" i="36"/>
  <c r="BA149" i="36"/>
  <c r="BB130" i="36"/>
  <c r="BA137" i="36"/>
  <c r="BB139" i="36"/>
  <c r="BA142" i="36"/>
  <c r="N99" i="36"/>
  <c r="BC99" i="36" s="1"/>
  <c r="BC100" i="36"/>
  <c r="L128" i="36"/>
  <c r="BA129" i="36"/>
  <c r="BA148" i="36"/>
  <c r="BD115" i="36"/>
  <c r="BD110" i="36" s="1"/>
  <c r="BD107" i="36" s="1"/>
  <c r="N143" i="36"/>
  <c r="N138" i="36" s="1"/>
  <c r="N135" i="36" s="1"/>
  <c r="BC144" i="36"/>
  <c r="BC143" i="36" s="1"/>
  <c r="BB131" i="36"/>
  <c r="BB141" i="36"/>
  <c r="BA134" i="36"/>
  <c r="BB132" i="36"/>
  <c r="BD146" i="36"/>
  <c r="BE127" i="36"/>
  <c r="BA139" i="36"/>
  <c r="BC139" i="36"/>
  <c r="BB133" i="36"/>
  <c r="M128" i="36"/>
  <c r="BB129" i="36"/>
  <c r="O128" i="36"/>
  <c r="BD129" i="36"/>
  <c r="L146" i="36"/>
  <c r="BA146" i="36" s="1"/>
  <c r="BA147" i="36"/>
  <c r="N146" i="36"/>
  <c r="BC146" i="36" s="1"/>
  <c r="BC147" i="36"/>
  <c r="BA115" i="36"/>
  <c r="BA110" i="36" s="1"/>
  <c r="BA107" i="36" s="1"/>
  <c r="BB115" i="36"/>
  <c r="BB110" i="36" s="1"/>
  <c r="BB107" i="36" s="1"/>
  <c r="BC136" i="36"/>
  <c r="BB134" i="36"/>
  <c r="BA132" i="36"/>
  <c r="BB149" i="36"/>
  <c r="K11" i="47" l="1"/>
  <c r="Y11" i="47" s="1"/>
  <c r="Y12" i="47"/>
  <c r="BF127" i="36"/>
  <c r="BB143" i="36"/>
  <c r="BB138" i="36" s="1"/>
  <c r="BB135" i="36" s="1"/>
  <c r="BK104" i="36"/>
  <c r="BK121" i="36"/>
  <c r="BJ115" i="36"/>
  <c r="BJ110" i="36" s="1"/>
  <c r="BJ107" i="36" s="1"/>
  <c r="BC138" i="36"/>
  <c r="BC135" i="36" s="1"/>
  <c r="BJ132" i="36"/>
  <c r="BJ118" i="36"/>
  <c r="BJ145" i="36"/>
  <c r="BK112" i="36"/>
  <c r="BJ150" i="36"/>
  <c r="BK105" i="36"/>
  <c r="BA143" i="36"/>
  <c r="BA138" i="36" s="1"/>
  <c r="BA135" i="36" s="1"/>
  <c r="BI132" i="36"/>
  <c r="BJ100" i="36"/>
  <c r="M127" i="36"/>
  <c r="BB127" i="36" s="1"/>
  <c r="BB128" i="36"/>
  <c r="BI139" i="36"/>
  <c r="BK102" i="36"/>
  <c r="BI134" i="36"/>
  <c r="BJ131" i="36"/>
  <c r="BK101" i="36"/>
  <c r="BI100" i="36"/>
  <c r="BI129" i="36"/>
  <c r="BI142" i="36"/>
  <c r="BI137" i="36"/>
  <c r="BI140" i="36"/>
  <c r="BI150" i="36"/>
  <c r="BK116" i="36"/>
  <c r="BK115" i="36" s="1"/>
  <c r="BI115" i="36"/>
  <c r="BI110" i="36" s="1"/>
  <c r="BI107" i="36" s="1"/>
  <c r="BJ148" i="36"/>
  <c r="BJ142" i="36"/>
  <c r="BK111" i="36"/>
  <c r="BI145" i="36"/>
  <c r="BK106" i="36"/>
  <c r="BI141" i="36"/>
  <c r="BI136" i="36"/>
  <c r="BJ136" i="36"/>
  <c r="BI131" i="36"/>
  <c r="BJ147" i="36"/>
  <c r="BK114" i="36"/>
  <c r="BI133" i="36"/>
  <c r="BJ137" i="36"/>
  <c r="BJ149" i="36"/>
  <c r="BJ134" i="36"/>
  <c r="BI147" i="36"/>
  <c r="O127" i="36"/>
  <c r="BD127" i="36" s="1"/>
  <c r="BD128" i="36"/>
  <c r="BJ129" i="36"/>
  <c r="BJ133" i="36"/>
  <c r="BJ141" i="36"/>
  <c r="BI148" i="36"/>
  <c r="L127" i="36"/>
  <c r="BA127" i="36" s="1"/>
  <c r="BA128" i="36"/>
  <c r="BJ139" i="36"/>
  <c r="BJ130" i="36"/>
  <c r="BI149" i="36"/>
  <c r="BJ144" i="36"/>
  <c r="BI144" i="36"/>
  <c r="BI118" i="36"/>
  <c r="BK119" i="36"/>
  <c r="BI130" i="36"/>
  <c r="BK130" i="36" s="1"/>
  <c r="BJ140" i="36"/>
  <c r="BK108" i="36"/>
  <c r="N127" i="36"/>
  <c r="BC127" i="36" s="1"/>
  <c r="BC128" i="36"/>
  <c r="BK109" i="36"/>
  <c r="BK100" i="36" l="1"/>
  <c r="BK118" i="36"/>
  <c r="BJ143" i="36"/>
  <c r="BJ138" i="36" s="1"/>
  <c r="BJ135" i="36" s="1"/>
  <c r="BK145" i="36"/>
  <c r="BK150" i="36"/>
  <c r="BK132" i="36"/>
  <c r="BK149" i="36"/>
  <c r="BK131" i="36"/>
  <c r="BK148" i="36"/>
  <c r="BK144" i="36"/>
  <c r="BI143" i="36"/>
  <c r="BI138" i="36" s="1"/>
  <c r="BI135" i="36" s="1"/>
  <c r="BK110" i="36"/>
  <c r="BK107" i="36" s="1"/>
  <c r="BK142" i="36"/>
  <c r="BI99" i="36"/>
  <c r="BK134" i="36"/>
  <c r="BK139" i="36"/>
  <c r="BJ128" i="36"/>
  <c r="BK147" i="36"/>
  <c r="BI146" i="36"/>
  <c r="BK133" i="36"/>
  <c r="BJ146" i="36"/>
  <c r="BK136" i="36"/>
  <c r="BK141" i="36"/>
  <c r="BK140" i="36"/>
  <c r="BK137" i="36"/>
  <c r="BK129" i="36"/>
  <c r="BI128" i="36"/>
  <c r="BJ99" i="36"/>
  <c r="BK128" i="36" l="1"/>
  <c r="BK99" i="36"/>
  <c r="BK143" i="36"/>
  <c r="BK138" i="36" s="1"/>
  <c r="BK135" i="36" s="1"/>
  <c r="BI127" i="36"/>
  <c r="BK146" i="36"/>
  <c r="BJ127" i="36"/>
  <c r="BK127" i="36" l="1"/>
  <c r="AX60" i="19" l="1"/>
  <c r="AG60" i="19"/>
  <c r="AD60" i="19"/>
  <c r="AK60" i="19" s="1"/>
  <c r="AC60" i="19"/>
  <c r="AJ60" i="19" s="1"/>
  <c r="AB60" i="19"/>
  <c r="AI60" i="19" s="1"/>
  <c r="AL60" i="19" s="1"/>
  <c r="Y60" i="19"/>
  <c r="Z60" i="19" s="1"/>
  <c r="U60" i="19"/>
  <c r="V60" i="19" s="1"/>
  <c r="D60" i="19"/>
  <c r="B67" i="19"/>
  <c r="D82" i="19"/>
  <c r="AE60" i="19" l="1"/>
  <c r="C89" i="19" l="1"/>
  <c r="C92" i="19"/>
  <c r="F114" i="19"/>
  <c r="J274" i="51" s="1"/>
  <c r="AD107" i="19"/>
  <c r="AC107" i="19"/>
  <c r="AB107" i="19"/>
  <c r="AE107" i="19" s="1"/>
  <c r="AG107" i="19"/>
  <c r="AK107" i="19" s="1"/>
  <c r="Y107" i="19"/>
  <c r="Z107" i="19" s="1"/>
  <c r="D107" i="19"/>
  <c r="AB115" i="19"/>
  <c r="AD115" i="19"/>
  <c r="AC115" i="19"/>
  <c r="AJ115" i="19" s="1"/>
  <c r="Y115" i="19"/>
  <c r="Z115" i="19" s="1"/>
  <c r="D115" i="19"/>
  <c r="D116" i="19"/>
  <c r="AX116" i="19"/>
  <c r="AD116" i="19"/>
  <c r="AC116" i="19"/>
  <c r="AJ116" i="19" s="1"/>
  <c r="AB116" i="19"/>
  <c r="AG116" i="19"/>
  <c r="AG115" i="19"/>
  <c r="Z116" i="19"/>
  <c r="Y116" i="19"/>
  <c r="U116" i="19"/>
  <c r="V116" i="19" s="1"/>
  <c r="P11" i="19"/>
  <c r="T19" i="51" s="1"/>
  <c r="AK115" i="19" l="1"/>
  <c r="X19" i="51"/>
  <c r="AF19" i="51" s="1"/>
  <c r="AE116" i="19"/>
  <c r="AK116" i="19"/>
  <c r="AI115" i="19"/>
  <c r="AJ107" i="19"/>
  <c r="AI107" i="19"/>
  <c r="AE115" i="19"/>
  <c r="AL115" i="19"/>
  <c r="AI116" i="19"/>
  <c r="AL116" i="19" l="1"/>
  <c r="AL107" i="19"/>
  <c r="U107" i="19"/>
  <c r="V107" i="19" s="1"/>
  <c r="U115" i="19"/>
  <c r="V115" i="19" s="1"/>
  <c r="F227" i="19" l="1"/>
  <c r="L35" i="12"/>
  <c r="AE14" i="14" l="1"/>
  <c r="AC998" i="14"/>
  <c r="AC999" i="14"/>
  <c r="AC1000" i="14"/>
  <c r="AI9" i="14"/>
  <c r="AH10" i="14"/>
  <c r="AC19" i="14" l="1"/>
  <c r="AC34" i="14"/>
  <c r="AC35" i="14"/>
  <c r="AC36" i="14"/>
  <c r="AC37" i="14"/>
  <c r="AC38" i="14"/>
  <c r="AC39" i="14"/>
  <c r="AC40" i="14"/>
  <c r="AC41" i="14"/>
  <c r="AC42" i="14"/>
  <c r="AC43" i="14"/>
  <c r="AC44" i="14"/>
  <c r="AC45" i="14"/>
  <c r="AC46" i="14"/>
  <c r="AC47" i="14"/>
  <c r="AC48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29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42" i="14"/>
  <c r="AC143" i="14"/>
  <c r="AC144" i="14"/>
  <c r="AC145" i="14"/>
  <c r="AC146" i="14"/>
  <c r="AC147" i="14"/>
  <c r="AC148" i="14"/>
  <c r="AC149" i="14"/>
  <c r="AC150" i="14"/>
  <c r="AC151" i="14"/>
  <c r="AC152" i="14"/>
  <c r="AC153" i="14"/>
  <c r="AC154" i="14"/>
  <c r="AC155" i="14"/>
  <c r="AC156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2" i="14"/>
  <c r="AC173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7" i="14"/>
  <c r="AC188" i="14"/>
  <c r="AC189" i="14"/>
  <c r="AC190" i="14"/>
  <c r="AC191" i="14"/>
  <c r="AC192" i="14"/>
  <c r="AC193" i="14"/>
  <c r="AC194" i="14"/>
  <c r="AC195" i="14"/>
  <c r="AC196" i="14"/>
  <c r="AC197" i="14"/>
  <c r="AC198" i="14"/>
  <c r="AC199" i="14"/>
  <c r="AC200" i="14"/>
  <c r="AC201" i="14"/>
  <c r="AC202" i="14"/>
  <c r="AC203" i="14"/>
  <c r="AC204" i="14"/>
  <c r="AC205" i="14"/>
  <c r="AC206" i="14"/>
  <c r="AC207" i="14"/>
  <c r="AC208" i="14"/>
  <c r="AC209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23" i="14"/>
  <c r="AC224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40" i="14"/>
  <c r="AC241" i="14"/>
  <c r="AC242" i="14"/>
  <c r="AC243" i="14"/>
  <c r="AC244" i="14"/>
  <c r="AC245" i="14"/>
  <c r="AC246" i="14"/>
  <c r="AC247" i="14"/>
  <c r="AC248" i="14"/>
  <c r="AC249" i="14"/>
  <c r="AC250" i="14"/>
  <c r="AC251" i="14"/>
  <c r="AC252" i="14"/>
  <c r="AC253" i="14"/>
  <c r="AC254" i="14"/>
  <c r="AC255" i="14"/>
  <c r="AC256" i="14"/>
  <c r="AC257" i="14"/>
  <c r="AC258" i="14"/>
  <c r="AC259" i="14"/>
  <c r="AC260" i="14"/>
  <c r="AC261" i="14"/>
  <c r="AC262" i="14"/>
  <c r="AC263" i="14"/>
  <c r="AC264" i="14"/>
  <c r="AC265" i="14"/>
  <c r="AC266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280" i="14"/>
  <c r="AC281" i="14"/>
  <c r="AC282" i="14"/>
  <c r="AC283" i="14"/>
  <c r="AC284" i="14"/>
  <c r="AC285" i="14"/>
  <c r="AC286" i="14"/>
  <c r="AC287" i="14"/>
  <c r="AC288" i="14"/>
  <c r="AC289" i="14"/>
  <c r="AC290" i="14"/>
  <c r="AC291" i="14"/>
  <c r="AC292" i="14"/>
  <c r="AC293" i="14"/>
  <c r="AC294" i="14"/>
  <c r="AC295" i="14"/>
  <c r="AC296" i="14"/>
  <c r="AC297" i="14"/>
  <c r="AC298" i="14"/>
  <c r="AC299" i="14"/>
  <c r="AC300" i="14"/>
  <c r="AC301" i="14"/>
  <c r="AC302" i="14"/>
  <c r="AC303" i="14"/>
  <c r="AC304" i="14"/>
  <c r="AC305" i="14"/>
  <c r="AC306" i="14"/>
  <c r="AC307" i="14"/>
  <c r="AC308" i="14"/>
  <c r="AC309" i="14"/>
  <c r="AC310" i="14"/>
  <c r="AC311" i="14"/>
  <c r="AC312" i="14"/>
  <c r="AC313" i="14"/>
  <c r="AC314" i="14"/>
  <c r="AC315" i="14"/>
  <c r="AC316" i="14"/>
  <c r="AC317" i="14"/>
  <c r="AC318" i="14"/>
  <c r="AC319" i="14"/>
  <c r="AC320" i="14"/>
  <c r="AC321" i="14"/>
  <c r="AC322" i="14"/>
  <c r="AC323" i="14"/>
  <c r="AC324" i="14"/>
  <c r="AC325" i="14"/>
  <c r="AC326" i="14"/>
  <c r="AC327" i="14"/>
  <c r="AC328" i="14"/>
  <c r="AC329" i="14"/>
  <c r="AC330" i="14"/>
  <c r="AC331" i="14"/>
  <c r="AC332" i="14"/>
  <c r="AC333" i="14"/>
  <c r="AC334" i="14"/>
  <c r="AC335" i="14"/>
  <c r="AC336" i="14"/>
  <c r="AC337" i="14"/>
  <c r="AC338" i="14"/>
  <c r="AC339" i="14"/>
  <c r="AC340" i="14"/>
  <c r="AC341" i="14"/>
  <c r="AC342" i="14"/>
  <c r="AC343" i="14"/>
  <c r="AC344" i="14"/>
  <c r="AC345" i="14"/>
  <c r="AC346" i="14"/>
  <c r="AC347" i="14"/>
  <c r="AC348" i="14"/>
  <c r="AC349" i="14"/>
  <c r="AC350" i="14"/>
  <c r="AC351" i="14"/>
  <c r="AC352" i="14"/>
  <c r="AC353" i="14"/>
  <c r="AC354" i="14"/>
  <c r="AC355" i="14"/>
  <c r="AC356" i="14"/>
  <c r="AC357" i="14"/>
  <c r="AC358" i="14"/>
  <c r="AC359" i="14"/>
  <c r="AC360" i="14"/>
  <c r="AC361" i="14"/>
  <c r="AC362" i="14"/>
  <c r="AC363" i="14"/>
  <c r="AC364" i="14"/>
  <c r="AC365" i="14"/>
  <c r="AC366" i="14"/>
  <c r="AC367" i="14"/>
  <c r="AC368" i="14"/>
  <c r="AC369" i="14"/>
  <c r="AC370" i="14"/>
  <c r="AC371" i="14"/>
  <c r="AC372" i="14"/>
  <c r="AC373" i="14"/>
  <c r="AC374" i="14"/>
  <c r="AC375" i="14"/>
  <c r="AC376" i="14"/>
  <c r="AC377" i="14"/>
  <c r="AC378" i="14"/>
  <c r="AC379" i="14"/>
  <c r="AC380" i="14"/>
  <c r="AC381" i="14"/>
  <c r="AC382" i="14"/>
  <c r="AC383" i="14"/>
  <c r="AC384" i="14"/>
  <c r="AC385" i="14"/>
  <c r="AC386" i="14"/>
  <c r="AC387" i="14"/>
  <c r="AC388" i="14"/>
  <c r="AC389" i="14"/>
  <c r="AC390" i="14"/>
  <c r="AC391" i="14"/>
  <c r="AC392" i="14"/>
  <c r="AC393" i="14"/>
  <c r="AC394" i="14"/>
  <c r="AC395" i="14"/>
  <c r="AC396" i="14"/>
  <c r="AC397" i="14"/>
  <c r="AC398" i="14"/>
  <c r="AC399" i="14"/>
  <c r="AC400" i="14"/>
  <c r="AC401" i="14"/>
  <c r="AC402" i="14"/>
  <c r="AC403" i="14"/>
  <c r="AC404" i="14"/>
  <c r="AC405" i="14"/>
  <c r="AC406" i="14"/>
  <c r="AC407" i="14"/>
  <c r="AC408" i="14"/>
  <c r="AC409" i="14"/>
  <c r="AC410" i="14"/>
  <c r="AC411" i="14"/>
  <c r="AC412" i="14"/>
  <c r="AC413" i="14"/>
  <c r="AC414" i="14"/>
  <c r="AC415" i="14"/>
  <c r="AC416" i="14"/>
  <c r="AC417" i="14"/>
  <c r="AC418" i="14"/>
  <c r="AC419" i="14"/>
  <c r="AC420" i="14"/>
  <c r="AC421" i="14"/>
  <c r="AC422" i="14"/>
  <c r="AC423" i="14"/>
  <c r="AC424" i="14"/>
  <c r="AC425" i="14"/>
  <c r="AC426" i="14"/>
  <c r="AC427" i="14"/>
  <c r="AC428" i="14"/>
  <c r="AC429" i="14"/>
  <c r="AC430" i="14"/>
  <c r="AC431" i="14"/>
  <c r="AC432" i="14"/>
  <c r="AC433" i="14"/>
  <c r="AC434" i="14"/>
  <c r="AC435" i="14"/>
  <c r="AC436" i="14"/>
  <c r="AC437" i="14"/>
  <c r="AC438" i="14"/>
  <c r="AC439" i="14"/>
  <c r="AC440" i="14"/>
  <c r="AC441" i="14"/>
  <c r="AC442" i="14"/>
  <c r="AC443" i="14"/>
  <c r="AC444" i="14"/>
  <c r="AC445" i="14"/>
  <c r="AC446" i="14"/>
  <c r="AC447" i="14"/>
  <c r="AC448" i="14"/>
  <c r="AC449" i="14"/>
  <c r="AC450" i="14"/>
  <c r="AC451" i="14"/>
  <c r="AC452" i="14"/>
  <c r="AC453" i="14"/>
  <c r="AC454" i="14"/>
  <c r="AC455" i="14"/>
  <c r="AC456" i="14"/>
  <c r="AC457" i="14"/>
  <c r="AC458" i="14"/>
  <c r="AC459" i="14"/>
  <c r="AC460" i="14"/>
  <c r="AC461" i="14"/>
  <c r="AC462" i="14"/>
  <c r="AC463" i="14"/>
  <c r="AC464" i="14"/>
  <c r="AC465" i="14"/>
  <c r="AC466" i="14"/>
  <c r="AC467" i="14"/>
  <c r="AC468" i="14"/>
  <c r="AC469" i="14"/>
  <c r="AC470" i="14"/>
  <c r="AC471" i="14"/>
  <c r="AC472" i="14"/>
  <c r="AC473" i="14"/>
  <c r="AC474" i="14"/>
  <c r="AC475" i="14"/>
  <c r="AC476" i="14"/>
  <c r="AC477" i="14"/>
  <c r="AC478" i="14"/>
  <c r="AC479" i="14"/>
  <c r="AC480" i="14"/>
  <c r="AC481" i="14"/>
  <c r="AC482" i="14"/>
  <c r="AC483" i="14"/>
  <c r="AC484" i="14"/>
  <c r="AC485" i="14"/>
  <c r="AC486" i="14"/>
  <c r="AC487" i="14"/>
  <c r="AC488" i="14"/>
  <c r="AC489" i="14"/>
  <c r="AC490" i="14"/>
  <c r="AC491" i="14"/>
  <c r="AC492" i="14"/>
  <c r="AC493" i="14"/>
  <c r="AC494" i="14"/>
  <c r="AC495" i="14"/>
  <c r="AC496" i="14"/>
  <c r="AC497" i="14"/>
  <c r="AC498" i="14"/>
  <c r="AC499" i="14"/>
  <c r="AC500" i="14"/>
  <c r="AC501" i="14"/>
  <c r="AC502" i="14"/>
  <c r="AC503" i="14"/>
  <c r="AC504" i="14"/>
  <c r="AC505" i="14"/>
  <c r="AC506" i="14"/>
  <c r="AC507" i="14"/>
  <c r="AC508" i="14"/>
  <c r="AC509" i="14"/>
  <c r="AC510" i="14"/>
  <c r="AC511" i="14"/>
  <c r="AC512" i="14"/>
  <c r="AC513" i="14"/>
  <c r="AC514" i="14"/>
  <c r="AC515" i="14"/>
  <c r="AC516" i="14"/>
  <c r="AC517" i="14"/>
  <c r="AC518" i="14"/>
  <c r="AC519" i="14"/>
  <c r="AC520" i="14"/>
  <c r="AC521" i="14"/>
  <c r="AC522" i="14"/>
  <c r="AC523" i="14"/>
  <c r="AC524" i="14"/>
  <c r="AC525" i="14"/>
  <c r="AC526" i="14"/>
  <c r="AC527" i="14"/>
  <c r="AC528" i="14"/>
  <c r="AC529" i="14"/>
  <c r="AC530" i="14"/>
  <c r="AC531" i="14"/>
  <c r="AC532" i="14"/>
  <c r="AC533" i="14"/>
  <c r="AC534" i="14"/>
  <c r="AC535" i="14"/>
  <c r="AC536" i="14"/>
  <c r="AC537" i="14"/>
  <c r="AC538" i="14"/>
  <c r="AC539" i="14"/>
  <c r="AC540" i="14"/>
  <c r="AC541" i="14"/>
  <c r="AC542" i="14"/>
  <c r="AC543" i="14"/>
  <c r="AC544" i="14"/>
  <c r="AC545" i="14"/>
  <c r="AC546" i="14"/>
  <c r="AC547" i="14"/>
  <c r="AC548" i="14"/>
  <c r="AC549" i="14"/>
  <c r="AC550" i="14"/>
  <c r="AC551" i="14"/>
  <c r="AC552" i="14"/>
  <c r="AC553" i="14"/>
  <c r="AC554" i="14"/>
  <c r="AC555" i="14"/>
  <c r="AC556" i="14"/>
  <c r="AC557" i="14"/>
  <c r="AC558" i="14"/>
  <c r="AC559" i="14"/>
  <c r="AC560" i="14"/>
  <c r="AC561" i="14"/>
  <c r="AC562" i="14"/>
  <c r="AC563" i="14"/>
  <c r="AC564" i="14"/>
  <c r="AC565" i="14"/>
  <c r="AC566" i="14"/>
  <c r="AC567" i="14"/>
  <c r="AC568" i="14"/>
  <c r="AC569" i="14"/>
  <c r="AC570" i="14"/>
  <c r="AC571" i="14"/>
  <c r="AC572" i="14"/>
  <c r="AC573" i="14"/>
  <c r="AC574" i="14"/>
  <c r="AC575" i="14"/>
  <c r="AC576" i="14"/>
  <c r="AC577" i="14"/>
  <c r="AC578" i="14"/>
  <c r="AC579" i="14"/>
  <c r="AC580" i="14"/>
  <c r="AC581" i="14"/>
  <c r="AC582" i="14"/>
  <c r="AC583" i="14"/>
  <c r="AC584" i="14"/>
  <c r="AC585" i="14"/>
  <c r="AC586" i="14"/>
  <c r="AC587" i="14"/>
  <c r="AC588" i="14"/>
  <c r="AC589" i="14"/>
  <c r="AC590" i="14"/>
  <c r="AC591" i="14"/>
  <c r="AC592" i="14"/>
  <c r="AC593" i="14"/>
  <c r="AC594" i="14"/>
  <c r="AC595" i="14"/>
  <c r="AC596" i="14"/>
  <c r="AC597" i="14"/>
  <c r="AC598" i="14"/>
  <c r="AC599" i="14"/>
  <c r="AC600" i="14"/>
  <c r="AC601" i="14"/>
  <c r="AC602" i="14"/>
  <c r="AC603" i="14"/>
  <c r="AC604" i="14"/>
  <c r="AC605" i="14"/>
  <c r="AC606" i="14"/>
  <c r="AC607" i="14"/>
  <c r="AC608" i="14"/>
  <c r="AC609" i="14"/>
  <c r="AC610" i="14"/>
  <c r="AC611" i="14"/>
  <c r="AC612" i="14"/>
  <c r="AC613" i="14"/>
  <c r="AC614" i="14"/>
  <c r="AC615" i="14"/>
  <c r="AC616" i="14"/>
  <c r="AC617" i="14"/>
  <c r="AC618" i="14"/>
  <c r="AC619" i="14"/>
  <c r="AC620" i="14"/>
  <c r="AC621" i="14"/>
  <c r="AC622" i="14"/>
  <c r="AC623" i="14"/>
  <c r="AC624" i="14"/>
  <c r="AC625" i="14"/>
  <c r="AC626" i="14"/>
  <c r="AC627" i="14"/>
  <c r="AC628" i="14"/>
  <c r="AC629" i="14"/>
  <c r="AC630" i="14"/>
  <c r="AC631" i="14"/>
  <c r="AC632" i="14"/>
  <c r="AC633" i="14"/>
  <c r="AC634" i="14"/>
  <c r="AC635" i="14"/>
  <c r="AC636" i="14"/>
  <c r="AC637" i="14"/>
  <c r="AC638" i="14"/>
  <c r="AC639" i="14"/>
  <c r="AC640" i="14"/>
  <c r="AC641" i="14"/>
  <c r="AC642" i="14"/>
  <c r="AC643" i="14"/>
  <c r="AC644" i="14"/>
  <c r="AC645" i="14"/>
  <c r="AC646" i="14"/>
  <c r="AC647" i="14"/>
  <c r="AC648" i="14"/>
  <c r="AC649" i="14"/>
  <c r="AC650" i="14"/>
  <c r="AC651" i="14"/>
  <c r="AC652" i="14"/>
  <c r="AC653" i="14"/>
  <c r="AC654" i="14"/>
  <c r="AC655" i="14"/>
  <c r="AC656" i="14"/>
  <c r="AC657" i="14"/>
  <c r="AC658" i="14"/>
  <c r="AC659" i="14"/>
  <c r="AC660" i="14"/>
  <c r="AC661" i="14"/>
  <c r="AC662" i="14"/>
  <c r="AC663" i="14"/>
  <c r="AC664" i="14"/>
  <c r="AC665" i="14"/>
  <c r="AC666" i="14"/>
  <c r="AC667" i="14"/>
  <c r="AC668" i="14"/>
  <c r="AC669" i="14"/>
  <c r="AC670" i="14"/>
  <c r="AC671" i="14"/>
  <c r="AC672" i="14"/>
  <c r="AC673" i="14"/>
  <c r="AC674" i="14"/>
  <c r="AC675" i="14"/>
  <c r="AC676" i="14"/>
  <c r="AC677" i="14"/>
  <c r="AC678" i="14"/>
  <c r="AC679" i="14"/>
  <c r="AC680" i="14"/>
  <c r="AC681" i="14"/>
  <c r="AC682" i="14"/>
  <c r="AC683" i="14"/>
  <c r="AC684" i="14"/>
  <c r="AC685" i="14"/>
  <c r="AC686" i="14"/>
  <c r="AC687" i="14"/>
  <c r="AC688" i="14"/>
  <c r="AC689" i="14"/>
  <c r="AC690" i="14"/>
  <c r="AC691" i="14"/>
  <c r="AC692" i="14"/>
  <c r="AC693" i="14"/>
  <c r="AC694" i="14"/>
  <c r="AC695" i="14"/>
  <c r="AC696" i="14"/>
  <c r="AC697" i="14"/>
  <c r="AC698" i="14"/>
  <c r="AC699" i="14"/>
  <c r="AC700" i="14"/>
  <c r="AC701" i="14"/>
  <c r="AC702" i="14"/>
  <c r="AC703" i="14"/>
  <c r="AC704" i="14"/>
  <c r="AC705" i="14"/>
  <c r="AC706" i="14"/>
  <c r="AC707" i="14"/>
  <c r="AC708" i="14"/>
  <c r="AC709" i="14"/>
  <c r="AC710" i="14"/>
  <c r="AC711" i="14"/>
  <c r="AC712" i="14"/>
  <c r="AC713" i="14"/>
  <c r="AC714" i="14"/>
  <c r="AC715" i="14"/>
  <c r="AC716" i="14"/>
  <c r="AC717" i="14"/>
  <c r="AC718" i="14"/>
  <c r="AC719" i="14"/>
  <c r="AC720" i="14"/>
  <c r="AC721" i="14"/>
  <c r="AC722" i="14"/>
  <c r="AC723" i="14"/>
  <c r="AC724" i="14"/>
  <c r="AC725" i="14"/>
  <c r="AC726" i="14"/>
  <c r="AC727" i="14"/>
  <c r="AC728" i="14"/>
  <c r="AC729" i="14"/>
  <c r="AC730" i="14"/>
  <c r="AC731" i="14"/>
  <c r="AC732" i="14"/>
  <c r="AC733" i="14"/>
  <c r="AC734" i="14"/>
  <c r="AC735" i="14"/>
  <c r="AC736" i="14"/>
  <c r="AC737" i="14"/>
  <c r="AC738" i="14"/>
  <c r="AC739" i="14"/>
  <c r="AC740" i="14"/>
  <c r="AC741" i="14"/>
  <c r="AC742" i="14"/>
  <c r="AC743" i="14"/>
  <c r="AC744" i="14"/>
  <c r="AC745" i="14"/>
  <c r="AC746" i="14"/>
  <c r="AC747" i="14"/>
  <c r="AC748" i="14"/>
  <c r="AC749" i="14"/>
  <c r="AC750" i="14"/>
  <c r="AC751" i="14"/>
  <c r="AC752" i="14"/>
  <c r="AC753" i="14"/>
  <c r="AC754" i="14"/>
  <c r="AC755" i="14"/>
  <c r="AC756" i="14"/>
  <c r="AC757" i="14"/>
  <c r="AC758" i="14"/>
  <c r="AC759" i="14"/>
  <c r="AC760" i="14"/>
  <c r="AC761" i="14"/>
  <c r="AC762" i="14"/>
  <c r="AC763" i="14"/>
  <c r="AC764" i="14"/>
  <c r="AC765" i="14"/>
  <c r="AC766" i="14"/>
  <c r="AC767" i="14"/>
  <c r="AC768" i="14"/>
  <c r="AC769" i="14"/>
  <c r="AC770" i="14"/>
  <c r="AC771" i="14"/>
  <c r="AC772" i="14"/>
  <c r="AC773" i="14"/>
  <c r="AC774" i="14"/>
  <c r="AC775" i="14"/>
  <c r="AC776" i="14"/>
  <c r="AC777" i="14"/>
  <c r="AC778" i="14"/>
  <c r="AC779" i="14"/>
  <c r="AC780" i="14"/>
  <c r="AC781" i="14"/>
  <c r="AC782" i="14"/>
  <c r="AC783" i="14"/>
  <c r="AC784" i="14"/>
  <c r="AC785" i="14"/>
  <c r="AC786" i="14"/>
  <c r="AC787" i="14"/>
  <c r="AC788" i="14"/>
  <c r="AC789" i="14"/>
  <c r="AC790" i="14"/>
  <c r="AC791" i="14"/>
  <c r="AC792" i="14"/>
  <c r="AC793" i="14"/>
  <c r="AC794" i="14"/>
  <c r="AC795" i="14"/>
  <c r="AC796" i="14"/>
  <c r="AC797" i="14"/>
  <c r="AC798" i="14"/>
  <c r="AC799" i="14"/>
  <c r="AC800" i="14"/>
  <c r="AC801" i="14"/>
  <c r="AC802" i="14"/>
  <c r="AC803" i="14"/>
  <c r="AC804" i="14"/>
  <c r="AC805" i="14"/>
  <c r="AC806" i="14"/>
  <c r="AC807" i="14"/>
  <c r="AC808" i="14"/>
  <c r="AC809" i="14"/>
  <c r="AC810" i="14"/>
  <c r="AC811" i="14"/>
  <c r="AC812" i="14"/>
  <c r="AC813" i="14"/>
  <c r="AC814" i="14"/>
  <c r="AC815" i="14"/>
  <c r="AC816" i="14"/>
  <c r="AC817" i="14"/>
  <c r="AC818" i="14"/>
  <c r="AC819" i="14"/>
  <c r="AC820" i="14"/>
  <c r="AC821" i="14"/>
  <c r="AC822" i="14"/>
  <c r="AC823" i="14"/>
  <c r="AC824" i="14"/>
  <c r="AC825" i="14"/>
  <c r="AC826" i="14"/>
  <c r="AC827" i="14"/>
  <c r="AC828" i="14"/>
  <c r="AC829" i="14"/>
  <c r="AC830" i="14"/>
  <c r="AC831" i="14"/>
  <c r="AC832" i="14"/>
  <c r="AC833" i="14"/>
  <c r="AC834" i="14"/>
  <c r="AC835" i="14"/>
  <c r="AC836" i="14"/>
  <c r="AC837" i="14"/>
  <c r="AC838" i="14"/>
  <c r="AC839" i="14"/>
  <c r="AC840" i="14"/>
  <c r="AC841" i="14"/>
  <c r="AC842" i="14"/>
  <c r="AC843" i="14"/>
  <c r="AC844" i="14"/>
  <c r="AC845" i="14"/>
  <c r="AC846" i="14"/>
  <c r="AC847" i="14"/>
  <c r="AC848" i="14"/>
  <c r="AC849" i="14"/>
  <c r="AC850" i="14"/>
  <c r="AC851" i="14"/>
  <c r="AC852" i="14"/>
  <c r="AC853" i="14"/>
  <c r="AC854" i="14"/>
  <c r="AC855" i="14"/>
  <c r="AC856" i="14"/>
  <c r="AC857" i="14"/>
  <c r="AC858" i="14"/>
  <c r="AC859" i="14"/>
  <c r="AC860" i="14"/>
  <c r="AC861" i="14"/>
  <c r="AC862" i="14"/>
  <c r="AC863" i="14"/>
  <c r="AC864" i="14"/>
  <c r="AC865" i="14"/>
  <c r="AC866" i="14"/>
  <c r="AC867" i="14"/>
  <c r="AC868" i="14"/>
  <c r="AC869" i="14"/>
  <c r="AC870" i="14"/>
  <c r="AC871" i="14"/>
  <c r="AC872" i="14"/>
  <c r="AC873" i="14"/>
  <c r="AC874" i="14"/>
  <c r="AC875" i="14"/>
  <c r="AC876" i="14"/>
  <c r="AC877" i="14"/>
  <c r="AC878" i="14"/>
  <c r="AC879" i="14"/>
  <c r="AC880" i="14"/>
  <c r="AC881" i="14"/>
  <c r="AC882" i="14"/>
  <c r="AC883" i="14"/>
  <c r="AC884" i="14"/>
  <c r="AC885" i="14"/>
  <c r="AC886" i="14"/>
  <c r="AC887" i="14"/>
  <c r="AC888" i="14"/>
  <c r="AC889" i="14"/>
  <c r="AC890" i="14"/>
  <c r="AC891" i="14"/>
  <c r="AC892" i="14"/>
  <c r="AC893" i="14"/>
  <c r="AC894" i="14"/>
  <c r="AC895" i="14"/>
  <c r="AC896" i="14"/>
  <c r="AC897" i="14"/>
  <c r="AC898" i="14"/>
  <c r="AC899" i="14"/>
  <c r="AC900" i="14"/>
  <c r="AC901" i="14"/>
  <c r="AC902" i="14"/>
  <c r="AC903" i="14"/>
  <c r="AC904" i="14"/>
  <c r="AC905" i="14"/>
  <c r="AC906" i="14"/>
  <c r="AC907" i="14"/>
  <c r="AC908" i="14"/>
  <c r="AC909" i="14"/>
  <c r="AC910" i="14"/>
  <c r="AC911" i="14"/>
  <c r="AC912" i="14"/>
  <c r="AC913" i="14"/>
  <c r="AC914" i="14"/>
  <c r="AC915" i="14"/>
  <c r="AC916" i="14"/>
  <c r="AC917" i="14"/>
  <c r="AC918" i="14"/>
  <c r="AC919" i="14"/>
  <c r="AC920" i="14"/>
  <c r="AC921" i="14"/>
  <c r="AC922" i="14"/>
  <c r="AC923" i="14"/>
  <c r="AC924" i="14"/>
  <c r="AC925" i="14"/>
  <c r="AC926" i="14"/>
  <c r="AC927" i="14"/>
  <c r="AC928" i="14"/>
  <c r="AC929" i="14"/>
  <c r="AC930" i="14"/>
  <c r="AC931" i="14"/>
  <c r="AC932" i="14"/>
  <c r="AC933" i="14"/>
  <c r="AC934" i="14"/>
  <c r="AC935" i="14"/>
  <c r="AC936" i="14"/>
  <c r="AC937" i="14"/>
  <c r="AC938" i="14"/>
  <c r="AC939" i="14"/>
  <c r="AC940" i="14"/>
  <c r="AC941" i="14"/>
  <c r="AC942" i="14"/>
  <c r="AC943" i="14"/>
  <c r="AC944" i="14"/>
  <c r="AG944" i="14" s="1"/>
  <c r="AC945" i="14"/>
  <c r="AC946" i="14"/>
  <c r="AC947" i="14"/>
  <c r="AC948" i="14"/>
  <c r="AC949" i="14"/>
  <c r="AC950" i="14"/>
  <c r="AC951" i="14"/>
  <c r="AC952" i="14"/>
  <c r="AC953" i="14"/>
  <c r="AC954" i="14"/>
  <c r="AC955" i="14"/>
  <c r="AC956" i="14"/>
  <c r="AC957" i="14"/>
  <c r="AC958" i="14"/>
  <c r="AC959" i="14"/>
  <c r="AC960" i="14"/>
  <c r="AC961" i="14"/>
  <c r="AC962" i="14"/>
  <c r="AC963" i="14"/>
  <c r="AC964" i="14"/>
  <c r="AC965" i="14"/>
  <c r="AC966" i="14"/>
  <c r="AC967" i="14"/>
  <c r="AC968" i="14"/>
  <c r="AC969" i="14"/>
  <c r="AC970" i="14"/>
  <c r="AC971" i="14"/>
  <c r="AC972" i="14"/>
  <c r="AC973" i="14"/>
  <c r="AC974" i="14"/>
  <c r="AC975" i="14"/>
  <c r="AC976" i="14"/>
  <c r="AC977" i="14"/>
  <c r="AC978" i="14"/>
  <c r="AC979" i="14"/>
  <c r="AC980" i="14"/>
  <c r="AC981" i="14"/>
  <c r="AC982" i="14"/>
  <c r="AC983" i="14"/>
  <c r="AC984" i="14"/>
  <c r="AC985" i="14"/>
  <c r="AC986" i="14"/>
  <c r="AC987" i="14"/>
  <c r="AC988" i="14"/>
  <c r="AC989" i="14"/>
  <c r="AC990" i="14"/>
  <c r="AC991" i="14"/>
  <c r="AC992" i="14"/>
  <c r="AC993" i="14"/>
  <c r="AC994" i="14"/>
  <c r="AC995" i="14"/>
  <c r="AC996" i="14"/>
  <c r="AC997" i="14"/>
  <c r="AC1001" i="14"/>
  <c r="AC1002" i="14"/>
  <c r="AC1003" i="14"/>
  <c r="AC1004" i="14"/>
  <c r="AC1005" i="14"/>
  <c r="AC1006" i="14"/>
  <c r="AC1007" i="14"/>
  <c r="AC1008" i="14"/>
  <c r="AC1009" i="14"/>
  <c r="AC1010" i="14"/>
  <c r="AC1011" i="14"/>
  <c r="AC1012" i="14"/>
  <c r="AC1013" i="14"/>
  <c r="AC1014" i="14"/>
  <c r="AC1015" i="14"/>
  <c r="AC1016" i="14"/>
  <c r="AC1017" i="14"/>
  <c r="AC1018" i="14"/>
  <c r="AC1019" i="14"/>
  <c r="AC1020" i="14"/>
  <c r="AC1021" i="14"/>
  <c r="AC1022" i="14"/>
  <c r="AC1023" i="14"/>
  <c r="AC1024" i="14"/>
  <c r="AC1025" i="14"/>
  <c r="AC1026" i="14"/>
  <c r="AC1027" i="14"/>
  <c r="AC1028" i="14"/>
  <c r="AC1029" i="14"/>
  <c r="AC1030" i="14"/>
  <c r="AC1031" i="14"/>
  <c r="AC1032" i="14"/>
  <c r="AC1033" i="14"/>
  <c r="AC1034" i="14"/>
  <c r="AC1035" i="14"/>
  <c r="AC1036" i="14"/>
  <c r="AC1037" i="14"/>
  <c r="AC1038" i="14"/>
  <c r="AC1039" i="14"/>
  <c r="AC1040" i="14"/>
  <c r="AC1041" i="14"/>
  <c r="AC1042" i="14"/>
  <c r="AC1043" i="14"/>
  <c r="AC1044" i="14"/>
  <c r="AC1045" i="14"/>
  <c r="AC1046" i="14"/>
  <c r="AC1047" i="14"/>
  <c r="AC1048" i="14"/>
  <c r="AC1049" i="14"/>
  <c r="AC1050" i="14"/>
  <c r="AC1051" i="14"/>
  <c r="AC1052" i="14"/>
  <c r="AC1053" i="14"/>
  <c r="AC1054" i="14"/>
  <c r="AC1055" i="14"/>
  <c r="AC1056" i="14"/>
  <c r="AC1057" i="14"/>
  <c r="AC1058" i="14"/>
  <c r="AC1059" i="14"/>
  <c r="AC1060" i="14"/>
  <c r="AC1061" i="14"/>
  <c r="AC1062" i="14"/>
  <c r="AC1063" i="14"/>
  <c r="AC1064" i="14"/>
  <c r="AC1065" i="14"/>
  <c r="AC1066" i="14"/>
  <c r="AC1067" i="14"/>
  <c r="AC1068" i="14"/>
  <c r="AC1069" i="14"/>
  <c r="AC1070" i="14"/>
  <c r="AC1071" i="14"/>
  <c r="AC1072" i="14"/>
  <c r="AC1073" i="14"/>
  <c r="AC1074" i="14"/>
  <c r="AC1075" i="14"/>
  <c r="AC1076" i="14"/>
  <c r="AC1077" i="14"/>
  <c r="AC1078" i="14"/>
  <c r="AC1079" i="14"/>
  <c r="AC1080" i="14"/>
  <c r="AC108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17" i="14"/>
  <c r="AC18" i="14"/>
  <c r="AC20" i="14"/>
  <c r="AC21" i="14"/>
  <c r="AC16" i="14"/>
  <c r="AS10" i="14"/>
  <c r="AG26" i="14"/>
  <c r="AR9" i="14"/>
  <c r="AP9" i="14"/>
  <c r="AR5" i="14"/>
  <c r="AP6" i="14"/>
  <c r="AP5" i="14"/>
  <c r="AD19" i="14" l="1"/>
  <c r="AC12" i="14"/>
  <c r="AC15" i="14"/>
  <c r="AD3" i="14" l="1"/>
  <c r="AD15" i="14"/>
  <c r="AC14" i="14"/>
  <c r="AD17" i="14"/>
  <c r="AD18" i="14"/>
  <c r="AD20" i="14"/>
  <c r="AD21" i="14"/>
  <c r="AD22" i="14"/>
  <c r="AD23" i="14"/>
  <c r="AD24" i="14"/>
  <c r="AD25" i="14"/>
  <c r="AD27" i="14"/>
  <c r="AD28" i="14"/>
  <c r="AD30" i="14"/>
  <c r="AD31" i="14"/>
  <c r="AD32" i="14"/>
  <c r="AD33" i="14"/>
  <c r="AD34" i="14"/>
  <c r="AD35" i="14"/>
  <c r="AD37" i="14"/>
  <c r="AD38" i="14"/>
  <c r="AD39" i="14"/>
  <c r="AD40" i="14"/>
  <c r="AD41" i="14"/>
  <c r="AD42" i="14"/>
  <c r="AD43" i="14"/>
  <c r="AD44" i="14"/>
  <c r="AD45" i="14"/>
  <c r="AD46" i="14"/>
  <c r="AD47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6" i="14"/>
  <c r="AD148" i="14"/>
  <c r="AD149" i="14"/>
  <c r="AD150" i="14"/>
  <c r="AD151" i="14"/>
  <c r="AD153" i="14"/>
  <c r="AD155" i="14"/>
  <c r="AD156" i="14"/>
  <c r="AD157" i="14"/>
  <c r="AD158" i="14"/>
  <c r="AD159" i="14"/>
  <c r="AD160" i="14"/>
  <c r="AD161" i="14"/>
  <c r="AD162" i="14"/>
  <c r="AD164" i="14"/>
  <c r="AD165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3" i="14"/>
  <c r="AD254" i="14"/>
  <c r="AD255" i="14"/>
  <c r="AD256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3" i="14"/>
  <c r="AD354" i="14"/>
  <c r="AD356" i="14"/>
  <c r="AD357" i="14"/>
  <c r="AD358" i="14"/>
  <c r="AD359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AD501" i="14"/>
  <c r="AD502" i="14"/>
  <c r="AD503" i="14"/>
  <c r="AD504" i="14"/>
  <c r="AD505" i="14"/>
  <c r="AD506" i="14"/>
  <c r="AD507" i="14"/>
  <c r="AD508" i="14"/>
  <c r="AD509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4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617" i="14"/>
  <c r="AD618" i="14"/>
  <c r="AD619" i="14"/>
  <c r="AD620" i="14"/>
  <c r="AD621" i="14"/>
  <c r="AD622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648" i="14"/>
  <c r="AD649" i="14"/>
  <c r="AD650" i="14"/>
  <c r="AD651" i="14"/>
  <c r="AD652" i="14"/>
  <c r="AD653" i="14"/>
  <c r="AD654" i="14"/>
  <c r="AD655" i="14"/>
  <c r="AD656" i="14"/>
  <c r="AD657" i="14"/>
  <c r="AD658" i="14"/>
  <c r="AD659" i="14"/>
  <c r="AD660" i="14"/>
  <c r="AD661" i="14"/>
  <c r="AD662" i="14"/>
  <c r="AD663" i="14"/>
  <c r="AD664" i="14"/>
  <c r="AD665" i="14"/>
  <c r="AD666" i="14"/>
  <c r="AD667" i="14"/>
  <c r="AD668" i="14"/>
  <c r="AD669" i="14"/>
  <c r="AD670" i="14"/>
  <c r="AD671" i="14"/>
  <c r="AD672" i="14"/>
  <c r="AD673" i="14"/>
  <c r="AD674" i="14"/>
  <c r="AD675" i="14"/>
  <c r="AD676" i="14"/>
  <c r="AD677" i="14"/>
  <c r="AD678" i="14"/>
  <c r="AD679" i="14"/>
  <c r="AD680" i="14"/>
  <c r="AD681" i="14"/>
  <c r="AD682" i="14"/>
  <c r="AD683" i="14"/>
  <c r="AD684" i="14"/>
  <c r="AD685" i="14"/>
  <c r="AD686" i="14"/>
  <c r="AD687" i="14"/>
  <c r="AD688" i="14"/>
  <c r="AD689" i="14"/>
  <c r="AD691" i="14"/>
  <c r="AD692" i="14"/>
  <c r="AD693" i="14"/>
  <c r="AD694" i="14"/>
  <c r="AD695" i="14"/>
  <c r="AD696" i="14"/>
  <c r="AD697" i="14"/>
  <c r="AD698" i="14"/>
  <c r="AD699" i="14"/>
  <c r="AD700" i="14"/>
  <c r="AD701" i="14"/>
  <c r="AD702" i="14"/>
  <c r="AD703" i="14"/>
  <c r="AD704" i="14"/>
  <c r="AD705" i="14"/>
  <c r="AD706" i="14"/>
  <c r="AD707" i="14"/>
  <c r="AD708" i="14"/>
  <c r="AD709" i="14"/>
  <c r="AD710" i="14"/>
  <c r="AD711" i="14"/>
  <c r="AD712" i="14"/>
  <c r="AD713" i="14"/>
  <c r="AD714" i="14"/>
  <c r="AD715" i="14"/>
  <c r="AD716" i="14"/>
  <c r="AD717" i="14"/>
  <c r="AD718" i="14"/>
  <c r="AD719" i="14"/>
  <c r="AD720" i="14"/>
  <c r="AD721" i="14"/>
  <c r="AD722" i="14"/>
  <c r="AD723" i="14"/>
  <c r="AD724" i="14"/>
  <c r="AD725" i="14"/>
  <c r="AD726" i="14"/>
  <c r="AD727" i="14"/>
  <c r="AD728" i="14"/>
  <c r="AD729" i="14"/>
  <c r="AD730" i="14"/>
  <c r="AD731" i="14"/>
  <c r="AD732" i="14"/>
  <c r="AD733" i="14"/>
  <c r="AD734" i="14"/>
  <c r="AD735" i="14"/>
  <c r="AD736" i="14"/>
  <c r="AD737" i="14"/>
  <c r="AD738" i="14"/>
  <c r="AD739" i="14"/>
  <c r="AD740" i="14"/>
  <c r="AD741" i="14"/>
  <c r="AD742" i="14"/>
  <c r="AD743" i="14"/>
  <c r="AD744" i="14"/>
  <c r="AD745" i="14"/>
  <c r="AD746" i="14"/>
  <c r="AD747" i="14"/>
  <c r="AD748" i="14"/>
  <c r="AD749" i="14"/>
  <c r="AD750" i="14"/>
  <c r="AD751" i="14"/>
  <c r="AD752" i="14"/>
  <c r="AD753" i="14"/>
  <c r="AD754" i="14"/>
  <c r="AD755" i="14"/>
  <c r="AD756" i="14"/>
  <c r="AD757" i="14"/>
  <c r="AD758" i="14"/>
  <c r="AD759" i="14"/>
  <c r="AD760" i="14"/>
  <c r="AD762" i="14"/>
  <c r="AD763" i="14"/>
  <c r="AD764" i="14"/>
  <c r="AD765" i="14"/>
  <c r="AD766" i="14"/>
  <c r="AD767" i="14"/>
  <c r="AD768" i="14"/>
  <c r="AD769" i="14"/>
  <c r="AD770" i="14"/>
  <c r="AD771" i="14"/>
  <c r="AD772" i="14"/>
  <c r="AD773" i="14"/>
  <c r="AD774" i="14"/>
  <c r="AD775" i="14"/>
  <c r="AD777" i="14"/>
  <c r="AD778" i="14"/>
  <c r="AD779" i="14"/>
  <c r="AD780" i="14"/>
  <c r="AD781" i="14"/>
  <c r="AD782" i="14"/>
  <c r="AD783" i="14"/>
  <c r="AD784" i="14"/>
  <c r="AD785" i="14"/>
  <c r="AD786" i="14"/>
  <c r="AD787" i="14"/>
  <c r="AD788" i="14"/>
  <c r="AD789" i="14"/>
  <c r="AD790" i="14"/>
  <c r="AD791" i="14"/>
  <c r="AD792" i="14"/>
  <c r="AD793" i="14"/>
  <c r="AD794" i="14"/>
  <c r="AD795" i="14"/>
  <c r="AD796" i="14"/>
  <c r="AD797" i="14"/>
  <c r="AD798" i="14"/>
  <c r="AD799" i="14"/>
  <c r="AD800" i="14"/>
  <c r="AD801" i="14"/>
  <c r="AD802" i="14"/>
  <c r="AD803" i="14"/>
  <c r="AD804" i="14"/>
  <c r="AD805" i="14"/>
  <c r="AD806" i="14"/>
  <c r="AD807" i="14"/>
  <c r="AD808" i="14"/>
  <c r="AD809" i="14"/>
  <c r="AD810" i="14"/>
  <c r="AD811" i="14"/>
  <c r="AD812" i="14"/>
  <c r="AD813" i="14"/>
  <c r="AD814" i="14"/>
  <c r="AD815" i="14"/>
  <c r="AD816" i="14"/>
  <c r="AD817" i="14"/>
  <c r="AD818" i="14"/>
  <c r="AD819" i="14"/>
  <c r="AD820" i="14"/>
  <c r="AD821" i="14"/>
  <c r="AD822" i="14"/>
  <c r="AD823" i="14"/>
  <c r="AD824" i="14"/>
  <c r="AD825" i="14"/>
  <c r="AD826" i="14"/>
  <c r="AD827" i="14"/>
  <c r="AD828" i="14"/>
  <c r="AD830" i="14"/>
  <c r="AD832" i="14"/>
  <c r="AD834" i="14"/>
  <c r="AD836" i="14"/>
  <c r="AD837" i="14"/>
  <c r="AD838" i="14"/>
  <c r="AD839" i="14"/>
  <c r="AD840" i="14"/>
  <c r="AD841" i="14"/>
  <c r="AD842" i="14"/>
  <c r="AD843" i="14"/>
  <c r="AD844" i="14"/>
  <c r="AD845" i="14"/>
  <c r="AD846" i="14"/>
  <c r="AD847" i="14"/>
  <c r="AD848" i="14"/>
  <c r="AD850" i="14"/>
  <c r="AD851" i="14"/>
  <c r="AD852" i="14"/>
  <c r="AD853" i="14"/>
  <c r="AD854" i="14"/>
  <c r="AD855" i="14"/>
  <c r="AD856" i="14"/>
  <c r="AD857" i="14"/>
  <c r="AD858" i="14"/>
  <c r="AD859" i="14"/>
  <c r="AD860" i="14"/>
  <c r="AD861" i="14"/>
  <c r="AD862" i="14"/>
  <c r="AD863" i="14"/>
  <c r="AD864" i="14"/>
  <c r="AD865" i="14"/>
  <c r="AD866" i="14"/>
  <c r="AD867" i="14"/>
  <c r="AD868" i="14"/>
  <c r="AD869" i="14"/>
  <c r="AD870" i="14"/>
  <c r="AD871" i="14"/>
  <c r="AD872" i="14"/>
  <c r="AD873" i="14"/>
  <c r="AD874" i="14"/>
  <c r="AD875" i="14"/>
  <c r="AD876" i="14"/>
  <c r="AD877" i="14"/>
  <c r="AD878" i="14"/>
  <c r="AD879" i="14"/>
  <c r="AD880" i="14"/>
  <c r="AD881" i="14"/>
  <c r="AD882" i="14"/>
  <c r="AD883" i="14"/>
  <c r="AD884" i="14"/>
  <c r="AD885" i="14"/>
  <c r="AD886" i="14"/>
  <c r="AD887" i="14"/>
  <c r="AD888" i="14"/>
  <c r="AD889" i="14"/>
  <c r="AD890" i="14"/>
  <c r="AD891" i="14"/>
  <c r="AD892" i="14"/>
  <c r="AD893" i="14"/>
  <c r="AD894" i="14"/>
  <c r="AD895" i="14"/>
  <c r="AD896" i="14"/>
  <c r="AD897" i="14"/>
  <c r="AD898" i="14"/>
  <c r="AD899" i="14"/>
  <c r="AD900" i="14"/>
  <c r="AD901" i="14"/>
  <c r="AD902" i="14"/>
  <c r="AD903" i="14"/>
  <c r="AD904" i="14"/>
  <c r="AD905" i="14"/>
  <c r="AD906" i="14"/>
  <c r="AD907" i="14"/>
  <c r="AD908" i="14"/>
  <c r="AD909" i="14"/>
  <c r="AD910" i="14"/>
  <c r="AD911" i="14"/>
  <c r="AD912" i="14"/>
  <c r="AD913" i="14"/>
  <c r="AD914" i="14"/>
  <c r="AD915" i="14"/>
  <c r="AD916" i="14"/>
  <c r="AD917" i="14"/>
  <c r="AD918" i="14"/>
  <c r="AD919" i="14"/>
  <c r="AD920" i="14"/>
  <c r="AD921" i="14"/>
  <c r="AD922" i="14"/>
  <c r="AD923" i="14"/>
  <c r="AD924" i="14"/>
  <c r="AD925" i="14"/>
  <c r="AD926" i="14"/>
  <c r="AD927" i="14"/>
  <c r="AD928" i="14"/>
  <c r="AD929" i="14"/>
  <c r="AD930" i="14"/>
  <c r="AD931" i="14"/>
  <c r="AD932" i="14"/>
  <c r="AD933" i="14"/>
  <c r="AD934" i="14"/>
  <c r="AD935" i="14"/>
  <c r="AD936" i="14"/>
  <c r="AD937" i="14"/>
  <c r="AD938" i="14"/>
  <c r="AD939" i="14"/>
  <c r="AD940" i="14"/>
  <c r="AD941" i="14"/>
  <c r="AD942" i="14"/>
  <c r="AD943" i="14"/>
  <c r="AD944" i="14"/>
  <c r="AD945" i="14"/>
  <c r="AD946" i="14"/>
  <c r="AD947" i="14"/>
  <c r="AD948" i="14"/>
  <c r="AD949" i="14"/>
  <c r="AD950" i="14"/>
  <c r="AD951" i="14"/>
  <c r="AD952" i="14"/>
  <c r="AD954" i="14"/>
  <c r="AD956" i="14"/>
  <c r="AD958" i="14"/>
  <c r="AD960" i="14"/>
  <c r="AD961" i="14"/>
  <c r="AD962" i="14"/>
  <c r="AD963" i="14"/>
  <c r="AD964" i="14"/>
  <c r="AD965" i="14"/>
  <c r="AD966" i="14"/>
  <c r="AD967" i="14"/>
  <c r="AD968" i="14"/>
  <c r="AD969" i="14"/>
  <c r="AD970" i="14"/>
  <c r="AD972" i="14"/>
  <c r="AD974" i="14"/>
  <c r="AD976" i="14"/>
  <c r="AD977" i="14"/>
  <c r="AD978" i="14"/>
  <c r="AD979" i="14"/>
  <c r="AD980" i="14"/>
  <c r="AD981" i="14"/>
  <c r="AD982" i="14"/>
  <c r="AD983" i="14"/>
  <c r="AD984" i="14"/>
  <c r="AD985" i="14"/>
  <c r="AD986" i="14"/>
  <c r="AD988" i="14"/>
  <c r="AD989" i="14"/>
  <c r="AD990" i="14"/>
  <c r="AD991" i="14"/>
  <c r="AD993" i="14"/>
  <c r="AD995" i="14"/>
  <c r="AD996" i="14"/>
  <c r="AD997" i="14"/>
  <c r="AD998" i="14"/>
  <c r="AD999" i="14"/>
  <c r="AD1001" i="14"/>
  <c r="AD1002" i="14"/>
  <c r="AD1003" i="14"/>
  <c r="AD1004" i="14"/>
  <c r="AD1005" i="14"/>
  <c r="AD1007" i="14"/>
  <c r="AD1009" i="14"/>
  <c r="AD1011" i="14"/>
  <c r="AD1013" i="14"/>
  <c r="AD1014" i="14"/>
  <c r="AD1015" i="14"/>
  <c r="AG1016" i="14"/>
  <c r="AD1017" i="14"/>
  <c r="AG1018" i="14"/>
  <c r="AD1019" i="14"/>
  <c r="AG1020" i="14"/>
  <c r="AD1021" i="14"/>
  <c r="AD1022" i="14"/>
  <c r="AD1023" i="14"/>
  <c r="AD1024" i="14"/>
  <c r="AD1025" i="14"/>
  <c r="AD1026" i="14"/>
  <c r="AD1027" i="14"/>
  <c r="AD1028" i="14"/>
  <c r="AD1029" i="14"/>
  <c r="AD1030" i="14"/>
  <c r="AG1031" i="14"/>
  <c r="AD1032" i="14"/>
  <c r="AG1033" i="14"/>
  <c r="I12" i="12"/>
  <c r="O10" i="12"/>
  <c r="G10" i="12" s="1"/>
  <c r="O9" i="12"/>
  <c r="G9" i="12" s="1"/>
  <c r="AG1012" i="14" l="1"/>
  <c r="AD1012" i="14"/>
  <c r="AG1010" i="14"/>
  <c r="AD1010" i="14"/>
  <c r="AG1008" i="14"/>
  <c r="AD1008" i="14"/>
  <c r="AG1006" i="14"/>
  <c r="AD1006" i="14"/>
  <c r="AD1000" i="14"/>
  <c r="AG994" i="14"/>
  <c r="AD994" i="14"/>
  <c r="AG992" i="14"/>
  <c r="AD992" i="14"/>
  <c r="AG776" i="14"/>
  <c r="AD776" i="14"/>
  <c r="AG690" i="14"/>
  <c r="AD690" i="14"/>
  <c r="AG510" i="14"/>
  <c r="AD510" i="14"/>
  <c r="AG352" i="14"/>
  <c r="AD352" i="14"/>
  <c r="AG280" i="14"/>
  <c r="AD280" i="14"/>
  <c r="AG208" i="14"/>
  <c r="AD208" i="14"/>
  <c r="AG166" i="14"/>
  <c r="AD166" i="14"/>
  <c r="AG154" i="14"/>
  <c r="AD154" i="14"/>
  <c r="AG152" i="14"/>
  <c r="AD152" i="14"/>
  <c r="AG48" i="14"/>
  <c r="AD48" i="14"/>
  <c r="AG36" i="14"/>
  <c r="AD36" i="14"/>
  <c r="AD26" i="14"/>
  <c r="AD1033" i="14"/>
  <c r="AD1031" i="14"/>
  <c r="AD1020" i="14"/>
  <c r="AD1018" i="14"/>
  <c r="AD1016" i="14"/>
  <c r="AG987" i="14"/>
  <c r="AD987" i="14"/>
  <c r="AG975" i="14"/>
  <c r="AD975" i="14"/>
  <c r="AG973" i="14"/>
  <c r="AD973" i="14"/>
  <c r="AG971" i="14"/>
  <c r="AD971" i="14"/>
  <c r="AG959" i="14"/>
  <c r="AD959" i="14"/>
  <c r="AG957" i="14"/>
  <c r="AD957" i="14"/>
  <c r="AG955" i="14"/>
  <c r="AD955" i="14"/>
  <c r="AG953" i="14"/>
  <c r="AD953" i="14"/>
  <c r="AG849" i="14"/>
  <c r="AD849" i="14"/>
  <c r="AG835" i="14"/>
  <c r="AD835" i="14"/>
  <c r="AG833" i="14"/>
  <c r="AD833" i="14"/>
  <c r="AG831" i="14"/>
  <c r="AD831" i="14"/>
  <c r="AG829" i="14"/>
  <c r="AD829" i="14"/>
  <c r="AG761" i="14"/>
  <c r="AD761" i="14"/>
  <c r="AG393" i="14"/>
  <c r="AD393" i="14"/>
  <c r="AG355" i="14"/>
  <c r="AD355" i="14"/>
  <c r="AG163" i="14"/>
  <c r="AD163" i="14"/>
  <c r="AG147" i="14"/>
  <c r="AD147" i="14"/>
  <c r="AG145" i="14"/>
  <c r="AD145" i="14"/>
  <c r="AG101" i="14"/>
  <c r="AD101" i="14"/>
  <c r="AG75" i="14"/>
  <c r="AD75" i="14"/>
  <c r="AG29" i="14"/>
  <c r="AK3" i="14" s="1"/>
  <c r="AH5" i="14" s="1"/>
  <c r="AD29" i="14"/>
  <c r="AD16" i="14"/>
  <c r="AD4" i="14" l="1"/>
  <c r="AD5" i="14" s="1"/>
  <c r="AG14" i="14"/>
  <c r="AD14" i="14"/>
  <c r="AH4" i="14" s="1"/>
  <c r="AH3" i="14" s="1"/>
  <c r="O6" i="12"/>
  <c r="G6" i="12" s="1"/>
  <c r="D9" i="12"/>
  <c r="F9" i="12" s="1"/>
  <c r="J19" i="12" s="1"/>
  <c r="L3" i="40" l="1"/>
  <c r="L4" i="40" s="1"/>
  <c r="C6" i="12" l="1"/>
  <c r="C12" i="12" s="1"/>
  <c r="AI3" i="14" l="1"/>
  <c r="AJ4" i="14" l="1"/>
  <c r="G7" i="12" s="1"/>
  <c r="AJ5" i="14"/>
  <c r="M7" i="12"/>
  <c r="M8" i="12" s="1"/>
  <c r="H20" i="12" l="1"/>
  <c r="M3" i="40"/>
  <c r="M4" i="40" s="1"/>
  <c r="K7" i="12"/>
  <c r="K8" i="12" s="1"/>
  <c r="L7" i="12"/>
  <c r="L8" i="12" s="1"/>
  <c r="I7" i="12"/>
  <c r="I8" i="12" s="1"/>
  <c r="N7" i="12"/>
  <c r="N8" i="12" s="1"/>
  <c r="J7" i="12"/>
  <c r="J8" i="12" s="1"/>
  <c r="H7" i="12"/>
  <c r="H8" i="12" s="1"/>
  <c r="G237" i="19"/>
  <c r="H237" i="19"/>
  <c r="I237" i="19"/>
  <c r="J237" i="19"/>
  <c r="K237" i="19"/>
  <c r="L237" i="19"/>
  <c r="M237" i="19"/>
  <c r="N237" i="19"/>
  <c r="O237" i="19"/>
  <c r="O241" i="19" s="1"/>
  <c r="P237" i="19"/>
  <c r="F237" i="19"/>
  <c r="F241" i="19" s="1"/>
  <c r="P241" i="19"/>
  <c r="N241" i="19"/>
  <c r="M241" i="19"/>
  <c r="L241" i="19"/>
  <c r="K241" i="19"/>
  <c r="J241" i="19"/>
  <c r="I241" i="19"/>
  <c r="H241" i="19"/>
  <c r="G241" i="19"/>
  <c r="P39" i="19"/>
  <c r="G228" i="19"/>
  <c r="H228" i="19"/>
  <c r="I228" i="19"/>
  <c r="J228" i="19"/>
  <c r="K228" i="19"/>
  <c r="L228" i="19"/>
  <c r="M228" i="19"/>
  <c r="N228" i="19"/>
  <c r="O228" i="19"/>
  <c r="P228" i="19"/>
  <c r="F228" i="19"/>
  <c r="G229" i="19"/>
  <c r="H229" i="19"/>
  <c r="I229" i="19"/>
  <c r="J229" i="19"/>
  <c r="K229" i="19"/>
  <c r="L229" i="19"/>
  <c r="M229" i="19"/>
  <c r="N229" i="19"/>
  <c r="O229" i="19"/>
  <c r="P229" i="19"/>
  <c r="F229" i="19"/>
  <c r="G230" i="19"/>
  <c r="H230" i="19"/>
  <c r="I230" i="19"/>
  <c r="J230" i="19"/>
  <c r="K230" i="19"/>
  <c r="L230" i="19"/>
  <c r="M230" i="19"/>
  <c r="N230" i="19"/>
  <c r="O230" i="19"/>
  <c r="P230" i="19"/>
  <c r="F230" i="19"/>
  <c r="G225" i="19"/>
  <c r="H225" i="19"/>
  <c r="I225" i="19"/>
  <c r="J225" i="19"/>
  <c r="K225" i="19"/>
  <c r="L225" i="19"/>
  <c r="M225" i="19"/>
  <c r="N225" i="19"/>
  <c r="O225" i="19"/>
  <c r="P225" i="19"/>
  <c r="G224" i="19"/>
  <c r="H224" i="19"/>
  <c r="I224" i="19"/>
  <c r="J224" i="19"/>
  <c r="K224" i="19"/>
  <c r="L224" i="19"/>
  <c r="M224" i="19"/>
  <c r="N224" i="19"/>
  <c r="O224" i="19"/>
  <c r="P224" i="19"/>
  <c r="G227" i="19"/>
  <c r="H227" i="19"/>
  <c r="I227" i="19"/>
  <c r="J227" i="19"/>
  <c r="K227" i="19"/>
  <c r="L227" i="19"/>
  <c r="M227" i="19"/>
  <c r="N227" i="19"/>
  <c r="O227" i="19"/>
  <c r="P227" i="19"/>
  <c r="G226" i="19"/>
  <c r="H226" i="19"/>
  <c r="I226" i="19"/>
  <c r="J226" i="19"/>
  <c r="K226" i="19"/>
  <c r="L226" i="19"/>
  <c r="M226" i="19"/>
  <c r="N226" i="19"/>
  <c r="O226" i="19"/>
  <c r="P226" i="19"/>
  <c r="F226" i="19"/>
  <c r="F225" i="19"/>
  <c r="E181" i="40" l="1"/>
  <c r="L181" i="40" s="1"/>
  <c r="E179" i="40"/>
  <c r="L179" i="40" s="1"/>
  <c r="E177" i="40"/>
  <c r="L177" i="40" s="1"/>
  <c r="E175" i="40"/>
  <c r="L175" i="40" s="1"/>
  <c r="E173" i="40"/>
  <c r="L173" i="40" s="1"/>
  <c r="E171" i="40"/>
  <c r="L171" i="40" s="1"/>
  <c r="E169" i="40"/>
  <c r="L169" i="40" s="1"/>
  <c r="E167" i="40"/>
  <c r="L167" i="40" s="1"/>
  <c r="E165" i="40"/>
  <c r="L165" i="40" s="1"/>
  <c r="E163" i="40"/>
  <c r="E160" i="40"/>
  <c r="L160" i="40" s="1"/>
  <c r="E158" i="40"/>
  <c r="L158" i="40" s="1"/>
  <c r="E156" i="40"/>
  <c r="L156" i="40" s="1"/>
  <c r="E154" i="40"/>
  <c r="L154" i="40" s="1"/>
  <c r="E151" i="40"/>
  <c r="L151" i="40" s="1"/>
  <c r="E149" i="40"/>
  <c r="L149" i="40" s="1"/>
  <c r="E147" i="40"/>
  <c r="E144" i="40"/>
  <c r="L144" i="40" s="1"/>
  <c r="E142" i="40"/>
  <c r="L142" i="40" s="1"/>
  <c r="E139" i="40"/>
  <c r="L139" i="40" s="1"/>
  <c r="E136" i="40"/>
  <c r="L136" i="40" s="1"/>
  <c r="E134" i="40"/>
  <c r="L134" i="40" s="1"/>
  <c r="E131" i="40"/>
  <c r="L131" i="40" s="1"/>
  <c r="E129" i="40"/>
  <c r="L129" i="40" s="1"/>
  <c r="E127" i="40"/>
  <c r="L127" i="40" s="1"/>
  <c r="E125" i="40"/>
  <c r="L125" i="40" s="1"/>
  <c r="E121" i="40"/>
  <c r="L121" i="40" s="1"/>
  <c r="E119" i="40"/>
  <c r="L119" i="40" s="1"/>
  <c r="E117" i="40"/>
  <c r="L117" i="40" s="1"/>
  <c r="E115" i="40"/>
  <c r="L115" i="40" s="1"/>
  <c r="E112" i="40"/>
  <c r="L112" i="40" s="1"/>
  <c r="E110" i="40"/>
  <c r="L110" i="40" s="1"/>
  <c r="E108" i="40"/>
  <c r="E105" i="40"/>
  <c r="L105" i="40" s="1"/>
  <c r="E103" i="40"/>
  <c r="L103" i="40" s="1"/>
  <c r="E99" i="40"/>
  <c r="E97" i="40"/>
  <c r="L97" i="40" s="1"/>
  <c r="E95" i="40"/>
  <c r="L95" i="40" s="1"/>
  <c r="E93" i="40"/>
  <c r="E90" i="40"/>
  <c r="E88" i="40"/>
  <c r="L88" i="40" s="1"/>
  <c r="E86" i="40"/>
  <c r="E83" i="40"/>
  <c r="L83" i="40" s="1"/>
  <c r="E79" i="40"/>
  <c r="L79" i="40" s="1"/>
  <c r="E77" i="40"/>
  <c r="E73" i="40"/>
  <c r="L73" i="40" s="1"/>
  <c r="E71" i="40"/>
  <c r="L71" i="40" s="1"/>
  <c r="E69" i="40"/>
  <c r="L69" i="40" s="1"/>
  <c r="E67" i="40"/>
  <c r="L67" i="40" s="1"/>
  <c r="E65" i="40"/>
  <c r="E62" i="40"/>
  <c r="L62" i="40" s="1"/>
  <c r="E60" i="40"/>
  <c r="L60" i="40" s="1"/>
  <c r="E58" i="40"/>
  <c r="L58" i="40" s="1"/>
  <c r="E55" i="40"/>
  <c r="L55" i="40" s="1"/>
  <c r="E53" i="40"/>
  <c r="L53" i="40" s="1"/>
  <c r="E50" i="40"/>
  <c r="L50" i="40" s="1"/>
  <c r="E46" i="40"/>
  <c r="L46" i="40" s="1"/>
  <c r="E44" i="40"/>
  <c r="L44" i="40" s="1"/>
  <c r="E42" i="40"/>
  <c r="E39" i="40"/>
  <c r="E35" i="40"/>
  <c r="L35" i="40" s="1"/>
  <c r="E33" i="40"/>
  <c r="E29" i="40"/>
  <c r="E25" i="40"/>
  <c r="L25" i="40" s="1"/>
  <c r="E23" i="40"/>
  <c r="L23" i="40" s="1"/>
  <c r="E21" i="40"/>
  <c r="L21" i="40" s="1"/>
  <c r="E19" i="40"/>
  <c r="L19" i="40" s="1"/>
  <c r="E17" i="40"/>
  <c r="L17" i="40" s="1"/>
  <c r="E15" i="40"/>
  <c r="L15" i="40" s="1"/>
  <c r="E13" i="40"/>
  <c r="E10" i="40"/>
  <c r="E182" i="40"/>
  <c r="L182" i="40" s="1"/>
  <c r="E178" i="40"/>
  <c r="L178" i="40" s="1"/>
  <c r="E174" i="40"/>
  <c r="L174" i="40" s="1"/>
  <c r="E170" i="40"/>
  <c r="L170" i="40" s="1"/>
  <c r="E166" i="40"/>
  <c r="L166" i="40" s="1"/>
  <c r="E161" i="40"/>
  <c r="L161" i="40" s="1"/>
  <c r="E157" i="40"/>
  <c r="L157" i="40" s="1"/>
  <c r="E153" i="40"/>
  <c r="E148" i="40"/>
  <c r="L148" i="40" s="1"/>
  <c r="E143" i="40"/>
  <c r="L143" i="40" s="1"/>
  <c r="E138" i="40"/>
  <c r="E133" i="40"/>
  <c r="E128" i="40"/>
  <c r="L128" i="40" s="1"/>
  <c r="E124" i="40"/>
  <c r="E118" i="40"/>
  <c r="L118" i="40" s="1"/>
  <c r="E114" i="40"/>
  <c r="E109" i="40"/>
  <c r="L109" i="40" s="1"/>
  <c r="E104" i="40"/>
  <c r="L104" i="40" s="1"/>
  <c r="E98" i="40"/>
  <c r="L98" i="40" s="1"/>
  <c r="E94" i="40"/>
  <c r="L94" i="40" s="1"/>
  <c r="E89" i="40"/>
  <c r="E84" i="40"/>
  <c r="E78" i="40"/>
  <c r="L78" i="40" s="1"/>
  <c r="E72" i="40"/>
  <c r="L72" i="40" s="1"/>
  <c r="E68" i="40"/>
  <c r="L68" i="40" s="1"/>
  <c r="E63" i="40"/>
  <c r="L63" i="40" s="1"/>
  <c r="E59" i="40"/>
  <c r="L59" i="40" s="1"/>
  <c r="E54" i="40"/>
  <c r="L54" i="40" s="1"/>
  <c r="E49" i="40"/>
  <c r="E43" i="40"/>
  <c r="L43" i="40" s="1"/>
  <c r="E36" i="40"/>
  <c r="L36" i="40" s="1"/>
  <c r="E30" i="40"/>
  <c r="L30" i="40" s="1"/>
  <c r="E24" i="40"/>
  <c r="L24" i="40" s="1"/>
  <c r="E20" i="40"/>
  <c r="L20" i="40" s="1"/>
  <c r="E16" i="40"/>
  <c r="L16" i="40" s="1"/>
  <c r="E11" i="40"/>
  <c r="L11" i="40" s="1"/>
  <c r="E180" i="40"/>
  <c r="L180" i="40" s="1"/>
  <c r="E176" i="40"/>
  <c r="L176" i="40" s="1"/>
  <c r="E172" i="40"/>
  <c r="L172" i="40" s="1"/>
  <c r="E168" i="40"/>
  <c r="L168" i="40" s="1"/>
  <c r="E164" i="40"/>
  <c r="L164" i="40" s="1"/>
  <c r="E159" i="40"/>
  <c r="L159" i="40" s="1"/>
  <c r="E155" i="40"/>
  <c r="L155" i="40" s="1"/>
  <c r="E150" i="40"/>
  <c r="E145" i="40"/>
  <c r="L145" i="40" s="1"/>
  <c r="E141" i="40"/>
  <c r="E135" i="40"/>
  <c r="L135" i="40" s="1"/>
  <c r="E130" i="40"/>
  <c r="L130" i="40" s="1"/>
  <c r="E126" i="40"/>
  <c r="L126" i="40" s="1"/>
  <c r="E120" i="40"/>
  <c r="E116" i="40"/>
  <c r="L116" i="40" s="1"/>
  <c r="E111" i="40"/>
  <c r="L111" i="40" s="1"/>
  <c r="E106" i="40"/>
  <c r="L106" i="40" s="1"/>
  <c r="E102" i="40"/>
  <c r="E96" i="40"/>
  <c r="L96" i="40" s="1"/>
  <c r="E91" i="40"/>
  <c r="L91" i="40" s="1"/>
  <c r="E87" i="40"/>
  <c r="L87" i="40" s="1"/>
  <c r="E82" i="40"/>
  <c r="E74" i="40"/>
  <c r="L74" i="40" s="1"/>
  <c r="E70" i="40"/>
  <c r="L70" i="40" s="1"/>
  <c r="E66" i="40"/>
  <c r="L66" i="40" s="1"/>
  <c r="E61" i="40"/>
  <c r="L61" i="40" s="1"/>
  <c r="E57" i="40"/>
  <c r="E52" i="40"/>
  <c r="E45" i="40"/>
  <c r="L45" i="40" s="1"/>
  <c r="E40" i="40"/>
  <c r="L40" i="40" s="1"/>
  <c r="E34" i="40"/>
  <c r="L34" i="40" s="1"/>
  <c r="E26" i="40"/>
  <c r="L26" i="40" s="1"/>
  <c r="E22" i="40"/>
  <c r="L22" i="40" s="1"/>
  <c r="E18" i="40"/>
  <c r="L18" i="40" s="1"/>
  <c r="E14" i="40"/>
  <c r="L14" i="40" s="1"/>
  <c r="T43" i="51"/>
  <c r="P38" i="19"/>
  <c r="O8" i="12"/>
  <c r="F231" i="19"/>
  <c r="O7" i="12"/>
  <c r="G8" i="12"/>
  <c r="P231" i="19"/>
  <c r="N231" i="19"/>
  <c r="L231" i="19"/>
  <c r="J231" i="19"/>
  <c r="H231" i="19"/>
  <c r="O231" i="19"/>
  <c r="M231" i="19"/>
  <c r="K231" i="19"/>
  <c r="I231" i="19"/>
  <c r="G231" i="19"/>
  <c r="X231" i="27"/>
  <c r="Y231" i="27" s="1"/>
  <c r="AW230" i="27"/>
  <c r="AT230" i="27"/>
  <c r="AX230" i="27" s="1"/>
  <c r="AG230" i="27"/>
  <c r="AI230" i="27" s="1"/>
  <c r="Z230" i="27"/>
  <c r="Y230" i="27"/>
  <c r="C230" i="27"/>
  <c r="AW229" i="27"/>
  <c r="AT229" i="27"/>
  <c r="AX229" i="27" s="1"/>
  <c r="AM229" i="27"/>
  <c r="AG229" i="27"/>
  <c r="AI229" i="27" s="1"/>
  <c r="Z229" i="27"/>
  <c r="Y229" i="27"/>
  <c r="W229" i="27"/>
  <c r="D229" i="27"/>
  <c r="A229" i="27"/>
  <c r="B229" i="27" s="1"/>
  <c r="AW228" i="27"/>
  <c r="AT228" i="27"/>
  <c r="AG228" i="27"/>
  <c r="AI228" i="27" s="1"/>
  <c r="Z228" i="27"/>
  <c r="Y228" i="27"/>
  <c r="Q228" i="27"/>
  <c r="P228" i="27"/>
  <c r="O228" i="27"/>
  <c r="N228" i="27"/>
  <c r="M228" i="27"/>
  <c r="L228" i="27"/>
  <c r="K228" i="27"/>
  <c r="J228" i="27"/>
  <c r="I228" i="27"/>
  <c r="H228" i="27"/>
  <c r="G228" i="27"/>
  <c r="F228" i="27"/>
  <c r="AW227" i="27"/>
  <c r="AT227" i="27"/>
  <c r="AX227" i="27" s="1"/>
  <c r="AG227" i="27"/>
  <c r="AD227" i="27"/>
  <c r="AC227" i="27"/>
  <c r="AI227" i="27" s="1"/>
  <c r="AB227" i="27"/>
  <c r="AH227" i="27" s="1"/>
  <c r="Z227" i="27"/>
  <c r="Y227" i="27"/>
  <c r="W227" i="27"/>
  <c r="D227" i="27"/>
  <c r="A227" i="27"/>
  <c r="B227" i="27" s="1"/>
  <c r="AW226" i="27"/>
  <c r="AT226" i="27"/>
  <c r="AX226" i="27" s="1"/>
  <c r="AG226" i="27"/>
  <c r="AI226" i="27" s="1"/>
  <c r="Z226" i="27"/>
  <c r="Y226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C226" i="27"/>
  <c r="AW225" i="27"/>
  <c r="AT225" i="27"/>
  <c r="AG225" i="27"/>
  <c r="AD225" i="27"/>
  <c r="AC225" i="27"/>
  <c r="AB225" i="27"/>
  <c r="Z225" i="27"/>
  <c r="Y225" i="27"/>
  <c r="W225" i="27"/>
  <c r="D225" i="27"/>
  <c r="A225" i="27"/>
  <c r="B225" i="27" s="1"/>
  <c r="AW224" i="27"/>
  <c r="AT224" i="27"/>
  <c r="AG224" i="27"/>
  <c r="AJ224" i="27" s="1"/>
  <c r="Z224" i="27"/>
  <c r="Y224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C224" i="27"/>
  <c r="AW223" i="27"/>
  <c r="AT223" i="27"/>
  <c r="AG223" i="27"/>
  <c r="AD223" i="27"/>
  <c r="AC223" i="27"/>
  <c r="AI223" i="27" s="1"/>
  <c r="AB223" i="27"/>
  <c r="Z223" i="27"/>
  <c r="Y223" i="27"/>
  <c r="W223" i="27"/>
  <c r="D223" i="27"/>
  <c r="A223" i="27"/>
  <c r="B223" i="27" s="1"/>
  <c r="AW222" i="27"/>
  <c r="AT222" i="27"/>
  <c r="AX222" i="27" s="1"/>
  <c r="AH222" i="27"/>
  <c r="AG222" i="27"/>
  <c r="AI222" i="27" s="1"/>
  <c r="Z222" i="27"/>
  <c r="Y222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C222" i="27"/>
  <c r="AW221" i="27"/>
  <c r="AT221" i="27"/>
  <c r="AG221" i="27"/>
  <c r="AD221" i="27"/>
  <c r="AC221" i="27"/>
  <c r="AB221" i="27"/>
  <c r="Z221" i="27"/>
  <c r="W221" i="27"/>
  <c r="D221" i="27"/>
  <c r="B221" i="27"/>
  <c r="AR221" i="27" s="1"/>
  <c r="A221" i="27"/>
  <c r="AW220" i="27"/>
  <c r="AT220" i="27"/>
  <c r="AG220" i="27"/>
  <c r="AJ220" i="27" s="1"/>
  <c r="AD220" i="27"/>
  <c r="AC220" i="27"/>
  <c r="AI220" i="27" s="1"/>
  <c r="AB220" i="27"/>
  <c r="Z220" i="27"/>
  <c r="W220" i="27"/>
  <c r="D220" i="27"/>
  <c r="A220" i="27"/>
  <c r="B220" i="27" s="1"/>
  <c r="AR220" i="27" s="1"/>
  <c r="AW219" i="27"/>
  <c r="AT219" i="27"/>
  <c r="AG219" i="27"/>
  <c r="AI219" i="27" s="1"/>
  <c r="Z219" i="27"/>
  <c r="Y219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C219" i="27"/>
  <c r="AW218" i="27"/>
  <c r="AT218" i="27"/>
  <c r="AG218" i="27"/>
  <c r="AJ218" i="27" s="1"/>
  <c r="AD218" i="27"/>
  <c r="AC218" i="27"/>
  <c r="AI218" i="27" s="1"/>
  <c r="AB218" i="27"/>
  <c r="Z218" i="27"/>
  <c r="Y218" i="27"/>
  <c r="W218" i="27"/>
  <c r="D218" i="27"/>
  <c r="B218" i="27"/>
  <c r="A218" i="27"/>
  <c r="AW217" i="27"/>
  <c r="AT217" i="27"/>
  <c r="AG217" i="27"/>
  <c r="AI217" i="27" s="1"/>
  <c r="Z217" i="27"/>
  <c r="Y217" i="27"/>
  <c r="Q217" i="27"/>
  <c r="P217" i="27"/>
  <c r="O217" i="27"/>
  <c r="N217" i="27"/>
  <c r="M217" i="27"/>
  <c r="L217" i="27"/>
  <c r="K217" i="27"/>
  <c r="J217" i="27"/>
  <c r="I217" i="27"/>
  <c r="H217" i="27"/>
  <c r="G217" i="27"/>
  <c r="F217" i="27"/>
  <c r="C217" i="27"/>
  <c r="AW216" i="27"/>
  <c r="AT216" i="27"/>
  <c r="AG216" i="27"/>
  <c r="AD216" i="27"/>
  <c r="AC216" i="27"/>
  <c r="AB216" i="27"/>
  <c r="Z216" i="27"/>
  <c r="Y216" i="27"/>
  <c r="W216" i="27"/>
  <c r="D216" i="27"/>
  <c r="A216" i="27"/>
  <c r="B216" i="27" s="1"/>
  <c r="AW215" i="27"/>
  <c r="AT215" i="27"/>
  <c r="AG215" i="27"/>
  <c r="AD215" i="27"/>
  <c r="AC215" i="27"/>
  <c r="AI215" i="27" s="1"/>
  <c r="AB215" i="27"/>
  <c r="Z215" i="27"/>
  <c r="W215" i="27"/>
  <c r="D215" i="27"/>
  <c r="A215" i="27"/>
  <c r="B215" i="27" s="1"/>
  <c r="AR215" i="27" s="1"/>
  <c r="AZ214" i="27"/>
  <c r="AW214" i="27"/>
  <c r="AT214" i="27"/>
  <c r="AI214" i="27"/>
  <c r="AG214" i="27"/>
  <c r="AD214" i="27"/>
  <c r="AJ214" i="27" s="1"/>
  <c r="AC214" i="27"/>
  <c r="W214" i="27"/>
  <c r="Z214" i="27" s="1"/>
  <c r="O214" i="27"/>
  <c r="AB214" i="27" s="1"/>
  <c r="D214" i="27"/>
  <c r="A214" i="27"/>
  <c r="AW213" i="27"/>
  <c r="AT213" i="27"/>
  <c r="AX213" i="27" s="1"/>
  <c r="AG213" i="27"/>
  <c r="AI213" i="27" s="1"/>
  <c r="Z213" i="27"/>
  <c r="Y213" i="27"/>
  <c r="Q213" i="27"/>
  <c r="P213" i="27"/>
  <c r="O213" i="27"/>
  <c r="N213" i="27"/>
  <c r="M213" i="27"/>
  <c r="L213" i="27"/>
  <c r="K213" i="27"/>
  <c r="J213" i="27"/>
  <c r="I213" i="27"/>
  <c r="H213" i="27"/>
  <c r="G213" i="27"/>
  <c r="F213" i="27"/>
  <c r="C213" i="27"/>
  <c r="AW212" i="27"/>
  <c r="AT212" i="27"/>
  <c r="AX212" i="27" s="1"/>
  <c r="AG212" i="27"/>
  <c r="AD212" i="27"/>
  <c r="AC212" i="27"/>
  <c r="AI212" i="27" s="1"/>
  <c r="AB212" i="27"/>
  <c r="AH212" i="27" s="1"/>
  <c r="Z212" i="27"/>
  <c r="W212" i="27"/>
  <c r="D212" i="27"/>
  <c r="A212" i="27"/>
  <c r="B212" i="27" s="1"/>
  <c r="AR212" i="27" s="1"/>
  <c r="AW211" i="27"/>
  <c r="AT211" i="27"/>
  <c r="AG211" i="27"/>
  <c r="AD211" i="27"/>
  <c r="AC211" i="27"/>
  <c r="AI211" i="27" s="1"/>
  <c r="AB211" i="27"/>
  <c r="Z211" i="27"/>
  <c r="W211" i="27"/>
  <c r="D211" i="27"/>
  <c r="A211" i="27"/>
  <c r="B211" i="27" s="1"/>
  <c r="AR211" i="27" s="1"/>
  <c r="AW210" i="27"/>
  <c r="AT210" i="27"/>
  <c r="AX210" i="27" s="1"/>
  <c r="AG210" i="27"/>
  <c r="AD210" i="27"/>
  <c r="AJ210" i="27" s="1"/>
  <c r="AC210" i="27"/>
  <c r="AI210" i="27" s="1"/>
  <c r="AB210" i="27"/>
  <c r="AH210" i="27" s="1"/>
  <c r="Z210" i="27"/>
  <c r="W210" i="27"/>
  <c r="D210" i="27"/>
  <c r="A210" i="27"/>
  <c r="B210" i="27" s="1"/>
  <c r="AR210" i="27" s="1"/>
  <c r="AZ209" i="27"/>
  <c r="AT209" i="27"/>
  <c r="AU209" i="27" s="1"/>
  <c r="AG209" i="27"/>
  <c r="AB209" i="27"/>
  <c r="AH209" i="27" s="1"/>
  <c r="W209" i="27"/>
  <c r="Z209" i="27" s="1"/>
  <c r="P209" i="27"/>
  <c r="S614" i="51" s="1"/>
  <c r="K209" i="27"/>
  <c r="AD209" i="27" s="1"/>
  <c r="I209" i="27"/>
  <c r="AC209" i="27" s="1"/>
  <c r="D209" i="27"/>
  <c r="A209" i="27"/>
  <c r="B209" i="27" s="1"/>
  <c r="AR209" i="27" s="1"/>
  <c r="AW208" i="27"/>
  <c r="AT208" i="27"/>
  <c r="AX208" i="27" s="1"/>
  <c r="AG208" i="27"/>
  <c r="AI208" i="27" s="1"/>
  <c r="Z208" i="27"/>
  <c r="Y208" i="27"/>
  <c r="Q208" i="27"/>
  <c r="O208" i="27"/>
  <c r="O207" i="27" s="1"/>
  <c r="O206" i="27" s="1"/>
  <c r="O230" i="27" s="1"/>
  <c r="N208" i="27"/>
  <c r="M208" i="27"/>
  <c r="M207" i="27" s="1"/>
  <c r="M206" i="27" s="1"/>
  <c r="M230" i="27" s="1"/>
  <c r="L208" i="27"/>
  <c r="L207" i="27" s="1"/>
  <c r="L206" i="27" s="1"/>
  <c r="L230" i="27" s="1"/>
  <c r="K208" i="27"/>
  <c r="K207" i="27" s="1"/>
  <c r="K206" i="27" s="1"/>
  <c r="K230" i="27" s="1"/>
  <c r="J208" i="27"/>
  <c r="I208" i="27"/>
  <c r="I207" i="27" s="1"/>
  <c r="I206" i="27" s="1"/>
  <c r="I230" i="27" s="1"/>
  <c r="H208" i="27"/>
  <c r="H207" i="27" s="1"/>
  <c r="H206" i="27" s="1"/>
  <c r="H230" i="27" s="1"/>
  <c r="G208" i="27"/>
  <c r="G207" i="27" s="1"/>
  <c r="G206" i="27" s="1"/>
  <c r="G230" i="27" s="1"/>
  <c r="F208" i="27"/>
  <c r="C208" i="27"/>
  <c r="AW207" i="27"/>
  <c r="AT207" i="27"/>
  <c r="AG207" i="27"/>
  <c r="AI207" i="27" s="1"/>
  <c r="Z207" i="27"/>
  <c r="Y207" i="27"/>
  <c r="N207" i="27"/>
  <c r="N206" i="27" s="1"/>
  <c r="N230" i="27" s="1"/>
  <c r="J207" i="27"/>
  <c r="J206" i="27" s="1"/>
  <c r="J230" i="27" s="1"/>
  <c r="F207" i="27"/>
  <c r="F206" i="27" s="1"/>
  <c r="F230" i="27" s="1"/>
  <c r="C207" i="27"/>
  <c r="AW206" i="27"/>
  <c r="AT206" i="27"/>
  <c r="AX206" i="27" s="1"/>
  <c r="AG206" i="27"/>
  <c r="AI206" i="27" s="1"/>
  <c r="Z206" i="27"/>
  <c r="Y206" i="27"/>
  <c r="AW205" i="27"/>
  <c r="AT205" i="27"/>
  <c r="AG205" i="27"/>
  <c r="AI205" i="27" s="1"/>
  <c r="Z205" i="27"/>
  <c r="Y205" i="27"/>
  <c r="W205" i="27"/>
  <c r="C205" i="27"/>
  <c r="AW204" i="27"/>
  <c r="AT204" i="27"/>
  <c r="AM204" i="27"/>
  <c r="AI204" i="27"/>
  <c r="AG204" i="27"/>
  <c r="Z204" i="27"/>
  <c r="Y204" i="27"/>
  <c r="W204" i="27"/>
  <c r="D204" i="27"/>
  <c r="A204" i="27"/>
  <c r="B204" i="27" s="1"/>
  <c r="AW203" i="27"/>
  <c r="AT203" i="27"/>
  <c r="AX203" i="27" s="1"/>
  <c r="AG203" i="27"/>
  <c r="AI203" i="27" s="1"/>
  <c r="Z203" i="27"/>
  <c r="Y203" i="27"/>
  <c r="Q203" i="27"/>
  <c r="P203" i="27"/>
  <c r="O203" i="27"/>
  <c r="N203" i="27"/>
  <c r="M203" i="27"/>
  <c r="L203" i="27"/>
  <c r="K203" i="27"/>
  <c r="J203" i="27"/>
  <c r="I203" i="27"/>
  <c r="H203" i="27"/>
  <c r="G203" i="27"/>
  <c r="F203" i="27"/>
  <c r="AW202" i="27"/>
  <c r="AT202" i="27"/>
  <c r="AG202" i="27"/>
  <c r="AD202" i="27"/>
  <c r="AC202" i="27"/>
  <c r="AB202" i="27"/>
  <c r="Z202" i="27"/>
  <c r="Y202" i="27"/>
  <c r="W202" i="27"/>
  <c r="D202" i="27"/>
  <c r="AW201" i="27"/>
  <c r="AT201" i="27"/>
  <c r="AG201" i="27"/>
  <c r="AI201" i="27" s="1"/>
  <c r="Z201" i="27"/>
  <c r="Y201" i="27"/>
  <c r="Q201" i="27"/>
  <c r="P201" i="27"/>
  <c r="O201" i="27"/>
  <c r="N201" i="27"/>
  <c r="M201" i="27"/>
  <c r="L201" i="27"/>
  <c r="K201" i="27"/>
  <c r="J201" i="27"/>
  <c r="I201" i="27"/>
  <c r="H201" i="27"/>
  <c r="G201" i="27"/>
  <c r="F201" i="27"/>
  <c r="C201" i="27"/>
  <c r="AW200" i="27"/>
  <c r="AT200" i="27"/>
  <c r="AG200" i="27"/>
  <c r="AI200" i="27" s="1"/>
  <c r="Z200" i="27"/>
  <c r="Y200" i="27"/>
  <c r="Q200" i="27"/>
  <c r="P200" i="27"/>
  <c r="O200" i="27"/>
  <c r="N200" i="27"/>
  <c r="M200" i="27"/>
  <c r="L200" i="27"/>
  <c r="K200" i="27"/>
  <c r="J200" i="27"/>
  <c r="I200" i="27"/>
  <c r="H200" i="27"/>
  <c r="G200" i="27"/>
  <c r="F200" i="27"/>
  <c r="C200" i="27"/>
  <c r="AW199" i="27"/>
  <c r="AT199" i="27"/>
  <c r="AI199" i="27"/>
  <c r="AG199" i="27"/>
  <c r="AD199" i="27"/>
  <c r="AJ199" i="27" s="1"/>
  <c r="AC199" i="27"/>
  <c r="AB199" i="27"/>
  <c r="Z199" i="27"/>
  <c r="Y199" i="27"/>
  <c r="W199" i="27"/>
  <c r="D199" i="27"/>
  <c r="A199" i="27"/>
  <c r="B199" i="27" s="1"/>
  <c r="AW198" i="27"/>
  <c r="AT198" i="27"/>
  <c r="AG198" i="27"/>
  <c r="AI198" i="27" s="1"/>
  <c r="Z198" i="27"/>
  <c r="Y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C198" i="27"/>
  <c r="AW197" i="27"/>
  <c r="AT197" i="27"/>
  <c r="AG197" i="27"/>
  <c r="AJ197" i="27" s="1"/>
  <c r="AD197" i="27"/>
  <c r="AC197" i="27"/>
  <c r="AI197" i="27" s="1"/>
  <c r="AB197" i="27"/>
  <c r="Z197" i="27"/>
  <c r="Y197" i="27"/>
  <c r="W197" i="27"/>
  <c r="D197" i="27"/>
  <c r="B197" i="27"/>
  <c r="A197" i="27"/>
  <c r="AW196" i="27"/>
  <c r="AT196" i="27"/>
  <c r="AG196" i="27"/>
  <c r="AI196" i="27" s="1"/>
  <c r="Z196" i="27"/>
  <c r="Y196" i="27"/>
  <c r="Q196" i="27"/>
  <c r="P196" i="27"/>
  <c r="AM196" i="27" s="1"/>
  <c r="O196" i="27"/>
  <c r="N196" i="27"/>
  <c r="M196" i="27"/>
  <c r="L196" i="27"/>
  <c r="K196" i="27"/>
  <c r="J196" i="27"/>
  <c r="I196" i="27"/>
  <c r="H196" i="27"/>
  <c r="G196" i="27"/>
  <c r="F196" i="27"/>
  <c r="C196" i="27"/>
  <c r="AW195" i="27"/>
  <c r="AT195" i="27"/>
  <c r="AG195" i="27"/>
  <c r="AJ195" i="27" s="1"/>
  <c r="AD195" i="27"/>
  <c r="AC195" i="27"/>
  <c r="AE195" i="27" s="1"/>
  <c r="AM195" i="27" s="1"/>
  <c r="AB195" i="27"/>
  <c r="Z195" i="27"/>
  <c r="Y195" i="27"/>
  <c r="W195" i="27"/>
  <c r="D195" i="27"/>
  <c r="B195" i="27"/>
  <c r="A195" i="27"/>
  <c r="AZ194" i="27"/>
  <c r="AW194" i="27"/>
  <c r="AX194" i="27" s="1"/>
  <c r="AG194" i="27"/>
  <c r="AJ194" i="27" s="1"/>
  <c r="AD194" i="27"/>
  <c r="AC194" i="27"/>
  <c r="AI194" i="27" s="1"/>
  <c r="AB194" i="27"/>
  <c r="Z194" i="27"/>
  <c r="W194" i="27"/>
  <c r="D194" i="27"/>
  <c r="A194" i="27"/>
  <c r="AZ193" i="27"/>
  <c r="AW193" i="27"/>
  <c r="AT193" i="27"/>
  <c r="AG193" i="27"/>
  <c r="AD193" i="27"/>
  <c r="AC193" i="27"/>
  <c r="AI193" i="27" s="1"/>
  <c r="AB193" i="27"/>
  <c r="W193" i="27"/>
  <c r="Z193" i="27" s="1"/>
  <c r="D193" i="27"/>
  <c r="A193" i="27"/>
  <c r="AW192" i="27"/>
  <c r="AT192" i="27"/>
  <c r="AX192" i="27" s="1"/>
  <c r="AG192" i="27"/>
  <c r="AI192" i="27" s="1"/>
  <c r="Z192" i="27"/>
  <c r="Y192" i="27"/>
  <c r="Q192" i="27"/>
  <c r="I617" i="51" s="1"/>
  <c r="P192" i="27"/>
  <c r="S617" i="51" s="1"/>
  <c r="O192" i="27"/>
  <c r="N192" i="27"/>
  <c r="M192" i="27"/>
  <c r="L192" i="27"/>
  <c r="K192" i="27"/>
  <c r="J192" i="27"/>
  <c r="I192" i="27"/>
  <c r="H192" i="27"/>
  <c r="F192" i="27"/>
  <c r="C192" i="27"/>
  <c r="AW191" i="27"/>
  <c r="AT191" i="27"/>
  <c r="AG191" i="27"/>
  <c r="AJ191" i="27" s="1"/>
  <c r="AD191" i="27"/>
  <c r="AC191" i="27"/>
  <c r="AI191" i="27" s="1"/>
  <c r="AB191" i="27"/>
  <c r="Z191" i="27"/>
  <c r="Y191" i="27"/>
  <c r="W191" i="27"/>
  <c r="D191" i="27"/>
  <c r="B191" i="27"/>
  <c r="A191" i="27"/>
  <c r="AW190" i="27"/>
  <c r="AT190" i="27"/>
  <c r="AG190" i="27"/>
  <c r="AI190" i="27" s="1"/>
  <c r="Z190" i="27"/>
  <c r="Y190" i="27"/>
  <c r="Q190" i="27"/>
  <c r="P190" i="27"/>
  <c r="AM190" i="27" s="1"/>
  <c r="O190" i="27"/>
  <c r="N190" i="27"/>
  <c r="M190" i="27"/>
  <c r="L190" i="27"/>
  <c r="K190" i="27"/>
  <c r="J190" i="27"/>
  <c r="J185" i="27" s="1"/>
  <c r="J184" i="27" s="1"/>
  <c r="J205" i="27" s="1"/>
  <c r="I190" i="27"/>
  <c r="H190" i="27"/>
  <c r="G190" i="27"/>
  <c r="F190" i="27"/>
  <c r="C190" i="27"/>
  <c r="AW189" i="27"/>
  <c r="AT189" i="27"/>
  <c r="AG189" i="27"/>
  <c r="AD189" i="27"/>
  <c r="AC189" i="27"/>
  <c r="AI189" i="27" s="1"/>
  <c r="AB189" i="27"/>
  <c r="Z189" i="27"/>
  <c r="Y189" i="27"/>
  <c r="W189" i="27"/>
  <c r="D189" i="27"/>
  <c r="A189" i="27"/>
  <c r="B189" i="27" s="1"/>
  <c r="AW188" i="27"/>
  <c r="AT188" i="27"/>
  <c r="AG188" i="27"/>
  <c r="Z188" i="27"/>
  <c r="Y188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C188" i="27"/>
  <c r="AW187" i="27"/>
  <c r="AT187" i="27"/>
  <c r="AX187" i="27" s="1"/>
  <c r="AG187" i="27"/>
  <c r="AD187" i="27"/>
  <c r="AJ187" i="27" s="1"/>
  <c r="AC187" i="27"/>
  <c r="AI187" i="27" s="1"/>
  <c r="AB187" i="27"/>
  <c r="AH187" i="27" s="1"/>
  <c r="Z187" i="27"/>
  <c r="W187" i="27"/>
  <c r="D187" i="27"/>
  <c r="A187" i="27"/>
  <c r="B187" i="27" s="1"/>
  <c r="AW186" i="27"/>
  <c r="AT186" i="27"/>
  <c r="AX186" i="27" s="1"/>
  <c r="AG186" i="27"/>
  <c r="AI186" i="27" s="1"/>
  <c r="Z186" i="27"/>
  <c r="Y186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C186" i="27"/>
  <c r="AW185" i="27"/>
  <c r="AT185" i="27"/>
  <c r="AG185" i="27"/>
  <c r="AJ185" i="27" s="1"/>
  <c r="Z185" i="27"/>
  <c r="Y185" i="27"/>
  <c r="N185" i="27"/>
  <c r="N184" i="27" s="1"/>
  <c r="N205" i="27" s="1"/>
  <c r="F185" i="27"/>
  <c r="F184" i="27" s="1"/>
  <c r="F205" i="27" s="1"/>
  <c r="C185" i="27"/>
  <c r="AW184" i="27"/>
  <c r="AT184" i="27"/>
  <c r="AH184" i="27"/>
  <c r="AG184" i="27"/>
  <c r="AI184" i="27" s="1"/>
  <c r="Z184" i="27"/>
  <c r="Y184" i="27"/>
  <c r="AW183" i="27"/>
  <c r="AT183" i="27"/>
  <c r="AG183" i="27"/>
  <c r="AJ183" i="27" s="1"/>
  <c r="Z183" i="27"/>
  <c r="Y183" i="27"/>
  <c r="AW182" i="27"/>
  <c r="AT182" i="27"/>
  <c r="AG182" i="27"/>
  <c r="AI182" i="27" s="1"/>
  <c r="Z182" i="27"/>
  <c r="Y182" i="27"/>
  <c r="AW181" i="27"/>
  <c r="AT181" i="27"/>
  <c r="AX181" i="27" s="1"/>
  <c r="AG181" i="27"/>
  <c r="AJ181" i="27" s="1"/>
  <c r="Z181" i="27"/>
  <c r="Y181" i="27"/>
  <c r="AW180" i="27"/>
  <c r="AT180" i="27"/>
  <c r="AG180" i="27"/>
  <c r="AJ180" i="27" s="1"/>
  <c r="Z180" i="27"/>
  <c r="Y180" i="27"/>
  <c r="AW179" i="27"/>
  <c r="AT179" i="27"/>
  <c r="AX179" i="27" s="1"/>
  <c r="AG179" i="27"/>
  <c r="AJ179" i="27" s="1"/>
  <c r="Z179" i="27"/>
  <c r="Y179" i="27"/>
  <c r="AW178" i="27"/>
  <c r="AT178" i="27"/>
  <c r="AG178" i="27"/>
  <c r="AJ178" i="27" s="1"/>
  <c r="Z178" i="27"/>
  <c r="Y178" i="27"/>
  <c r="AW177" i="27"/>
  <c r="AT177" i="27"/>
  <c r="AX177" i="27" s="1"/>
  <c r="AG177" i="27"/>
  <c r="AJ177" i="27" s="1"/>
  <c r="Z177" i="27"/>
  <c r="Y177" i="27"/>
  <c r="AW176" i="27"/>
  <c r="AT176" i="27"/>
  <c r="AG176" i="27"/>
  <c r="AJ176" i="27" s="1"/>
  <c r="Z176" i="27"/>
  <c r="Y176" i="27"/>
  <c r="C176" i="27"/>
  <c r="AW175" i="27"/>
  <c r="AT175" i="27"/>
  <c r="AH175" i="27"/>
  <c r="AG175" i="27"/>
  <c r="AI175" i="27" s="1"/>
  <c r="Z175" i="27"/>
  <c r="Y175" i="27"/>
  <c r="C175" i="27"/>
  <c r="B175" i="27"/>
  <c r="B247" i="27" s="1"/>
  <c r="C247" i="27" s="1"/>
  <c r="AG174" i="27"/>
  <c r="AD174" i="27"/>
  <c r="AC174" i="27"/>
  <c r="AB174" i="27"/>
  <c r="Z174" i="27"/>
  <c r="Y174" i="27"/>
  <c r="D174" i="27"/>
  <c r="BC172" i="27"/>
  <c r="BD172" i="27" s="1"/>
  <c r="P172" i="27"/>
  <c r="O172" i="27"/>
  <c r="N172" i="27"/>
  <c r="M172" i="27"/>
  <c r="L172" i="27"/>
  <c r="K172" i="27"/>
  <c r="J172" i="27"/>
  <c r="I172" i="27"/>
  <c r="H172" i="27"/>
  <c r="G172" i="27"/>
  <c r="F172" i="27"/>
  <c r="C172" i="27"/>
  <c r="BC169" i="27"/>
  <c r="BD169" i="27" s="1"/>
  <c r="P169" i="27"/>
  <c r="O169" i="27"/>
  <c r="O165" i="27" s="1"/>
  <c r="O175" i="27" s="1"/>
  <c r="N169" i="27"/>
  <c r="M169" i="27"/>
  <c r="M165" i="27" s="1"/>
  <c r="M175" i="27" s="1"/>
  <c r="L169" i="27"/>
  <c r="K169" i="27"/>
  <c r="K165" i="27" s="1"/>
  <c r="K175" i="27" s="1"/>
  <c r="J169" i="27"/>
  <c r="I169" i="27"/>
  <c r="I165" i="27" s="1"/>
  <c r="I175" i="27" s="1"/>
  <c r="H169" i="27"/>
  <c r="G169" i="27"/>
  <c r="G165" i="27" s="1"/>
  <c r="G175" i="27" s="1"/>
  <c r="F169" i="27"/>
  <c r="C169" i="27"/>
  <c r="BC166" i="27"/>
  <c r="BD166" i="27" s="1"/>
  <c r="P166" i="27"/>
  <c r="O166" i="27"/>
  <c r="N166" i="27"/>
  <c r="M166" i="27"/>
  <c r="L166" i="27"/>
  <c r="K166" i="27"/>
  <c r="J166" i="27"/>
  <c r="I166" i="27"/>
  <c r="H166" i="27"/>
  <c r="G166" i="27"/>
  <c r="F166" i="27"/>
  <c r="C166" i="27"/>
  <c r="P165" i="27"/>
  <c r="P175" i="27" s="1"/>
  <c r="N165" i="27"/>
  <c r="N175" i="27" s="1"/>
  <c r="L165" i="27"/>
  <c r="L175" i="27" s="1"/>
  <c r="J165" i="27"/>
  <c r="J175" i="27" s="1"/>
  <c r="H165" i="27"/>
  <c r="H175" i="27" s="1"/>
  <c r="F165" i="27"/>
  <c r="F175" i="27" s="1"/>
  <c r="C165" i="27"/>
  <c r="BC164" i="27"/>
  <c r="AW164" i="27"/>
  <c r="AT164" i="27"/>
  <c r="AG164" i="27"/>
  <c r="AJ164" i="27" s="1"/>
  <c r="Z164" i="27"/>
  <c r="Y164" i="27"/>
  <c r="N164" i="27"/>
  <c r="J164" i="27"/>
  <c r="F164" i="27"/>
  <c r="AW163" i="27"/>
  <c r="AT163" i="27"/>
  <c r="AX163" i="27" s="1"/>
  <c r="AG163" i="27"/>
  <c r="AJ163" i="27" s="1"/>
  <c r="Z163" i="27"/>
  <c r="Y163" i="27"/>
  <c r="C163" i="27"/>
  <c r="B163" i="27"/>
  <c r="B246" i="27" s="1"/>
  <c r="C246" i="27" s="1"/>
  <c r="AW162" i="27"/>
  <c r="AT162" i="27"/>
  <c r="AR162" i="27"/>
  <c r="AG162" i="27"/>
  <c r="AD162" i="27"/>
  <c r="AJ162" i="27" s="1"/>
  <c r="AC162" i="27"/>
  <c r="AI162" i="27" s="1"/>
  <c r="AB162" i="27"/>
  <c r="AH162" i="27" s="1"/>
  <c r="AK162" i="27" s="1"/>
  <c r="Z162" i="27"/>
  <c r="Y162" i="27"/>
  <c r="D162" i="27"/>
  <c r="AW161" i="27"/>
  <c r="AT161" i="27"/>
  <c r="AG161" i="27"/>
  <c r="AI161" i="27" s="1"/>
  <c r="Z161" i="27"/>
  <c r="Y161" i="27"/>
  <c r="T161" i="27"/>
  <c r="P161" i="27"/>
  <c r="P163" i="27" s="1"/>
  <c r="O161" i="27"/>
  <c r="O163" i="27" s="1"/>
  <c r="N161" i="27"/>
  <c r="N163" i="27" s="1"/>
  <c r="N176" i="27" s="1"/>
  <c r="M161" i="27"/>
  <c r="M163" i="27" s="1"/>
  <c r="L161" i="27"/>
  <c r="L163" i="27" s="1"/>
  <c r="L176" i="27" s="1"/>
  <c r="K161" i="27"/>
  <c r="K163" i="27" s="1"/>
  <c r="J161" i="27"/>
  <c r="J163" i="27" s="1"/>
  <c r="J176" i="27" s="1"/>
  <c r="I161" i="27"/>
  <c r="I163" i="27" s="1"/>
  <c r="H161" i="27"/>
  <c r="H163" i="27" s="1"/>
  <c r="H176" i="27" s="1"/>
  <c r="G161" i="27"/>
  <c r="G163" i="27" s="1"/>
  <c r="F161" i="27"/>
  <c r="F163" i="27" s="1"/>
  <c r="F176" i="27" s="1"/>
  <c r="C161" i="27"/>
  <c r="BC160" i="27"/>
  <c r="AW160" i="27"/>
  <c r="AT160" i="27"/>
  <c r="AX160" i="27" s="1"/>
  <c r="AG160" i="27"/>
  <c r="AJ160" i="27" s="1"/>
  <c r="Z160" i="27"/>
  <c r="Y160" i="27"/>
  <c r="P160" i="27"/>
  <c r="AU160" i="27" s="1"/>
  <c r="O160" i="27"/>
  <c r="N160" i="27"/>
  <c r="M160" i="27"/>
  <c r="L160" i="27"/>
  <c r="K160" i="27"/>
  <c r="J160" i="27"/>
  <c r="I160" i="27"/>
  <c r="H160" i="27"/>
  <c r="G160" i="27"/>
  <c r="F160" i="27"/>
  <c r="AW159" i="27"/>
  <c r="AT159" i="27"/>
  <c r="AX159" i="27" s="1"/>
  <c r="AG159" i="27"/>
  <c r="AJ159" i="27" s="1"/>
  <c r="Z159" i="27"/>
  <c r="Y159" i="27"/>
  <c r="AW158" i="27"/>
  <c r="AT158" i="27"/>
  <c r="AG158" i="27"/>
  <c r="AJ158" i="27" s="1"/>
  <c r="Z158" i="27"/>
  <c r="Y158" i="27"/>
  <c r="C158" i="27"/>
  <c r="AW157" i="27"/>
  <c r="AT157" i="27"/>
  <c r="AG157" i="27"/>
  <c r="AI157" i="27" s="1"/>
  <c r="Z157" i="27"/>
  <c r="Y157" i="27"/>
  <c r="C157" i="27"/>
  <c r="AW156" i="27"/>
  <c r="AT156" i="27"/>
  <c r="AG156" i="27"/>
  <c r="AD156" i="27"/>
  <c r="AC156" i="27"/>
  <c r="AB156" i="27"/>
  <c r="Z156" i="27"/>
  <c r="Y156" i="27"/>
  <c r="D156" i="27"/>
  <c r="A156" i="27"/>
  <c r="B156" i="27" s="1"/>
  <c r="AR156" i="27" s="1"/>
  <c r="AW155" i="27"/>
  <c r="AT155" i="27"/>
  <c r="AG155" i="27"/>
  <c r="AD155" i="27"/>
  <c r="AC155" i="27"/>
  <c r="AI155" i="27" s="1"/>
  <c r="AB155" i="27"/>
  <c r="Z155" i="27"/>
  <c r="Y155" i="27"/>
  <c r="D155" i="27"/>
  <c r="A155" i="27"/>
  <c r="B155" i="27" s="1"/>
  <c r="BC154" i="27"/>
  <c r="BD154" i="27" s="1"/>
  <c r="P154" i="27"/>
  <c r="O154" i="27"/>
  <c r="N154" i="27"/>
  <c r="M154" i="27"/>
  <c r="L154" i="27"/>
  <c r="K154" i="27"/>
  <c r="J154" i="27"/>
  <c r="I154" i="27"/>
  <c r="H154" i="27"/>
  <c r="G154" i="27"/>
  <c r="F154" i="27"/>
  <c r="C154" i="27"/>
  <c r="BC151" i="27"/>
  <c r="BD151" i="27" s="1"/>
  <c r="P151" i="27"/>
  <c r="P147" i="27" s="1"/>
  <c r="O151" i="27"/>
  <c r="N151" i="27"/>
  <c r="M151" i="27"/>
  <c r="L151" i="27"/>
  <c r="L147" i="27" s="1"/>
  <c r="K151" i="27"/>
  <c r="J151" i="27"/>
  <c r="I151" i="27"/>
  <c r="H151" i="27"/>
  <c r="H147" i="27" s="1"/>
  <c r="G151" i="27"/>
  <c r="F151" i="27"/>
  <c r="C151" i="27"/>
  <c r="BC148" i="27"/>
  <c r="BD148" i="27" s="1"/>
  <c r="P148" i="27"/>
  <c r="O148" i="27"/>
  <c r="N148" i="27"/>
  <c r="M148" i="27"/>
  <c r="L148" i="27"/>
  <c r="K148" i="27"/>
  <c r="J148" i="27"/>
  <c r="I148" i="27"/>
  <c r="H148" i="27"/>
  <c r="G148" i="27"/>
  <c r="F148" i="27"/>
  <c r="C148" i="27"/>
  <c r="N147" i="27"/>
  <c r="J147" i="27"/>
  <c r="F147" i="27"/>
  <c r="C147" i="27"/>
  <c r="BC144" i="27"/>
  <c r="BD144" i="27" s="1"/>
  <c r="P144" i="27"/>
  <c r="O144" i="27"/>
  <c r="N144" i="27"/>
  <c r="M144" i="27"/>
  <c r="L144" i="27"/>
  <c r="K144" i="27"/>
  <c r="J144" i="27"/>
  <c r="I144" i="27"/>
  <c r="H144" i="27"/>
  <c r="G144" i="27"/>
  <c r="F144" i="27"/>
  <c r="C144" i="27"/>
  <c r="BC141" i="27"/>
  <c r="BD141" i="27" s="1"/>
  <c r="P141" i="27"/>
  <c r="P137" i="27" s="1"/>
  <c r="O141" i="27"/>
  <c r="N141" i="27"/>
  <c r="N137" i="27" s="1"/>
  <c r="M141" i="27"/>
  <c r="L141" i="27"/>
  <c r="L137" i="27" s="1"/>
  <c r="K141" i="27"/>
  <c r="J141" i="27"/>
  <c r="J137" i="27" s="1"/>
  <c r="I141" i="27"/>
  <c r="H141" i="27"/>
  <c r="H137" i="27" s="1"/>
  <c r="G141" i="27"/>
  <c r="F141" i="27"/>
  <c r="F137" i="27" s="1"/>
  <c r="C141" i="27"/>
  <c r="BC138" i="27"/>
  <c r="BD138" i="27" s="1"/>
  <c r="P138" i="27"/>
  <c r="O138" i="27"/>
  <c r="O137" i="27" s="1"/>
  <c r="N138" i="27"/>
  <c r="M138" i="27"/>
  <c r="L138" i="27"/>
  <c r="K138" i="27"/>
  <c r="K137" i="27" s="1"/>
  <c r="J138" i="27"/>
  <c r="I138" i="27"/>
  <c r="H138" i="27"/>
  <c r="G138" i="27"/>
  <c r="G137" i="27" s="1"/>
  <c r="F138" i="27"/>
  <c r="C138" i="27"/>
  <c r="M137" i="27"/>
  <c r="I137" i="27"/>
  <c r="C137" i="27"/>
  <c r="BC136" i="27"/>
  <c r="AW136" i="27"/>
  <c r="AT136" i="27"/>
  <c r="AG136" i="27"/>
  <c r="AJ136" i="27" s="1"/>
  <c r="Z136" i="27"/>
  <c r="Y136" i="27"/>
  <c r="AW135" i="27"/>
  <c r="AT135" i="27"/>
  <c r="AX135" i="27" s="1"/>
  <c r="AG135" i="27"/>
  <c r="AI135" i="27" s="1"/>
  <c r="Z135" i="27"/>
  <c r="Y135" i="27"/>
  <c r="C135" i="27"/>
  <c r="BC132" i="27"/>
  <c r="BD132" i="27" s="1"/>
  <c r="P132" i="27"/>
  <c r="O132" i="27"/>
  <c r="N132" i="27"/>
  <c r="M132" i="27"/>
  <c r="L132" i="27"/>
  <c r="K132" i="27"/>
  <c r="J132" i="27"/>
  <c r="I132" i="27"/>
  <c r="H132" i="27"/>
  <c r="G132" i="27"/>
  <c r="F132" i="27"/>
  <c r="C132" i="27"/>
  <c r="BC129" i="27"/>
  <c r="BD129" i="27" s="1"/>
  <c r="P129" i="27"/>
  <c r="O129" i="27"/>
  <c r="N129" i="27"/>
  <c r="M129" i="27"/>
  <c r="L129" i="27"/>
  <c r="K129" i="27"/>
  <c r="J129" i="27"/>
  <c r="I129" i="27"/>
  <c r="H129" i="27"/>
  <c r="G129" i="27"/>
  <c r="F129" i="27"/>
  <c r="C129" i="27"/>
  <c r="AW127" i="27"/>
  <c r="AT127" i="27"/>
  <c r="AX127" i="27" s="1"/>
  <c r="AG127" i="27"/>
  <c r="AD127" i="27"/>
  <c r="AJ127" i="27" s="1"/>
  <c r="AC127" i="27"/>
  <c r="AB127" i="27"/>
  <c r="AH127" i="27" s="1"/>
  <c r="Y127" i="27"/>
  <c r="Z127" i="27" s="1"/>
  <c r="D127" i="27"/>
  <c r="B127" i="27"/>
  <c r="AR127" i="27" s="1"/>
  <c r="A127" i="27"/>
  <c r="AW126" i="27"/>
  <c r="AT126" i="27"/>
  <c r="AX126" i="27" s="1"/>
  <c r="AG126" i="27"/>
  <c r="AD126" i="27"/>
  <c r="AJ126" i="27" s="1"/>
  <c r="AC126" i="27"/>
  <c r="AI126" i="27" s="1"/>
  <c r="Y126" i="27"/>
  <c r="Z126" i="27" s="1"/>
  <c r="O126" i="27"/>
  <c r="AB126" i="27" s="1"/>
  <c r="D126" i="27"/>
  <c r="A126" i="27"/>
  <c r="BC125" i="27"/>
  <c r="BD125" i="27" s="1"/>
  <c r="P125" i="27"/>
  <c r="S101" i="51" s="1"/>
  <c r="O125" i="27"/>
  <c r="N125" i="27"/>
  <c r="M125" i="27"/>
  <c r="L125" i="27"/>
  <c r="K125" i="27"/>
  <c r="J125" i="27"/>
  <c r="I125" i="27"/>
  <c r="H125" i="27"/>
  <c r="G125" i="27"/>
  <c r="N101" i="51" s="1"/>
  <c r="F125" i="27"/>
  <c r="I101" i="51" s="1"/>
  <c r="C125" i="27"/>
  <c r="P124" i="27"/>
  <c r="O124" i="27"/>
  <c r="N124" i="27"/>
  <c r="M124" i="27"/>
  <c r="L124" i="27"/>
  <c r="K124" i="27"/>
  <c r="J124" i="27"/>
  <c r="I124" i="27"/>
  <c r="H124" i="27"/>
  <c r="G124" i="27"/>
  <c r="F124" i="27"/>
  <c r="C124" i="27"/>
  <c r="BC121" i="27"/>
  <c r="BD121" i="27" s="1"/>
  <c r="P121" i="27"/>
  <c r="O121" i="27"/>
  <c r="N121" i="27"/>
  <c r="M121" i="27"/>
  <c r="L121" i="27"/>
  <c r="K121" i="27"/>
  <c r="J121" i="27"/>
  <c r="I121" i="27"/>
  <c r="H121" i="27"/>
  <c r="G121" i="27"/>
  <c r="F121" i="27"/>
  <c r="C121" i="27"/>
  <c r="BC118" i="27"/>
  <c r="BD118" i="27" s="1"/>
  <c r="P118" i="27"/>
  <c r="O118" i="27"/>
  <c r="N118" i="27"/>
  <c r="M118" i="27"/>
  <c r="L118" i="27"/>
  <c r="K118" i="27"/>
  <c r="J118" i="27"/>
  <c r="I118" i="27"/>
  <c r="H118" i="27"/>
  <c r="G118" i="27"/>
  <c r="F118" i="27"/>
  <c r="C118" i="27"/>
  <c r="P117" i="27"/>
  <c r="P135" i="27" s="1"/>
  <c r="O117" i="27"/>
  <c r="O135" i="27" s="1"/>
  <c r="N117" i="27"/>
  <c r="N135" i="27" s="1"/>
  <c r="M117" i="27"/>
  <c r="M135" i="27" s="1"/>
  <c r="L117" i="27"/>
  <c r="L135" i="27" s="1"/>
  <c r="K117" i="27"/>
  <c r="K135" i="27" s="1"/>
  <c r="J117" i="27"/>
  <c r="J135" i="27" s="1"/>
  <c r="I117" i="27"/>
  <c r="I135" i="27" s="1"/>
  <c r="H117" i="27"/>
  <c r="H135" i="27" s="1"/>
  <c r="G117" i="27"/>
  <c r="G135" i="27" s="1"/>
  <c r="F117" i="27"/>
  <c r="F135" i="27" s="1"/>
  <c r="C117" i="27"/>
  <c r="BC116" i="27"/>
  <c r="AW116" i="27"/>
  <c r="AT116" i="27"/>
  <c r="AG116" i="27"/>
  <c r="AJ116" i="27" s="1"/>
  <c r="Z116" i="27"/>
  <c r="Y116" i="27"/>
  <c r="P116" i="27"/>
  <c r="O116" i="27"/>
  <c r="N116" i="27"/>
  <c r="M116" i="27"/>
  <c r="L116" i="27"/>
  <c r="K116" i="27"/>
  <c r="J116" i="27"/>
  <c r="I116" i="27"/>
  <c r="H116" i="27"/>
  <c r="G116" i="27"/>
  <c r="F116" i="27"/>
  <c r="AW115" i="27"/>
  <c r="AT115" i="27"/>
  <c r="AG115" i="27"/>
  <c r="AJ115" i="27" s="1"/>
  <c r="Z115" i="27"/>
  <c r="Y115" i="27"/>
  <c r="AW114" i="27"/>
  <c r="AT114" i="27"/>
  <c r="AX114" i="27" s="1"/>
  <c r="AG114" i="27"/>
  <c r="AJ114" i="27" s="1"/>
  <c r="Y114" i="27"/>
  <c r="C114" i="27"/>
  <c r="AW113" i="27"/>
  <c r="AT113" i="27"/>
  <c r="AG113" i="27"/>
  <c r="AJ113" i="27" s="1"/>
  <c r="Z113" i="27"/>
  <c r="Y113" i="27"/>
  <c r="C113" i="27"/>
  <c r="AW111" i="27"/>
  <c r="AT111" i="27"/>
  <c r="AU111" i="27" s="1"/>
  <c r="AG111" i="27"/>
  <c r="AD111" i="27"/>
  <c r="AC111" i="27"/>
  <c r="AI111" i="27" s="1"/>
  <c r="Y111" i="27"/>
  <c r="Z111" i="27" s="1"/>
  <c r="O111" i="27"/>
  <c r="AB111" i="27" s="1"/>
  <c r="D111" i="27"/>
  <c r="A111" i="27"/>
  <c r="B111" i="27" s="1"/>
  <c r="AR111" i="27" s="1"/>
  <c r="AW110" i="27"/>
  <c r="AT110" i="27"/>
  <c r="AX110" i="27" s="1"/>
  <c r="AG110" i="27"/>
  <c r="AD110" i="27"/>
  <c r="AJ110" i="27" s="1"/>
  <c r="AC110" i="27"/>
  <c r="AI110" i="27" s="1"/>
  <c r="Y110" i="27"/>
  <c r="Z110" i="27" s="1"/>
  <c r="O110" i="27"/>
  <c r="AB110" i="27" s="1"/>
  <c r="D110" i="27"/>
  <c r="A110" i="27"/>
  <c r="B110" i="27" s="1"/>
  <c r="B113" i="27" s="1"/>
  <c r="B243" i="27" s="1"/>
  <c r="C243" i="27" s="1"/>
  <c r="BC109" i="27"/>
  <c r="BD109" i="27" s="1"/>
  <c r="P109" i="27"/>
  <c r="S274" i="51" s="1"/>
  <c r="N109" i="27"/>
  <c r="M109" i="27"/>
  <c r="L109" i="27"/>
  <c r="K109" i="27"/>
  <c r="J109" i="27"/>
  <c r="I109" i="27"/>
  <c r="H109" i="27"/>
  <c r="G109" i="27"/>
  <c r="N274" i="51" s="1"/>
  <c r="F109" i="27"/>
  <c r="I274" i="51" s="1"/>
  <c r="C109" i="27"/>
  <c r="BC106" i="27"/>
  <c r="BD106" i="27" s="1"/>
  <c r="P106" i="27"/>
  <c r="O106" i="27"/>
  <c r="N106" i="27"/>
  <c r="M106" i="27"/>
  <c r="M102" i="27" s="1"/>
  <c r="L106" i="27"/>
  <c r="K106" i="27"/>
  <c r="J106" i="27"/>
  <c r="I106" i="27"/>
  <c r="I102" i="27" s="1"/>
  <c r="H106" i="27"/>
  <c r="G106" i="27"/>
  <c r="F106" i="27"/>
  <c r="C106" i="27"/>
  <c r="BC103" i="27"/>
  <c r="BD103" i="27" s="1"/>
  <c r="P103" i="27"/>
  <c r="O103" i="27"/>
  <c r="N103" i="27"/>
  <c r="N102" i="27" s="1"/>
  <c r="M103" i="27"/>
  <c r="L103" i="27"/>
  <c r="L102" i="27" s="1"/>
  <c r="K103" i="27"/>
  <c r="J103" i="27"/>
  <c r="J102" i="27" s="1"/>
  <c r="I103" i="27"/>
  <c r="H103" i="27"/>
  <c r="H102" i="27" s="1"/>
  <c r="G103" i="27"/>
  <c r="F103" i="27"/>
  <c r="F102" i="27" s="1"/>
  <c r="C103" i="27"/>
  <c r="P102" i="27"/>
  <c r="K102" i="27"/>
  <c r="G102" i="27"/>
  <c r="C102" i="27"/>
  <c r="BC99" i="27"/>
  <c r="BD99" i="27" s="1"/>
  <c r="P99" i="27"/>
  <c r="O99" i="27"/>
  <c r="O95" i="27" s="1"/>
  <c r="N99" i="27"/>
  <c r="M99" i="27"/>
  <c r="M95" i="27" s="1"/>
  <c r="L99" i="27"/>
  <c r="K99" i="27"/>
  <c r="K95" i="27" s="1"/>
  <c r="K113" i="27" s="1"/>
  <c r="J99" i="27"/>
  <c r="I99" i="27"/>
  <c r="I95" i="27" s="1"/>
  <c r="H99" i="27"/>
  <c r="G99" i="27"/>
  <c r="G95" i="27" s="1"/>
  <c r="G113" i="27" s="1"/>
  <c r="F99" i="27"/>
  <c r="C99" i="27"/>
  <c r="BC96" i="27"/>
  <c r="BD96" i="27" s="1"/>
  <c r="P96" i="27"/>
  <c r="O96" i="27"/>
  <c r="N96" i="27"/>
  <c r="M96" i="27"/>
  <c r="L96" i="27"/>
  <c r="K96" i="27"/>
  <c r="J96" i="27"/>
  <c r="I96" i="27"/>
  <c r="H96" i="27"/>
  <c r="G96" i="27"/>
  <c r="F96" i="27"/>
  <c r="C96" i="27"/>
  <c r="P95" i="27"/>
  <c r="N95" i="27"/>
  <c r="L95" i="27"/>
  <c r="J95" i="27"/>
  <c r="H95" i="27"/>
  <c r="F95" i="27"/>
  <c r="C95" i="27"/>
  <c r="BC94" i="27"/>
  <c r="AW94" i="27"/>
  <c r="AT94" i="27"/>
  <c r="AG94" i="27"/>
  <c r="AI94" i="27" s="1"/>
  <c r="Y94" i="27"/>
  <c r="AW93" i="27"/>
  <c r="AT93" i="27"/>
  <c r="AX93" i="27" s="1"/>
  <c r="AG93" i="27"/>
  <c r="AJ93" i="27" s="1"/>
  <c r="Y93" i="27"/>
  <c r="C93" i="27"/>
  <c r="B93" i="27"/>
  <c r="B242" i="27" s="1"/>
  <c r="C242" i="27" s="1"/>
  <c r="BC90" i="27"/>
  <c r="BD90" i="27" s="1"/>
  <c r="P90" i="27"/>
  <c r="O90" i="27"/>
  <c r="N90" i="27"/>
  <c r="M90" i="27"/>
  <c r="L90" i="27"/>
  <c r="K90" i="27"/>
  <c r="J90" i="27"/>
  <c r="I90" i="27"/>
  <c r="H90" i="27"/>
  <c r="G90" i="27"/>
  <c r="F90" i="27"/>
  <c r="C90" i="27"/>
  <c r="BC87" i="27"/>
  <c r="BD87" i="27" s="1"/>
  <c r="P87" i="27"/>
  <c r="O87" i="27"/>
  <c r="O86" i="27" s="1"/>
  <c r="O78" i="27" s="1"/>
  <c r="N87" i="27"/>
  <c r="M87" i="27"/>
  <c r="L87" i="27"/>
  <c r="K87" i="27"/>
  <c r="K86" i="27" s="1"/>
  <c r="K78" i="27" s="1"/>
  <c r="J87" i="27"/>
  <c r="I87" i="27"/>
  <c r="H87" i="27"/>
  <c r="G87" i="27"/>
  <c r="G86" i="27" s="1"/>
  <c r="G78" i="27" s="1"/>
  <c r="F87" i="27"/>
  <c r="C87" i="27"/>
  <c r="M86" i="27"/>
  <c r="I86" i="27"/>
  <c r="C86" i="27"/>
  <c r="BC83" i="27"/>
  <c r="BD83" i="27" s="1"/>
  <c r="P83" i="27"/>
  <c r="O83" i="27"/>
  <c r="N83" i="27"/>
  <c r="M83" i="27"/>
  <c r="L83" i="27"/>
  <c r="K83" i="27"/>
  <c r="J83" i="27"/>
  <c r="I83" i="27"/>
  <c r="H83" i="27"/>
  <c r="G83" i="27"/>
  <c r="F83" i="27"/>
  <c r="C83" i="27"/>
  <c r="BC80" i="27"/>
  <c r="BD80" i="27" s="1"/>
  <c r="Q80" i="27"/>
  <c r="P80" i="27"/>
  <c r="P79" i="27" s="1"/>
  <c r="O80" i="27"/>
  <c r="N80" i="27"/>
  <c r="N79" i="27" s="1"/>
  <c r="M80" i="27"/>
  <c r="L80" i="27"/>
  <c r="L79" i="27" s="1"/>
  <c r="K80" i="27"/>
  <c r="J80" i="27"/>
  <c r="J79" i="27" s="1"/>
  <c r="I80" i="27"/>
  <c r="H80" i="27"/>
  <c r="H79" i="27" s="1"/>
  <c r="G80" i="27"/>
  <c r="F80" i="27"/>
  <c r="F79" i="27" s="1"/>
  <c r="C80" i="27"/>
  <c r="Q79" i="27"/>
  <c r="O79" i="27"/>
  <c r="M79" i="27"/>
  <c r="M93" i="27" s="1"/>
  <c r="K79" i="27"/>
  <c r="I79" i="27"/>
  <c r="I93" i="27" s="1"/>
  <c r="G79" i="27"/>
  <c r="C79" i="27"/>
  <c r="BC78" i="27"/>
  <c r="AW78" i="27"/>
  <c r="AT78" i="27"/>
  <c r="AG78" i="27"/>
  <c r="AJ78" i="27" s="1"/>
  <c r="Z78" i="27"/>
  <c r="Y78" i="27"/>
  <c r="AW77" i="27"/>
  <c r="AT77" i="27"/>
  <c r="AG77" i="27"/>
  <c r="AJ77" i="27" s="1"/>
  <c r="Z77" i="27"/>
  <c r="Y77" i="27"/>
  <c r="AW76" i="27"/>
  <c r="AT76" i="27"/>
  <c r="AG76" i="27"/>
  <c r="AJ76" i="27" s="1"/>
  <c r="Z76" i="27"/>
  <c r="Y76" i="27"/>
  <c r="C76" i="27"/>
  <c r="AW75" i="27"/>
  <c r="AT75" i="27"/>
  <c r="AG75" i="27"/>
  <c r="AI75" i="27" s="1"/>
  <c r="Z75" i="27"/>
  <c r="Y75" i="27"/>
  <c r="C75" i="27"/>
  <c r="AW73" i="27"/>
  <c r="AT73" i="27"/>
  <c r="AG73" i="27"/>
  <c r="AD73" i="27"/>
  <c r="AC73" i="27"/>
  <c r="AB73" i="27"/>
  <c r="Y73" i="27"/>
  <c r="Z73" i="27" s="1"/>
  <c r="D73" i="27"/>
  <c r="A73" i="27"/>
  <c r="BC72" i="27"/>
  <c r="BD72" i="27" s="1"/>
  <c r="P72" i="27"/>
  <c r="S219" i="51" s="1"/>
  <c r="O72" i="27"/>
  <c r="N72" i="27"/>
  <c r="M72" i="27"/>
  <c r="L72" i="27"/>
  <c r="K72" i="27"/>
  <c r="J72" i="27"/>
  <c r="I72" i="27"/>
  <c r="H72" i="27"/>
  <c r="F72" i="27"/>
  <c r="I219" i="51" s="1"/>
  <c r="C72" i="27"/>
  <c r="AW70" i="27"/>
  <c r="AT70" i="27"/>
  <c r="AG70" i="27"/>
  <c r="AC70" i="27"/>
  <c r="AI70" i="27" s="1"/>
  <c r="Y70" i="27"/>
  <c r="Z70" i="27" s="1"/>
  <c r="P70" i="27"/>
  <c r="O70" i="27"/>
  <c r="AB70" i="27" s="1"/>
  <c r="K70" i="27"/>
  <c r="AD70" i="27" s="1"/>
  <c r="D70" i="27"/>
  <c r="A70" i="27"/>
  <c r="BC69" i="27"/>
  <c r="BD69" i="27" s="1"/>
  <c r="P69" i="27"/>
  <c r="S218" i="51" s="1"/>
  <c r="O69" i="27"/>
  <c r="N69" i="27"/>
  <c r="M69" i="27"/>
  <c r="L69" i="27"/>
  <c r="K69" i="27"/>
  <c r="J69" i="27"/>
  <c r="I69" i="27"/>
  <c r="H69" i="27"/>
  <c r="G69" i="27"/>
  <c r="N218" i="51" s="1"/>
  <c r="F69" i="27"/>
  <c r="I218" i="51" s="1"/>
  <c r="C69" i="27"/>
  <c r="AW67" i="27"/>
  <c r="AT67" i="27"/>
  <c r="AG67" i="27"/>
  <c r="AD67" i="27"/>
  <c r="AC67" i="27"/>
  <c r="AI67" i="27" s="1"/>
  <c r="AB67" i="27"/>
  <c r="Y67" i="27"/>
  <c r="Z67" i="27" s="1"/>
  <c r="F67" i="27"/>
  <c r="F66" i="27" s="1"/>
  <c r="I213" i="51" s="1"/>
  <c r="D67" i="27"/>
  <c r="A67" i="27"/>
  <c r="B67" i="27" s="1"/>
  <c r="BC66" i="27"/>
  <c r="BD66" i="27" s="1"/>
  <c r="P66" i="27"/>
  <c r="S213" i="51" s="1"/>
  <c r="O66" i="27"/>
  <c r="N66" i="27"/>
  <c r="N62" i="27" s="1"/>
  <c r="M66" i="27"/>
  <c r="L66" i="27"/>
  <c r="K66" i="27"/>
  <c r="J66" i="27"/>
  <c r="I66" i="27"/>
  <c r="H66" i="27"/>
  <c r="C66" i="27"/>
  <c r="BC63" i="27"/>
  <c r="BD63" i="27" s="1"/>
  <c r="P63" i="27"/>
  <c r="O63" i="27"/>
  <c r="N63" i="27"/>
  <c r="M63" i="27"/>
  <c r="L63" i="27"/>
  <c r="K63" i="27"/>
  <c r="J63" i="27"/>
  <c r="I63" i="27"/>
  <c r="H63" i="27"/>
  <c r="G63" i="27"/>
  <c r="F63" i="27"/>
  <c r="C63" i="27"/>
  <c r="J62" i="27"/>
  <c r="C62" i="27"/>
  <c r="BC59" i="27"/>
  <c r="BD59" i="27" s="1"/>
  <c r="P59" i="27"/>
  <c r="O59" i="27"/>
  <c r="O55" i="27" s="1"/>
  <c r="N59" i="27"/>
  <c r="M59" i="27"/>
  <c r="M55" i="27" s="1"/>
  <c r="L59" i="27"/>
  <c r="K59" i="27"/>
  <c r="K55" i="27" s="1"/>
  <c r="J59" i="27"/>
  <c r="I59" i="27"/>
  <c r="I55" i="27" s="1"/>
  <c r="H59" i="27"/>
  <c r="G59" i="27"/>
  <c r="G55" i="27" s="1"/>
  <c r="F59" i="27"/>
  <c r="C59" i="27"/>
  <c r="BC56" i="27"/>
  <c r="BD56" i="27" s="1"/>
  <c r="P56" i="27"/>
  <c r="O56" i="27"/>
  <c r="N56" i="27"/>
  <c r="M56" i="27"/>
  <c r="L56" i="27"/>
  <c r="K56" i="27"/>
  <c r="J56" i="27"/>
  <c r="I56" i="27"/>
  <c r="H56" i="27"/>
  <c r="G56" i="27"/>
  <c r="F56" i="27"/>
  <c r="C56" i="27"/>
  <c r="P55" i="27"/>
  <c r="N55" i="27"/>
  <c r="L55" i="27"/>
  <c r="J55" i="27"/>
  <c r="J75" i="27" s="1"/>
  <c r="H55" i="27"/>
  <c r="F55" i="27"/>
  <c r="C55" i="27"/>
  <c r="BC54" i="27"/>
  <c r="AW54" i="27"/>
  <c r="AT54" i="27"/>
  <c r="AX54" i="27" s="1"/>
  <c r="AG54" i="27"/>
  <c r="AI54" i="27" s="1"/>
  <c r="Z54" i="27"/>
  <c r="Y54" i="27"/>
  <c r="AW53" i="27"/>
  <c r="AT53" i="27"/>
  <c r="AG53" i="27"/>
  <c r="AI53" i="27" s="1"/>
  <c r="Z53" i="27"/>
  <c r="Y53" i="27"/>
  <c r="N53" i="27"/>
  <c r="M53" i="27"/>
  <c r="L53" i="27"/>
  <c r="J53" i="27"/>
  <c r="I53" i="27"/>
  <c r="AW52" i="27"/>
  <c r="AT52" i="27"/>
  <c r="AH52" i="27"/>
  <c r="AG52" i="27"/>
  <c r="AI52" i="27" s="1"/>
  <c r="Z52" i="27"/>
  <c r="Y52" i="27"/>
  <c r="C52" i="27"/>
  <c r="B52" i="27"/>
  <c r="B240" i="27" s="1"/>
  <c r="C240" i="27" s="1"/>
  <c r="BC49" i="27"/>
  <c r="BD49" i="27" s="1"/>
  <c r="P49" i="27"/>
  <c r="O49" i="27"/>
  <c r="N49" i="27"/>
  <c r="M49" i="27"/>
  <c r="L49" i="27"/>
  <c r="K49" i="27"/>
  <c r="J49" i="27"/>
  <c r="I49" i="27"/>
  <c r="H49" i="27"/>
  <c r="G49" i="27"/>
  <c r="F49" i="27"/>
  <c r="C49" i="27"/>
  <c r="AW47" i="27"/>
  <c r="AX47" i="27" s="1"/>
  <c r="AR47" i="27"/>
  <c r="AG47" i="27"/>
  <c r="AD47" i="27"/>
  <c r="AJ47" i="27" s="1"/>
  <c r="AC47" i="27"/>
  <c r="AI47" i="27" s="1"/>
  <c r="AB47" i="27"/>
  <c r="AH47" i="27" s="1"/>
  <c r="Y47" i="27"/>
  <c r="Z47" i="27" s="1"/>
  <c r="G47" i="27"/>
  <c r="F47" i="27"/>
  <c r="D47" i="27"/>
  <c r="A47" i="27"/>
  <c r="AW46" i="27"/>
  <c r="AT46" i="27"/>
  <c r="AU47" i="27" s="1"/>
  <c r="AR46" i="27"/>
  <c r="AG46" i="27"/>
  <c r="AD46" i="27"/>
  <c r="AC46" i="27"/>
  <c r="AI46" i="27" s="1"/>
  <c r="AB46" i="27"/>
  <c r="AH46" i="27" s="1"/>
  <c r="Y46" i="27"/>
  <c r="Z46" i="27" s="1"/>
  <c r="G46" i="27"/>
  <c r="F46" i="27"/>
  <c r="F53" i="27" s="1"/>
  <c r="D46" i="27"/>
  <c r="A46" i="27"/>
  <c r="BC45" i="27"/>
  <c r="BD45" i="27" s="1"/>
  <c r="P45" i="27"/>
  <c r="S44" i="51" s="1"/>
  <c r="O45" i="27"/>
  <c r="N45" i="27"/>
  <c r="M45" i="27"/>
  <c r="L45" i="27"/>
  <c r="K45" i="27"/>
  <c r="J45" i="27"/>
  <c r="I45" i="27"/>
  <c r="H45" i="27"/>
  <c r="C45" i="27"/>
  <c r="AW43" i="27"/>
  <c r="AT43" i="27"/>
  <c r="AX43" i="27" s="1"/>
  <c r="AG43" i="27"/>
  <c r="AD43" i="27"/>
  <c r="AJ43" i="27" s="1"/>
  <c r="AC43" i="27"/>
  <c r="AI43" i="27" s="1"/>
  <c r="Y43" i="27"/>
  <c r="Z43" i="27" s="1"/>
  <c r="O43" i="27"/>
  <c r="AB43" i="27" s="1"/>
  <c r="D43" i="27"/>
  <c r="A43" i="27"/>
  <c r="AW42" i="27"/>
  <c r="AT42" i="27"/>
  <c r="AI42" i="27"/>
  <c r="AG42" i="27"/>
  <c r="AD42" i="27"/>
  <c r="AJ42" i="27" s="1"/>
  <c r="AC42" i="27"/>
  <c r="Y42" i="27"/>
  <c r="Z42" i="27" s="1"/>
  <c r="O42" i="27"/>
  <c r="AR42" i="27" s="1"/>
  <c r="D42" i="27"/>
  <c r="A42" i="27"/>
  <c r="AT41" i="27"/>
  <c r="AG41" i="27"/>
  <c r="AC41" i="27"/>
  <c r="Y41" i="27"/>
  <c r="Z41" i="27" s="1"/>
  <c r="P41" i="27"/>
  <c r="AW41" i="27" s="1"/>
  <c r="O41" i="27"/>
  <c r="AB41" i="27" s="1"/>
  <c r="K41" i="27"/>
  <c r="AD41" i="27" s="1"/>
  <c r="AJ41" i="27" s="1"/>
  <c r="D41" i="27"/>
  <c r="A41" i="27"/>
  <c r="AW40" i="27"/>
  <c r="AT40" i="27"/>
  <c r="AX40" i="27" s="1"/>
  <c r="AG40" i="27"/>
  <c r="AD40" i="27"/>
  <c r="AJ40" i="27" s="1"/>
  <c r="AC40" i="27"/>
  <c r="Y40" i="27"/>
  <c r="Z40" i="27" s="1"/>
  <c r="O40" i="27"/>
  <c r="AR40" i="27" s="1"/>
  <c r="D40" i="27"/>
  <c r="A40" i="27"/>
  <c r="AW39" i="27"/>
  <c r="AT39" i="27"/>
  <c r="AX39" i="27" s="1"/>
  <c r="AG39" i="27"/>
  <c r="AD39" i="27"/>
  <c r="AJ39" i="27" s="1"/>
  <c r="AC39" i="27"/>
  <c r="AI39" i="27" s="1"/>
  <c r="Y39" i="27"/>
  <c r="Z39" i="27" s="1"/>
  <c r="O39" i="27"/>
  <c r="AB39" i="27" s="1"/>
  <c r="D39" i="27"/>
  <c r="A39" i="27"/>
  <c r="AW38" i="27"/>
  <c r="AT38" i="27"/>
  <c r="AG38" i="27"/>
  <c r="AD38" i="27"/>
  <c r="AC38" i="27"/>
  <c r="Y38" i="27"/>
  <c r="Z38" i="27" s="1"/>
  <c r="O38" i="27"/>
  <c r="AR38" i="27" s="1"/>
  <c r="D38" i="27"/>
  <c r="A38" i="27"/>
  <c r="AW37" i="27"/>
  <c r="AT37" i="27"/>
  <c r="AX37" i="27" s="1"/>
  <c r="AG37" i="27"/>
  <c r="AD37" i="27"/>
  <c r="AJ37" i="27" s="1"/>
  <c r="AC37" i="27"/>
  <c r="AI37" i="27" s="1"/>
  <c r="Y37" i="27"/>
  <c r="Z37" i="27" s="1"/>
  <c r="O37" i="27"/>
  <c r="AB37" i="27" s="1"/>
  <c r="D37" i="27"/>
  <c r="A37" i="27"/>
  <c r="AT36" i="27"/>
  <c r="AG36" i="27"/>
  <c r="AD36" i="27"/>
  <c r="AJ36" i="27" s="1"/>
  <c r="Y36" i="27"/>
  <c r="Z36" i="27" s="1"/>
  <c r="P36" i="27"/>
  <c r="AW36" i="27" s="1"/>
  <c r="O36" i="27"/>
  <c r="AB36" i="27" s="1"/>
  <c r="H36" i="27"/>
  <c r="H53" i="27" s="1"/>
  <c r="D36" i="27"/>
  <c r="A36" i="27"/>
  <c r="AW35" i="27"/>
  <c r="AT35" i="27"/>
  <c r="AX35" i="27" s="1"/>
  <c r="AR35" i="27"/>
  <c r="AG35" i="27"/>
  <c r="AJ35" i="27" s="1"/>
  <c r="AD35" i="27"/>
  <c r="AC35" i="27"/>
  <c r="AI35" i="27" s="1"/>
  <c r="AB35" i="27"/>
  <c r="Z35" i="27"/>
  <c r="Y35" i="27"/>
  <c r="D35" i="27"/>
  <c r="A35" i="27"/>
  <c r="AW34" i="27"/>
  <c r="AT34" i="27"/>
  <c r="AG34" i="27"/>
  <c r="AD34" i="27"/>
  <c r="AC34" i="27"/>
  <c r="AI34" i="27" s="1"/>
  <c r="Y34" i="27"/>
  <c r="Z34" i="27" s="1"/>
  <c r="O34" i="27"/>
  <c r="AB34" i="27" s="1"/>
  <c r="D34" i="27"/>
  <c r="A34" i="27"/>
  <c r="AW33" i="27"/>
  <c r="AT33" i="27"/>
  <c r="AX33" i="27" s="1"/>
  <c r="AG33" i="27"/>
  <c r="AD33" i="27"/>
  <c r="AJ33" i="27" s="1"/>
  <c r="AC33" i="27"/>
  <c r="Y33" i="27"/>
  <c r="Z33" i="27" s="1"/>
  <c r="O33" i="27"/>
  <c r="AR33" i="27" s="1"/>
  <c r="D33" i="27"/>
  <c r="A33" i="27"/>
  <c r="AW32" i="27"/>
  <c r="AT32" i="27"/>
  <c r="AX32" i="27" s="1"/>
  <c r="AG32" i="27"/>
  <c r="AD32" i="27"/>
  <c r="AJ32" i="27" s="1"/>
  <c r="AC32" i="27"/>
  <c r="AI32" i="27" s="1"/>
  <c r="Y32" i="27"/>
  <c r="Z32" i="27" s="1"/>
  <c r="O32" i="27"/>
  <c r="AB32" i="27" s="1"/>
  <c r="D32" i="27"/>
  <c r="A32" i="27"/>
  <c r="AW31" i="27"/>
  <c r="AT31" i="27"/>
  <c r="AG31" i="27"/>
  <c r="AD31" i="27"/>
  <c r="AC31" i="27"/>
  <c r="Y31" i="27"/>
  <c r="Z31" i="27" s="1"/>
  <c r="O31" i="27"/>
  <c r="AR31" i="27" s="1"/>
  <c r="D31" i="27"/>
  <c r="A31" i="27"/>
  <c r="AW30" i="27"/>
  <c r="AT30" i="27"/>
  <c r="AX30" i="27" s="1"/>
  <c r="AG30" i="27"/>
  <c r="AD30" i="27"/>
  <c r="AJ30" i="27" s="1"/>
  <c r="AC30" i="27"/>
  <c r="AI30" i="27" s="1"/>
  <c r="Z30" i="27"/>
  <c r="Y30" i="27"/>
  <c r="O30" i="27"/>
  <c r="AB30" i="27" s="1"/>
  <c r="D30" i="27"/>
  <c r="A30" i="27"/>
  <c r="AW29" i="27"/>
  <c r="AT29" i="27"/>
  <c r="AX29" i="27" s="1"/>
  <c r="AG29" i="27"/>
  <c r="AD29" i="27"/>
  <c r="AJ29" i="27" s="1"/>
  <c r="AC29" i="27"/>
  <c r="Y29" i="27"/>
  <c r="Z29" i="27" s="1"/>
  <c r="O29" i="27"/>
  <c r="AR29" i="27" s="1"/>
  <c r="D29" i="27"/>
  <c r="A29" i="27"/>
  <c r="AT28" i="27"/>
  <c r="AG28" i="27"/>
  <c r="AC28" i="27"/>
  <c r="Y28" i="27"/>
  <c r="Z28" i="27" s="1"/>
  <c r="P28" i="27"/>
  <c r="AW28" i="27" s="1"/>
  <c r="O28" i="27"/>
  <c r="AB28" i="27" s="1"/>
  <c r="K28" i="27"/>
  <c r="AD28" i="27" s="1"/>
  <c r="AJ28" i="27" s="1"/>
  <c r="D28" i="27"/>
  <c r="A28" i="27"/>
  <c r="AW27" i="27"/>
  <c r="AT27" i="27"/>
  <c r="AX27" i="27" s="1"/>
  <c r="AG27" i="27"/>
  <c r="AD27" i="27"/>
  <c r="AJ27" i="27" s="1"/>
  <c r="AC27" i="27"/>
  <c r="Y27" i="27"/>
  <c r="Z27" i="27" s="1"/>
  <c r="O27" i="27"/>
  <c r="AR27" i="27" s="1"/>
  <c r="D27" i="27"/>
  <c r="A27" i="27"/>
  <c r="AW26" i="27"/>
  <c r="AT26" i="27"/>
  <c r="AX26" i="27" s="1"/>
  <c r="AG26" i="27"/>
  <c r="AD26" i="27"/>
  <c r="AJ26" i="27" s="1"/>
  <c r="AC26" i="27"/>
  <c r="AI26" i="27" s="1"/>
  <c r="Y26" i="27"/>
  <c r="Z26" i="27" s="1"/>
  <c r="O26" i="27"/>
  <c r="AB26" i="27" s="1"/>
  <c r="D26" i="27"/>
  <c r="A26" i="27"/>
  <c r="AT25" i="27"/>
  <c r="AG25" i="27"/>
  <c r="AC25" i="27"/>
  <c r="Y25" i="27"/>
  <c r="Z25" i="27" s="1"/>
  <c r="P25" i="27"/>
  <c r="AW25" i="27" s="1"/>
  <c r="O25" i="27"/>
  <c r="AB25" i="27" s="1"/>
  <c r="K25" i="27"/>
  <c r="AD25" i="27" s="1"/>
  <c r="D25" i="27"/>
  <c r="A25" i="27"/>
  <c r="AW24" i="27"/>
  <c r="AT24" i="27"/>
  <c r="AX24" i="27" s="1"/>
  <c r="AG24" i="27"/>
  <c r="AD24" i="27"/>
  <c r="AJ24" i="27" s="1"/>
  <c r="AC24" i="27"/>
  <c r="AI24" i="27" s="1"/>
  <c r="Y24" i="27"/>
  <c r="Z24" i="27" s="1"/>
  <c r="O24" i="27"/>
  <c r="AB24" i="27" s="1"/>
  <c r="D24" i="27"/>
  <c r="A24" i="27"/>
  <c r="AW23" i="27"/>
  <c r="AT23" i="27"/>
  <c r="AR23" i="27"/>
  <c r="AG23" i="27"/>
  <c r="AD23" i="27"/>
  <c r="AJ23" i="27" s="1"/>
  <c r="AC23" i="27"/>
  <c r="AB23" i="27"/>
  <c r="AH23" i="27" s="1"/>
  <c r="Y23" i="27"/>
  <c r="Z23" i="27" s="1"/>
  <c r="D23" i="27"/>
  <c r="A23" i="27"/>
  <c r="BC22" i="27"/>
  <c r="BD22" i="27" s="1"/>
  <c r="P22" i="27"/>
  <c r="S43" i="51" s="1"/>
  <c r="O22" i="27"/>
  <c r="N22" i="27"/>
  <c r="M22" i="27"/>
  <c r="L22" i="27"/>
  <c r="K22" i="27"/>
  <c r="J22" i="27"/>
  <c r="I22" i="27"/>
  <c r="H22" i="27"/>
  <c r="G22" i="27"/>
  <c r="N43" i="51" s="1"/>
  <c r="N43" i="48" s="1"/>
  <c r="N42" i="45" s="1"/>
  <c r="F22" i="27"/>
  <c r="I43" i="51" s="1"/>
  <c r="I43" i="48" s="1"/>
  <c r="I42" i="45" s="1"/>
  <c r="C22" i="27"/>
  <c r="P21" i="27"/>
  <c r="O21" i="27"/>
  <c r="N21" i="27"/>
  <c r="M21" i="27"/>
  <c r="L21" i="27"/>
  <c r="K21" i="27"/>
  <c r="J21" i="27"/>
  <c r="I21" i="27"/>
  <c r="H21" i="27"/>
  <c r="C21" i="27"/>
  <c r="BC18" i="27"/>
  <c r="BD18" i="27" s="1"/>
  <c r="P18" i="27"/>
  <c r="O18" i="27"/>
  <c r="N18" i="27"/>
  <c r="M18" i="27"/>
  <c r="L18" i="27"/>
  <c r="K18" i="27"/>
  <c r="J18" i="27"/>
  <c r="I18" i="27"/>
  <c r="H18" i="27"/>
  <c r="G18" i="27"/>
  <c r="F18" i="27"/>
  <c r="C18" i="27"/>
  <c r="AT16" i="27"/>
  <c r="AG16" i="27"/>
  <c r="AD16" i="27"/>
  <c r="AJ16" i="27" s="1"/>
  <c r="AC16" i="27"/>
  <c r="Y16" i="27"/>
  <c r="Z16" i="27" s="1"/>
  <c r="P16" i="27"/>
  <c r="AW16" i="27" s="1"/>
  <c r="O16" i="27"/>
  <c r="AB16" i="27" s="1"/>
  <c r="K16" i="27"/>
  <c r="D16" i="27"/>
  <c r="A16" i="27"/>
  <c r="AZ15" i="27"/>
  <c r="AW15" i="27"/>
  <c r="AT15" i="27"/>
  <c r="AX15" i="27" s="1"/>
  <c r="AR15" i="27"/>
  <c r="AQ15" i="27"/>
  <c r="AG15" i="27"/>
  <c r="AD15" i="27"/>
  <c r="AJ15" i="27" s="1"/>
  <c r="AC15" i="27"/>
  <c r="AI15" i="27" s="1"/>
  <c r="Y15" i="27"/>
  <c r="Z15" i="27" s="1"/>
  <c r="O15" i="27"/>
  <c r="AB15" i="27" s="1"/>
  <c r="D15" i="27"/>
  <c r="A15" i="27"/>
  <c r="AW14" i="27"/>
  <c r="AT14" i="27"/>
  <c r="AQ14" i="27"/>
  <c r="AG14" i="27"/>
  <c r="AD14" i="27"/>
  <c r="AJ14" i="27" s="1"/>
  <c r="AC14" i="27"/>
  <c r="AI14" i="27" s="1"/>
  <c r="Y14" i="27"/>
  <c r="Z14" i="27" s="1"/>
  <c r="O14" i="27"/>
  <c r="AR14" i="27" s="1"/>
  <c r="D14" i="27"/>
  <c r="A14" i="27"/>
  <c r="AT13" i="27"/>
  <c r="AG13" i="27"/>
  <c r="AC13" i="27"/>
  <c r="Y13" i="27"/>
  <c r="Z13" i="27" s="1"/>
  <c r="P13" i="27"/>
  <c r="P53" i="27" s="1"/>
  <c r="O13" i="27"/>
  <c r="AB13" i="27" s="1"/>
  <c r="K13" i="27"/>
  <c r="K53" i="27" s="1"/>
  <c r="D13" i="27"/>
  <c r="A13" i="27"/>
  <c r="AW12" i="27"/>
  <c r="AT12" i="27"/>
  <c r="AX12" i="27" s="1"/>
  <c r="AG12" i="27"/>
  <c r="AD12" i="27"/>
  <c r="AJ12" i="27" s="1"/>
  <c r="AC12" i="27"/>
  <c r="AI12" i="27" s="1"/>
  <c r="Y12" i="27"/>
  <c r="Z12" i="27" s="1"/>
  <c r="O12" i="27"/>
  <c r="O53" i="27" s="1"/>
  <c r="D12" i="27"/>
  <c r="A12" i="27"/>
  <c r="BC11" i="27"/>
  <c r="BD11" i="27" s="1"/>
  <c r="O11" i="27"/>
  <c r="N11" i="27"/>
  <c r="M11" i="27"/>
  <c r="L11" i="27"/>
  <c r="K11" i="27"/>
  <c r="J11" i="27"/>
  <c r="I11" i="27"/>
  <c r="H11" i="27"/>
  <c r="G11" i="27"/>
  <c r="N19" i="51" s="1"/>
  <c r="F11" i="27"/>
  <c r="I19" i="51" s="1"/>
  <c r="C11" i="27"/>
  <c r="O10" i="27"/>
  <c r="O52" i="27" s="1"/>
  <c r="O76" i="27" s="1"/>
  <c r="N10" i="27"/>
  <c r="N52" i="27" s="1"/>
  <c r="M10" i="27"/>
  <c r="M52" i="27" s="1"/>
  <c r="L10" i="27"/>
  <c r="L52" i="27" s="1"/>
  <c r="K10" i="27"/>
  <c r="K52" i="27" s="1"/>
  <c r="J10" i="27"/>
  <c r="J52" i="27" s="1"/>
  <c r="J76" i="27" s="1"/>
  <c r="I10" i="27"/>
  <c r="I52" i="27" s="1"/>
  <c r="H10" i="27"/>
  <c r="H52" i="27" s="1"/>
  <c r="G10" i="27"/>
  <c r="F10" i="27"/>
  <c r="C10" i="27"/>
  <c r="BC9" i="27"/>
  <c r="N9" i="27"/>
  <c r="L9" i="27"/>
  <c r="J9" i="27"/>
  <c r="H9" i="27"/>
  <c r="AT3" i="27"/>
  <c r="X254" i="26"/>
  <c r="Y254" i="26" s="1"/>
  <c r="AG253" i="26"/>
  <c r="AI253" i="26" s="1"/>
  <c r="Z253" i="26"/>
  <c r="Y253" i="26"/>
  <c r="C253" i="26"/>
  <c r="AG252" i="26"/>
  <c r="AD252" i="26"/>
  <c r="AJ252" i="26" s="1"/>
  <c r="AC252" i="26"/>
  <c r="AB252" i="26"/>
  <c r="AH252" i="26" s="1"/>
  <c r="Z252" i="26"/>
  <c r="Y252" i="26"/>
  <c r="W252" i="26"/>
  <c r="D252" i="26"/>
  <c r="AG251" i="26"/>
  <c r="Z251" i="26"/>
  <c r="Y251" i="26"/>
  <c r="Q251" i="26"/>
  <c r="P251" i="26"/>
  <c r="O251" i="26"/>
  <c r="N251" i="26"/>
  <c r="M251" i="26"/>
  <c r="L251" i="26"/>
  <c r="K251" i="26"/>
  <c r="J251" i="26"/>
  <c r="I251" i="26"/>
  <c r="AC251" i="26" s="1"/>
  <c r="AI251" i="26" s="1"/>
  <c r="H251" i="26"/>
  <c r="G251" i="26"/>
  <c r="F251" i="26"/>
  <c r="AG250" i="26"/>
  <c r="AD250" i="26"/>
  <c r="AC250" i="26"/>
  <c r="AB250" i="26"/>
  <c r="Z250" i="26"/>
  <c r="Y250" i="26"/>
  <c r="W250" i="26"/>
  <c r="D250" i="26"/>
  <c r="AG249" i="26"/>
  <c r="Z249" i="26"/>
  <c r="Y249" i="26"/>
  <c r="Q249" i="26"/>
  <c r="P249" i="26"/>
  <c r="O249" i="26"/>
  <c r="N249" i="26"/>
  <c r="M249" i="26"/>
  <c r="L249" i="26"/>
  <c r="K249" i="26"/>
  <c r="J249" i="26"/>
  <c r="AB249" i="26" s="1"/>
  <c r="AH249" i="26" s="1"/>
  <c r="I249" i="26"/>
  <c r="AC249" i="26" s="1"/>
  <c r="H249" i="26"/>
  <c r="G249" i="26"/>
  <c r="F249" i="26"/>
  <c r="C249" i="26"/>
  <c r="AG248" i="26"/>
  <c r="AD248" i="26"/>
  <c r="AC248" i="26"/>
  <c r="AB248" i="26"/>
  <c r="Z248" i="26"/>
  <c r="Y248" i="26"/>
  <c r="W248" i="26"/>
  <c r="D248" i="26"/>
  <c r="AG247" i="26"/>
  <c r="Z247" i="26"/>
  <c r="Y247" i="26"/>
  <c r="Q247" i="26"/>
  <c r="P247" i="26"/>
  <c r="O247" i="26"/>
  <c r="N247" i="26"/>
  <c r="M247" i="26"/>
  <c r="L247" i="26"/>
  <c r="K247" i="26"/>
  <c r="J247" i="26"/>
  <c r="I247" i="26"/>
  <c r="AC247" i="26" s="1"/>
  <c r="H247" i="26"/>
  <c r="G247" i="26"/>
  <c r="F247" i="26"/>
  <c r="C247" i="26"/>
  <c r="AG246" i="26"/>
  <c r="AD246" i="26"/>
  <c r="AC246" i="26"/>
  <c r="AB246" i="26"/>
  <c r="Z246" i="26"/>
  <c r="Y246" i="26"/>
  <c r="W246" i="26"/>
  <c r="D246" i="26"/>
  <c r="AG245" i="26"/>
  <c r="Z245" i="26"/>
  <c r="Y245" i="26"/>
  <c r="Q245" i="26"/>
  <c r="P245" i="26"/>
  <c r="O245" i="26"/>
  <c r="N245" i="26"/>
  <c r="M245" i="26"/>
  <c r="L245" i="26"/>
  <c r="K245" i="26"/>
  <c r="J245" i="26"/>
  <c r="I245" i="26"/>
  <c r="AC245" i="26" s="1"/>
  <c r="H245" i="26"/>
  <c r="G245" i="26"/>
  <c r="F245" i="26"/>
  <c r="C245" i="26"/>
  <c r="AN244" i="26"/>
  <c r="AG244" i="26"/>
  <c r="W244" i="26"/>
  <c r="Z244" i="26" s="1"/>
  <c r="O244" i="26"/>
  <c r="AB244" i="26" s="1"/>
  <c r="AH244" i="26" s="1"/>
  <c r="K244" i="26"/>
  <c r="AD244" i="26" s="1"/>
  <c r="I244" i="26"/>
  <c r="AC244" i="26" s="1"/>
  <c r="D244" i="26"/>
  <c r="AN243" i="26"/>
  <c r="AG243" i="26"/>
  <c r="W243" i="26"/>
  <c r="Z243" i="26" s="1"/>
  <c r="O243" i="26"/>
  <c r="AB243" i="26" s="1"/>
  <c r="AH243" i="26" s="1"/>
  <c r="K243" i="26"/>
  <c r="AD243" i="26" s="1"/>
  <c r="I243" i="26"/>
  <c r="AC243" i="26" s="1"/>
  <c r="H243" i="26"/>
  <c r="D243" i="26"/>
  <c r="AG242" i="26"/>
  <c r="Z242" i="26"/>
  <c r="Y242" i="26"/>
  <c r="Q242" i="26"/>
  <c r="H649" i="51" s="1"/>
  <c r="P242" i="26"/>
  <c r="R649" i="51" s="1"/>
  <c r="O242" i="26"/>
  <c r="N242" i="26"/>
  <c r="M242" i="26"/>
  <c r="L242" i="26"/>
  <c r="K242" i="26"/>
  <c r="J242" i="26"/>
  <c r="I242" i="26"/>
  <c r="AC242" i="26" s="1"/>
  <c r="H242" i="26"/>
  <c r="G242" i="26"/>
  <c r="M649" i="51" s="1"/>
  <c r="F242" i="26"/>
  <c r="C242" i="26"/>
  <c r="AG241" i="26"/>
  <c r="AD241" i="26"/>
  <c r="AC241" i="26"/>
  <c r="AB241" i="26"/>
  <c r="Z241" i="26"/>
  <c r="Y241" i="26"/>
  <c r="W241" i="26"/>
  <c r="D241" i="26"/>
  <c r="AG240" i="26"/>
  <c r="Z240" i="26"/>
  <c r="Y240" i="26"/>
  <c r="Q240" i="26"/>
  <c r="P240" i="26"/>
  <c r="O240" i="26"/>
  <c r="N240" i="26"/>
  <c r="M240" i="26"/>
  <c r="L240" i="26"/>
  <c r="K240" i="26"/>
  <c r="J240" i="26"/>
  <c r="I240" i="26"/>
  <c r="AC240" i="26" s="1"/>
  <c r="H240" i="26"/>
  <c r="G240" i="26"/>
  <c r="F240" i="26"/>
  <c r="C240" i="26"/>
  <c r="AG239" i="26"/>
  <c r="AD239" i="26"/>
  <c r="AC239" i="26"/>
  <c r="AI239" i="26" s="1"/>
  <c r="AB239" i="26"/>
  <c r="Z239" i="26"/>
  <c r="Y239" i="26"/>
  <c r="W239" i="26"/>
  <c r="D239" i="26"/>
  <c r="AG238" i="26"/>
  <c r="Z238" i="26"/>
  <c r="Y238" i="26"/>
  <c r="Q238" i="26"/>
  <c r="P238" i="26"/>
  <c r="O238" i="26"/>
  <c r="N238" i="26"/>
  <c r="M238" i="26"/>
  <c r="L238" i="26"/>
  <c r="K238" i="26"/>
  <c r="J238" i="26"/>
  <c r="I238" i="26"/>
  <c r="AC238" i="26" s="1"/>
  <c r="H238" i="26"/>
  <c r="G238" i="26"/>
  <c r="F238" i="26"/>
  <c r="C238" i="26"/>
  <c r="AN237" i="26"/>
  <c r="AH237" i="26"/>
  <c r="AG237" i="26"/>
  <c r="AI237" i="26" s="1"/>
  <c r="AE237" i="26"/>
  <c r="AD237" i="26"/>
  <c r="Z237" i="26"/>
  <c r="W237" i="26"/>
  <c r="O237" i="26"/>
  <c r="K237" i="26"/>
  <c r="I237" i="26"/>
  <c r="D237" i="26"/>
  <c r="AN236" i="26"/>
  <c r="AG236" i="26"/>
  <c r="AI236" i="26" s="1"/>
  <c r="AE236" i="26"/>
  <c r="W236" i="26"/>
  <c r="Z236" i="26" s="1"/>
  <c r="O236" i="26"/>
  <c r="K236" i="26"/>
  <c r="I236" i="26"/>
  <c r="D236" i="26"/>
  <c r="AN235" i="26"/>
  <c r="AG235" i="26"/>
  <c r="AJ235" i="26" s="1"/>
  <c r="AE235" i="26"/>
  <c r="W235" i="26"/>
  <c r="Z235" i="26" s="1"/>
  <c r="O235" i="26"/>
  <c r="K235" i="26"/>
  <c r="I235" i="26"/>
  <c r="D235" i="26"/>
  <c r="B235" i="26"/>
  <c r="AN234" i="26"/>
  <c r="AG234" i="26"/>
  <c r="AI234" i="26" s="1"/>
  <c r="AE234" i="26"/>
  <c r="W234" i="26"/>
  <c r="Z234" i="26" s="1"/>
  <c r="O234" i="26"/>
  <c r="K234" i="26"/>
  <c r="I234" i="26"/>
  <c r="D234" i="26"/>
  <c r="AG233" i="26"/>
  <c r="Z233" i="26"/>
  <c r="Y233" i="26"/>
  <c r="Q232" i="26"/>
  <c r="Q231" i="26" s="1"/>
  <c r="N233" i="26"/>
  <c r="M233" i="26"/>
  <c r="L233" i="26"/>
  <c r="J233" i="26"/>
  <c r="H233" i="26"/>
  <c r="F233" i="26"/>
  <c r="C233" i="26"/>
  <c r="AG232" i="26"/>
  <c r="Z232" i="26"/>
  <c r="Y232" i="26"/>
  <c r="C232" i="26"/>
  <c r="AG231" i="26"/>
  <c r="AI231" i="26" s="1"/>
  <c r="Z231" i="26"/>
  <c r="Y231" i="26"/>
  <c r="AG230" i="26"/>
  <c r="AJ230" i="26" s="1"/>
  <c r="Z230" i="26"/>
  <c r="Y230" i="26"/>
  <c r="W230" i="26"/>
  <c r="C230" i="26"/>
  <c r="B230" i="26"/>
  <c r="B271" i="26" s="1"/>
  <c r="C271" i="26" s="1"/>
  <c r="AG229" i="26"/>
  <c r="AD229" i="26"/>
  <c r="AC229" i="26"/>
  <c r="AI229" i="26" s="1"/>
  <c r="AB229" i="26"/>
  <c r="Z229" i="26"/>
  <c r="Y229" i="26"/>
  <c r="W229" i="26"/>
  <c r="D229" i="26"/>
  <c r="AG228" i="26"/>
  <c r="Z228" i="26"/>
  <c r="Y228" i="26"/>
  <c r="Q228" i="26"/>
  <c r="P228" i="26"/>
  <c r="O228" i="26"/>
  <c r="N228" i="26"/>
  <c r="M228" i="26"/>
  <c r="L228" i="26"/>
  <c r="K228" i="26"/>
  <c r="J228" i="26"/>
  <c r="I228" i="26"/>
  <c r="AC228" i="26" s="1"/>
  <c r="H228" i="26"/>
  <c r="G228" i="26"/>
  <c r="F228" i="26"/>
  <c r="AG227" i="26"/>
  <c r="AD227" i="26"/>
  <c r="AC227" i="26"/>
  <c r="AI227" i="26" s="1"/>
  <c r="AB227" i="26"/>
  <c r="Z227" i="26"/>
  <c r="Y227" i="26"/>
  <c r="W227" i="26"/>
  <c r="D227" i="26"/>
  <c r="AG226" i="26"/>
  <c r="Z226" i="26"/>
  <c r="Y226" i="26"/>
  <c r="Q226" i="26"/>
  <c r="P226" i="26"/>
  <c r="O226" i="26"/>
  <c r="N226" i="26"/>
  <c r="M226" i="26"/>
  <c r="L226" i="26"/>
  <c r="K226" i="26"/>
  <c r="J226" i="26"/>
  <c r="I226" i="26"/>
  <c r="AC226" i="26" s="1"/>
  <c r="H226" i="26"/>
  <c r="G226" i="26"/>
  <c r="F226" i="26"/>
  <c r="C226" i="26"/>
  <c r="AG225" i="26"/>
  <c r="AD225" i="26"/>
  <c r="AC225" i="26"/>
  <c r="AI225" i="26" s="1"/>
  <c r="AB225" i="26"/>
  <c r="Z225" i="26"/>
  <c r="Y225" i="26"/>
  <c r="W225" i="26"/>
  <c r="D225" i="26"/>
  <c r="AG224" i="26"/>
  <c r="Z224" i="26"/>
  <c r="Y224" i="26"/>
  <c r="Q224" i="26"/>
  <c r="P224" i="26"/>
  <c r="O224" i="26"/>
  <c r="N224" i="26"/>
  <c r="M224" i="26"/>
  <c r="L224" i="26"/>
  <c r="K224" i="26"/>
  <c r="J224" i="26"/>
  <c r="AB224" i="26" s="1"/>
  <c r="I224" i="26"/>
  <c r="AC224" i="26" s="1"/>
  <c r="H224" i="26"/>
  <c r="AD224" i="26" s="1"/>
  <c r="AJ224" i="26" s="1"/>
  <c r="G224" i="26"/>
  <c r="F224" i="26"/>
  <c r="C224" i="26"/>
  <c r="AG223" i="26"/>
  <c r="AJ223" i="26" s="1"/>
  <c r="AD223" i="26"/>
  <c r="AC223" i="26"/>
  <c r="AI223" i="26" s="1"/>
  <c r="AB223" i="26"/>
  <c r="Z223" i="26"/>
  <c r="Y223" i="26"/>
  <c r="W223" i="26"/>
  <c r="D223" i="26"/>
  <c r="AG222" i="26"/>
  <c r="Z222" i="26"/>
  <c r="Y222" i="26"/>
  <c r="Q222" i="26"/>
  <c r="P222" i="26"/>
  <c r="O222" i="26"/>
  <c r="N222" i="26"/>
  <c r="M222" i="26"/>
  <c r="L222" i="26"/>
  <c r="K222" i="26"/>
  <c r="J222" i="26"/>
  <c r="AB222" i="26" s="1"/>
  <c r="I222" i="26"/>
  <c r="AC222" i="26" s="1"/>
  <c r="H222" i="26"/>
  <c r="AD222" i="26" s="1"/>
  <c r="AJ222" i="26" s="1"/>
  <c r="G222" i="26"/>
  <c r="F222" i="26"/>
  <c r="C222" i="26"/>
  <c r="AG221" i="26"/>
  <c r="AJ221" i="26" s="1"/>
  <c r="AD221" i="26"/>
  <c r="AC221" i="26"/>
  <c r="AI221" i="26" s="1"/>
  <c r="AB221" i="26"/>
  <c r="Z221" i="26"/>
  <c r="W221" i="26"/>
  <c r="D221" i="26"/>
  <c r="AG220" i="26"/>
  <c r="Z220" i="26"/>
  <c r="Y220" i="26"/>
  <c r="Q220" i="26"/>
  <c r="P220" i="26"/>
  <c r="O220" i="26"/>
  <c r="N220" i="26"/>
  <c r="M220" i="26"/>
  <c r="L220" i="26"/>
  <c r="K220" i="26"/>
  <c r="J220" i="26"/>
  <c r="I220" i="26"/>
  <c r="AC220" i="26" s="1"/>
  <c r="AI220" i="26" s="1"/>
  <c r="H220" i="26"/>
  <c r="G220" i="26"/>
  <c r="F220" i="26"/>
  <c r="C220" i="26"/>
  <c r="AG219" i="26"/>
  <c r="AD219" i="26"/>
  <c r="AJ219" i="26" s="1"/>
  <c r="AC219" i="26"/>
  <c r="AI219" i="26" s="1"/>
  <c r="AB219" i="26"/>
  <c r="AH219" i="26" s="1"/>
  <c r="Z219" i="26"/>
  <c r="Y219" i="26"/>
  <c r="W219" i="26"/>
  <c r="D219" i="26"/>
  <c r="AG218" i="26"/>
  <c r="Z218" i="26"/>
  <c r="Y218" i="26"/>
  <c r="Q218" i="26"/>
  <c r="P218" i="26"/>
  <c r="O218" i="26"/>
  <c r="N218" i="26"/>
  <c r="M218" i="26"/>
  <c r="L218" i="26"/>
  <c r="K218" i="26"/>
  <c r="AD218" i="26" s="1"/>
  <c r="AJ218" i="26" s="1"/>
  <c r="J218" i="26"/>
  <c r="I218" i="26"/>
  <c r="AC218" i="26" s="1"/>
  <c r="AI218" i="26" s="1"/>
  <c r="H218" i="26"/>
  <c r="G218" i="26"/>
  <c r="F218" i="26"/>
  <c r="C218" i="26"/>
  <c r="AG217" i="26"/>
  <c r="AD217" i="26"/>
  <c r="AJ217" i="26" s="1"/>
  <c r="AC217" i="26"/>
  <c r="AB217" i="26"/>
  <c r="AH217" i="26" s="1"/>
  <c r="Z217" i="26"/>
  <c r="Y217" i="26"/>
  <c r="W217" i="26"/>
  <c r="D217" i="26"/>
  <c r="AG216" i="26"/>
  <c r="Z216" i="26"/>
  <c r="Y216" i="26"/>
  <c r="Q216" i="26"/>
  <c r="Q213" i="26" s="1"/>
  <c r="Q212" i="26" s="1"/>
  <c r="Q230" i="26" s="1"/>
  <c r="P216" i="26"/>
  <c r="O216" i="26"/>
  <c r="O213" i="26" s="1"/>
  <c r="O212" i="26" s="1"/>
  <c r="O230" i="26" s="1"/>
  <c r="O271" i="26" s="1"/>
  <c r="N216" i="26"/>
  <c r="M216" i="26"/>
  <c r="M213" i="26" s="1"/>
  <c r="M212" i="26" s="1"/>
  <c r="M230" i="26" s="1"/>
  <c r="M271" i="26" s="1"/>
  <c r="L216" i="26"/>
  <c r="K216" i="26"/>
  <c r="K213" i="26" s="1"/>
  <c r="J216" i="26"/>
  <c r="I216" i="26"/>
  <c r="AC216" i="26" s="1"/>
  <c r="AI216" i="26" s="1"/>
  <c r="H216" i="26"/>
  <c r="G216" i="26"/>
  <c r="G213" i="26" s="1"/>
  <c r="G212" i="26" s="1"/>
  <c r="G230" i="26" s="1"/>
  <c r="G271" i="26" s="1"/>
  <c r="F216" i="26"/>
  <c r="C216" i="26"/>
  <c r="AG215" i="26"/>
  <c r="AD215" i="26"/>
  <c r="AJ215" i="26" s="1"/>
  <c r="AC215" i="26"/>
  <c r="AI215" i="26" s="1"/>
  <c r="AB215" i="26"/>
  <c r="AH215" i="26" s="1"/>
  <c r="AK215" i="26" s="1"/>
  <c r="Z215" i="26"/>
  <c r="W215" i="26"/>
  <c r="D215" i="26"/>
  <c r="AG214" i="26"/>
  <c r="Z214" i="26"/>
  <c r="Y214" i="26"/>
  <c r="Q214" i="26"/>
  <c r="P214" i="26"/>
  <c r="O214" i="26"/>
  <c r="N214" i="26"/>
  <c r="N213" i="26" s="1"/>
  <c r="N212" i="26" s="1"/>
  <c r="N230" i="26" s="1"/>
  <c r="N271" i="26" s="1"/>
  <c r="M214" i="26"/>
  <c r="L214" i="26"/>
  <c r="L213" i="26" s="1"/>
  <c r="L212" i="26" s="1"/>
  <c r="L230" i="26" s="1"/>
  <c r="L271" i="26" s="1"/>
  <c r="K214" i="26"/>
  <c r="J214" i="26"/>
  <c r="J213" i="26" s="1"/>
  <c r="I214" i="26"/>
  <c r="AC214" i="26" s="1"/>
  <c r="H214" i="26"/>
  <c r="H213" i="26" s="1"/>
  <c r="H212" i="26" s="1"/>
  <c r="H230" i="26" s="1"/>
  <c r="H271" i="26" s="1"/>
  <c r="G214" i="26"/>
  <c r="F214" i="26"/>
  <c r="F213" i="26" s="1"/>
  <c r="F212" i="26" s="1"/>
  <c r="F230" i="26" s="1"/>
  <c r="F271" i="26" s="1"/>
  <c r="C214" i="26"/>
  <c r="AG213" i="26"/>
  <c r="Z213" i="26"/>
  <c r="Y213" i="26"/>
  <c r="C213" i="26"/>
  <c r="AG212" i="26"/>
  <c r="AJ212" i="26" s="1"/>
  <c r="Z212" i="26"/>
  <c r="Y212" i="26"/>
  <c r="AO211" i="26"/>
  <c r="AG211" i="26"/>
  <c r="AJ211" i="26" s="1"/>
  <c r="Z211" i="26"/>
  <c r="Y211" i="26"/>
  <c r="AG210" i="26"/>
  <c r="AI210" i="26" s="1"/>
  <c r="Z210" i="26"/>
  <c r="Y210" i="26"/>
  <c r="AG209" i="26"/>
  <c r="AJ209" i="26" s="1"/>
  <c r="Z209" i="26"/>
  <c r="Y209" i="26"/>
  <c r="AG208" i="26"/>
  <c r="AJ208" i="26" s="1"/>
  <c r="Z208" i="26"/>
  <c r="Y208" i="26"/>
  <c r="AG207" i="26"/>
  <c r="AJ207" i="26" s="1"/>
  <c r="Z207" i="26"/>
  <c r="Y207" i="26"/>
  <c r="AG206" i="26"/>
  <c r="AJ206" i="26" s="1"/>
  <c r="Z206" i="26"/>
  <c r="Y206" i="26"/>
  <c r="AG205" i="26"/>
  <c r="AJ205" i="26" s="1"/>
  <c r="Z205" i="26"/>
  <c r="Y205" i="26"/>
  <c r="AG204" i="26"/>
  <c r="Z204" i="26"/>
  <c r="Y204" i="26"/>
  <c r="C204" i="26"/>
  <c r="AG203" i="26"/>
  <c r="Z203" i="26"/>
  <c r="Y203" i="26"/>
  <c r="C203" i="26"/>
  <c r="B203" i="26"/>
  <c r="B270" i="26" s="1"/>
  <c r="C270" i="26" s="1"/>
  <c r="AG202" i="26"/>
  <c r="AD202" i="26"/>
  <c r="AC202" i="26"/>
  <c r="AB202" i="26"/>
  <c r="Z202" i="26"/>
  <c r="Y202" i="26"/>
  <c r="D202" i="26"/>
  <c r="AN201" i="26"/>
  <c r="AG201" i="26"/>
  <c r="AC201" i="26"/>
  <c r="Y201" i="26"/>
  <c r="Z201" i="26" s="1"/>
  <c r="O201" i="26"/>
  <c r="AB201" i="26" s="1"/>
  <c r="AH201" i="26" s="1"/>
  <c r="K201" i="26"/>
  <c r="K200" i="26" s="1"/>
  <c r="D201" i="26"/>
  <c r="BC200" i="26"/>
  <c r="BD200" i="26" s="1"/>
  <c r="P200" i="26"/>
  <c r="R306" i="51" s="1"/>
  <c r="O200" i="26"/>
  <c r="N200" i="26"/>
  <c r="M200" i="26"/>
  <c r="L200" i="26"/>
  <c r="J200" i="26"/>
  <c r="I200" i="26"/>
  <c r="H200" i="26"/>
  <c r="G200" i="26"/>
  <c r="M306" i="51" s="1"/>
  <c r="Q306" i="51" s="1"/>
  <c r="F200" i="26"/>
  <c r="H306" i="51" s="1"/>
  <c r="L306" i="51" s="1"/>
  <c r="C200" i="26"/>
  <c r="BC197" i="26"/>
  <c r="BD197" i="26" s="1"/>
  <c r="P197" i="26"/>
  <c r="O197" i="26"/>
  <c r="N197" i="26"/>
  <c r="M197" i="26"/>
  <c r="L197" i="26"/>
  <c r="K197" i="26"/>
  <c r="J197" i="26"/>
  <c r="I197" i="26"/>
  <c r="H197" i="26"/>
  <c r="G197" i="26"/>
  <c r="F197" i="26"/>
  <c r="C197" i="26"/>
  <c r="BC194" i="26"/>
  <c r="BD194" i="26" s="1"/>
  <c r="P194" i="26"/>
  <c r="O194" i="26"/>
  <c r="N194" i="26"/>
  <c r="M194" i="26"/>
  <c r="L194" i="26"/>
  <c r="K194" i="26"/>
  <c r="J194" i="26"/>
  <c r="I194" i="26"/>
  <c r="H194" i="26"/>
  <c r="G194" i="26"/>
  <c r="F194" i="26"/>
  <c r="C194" i="26"/>
  <c r="C193" i="26"/>
  <c r="BC192" i="26"/>
  <c r="AG192" i="26"/>
  <c r="AJ192" i="26" s="1"/>
  <c r="Z192" i="26"/>
  <c r="Y192" i="26"/>
  <c r="AG191" i="26"/>
  <c r="AI191" i="26" s="1"/>
  <c r="Z191" i="26"/>
  <c r="Y191" i="26"/>
  <c r="C191" i="26"/>
  <c r="B191" i="26"/>
  <c r="B269" i="26" s="1"/>
  <c r="C269" i="26" s="1"/>
  <c r="AZ190" i="26"/>
  <c r="AG190" i="26"/>
  <c r="AD190" i="26"/>
  <c r="AJ190" i="26" s="1"/>
  <c r="AC190" i="26"/>
  <c r="AI190" i="26" s="1"/>
  <c r="AB190" i="26"/>
  <c r="AH190" i="26" s="1"/>
  <c r="Y190" i="26"/>
  <c r="Z190" i="26" s="1"/>
  <c r="D190" i="26"/>
  <c r="AN189" i="26"/>
  <c r="AG189" i="26"/>
  <c r="Z189" i="26"/>
  <c r="Y189" i="26"/>
  <c r="T189" i="26"/>
  <c r="P189" i="26"/>
  <c r="P191" i="26" s="1"/>
  <c r="P269" i="26" s="1"/>
  <c r="O189" i="26"/>
  <c r="O191" i="26" s="1"/>
  <c r="O269" i="26" s="1"/>
  <c r="N189" i="26"/>
  <c r="N191" i="26" s="1"/>
  <c r="N269" i="26" s="1"/>
  <c r="M189" i="26"/>
  <c r="M191" i="26" s="1"/>
  <c r="M269" i="26" s="1"/>
  <c r="L189" i="26"/>
  <c r="L191" i="26" s="1"/>
  <c r="L269" i="26" s="1"/>
  <c r="K189" i="26"/>
  <c r="K191" i="26" s="1"/>
  <c r="K269" i="26" s="1"/>
  <c r="J189" i="26"/>
  <c r="J191" i="26" s="1"/>
  <c r="J269" i="26" s="1"/>
  <c r="I189" i="26"/>
  <c r="I191" i="26" s="1"/>
  <c r="I269" i="26" s="1"/>
  <c r="H189" i="26"/>
  <c r="H191" i="26" s="1"/>
  <c r="H269" i="26" s="1"/>
  <c r="G189" i="26"/>
  <c r="G191" i="26" s="1"/>
  <c r="G269" i="26" s="1"/>
  <c r="F189" i="26"/>
  <c r="F191" i="26" s="1"/>
  <c r="F269" i="26" s="1"/>
  <c r="C189" i="26"/>
  <c r="BC188" i="26"/>
  <c r="AG188" i="26"/>
  <c r="AJ188" i="26" s="1"/>
  <c r="Z188" i="26"/>
  <c r="Y188" i="26"/>
  <c r="P188" i="26"/>
  <c r="O188" i="26"/>
  <c r="N188" i="26"/>
  <c r="M188" i="26"/>
  <c r="L188" i="26"/>
  <c r="K188" i="26"/>
  <c r="J188" i="26"/>
  <c r="I188" i="26"/>
  <c r="H188" i="26"/>
  <c r="G188" i="26"/>
  <c r="F188" i="26"/>
  <c r="AG187" i="26"/>
  <c r="AJ187" i="26" s="1"/>
  <c r="Z187" i="26"/>
  <c r="Y187" i="26"/>
  <c r="AG186" i="26"/>
  <c r="Z186" i="26"/>
  <c r="Y186" i="26"/>
  <c r="C186" i="26"/>
  <c r="AO185" i="26"/>
  <c r="AG185" i="26"/>
  <c r="AJ185" i="26" s="1"/>
  <c r="Z185" i="26"/>
  <c r="Y185" i="26"/>
  <c r="C185" i="26"/>
  <c r="AG183" i="26"/>
  <c r="Y183" i="26"/>
  <c r="Z183" i="26" s="1"/>
  <c r="O183" i="26"/>
  <c r="AB183" i="26" s="1"/>
  <c r="K183" i="26"/>
  <c r="AD183" i="26" s="1"/>
  <c r="AJ183" i="26" s="1"/>
  <c r="I183" i="26"/>
  <c r="AC183" i="26" s="1"/>
  <c r="D183" i="26"/>
  <c r="AG182" i="26"/>
  <c r="AD182" i="26"/>
  <c r="AE182" i="26" s="1"/>
  <c r="Y182" i="26"/>
  <c r="Z182" i="26" s="1"/>
  <c r="O182" i="26"/>
  <c r="I182" i="26"/>
  <c r="I180" i="26" s="1"/>
  <c r="D182" i="26"/>
  <c r="AG181" i="26"/>
  <c r="AC181" i="26"/>
  <c r="Y181" i="26"/>
  <c r="Z181" i="26" s="1"/>
  <c r="O181" i="26"/>
  <c r="AB181" i="26" s="1"/>
  <c r="AH181" i="26" s="1"/>
  <c r="K181" i="26"/>
  <c r="AD181" i="26" s="1"/>
  <c r="D181" i="26"/>
  <c r="B181" i="26"/>
  <c r="BC180" i="26"/>
  <c r="BD180" i="26" s="1"/>
  <c r="P180" i="26"/>
  <c r="O180" i="26"/>
  <c r="N180" i="26"/>
  <c r="M180" i="26"/>
  <c r="L180" i="26"/>
  <c r="J180" i="26"/>
  <c r="H180" i="26"/>
  <c r="G180" i="26"/>
  <c r="F180" i="26"/>
  <c r="C180" i="26"/>
  <c r="BC177" i="26"/>
  <c r="BD177" i="26" s="1"/>
  <c r="P177" i="26"/>
  <c r="P173" i="26" s="1"/>
  <c r="O177" i="26"/>
  <c r="N177" i="26"/>
  <c r="M177" i="26"/>
  <c r="L177" i="26"/>
  <c r="K177" i="26"/>
  <c r="J177" i="26"/>
  <c r="I177" i="26"/>
  <c r="H177" i="26"/>
  <c r="G177" i="26"/>
  <c r="F177" i="26"/>
  <c r="C177" i="26"/>
  <c r="BC174" i="26"/>
  <c r="BD174" i="26" s="1"/>
  <c r="P174" i="26"/>
  <c r="O174" i="26"/>
  <c r="N174" i="26"/>
  <c r="M174" i="26"/>
  <c r="L174" i="26"/>
  <c r="K174" i="26"/>
  <c r="J174" i="26"/>
  <c r="I174" i="26"/>
  <c r="H174" i="26"/>
  <c r="G174" i="26"/>
  <c r="F174" i="26"/>
  <c r="C174" i="26"/>
  <c r="H173" i="26"/>
  <c r="C173" i="26"/>
  <c r="AG171" i="26"/>
  <c r="Y171" i="26"/>
  <c r="Z171" i="26" s="1"/>
  <c r="O171" i="26"/>
  <c r="AB171" i="26" s="1"/>
  <c r="K171" i="26"/>
  <c r="AD171" i="26" s="1"/>
  <c r="AJ171" i="26" s="1"/>
  <c r="H171" i="26"/>
  <c r="D171" i="26"/>
  <c r="BC170" i="26"/>
  <c r="BD170" i="26" s="1"/>
  <c r="P170" i="26"/>
  <c r="R250" i="51" s="1"/>
  <c r="O170" i="26"/>
  <c r="N170" i="26"/>
  <c r="M170" i="26"/>
  <c r="L170" i="26"/>
  <c r="J170" i="26"/>
  <c r="I170" i="26"/>
  <c r="H170" i="26"/>
  <c r="G170" i="26"/>
  <c r="M250" i="51" s="1"/>
  <c r="F170" i="26"/>
  <c r="H250" i="51" s="1"/>
  <c r="C170" i="26"/>
  <c r="BC167" i="26"/>
  <c r="BD167" i="26" s="1"/>
  <c r="P167" i="26"/>
  <c r="O167" i="26"/>
  <c r="O163" i="26" s="1"/>
  <c r="N167" i="26"/>
  <c r="M167" i="26"/>
  <c r="M163" i="26" s="1"/>
  <c r="L167" i="26"/>
  <c r="K167" i="26"/>
  <c r="J167" i="26"/>
  <c r="I167" i="26"/>
  <c r="I163" i="26" s="1"/>
  <c r="H167" i="26"/>
  <c r="G167" i="26"/>
  <c r="G163" i="26" s="1"/>
  <c r="F167" i="26"/>
  <c r="C167" i="26"/>
  <c r="BC164" i="26"/>
  <c r="BD164" i="26" s="1"/>
  <c r="P164" i="26"/>
  <c r="O164" i="26"/>
  <c r="N164" i="26"/>
  <c r="N163" i="26" s="1"/>
  <c r="M164" i="26"/>
  <c r="L164" i="26"/>
  <c r="L163" i="26" s="1"/>
  <c r="K164" i="26"/>
  <c r="J164" i="26"/>
  <c r="J163" i="26" s="1"/>
  <c r="I164" i="26"/>
  <c r="H164" i="26"/>
  <c r="G164" i="26"/>
  <c r="F164" i="26"/>
  <c r="F163" i="26" s="1"/>
  <c r="C164" i="26"/>
  <c r="P163" i="26"/>
  <c r="H163" i="26"/>
  <c r="H162" i="26" s="1"/>
  <c r="C163" i="26"/>
  <c r="BC162" i="26"/>
  <c r="AG162" i="26"/>
  <c r="AJ162" i="26" s="1"/>
  <c r="Z162" i="26"/>
  <c r="Y162" i="26"/>
  <c r="AG161" i="26"/>
  <c r="AI161" i="26" s="1"/>
  <c r="Z161" i="26"/>
  <c r="Y161" i="26"/>
  <c r="C161" i="26"/>
  <c r="B161" i="26"/>
  <c r="B267" i="26" s="1"/>
  <c r="C267" i="26" s="1"/>
  <c r="BC158" i="26"/>
  <c r="BD158" i="26" s="1"/>
  <c r="P158" i="26"/>
  <c r="O158" i="26"/>
  <c r="N158" i="26"/>
  <c r="M158" i="26"/>
  <c r="L158" i="26"/>
  <c r="K158" i="26"/>
  <c r="J158" i="26"/>
  <c r="I158" i="26"/>
  <c r="H158" i="26"/>
  <c r="G158" i="26"/>
  <c r="F158" i="26"/>
  <c r="C158" i="26"/>
  <c r="BC155" i="26"/>
  <c r="BD155" i="26" s="1"/>
  <c r="P155" i="26"/>
  <c r="O155" i="26"/>
  <c r="N155" i="26"/>
  <c r="M155" i="26"/>
  <c r="M151" i="26" s="1"/>
  <c r="L155" i="26"/>
  <c r="K155" i="26"/>
  <c r="K151" i="26" s="1"/>
  <c r="J155" i="26"/>
  <c r="I155" i="26"/>
  <c r="I151" i="26" s="1"/>
  <c r="H155" i="26"/>
  <c r="G155" i="26"/>
  <c r="F155" i="26"/>
  <c r="C155" i="26"/>
  <c r="BC152" i="26"/>
  <c r="BD152" i="26" s="1"/>
  <c r="P152" i="26"/>
  <c r="O152" i="26"/>
  <c r="N152" i="26"/>
  <c r="M152" i="26"/>
  <c r="L152" i="26"/>
  <c r="K152" i="26"/>
  <c r="J152" i="26"/>
  <c r="I152" i="26"/>
  <c r="H152" i="26"/>
  <c r="G152" i="26"/>
  <c r="F152" i="26"/>
  <c r="C152" i="26"/>
  <c r="O151" i="26"/>
  <c r="G151" i="26"/>
  <c r="C151" i="26"/>
  <c r="BC148" i="26"/>
  <c r="BD148" i="26" s="1"/>
  <c r="P148" i="26"/>
  <c r="O148" i="26"/>
  <c r="N148" i="26"/>
  <c r="M148" i="26"/>
  <c r="L148" i="26"/>
  <c r="K148" i="26"/>
  <c r="J148" i="26"/>
  <c r="I148" i="26"/>
  <c r="H148" i="26"/>
  <c r="G148" i="26"/>
  <c r="F148" i="26"/>
  <c r="C148" i="26"/>
  <c r="AG146" i="26"/>
  <c r="AC146" i="26"/>
  <c r="Y146" i="26"/>
  <c r="Z146" i="26" s="1"/>
  <c r="O146" i="26"/>
  <c r="AB146" i="26" s="1"/>
  <c r="AH146" i="26" s="1"/>
  <c r="K146" i="26"/>
  <c r="AZ146" i="26" s="1"/>
  <c r="D146" i="26"/>
  <c r="BC145" i="26"/>
  <c r="BD145" i="26" s="1"/>
  <c r="P145" i="26"/>
  <c r="O145" i="26"/>
  <c r="N145" i="26"/>
  <c r="N144" i="26" s="1"/>
  <c r="M145" i="26"/>
  <c r="M144" i="26" s="1"/>
  <c r="M161" i="26" s="1"/>
  <c r="M267" i="26" s="1"/>
  <c r="L145" i="26"/>
  <c r="L144" i="26" s="1"/>
  <c r="J145" i="26"/>
  <c r="J144" i="26" s="1"/>
  <c r="I145" i="26"/>
  <c r="I144" i="26" s="1"/>
  <c r="H145" i="26"/>
  <c r="H144" i="26" s="1"/>
  <c r="G145" i="26"/>
  <c r="F145" i="26"/>
  <c r="H77" i="51" s="1"/>
  <c r="C145" i="26"/>
  <c r="O144" i="26"/>
  <c r="O161" i="26" s="1"/>
  <c r="O267" i="26" s="1"/>
  <c r="F144" i="26"/>
  <c r="C144" i="26"/>
  <c r="BC143" i="26"/>
  <c r="AG143" i="26"/>
  <c r="AI143" i="26" s="1"/>
  <c r="Z143" i="26"/>
  <c r="Y143" i="26"/>
  <c r="AG142" i="26"/>
  <c r="AI142" i="26" s="1"/>
  <c r="Z142" i="26"/>
  <c r="Y142" i="26"/>
  <c r="AG141" i="26"/>
  <c r="Z141" i="26"/>
  <c r="Y141" i="26"/>
  <c r="C141" i="26"/>
  <c r="AO140" i="26"/>
  <c r="AG140" i="26"/>
  <c r="AJ140" i="26" s="1"/>
  <c r="Z140" i="26"/>
  <c r="Y140" i="26"/>
  <c r="C140" i="26"/>
  <c r="AG139" i="26"/>
  <c r="AI139" i="26" s="1"/>
  <c r="AE139" i="26"/>
  <c r="Y139" i="26"/>
  <c r="Z139" i="26" s="1"/>
  <c r="O139" i="26"/>
  <c r="K139" i="26"/>
  <c r="I139" i="26"/>
  <c r="D139" i="26"/>
  <c r="AG138" i="26"/>
  <c r="AI138" i="26" s="1"/>
  <c r="AE138" i="26"/>
  <c r="Y138" i="26"/>
  <c r="Z138" i="26" s="1"/>
  <c r="O138" i="26"/>
  <c r="K138" i="26"/>
  <c r="I138" i="26"/>
  <c r="D138" i="26"/>
  <c r="B138" i="26"/>
  <c r="AG137" i="26"/>
  <c r="AI137" i="26" s="1"/>
  <c r="AE137" i="26"/>
  <c r="Y137" i="26"/>
  <c r="Z137" i="26" s="1"/>
  <c r="O137" i="26"/>
  <c r="K137" i="26"/>
  <c r="I137" i="26"/>
  <c r="I136" i="26" s="1"/>
  <c r="D137" i="26"/>
  <c r="BC136" i="26"/>
  <c r="BD136" i="26" s="1"/>
  <c r="P136" i="26"/>
  <c r="R274" i="51" s="1"/>
  <c r="O136" i="26"/>
  <c r="N136" i="26"/>
  <c r="M136" i="26"/>
  <c r="L136" i="26"/>
  <c r="J136" i="26"/>
  <c r="H136" i="26"/>
  <c r="G136" i="26"/>
  <c r="M274" i="51" s="1"/>
  <c r="F136" i="26"/>
  <c r="H274" i="51" s="1"/>
  <c r="C136" i="26"/>
  <c r="BC133" i="26"/>
  <c r="BD133" i="26" s="1"/>
  <c r="P133" i="26"/>
  <c r="P129" i="26" s="1"/>
  <c r="O133" i="26"/>
  <c r="N133" i="26"/>
  <c r="M133" i="26"/>
  <c r="L133" i="26"/>
  <c r="L129" i="26" s="1"/>
  <c r="K133" i="26"/>
  <c r="J133" i="26"/>
  <c r="I133" i="26"/>
  <c r="H133" i="26"/>
  <c r="G133" i="26"/>
  <c r="F133" i="26"/>
  <c r="C133" i="26"/>
  <c r="BC130" i="26"/>
  <c r="BD130" i="26" s="1"/>
  <c r="P130" i="26"/>
  <c r="O130" i="26"/>
  <c r="N130" i="26"/>
  <c r="M130" i="26"/>
  <c r="L130" i="26"/>
  <c r="K130" i="26"/>
  <c r="J130" i="26"/>
  <c r="I130" i="26"/>
  <c r="H130" i="26"/>
  <c r="G130" i="26"/>
  <c r="G129" i="26" s="1"/>
  <c r="F130" i="26"/>
  <c r="C130" i="26"/>
  <c r="C129" i="26"/>
  <c r="BC126" i="26"/>
  <c r="BD126" i="26" s="1"/>
  <c r="P126" i="26"/>
  <c r="P122" i="26" s="1"/>
  <c r="O126" i="26"/>
  <c r="N126" i="26"/>
  <c r="N122" i="26" s="1"/>
  <c r="M126" i="26"/>
  <c r="L126" i="26"/>
  <c r="L122" i="26" s="1"/>
  <c r="K126" i="26"/>
  <c r="J126" i="26"/>
  <c r="J122" i="26" s="1"/>
  <c r="I126" i="26"/>
  <c r="H126" i="26"/>
  <c r="H122" i="26" s="1"/>
  <c r="G126" i="26"/>
  <c r="F126" i="26"/>
  <c r="F122" i="26" s="1"/>
  <c r="C126" i="26"/>
  <c r="BC123" i="26"/>
  <c r="BD123" i="26" s="1"/>
  <c r="P123" i="26"/>
  <c r="O123" i="26"/>
  <c r="N123" i="26"/>
  <c r="M123" i="26"/>
  <c r="L123" i="26"/>
  <c r="K123" i="26"/>
  <c r="K122" i="26" s="1"/>
  <c r="J123" i="26"/>
  <c r="I123" i="26"/>
  <c r="I122" i="26" s="1"/>
  <c r="H123" i="26"/>
  <c r="G123" i="26"/>
  <c r="F123" i="26"/>
  <c r="C123" i="26"/>
  <c r="G122" i="26"/>
  <c r="C122" i="26"/>
  <c r="BC121" i="26"/>
  <c r="AG121" i="26"/>
  <c r="AJ121" i="26" s="1"/>
  <c r="Z121" i="26"/>
  <c r="Y121" i="26"/>
  <c r="AG120" i="26"/>
  <c r="AJ120" i="26" s="1"/>
  <c r="Z120" i="26"/>
  <c r="Y120" i="26"/>
  <c r="C120" i="26"/>
  <c r="B120" i="26"/>
  <c r="B265" i="26" s="1"/>
  <c r="C265" i="26" s="1"/>
  <c r="BC117" i="26"/>
  <c r="BD117" i="26" s="1"/>
  <c r="P117" i="26"/>
  <c r="O117" i="26"/>
  <c r="N117" i="26"/>
  <c r="M117" i="26"/>
  <c r="L117" i="26"/>
  <c r="K117" i="26"/>
  <c r="J117" i="26"/>
  <c r="I117" i="26"/>
  <c r="H117" i="26"/>
  <c r="G117" i="26"/>
  <c r="F117" i="26"/>
  <c r="C117" i="26"/>
  <c r="AN115" i="26"/>
  <c r="AG115" i="26"/>
  <c r="AC115" i="26"/>
  <c r="Y115" i="26"/>
  <c r="Z115" i="26" s="1"/>
  <c r="O115" i="26"/>
  <c r="AB115" i="26" s="1"/>
  <c r="AH115" i="26" s="1"/>
  <c r="K115" i="26"/>
  <c r="K114" i="26" s="1"/>
  <c r="K113" i="26" s="1"/>
  <c r="D115" i="26"/>
  <c r="BC114" i="26"/>
  <c r="BD114" i="26" s="1"/>
  <c r="P114" i="26"/>
  <c r="R101" i="51" s="1"/>
  <c r="O114" i="26"/>
  <c r="N114" i="26"/>
  <c r="M114" i="26"/>
  <c r="M113" i="26" s="1"/>
  <c r="L114" i="26"/>
  <c r="J114" i="26"/>
  <c r="J113" i="26" s="1"/>
  <c r="I114" i="26"/>
  <c r="I113" i="26" s="1"/>
  <c r="H114" i="26"/>
  <c r="H113" i="26" s="1"/>
  <c r="G114" i="26"/>
  <c r="F114" i="26"/>
  <c r="H101" i="51" s="1"/>
  <c r="C114" i="26"/>
  <c r="O113" i="26"/>
  <c r="F113" i="26"/>
  <c r="F105" i="26" s="1"/>
  <c r="C113" i="26"/>
  <c r="BC110" i="26"/>
  <c r="BD110" i="26" s="1"/>
  <c r="P110" i="26"/>
  <c r="O110" i="26"/>
  <c r="N110" i="26"/>
  <c r="M110" i="26"/>
  <c r="L110" i="26"/>
  <c r="K110" i="26"/>
  <c r="J110" i="26"/>
  <c r="I110" i="26"/>
  <c r="H110" i="26"/>
  <c r="G110" i="26"/>
  <c r="F110" i="26"/>
  <c r="C110" i="26"/>
  <c r="BC107" i="26"/>
  <c r="BD107" i="26" s="1"/>
  <c r="Q107" i="26"/>
  <c r="Q106" i="26" s="1"/>
  <c r="P107" i="26"/>
  <c r="O107" i="26"/>
  <c r="O106" i="26" s="1"/>
  <c r="N107" i="26"/>
  <c r="M107" i="26"/>
  <c r="M106" i="26" s="1"/>
  <c r="L107" i="26"/>
  <c r="K107" i="26"/>
  <c r="K106" i="26" s="1"/>
  <c r="J107" i="26"/>
  <c r="I107" i="26"/>
  <c r="I106" i="26" s="1"/>
  <c r="H107" i="26"/>
  <c r="G107" i="26"/>
  <c r="G106" i="26" s="1"/>
  <c r="F107" i="26"/>
  <c r="C107" i="26"/>
  <c r="N106" i="26"/>
  <c r="J106" i="26"/>
  <c r="F106" i="26"/>
  <c r="C106" i="26"/>
  <c r="BC105" i="26"/>
  <c r="AG105" i="26"/>
  <c r="AI105" i="26" s="1"/>
  <c r="Z105" i="26"/>
  <c r="Y105" i="26"/>
  <c r="AG104" i="26"/>
  <c r="AI104" i="26" s="1"/>
  <c r="Z104" i="26"/>
  <c r="Y104" i="26"/>
  <c r="AG103" i="26"/>
  <c r="Z103" i="26"/>
  <c r="Y103" i="26"/>
  <c r="C103" i="26"/>
  <c r="AG102" i="26"/>
  <c r="AJ102" i="26" s="1"/>
  <c r="Z102" i="26"/>
  <c r="Y102" i="26"/>
  <c r="C102" i="26"/>
  <c r="AG100" i="26"/>
  <c r="AC100" i="26"/>
  <c r="Y100" i="26"/>
  <c r="Z100" i="26" s="1"/>
  <c r="O100" i="26"/>
  <c r="AB100" i="26" s="1"/>
  <c r="K100" i="26"/>
  <c r="AD100" i="26" s="1"/>
  <c r="AJ100" i="26" s="1"/>
  <c r="D100" i="26"/>
  <c r="AG99" i="26"/>
  <c r="AC99" i="26"/>
  <c r="Y99" i="26"/>
  <c r="Z99" i="26" s="1"/>
  <c r="O99" i="26"/>
  <c r="AB99" i="26" s="1"/>
  <c r="K99" i="26"/>
  <c r="AD99" i="26" s="1"/>
  <c r="D99" i="26"/>
  <c r="B99" i="26"/>
  <c r="AG98" i="26"/>
  <c r="AI98" i="26" s="1"/>
  <c r="AE98" i="26"/>
  <c r="Y98" i="26"/>
  <c r="Z98" i="26" s="1"/>
  <c r="O98" i="26"/>
  <c r="K98" i="26"/>
  <c r="I98" i="26"/>
  <c r="I97" i="26" s="1"/>
  <c r="D98" i="26"/>
  <c r="BC97" i="26"/>
  <c r="BD97" i="26" s="1"/>
  <c r="P97" i="26"/>
  <c r="R218" i="51" s="1"/>
  <c r="O97" i="26"/>
  <c r="N97" i="26"/>
  <c r="M97" i="26"/>
  <c r="L97" i="26"/>
  <c r="J97" i="26"/>
  <c r="H97" i="26"/>
  <c r="G97" i="26"/>
  <c r="M218" i="51" s="1"/>
  <c r="F97" i="26"/>
  <c r="H218" i="51" s="1"/>
  <c r="C97" i="26"/>
  <c r="BC94" i="26"/>
  <c r="BD94" i="26" s="1"/>
  <c r="P94" i="26"/>
  <c r="O94" i="26"/>
  <c r="N94" i="26"/>
  <c r="M94" i="26"/>
  <c r="L94" i="26"/>
  <c r="K94" i="26"/>
  <c r="J94" i="26"/>
  <c r="I94" i="26"/>
  <c r="H94" i="26"/>
  <c r="G94" i="26"/>
  <c r="F94" i="26"/>
  <c r="C94" i="26"/>
  <c r="BC91" i="26"/>
  <c r="BD91" i="26" s="1"/>
  <c r="P91" i="26"/>
  <c r="O91" i="26"/>
  <c r="N91" i="26"/>
  <c r="M91" i="26"/>
  <c r="L91" i="26"/>
  <c r="K91" i="26"/>
  <c r="J91" i="26"/>
  <c r="I91" i="26"/>
  <c r="H91" i="26"/>
  <c r="G91" i="26"/>
  <c r="F91" i="26"/>
  <c r="F90" i="26" s="1"/>
  <c r="C91" i="26"/>
  <c r="J90" i="26"/>
  <c r="C90" i="26"/>
  <c r="BC87" i="26"/>
  <c r="BD87" i="26" s="1"/>
  <c r="P87" i="26"/>
  <c r="O87" i="26"/>
  <c r="N87" i="26"/>
  <c r="M87" i="26"/>
  <c r="L87" i="26"/>
  <c r="K87" i="26"/>
  <c r="J87" i="26"/>
  <c r="I87" i="26"/>
  <c r="H87" i="26"/>
  <c r="G87" i="26"/>
  <c r="F87" i="26"/>
  <c r="C87" i="26"/>
  <c r="BC84" i="26"/>
  <c r="BD84" i="26" s="1"/>
  <c r="P84" i="26"/>
  <c r="O84" i="26"/>
  <c r="N84" i="26"/>
  <c r="N83" i="26" s="1"/>
  <c r="M84" i="26"/>
  <c r="L84" i="26"/>
  <c r="K84" i="26"/>
  <c r="J84" i="26"/>
  <c r="J83" i="26" s="1"/>
  <c r="J102" i="26" s="1"/>
  <c r="J264" i="26" s="1"/>
  <c r="I84" i="26"/>
  <c r="H84" i="26"/>
  <c r="G84" i="26"/>
  <c r="F84" i="26"/>
  <c r="F83" i="26" s="1"/>
  <c r="C84" i="26"/>
  <c r="P83" i="26"/>
  <c r="L83" i="26"/>
  <c r="H83" i="26"/>
  <c r="C83" i="26"/>
  <c r="BC82" i="26"/>
  <c r="AG82" i="26"/>
  <c r="AJ82" i="26" s="1"/>
  <c r="Z82" i="26"/>
  <c r="Y82" i="26"/>
  <c r="AG81" i="26"/>
  <c r="AJ81" i="26" s="1"/>
  <c r="Z81" i="26"/>
  <c r="Y81" i="26"/>
  <c r="P81" i="26"/>
  <c r="N81" i="26"/>
  <c r="M81" i="26"/>
  <c r="L81" i="26"/>
  <c r="J81" i="26"/>
  <c r="AG80" i="26"/>
  <c r="AI80" i="26" s="1"/>
  <c r="Z80" i="26"/>
  <c r="Y80" i="26"/>
  <c r="C80" i="26"/>
  <c r="AG78" i="26"/>
  <c r="AC78" i="26"/>
  <c r="Y78" i="26"/>
  <c r="Z78" i="26" s="1"/>
  <c r="O78" i="26"/>
  <c r="AB78" i="26" s="1"/>
  <c r="AH78" i="26" s="1"/>
  <c r="K78" i="26"/>
  <c r="AD78" i="26" s="1"/>
  <c r="D78" i="26"/>
  <c r="AG77" i="26"/>
  <c r="Y77" i="26"/>
  <c r="Z77" i="26" s="1"/>
  <c r="O77" i="26"/>
  <c r="AB77" i="26" s="1"/>
  <c r="K77" i="26"/>
  <c r="H77" i="26"/>
  <c r="AC77" i="26" s="1"/>
  <c r="D77" i="26"/>
  <c r="AG76" i="26"/>
  <c r="AC76" i="26"/>
  <c r="Y76" i="26"/>
  <c r="Z76" i="26" s="1"/>
  <c r="O76" i="26"/>
  <c r="AB76" i="26" s="1"/>
  <c r="K76" i="26"/>
  <c r="AD76" i="26" s="1"/>
  <c r="AJ76" i="26" s="1"/>
  <c r="D76" i="26"/>
  <c r="BC75" i="26"/>
  <c r="BD75" i="26" s="1"/>
  <c r="P75" i="26"/>
  <c r="R49" i="51" s="1"/>
  <c r="N75" i="26"/>
  <c r="M75" i="26"/>
  <c r="L75" i="26"/>
  <c r="J75" i="26"/>
  <c r="I75" i="26"/>
  <c r="H75" i="26"/>
  <c r="G75" i="26"/>
  <c r="C75" i="26"/>
  <c r="AG73" i="26"/>
  <c r="AC73" i="26"/>
  <c r="Y73" i="26"/>
  <c r="Z73" i="26" s="1"/>
  <c r="O73" i="26"/>
  <c r="AB73" i="26" s="1"/>
  <c r="K73" i="26"/>
  <c r="AD73" i="26" s="1"/>
  <c r="D73" i="26"/>
  <c r="AH72" i="26"/>
  <c r="AG72" i="26"/>
  <c r="AI72" i="26" s="1"/>
  <c r="AE72" i="26"/>
  <c r="Y72" i="26"/>
  <c r="Z72" i="26" s="1"/>
  <c r="O72" i="26"/>
  <c r="K72" i="26"/>
  <c r="K71" i="26" s="1"/>
  <c r="I72" i="26"/>
  <c r="I71" i="26" s="1"/>
  <c r="D72" i="26"/>
  <c r="BC71" i="26"/>
  <c r="BD71" i="26" s="1"/>
  <c r="P71" i="26"/>
  <c r="R44" i="51" s="1"/>
  <c r="N71" i="26"/>
  <c r="M71" i="26"/>
  <c r="L71" i="26"/>
  <c r="J71" i="26"/>
  <c r="H71" i="26"/>
  <c r="G71" i="26"/>
  <c r="M44" i="51" s="1"/>
  <c r="C71" i="26"/>
  <c r="AG69" i="26"/>
  <c r="AI69" i="26" s="1"/>
  <c r="AE69" i="26"/>
  <c r="Y69" i="26"/>
  <c r="Z69" i="26" s="1"/>
  <c r="O69" i="26"/>
  <c r="K69" i="26"/>
  <c r="I69" i="26"/>
  <c r="D69" i="26"/>
  <c r="AG68" i="26"/>
  <c r="AC68" i="26"/>
  <c r="Y68" i="26"/>
  <c r="Z68" i="26" s="1"/>
  <c r="O68" i="26"/>
  <c r="AB68" i="26" s="1"/>
  <c r="K68" i="26"/>
  <c r="AD68" i="26" s="1"/>
  <c r="D68" i="26"/>
  <c r="AG67" i="26"/>
  <c r="Y67" i="26"/>
  <c r="Z67" i="26" s="1"/>
  <c r="O67" i="26"/>
  <c r="AB67" i="26" s="1"/>
  <c r="K67" i="26"/>
  <c r="AD67" i="26" s="1"/>
  <c r="H67" i="26"/>
  <c r="D67" i="26"/>
  <c r="AG66" i="26"/>
  <c r="AC66" i="26"/>
  <c r="AI66" i="26" s="1"/>
  <c r="Y66" i="26"/>
  <c r="Z66" i="26" s="1"/>
  <c r="O66" i="26"/>
  <c r="AB66" i="26" s="1"/>
  <c r="K66" i="26"/>
  <c r="AD66" i="26" s="1"/>
  <c r="D66" i="26"/>
  <c r="AG65" i="26"/>
  <c r="AC65" i="26"/>
  <c r="Y65" i="26"/>
  <c r="Z65" i="26" s="1"/>
  <c r="O65" i="26"/>
  <c r="AB65" i="26" s="1"/>
  <c r="K65" i="26"/>
  <c r="AD65" i="26" s="1"/>
  <c r="D65" i="26"/>
  <c r="AG64" i="26"/>
  <c r="AI64" i="26" s="1"/>
  <c r="AE64" i="26"/>
  <c r="Y64" i="26"/>
  <c r="Z64" i="26" s="1"/>
  <c r="O64" i="26"/>
  <c r="K64" i="26"/>
  <c r="I64" i="26"/>
  <c r="G64" i="26"/>
  <c r="F64" i="26"/>
  <c r="D64" i="26"/>
  <c r="AG63" i="26"/>
  <c r="AC63" i="26"/>
  <c r="Y63" i="26"/>
  <c r="Z63" i="26" s="1"/>
  <c r="O63" i="26"/>
  <c r="AB63" i="26" s="1"/>
  <c r="K63" i="26"/>
  <c r="AD63" i="26" s="1"/>
  <c r="D63" i="26"/>
  <c r="AG62" i="26"/>
  <c r="AC62" i="26"/>
  <c r="AI62" i="26" s="1"/>
  <c r="Y62" i="26"/>
  <c r="Z62" i="26" s="1"/>
  <c r="O62" i="26"/>
  <c r="AB62" i="26" s="1"/>
  <c r="K62" i="26"/>
  <c r="AD62" i="26" s="1"/>
  <c r="F62" i="26"/>
  <c r="D62" i="26"/>
  <c r="AG61" i="26"/>
  <c r="AC61" i="26"/>
  <c r="Y61" i="26"/>
  <c r="Z61" i="26" s="1"/>
  <c r="O61" i="26"/>
  <c r="AB61" i="26" s="1"/>
  <c r="K61" i="26"/>
  <c r="AD61" i="26" s="1"/>
  <c r="AJ61" i="26" s="1"/>
  <c r="D61" i="26"/>
  <c r="AG60" i="26"/>
  <c r="AI60" i="26" s="1"/>
  <c r="AE60" i="26"/>
  <c r="Y60" i="26"/>
  <c r="Z60" i="26" s="1"/>
  <c r="O60" i="26"/>
  <c r="K60" i="26"/>
  <c r="I60" i="26"/>
  <c r="G60" i="26"/>
  <c r="D60" i="26"/>
  <c r="AG59" i="26"/>
  <c r="AI59" i="26" s="1"/>
  <c r="AE59" i="26"/>
  <c r="Y59" i="26"/>
  <c r="Z59" i="26" s="1"/>
  <c r="O59" i="26"/>
  <c r="K59" i="26"/>
  <c r="I59" i="26"/>
  <c r="G59" i="26"/>
  <c r="D59" i="26"/>
  <c r="AG58" i="26"/>
  <c r="AI58" i="26" s="1"/>
  <c r="AE58" i="26"/>
  <c r="Y58" i="26"/>
  <c r="Z58" i="26" s="1"/>
  <c r="O58" i="26"/>
  <c r="K58" i="26"/>
  <c r="I58" i="26"/>
  <c r="D58" i="26"/>
  <c r="AG57" i="26"/>
  <c r="AC57" i="26"/>
  <c r="Y57" i="26"/>
  <c r="Z57" i="26" s="1"/>
  <c r="O57" i="26"/>
  <c r="AB57" i="26" s="1"/>
  <c r="K57" i="26"/>
  <c r="AD57" i="26" s="1"/>
  <c r="AJ57" i="26" s="1"/>
  <c r="D57" i="26"/>
  <c r="AG56" i="26"/>
  <c r="AC56" i="26"/>
  <c r="Y56" i="26"/>
  <c r="Z56" i="26" s="1"/>
  <c r="O56" i="26"/>
  <c r="AB56" i="26" s="1"/>
  <c r="AH56" i="26" s="1"/>
  <c r="K56" i="26"/>
  <c r="AD56" i="26" s="1"/>
  <c r="D56" i="26"/>
  <c r="AG55" i="26"/>
  <c r="AC55" i="26"/>
  <c r="Y55" i="26"/>
  <c r="Z55" i="26" s="1"/>
  <c r="O55" i="26"/>
  <c r="AB55" i="26" s="1"/>
  <c r="K55" i="26"/>
  <c r="AD55" i="26" s="1"/>
  <c r="AJ55" i="26" s="1"/>
  <c r="D55" i="26"/>
  <c r="AG54" i="26"/>
  <c r="AC54" i="26"/>
  <c r="Y54" i="26"/>
  <c r="Z54" i="26" s="1"/>
  <c r="O54" i="26"/>
  <c r="AB54" i="26" s="1"/>
  <c r="K54" i="26"/>
  <c r="AD54" i="26" s="1"/>
  <c r="D54" i="26"/>
  <c r="AG53" i="26"/>
  <c r="AC53" i="26"/>
  <c r="Y53" i="26"/>
  <c r="Z53" i="26" s="1"/>
  <c r="O53" i="26"/>
  <c r="AB53" i="26" s="1"/>
  <c r="K53" i="26"/>
  <c r="AD53" i="26" s="1"/>
  <c r="AJ53" i="26" s="1"/>
  <c r="D53" i="26"/>
  <c r="AG52" i="26"/>
  <c r="AC52" i="26"/>
  <c r="Z52" i="26"/>
  <c r="Y52" i="26"/>
  <c r="O52" i="26"/>
  <c r="AB52" i="26" s="1"/>
  <c r="AH52" i="26" s="1"/>
  <c r="K52" i="26"/>
  <c r="AD52" i="26" s="1"/>
  <c r="D52" i="26"/>
  <c r="AG51" i="26"/>
  <c r="AC51" i="26"/>
  <c r="AI51" i="26" s="1"/>
  <c r="Y51" i="26"/>
  <c r="Z51" i="26" s="1"/>
  <c r="O51" i="26"/>
  <c r="AB51" i="26" s="1"/>
  <c r="AH51" i="26" s="1"/>
  <c r="K51" i="26"/>
  <c r="AD51" i="26" s="1"/>
  <c r="AJ51" i="26" s="1"/>
  <c r="D51" i="26"/>
  <c r="AG50" i="26"/>
  <c r="AC50" i="26"/>
  <c r="Y50" i="26"/>
  <c r="Z50" i="26" s="1"/>
  <c r="O50" i="26"/>
  <c r="AB50" i="26" s="1"/>
  <c r="AH50" i="26" s="1"/>
  <c r="K50" i="26"/>
  <c r="AD50" i="26" s="1"/>
  <c r="D50" i="26"/>
  <c r="AG49" i="26"/>
  <c r="AC49" i="26"/>
  <c r="Y49" i="26"/>
  <c r="Z49" i="26" s="1"/>
  <c r="O49" i="26"/>
  <c r="AB49" i="26" s="1"/>
  <c r="K49" i="26"/>
  <c r="AD49" i="26" s="1"/>
  <c r="AJ49" i="26" s="1"/>
  <c r="D49" i="26"/>
  <c r="AG48" i="26"/>
  <c r="AC48" i="26"/>
  <c r="Y48" i="26"/>
  <c r="Z48" i="26" s="1"/>
  <c r="O48" i="26"/>
  <c r="AB48" i="26" s="1"/>
  <c r="AH48" i="26" s="1"/>
  <c r="K48" i="26"/>
  <c r="AD48" i="26" s="1"/>
  <c r="D48" i="26"/>
  <c r="AG47" i="26"/>
  <c r="AC47" i="26"/>
  <c r="Y47" i="26"/>
  <c r="Z47" i="26" s="1"/>
  <c r="O47" i="26"/>
  <c r="AB47" i="26" s="1"/>
  <c r="AH47" i="26" s="1"/>
  <c r="K47" i="26"/>
  <c r="AD47" i="26" s="1"/>
  <c r="D47" i="26"/>
  <c r="AG46" i="26"/>
  <c r="AC46" i="26"/>
  <c r="Y46" i="26"/>
  <c r="Z46" i="26" s="1"/>
  <c r="O46" i="26"/>
  <c r="AB46" i="26" s="1"/>
  <c r="AH46" i="26" s="1"/>
  <c r="K46" i="26"/>
  <c r="AD46" i="26" s="1"/>
  <c r="D46" i="26"/>
  <c r="AG45" i="26"/>
  <c r="AC45" i="26"/>
  <c r="Y45" i="26"/>
  <c r="Z45" i="26" s="1"/>
  <c r="O45" i="26"/>
  <c r="AB45" i="26" s="1"/>
  <c r="AH45" i="26" s="1"/>
  <c r="K45" i="26"/>
  <c r="AD45" i="26" s="1"/>
  <c r="D45" i="26"/>
  <c r="AG44" i="26"/>
  <c r="AC44" i="26"/>
  <c r="Y44" i="26"/>
  <c r="Z44" i="26" s="1"/>
  <c r="O44" i="26"/>
  <c r="AB44" i="26" s="1"/>
  <c r="K44" i="26"/>
  <c r="AD44" i="26" s="1"/>
  <c r="D44" i="26"/>
  <c r="AG43" i="26"/>
  <c r="AC43" i="26"/>
  <c r="Y43" i="26"/>
  <c r="Z43" i="26" s="1"/>
  <c r="O43" i="26"/>
  <c r="AB43" i="26" s="1"/>
  <c r="AH43" i="26" s="1"/>
  <c r="K43" i="26"/>
  <c r="AD43" i="26" s="1"/>
  <c r="D43" i="26"/>
  <c r="AG42" i="26"/>
  <c r="AC42" i="26"/>
  <c r="Y42" i="26"/>
  <c r="Z42" i="26" s="1"/>
  <c r="O42" i="26"/>
  <c r="AB42" i="26" s="1"/>
  <c r="K42" i="26"/>
  <c r="AD42" i="26" s="1"/>
  <c r="D42" i="26"/>
  <c r="AG41" i="26"/>
  <c r="AI41" i="26" s="1"/>
  <c r="AE41" i="26"/>
  <c r="Y41" i="26"/>
  <c r="Z41" i="26" s="1"/>
  <c r="O41" i="26"/>
  <c r="K41" i="26"/>
  <c r="I41" i="26"/>
  <c r="D41" i="26"/>
  <c r="AG40" i="26"/>
  <c r="AI40" i="26" s="1"/>
  <c r="AE40" i="26"/>
  <c r="Y40" i="26"/>
  <c r="Z40" i="26" s="1"/>
  <c r="O40" i="26"/>
  <c r="K40" i="26"/>
  <c r="I40" i="26"/>
  <c r="D40" i="26"/>
  <c r="AG39" i="26"/>
  <c r="AI39" i="26" s="1"/>
  <c r="AE39" i="26"/>
  <c r="Y39" i="26"/>
  <c r="Z39" i="26" s="1"/>
  <c r="O39" i="26"/>
  <c r="K39" i="26"/>
  <c r="I39" i="26"/>
  <c r="D39" i="26"/>
  <c r="AG38" i="26"/>
  <c r="AI38" i="26" s="1"/>
  <c r="AE38" i="26"/>
  <c r="Y38" i="26"/>
  <c r="Z38" i="26" s="1"/>
  <c r="O38" i="26"/>
  <c r="K38" i="26"/>
  <c r="I38" i="26"/>
  <c r="D38" i="26"/>
  <c r="AG37" i="26"/>
  <c r="AI37" i="26" s="1"/>
  <c r="AE37" i="26"/>
  <c r="Y37" i="26"/>
  <c r="Z37" i="26" s="1"/>
  <c r="O37" i="26"/>
  <c r="K37" i="26"/>
  <c r="I37" i="26"/>
  <c r="D37" i="26"/>
  <c r="AG36" i="26"/>
  <c r="AI36" i="26" s="1"/>
  <c r="AE36" i="26"/>
  <c r="Y36" i="26"/>
  <c r="Z36" i="26" s="1"/>
  <c r="O36" i="26"/>
  <c r="K36" i="26"/>
  <c r="I36" i="26"/>
  <c r="D36" i="26"/>
  <c r="AG35" i="26"/>
  <c r="AI35" i="26" s="1"/>
  <c r="AD35" i="26"/>
  <c r="AB35" i="26"/>
  <c r="AH35" i="26" s="1"/>
  <c r="Y35" i="26"/>
  <c r="Z35" i="26" s="1"/>
  <c r="O35" i="26"/>
  <c r="I35" i="26"/>
  <c r="D35" i="26"/>
  <c r="AG34" i="26"/>
  <c r="AC34" i="26"/>
  <c r="Y34" i="26"/>
  <c r="Z34" i="26" s="1"/>
  <c r="O34" i="26"/>
  <c r="AB34" i="26" s="1"/>
  <c r="AH34" i="26" s="1"/>
  <c r="K34" i="26"/>
  <c r="AD34" i="26" s="1"/>
  <c r="D34" i="26"/>
  <c r="AG33" i="26"/>
  <c r="AC33" i="26"/>
  <c r="Y33" i="26"/>
  <c r="Z33" i="26" s="1"/>
  <c r="O33" i="26"/>
  <c r="AB33" i="26" s="1"/>
  <c r="AH33" i="26" s="1"/>
  <c r="K33" i="26"/>
  <c r="AD33" i="26" s="1"/>
  <c r="D33" i="26"/>
  <c r="AG32" i="26"/>
  <c r="AC32" i="26"/>
  <c r="Y32" i="26"/>
  <c r="Z32" i="26" s="1"/>
  <c r="O32" i="26"/>
  <c r="AB32" i="26" s="1"/>
  <c r="AH32" i="26" s="1"/>
  <c r="K32" i="26"/>
  <c r="AD32" i="26" s="1"/>
  <c r="D32" i="26"/>
  <c r="AG31" i="26"/>
  <c r="AC31" i="26"/>
  <c r="Y31" i="26"/>
  <c r="Z31" i="26" s="1"/>
  <c r="O31" i="26"/>
  <c r="AB31" i="26" s="1"/>
  <c r="K31" i="26"/>
  <c r="AD31" i="26" s="1"/>
  <c r="D31" i="26"/>
  <c r="AG30" i="26"/>
  <c r="AC30" i="26"/>
  <c r="Y30" i="26"/>
  <c r="Z30" i="26" s="1"/>
  <c r="O30" i="26"/>
  <c r="AB30" i="26" s="1"/>
  <c r="AH30" i="26" s="1"/>
  <c r="K30" i="26"/>
  <c r="AD30" i="26" s="1"/>
  <c r="D30" i="26"/>
  <c r="BC29" i="26"/>
  <c r="BD29" i="26" s="1"/>
  <c r="P29" i="26"/>
  <c r="R43" i="51" s="1"/>
  <c r="O29" i="26"/>
  <c r="N29" i="26"/>
  <c r="M29" i="26"/>
  <c r="L29" i="26"/>
  <c r="J29" i="26"/>
  <c r="H29" i="26"/>
  <c r="H28" i="26" s="1"/>
  <c r="G29" i="26"/>
  <c r="M43" i="51" s="1"/>
  <c r="F29" i="26"/>
  <c r="C29" i="26"/>
  <c r="P28" i="26"/>
  <c r="M28" i="26"/>
  <c r="J28" i="26"/>
  <c r="C28" i="26"/>
  <c r="BC25" i="26"/>
  <c r="BD25" i="26" s="1"/>
  <c r="P25" i="26"/>
  <c r="O25" i="26"/>
  <c r="N25" i="26"/>
  <c r="M25" i="26"/>
  <c r="L25" i="26"/>
  <c r="K25" i="26"/>
  <c r="J25" i="26"/>
  <c r="I25" i="26"/>
  <c r="H25" i="26"/>
  <c r="G25" i="26"/>
  <c r="F25" i="26"/>
  <c r="C25" i="26"/>
  <c r="AG23" i="26"/>
  <c r="AC23" i="26"/>
  <c r="Y23" i="26"/>
  <c r="Z23" i="26" s="1"/>
  <c r="O23" i="26"/>
  <c r="AB23" i="26" s="1"/>
  <c r="AH23" i="26" s="1"/>
  <c r="K23" i="26"/>
  <c r="AD23" i="26" s="1"/>
  <c r="D23" i="26"/>
  <c r="AG22" i="26"/>
  <c r="AC22" i="26"/>
  <c r="Y22" i="26"/>
  <c r="Z22" i="26" s="1"/>
  <c r="O22" i="26"/>
  <c r="AB22" i="26" s="1"/>
  <c r="K22" i="26"/>
  <c r="AD22" i="26" s="1"/>
  <c r="F22" i="26"/>
  <c r="F81" i="26" s="1"/>
  <c r="D22" i="26"/>
  <c r="AG21" i="26"/>
  <c r="AD21" i="26"/>
  <c r="AC21" i="26"/>
  <c r="AI21" i="26" s="1"/>
  <c r="Y21" i="26"/>
  <c r="Z21" i="26" s="1"/>
  <c r="O21" i="26"/>
  <c r="AB21" i="26" s="1"/>
  <c r="D21" i="26"/>
  <c r="AG20" i="26"/>
  <c r="AI20" i="26" s="1"/>
  <c r="AE20" i="26"/>
  <c r="Y20" i="26"/>
  <c r="Z20" i="26" s="1"/>
  <c r="O20" i="26"/>
  <c r="K20" i="26"/>
  <c r="I20" i="26"/>
  <c r="G20" i="26"/>
  <c r="D20" i="26"/>
  <c r="AG19" i="26"/>
  <c r="AI19" i="26" s="1"/>
  <c r="AE19" i="26"/>
  <c r="Y19" i="26"/>
  <c r="Z19" i="26" s="1"/>
  <c r="O19" i="26"/>
  <c r="K19" i="26"/>
  <c r="I19" i="26"/>
  <c r="D19" i="26"/>
  <c r="AG18" i="26"/>
  <c r="AC18" i="26"/>
  <c r="Y18" i="26"/>
  <c r="Z18" i="26" s="1"/>
  <c r="O18" i="26"/>
  <c r="AB18" i="26" s="1"/>
  <c r="AH18" i="26" s="1"/>
  <c r="K18" i="26"/>
  <c r="AD18" i="26" s="1"/>
  <c r="D18" i="26"/>
  <c r="AG17" i="26"/>
  <c r="AC17" i="26"/>
  <c r="Y17" i="26"/>
  <c r="Z17" i="26" s="1"/>
  <c r="O17" i="26"/>
  <c r="AB17" i="26" s="1"/>
  <c r="K17" i="26"/>
  <c r="AD17" i="26" s="1"/>
  <c r="AJ17" i="26" s="1"/>
  <c r="D17" i="26"/>
  <c r="AG16" i="26"/>
  <c r="AC16" i="26"/>
  <c r="Y16" i="26"/>
  <c r="Z16" i="26" s="1"/>
  <c r="O16" i="26"/>
  <c r="AB16" i="26" s="1"/>
  <c r="K16" i="26"/>
  <c r="AD16" i="26" s="1"/>
  <c r="D16" i="26"/>
  <c r="AG15" i="26"/>
  <c r="AI15" i="26" s="1"/>
  <c r="AE15" i="26"/>
  <c r="Y15" i="26"/>
  <c r="Z15" i="26" s="1"/>
  <c r="O15" i="26"/>
  <c r="K15" i="26"/>
  <c r="I15" i="26"/>
  <c r="G15" i="26"/>
  <c r="G81" i="26" s="1"/>
  <c r="D15" i="26"/>
  <c r="AG14" i="26"/>
  <c r="AI14" i="26" s="1"/>
  <c r="AE14" i="26"/>
  <c r="Y14" i="26"/>
  <c r="Z14" i="26" s="1"/>
  <c r="O14" i="26"/>
  <c r="K14" i="26"/>
  <c r="I14" i="26"/>
  <c r="D14" i="26"/>
  <c r="AG13" i="26"/>
  <c r="AI13" i="26" s="1"/>
  <c r="AD13" i="26"/>
  <c r="K13" i="26" s="1"/>
  <c r="AZ13" i="26" s="1"/>
  <c r="AB13" i="26"/>
  <c r="O13" i="26" s="1"/>
  <c r="Y13" i="26"/>
  <c r="Z13" i="26" s="1"/>
  <c r="I13" i="26"/>
  <c r="D13" i="26"/>
  <c r="B13" i="26"/>
  <c r="AG12" i="26"/>
  <c r="AC12" i="26"/>
  <c r="Y12" i="26"/>
  <c r="Z12" i="26" s="1"/>
  <c r="O12" i="26"/>
  <c r="K12" i="26"/>
  <c r="K11" i="26" s="1"/>
  <c r="K10" i="26" s="1"/>
  <c r="D12" i="26"/>
  <c r="BC11" i="26"/>
  <c r="BD11" i="26" s="1"/>
  <c r="P11" i="26"/>
  <c r="N11" i="26"/>
  <c r="M11" i="26"/>
  <c r="M10" i="26" s="1"/>
  <c r="M80" i="26" s="1"/>
  <c r="M263" i="26" s="1"/>
  <c r="L11" i="26"/>
  <c r="L10" i="26" s="1"/>
  <c r="J11" i="26"/>
  <c r="I11" i="26"/>
  <c r="I10" i="26" s="1"/>
  <c r="H11" i="26"/>
  <c r="H10" i="26" s="1"/>
  <c r="G11" i="26"/>
  <c r="F11" i="26"/>
  <c r="C11" i="26"/>
  <c r="N10" i="26"/>
  <c r="J10" i="26"/>
  <c r="C10" i="26"/>
  <c r="BC9" i="26"/>
  <c r="AO6" i="26"/>
  <c r="AV3" i="26"/>
  <c r="AW3" i="26" s="1"/>
  <c r="AU3" i="26"/>
  <c r="AW2" i="26"/>
  <c r="I113" i="27" l="1"/>
  <c r="I94" i="27"/>
  <c r="M113" i="27"/>
  <c r="M94" i="27"/>
  <c r="H19" i="51"/>
  <c r="F10" i="26"/>
  <c r="H43" i="51"/>
  <c r="F28" i="26"/>
  <c r="K75" i="26"/>
  <c r="J120" i="26"/>
  <c r="J265" i="26" s="1"/>
  <c r="M107" i="48"/>
  <c r="P162" i="26"/>
  <c r="L250" i="51"/>
  <c r="H83" i="48"/>
  <c r="R83" i="48"/>
  <c r="V250" i="51"/>
  <c r="AD250" i="51" s="1"/>
  <c r="AH250" i="51" s="1"/>
  <c r="AI250" i="51" s="1"/>
  <c r="Q253" i="26"/>
  <c r="H728" i="51"/>
  <c r="M232" i="26"/>
  <c r="M231" i="26" s="1"/>
  <c r="M253" i="26" s="1"/>
  <c r="M272" i="26" s="1"/>
  <c r="Q649" i="51"/>
  <c r="M727" i="51"/>
  <c r="M395" i="48"/>
  <c r="L649" i="51"/>
  <c r="H395" i="48"/>
  <c r="H727" i="51"/>
  <c r="H729" i="51" s="1"/>
  <c r="I19" i="48"/>
  <c r="I18" i="45" s="1"/>
  <c r="P11" i="27"/>
  <c r="AD13" i="27"/>
  <c r="S43" i="48"/>
  <c r="W43" i="51"/>
  <c r="AE43" i="51" s="1"/>
  <c r="AB33" i="27"/>
  <c r="AH33" i="27" s="1"/>
  <c r="AJ34" i="27"/>
  <c r="AX34" i="27"/>
  <c r="AH35" i="27"/>
  <c r="AB40" i="27"/>
  <c r="AH40" i="27" s="1"/>
  <c r="AB42" i="27"/>
  <c r="S44" i="48"/>
  <c r="N75" i="27"/>
  <c r="N76" i="27" s="1"/>
  <c r="S102" i="48"/>
  <c r="W213" i="51"/>
  <c r="AE213" i="51" s="1"/>
  <c r="AH213" i="51" s="1"/>
  <c r="AI213" i="51" s="1"/>
  <c r="L213" i="51"/>
  <c r="I102" i="48"/>
  <c r="I108" i="48"/>
  <c r="L219" i="51"/>
  <c r="F86" i="27"/>
  <c r="H86" i="27"/>
  <c r="J86" i="27"/>
  <c r="L86" i="27"/>
  <c r="N86" i="27"/>
  <c r="P86" i="27"/>
  <c r="I107" i="48"/>
  <c r="I106" i="45" s="1"/>
  <c r="AH135" i="27"/>
  <c r="AX136" i="27"/>
  <c r="G147" i="27"/>
  <c r="G136" i="27" s="1"/>
  <c r="I147" i="27"/>
  <c r="I136" i="27" s="1"/>
  <c r="K147" i="27"/>
  <c r="K136" i="27" s="1"/>
  <c r="M147" i="27"/>
  <c r="M136" i="27" s="1"/>
  <c r="O147" i="27"/>
  <c r="O136" i="27" s="1"/>
  <c r="AH155" i="27"/>
  <c r="AJ155" i="27"/>
  <c r="AX155" i="27"/>
  <c r="AX162" i="27"/>
  <c r="H164" i="27"/>
  <c r="L164" i="27"/>
  <c r="P164" i="27"/>
  <c r="AX175" i="27"/>
  <c r="AX176" i="27"/>
  <c r="AX178" i="27"/>
  <c r="AX180" i="27"/>
  <c r="AH182" i="27"/>
  <c r="AX183" i="27"/>
  <c r="AX184" i="27"/>
  <c r="H185" i="27"/>
  <c r="H184" i="27" s="1"/>
  <c r="H205" i="27" s="1"/>
  <c r="L185" i="27"/>
  <c r="L184" i="27" s="1"/>
  <c r="L205" i="27" s="1"/>
  <c r="AH190" i="27"/>
  <c r="AX190" i="27"/>
  <c r="AH191" i="27"/>
  <c r="AX191" i="27"/>
  <c r="S395" i="48"/>
  <c r="W617" i="51"/>
  <c r="AE617" i="51" s="1"/>
  <c r="AH617" i="51" s="1"/>
  <c r="AI617" i="51" s="1"/>
  <c r="AJ617" i="51" s="1"/>
  <c r="AJ193" i="27"/>
  <c r="AH194" i="27"/>
  <c r="AH195" i="27"/>
  <c r="AX195" i="27"/>
  <c r="AH196" i="27"/>
  <c r="AX196" i="27"/>
  <c r="AH197" i="27"/>
  <c r="AX197" i="27"/>
  <c r="AX200" i="27"/>
  <c r="Q207" i="27"/>
  <c r="Q206" i="27" s="1"/>
  <c r="Q230" i="27" s="1"/>
  <c r="AH208" i="27"/>
  <c r="W614" i="51"/>
  <c r="AE614" i="51" s="1"/>
  <c r="AH614" i="51" s="1"/>
  <c r="AI614" i="51" s="1"/>
  <c r="AJ614" i="51" s="1"/>
  <c r="S727" i="51"/>
  <c r="S392" i="48"/>
  <c r="AJ211" i="27"/>
  <c r="AJ212" i="27"/>
  <c r="AX217" i="27"/>
  <c r="AH218" i="27"/>
  <c r="AX218" i="27"/>
  <c r="AH220" i="27"/>
  <c r="AX220" i="27"/>
  <c r="AJ222" i="27"/>
  <c r="AH223" i="27"/>
  <c r="AJ223" i="27"/>
  <c r="AX223" i="27"/>
  <c r="AX224" i="27"/>
  <c r="AJ227" i="27"/>
  <c r="AH228" i="27"/>
  <c r="AX228" i="27"/>
  <c r="I20" i="12"/>
  <c r="N3" i="40"/>
  <c r="N4" i="40" s="1"/>
  <c r="E56" i="40"/>
  <c r="L56" i="40" s="1"/>
  <c r="L57" i="40"/>
  <c r="L49" i="40"/>
  <c r="E48" i="40"/>
  <c r="G187" i="40"/>
  <c r="K26" i="37" s="1"/>
  <c r="G218" i="40"/>
  <c r="L89" i="40"/>
  <c r="E218" i="40" s="1"/>
  <c r="E137" i="40"/>
  <c r="L137" i="40" s="1"/>
  <c r="G200" i="40"/>
  <c r="K39" i="37" s="1"/>
  <c r="L138" i="40"/>
  <c r="L13" i="40"/>
  <c r="E192" i="40" s="1"/>
  <c r="E12" i="40"/>
  <c r="L12" i="40" s="1"/>
  <c r="G192" i="40"/>
  <c r="K31" i="37" s="1"/>
  <c r="L33" i="40"/>
  <c r="E32" i="40"/>
  <c r="G195" i="40"/>
  <c r="K34" i="37" s="1"/>
  <c r="E38" i="40"/>
  <c r="L39" i="40"/>
  <c r="E64" i="40"/>
  <c r="L65" i="40"/>
  <c r="L86" i="40"/>
  <c r="E222" i="40" s="1"/>
  <c r="E85" i="40"/>
  <c r="L85" i="40" s="1"/>
  <c r="G222" i="40"/>
  <c r="L90" i="40"/>
  <c r="G227" i="40"/>
  <c r="L99" i="40"/>
  <c r="E217" i="40" s="1"/>
  <c r="G217" i="40"/>
  <c r="E162" i="40"/>
  <c r="L162" i="40" s="1"/>
  <c r="L163" i="40"/>
  <c r="E193" i="40" s="1"/>
  <c r="G193" i="40"/>
  <c r="K32" i="37" s="1"/>
  <c r="O11" i="26"/>
  <c r="O10" i="26" s="1"/>
  <c r="AH15" i="26"/>
  <c r="F102" i="26"/>
  <c r="F264" i="26" s="1"/>
  <c r="G83" i="26"/>
  <c r="I83" i="26"/>
  <c r="K83" i="26"/>
  <c r="M83" i="26"/>
  <c r="O83" i="26"/>
  <c r="G90" i="26"/>
  <c r="I90" i="26"/>
  <c r="H90" i="26"/>
  <c r="L90" i="26"/>
  <c r="N90" i="26"/>
  <c r="N102" i="26" s="1"/>
  <c r="N264" i="26" s="1"/>
  <c r="P90" i="26"/>
  <c r="V218" i="51"/>
  <c r="AD218" i="51" s="1"/>
  <c r="AZ98" i="26"/>
  <c r="G113" i="26"/>
  <c r="M101" i="51"/>
  <c r="V101" i="51"/>
  <c r="AD101" i="51" s="1"/>
  <c r="L274" i="51"/>
  <c r="H107" i="48"/>
  <c r="R107" i="48"/>
  <c r="V274" i="51"/>
  <c r="AD274" i="51" s="1"/>
  <c r="G144" i="26"/>
  <c r="M77" i="51"/>
  <c r="P144" i="26"/>
  <c r="R77" i="51"/>
  <c r="V77" i="51" s="1"/>
  <c r="AD77" i="51" s="1"/>
  <c r="Q250" i="51"/>
  <c r="M83" i="48"/>
  <c r="K170" i="26"/>
  <c r="K163" i="26" s="1"/>
  <c r="AZ171" i="26"/>
  <c r="F173" i="26"/>
  <c r="J173" i="26"/>
  <c r="L173" i="26"/>
  <c r="L162" i="26" s="1"/>
  <c r="N173" i="26"/>
  <c r="G173" i="26"/>
  <c r="M173" i="26"/>
  <c r="O173" i="26"/>
  <c r="AZ181" i="26"/>
  <c r="K182" i="26"/>
  <c r="K180" i="26" s="1"/>
  <c r="G193" i="26"/>
  <c r="G203" i="26" s="1"/>
  <c r="G270" i="26" s="1"/>
  <c r="I193" i="26"/>
  <c r="M193" i="26"/>
  <c r="V306" i="51"/>
  <c r="AD306" i="51" s="1"/>
  <c r="AH306" i="51" s="1"/>
  <c r="AI306" i="51" s="1"/>
  <c r="AJ306" i="51" s="1"/>
  <c r="AH210" i="26"/>
  <c r="V649" i="51"/>
  <c r="AD649" i="51" s="1"/>
  <c r="AH649" i="51" s="1"/>
  <c r="AI649" i="51" s="1"/>
  <c r="AJ649" i="51" s="1"/>
  <c r="R395" i="48"/>
  <c r="R727" i="51"/>
  <c r="N19" i="48"/>
  <c r="N18" i="45" s="1"/>
  <c r="AW13" i="27"/>
  <c r="AX16" i="27"/>
  <c r="AB27" i="27"/>
  <c r="AH27" i="27" s="1"/>
  <c r="AB29" i="27"/>
  <c r="AH29" i="27" s="1"/>
  <c r="AB31" i="27"/>
  <c r="AX36" i="27"/>
  <c r="AB38" i="27"/>
  <c r="F45" i="27"/>
  <c r="G45" i="27"/>
  <c r="N44" i="51" s="1"/>
  <c r="N44" i="48" s="1"/>
  <c r="N43" i="45" s="1"/>
  <c r="AJ46" i="27"/>
  <c r="AX52" i="27"/>
  <c r="AH54" i="27"/>
  <c r="W218" i="51"/>
  <c r="AE218" i="51" s="1"/>
  <c r="AX70" i="27"/>
  <c r="S108" i="48"/>
  <c r="W219" i="51"/>
  <c r="AE219" i="51" s="1"/>
  <c r="AH219" i="51" s="1"/>
  <c r="AI219" i="51" s="1"/>
  <c r="AX77" i="27"/>
  <c r="AX78" i="27"/>
  <c r="N107" i="48"/>
  <c r="N106" i="45" s="1"/>
  <c r="S107" i="48"/>
  <c r="W274" i="51"/>
  <c r="AE274" i="51" s="1"/>
  <c r="AJ111" i="27"/>
  <c r="AX113" i="27"/>
  <c r="AX115" i="27"/>
  <c r="AX116" i="27"/>
  <c r="W101" i="51"/>
  <c r="AE101" i="51" s="1"/>
  <c r="L617" i="51"/>
  <c r="I395" i="48"/>
  <c r="I395" i="45" s="1"/>
  <c r="I727" i="51"/>
  <c r="AJ228" i="27"/>
  <c r="E51" i="40"/>
  <c r="L52" i="40"/>
  <c r="E81" i="40"/>
  <c r="G216" i="40"/>
  <c r="L82" i="40"/>
  <c r="E216" i="40" s="1"/>
  <c r="L102" i="40"/>
  <c r="E101" i="40"/>
  <c r="G219" i="40"/>
  <c r="L120" i="40"/>
  <c r="E225" i="40" s="1"/>
  <c r="G225" i="40"/>
  <c r="L141" i="40"/>
  <c r="E140" i="40"/>
  <c r="L140" i="40" s="1"/>
  <c r="G199" i="40"/>
  <c r="K38" i="37" s="1"/>
  <c r="L150" i="40"/>
  <c r="E199" i="40" s="1"/>
  <c r="G223" i="40"/>
  <c r="L84" i="40"/>
  <c r="E223" i="40" s="1"/>
  <c r="E113" i="40"/>
  <c r="L113" i="40" s="1"/>
  <c r="L114" i="40"/>
  <c r="E196" i="40" s="1"/>
  <c r="G196" i="40"/>
  <c r="K35" i="37" s="1"/>
  <c r="L124" i="40"/>
  <c r="E123" i="40"/>
  <c r="G224" i="40"/>
  <c r="E132" i="40"/>
  <c r="L132" i="40" s="1"/>
  <c r="L133" i="40"/>
  <c r="E224" i="40" s="1"/>
  <c r="L153" i="40"/>
  <c r="E198" i="40" s="1"/>
  <c r="E152" i="40"/>
  <c r="L152" i="40" s="1"/>
  <c r="G198" i="40"/>
  <c r="E9" i="40"/>
  <c r="L10" i="40"/>
  <c r="E214" i="40" s="1"/>
  <c r="G214" i="40"/>
  <c r="E28" i="40"/>
  <c r="G191" i="40"/>
  <c r="K30" i="37" s="1"/>
  <c r="L29" i="40"/>
  <c r="E191" i="40" s="1"/>
  <c r="E41" i="40"/>
  <c r="L41" i="40" s="1"/>
  <c r="L42" i="40"/>
  <c r="E76" i="40"/>
  <c r="L77" i="40"/>
  <c r="E201" i="40" s="1"/>
  <c r="G201" i="40"/>
  <c r="K40" i="37" s="1"/>
  <c r="E92" i="40"/>
  <c r="L92" i="40" s="1"/>
  <c r="L93" i="40"/>
  <c r="E215" i="40" s="1"/>
  <c r="G215" i="40"/>
  <c r="L108" i="40"/>
  <c r="E107" i="40"/>
  <c r="L107" i="40" s="1"/>
  <c r="L147" i="40"/>
  <c r="E221" i="40" s="1"/>
  <c r="E146" i="40"/>
  <c r="L146" i="40" s="1"/>
  <c r="G221" i="40"/>
  <c r="AX182" i="27"/>
  <c r="V43" i="51"/>
  <c r="R43" i="48"/>
  <c r="Q44" i="51"/>
  <c r="M44" i="48"/>
  <c r="V44" i="51"/>
  <c r="R44" i="48"/>
  <c r="V49" i="51"/>
  <c r="R49" i="48"/>
  <c r="M43" i="48"/>
  <c r="AU217" i="27"/>
  <c r="AU228" i="27"/>
  <c r="H80" i="26"/>
  <c r="H263" i="26" s="1"/>
  <c r="G10" i="26"/>
  <c r="G80" i="26" s="1"/>
  <c r="M19" i="51"/>
  <c r="AW1" i="26"/>
  <c r="AH16" i="26"/>
  <c r="AH17" i="26"/>
  <c r="AI17" i="26"/>
  <c r="AH19" i="26"/>
  <c r="AI22" i="26"/>
  <c r="AJ23" i="26"/>
  <c r="AJ30" i="26"/>
  <c r="AI31" i="26"/>
  <c r="AJ32" i="26"/>
  <c r="AI33" i="26"/>
  <c r="AJ34" i="26"/>
  <c r="P10" i="26"/>
  <c r="R19" i="51"/>
  <c r="R19" i="48" s="1"/>
  <c r="R18" i="45" s="1"/>
  <c r="J9" i="26"/>
  <c r="G28" i="26"/>
  <c r="M49" i="51"/>
  <c r="L28" i="26"/>
  <c r="N28" i="26"/>
  <c r="N9" i="26" s="1"/>
  <c r="H102" i="26"/>
  <c r="H264" i="26" s="1"/>
  <c r="L82" i="26"/>
  <c r="P82" i="26"/>
  <c r="G140" i="26"/>
  <c r="G266" i="26" s="1"/>
  <c r="I129" i="26"/>
  <c r="I173" i="26"/>
  <c r="I162" i="26" s="1"/>
  <c r="I208" i="26" s="1"/>
  <c r="AJ35" i="26"/>
  <c r="I29" i="26"/>
  <c r="I28" i="26" s="1"/>
  <c r="I80" i="26" s="1"/>
  <c r="AI42" i="26"/>
  <c r="AJ43" i="26"/>
  <c r="AI44" i="26"/>
  <c r="AJ45" i="26"/>
  <c r="AI46" i="26"/>
  <c r="AJ47" i="26"/>
  <c r="AH54" i="26"/>
  <c r="AH55" i="26"/>
  <c r="AI55" i="26"/>
  <c r="AI63" i="26"/>
  <c r="AJ67" i="26"/>
  <c r="AH69" i="26"/>
  <c r="AI76" i="26"/>
  <c r="AJ78" i="26"/>
  <c r="AH80" i="26"/>
  <c r="J105" i="26"/>
  <c r="F120" i="26"/>
  <c r="F265" i="26" s="1"/>
  <c r="H106" i="26"/>
  <c r="H105" i="26" s="1"/>
  <c r="L106" i="26"/>
  <c r="P106" i="26"/>
  <c r="P105" i="26" s="1"/>
  <c r="P207" i="26" s="1"/>
  <c r="L113" i="26"/>
  <c r="N113" i="26"/>
  <c r="N105" i="26" s="1"/>
  <c r="P113" i="26"/>
  <c r="F129" i="26"/>
  <c r="F121" i="26" s="1"/>
  <c r="F208" i="26" s="1"/>
  <c r="H129" i="26"/>
  <c r="J129" i="26"/>
  <c r="J121" i="26" s="1"/>
  <c r="J208" i="26" s="1"/>
  <c r="N129" i="26"/>
  <c r="N121" i="26" s="1"/>
  <c r="M129" i="26"/>
  <c r="O129" i="26"/>
  <c r="AH142" i="26"/>
  <c r="I161" i="26"/>
  <c r="I267" i="26" s="1"/>
  <c r="P161" i="26"/>
  <c r="P267" i="26" s="1"/>
  <c r="AI146" i="26"/>
  <c r="F151" i="26"/>
  <c r="F161" i="26" s="1"/>
  <c r="F267" i="26" s="1"/>
  <c r="H151" i="26"/>
  <c r="H161" i="26" s="1"/>
  <c r="J151" i="26"/>
  <c r="J143" i="26" s="1"/>
  <c r="J207" i="26" s="1"/>
  <c r="L151" i="26"/>
  <c r="L143" i="26" s="1"/>
  <c r="N151" i="26"/>
  <c r="N143" i="26" s="1"/>
  <c r="N207" i="26" s="1"/>
  <c r="P151" i="26"/>
  <c r="P143" i="26" s="1"/>
  <c r="G204" i="26"/>
  <c r="F193" i="26"/>
  <c r="H193" i="26"/>
  <c r="J193" i="26"/>
  <c r="AH227" i="26"/>
  <c r="AH231" i="26"/>
  <c r="G232" i="26"/>
  <c r="G231" i="26" s="1"/>
  <c r="M728" i="51" s="1"/>
  <c r="AI245" i="26"/>
  <c r="AD245" i="26"/>
  <c r="AJ245" i="26" s="1"/>
  <c r="AH246" i="26"/>
  <c r="AJ246" i="26"/>
  <c r="AI247" i="26"/>
  <c r="AU53" i="27"/>
  <c r="AU115" i="27"/>
  <c r="AU116" i="27"/>
  <c r="AU36" i="27"/>
  <c r="AU25" i="27"/>
  <c r="AU183" i="27"/>
  <c r="AU190" i="27"/>
  <c r="AU191" i="27"/>
  <c r="AU164" i="27"/>
  <c r="AU195" i="27"/>
  <c r="AX28" i="27"/>
  <c r="AU34" i="27"/>
  <c r="AU222" i="27"/>
  <c r="AU226" i="27"/>
  <c r="G102" i="26"/>
  <c r="G264" i="26" s="1"/>
  <c r="G82" i="26"/>
  <c r="I102" i="26"/>
  <c r="I264" i="26" s="1"/>
  <c r="I82" i="26"/>
  <c r="H120" i="26"/>
  <c r="H265" i="26" s="1"/>
  <c r="L120" i="26"/>
  <c r="L265" i="26" s="1"/>
  <c r="L105" i="26"/>
  <c r="P120" i="26"/>
  <c r="P265" i="26" s="1"/>
  <c r="F140" i="26"/>
  <c r="H140" i="26"/>
  <c r="H266" i="26" s="1"/>
  <c r="H121" i="26"/>
  <c r="J140" i="26"/>
  <c r="L140" i="26"/>
  <c r="L266" i="26" s="1"/>
  <c r="L121" i="26"/>
  <c r="P140" i="26"/>
  <c r="P266" i="26" s="1"/>
  <c r="P121" i="26"/>
  <c r="L80" i="26"/>
  <c r="L263" i="26" s="1"/>
  <c r="L102" i="26"/>
  <c r="L264" i="26" s="1"/>
  <c r="P102" i="26"/>
  <c r="P264" i="26" s="1"/>
  <c r="F141" i="26"/>
  <c r="I140" i="26"/>
  <c r="I266" i="26" s="1"/>
  <c r="N140" i="26"/>
  <c r="N266" i="26" s="1"/>
  <c r="J161" i="26"/>
  <c r="J267" i="26" s="1"/>
  <c r="J185" i="26"/>
  <c r="J268" i="26" s="1"/>
  <c r="AH22" i="26"/>
  <c r="AH31" i="26"/>
  <c r="AH42" i="26"/>
  <c r="AH44" i="26"/>
  <c r="F185" i="26"/>
  <c r="F268" i="26" s="1"/>
  <c r="N185" i="26"/>
  <c r="N268" i="26" s="1"/>
  <c r="AI182" i="26"/>
  <c r="AH182" i="26"/>
  <c r="J80" i="26"/>
  <c r="AJ21" i="26"/>
  <c r="AH49" i="26"/>
  <c r="AI49" i="26"/>
  <c r="AH53" i="26"/>
  <c r="AI53" i="26"/>
  <c r="AH57" i="26"/>
  <c r="AI57" i="26"/>
  <c r="AH61" i="26"/>
  <c r="AI61" i="26"/>
  <c r="AJ63" i="26"/>
  <c r="AI65" i="26"/>
  <c r="AJ68" i="26"/>
  <c r="F82" i="26"/>
  <c r="H82" i="26"/>
  <c r="J82" i="26"/>
  <c r="N82" i="26"/>
  <c r="M90" i="26"/>
  <c r="M82" i="26" s="1"/>
  <c r="O90" i="26"/>
  <c r="O82" i="26" s="1"/>
  <c r="AI100" i="26"/>
  <c r="AH105" i="26"/>
  <c r="AI115" i="26"/>
  <c r="G121" i="26"/>
  <c r="I121" i="26"/>
  <c r="M122" i="26"/>
  <c r="O122" i="26"/>
  <c r="O140" i="26" s="1"/>
  <c r="O266" i="26" s="1"/>
  <c r="AZ137" i="26"/>
  <c r="AZ138" i="26"/>
  <c r="AH139" i="26"/>
  <c r="F143" i="26"/>
  <c r="G161" i="26"/>
  <c r="G267" i="26" s="1"/>
  <c r="N161" i="26"/>
  <c r="F162" i="26"/>
  <c r="J162" i="26"/>
  <c r="N162" i="26"/>
  <c r="H185" i="26"/>
  <c r="H268" i="26" s="1"/>
  <c r="L185" i="26"/>
  <c r="L268" i="26" s="1"/>
  <c r="P185" i="26"/>
  <c r="G185" i="26"/>
  <c r="G268" i="26" s="1"/>
  <c r="G162" i="26"/>
  <c r="I185" i="26"/>
  <c r="M185" i="26"/>
  <c r="M162" i="26"/>
  <c r="O185" i="26"/>
  <c r="O162" i="26"/>
  <c r="K173" i="26"/>
  <c r="M203" i="26"/>
  <c r="M270" i="26" s="1"/>
  <c r="M192" i="26"/>
  <c r="AI203" i="26"/>
  <c r="AH203" i="26"/>
  <c r="AD213" i="26"/>
  <c r="AJ213" i="26" s="1"/>
  <c r="AI248" i="26"/>
  <c r="AI250" i="26"/>
  <c r="AH171" i="26"/>
  <c r="AI181" i="26"/>
  <c r="M204" i="26"/>
  <c r="O193" i="26"/>
  <c r="L193" i="26"/>
  <c r="L203" i="26" s="1"/>
  <c r="L270" i="26" s="1"/>
  <c r="N193" i="26"/>
  <c r="N203" i="26" s="1"/>
  <c r="N270" i="26" s="1"/>
  <c r="P193" i="26"/>
  <c r="P203" i="26" s="1"/>
  <c r="P270" i="26" s="1"/>
  <c r="AI201" i="26"/>
  <c r="AH221" i="26"/>
  <c r="AH223" i="26"/>
  <c r="AI224" i="26"/>
  <c r="AJ225" i="26"/>
  <c r="AJ227" i="26"/>
  <c r="AI228" i="26"/>
  <c r="AD228" i="26"/>
  <c r="AJ228" i="26" s="1"/>
  <c r="AH229" i="26"/>
  <c r="AJ229" i="26"/>
  <c r="F232" i="26"/>
  <c r="F231" i="26" s="1"/>
  <c r="F253" i="26" s="1"/>
  <c r="F272" i="26" s="1"/>
  <c r="H232" i="26"/>
  <c r="H231" i="26" s="1"/>
  <c r="H253" i="26" s="1"/>
  <c r="H272" i="26" s="1"/>
  <c r="L232" i="26"/>
  <c r="L231" i="26" s="1"/>
  <c r="L253" i="26" s="1"/>
  <c r="L272" i="26" s="1"/>
  <c r="N232" i="26"/>
  <c r="N231" i="26" s="1"/>
  <c r="N253" i="26" s="1"/>
  <c r="N272" i="26" s="1"/>
  <c r="K233" i="26"/>
  <c r="I233" i="26"/>
  <c r="O233" i="26"/>
  <c r="O232" i="26" s="1"/>
  <c r="O231" i="26" s="1"/>
  <c r="O253" i="26" s="1"/>
  <c r="O272" i="26" s="1"/>
  <c r="AJ237" i="26"/>
  <c r="G253" i="26"/>
  <c r="G272" i="26" s="1"/>
  <c r="AI238" i="26"/>
  <c r="AD238" i="26"/>
  <c r="AJ238" i="26" s="1"/>
  <c r="AB238" i="26"/>
  <c r="AH239" i="26"/>
  <c r="AJ239" i="26"/>
  <c r="AB245" i="26"/>
  <c r="AH245" i="26" s="1"/>
  <c r="AD247" i="26"/>
  <c r="AJ247" i="26" s="1"/>
  <c r="AB247" i="26"/>
  <c r="AH248" i="26"/>
  <c r="AJ248" i="26"/>
  <c r="AI249" i="26"/>
  <c r="AK249" i="26" s="1"/>
  <c r="AD249" i="26"/>
  <c r="AJ249" i="26" s="1"/>
  <c r="AH250" i="26"/>
  <c r="AJ250" i="26"/>
  <c r="AD251" i="26"/>
  <c r="AJ251" i="26" s="1"/>
  <c r="AB251" i="26"/>
  <c r="AH251" i="26" s="1"/>
  <c r="AE252" i="26"/>
  <c r="AM252" i="26" s="1"/>
  <c r="P80" i="26"/>
  <c r="P9" i="26"/>
  <c r="M140" i="26"/>
  <c r="M266" i="26" s="1"/>
  <c r="M121" i="26"/>
  <c r="M208" i="26" s="1"/>
  <c r="O121" i="26"/>
  <c r="I203" i="26"/>
  <c r="I270" i="26" s="1"/>
  <c r="I192" i="26"/>
  <c r="O203" i="26"/>
  <c r="O270" i="26" s="1"/>
  <c r="O192" i="26"/>
  <c r="H9" i="26"/>
  <c r="L9" i="26"/>
  <c r="AI12" i="26"/>
  <c r="I81" i="26"/>
  <c r="AJ13" i="26"/>
  <c r="AJ15" i="26"/>
  <c r="AJ16" i="26"/>
  <c r="AI16" i="26"/>
  <c r="AK16" i="26" s="1"/>
  <c r="AJ18" i="26"/>
  <c r="AI18" i="26"/>
  <c r="AJ19" i="26"/>
  <c r="AJ22" i="26"/>
  <c r="AI23" i="26"/>
  <c r="AK30" i="26"/>
  <c r="AI30" i="26"/>
  <c r="AJ31" i="26"/>
  <c r="AI32" i="26"/>
  <c r="AK32" i="26" s="1"/>
  <c r="AJ33" i="26"/>
  <c r="AI34" i="26"/>
  <c r="AK34" i="26" s="1"/>
  <c r="AK35" i="26"/>
  <c r="AJ42" i="26"/>
  <c r="AI43" i="26"/>
  <c r="AJ44" i="26"/>
  <c r="AI45" i="26"/>
  <c r="AJ46" i="26"/>
  <c r="AI47" i="26"/>
  <c r="AJ48" i="26"/>
  <c r="AI48" i="26"/>
  <c r="AJ50" i="26"/>
  <c r="AI50" i="26"/>
  <c r="AK50" i="26" s="1"/>
  <c r="AJ52" i="26"/>
  <c r="AI52" i="26"/>
  <c r="AJ54" i="26"/>
  <c r="AI54" i="26"/>
  <c r="AK54" i="26" s="1"/>
  <c r="AJ56" i="26"/>
  <c r="AI56" i="26"/>
  <c r="AH58" i="26"/>
  <c r="AH60" i="26"/>
  <c r="AJ62" i="26"/>
  <c r="AJ65" i="26"/>
  <c r="AJ66" i="26"/>
  <c r="AJ72" i="26"/>
  <c r="AJ73" i="26"/>
  <c r="AI73" i="26"/>
  <c r="AI77" i="26"/>
  <c r="AH77" i="26"/>
  <c r="AI78" i="26"/>
  <c r="AK78" i="26" s="1"/>
  <c r="AJ80" i="26"/>
  <c r="M102" i="26"/>
  <c r="O102" i="26"/>
  <c r="O264" i="26" s="1"/>
  <c r="K97" i="26"/>
  <c r="K90" i="26" s="1"/>
  <c r="K82" i="26" s="1"/>
  <c r="AH98" i="26"/>
  <c r="AJ99" i="26"/>
  <c r="AI99" i="26"/>
  <c r="AH104" i="26"/>
  <c r="AJ105" i="26"/>
  <c r="K136" i="26"/>
  <c r="K129" i="26" s="1"/>
  <c r="AH137" i="26"/>
  <c r="AH138" i="26"/>
  <c r="AJ139" i="26"/>
  <c r="AJ142" i="26"/>
  <c r="AH143" i="26"/>
  <c r="G143" i="26"/>
  <c r="I143" i="26"/>
  <c r="M143" i="26"/>
  <c r="O143" i="26"/>
  <c r="AH161" i="26"/>
  <c r="AJ181" i="26"/>
  <c r="AJ182" i="26"/>
  <c r="AI183" i="26"/>
  <c r="AH183" i="26"/>
  <c r="AI187" i="26"/>
  <c r="AH187" i="26"/>
  <c r="O204" i="26"/>
  <c r="G192" i="26"/>
  <c r="G208" i="26" s="1"/>
  <c r="AI192" i="26"/>
  <c r="AH192" i="26"/>
  <c r="AK250" i="26"/>
  <c r="AK18" i="26"/>
  <c r="AK19" i="26"/>
  <c r="AK22" i="26"/>
  <c r="AK42" i="26"/>
  <c r="AK44" i="26"/>
  <c r="AK46" i="26"/>
  <c r="AK48" i="26"/>
  <c r="AK52" i="26"/>
  <c r="AK56" i="26"/>
  <c r="AJ58" i="26"/>
  <c r="AJ60" i="26"/>
  <c r="AI68" i="26"/>
  <c r="AJ69" i="26"/>
  <c r="AK69" i="26" s="1"/>
  <c r="AJ98" i="26"/>
  <c r="AJ104" i="26"/>
  <c r="AJ137" i="26"/>
  <c r="AJ138" i="26"/>
  <c r="AJ143" i="26"/>
  <c r="AJ161" i="26"/>
  <c r="AI185" i="26"/>
  <c r="AH185" i="26"/>
  <c r="AI188" i="26"/>
  <c r="AH188" i="26"/>
  <c r="AI202" i="26"/>
  <c r="AK251" i="26"/>
  <c r="L204" i="26"/>
  <c r="N204" i="26"/>
  <c r="P204" i="26"/>
  <c r="K193" i="26"/>
  <c r="AH202" i="26"/>
  <c r="AJ202" i="26"/>
  <c r="AJ203" i="26"/>
  <c r="AK203" i="26" s="1"/>
  <c r="AJ210" i="26"/>
  <c r="AK210" i="26" s="1"/>
  <c r="I213" i="26"/>
  <c r="I212" i="26" s="1"/>
  <c r="I230" i="26" s="1"/>
  <c r="I271" i="26" s="1"/>
  <c r="AI214" i="26"/>
  <c r="AD216" i="26"/>
  <c r="AJ216" i="26" s="1"/>
  <c r="AB216" i="26"/>
  <c r="AI217" i="26"/>
  <c r="AB218" i="26"/>
  <c r="AD220" i="26"/>
  <c r="AJ220" i="26" s="1"/>
  <c r="AB220" i="26"/>
  <c r="AI222" i="26"/>
  <c r="AI226" i="26"/>
  <c r="AD226" i="26"/>
  <c r="AJ226" i="26" s="1"/>
  <c r="AJ231" i="26"/>
  <c r="AK231" i="26" s="1"/>
  <c r="J232" i="26"/>
  <c r="AZ234" i="26"/>
  <c r="AH234" i="26"/>
  <c r="AH236" i="26"/>
  <c r="AJ236" i="26"/>
  <c r="AD240" i="26"/>
  <c r="AJ240" i="26" s="1"/>
  <c r="AB240" i="26"/>
  <c r="AH241" i="26"/>
  <c r="AJ241" i="26"/>
  <c r="AI242" i="26"/>
  <c r="AD242" i="26"/>
  <c r="AJ242" i="26" s="1"/>
  <c r="AB242" i="26"/>
  <c r="AI243" i="26"/>
  <c r="AJ243" i="26"/>
  <c r="AI244" i="26"/>
  <c r="AJ244" i="26"/>
  <c r="AK244" i="26" s="1"/>
  <c r="AE246" i="26"/>
  <c r="AM246" i="26" s="1"/>
  <c r="AI246" i="26"/>
  <c r="AK246" i="26" s="1"/>
  <c r="AE248" i="26"/>
  <c r="AM248" i="26" s="1"/>
  <c r="AE250" i="26"/>
  <c r="AM250" i="26" s="1"/>
  <c r="AI252" i="26"/>
  <c r="AK252" i="26" s="1"/>
  <c r="AH253" i="26"/>
  <c r="AJ253" i="26"/>
  <c r="AK217" i="26"/>
  <c r="AJ234" i="26"/>
  <c r="AK237" i="26"/>
  <c r="AI240" i="26"/>
  <c r="AI241" i="26"/>
  <c r="AK243" i="26"/>
  <c r="AX111" i="27"/>
  <c r="AU162" i="27"/>
  <c r="AU177" i="27"/>
  <c r="AU186" i="27"/>
  <c r="AU196" i="27"/>
  <c r="AU197" i="27"/>
  <c r="AU200" i="27"/>
  <c r="AU210" i="27"/>
  <c r="AU212" i="27"/>
  <c r="AU218" i="27"/>
  <c r="AU220" i="27"/>
  <c r="AU227" i="27"/>
  <c r="AU229" i="27"/>
  <c r="AU30" i="27"/>
  <c r="AU37" i="27"/>
  <c r="AI13" i="27"/>
  <c r="F157" i="27"/>
  <c r="F158" i="27" s="1"/>
  <c r="F136" i="27"/>
  <c r="H157" i="27"/>
  <c r="H136" i="27"/>
  <c r="J157" i="27"/>
  <c r="J158" i="27" s="1"/>
  <c r="J136" i="27"/>
  <c r="L157" i="27"/>
  <c r="L136" i="27"/>
  <c r="N157" i="27"/>
  <c r="N158" i="27" s="1"/>
  <c r="N136" i="27"/>
  <c r="P157" i="27"/>
  <c r="AU157" i="27" s="1"/>
  <c r="P136" i="27"/>
  <c r="AU136" i="27" s="1"/>
  <c r="AU12" i="27"/>
  <c r="AJ13" i="27"/>
  <c r="AK35" i="27"/>
  <c r="H158" i="27"/>
  <c r="L158" i="27"/>
  <c r="P158" i="27"/>
  <c r="AX13" i="27"/>
  <c r="AX14" i="27"/>
  <c r="AU16" i="27"/>
  <c r="AI16" i="27"/>
  <c r="AI23" i="27"/>
  <c r="AX23" i="27"/>
  <c r="AU24" i="27"/>
  <c r="AJ25" i="27"/>
  <c r="AX25" i="27"/>
  <c r="AU26" i="27"/>
  <c r="AI27" i="27"/>
  <c r="AI28" i="27"/>
  <c r="AI29" i="27"/>
  <c r="AH31" i="27"/>
  <c r="AJ31" i="27"/>
  <c r="AX31" i="27"/>
  <c r="AU32" i="27"/>
  <c r="AI33" i="27"/>
  <c r="AU35" i="27"/>
  <c r="AH38" i="27"/>
  <c r="AJ38" i="27"/>
  <c r="AX38" i="27"/>
  <c r="AU39" i="27"/>
  <c r="AI40" i="27"/>
  <c r="AI41" i="27"/>
  <c r="AX41" i="27"/>
  <c r="AH43" i="27"/>
  <c r="AK43" i="27" s="1"/>
  <c r="AU43" i="27"/>
  <c r="AU46" i="27"/>
  <c r="AX46" i="27"/>
  <c r="AJ52" i="27"/>
  <c r="AH53" i="27"/>
  <c r="AJ54" i="27"/>
  <c r="H62" i="27"/>
  <c r="H54" i="27" s="1"/>
  <c r="L62" i="27"/>
  <c r="L54" i="27" s="1"/>
  <c r="P62" i="27"/>
  <c r="P54" i="27" s="1"/>
  <c r="F62" i="27"/>
  <c r="AJ67" i="27"/>
  <c r="AU70" i="27"/>
  <c r="AJ70" i="27"/>
  <c r="AX73" i="27"/>
  <c r="AH75" i="27"/>
  <c r="AX75" i="27"/>
  <c r="AX76" i="27"/>
  <c r="AU77" i="27"/>
  <c r="I78" i="27"/>
  <c r="M78" i="27"/>
  <c r="G93" i="27"/>
  <c r="G114" i="27" s="1"/>
  <c r="K93" i="27"/>
  <c r="K114" i="27" s="1"/>
  <c r="O93" i="27"/>
  <c r="G94" i="27"/>
  <c r="K94" i="27"/>
  <c r="AH94" i="27"/>
  <c r="AX94" i="27"/>
  <c r="F113" i="27"/>
  <c r="H113" i="27"/>
  <c r="J113" i="27"/>
  <c r="L113" i="27"/>
  <c r="N113" i="27"/>
  <c r="P113" i="27"/>
  <c r="AU113" i="27" s="1"/>
  <c r="AU110" i="27"/>
  <c r="AU126" i="27"/>
  <c r="AI127" i="27"/>
  <c r="AJ135" i="27"/>
  <c r="AK135" i="27" s="1"/>
  <c r="AU155" i="27"/>
  <c r="AH156" i="27"/>
  <c r="AJ156" i="27"/>
  <c r="AX156" i="27"/>
  <c r="AH157" i="27"/>
  <c r="AX157" i="27"/>
  <c r="AX158" i="27"/>
  <c r="AU159" i="27"/>
  <c r="G176" i="27"/>
  <c r="I176" i="27"/>
  <c r="K176" i="27"/>
  <c r="M176" i="27"/>
  <c r="O176" i="27"/>
  <c r="AH161" i="27"/>
  <c r="AX161" i="27"/>
  <c r="G164" i="27"/>
  <c r="I164" i="27"/>
  <c r="K164" i="27"/>
  <c r="M164" i="27"/>
  <c r="O164" i="27"/>
  <c r="AI164" i="27"/>
  <c r="AH164" i="27"/>
  <c r="AK164" i="27" s="1"/>
  <c r="AI25" i="27"/>
  <c r="AI31" i="27"/>
  <c r="AI38" i="27"/>
  <c r="AK52" i="27"/>
  <c r="AJ53" i="27"/>
  <c r="AK54" i="27"/>
  <c r="I62" i="27"/>
  <c r="I54" i="27" s="1"/>
  <c r="I180" i="27" s="1"/>
  <c r="K62" i="27"/>
  <c r="K54" i="27" s="1"/>
  <c r="K180" i="27" s="1"/>
  <c r="M62" i="27"/>
  <c r="M54" i="27" s="1"/>
  <c r="M180" i="27" s="1"/>
  <c r="O62" i="27"/>
  <c r="O54" i="27" s="1"/>
  <c r="AI73" i="27"/>
  <c r="AJ75" i="27"/>
  <c r="I114" i="27"/>
  <c r="M114" i="27"/>
  <c r="AJ94" i="27"/>
  <c r="AK127" i="27"/>
  <c r="G157" i="27"/>
  <c r="G158" i="27" s="1"/>
  <c r="I157" i="27"/>
  <c r="I158" i="27" s="1"/>
  <c r="K157" i="27"/>
  <c r="K158" i="27" s="1"/>
  <c r="M157" i="27"/>
  <c r="M158" i="27" s="1"/>
  <c r="O157" i="27"/>
  <c r="O158" i="27" s="1"/>
  <c r="AI156" i="27"/>
  <c r="AJ157" i="27"/>
  <c r="AJ161" i="27"/>
  <c r="AX164" i="27"/>
  <c r="AU175" i="27"/>
  <c r="AH174" i="27"/>
  <c r="AJ174" i="27"/>
  <c r="AJ175" i="27"/>
  <c r="AJ182" i="27"/>
  <c r="AJ184" i="27"/>
  <c r="P185" i="27"/>
  <c r="AU185" i="27" s="1"/>
  <c r="AX185" i="27"/>
  <c r="I185" i="27"/>
  <c r="I184" i="27" s="1"/>
  <c r="I205" i="27" s="1"/>
  <c r="K185" i="27"/>
  <c r="K184" i="27" s="1"/>
  <c r="K205" i="27" s="1"/>
  <c r="M185" i="27"/>
  <c r="M184" i="27" s="1"/>
  <c r="M205" i="27" s="1"/>
  <c r="O185" i="27"/>
  <c r="O184" i="27" s="1"/>
  <c r="O205" i="27" s="1"/>
  <c r="Q185" i="27"/>
  <c r="Q184" i="27" s="1"/>
  <c r="Q205" i="27" s="1"/>
  <c r="I728" i="51" s="1"/>
  <c r="AH186" i="27"/>
  <c r="AM186" i="27"/>
  <c r="AU187" i="27"/>
  <c r="AJ189" i="27"/>
  <c r="AJ190" i="27"/>
  <c r="AJ196" i="27"/>
  <c r="AH200" i="27"/>
  <c r="AM200" i="27"/>
  <c r="AI202" i="27"/>
  <c r="AH205" i="27"/>
  <c r="AX207" i="27"/>
  <c r="AJ208" i="27"/>
  <c r="AJ209" i="27"/>
  <c r="AJ215" i="27"/>
  <c r="AH217" i="27"/>
  <c r="AK217" i="27" s="1"/>
  <c r="AJ217" i="27"/>
  <c r="AI221" i="27"/>
  <c r="AM222" i="27"/>
  <c r="AU223" i="27"/>
  <c r="AU224" i="27"/>
  <c r="AH225" i="27"/>
  <c r="AJ225" i="27"/>
  <c r="AX225" i="27"/>
  <c r="AH226" i="27"/>
  <c r="AJ226" i="27"/>
  <c r="AM228" i="27"/>
  <c r="AH229" i="27"/>
  <c r="AJ229" i="27"/>
  <c r="AH230" i="27"/>
  <c r="AK230" i="27" s="1"/>
  <c r="AJ230" i="27"/>
  <c r="AI174" i="27"/>
  <c r="AJ186" i="27"/>
  <c r="AK190" i="27"/>
  <c r="G192" i="27"/>
  <c r="G185" i="27" s="1"/>
  <c r="G184" i="27" s="1"/>
  <c r="G205" i="27" s="1"/>
  <c r="N728" i="51" s="1"/>
  <c r="N729" i="51" s="1"/>
  <c r="AK196" i="27"/>
  <c r="AJ200" i="27"/>
  <c r="AJ205" i="27"/>
  <c r="AI216" i="27"/>
  <c r="AM217" i="27"/>
  <c r="AK222" i="27"/>
  <c r="AI225" i="27"/>
  <c r="AM226" i="27"/>
  <c r="AK228" i="27"/>
  <c r="AH16" i="27"/>
  <c r="AK16" i="27" s="1"/>
  <c r="AE16" i="27"/>
  <c r="AK23" i="27"/>
  <c r="AK27" i="27"/>
  <c r="AK29" i="27"/>
  <c r="AH30" i="27"/>
  <c r="AK30" i="27" s="1"/>
  <c r="AE30" i="27"/>
  <c r="AK33" i="27"/>
  <c r="AH34" i="27"/>
  <c r="AK34" i="27" s="1"/>
  <c r="AE34" i="27"/>
  <c r="AH37" i="27"/>
  <c r="AK37" i="27" s="1"/>
  <c r="AE37" i="27"/>
  <c r="AK40" i="27"/>
  <c r="AH13" i="27"/>
  <c r="AK13" i="27" s="1"/>
  <c r="AE13" i="27"/>
  <c r="AH15" i="27"/>
  <c r="AK15" i="27" s="1"/>
  <c r="AE15" i="27"/>
  <c r="AH24" i="27"/>
  <c r="AK24" i="27" s="1"/>
  <c r="AE24" i="27"/>
  <c r="AH25" i="27"/>
  <c r="AK25" i="27" s="1"/>
  <c r="AE25" i="27"/>
  <c r="AH26" i="27"/>
  <c r="AK26" i="27" s="1"/>
  <c r="AE26" i="27"/>
  <c r="AH28" i="27"/>
  <c r="AK28" i="27" s="1"/>
  <c r="AE28" i="27"/>
  <c r="AH32" i="27"/>
  <c r="AK32" i="27" s="1"/>
  <c r="AE32" i="27"/>
  <c r="AH36" i="27"/>
  <c r="AH39" i="27"/>
  <c r="AK39" i="27" s="1"/>
  <c r="AE39" i="27"/>
  <c r="AH41" i="27"/>
  <c r="AK41" i="27" s="1"/>
  <c r="AE41" i="27"/>
  <c r="AU54" i="27"/>
  <c r="H178" i="27"/>
  <c r="L178" i="27"/>
  <c r="AR12" i="27"/>
  <c r="AR24" i="27"/>
  <c r="AR26" i="27"/>
  <c r="AR28" i="27"/>
  <c r="AU28" i="27"/>
  <c r="AR30" i="27"/>
  <c r="AR32" i="27"/>
  <c r="AR34" i="27"/>
  <c r="AE35" i="27"/>
  <c r="AR37" i="27"/>
  <c r="AR39" i="27"/>
  <c r="AR41" i="27"/>
  <c r="AU41" i="27"/>
  <c r="AH42" i="27"/>
  <c r="AK42" i="27" s="1"/>
  <c r="AE42" i="27"/>
  <c r="AX42" i="27"/>
  <c r="AU42" i="27"/>
  <c r="G73" i="27"/>
  <c r="G72" i="27" s="1"/>
  <c r="N219" i="51" s="1"/>
  <c r="G67" i="27"/>
  <c r="G66" i="27" s="1"/>
  <c r="G53" i="27"/>
  <c r="G21" i="27"/>
  <c r="G52" i="27" s="1"/>
  <c r="AE46" i="27"/>
  <c r="AK46" i="27"/>
  <c r="AE47" i="27"/>
  <c r="AK47" i="27"/>
  <c r="F75" i="27"/>
  <c r="H75" i="27"/>
  <c r="H76" i="27" s="1"/>
  <c r="L75" i="27"/>
  <c r="L76" i="27" s="1"/>
  <c r="P75" i="27"/>
  <c r="AU75" i="27" s="1"/>
  <c r="B70" i="27"/>
  <c r="AR67" i="27"/>
  <c r="AH67" i="27"/>
  <c r="AK67" i="27" s="1"/>
  <c r="AE67" i="27"/>
  <c r="AX67" i="27"/>
  <c r="AU67" i="27"/>
  <c r="F78" i="27"/>
  <c r="F93" i="27"/>
  <c r="F114" i="27" s="1"/>
  <c r="H78" i="27"/>
  <c r="H179" i="27" s="1"/>
  <c r="H93" i="27"/>
  <c r="H114" i="27" s="1"/>
  <c r="J78" i="27"/>
  <c r="J179" i="27" s="1"/>
  <c r="J93" i="27"/>
  <c r="J114" i="27" s="1"/>
  <c r="L78" i="27"/>
  <c r="L179" i="27" s="1"/>
  <c r="L93" i="27"/>
  <c r="L114" i="27" s="1"/>
  <c r="N78" i="27"/>
  <c r="N179" i="27" s="1"/>
  <c r="N93" i="27"/>
  <c r="N114" i="27" s="1"/>
  <c r="P78" i="27"/>
  <c r="AU78" i="27" s="1"/>
  <c r="P93" i="27"/>
  <c r="AU158" i="27"/>
  <c r="AM158" i="27"/>
  <c r="B157" i="27"/>
  <c r="B245" i="27" s="1"/>
  <c r="C245" i="27" s="1"/>
  <c r="AR155" i="27"/>
  <c r="P176" i="27"/>
  <c r="AU163" i="27"/>
  <c r="AK186" i="27"/>
  <c r="AT5" i="27"/>
  <c r="AU5" i="27" s="1"/>
  <c r="I9" i="27"/>
  <c r="K9" i="27"/>
  <c r="M9" i="27"/>
  <c r="O9" i="27"/>
  <c r="AB12" i="27"/>
  <c r="AR13" i="27"/>
  <c r="AU13" i="27"/>
  <c r="AB14" i="27"/>
  <c r="AU14" i="27"/>
  <c r="AU15" i="27"/>
  <c r="AR16" i="27"/>
  <c r="AE23" i="27"/>
  <c r="AU23" i="27"/>
  <c r="AR25" i="27"/>
  <c r="AE27" i="27"/>
  <c r="AU27" i="27"/>
  <c r="AE29" i="27"/>
  <c r="AU29" i="27"/>
  <c r="AE31" i="27"/>
  <c r="AU31" i="27"/>
  <c r="AE33" i="27"/>
  <c r="AU33" i="27"/>
  <c r="AC36" i="27"/>
  <c r="AI36" i="27" s="1"/>
  <c r="AR36" i="27"/>
  <c r="AE38" i="27"/>
  <c r="AU38" i="27"/>
  <c r="AE40" i="27"/>
  <c r="AU40" i="27"/>
  <c r="AE43" i="27"/>
  <c r="AR43" i="27"/>
  <c r="AK53" i="27"/>
  <c r="AX53" i="27"/>
  <c r="F54" i="27"/>
  <c r="J54" i="27"/>
  <c r="N54" i="27"/>
  <c r="N178" i="27" s="1"/>
  <c r="AH70" i="27"/>
  <c r="AK70" i="27" s="1"/>
  <c r="AE70" i="27"/>
  <c r="AH73" i="27"/>
  <c r="AE73" i="27"/>
  <c r="AJ73" i="27"/>
  <c r="AK75" i="27"/>
  <c r="AK94" i="27"/>
  <c r="AH110" i="27"/>
  <c r="AK110" i="27" s="1"/>
  <c r="AE110" i="27"/>
  <c r="AH111" i="27"/>
  <c r="AK111" i="27" s="1"/>
  <c r="AE111" i="27"/>
  <c r="AH126" i="27"/>
  <c r="AK126" i="27" s="1"/>
  <c r="AE126" i="27"/>
  <c r="AK156" i="27"/>
  <c r="AK157" i="27"/>
  <c r="AK161" i="27"/>
  <c r="AR163" i="27"/>
  <c r="AK175" i="27"/>
  <c r="AK182" i="27"/>
  <c r="AK184" i="27"/>
  <c r="AI76" i="27"/>
  <c r="AI77" i="27"/>
  <c r="AI78" i="27"/>
  <c r="AI93" i="27"/>
  <c r="AR110" i="27"/>
  <c r="AI113" i="27"/>
  <c r="AI114" i="27"/>
  <c r="AI115" i="27"/>
  <c r="AI116" i="27"/>
  <c r="AR126" i="27"/>
  <c r="B135" i="27"/>
  <c r="AU135" i="27"/>
  <c r="AI136" i="27"/>
  <c r="AE155" i="27"/>
  <c r="AI158" i="27"/>
  <c r="AI159" i="27"/>
  <c r="AI160" i="27"/>
  <c r="AE162" i="27"/>
  <c r="AI163" i="27"/>
  <c r="AI176" i="27"/>
  <c r="AI177" i="27"/>
  <c r="AI178" i="27"/>
  <c r="AI179" i="27"/>
  <c r="AI180" i="27"/>
  <c r="AI181" i="27"/>
  <c r="AI183" i="27"/>
  <c r="AI185" i="27"/>
  <c r="AE187" i="27"/>
  <c r="AM187" i="27" s="1"/>
  <c r="AK187" i="27"/>
  <c r="AU188" i="27"/>
  <c r="AM188" i="27"/>
  <c r="AJ188" i="27"/>
  <c r="AH188" i="27"/>
  <c r="AH189" i="27"/>
  <c r="AK189" i="27" s="1"/>
  <c r="AE189" i="27"/>
  <c r="AM189" i="27" s="1"/>
  <c r="AX189" i="27"/>
  <c r="AU189" i="27"/>
  <c r="AE191" i="27"/>
  <c r="AM191" i="27" s="1"/>
  <c r="AK191" i="27"/>
  <c r="B193" i="27"/>
  <c r="AH193" i="27"/>
  <c r="AK193" i="27" s="1"/>
  <c r="AE193" i="27"/>
  <c r="AM193" i="27" s="1"/>
  <c r="AU194" i="27"/>
  <c r="AX193" i="27"/>
  <c r="AU193" i="27"/>
  <c r="B194" i="27"/>
  <c r="AE194" i="27"/>
  <c r="AM194" i="27" s="1"/>
  <c r="AK194" i="27"/>
  <c r="AU73" i="27"/>
  <c r="AH76" i="27"/>
  <c r="AH77" i="27"/>
  <c r="AK77" i="27" s="1"/>
  <c r="AH78" i="27"/>
  <c r="AH93" i="27"/>
  <c r="AK93" i="27" s="1"/>
  <c r="F94" i="27"/>
  <c r="H94" i="27"/>
  <c r="H180" i="27" s="1"/>
  <c r="J94" i="27"/>
  <c r="L94" i="27"/>
  <c r="L180" i="27" s="1"/>
  <c r="N94" i="27"/>
  <c r="P94" i="27"/>
  <c r="AU94" i="27" s="1"/>
  <c r="O109" i="27"/>
  <c r="O102" i="27" s="1"/>
  <c r="AH113" i="27"/>
  <c r="AK113" i="27" s="1"/>
  <c r="AH114" i="27"/>
  <c r="AH115" i="27"/>
  <c r="AK115" i="27" s="1"/>
  <c r="AH116" i="27"/>
  <c r="AE127" i="27"/>
  <c r="AU127" i="27"/>
  <c r="AH136" i="27"/>
  <c r="AK136" i="27" s="1"/>
  <c r="AE156" i="27"/>
  <c r="AU156" i="27"/>
  <c r="AH158" i="27"/>
  <c r="AH159" i="27"/>
  <c r="AK159" i="27" s="1"/>
  <c r="AH160" i="27"/>
  <c r="AU161" i="27"/>
  <c r="AH163" i="27"/>
  <c r="AE174" i="27"/>
  <c r="AM174" i="27" s="1"/>
  <c r="AH176" i="27"/>
  <c r="AK176" i="27" s="1"/>
  <c r="AH177" i="27"/>
  <c r="AK177" i="27" s="1"/>
  <c r="AH178" i="27"/>
  <c r="AK178" i="27" s="1"/>
  <c r="AH179" i="27"/>
  <c r="AK179" i="27" s="1"/>
  <c r="AH180" i="27"/>
  <c r="AK180" i="27" s="1"/>
  <c r="AH181" i="27"/>
  <c r="AK181" i="27" s="1"/>
  <c r="AH183" i="27"/>
  <c r="AK183" i="27" s="1"/>
  <c r="P184" i="27"/>
  <c r="AH185" i="27"/>
  <c r="AK185" i="27" s="1"/>
  <c r="AM185" i="27"/>
  <c r="B205" i="27"/>
  <c r="B248" i="27" s="1"/>
  <c r="C248" i="27" s="1"/>
  <c r="AI188" i="27"/>
  <c r="AX188" i="27"/>
  <c r="AU192" i="27"/>
  <c r="AM192" i="27"/>
  <c r="AJ192" i="27"/>
  <c r="AH192" i="27"/>
  <c r="AK192" i="27" s="1"/>
  <c r="AI209" i="27"/>
  <c r="AE209" i="27"/>
  <c r="AI195" i="27"/>
  <c r="AK195" i="27" s="1"/>
  <c r="AX198" i="27"/>
  <c r="AX201" i="27"/>
  <c r="AH202" i="27"/>
  <c r="AE202" i="27"/>
  <c r="AM202" i="27" s="1"/>
  <c r="AJ202" i="27"/>
  <c r="AX202" i="27"/>
  <c r="AU202" i="27"/>
  <c r="AU203" i="27"/>
  <c r="AM203" i="27"/>
  <c r="AJ203" i="27"/>
  <c r="AH203" i="27"/>
  <c r="AK203" i="27" s="1"/>
  <c r="AJ204" i="27"/>
  <c r="AH204" i="27"/>
  <c r="AK204" i="27" s="1"/>
  <c r="AX204" i="27"/>
  <c r="AU204" i="27"/>
  <c r="AK205" i="27"/>
  <c r="AX205" i="27"/>
  <c r="AJ206" i="27"/>
  <c r="AH206" i="27"/>
  <c r="AK206" i="27" s="1"/>
  <c r="AJ207" i="27"/>
  <c r="AH207" i="27"/>
  <c r="AK207" i="27" s="1"/>
  <c r="AK208" i="27"/>
  <c r="AW209" i="27"/>
  <c r="AX209" i="27" s="1"/>
  <c r="P208" i="27"/>
  <c r="AE212" i="27"/>
  <c r="AK212" i="27"/>
  <c r="AU213" i="27"/>
  <c r="AM213" i="27"/>
  <c r="AJ213" i="27"/>
  <c r="AH213" i="27"/>
  <c r="AH216" i="27"/>
  <c r="AE216" i="27"/>
  <c r="AM216" i="27" s="1"/>
  <c r="AJ216" i="27"/>
  <c r="AX216" i="27"/>
  <c r="AU216" i="27"/>
  <c r="AX219" i="27"/>
  <c r="AE223" i="27"/>
  <c r="AM223" i="27" s="1"/>
  <c r="AK223" i="27"/>
  <c r="AK225" i="27"/>
  <c r="AK227" i="27"/>
  <c r="AE197" i="27"/>
  <c r="AM197" i="27" s="1"/>
  <c r="AK197" i="27"/>
  <c r="AU198" i="27"/>
  <c r="AM198" i="27"/>
  <c r="AJ198" i="27"/>
  <c r="AH198" i="27"/>
  <c r="AH199" i="27"/>
  <c r="AK199" i="27" s="1"/>
  <c r="AE199" i="27"/>
  <c r="AM199" i="27" s="1"/>
  <c r="AX199" i="27"/>
  <c r="AU199" i="27"/>
  <c r="AU201" i="27"/>
  <c r="AM201" i="27"/>
  <c r="AJ201" i="27"/>
  <c r="AH201" i="27"/>
  <c r="AK209" i="27"/>
  <c r="AE210" i="27"/>
  <c r="AK210" i="27"/>
  <c r="AH211" i="27"/>
  <c r="AK211" i="27" s="1"/>
  <c r="AE211" i="27"/>
  <c r="AX211" i="27"/>
  <c r="AU211" i="27"/>
  <c r="B214" i="27"/>
  <c r="AR214" i="27" s="1"/>
  <c r="AH214" i="27"/>
  <c r="AK214" i="27" s="1"/>
  <c r="AE214" i="27"/>
  <c r="AX214" i="27"/>
  <c r="AU214" i="27"/>
  <c r="AH215" i="27"/>
  <c r="AK215" i="27" s="1"/>
  <c r="AE215" i="27"/>
  <c r="AX215" i="27"/>
  <c r="AU215" i="27"/>
  <c r="AE218" i="27"/>
  <c r="AM218" i="27" s="1"/>
  <c r="AK218" i="27"/>
  <c r="AU219" i="27"/>
  <c r="AM219" i="27"/>
  <c r="AJ219" i="27"/>
  <c r="AH219" i="27"/>
  <c r="AE220" i="27"/>
  <c r="AK220" i="27"/>
  <c r="AH221" i="27"/>
  <c r="AE221" i="27"/>
  <c r="AJ221" i="27"/>
  <c r="AX221" i="27"/>
  <c r="AU221" i="27"/>
  <c r="AI224" i="27"/>
  <c r="AE227" i="27"/>
  <c r="AM227" i="27" s="1"/>
  <c r="AH224" i="27"/>
  <c r="AK224" i="27" s="1"/>
  <c r="AM224" i="27"/>
  <c r="AE225" i="27"/>
  <c r="AM225" i="27" s="1"/>
  <c r="AU225" i="27"/>
  <c r="AK17" i="26"/>
  <c r="J206" i="26"/>
  <c r="L207" i="26"/>
  <c r="L206" i="26"/>
  <c r="N206" i="26"/>
  <c r="P206" i="26"/>
  <c r="O81" i="26"/>
  <c r="AZ12" i="26"/>
  <c r="AE13" i="26"/>
  <c r="AH13" i="26"/>
  <c r="AK13" i="26" s="1"/>
  <c r="AE16" i="26"/>
  <c r="AE18" i="26"/>
  <c r="AH21" i="26"/>
  <c r="AK21" i="26" s="1"/>
  <c r="AE21" i="26"/>
  <c r="AK31" i="26"/>
  <c r="AK33" i="26"/>
  <c r="H206" i="26"/>
  <c r="AO201" i="26"/>
  <c r="AO115" i="26"/>
  <c r="AP115" i="26" s="1"/>
  <c r="G9" i="26"/>
  <c r="I9" i="26"/>
  <c r="M9" i="26"/>
  <c r="AB12" i="26"/>
  <c r="AD12" i="26"/>
  <c r="AJ12" i="26" s="1"/>
  <c r="B14" i="26"/>
  <c r="AJ14" i="26"/>
  <c r="AH14" i="26"/>
  <c r="AK15" i="26"/>
  <c r="AE17" i="26"/>
  <c r="AK23" i="26"/>
  <c r="AK43" i="26"/>
  <c r="AK45" i="26"/>
  <c r="AK47" i="26"/>
  <c r="AK49" i="26"/>
  <c r="AK51" i="26"/>
  <c r="AK53" i="26"/>
  <c r="AK55" i="26"/>
  <c r="AK57" i="26"/>
  <c r="AK61" i="26"/>
  <c r="AH20" i="26"/>
  <c r="AJ20" i="26"/>
  <c r="AE22" i="26"/>
  <c r="AE23" i="26"/>
  <c r="AE30" i="26"/>
  <c r="AE31" i="26"/>
  <c r="AE32" i="26"/>
  <c r="AE33" i="26"/>
  <c r="AE34" i="26"/>
  <c r="K35" i="26"/>
  <c r="K29" i="26" s="1"/>
  <c r="K28" i="26" s="1"/>
  <c r="K80" i="26" s="1"/>
  <c r="K263" i="26" s="1"/>
  <c r="AE35" i="26"/>
  <c r="AH36" i="26"/>
  <c r="AJ36" i="26"/>
  <c r="AH37" i="26"/>
  <c r="AJ37" i="26"/>
  <c r="AH38" i="26"/>
  <c r="AJ38" i="26"/>
  <c r="AH39" i="26"/>
  <c r="AJ39" i="26"/>
  <c r="AH40" i="26"/>
  <c r="AJ40" i="26"/>
  <c r="AH41" i="26"/>
  <c r="AJ41" i="26"/>
  <c r="AE42" i="26"/>
  <c r="AE43" i="26"/>
  <c r="AE44" i="26"/>
  <c r="AE45" i="26"/>
  <c r="AE46" i="26"/>
  <c r="AE47" i="26"/>
  <c r="AE48" i="26"/>
  <c r="AE50" i="26"/>
  <c r="AE52" i="26"/>
  <c r="AE54" i="26"/>
  <c r="AE56" i="26"/>
  <c r="AJ59" i="26"/>
  <c r="AH59" i="26"/>
  <c r="AK60" i="26"/>
  <c r="AH63" i="26"/>
  <c r="AK63" i="26" s="1"/>
  <c r="AE63" i="26"/>
  <c r="AJ64" i="26"/>
  <c r="AH64" i="26"/>
  <c r="AH65" i="26"/>
  <c r="AK65" i="26" s="1"/>
  <c r="AE65" i="26"/>
  <c r="AK72" i="26"/>
  <c r="AH73" i="26"/>
  <c r="AK73" i="26" s="1"/>
  <c r="AE73" i="26"/>
  <c r="AK80" i="26"/>
  <c r="AH99" i="26"/>
  <c r="AK99" i="26" s="1"/>
  <c r="AE99" i="26"/>
  <c r="AK105" i="26"/>
  <c r="G105" i="26"/>
  <c r="G120" i="26"/>
  <c r="I105" i="26"/>
  <c r="I120" i="26"/>
  <c r="K105" i="26"/>
  <c r="K120" i="26"/>
  <c r="K265" i="26" s="1"/>
  <c r="M105" i="26"/>
  <c r="M120" i="26"/>
  <c r="O105" i="26"/>
  <c r="O120" i="26"/>
  <c r="AK139" i="26"/>
  <c r="AK142" i="26"/>
  <c r="AK161" i="26"/>
  <c r="AK183" i="26"/>
  <c r="AP185" i="26"/>
  <c r="F203" i="26"/>
  <c r="F192" i="26"/>
  <c r="H203" i="26"/>
  <c r="H270" i="26" s="1"/>
  <c r="H192" i="26"/>
  <c r="J203" i="26"/>
  <c r="J192" i="26"/>
  <c r="AE49" i="26"/>
  <c r="AE51" i="26"/>
  <c r="AE53" i="26"/>
  <c r="AE55" i="26"/>
  <c r="AE57" i="26"/>
  <c r="AE61" i="26"/>
  <c r="AH62" i="26"/>
  <c r="AK62" i="26" s="1"/>
  <c r="AE62" i="26"/>
  <c r="AH66" i="26"/>
  <c r="AK66" i="26" s="1"/>
  <c r="AE66" i="26"/>
  <c r="H81" i="26"/>
  <c r="AC67" i="26"/>
  <c r="AI67" i="26" s="1"/>
  <c r="AH67" i="26"/>
  <c r="AK67" i="26" s="1"/>
  <c r="AE67" i="26"/>
  <c r="AH68" i="26"/>
  <c r="AK68" i="26" s="1"/>
  <c r="AE68" i="26"/>
  <c r="AH76" i="26"/>
  <c r="AK76" i="26" s="1"/>
  <c r="AE76" i="26"/>
  <c r="AH100" i="26"/>
  <c r="AK100" i="26" s="1"/>
  <c r="AE100" i="26"/>
  <c r="AK143" i="26"/>
  <c r="AK181" i="26"/>
  <c r="AK182" i="26"/>
  <c r="AD77" i="26"/>
  <c r="AJ77" i="26" s="1"/>
  <c r="AK77" i="26" s="1"/>
  <c r="AI81" i="26"/>
  <c r="AI82" i="26"/>
  <c r="AZ99" i="26"/>
  <c r="AI102" i="26"/>
  <c r="AD115" i="26"/>
  <c r="AJ115" i="26" s="1"/>
  <c r="AK115" i="26" s="1"/>
  <c r="AZ115" i="26"/>
  <c r="AI120" i="26"/>
  <c r="AI121" i="26"/>
  <c r="AI140" i="26"/>
  <c r="AD146" i="26"/>
  <c r="AJ146" i="26" s="1"/>
  <c r="AK146" i="26" s="1"/>
  <c r="AI162" i="26"/>
  <c r="B182" i="26"/>
  <c r="H204" i="26"/>
  <c r="AJ189" i="26"/>
  <c r="AH189" i="26"/>
  <c r="AO189" i="26"/>
  <c r="AP189" i="26" s="1"/>
  <c r="AZ191" i="26"/>
  <c r="AB213" i="26"/>
  <c r="J212" i="26"/>
  <c r="J230" i="26" s="1"/>
  <c r="J271" i="26" s="1"/>
  <c r="AK219" i="26"/>
  <c r="AH222" i="26"/>
  <c r="AK222" i="26" s="1"/>
  <c r="AE222" i="26"/>
  <c r="AM222" i="26" s="1"/>
  <c r="AH224" i="26"/>
  <c r="AK224" i="26" s="1"/>
  <c r="AE224" i="26"/>
  <c r="O71" i="26"/>
  <c r="O75" i="26"/>
  <c r="AE78" i="26"/>
  <c r="AH81" i="26"/>
  <c r="H208" i="26"/>
  <c r="AH82" i="26"/>
  <c r="AK82" i="26" s="1"/>
  <c r="B100" i="26"/>
  <c r="AZ100" i="26" s="1"/>
  <c r="AH102" i="26"/>
  <c r="AK102" i="26" s="1"/>
  <c r="AE115" i="26"/>
  <c r="AH120" i="26"/>
  <c r="AH121" i="26"/>
  <c r="AK121" i="26" s="1"/>
  <c r="B139" i="26"/>
  <c r="AZ139" i="26" s="1"/>
  <c r="AH140" i="26"/>
  <c r="AK140" i="26" s="1"/>
  <c r="K145" i="26"/>
  <c r="K144" i="26" s="1"/>
  <c r="AE146" i="26"/>
  <c r="AH162" i="26"/>
  <c r="AC171" i="26"/>
  <c r="AI171" i="26" s="1"/>
  <c r="AK171" i="26" s="1"/>
  <c r="AE181" i="26"/>
  <c r="AE183" i="26"/>
  <c r="AI189" i="26"/>
  <c r="AE190" i="26"/>
  <c r="AK190" i="26"/>
  <c r="I204" i="26"/>
  <c r="AC204" i="26" s="1"/>
  <c r="AI204" i="26" s="1"/>
  <c r="AJ191" i="26"/>
  <c r="AH191" i="26"/>
  <c r="L192" i="26"/>
  <c r="L208" i="26" s="1"/>
  <c r="N192" i="26"/>
  <c r="N208" i="26" s="1"/>
  <c r="P192" i="26"/>
  <c r="P208" i="26" s="1"/>
  <c r="AK192" i="26"/>
  <c r="K203" i="26"/>
  <c r="K192" i="26"/>
  <c r="AK202" i="26"/>
  <c r="AH216" i="26"/>
  <c r="AK216" i="26" s="1"/>
  <c r="AE216" i="26"/>
  <c r="AM216" i="26" s="1"/>
  <c r="AH218" i="26"/>
  <c r="AK218" i="26" s="1"/>
  <c r="AE218" i="26"/>
  <c r="AM218" i="26" s="1"/>
  <c r="AH220" i="26"/>
  <c r="AK220" i="26" s="1"/>
  <c r="AE220" i="26"/>
  <c r="AM220" i="26" s="1"/>
  <c r="AK221" i="26"/>
  <c r="AD201" i="26"/>
  <c r="AJ201" i="26" s="1"/>
  <c r="AK201" i="26" s="1"/>
  <c r="AZ201" i="26"/>
  <c r="AI205" i="26"/>
  <c r="AI206" i="26"/>
  <c r="AI207" i="26"/>
  <c r="AI208" i="26"/>
  <c r="AI209" i="26"/>
  <c r="AI211" i="26"/>
  <c r="AI212" i="26"/>
  <c r="AC213" i="26"/>
  <c r="AI213" i="26" s="1"/>
  <c r="AB214" i="26"/>
  <c r="AD214" i="26"/>
  <c r="AJ214" i="26" s="1"/>
  <c r="AE215" i="26"/>
  <c r="AM215" i="26" s="1"/>
  <c r="AE219" i="26"/>
  <c r="AM219" i="26" s="1"/>
  <c r="AE221" i="26"/>
  <c r="AM221" i="26" s="1"/>
  <c r="AH225" i="26"/>
  <c r="AK225" i="26" s="1"/>
  <c r="AE225" i="26"/>
  <c r="AM225" i="26" s="1"/>
  <c r="AE227" i="26"/>
  <c r="AM227" i="26" s="1"/>
  <c r="AK227" i="26"/>
  <c r="AE229" i="26"/>
  <c r="AM229" i="26" s="1"/>
  <c r="AK229" i="26"/>
  <c r="AD233" i="26"/>
  <c r="AJ233" i="26" s="1"/>
  <c r="K232" i="26"/>
  <c r="AC233" i="26"/>
  <c r="AI233" i="26" s="1"/>
  <c r="I232" i="26"/>
  <c r="AO236" i="26"/>
  <c r="AP236" i="26" s="1"/>
  <c r="AH238" i="26"/>
  <c r="AK238" i="26" s="1"/>
  <c r="AE238" i="26"/>
  <c r="AM238" i="26" s="1"/>
  <c r="AK239" i="26"/>
  <c r="AH247" i="26"/>
  <c r="AK247" i="26" s="1"/>
  <c r="AE247" i="26"/>
  <c r="AM247" i="26" s="1"/>
  <c r="AE201" i="26"/>
  <c r="AE202" i="26"/>
  <c r="AM202" i="26" s="1"/>
  <c r="AH205" i="26"/>
  <c r="AK205" i="26" s="1"/>
  <c r="AH206" i="26"/>
  <c r="AH207" i="26"/>
  <c r="AK207" i="26" s="1"/>
  <c r="AH208" i="26"/>
  <c r="AH209" i="26"/>
  <c r="AK209" i="26" s="1"/>
  <c r="AH211" i="26"/>
  <c r="AO244" i="26"/>
  <c r="AP244" i="26" s="1"/>
  <c r="AO243" i="26"/>
  <c r="AP243" i="26" s="1"/>
  <c r="AO235" i="26"/>
  <c r="AP235" i="26" s="1"/>
  <c r="K212" i="26"/>
  <c r="K230" i="26" s="1"/>
  <c r="K271" i="26" s="1"/>
  <c r="AH212" i="26"/>
  <c r="AK212" i="26" s="1"/>
  <c r="P213" i="26"/>
  <c r="AE217" i="26"/>
  <c r="AM217" i="26" s="1"/>
  <c r="AE223" i="26"/>
  <c r="AM223" i="26" s="1"/>
  <c r="AK223" i="26"/>
  <c r="AM224" i="26"/>
  <c r="AB226" i="26"/>
  <c r="AB228" i="26"/>
  <c r="AB232" i="26"/>
  <c r="J231" i="26"/>
  <c r="J253" i="26" s="1"/>
  <c r="J272" i="26" s="1"/>
  <c r="AK234" i="26"/>
  <c r="AO234" i="26"/>
  <c r="AP234" i="26" s="1"/>
  <c r="AO237" i="26"/>
  <c r="AP237" i="26" s="1"/>
  <c r="AH240" i="26"/>
  <c r="AK240" i="26" s="1"/>
  <c r="AE240" i="26"/>
  <c r="AM240" i="26" s="1"/>
  <c r="AH242" i="26"/>
  <c r="AK242" i="26" s="1"/>
  <c r="AE242" i="26"/>
  <c r="AM242" i="26" s="1"/>
  <c r="AK245" i="26"/>
  <c r="AI230" i="26"/>
  <c r="AB233" i="26"/>
  <c r="AI235" i="26"/>
  <c r="AZ235" i="26"/>
  <c r="AE239" i="26"/>
  <c r="AM239" i="26" s="1"/>
  <c r="AE243" i="26"/>
  <c r="AE244" i="26"/>
  <c r="AE245" i="26"/>
  <c r="AM245" i="26" s="1"/>
  <c r="AE249" i="26"/>
  <c r="AM249" i="26" s="1"/>
  <c r="AE251" i="26"/>
  <c r="AM251" i="26" s="1"/>
  <c r="AH230" i="26"/>
  <c r="AK230" i="26" s="1"/>
  <c r="P232" i="26"/>
  <c r="AH235" i="26"/>
  <c r="AK235" i="26" s="1"/>
  <c r="B236" i="26"/>
  <c r="AE241" i="26"/>
  <c r="AM241" i="26" s="1"/>
  <c r="I103" i="26" l="1"/>
  <c r="AC103" i="26" s="1"/>
  <c r="AI103" i="26" s="1"/>
  <c r="I263" i="26"/>
  <c r="G103" i="26"/>
  <c r="G263" i="26"/>
  <c r="J204" i="26"/>
  <c r="AB204" i="26" s="1"/>
  <c r="J270" i="26"/>
  <c r="F204" i="26"/>
  <c r="F270" i="26"/>
  <c r="O141" i="26"/>
  <c r="O265" i="26"/>
  <c r="M141" i="26"/>
  <c r="M265" i="26"/>
  <c r="I141" i="26"/>
  <c r="AC141" i="26" s="1"/>
  <c r="AI141" i="26" s="1"/>
  <c r="I265" i="26"/>
  <c r="G141" i="26"/>
  <c r="G265" i="26"/>
  <c r="AR135" i="27"/>
  <c r="B244" i="27"/>
  <c r="C244" i="27" s="1"/>
  <c r="N108" i="48"/>
  <c r="Q219" i="51"/>
  <c r="M103" i="26"/>
  <c r="M264" i="26"/>
  <c r="K162" i="26"/>
  <c r="O186" i="26"/>
  <c r="O268" i="26"/>
  <c r="M186" i="26"/>
  <c r="M268" i="26"/>
  <c r="I186" i="26"/>
  <c r="AC186" i="26" s="1"/>
  <c r="AI186" i="26" s="1"/>
  <c r="I268" i="26"/>
  <c r="N186" i="26"/>
  <c r="N267" i="26"/>
  <c r="J103" i="26"/>
  <c r="J263" i="26"/>
  <c r="J141" i="26"/>
  <c r="J266" i="26"/>
  <c r="AP140" i="26"/>
  <c r="F266" i="26"/>
  <c r="L28" i="40"/>
  <c r="K37" i="37"/>
  <c r="L123" i="40"/>
  <c r="E122" i="40"/>
  <c r="L122" i="40" s="1"/>
  <c r="H35" i="37"/>
  <c r="G35" i="37"/>
  <c r="I35" i="37"/>
  <c r="J35" i="37"/>
  <c r="G38" i="37"/>
  <c r="J38" i="37" s="1"/>
  <c r="I38" i="37"/>
  <c r="H38" i="37"/>
  <c r="L101" i="40"/>
  <c r="E100" i="40"/>
  <c r="L100" i="40" s="1"/>
  <c r="L81" i="40"/>
  <c r="E80" i="40"/>
  <c r="L80" i="40" s="1"/>
  <c r="L51" i="40"/>
  <c r="E189" i="40" s="1"/>
  <c r="G189" i="40"/>
  <c r="I729" i="51"/>
  <c r="S107" i="45"/>
  <c r="W108" i="48"/>
  <c r="R395" i="45"/>
  <c r="V395" i="48"/>
  <c r="M82" i="45"/>
  <c r="H106" i="45"/>
  <c r="L64" i="40"/>
  <c r="E190" i="40" s="1"/>
  <c r="G190" i="40"/>
  <c r="L38" i="40"/>
  <c r="E37" i="40"/>
  <c r="L37" i="40" s="1"/>
  <c r="L32" i="40"/>
  <c r="E31" i="40"/>
  <c r="L31" i="40" s="1"/>
  <c r="G31" i="37"/>
  <c r="H31" i="37"/>
  <c r="I31" i="37"/>
  <c r="J31" i="37"/>
  <c r="H39" i="37"/>
  <c r="I39" i="37"/>
  <c r="G39" i="37"/>
  <c r="J39" i="37" s="1"/>
  <c r="E187" i="40"/>
  <c r="F182" i="40"/>
  <c r="F180" i="40"/>
  <c r="F178" i="40"/>
  <c r="F176" i="40"/>
  <c r="F174" i="40"/>
  <c r="F172" i="40"/>
  <c r="F170" i="40"/>
  <c r="F168" i="40"/>
  <c r="F166" i="40"/>
  <c r="F164" i="40"/>
  <c r="F161" i="40"/>
  <c r="F159" i="40"/>
  <c r="F157" i="40"/>
  <c r="F155" i="40"/>
  <c r="F153" i="40"/>
  <c r="F150" i="40"/>
  <c r="F148" i="40"/>
  <c r="F145" i="40"/>
  <c r="F143" i="40"/>
  <c r="F141" i="40"/>
  <c r="F138" i="40"/>
  <c r="F135" i="40"/>
  <c r="F133" i="40"/>
  <c r="F130" i="40"/>
  <c r="F128" i="40"/>
  <c r="F126" i="40"/>
  <c r="F124" i="40"/>
  <c r="F120" i="40"/>
  <c r="F118" i="40"/>
  <c r="F116" i="40"/>
  <c r="F114" i="40"/>
  <c r="F111" i="40"/>
  <c r="F109" i="40"/>
  <c r="F106" i="40"/>
  <c r="F104" i="40"/>
  <c r="F102" i="40"/>
  <c r="F98" i="40"/>
  <c r="F96" i="40"/>
  <c r="F94" i="40"/>
  <c r="F91" i="40"/>
  <c r="F89" i="40"/>
  <c r="H218" i="40" s="1"/>
  <c r="F87" i="40"/>
  <c r="F84" i="40"/>
  <c r="F82" i="40"/>
  <c r="F78" i="40"/>
  <c r="F74" i="40"/>
  <c r="F72" i="40"/>
  <c r="F70" i="40"/>
  <c r="F68" i="40"/>
  <c r="F66" i="40"/>
  <c r="F63" i="40"/>
  <c r="F61" i="40"/>
  <c r="F59" i="40"/>
  <c r="F57" i="40"/>
  <c r="F54" i="40"/>
  <c r="F52" i="40"/>
  <c r="F49" i="40"/>
  <c r="F45" i="40"/>
  <c r="F43" i="40"/>
  <c r="F40" i="40"/>
  <c r="F36" i="40"/>
  <c r="F34" i="40"/>
  <c r="F30" i="40"/>
  <c r="F26" i="40"/>
  <c r="F24" i="40"/>
  <c r="F22" i="40"/>
  <c r="F20" i="40"/>
  <c r="F18" i="40"/>
  <c r="F16" i="40"/>
  <c r="F14" i="40"/>
  <c r="F11" i="40"/>
  <c r="F181" i="40"/>
  <c r="F179" i="40"/>
  <c r="F177" i="40"/>
  <c r="F175" i="40"/>
  <c r="F173" i="40"/>
  <c r="F171" i="40"/>
  <c r="F169" i="40"/>
  <c r="F167" i="40"/>
  <c r="F165" i="40"/>
  <c r="F163" i="40"/>
  <c r="F160" i="40"/>
  <c r="F158" i="40"/>
  <c r="F156" i="40"/>
  <c r="F154" i="40"/>
  <c r="F151" i="40"/>
  <c r="F149" i="40"/>
  <c r="F147" i="40"/>
  <c r="F144" i="40"/>
  <c r="F142" i="40"/>
  <c r="F139" i="40"/>
  <c r="F136" i="40"/>
  <c r="F134" i="40"/>
  <c r="F131" i="40"/>
  <c r="F129" i="40"/>
  <c r="F127" i="40"/>
  <c r="F125" i="40"/>
  <c r="F121" i="40"/>
  <c r="H225" i="40" s="1"/>
  <c r="F119" i="40"/>
  <c r="F117" i="40"/>
  <c r="F115" i="40"/>
  <c r="F112" i="40"/>
  <c r="F110" i="40"/>
  <c r="F108" i="40"/>
  <c r="F107" i="40" s="1"/>
  <c r="F105" i="40"/>
  <c r="F103" i="40"/>
  <c r="F99" i="40"/>
  <c r="H217" i="40" s="1"/>
  <c r="F97" i="40"/>
  <c r="F95" i="40"/>
  <c r="F93" i="40"/>
  <c r="F90" i="40"/>
  <c r="H227" i="40" s="1"/>
  <c r="F88" i="40"/>
  <c r="F86" i="40"/>
  <c r="F83" i="40"/>
  <c r="F79" i="40"/>
  <c r="F77" i="40"/>
  <c r="F73" i="40"/>
  <c r="F71" i="40"/>
  <c r="F69" i="40"/>
  <c r="F67" i="40"/>
  <c r="F65" i="40"/>
  <c r="F64" i="40" s="1"/>
  <c r="H190" i="40" s="1"/>
  <c r="F62" i="40"/>
  <c r="F60" i="40"/>
  <c r="F58" i="40"/>
  <c r="F55" i="40"/>
  <c r="F53" i="40"/>
  <c r="F50" i="40"/>
  <c r="F46" i="40"/>
  <c r="F44" i="40"/>
  <c r="F42" i="40"/>
  <c r="F39" i="40"/>
  <c r="F38" i="40" s="1"/>
  <c r="F35" i="40"/>
  <c r="F33" i="40"/>
  <c r="F29" i="40"/>
  <c r="F25" i="40"/>
  <c r="F23" i="40"/>
  <c r="F21" i="40"/>
  <c r="F19" i="40"/>
  <c r="F17" i="40"/>
  <c r="F15" i="40"/>
  <c r="F13" i="40"/>
  <c r="F10" i="40"/>
  <c r="S395" i="45"/>
  <c r="W395" i="48"/>
  <c r="AK155" i="27"/>
  <c r="I107" i="45"/>
  <c r="L108" i="48"/>
  <c r="L107" i="45" s="1"/>
  <c r="S101" i="45"/>
  <c r="W102" i="48"/>
  <c r="M729" i="51"/>
  <c r="R82" i="45"/>
  <c r="V83" i="48"/>
  <c r="F9" i="26"/>
  <c r="AK211" i="26"/>
  <c r="AK208" i="26"/>
  <c r="AK206" i="26"/>
  <c r="K204" i="26"/>
  <c r="AD204" i="26" s="1"/>
  <c r="AJ204" i="26" s="1"/>
  <c r="K270" i="26"/>
  <c r="AK162" i="26"/>
  <c r="AK120" i="26"/>
  <c r="AK163" i="27"/>
  <c r="AK160" i="27"/>
  <c r="AK158" i="27"/>
  <c r="AK116" i="27"/>
  <c r="AK114" i="27"/>
  <c r="AK78" i="27"/>
  <c r="AK76" i="27"/>
  <c r="G62" i="27"/>
  <c r="N213" i="51"/>
  <c r="P103" i="26"/>
  <c r="P263" i="26"/>
  <c r="P186" i="26"/>
  <c r="P268" i="26"/>
  <c r="N80" i="26"/>
  <c r="N120" i="26"/>
  <c r="N265" i="26" s="1"/>
  <c r="H186" i="26"/>
  <c r="H267" i="26"/>
  <c r="I40" i="37"/>
  <c r="G40" i="37"/>
  <c r="H40" i="37"/>
  <c r="J40" i="37" s="1"/>
  <c r="L76" i="40"/>
  <c r="E75" i="40"/>
  <c r="L75" i="40" s="1"/>
  <c r="I30" i="37"/>
  <c r="G30" i="37"/>
  <c r="H30" i="37"/>
  <c r="J30" i="37"/>
  <c r="L9" i="40"/>
  <c r="E219" i="40"/>
  <c r="S106" i="45"/>
  <c r="W107" i="48"/>
  <c r="AJ219" i="51"/>
  <c r="I44" i="51"/>
  <c r="F21" i="27"/>
  <c r="R106" i="45"/>
  <c r="V107" i="48"/>
  <c r="G32" i="37"/>
  <c r="H32" i="37"/>
  <c r="I32" i="37"/>
  <c r="J32" i="37"/>
  <c r="E227" i="40"/>
  <c r="H34" i="37"/>
  <c r="G34" i="37"/>
  <c r="I34" i="37"/>
  <c r="J34" i="37"/>
  <c r="E195" i="40"/>
  <c r="E200" i="40"/>
  <c r="G188" i="40"/>
  <c r="L48" i="40"/>
  <c r="E188" i="40" s="1"/>
  <c r="E47" i="40"/>
  <c r="L47" i="40" s="1"/>
  <c r="S392" i="45"/>
  <c r="W392" i="48"/>
  <c r="I101" i="45"/>
  <c r="L102" i="48"/>
  <c r="L101" i="45" s="1"/>
  <c r="S43" i="45"/>
  <c r="S42" i="45"/>
  <c r="W43" i="48"/>
  <c r="S19" i="51"/>
  <c r="P10" i="27"/>
  <c r="H395" i="45"/>
  <c r="L395" i="48"/>
  <c r="L395" i="45" s="1"/>
  <c r="M395" i="45"/>
  <c r="Q395" i="48"/>
  <c r="Q395" i="45" s="1"/>
  <c r="AJ250" i="51"/>
  <c r="H82" i="45"/>
  <c r="M106" i="45"/>
  <c r="H43" i="48"/>
  <c r="H19" i="48"/>
  <c r="L19" i="51"/>
  <c r="H719" i="51"/>
  <c r="M42" i="45"/>
  <c r="V49" i="48"/>
  <c r="V48" i="45" s="1"/>
  <c r="R48" i="45"/>
  <c r="V44" i="48"/>
  <c r="V43" i="45" s="1"/>
  <c r="R43" i="45"/>
  <c r="Q44" i="48"/>
  <c r="Q43" i="45" s="1"/>
  <c r="M43" i="45"/>
  <c r="V43" i="48"/>
  <c r="V42" i="45" s="1"/>
  <c r="R42" i="45"/>
  <c r="AD49" i="48"/>
  <c r="AD43" i="51"/>
  <c r="AD49" i="51"/>
  <c r="AD44" i="51"/>
  <c r="M49" i="48"/>
  <c r="V19" i="48"/>
  <c r="M719" i="51"/>
  <c r="M721" i="51" s="1"/>
  <c r="M19" i="48"/>
  <c r="M18" i="45" s="1"/>
  <c r="V19" i="51"/>
  <c r="AD19" i="51" s="1"/>
  <c r="R719" i="51"/>
  <c r="Q49" i="51"/>
  <c r="F206" i="26"/>
  <c r="F207" i="26"/>
  <c r="F209" i="26" s="1"/>
  <c r="H720" i="51" s="1"/>
  <c r="AK81" i="26"/>
  <c r="F186" i="26"/>
  <c r="L161" i="26"/>
  <c r="L267" i="26" s="1"/>
  <c r="H143" i="26"/>
  <c r="H207" i="26" s="1"/>
  <c r="H209" i="26" s="1"/>
  <c r="F80" i="26"/>
  <c r="L186" i="26"/>
  <c r="H103" i="26"/>
  <c r="G9" i="27"/>
  <c r="O208" i="26"/>
  <c r="AK248" i="26"/>
  <c r="K185" i="26"/>
  <c r="K268" i="26" s="1"/>
  <c r="G186" i="26"/>
  <c r="AK59" i="26"/>
  <c r="AK41" i="26"/>
  <c r="AK40" i="26"/>
  <c r="AK39" i="26"/>
  <c r="AK38" i="26"/>
  <c r="AK37" i="26"/>
  <c r="AK253" i="26"/>
  <c r="AK187" i="26"/>
  <c r="J186" i="26"/>
  <c r="N141" i="26"/>
  <c r="L103" i="26"/>
  <c r="AB103" i="26" s="1"/>
  <c r="AH103" i="26" s="1"/>
  <c r="P141" i="26"/>
  <c r="L141" i="26"/>
  <c r="AB141" i="26" s="1"/>
  <c r="H141" i="26"/>
  <c r="K121" i="26"/>
  <c r="K140" i="26"/>
  <c r="K266" i="26" s="1"/>
  <c r="K208" i="26"/>
  <c r="K141" i="26"/>
  <c r="AD141" i="26" s="1"/>
  <c r="AJ141" i="26" s="1"/>
  <c r="AK137" i="26"/>
  <c r="AK104" i="26"/>
  <c r="AE77" i="26"/>
  <c r="O28" i="26"/>
  <c r="O80" i="26" s="1"/>
  <c r="AK20" i="26"/>
  <c r="AK241" i="26"/>
  <c r="AK236" i="26"/>
  <c r="AK188" i="26"/>
  <c r="AK185" i="26"/>
  <c r="AK138" i="26"/>
  <c r="AK98" i="26"/>
  <c r="K102" i="26"/>
  <c r="AK58" i="26"/>
  <c r="AJ232" i="27"/>
  <c r="AI232" i="27"/>
  <c r="AK226" i="27"/>
  <c r="AK174" i="27"/>
  <c r="O75" i="27"/>
  <c r="K75" i="27"/>
  <c r="K76" i="27" s="1"/>
  <c r="AK219" i="27"/>
  <c r="AK201" i="27"/>
  <c r="AK198" i="27"/>
  <c r="AK213" i="27"/>
  <c r="AK229" i="27"/>
  <c r="AK200" i="27"/>
  <c r="M75" i="27"/>
  <c r="M76" i="27" s="1"/>
  <c r="I75" i="27"/>
  <c r="I76" i="27" s="1"/>
  <c r="AK38" i="27"/>
  <c r="AK31" i="27"/>
  <c r="L181" i="27"/>
  <c r="H181" i="27"/>
  <c r="AK221" i="27"/>
  <c r="AK216" i="27"/>
  <c r="P205" i="27"/>
  <c r="AU184" i="27"/>
  <c r="AM184" i="27"/>
  <c r="O113" i="27"/>
  <c r="O114" i="27" s="1"/>
  <c r="O94" i="27"/>
  <c r="O180" i="27" s="1"/>
  <c r="AK188" i="27"/>
  <c r="J180" i="27"/>
  <c r="J181" i="27" s="1"/>
  <c r="AH14" i="27"/>
  <c r="AK14" i="27" s="1"/>
  <c r="AE14" i="27"/>
  <c r="O179" i="27"/>
  <c r="O181" i="27" s="1"/>
  <c r="O178" i="27"/>
  <c r="K179" i="27"/>
  <c r="K181" i="27" s="1"/>
  <c r="K178" i="27"/>
  <c r="G179" i="27"/>
  <c r="AU176" i="27"/>
  <c r="AM176" i="27"/>
  <c r="B73" i="27"/>
  <c r="AR70" i="27"/>
  <c r="J178" i="27"/>
  <c r="AE36" i="27"/>
  <c r="AW5" i="27"/>
  <c r="P207" i="27"/>
  <c r="AU208" i="27"/>
  <c r="AM208" i="27"/>
  <c r="B230" i="27"/>
  <c r="B249" i="27" s="1"/>
  <c r="C249" i="27" s="1"/>
  <c r="AK202" i="27"/>
  <c r="AK73" i="27"/>
  <c r="N180" i="27"/>
  <c r="N181" i="27" s="1"/>
  <c r="F180" i="27"/>
  <c r="AH12" i="27"/>
  <c r="AE12" i="27"/>
  <c r="M179" i="27"/>
  <c r="M181" i="27" s="1"/>
  <c r="M178" i="27"/>
  <c r="I179" i="27"/>
  <c r="I181" i="27" s="1"/>
  <c r="I178" i="27"/>
  <c r="P114" i="27"/>
  <c r="AU93" i="27"/>
  <c r="P180" i="27"/>
  <c r="AU180" i="27" s="1"/>
  <c r="AK36" i="27"/>
  <c r="AZ236" i="26"/>
  <c r="B237" i="26"/>
  <c r="P231" i="26"/>
  <c r="AH233" i="26"/>
  <c r="AK233" i="26" s="1"/>
  <c r="AE233" i="26"/>
  <c r="AM233" i="26" s="1"/>
  <c r="AH228" i="26"/>
  <c r="AK228" i="26" s="1"/>
  <c r="AE228" i="26"/>
  <c r="AM228" i="26" s="1"/>
  <c r="P212" i="26"/>
  <c r="AC232" i="26"/>
  <c r="AI232" i="26" s="1"/>
  <c r="AI255" i="26" s="1"/>
  <c r="I231" i="26"/>
  <c r="I253" i="26" s="1"/>
  <c r="I272" i="26" s="1"/>
  <c r="AK191" i="26"/>
  <c r="AE171" i="26"/>
  <c r="K161" i="26"/>
  <c r="K267" i="26" s="1"/>
  <c r="K143" i="26"/>
  <c r="AH213" i="26"/>
  <c r="AK213" i="26" s="1"/>
  <c r="AE213" i="26"/>
  <c r="AM213" i="26" s="1"/>
  <c r="AH204" i="26"/>
  <c r="AK204" i="26" s="1"/>
  <c r="AE204" i="26"/>
  <c r="AM204" i="26" s="1"/>
  <c r="B183" i="26"/>
  <c r="AZ182" i="26"/>
  <c r="B102" i="26"/>
  <c r="B264" i="26" s="1"/>
  <c r="C264" i="26" s="1"/>
  <c r="AK36" i="26"/>
  <c r="AK14" i="26"/>
  <c r="AZ14" i="26"/>
  <c r="B15" i="26"/>
  <c r="K81" i="26"/>
  <c r="K9" i="26"/>
  <c r="G207" i="26"/>
  <c r="G209" i="26" s="1"/>
  <c r="M720" i="51" s="1"/>
  <c r="G206" i="26"/>
  <c r="AP201" i="26"/>
  <c r="AO203" i="26"/>
  <c r="AP203" i="26" s="1"/>
  <c r="O9" i="26"/>
  <c r="AH232" i="26"/>
  <c r="AH226" i="26"/>
  <c r="AK226" i="26" s="1"/>
  <c r="AE226" i="26"/>
  <c r="AM226" i="26" s="1"/>
  <c r="AD232" i="26"/>
  <c r="AJ232" i="26" s="1"/>
  <c r="K231" i="26"/>
  <c r="K253" i="26" s="1"/>
  <c r="K272" i="26" s="1"/>
  <c r="AH214" i="26"/>
  <c r="AK214" i="26" s="1"/>
  <c r="AE214" i="26"/>
  <c r="AM214" i="26" s="1"/>
  <c r="AK189" i="26"/>
  <c r="B140" i="26"/>
  <c r="B266" i="26" s="1"/>
  <c r="C266" i="26" s="1"/>
  <c r="AK64" i="26"/>
  <c r="AH12" i="26"/>
  <c r="AE12" i="26"/>
  <c r="M207" i="26"/>
  <c r="M209" i="26" s="1"/>
  <c r="M206" i="26"/>
  <c r="I207" i="26"/>
  <c r="I209" i="26" s="1"/>
  <c r="I206" i="26"/>
  <c r="P209" i="26"/>
  <c r="N209" i="26"/>
  <c r="L209" i="26"/>
  <c r="J209" i="26"/>
  <c r="E212" i="40" l="1"/>
  <c r="E202" i="40" s="1"/>
  <c r="E197" i="40" s="1"/>
  <c r="E194" i="40" s="1"/>
  <c r="K103" i="26"/>
  <c r="AD103" i="26" s="1"/>
  <c r="K264" i="26"/>
  <c r="O103" i="26"/>
  <c r="O263" i="26"/>
  <c r="S719" i="51"/>
  <c r="W19" i="51"/>
  <c r="AE19" i="51" s="1"/>
  <c r="S19" i="48"/>
  <c r="W392" i="45"/>
  <c r="AE392" i="48"/>
  <c r="K27" i="37"/>
  <c r="P210" i="26"/>
  <c r="R720" i="51"/>
  <c r="R721" i="51" s="1"/>
  <c r="AU205" i="27"/>
  <c r="AB186" i="26"/>
  <c r="AH186" i="26" s="1"/>
  <c r="G1" i="26"/>
  <c r="F263" i="26"/>
  <c r="H721" i="51"/>
  <c r="H18" i="45"/>
  <c r="H42" i="45"/>
  <c r="P52" i="27"/>
  <c r="P9" i="27"/>
  <c r="W42" i="45"/>
  <c r="AE43" i="48"/>
  <c r="AE42" i="45" s="1"/>
  <c r="AD107" i="48"/>
  <c r="V106" i="45"/>
  <c r="F9" i="27"/>
  <c r="F52" i="27"/>
  <c r="F76" i="27" s="1"/>
  <c r="Q213" i="51"/>
  <c r="AJ213" i="51" s="1"/>
  <c r="N102" i="48"/>
  <c r="W101" i="45"/>
  <c r="AE102" i="48"/>
  <c r="H214" i="40"/>
  <c r="F9" i="40"/>
  <c r="H191" i="40"/>
  <c r="P30" i="37" s="1"/>
  <c r="F28" i="40"/>
  <c r="F41" i="40"/>
  <c r="H201" i="40"/>
  <c r="P40" i="37" s="1"/>
  <c r="F76" i="40"/>
  <c r="H215" i="40"/>
  <c r="F92" i="40"/>
  <c r="H221" i="40"/>
  <c r="F146" i="40"/>
  <c r="F51" i="40"/>
  <c r="H189" i="40" s="1"/>
  <c r="P28" i="37" s="1"/>
  <c r="F56" i="40"/>
  <c r="H216" i="40"/>
  <c r="F81" i="40"/>
  <c r="H219" i="40"/>
  <c r="F101" i="40"/>
  <c r="F100" i="40" s="1"/>
  <c r="F140" i="40"/>
  <c r="H199" i="40"/>
  <c r="P38" i="37" s="1"/>
  <c r="V395" i="45"/>
  <c r="AD395" i="48"/>
  <c r="N719" i="51"/>
  <c r="W107" i="45"/>
  <c r="AE108" i="48"/>
  <c r="G37" i="37"/>
  <c r="I37" i="37"/>
  <c r="H37" i="37"/>
  <c r="J37" i="37"/>
  <c r="E27" i="40"/>
  <c r="N107" i="45"/>
  <c r="Q108" i="48"/>
  <c r="Q107" i="45" s="1"/>
  <c r="P253" i="26"/>
  <c r="P272" i="26" s="1"/>
  <c r="R728" i="51"/>
  <c r="R729" i="51" s="1"/>
  <c r="G181" i="27"/>
  <c r="N720" i="51" s="1"/>
  <c r="I44" i="48"/>
  <c r="L44" i="51"/>
  <c r="I719" i="51"/>
  <c r="W44" i="51"/>
  <c r="AE44" i="51" s="1"/>
  <c r="AE107" i="48"/>
  <c r="AE106" i="45" s="1"/>
  <c r="W106" i="45"/>
  <c r="N103" i="26"/>
  <c r="N263" i="26"/>
  <c r="G54" i="27"/>
  <c r="G180" i="27" s="1"/>
  <c r="G75" i="27"/>
  <c r="G76" i="27" s="1"/>
  <c r="V82" i="45"/>
  <c r="AD83" i="48"/>
  <c r="AD82" i="45" s="1"/>
  <c r="W395" i="45"/>
  <c r="AE395" i="48"/>
  <c r="AE395" i="45" s="1"/>
  <c r="H192" i="40"/>
  <c r="P31" i="37" s="1"/>
  <c r="F12" i="40"/>
  <c r="H195" i="40"/>
  <c r="P34" i="37" s="1"/>
  <c r="F32" i="40"/>
  <c r="F37" i="40"/>
  <c r="H222" i="40"/>
  <c r="F85" i="40"/>
  <c r="H193" i="40"/>
  <c r="P32" i="37" s="1"/>
  <c r="F162" i="40"/>
  <c r="H187" i="40"/>
  <c r="P26" i="37" s="1"/>
  <c r="F48" i="40"/>
  <c r="H223" i="40"/>
  <c r="H196" i="40"/>
  <c r="P35" i="37" s="1"/>
  <c r="F113" i="40"/>
  <c r="F123" i="40"/>
  <c r="H224" i="40"/>
  <c r="F132" i="40"/>
  <c r="H200" i="40"/>
  <c r="P39" i="37" s="1"/>
  <c r="F137" i="40"/>
  <c r="H198" i="40"/>
  <c r="F152" i="40"/>
  <c r="F190" i="40"/>
  <c r="K28" i="37"/>
  <c r="F189" i="40"/>
  <c r="AD43" i="48"/>
  <c r="AD42" i="45" s="1"/>
  <c r="AD44" i="48"/>
  <c r="Q49" i="48"/>
  <c r="Q48" i="45" s="1"/>
  <c r="M48" i="45"/>
  <c r="AD19" i="48"/>
  <c r="V18" i="45"/>
  <c r="AD43" i="45"/>
  <c r="AH49" i="48"/>
  <c r="AD48" i="45"/>
  <c r="AH44" i="51"/>
  <c r="AH49" i="51"/>
  <c r="AH19" i="51"/>
  <c r="F103" i="26"/>
  <c r="AP80" i="26"/>
  <c r="AH141" i="26"/>
  <c r="AK141" i="26" s="1"/>
  <c r="AE141" i="26"/>
  <c r="AM141" i="26" s="1"/>
  <c r="AJ103" i="26"/>
  <c r="AE103" i="26"/>
  <c r="AM103" i="26" s="1"/>
  <c r="AK103" i="26"/>
  <c r="AU114" i="27"/>
  <c r="AM114" i="27"/>
  <c r="AH232" i="27"/>
  <c r="AK12" i="27"/>
  <c r="AK232" i="27" s="1"/>
  <c r="AU207" i="27"/>
  <c r="AM207" i="27"/>
  <c r="P206" i="27"/>
  <c r="AR73" i="27"/>
  <c r="B75" i="27"/>
  <c r="B241" i="27" s="1"/>
  <c r="C241" i="27" s="1"/>
  <c r="AE232" i="26"/>
  <c r="AM232" i="26" s="1"/>
  <c r="O207" i="26"/>
  <c r="O209" i="26" s="1"/>
  <c r="O206" i="26"/>
  <c r="K207" i="26"/>
  <c r="K209" i="26" s="1"/>
  <c r="K206" i="26"/>
  <c r="AH255" i="26"/>
  <c r="AK12" i="26"/>
  <c r="AK232" i="26"/>
  <c r="B16" i="26"/>
  <c r="AZ15" i="26"/>
  <c r="AZ183" i="26"/>
  <c r="B185" i="26"/>
  <c r="B268" i="26" s="1"/>
  <c r="C268" i="26" s="1"/>
  <c r="K186" i="26"/>
  <c r="AD186" i="26" s="1"/>
  <c r="AZ161" i="26"/>
  <c r="P230" i="26"/>
  <c r="P271" i="26" s="1"/>
  <c r="AM212" i="26"/>
  <c r="B243" i="26"/>
  <c r="AZ237" i="26"/>
  <c r="O39" i="37" l="1"/>
  <c r="BD39" i="37" s="1"/>
  <c r="L39" i="37"/>
  <c r="BA39" i="37" s="1"/>
  <c r="N39" i="37"/>
  <c r="BC39" i="37" s="1"/>
  <c r="M39" i="37"/>
  <c r="BB39" i="37" s="1"/>
  <c r="BJ39" i="37" s="1"/>
  <c r="G22" i="46" s="1"/>
  <c r="X22" i="46" s="1"/>
  <c r="AA22" i="46" s="1"/>
  <c r="D24" i="52" s="1"/>
  <c r="BE39" i="37"/>
  <c r="BE26" i="37"/>
  <c r="M32" i="37"/>
  <c r="BB32" i="37" s="1"/>
  <c r="L32" i="37"/>
  <c r="BA32" i="37" s="1"/>
  <c r="N32" i="37"/>
  <c r="BC32" i="37" s="1"/>
  <c r="O32" i="37"/>
  <c r="BD32" i="37" s="1"/>
  <c r="BE32" i="37"/>
  <c r="F31" i="40"/>
  <c r="AD395" i="45"/>
  <c r="AH395" i="48"/>
  <c r="AJ395" i="48"/>
  <c r="N28" i="37"/>
  <c r="O28" i="37"/>
  <c r="L28" i="37"/>
  <c r="M28" i="37"/>
  <c r="O30" i="37"/>
  <c r="BD30" i="37" s="1"/>
  <c r="L30" i="37"/>
  <c r="BA30" i="37" s="1"/>
  <c r="N30" i="37"/>
  <c r="BC30" i="37" s="1"/>
  <c r="M30" i="37"/>
  <c r="BB30" i="37" s="1"/>
  <c r="BE30" i="37"/>
  <c r="P179" i="27"/>
  <c r="P178" i="27"/>
  <c r="AU178" i="27" s="1"/>
  <c r="G27" i="37"/>
  <c r="H27" i="37"/>
  <c r="I27" i="37"/>
  <c r="J27" i="37"/>
  <c r="K29" i="37"/>
  <c r="AE392" i="45"/>
  <c r="S18" i="45"/>
  <c r="W19" i="48"/>
  <c r="P37" i="37"/>
  <c r="K53" i="37"/>
  <c r="G28" i="37"/>
  <c r="BA28" i="37" s="1"/>
  <c r="I28" i="37"/>
  <c r="BC28" i="37" s="1"/>
  <c r="BE28" i="37"/>
  <c r="H28" i="37"/>
  <c r="BB28" i="37" s="1"/>
  <c r="BJ28" i="37" s="1"/>
  <c r="J28" i="37"/>
  <c r="BD28" i="37" s="1"/>
  <c r="F122" i="40"/>
  <c r="O35" i="37"/>
  <c r="BD35" i="37" s="1"/>
  <c r="L35" i="37"/>
  <c r="BA35" i="37" s="1"/>
  <c r="N35" i="37"/>
  <c r="BC35" i="37" s="1"/>
  <c r="M35" i="37"/>
  <c r="BB35" i="37" s="1"/>
  <c r="BJ35" i="37" s="1"/>
  <c r="G18" i="46" s="1"/>
  <c r="X18" i="46" s="1"/>
  <c r="AA18" i="46" s="1"/>
  <c r="D20" i="52" s="1"/>
  <c r="G20" i="52" s="1"/>
  <c r="J20" i="52" s="1"/>
  <c r="BE35" i="37"/>
  <c r="H188" i="40"/>
  <c r="F47" i="40"/>
  <c r="O34" i="37"/>
  <c r="BD34" i="37" s="1"/>
  <c r="M34" i="37"/>
  <c r="N34" i="37"/>
  <c r="BC34" i="37" s="1"/>
  <c r="L34" i="37"/>
  <c r="BE34" i="37"/>
  <c r="N31" i="37"/>
  <c r="BC31" i="37" s="1"/>
  <c r="L31" i="37"/>
  <c r="BA31" i="37" s="1"/>
  <c r="O31" i="37"/>
  <c r="BD31" i="37" s="1"/>
  <c r="M31" i="37"/>
  <c r="BB31" i="37" s="1"/>
  <c r="BJ31" i="37" s="1"/>
  <c r="G14" i="46" s="1"/>
  <c r="X14" i="46" s="1"/>
  <c r="AA14" i="46" s="1"/>
  <c r="D16" i="52" s="1"/>
  <c r="BE31" i="37"/>
  <c r="I43" i="45"/>
  <c r="L44" i="48"/>
  <c r="L43" i="45" s="1"/>
  <c r="W44" i="48"/>
  <c r="L27" i="40"/>
  <c r="E8" i="40"/>
  <c r="AH108" i="48"/>
  <c r="AE107" i="45"/>
  <c r="N721" i="51"/>
  <c r="O38" i="37"/>
  <c r="BD38" i="37" s="1"/>
  <c r="L38" i="37"/>
  <c r="BA38" i="37" s="1"/>
  <c r="M38" i="37"/>
  <c r="BB38" i="37" s="1"/>
  <c r="N38" i="37"/>
  <c r="BC38" i="37" s="1"/>
  <c r="BE38" i="37"/>
  <c r="F80" i="40"/>
  <c r="F75" i="40" s="1"/>
  <c r="O40" i="37"/>
  <c r="BD40" i="37" s="1"/>
  <c r="M40" i="37"/>
  <c r="BB40" i="37" s="1"/>
  <c r="N40" i="37"/>
  <c r="BC40" i="37" s="1"/>
  <c r="L40" i="37"/>
  <c r="BA40" i="37" s="1"/>
  <c r="BE40" i="37"/>
  <c r="AH102" i="48"/>
  <c r="AE101" i="45"/>
  <c r="N101" i="45"/>
  <c r="Q102" i="48"/>
  <c r="Q101" i="45" s="1"/>
  <c r="F178" i="27"/>
  <c r="F179" i="27"/>
  <c r="F181" i="27" s="1"/>
  <c r="I720" i="51" s="1"/>
  <c r="I721" i="51" s="1"/>
  <c r="AD106" i="45"/>
  <c r="AU52" i="27"/>
  <c r="P76" i="27"/>
  <c r="G178" i="27"/>
  <c r="AI49" i="48"/>
  <c r="AH48" i="45"/>
  <c r="AD18" i="45"/>
  <c r="AI19" i="51"/>
  <c r="AI49" i="51"/>
  <c r="AI44" i="51"/>
  <c r="P230" i="27"/>
  <c r="AU206" i="27"/>
  <c r="AZ243" i="26"/>
  <c r="B244" i="26"/>
  <c r="AZ244" i="26" s="1"/>
  <c r="B253" i="26"/>
  <c r="B272" i="26" s="1"/>
  <c r="C272" i="26" s="1"/>
  <c r="AJ186" i="26"/>
  <c r="AE186" i="26"/>
  <c r="AM186" i="26" s="1"/>
  <c r="B17" i="26"/>
  <c r="AZ16" i="26"/>
  <c r="BJ40" i="37" l="1"/>
  <c r="G23" i="46" s="1"/>
  <c r="X23" i="46" s="1"/>
  <c r="AA23" i="46" s="1"/>
  <c r="D25" i="52" s="1"/>
  <c r="BJ30" i="37"/>
  <c r="G13" i="46" s="1"/>
  <c r="X13" i="46" s="1"/>
  <c r="AA13" i="46" s="1"/>
  <c r="D15" i="52" s="1"/>
  <c r="G15" i="52" s="1"/>
  <c r="J15" i="52" s="1"/>
  <c r="G25" i="52"/>
  <c r="J25" i="52" s="1"/>
  <c r="AH107" i="45"/>
  <c r="AI108" i="48"/>
  <c r="G16" i="52"/>
  <c r="J16" i="52" s="1"/>
  <c r="BI31" i="37"/>
  <c r="BF31" i="37"/>
  <c r="P27" i="37"/>
  <c r="F188" i="40"/>
  <c r="BI35" i="37"/>
  <c r="BF35" i="37"/>
  <c r="BG35" i="37" s="1"/>
  <c r="O37" i="37"/>
  <c r="BD37" i="37" s="1"/>
  <c r="N37" i="37"/>
  <c r="BC37" i="37" s="1"/>
  <c r="L37" i="37"/>
  <c r="BA37" i="37" s="1"/>
  <c r="M37" i="37"/>
  <c r="BB37" i="37" s="1"/>
  <c r="BJ37" i="37" s="1"/>
  <c r="BE37" i="37"/>
  <c r="AE19" i="48"/>
  <c r="W18" i="45"/>
  <c r="I29" i="37"/>
  <c r="G29" i="37"/>
  <c r="H29" i="37"/>
  <c r="J29" i="37"/>
  <c r="AH395" i="45"/>
  <c r="AI395" i="48"/>
  <c r="F27" i="40"/>
  <c r="F8" i="40" s="1"/>
  <c r="BI32" i="37"/>
  <c r="BF32" i="37"/>
  <c r="BG32" i="37" s="1"/>
  <c r="AU76" i="27"/>
  <c r="AM76" i="27"/>
  <c r="BI40" i="37"/>
  <c r="BF40" i="37"/>
  <c r="BG40" i="37" s="1"/>
  <c r="BI38" i="37"/>
  <c r="BF38" i="37"/>
  <c r="BG38" i="37" s="1"/>
  <c r="AU230" i="27"/>
  <c r="S728" i="51"/>
  <c r="S729" i="51" s="1"/>
  <c r="AH101" i="45"/>
  <c r="AI102" i="48"/>
  <c r="BJ38" i="37"/>
  <c r="G21" i="46" s="1"/>
  <c r="X21" i="46" s="1"/>
  <c r="AA21" i="46" s="1"/>
  <c r="D23" i="52" s="1"/>
  <c r="G23" i="52" s="1"/>
  <c r="J23" i="52" s="1"/>
  <c r="AE44" i="48"/>
  <c r="W43" i="45"/>
  <c r="BG31" i="37"/>
  <c r="BA34" i="37"/>
  <c r="BB34" i="37"/>
  <c r="BJ34" i="37" s="1"/>
  <c r="G17" i="46" s="1"/>
  <c r="X17" i="46" s="1"/>
  <c r="AA17" i="46" s="1"/>
  <c r="D19" i="52" s="1"/>
  <c r="BI28" i="37"/>
  <c r="BK28" i="37" s="1"/>
  <c r="BF28" i="37"/>
  <c r="BG28" i="37" s="1"/>
  <c r="G26" i="37"/>
  <c r="AU179" i="27"/>
  <c r="P181" i="27"/>
  <c r="BI30" i="37"/>
  <c r="BF30" i="37"/>
  <c r="BG30" i="37" s="1"/>
  <c r="AJ395" i="45"/>
  <c r="AM395" i="45" s="1"/>
  <c r="AO395" i="48"/>
  <c r="BJ32" i="37"/>
  <c r="G15" i="46" s="1"/>
  <c r="X15" i="46" s="1"/>
  <c r="AA15" i="46" s="1"/>
  <c r="D17" i="52" s="1"/>
  <c r="G17" i="52" s="1"/>
  <c r="J17" i="52" s="1"/>
  <c r="G24" i="52"/>
  <c r="J24" i="52"/>
  <c r="BI39" i="37"/>
  <c r="BF39" i="37"/>
  <c r="BG39" i="37" s="1"/>
  <c r="AM49" i="48"/>
  <c r="AI48" i="45"/>
  <c r="AJ49" i="48"/>
  <c r="AJ48" i="45" s="1"/>
  <c r="AM48" i="45" s="1"/>
  <c r="AO49" i="48"/>
  <c r="AJ44" i="51"/>
  <c r="AJ49" i="51"/>
  <c r="B18" i="26"/>
  <c r="AZ17" i="26"/>
  <c r="AJ255" i="26"/>
  <c r="AK186" i="26"/>
  <c r="AK255" i="26" s="1"/>
  <c r="P182" i="27" l="1"/>
  <c r="AU182" i="27" s="1"/>
  <c r="S720" i="51"/>
  <c r="S721" i="51" s="1"/>
  <c r="AU181" i="27"/>
  <c r="D21" i="46"/>
  <c r="T21" i="46" s="1"/>
  <c r="W21" i="46" s="1"/>
  <c r="C23" i="52" s="1"/>
  <c r="BK38" i="37"/>
  <c r="D23" i="46"/>
  <c r="T23" i="46" s="1"/>
  <c r="W23" i="46" s="1"/>
  <c r="C25" i="52" s="1"/>
  <c r="BK40" i="37"/>
  <c r="D15" i="46"/>
  <c r="T15" i="46" s="1"/>
  <c r="W15" i="46" s="1"/>
  <c r="C17" i="52" s="1"/>
  <c r="BK32" i="37"/>
  <c r="AI395" i="45"/>
  <c r="AM395" i="48"/>
  <c r="J26" i="37"/>
  <c r="AE18" i="45"/>
  <c r="G20" i="46"/>
  <c r="D18" i="46"/>
  <c r="T18" i="46" s="1"/>
  <c r="W18" i="46" s="1"/>
  <c r="C20" i="52" s="1"/>
  <c r="BK35" i="37"/>
  <c r="O27" i="37"/>
  <c r="L27" i="37"/>
  <c r="M27" i="37"/>
  <c r="N27" i="37"/>
  <c r="P29" i="37"/>
  <c r="BE27" i="37"/>
  <c r="AM108" i="48"/>
  <c r="AO108" i="48"/>
  <c r="AI107" i="45"/>
  <c r="AJ108" i="48"/>
  <c r="AJ107" i="45" s="1"/>
  <c r="AM107" i="45" s="1"/>
  <c r="D22" i="46"/>
  <c r="T22" i="46" s="1"/>
  <c r="W22" i="46" s="1"/>
  <c r="C24" i="52" s="1"/>
  <c r="BK39" i="37"/>
  <c r="D13" i="46"/>
  <c r="T13" i="46" s="1"/>
  <c r="W13" i="46" s="1"/>
  <c r="C15" i="52" s="1"/>
  <c r="BK30" i="37"/>
  <c r="G19" i="52"/>
  <c r="BI34" i="37"/>
  <c r="BF34" i="37"/>
  <c r="BG34" i="37" s="1"/>
  <c r="AE43" i="45"/>
  <c r="AH44" i="48"/>
  <c r="AM102" i="48"/>
  <c r="AO102" i="48"/>
  <c r="AI101" i="45"/>
  <c r="AJ102" i="48"/>
  <c r="AJ101" i="45" s="1"/>
  <c r="AM101" i="45" s="1"/>
  <c r="I26" i="37"/>
  <c r="H26" i="37"/>
  <c r="BI37" i="37"/>
  <c r="BF37" i="37"/>
  <c r="BG37" i="37" s="1"/>
  <c r="D14" i="46"/>
  <c r="T14" i="46" s="1"/>
  <c r="W14" i="46" s="1"/>
  <c r="C16" i="52" s="1"/>
  <c r="BK31" i="37"/>
  <c r="B19" i="26"/>
  <c r="AZ18" i="26"/>
  <c r="F16" i="52" l="1"/>
  <c r="E16" i="52"/>
  <c r="BK34" i="37"/>
  <c r="D17" i="46"/>
  <c r="T17" i="46" s="1"/>
  <c r="W17" i="46" s="1"/>
  <c r="C19" i="52" s="1"/>
  <c r="F15" i="52"/>
  <c r="E15" i="52"/>
  <c r="F24" i="52"/>
  <c r="E24" i="52"/>
  <c r="O29" i="37"/>
  <c r="BD29" i="37" s="1"/>
  <c r="L29" i="37"/>
  <c r="BA29" i="37" s="1"/>
  <c r="N29" i="37"/>
  <c r="BC29" i="37" s="1"/>
  <c r="M29" i="37"/>
  <c r="BB29" i="37" s="1"/>
  <c r="BE29" i="37"/>
  <c r="M26" i="37"/>
  <c r="BB27" i="37"/>
  <c r="O26" i="37"/>
  <c r="BD27" i="37"/>
  <c r="F20" i="52"/>
  <c r="H20" i="52" s="1"/>
  <c r="E20" i="52"/>
  <c r="I20" i="52"/>
  <c r="K20" i="52" s="1"/>
  <c r="X20" i="46"/>
  <c r="BD26" i="37"/>
  <c r="E17" i="52"/>
  <c r="F17" i="52"/>
  <c r="H17" i="52" s="1"/>
  <c r="F25" i="52"/>
  <c r="E25" i="52"/>
  <c r="F23" i="52"/>
  <c r="H23" i="52" s="1"/>
  <c r="E23" i="52"/>
  <c r="I23" i="52"/>
  <c r="K23" i="52" s="1"/>
  <c r="D20" i="46"/>
  <c r="BK37" i="37"/>
  <c r="BB26" i="37"/>
  <c r="AI44" i="48"/>
  <c r="AH43" i="45"/>
  <c r="J19" i="52"/>
  <c r="N26" i="37"/>
  <c r="BC26" i="37" s="1"/>
  <c r="BC27" i="37"/>
  <c r="L26" i="37"/>
  <c r="BA26" i="37" s="1"/>
  <c r="BA27" i="37"/>
  <c r="AZ19" i="26"/>
  <c r="B20" i="26"/>
  <c r="BJ29" i="37" l="1"/>
  <c r="BF26" i="37"/>
  <c r="I25" i="52"/>
  <c r="K25" i="52" s="1"/>
  <c r="H25" i="52"/>
  <c r="BI29" i="37"/>
  <c r="BK29" i="37" s="1"/>
  <c r="BF29" i="37"/>
  <c r="BG29" i="37" s="1"/>
  <c r="F19" i="52"/>
  <c r="E19" i="52"/>
  <c r="BI27" i="37"/>
  <c r="BF27" i="37"/>
  <c r="BG27" i="37" s="1"/>
  <c r="AJ44" i="48"/>
  <c r="AJ43" i="45" s="1"/>
  <c r="AM43" i="45" s="1"/>
  <c r="AM44" i="48"/>
  <c r="AO44" i="48"/>
  <c r="AI43" i="45"/>
  <c r="T20" i="46"/>
  <c r="I17" i="52"/>
  <c r="K17" i="52" s="1"/>
  <c r="AA20" i="46"/>
  <c r="BJ27" i="37"/>
  <c r="BJ26" i="37" s="1"/>
  <c r="G12" i="46" s="1"/>
  <c r="X12" i="46" s="1"/>
  <c r="I24" i="52"/>
  <c r="K24" i="52" s="1"/>
  <c r="H24" i="52"/>
  <c r="I15" i="52"/>
  <c r="K15" i="52" s="1"/>
  <c r="H15" i="52"/>
  <c r="I16" i="52"/>
  <c r="K16" i="52" s="1"/>
  <c r="H16" i="52"/>
  <c r="B21" i="26"/>
  <c r="AZ20" i="26"/>
  <c r="AA12" i="46" l="1"/>
  <c r="W20" i="46"/>
  <c r="I19" i="52"/>
  <c r="H19" i="52"/>
  <c r="D22" i="52"/>
  <c r="BK27" i="37"/>
  <c r="BK26" i="37" s="1"/>
  <c r="BI26" i="37"/>
  <c r="D12" i="46" s="1"/>
  <c r="T12" i="46" s="1"/>
  <c r="W12" i="46" s="1"/>
  <c r="BG26" i="37"/>
  <c r="AZ21" i="26"/>
  <c r="B22" i="26"/>
  <c r="G22" i="52" l="1"/>
  <c r="C22" i="52"/>
  <c r="D14" i="52"/>
  <c r="C14" i="52"/>
  <c r="K19" i="52"/>
  <c r="B23" i="26"/>
  <c r="AZ22" i="26"/>
  <c r="F14" i="52" l="1"/>
  <c r="E14" i="52"/>
  <c r="G14" i="52"/>
  <c r="J14" i="52" s="1"/>
  <c r="E22" i="52"/>
  <c r="F22" i="52"/>
  <c r="J22" i="52"/>
  <c r="B30" i="26"/>
  <c r="AZ23" i="26"/>
  <c r="I22" i="52" l="1"/>
  <c r="K22" i="52" s="1"/>
  <c r="H22" i="52"/>
  <c r="I14" i="52"/>
  <c r="K14" i="52" s="1"/>
  <c r="H14" i="52"/>
  <c r="B31" i="26"/>
  <c r="AZ30" i="26"/>
  <c r="B32" i="26" l="1"/>
  <c r="AZ31" i="26"/>
  <c r="B33" i="26" l="1"/>
  <c r="AZ32" i="26"/>
  <c r="B34" i="26" l="1"/>
  <c r="AZ33" i="26"/>
  <c r="B35" i="26" l="1"/>
  <c r="AZ34" i="26"/>
  <c r="B36" i="26" l="1"/>
  <c r="AZ35" i="26"/>
  <c r="B37" i="26" l="1"/>
  <c r="AZ36" i="26"/>
  <c r="B38" i="26" l="1"/>
  <c r="AZ37" i="26"/>
  <c r="B39" i="26" l="1"/>
  <c r="AZ38" i="26"/>
  <c r="B40" i="26" l="1"/>
  <c r="AZ39" i="26"/>
  <c r="B41" i="26" l="1"/>
  <c r="AZ40" i="26"/>
  <c r="B42" i="26" l="1"/>
  <c r="AZ41" i="26"/>
  <c r="B43" i="26" l="1"/>
  <c r="AZ42" i="26"/>
  <c r="B44" i="26" l="1"/>
  <c r="AZ43" i="26"/>
  <c r="B45" i="26" l="1"/>
  <c r="AZ44" i="26"/>
  <c r="B46" i="26" l="1"/>
  <c r="AZ45" i="26"/>
  <c r="B47" i="26" l="1"/>
  <c r="AZ46" i="26"/>
  <c r="B48" i="26" l="1"/>
  <c r="AZ47" i="26"/>
  <c r="B49" i="26" l="1"/>
  <c r="AZ48" i="26"/>
  <c r="B50" i="26" l="1"/>
  <c r="AZ49" i="26"/>
  <c r="B51" i="26" l="1"/>
  <c r="AZ50" i="26"/>
  <c r="B52" i="26" l="1"/>
  <c r="AZ51" i="26"/>
  <c r="B53" i="26" l="1"/>
  <c r="AZ52" i="26"/>
  <c r="B54" i="26" l="1"/>
  <c r="AZ53" i="26"/>
  <c r="B55" i="26" l="1"/>
  <c r="AZ54" i="26"/>
  <c r="B56" i="26" l="1"/>
  <c r="AZ55" i="26"/>
  <c r="B57" i="26" l="1"/>
  <c r="AZ56" i="26"/>
  <c r="B58" i="26" l="1"/>
  <c r="AZ57" i="26"/>
  <c r="B59" i="26" l="1"/>
  <c r="AZ58" i="26"/>
  <c r="AZ59" i="26" l="1"/>
  <c r="B60" i="26"/>
  <c r="B61" i="26" l="1"/>
  <c r="AZ60" i="26"/>
  <c r="B62" i="26" l="1"/>
  <c r="AZ61" i="26"/>
  <c r="AZ62" i="26" l="1"/>
  <c r="B63" i="26"/>
  <c r="AZ63" i="26" l="1"/>
  <c r="B64" i="26"/>
  <c r="AZ64" i="26" l="1"/>
  <c r="B65" i="26"/>
  <c r="AZ65" i="26" l="1"/>
  <c r="B66" i="26"/>
  <c r="AZ66" i="26" l="1"/>
  <c r="B67" i="26"/>
  <c r="B68" i="26" l="1"/>
  <c r="AZ67" i="26"/>
  <c r="B69" i="26" l="1"/>
  <c r="AZ68" i="26"/>
  <c r="B72" i="26" l="1"/>
  <c r="AZ69" i="26"/>
  <c r="B73" i="26" l="1"/>
  <c r="AZ72" i="26"/>
  <c r="B76" i="26" l="1"/>
  <c r="AZ73" i="26"/>
  <c r="B77" i="26" l="1"/>
  <c r="AZ76" i="26"/>
  <c r="AZ77" i="26" l="1"/>
  <c r="B78" i="26"/>
  <c r="AZ78" i="26" l="1"/>
  <c r="B80" i="26"/>
  <c r="B263" i="26" s="1"/>
  <c r="C263" i="26" s="1"/>
  <c r="C48" i="19" l="1"/>
  <c r="G114" i="19"/>
  <c r="H114" i="19"/>
  <c r="I114" i="19"/>
  <c r="J114" i="19"/>
  <c r="K114" i="19"/>
  <c r="L114" i="19"/>
  <c r="M114" i="19"/>
  <c r="N114" i="19"/>
  <c r="O114" i="19"/>
  <c r="P114" i="19"/>
  <c r="AX117" i="19"/>
  <c r="AG117" i="19"/>
  <c r="AD117" i="19"/>
  <c r="AC117" i="19"/>
  <c r="AB117" i="19"/>
  <c r="Y117" i="19"/>
  <c r="Z117" i="19" s="1"/>
  <c r="U117" i="19"/>
  <c r="V117" i="19" s="1"/>
  <c r="A117" i="19"/>
  <c r="D117" i="19"/>
  <c r="C114" i="19"/>
  <c r="G106" i="19"/>
  <c r="H106" i="19"/>
  <c r="I106" i="19"/>
  <c r="J106" i="19"/>
  <c r="K106" i="19"/>
  <c r="L106" i="19"/>
  <c r="M106" i="19"/>
  <c r="N106" i="19"/>
  <c r="O106" i="19"/>
  <c r="P106" i="19"/>
  <c r="F106" i="19"/>
  <c r="AX108" i="19"/>
  <c r="AG108" i="19"/>
  <c r="AD108" i="19"/>
  <c r="AC108" i="19"/>
  <c r="AJ108" i="19" s="1"/>
  <c r="AB108" i="19"/>
  <c r="C106" i="19"/>
  <c r="Y108" i="19"/>
  <c r="Z108" i="19" s="1"/>
  <c r="U108" i="19"/>
  <c r="V108" i="19" s="1"/>
  <c r="D108" i="19"/>
  <c r="A108" i="19"/>
  <c r="C103" i="19"/>
  <c r="C102" i="19"/>
  <c r="C80" i="19"/>
  <c r="C73" i="19"/>
  <c r="C79" i="19"/>
  <c r="C63" i="19"/>
  <c r="C59" i="19"/>
  <c r="C43" i="19"/>
  <c r="C39" i="19"/>
  <c r="C38" i="19"/>
  <c r="C11" i="19"/>
  <c r="G92" i="19"/>
  <c r="H92" i="19"/>
  <c r="H91" i="19" s="1"/>
  <c r="I92" i="19"/>
  <c r="I91" i="19" s="1"/>
  <c r="J92" i="19"/>
  <c r="J91" i="19" s="1"/>
  <c r="K92" i="19"/>
  <c r="K91" i="19" s="1"/>
  <c r="L92" i="19"/>
  <c r="L91" i="19" s="1"/>
  <c r="M92" i="19"/>
  <c r="M91" i="19" s="1"/>
  <c r="N92" i="19"/>
  <c r="N91" i="19" s="1"/>
  <c r="O92" i="19"/>
  <c r="O91" i="19" s="1"/>
  <c r="P92" i="19"/>
  <c r="G89" i="19"/>
  <c r="H89" i="19"/>
  <c r="I89" i="19"/>
  <c r="J89" i="19"/>
  <c r="K89" i="19"/>
  <c r="L89" i="19"/>
  <c r="M89" i="19"/>
  <c r="N89" i="19"/>
  <c r="O89" i="19"/>
  <c r="P89" i="19"/>
  <c r="F89" i="19"/>
  <c r="F88" i="19" s="1"/>
  <c r="A93" i="19"/>
  <c r="C91" i="19"/>
  <c r="F91" i="19"/>
  <c r="AX82" i="19"/>
  <c r="AX83" i="19"/>
  <c r="AX84" i="19"/>
  <c r="AX85" i="19"/>
  <c r="AX86" i="19"/>
  <c r="AX87" i="19"/>
  <c r="AX88" i="19"/>
  <c r="AX89" i="19"/>
  <c r="AX90" i="19"/>
  <c r="AX92" i="19"/>
  <c r="AX93" i="19"/>
  <c r="AG93" i="19"/>
  <c r="AD93" i="19"/>
  <c r="AC93" i="19"/>
  <c r="AB93" i="19"/>
  <c r="Y93" i="19"/>
  <c r="U93" i="19"/>
  <c r="V93" i="19" s="1"/>
  <c r="D93" i="19"/>
  <c r="G80" i="19"/>
  <c r="H80" i="19"/>
  <c r="H79" i="19" s="1"/>
  <c r="I80" i="19"/>
  <c r="I79" i="19" s="1"/>
  <c r="J80" i="19"/>
  <c r="J79" i="19" s="1"/>
  <c r="K80" i="19"/>
  <c r="K79" i="19" s="1"/>
  <c r="L80" i="19"/>
  <c r="L79" i="19" s="1"/>
  <c r="M80" i="19"/>
  <c r="M79" i="19" s="1"/>
  <c r="N80" i="19"/>
  <c r="N79" i="19" s="1"/>
  <c r="O80" i="19"/>
  <c r="O79" i="19" s="1"/>
  <c r="P80" i="19"/>
  <c r="F80" i="19"/>
  <c r="G73" i="19"/>
  <c r="H73" i="19"/>
  <c r="H72" i="19" s="1"/>
  <c r="I73" i="19"/>
  <c r="I72" i="19" s="1"/>
  <c r="J73" i="19"/>
  <c r="J72" i="19" s="1"/>
  <c r="K73" i="19"/>
  <c r="K72" i="19" s="1"/>
  <c r="L73" i="19"/>
  <c r="L72" i="19" s="1"/>
  <c r="M73" i="19"/>
  <c r="M72" i="19" s="1"/>
  <c r="N73" i="19"/>
  <c r="N72" i="19" s="1"/>
  <c r="O73" i="19"/>
  <c r="O72" i="19" s="1"/>
  <c r="P73" i="19"/>
  <c r="AX13" i="19"/>
  <c r="AX14" i="19"/>
  <c r="AX15" i="19"/>
  <c r="AX16" i="19"/>
  <c r="AX17" i="19"/>
  <c r="AX18" i="19"/>
  <c r="AX19" i="19"/>
  <c r="AX20" i="19"/>
  <c r="AX21" i="19"/>
  <c r="AX22" i="19"/>
  <c r="AX23" i="19"/>
  <c r="AX24" i="19"/>
  <c r="AX25" i="19"/>
  <c r="AX26" i="19"/>
  <c r="AX27" i="19"/>
  <c r="AX28" i="19"/>
  <c r="AX29" i="19"/>
  <c r="AX30" i="19"/>
  <c r="AX31" i="19"/>
  <c r="AX32" i="19"/>
  <c r="AX33" i="19"/>
  <c r="AX34" i="19"/>
  <c r="AX35" i="19"/>
  <c r="AX36" i="19"/>
  <c r="AX37" i="19"/>
  <c r="AX38" i="19"/>
  <c r="AX39" i="19"/>
  <c r="AX40" i="19"/>
  <c r="AX41" i="19"/>
  <c r="AX42" i="19"/>
  <c r="AX43" i="19"/>
  <c r="AX44" i="19"/>
  <c r="AX45" i="19"/>
  <c r="AX46" i="19"/>
  <c r="AX47" i="19"/>
  <c r="AX48" i="19"/>
  <c r="AX49" i="19"/>
  <c r="AX50" i="19"/>
  <c r="AX51" i="19"/>
  <c r="AX52" i="19"/>
  <c r="AX53" i="19"/>
  <c r="AX54" i="19"/>
  <c r="AX55" i="19"/>
  <c r="AX56" i="19"/>
  <c r="AX57" i="19"/>
  <c r="AX58" i="19"/>
  <c r="AX59" i="19"/>
  <c r="AX61" i="19"/>
  <c r="AX62" i="19"/>
  <c r="AX63" i="19"/>
  <c r="AX64" i="19"/>
  <c r="AX65" i="19"/>
  <c r="AX66" i="19"/>
  <c r="AX68" i="19"/>
  <c r="AX69" i="19"/>
  <c r="AX70" i="19"/>
  <c r="AX71" i="19"/>
  <c r="AX72" i="19"/>
  <c r="AX73" i="19"/>
  <c r="AX74" i="19"/>
  <c r="AX75" i="19"/>
  <c r="AX76" i="19"/>
  <c r="AX77" i="19"/>
  <c r="AX78" i="19"/>
  <c r="AX79" i="19"/>
  <c r="AX80" i="19"/>
  <c r="AX81" i="19"/>
  <c r="AX94" i="19"/>
  <c r="AX95" i="19"/>
  <c r="AX96" i="19"/>
  <c r="AX97" i="19"/>
  <c r="AX98" i="19"/>
  <c r="AX99" i="19"/>
  <c r="AX100" i="19"/>
  <c r="AX101" i="19"/>
  <c r="AX102" i="19"/>
  <c r="AX103" i="19"/>
  <c r="AX105" i="19"/>
  <c r="AX106" i="19"/>
  <c r="AX107" i="19"/>
  <c r="AX109" i="19"/>
  <c r="AX110" i="19"/>
  <c r="AX111" i="19"/>
  <c r="AX112" i="19"/>
  <c r="AX113" i="19"/>
  <c r="AX114" i="19"/>
  <c r="AX115" i="19"/>
  <c r="AX118" i="19"/>
  <c r="AX120" i="19"/>
  <c r="AX121" i="19"/>
  <c r="AX122" i="19"/>
  <c r="AX123" i="19"/>
  <c r="AX124" i="19"/>
  <c r="AX125" i="19"/>
  <c r="AX126" i="19"/>
  <c r="AX127" i="19"/>
  <c r="AX128" i="19"/>
  <c r="AX129" i="19"/>
  <c r="AX130" i="19"/>
  <c r="AX131" i="19"/>
  <c r="AX132" i="19"/>
  <c r="AX133" i="19"/>
  <c r="AX134" i="19"/>
  <c r="AX135" i="19"/>
  <c r="AX136" i="19"/>
  <c r="AX137" i="19"/>
  <c r="AX138" i="19"/>
  <c r="AX139" i="19"/>
  <c r="AX140" i="19"/>
  <c r="AX141" i="19"/>
  <c r="AX142" i="19"/>
  <c r="AX143" i="19"/>
  <c r="AX144" i="19"/>
  <c r="AX145" i="19"/>
  <c r="AX146" i="19"/>
  <c r="AX147" i="19"/>
  <c r="AX148" i="19"/>
  <c r="AX149" i="19"/>
  <c r="AX150" i="19"/>
  <c r="AX151" i="19"/>
  <c r="AX152" i="19"/>
  <c r="AX153" i="19"/>
  <c r="AX154" i="19"/>
  <c r="AX155" i="19"/>
  <c r="AX156" i="19"/>
  <c r="AX157" i="19"/>
  <c r="AX158" i="19"/>
  <c r="AX159" i="19"/>
  <c r="AX160" i="19"/>
  <c r="AX161" i="19"/>
  <c r="AX162" i="19"/>
  <c r="AX163" i="19"/>
  <c r="AX164" i="19"/>
  <c r="AX165" i="19"/>
  <c r="AX166" i="19"/>
  <c r="AX167" i="19"/>
  <c r="AX168" i="19"/>
  <c r="AX169" i="19"/>
  <c r="AX170" i="19"/>
  <c r="AX171" i="19"/>
  <c r="AX172" i="19"/>
  <c r="AX173" i="19"/>
  <c r="AX174" i="19"/>
  <c r="AX175" i="19"/>
  <c r="AX176" i="19"/>
  <c r="AX177" i="19"/>
  <c r="AX178" i="19"/>
  <c r="AX179" i="19"/>
  <c r="AX180" i="19"/>
  <c r="AX181" i="19"/>
  <c r="AX182" i="19"/>
  <c r="AX183" i="19"/>
  <c r="AX184" i="19"/>
  <c r="AX185" i="19"/>
  <c r="AX186" i="19"/>
  <c r="AX187" i="19"/>
  <c r="AX188" i="19"/>
  <c r="AX189" i="19"/>
  <c r="AX190" i="19"/>
  <c r="AG81" i="19"/>
  <c r="AD81" i="19"/>
  <c r="AC81" i="19"/>
  <c r="AB81" i="19"/>
  <c r="D81" i="19"/>
  <c r="U81" i="19"/>
  <c r="V81" i="19" s="1"/>
  <c r="Y81" i="19"/>
  <c r="Z81" i="19" s="1"/>
  <c r="AG76" i="19"/>
  <c r="AD76" i="19"/>
  <c r="AC76" i="19"/>
  <c r="AB76" i="19"/>
  <c r="AG75" i="19"/>
  <c r="AD75" i="19"/>
  <c r="AC75" i="19"/>
  <c r="AB75" i="19"/>
  <c r="Y75" i="19"/>
  <c r="Z75" i="19" s="1"/>
  <c r="Y76" i="19"/>
  <c r="Z76" i="19" s="1"/>
  <c r="U76" i="19"/>
  <c r="V76" i="19" s="1"/>
  <c r="U75" i="19"/>
  <c r="V75" i="19" s="1"/>
  <c r="D76" i="19"/>
  <c r="D75" i="19"/>
  <c r="A75" i="19"/>
  <c r="A76" i="19"/>
  <c r="C62" i="19"/>
  <c r="AG74" i="19"/>
  <c r="AD74" i="19"/>
  <c r="AC74" i="19"/>
  <c r="AB74" i="19"/>
  <c r="Y74" i="19"/>
  <c r="Z74" i="19" s="1"/>
  <c r="U74" i="19"/>
  <c r="V74" i="19" s="1"/>
  <c r="A74" i="19"/>
  <c r="D74" i="19"/>
  <c r="C72" i="19"/>
  <c r="P72" i="19" l="1"/>
  <c r="T77" i="51"/>
  <c r="F79" i="19"/>
  <c r="J101" i="51"/>
  <c r="L101" i="51" s="1"/>
  <c r="G79" i="19"/>
  <c r="O101" i="51"/>
  <c r="Q101" i="51" s="1"/>
  <c r="G91" i="19"/>
  <c r="O274" i="51"/>
  <c r="J77" i="51"/>
  <c r="G72" i="19"/>
  <c r="O77" i="51"/>
  <c r="Q77" i="51" s="1"/>
  <c r="P79" i="19"/>
  <c r="T101" i="51"/>
  <c r="P91" i="19"/>
  <c r="T274" i="51"/>
  <c r="AJ81" i="19"/>
  <c r="F87" i="19"/>
  <c r="AI117" i="19"/>
  <c r="AK117" i="19"/>
  <c r="AJ117" i="19"/>
  <c r="AE117" i="19"/>
  <c r="AI108" i="19"/>
  <c r="AK108" i="19"/>
  <c r="AE108" i="19"/>
  <c r="AJ74" i="19"/>
  <c r="AJ93" i="19"/>
  <c r="O71" i="19"/>
  <c r="O86" i="19" s="1"/>
  <c r="O203" i="19" s="1"/>
  <c r="M71" i="19"/>
  <c r="M86" i="19" s="1"/>
  <c r="M203" i="19" s="1"/>
  <c r="K71" i="19"/>
  <c r="K86" i="19" s="1"/>
  <c r="K203" i="19" s="1"/>
  <c r="I71" i="19"/>
  <c r="I86" i="19" s="1"/>
  <c r="I203" i="19" s="1"/>
  <c r="G71" i="19"/>
  <c r="G86" i="19" s="1"/>
  <c r="G203" i="19" s="1"/>
  <c r="AI93" i="19"/>
  <c r="AK93" i="19"/>
  <c r="AE93" i="19"/>
  <c r="N71" i="19"/>
  <c r="N86" i="19" s="1"/>
  <c r="N203" i="19" s="1"/>
  <c r="J71" i="19"/>
  <c r="J86" i="19" s="1"/>
  <c r="J203" i="19" s="1"/>
  <c r="P71" i="19"/>
  <c r="P86" i="19" s="1"/>
  <c r="P203" i="19" s="1"/>
  <c r="L71" i="19"/>
  <c r="L86" i="19" s="1"/>
  <c r="L203" i="19" s="1"/>
  <c r="H71" i="19"/>
  <c r="H86" i="19" s="1"/>
  <c r="H203" i="19" s="1"/>
  <c r="AE75" i="19"/>
  <c r="AK75" i="19"/>
  <c r="AI81" i="19"/>
  <c r="AK81" i="19"/>
  <c r="AE81" i="19"/>
  <c r="AI75" i="19"/>
  <c r="AK74" i="19"/>
  <c r="AI76" i="19"/>
  <c r="AK76" i="19"/>
  <c r="AJ76" i="19"/>
  <c r="AJ75" i="19"/>
  <c r="AE76" i="19"/>
  <c r="AI74" i="19"/>
  <c r="AE74" i="19"/>
  <c r="J19" i="48" l="1"/>
  <c r="L77" i="51"/>
  <c r="Q274" i="51"/>
  <c r="X77" i="51"/>
  <c r="AF77" i="51" s="1"/>
  <c r="AH77" i="51" s="1"/>
  <c r="AI77" i="51" s="1"/>
  <c r="AJ77" i="51" s="1"/>
  <c r="T19" i="48"/>
  <c r="X274" i="51"/>
  <c r="AF274" i="51" s="1"/>
  <c r="AH274" i="51" s="1"/>
  <c r="AI274" i="51" s="1"/>
  <c r="AJ274" i="51" s="1"/>
  <c r="X101" i="51"/>
  <c r="AF101" i="51" s="1"/>
  <c r="AH101" i="51" s="1"/>
  <c r="AI101" i="51" s="1"/>
  <c r="AJ101" i="51" s="1"/>
  <c r="T43" i="48"/>
  <c r="AL108" i="19"/>
  <c r="AL117" i="19"/>
  <c r="AL75" i="19"/>
  <c r="AL93" i="19"/>
  <c r="AL81" i="19"/>
  <c r="AL76" i="19"/>
  <c r="AL74" i="19"/>
  <c r="T42" i="45" l="1"/>
  <c r="T18" i="45"/>
  <c r="X19" i="48"/>
  <c r="J18" i="45"/>
  <c r="L19" i="48"/>
  <c r="L18" i="45" s="1"/>
  <c r="G59" i="19"/>
  <c r="O194" i="51" s="1"/>
  <c r="H59" i="19"/>
  <c r="I59" i="19"/>
  <c r="J59" i="19"/>
  <c r="K59" i="19"/>
  <c r="L59" i="19"/>
  <c r="M59" i="19"/>
  <c r="N59" i="19"/>
  <c r="O59" i="19"/>
  <c r="P59" i="19"/>
  <c r="T194" i="51" s="1"/>
  <c r="G58" i="19"/>
  <c r="H58" i="19"/>
  <c r="I58" i="19"/>
  <c r="J58" i="19"/>
  <c r="K58" i="19"/>
  <c r="L58" i="19"/>
  <c r="M58" i="19"/>
  <c r="N58" i="19"/>
  <c r="O58" i="19"/>
  <c r="P58" i="19"/>
  <c r="G63" i="19"/>
  <c r="H63" i="19"/>
  <c r="H62" i="19" s="1"/>
  <c r="I63" i="19"/>
  <c r="I62" i="19" s="1"/>
  <c r="J63" i="19"/>
  <c r="J62" i="19" s="1"/>
  <c r="K63" i="19"/>
  <c r="K62" i="19" s="1"/>
  <c r="L63" i="19"/>
  <c r="L62" i="19" s="1"/>
  <c r="M63" i="19"/>
  <c r="M62" i="19" s="1"/>
  <c r="N63" i="19"/>
  <c r="N62" i="19" s="1"/>
  <c r="O63" i="19"/>
  <c r="O62" i="19" s="1"/>
  <c r="P63" i="19"/>
  <c r="F63" i="19"/>
  <c r="J218" i="51" s="1"/>
  <c r="F59" i="19"/>
  <c r="J194" i="51" s="1"/>
  <c r="AH66" i="19"/>
  <c r="AG66" i="19"/>
  <c r="AD66" i="19"/>
  <c r="AC66" i="19"/>
  <c r="AJ66" i="19" s="1"/>
  <c r="AB66" i="19"/>
  <c r="AG65" i="19"/>
  <c r="AD65" i="19"/>
  <c r="AC65" i="19"/>
  <c r="AB65" i="19"/>
  <c r="AG64" i="19"/>
  <c r="AD64" i="19"/>
  <c r="AC64" i="19"/>
  <c r="AJ64" i="19" s="1"/>
  <c r="AB64" i="19"/>
  <c r="Y65" i="19"/>
  <c r="Z65" i="19" s="1"/>
  <c r="U66" i="19"/>
  <c r="V66" i="19" s="1"/>
  <c r="U65" i="19"/>
  <c r="V65" i="19" s="1"/>
  <c r="U64" i="19"/>
  <c r="V64" i="19" s="1"/>
  <c r="A65" i="19"/>
  <c r="D66" i="19"/>
  <c r="D65" i="19"/>
  <c r="D64" i="19"/>
  <c r="L194" i="51" l="1"/>
  <c r="J83" i="48"/>
  <c r="P62" i="19"/>
  <c r="T218" i="51"/>
  <c r="AF19" i="48"/>
  <c r="X18" i="45"/>
  <c r="J107" i="48"/>
  <c r="L218" i="51"/>
  <c r="G62" i="19"/>
  <c r="O218" i="51"/>
  <c r="Q194" i="51"/>
  <c r="O83" i="48"/>
  <c r="T83" i="48"/>
  <c r="X194" i="51"/>
  <c r="AF194" i="51" s="1"/>
  <c r="AH194" i="51" s="1"/>
  <c r="AI194" i="51" s="1"/>
  <c r="AJ194" i="51" s="1"/>
  <c r="F58" i="19"/>
  <c r="F62" i="19"/>
  <c r="AI64" i="19"/>
  <c r="AK64" i="19"/>
  <c r="AI65" i="19"/>
  <c r="AK65" i="19"/>
  <c r="AI66" i="19"/>
  <c r="AK66" i="19"/>
  <c r="F56" i="19"/>
  <c r="O56" i="19"/>
  <c r="M56" i="19"/>
  <c r="K56" i="19"/>
  <c r="I56" i="19"/>
  <c r="G56" i="19"/>
  <c r="P56" i="19"/>
  <c r="N56" i="19"/>
  <c r="L56" i="19"/>
  <c r="J56" i="19"/>
  <c r="H56" i="19"/>
  <c r="AJ65" i="19"/>
  <c r="AE64" i="19"/>
  <c r="AE66" i="19"/>
  <c r="AE65" i="19"/>
  <c r="O82" i="45" l="1"/>
  <c r="Q83" i="48"/>
  <c r="Q82" i="45" s="1"/>
  <c r="Q218" i="51"/>
  <c r="O107" i="48"/>
  <c r="X218" i="51"/>
  <c r="AF218" i="51" s="1"/>
  <c r="AH218" i="51" s="1"/>
  <c r="AI218" i="51" s="1"/>
  <c r="AJ218" i="51" s="1"/>
  <c r="T107" i="48"/>
  <c r="J82" i="45"/>
  <c r="L83" i="48"/>
  <c r="L82" i="45" s="1"/>
  <c r="J106" i="45"/>
  <c r="L107" i="48"/>
  <c r="L106" i="45" s="1"/>
  <c r="AF18" i="45"/>
  <c r="AH19" i="48"/>
  <c r="T82" i="45"/>
  <c r="X83" i="48"/>
  <c r="F68" i="19"/>
  <c r="F202" i="19" s="1"/>
  <c r="AL65" i="19"/>
  <c r="AL66" i="19"/>
  <c r="AL64" i="19"/>
  <c r="AI19" i="48" l="1"/>
  <c r="AH18" i="45"/>
  <c r="T106" i="45"/>
  <c r="X107" i="48"/>
  <c r="O106" i="45"/>
  <c r="Q107" i="48"/>
  <c r="Q106" i="45" s="1"/>
  <c r="AF83" i="48"/>
  <c r="X82" i="45"/>
  <c r="G11" i="19"/>
  <c r="O19" i="51" s="1"/>
  <c r="H11" i="19"/>
  <c r="I11" i="19"/>
  <c r="J11" i="19"/>
  <c r="K11" i="19"/>
  <c r="L11" i="19"/>
  <c r="M11" i="19"/>
  <c r="N11" i="19"/>
  <c r="O11" i="19"/>
  <c r="F48" i="19"/>
  <c r="J25" i="51" s="1"/>
  <c r="G43" i="19"/>
  <c r="H43" i="19"/>
  <c r="H42" i="19" s="1"/>
  <c r="I43" i="19"/>
  <c r="I42" i="19" s="1"/>
  <c r="J43" i="19"/>
  <c r="J42" i="19" s="1"/>
  <c r="K43" i="19"/>
  <c r="K42" i="19" s="1"/>
  <c r="L43" i="19"/>
  <c r="L42" i="19" s="1"/>
  <c r="M43" i="19"/>
  <c r="M42" i="19" s="1"/>
  <c r="N43" i="19"/>
  <c r="N42" i="19" s="1"/>
  <c r="O43" i="19"/>
  <c r="O42" i="19" s="1"/>
  <c r="P43" i="19"/>
  <c r="AH40" i="19"/>
  <c r="AG40" i="19"/>
  <c r="AD40" i="19"/>
  <c r="AC40" i="19"/>
  <c r="AJ40" i="19" s="1"/>
  <c r="AB40" i="19"/>
  <c r="Y40" i="19"/>
  <c r="Z40" i="19" s="1"/>
  <c r="U40" i="19"/>
  <c r="V40" i="19" s="1"/>
  <c r="D40" i="19"/>
  <c r="AH36" i="19"/>
  <c r="AG36" i="19"/>
  <c r="AD36" i="19"/>
  <c r="AC36" i="19"/>
  <c r="AJ36" i="19" s="1"/>
  <c r="AB36" i="19"/>
  <c r="AH35" i="19"/>
  <c r="AG35" i="19"/>
  <c r="AD35" i="19"/>
  <c r="AC35" i="19"/>
  <c r="AJ35" i="19" s="1"/>
  <c r="AB35" i="19"/>
  <c r="Y35" i="19"/>
  <c r="Z35" i="19" s="1"/>
  <c r="Y36" i="19"/>
  <c r="Z36" i="19" s="1"/>
  <c r="U36" i="19"/>
  <c r="V36" i="19" s="1"/>
  <c r="U35" i="19"/>
  <c r="V35" i="19" s="1"/>
  <c r="D36" i="19"/>
  <c r="D35" i="19"/>
  <c r="AH34" i="19"/>
  <c r="AG34" i="19"/>
  <c r="AD34" i="19"/>
  <c r="AC34" i="19"/>
  <c r="AJ34" i="19" s="1"/>
  <c r="AB34" i="19"/>
  <c r="Y34" i="19"/>
  <c r="Z34" i="19" s="1"/>
  <c r="U34" i="19"/>
  <c r="V34" i="19" s="1"/>
  <c r="D34" i="19"/>
  <c r="AH33" i="19"/>
  <c r="AG33" i="19"/>
  <c r="AD33" i="19"/>
  <c r="AC33" i="19"/>
  <c r="AJ33" i="19" s="1"/>
  <c r="AB33" i="19"/>
  <c r="AH32" i="19"/>
  <c r="AG32" i="19"/>
  <c r="AD32" i="19"/>
  <c r="AC32" i="19"/>
  <c r="AJ32" i="19" s="1"/>
  <c r="AB32" i="19"/>
  <c r="Y33" i="19"/>
  <c r="Z33" i="19" s="1"/>
  <c r="U33" i="19"/>
  <c r="V33" i="19" s="1"/>
  <c r="Y32" i="19"/>
  <c r="Z32" i="19" s="1"/>
  <c r="U32" i="19"/>
  <c r="V32" i="19" s="1"/>
  <c r="D32" i="19"/>
  <c r="D33" i="19"/>
  <c r="Y41" i="19"/>
  <c r="Z41" i="19" s="1"/>
  <c r="AH31" i="19"/>
  <c r="AG31" i="19"/>
  <c r="AD31" i="19"/>
  <c r="AC31" i="19"/>
  <c r="AJ31" i="19" s="1"/>
  <c r="AB31" i="19"/>
  <c r="Y31" i="19"/>
  <c r="Z31" i="19" s="1"/>
  <c r="U31" i="19"/>
  <c r="V31" i="19" s="1"/>
  <c r="D31" i="19"/>
  <c r="A31" i="19"/>
  <c r="A32" i="19"/>
  <c r="A33" i="19"/>
  <c r="A34" i="19"/>
  <c r="A35" i="19"/>
  <c r="A36" i="19"/>
  <c r="A37" i="19"/>
  <c r="B37" i="19" s="1"/>
  <c r="F39" i="19"/>
  <c r="J43" i="51" s="1"/>
  <c r="AH30" i="19"/>
  <c r="AG30" i="19"/>
  <c r="AD30" i="19"/>
  <c r="AC30" i="19"/>
  <c r="AJ30" i="19" s="1"/>
  <c r="AB30" i="19"/>
  <c r="Y30" i="19"/>
  <c r="Z30" i="19" s="1"/>
  <c r="U30" i="19"/>
  <c r="V30" i="19" s="1"/>
  <c r="A30" i="19"/>
  <c r="D30" i="19"/>
  <c r="C10" i="19"/>
  <c r="T214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F216" i="19" s="1"/>
  <c r="B214" i="19"/>
  <c r="T213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B213" i="19"/>
  <c r="T212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B212" i="19"/>
  <c r="T211" i="19"/>
  <c r="S211" i="19"/>
  <c r="R211" i="19"/>
  <c r="X201" i="19"/>
  <c r="X191" i="19"/>
  <c r="AG190" i="19"/>
  <c r="AJ190" i="19" s="1"/>
  <c r="Z190" i="19"/>
  <c r="Y190" i="19"/>
  <c r="C190" i="19"/>
  <c r="AG189" i="19"/>
  <c r="AJ189" i="19" s="1"/>
  <c r="Z189" i="19"/>
  <c r="Y189" i="19"/>
  <c r="W189" i="19"/>
  <c r="D189" i="19"/>
  <c r="A189" i="19"/>
  <c r="B189" i="19" s="1"/>
  <c r="AG188" i="19"/>
  <c r="Z188" i="19"/>
  <c r="Y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AG187" i="19"/>
  <c r="AD187" i="19"/>
  <c r="AC187" i="19"/>
  <c r="AB187" i="19"/>
  <c r="Z187" i="19"/>
  <c r="Y187" i="19"/>
  <c r="W187" i="19"/>
  <c r="D187" i="19"/>
  <c r="A187" i="19"/>
  <c r="B187" i="19" s="1"/>
  <c r="AG186" i="19"/>
  <c r="AJ186" i="19" s="1"/>
  <c r="Z186" i="19"/>
  <c r="Y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C186" i="19"/>
  <c r="AG185" i="19"/>
  <c r="AD185" i="19"/>
  <c r="AC185" i="19"/>
  <c r="AB185" i="19"/>
  <c r="Z185" i="19"/>
  <c r="Y185" i="19"/>
  <c r="W185" i="19"/>
  <c r="D185" i="19"/>
  <c r="A185" i="19"/>
  <c r="B185" i="19" s="1"/>
  <c r="AG184" i="19"/>
  <c r="AJ184" i="19" s="1"/>
  <c r="Z184" i="19"/>
  <c r="Y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C184" i="19"/>
  <c r="AG183" i="19"/>
  <c r="AD183" i="19"/>
  <c r="AC183" i="19"/>
  <c r="AB183" i="19"/>
  <c r="Z183" i="19"/>
  <c r="Y183" i="19"/>
  <c r="W183" i="19"/>
  <c r="D183" i="19"/>
  <c r="A183" i="19"/>
  <c r="B183" i="19" s="1"/>
  <c r="AG182" i="19"/>
  <c r="Z182" i="19"/>
  <c r="Y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C182" i="19"/>
  <c r="BC181" i="19"/>
  <c r="AG181" i="19"/>
  <c r="AD181" i="19"/>
  <c r="AC181" i="19"/>
  <c r="AB181" i="19"/>
  <c r="W181" i="19"/>
  <c r="Z181" i="19" s="1"/>
  <c r="D181" i="19"/>
  <c r="A181" i="19"/>
  <c r="B181" i="19" s="1"/>
  <c r="AS181" i="19" s="1"/>
  <c r="BC180" i="19"/>
  <c r="AG180" i="19"/>
  <c r="AD180" i="19"/>
  <c r="AC180" i="19"/>
  <c r="AB180" i="19"/>
  <c r="W180" i="19"/>
  <c r="Z180" i="19" s="1"/>
  <c r="D180" i="19"/>
  <c r="A180" i="19"/>
  <c r="B180" i="19" s="1"/>
  <c r="AS180" i="19" s="1"/>
  <c r="AG179" i="19"/>
  <c r="AJ179" i="19" s="1"/>
  <c r="Z179" i="19"/>
  <c r="Y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C179" i="19"/>
  <c r="AG178" i="19"/>
  <c r="AD178" i="19"/>
  <c r="AC178" i="19"/>
  <c r="AB178" i="19"/>
  <c r="Z178" i="19"/>
  <c r="Y178" i="19"/>
  <c r="W178" i="19"/>
  <c r="D178" i="19"/>
  <c r="A178" i="19"/>
  <c r="B178" i="19" s="1"/>
  <c r="AG177" i="19"/>
  <c r="AJ177" i="19" s="1"/>
  <c r="Z177" i="19"/>
  <c r="Y177" i="19"/>
  <c r="Q177" i="19"/>
  <c r="P177" i="19"/>
  <c r="O177" i="19"/>
  <c r="N177" i="19"/>
  <c r="M177" i="19"/>
  <c r="L177" i="19"/>
  <c r="K177" i="19"/>
  <c r="J177" i="19"/>
  <c r="I177" i="19"/>
  <c r="H177" i="19"/>
  <c r="F177" i="19"/>
  <c r="C177" i="19"/>
  <c r="AG176" i="19"/>
  <c r="AD176" i="19"/>
  <c r="AC176" i="19"/>
  <c r="AB176" i="19"/>
  <c r="Z176" i="19"/>
  <c r="Y176" i="19"/>
  <c r="W176" i="19"/>
  <c r="D176" i="19"/>
  <c r="A176" i="19"/>
  <c r="B176" i="19" s="1"/>
  <c r="BC175" i="19"/>
  <c r="AG175" i="19"/>
  <c r="AD175" i="19"/>
  <c r="AC175" i="19"/>
  <c r="AB175" i="19"/>
  <c r="W175" i="19"/>
  <c r="Z175" i="19" s="1"/>
  <c r="D175" i="19"/>
  <c r="A175" i="19"/>
  <c r="BC174" i="19"/>
  <c r="AG174" i="19"/>
  <c r="AD174" i="19"/>
  <c r="AC174" i="19"/>
  <c r="AB174" i="19"/>
  <c r="W174" i="19"/>
  <c r="Z174" i="19" s="1"/>
  <c r="D174" i="19"/>
  <c r="A174" i="19"/>
  <c r="AG173" i="19"/>
  <c r="AJ173" i="19" s="1"/>
  <c r="Z173" i="19"/>
  <c r="Y173" i="19"/>
  <c r="Q173" i="19"/>
  <c r="J647" i="51" s="1"/>
  <c r="O173" i="19"/>
  <c r="N173" i="19"/>
  <c r="M173" i="19"/>
  <c r="L173" i="19"/>
  <c r="K173" i="19"/>
  <c r="J173" i="19"/>
  <c r="I173" i="19"/>
  <c r="H173" i="19"/>
  <c r="G173" i="19"/>
  <c r="O647" i="51" s="1"/>
  <c r="F173" i="19"/>
  <c r="C173" i="19"/>
  <c r="BC172" i="19"/>
  <c r="AG172" i="19"/>
  <c r="AD172" i="19"/>
  <c r="AC172" i="19"/>
  <c r="AB172" i="19"/>
  <c r="W172" i="19"/>
  <c r="Z172" i="19" s="1"/>
  <c r="D172" i="19"/>
  <c r="A172" i="19"/>
  <c r="B172" i="19" s="1"/>
  <c r="AS172" i="19" s="1"/>
  <c r="BC171" i="19"/>
  <c r="AG171" i="19"/>
  <c r="AD171" i="19"/>
  <c r="AC171" i="19"/>
  <c r="AB171" i="19"/>
  <c r="W171" i="19"/>
  <c r="Z171" i="19" s="1"/>
  <c r="D171" i="19"/>
  <c r="A171" i="19"/>
  <c r="B171" i="19" s="1"/>
  <c r="AS171" i="19" s="1"/>
  <c r="BC170" i="19"/>
  <c r="AG170" i="19"/>
  <c r="AD170" i="19"/>
  <c r="AC170" i="19"/>
  <c r="AB170" i="19"/>
  <c r="W170" i="19"/>
  <c r="Z170" i="19" s="1"/>
  <c r="D170" i="19"/>
  <c r="A170" i="19"/>
  <c r="B170" i="19" s="1"/>
  <c r="AS170" i="19" s="1"/>
  <c r="BC169" i="19"/>
  <c r="AG169" i="19"/>
  <c r="AD169" i="19"/>
  <c r="AC169" i="19"/>
  <c r="AB169" i="19"/>
  <c r="W169" i="19"/>
  <c r="Z169" i="19" s="1"/>
  <c r="D169" i="19"/>
  <c r="A169" i="19"/>
  <c r="AG168" i="19"/>
  <c r="AJ168" i="19" s="1"/>
  <c r="Z168" i="19"/>
  <c r="Y168" i="19"/>
  <c r="Q168" i="19"/>
  <c r="J646" i="51" s="1"/>
  <c r="O168" i="19"/>
  <c r="N168" i="19"/>
  <c r="M168" i="19"/>
  <c r="L168" i="19"/>
  <c r="K168" i="19"/>
  <c r="J168" i="19"/>
  <c r="I168" i="19"/>
  <c r="H168" i="19"/>
  <c r="G168" i="19"/>
  <c r="O646" i="51" s="1"/>
  <c r="F168" i="19"/>
  <c r="C168" i="19"/>
  <c r="AG167" i="19"/>
  <c r="AJ167" i="19" s="1"/>
  <c r="Z167" i="19"/>
  <c r="Y167" i="19"/>
  <c r="C167" i="19"/>
  <c r="AG166" i="19"/>
  <c r="AJ166" i="19" s="1"/>
  <c r="Z166" i="19"/>
  <c r="Y166" i="19"/>
  <c r="BH165" i="19"/>
  <c r="AG165" i="19"/>
  <c r="AJ165" i="19" s="1"/>
  <c r="Z165" i="19"/>
  <c r="Y165" i="19"/>
  <c r="W165" i="19"/>
  <c r="C165" i="19"/>
  <c r="BH164" i="19"/>
  <c r="AG164" i="19"/>
  <c r="AK164" i="19" s="1"/>
  <c r="Z164" i="19"/>
  <c r="Y164" i="19"/>
  <c r="W164" i="19"/>
  <c r="D164" i="19"/>
  <c r="A164" i="19"/>
  <c r="B164" i="19" s="1"/>
  <c r="BH163" i="19"/>
  <c r="AG163" i="19"/>
  <c r="AJ163" i="19" s="1"/>
  <c r="Z163" i="19"/>
  <c r="Y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BH162" i="19"/>
  <c r="AG162" i="19"/>
  <c r="AD162" i="19"/>
  <c r="AC162" i="19"/>
  <c r="AB162" i="19"/>
  <c r="Z162" i="19"/>
  <c r="Y162" i="19"/>
  <c r="W162" i="19"/>
  <c r="D162" i="19"/>
  <c r="BH161" i="19"/>
  <c r="AG161" i="19"/>
  <c r="AJ161" i="19" s="1"/>
  <c r="Z161" i="19"/>
  <c r="Y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C161" i="19"/>
  <c r="BH160" i="19"/>
  <c r="AG160" i="19"/>
  <c r="AJ160" i="19" s="1"/>
  <c r="Z160" i="19"/>
  <c r="Y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C160" i="19"/>
  <c r="BH159" i="19"/>
  <c r="AG159" i="19"/>
  <c r="AD159" i="19"/>
  <c r="AC159" i="19"/>
  <c r="AB159" i="19"/>
  <c r="Z159" i="19"/>
  <c r="Y159" i="19"/>
  <c r="W159" i="19"/>
  <c r="D159" i="19"/>
  <c r="A159" i="19"/>
  <c r="B159" i="19" s="1"/>
  <c r="BH158" i="19"/>
  <c r="AG158" i="19"/>
  <c r="AJ158" i="19" s="1"/>
  <c r="Z158" i="19"/>
  <c r="Y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C158" i="19"/>
  <c r="BH157" i="19"/>
  <c r="AG157" i="19"/>
  <c r="AD157" i="19"/>
  <c r="AC157" i="19"/>
  <c r="AB157" i="19"/>
  <c r="Z157" i="19"/>
  <c r="Y157" i="19"/>
  <c r="W157" i="19"/>
  <c r="D157" i="19"/>
  <c r="A157" i="19"/>
  <c r="B157" i="19" s="1"/>
  <c r="BH156" i="19"/>
  <c r="AG156" i="19"/>
  <c r="AJ156" i="19" s="1"/>
  <c r="Z156" i="19"/>
  <c r="Y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C156" i="19"/>
  <c r="BH155" i="19"/>
  <c r="AG155" i="19"/>
  <c r="AD155" i="19"/>
  <c r="AC155" i="19"/>
  <c r="AB155" i="19"/>
  <c r="Z155" i="19"/>
  <c r="Y155" i="19"/>
  <c r="W155" i="19"/>
  <c r="D155" i="19"/>
  <c r="A155" i="19"/>
  <c r="B155" i="19" s="1"/>
  <c r="BH154" i="19"/>
  <c r="AG154" i="19"/>
  <c r="AD154" i="19"/>
  <c r="AC154" i="19"/>
  <c r="AB154" i="19"/>
  <c r="W154" i="19"/>
  <c r="Z154" i="19" s="1"/>
  <c r="D154" i="19"/>
  <c r="A154" i="19"/>
  <c r="B154" i="19" s="1"/>
  <c r="BH153" i="19"/>
  <c r="AG153" i="19"/>
  <c r="AD153" i="19"/>
  <c r="AC153" i="19"/>
  <c r="AB153" i="19"/>
  <c r="W153" i="19"/>
  <c r="Z153" i="19" s="1"/>
  <c r="D153" i="19"/>
  <c r="A153" i="19"/>
  <c r="B153" i="19" s="1"/>
  <c r="BH152" i="19"/>
  <c r="AG152" i="19"/>
  <c r="AJ152" i="19" s="1"/>
  <c r="Z152" i="19"/>
  <c r="Y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C152" i="19"/>
  <c r="BH151" i="19"/>
  <c r="AG151" i="19"/>
  <c r="AD151" i="19"/>
  <c r="AC151" i="19"/>
  <c r="AB151" i="19"/>
  <c r="Z151" i="19"/>
  <c r="Y151" i="19"/>
  <c r="W151" i="19"/>
  <c r="D151" i="19"/>
  <c r="A151" i="19"/>
  <c r="B151" i="19" s="1"/>
  <c r="BH150" i="19"/>
  <c r="AG150" i="19"/>
  <c r="AJ150" i="19" s="1"/>
  <c r="Z150" i="19"/>
  <c r="Y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C150" i="19"/>
  <c r="BH149" i="19"/>
  <c r="AG149" i="19"/>
  <c r="AD149" i="19"/>
  <c r="AC149" i="19"/>
  <c r="AB149" i="19"/>
  <c r="Z149" i="19"/>
  <c r="Y149" i="19"/>
  <c r="W149" i="19"/>
  <c r="D149" i="19"/>
  <c r="A149" i="19"/>
  <c r="B149" i="19" s="1"/>
  <c r="BH148" i="19"/>
  <c r="AG148" i="19"/>
  <c r="AJ148" i="19" s="1"/>
  <c r="Z148" i="19"/>
  <c r="Y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C148" i="19"/>
  <c r="BH147" i="19"/>
  <c r="AG147" i="19"/>
  <c r="AD147" i="19"/>
  <c r="AC147" i="19"/>
  <c r="AB147" i="19"/>
  <c r="Z147" i="19"/>
  <c r="W147" i="19"/>
  <c r="D147" i="19"/>
  <c r="A147" i="19"/>
  <c r="B147" i="19" s="1"/>
  <c r="BH146" i="19"/>
  <c r="AG146" i="19"/>
  <c r="AK146" i="19" s="1"/>
  <c r="Z146" i="19"/>
  <c r="Y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C146" i="19"/>
  <c r="BH145" i="19"/>
  <c r="AG145" i="19"/>
  <c r="AK145" i="19" s="1"/>
  <c r="Z145" i="19"/>
  <c r="Y145" i="19"/>
  <c r="C145" i="19"/>
  <c r="BH144" i="19"/>
  <c r="AG144" i="19"/>
  <c r="AK144" i="19" s="1"/>
  <c r="Z144" i="19"/>
  <c r="Y144" i="19"/>
  <c r="BH143" i="19"/>
  <c r="BD143" i="19"/>
  <c r="AG143" i="19"/>
  <c r="AK143" i="19" s="1"/>
  <c r="Z143" i="19"/>
  <c r="Y143" i="19"/>
  <c r="AG142" i="19"/>
  <c r="AK142" i="19" s="1"/>
  <c r="Z142" i="19"/>
  <c r="Y142" i="19"/>
  <c r="AG141" i="19"/>
  <c r="AK141" i="19" s="1"/>
  <c r="Z141" i="19"/>
  <c r="Y141" i="19"/>
  <c r="AG140" i="19"/>
  <c r="Z140" i="19"/>
  <c r="Y140" i="19"/>
  <c r="AG139" i="19"/>
  <c r="AK139" i="19" s="1"/>
  <c r="Z139" i="19"/>
  <c r="Y139" i="19"/>
  <c r="AG138" i="19"/>
  <c r="AJ138" i="19" s="1"/>
  <c r="Z138" i="19"/>
  <c r="Y138" i="19"/>
  <c r="AG137" i="19"/>
  <c r="AK137" i="19" s="1"/>
  <c r="Z137" i="19"/>
  <c r="Y137" i="19"/>
  <c r="AG136" i="19"/>
  <c r="AK136" i="19" s="1"/>
  <c r="Z136" i="19"/>
  <c r="Y136" i="19"/>
  <c r="C136" i="19"/>
  <c r="AG135" i="19"/>
  <c r="AK135" i="19" s="1"/>
  <c r="Z135" i="19"/>
  <c r="Y135" i="19"/>
  <c r="C135" i="19"/>
  <c r="BC134" i="19"/>
  <c r="AG134" i="19"/>
  <c r="AD134" i="19"/>
  <c r="AC134" i="19"/>
  <c r="AJ134" i="19" s="1"/>
  <c r="AB134" i="19"/>
  <c r="Y134" i="19"/>
  <c r="D134" i="19"/>
  <c r="A134" i="19"/>
  <c r="B134" i="19" s="1"/>
  <c r="BC133" i="19"/>
  <c r="AG133" i="19"/>
  <c r="Z133" i="19"/>
  <c r="Y133" i="19"/>
  <c r="P133" i="19"/>
  <c r="P132" i="19" s="1"/>
  <c r="P131" i="19" s="1"/>
  <c r="O133" i="19"/>
  <c r="O132" i="19" s="1"/>
  <c r="O131" i="19" s="1"/>
  <c r="O135" i="19" s="1"/>
  <c r="O208" i="19" s="1"/>
  <c r="N133" i="19"/>
  <c r="N132" i="19" s="1"/>
  <c r="N131" i="19" s="1"/>
  <c r="M133" i="19"/>
  <c r="M132" i="19" s="1"/>
  <c r="M131" i="19" s="1"/>
  <c r="L133" i="19"/>
  <c r="L132" i="19" s="1"/>
  <c r="L131" i="19" s="1"/>
  <c r="K133" i="19"/>
  <c r="K132" i="19" s="1"/>
  <c r="K131" i="19" s="1"/>
  <c r="J133" i="19"/>
  <c r="J132" i="19" s="1"/>
  <c r="J131" i="19" s="1"/>
  <c r="I133" i="19"/>
  <c r="I132" i="19" s="1"/>
  <c r="I131" i="19" s="1"/>
  <c r="H133" i="19"/>
  <c r="H132" i="19" s="1"/>
  <c r="H131" i="19" s="1"/>
  <c r="G133" i="19"/>
  <c r="G132" i="19" s="1"/>
  <c r="G131" i="19" s="1"/>
  <c r="F133" i="19"/>
  <c r="F132" i="19" s="1"/>
  <c r="F131" i="19" s="1"/>
  <c r="AG132" i="19"/>
  <c r="C132" i="19"/>
  <c r="AG131" i="19"/>
  <c r="C131" i="19"/>
  <c r="AG130" i="19"/>
  <c r="AK130" i="19" s="1"/>
  <c r="Z130" i="19"/>
  <c r="Y130" i="19"/>
  <c r="AG129" i="19"/>
  <c r="AJ129" i="19" s="1"/>
  <c r="Z129" i="19"/>
  <c r="Y129" i="19"/>
  <c r="C129" i="19"/>
  <c r="B129" i="19"/>
  <c r="B207" i="19" s="1"/>
  <c r="C207" i="19" s="1"/>
  <c r="AS128" i="19"/>
  <c r="AG128" i="19"/>
  <c r="AD128" i="19"/>
  <c r="AC128" i="19"/>
  <c r="AJ128" i="19" s="1"/>
  <c r="AB128" i="19"/>
  <c r="Y128" i="19"/>
  <c r="D128" i="19"/>
  <c r="BC127" i="19"/>
  <c r="AG127" i="19"/>
  <c r="AJ127" i="19" s="1"/>
  <c r="Z127" i="19"/>
  <c r="Y127" i="19"/>
  <c r="T127" i="19"/>
  <c r="P127" i="19"/>
  <c r="P129" i="19" s="1"/>
  <c r="P207" i="19" s="1"/>
  <c r="O127" i="19"/>
  <c r="O129" i="19" s="1"/>
  <c r="O207" i="19" s="1"/>
  <c r="N127" i="19"/>
  <c r="N129" i="19" s="1"/>
  <c r="N207" i="19" s="1"/>
  <c r="M127" i="19"/>
  <c r="M129" i="19" s="1"/>
  <c r="M207" i="19" s="1"/>
  <c r="L127" i="19"/>
  <c r="L129" i="19" s="1"/>
  <c r="L207" i="19" s="1"/>
  <c r="K127" i="19"/>
  <c r="K129" i="19" s="1"/>
  <c r="K207" i="19" s="1"/>
  <c r="J127" i="19"/>
  <c r="J129" i="19" s="1"/>
  <c r="J207" i="19" s="1"/>
  <c r="I127" i="19"/>
  <c r="I129" i="19" s="1"/>
  <c r="I207" i="19" s="1"/>
  <c r="H127" i="19"/>
  <c r="H129" i="19" s="1"/>
  <c r="H207" i="19" s="1"/>
  <c r="G127" i="19"/>
  <c r="G129" i="19" s="1"/>
  <c r="G207" i="19" s="1"/>
  <c r="F127" i="19"/>
  <c r="F129" i="19" s="1"/>
  <c r="F207" i="19" s="1"/>
  <c r="C127" i="19"/>
  <c r="AG126" i="19"/>
  <c r="AK126" i="19" s="1"/>
  <c r="Z126" i="19"/>
  <c r="Y126" i="19"/>
  <c r="O126" i="19"/>
  <c r="AG125" i="19"/>
  <c r="AK125" i="19" s="1"/>
  <c r="Z125" i="19"/>
  <c r="Y125" i="19"/>
  <c r="AG124" i="19"/>
  <c r="AK124" i="19" s="1"/>
  <c r="Z124" i="19"/>
  <c r="Y124" i="19"/>
  <c r="C124" i="19"/>
  <c r="AG123" i="19"/>
  <c r="AJ123" i="19" s="1"/>
  <c r="Z123" i="19"/>
  <c r="Y123" i="19"/>
  <c r="C123" i="19"/>
  <c r="AG122" i="19"/>
  <c r="AG121" i="19"/>
  <c r="AG120" i="19"/>
  <c r="AD120" i="19"/>
  <c r="AC120" i="19"/>
  <c r="AJ120" i="19" s="1"/>
  <c r="AB120" i="19"/>
  <c r="Y120" i="19"/>
  <c r="D120" i="19"/>
  <c r="A120" i="19"/>
  <c r="B120" i="19" s="1"/>
  <c r="AS120" i="19" s="1"/>
  <c r="A119" i="19"/>
  <c r="BC118" i="19"/>
  <c r="AG118" i="19"/>
  <c r="AJ118" i="19" s="1"/>
  <c r="Z118" i="19"/>
  <c r="Y118" i="19"/>
  <c r="T118" i="19"/>
  <c r="T133" i="19" s="1"/>
  <c r="P118" i="19"/>
  <c r="O118" i="19"/>
  <c r="N118" i="19"/>
  <c r="M118" i="19"/>
  <c r="L118" i="19"/>
  <c r="K118" i="19"/>
  <c r="J118" i="19"/>
  <c r="I118" i="19"/>
  <c r="H118" i="19"/>
  <c r="G118" i="19"/>
  <c r="F118" i="19"/>
  <c r="C118" i="19"/>
  <c r="A116" i="19"/>
  <c r="A115" i="19"/>
  <c r="P113" i="19"/>
  <c r="P112" i="19" s="1"/>
  <c r="AG114" i="19"/>
  <c r="AG113" i="19"/>
  <c r="C113" i="19"/>
  <c r="AG112" i="19"/>
  <c r="Z112" i="19"/>
  <c r="Y112" i="19"/>
  <c r="AG111" i="19"/>
  <c r="AJ111" i="19" s="1"/>
  <c r="Z111" i="19"/>
  <c r="Y111" i="19"/>
  <c r="C111" i="19"/>
  <c r="A110" i="19"/>
  <c r="BC109" i="19"/>
  <c r="AG109" i="19"/>
  <c r="AJ109" i="19" s="1"/>
  <c r="Z109" i="19"/>
  <c r="Y109" i="19"/>
  <c r="T109" i="19"/>
  <c r="C109" i="19" s="1"/>
  <c r="P109" i="19"/>
  <c r="P105" i="19" s="1"/>
  <c r="P102" i="19" s="1"/>
  <c r="P101" i="19" s="1"/>
  <c r="O109" i="19"/>
  <c r="O105" i="19" s="1"/>
  <c r="N109" i="19"/>
  <c r="N105" i="19" s="1"/>
  <c r="M109" i="19"/>
  <c r="M105" i="19" s="1"/>
  <c r="L109" i="19"/>
  <c r="L105" i="19" s="1"/>
  <c r="K109" i="19"/>
  <c r="K105" i="19" s="1"/>
  <c r="J109" i="19"/>
  <c r="J105" i="19" s="1"/>
  <c r="I109" i="19"/>
  <c r="I105" i="19" s="1"/>
  <c r="H109" i="19"/>
  <c r="H105" i="19" s="1"/>
  <c r="G109" i="19"/>
  <c r="G105" i="19" s="1"/>
  <c r="F109" i="19"/>
  <c r="F105" i="19" s="1"/>
  <c r="A107" i="19"/>
  <c r="BC106" i="19"/>
  <c r="AG106" i="19"/>
  <c r="AK106" i="19" s="1"/>
  <c r="Z106" i="19"/>
  <c r="Y106" i="19"/>
  <c r="AG105" i="19"/>
  <c r="C105" i="19"/>
  <c r="D104" i="19"/>
  <c r="A104" i="19"/>
  <c r="BC103" i="19"/>
  <c r="AG103" i="19"/>
  <c r="AK103" i="19" s="1"/>
  <c r="Z103" i="19"/>
  <c r="Y103" i="19"/>
  <c r="P103" i="19"/>
  <c r="O103" i="19"/>
  <c r="N103" i="19"/>
  <c r="M103" i="19"/>
  <c r="L103" i="19"/>
  <c r="K103" i="19"/>
  <c r="J103" i="19"/>
  <c r="I103" i="19"/>
  <c r="H103" i="19"/>
  <c r="G103" i="19"/>
  <c r="F103" i="19"/>
  <c r="AG102" i="19"/>
  <c r="AG101" i="19"/>
  <c r="AJ101" i="19" s="1"/>
  <c r="Z101" i="19"/>
  <c r="Y101" i="19"/>
  <c r="AG100" i="19"/>
  <c r="AK100" i="19" s="1"/>
  <c r="Z100" i="19"/>
  <c r="Y100" i="19"/>
  <c r="AG99" i="19"/>
  <c r="AK99" i="19" s="1"/>
  <c r="Z99" i="19"/>
  <c r="Y99" i="19"/>
  <c r="AG98" i="19"/>
  <c r="AJ98" i="19" s="1"/>
  <c r="Z98" i="19"/>
  <c r="Y98" i="19"/>
  <c r="AG97" i="19"/>
  <c r="AD97" i="19"/>
  <c r="AC97" i="19"/>
  <c r="AB97" i="19"/>
  <c r="Y97" i="19"/>
  <c r="U97" i="19"/>
  <c r="V97" i="19" s="1"/>
  <c r="D97" i="19"/>
  <c r="A97" i="19"/>
  <c r="AG96" i="19"/>
  <c r="AD96" i="19"/>
  <c r="AC96" i="19"/>
  <c r="AB96" i="19"/>
  <c r="Y96" i="19"/>
  <c r="U96" i="19"/>
  <c r="V96" i="19" s="1"/>
  <c r="D96" i="19"/>
  <c r="A96" i="19"/>
  <c r="AG95" i="19"/>
  <c r="AD95" i="19"/>
  <c r="AC95" i="19"/>
  <c r="AB95" i="19"/>
  <c r="Y95" i="19"/>
  <c r="Z95" i="19" s="1"/>
  <c r="U95" i="19"/>
  <c r="V95" i="19" s="1"/>
  <c r="D95" i="19"/>
  <c r="A95" i="19"/>
  <c r="AG94" i="19"/>
  <c r="AD94" i="19"/>
  <c r="AC94" i="19"/>
  <c r="AB94" i="19"/>
  <c r="Y94" i="19"/>
  <c r="U94" i="19"/>
  <c r="V94" i="19" s="1"/>
  <c r="D94" i="19"/>
  <c r="A94" i="19"/>
  <c r="BC92" i="19"/>
  <c r="AG92" i="19"/>
  <c r="AK92" i="19" s="1"/>
  <c r="Z92" i="19"/>
  <c r="Y92" i="19"/>
  <c r="Z93" i="19"/>
  <c r="D91" i="19"/>
  <c r="A90" i="19"/>
  <c r="AG89" i="19"/>
  <c r="G88" i="19"/>
  <c r="G87" i="19" s="1"/>
  <c r="AG88" i="19"/>
  <c r="C88" i="19"/>
  <c r="AG87" i="19"/>
  <c r="AJ87" i="19" s="1"/>
  <c r="Z87" i="19"/>
  <c r="Y87" i="19"/>
  <c r="AG86" i="19"/>
  <c r="AK86" i="19" s="1"/>
  <c r="Z86" i="19"/>
  <c r="Y86" i="19"/>
  <c r="C86" i="19"/>
  <c r="AG85" i="19"/>
  <c r="AD85" i="19"/>
  <c r="AC85" i="19"/>
  <c r="AJ85" i="19" s="1"/>
  <c r="AB85" i="19"/>
  <c r="Y85" i="19"/>
  <c r="Z85" i="19" s="1"/>
  <c r="D85" i="19"/>
  <c r="A85" i="19"/>
  <c r="B85" i="19" s="1"/>
  <c r="AG84" i="19"/>
  <c r="AD84" i="19"/>
  <c r="AC84" i="19"/>
  <c r="AB84" i="19"/>
  <c r="Y84" i="19"/>
  <c r="Z84" i="19" s="1"/>
  <c r="D84" i="19"/>
  <c r="A84" i="19"/>
  <c r="B84" i="19" s="1"/>
  <c r="BC83" i="19"/>
  <c r="AS83" i="19"/>
  <c r="AG83" i="19"/>
  <c r="AJ83" i="19" s="1"/>
  <c r="Z83" i="19"/>
  <c r="Y83" i="19"/>
  <c r="P83" i="19"/>
  <c r="O83" i="19"/>
  <c r="N83" i="19"/>
  <c r="M83" i="19"/>
  <c r="L83" i="19"/>
  <c r="K83" i="19"/>
  <c r="J83" i="19"/>
  <c r="I83" i="19"/>
  <c r="H83" i="19"/>
  <c r="G83" i="19"/>
  <c r="F83" i="19"/>
  <c r="C83" i="19"/>
  <c r="A82" i="19"/>
  <c r="A81" i="19"/>
  <c r="B81" i="19" s="1"/>
  <c r="AG80" i="19"/>
  <c r="AB80" i="19"/>
  <c r="AD80" i="19"/>
  <c r="AG77" i="19"/>
  <c r="T77" i="19"/>
  <c r="C77" i="19" s="1"/>
  <c r="P77" i="19"/>
  <c r="O77" i="19"/>
  <c r="AB77" i="19" s="1"/>
  <c r="N77" i="19"/>
  <c r="M77" i="19"/>
  <c r="L77" i="19"/>
  <c r="K77" i="19"/>
  <c r="AD77" i="19" s="1"/>
  <c r="J77" i="19"/>
  <c r="I77" i="19"/>
  <c r="H77" i="19"/>
  <c r="G77" i="19"/>
  <c r="F77" i="19"/>
  <c r="AG73" i="19"/>
  <c r="AG72" i="19"/>
  <c r="AG71" i="19"/>
  <c r="AK71" i="19" s="1"/>
  <c r="Z71" i="19"/>
  <c r="Y71" i="19"/>
  <c r="AG70" i="19"/>
  <c r="AJ70" i="19" s="1"/>
  <c r="Z70" i="19"/>
  <c r="Y70" i="19"/>
  <c r="AG69" i="19"/>
  <c r="AJ69" i="19" s="1"/>
  <c r="Z69" i="19"/>
  <c r="Y69" i="19"/>
  <c r="C69" i="19"/>
  <c r="AG68" i="19"/>
  <c r="AJ68" i="19" s="1"/>
  <c r="Z68" i="19"/>
  <c r="Y68" i="19"/>
  <c r="C68" i="19"/>
  <c r="BH66" i="19"/>
  <c r="Y66" i="19"/>
  <c r="Z66" i="19" s="1"/>
  <c r="A66" i="19"/>
  <c r="BH64" i="19"/>
  <c r="Y64" i="19"/>
  <c r="Z64" i="19" s="1"/>
  <c r="A64" i="19"/>
  <c r="BH63" i="19"/>
  <c r="BC63" i="19"/>
  <c r="AH63" i="19"/>
  <c r="AG63" i="19"/>
  <c r="AK63" i="19" s="1"/>
  <c r="Z63" i="19"/>
  <c r="Y63" i="19"/>
  <c r="BH62" i="19"/>
  <c r="AH62" i="19"/>
  <c r="AG62" i="19"/>
  <c r="A61" i="19"/>
  <c r="A60" i="19"/>
  <c r="BH59" i="19"/>
  <c r="AH59" i="19"/>
  <c r="AG59" i="19"/>
  <c r="BH58" i="19"/>
  <c r="AH58" i="19"/>
  <c r="AG58" i="19"/>
  <c r="C58" i="19"/>
  <c r="BH57" i="19"/>
  <c r="AH57" i="19"/>
  <c r="AG57" i="19"/>
  <c r="AD57" i="19"/>
  <c r="AC57" i="19"/>
  <c r="AJ57" i="19" s="1"/>
  <c r="AB57" i="19"/>
  <c r="Y57" i="19"/>
  <c r="Z57" i="19" s="1"/>
  <c r="D57" i="19"/>
  <c r="A57" i="19"/>
  <c r="B57" i="19" s="1"/>
  <c r="BH56" i="19"/>
  <c r="AH56" i="19"/>
  <c r="AG56" i="19"/>
  <c r="AK56" i="19" s="1"/>
  <c r="Z56" i="19"/>
  <c r="Y56" i="19"/>
  <c r="BH55" i="19"/>
  <c r="AH55" i="19"/>
  <c r="AG55" i="19"/>
  <c r="AJ55" i="19" s="1"/>
  <c r="Z55" i="19"/>
  <c r="Y55" i="19"/>
  <c r="BH54" i="19"/>
  <c r="AH54" i="19"/>
  <c r="AG54" i="19"/>
  <c r="AK54" i="19" s="1"/>
  <c r="Z54" i="19"/>
  <c r="Y54" i="19"/>
  <c r="C54" i="19"/>
  <c r="BH53" i="19"/>
  <c r="AH53" i="19"/>
  <c r="AG53" i="19"/>
  <c r="AD53" i="19"/>
  <c r="AC53" i="19"/>
  <c r="AB53" i="19"/>
  <c r="Y53" i="19"/>
  <c r="Z53" i="19" s="1"/>
  <c r="D53" i="19"/>
  <c r="A53" i="19"/>
  <c r="B53" i="19" s="1"/>
  <c r="AS53" i="19" s="1"/>
  <c r="AG52" i="19"/>
  <c r="A52" i="19"/>
  <c r="B52" i="19" s="1"/>
  <c r="AS52" i="19" s="1"/>
  <c r="AG51" i="19"/>
  <c r="A51" i="19"/>
  <c r="B51" i="19" s="1"/>
  <c r="AS51" i="19" s="1"/>
  <c r="AG50" i="19"/>
  <c r="AD50" i="19"/>
  <c r="AC50" i="19"/>
  <c r="AB50" i="19"/>
  <c r="Y50" i="19"/>
  <c r="A50" i="19"/>
  <c r="B50" i="19" s="1"/>
  <c r="AS50" i="19" s="1"/>
  <c r="BH49" i="19"/>
  <c r="AH49" i="19"/>
  <c r="AG49" i="19"/>
  <c r="AD49" i="19"/>
  <c r="AC49" i="19"/>
  <c r="AB49" i="19"/>
  <c r="Y49" i="19"/>
  <c r="Z49" i="19" s="1"/>
  <c r="U49" i="19"/>
  <c r="V49" i="19" s="1"/>
  <c r="D49" i="19"/>
  <c r="A49" i="19"/>
  <c r="BH48" i="19"/>
  <c r="BC48" i="19"/>
  <c r="AH48" i="19"/>
  <c r="AG48" i="19"/>
  <c r="P48" i="19"/>
  <c r="O48" i="19"/>
  <c r="O47" i="19" s="1"/>
  <c r="N48" i="19"/>
  <c r="N47" i="19" s="1"/>
  <c r="N10" i="19" s="1"/>
  <c r="M48" i="19"/>
  <c r="M47" i="19" s="1"/>
  <c r="L48" i="19"/>
  <c r="L47" i="19" s="1"/>
  <c r="L10" i="19" s="1"/>
  <c r="K48" i="19"/>
  <c r="K47" i="19" s="1"/>
  <c r="J48" i="19"/>
  <c r="J47" i="19" s="1"/>
  <c r="J10" i="19" s="1"/>
  <c r="I48" i="19"/>
  <c r="I47" i="19" s="1"/>
  <c r="H48" i="19"/>
  <c r="H47" i="19" s="1"/>
  <c r="H10" i="19" s="1"/>
  <c r="G48" i="19"/>
  <c r="BH47" i="19"/>
  <c r="AH47" i="19"/>
  <c r="AG47" i="19"/>
  <c r="C47" i="19"/>
  <c r="BH46" i="19"/>
  <c r="AH46" i="19"/>
  <c r="AG46" i="19"/>
  <c r="AD46" i="19"/>
  <c r="AC46" i="19"/>
  <c r="AJ46" i="19" s="1"/>
  <c r="AB46" i="19"/>
  <c r="Y46" i="19"/>
  <c r="D46" i="19"/>
  <c r="A46" i="19"/>
  <c r="B46" i="19" s="1"/>
  <c r="AS46" i="19" s="1"/>
  <c r="BH45" i="19"/>
  <c r="AH45" i="19"/>
  <c r="AG45" i="19"/>
  <c r="AD45" i="19"/>
  <c r="AC45" i="19"/>
  <c r="AJ45" i="19" s="1"/>
  <c r="AB45" i="19"/>
  <c r="Y45" i="19"/>
  <c r="U45" i="19"/>
  <c r="V45" i="19" s="1"/>
  <c r="D45" i="19"/>
  <c r="A45" i="19"/>
  <c r="BH44" i="19"/>
  <c r="AH44" i="19"/>
  <c r="AG44" i="19"/>
  <c r="AD44" i="19"/>
  <c r="AC44" i="19"/>
  <c r="AJ44" i="19" s="1"/>
  <c r="AB44" i="19"/>
  <c r="Y44" i="19"/>
  <c r="U44" i="19"/>
  <c r="V44" i="19" s="1"/>
  <c r="D44" i="19"/>
  <c r="A44" i="19"/>
  <c r="BH43" i="19"/>
  <c r="BC43" i="19"/>
  <c r="AH43" i="19"/>
  <c r="AG43" i="19"/>
  <c r="AJ43" i="19" s="1"/>
  <c r="Z43" i="19"/>
  <c r="Y43" i="19"/>
  <c r="F43" i="19"/>
  <c r="J20" i="51" s="1"/>
  <c r="BH42" i="19"/>
  <c r="AH42" i="19"/>
  <c r="AG42" i="19"/>
  <c r="C42" i="19"/>
  <c r="BH41" i="19"/>
  <c r="AH41" i="19"/>
  <c r="AG41" i="19"/>
  <c r="AD41" i="19"/>
  <c r="AC41" i="19"/>
  <c r="AJ41" i="19" s="1"/>
  <c r="AB41" i="19"/>
  <c r="U41" i="19"/>
  <c r="V41" i="19" s="1"/>
  <c r="D41" i="19"/>
  <c r="A41" i="19"/>
  <c r="BH40" i="19"/>
  <c r="A40" i="19"/>
  <c r="BH39" i="19"/>
  <c r="BC39" i="19"/>
  <c r="AJ39" i="19"/>
  <c r="Z39" i="19"/>
  <c r="Y39" i="19"/>
  <c r="O39" i="19"/>
  <c r="O38" i="19" s="1"/>
  <c r="N39" i="19"/>
  <c r="N38" i="19" s="1"/>
  <c r="M39" i="19"/>
  <c r="M38" i="19" s="1"/>
  <c r="L39" i="19"/>
  <c r="L38" i="19" s="1"/>
  <c r="K39" i="19"/>
  <c r="K38" i="19" s="1"/>
  <c r="J39" i="19"/>
  <c r="J38" i="19" s="1"/>
  <c r="I39" i="19"/>
  <c r="I38" i="19" s="1"/>
  <c r="H39" i="19"/>
  <c r="H38" i="19" s="1"/>
  <c r="G39" i="19"/>
  <c r="AG29" i="19"/>
  <c r="AD29" i="19"/>
  <c r="AC29" i="19"/>
  <c r="AB29" i="19"/>
  <c r="Y29" i="19"/>
  <c r="Z29" i="19" s="1"/>
  <c r="U29" i="19"/>
  <c r="V29" i="19" s="1"/>
  <c r="D29" i="19"/>
  <c r="A29" i="19"/>
  <c r="AG28" i="19"/>
  <c r="AD28" i="19"/>
  <c r="AC28" i="19"/>
  <c r="AB28" i="19"/>
  <c r="Y28" i="19"/>
  <c r="Z28" i="19" s="1"/>
  <c r="U28" i="19"/>
  <c r="V28" i="19" s="1"/>
  <c r="D28" i="19"/>
  <c r="A28" i="19"/>
  <c r="AG27" i="19"/>
  <c r="AD27" i="19"/>
  <c r="AC27" i="19"/>
  <c r="AB27" i="19"/>
  <c r="Y27" i="19"/>
  <c r="Z27" i="19" s="1"/>
  <c r="U27" i="19"/>
  <c r="V27" i="19" s="1"/>
  <c r="D27" i="19"/>
  <c r="A27" i="19"/>
  <c r="BH26" i="19"/>
  <c r="AH26" i="19"/>
  <c r="AG26" i="19"/>
  <c r="AD26" i="19"/>
  <c r="AC26" i="19"/>
  <c r="AB26" i="19"/>
  <c r="Y26" i="19"/>
  <c r="Z26" i="19" s="1"/>
  <c r="U26" i="19"/>
  <c r="V26" i="19" s="1"/>
  <c r="D26" i="19"/>
  <c r="A26" i="19"/>
  <c r="BH25" i="19"/>
  <c r="AH25" i="19"/>
  <c r="AG25" i="19"/>
  <c r="AD25" i="19"/>
  <c r="AC25" i="19"/>
  <c r="AJ25" i="19" s="1"/>
  <c r="AB25" i="19"/>
  <c r="Y25" i="19"/>
  <c r="Z25" i="19" s="1"/>
  <c r="U25" i="19"/>
  <c r="V25" i="19" s="1"/>
  <c r="D25" i="19"/>
  <c r="A25" i="19"/>
  <c r="BH24" i="19"/>
  <c r="AH24" i="19"/>
  <c r="AG24" i="19"/>
  <c r="AD24" i="19"/>
  <c r="AC24" i="19"/>
  <c r="AB24" i="19"/>
  <c r="Y24" i="19"/>
  <c r="Z24" i="19" s="1"/>
  <c r="U24" i="19"/>
  <c r="V24" i="19" s="1"/>
  <c r="D24" i="19"/>
  <c r="A24" i="19"/>
  <c r="BH23" i="19"/>
  <c r="AH23" i="19"/>
  <c r="AG23" i="19"/>
  <c r="AD23" i="19"/>
  <c r="AC23" i="19"/>
  <c r="AB23" i="19"/>
  <c r="Y23" i="19"/>
  <c r="Z23" i="19" s="1"/>
  <c r="U23" i="19"/>
  <c r="V23" i="19" s="1"/>
  <c r="D23" i="19"/>
  <c r="A23" i="19"/>
  <c r="BH22" i="19"/>
  <c r="AH22" i="19"/>
  <c r="AG22" i="19"/>
  <c r="AD22" i="19"/>
  <c r="AC22" i="19"/>
  <c r="AB22" i="19"/>
  <c r="Y22" i="19"/>
  <c r="Z22" i="19" s="1"/>
  <c r="U22" i="19"/>
  <c r="V22" i="19" s="1"/>
  <c r="D22" i="19"/>
  <c r="A22" i="19"/>
  <c r="BH21" i="19"/>
  <c r="AH21" i="19"/>
  <c r="AG21" i="19"/>
  <c r="AD21" i="19"/>
  <c r="AC21" i="19"/>
  <c r="AJ21" i="19" s="1"/>
  <c r="AB21" i="19"/>
  <c r="Y21" i="19"/>
  <c r="Z21" i="19" s="1"/>
  <c r="U21" i="19"/>
  <c r="V21" i="19" s="1"/>
  <c r="D21" i="19"/>
  <c r="A21" i="19"/>
  <c r="BH20" i="19"/>
  <c r="AH20" i="19"/>
  <c r="AG20" i="19"/>
  <c r="AD20" i="19"/>
  <c r="AC20" i="19"/>
  <c r="AB20" i="19"/>
  <c r="Y20" i="19"/>
  <c r="Z20" i="19" s="1"/>
  <c r="U20" i="19"/>
  <c r="V20" i="19" s="1"/>
  <c r="D20" i="19"/>
  <c r="A20" i="19"/>
  <c r="BH19" i="19"/>
  <c r="AH19" i="19"/>
  <c r="AG19" i="19"/>
  <c r="AD19" i="19"/>
  <c r="AC19" i="19"/>
  <c r="AB19" i="19"/>
  <c r="Y19" i="19"/>
  <c r="Z19" i="19" s="1"/>
  <c r="U19" i="19"/>
  <c r="V19" i="19" s="1"/>
  <c r="D19" i="19"/>
  <c r="A19" i="19"/>
  <c r="BH18" i="19"/>
  <c r="AH18" i="19"/>
  <c r="AG18" i="19"/>
  <c r="AD18" i="19"/>
  <c r="AC18" i="19"/>
  <c r="AB18" i="19"/>
  <c r="Y18" i="19"/>
  <c r="Z18" i="19" s="1"/>
  <c r="U18" i="19"/>
  <c r="V18" i="19" s="1"/>
  <c r="D18" i="19"/>
  <c r="A18" i="19"/>
  <c r="BH17" i="19"/>
  <c r="AH17" i="19"/>
  <c r="AG17" i="19"/>
  <c r="AD17" i="19"/>
  <c r="AC17" i="19"/>
  <c r="AB17" i="19"/>
  <c r="Y17" i="19"/>
  <c r="Z17" i="19" s="1"/>
  <c r="U17" i="19"/>
  <c r="V17" i="19" s="1"/>
  <c r="D17" i="19"/>
  <c r="A17" i="19"/>
  <c r="BH16" i="19"/>
  <c r="AH16" i="19"/>
  <c r="AG16" i="19"/>
  <c r="AD16" i="19"/>
  <c r="AC16" i="19"/>
  <c r="AB16" i="19"/>
  <c r="Y16" i="19"/>
  <c r="Z16" i="19" s="1"/>
  <c r="U16" i="19"/>
  <c r="V16" i="19" s="1"/>
  <c r="D16" i="19"/>
  <c r="A16" i="19"/>
  <c r="BH15" i="19"/>
  <c r="AH15" i="19"/>
  <c r="AG15" i="19"/>
  <c r="AD15" i="19"/>
  <c r="AC15" i="19"/>
  <c r="AB15" i="19"/>
  <c r="Y15" i="19"/>
  <c r="Z15" i="19" s="1"/>
  <c r="U15" i="19"/>
  <c r="V15" i="19" s="1"/>
  <c r="D15" i="19"/>
  <c r="A15" i="19"/>
  <c r="BH14" i="19"/>
  <c r="AH14" i="19"/>
  <c r="AG14" i="19"/>
  <c r="AD14" i="19"/>
  <c r="AC14" i="19"/>
  <c r="AB14" i="19"/>
  <c r="Y14" i="19"/>
  <c r="Z14" i="19" s="1"/>
  <c r="U14" i="19"/>
  <c r="V14" i="19" s="1"/>
  <c r="D14" i="19"/>
  <c r="A14" i="19"/>
  <c r="BH13" i="19"/>
  <c r="AH13" i="19"/>
  <c r="AG13" i="19"/>
  <c r="AD13" i="19"/>
  <c r="AC13" i="19"/>
  <c r="AB13" i="19"/>
  <c r="Y13" i="19"/>
  <c r="Z13" i="19" s="1"/>
  <c r="U13" i="19"/>
  <c r="V13" i="19" s="1"/>
  <c r="D13" i="19"/>
  <c r="A13" i="19"/>
  <c r="BH12" i="19"/>
  <c r="AX12" i="19"/>
  <c r="AH12" i="19"/>
  <c r="AG12" i="19"/>
  <c r="AD12" i="19"/>
  <c r="AC12" i="19"/>
  <c r="AJ12" i="19" s="1"/>
  <c r="AB12" i="19"/>
  <c r="Y12" i="19"/>
  <c r="Z12" i="19" s="1"/>
  <c r="U12" i="19"/>
  <c r="V12" i="19" s="1"/>
  <c r="D12" i="19"/>
  <c r="A12" i="19"/>
  <c r="BC11" i="19"/>
  <c r="AG11" i="19"/>
  <c r="AJ11" i="19" s="1"/>
  <c r="Z11" i="19"/>
  <c r="Y11" i="19"/>
  <c r="BD6" i="19"/>
  <c r="L20" i="51" l="1"/>
  <c r="J20" i="48"/>
  <c r="J719" i="51"/>
  <c r="G47" i="19"/>
  <c r="O25" i="51"/>
  <c r="J727" i="51"/>
  <c r="J392" i="48"/>
  <c r="L646" i="51"/>
  <c r="Q647" i="51"/>
  <c r="O393" i="48"/>
  <c r="X647" i="51"/>
  <c r="AF647" i="51" s="1"/>
  <c r="AH647" i="51" s="1"/>
  <c r="AI647" i="51" s="1"/>
  <c r="AJ647" i="51" s="1"/>
  <c r="P42" i="19"/>
  <c r="T20" i="51"/>
  <c r="L25" i="51"/>
  <c r="J25" i="48"/>
  <c r="X106" i="45"/>
  <c r="AF107" i="48"/>
  <c r="G38" i="19"/>
  <c r="O43" i="51"/>
  <c r="P47" i="19"/>
  <c r="T25" i="51"/>
  <c r="O392" i="48"/>
  <c r="Q646" i="51"/>
  <c r="X646" i="51"/>
  <c r="AF646" i="51" s="1"/>
  <c r="AH646" i="51" s="1"/>
  <c r="AI646" i="51" s="1"/>
  <c r="AJ646" i="51" s="1"/>
  <c r="O727" i="51"/>
  <c r="L647" i="51"/>
  <c r="J393" i="48"/>
  <c r="J43" i="48"/>
  <c r="X43" i="51"/>
  <c r="AF43" i="51" s="1"/>
  <c r="AH43" i="51" s="1"/>
  <c r="AI43" i="51" s="1"/>
  <c r="L43" i="51"/>
  <c r="G42" i="19"/>
  <c r="O20" i="51"/>
  <c r="O19" i="48"/>
  <c r="O719" i="51"/>
  <c r="Q19" i="51"/>
  <c r="AJ19" i="51" s="1"/>
  <c r="AO19" i="48"/>
  <c r="AI18" i="45"/>
  <c r="AM19" i="48"/>
  <c r="AH83" i="48"/>
  <c r="AF82" i="45"/>
  <c r="P111" i="19"/>
  <c r="P123" i="19"/>
  <c r="P206" i="19" s="1"/>
  <c r="AJ19" i="19"/>
  <c r="AJ23" i="19"/>
  <c r="K126" i="19"/>
  <c r="H54" i="19"/>
  <c r="H201" i="19" s="1"/>
  <c r="J54" i="19"/>
  <c r="J201" i="19" s="1"/>
  <c r="L54" i="19"/>
  <c r="L201" i="19" s="1"/>
  <c r="N54" i="19"/>
  <c r="N201" i="19" s="1"/>
  <c r="I126" i="19"/>
  <c r="M126" i="19"/>
  <c r="G145" i="19"/>
  <c r="G144" i="19" s="1"/>
  <c r="G165" i="19" s="1"/>
  <c r="G209" i="19" s="1"/>
  <c r="I145" i="19"/>
  <c r="I144" i="19" s="1"/>
  <c r="I165" i="19" s="1"/>
  <c r="I209" i="19" s="1"/>
  <c r="K145" i="19"/>
  <c r="K144" i="19" s="1"/>
  <c r="K165" i="19" s="1"/>
  <c r="K209" i="19" s="1"/>
  <c r="M145" i="19"/>
  <c r="M144" i="19" s="1"/>
  <c r="M165" i="19" s="1"/>
  <c r="M209" i="19" s="1"/>
  <c r="O145" i="19"/>
  <c r="O144" i="19" s="1"/>
  <c r="O165" i="19" s="1"/>
  <c r="O209" i="19" s="1"/>
  <c r="Q145" i="19"/>
  <c r="Q144" i="19" s="1"/>
  <c r="Q165" i="19" s="1"/>
  <c r="Q209" i="19" s="1"/>
  <c r="F42" i="19"/>
  <c r="B115" i="19"/>
  <c r="AS115" i="19" s="1"/>
  <c r="B117" i="19"/>
  <c r="AS117" i="19" s="1"/>
  <c r="B116" i="19"/>
  <c r="AS116" i="19" s="1"/>
  <c r="F38" i="19"/>
  <c r="G98" i="19"/>
  <c r="F47" i="19"/>
  <c r="B104" i="19"/>
  <c r="B108" i="19"/>
  <c r="AS108" i="19" s="1"/>
  <c r="AJ205" i="19"/>
  <c r="F126" i="19"/>
  <c r="B90" i="19"/>
  <c r="B93" i="19"/>
  <c r="AS93" i="19" s="1"/>
  <c r="H126" i="19"/>
  <c r="J126" i="19"/>
  <c r="L126" i="19"/>
  <c r="N126" i="19"/>
  <c r="P126" i="19"/>
  <c r="AJ17" i="19"/>
  <c r="AS57" i="19"/>
  <c r="G126" i="19"/>
  <c r="AJ207" i="19"/>
  <c r="B74" i="19"/>
  <c r="B76" i="19"/>
  <c r="AS76" i="19" s="1"/>
  <c r="B75" i="19"/>
  <c r="AS75" i="19" s="1"/>
  <c r="AJ22" i="19"/>
  <c r="AJ24" i="19"/>
  <c r="AJ16" i="19"/>
  <c r="AJ18" i="19"/>
  <c r="AJ20" i="19"/>
  <c r="AJ26" i="19"/>
  <c r="AK77" i="19"/>
  <c r="AI77" i="19"/>
  <c r="O68" i="19"/>
  <c r="O202" i="19" s="1"/>
  <c r="B65" i="19"/>
  <c r="AS65" i="19" s="1"/>
  <c r="H113" i="19"/>
  <c r="H112" i="19" s="1"/>
  <c r="H123" i="19" s="1"/>
  <c r="H206" i="19" s="1"/>
  <c r="B64" i="19"/>
  <c r="AS64" i="19" s="1"/>
  <c r="B66" i="19"/>
  <c r="AS66" i="19" s="1"/>
  <c r="L113" i="19"/>
  <c r="L112" i="19" s="1"/>
  <c r="L123" i="19" s="1"/>
  <c r="L206" i="19" s="1"/>
  <c r="G55" i="19"/>
  <c r="P55" i="19"/>
  <c r="Q55" i="19" s="1"/>
  <c r="N55" i="19"/>
  <c r="L55" i="19"/>
  <c r="J55" i="19"/>
  <c r="H55" i="19"/>
  <c r="H9" i="19"/>
  <c r="J9" i="19"/>
  <c r="L9" i="19"/>
  <c r="N9" i="19"/>
  <c r="F10" i="19"/>
  <c r="O10" i="19"/>
  <c r="O9" i="19" s="1"/>
  <c r="M10" i="19"/>
  <c r="M9" i="19" s="1"/>
  <c r="K10" i="19"/>
  <c r="K9" i="19" s="1"/>
  <c r="I10" i="19"/>
  <c r="I9" i="19" s="1"/>
  <c r="G10" i="19"/>
  <c r="G9" i="19" s="1"/>
  <c r="F55" i="19"/>
  <c r="O55" i="19"/>
  <c r="M55" i="19"/>
  <c r="K55" i="19"/>
  <c r="I55" i="19"/>
  <c r="I88" i="19"/>
  <c r="K88" i="19"/>
  <c r="M88" i="19"/>
  <c r="M87" i="19" s="1"/>
  <c r="O88" i="19"/>
  <c r="O87" i="19" s="1"/>
  <c r="P88" i="19"/>
  <c r="AE45" i="19"/>
  <c r="H88" i="19"/>
  <c r="J88" i="19"/>
  <c r="L88" i="19"/>
  <c r="N88" i="19"/>
  <c r="N87" i="19" s="1"/>
  <c r="G102" i="19"/>
  <c r="G101" i="19" s="1"/>
  <c r="I102" i="19"/>
  <c r="I101" i="19" s="1"/>
  <c r="I111" i="19" s="1"/>
  <c r="K102" i="19"/>
  <c r="K101" i="19" s="1"/>
  <c r="M102" i="19"/>
  <c r="M101" i="19" s="1"/>
  <c r="M111" i="19" s="1"/>
  <c r="O102" i="19"/>
  <c r="O101" i="19" s="1"/>
  <c r="O111" i="19" s="1"/>
  <c r="F113" i="19"/>
  <c r="F112" i="19" s="1"/>
  <c r="J113" i="19"/>
  <c r="J112" i="19" s="1"/>
  <c r="J123" i="19" s="1"/>
  <c r="J206" i="19" s="1"/>
  <c r="N113" i="19"/>
  <c r="N112" i="19" s="1"/>
  <c r="N123" i="19" s="1"/>
  <c r="N206" i="19" s="1"/>
  <c r="AE33" i="19"/>
  <c r="AK33" i="19"/>
  <c r="AE35" i="19"/>
  <c r="AK35" i="19"/>
  <c r="AE183" i="19"/>
  <c r="AK183" i="19"/>
  <c r="AI185" i="19"/>
  <c r="AK185" i="19"/>
  <c r="B31" i="19"/>
  <c r="AS31" i="19" s="1"/>
  <c r="AI118" i="19"/>
  <c r="AI123" i="19"/>
  <c r="AK128" i="19"/>
  <c r="AI129" i="19"/>
  <c r="AE15" i="19"/>
  <c r="AK15" i="19"/>
  <c r="M167" i="19"/>
  <c r="M166" i="19" s="1"/>
  <c r="M190" i="19" s="1"/>
  <c r="M210" i="19" s="1"/>
  <c r="AJ13" i="19"/>
  <c r="AJ15" i="19"/>
  <c r="Z44" i="19"/>
  <c r="AE46" i="19"/>
  <c r="AE49" i="19"/>
  <c r="H102" i="19"/>
  <c r="H101" i="19" s="1"/>
  <c r="H111" i="19" s="1"/>
  <c r="J102" i="19"/>
  <c r="J101" i="19" s="1"/>
  <c r="J111" i="19" s="1"/>
  <c r="L102" i="19"/>
  <c r="N102" i="19"/>
  <c r="AI111" i="19"/>
  <c r="AK134" i="19"/>
  <c r="AI138" i="19"/>
  <c r="G135" i="19"/>
  <c r="G208" i="19" s="1"/>
  <c r="G130" i="19"/>
  <c r="O130" i="19"/>
  <c r="F145" i="19"/>
  <c r="F144" i="19" s="1"/>
  <c r="H145" i="19"/>
  <c r="H144" i="19" s="1"/>
  <c r="H165" i="19" s="1"/>
  <c r="H209" i="19" s="1"/>
  <c r="J145" i="19"/>
  <c r="J144" i="19" s="1"/>
  <c r="J165" i="19" s="1"/>
  <c r="J209" i="19" s="1"/>
  <c r="L145" i="19"/>
  <c r="L144" i="19" s="1"/>
  <c r="L165" i="19" s="1"/>
  <c r="L209" i="19" s="1"/>
  <c r="N145" i="19"/>
  <c r="N144" i="19" s="1"/>
  <c r="N165" i="19" s="1"/>
  <c r="N209" i="19" s="1"/>
  <c r="P145" i="19"/>
  <c r="P144" i="19" s="1"/>
  <c r="P165" i="19" s="1"/>
  <c r="P209" i="19" s="1"/>
  <c r="AI154" i="19"/>
  <c r="AK154" i="19"/>
  <c r="AI157" i="19"/>
  <c r="AK157" i="19"/>
  <c r="AI158" i="19"/>
  <c r="I167" i="19"/>
  <c r="I166" i="19" s="1"/>
  <c r="I190" i="19" s="1"/>
  <c r="I210" i="19" s="1"/>
  <c r="Q167" i="19"/>
  <c r="Q166" i="19" s="1"/>
  <c r="Q190" i="19" s="1"/>
  <c r="AI11" i="19"/>
  <c r="AE16" i="19"/>
  <c r="AK16" i="19"/>
  <c r="AE18" i="19"/>
  <c r="AK18" i="19"/>
  <c r="AE20" i="19"/>
  <c r="AK20" i="19"/>
  <c r="AE22" i="19"/>
  <c r="AK22" i="19"/>
  <c r="AE24" i="19"/>
  <c r="AK24" i="19"/>
  <c r="AE26" i="19"/>
  <c r="AK26" i="19"/>
  <c r="AI68" i="19"/>
  <c r="G113" i="19"/>
  <c r="G112" i="19" s="1"/>
  <c r="G123" i="19" s="1"/>
  <c r="G206" i="19" s="1"/>
  <c r="I113" i="19"/>
  <c r="I112" i="19" s="1"/>
  <c r="I123" i="19" s="1"/>
  <c r="I206" i="19" s="1"/>
  <c r="K113" i="19"/>
  <c r="K112" i="19" s="1"/>
  <c r="K123" i="19" s="1"/>
  <c r="K206" i="19" s="1"/>
  <c r="M113" i="19"/>
  <c r="M112" i="19" s="1"/>
  <c r="M123" i="19" s="1"/>
  <c r="M206" i="19" s="1"/>
  <c r="O113" i="19"/>
  <c r="O112" i="19" s="1"/>
  <c r="O123" i="19" s="1"/>
  <c r="O206" i="19" s="1"/>
  <c r="AI153" i="19"/>
  <c r="AI167" i="19"/>
  <c r="AE169" i="19"/>
  <c r="AK169" i="19"/>
  <c r="AE171" i="19"/>
  <c r="AK171" i="19"/>
  <c r="AE175" i="19"/>
  <c r="AK175" i="19"/>
  <c r="AE176" i="19"/>
  <c r="AK176" i="19"/>
  <c r="AI180" i="19"/>
  <c r="AK180" i="19"/>
  <c r="AI189" i="19"/>
  <c r="L101" i="19"/>
  <c r="L111" i="19" s="1"/>
  <c r="K135" i="19"/>
  <c r="K208" i="19" s="1"/>
  <c r="K130" i="19"/>
  <c r="I135" i="19"/>
  <c r="I208" i="19" s="1"/>
  <c r="I130" i="19"/>
  <c r="M135" i="19"/>
  <c r="M208" i="19" s="1"/>
  <c r="M130" i="19"/>
  <c r="AJ133" i="19"/>
  <c r="AJ208" i="19" s="1"/>
  <c r="AI133" i="19"/>
  <c r="AJ188" i="19"/>
  <c r="AI188" i="19"/>
  <c r="B12" i="19"/>
  <c r="AS12" i="19" s="1"/>
  <c r="AE12" i="19"/>
  <c r="AK12" i="19"/>
  <c r="AI57" i="19"/>
  <c r="AK57" i="19"/>
  <c r="AS81" i="19"/>
  <c r="AC80" i="19"/>
  <c r="AJ80" i="19" s="1"/>
  <c r="AK80" i="19"/>
  <c r="AI83" i="19"/>
  <c r="AI85" i="19"/>
  <c r="AK85" i="19"/>
  <c r="AI87" i="19"/>
  <c r="AI94" i="19"/>
  <c r="AK94" i="19"/>
  <c r="AI96" i="19"/>
  <c r="AK96" i="19"/>
  <c r="Z97" i="19"/>
  <c r="AI101" i="19"/>
  <c r="AJ140" i="19"/>
  <c r="AI140" i="19"/>
  <c r="G167" i="19"/>
  <c r="G166" i="19" s="1"/>
  <c r="G190" i="19" s="1"/>
  <c r="K167" i="19"/>
  <c r="K166" i="19" s="1"/>
  <c r="K190" i="19" s="1"/>
  <c r="K210" i="19" s="1"/>
  <c r="O167" i="19"/>
  <c r="O166" i="19" s="1"/>
  <c r="O190" i="19" s="1"/>
  <c r="O210" i="19" s="1"/>
  <c r="AJ182" i="19"/>
  <c r="AI182" i="19"/>
  <c r="AI120" i="19"/>
  <c r="AK120" i="19"/>
  <c r="AI128" i="19"/>
  <c r="AI134" i="19"/>
  <c r="AI149" i="19"/>
  <c r="AK149" i="19"/>
  <c r="AE153" i="19"/>
  <c r="AK153" i="19"/>
  <c r="AE154" i="19"/>
  <c r="F167" i="19"/>
  <c r="F166" i="19" s="1"/>
  <c r="F190" i="19" s="1"/>
  <c r="F210" i="19" s="1"/>
  <c r="H167" i="19"/>
  <c r="H166" i="19" s="1"/>
  <c r="H190" i="19" s="1"/>
  <c r="H210" i="19" s="1"/>
  <c r="J167" i="19"/>
  <c r="J166" i="19" s="1"/>
  <c r="J190" i="19" s="1"/>
  <c r="J210" i="19" s="1"/>
  <c r="L167" i="19"/>
  <c r="L166" i="19" s="1"/>
  <c r="L190" i="19" s="1"/>
  <c r="L210" i="19" s="1"/>
  <c r="N167" i="19"/>
  <c r="N166" i="19" s="1"/>
  <c r="N190" i="19" s="1"/>
  <c r="N210" i="19" s="1"/>
  <c r="P167" i="19"/>
  <c r="P166" i="19" s="1"/>
  <c r="P190" i="19" s="1"/>
  <c r="B174" i="19"/>
  <c r="AS174" i="19" s="1"/>
  <c r="AI169" i="19"/>
  <c r="AI171" i="19"/>
  <c r="AI175" i="19"/>
  <c r="AI176" i="19"/>
  <c r="AI178" i="19"/>
  <c r="AK178" i="19"/>
  <c r="AI181" i="19"/>
  <c r="AK181" i="19"/>
  <c r="AI183" i="19"/>
  <c r="AI187" i="19"/>
  <c r="AK187" i="19"/>
  <c r="AE30" i="19"/>
  <c r="AK30" i="19"/>
  <c r="AE31" i="19"/>
  <c r="AK31" i="19"/>
  <c r="AE32" i="19"/>
  <c r="AK32" i="19"/>
  <c r="AI34" i="19"/>
  <c r="AK34" i="19"/>
  <c r="AE36" i="19"/>
  <c r="AK36" i="19"/>
  <c r="AE40" i="19"/>
  <c r="AK40" i="19"/>
  <c r="B30" i="19"/>
  <c r="AS30" i="19" s="1"/>
  <c r="B36" i="19"/>
  <c r="AS36" i="19" s="1"/>
  <c r="B32" i="19"/>
  <c r="AS32" i="19" s="1"/>
  <c r="B35" i="19"/>
  <c r="AS35" i="19" s="1"/>
  <c r="B33" i="19"/>
  <c r="AS33" i="19" s="1"/>
  <c r="B34" i="19"/>
  <c r="AS34" i="19" s="1"/>
  <c r="AI40" i="19"/>
  <c r="AI35" i="19"/>
  <c r="AI36" i="19"/>
  <c r="AE34" i="19"/>
  <c r="AI32" i="19"/>
  <c r="AI33" i="19"/>
  <c r="AI31" i="19"/>
  <c r="AI30" i="19"/>
  <c r="AL30" i="19" s="1"/>
  <c r="AJ14" i="19"/>
  <c r="AJ28" i="19"/>
  <c r="AE44" i="19"/>
  <c r="Z45" i="19"/>
  <c r="BD11" i="19"/>
  <c r="BE11" i="19" s="1"/>
  <c r="AK11" i="19"/>
  <c r="B45" i="19"/>
  <c r="AS45" i="19" s="1"/>
  <c r="B13" i="19"/>
  <c r="AS13" i="19" s="1"/>
  <c r="AK13" i="19"/>
  <c r="AJ27" i="19"/>
  <c r="AI28" i="19"/>
  <c r="AK28" i="19"/>
  <c r="AJ29" i="19"/>
  <c r="BD39" i="19"/>
  <c r="BE39" i="19" s="1"/>
  <c r="BD43" i="19"/>
  <c r="BE43" i="19" s="1"/>
  <c r="N101" i="19"/>
  <c r="N111" i="19" s="1"/>
  <c r="AJ49" i="19"/>
  <c r="AJ202" i="19"/>
  <c r="AK68" i="19"/>
  <c r="AI69" i="19"/>
  <c r="AI70" i="19"/>
  <c r="AC77" i="19"/>
  <c r="AJ77" i="19" s="1"/>
  <c r="B82" i="19"/>
  <c r="AK83" i="19"/>
  <c r="AI84" i="19"/>
  <c r="AK84" i="19"/>
  <c r="AK87" i="19"/>
  <c r="B97" i="19"/>
  <c r="AS97" i="19" s="1"/>
  <c r="Z94" i="19"/>
  <c r="AJ94" i="19"/>
  <c r="AI95" i="19"/>
  <c r="AK95" i="19"/>
  <c r="Z96" i="19"/>
  <c r="AJ96" i="19"/>
  <c r="AI97" i="19"/>
  <c r="AK97" i="19"/>
  <c r="AI98" i="19"/>
  <c r="AK101" i="19"/>
  <c r="AI109" i="19"/>
  <c r="AK111" i="19"/>
  <c r="AK118" i="19"/>
  <c r="Z120" i="19"/>
  <c r="AK123" i="19"/>
  <c r="AJ125" i="19"/>
  <c r="AI125" i="19"/>
  <c r="F135" i="19"/>
  <c r="F208" i="19" s="1"/>
  <c r="F130" i="19"/>
  <c r="H135" i="19"/>
  <c r="H208" i="19" s="1"/>
  <c r="H130" i="19"/>
  <c r="J135" i="19"/>
  <c r="J208" i="19" s="1"/>
  <c r="J130" i="19"/>
  <c r="L135" i="19"/>
  <c r="L208" i="19" s="1"/>
  <c r="L130" i="19"/>
  <c r="N135" i="19"/>
  <c r="N208" i="19" s="1"/>
  <c r="N130" i="19"/>
  <c r="P135" i="19"/>
  <c r="P208" i="19" s="1"/>
  <c r="P130" i="19"/>
  <c r="Z46" i="19"/>
  <c r="AJ50" i="19"/>
  <c r="AJ63" i="19"/>
  <c r="AK69" i="19"/>
  <c r="AK70" i="19"/>
  <c r="AJ203" i="19"/>
  <c r="F72" i="19"/>
  <c r="AJ84" i="19"/>
  <c r="B94" i="19"/>
  <c r="AS94" i="19" s="1"/>
  <c r="AJ95" i="19"/>
  <c r="AJ97" i="19"/>
  <c r="AK98" i="19"/>
  <c r="B107" i="19"/>
  <c r="AS107" i="19" s="1"/>
  <c r="AK109" i="19"/>
  <c r="AK205" i="19" s="1"/>
  <c r="AJ124" i="19"/>
  <c r="AI124" i="19"/>
  <c r="Z128" i="19"/>
  <c r="AI127" i="19"/>
  <c r="AK129" i="19"/>
  <c r="AK133" i="19"/>
  <c r="AK138" i="19"/>
  <c r="AK140" i="19"/>
  <c r="AI147" i="19"/>
  <c r="AK147" i="19"/>
  <c r="AI148" i="19"/>
  <c r="AJ149" i="19"/>
  <c r="AI151" i="19"/>
  <c r="AK151" i="19"/>
  <c r="AI152" i="19"/>
  <c r="AJ155" i="19"/>
  <c r="AE157" i="19"/>
  <c r="AK158" i="19"/>
  <c r="AI159" i="19"/>
  <c r="AK159" i="19"/>
  <c r="AI162" i="19"/>
  <c r="AK162" i="19"/>
  <c r="AI165" i="19"/>
  <c r="AI170" i="19"/>
  <c r="AK170" i="19"/>
  <c r="AI172" i="19"/>
  <c r="AK172" i="19"/>
  <c r="AI173" i="19"/>
  <c r="AI174" i="19"/>
  <c r="AK174" i="19"/>
  <c r="B175" i="19"/>
  <c r="AS175" i="19" s="1"/>
  <c r="AI177" i="19"/>
  <c r="AE178" i="19"/>
  <c r="AE180" i="19"/>
  <c r="AJ181" i="19"/>
  <c r="AK182" i="19"/>
  <c r="AJ185" i="19"/>
  <c r="AI186" i="19"/>
  <c r="AE187" i="19"/>
  <c r="AK188" i="19"/>
  <c r="AK189" i="19"/>
  <c r="AI190" i="19"/>
  <c r="AK127" i="19"/>
  <c r="AK207" i="19" s="1"/>
  <c r="AJ147" i="19"/>
  <c r="AK148" i="19"/>
  <c r="AJ151" i="19"/>
  <c r="AK152" i="19"/>
  <c r="AI155" i="19"/>
  <c r="AK155" i="19"/>
  <c r="AJ159" i="19"/>
  <c r="AJ162" i="19"/>
  <c r="AK165" i="19"/>
  <c r="AK167" i="19"/>
  <c r="AJ170" i="19"/>
  <c r="AJ172" i="19"/>
  <c r="AK173" i="19"/>
  <c r="AJ174" i="19"/>
  <c r="AK177" i="19"/>
  <c r="AK186" i="19"/>
  <c r="AK190" i="19"/>
  <c r="AK50" i="19"/>
  <c r="AX5" i="19"/>
  <c r="B14" i="19"/>
  <c r="AS14" i="19" s="1"/>
  <c r="AK44" i="19"/>
  <c r="AK46" i="19"/>
  <c r="AI49" i="19"/>
  <c r="AK49" i="19"/>
  <c r="B40" i="19"/>
  <c r="AS40" i="19" s="1"/>
  <c r="AE13" i="19"/>
  <c r="AE14" i="19"/>
  <c r="AK14" i="19"/>
  <c r="AE17" i="19"/>
  <c r="AK17" i="19"/>
  <c r="AE19" i="19"/>
  <c r="AK19" i="19"/>
  <c r="AE21" i="19"/>
  <c r="AK21" i="19"/>
  <c r="AE23" i="19"/>
  <c r="AK23" i="19"/>
  <c r="AE25" i="19"/>
  <c r="AK25" i="19"/>
  <c r="AI27" i="19"/>
  <c r="AK27" i="19"/>
  <c r="AI29" i="19"/>
  <c r="AK29" i="19"/>
  <c r="B41" i="19"/>
  <c r="AS41" i="19" s="1"/>
  <c r="AI41" i="19"/>
  <c r="AK41" i="19"/>
  <c r="AK45" i="19"/>
  <c r="AI53" i="19"/>
  <c r="AK53" i="19"/>
  <c r="AJ54" i="19"/>
  <c r="AJ56" i="19"/>
  <c r="X202" i="19"/>
  <c r="Y191" i="19" s="1"/>
  <c r="G216" i="19"/>
  <c r="BD133" i="19"/>
  <c r="BD127" i="19"/>
  <c r="BE127" i="19" s="1"/>
  <c r="BD118" i="19"/>
  <c r="BE118" i="19" s="1"/>
  <c r="BD109" i="19"/>
  <c r="AI12" i="19"/>
  <c r="AI14" i="19"/>
  <c r="B15" i="19"/>
  <c r="AS15" i="19" s="1"/>
  <c r="AI15" i="19"/>
  <c r="B16" i="19"/>
  <c r="AS16" i="19" s="1"/>
  <c r="AI16" i="19"/>
  <c r="B17" i="19"/>
  <c r="AS17" i="19" s="1"/>
  <c r="AI17" i="19"/>
  <c r="B18" i="19"/>
  <c r="AS18" i="19" s="1"/>
  <c r="AI18" i="19"/>
  <c r="B19" i="19"/>
  <c r="AS19" i="19" s="1"/>
  <c r="AI19" i="19"/>
  <c r="B20" i="19"/>
  <c r="AS20" i="19" s="1"/>
  <c r="AI20" i="19"/>
  <c r="B21" i="19"/>
  <c r="AS21" i="19" s="1"/>
  <c r="AI21" i="19"/>
  <c r="B22" i="19"/>
  <c r="AS22" i="19" s="1"/>
  <c r="AI22" i="19"/>
  <c r="B23" i="19"/>
  <c r="AS23" i="19" s="1"/>
  <c r="AI23" i="19"/>
  <c r="B24" i="19"/>
  <c r="AS24" i="19" s="1"/>
  <c r="AI24" i="19"/>
  <c r="B25" i="19"/>
  <c r="AS25" i="19" s="1"/>
  <c r="AI25" i="19"/>
  <c r="B26" i="19"/>
  <c r="AS26" i="19" s="1"/>
  <c r="AI26" i="19"/>
  <c r="B27" i="19"/>
  <c r="AS27" i="19" s="1"/>
  <c r="B28" i="19"/>
  <c r="AS28" i="19" s="1"/>
  <c r="B29" i="19"/>
  <c r="AS29" i="19" s="1"/>
  <c r="AI39" i="19"/>
  <c r="AK39" i="19"/>
  <c r="AE41" i="19"/>
  <c r="AI43" i="19"/>
  <c r="AK43" i="19"/>
  <c r="B44" i="19"/>
  <c r="AS44" i="19" s="1"/>
  <c r="AI44" i="19"/>
  <c r="AI45" i="19"/>
  <c r="AI46" i="19"/>
  <c r="B49" i="19"/>
  <c r="AS49" i="19" s="1"/>
  <c r="AI50" i="19"/>
  <c r="AE50" i="19"/>
  <c r="AJ53" i="19"/>
  <c r="AE53" i="19"/>
  <c r="BD63" i="19"/>
  <c r="BE63" i="19" s="1"/>
  <c r="BD83" i="19"/>
  <c r="BE83" i="19" s="1"/>
  <c r="BD92" i="19"/>
  <c r="BE92" i="19" s="1"/>
  <c r="BD103" i="19"/>
  <c r="BE103" i="19" s="1"/>
  <c r="AI13" i="19"/>
  <c r="AE27" i="19"/>
  <c r="AE28" i="19"/>
  <c r="AE29" i="19"/>
  <c r="BD48" i="19"/>
  <c r="BE48" i="19" s="1"/>
  <c r="Z50" i="19"/>
  <c r="AI80" i="19"/>
  <c r="BD106" i="19"/>
  <c r="BE106" i="19" s="1"/>
  <c r="AI55" i="19"/>
  <c r="AK55" i="19"/>
  <c r="AE57" i="19"/>
  <c r="B60" i="19"/>
  <c r="AS60" i="19" s="1"/>
  <c r="B61" i="19"/>
  <c r="AS61" i="19" s="1"/>
  <c r="AJ71" i="19"/>
  <c r="AI203" i="19"/>
  <c r="AE85" i="19"/>
  <c r="AJ86" i="19"/>
  <c r="AJ92" i="19"/>
  <c r="B95" i="19"/>
  <c r="AS95" i="19" s="1"/>
  <c r="B96" i="19"/>
  <c r="AS96" i="19" s="1"/>
  <c r="AJ99" i="19"/>
  <c r="AJ100" i="19"/>
  <c r="AJ103" i="19"/>
  <c r="AJ106" i="19"/>
  <c r="B110" i="19"/>
  <c r="AK112" i="19"/>
  <c r="AI112" i="19"/>
  <c r="B119" i="19"/>
  <c r="AE120" i="19"/>
  <c r="O136" i="19"/>
  <c r="AI54" i="19"/>
  <c r="AI56" i="19"/>
  <c r="AI63" i="19"/>
  <c r="AI71" i="19"/>
  <c r="AE84" i="19"/>
  <c r="AI86" i="19"/>
  <c r="AI92" i="19"/>
  <c r="AE94" i="19"/>
  <c r="AE95" i="19"/>
  <c r="AE96" i="19"/>
  <c r="AE97" i="19"/>
  <c r="AI99" i="19"/>
  <c r="AI100" i="19"/>
  <c r="AI103" i="19"/>
  <c r="AI106" i="19"/>
  <c r="AJ112" i="19"/>
  <c r="AJ206" i="19"/>
  <c r="Z134" i="19"/>
  <c r="C133" i="19"/>
  <c r="P217" i="19" s="1"/>
  <c r="P218" i="19" s="1"/>
  <c r="B135" i="19"/>
  <c r="B208" i="19" s="1"/>
  <c r="C208" i="19" s="1"/>
  <c r="AS134" i="19"/>
  <c r="BD134" i="19"/>
  <c r="BE134" i="19" s="1"/>
  <c r="AJ126" i="19"/>
  <c r="AE128" i="19"/>
  <c r="AJ130" i="19"/>
  <c r="AE134" i="19"/>
  <c r="AJ135" i="19"/>
  <c r="AJ136" i="19"/>
  <c r="AJ137" i="19"/>
  <c r="AJ139" i="19"/>
  <c r="AJ141" i="19"/>
  <c r="AJ142" i="19"/>
  <c r="AJ143" i="19"/>
  <c r="BD181" i="19"/>
  <c r="BE181" i="19" s="1"/>
  <c r="BD174" i="19"/>
  <c r="BE174" i="19" s="1"/>
  <c r="BD172" i="19"/>
  <c r="BE172" i="19" s="1"/>
  <c r="BD170" i="19"/>
  <c r="BE170" i="19" s="1"/>
  <c r="AJ144" i="19"/>
  <c r="AJ145" i="19"/>
  <c r="AJ146" i="19"/>
  <c r="B165" i="19"/>
  <c r="B209" i="19" s="1"/>
  <c r="C209" i="19" s="1"/>
  <c r="AE149" i="19"/>
  <c r="AI150" i="19"/>
  <c r="AK150" i="19"/>
  <c r="AJ153" i="19"/>
  <c r="AJ154" i="19"/>
  <c r="AE155" i="19"/>
  <c r="AI156" i="19"/>
  <c r="AK156" i="19"/>
  <c r="AJ157" i="19"/>
  <c r="AE159" i="19"/>
  <c r="AI160" i="19"/>
  <c r="AK160" i="19"/>
  <c r="AI161" i="19"/>
  <c r="AK161" i="19"/>
  <c r="BD180" i="19"/>
  <c r="BE180" i="19" s="1"/>
  <c r="AI126" i="19"/>
  <c r="AI130" i="19"/>
  <c r="AI135" i="19"/>
  <c r="AI136" i="19"/>
  <c r="AL136" i="19" s="1"/>
  <c r="AI137" i="19"/>
  <c r="AI139" i="19"/>
  <c r="AL139" i="19" s="1"/>
  <c r="AI141" i="19"/>
  <c r="AI142" i="19"/>
  <c r="AL142" i="19" s="1"/>
  <c r="AI143" i="19"/>
  <c r="AI144" i="19"/>
  <c r="AL144" i="19" s="1"/>
  <c r="AI145" i="19"/>
  <c r="AI146" i="19"/>
  <c r="AE147" i="19"/>
  <c r="AE151" i="19"/>
  <c r="AE162" i="19"/>
  <c r="BD169" i="19"/>
  <c r="BE169" i="19" s="1"/>
  <c r="BD171" i="19"/>
  <c r="BE171" i="19" s="1"/>
  <c r="BD175" i="19"/>
  <c r="BE175" i="19" s="1"/>
  <c r="AI163" i="19"/>
  <c r="AK163" i="19"/>
  <c r="AJ164" i="19"/>
  <c r="AI166" i="19"/>
  <c r="AK166" i="19"/>
  <c r="AI168" i="19"/>
  <c r="AK168" i="19"/>
  <c r="B169" i="19"/>
  <c r="AJ169" i="19"/>
  <c r="AE170" i="19"/>
  <c r="AJ171" i="19"/>
  <c r="AE172" i="19"/>
  <c r="AE174" i="19"/>
  <c r="AJ175" i="19"/>
  <c r="AJ176" i="19"/>
  <c r="AJ178" i="19"/>
  <c r="AI179" i="19"/>
  <c r="AK179" i="19"/>
  <c r="AJ180" i="19"/>
  <c r="AE181" i="19"/>
  <c r="AJ183" i="19"/>
  <c r="AI184" i="19"/>
  <c r="AK184" i="19"/>
  <c r="AE185" i="19"/>
  <c r="AJ187" i="19"/>
  <c r="AI164" i="19"/>
  <c r="F165" i="19" l="1"/>
  <c r="F209" i="19" s="1"/>
  <c r="Q20" i="51"/>
  <c r="O20" i="48"/>
  <c r="J42" i="45"/>
  <c r="L43" i="48"/>
  <c r="L42" i="45" s="1"/>
  <c r="X43" i="48"/>
  <c r="O392" i="45"/>
  <c r="X392" i="48"/>
  <c r="Q392" i="48"/>
  <c r="Q392" i="45" s="1"/>
  <c r="P10" i="19"/>
  <c r="O393" i="45"/>
  <c r="X393" i="48"/>
  <c r="Q393" i="48"/>
  <c r="Q393" i="45" s="1"/>
  <c r="L20" i="48"/>
  <c r="L19" i="45" s="1"/>
  <c r="J19" i="45"/>
  <c r="F71" i="19"/>
  <c r="S99" i="19"/>
  <c r="O18" i="45"/>
  <c r="Q19" i="48"/>
  <c r="J393" i="45"/>
  <c r="L393" i="48"/>
  <c r="L393" i="45" s="1"/>
  <c r="T25" i="48"/>
  <c r="X25" i="51"/>
  <c r="AF25" i="51" s="1"/>
  <c r="AH25" i="51" s="1"/>
  <c r="AI25" i="51" s="1"/>
  <c r="O43" i="48"/>
  <c r="Q43" i="51"/>
  <c r="AJ43" i="51" s="1"/>
  <c r="AF106" i="45"/>
  <c r="AH107" i="48"/>
  <c r="L25" i="48"/>
  <c r="L24" i="45" s="1"/>
  <c r="J24" i="45"/>
  <c r="T20" i="48"/>
  <c r="X20" i="51"/>
  <c r="AF20" i="51" s="1"/>
  <c r="AH20" i="51" s="1"/>
  <c r="AI20" i="51" s="1"/>
  <c r="T719" i="51"/>
  <c r="J392" i="45"/>
  <c r="L392" i="48"/>
  <c r="L392" i="45" s="1"/>
  <c r="Q25" i="51"/>
  <c r="O25" i="48"/>
  <c r="AI83" i="48"/>
  <c r="AH82" i="45"/>
  <c r="G210" i="19"/>
  <c r="O728" i="51"/>
  <c r="O729" i="51" s="1"/>
  <c r="Q210" i="19"/>
  <c r="J728" i="51"/>
  <c r="J729" i="51" s="1"/>
  <c r="P210" i="19"/>
  <c r="T728" i="51"/>
  <c r="T729" i="51" s="1"/>
  <c r="P124" i="19"/>
  <c r="F86" i="19"/>
  <c r="F203" i="19" s="1"/>
  <c r="AL101" i="19"/>
  <c r="AL11" i="19"/>
  <c r="Q211" i="19"/>
  <c r="AL71" i="19"/>
  <c r="AE77" i="19"/>
  <c r="M136" i="19"/>
  <c r="AL12" i="19"/>
  <c r="AI206" i="19"/>
  <c r="F9" i="19"/>
  <c r="AL190" i="19"/>
  <c r="AL189" i="19"/>
  <c r="AL185" i="19"/>
  <c r="N124" i="19"/>
  <c r="N205" i="19"/>
  <c r="J124" i="19"/>
  <c r="J205" i="19"/>
  <c r="F123" i="19"/>
  <c r="F206" i="19" s="1"/>
  <c r="F140" i="19"/>
  <c r="M205" i="19"/>
  <c r="M124" i="19"/>
  <c r="I205" i="19"/>
  <c r="I124" i="19"/>
  <c r="N98" i="19"/>
  <c r="N140" i="19"/>
  <c r="O98" i="19"/>
  <c r="O140" i="19"/>
  <c r="I138" i="19"/>
  <c r="I139" i="19"/>
  <c r="M138" i="19"/>
  <c r="M139" i="19"/>
  <c r="N138" i="19"/>
  <c r="N139" i="19"/>
  <c r="N141" i="19" s="1"/>
  <c r="J138" i="19"/>
  <c r="J139" i="19"/>
  <c r="G99" i="19"/>
  <c r="G204" i="19"/>
  <c r="J136" i="19"/>
  <c r="I136" i="19"/>
  <c r="B123" i="19"/>
  <c r="B206" i="19" s="1"/>
  <c r="C206" i="19" s="1"/>
  <c r="AE80" i="19"/>
  <c r="AL123" i="19"/>
  <c r="L205" i="19"/>
  <c r="L124" i="19"/>
  <c r="P205" i="19"/>
  <c r="H205" i="19"/>
  <c r="H124" i="19"/>
  <c r="O205" i="19"/>
  <c r="O124" i="19"/>
  <c r="M98" i="19"/>
  <c r="M140" i="19"/>
  <c r="G138" i="19"/>
  <c r="G139" i="19"/>
  <c r="K138" i="19"/>
  <c r="K139" i="19"/>
  <c r="O138" i="19"/>
  <c r="O139" i="19"/>
  <c r="L138" i="19"/>
  <c r="L139" i="19"/>
  <c r="H138" i="19"/>
  <c r="H139" i="19"/>
  <c r="B111" i="19"/>
  <c r="B205" i="19" s="1"/>
  <c r="C205" i="19" s="1"/>
  <c r="G140" i="19"/>
  <c r="K111" i="19"/>
  <c r="G111" i="19"/>
  <c r="AL153" i="19"/>
  <c r="AL134" i="19"/>
  <c r="F102" i="19"/>
  <c r="F101" i="19" s="1"/>
  <c r="F111" i="19" s="1"/>
  <c r="B98" i="19"/>
  <c r="B204" i="19" s="1"/>
  <c r="C204" i="19" s="1"/>
  <c r="J87" i="19"/>
  <c r="F98" i="19"/>
  <c r="F204" i="19" s="1"/>
  <c r="K87" i="19"/>
  <c r="L87" i="19"/>
  <c r="H87" i="19"/>
  <c r="P87" i="19"/>
  <c r="I87" i="19"/>
  <c r="B68" i="19"/>
  <c r="B202" i="19" s="1"/>
  <c r="C202" i="19" s="1"/>
  <c r="AS74" i="19"/>
  <c r="B86" i="19"/>
  <c r="B203" i="19" s="1"/>
  <c r="C203" i="19" s="1"/>
  <c r="AL84" i="19"/>
  <c r="AK204" i="19"/>
  <c r="AL77" i="19"/>
  <c r="K68" i="19"/>
  <c r="K202" i="19" s="1"/>
  <c r="P68" i="19"/>
  <c r="L68" i="19"/>
  <c r="L202" i="19" s="1"/>
  <c r="M68" i="19"/>
  <c r="M202" i="19" s="1"/>
  <c r="I68" i="19"/>
  <c r="I202" i="19" s="1"/>
  <c r="N68" i="19"/>
  <c r="J68" i="19"/>
  <c r="G68" i="19"/>
  <c r="G202" i="19" s="1"/>
  <c r="H68" i="19"/>
  <c r="H202" i="19" s="1"/>
  <c r="AL109" i="19"/>
  <c r="AL97" i="19"/>
  <c r="AL138" i="19"/>
  <c r="AL174" i="19"/>
  <c r="AL152" i="19"/>
  <c r="AL127" i="19"/>
  <c r="AL133" i="19"/>
  <c r="AK202" i="19"/>
  <c r="F54" i="19"/>
  <c r="M54" i="19"/>
  <c r="M201" i="19" s="1"/>
  <c r="I54" i="19"/>
  <c r="I201" i="19" s="1"/>
  <c r="AL180" i="19"/>
  <c r="AL176" i="19"/>
  <c r="AL171" i="19"/>
  <c r="N136" i="19"/>
  <c r="F136" i="19"/>
  <c r="AL159" i="19"/>
  <c r="AL158" i="19"/>
  <c r="AL95" i="19"/>
  <c r="AJ204" i="19"/>
  <c r="AL118" i="19"/>
  <c r="AL111" i="19"/>
  <c r="AL69" i="19"/>
  <c r="AL128" i="19"/>
  <c r="O54" i="19"/>
  <c r="K54" i="19"/>
  <c r="K201" i="19" s="1"/>
  <c r="G54" i="19"/>
  <c r="G201" i="19" s="1"/>
  <c r="AL98" i="19"/>
  <c r="AL68" i="19"/>
  <c r="AL172" i="19"/>
  <c r="AL182" i="19"/>
  <c r="AL140" i="19"/>
  <c r="AL87" i="19"/>
  <c r="AL83" i="19"/>
  <c r="AI208" i="19"/>
  <c r="AL178" i="19"/>
  <c r="AL175" i="19"/>
  <c r="AL157" i="19"/>
  <c r="AL154" i="19"/>
  <c r="AL63" i="19"/>
  <c r="K136" i="19"/>
  <c r="G136" i="19"/>
  <c r="AL50" i="19"/>
  <c r="AL46" i="19"/>
  <c r="AL26" i="19"/>
  <c r="AL24" i="19"/>
  <c r="AL22" i="19"/>
  <c r="AL20" i="19"/>
  <c r="AL18" i="19"/>
  <c r="AL16" i="19"/>
  <c r="AL15" i="19"/>
  <c r="AL167" i="19"/>
  <c r="AK208" i="19"/>
  <c r="AL129" i="19"/>
  <c r="AK206" i="19"/>
  <c r="AI205" i="19"/>
  <c r="AL96" i="19"/>
  <c r="AL120" i="19"/>
  <c r="AL85" i="19"/>
  <c r="AL57" i="19"/>
  <c r="AL33" i="19"/>
  <c r="AL35" i="19"/>
  <c r="AL29" i="19"/>
  <c r="AL103" i="19"/>
  <c r="AL99" i="19"/>
  <c r="AL186" i="19"/>
  <c r="AL177" i="19"/>
  <c r="AL173" i="19"/>
  <c r="AL170" i="19"/>
  <c r="AK203" i="19"/>
  <c r="AL70" i="19"/>
  <c r="AL181" i="19"/>
  <c r="AL149" i="19"/>
  <c r="AL94" i="19"/>
  <c r="AL188" i="19"/>
  <c r="AL187" i="19"/>
  <c r="AL183" i="19"/>
  <c r="AL145" i="19"/>
  <c r="AL143" i="19"/>
  <c r="AL141" i="19"/>
  <c r="AL137" i="19"/>
  <c r="P136" i="19"/>
  <c r="L136" i="19"/>
  <c r="H136" i="19"/>
  <c r="AL135" i="19"/>
  <c r="AL130" i="19"/>
  <c r="AL126" i="19"/>
  <c r="AL100" i="19"/>
  <c r="AL92" i="19"/>
  <c r="AL86" i="19"/>
  <c r="AI204" i="19"/>
  <c r="AL80" i="19"/>
  <c r="AL203" i="19"/>
  <c r="AI207" i="19"/>
  <c r="AL124" i="19"/>
  <c r="AL125" i="19"/>
  <c r="AL31" i="19"/>
  <c r="AL32" i="19"/>
  <c r="AL36" i="19"/>
  <c r="AL40" i="19"/>
  <c r="AL34" i="19"/>
  <c r="AL13" i="19"/>
  <c r="AJ210" i="19"/>
  <c r="AL169" i="19"/>
  <c r="AL164" i="19"/>
  <c r="AL184" i="19"/>
  <c r="AL166" i="19"/>
  <c r="AK209" i="19"/>
  <c r="AL150" i="19"/>
  <c r="AL53" i="19"/>
  <c r="AL155" i="19"/>
  <c r="AL28" i="19"/>
  <c r="AL165" i="19"/>
  <c r="AL162" i="19"/>
  <c r="AL151" i="19"/>
  <c r="AL148" i="19"/>
  <c r="AL147" i="19"/>
  <c r="AL54" i="19"/>
  <c r="AL44" i="19"/>
  <c r="AL49" i="19"/>
  <c r="Y201" i="19"/>
  <c r="AL41" i="19"/>
  <c r="AL27" i="19"/>
  <c r="AK201" i="19"/>
  <c r="AL56" i="19"/>
  <c r="AL55" i="19"/>
  <c r="AJ199" i="19"/>
  <c r="AL45" i="19"/>
  <c r="AL25" i="19"/>
  <c r="AL23" i="19"/>
  <c r="AL21" i="19"/>
  <c r="AL19" i="19"/>
  <c r="AL17" i="19"/>
  <c r="AL14" i="19"/>
  <c r="AI210" i="19"/>
  <c r="AL168" i="19"/>
  <c r="AL179" i="19"/>
  <c r="AK210" i="19"/>
  <c r="AL163" i="19"/>
  <c r="AI209" i="19"/>
  <c r="AL146" i="19"/>
  <c r="AL161" i="19"/>
  <c r="AL160" i="19"/>
  <c r="AL156" i="19"/>
  <c r="AJ209" i="19"/>
  <c r="AL205" i="19"/>
  <c r="AL106" i="19"/>
  <c r="AL206" i="19"/>
  <c r="AL112" i="19"/>
  <c r="AI202" i="19"/>
  <c r="AL43" i="19"/>
  <c r="BD54" i="19"/>
  <c r="AK199" i="19"/>
  <c r="AI199" i="19"/>
  <c r="BD68" i="19"/>
  <c r="BE133" i="19"/>
  <c r="BD135" i="19"/>
  <c r="BE135" i="19" s="1"/>
  <c r="AJ201" i="19"/>
  <c r="AJ211" i="19" s="1"/>
  <c r="AS169" i="19"/>
  <c r="B190" i="19"/>
  <c r="B210" i="19" s="1"/>
  <c r="C210" i="19" s="1"/>
  <c r="F99" i="19"/>
  <c r="B54" i="19"/>
  <c r="B201" i="19" s="1"/>
  <c r="AI201" i="19"/>
  <c r="BD98" i="19"/>
  <c r="BD123" i="19"/>
  <c r="BE109" i="19"/>
  <c r="AJ20" i="51" l="1"/>
  <c r="AL21" i="51"/>
  <c r="AI107" i="48"/>
  <c r="AH106" i="45"/>
  <c r="AL22" i="51"/>
  <c r="AJ25" i="51"/>
  <c r="Q20" i="48"/>
  <c r="Q19" i="45" s="1"/>
  <c r="O19" i="45"/>
  <c r="Q25" i="48"/>
  <c r="Q24" i="45" s="1"/>
  <c r="O24" i="45"/>
  <c r="T19" i="45"/>
  <c r="X20" i="48"/>
  <c r="O42" i="45"/>
  <c r="Q43" i="48"/>
  <c r="Q42" i="45" s="1"/>
  <c r="T24" i="45"/>
  <c r="X25" i="48"/>
  <c r="Q18" i="45"/>
  <c r="AJ19" i="48"/>
  <c r="AJ18" i="45" s="1"/>
  <c r="AM18" i="45" s="1"/>
  <c r="AF393" i="48"/>
  <c r="X393" i="45"/>
  <c r="P9" i="19"/>
  <c r="P54" i="19"/>
  <c r="P201" i="19" s="1"/>
  <c r="AF392" i="48"/>
  <c r="X392" i="45"/>
  <c r="AF43" i="48"/>
  <c r="X42" i="45"/>
  <c r="AJ83" i="48"/>
  <c r="AJ82" i="45" s="1"/>
  <c r="AM82" i="45" s="1"/>
  <c r="AI82" i="45"/>
  <c r="AO83" i="48"/>
  <c r="AM83" i="48"/>
  <c r="P202" i="19"/>
  <c r="P69" i="19"/>
  <c r="BE123" i="19"/>
  <c r="BE98" i="19"/>
  <c r="C218" i="19"/>
  <c r="M141" i="19"/>
  <c r="J69" i="19"/>
  <c r="J202" i="19"/>
  <c r="I98" i="19"/>
  <c r="I140" i="19"/>
  <c r="I141" i="19" s="1"/>
  <c r="H98" i="19"/>
  <c r="H140" i="19"/>
  <c r="H141" i="19" s="1"/>
  <c r="K98" i="19"/>
  <c r="K140" i="19"/>
  <c r="K141" i="19" s="1"/>
  <c r="J98" i="19"/>
  <c r="J140" i="19"/>
  <c r="J141" i="19" s="1"/>
  <c r="G205" i="19"/>
  <c r="G124" i="19"/>
  <c r="M99" i="19"/>
  <c r="M204" i="19"/>
  <c r="M211" i="19" s="1"/>
  <c r="AJ212" i="19"/>
  <c r="O69" i="19"/>
  <c r="O201" i="19"/>
  <c r="F69" i="19"/>
  <c r="F201" i="19"/>
  <c r="AL208" i="19"/>
  <c r="N69" i="19"/>
  <c r="N202" i="19"/>
  <c r="P98" i="19"/>
  <c r="P140" i="19"/>
  <c r="L98" i="19"/>
  <c r="L140" i="19"/>
  <c r="L141" i="19" s="1"/>
  <c r="F124" i="19"/>
  <c r="F205" i="19"/>
  <c r="K205" i="19"/>
  <c r="K124" i="19"/>
  <c r="O141" i="19"/>
  <c r="G141" i="19"/>
  <c r="O720" i="51" s="1"/>
  <c r="O721" i="51" s="1"/>
  <c r="O99" i="19"/>
  <c r="O204" i="19"/>
  <c r="N99" i="19"/>
  <c r="N204" i="19"/>
  <c r="G211" i="19"/>
  <c r="H69" i="19"/>
  <c r="G69" i="19"/>
  <c r="M69" i="19"/>
  <c r="I69" i="19"/>
  <c r="L69" i="19"/>
  <c r="K69" i="19"/>
  <c r="AL207" i="19"/>
  <c r="BE68" i="19"/>
  <c r="AL202" i="19"/>
  <c r="AL204" i="19"/>
  <c r="AL201" i="19"/>
  <c r="BE54" i="19"/>
  <c r="B211" i="19"/>
  <c r="C211" i="19" s="1"/>
  <c r="C201" i="19"/>
  <c r="AL199" i="19"/>
  <c r="AL209" i="19"/>
  <c r="AL210" i="19"/>
  <c r="X24" i="45" l="1"/>
  <c r="AF25" i="48"/>
  <c r="X19" i="45"/>
  <c r="AF20" i="48"/>
  <c r="AF42" i="45"/>
  <c r="AH43" i="48"/>
  <c r="AF392" i="45"/>
  <c r="AH392" i="48"/>
  <c r="P4" i="19"/>
  <c r="P138" i="19"/>
  <c r="P139" i="19"/>
  <c r="AJ393" i="48"/>
  <c r="AF393" i="45"/>
  <c r="AH393" i="48"/>
  <c r="AO107" i="48"/>
  <c r="AO119" i="48" s="1"/>
  <c r="C34" i="52" s="1"/>
  <c r="AJ107" i="48"/>
  <c r="AJ106" i="45" s="1"/>
  <c r="AM106" i="45" s="1"/>
  <c r="AI106" i="45"/>
  <c r="AM107" i="48"/>
  <c r="P141" i="19"/>
  <c r="L99" i="19"/>
  <c r="L204" i="19"/>
  <c r="L211" i="19" s="1"/>
  <c r="P99" i="19"/>
  <c r="P204" i="19"/>
  <c r="P211" i="19" s="1"/>
  <c r="O211" i="19"/>
  <c r="J99" i="19"/>
  <c r="J204" i="19"/>
  <c r="J211" i="19" s="1"/>
  <c r="K99" i="19"/>
  <c r="K204" i="19"/>
  <c r="K211" i="19" s="1"/>
  <c r="H99" i="19"/>
  <c r="H204" i="19"/>
  <c r="H211" i="19" s="1"/>
  <c r="I99" i="19"/>
  <c r="I204" i="19"/>
  <c r="I211" i="19" s="1"/>
  <c r="AM201" i="19"/>
  <c r="N211" i="19"/>
  <c r="F139" i="19"/>
  <c r="F138" i="19"/>
  <c r="F211" i="19"/>
  <c r="I34" i="52" l="1"/>
  <c r="K34" i="52" s="1"/>
  <c r="E34" i="52"/>
  <c r="AF19" i="45"/>
  <c r="AH20" i="48"/>
  <c r="AF24" i="45"/>
  <c r="AH25" i="48"/>
  <c r="AH393" i="45"/>
  <c r="AI393" i="48"/>
  <c r="AJ393" i="45"/>
  <c r="AM393" i="45" s="1"/>
  <c r="AO393" i="48"/>
  <c r="AI392" i="48"/>
  <c r="AH392" i="45"/>
  <c r="AI43" i="48"/>
  <c r="AH42" i="45"/>
  <c r="T720" i="51"/>
  <c r="T721" i="51" s="1"/>
  <c r="P142" i="19"/>
  <c r="F141" i="19"/>
  <c r="J720" i="51" s="1"/>
  <c r="J721" i="51" s="1"/>
  <c r="AU3" i="19"/>
  <c r="AM393" i="48" l="1"/>
  <c r="AI393" i="45"/>
  <c r="AI25" i="48"/>
  <c r="AH24" i="45"/>
  <c r="AI20" i="48"/>
  <c r="AH19" i="45"/>
  <c r="AI42" i="45"/>
  <c r="AJ43" i="48"/>
  <c r="AJ42" i="45" s="1"/>
  <c r="AM42" i="45" s="1"/>
  <c r="AM43" i="48"/>
  <c r="AO43" i="48"/>
  <c r="AI392" i="45"/>
  <c r="AM392" i="48"/>
  <c r="AM20" i="48" l="1"/>
  <c r="AO20" i="48"/>
  <c r="AI19" i="45"/>
  <c r="AJ20" i="48"/>
  <c r="AJ19" i="45" s="1"/>
  <c r="AM19" i="45" s="1"/>
  <c r="AI24" i="45"/>
  <c r="AM25" i="48"/>
  <c r="AO25" i="48"/>
  <c r="AJ25" i="48"/>
  <c r="AJ24" i="45" s="1"/>
  <c r="AM24" i="45" s="1"/>
  <c r="H12" i="12"/>
  <c r="E12" i="12"/>
  <c r="J12" i="12"/>
  <c r="K12" i="12"/>
  <c r="L12" i="12"/>
  <c r="M12" i="12"/>
  <c r="N12" i="12"/>
  <c r="O12" i="12"/>
  <c r="E27" i="12"/>
  <c r="E28" i="12"/>
  <c r="E29" i="12"/>
  <c r="F19" i="12"/>
  <c r="F20" i="12"/>
  <c r="AO61" i="48" l="1"/>
  <c r="C33" i="52" s="1"/>
  <c r="E3" i="14"/>
  <c r="R5" i="14" s="1"/>
  <c r="C25" i="12"/>
  <c r="C231" i="40" s="1"/>
  <c r="C24" i="12"/>
  <c r="C23" i="12"/>
  <c r="C213" i="40" s="1"/>
  <c r="C22" i="12"/>
  <c r="C230" i="40" s="1"/>
  <c r="C21" i="12"/>
  <c r="D230" i="40" l="1"/>
  <c r="C228" i="40"/>
  <c r="C206" i="40" s="1"/>
  <c r="D213" i="40"/>
  <c r="D212" i="40" s="1"/>
  <c r="D202" i="40" s="1"/>
  <c r="C212" i="40"/>
  <c r="C202" i="40" s="1"/>
  <c r="D231" i="40"/>
  <c r="E33" i="52"/>
  <c r="I33" i="52"/>
  <c r="K33" i="52" s="1"/>
  <c r="E21" i="12"/>
  <c r="C20" i="12"/>
  <c r="C19" i="12"/>
  <c r="Q6" i="12"/>
  <c r="E5" i="12"/>
  <c r="L34" i="12" l="1"/>
  <c r="C31" i="12"/>
  <c r="J34" i="12"/>
  <c r="J25" i="12"/>
  <c r="J29" i="12"/>
  <c r="J24" i="12"/>
  <c r="J28" i="12"/>
  <c r="J23" i="12"/>
  <c r="I213" i="40" s="1"/>
  <c r="I212" i="40" s="1"/>
  <c r="I202" i="40" s="1"/>
  <c r="J27" i="12"/>
  <c r="J22" i="12"/>
  <c r="J26" i="12"/>
  <c r="J21" i="12"/>
  <c r="F20" i="34"/>
  <c r="F15" i="34" s="1"/>
  <c r="F12" i="34" s="1"/>
  <c r="D197" i="40"/>
  <c r="D194" i="40" s="1"/>
  <c r="E24" i="34"/>
  <c r="C203" i="40"/>
  <c r="B185" i="40"/>
  <c r="C36" i="12"/>
  <c r="C35" i="12"/>
  <c r="C30" i="12"/>
  <c r="C197" i="40"/>
  <c r="C194" i="40" s="1"/>
  <c r="C186" i="40" s="1"/>
  <c r="E20" i="34"/>
  <c r="D228" i="40"/>
  <c r="D206" i="40" s="1"/>
  <c r="E20" i="12"/>
  <c r="F23" i="12"/>
  <c r="E23" i="12" s="1"/>
  <c r="E19" i="12"/>
  <c r="F25" i="12"/>
  <c r="E25" i="12" s="1"/>
  <c r="F26" i="12"/>
  <c r="E26" i="12" s="1"/>
  <c r="F22" i="12"/>
  <c r="F35" i="12" s="1"/>
  <c r="F24" i="12"/>
  <c r="E24" i="12" s="1"/>
  <c r="D2" i="12"/>
  <c r="F24" i="34" l="1"/>
  <c r="F21" i="34" s="1"/>
  <c r="D203" i="40"/>
  <c r="C185" i="40"/>
  <c r="E27" i="34"/>
  <c r="D186" i="40"/>
  <c r="F27" i="34" s="1"/>
  <c r="I197" i="40"/>
  <c r="I194" i="40" s="1"/>
  <c r="AA43" i="37"/>
  <c r="J20" i="34"/>
  <c r="E15" i="34"/>
  <c r="E12" i="34" s="1"/>
  <c r="E21" i="34"/>
  <c r="J24" i="34"/>
  <c r="F7" i="34"/>
  <c r="I207" i="40"/>
  <c r="AA48" i="37" s="1"/>
  <c r="I237" i="40"/>
  <c r="F31" i="12"/>
  <c r="E22" i="12"/>
  <c r="E35" i="12" s="1"/>
  <c r="D10" i="12"/>
  <c r="F10" i="12" s="1"/>
  <c r="K19" i="12" s="1"/>
  <c r="K34" i="12" s="1"/>
  <c r="E31" i="12" l="1"/>
  <c r="J207" i="40"/>
  <c r="AL48" i="37" s="1"/>
  <c r="J237" i="40"/>
  <c r="I236" i="40"/>
  <c r="I231" i="40" s="1"/>
  <c r="L20" i="34"/>
  <c r="J15" i="34"/>
  <c r="F28" i="34"/>
  <c r="T48" i="37"/>
  <c r="X48" i="37"/>
  <c r="R48" i="37"/>
  <c r="Z48" i="37" s="1"/>
  <c r="V48" i="37"/>
  <c r="U48" i="37"/>
  <c r="W48" i="37"/>
  <c r="S48" i="37"/>
  <c r="Q48" i="37"/>
  <c r="L24" i="34"/>
  <c r="J21" i="34"/>
  <c r="L21" i="34" s="1"/>
  <c r="E7" i="34"/>
  <c r="AA41" i="37"/>
  <c r="AA36" i="37" s="1"/>
  <c r="AA33" i="37" s="1"/>
  <c r="S43" i="37"/>
  <c r="S41" i="37" s="1"/>
  <c r="S36" i="37" s="1"/>
  <c r="S33" i="37" s="1"/>
  <c r="U43" i="37"/>
  <c r="U41" i="37" s="1"/>
  <c r="U36" i="37" s="1"/>
  <c r="U33" i="37" s="1"/>
  <c r="V43" i="37"/>
  <c r="V41" i="37" s="1"/>
  <c r="V36" i="37" s="1"/>
  <c r="V33" i="37" s="1"/>
  <c r="X43" i="37"/>
  <c r="X41" i="37" s="1"/>
  <c r="X36" i="37" s="1"/>
  <c r="X33" i="37" s="1"/>
  <c r="Q43" i="37"/>
  <c r="W43" i="37"/>
  <c r="W41" i="37" s="1"/>
  <c r="W36" i="37" s="1"/>
  <c r="W33" i="37" s="1"/>
  <c r="R43" i="37"/>
  <c r="T43" i="37"/>
  <c r="T41" i="37" s="1"/>
  <c r="T36" i="37" s="1"/>
  <c r="T33" i="37" s="1"/>
  <c r="E28" i="34"/>
  <c r="K22" i="12"/>
  <c r="K24" i="12"/>
  <c r="K26" i="12"/>
  <c r="K28" i="12"/>
  <c r="K21" i="12"/>
  <c r="K23" i="12"/>
  <c r="J213" i="40" s="1"/>
  <c r="J212" i="40" s="1"/>
  <c r="J202" i="40" s="1"/>
  <c r="K25" i="12"/>
  <c r="K27" i="12"/>
  <c r="K29" i="12"/>
  <c r="D6" i="12"/>
  <c r="D12" i="12" s="1"/>
  <c r="J197" i="40" l="1"/>
  <c r="J194" i="40" s="1"/>
  <c r="AL43" i="37"/>
  <c r="Q41" i="37"/>
  <c r="Q36" i="37" s="1"/>
  <c r="Q33" i="37" s="1"/>
  <c r="Y43" i="37"/>
  <c r="Y41" i="37" s="1"/>
  <c r="AC48" i="37"/>
  <c r="AI48" i="37"/>
  <c r="AE48" i="37"/>
  <c r="AD48" i="37"/>
  <c r="AH48" i="37"/>
  <c r="AB48" i="37"/>
  <c r="AJ48" i="37" s="1"/>
  <c r="AF48" i="37"/>
  <c r="AG48" i="37"/>
  <c r="R41" i="37"/>
  <c r="R36" i="37" s="1"/>
  <c r="R33" i="37" s="1"/>
  <c r="Z43" i="37"/>
  <c r="Z41" i="37" s="1"/>
  <c r="Z36" i="37" s="1"/>
  <c r="Z33" i="37" s="1"/>
  <c r="Y48" i="37"/>
  <c r="L15" i="34"/>
  <c r="J12" i="34"/>
  <c r="I235" i="40"/>
  <c r="J236" i="40"/>
  <c r="J231" i="40" s="1"/>
  <c r="J235" i="40"/>
  <c r="J230" i="40" s="1"/>
  <c r="J228" i="40" s="1"/>
  <c r="J206" i="40" s="1"/>
  <c r="F6" i="12"/>
  <c r="F12" i="12" s="1"/>
  <c r="D5" i="12"/>
  <c r="D1" i="12" s="1"/>
  <c r="S15" i="11"/>
  <c r="AL47" i="37" l="1"/>
  <c r="J203" i="40"/>
  <c r="AL44" i="37" s="1"/>
  <c r="L12" i="34"/>
  <c r="L27" i="34" s="1"/>
  <c r="J27" i="34"/>
  <c r="J7" i="34"/>
  <c r="AK48" i="37"/>
  <c r="Y36" i="37"/>
  <c r="Y33" i="37" s="1"/>
  <c r="AL41" i="37"/>
  <c r="AL36" i="37" s="1"/>
  <c r="AL33" i="37" s="1"/>
  <c r="AL25" i="37" s="1"/>
  <c r="AL24" i="37" s="1"/>
  <c r="AE43" i="37"/>
  <c r="AE41" i="37" s="1"/>
  <c r="AE36" i="37" s="1"/>
  <c r="AE33" i="37" s="1"/>
  <c r="AD43" i="37"/>
  <c r="AD41" i="37" s="1"/>
  <c r="AD36" i="37" s="1"/>
  <c r="AD33" i="37" s="1"/>
  <c r="AB43" i="37"/>
  <c r="AH43" i="37"/>
  <c r="AH41" i="37" s="1"/>
  <c r="AH36" i="37" s="1"/>
  <c r="AH33" i="37" s="1"/>
  <c r="AC43" i="37"/>
  <c r="AI43" i="37"/>
  <c r="AI41" i="37" s="1"/>
  <c r="AI36" i="37" s="1"/>
  <c r="AI33" i="37" s="1"/>
  <c r="AG43" i="37"/>
  <c r="AG41" i="37" s="1"/>
  <c r="AG36" i="37" s="1"/>
  <c r="AG33" i="37" s="1"/>
  <c r="AF43" i="37"/>
  <c r="AF41" i="37" s="1"/>
  <c r="AF36" i="37" s="1"/>
  <c r="AF33" i="37" s="1"/>
  <c r="I230" i="40"/>
  <c r="I228" i="40" s="1"/>
  <c r="I206" i="40" s="1"/>
  <c r="J186" i="40"/>
  <c r="L31" i="12"/>
  <c r="L30" i="12"/>
  <c r="F30" i="12"/>
  <c r="E30" i="12"/>
  <c r="AA47" i="37" l="1"/>
  <c r="I203" i="40"/>
  <c r="AH25" i="37"/>
  <c r="AH24" i="37" s="1"/>
  <c r="AG25" i="37"/>
  <c r="AG24" i="37" s="1"/>
  <c r="AK43" i="37"/>
  <c r="AK41" i="37" s="1"/>
  <c r="AK36" i="37" s="1"/>
  <c r="AK33" i="37" s="1"/>
  <c r="AC41" i="37"/>
  <c r="AC36" i="37" s="1"/>
  <c r="AC33" i="37" s="1"/>
  <c r="AB41" i="37"/>
  <c r="AB36" i="37" s="1"/>
  <c r="AB33" i="37" s="1"/>
  <c r="AJ43" i="37"/>
  <c r="AJ41" i="37" s="1"/>
  <c r="AJ36" i="37" s="1"/>
  <c r="AJ33" i="37" s="1"/>
  <c r="AI47" i="37"/>
  <c r="AI44" i="37" s="1"/>
  <c r="AI25" i="37" s="1"/>
  <c r="AI24" i="37" s="1"/>
  <c r="AC47" i="37"/>
  <c r="AG47" i="37"/>
  <c r="AG44" i="37" s="1"/>
  <c r="AF47" i="37"/>
  <c r="AF44" i="37" s="1"/>
  <c r="AF25" i="37" s="1"/>
  <c r="AF24" i="37" s="1"/>
  <c r="AD47" i="37"/>
  <c r="AD44" i="37" s="1"/>
  <c r="AD25" i="37" s="1"/>
  <c r="AD24" i="37" s="1"/>
  <c r="AE47" i="37"/>
  <c r="AE44" i="37" s="1"/>
  <c r="AE25" i="37" s="1"/>
  <c r="AE24" i="37" s="1"/>
  <c r="AH47" i="37"/>
  <c r="AH44" i="37" s="1"/>
  <c r="AB47" i="37"/>
  <c r="E2958" i="14"/>
  <c r="AJ47" i="37" l="1"/>
  <c r="AJ44" i="37" s="1"/>
  <c r="AB44" i="37"/>
  <c r="AK47" i="37"/>
  <c r="AK44" i="37" s="1"/>
  <c r="AC44" i="37"/>
  <c r="AC25" i="37"/>
  <c r="AC24" i="37" s="1"/>
  <c r="AB25" i="37"/>
  <c r="AB24" i="37" s="1"/>
  <c r="AK25" i="37"/>
  <c r="AK24" i="37" s="1"/>
  <c r="AA44" i="37"/>
  <c r="AA25" i="37" s="1"/>
  <c r="I186" i="40"/>
  <c r="AJ25" i="37"/>
  <c r="AJ24" i="37" s="1"/>
  <c r="W47" i="37"/>
  <c r="W44" i="37" s="1"/>
  <c r="W25" i="37" s="1"/>
  <c r="W24" i="37" s="1"/>
  <c r="S47" i="37"/>
  <c r="S44" i="37" s="1"/>
  <c r="S25" i="37" s="1"/>
  <c r="S24" i="37" s="1"/>
  <c r="Q47" i="37"/>
  <c r="Q44" i="37" s="1"/>
  <c r="Q25" i="37" s="1"/>
  <c r="Q24" i="37" s="1"/>
  <c r="U47" i="37"/>
  <c r="V47" i="37"/>
  <c r="V44" i="37" s="1"/>
  <c r="V25" i="37" s="1"/>
  <c r="V24" i="37" s="1"/>
  <c r="T47" i="37"/>
  <c r="T44" i="37" s="1"/>
  <c r="T25" i="37" s="1"/>
  <c r="T24" i="37" s="1"/>
  <c r="X47" i="37"/>
  <c r="X44" i="37" s="1"/>
  <c r="X25" i="37" s="1"/>
  <c r="X24" i="37" s="1"/>
  <c r="R47" i="37"/>
  <c r="AD1034" i="14"/>
  <c r="AD1035" i="14"/>
  <c r="AD1036" i="14"/>
  <c r="AD1037" i="14"/>
  <c r="AD1038" i="14"/>
  <c r="AD1039" i="14"/>
  <c r="AD1040" i="14"/>
  <c r="AD1041" i="14"/>
  <c r="AD1042" i="14"/>
  <c r="AD1043" i="14"/>
  <c r="AD1044" i="14"/>
  <c r="AD1045" i="14"/>
  <c r="AD1046" i="14"/>
  <c r="AD1047" i="14"/>
  <c r="AD1048" i="14"/>
  <c r="AD1049" i="14"/>
  <c r="AD1050" i="14"/>
  <c r="AD1051" i="14"/>
  <c r="AD1052" i="14"/>
  <c r="AD1053" i="14"/>
  <c r="AD1054" i="14"/>
  <c r="AD1055" i="14"/>
  <c r="AD1056" i="14"/>
  <c r="AD1057" i="14"/>
  <c r="AD1058" i="14"/>
  <c r="AD1059" i="14"/>
  <c r="AD1060" i="14"/>
  <c r="AD1061" i="14"/>
  <c r="AD1062" i="14"/>
  <c r="AD1063" i="14"/>
  <c r="AD1064" i="14"/>
  <c r="AD1065" i="14"/>
  <c r="AD1066" i="14"/>
  <c r="AD1067" i="14"/>
  <c r="AD1068" i="14"/>
  <c r="AD1069" i="14"/>
  <c r="AD1070" i="14"/>
  <c r="AD1071" i="14"/>
  <c r="AD1072" i="14"/>
  <c r="AD1073" i="14"/>
  <c r="AD1074" i="14"/>
  <c r="AD1075" i="14"/>
  <c r="AD1076" i="14"/>
  <c r="AD1077" i="14"/>
  <c r="AD1078" i="14"/>
  <c r="AD1079" i="14"/>
  <c r="AD1080" i="14"/>
  <c r="AD1081" i="14"/>
  <c r="R44" i="37" l="1"/>
  <c r="R25" i="37" s="1"/>
  <c r="R24" i="37" s="1"/>
  <c r="Z47" i="37"/>
  <c r="Z44" i="37" s="1"/>
  <c r="Z25" i="37" s="1"/>
  <c r="Z24" i="37" s="1"/>
  <c r="Y47" i="37"/>
  <c r="Y44" i="37" s="1"/>
  <c r="Y25" i="37" s="1"/>
  <c r="Y24" i="37" s="1"/>
  <c r="U44" i="37"/>
  <c r="U25" i="37" s="1"/>
  <c r="U24" i="37" s="1"/>
  <c r="AA24" i="37"/>
  <c r="AA52" i="37"/>
  <c r="E2959" i="14"/>
  <c r="AF970" i="14"/>
  <c r="AF14" i="14" s="1"/>
  <c r="D7" i="12" l="1"/>
  <c r="Q7" i="12"/>
  <c r="Q8" i="12" s="1"/>
  <c r="F7" i="12" l="1"/>
  <c r="H19" i="12" s="1"/>
  <c r="D8" i="12"/>
  <c r="F8" i="12" s="1"/>
  <c r="I19" i="12" s="1"/>
  <c r="I34" i="12" s="1"/>
  <c r="H207" i="40" l="1"/>
  <c r="P48" i="37" s="1"/>
  <c r="H237" i="40"/>
  <c r="H34" i="12"/>
  <c r="H21" i="12"/>
  <c r="H22" i="12"/>
  <c r="H23" i="12"/>
  <c r="H26" i="12"/>
  <c r="G26" i="12" s="1"/>
  <c r="H28" i="12"/>
  <c r="G28" i="12" s="1"/>
  <c r="H25" i="12"/>
  <c r="H24" i="12"/>
  <c r="G24" i="12" s="1"/>
  <c r="H27" i="12"/>
  <c r="G27" i="12" s="1"/>
  <c r="H29" i="12"/>
  <c r="G29" i="12" s="1"/>
  <c r="I22" i="12"/>
  <c r="I24" i="12"/>
  <c r="I26" i="12"/>
  <c r="I28" i="12"/>
  <c r="I21" i="12"/>
  <c r="I23" i="12"/>
  <c r="H213" i="40" s="1"/>
  <c r="H212" i="40" s="1"/>
  <c r="H202" i="40" s="1"/>
  <c r="I25" i="12"/>
  <c r="I27" i="12"/>
  <c r="I29" i="12"/>
  <c r="G19" i="12"/>
  <c r="G25" i="12" l="1"/>
  <c r="H35" i="12"/>
  <c r="G207" i="40"/>
  <c r="G237" i="40"/>
  <c r="G236" i="40" s="1"/>
  <c r="G235" i="40" s="1"/>
  <c r="G230" i="40" s="1"/>
  <c r="F34" i="12"/>
  <c r="P43" i="37"/>
  <c r="H197" i="40"/>
  <c r="H194" i="40" s="1"/>
  <c r="G23" i="12"/>
  <c r="G213" i="40"/>
  <c r="H33" i="12"/>
  <c r="H236" i="40"/>
  <c r="H231" i="40" s="1"/>
  <c r="O48" i="37"/>
  <c r="N48" i="37"/>
  <c r="L48" i="37"/>
  <c r="M48" i="37"/>
  <c r="G21" i="12"/>
  <c r="I35" i="12"/>
  <c r="G22" i="12"/>
  <c r="H36" i="12"/>
  <c r="E230" i="40" l="1"/>
  <c r="H235" i="40"/>
  <c r="H230" i="40" s="1"/>
  <c r="H228" i="40" s="1"/>
  <c r="H206" i="40" s="1"/>
  <c r="P41" i="37"/>
  <c r="P36" i="37" s="1"/>
  <c r="P33" i="37" s="1"/>
  <c r="O43" i="37"/>
  <c r="O41" i="37" s="1"/>
  <c r="O36" i="37" s="1"/>
  <c r="O33" i="37" s="1"/>
  <c r="M43" i="37"/>
  <c r="M41" i="37" s="1"/>
  <c r="M36" i="37" s="1"/>
  <c r="M33" i="37" s="1"/>
  <c r="N43" i="37"/>
  <c r="N41" i="37" s="1"/>
  <c r="N36" i="37" s="1"/>
  <c r="N33" i="37" s="1"/>
  <c r="L43" i="37"/>
  <c r="L41" i="37" s="1"/>
  <c r="L36" i="37" s="1"/>
  <c r="L33" i="37" s="1"/>
  <c r="G231" i="40"/>
  <c r="F213" i="40"/>
  <c r="F212" i="40" s="1"/>
  <c r="F202" i="40" s="1"/>
  <c r="F197" i="40" s="1"/>
  <c r="F194" i="40" s="1"/>
  <c r="G212" i="40"/>
  <c r="G202" i="40" s="1"/>
  <c r="F207" i="40"/>
  <c r="E207" i="40"/>
  <c r="K48" i="37"/>
  <c r="J20" i="12"/>
  <c r="H48" i="37" l="1"/>
  <c r="BB48" i="37" s="1"/>
  <c r="G48" i="37"/>
  <c r="BA48" i="37" s="1"/>
  <c r="I48" i="37"/>
  <c r="BC48" i="37" s="1"/>
  <c r="BE48" i="37"/>
  <c r="K41" i="37"/>
  <c r="G197" i="40"/>
  <c r="G194" i="40" s="1"/>
  <c r="F231" i="40"/>
  <c r="E231" i="40"/>
  <c r="P47" i="37"/>
  <c r="H203" i="40"/>
  <c r="F230" i="40"/>
  <c r="F228" i="40" s="1"/>
  <c r="F206" i="40" s="1"/>
  <c r="F203" i="40" s="1"/>
  <c r="F186" i="40" s="1"/>
  <c r="E228" i="40"/>
  <c r="E206" i="40" s="1"/>
  <c r="E203" i="40" s="1"/>
  <c r="E186" i="40" s="1"/>
  <c r="G228" i="40"/>
  <c r="G206" i="40" s="1"/>
  <c r="J35" i="12"/>
  <c r="J31" i="12"/>
  <c r="J30" i="12"/>
  <c r="G203" i="40" l="1"/>
  <c r="K44" i="37" s="1"/>
  <c r="K47" i="37"/>
  <c r="K43" i="37"/>
  <c r="K36" i="37"/>
  <c r="BE41" i="37"/>
  <c r="J48" i="37"/>
  <c r="BD48" i="37" s="1"/>
  <c r="BI48" i="37"/>
  <c r="BF48" i="37"/>
  <c r="BG48" i="37" s="1"/>
  <c r="O47" i="37"/>
  <c r="O44" i="37" s="1"/>
  <c r="O25" i="37" s="1"/>
  <c r="O24" i="37" s="1"/>
  <c r="M47" i="37"/>
  <c r="M44" i="37" s="1"/>
  <c r="N47" i="37"/>
  <c r="N44" i="37" s="1"/>
  <c r="N25" i="37" s="1"/>
  <c r="N24" i="37" s="1"/>
  <c r="L47" i="37"/>
  <c r="L44" i="37" s="1"/>
  <c r="L25" i="37" s="1"/>
  <c r="L24" i="37" s="1"/>
  <c r="P44" i="37"/>
  <c r="P25" i="37" s="1"/>
  <c r="P24" i="37" s="1"/>
  <c r="H186" i="40"/>
  <c r="G186" i="40"/>
  <c r="L186" i="40" s="1"/>
  <c r="L187" i="40" s="1"/>
  <c r="BJ48" i="37"/>
  <c r="G29" i="46" s="1"/>
  <c r="X29" i="46" s="1"/>
  <c r="AA29" i="46" s="1"/>
  <c r="D31" i="52" s="1"/>
  <c r="G31" i="52" s="1"/>
  <c r="J31" i="52" s="1"/>
  <c r="K20" i="12"/>
  <c r="K35" i="12" s="1"/>
  <c r="M25" i="37" l="1"/>
  <c r="M24" i="37" s="1"/>
  <c r="K33" i="37"/>
  <c r="BE36" i="37"/>
  <c r="I47" i="37"/>
  <c r="G47" i="37"/>
  <c r="H47" i="37"/>
  <c r="BE47" i="37"/>
  <c r="D29" i="46"/>
  <c r="T29" i="46" s="1"/>
  <c r="W29" i="46" s="1"/>
  <c r="C31" i="52" s="1"/>
  <c r="BK48" i="37"/>
  <c r="I43" i="37"/>
  <c r="G43" i="37"/>
  <c r="H43" i="37"/>
  <c r="BE43" i="37"/>
  <c r="K52" i="37"/>
  <c r="K89" i="37" s="1"/>
  <c r="BE44" i="37"/>
  <c r="K31" i="12"/>
  <c r="K30" i="12"/>
  <c r="I41" i="37" l="1"/>
  <c r="BC43" i="37"/>
  <c r="F31" i="52"/>
  <c r="H31" i="52" s="1"/>
  <c r="E31" i="52"/>
  <c r="I31" i="52"/>
  <c r="K31" i="52" s="1"/>
  <c r="G44" i="37"/>
  <c r="BA44" i="37" s="1"/>
  <c r="BA47" i="37"/>
  <c r="H41" i="37"/>
  <c r="BB43" i="37"/>
  <c r="K92" i="37"/>
  <c r="J43" i="37"/>
  <c r="G41" i="37"/>
  <c r="BA43" i="37"/>
  <c r="J47" i="37"/>
  <c r="H44" i="37"/>
  <c r="BB44" i="37" s="1"/>
  <c r="BB47" i="37"/>
  <c r="I44" i="37"/>
  <c r="BC44" i="37" s="1"/>
  <c r="BC47" i="37"/>
  <c r="K25" i="37"/>
  <c r="BE33" i="37"/>
  <c r="G12" i="12"/>
  <c r="K24" i="37" l="1"/>
  <c r="AX25" i="37"/>
  <c r="AY25" i="37" s="1"/>
  <c r="BI43" i="37"/>
  <c r="J41" i="37"/>
  <c r="BD43" i="37"/>
  <c r="BF43" i="37" s="1"/>
  <c r="BG43" i="37" s="1"/>
  <c r="H36" i="37"/>
  <c r="BB41" i="37"/>
  <c r="BI47" i="37"/>
  <c r="I36" i="37"/>
  <c r="BC41" i="37"/>
  <c r="BE25" i="37"/>
  <c r="BD47" i="37"/>
  <c r="BJ47" i="37" s="1"/>
  <c r="J44" i="37"/>
  <c r="BD44" i="37" s="1"/>
  <c r="BF44" i="37" s="1"/>
  <c r="BG44" i="37" s="1"/>
  <c r="G36" i="37"/>
  <c r="BA41" i="37"/>
  <c r="K90" i="37"/>
  <c r="BJ43" i="37"/>
  <c r="H30" i="12"/>
  <c r="G20" i="12"/>
  <c r="G35" i="12" s="1"/>
  <c r="G28" i="46" l="1"/>
  <c r="BJ44" i="37"/>
  <c r="G33" i="37"/>
  <c r="BA36" i="37"/>
  <c r="BF47" i="37"/>
  <c r="BG47" i="37" s="1"/>
  <c r="G24" i="46"/>
  <c r="BJ41" i="37"/>
  <c r="BJ36" i="37" s="1"/>
  <c r="BJ33" i="37" s="1"/>
  <c r="BJ25" i="37" s="1"/>
  <c r="I33" i="37"/>
  <c r="BC36" i="37"/>
  <c r="D28" i="46"/>
  <c r="BI44" i="37"/>
  <c r="BK47" i="37"/>
  <c r="BK44" i="37" s="1"/>
  <c r="H33" i="37"/>
  <c r="BB36" i="37"/>
  <c r="J36" i="37"/>
  <c r="BD41" i="37"/>
  <c r="BF41" i="37" s="1"/>
  <c r="BG41" i="37" s="1"/>
  <c r="D24" i="46"/>
  <c r="BK43" i="37"/>
  <c r="BK41" i="37" s="1"/>
  <c r="BK36" i="37" s="1"/>
  <c r="BK33" i="37" s="1"/>
  <c r="BK25" i="37" s="1"/>
  <c r="BI41" i="37"/>
  <c r="BI36" i="37" s="1"/>
  <c r="BI33" i="37" s="1"/>
  <c r="BI25" i="37" s="1"/>
  <c r="AL211" i="19"/>
  <c r="AL214" i="19" s="1"/>
  <c r="AK211" i="19"/>
  <c r="AK212" i="19" s="1"/>
  <c r="AK213" i="19" s="1"/>
  <c r="AI211" i="19"/>
  <c r="AI212" i="19" s="1"/>
  <c r="AI213" i="19" s="1"/>
  <c r="T24" i="46" l="1"/>
  <c r="D19" i="46"/>
  <c r="D16" i="46" s="1"/>
  <c r="J33" i="37"/>
  <c r="BD36" i="37"/>
  <c r="BF36" i="37" s="1"/>
  <c r="BG36" i="37" s="1"/>
  <c r="H25" i="37"/>
  <c r="H24" i="37" s="1"/>
  <c r="BB33" i="37"/>
  <c r="BB25" i="37" s="1"/>
  <c r="X24" i="46"/>
  <c r="G19" i="46"/>
  <c r="G16" i="46" s="1"/>
  <c r="T28" i="46"/>
  <c r="D25" i="46"/>
  <c r="BC33" i="37"/>
  <c r="BC25" i="37" s="1"/>
  <c r="I25" i="37"/>
  <c r="I24" i="37" s="1"/>
  <c r="BA33" i="37"/>
  <c r="G25" i="37"/>
  <c r="G24" i="37" s="1"/>
  <c r="G25" i="46"/>
  <c r="X28" i="46"/>
  <c r="AJ213" i="19"/>
  <c r="AL212" i="19"/>
  <c r="AL213" i="19" s="1"/>
  <c r="BA25" i="37" l="1"/>
  <c r="T25" i="46"/>
  <c r="W28" i="46"/>
  <c r="G11" i="46"/>
  <c r="L12" i="47" s="1"/>
  <c r="D11" i="46"/>
  <c r="L11" i="47" s="1"/>
  <c r="AA28" i="46"/>
  <c r="X25" i="46"/>
  <c r="AA24" i="46"/>
  <c r="X19" i="46"/>
  <c r="X16" i="46" s="1"/>
  <c r="X11" i="46" s="1"/>
  <c r="BD33" i="37"/>
  <c r="BD25" i="37" s="1"/>
  <c r="J25" i="37"/>
  <c r="J24" i="37" s="1"/>
  <c r="W24" i="46"/>
  <c r="T19" i="46"/>
  <c r="T16" i="46" s="1"/>
  <c r="T11" i="46" s="1"/>
  <c r="H31" i="12"/>
  <c r="O11" i="47" l="1"/>
  <c r="Z11" i="47" s="1"/>
  <c r="AA11" i="47" s="1"/>
  <c r="P11" i="47"/>
  <c r="S11" i="47" s="1"/>
  <c r="C30" i="52"/>
  <c r="W25" i="46"/>
  <c r="C26" i="52"/>
  <c r="W19" i="46"/>
  <c r="W16" i="46" s="1"/>
  <c r="W11" i="46" s="1"/>
  <c r="D26" i="52"/>
  <c r="AA19" i="46"/>
  <c r="AA16" i="46" s="1"/>
  <c r="D30" i="52"/>
  <c r="AA25" i="46"/>
  <c r="O12" i="47"/>
  <c r="Z12" i="47" s="1"/>
  <c r="AA12" i="47" s="1"/>
  <c r="P12" i="47"/>
  <c r="S12" i="47" s="1"/>
  <c r="BF33" i="37"/>
  <c r="I31" i="12"/>
  <c r="I30" i="12"/>
  <c r="AA11" i="46" l="1"/>
  <c r="BF25" i="37"/>
  <c r="BG33" i="37"/>
  <c r="AE12" i="47"/>
  <c r="D11" i="52"/>
  <c r="AB12" i="47"/>
  <c r="AA10" i="46"/>
  <c r="G30" i="52"/>
  <c r="G27" i="52" s="1"/>
  <c r="D27" i="52"/>
  <c r="J30" i="52"/>
  <c r="G26" i="52"/>
  <c r="G21" i="52" s="1"/>
  <c r="D21" i="52"/>
  <c r="D18" i="52" s="1"/>
  <c r="D13" i="52" s="1"/>
  <c r="F26" i="52"/>
  <c r="I26" i="52"/>
  <c r="E26" i="52"/>
  <c r="C21" i="52"/>
  <c r="F30" i="52"/>
  <c r="E30" i="52"/>
  <c r="C27" i="52"/>
  <c r="E27" i="52" s="1"/>
  <c r="AE11" i="47"/>
  <c r="AA13" i="47"/>
  <c r="AE13" i="47" s="1"/>
  <c r="AB11" i="47"/>
  <c r="W10" i="46"/>
  <c r="C11" i="52"/>
  <c r="G31" i="12"/>
  <c r="G30" i="12"/>
  <c r="J26" i="52" l="1"/>
  <c r="I30" i="52"/>
  <c r="K30" i="52" s="1"/>
  <c r="F27" i="52"/>
  <c r="H27" i="52" s="1"/>
  <c r="H30" i="52"/>
  <c r="H26" i="52"/>
  <c r="F21" i="52"/>
  <c r="K26" i="52"/>
  <c r="I27" i="52"/>
  <c r="J27" i="52" s="1"/>
  <c r="K27" i="52" s="1"/>
  <c r="AF12" i="47"/>
  <c r="D12" i="52"/>
  <c r="I11" i="52"/>
  <c r="F11" i="52"/>
  <c r="E11" i="52"/>
  <c r="E1" i="52" s="1"/>
  <c r="AF11" i="47"/>
  <c r="C12" i="52"/>
  <c r="AB13" i="47"/>
  <c r="AF13" i="47" s="1"/>
  <c r="C18" i="52"/>
  <c r="C13" i="52" s="1"/>
  <c r="E21" i="52"/>
  <c r="E18" i="52" s="1"/>
  <c r="E13" i="52" s="1"/>
  <c r="E2" i="52" s="1"/>
  <c r="G18" i="52"/>
  <c r="G13" i="52" s="1"/>
  <c r="J11" i="52"/>
  <c r="G11" i="52"/>
  <c r="G4" i="37"/>
  <c r="AJ392" i="48"/>
  <c r="AJ392" i="45" s="1"/>
  <c r="AM392" i="45" s="1"/>
  <c r="I12" i="52" l="1"/>
  <c r="E12" i="52"/>
  <c r="F12" i="52"/>
  <c r="K11" i="52"/>
  <c r="H11" i="52"/>
  <c r="J12" i="52"/>
  <c r="G12" i="52"/>
  <c r="F18" i="52"/>
  <c r="F13" i="52" s="1"/>
  <c r="F37" i="52" s="1"/>
  <c r="H21" i="52"/>
  <c r="AO392" i="48"/>
  <c r="AO404" i="48" s="1"/>
  <c r="C36" i="52" s="1"/>
  <c r="C32" i="52" s="1"/>
  <c r="C37" i="52" s="1"/>
  <c r="H18" i="52" l="1"/>
  <c r="H13" i="52" s="1"/>
  <c r="H37" i="52" s="1"/>
  <c r="I21" i="52"/>
  <c r="H12" i="52"/>
  <c r="K12" i="52"/>
  <c r="E36" i="52"/>
  <c r="E32" i="52" s="1"/>
  <c r="E37" i="52" s="1"/>
  <c r="I36" i="52"/>
  <c r="K36" i="52" s="1"/>
  <c r="K32" i="52" s="1"/>
  <c r="I18" i="52" l="1"/>
  <c r="I13" i="52" s="1"/>
  <c r="J21" i="52"/>
  <c r="J18" i="52" s="1"/>
  <c r="J13" i="52" s="1"/>
  <c r="I32" i="52"/>
  <c r="I37" i="52" l="1"/>
  <c r="K21" i="52"/>
  <c r="K18" i="52" s="1"/>
  <c r="K13" i="52" s="1"/>
  <c r="K37" i="52" s="1"/>
</calcChain>
</file>

<file path=xl/comments1.xml><?xml version="1.0" encoding="utf-8"?>
<comments xmlns="http://schemas.openxmlformats.org/spreadsheetml/2006/main">
  <authors>
    <author>Дорджиева Лидия Васильевна</author>
  </authors>
  <commentList>
    <comment ref="C9" authorId="0" shapeId="0">
      <text>
        <r>
          <rPr>
            <b/>
            <sz val="9"/>
            <color indexed="81"/>
            <rFont val="Tahoma"/>
            <family val="2"/>
            <charset val="204"/>
          </rPr>
          <t>Дорджиева Лидия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можно будет добавить по ожид 2018г переходящих на 2018г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  <charset val="204"/>
          </rPr>
          <t>Дорджиева Лидия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в заявке по выпад -503 шт, учтены ожид план 2018г.</t>
        </r>
      </text>
    </comment>
  </commentList>
</comments>
</file>

<file path=xl/comments10.xml><?xml version="1.0" encoding="utf-8"?>
<comments xmlns="http://schemas.openxmlformats.org/spreadsheetml/2006/main">
  <authors>
    <author>1</author>
  </authors>
  <commentList>
    <comment ref="S1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Сумма не верно отнесенная на категорию от 15 до 150 кВт (СОТ "Надежда" и т.п. - 32 ед. по 5 кВт).
В связи с чем, данная сумма распределена на все статьи затрат в категории до 15 кВт</t>
        </r>
      </text>
    </comment>
  </commentList>
</comments>
</file>

<file path=xl/comments2.xml><?xml version="1.0" encoding="utf-8"?>
<comments xmlns="http://schemas.openxmlformats.org/spreadsheetml/2006/main">
  <authors>
    <author>Нохашкеев Санджи Сергеевич</author>
  </authors>
  <commentList>
    <comment ref="H43" authorId="0" shapeId="0">
      <text>
        <r>
          <rPr>
            <sz val="12"/>
            <color indexed="81"/>
            <rFont val="Tahoma"/>
            <family val="2"/>
            <charset val="204"/>
          </rPr>
          <t xml:space="preserve">В утвержденном РСТ РК расчете по ТП на 2018 год - в льготе до 15 кВ указан заявитель Чуров С.А, который нельготник до 15 кВ.
 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F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акте 0,1 км (ранее ошибочно указывалось 0,115 км)</t>
        </r>
      </text>
    </comment>
  </commentList>
</comments>
</file>

<file path=xl/comments4.xml><?xml version="1.0" encoding="utf-8"?>
<comments xmlns="http://schemas.openxmlformats.org/spreadsheetml/2006/main">
  <authors>
    <author>Автор</author>
    <author>Нохашкеев Санджи Сергеевич</author>
  </authors>
  <commentList>
    <comment ref="AG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ВЛ</t>
        </r>
      </text>
    </comment>
    <comment ref="AH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ТП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минусом 30 кВт, т.к. указаны дважды из-за разных марок провода (Акт №61)</t>
        </r>
      </text>
    </comment>
    <comment ref="C1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Подключение по уровню 0,4 кВ
Исключается из выпадающих до 15 кВт</t>
        </r>
      </text>
    </comment>
    <comment ref="G193" authorId="1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Коэф.перевода 0,93 удалён</t>
        </r>
      </text>
    </comment>
    <comment ref="G194" authorId="1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Коэф.перевода 0,93 удален</t>
        </r>
      </text>
    </comment>
    <comment ref="C2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Исключается из выпадающих до 15 кВт</t>
        </r>
      </text>
    </comment>
  </commentList>
</comments>
</file>

<file path=xl/comments5.xml><?xml version="1.0" encoding="utf-8"?>
<comments xmlns="http://schemas.openxmlformats.org/spreadsheetml/2006/main">
  <authors>
    <author>Нохашкеев Санджи Сергеевич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  <charset val="204"/>
          </rPr>
          <t>Нохашкеев Санджи Сергеевич:</t>
        </r>
        <r>
          <rPr>
            <sz val="9"/>
            <color indexed="81"/>
            <rFont val="Tahoma"/>
            <family val="2"/>
            <charset val="204"/>
          </rPr>
          <t xml:space="preserve">
Индивид.проект
</t>
        </r>
      </text>
    </comment>
  </commentList>
</comments>
</file>

<file path=xl/comments6.xml><?xml version="1.0" encoding="utf-8"?>
<comments xmlns="http://schemas.openxmlformats.org/spreadsheetml/2006/main">
  <authors>
    <author>Джалкин Мингиян Иванович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='X:\_Общие_файлы\ПЭО - Отдел тарифообразования\Дуброва\Тарифные дела по технологическому присоединению\Тарифное дело по ТП на 2017 год\себестоимость\[Обороты счета 20.01 за 2015 г..xls]TDSheet'!$E$551/1000</t>
        </r>
      </text>
    </comment>
    <comment ref="B21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(2).xls]КЭ'!$C$52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(2).xls]КЭ'!$C$70</t>
        </r>
      </text>
    </comment>
    <comment ref="B23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(2).xls]КЭ'!$C$87</t>
        </r>
      </text>
    </comment>
    <comment ref="B24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(2).xls]КЭ'!$C$54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(2).xls]КЭ'!$C$72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(2).xls]КЭ'!$C$105</t>
        </r>
      </text>
    </comment>
    <comment ref="B27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(2).xls]КЭ'!$C$124</t>
        </r>
      </text>
    </comment>
    <comment ref="B29" authorId="0" shapeId="0">
      <text>
        <r>
          <rPr>
            <b/>
            <sz val="8"/>
            <color indexed="81"/>
            <rFont val="Tahoma"/>
            <family val="2"/>
            <charset val="204"/>
          </rPr>
          <t>Джалкин Мингиян Иванович:</t>
        </r>
        <r>
          <rPr>
            <sz val="8"/>
            <color indexed="81"/>
            <rFont val="Tahoma"/>
            <family val="2"/>
            <charset val="204"/>
          </rPr>
          <t xml:space="preserve">
='\\IT-iss\share$\_Общие_файлы\ПЭО - Отдел тарифообразования\ДОРДЖИЕВА Л.В\тариф_передача\2017\[УО 2015 КЭ 17 02 2016 (2).xls]КЭ'!$C$145-'\\IT-iss\share$\_Общие_файлы\ПЭО - Отдел тарифообразования\ДОРДЖИЕВА Л.В\тариф_передача\2017\[УО 2015 КЭ 17 02 2016 (2).xls]КЭ'!$C$151</t>
        </r>
      </text>
    </comment>
  </commentList>
</comments>
</file>

<file path=xl/comments7.xml><?xml version="1.0" encoding="utf-8"?>
<comments xmlns="http://schemas.openxmlformats.org/spreadsheetml/2006/main">
  <authors>
    <author>Оконова Цаган Зандановна</author>
  </authors>
  <commentList>
    <comment ref="AD14" authorId="0" shapeId="0">
      <text>
        <r>
          <rPr>
            <b/>
            <sz val="9"/>
            <color indexed="81"/>
            <rFont val="Tahoma"/>
            <family val="2"/>
            <charset val="204"/>
          </rPr>
          <t>Оконова Цаган Зандановна:</t>
        </r>
        <r>
          <rPr>
            <sz val="9"/>
            <color indexed="81"/>
            <rFont val="Tahoma"/>
            <family val="2"/>
            <charset val="204"/>
          </rPr>
          <t xml:space="preserve">
Из стат отчетности за 2016 год
</t>
        </r>
      </text>
    </comment>
  </commentList>
</comments>
</file>

<file path=xl/comments8.xml><?xml version="1.0" encoding="utf-8"?>
<comments xmlns="http://schemas.openxmlformats.org/spreadsheetml/2006/main">
  <authors>
    <author>Нохашкеев Санджи Сергеевич</author>
  </authors>
  <commentLis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>Нохашкеев Санджи Сергеевич:</t>
        </r>
        <r>
          <rPr>
            <sz val="9"/>
            <color indexed="81"/>
            <rFont val="Tahoma"/>
            <family val="2"/>
            <charset val="204"/>
          </rPr>
          <t xml:space="preserve">
2 заявителя прошли в ОТП по актам выполненных работ в 2017 году, а в бухгалтерии по выручке нет.</t>
        </r>
      </text>
    </comment>
  </commentList>
</comments>
</file>

<file path=xl/comments9.xml><?xml version="1.0" encoding="utf-8"?>
<comments xmlns="http://schemas.openxmlformats.org/spreadsheetml/2006/main">
  <authors>
    <author>Джалкин Мингиян Иванович</author>
  </authors>
  <commentList>
    <comment ref="O116" authorId="0" shapeId="0">
      <text>
        <r>
          <rPr>
            <b/>
            <sz val="9"/>
            <color indexed="81"/>
            <rFont val="Tahoma"/>
            <family val="2"/>
            <charset val="204"/>
          </rPr>
          <t>Джалкин Мингиян Иванович:</t>
        </r>
        <r>
          <rPr>
            <sz val="9"/>
            <color indexed="81"/>
            <rFont val="Tahoma"/>
            <family val="2"/>
            <charset val="204"/>
          </rPr>
          <t xml:space="preserve">
 - работы и услуги производственного характера</t>
        </r>
      </text>
    </comment>
    <comment ref="I198" authorId="0" shapeId="0">
      <text>
        <r>
          <rPr>
            <b/>
            <sz val="9"/>
            <color indexed="81"/>
            <rFont val="Tahoma"/>
            <family val="2"/>
            <charset val="204"/>
          </rPr>
          <t>Джалкин Мингиян Иванович:</t>
        </r>
        <r>
          <rPr>
            <sz val="9"/>
            <color indexed="81"/>
            <rFont val="Tahoma"/>
            <family val="2"/>
            <charset val="204"/>
          </rPr>
          <t xml:space="preserve">
+ по льготной категории</t>
        </r>
      </text>
    </comment>
  </commentList>
</comments>
</file>

<file path=xl/sharedStrings.xml><?xml version="1.0" encoding="utf-8"?>
<sst xmlns="http://schemas.openxmlformats.org/spreadsheetml/2006/main" count="13078" uniqueCount="4286">
  <si>
    <t>№ п/п</t>
  </si>
  <si>
    <t>Номер договора</t>
  </si>
  <si>
    <t>Показатели</t>
  </si>
  <si>
    <t>1.</t>
  </si>
  <si>
    <t>1.1.</t>
  </si>
  <si>
    <t>1.2.</t>
  </si>
  <si>
    <t>1.3.</t>
  </si>
  <si>
    <t>1.4.</t>
  </si>
  <si>
    <t>2.</t>
  </si>
  <si>
    <t>2.1.</t>
  </si>
  <si>
    <t>2.2.</t>
  </si>
  <si>
    <t>3.</t>
  </si>
  <si>
    <t>3.1.</t>
  </si>
  <si>
    <t>3.2.</t>
  </si>
  <si>
    <t>4.</t>
  </si>
  <si>
    <t>5.1</t>
  </si>
  <si>
    <t>5.2</t>
  </si>
  <si>
    <t>5.3</t>
  </si>
  <si>
    <t>4.1.</t>
  </si>
  <si>
    <t>4.2.</t>
  </si>
  <si>
    <t>5.</t>
  </si>
  <si>
    <t>Итого</t>
  </si>
  <si>
    <t>2.1</t>
  </si>
  <si>
    <t>2.2</t>
  </si>
  <si>
    <t>2.3</t>
  </si>
  <si>
    <t>1</t>
  </si>
  <si>
    <t>7</t>
  </si>
  <si>
    <t>1.1</t>
  </si>
  <si>
    <t>1.2</t>
  </si>
  <si>
    <t>Филиал ПАО "МРСК Юга" - "Калмэнерго"</t>
  </si>
  <si>
    <t>Обороты счета 62 за 2017 г.</t>
  </si>
  <si>
    <t>Выводимые данные:</t>
  </si>
  <si>
    <t>БУ (данные бухгалтерского учета)</t>
  </si>
  <si>
    <t>Отбор:</t>
  </si>
  <si>
    <t>Договоры.Вид взаиморасчетов В группе из списка "УСЛУГИ ПО ТЕХНОЛОГИЧЕСКОМ..."</t>
  </si>
  <si>
    <t>Счет</t>
  </si>
  <si>
    <t>Начальное сальдо Дт</t>
  </si>
  <si>
    <t>Начальное сальдо Кт</t>
  </si>
  <si>
    <t>Оборот Дт</t>
  </si>
  <si>
    <t>Оборот Кт</t>
  </si>
  <si>
    <t>Конечное сальдо Дт</t>
  </si>
  <si>
    <t>Конечное сальдо Кт</t>
  </si>
  <si>
    <t>Договоры.Вид взаиморасчетов</t>
  </si>
  <si>
    <t>Контрагенты</t>
  </si>
  <si>
    <t>Договоры</t>
  </si>
  <si>
    <t>62.01</t>
  </si>
  <si>
    <t>Технологическое присоединение мощностью до 15 кВт включительно</t>
  </si>
  <si>
    <t>Индивидуальные предприятия</t>
  </si>
  <si>
    <t>Дорджиева Надежда Тавуновна ИП</t>
  </si>
  <si>
    <t xml:space="preserve">80-1-16-00286067 Технологическое присоединение Животноводческая стоянка Новый потребитель 0 кВт </t>
  </si>
  <si>
    <t>Максимова Лариса Викторовна ИП</t>
  </si>
  <si>
    <t>80-1-17-00309335 Технологическое присоединение ВРУ 0.22 кВ нестационарного торгового объекта в п. Большой Царын Новый потребитель 0 кВт Респ. Калмыкия</t>
  </si>
  <si>
    <t xml:space="preserve">80-1-17-00336277 Технологическое присоединение ВРУ-0,22кВ нестационарного торгового павильона г.Элиста ул 8-ая Северо-Западная,1А Новый потребитель 0 </t>
  </si>
  <si>
    <t>80-1-17-00341739 Технологическое присоединение ВРУ-0,22кВ нестационарного торгового павильона г Элиста 4микр Новый потребитель 0 кВт Респ. Калмыкия, г</t>
  </si>
  <si>
    <t>Сидоркова Галина Петровна ИП</t>
  </si>
  <si>
    <t xml:space="preserve">80-1-17-00329937 Технологическое присоединение ВРУ 0.4 кВ вагона-магазина г.Лагань ул. Баташова , 40 "П" Новый потребитель 0 кВт Респ. Калмыкия, р-н. </t>
  </si>
  <si>
    <t>Чумудова Ольга Николаевна ИП</t>
  </si>
  <si>
    <t>80-1-17-00314655 Технологическое присоединение ВРУ 0,38 кВ объектов придорожного сервиса Новый потребитель 0 кВт Респ. Калмыкия, р-н. Черноземельский,</t>
  </si>
  <si>
    <t>Прочие предприятия</t>
  </si>
  <si>
    <t>ФГУП "Охрана" Росгвардии по Республике Калмыкия</t>
  </si>
  <si>
    <t>80-1-17-00311897 Технологическое присоединение ВРУ 0,22 нежилого помещения Новый потребитель 0 кВт Респ. Калмыкия, г. Элиста ул. В.И.Ленина  д. 249</t>
  </si>
  <si>
    <t>ФКУ УИИ УФСИН России по РК</t>
  </si>
  <si>
    <t xml:space="preserve">80-1-17-00332135 Технологическое присоединение ВРУ-0,4кВ административного здания Новый потребитель 0 кВт Респ. Калмыкия, г. Элиста пер. Демьяновский </t>
  </si>
  <si>
    <t>Физические лица</t>
  </si>
  <si>
    <t xml:space="preserve"> ИП Бочкарев Михаил Николаевич</t>
  </si>
  <si>
    <t>80-1-17-00304055 Технологическое присоединение цирк-шапито " Корсар" Новый потребитель 0 кВт Респ. Калмыкия, г. Элиста парк. Дружба</t>
  </si>
  <si>
    <t>Абуджиев Андрей Игоревич</t>
  </si>
  <si>
    <t>80-1-17-00303409 Технологическое присоединение ВРУ-0,22кВ жилого дома Новый потребитель 0 кВт Респ. Калмыкия, г. Элиста проезд. Тунтракин  д. 10</t>
  </si>
  <si>
    <t>80-1-17-00318761 Технологическое присоединение ВРУ-0,22кВ жилого дома Тунтракин10А Новый потребитель 0 кВт Респ. Калмыкия, г. Элиста проезд. Тунтракин</t>
  </si>
  <si>
    <t>Авгеева Юлия Александровна</t>
  </si>
  <si>
    <t>11901-14-00162809-1</t>
  </si>
  <si>
    <t>Адучиева Галина Галзановна</t>
  </si>
  <si>
    <t>80-1-17-00311557 Технологическое присоединение ВРУ-0,22кВ жилого дома Новый потребитель 0 кВт Респ. Калмыкия, г. Элиста ул. Квартальная  д. 34</t>
  </si>
  <si>
    <t>Азыдов Евгений Борисович</t>
  </si>
  <si>
    <t>80-1-17-00330633 Технологическое присоединение ВРУ 0.22 кВ жилого дома Новый потребитель 0 кВт Респ. Калмыкия, г. Элиста проезд. 13-й  д. 7</t>
  </si>
  <si>
    <t>Азыдова Надежда Лиджиевна</t>
  </si>
  <si>
    <t>80-1-17-00303623 Технологическое присоединение ВРУ 0.22 кВ жилого дома Новый потребитель 0 кВт Респ. Калмыкия, р-н. Целинный, с. Троицкое ул. Л.Н.Толс</t>
  </si>
  <si>
    <t>Акиева Бальжир Ивановна</t>
  </si>
  <si>
    <t>80-1-17-00311343 Технологическое присоединение ВРУ-0,22кВ жилого дома Новый потребитель 0 кВт Респ. Калмыкия, г. Элиста кв-л. Бумба жилая группа  д. 5</t>
  </si>
  <si>
    <t>Акматалиева Галина Манджиевна</t>
  </si>
  <si>
    <t xml:space="preserve">80-1-17-00312711 Технологическое присоединение ВРУ-0,4кВ  стройки 6-ти квартирного жилого дома Новый потребитель 0 кВт Респ. Калмыкия, г. Элиста мкр. </t>
  </si>
  <si>
    <t>Аксенов Руслан Дмитриевич ИП</t>
  </si>
  <si>
    <t>80-1-17-00330547 Технологическое присоединение ВРУ-0,4кВ жилого дома Новый потребитель 0 кВт Респ. Калмыкия, г. Элиста ул. В.И.Ленина  д. 5Б</t>
  </si>
  <si>
    <t>Аллахвердиев Сакит Исмаил оглы</t>
  </si>
  <si>
    <t xml:space="preserve">80-1-17-00296207 Технологическое присоединение ВРУ 0.4 магазина Новый потребитель 0 кВт Респ. Калмыкия, р-н. Яшалтинский, с. Яшалта пер. Ульяновский  </t>
  </si>
  <si>
    <t>Альмтаев Эрдни Алексеевич</t>
  </si>
  <si>
    <t>80-1-17-00325981 Технологическое присоединение ВРУ-0,22кВ жилого дома для временного присоединения на время действия основного договора Новый потребит</t>
  </si>
  <si>
    <t>Амхаев Алексей Сергеевич</t>
  </si>
  <si>
    <t>80-1-17-00329779 Технологическое присоединение ВРУ-0,22кВ жилого дома Новый потребитель 0 кВт Респ. Калмыкия, г. Элиста ул. Северо-Западная 9-я  д. 3</t>
  </si>
  <si>
    <t>Анацкий Вячеслав Семёнович</t>
  </si>
  <si>
    <t>80-1-17-00325639 Технологическое присоединение ВРУ 0.22 кВ жилого дома Новый потребитель 0 кВт Респ. Калмыкия, р-н. Приютненский, с. Приютное ул. Моск</t>
  </si>
  <si>
    <t>Ангуева Мария Лейдиновна</t>
  </si>
  <si>
    <t>80-1-17-00313839 Технологическое присоединение ВРУ 0.22 кВ жилого дома Новый потребитель 0 кВт Респ. Калмыкия, р-н. Целинный, с. Троицкое ул. Н.В.Гого</t>
  </si>
  <si>
    <t>Анджураева Татьяна Ямановна</t>
  </si>
  <si>
    <t>80-1-17-00334479 Технологическое присоединение ВРУ-0,22кВ жилого дома Новый потребитель 0 кВт Респ. Калмыкия, г. Элиста пер. им Шунгаевой О.А.  д. 8</t>
  </si>
  <si>
    <t>Арманова Валентина Бадмаевна</t>
  </si>
  <si>
    <t>80-1-17-00313613 Технологическое присоединение ВРУ-0,22кВ жилого дома Новый потребитель 0 кВт Респ. Калмыкия, г. Элиста ул. Южная  д. 38Б</t>
  </si>
  <si>
    <t>Арсенова Баира Александровна</t>
  </si>
  <si>
    <t>11901-13-00144897-1</t>
  </si>
  <si>
    <t>Аршеева Таисия Николаевна</t>
  </si>
  <si>
    <t>11901-13-00144901-1</t>
  </si>
  <si>
    <t>80-1-17-00307975 Технологическое присоединение ВРУ 0,22 кВ для временной схемы на период осуществления мероприятий по технологическому присоединению д</t>
  </si>
  <si>
    <t>Аршинов Валерий Александрович</t>
  </si>
  <si>
    <t>80-1-16-00282217 Технологическое присоединение ВРУ 0.22 кВ жилого дома Новый потребитель 0 кВт Респ. Калмыкия, р-н. Целинный, п. Бургуста ул. Буденног</t>
  </si>
  <si>
    <t>Бадаев Мерген Владимирович</t>
  </si>
  <si>
    <t>80-1-17-00336017 Технологическое присоединение ВРУ-0,4кВ жилого дома Новый потребитель 0 кВт Респ. Калмыкия, г. Элиста ул. Строителей  д. 52</t>
  </si>
  <si>
    <t>Бадма-Горяева Ольга Леонидовна</t>
  </si>
  <si>
    <t>11901-13-00144903-1</t>
  </si>
  <si>
    <t>Бадма-Халгаев Баатр Иванович</t>
  </si>
  <si>
    <t>80-1-17-00328609 Технологическое присоединение ВРУ-0,22кВ жилого дома Новый потребитель 0 кВт Респ. Калмыкия, г. Элиста проезд. 11-й  д. 64</t>
  </si>
  <si>
    <t>Бадма-Халгаева Абыль Борисовна</t>
  </si>
  <si>
    <t>80-1-17-00310907 Технологическое присоединение ВРУ-0,22кВ жилого дома Новый потребитель 0 кВт Респ. Калмыкия, г. Элиста ул. 10-я  д. 7</t>
  </si>
  <si>
    <t>Бадмаев Чингис Валериевич</t>
  </si>
  <si>
    <t xml:space="preserve">80-1-15-00236479 Технологическое присоединение вводное (распределительное) устройство 0.4 кВ жилого дома Новый потребитель 0 кВт Респ. Калмыкия, р-н. </t>
  </si>
  <si>
    <t>Бадмаева Ирина Григорьевна</t>
  </si>
  <si>
    <t>80-1-17-00315963 Технологическое присоединение ВРУ-0,4кВ жилого дома Новый потребитель 0 кВт Респ. Калмыкия, г. Элиста мкр. 10  д. 63</t>
  </si>
  <si>
    <t>Бадмаева Лидия Сергеевна</t>
  </si>
  <si>
    <t>80-1-17-00315875 Технологическое присоединение ВРУ-0,4кВ жилого дома Новый потребитель 0 кВт Респ. Калмыкия, г. Элиста мкр. 10  д. 63А</t>
  </si>
  <si>
    <t>Бадмаева Надежда Николаевна</t>
  </si>
  <si>
    <t>80-1-17-00315457 Технологическое присоединение ВРУ-0,22кВ жилого дома Новый потребитель 0 кВт Респ. Калмыкия, г. Элиста мкр. Сити-3  д. 34А</t>
  </si>
  <si>
    <t>Бадмаева Ногала Павловна</t>
  </si>
  <si>
    <t>80-1-17-00338035 Технологическое присоединение ВРУ-0,4кВ жилого дома Новый потребитель 0 кВт Респ. Калмыкия, г. Элиста ул. Алтн Герл  д. 13</t>
  </si>
  <si>
    <t>Баиров Кавли Наранович</t>
  </si>
  <si>
    <t>11901-13-00144905-1</t>
  </si>
  <si>
    <t>Байрхаева Амуланга Арланговна</t>
  </si>
  <si>
    <t>80-1-17-00330235 Технологическое присоединение ВРУ-0,22кВ жилого дома Новый потребитель 0 кВт Респ. Калмыкия, г. Элиста ул. Оргакинская  д. 3А</t>
  </si>
  <si>
    <t>Балханакова Вера Борисовна</t>
  </si>
  <si>
    <t>80-1-17-00326091 Технологическое присоединение ВРУ-0,22кВ жилого дома Новый потребитель 0 кВт Респ. Калмыкия, г. Элиста ул. Ипподромная  д. 171</t>
  </si>
  <si>
    <t>Баляева Оксана Александровна</t>
  </si>
  <si>
    <t>80-1-17-00311697 Технологическое присоединение ВРУ-022кВ жилого дома Новый потребитель 0 кВт Респ. Калмыкия, г. Элиста ул. 1-я  д. 45В</t>
  </si>
  <si>
    <t>Бамбышев Михаил Доланович</t>
  </si>
  <si>
    <t>80-1-17-00302543 Технологическое присоединение ВРУ-0,22кВ жилого дома Новый потребитель 0 кВт Респ. Калмыкия, г. Элиста ул. Алтн Герл  д. 5</t>
  </si>
  <si>
    <t>80-1-17-00339189 Технологическое присоединение ВРУ-0,22кВ жилого дома ул Байин Булг 15 Новый потребитель 0 кВт Респ. Калмыкия, г. Элиста ул. Байин Бул</t>
  </si>
  <si>
    <t>80-1-17-00339213 Технологическое присоединение ВРУ-0,22кВ жилого дома ул Байин Булг, 9 Новый потребитель 0 кВт Респ. Калмыкия, г. Элиста ул. Байин Бул</t>
  </si>
  <si>
    <t>Бамбышев Очир Александрович</t>
  </si>
  <si>
    <t xml:space="preserve">80-1-17-00331211 Технологическое присоединение ВРУ-0,22кВ жилого дома ул Алтн Герл 9А Новый потребитель 0 кВт Респ. Калмыкия, г. Элиста ул. Алтн Герл </t>
  </si>
  <si>
    <t xml:space="preserve">80-1-17-00331227 Технологическое присоединение ВРУ-0,22кВ жилого дома ул Алтн Герл 9 Новый потребитель 0 кВт Респ. Калмыкия, г. Элиста ул. Алтн Герл  </t>
  </si>
  <si>
    <t xml:space="preserve">80-1-17-00331235 Технологическое присоединение ВРУ-0,22кВ жилого дома ул Алтн Герл 11 Новый потребитель 0 кВт Респ. Калмыкия, г. Элиста ул. Алтн Герл </t>
  </si>
  <si>
    <t>Бамбышев Санал Александрович</t>
  </si>
  <si>
    <t>80-1-17-00311203 Технологическое присоединение ВРУ-0,22 кВ жилого дома Новый потребитель 0 кВт Респ. Калмыкия, г. Элиста ул. Джеджикины  д. 7</t>
  </si>
  <si>
    <t>Бамбышева Галина Михайловна</t>
  </si>
  <si>
    <t>80-1-17-00302459 Технологическое присоединение ВРУ-0,4кВ жилого дома Новый потребитель 0 кВт Респ. Калмыкия, г. Элиста кв-л. Гурвн Сала жилая группа 2</t>
  </si>
  <si>
    <t>Бамбышева Нина Очировна</t>
  </si>
  <si>
    <t>80-1-17-00329297 Технологическое присоединение ВРУ-0,38 жилого дома для временного присоединения на время действия основного договора Новый потребител</t>
  </si>
  <si>
    <t>Басангов Алексей Владимирович</t>
  </si>
  <si>
    <t>80-1-17-00332199 Технологическое присоединение ВРУ-0,22кВ жилого дома №81А Новый потребитель 0 кВт Респ. Калмыкия, г. Элиста ул. Бамб Цецг  д. 81А</t>
  </si>
  <si>
    <t>Батырова Анна Борисовна</t>
  </si>
  <si>
    <t>80-1-17-00320605 Технологическое присоединение ВРУ-0,22кВ жилого дома Новый потребитель 0 кВт Респ. Калмыкия, г. Элиста пер. им Дорджиева В.П.  д. 7</t>
  </si>
  <si>
    <t>Бачаев Джангр Анатольевич</t>
  </si>
  <si>
    <t>11901-13-00144909-1</t>
  </si>
  <si>
    <t>Бембеева Гилян Баировна</t>
  </si>
  <si>
    <t>80-1-17-00323901 Технологическое присоединение ВРУ-0,4кВ жилого дома Новый потребитель 0 кВт Респ. Калмыкия, г. Элиста проезд. 7-й  д. 28</t>
  </si>
  <si>
    <t>Березовский Виталий Борисович</t>
  </si>
  <si>
    <t xml:space="preserve">80-1-17-00304115 Технологическое присоединение ВРУ 0.22 кВ жилого дома Новый потребитель 0 кВт Респ. Калмыкия, р-н. Городовиковский, г. Городовиковск </t>
  </si>
  <si>
    <t>Бимбеев  Сергей Николаевич</t>
  </si>
  <si>
    <t>80-1-17-00302573 Технологическое присоединение ВРУ-0,22 жилого дома Новый потребитель 0 кВт Респ. Калмыкия, г. Элиста ул. Ханатинская  д. 29</t>
  </si>
  <si>
    <t>Битюкеева Мария Корваевна</t>
  </si>
  <si>
    <t>11901-13-00144913-1</t>
  </si>
  <si>
    <t>Боваева (Бокова) Диана Дорджиевна</t>
  </si>
  <si>
    <t>11901-13-00144915-1</t>
  </si>
  <si>
    <t>Бовальдинова Айса Дмитриевна</t>
  </si>
  <si>
    <t>80-1-17-00296953 Технологическое присоединение ВРУ 0.22 кВ жилого дома Новый потребитель 0 кВт Респ. Калмыкия, р-н. Целинный, с. Троицкое ул. Кугульти</t>
  </si>
  <si>
    <t>Богославский Василий Егорович</t>
  </si>
  <si>
    <t>80-1-17-00319359 Технологическое присоединение ВРУ-0,22кВ гаража Новый потребитель 0 кВт Респ. Калмыкия, г. Элиста мкр. 4</t>
  </si>
  <si>
    <t>Боктаева Виктория Викторовна</t>
  </si>
  <si>
    <t>11901-13-00144917-1</t>
  </si>
  <si>
    <t>Болдырева Оксана Басанговна</t>
  </si>
  <si>
    <t>80-1-17-00296929 Технологическое присоединение ВРУ 0.22 кВ жилого дома Новый потребитель 0 кВт Респ. Калмыкия, р-н. Целинный, с. Троицкое пер. Г.К.Жук</t>
  </si>
  <si>
    <t>Болдырева Элистина Кичеевна</t>
  </si>
  <si>
    <t>80-1-17-00326485 Технологическое присоединение ВРУ-0,22кВ жилого дома Новый потребитель 0 кВт Респ. Калмыкия, г. Элиста ул. Гвардейская  д. 10</t>
  </si>
  <si>
    <t>Боляев Юрий Андреевич</t>
  </si>
  <si>
    <t xml:space="preserve">80-1-17-00338341 Технологическое присоединение ВРУ 0.22 кВ жилого дома Новый потребитель 0 кВт Респ. Калмыкия, р-н. Целинный, с. Троицкое ул. Лесная  </t>
  </si>
  <si>
    <t>Бондарева Ольга Николаевна</t>
  </si>
  <si>
    <t>80-1-17-00325581 Технологическое присоединение ВРУ 0.4 кВ передвижного мобильного устройства Новый потребитель 0 кВт Респ. Калмыкия, р-н. Городовиковс</t>
  </si>
  <si>
    <t>Бондарь Александр Анатольевич</t>
  </si>
  <si>
    <t>80-1-17-00319939 Технологическое присоединение ВРУ 0.4 кВ жилого дома Новый потребитель 0 кВт Респ. Калмыкия, р-н. Городовиковский, г. Городовиковск у</t>
  </si>
  <si>
    <t>Босхомджиева Альма Васильевна</t>
  </si>
  <si>
    <t>80-1-17-00329931 Технологическое присоединение ВРУ 0.22 кВ жилого дома Новый потребитель 0 кВт Респ. Калмыкия, р-н. Малодербетовский, п. Малые-Дербеты</t>
  </si>
  <si>
    <t>Буваева Галина Санджиевна</t>
  </si>
  <si>
    <t>80-1-17-00322603 Технологическое присоединение ВРУ-0,4кВ жилого дома Новый потребитель 0 кВт Респ. Калмыкия, г. Элиста ул. Бамб Цецг  д. 62</t>
  </si>
  <si>
    <t>Бугер  Светлана Эрдниевна</t>
  </si>
  <si>
    <t>80-1-17-00341785 Технологическое присоединение ВРУ-0,22кВ жилого дома Новый потребитель 0 кВт Респ. Калмыкия, г. Элиста ул. Полынная  д. 19А</t>
  </si>
  <si>
    <t>Бургаков Анатолий Васильевич</t>
  </si>
  <si>
    <t>80-1-17-00309619 Технологическое присоединение ВРУ-0,22кВ жилого дома Новый потребитель 0 кВт Респ. Калмыкия, г. Элиста ул. 10-я  д. 59</t>
  </si>
  <si>
    <t>Бургаков Игорь Анатольевич</t>
  </si>
  <si>
    <t>80-1-17-00332335 Технологическое присоединение ВРУ-0,22кВ жилого дома Новый потребитель 0 кВт Респ. Калмыкия, г. Элиста ул. 10-я  д. 59А</t>
  </si>
  <si>
    <t>Бургаков Олег Геннадьевич</t>
  </si>
  <si>
    <t>80-1-17-00328251 Технологическое присоединение ВРУ-0,22кВ жилого дома Новый потребитель 0 кВт Респ. Калмыкия, г. Элиста пер. Ковыльный  д. 11</t>
  </si>
  <si>
    <t>Бургакова Г А</t>
  </si>
  <si>
    <t>80-1-17-00342721 Технологическое присоединение ВРУ-0,22кВ жилого дома Элиста пер Ковыльный,8 Новый потребитель 0 кВт Респ. Калмыкия, г. Элиста пер. Ко</t>
  </si>
  <si>
    <t>Буржинов Баатар Борисович</t>
  </si>
  <si>
    <t>80-1-17-00322491 Технологическое присоединение ВРУ 0.22 кВ жилого дома Новый потребитель 0 кВт Респ. Калмыкия, р-н. Целинный, с. Троицкое ул. Янтарная</t>
  </si>
  <si>
    <t>Буркуев Очир Алексеевич</t>
  </si>
  <si>
    <t>80-1-17-00310853 Технологическое присоединение ВРУ 0,4 жилого дома Новый потребитель 0 кВт Респ. Калмыкия, р-н. Яшкульский, п. Яшкуль ул. Сенглеева  д</t>
  </si>
  <si>
    <t>Бурханов Иван Алексеевич</t>
  </si>
  <si>
    <t xml:space="preserve">80-1-17-00298277 Технологическое присоединение ВРУ 0,22 кВ дома животновода Новый потребитель 0 кВт </t>
  </si>
  <si>
    <t>Бюрчиева  Ольга Цереновна</t>
  </si>
  <si>
    <t>80-1-17-00313501 Технологическое присоединение ВРУ-0,22кВ жилого дома Новый потребитель 0 кВт Респ. Калмыкия, г. Элиста ул. 16-я  д. 59</t>
  </si>
  <si>
    <t>Василевская Валентина Петровна</t>
  </si>
  <si>
    <t xml:space="preserve">80-1-17-00295601 Технологическое присоединение ВРУ 0.22 кВ жилого дома Новый потребитель 0 кВт Респ. Калмыкия, р-н. Целинный, с. Троицкое ул. Братьев </t>
  </si>
  <si>
    <t>Виктор Алексеевич Журавлев ИП</t>
  </si>
  <si>
    <t>80-1-17-00339193 Технологическое присоединение ВРУ 0,23 кВ Аптечного пункта Новый потребитель 0 кВт Респ. Калмыкия, р-н. Малодербетовский, с. Тундутов</t>
  </si>
  <si>
    <t>Волкова Валентина Владимировна</t>
  </si>
  <si>
    <t>80-1-17-00319031 Технологическое присоединение ВРУ 0.22 кВ квартиры (в 1-этажном 2-х квартирном жилом доме) Новый потребитель 0 кВт Респ. Калмыкия, р-</t>
  </si>
  <si>
    <t>Гарибанова Шахризада Магомедгаджиевна</t>
  </si>
  <si>
    <t>80-1-16-00284929 Технологическое присоединение ВРУ 0.22 кВ жилого дома Новый потребитель 0 кВт Респ. Калмыкия, р-н. Целинный, с. Вознесеновка ул. Казе</t>
  </si>
  <si>
    <t>Гаряева Екатерина Гомбовна</t>
  </si>
  <si>
    <t>80-1-17-00312021 Технологическое присоединение ВРУ-0,22кВ жилого дома Новый потребитель 0 кВт Респ. Калмыкия, г. Элиста ул. Тенгрин Уйдл  д. 55</t>
  </si>
  <si>
    <t>Гашунова Баира Владимировна</t>
  </si>
  <si>
    <t>80-1-17-00334493 Технологическое присоединение ВРУ-0,22кВ жилого дома Новый потребитель 0 кВт Респ. Калмыкия, г. Элиста ул. им У.Кнакиса  д. 86</t>
  </si>
  <si>
    <t>Горбунова Буйнта Боркуевна</t>
  </si>
  <si>
    <t>80-1-17-00326763 Технологическое присоединение ВРУ 0,22 кВ жилого дома Новый потребитель 0 кВт Респ. Калмыкия, р-н. Целинный, с. Троицкое ул. Г.К.Жуко</t>
  </si>
  <si>
    <t>Горяев Евгений Сангаджиевич</t>
  </si>
  <si>
    <t>80-1-17-00313521 Технологическое присоединение ВРУ-0,4кВ гаража Новый потребитель 0 кВт Респ. Калмыкия, г. Элиста гск. гск Южный-1</t>
  </si>
  <si>
    <t xml:space="preserve">Горяев Николай Юрьевич </t>
  </si>
  <si>
    <t>80-1-17-00348809 Технологическое присоединение ВРУ 0,22 кВ жилого дома Новый потребитель 0 кВт Респ. Калмыкия, р-н. Яшкульский, п. Яшкуль ул. Ц.Улюмдж</t>
  </si>
  <si>
    <t>Горяева Альман Романовна</t>
  </si>
  <si>
    <t>80-1-17-00303385 Технологическое присоединение ВРУ 0.22 кВ жилого дома Новый потребитель 0 кВт Респ. Калмыкия, р-н. Целинный, с. Троицкое ул. 50 лет П</t>
  </si>
  <si>
    <t>Горяева Анастасия Валерьевна</t>
  </si>
  <si>
    <t>80-1-17-00330741 Технологическое присоединение ВРУ-0,22кВ жилого дома Новый потребитель 0 кВт Респ. Калмыкия, г. Элиста пер. Братьев Алехиных  д. 12А</t>
  </si>
  <si>
    <t>Горяева Светлана Николаевна</t>
  </si>
  <si>
    <t>80-1-17-00317141 Технологическое присоединение ВРУ 0,22 кВ жилого дома по ул. Городоваева, д.2 Новый потребитель 0 кВт Респ. Калмыкия, р-н. Черноземел</t>
  </si>
  <si>
    <t>Гриценко Александр Васильевич</t>
  </si>
  <si>
    <t>80-1-17-00335897 Технологическое присоединение ВРУ 0.22 кВ жилого дома Новый потребитель 0 кВт Респ. Калмыкия, р-н. Целинный, с. Троицкое ул. А.П.Чехо</t>
  </si>
  <si>
    <t>Гукасян Ваче Ашоти</t>
  </si>
  <si>
    <t>80-1-17-00311971 Технологическое присоединение ВРУ-0,4кВ жилого дома Новый потребитель 0 кВт Респ. Калмыкия, г. Элиста ул. Джеджикины  д. 2</t>
  </si>
  <si>
    <t>Гунаева Саглара Борисовна</t>
  </si>
  <si>
    <t>80-1-17-00334885 Технологическое присоединение ВРУ-0,4кВ жилого дома Новый потребитель 0 кВт Респ. Калмыкия, г. Элиста проезд. 2-й  д. 11</t>
  </si>
  <si>
    <t>Далюев Борис Сергеевич</t>
  </si>
  <si>
    <t>80-1-17-00328779 Технологическое присоединение ВРУ-0,22кВ жилого дома Новый потребитель 0 кВт Респ. Калмыкия, г. Элиста ул. Джиргал  д. 1А</t>
  </si>
  <si>
    <t>Даржагинов Бадма Валериевич</t>
  </si>
  <si>
    <t>80-1-17-00337399 Технологическое присоединение ВРУ-0,22кВ жилого дома Новый потребитель 0 кВт Респ. Калмыкия, г. Элиста ул. Солнечная  д. 24</t>
  </si>
  <si>
    <t>Демидов Владимир Германович</t>
  </si>
  <si>
    <t>80-1-16-00273073 Технологическое присоединение ВРУ 0.22 кВ жилого дома Увеличение мощности 0 кВт Респ. Калмыкия, р-н. Лаганский, г. Лагань ул. Куйбыше</t>
  </si>
  <si>
    <t>Джамалуттинов Мустафа Джамалуттинович</t>
  </si>
  <si>
    <t>80-1-16-00283255 Технологическое присоединение ВРУ 0.22 кВ жилого дома Новый потребитель 0 кВт Респ. Калмыкия, р-н. Целинный, с. Троицкое пер. С.М.Кир</t>
  </si>
  <si>
    <t>Джамбулаев Владимир Васильевич</t>
  </si>
  <si>
    <t>80-1-17-00326715 Технологическое присоединение ВРУ 0.22 кВ гаража Новый потребитель 0 кВт Респ. Калмыкия, г. Элиста мкр. 6</t>
  </si>
  <si>
    <t>Джанаева Надежда Тимофеевна</t>
  </si>
  <si>
    <t>80-1-16-00292767 Технологическое присоединение ВРУ 0.22 кВ жилого дома Новый потребитель 0 кВт Респ. Калмыкия, р-н. Целинный, с. Вознесеновка ул. Казе</t>
  </si>
  <si>
    <t>Динчян Лидия Ивановна</t>
  </si>
  <si>
    <t>80-1-17-00307957 Технологическое присоединение ВРУ 0.4 кВ жилого дома Новый потребитель 0 кВт Респ. Калмыкия, р-н. Целинный, с. Троицкое ул. Михаила С</t>
  </si>
  <si>
    <t>Докаев Баатр Григорьевич</t>
  </si>
  <si>
    <t>80-1-17-00311265 Технологическое присоединение ВРУ-0,4кВ жилого дома Новый потребитель 0 кВт Респ. Калмыкия, г. Элиста ул. 12-я  д. 12</t>
  </si>
  <si>
    <t>Дорджиев Мерген Владимирович</t>
  </si>
  <si>
    <t>80-1-17-00326873 Технологическое присоединение ВРУ 0,22 кВ жилого дома Новый потребитель 0 кВт Респ. Калмыкия, р-н. Целинный, с. Троицкое ул. 50 лет П</t>
  </si>
  <si>
    <t>Дорджиев Наран Манджиевич</t>
  </si>
  <si>
    <t>80-1-17-00311549 Технологическое присоединение ВРУ 0,22 жилого дома Новый потребитель 0 кВт Респ. Калмыкия, р-н. Целинный, п. Хар-Булук ул. Пушкина  д</t>
  </si>
  <si>
    <t>Дорджиева Галина Валерьевна</t>
  </si>
  <si>
    <t>11901-13-00144927-1</t>
  </si>
  <si>
    <t>Дорджиева Елена Вячеславовна</t>
  </si>
  <si>
    <t>80-1-17-00315731 Технологическое присоединение ВРУ-0,4кВ жилого дома Новый потребитель 0 кВт Респ. Калмыкия, г. Элиста ул. Джиргал  д. 10</t>
  </si>
  <si>
    <t>Дюсенова Ирина Сагаевна</t>
  </si>
  <si>
    <t>80-1-16-00274845 Технологическое присоединение вводное (распределительное) устройство 0,22 кВ жилого дома Новый потребитель 0 кВт Респ. Калмыкия, р-н.</t>
  </si>
  <si>
    <t>Емченов Алексей Валериевич</t>
  </si>
  <si>
    <t>80-1-17-00311517 Технологическое присоединение ВРУ-0,4кВ магазина Новый потребитель 0 кВт Респ. Калмыкия, г. Элиста ул. Ю.Клыкова  д. 124В</t>
  </si>
  <si>
    <t>Есинов Мерген Анатольевич</t>
  </si>
  <si>
    <t>80-1-16-00281627 Технологическое присоединение ВРУ 0.22 кВ жилого дома Новый потребитель 0 кВт Респ. Калмыкия, р-н. Целинный, с. Троицкое ул. Молодежн</t>
  </si>
  <si>
    <t>Ехаев Владислав Павлович</t>
  </si>
  <si>
    <t>80-1-17-00324047 Технологическое присоединение ВРУ-0,22кВ жилого дома Новый потребитель 0 кВт Респ. Калмыкия, г. Элиста ул. им Папанина  д. 17Б</t>
  </si>
  <si>
    <t>Зольбунова Герензала Нюдюльчиевна</t>
  </si>
  <si>
    <t>80-1-17-00313337 Технологическое присоединение ВРУ-0,4кВ жилого дома Новый потребитель 0 кВт Респ. Калмыкия, г. Элиста ул. 1-я  д. 4</t>
  </si>
  <si>
    <t>Зунгруев Алексей Алексеевич</t>
  </si>
  <si>
    <t>11901-13-00144931-1</t>
  </si>
  <si>
    <t>Индивидуальный предприниматель Абушинов Виталий Владимирович</t>
  </si>
  <si>
    <t>80-1-17-00306807 Технологическое присоединение ВРУ 0.22 кВ питающей не стационарный торговый объект Новый потребитель 0 кВт Респ. Калмыкия, р-н. Город</t>
  </si>
  <si>
    <t>индивидуальный предприниматель Азизова Бажихалум Бакировна</t>
  </si>
  <si>
    <t>80-1-17-00318745 Технологическое присоединение ВРУ 0.22 кВ магазина Новый потребитель 0 кВт Респ. Калмыкия, р-н. Сарпинский, с. Садовое ул. Ленина</t>
  </si>
  <si>
    <t>Индивидуальный предприниматель Анджаева Баира Эрендженовна</t>
  </si>
  <si>
    <t>80-1-17-00329683 Технологическое присоединение ВРУ 0.22 кВ передвижного объекта (вагончика) Новый потребитель 0 кВт Респ. Калмыкия, р-н. Кетченеровски</t>
  </si>
  <si>
    <t>Индивидуальный предприниматель Бахаев Абдурахман Ахмедович</t>
  </si>
  <si>
    <t>80-1-17-00332911 Технологическое присоединение ВРУ 0,22 торгового павильона Новый потребитель 0 кВт Респ. Калмыкия, р-н. Приютненский, с. Приютное ул.</t>
  </si>
  <si>
    <t>индивидуальный предприниматель Гаджиев Абдурагим Камбулатович</t>
  </si>
  <si>
    <t>80-1-17-00334711 Технологическое присоединение ВРУ 0.22 кВ животноводческой стоянки (дом животновода и овчарня) Новый потребитель 0 кВт Респ. Калмыкия</t>
  </si>
  <si>
    <t>Индивидуальный предприниматель Даржиева Валентина Егоровна</t>
  </si>
  <si>
    <t>80-1-17-00301779 Технологическое присоединение ВРУ 0.22 кВ магазина Новый потребитель 0 кВт Респ. Калмыкия, р-н. Черноземельский, п. Комсомольский ул.</t>
  </si>
  <si>
    <t>индивидуальный предприниматель Захаров Пюрвя Дорджиевич</t>
  </si>
  <si>
    <t>80-1-17-00306811 Технологическое присоединение КТП 10/0.22 кВ, питающая земельный участок, нежилое здание кошары и жилого дома КФХ "Дордж" Новый потре</t>
  </si>
  <si>
    <t>80-1-17-00342601 Технологическое присоединение ВЛ-10 кВ и СТП-10/0,23 кВ, питающее энергопринимающие устройства для ведения сельскохозяйственного прои</t>
  </si>
  <si>
    <t>индивидуальный предприниматель Курчаева Анна Ивановна</t>
  </si>
  <si>
    <t>80-1-17-00296309 Технологическое присоединение ВРУ 0.22 здания аптечного пункта Новый потребитель 0 кВт Респ. Калмыкия, р-н. Черноземельский, п. Артез</t>
  </si>
  <si>
    <t>Индивидуальный предприниматель Лондов Александр Владимирович</t>
  </si>
  <si>
    <t>80-1-17-00309937 Технологическое присоединение ВРУ 0.4 кВ питающее торговый объект Новый потребитель 0 кВт Респ. Калмыкия, р-н. Ики-Бурульский, п. Ики</t>
  </si>
  <si>
    <t>Индивидуальный предприниматель Музраев Джангар Николаевич</t>
  </si>
  <si>
    <t xml:space="preserve">80-1-17-00296655 Технологическое присоединение КТП 10/0.22 кВ питающая животноводческую стоянку Новый потребитель 0 кВт </t>
  </si>
  <si>
    <t>индивидуальный предприниматель Мухлаев Валерий Дорджиевич</t>
  </si>
  <si>
    <t xml:space="preserve">80-1-17-00306139 Технологическое присоединение КТП 10/0,23, питающая животноводческую стоянку Новый потребитель 0 кВт </t>
  </si>
  <si>
    <t>Индивидуальный Предприниматель Наранов Алексей Иванович</t>
  </si>
  <si>
    <t xml:space="preserve">80-1-16-00283687 Технологическое присоединение ВРУ 0.22 кВ дома животновода Новый потребитель 0 кВт </t>
  </si>
  <si>
    <t>Индивидуальный предприниматель Рубежанская Вера Александровна</t>
  </si>
  <si>
    <t xml:space="preserve">80-1-17-00328613 Технологическое присоединение ВРУ 0.22 кВ нестационарного торгового объекта Новый потребитель 0 кВт Респ. Калмыкия, р-н. Сарпинский, </t>
  </si>
  <si>
    <t>индивидуальный предприниматель Самхаева Айса Михайловна</t>
  </si>
  <si>
    <t>80-1-17-00343047 Технологическое присоединение ВРУ-0,4кВ тонара Новый потребитель 0 кВт Респ. Калмыкия, г. Элиста мкр. 2</t>
  </si>
  <si>
    <t>Индивидуальный предприниматель Санджиева Хаалга Николаевна</t>
  </si>
  <si>
    <t>80-1-17-00306759 Технологическое присоединение ВРУ 0.4 кВ питающее объект общественного питания Новый потребитель 0 кВт Респ. Калмыкия, р-н. Малодербе</t>
  </si>
  <si>
    <t>Индивидуальный предприниматель Сарангова Наталья Анджиевна</t>
  </si>
  <si>
    <t>80-1-17-00322415 Технологическое присоединение ВРУ-0,22кВ фризера Новый потребитель 0 кВт Респ. Калмыкия, г. Элиста</t>
  </si>
  <si>
    <t xml:space="preserve">Индивидуальный предприниматель Халенгинов Владимир Санджиевич </t>
  </si>
  <si>
    <t xml:space="preserve">80-1-17-00311221 Технологическое присоединение КТП 10/0.4 кВ питающая дом животновода и здание откормочника Новый потребитель 0 кВт </t>
  </si>
  <si>
    <t>индивидуальный предприниматель Эректеев Игорь Исяевич</t>
  </si>
  <si>
    <t xml:space="preserve">80-1-17-00310417 Технологическое присоединение СТП 10 кВА питающая дом животновода Новый потребитель 0 кВт </t>
  </si>
  <si>
    <t>ИП Гаряева Ольга Ивановна</t>
  </si>
  <si>
    <t>80-1-17-00341037 Технологическое присоединение ВРУ-0,22кВ торгового павильона Новый потребитель 0 кВт Респ. Калмыкия, г. Элиста мкр. 4</t>
  </si>
  <si>
    <t>ИП Манджиев Очир Лиджиевич</t>
  </si>
  <si>
    <t xml:space="preserve">80-1-17-00346031 Технологическое присоединение СТП 10/0.22 кВ питающая животноводческую стоянку Новый потребитель 0 кВт </t>
  </si>
  <si>
    <t>Кавлиева Татьяна Эренценовна</t>
  </si>
  <si>
    <t>80-1-17-00305075 Технологическое присоединение ВРУ-0,22кВ жилого дома Новый потребитель 0 кВт Респ. Калмыкия, г. Элиста ул. им Пирогова  д. 64Б</t>
  </si>
  <si>
    <t>Каджиев Араша Юрьевич</t>
  </si>
  <si>
    <t>80-1-17-00336221 Технологическое присоединение ВРУ 0.22 кВ жилого дома Новый потребитель 0 кВт Респ. Калмыкия, р-н. Целинный, с. Троицкое ул. Фабрична</t>
  </si>
  <si>
    <t>Кальдинов Владимир  Иванович</t>
  </si>
  <si>
    <t xml:space="preserve">80-1-17-00342183 Технологическое присоединение ВРУ-0,4кВ жилого дома Новый потребитель 0 кВт Респ. Калмыкия, г. Элиста тер. жилая группа Универ-Сити  </t>
  </si>
  <si>
    <t>Кандуева Лариса Васильевна</t>
  </si>
  <si>
    <t>80-1-17-00313665 Технологическое присоединение ВРУ-0,22кВ жилого дома Новый потребитель 0 кВт Респ. Калмыкия, г. Элиста кв-л. Бумба жилая группа  д. 7</t>
  </si>
  <si>
    <t>Каранко Иван Николаевич</t>
  </si>
  <si>
    <t>80-1-17-00310989 Технологическое присоединение ВРУ 0,22 жилого дома Новый потребитель 0 кВт Респ. Калмыкия, р-н. Приютненский, с. Приютное ул. Лиманна</t>
  </si>
  <si>
    <t>Карлина Эльза Лавгаевна</t>
  </si>
  <si>
    <t>80-1-17-00321021 Технологическое присоединение ВРУ-0,4кВ магазина Новый потребитель 0 кВт Респ. Калмыкия, г. Элиста ул. им С.Стальского  д. 46</t>
  </si>
  <si>
    <t>Карсаев Анатолий Михайлович</t>
  </si>
  <si>
    <t>80-1-17-00311309 Технологическое присоединение ВРУ-0,4кВ жилого дома Новый потребитель 0 кВт Респ. Калмыкия, г. Элиста ул. Улан-Туг  д. 45</t>
  </si>
  <si>
    <t>Касьянова Алла Юрьевна</t>
  </si>
  <si>
    <t>80-1-17-00335557 Технологическое присоединение ВРУ-0,4кВ гаража Новый потребитель 0 кВт Респ. Калмыкия, г. Элиста ул. Ипподромная</t>
  </si>
  <si>
    <t>Кекеев Санал Владимирович</t>
  </si>
  <si>
    <t>80-1-17-00331661 Технологическое присоединение ВРУ-0,4кВ жилого дома Новый потребитель 0 кВт Респ. Калмыкия, г. Элиста ул. Строителей  д. 44</t>
  </si>
  <si>
    <t>Кикеев Владимир Канурович</t>
  </si>
  <si>
    <t>11901-13-00144941-1</t>
  </si>
  <si>
    <t>Кикеева Надежда Кануровна</t>
  </si>
  <si>
    <t>80-1-17-00336049 Технологическое присоединение ВРУ 0.22 кВ жилого дома Новый потребитель 0 кВт Респ. Калмыкия, р-н. Целинный, с. Троицкое ул. Ю.Гагари</t>
  </si>
  <si>
    <t>Кикельдеева Виктория Борисовна</t>
  </si>
  <si>
    <t>80-1-17-00320399 Технологическое присоединение ВРУ 0.22 кВ жилого дома Новый потребитель 0 кВт Респ. Калмыкия, р-н. Целинный, с. Троицкое ул. Радужная</t>
  </si>
  <si>
    <t>Ким Матвей Давыдович</t>
  </si>
  <si>
    <t>80-1-17-00301555 Технологическое присоединение ТП 10/0.4 кВ, питающая объекты личного подсобного хозяйства (ЛПХ) Новый потребитель 0 кВт Респ. Калмыки</t>
  </si>
  <si>
    <t>Кичикова Наталья Чюрюмовна</t>
  </si>
  <si>
    <t xml:space="preserve">80-1-17-00338929 Технологическое присоединение ВРУ 0,22 кВ жилого дома Новый потребитель 0 кВт Респ. Калмыкия, р-н. Яшкульский, п. Яшкуль ул. Ленина  </t>
  </si>
  <si>
    <t>Класова Наталья Сергеевна</t>
  </si>
  <si>
    <t>80-1-17-00341097 Технологическое присоединение ВРУ-0,22кВ жилого дома Новый потребитель 0 кВт Респ. Калмыкия, г. Элиста, п. Лола   д. 21 кв./оф. 2</t>
  </si>
  <si>
    <t>Коклаев Борис Менкенович</t>
  </si>
  <si>
    <t>80-1-17-00313791 Технологическое присоединение ВРУ-0,22кВ жилого дома Новый потребитель 0 кВт Респ. Калмыкия, г. Элиста ул. Манцын Кец  д. 112</t>
  </si>
  <si>
    <t>Кокорина Светлана Николаевна</t>
  </si>
  <si>
    <t>80-1-17-00308055 Технологическое присоединение ВРУ-0,22кВ жилого дома Новый потребитель 0 кВт Респ. Калмыкия, г. Элиста ул. Башантинская  д. 1</t>
  </si>
  <si>
    <t>Колесников Виталий Витальевич</t>
  </si>
  <si>
    <t>80-1-17-00336891 Технологическое присоединение ВРУ 0.22 кВ жилого дома Новый потребитель 0 кВт Респ. Калмыкия, р-н. Приютненский, с. Приютное ул. Лени</t>
  </si>
  <si>
    <t>Колтышев Евгений Михайлович</t>
  </si>
  <si>
    <t>11901-13-00144947-1</t>
  </si>
  <si>
    <t>Коржуева Екатерина Мутуловна</t>
  </si>
  <si>
    <t>80-1-17-00311093 Технологическое присоединение ВРУ-0,4кВ жилого дома Новый потребитель 0 кВт Респ. Калмыкия, г. Элиста ул. Алтн Герл  д. 3</t>
  </si>
  <si>
    <t>Крюков Сергей Сергеевич</t>
  </si>
  <si>
    <t xml:space="preserve">80-1-16-00287347 Технологическое присоединение ВРУ 0.4 кВ жилого дома Новый потребитель 0 кВт Респ. Калмыкия, р-н. Лаганский, г. Лагань ул. Спасская  </t>
  </si>
  <si>
    <t>Кусьминова Раиса Викторовна</t>
  </si>
  <si>
    <t>80-1-17-00326725 Технологическое присоединение ВРУ 0.22 кВ жилого дома Новый потребитель 0 кВт Респ. Калмыкия, г. Элиста ул. Донская  д. 3</t>
  </si>
  <si>
    <t>Кучерова Светлана Алексеевна</t>
  </si>
  <si>
    <t>80-1-17-00309747 Технологическое присоединение ВРУ 0.22 кВ питающее нежилое помещение Новый потребитель 0 кВт Респ. Калмыкия, р-н. Сарпинский, с. Садо</t>
  </si>
  <si>
    <t>Кюрюльдеев Эрик Эрдниевич</t>
  </si>
  <si>
    <t>80-1-17-00310647 Технологическое присоединение ВРУ-0,22кВ жилого дома Новый потребитель 0 кВт Респ. Калмыкия, г. Элиста кв-л. Санср  д. 17</t>
  </si>
  <si>
    <t>Лиджиев Анатолий Тугульчаевич</t>
  </si>
  <si>
    <t>80-1-17-00326871 Технологическое присоединение ВРУ 0,22 кВ жилого дома Новый потребитель 0 кВт Респ. Калмыкия, р-н. Целинный, с. Троицкое ул. 50 лет П</t>
  </si>
  <si>
    <t>Лиджиев Джангар Андреевич</t>
  </si>
  <si>
    <t>80-1-17-00336055 Технологическое присоединение ВРУ-0,22кВ жилого дома Новый потребитель 0 кВт Респ. Калмыкия, г. Элиста ул. В.И.Ленина  д. 8В</t>
  </si>
  <si>
    <t>Лиджиев Мингиян Церенович</t>
  </si>
  <si>
    <t>80-1-17-00332841 Технологическое присоединение ВРУ-0,22кВ жилого дома Новый потребитель 0 кВт Респ. Калмыкия, г. Элиста ул. 13-я  д. 20</t>
  </si>
  <si>
    <t>Лиджиева Галина Босхомджиевна</t>
  </si>
  <si>
    <t xml:space="preserve">80-1-17-00326863 Технологическое присоединение ВРУ 0,22 жилого дома Новый потребитель 0 кВт Респ. Калмыкия, р-н. Целинный, с. Троицкое ул. М.Горького </t>
  </si>
  <si>
    <t>Лиджиева Людмила Дмитриевна</t>
  </si>
  <si>
    <t>11901-14-00164439-1 Технологическое присоединение Жилой дом Новый потребитель 5 кВт Респ. Калмыкия, р-н. Целинный, с. Троицкое ул. Огнеборцев  д. 21</t>
  </si>
  <si>
    <t>Лиджиева Ольга Юрьевна</t>
  </si>
  <si>
    <t>11901-13-00144955-1</t>
  </si>
  <si>
    <t>Лиджиева Сима Дорджиевна</t>
  </si>
  <si>
    <t xml:space="preserve">80-1-17-00309401 Технологическое присоединение ВРУ 0.22 кВ жилого дома Новый потребитель 0 кВт Респ. Калмыкия, р-н. Целинный, с. Троицкое пер. Дружбы </t>
  </si>
  <si>
    <t>Мазур Наталия Анатольевна</t>
  </si>
  <si>
    <t>80-1-17-00312581 Технологическое присоединение ВРУ-0,4кВ жилого дома Новый потребитель 0 кВт Респ. Калмыкия, г. Элиста ул. Изотова  д. 40А</t>
  </si>
  <si>
    <t>Мальтинов Виктор Манджиевич</t>
  </si>
  <si>
    <t>11901-13-00144957-1</t>
  </si>
  <si>
    <t>Мамаев Лев Антонович</t>
  </si>
  <si>
    <t>80-1-17-00308035 Технологическое присоединение жилой дом Новый потребитель 0 кВт Респ. Калмыкия, г. Элиста кв-л. Бумба жилая группа  д. 25</t>
  </si>
  <si>
    <t>Мамедов Сардар Аскеран-Оглы</t>
  </si>
  <si>
    <t xml:space="preserve">80-1-17-00340289 Технологическое присоединение ВРУ-0,22кВ квартиры Новый потребитель 0 кВт Респ. Калмыкия, г. Элиста тер. жилая группа Элеватор  д. 2 </t>
  </si>
  <si>
    <t>Мангаев Виктор Петрович</t>
  </si>
  <si>
    <t>80-1-17-00323957 Технологическое присоединение ВРУ-0,22кВ жилого дома Новый потребитель 0 кВт Респ. Калмыкия, г. Элиста ул. Звездная  д. 51</t>
  </si>
  <si>
    <t>Мангутов Санал Николаевич</t>
  </si>
  <si>
    <t>80-1-17-00321815 Технологическое присоединение ВРУ-0,22кВ жилого дома Новый потребитель 0 кВт Респ. Калмыкия, г. Элиста пер. им Дорджиева В.П.  д. 18</t>
  </si>
  <si>
    <t>Манджиев Алексей Владимирович</t>
  </si>
  <si>
    <t>80-1-16-00291345 Технологическое присоединение ВРУ 0.22 кВ жилого дома Новый потребитель 0 кВт Респ. Калмыкия, р-н. Черноземельский, п. Комсомольский</t>
  </si>
  <si>
    <t>Манджиев Арсланг Антонович</t>
  </si>
  <si>
    <t>11901-13-00144959-1</t>
  </si>
  <si>
    <t>Манджиев Эдуард Борисович</t>
  </si>
  <si>
    <t>80-1-17-00309385 Технологическое присоединение ВРУ 0.22 кВ жилого дома Новый потребитель 0 кВт Респ. Калмыкия, р-н. Целинный, с. Троицкое ул. М.Ю.Лерм</t>
  </si>
  <si>
    <t>Манджиева Валентина Васильевна</t>
  </si>
  <si>
    <t>80-1-16-00265749 Технологическое присоединение ВРУ 0.4 кВ жилого дома Увеличение мощности 0 кВт Респ. Калмыкия, р-н. Целинный, п. Хар-Булук ул. Пушкин</t>
  </si>
  <si>
    <t>Манджиева Виктория Борисовна</t>
  </si>
  <si>
    <t>80-1-17-00320433 Технологическое присоединение ВРУ 0.22 кВ дома бытового обслуживания Новый потребитель 0 кВт Респ. Калмыкия, р-н. Целинный, с. Троицк</t>
  </si>
  <si>
    <t>Манджиева Галина Ивановна</t>
  </si>
  <si>
    <t>80-1-17-00307813 Технологическое присоединение ВРУ-0,22кВ жилого дома Новый потребитель 0 кВт Респ. Калмыкия, г. Элиста ул. 11-я  д. 20</t>
  </si>
  <si>
    <t>Манджиева Лидия Селиверстьевна</t>
  </si>
  <si>
    <t>80-1-17-00309659 Технологическое присоединение ВРУ-0,22кВ жилого дома Новый потребитель 0 кВт Респ. Калмыкия, г. Элиста проезд. 1-й  д. 33</t>
  </si>
  <si>
    <t>Манджиева Роза Эрдниевна</t>
  </si>
  <si>
    <t>80-1-17-00301363 Технологическое присоединение ВРУ-0,4кВ жилого дома Новый потребитель 0 кВт Респ. Калмыкия, г. Элиста ул. Партизанская  д. 1б</t>
  </si>
  <si>
    <t>Манджиева Светлана Наминовна</t>
  </si>
  <si>
    <t>80-1-17-00339405 Технологическое присоединение ВРУ-0,4кВ жилого дома Новый потребитель 0 кВт Респ. Калмыкия, г. Элиста пер. им Очирова А.Б.  д. 8</t>
  </si>
  <si>
    <t>Манжеева Светлана Джанждаевна</t>
  </si>
  <si>
    <t xml:space="preserve">80-1-17-00344385 Технологическое присоединение вводное (распределительнеое) устройство 0,22 кВ жилого дома Новый потребитель 0 кВт Респ. Калмыкия, г. </t>
  </si>
  <si>
    <t>Манжикова Анастасия Владимировна ИП</t>
  </si>
  <si>
    <t xml:space="preserve">80-1-17-00295803 Технологическое присоединение ВРУ 0.22 кВ питающее здание летней кухни Новый потребитель 0 кВт Респ. Калмыкия, р-н. Городовиковский, </t>
  </si>
  <si>
    <t>Манжикова Байрта Анатольевна</t>
  </si>
  <si>
    <t>80-1-17-00306207 Технологическое присоединение ВРУ 0.22 кВ жилого дома Новый потребитель 0 кВт Респ. Калмыкия, р-н. Целинный, с. Троицкое ул. М.Горько</t>
  </si>
  <si>
    <t>Манжикова Данара Арслановна</t>
  </si>
  <si>
    <t>80-1-17-00340557 Технологическое присоединение ВРУ-0,22кВ жилого дома Новый потребитель 0 кВт Респ. Калмыкия, г. Элиста ул. Гвардейская  д. 5</t>
  </si>
  <si>
    <t>Манжикова Ольга Ивановна</t>
  </si>
  <si>
    <t>80-1-17-00309165 Технологическое присоединение ВРУ-0,22кВ жилого дома Новый потребитель 0 кВт Респ. Калмыкия, г. Элиста ул. Ипподромная  д. 139</t>
  </si>
  <si>
    <t>Манкаджиева Алена Сергеевна</t>
  </si>
  <si>
    <t>80-1-17-00333067 Технологическое присоединение ВРУ-0,22кВ жилого дома Новый потребитель 0 кВт Респ. Калмыкия, г. Элиста ул. им Шарапова М.С.  д. 52</t>
  </si>
  <si>
    <t>Мацаков Надвид Петрович</t>
  </si>
  <si>
    <t>80-1-17-00313887 Технологическое присоединение ВРУ 0,22 жилого дома Новый потребитель 0 кВт Респ. Калмыкия, р-н. Кетченеровский, п. Кетченеры ул. Джан</t>
  </si>
  <si>
    <t>Менкенова Ирина Борисовна</t>
  </si>
  <si>
    <t>80-1-17-00333667 Технологическое присоединение ВРУ-0,22кВ жилого дома Новый потребитель 0 кВт Респ. Калмыкия, г. Элиста мкр. Сити-3  д. 35</t>
  </si>
  <si>
    <t>Мердяева Баира Геннадьевна</t>
  </si>
  <si>
    <t xml:space="preserve">80-1-17-00322951 Технологическое присоединение ВРУ 0.22 кВ жилого дома Новый потребитель 0 кВт Респ. Калмыкия, р-н. Черноземельский, п. Комсомольский </t>
  </si>
  <si>
    <t>Михайлов Басанг Эрендженович</t>
  </si>
  <si>
    <t>80-1-17-00325871 Технологическое присоединение КТП 10/0.4 кВ питающая объект для обслужиания автотранспорта Новый потребитель 0 кВт Респ. Калмыкия, р-</t>
  </si>
  <si>
    <t>Молозаева Светлана Ивановна</t>
  </si>
  <si>
    <t>80-1-16-00292937 Технологическое присоединение ВРУ 0.22 кВ жилого дома Новый потребитель 0 кВт Респ. Калмыкия, г. Элиста, п. Максимовка ул. Дачная  д.</t>
  </si>
  <si>
    <t>Молокаева Нонна Хараевна</t>
  </si>
  <si>
    <t>80-1-17-00326663 Технологическое присоединение ВРУ 0.22 кВ жилого дома Новый потребитель 0 кВт Респ. Калмыкия, г. Элиста проезд. 1-й  д. 28</t>
  </si>
  <si>
    <t>Момолдаев Санал Владимирович</t>
  </si>
  <si>
    <t>80-1-17-00310855 Технологическое присоединение ВРУ 0,4 жилого дома Новый потребитель 0 кВт Респ. Калмыкия, р-н. Целинный, с. Троицкое ул. Бакланова  д</t>
  </si>
  <si>
    <t>Монькаева Делгир Очир-Гаряевна</t>
  </si>
  <si>
    <t>11901-13-00144965-1</t>
  </si>
  <si>
    <t>Мочанова Зинаида Борисовна</t>
  </si>
  <si>
    <t>80-1-17-00334579 Технологическое присоединение ВРУ-0,4кВ нежилого помещения Новый потребитель 0 кВт Респ. Калмыкия, г. Элиста ул. В.И.Ленина  д. 9</t>
  </si>
  <si>
    <t>Музраев Арслан Владимирович</t>
  </si>
  <si>
    <t>80-1-17-00318649 Технологическое присоединение ВРУ-0,4кВ жилого дома Новый потребитель 0 кВт Респ. Калмыкия, г. Элиста ул. В.И.Ленина</t>
  </si>
  <si>
    <t>Музраева Джиргал Александровна</t>
  </si>
  <si>
    <t>80-1-16-00285073 Технологическое присоединение ВРУ 0.22 кВ жилого дома Новый потребитель 0 кВт Респ. Калмыкия, р-н. Целинный, с. Вознесеновка ул. Побе</t>
  </si>
  <si>
    <t>Мукобенов Геннадий Борисович</t>
  </si>
  <si>
    <t xml:space="preserve">80-1-17-00299451 Технологическое присоединение ВРУ 0.22 кВ жилого дома Новый потребитель 0 кВт Респ. Калмыкия, р-н. Черноземельский, п. Комсомольский </t>
  </si>
  <si>
    <t>Мукобенов Николай Иванович</t>
  </si>
  <si>
    <t xml:space="preserve">80-1-17-00353641 Технологическое присоединение ВРУ 0.4 кВ жилого дома Новый потребитель 0 кВт Респ. Калмыкия, р-н. Лаганский, г. Лагань ул. Цветочная </t>
  </si>
  <si>
    <t>Мутулова Светлана Оконовна</t>
  </si>
  <si>
    <t>80-1-17-00296321 Технологическое присоединение ВРУ 0.22 кВ жилого дома Новый потребитель 0 кВт Респ. Калмыкия, р-н. Целинный, с. Троицкое ул. Интернац</t>
  </si>
  <si>
    <t>Мутурова Александра Борисовна</t>
  </si>
  <si>
    <t>80-1-16-00290983 Технологическое присоединение ВРУ 0.22 кВ жилого дома Новый потребитель 0 кВт Респ. Калмыкия, р-н. Целинный, с. Троицкое ул. М.Ю.Лерм</t>
  </si>
  <si>
    <t>Мухленов Николай Лялевич</t>
  </si>
  <si>
    <t>80-1-17-00333561 Технологическое присоединение вводное (распределительное) устройство 0,4 кВ жилого дома Новый потребитель 0 кВт Респ. Калмыкия, г. Эл</t>
  </si>
  <si>
    <t>Мучкаева Маргарита Владимировна</t>
  </si>
  <si>
    <t>80-1-17-00308191 Технологическое присоединение жилой дом Новый потребитель 0 кВт Респ. Калмыкия, г. Элиста ул. Калачинская  д. 97</t>
  </si>
  <si>
    <t>Надяев Нюрюп Уляевич</t>
  </si>
  <si>
    <t>11901-13-00144967-1</t>
  </si>
  <si>
    <t>Наминова Ольга Эрдни-Горяевна</t>
  </si>
  <si>
    <t>11901-13-00144969-1</t>
  </si>
  <si>
    <t>Настынова Илона Раджевна</t>
  </si>
  <si>
    <t>11901-13-00144971-1</t>
  </si>
  <si>
    <t>Нимгиров Евгений Алтаевич</t>
  </si>
  <si>
    <t>80-1-17-00328671 Технологическое присоединение ВРУ-0,22кВ жилого дома Новый потребитель 0 кВт Респ. Калмыкия, г. Элиста ул. Полынная  д. 35</t>
  </si>
  <si>
    <t>Оконов Евгений Андреевич</t>
  </si>
  <si>
    <t>11901-14-00163433-1</t>
  </si>
  <si>
    <t>Омаргаджиев Джамалудин Магомедович</t>
  </si>
  <si>
    <t>80-1-17-00298725 Технологическое присоединение ВРУ 0.22 кВ жилого дома Новый потребитель 0 кВт Респ. Калмыкия, р-н. Черноземельский, п. Артезиан ул. Ш</t>
  </si>
  <si>
    <t>Онкурова Булгун Ангаевна</t>
  </si>
  <si>
    <t xml:space="preserve">80-1-17-00340437 Технологическое присоединение ВРУ 0.22 кВ жилого дома Новый потребитель 0 кВт Респ. Калмыкия, р-н. Целинный, с. Троицкое ул. Михаила </t>
  </si>
  <si>
    <t>Оргадыкова Нюдля Владимировна</t>
  </si>
  <si>
    <t>80-1-17-00332827 Технологическое присоединение ВРУ-0,4кВ жилого дома Новый потребитель 0 кВт Респ. Калмыкия, г. Элиста ул. Калачинская  д. 88</t>
  </si>
  <si>
    <t>Очир-Горяева Анна Андреевна</t>
  </si>
  <si>
    <t>80-1-17-00319335 Технологическое присоединение ВРУ-0,4кВ жилого дома Новый потребитель 0 кВт Респ. Калмыкия, г. Элиста ул. 17-я  д. 25</t>
  </si>
  <si>
    <t>Очиров Олег Александрович</t>
  </si>
  <si>
    <t>80-1-17-00307227 Технологическое присоединение ВРУ 0.22 кВ жилого дома Новый потребитель 0 кВт Респ. Калмыкия, р-н. Лаганский, г. Лагань ул. Бурхан-Аю</t>
  </si>
  <si>
    <t>Очиров Санал Николаевич</t>
  </si>
  <si>
    <t>80-1-17-00306979 Технологическое присоединение ВРУ 0.22 кВ питающее жилой дом Новый потребитель 0 кВт Респ. Калмыкия, р-н. Малодербетовский, п. Малые-</t>
  </si>
  <si>
    <t>Очиров Эрдени Хулхачиевич</t>
  </si>
  <si>
    <t>11901-13-00145127-1</t>
  </si>
  <si>
    <t>Очирова Александра Сергеевна</t>
  </si>
  <si>
    <t>80101-14-00166169-1 Технологическое присоединение жилой дом Новый потребитель 5 кВт Респ. Калмыкия, р-н. Целинный, с. Троицкое ул. Огнеборцев  д. 15</t>
  </si>
  <si>
    <t>Очирова Роза Егоровна</t>
  </si>
  <si>
    <t>80-1-17-00333529 Технологическое присоединение ВРУ-0,4кВ жилого дома Новый потребитель 0 кВт Респ. Калмыкия, г. Элиста мкр. Сити-3  д. 36Б</t>
  </si>
  <si>
    <t>Палтынова Гиляна Зундуевна</t>
  </si>
  <si>
    <t>80-1-17-00331621 Технологическое присоединение ВРУ-0,22кВ жилого дома Новый потребитель 0 кВт Респ. Калмыкия, г. Элиста, п. Лола ул. Восточная  д. 1А</t>
  </si>
  <si>
    <t>Паршанов Сергей Николаевич</t>
  </si>
  <si>
    <t>80-1-17-00326829 Технологическое присоединение ВРУ 0,22 кВ жилого дома Новый потребитель 0 кВт Респ. Калмыкия, р-н. Целинный, с. Вознесеновка ул. Горь</t>
  </si>
  <si>
    <t>Патаев Владимир Дорджиевич</t>
  </si>
  <si>
    <t>80-1-17-00315629 Технологическое присоединение ВРУ-0,22кВ жилого дома Новый потребитель 0 кВт Респ. Калмыкия, г. Элиста ул. 6-я  д. 20</t>
  </si>
  <si>
    <t>Педеров Александр Баатрович</t>
  </si>
  <si>
    <t>80-1-17-00323067 Технологическое присоединение ВРУ-0,22кВ жилого дома Новый потребитель 0 кВт Респ. Калмыкия, г. Элиста</t>
  </si>
  <si>
    <t>Петкеев Г М ип</t>
  </si>
  <si>
    <t xml:space="preserve">80-1-17-00314351 Технологическое присоединение ВРУ-0,4кВ нежилого помещения Новый потребитель 0 кВт Респ. Калмыкия, г. Элиста ул. Республиканская  д. </t>
  </si>
  <si>
    <t>Петрук Анастасия Николаевна</t>
  </si>
  <si>
    <t>11901-13-00145131-1</t>
  </si>
  <si>
    <t>Плугин Дмитрий Александрович</t>
  </si>
  <si>
    <t>11901-13-00144949-1</t>
  </si>
  <si>
    <t>Плугина Татьяна Михайловна</t>
  </si>
  <si>
    <t>80-1-17-00335535 Технологическое присоединение ВРУ-0,4кВ гаража Новый потребитель 0 кВт Респ. Калмыкия, г. Элиста ул. Ипподромная</t>
  </si>
  <si>
    <t>Полоусов Сергей Михайлович</t>
  </si>
  <si>
    <t>80-1-17-00317607 Технологическое присоединение ВРУ-0,4кВ гаража Новый потребитель 0 кВт Респ. Калмыкия, г. Элиста ул. Ипподромная</t>
  </si>
  <si>
    <t>Пономарев Александр Анатольевич</t>
  </si>
  <si>
    <t>80-1-17-00313691 Технологическое присоединение ВРУ-0,4кВ жилого дома Новый потребитель 0 кВт Респ. Калмыкия, г. Элиста ул. Калачинская  д. 22л</t>
  </si>
  <si>
    <t>Попова Наталья Ивановна</t>
  </si>
  <si>
    <t xml:space="preserve">80-1-17-00325937 Технологическое присоединение ВРУ 0.22 кВ дома животновода Новый потребитель 0 кВт </t>
  </si>
  <si>
    <t>Пуртинов Андрей Михайлович</t>
  </si>
  <si>
    <t>80-1-17-00336945 Технологическое присоединение ВРУ-0,22кВ жилого дома для временного присоединения на время действия основного договора Новый потребит</t>
  </si>
  <si>
    <t>Руденко Байрта Николаевна</t>
  </si>
  <si>
    <t>80-1-17-00341129 Технологическое присоединение ВРУ 0,22 жилого дома Новый потребитель 0 кВт Респ. Калмыкия, р-н. Целинный, с. Троицкое ул. М.Ю.Лермонт</t>
  </si>
  <si>
    <t>Рудяков Александр Алексеевич</t>
  </si>
  <si>
    <t xml:space="preserve">80-1-17-00297695 Технологическое присоединение ВРУ 0.4 питающее квартиру Новый потребитель 0 кВт Респ. Калмыкия, р-н. Городовиковский, п. Большой Гок </t>
  </si>
  <si>
    <t>Рыбников Сергей Иванович</t>
  </si>
  <si>
    <t>80-1-16-00291215 Технологическое присоединение ВРУ 0.22 кВ жилого дома Новый потребитель 0 кВт Респ. Калмыкия, р-н. Целинный, с. Троицкое ул. Ветерано</t>
  </si>
  <si>
    <t>Сабитов Николай Горяевич</t>
  </si>
  <si>
    <t xml:space="preserve">80-1-17-00295395 Технологическое присоединение ВРУ 0.22 кВ жилого дома Новый потребитель 0 кВт Респ. Калмыкия, р-н. Черноземельский, п. Комсомольский </t>
  </si>
  <si>
    <t>Савченко Юрий Алексеевич</t>
  </si>
  <si>
    <t>80-1-17-00336205 Технологическое присоединение ВРУ 0.22 кВ жилого дома Новый потребитель 0 кВт Респ. Калмыкия, р-н. Целинный, с. Троицкое ул. Партизан</t>
  </si>
  <si>
    <t>Сагаева Маргарита Борлыковна</t>
  </si>
  <si>
    <t>80-1-17-00323407 Технологическое присоединение ВРУ-0,4кВ жилого дома Новый потребитель 0 кВт Респ. Калмыкия, г. Элиста мкр. 7  д. 25</t>
  </si>
  <si>
    <t>Салдысов Владимир Сергеевич</t>
  </si>
  <si>
    <t xml:space="preserve">80-1-17-00310753 Технологическое присоединение ВРУ 0,22 жилого дома Новый потребитель 0 кВт Респ. Калмыкия, р-н. Целинный, с. Троицкое пер. Буденного </t>
  </si>
  <si>
    <t>Салынов Александр Анатольевич</t>
  </si>
  <si>
    <t xml:space="preserve">80-1-17-00322085 Технологическое присоединение ВРУ 0.22 дома Новый потребитель 0 кВт Респ. Калмыкия, р-н. Целинный, с. Троицкое ул. В.Сангаджиева  д. </t>
  </si>
  <si>
    <t>Сангаджиев Батр Петрович</t>
  </si>
  <si>
    <t>80-1-17-00333265 Технологическое присоединение ВРУ 0.22 кВ питающее объекты ЛПХ Новый потребитель 0 кВт Респ. Калмыкия, р-н. Черноземельский, п. Комсо</t>
  </si>
  <si>
    <t>Сангаджиева Зинаида Бугнюшевна</t>
  </si>
  <si>
    <t>80-1-17-00323435 Технологическое присоединение ВРУ-0,22кВ жилого дома Новый потребитель 0 кВт Респ. Калмыкия, г. Элиста ул. Калачинская  д. 26а</t>
  </si>
  <si>
    <t>Сангаджиева Мавлиха Равильевна</t>
  </si>
  <si>
    <t>80-1-16-00263895 Технологическое присоединение ВРУ о.22 кВ жилого дома Новый потребитель 0 кВт Респ. Калмыкия, р-н. Целинный, с. Троицкое пер. Солнечн</t>
  </si>
  <si>
    <t>Сангаджиева Пелагея Сергеевна</t>
  </si>
  <si>
    <t>80-1-17-00329413 Технологическое присоединение ВРУ-0,22кВ гаража Новый потребитель 0 кВт Респ. Калмыкия, г. Элиста гск. Северный-3</t>
  </si>
  <si>
    <t>Сангидова Оксана Ивановна</t>
  </si>
  <si>
    <t>80-1-17-00324189 Технологическое присоединение ВРУ 0.4 жилого дома Новый потребитель 0 кВт Респ. Калмыкия, г. Элиста, п. Аршан ул. Молодежная  д. 18 А</t>
  </si>
  <si>
    <t>Санджиев Батр Александрович</t>
  </si>
  <si>
    <t>80-1-17-00334553 Технологическое присоединение ВРУ-0,4кВ жилого дома Новый потребитель 0 кВт Респ. Калмыкия, г. Элиста пер. Первомайский  д. 2А</t>
  </si>
  <si>
    <t>Санджиев Утнасун Вячеславович</t>
  </si>
  <si>
    <t>80-1-17-00320307 Технологическое присоединение ВРУ 0.22 кВ жилого дома Новый потребитель 0 кВт Респ. Калмыкия, р-н. Целинный, с. Троицкое пер. Буденно</t>
  </si>
  <si>
    <t>Санджиева Делгер Сергеевна</t>
  </si>
  <si>
    <t>80-1-17-00332857 Технологическое присоединение ВРУ-0,22кВ жилого дома Новый потребитель 0 кВт Респ. Калмыкия, г. Элиста проезд. 11-й  д. 38</t>
  </si>
  <si>
    <t>Санджиева Ирина Владимировна</t>
  </si>
  <si>
    <t>11901-13-00148659-1</t>
  </si>
  <si>
    <t>Санджиева Наталия Станиславовна</t>
  </si>
  <si>
    <t>80-1-17-00330693 Технологическое присоединение ВРУ-0,4кВ жилого дома Новый потребитель 0 кВт Респ. Калмыкия, г. Элиста ул. им Павла Вдовикина  д. 6</t>
  </si>
  <si>
    <t xml:space="preserve">Сапарова Елена Сергеевна ИП </t>
  </si>
  <si>
    <t>80-1-17-00341065 Технологическое присоединение ВРУ 0.22 кВ нестационарной торговой точки "Чебуречная" Новый потребитель 0 кВт Респ. Калмыкия, р-н. Цел</t>
  </si>
  <si>
    <t>Сараев Савр Дмитриевич</t>
  </si>
  <si>
    <t>11901-14-00162677-1</t>
  </si>
  <si>
    <t>Сарангова Софья Викторовна</t>
  </si>
  <si>
    <t>80-1-17-00319375 Технологическое присоединение ВРУ-0,4кВ жилого дома Новый потребитель 0 кВт Респ. Калмыкия, г. Элиста пер. Бабушкина  д. 8</t>
  </si>
  <si>
    <t>Саранкаева Герензел Николаевна</t>
  </si>
  <si>
    <t>80-1-17-00321267 Технологическое присоединение КТП 10/0.4 кВ питающее дом животновода Новый потребитель 0 кВт Респ. Калмыкия, р-н. Черноземельский, п.</t>
  </si>
  <si>
    <t>Сатаев Вадим Зулхарнаевич</t>
  </si>
  <si>
    <t>80-1-17-00314799 Технологическое присоединение ВРУ-0,22 кВ жилого дома г.Элиста пер.Урлдан 7Б Новый потребитель 0 кВт Респ. Калмыкия, г. Элиста пер. У</t>
  </si>
  <si>
    <t xml:space="preserve">80-1-17-00315655 Технологическое присоединение ВРУ-0,22кВ жилого дома г.Элиста пер. Урлдан №7А Новый потребитель 0 кВт Респ. Калмыкия, г. Элиста пер. </t>
  </si>
  <si>
    <t>Секенова Ольга Гонкаевна</t>
  </si>
  <si>
    <t>11901-13-00145137-1</t>
  </si>
  <si>
    <t>Симбирский Александр Анатольевич</t>
  </si>
  <si>
    <t>80-1-17-00311367 Технологическое присоединение ВРУ-0,22кВ жилого дома Новый потребитель 0 кВт Респ. Калмыкия, г. Элиста ул. Демьяновская  д. 113А</t>
  </si>
  <si>
    <t>Соков Леонид Арашаевич</t>
  </si>
  <si>
    <t>80-1-17-00338561 Технологическое присоединение ВРУ 0.22 кВ жилого дома Новый потребитель 0 кВт Респ. Калмыкия, р-н. Целинный, с. Троицкое пер. Г.К.Жук</t>
  </si>
  <si>
    <t>Талтаева Саглара Георгиевна</t>
  </si>
  <si>
    <t>11901-13-00145145-1</t>
  </si>
  <si>
    <t>Тараскаева Альман Николаевна</t>
  </si>
  <si>
    <t>80-1-16-00291079 Технологическое присоединение ВРУ 0.22 адвокатского бюро Новый потребитель 0 кВт Респ. Калмыкия, р-н. Сарпинский, с. Садовое ул. Лени</t>
  </si>
  <si>
    <t>Топкаев Сергей Александрович</t>
  </si>
  <si>
    <t>11901-13-00145565-1</t>
  </si>
  <si>
    <t xml:space="preserve">Тюлюмджиева Галина Эрдниевна </t>
  </si>
  <si>
    <t>80-1-16-00276209 Технологическое присоединение ВРУ 0.22 кВ жилого дома Новый потребитель 0 кВт Респ. Калмыкия, р-н. Целинный, с. Троицкое ул. Солнечна</t>
  </si>
  <si>
    <t>Убушаев Валерий Гурашевич</t>
  </si>
  <si>
    <t>80-1-17-00321777 Технологическое присоединение ВРУ-0,22кВ жилого дома Новый потребитель 0 кВт Респ. Калмыкия, г. Элиста ул. 13-я  д. 24</t>
  </si>
  <si>
    <t>Убушаева Александра Юрьевна</t>
  </si>
  <si>
    <t>11901-13-00145567-1</t>
  </si>
  <si>
    <t>Убушаева Елена Владимировна</t>
  </si>
  <si>
    <t>80-1-17-00337105 Технологическое присоединение ВРУ-0,22кВ жилого дома Новый потребитель 0 кВт Респ. Калмыкия, г. Элиста ул. им В.П.Скрипкина  д. 7Б</t>
  </si>
  <si>
    <t>Убушиева Ольга Саранговна</t>
  </si>
  <si>
    <t xml:space="preserve">80-1-17-00341771 Технологическое присоединение ВРУ 0.4 кВ жилого дома Новый потребитель 0 кВт Респ. Калмыкия, р-н. Малодербетовский, п. Малые-Дербеты </t>
  </si>
  <si>
    <t>Улеев Владимир Николаевич</t>
  </si>
  <si>
    <t>11901-13-00145771-1</t>
  </si>
  <si>
    <t>Умаджинов Михаил Юрьевич</t>
  </si>
  <si>
    <t>80-1-17-00314917 Технологическое присоединение ВРУ-0,22кВ жилого дома Новый потребитель 0 кВт Респ. Калмыкия, г. Элиста проезд. 6-й  д. 42</t>
  </si>
  <si>
    <t>Умерова Елена Алексеевна</t>
  </si>
  <si>
    <t>11901-13-00145783-1</t>
  </si>
  <si>
    <t>Унгунова Людмила Николаевна</t>
  </si>
  <si>
    <t>11901-13-00145807-1</t>
  </si>
  <si>
    <t>Усаева Илиана Родионовна</t>
  </si>
  <si>
    <t>80-1-17-00333637 Технологическое присоединение ВРУ 0.4 кВ жилого дома Новый потребитель 0 кВт Респ. Калмыкия, р-н. Черноземельский, п. Комсомольский у</t>
  </si>
  <si>
    <t>Ушанова Мария Владимировна</t>
  </si>
  <si>
    <t>80-1-16-00276821 Технологическое присоединение ВРУ 0.22 кВ жилого  дома Новый потребитель 0 кВт Респ. Калмыкия, р-н. Целинный, с. Троицкое ул. Д.Дурду</t>
  </si>
  <si>
    <t>Хавиев Иван Борисович</t>
  </si>
  <si>
    <t>80-1-16-00278297 Технологическое присоединение ВРУ 0.22 кВ жилого дома Новый потребитель 0 кВт Респ. Калмыкия, р-н. Целинный, с. Троицкое ул. П.Акугин</t>
  </si>
  <si>
    <t>Халгаева Зинаида Лиджиевна</t>
  </si>
  <si>
    <t xml:space="preserve">80-1-17-00311199 Технологическое присоединение ВРУ 0,22 жилого дома Новый потребитель 0 кВт Респ. Калмыкия, р-н. Целинный, с. Троицкое ул. Французова </t>
  </si>
  <si>
    <t>Ханинов Джангар Борисович</t>
  </si>
  <si>
    <t>80-1-17-00320365 Технологическое присоединение ВРУ-0,4кВ жилого дома Новый потребитель 0 кВт Респ. Калмыкия, г. Элиста ул. Алтн Булг  д. 45Б</t>
  </si>
  <si>
    <t>Хантаева Мария Нарановна</t>
  </si>
  <si>
    <t>80-1-17-00339371 Технологическое присоединение ВРУ-0,22кВ жилого дома Новый потребитель 0 кВт Респ. Калмыкия, г. Элиста ул. Манцын Кец  д. 29</t>
  </si>
  <si>
    <t>Хейчиев Андрей Александрович</t>
  </si>
  <si>
    <t>80-1-17-00316947 Технологическое присоединение ВРУ-0,22кВ жилого дома проезд Тунтракин.6А Новый потребитель 0 кВт Респ. Калмыкия, г. Элиста проезд. Ту</t>
  </si>
  <si>
    <t>80-1-17-00316959 Технологическое присоединение ВРУ-0,22кВ жилого дома пр Тунтракин.6 Новый потребитель 0 кВт Респ. Калмыкия, г. Элиста проезд. Тунтрак</t>
  </si>
  <si>
    <t>80-1-17-00316987 Технологическое присоединение ВРУ-0,22кВ жилого дома пр Тунтракин .8 Новый потребитель 0 кВт Респ. Калмыкия, г. Элиста проезд. Тунтра</t>
  </si>
  <si>
    <t>80-1-17-00318381 Технологическое присоединение ВРУ-0,22кВ жилого дома Ханатинская,10 Новый потребитель 0 кВт Респ. Калмыкия, г. Элиста ул. Ханатинская</t>
  </si>
  <si>
    <t>80-1-17-00318417 Технологическое присоединение ВРУ-0,22кВ жилого дома Ханатинская,10А Новый потребитель 0 кВт Респ. Калмыкия, г. Элиста ул. Ханатинска</t>
  </si>
  <si>
    <t>Хорунжий Зоя Николаевна</t>
  </si>
  <si>
    <t>80-1-16-00280183 Технологическое присоединение ВРУ 0,4 кВ личного подсобного хозяйства Новый потребитель 0 кВт Респ. Калмыкия, р-н. Целинный, с. Троиц</t>
  </si>
  <si>
    <t>Хулхачиев Николай Иляевич</t>
  </si>
  <si>
    <t>80-1-17-00310359 Технологическое присоединение ВРУ-0,4кВ жилого дома Новый потребитель 0 кВт Респ. Калмыкия, г. Элиста ул. 11-я  д. 1 В</t>
  </si>
  <si>
    <t>Хунялов Арлтан Батырович</t>
  </si>
  <si>
    <t>80-1-15-00216191 Технологическое присоединение ВРУ 0.22 кВ жилого дома Новый потребитель 0 кВт Респ. Калмыкия, р-н. Целинный, с. Троицкое ул. М.Ю.Лерм</t>
  </si>
  <si>
    <t>Цакугинов Батр Борисович</t>
  </si>
  <si>
    <t>80-1-17-00328707 Технологическое присоединение ВРУ-0,22кВ жилого дома №11 Новый потребитель 0 кВт Респ. Калмыкия, г. Элиста ул. Байин Булг  д. 11</t>
  </si>
  <si>
    <t>80-1-17-00328731 Технологическое присоединение ВРУ-0,22кВ жилого дома №13 Новый потребитель 0 кВт Респ. Калмыкия, г. Элиста ул. Байин Булг  д. 13</t>
  </si>
  <si>
    <t>Цедеева Вера Олеевна</t>
  </si>
  <si>
    <t>80-1-17-00313301 Технологическое присоединение ВРУ-0,22кВ жилого дома Новый потребитель 0 кВт Респ. Калмыкия, г. Элиста ул. Профсоюзная  д. 26</t>
  </si>
  <si>
    <t>Церенов Батр Аваджиевич</t>
  </si>
  <si>
    <t>80-1-17-00298439 Технологическое присоединение ВРУ 0.22 кВ жилого дома Новый потребитель 0 кВт Респ. Калмыкия, р-н. Целинный, с. Троицкое ул. Интернац</t>
  </si>
  <si>
    <t>Церенов Борис Шургучиевич</t>
  </si>
  <si>
    <t>80-1-17-00305175 Технологическое присоединение ВРУ 0.22 кВ жилого дома Новый потребитель 0 кВт Респ. Калмыкия, р-н. Целинный, с. Троицкое ул. Г.К.Жуко</t>
  </si>
  <si>
    <t>Церенов Дава Исаевич</t>
  </si>
  <si>
    <t>80-1-17-00328821 Технологическое присоединение ВРУ 0,22 кВт жилого дома Новый потребитель 0 кВт Респ. Калмыкия, р-н. Кетченеровский, п. Ергенинский ул</t>
  </si>
  <si>
    <t>Церенов Эдуард Вячеславович</t>
  </si>
  <si>
    <t xml:space="preserve">80-1-16-00284541 Технологическое присоединение ВРУ 0.22 кВ личного подсобного хозяйства (ЛПХ) Новый потребитель 0 кВт Респ. Калмыкия, р-н. Лаганский, </t>
  </si>
  <si>
    <t>Чудутов Баатр Владимирович</t>
  </si>
  <si>
    <t>80-1-17-00312287 Технологическое присоединение ВРУ 0,4 жилого дома Новый потребитель 0 кВт Респ. Калмыкия, р-н. Яшкульский, п. Яшкуль ул. Ленина  д. 9</t>
  </si>
  <si>
    <t>Чунгунова Алла Петровна</t>
  </si>
  <si>
    <t>80-1-17-00312555 Технологическое присоединение ВРУ-0,4кВ жилого дома Новый потребитель 0 кВт Респ. Калмыкия, г. Элиста ул. Строителей  д. 48</t>
  </si>
  <si>
    <t>Шагинов Владимир Васильевич</t>
  </si>
  <si>
    <t>80-1-17-00312803 Технологическое присоединение ВРУ 0,22 кВ питающее объекты ИЖС Новый потребитель 0 кВт Респ. Калмыкия, р-н. Черноземельский, п. Комсо</t>
  </si>
  <si>
    <t>Шарапов Игорь Николаевич</t>
  </si>
  <si>
    <t>80-1-17-00334965 Технологическое присоединение ВРУ-0,22кВ жилого дома Новый потребитель 0 кВт Респ. Калмыкия, г. Элиста ул. Аршанская  д. 26А</t>
  </si>
  <si>
    <t>Шевчик Александр Васильевич</t>
  </si>
  <si>
    <t>80-1-17-00301035 Технологическое присоединение ВРУ 0.22 кВ питающее летнюю кухню Новый потребитель 0 кВт Респ. Калмыкия, р-н. Городовиковский, г. Горо</t>
  </si>
  <si>
    <t>Шеметов Александр Алексеевич</t>
  </si>
  <si>
    <t>80-1-17-00313633 Технологическое присоединение ВРУ-0,4кВ жилого дома Новый потребитель 0 кВт Респ. Калмыкия, г. Элиста ул. Теегин Герл  д. 35</t>
  </si>
  <si>
    <t>Ширяева Баир Валериевна</t>
  </si>
  <si>
    <t>11901-13-00145907-1</t>
  </si>
  <si>
    <t>Шовгуров Тимур Басанович</t>
  </si>
  <si>
    <t>80-1-17-00310369 Технологическое присоединение ВРУ-0,4кВ жилого дома Новый потребитель 0 кВт Респ. Калмыкия, г. Элиста пер. им Дорджиева В.П.  д. 14</t>
  </si>
  <si>
    <t>Эдлеева Айса Николаевна</t>
  </si>
  <si>
    <t>80-1-17-00336483 Технологическое присоединение ВРУ-0,22кВ гаража Новый потребитель 0 кВт Респ. Калмыкия, г. Элиста мкр. 4</t>
  </si>
  <si>
    <t>Эмгеев Эрдни Борисович</t>
  </si>
  <si>
    <t>80-1-17-00310847 Технологическое присоединение ВРУ-0,4кВ жилого дома Новый потребитель 0 кВт Респ. Калмыкия, г. Элиста пер. Зултурган  д. 5</t>
  </si>
  <si>
    <t>Эмгенова Гилян Ивановна</t>
  </si>
  <si>
    <t>80-1-17-00333707 Технологическое присоединение ВРУ-0,22кВ жилого дома Новый потребитель 0 кВт Респ. Калмыкия, г. Элиста въезд. им Р.Веткаловой  д. 3Б</t>
  </si>
  <si>
    <t>Эндыров Руслан Ибрагимович</t>
  </si>
  <si>
    <t>80-1-16-00273411 Технологическое присоединение ВРУ 0.22 кВ жилого дома Новый потребитель 0 кВт Респ. Калмыкия, р-н. Черноземельский, п. Адык ул. Октяб</t>
  </si>
  <si>
    <t>Эрдеева Зинаида Сангаджиевна</t>
  </si>
  <si>
    <t>80-1-17-00313571 Технологическое присоединение ВРУ-0,4кВ жилого дома Новый потребитель 0 кВт Респ. Калмыкия, г. Элиста проезд. Солнечный  д. 12а</t>
  </si>
  <si>
    <t xml:space="preserve">Эрднеев Юрий Борисович </t>
  </si>
  <si>
    <t xml:space="preserve">80-1-17-00300777 Технологическое присоединение ВРУ 0.22 кВ жилого дома Новый потребитель 0 кВт Респ. Калмыкия, р-н. Черноземельский, п. Комсомольский </t>
  </si>
  <si>
    <t>Эрдни-Горяев Анатолий Николаевич</t>
  </si>
  <si>
    <t>80-1-17-00308059 Технологическое присоединение жилой дом Новый потребитель 0 кВт Респ. Калмыкия, г. Элиста ул. им Очирова Николая Митировича  д. 8</t>
  </si>
  <si>
    <t>Эрдниев Алексей Эрдниевич</t>
  </si>
  <si>
    <t>80-1-17-00305235 Технологическое присоединение ВРУ 0.4 кВ жилого дома Новый потребитель 0 кВт Респ. Калмыкия, р-н. Лаганский, г. Лагань ул. Астраханск</t>
  </si>
  <si>
    <t>Эренженов Василий Андреевич</t>
  </si>
  <si>
    <t>80-1-17-00313733 Технологическое присоединение ВРУ-0,22кВ жилого дома Новый потребитель 0 кВт Респ. Калмыкия, г. Элиста кв-л. Бумба жилая группа  д. 2</t>
  </si>
  <si>
    <t>Юрков Николай Евгеньевич</t>
  </si>
  <si>
    <t>80-1-17-00311705 Технологическое присоединение ВРУ 0,4 жилого дома Новый потребитель 0 кВт Респ. Калмыкия, г. Элиста, п. Аршан ул. Заречная  д. 20</t>
  </si>
  <si>
    <t>Яванов Мерген Николаевич</t>
  </si>
  <si>
    <t>80-1-17-00339141 Технологическое присоединение ВРУ-0,22кВ жилого дома Новый потребитель 0 кВт Респ. Калмыкия, г. Элиста ул. Шахматная  д. 52</t>
  </si>
  <si>
    <t>Яковлев Петр Владимирови</t>
  </si>
  <si>
    <t>80-1-17-00335817 Технологическое присоединение ВРУ 0.22 кВ жилого дома Новый потребитель 0 кВт Респ. Калмыкия, р-н. Целинный, с. Троицкое ул. Радужная</t>
  </si>
  <si>
    <t>Юридические лица</t>
  </si>
  <si>
    <t>АО "КВАНТ-ТЕЛЕКОМ"</t>
  </si>
  <si>
    <t>80-1-17-00346319 Технологическое присоединение контейнер-аппаратной связи в п. Буровой Черноземельский р-н Респ. Калмыкия Новый потребитель 0 кВт Респ</t>
  </si>
  <si>
    <t xml:space="preserve">80-1-17-00346323 Технологическое присоединение контейнер-аппаратной связи в п. Улан-Хол Респ. Калмыкия Новый потребитель 0 кВт </t>
  </si>
  <si>
    <t>ВымпелКом ПАО</t>
  </si>
  <si>
    <t>80-1-17-00300643 Технологическое присоединение базовая станция мобильной связи №62974 г.Элиста 4микр. д.12а Новый потребитель 0 кВт Респ. Калмыкия, г.</t>
  </si>
  <si>
    <t>Газпром газораспределение Элиста АО</t>
  </si>
  <si>
    <t>80-1-17-00310763 Технологическое присоединение АГРС с. Троицкое Новый потребитель 0 кВт Респ. Калмыкия, р-н. Целинный, с. Троицкое</t>
  </si>
  <si>
    <t>жилищно-строительсный кооператив "Багшин гер"</t>
  </si>
  <si>
    <t xml:space="preserve">80-1-17-00337737 Технологическое присоединение временное технологическое присоединениеящика силового на период действия договора №80-1-17-00334689 от </t>
  </si>
  <si>
    <t>Казенное учреждение Республики Калмыкия "Калмыцкое лесничество"</t>
  </si>
  <si>
    <t>80-1-16-00281401 Технологическое присоединение ВРУ 0.4 кВ территории Башантинского подразделения КУ РК "Калмыцкого лесничества " Новый потребитель 0 к</t>
  </si>
  <si>
    <t>80-1-17-00295379 Технологическое присоединение ВРУ 0,4 кВ для временного присоединения на период действия договора от 14.12.2016 г.80-1-16-00281401 Но</t>
  </si>
  <si>
    <t>Крестьянское фермерское хозяйство - ИП Бамбышева Нина Санджиевна</t>
  </si>
  <si>
    <t>80-1-16-00294323 Технологическое присоединение ВЛ 10 кВ 1,2 км, ТП 10/0,22 кВ, питающая животноводческую стоянку Новый потребитель 0 кВт Респ. Калмыки</t>
  </si>
  <si>
    <t>Лукойл-Нижневолжскнефтепродукт ООО</t>
  </si>
  <si>
    <t>80-1-17-00341777 Технологическое присоединение временное присоединение строительной площадки автозаправочной станции стационарного типа г.Элиста, вдол</t>
  </si>
  <si>
    <t>МегаФон ПАО Астраханский ф-л</t>
  </si>
  <si>
    <t>80-1-16-00290795 Технологическое присоединение базовая станция БС 08-5850 "Приманыч" Новый потребитель 0 кВт Респ. Калмыкия, р-н. Ики-Бурульский, п. П</t>
  </si>
  <si>
    <t>80-1-17-00296973 Технологическое присоединение БС 08-5884 "Маныческий" Новый потребитель 0 кВт Респ. Калмыкия, р-н. Яшалтинский, с. Манычское</t>
  </si>
  <si>
    <t>80-1-17-00307769 Технологическое присоединение БС 08-5883 Бага-Тугтун Новый потребитель 0 кВт Респ. Калмыкия, р-н. Яшалтинский, с. Бага-Тугтун</t>
  </si>
  <si>
    <t xml:space="preserve">80-1-17-00323765 Технологическое присоединение базовая станция сотовой связи БС №08-5886 "Красномихайловское" Новый потребитель 0 кВт Респ. Калмыкия, </t>
  </si>
  <si>
    <t>Местная религиозная организация православный Приход Святого Архангела Михаила г.Городовиковск</t>
  </si>
  <si>
    <t>80-1-16-00293297 Технологическое присоединение ВРУ 0.4 здания храма в г.Городовиковске Новый потребитель 0 кВт Респ. Калмыкия, р-н. Городовиковский, г</t>
  </si>
  <si>
    <t>МРО Элиста-нафта - Буддийская община ООО</t>
  </si>
  <si>
    <t xml:space="preserve">80-1-16-00286199 Технологическое присоединение Хурульный комплекс в с.Троицкое Новый потребитель 0 кВт Респ. Калмыкия, р-н. Целинный, с. Троицкое ул. </t>
  </si>
  <si>
    <t>МРОПП "Вознесение Господне" с.Вознесеновки</t>
  </si>
  <si>
    <t>80-1-17-00340425 Технологическое присоединение ВРУ 0.22 кВ церкви  в с.Вознесеновка Новый потребитель 0 кВт Респ. Калмыкия, р-н. Целинный, с. Вознесен</t>
  </si>
  <si>
    <t>МТС ПАО</t>
  </si>
  <si>
    <t>80-1-17-00331313 Технологическое присоединение Базовая станция расположенная в г.Элиста ул. Строительная Новый потребитель 0 кВт Респ. Калмыкия, г. Эл</t>
  </si>
  <si>
    <t>80-1-17-00331327 Технологическое присоединение оборудование базовой станции подвижной радиосвязи и антеннно-фидерных устройств 2я школа Новый потребит</t>
  </si>
  <si>
    <t>80-1-17-00331657 Технологическое присоединение Базовая станция расположенная в г.Элиста ул. Строителей Новый потребитель 0 кВт Респ. Калмыкия, г. Элис</t>
  </si>
  <si>
    <t>Муниципальное унитарное предприятие "Приютненское дорожное управление"</t>
  </si>
  <si>
    <t>80-1-17-00311529 Технологическое присоединение ВРУ 0,4 производственного здания Новый потребитель 0 кВт Респ. Калмыкия, р-н. Приютненский, с. Приютное</t>
  </si>
  <si>
    <t>Новая победа СПК</t>
  </si>
  <si>
    <t xml:space="preserve">80-1-17-00295521 Технологическое присоединение ВЛ 10 кВ, КТП 10/0.4 кВ предназначенная для освещение сада и сторожки Новый потребитель 0 кВт </t>
  </si>
  <si>
    <t>Общество с ограниченной ответственностью "Геола"</t>
  </si>
  <si>
    <t>80-1-17-00310273 Технологическое присоединение временное технологичнское присоединение передвижного объекта и распред.щита 220V Новый потребитель 0 кВ</t>
  </si>
  <si>
    <t>общество с ограниченной ответственностью "СПЕЦДОРСТРОЙ"</t>
  </si>
  <si>
    <t>80-1-17-00341741 Технологическое присоединение оборудлование передвижнго объекта Новый потребитель 0 кВт Респ. Калмыкия, р-н. Черноземельский, п. Арте</t>
  </si>
  <si>
    <t>Племзавод Первомайский СПК</t>
  </si>
  <si>
    <t xml:space="preserve">80-1-17-00339583 Технологическое присоединение ВРУ 0.4 кВ откормочного комплекса КРС Новый потребитель 0 кВт </t>
  </si>
  <si>
    <t xml:space="preserve">80-1-17-00339649 Технологическое присоединение ВРУ 0,4 кВ производственного комплекса Новый потребитель 0 кВт </t>
  </si>
  <si>
    <t xml:space="preserve">80-1-17-00340823 Технологическое присоединение ВРУ 0.22 кВ животноводческой стоянки Новый потребитель 0 кВт </t>
  </si>
  <si>
    <t>Приютненский СПК</t>
  </si>
  <si>
    <t>80-1-17-00340869 Технологическое присоединение ВРУ 0.4 кВ административного здания Новый потребитель 0 кВт Респ. Калмыкия, р-н. Приютненский, с. Приют</t>
  </si>
  <si>
    <t>Ростелеком Калмыцкий ф-л ПАО</t>
  </si>
  <si>
    <t>80-1-14-00175523 Технологическое присоединение Шкаф ЕТТН с.Садовое Сарпинского района 2 микрорайон, д.5 Новый потребитель 0,025 кВт Респ. Калмыкия, р-</t>
  </si>
  <si>
    <t>80-1-16-00257561 Технологическое присоединение Телекоммукационный шкаф п.Найнтахн Новый потребитель 0 кВт Респ. Калмыкия, р-н. Целинный, п. Найнтахн у</t>
  </si>
  <si>
    <t>80-1-16-00257563 Технологическое присоединение "Телекоммуникационный шкаф" п.Чагорта Новый потребитель 0 кВт Респ. Калмыкия, р-н. Целинный, п. Чагорта</t>
  </si>
  <si>
    <t>80-1-16-00280737 Технологическое присоединение оконечная точка доступа Новый потребитель 0 кВт Респ. Калмыкия, р-н. Сарпинский, п. Годжур</t>
  </si>
  <si>
    <t>80-1-17-00303843 Технологическое присоединение Телекоммуникационный шкаф подземной кабельной канализации АТСКУ-АТС-2 г.Элиста ул.Бимбаева-Косиева Новы</t>
  </si>
  <si>
    <t>80-1-17-00303845 Технологическое присоединение Телекоммуникационный шкаф подземной кабельной канализации г.Элиста АТСКУ-АТС-2 ул.Ленина, 173 Новый пот</t>
  </si>
  <si>
    <t>80-1-17-00303889 Технологическое присоединение Телекоммуникационный шкаф подземной кабельной канализации г.Элиста АТСКУ-АТС-2 ул.Тенгрин Уйдл - ул. Ца</t>
  </si>
  <si>
    <t>80-1-17-00333621 Технологическое присоединение конечная точка доступа п.Хошеут Октябрьского района Новый потребитель 0 кВт Респ. Калмыкия, р-н. Октябр</t>
  </si>
  <si>
    <t xml:space="preserve">80-1-17-00340867 Технологическое присоединение конечная точка доступа ВОЛС для устранения цифрового неравенства п.Тавн-Гашун Яшкульского района Новый </t>
  </si>
  <si>
    <t>80-1-17-00340871 Технологическое присоединение конечная точка доступа ВОЛС для устранения цифрового неравенства п.Хар-Толга Яшкульского района | Новый</t>
  </si>
  <si>
    <t>80-1-17-00340873 Технологическое присоединение конечная точка доступа ВОЛС для устранения цифрового неравенства п.Элвг Яшкульского района Новый потреб</t>
  </si>
  <si>
    <t xml:space="preserve">80-1-17-00340883 Технологическое присоединение конечная точка доступа ВОЛС для устранения цифрового неравенства п.Молодежный Яшкульского района Новый </t>
  </si>
  <si>
    <t>Сельскохозяйственный потребительский кооператив "Урожай Калмыкии"</t>
  </si>
  <si>
    <t>80-1-17-00306479 Технологическое присоединение ВРУ 0.4 кВ питающее здание зерносклада Новый потребитель 0 кВт Респ. Калмыкия, р-н. Городовиковский, г.</t>
  </si>
  <si>
    <t>Сельскохозяйственный производственный кооператив "Новый"</t>
  </si>
  <si>
    <t>80-1-17-00325661 Технологическое присоединение ВРУ 0,4 кВ здания Новый потребитель 0 кВт Респ. Калмыкия, р-н. Городовиковский, г. Городовиковск ул. Со</t>
  </si>
  <si>
    <t>ФКУ Упрдор "Азов"</t>
  </si>
  <si>
    <t>80-1-17-00321393 Технологическое присоединение ВРУ-0,4кВ наружного освещения автомобильной дороги Р-216 (А-154) "Астрахань-Элиста-Ставрополь" км 314-+</t>
  </si>
  <si>
    <t>80-1-17-00321401 Технологическое присоединение ВРУ-0,4кВ наружного освещения автомобильной дороги Р-216 (А-154) "Астрахань-Элиста-Ставрополь" км 317-+</t>
  </si>
  <si>
    <t>Технологическое присоединение мощностью свыше 15 кВт и до 150 кВт включительно</t>
  </si>
  <si>
    <t>Баянов Эрнест Васильевич КФХ Энгела ИП</t>
  </si>
  <si>
    <t>08001130000100 11902-13-00123393-1</t>
  </si>
  <si>
    <t>Каминов Е.Г. ИП</t>
  </si>
  <si>
    <t xml:space="preserve">21903-12-00079509-1 от 27.01.2012 ИП Каминов Е.Г. КТП-25 кВа питающая КФХ "Кермеша" </t>
  </si>
  <si>
    <t>Индивидуальный предприниматель Чернобровый Владимир Валерьянович</t>
  </si>
  <si>
    <t>80-1-17-00317565 Технологическое присоединение ВРУ 0.4 кВ магазина "Берёзка" Увеличение мощности 0 кВт Респ. Калмыкия, р-н. Сарпинский, с. Садовое ул.</t>
  </si>
  <si>
    <t>Очиров Долан Иванович ИП</t>
  </si>
  <si>
    <t>80-1-17-00308141 Технологическое присоединение офис Увеличение мощности 0 кВт Респ. Калмыкия, г. Элиста ул. им Губаревича  д. 7</t>
  </si>
  <si>
    <t>Хейчиев Олег Басангович ип</t>
  </si>
  <si>
    <t>80-1-17-00317153 Технологическое присоединение ВРУ-0,4кВ отеля Увеличение мощности 0 кВт Респ. Калмыкия, г. Элиста ул. Республиканская  д. 24</t>
  </si>
  <si>
    <t>Администрация Яшкульского СМО РК</t>
  </si>
  <si>
    <t>80-1-16-00250889 Технологическое присоединение вводное (распределительное) устройство 0,4 кВ жилого 4-х квартирного дома Новый потребитель 0 кВт Респ.</t>
  </si>
  <si>
    <t>Кристалл - Строй ООО</t>
  </si>
  <si>
    <t>80-1-17-00320475 Технологическое присоединение 30-ти квартирный жилой дом с офисными помещениями Новый потребитель 0 кВт Респ. Калмыкия, г. Элиста мкр</t>
  </si>
  <si>
    <t>80-1-17-00321289 Технологическое присоединение автозаправочная станция г.Элиста , вдоль автодороги Астрахань-Элиста-Ставрополь, 316км+100 (слева) Новы</t>
  </si>
  <si>
    <t>Министерство по строительству, транспорту и дорожному хозяйству РК</t>
  </si>
  <si>
    <t>80-1-17-00304913 Технологическое присоединение 60-ти квартирный жилой дом для детей сирот Новый потребитель 0 кВт Респ. Калмыкия, г. Элиста ул. 1 микр</t>
  </si>
  <si>
    <t>РегионСтройМонтаж ООО</t>
  </si>
  <si>
    <t xml:space="preserve">80-1-17-00305203 Технологическое присоединение 5-ти этажный 45-ти квартирный жилой дом Новый потребитель 0 кВт Респ. Калмыкия, г. Элиста ул. Клыкова  </t>
  </si>
  <si>
    <t xml:space="preserve">80-1-17-00316509 Технологическое присоединение ВРУ 0.4 кВ питающее здание зерносклада Увеличение мощности 0 кВт Респ. Калмыкия, р-н. Городовиковский, </t>
  </si>
  <si>
    <t>Стройкомплект ООО</t>
  </si>
  <si>
    <t>80-1-17-00323693 Технологическое присоединение ВРУ-0,4кВ жилого квартала Новый потребитель 0 кВт Респ. Калмыкия, г. Элиста ул. Мечникова  д. 33</t>
  </si>
  <si>
    <t>Технологическое присоединение мощностью свыше 150 кВт и менее 670 кВт</t>
  </si>
  <si>
    <t>общество с ограниченой ответственностью "ФЕРИДЕ"</t>
  </si>
  <si>
    <t>80-1-17-00307681 Технологическое присоединение вводное (распределительное) устройство 0,4 кВ асфальтного завода Новый потребитель 0 кВт Респ. Калмыкия</t>
  </si>
  <si>
    <t>Племзавод Черноземельский ОАО</t>
  </si>
  <si>
    <t>80-1-17-00315749 Технологическое присоединение отпайка с двумя трансформаторными подстанциями КТП 10/0.4 кВ 400 кВА питающая объект дождевально-оросит</t>
  </si>
  <si>
    <t>62.02</t>
  </si>
  <si>
    <t>Администрации</t>
  </si>
  <si>
    <t>Адм Вознесеновского сельского МО Республики Калмыкия</t>
  </si>
  <si>
    <t>41901-14-00153875-1</t>
  </si>
  <si>
    <t>Адм Нартинского СМО Республики Калмыкия</t>
  </si>
  <si>
    <t>11904-13-00133963-1</t>
  </si>
  <si>
    <t>11904-13-00133979-1</t>
  </si>
  <si>
    <t>11904-13-00133981-1</t>
  </si>
  <si>
    <t>Адм Ульдючинского с. м.о. Республики Калмыкия</t>
  </si>
  <si>
    <t>41904-13-00132889-1</t>
  </si>
  <si>
    <t>Годжаев А.С. ИП</t>
  </si>
  <si>
    <t>Услуги технологического  присоединения</t>
  </si>
  <si>
    <t>Даваев Евгений Иванович ИП</t>
  </si>
  <si>
    <t>41901-13-00146751-1</t>
  </si>
  <si>
    <t>К(Ф)Х- ИП Манджиева Наталья Нарашевна</t>
  </si>
  <si>
    <t>80-1-14-00180259 Технологическое присоединение ВЛ 10 кВ, ОМП-10, питающие животноводческую стоянку Новый потребитель 3,2 кВт Респ. Калмыкия, р-н. Яшку</t>
  </si>
  <si>
    <t>Мучкаев В.Н. ИП</t>
  </si>
  <si>
    <t>Не идентифицированные</t>
  </si>
  <si>
    <t>! Физ лица (для выяснения)</t>
  </si>
  <si>
    <t>Кочгуров Д.Б.</t>
  </si>
  <si>
    <t>Семенова Е.К.</t>
  </si>
  <si>
    <t>Хечеева Б.С.</t>
  </si>
  <si>
    <t>Севкавуправтодор ФКУ</t>
  </si>
  <si>
    <t>договор по ТП №41902-12-00086127-1 от 25.04.2012</t>
  </si>
  <si>
    <t>Договор по ТП №41902-12-00086133-1 от 25.04.2012</t>
  </si>
  <si>
    <t>Ергенинское СМО</t>
  </si>
  <si>
    <t>80-1-17-00342693 Технологическое присоединение шкаф распределительный ШРС1 и рубильник ЯБПВУ-1М строительной площадки Новый потребитель 0 кВт Респ. Ка</t>
  </si>
  <si>
    <t>Управление ордена Знака Почета Сев-Кав. автомобильных дорог ФКУ</t>
  </si>
  <si>
    <t>41904-14-00161387-1</t>
  </si>
  <si>
    <t>ФСС РФ по РК ГУ - РО</t>
  </si>
  <si>
    <t xml:space="preserve">80-1-17-00329899 Технологическое присоединение Отделение ФСС в с. Приютное Новый потребитель 0 кВт Респ. Калмыкия, р-н. Приютненский, с. Приютное ул. </t>
  </si>
  <si>
    <t>Авагян Мариам Ваниковна</t>
  </si>
  <si>
    <t>80-1-17-00339267 Технологическое присоединение ВРУ 0.22 кВ жилого дома Новый потребитель 0 кВт Респ. Калмыкия, р-н. Приютненский, с. Приютное ул. Гага</t>
  </si>
  <si>
    <t>Адучеев Станислав Александрович</t>
  </si>
  <si>
    <t>80-1-15-00208595 Технологическое присоединение ВРУ 0.22 кВ Жилого дома Новый потребитель 5 кВт Респ. Калмыкия, р-н. Целинный, с. Троицкое ул. Восточна</t>
  </si>
  <si>
    <t>80-1-16-00249583 Технологическое присоединение ВРУ 0,22 кВ для временной схемы на период осуществления мероприятий по технологическому присоединению д</t>
  </si>
  <si>
    <t>Адьяева Жанна Николаевна</t>
  </si>
  <si>
    <t>80-1-17-00311401 Технологическое присоединение ВРУ-0,22кВ жилого дома Новый потребитель 0 кВт Респ. Калмыкия, г. Элиста ул. Леваневского  д. 5А</t>
  </si>
  <si>
    <t>Адьянова Баин Манжиевна</t>
  </si>
  <si>
    <t>80-1-17-00332745 Технологическое присоединение вводное (распределительное) устройство 0,23 кВ, питающее энергопринимающие устройства объекта ИЖС Новый</t>
  </si>
  <si>
    <t>Акаева Валентина Михайловна</t>
  </si>
  <si>
    <t>80-1-17-00317055 Технологическое присоединение ВРУ-0,22кВ гаража Новый потребитель 0 кВт Респ. Калмыкия, г. Элиста гск. Южный-2</t>
  </si>
  <si>
    <t>80-1-17-00319047 Технологическое присоединение ВРУ-0,22кВ жилого дома Новый потребитель 0 кВт Респ. Калмыкия, г. Элиста ул. 16-я  д. 38</t>
  </si>
  <si>
    <t>Амнинов Виктор Алексеевич</t>
  </si>
  <si>
    <t>80-1-17-00312875 Технологическое присоединение ВРУ-0,22кВ жилого дома Новый потребитель 0 кВт Респ. Калмыкия, г. Элиста ул. Червленная  д. 19</t>
  </si>
  <si>
    <t>Анбушинов Владимир Николаевич</t>
  </si>
  <si>
    <t>80-1-17-00303103 Технологическое присоединение ВРУ-0,4кВ гаража Новый потребитель 0 кВт Респ. Калмыкия, г. Элиста гск. Южный-1  д. 83</t>
  </si>
  <si>
    <t>80-1-16-00251355 Технологическое присоединение ВРУ 0,22 кВ для временной схемы на период осуществления мероприятий по технологическому присоединению д</t>
  </si>
  <si>
    <t>Багамаев Руслан Омаралиевич</t>
  </si>
  <si>
    <t>80-1-17-00322097 Технологическое присоединение ВРУ 0.22 кВ питающее объекты ЛПХ Новый потребитель 0 кВт Респ. Калмыкия, р-н. Черноземельский, п. Комсо</t>
  </si>
  <si>
    <t>Багдыкова Лариса Ивановна</t>
  </si>
  <si>
    <t>80-1-17-00349125 Технологическое присоединение ВРУ-0,4кВ жилого дома Новый потребитель 0 кВт Респ. Калмыкия, г. Элиста ул. Полынная  д. 38А</t>
  </si>
  <si>
    <t>Бадинова Элеонора Васильевна</t>
  </si>
  <si>
    <t>80-1-17-00348973 Технологическое присоединение ВРУ-0,22кВ жилого дома Новый потребитель 0 кВт Респ. Калмыкия, г. Элиста проезд. 8-й  д. 30</t>
  </si>
  <si>
    <t>Бадма-Гаряева Айса Владимировна</t>
  </si>
  <si>
    <t xml:space="preserve">80-1-17-00331777 Технологическое присоединение ВРУ 0,4 объекта для использования под предпринимательство Новый потребитель 0 кВт Респ. Калмыкия, р-н. </t>
  </si>
  <si>
    <t>Бадма-Халгаева Ирина Александровна</t>
  </si>
  <si>
    <t>80-1-17-00320539 Технологическое присоединение ВРУ-0,4кВ склада Новый потребитель 0 кВт Респ. Калмыкия, г. Элиста ул. Хомутникова  д. 2</t>
  </si>
  <si>
    <t>Бадмаев Бадма Викторович</t>
  </si>
  <si>
    <t>80101-14-00171021-1 Технологическое присоединение ВРУ 0,22 кВ жилого дома Новый потребитель 5 кВт Респ. Калмыкия, р-н. Целинный, с. Троицкое ул. В. Ил</t>
  </si>
  <si>
    <t>Бадмаев Борис Батаевич</t>
  </si>
  <si>
    <t>80-1-17-00341801 Технологическое присоединение ВРУ-0,22кВ жилого дома Новый потребитель 0 кВт Респ. Калмыкия, г. Элиста ул. Полынная  д. 9А</t>
  </si>
  <si>
    <t>Бадмаев С.К.</t>
  </si>
  <si>
    <t>Бадмаева Алла Санжиевна</t>
  </si>
  <si>
    <t>80-1-17-00305095 Технологическое присоединение ВРУ-0,22 кВ жилого дома Новый потребитель 0 кВт Респ. Калмыкия, г. Элиста ул. 11-я  д. 1Ж</t>
  </si>
  <si>
    <t>Бадмаева Альман Николаевна</t>
  </si>
  <si>
    <t>80-1-17-00312737 Технологическое присоединение ВРУ-0,22кВ жилого дома Новый потребитель 0 кВт Респ. Калмыкия, г. Элиста ул. Черного золота  д. 18</t>
  </si>
  <si>
    <t>Бадмаева Валентина Бадма-Горяевна</t>
  </si>
  <si>
    <t>80-1-17-00347639 Технологическое присоединение ВРУ 0.4 кВ жилого дома Новый потребитель 0 кВт Респ. Калмыкия, р-н. Лаганский, г. Лагань ул. Пушкина  д</t>
  </si>
  <si>
    <t>Бадмаева Делгир Саналовна</t>
  </si>
  <si>
    <t xml:space="preserve">80-1-17-00348947 Технологическое присоединение ВРУ-0,4кВ жилого дома Новый потребитель 0 кВт Респ. Калмыкия, г. Элиста кв-л. Возрождение жилая группа </t>
  </si>
  <si>
    <t>Бадмаева Елена Дорджиевна</t>
  </si>
  <si>
    <t>80-1-17-00314485 Технологическое присоединение ВРУ-0,4кВ жилого дома Новый потребитель 0 кВт Респ. Калмыкия, г. Элиста ул. Тогтун  д. 28</t>
  </si>
  <si>
    <t>Бадмаева Зоя Майрбековна</t>
  </si>
  <si>
    <t>80-1-17-00338915 Технологическое присоединение ВРУ-0,22кВ жилого дома Новый потребитель 0 кВт Респ. Калмыкия, г. Элиста кв-л. Бумба жилая группа  д. 4</t>
  </si>
  <si>
    <t>Бадминов Николай Олегович</t>
  </si>
  <si>
    <t>80-1-15-00238653 Технологическое присоединение ВРУ 0.22 кВ жилого дома Новый потребитель 0 кВт Респ. Калмыкия, р-н. Целинный, с. Троицкое пер. Северны</t>
  </si>
  <si>
    <t>Бадминова Эльвира Юрьевна</t>
  </si>
  <si>
    <t>80-1-17-00312661 Технологическое присоединение ВРУ-0,22кВ жилого дома Новый потребитель 0 кВт Респ. Калмыкия, г. Элиста</t>
  </si>
  <si>
    <t>Базыров Басанг Надбитович</t>
  </si>
  <si>
    <t>80-1-17-00345485 Технологическое присоединение ТП 10/0,4 кВ, питающая оборудование объекта для ведения сельского хозяйства Новый потребитель 0 кВт Рес</t>
  </si>
  <si>
    <t>80-1-17-00311219 Технологическое присоединение ВРУ-0,22кВ жилого дома Элиста ул Алтн Герл,5А Новый потребитель 0 кВт Респ. Калмыкия, г. Элиста ул. Алт</t>
  </si>
  <si>
    <t>80-1-17-00311223 Технологическое присоединение ВРУ-0,22кВ жилого дома Элиста ул Алтн Герл,7 Новый потребитель 0 кВт Респ. Калмыкия, г. Элиста ул. Алтн</t>
  </si>
  <si>
    <t>80-1-17-00316671 Технологическое присоединение ВРУ-0,4кВ административного здания Новый потребитель 0 кВт Респ. Калмыкия, г. Элиста ул. Джангара  д. 3</t>
  </si>
  <si>
    <t>80-1-17-00347627 Технологическое присоединение ВРУ-0,22кВ жилого дома пр Солнечный, 1А Новый потребитель 0 кВт Респ. Калмыкия, г. Элиста проезд. Солне</t>
  </si>
  <si>
    <t>80-1-17-00347665 Технологическое присоединение ВРУ-0,22кВ жилого дома пр. Солнечный,1 Новый потребитель 0 кВт Респ. Калмыкия, г. Элиста проезд. Солнеч</t>
  </si>
  <si>
    <t>Бамбышева Елена Бадмаевна</t>
  </si>
  <si>
    <t>80-1-17-00312841 Технологическое присоединение ВРУ-0,22кВ жилого дома Новый потребитель 0 кВт Респ. Калмыкия, г. Элиста</t>
  </si>
  <si>
    <t>80-1-17-00329379 Технологическое присоединение ВРУ-0,4кВ жилого дома Новый потребитель 0 кВт Респ. Калмыкия, г. Элиста кв-л. Бантир жилая группа  д. 1</t>
  </si>
  <si>
    <t>Бараев Д В</t>
  </si>
  <si>
    <t>80-1-17-00324235 Технологическое присоединение ВРУ-0,4кВ бистро Новый потребитель 0 кВт Респ. Калмыкия, г. Элиста ул. им Буденного С.М.  д. 3А</t>
  </si>
  <si>
    <t>Баргаров Владимир  Борисович</t>
  </si>
  <si>
    <t>80-1-17-00344713 Технологическое присоединение ВРУ-0,4кВ жилого дома Новый потребитель 0 кВт Респ. Калмыкия, г. Элиста ул. Л.Н.Гумилева  д. 26</t>
  </si>
  <si>
    <t>Баринов Валерий Басангович</t>
  </si>
  <si>
    <t>80-1-17-00348391 Технологическое присоединение ВРУ-0,4кВ жилого дома Новый потребитель 0 кВт Респ. Калмыкия, г. Элиста ул. Манцын Кец  д. 66</t>
  </si>
  <si>
    <t>80-1-17-00332173 Технологическое присоединение ВРУ-0,22кВ жилого дома №81 Новый потребитель 0 кВт Респ. Калмыкия, г. Элиста ул. Бамб Цецг  д. 81</t>
  </si>
  <si>
    <t>Басанов Баатр Валериевич ИП</t>
  </si>
  <si>
    <t xml:space="preserve">80-1-17-00310755 Технологическое присоединение ВРУ-0,4кВ нежилых помещений №1,6 Новый потребитель 0 кВт Респ. Калмыкия, г. Элиста ул. Ипподромная  д. </t>
  </si>
  <si>
    <t>Батнасунов Борис Муевич</t>
  </si>
  <si>
    <t>80-1-17-00312797 Технологическое присоединение ВРУ-0,22кВ жилого дома Новый потребитель 0 кВт Респ. Калмыкия, г. Элиста ул. Черного золота  д. 10</t>
  </si>
  <si>
    <t>Бачаев Джангар Дорджиевич</t>
  </si>
  <si>
    <t>80-1-17-00320719 Технологическое присоединение ВРУ 0.22 кВ жилого дома Новый потребитель 0 кВт Респ. Калмыкия, р-н. Целинный, с. Троицкое пер. Буденно</t>
  </si>
  <si>
    <t>Белеева Светлана Владимировна</t>
  </si>
  <si>
    <t>80-1-17-00320377 Технологическое присоединение ВРУ-0,4кВ жилого дома Новый потребитель 0 кВт Респ. Калмыкия, г. Элиста мкр. 10</t>
  </si>
  <si>
    <t>Бембеев Семен Гаряевич</t>
  </si>
  <si>
    <t xml:space="preserve">80-1-15-00196427 Технологическое присоединение ВРУ 0.22 кВ жилого дома Новый потребитель 5 кВт Респ. Калмыкия, р-н. Целинный, с. Троицкое ул. Дружбы  </t>
  </si>
  <si>
    <t>Богославская Надежда Акимовна</t>
  </si>
  <si>
    <t>80-1-17-00318539 Технологическое присоединение ВРУ-0,4кВ жилого дома Новый потребитель 0 кВт Респ. Калмыкия, г. Элиста проезд. 1-й  д. 2А</t>
  </si>
  <si>
    <t>Богославский Михаил Иванович</t>
  </si>
  <si>
    <t>80-1-14-00185221 Технологическое присоединение ВРУ 0,4 кВ жилого дома Новый потребитель 5 кВт Респ. Калмыкия, р-н. Целинный, с. Троицкое ул. Теегин Ге</t>
  </si>
  <si>
    <t>Боктаева Байрта Сергеевна</t>
  </si>
  <si>
    <t>11901-13-00144929-1</t>
  </si>
  <si>
    <t>Болдырев Баир Владимирович гр</t>
  </si>
  <si>
    <t>80-1-17-00300591 Технологическое присоединение ВРУ-0,22кВ питающее магазин Новый потребитель 0 кВт Респ. Калмыкия, г. Элиста пр-кт. О.Бендера  д. 2</t>
  </si>
  <si>
    <t>Болдырев Михаил Викторович</t>
  </si>
  <si>
    <t>80-1-17-00312783 Технологическое присоединение ВРУ-0,22кВ жилого дома Новый потребитель 0 кВт Респ. Калмыкия, г. Элиста ул. Червленная  д. 3</t>
  </si>
  <si>
    <t>Болеев Василий Егорович</t>
  </si>
  <si>
    <t>80-1-17-00315831 Технологическое присоединение ВРУ-0,22кВ жилого дома Новый потребитель 0 кВт Респ. Калмыкия, г. Элиста ул. Звездная  д. 40а</t>
  </si>
  <si>
    <t>Боркаева Нина Долановна</t>
  </si>
  <si>
    <t xml:space="preserve">80-1-17-00341813 Технологическое присоединение ВРУ-0,22кВ жилого дома Новый потребитель 0 кВт Респ. Калмыкия, г. Элиста проезд. им Г.Т.Добровольского </t>
  </si>
  <si>
    <t>Босхомджиев Василий Тельмеевич</t>
  </si>
  <si>
    <t>80-1-17-00335807 Технологическое присоединение ВРУ-0,22кВ жилого дома Новый потребитель 0 кВт Респ. Калмыкия, г. Элиста ул. Тенгрин Уйдл  д. 69А</t>
  </si>
  <si>
    <t>Босхомджиев Санджи Юрьевич</t>
  </si>
  <si>
    <t>80-1-17-00327757 Технологическое присоединение ВРУ-0,4кВ жилого дома Новый потребитель 0 кВт Респ. Калмыкия, г. Элиста ул. Дербетовская  д. 28</t>
  </si>
  <si>
    <t>Брутян Гарик Ромикович</t>
  </si>
  <si>
    <t>80-1-17-00342925 Технологическое присоединение ВРУ-0,22кВ гаража Новый потребитель 0 кВт Респ. Калмыкия, г. Элиста мкр. 6</t>
  </si>
  <si>
    <t>Бурдаев Виталий Геннадьевич</t>
  </si>
  <si>
    <t>80-1-17-00303927 Технологическое присоединение ВРУ 0.22 кВ ЛПХ Новый потребитель 0 кВт Респ. Калмыкия, р-н. Черноземельский, п. Комсомольский пер. Мол</t>
  </si>
  <si>
    <t>Валетова Зинаида Доглаевна</t>
  </si>
  <si>
    <t>80-1-17-00352047 Технологическое присоединение ВРУ 0.22 кВ жилого дома Новый потребитель 0 кВт Респ. Калмыкия, р-н. Яшкульский, п. Яшкуль ул. Канукова</t>
  </si>
  <si>
    <t>Габунов Евгений Юрьевич</t>
  </si>
  <si>
    <t>80-1-15-00191915 Технологическое присоединение ВРУ 0,22 кВ жилого дома Новый потребитель 5 кВт Респ. Калмыкия, р-н. Целинный, с. Троицкое пер. Г.К.Жук</t>
  </si>
  <si>
    <t>Галич Станислав Юрьевич</t>
  </si>
  <si>
    <t>80-1-17-00300773 Технологическое присоединение ВРУ 0.4 кВ питающее склад Новый потребитель 0 кВт Респ. Калмыкия, р-н. Городовиковский, г. Городовиковс</t>
  </si>
  <si>
    <t>Галич Юрий Трофимович</t>
  </si>
  <si>
    <t>80-1-17-00297399 Технологическое присоединение ВРУ-0.22 кВ питающее жилую квартиру Новый потребитель 0 кВт Респ. Калмыкия, р-н. Городовиковский, г. Го</t>
  </si>
  <si>
    <t>Гаряева Валентина Михайловна</t>
  </si>
  <si>
    <t xml:space="preserve">80-1-17-00313189 Технологическое присоединение ВРУ-0,22кВ жилого дома Новый потребитель 0 кВт Респ. Калмыкия, г. Элиста кв-л. Бантир жилая группа  д. </t>
  </si>
  <si>
    <t>Гечинов Михаил Басанович</t>
  </si>
  <si>
    <t>80-1-17-00334263 Технологическое присоединение ВРУ-0,22кВ жилого дома Новый потребитель 0 кВт Респ. Калмыкия, г. Элиста ул. Черного золота  д. 4</t>
  </si>
  <si>
    <t>Гограева Мария Хамуровна</t>
  </si>
  <si>
    <t>80-1-17-00312495 Технологическое присоединение ВРУ-0,22кВ жилого дома Новый потребитель 0 кВт Респ. Калмыкия, г. Элиста</t>
  </si>
  <si>
    <t>Горяев Санал Николаевич</t>
  </si>
  <si>
    <t>80-1-17-00316055 Технологическое присоединение ВРУ-0,22кВ жилого дома Новый потребитель 0 кВт Респ. Калмыкия, г. Элиста, п. Аршан пер. Степной  д. 7</t>
  </si>
  <si>
    <t>Горяев Эрдни Гусьевич</t>
  </si>
  <si>
    <t>80-1-17-00312629 Технологическое присоединение ВРУ-0,22кВ жилого дома Новый потребитель 0 кВт Респ. Калмыкия, г. Элиста ул. Черного золота  д. 12</t>
  </si>
  <si>
    <t>Горяева Светлана Джимиловна</t>
  </si>
  <si>
    <t>80-1-17-00314823 Технологическое присоединение ВРУ-0,22кВ жилого дома Новый потребитель 0 кВт Респ. Калмыкия, г. Элиста ул. Л.Н.Гумилева  д. 8</t>
  </si>
  <si>
    <t>Гртанкова Жанна Ивановна ИП</t>
  </si>
  <si>
    <t>80-1-17-00312475 Технологическое присоединение ВРУ-0,22кВ жилого дома северо-восточная часть уч 1 Новый потребитель 0 кВт Респ. Калмыкия, г. Элиста</t>
  </si>
  <si>
    <t>80-1-17-00314051 Технологическое присоединение ВРУ-0,22кВ жилого дома пер. 2-й Геологический д.12 Новый потребитель 0 кВт Респ. Калмыкия, г. Элиста пе</t>
  </si>
  <si>
    <t>80-1-17-00334283 Технологическое присоединение ВРУ-0,22кВ жилого дома пер. 2-й Геологический д.12 Новый потребитель 0 кВт Респ. Калмыкия, г. Элиста пе</t>
  </si>
  <si>
    <t>Гучаев Санджи-Горя Очирович</t>
  </si>
  <si>
    <t>80-1-17-00353217 Технологическое присоединение ВРУ 0,4 кВ жилого дома Новый потребитель 0 кВт Респ. Калмыкия, р-н. Яшкульский, п. Яшкуль ул. 50 лет Ок</t>
  </si>
  <si>
    <t>Гучинов Роман Николаевич</t>
  </si>
  <si>
    <t>80-1-17-00326695 Технологическое присоединение ВРУ 0.22 кВ жилого дома Новый потребитель 0 кВт Респ. Калмыкия, г. Элиста проезд. 26-й  д. 9</t>
  </si>
  <si>
    <t>Джаваева Евгения Пюрвеевна</t>
  </si>
  <si>
    <t>80-1-17-00313197 Технологическое присоединение ВРУ 0,4 жилого дома Новый потребитель 0 кВт Респ. Калмыкия, р-н. Яшкульский, п. Яшкуль ул. Алтн-Булг  д</t>
  </si>
  <si>
    <t>Джохаев Игорь Викторович</t>
  </si>
  <si>
    <t>80-1-17-00323699 Технологическое присоединение ВРУ-0,22кВ жилого дома Новый потребитель 0 кВт Респ. Калмыкия, г. Элиста ул. им Л.А.Юдиной  д. 14</t>
  </si>
  <si>
    <t>Дорджиев Бадма Геннадьевич ип</t>
  </si>
  <si>
    <t xml:space="preserve">80-1-17-00323981 Технологическое присоединение ВРУ-0,4кВ жилого дома Новый потребитель 0 кВт Респ. Калмыкия, г. Элиста кв-л. Возрождение жилая группа </t>
  </si>
  <si>
    <t>Дорджиев Виктор Бамбаевич</t>
  </si>
  <si>
    <t xml:space="preserve">80-1-17-00331737 Технологическое присоединение ВРУ 0.4 кВ жилого дома Новый потребитель 0 кВт Респ. Калмыкия, р-н. Малодербетовский, п. Малые-Дербеты </t>
  </si>
  <si>
    <t>Дорджиев Лиджи Борлыкович</t>
  </si>
  <si>
    <t>80-1-17-00332101 Технологическое присоединение ВРУ-0,22кВ гаража Новый потребитель 0 кВт Респ. Калмыкия, г. Элиста мкр. 7</t>
  </si>
  <si>
    <t>Дорджиева Зула Дорджи-Гаряевна</t>
  </si>
  <si>
    <t>80-1-17-00322213 Технологическое присоединение ВРУ-0,4кВ жилого дома Новый потребитель 0 кВт Респ. Калмыкия, г. Элиста ул. Кемеровская  д. 11</t>
  </si>
  <si>
    <t>Дорджиева Инна Ивановна</t>
  </si>
  <si>
    <t>80-1-16-00262169 Технологическое присоединение вводное (распределительное) устройство жилого дома Новый потребитель 0 кВт Респ. Калмыкия, р-н. Целинны</t>
  </si>
  <si>
    <t xml:space="preserve">Дорджиева Наталья Николаевна </t>
  </si>
  <si>
    <t>80-1-17-00315499 Технологическое присоединение ВРУ-0,4кВ жилого дома в г.Элиста ул Манцын Кец №156 Новый потребитель 0 кВт Респ. Калмыкия, г. Элиста у</t>
  </si>
  <si>
    <t>Дорджиева Ноган Цагановна</t>
  </si>
  <si>
    <t>80-1-17-00312267 Технологическое присоединение ВРУ-0,4кВ жилого дома Новый потребитель 0 кВт Респ. Калмыкия, г. Элиста ул. Имени партизанки Були Цюгат</t>
  </si>
  <si>
    <t>Доренко Сергей Анатольевич</t>
  </si>
  <si>
    <t>80-1-17-00314263 Технологическое присоединение ВРУ-0,4кВ складского помещения Новый потребитель 0 кВт Респ. Калмыкия, г. Элиста ул. В.И.Ленина  д. 2Е</t>
  </si>
  <si>
    <t>Дукманова Эльза Андреевна</t>
  </si>
  <si>
    <t>80-1-17-00342515 Технологическое присоединение ВРУ-0,4кВ нежилого здания Новый потребитель 0 кВт Респ. Калмыкия, г. Элиста мкр. 5</t>
  </si>
  <si>
    <t>Дюмкеева Вера Манджиковна</t>
  </si>
  <si>
    <t>80-1-17-00351521 Технологическое присоединение ВРУ-0,4кВ жилого дома Новый потребитель 0 кВт Респ. Калмыкия, г. Элиста пер. им Братьев Корниенковых  д</t>
  </si>
  <si>
    <t>Забиргалиев Айдар Исмаилович</t>
  </si>
  <si>
    <t>80-1-17-00339023 Технологическое присоединение ВРУ 0.22 кВ жилого дома Новый потребитель 0 кВт Респ. Калмыкия, р-н. Яшкульский, п. Молодежный ул. Геол</t>
  </si>
  <si>
    <t>Зайцева Ирина Викторовна</t>
  </si>
  <si>
    <t>80-1-17-00317041 Технологическое присоединение ВРУ-0,22кВ гаража Новый потребитель 0 кВт Респ. Калмыкия, г. Элиста ул. Ипподромная</t>
  </si>
  <si>
    <t>Заргудаева Эльза Есиновна</t>
  </si>
  <si>
    <t>80-1-17-00349361 Технологическое присоединение ВРУ 0.4 кВ жилого дома Новый потребитель 0 кВт Респ. Калмыкия, р-н. Яшкульский, п. Яшкуль ул. Алтн-Булг</t>
  </si>
  <si>
    <t>Зарухмаева Валентина Артыковна</t>
  </si>
  <si>
    <t>80-1-17-00318857 Технологическое присоединение ВРУ-0,22кВ жилого дома Новый потребитель 0 кВт Респ. Калмыкия, г. Элиста ул. Строительная  д. 50</t>
  </si>
  <si>
    <t>Зорин Сергей Николаевич</t>
  </si>
  <si>
    <t xml:space="preserve">80-1-17-00319417 Технологическое присоединение ВРУ 0.22 кВ ЛПХ Новый потребитель 0 кВт </t>
  </si>
  <si>
    <t>Зунгруев Николай Иванович</t>
  </si>
  <si>
    <t>80-1-17-00326571 Технологическое присоединение ВРУ-0,4кВ жилого дома Новый потребитель 0 кВт Респ. Калмыкия, г. Элиста ул. Строительная  д. 47А</t>
  </si>
  <si>
    <t>Иванкиев Анатолий Борисович</t>
  </si>
  <si>
    <t>80-1-17-00312767 Технологическое присоединение ВРУ-0,22кВ жилого дома Новый потребитель 0 кВт Респ. Калмыкия, г. Элиста ул. Червленная  д. 15</t>
  </si>
  <si>
    <t>Иванов Андрей Николаевич</t>
  </si>
  <si>
    <t>80-1-17-00320255 Технологическое присоединение ВРУ-0,22кВ жилого дома Новый потребитель 0 кВт Респ. Калмыкия, г. Элиста ул. Сарпинская  д. 1А</t>
  </si>
  <si>
    <t>Иванова Валентина Арашевна</t>
  </si>
  <si>
    <t xml:space="preserve">80-1-17-00325683 Технологическое присоединение ВРУ-0,22кВ жилого дома Новый потребитель 0 кВт Респ. Калмыкия, г. Элиста кв-л. Бантир жилая группа  д. </t>
  </si>
  <si>
    <t>индивидуальный предприниматель Аздоров Александр Иванович</t>
  </si>
  <si>
    <t>80-1-17-00345395 Технологическое присоединение ВРУ 0,4 кВ питтающее здание столярной мастерской Новый потребитель 0 кВт Респ. Калмыкия, р-н. Городовик</t>
  </si>
  <si>
    <t>индивидуальный предприниматель Баринов Валерий Коваевич</t>
  </si>
  <si>
    <t xml:space="preserve">80-1-17-00305147 Технологическое присоединение участок ВЛ-10 кВ протяженностью 0.04 км. и КТП 10/0.4кВ 25кВА питающие КФХ Новый потребитель 0 кВт </t>
  </si>
  <si>
    <t>Индивидуальный предприниматель Бембеева Виктория Сергеевна</t>
  </si>
  <si>
    <t xml:space="preserve">80-1-17-00333195 Технологическое присоединение ВРУ 0.4 кВ магазина Новый потребитель 0 кВт Респ. Калмыкия, р-н. Лаганский, г. Лагань ул. Баташова  д. </t>
  </si>
  <si>
    <t>Индивидуальный предприниматель Кавдалов Юрий Борисович</t>
  </si>
  <si>
    <t>80-1-16-00265639 Технологическое присоединение животноводческая стоянка Новый потребитель 0 кВт Респ. Калмыкия, р-н. Целинный, п. Овата</t>
  </si>
  <si>
    <t>Индивидуальный предприниматель Колерт Виктор Эдмундович</t>
  </si>
  <si>
    <t>80-1-16-00258139 Технологическое присоединение вводное (распределительное) устройство 0,4 кв здания свинарника Новый потребитель 0 кВт Респ. Калмыкия,</t>
  </si>
  <si>
    <t>индивидуальный предприниматель Лагаев Валерий Сергеевич</t>
  </si>
  <si>
    <t>80-1-17-00309379 Технологическое присоединение КТП 10/0.22 кВ , ВЛ-10 кВ питающие дом животновода и коровник Новый потребитель 0 кВт Респ. Калмыкия, р</t>
  </si>
  <si>
    <t>индивидуальный предприниматель Менкеносонова Валентина Хейчиевна</t>
  </si>
  <si>
    <t>80-1-16-00274453 Технологическое присоединение КТП 10/0,4 кВ, питающая АЗС Новый потребитель 0 кВт Респ. Калмыкия, р-н. Октябрьский, п. Цаган-Нур</t>
  </si>
  <si>
    <t>Индивидуальный предприниматель Наранов Чингиз Михайлович</t>
  </si>
  <si>
    <t>80-1-16-00265519 Технологическое присоединение КТП 10 кВА, ВРУ  дома животновода Новый потребитель 0 кВт Респ. Калмыкия, р-н. Черноземельский, п. Буро</t>
  </si>
  <si>
    <t>Индивидуальный предприниматель Онкуляева Светлана Ивановна</t>
  </si>
  <si>
    <t>80-1-16-00285979 Технологическое присоединение ВРУ 0.4 кВ кафе Новый потребитель 0 кВт Респ. Калмыкия, р-н. Яшкульский, п. Хулхута ул. Дружбы  д. 25 А</t>
  </si>
  <si>
    <t>Индивидуальный предприниматель Урубжуров Дмитрий Утнасунович</t>
  </si>
  <si>
    <t>80-1-17-00333969 Технологическое присоединение Энергопринимающее устройство питающее энергооборудование крестьянско-фермерского хозяйства Новый потреб</t>
  </si>
  <si>
    <t>индивидуальный предприниматель Ханаева Любовь Ивановна</t>
  </si>
  <si>
    <t>80-1-17-00295685 Технологическое присоединение КТП 10/0.4 кВ питающая здание гостевого дома Новый потребитель 0 кВт Респ. Калмыкия, р-н. Малодербетовс</t>
  </si>
  <si>
    <t>Индивидуальный предприниматель Чиркаев Дмитрий Николаевич</t>
  </si>
  <si>
    <t xml:space="preserve">80-1-17-00323851 Технологическое присоединение ВЛ-10 кВ и КТП 10/0.22 кВ Новый потребитель 0 кВт </t>
  </si>
  <si>
    <t>индивидуальный предприниматеьл Огулов Виталий Берикович</t>
  </si>
  <si>
    <t>80-1-16-00267579 Технологическое присоединение вводное устройство магазина Новый потребитель 0 кВт Респ. Калмыкия, р-н. Яшкульский, п. Яшкуль ул. Клык</t>
  </si>
  <si>
    <t>ИП Алейников Анатолий Степанович</t>
  </si>
  <si>
    <t>80-1-16-00279669 Технологическое присоединение КТП 10/0.4 кВ 25 кВА питающая здание зернотока Новый потребитель 0 кВт Респ. Калмыкия, р-н. Городовиков</t>
  </si>
  <si>
    <t>ИП Глава КФХ "Инна" Гатцаев Лиджи Дорджиевич</t>
  </si>
  <si>
    <t>80-1-14-00184297 Технологическое присоединение ВРУ 10 кВ животноводческой стоянки Новый потребитель 5 кВт Респ. Калмыкия, р-н. Яшкульский, п. Хар-Толг</t>
  </si>
  <si>
    <t>ИП Дохаева Татьяна Люмджиевна</t>
  </si>
  <si>
    <t>80-1-17-00342563 Технологическое присоединение ВЛ10 кВ, МТП 10/0,23 кВ, питающие объекты КФХ Новый потребитель 0 кВт Респ. Калмыкия, р-н. Юстинский, п</t>
  </si>
  <si>
    <t>ИП Настынов Раджа Петрович</t>
  </si>
  <si>
    <t>80-1-16-00260907 Технологическое присоединение ВРУ 0.22 кВ здания "Ремонт обуви" Новый потребитель 0 кВт Респ. Калмыкия, р-н. Целинный, с. Троицкое ул</t>
  </si>
  <si>
    <t>ИП Очирова Булгун Цагановна</t>
  </si>
  <si>
    <t>80-1-17-00351033 Технологическое присоединение ВРУ 0.4 кВ дома бытовых услуг Новый потребитель 0 кВт Респ. Калмыкия, р-н. Целинный, с. Троицкое ул. СУ</t>
  </si>
  <si>
    <t>ИП Пономарева Дина Эрдни-Горяевна</t>
  </si>
  <si>
    <t xml:space="preserve">80-1-17-00347433 Технологическое присоединение ВРУ 0.4 кВ магазина Новый потребитель 0 кВт Респ. Калмыкия, р-н. Лаганский, г. Лагань ул. Жигульского  </t>
  </si>
  <si>
    <t>Калашкаев Санал Николаевич</t>
  </si>
  <si>
    <t>80-1-17-00333971 Технологическое присоединение ВРУ 0,23 кВ, питающее оборудование объектов ИЖС Новый потребитель 0 кВт Респ. Калмыкия, р-н. Яшкульский</t>
  </si>
  <si>
    <t>Касаев Евгений Церен-Убушиевич</t>
  </si>
  <si>
    <t>80-1-17-00343295 Технологическое присоединение ВРУ-0,22кВ жилого дома Новый потребитель 0 кВт Респ. Калмыкия, г. Элиста ул. Северная  д. 41</t>
  </si>
  <si>
    <t>Катина Анна Ивановна</t>
  </si>
  <si>
    <t>80-1-16-00278155 Технологическое присоединение ВРУ 0.22 кВ личного подсобного хозяйства (ЛПХ) Новый потребитель 0 кВт Респ. Калмыкия, р-н. Малодербето</t>
  </si>
  <si>
    <t>Каюпова Галина Тубажановна</t>
  </si>
  <si>
    <t>80-1-17-00326443 Технологическое присоединение ВРУ 0.4 кВ жилого дома Новый потребитель 0 кВт Респ. Калмыкия, р-н. Лаганский, г. Лагань ул. Т.Хахлынов</t>
  </si>
  <si>
    <t>Кекеева Галина Петровна</t>
  </si>
  <si>
    <t>80-1-17-00312413 Технологическое присоединение ВРУ-0,22кВ жилого дома Новый потребитель 0 кВт Респ. Калмыкия, г. Элиста ул. Червленная  д. 9</t>
  </si>
  <si>
    <t>Кектышев Джигмид Санджиевич</t>
  </si>
  <si>
    <t>80-1-17-00352197 Технологическое присоединение участок ВЛ-10 кВ , МТП 10/0.23 кВ мощностью 10 кВА, ВЛ-0.23 кВ для энергоснабжения дома животновода Нов</t>
  </si>
  <si>
    <t>Кибкало Сергей Сергеевич</t>
  </si>
  <si>
    <t>80-1-17-00301301 Технологическое присоединение гараж Новый потребитель 0 кВт Респ. Калмыкия, г. Элиста ул. 1 микрорайон</t>
  </si>
  <si>
    <t>Коженбаева Баирта Викторовна</t>
  </si>
  <si>
    <t>80-1-17-00312759 Технологическое присоединение ВРУ-0,22кВ жилого дома Новый потребитель 0 кВт Респ. Калмыкия, г. Элиста ул. Червленная  д. 17</t>
  </si>
  <si>
    <t>Кольцов Виталий Иванович</t>
  </si>
  <si>
    <t>80-1-17-00345523 Технологическое присоединение ВРУ 0.4 кВ питающее склад Новый потребитель 0 кВт Респ. Калмыкия, р-н. Городовиковский, г. Городовиковс</t>
  </si>
  <si>
    <t>Котенова Надежда  Шевяевна</t>
  </si>
  <si>
    <t xml:space="preserve">80-1-17-00313263 Технологическое присоединение ВРУ-0,22кВ жилого дома Новый потребитель 0 кВт Респ. Калмыкия, г. Элиста кв-л. Бантир жилая группа  д. </t>
  </si>
  <si>
    <t>Криволапов Николай Владимирович</t>
  </si>
  <si>
    <t>80-1-17-00317009 Технологическое присоединение ВРУ-0,22кВ гаража Новый потребитель 0 кВт Респ. Калмыкия, г. Элиста гск. Южный-2</t>
  </si>
  <si>
    <t>Кужеков Амангельды Булегенович</t>
  </si>
  <si>
    <t xml:space="preserve">80-1-17-00326783 Технологическое присоединение ВРУ 0,44 кВ жилого дома Новый потребитель 0 кВт Респ. Калмыкия, р-н. Целинный, с. Троицкое ул. Братьев </t>
  </si>
  <si>
    <t>Кукеев Дорджи Сергеевич</t>
  </si>
  <si>
    <t>80-1-15-00209277 Технологическое присоединение ВРУ 0.22 кВ жилого дома Новый потребитель 8 кВт Респ. Калмыкия, р-н. Целинный, с. Троицкое пер. Партиза</t>
  </si>
  <si>
    <t>Кукеева Гиляш Сергеевна</t>
  </si>
  <si>
    <t>80-1-17-00340167 Технологическое присоединение ВРУ 0,22 кВ жилого дом Новый потребитель 0 кВт Респ. Калмыкия, р-н. Целинный, п. Хар-Булук ул. Комсомол</t>
  </si>
  <si>
    <t>Кулманов Савр Саналович</t>
  </si>
  <si>
    <t>80-1-17-00312793 Технологическое присоединение ВРУ-0,22кВ жилого дома Новый потребитель 0 кВт Респ. Калмыкия, г. Элиста ул. Червленная  д. 5</t>
  </si>
  <si>
    <t>Кунакасов Артур Вакильевич</t>
  </si>
  <si>
    <t>Куртушова Зинаида Базыровна</t>
  </si>
  <si>
    <t>80-1-17-00314145 Технологическое присоединение ВРУ-0,22кВ жилого дома Новый потребитель 0 кВт Респ. Калмыкия, г. Элиста проезд. им Дорджиева В П  д. 8</t>
  </si>
  <si>
    <t>Ланцинов Анатолий  Николаевич</t>
  </si>
  <si>
    <t>80-1-17-00312887 Технологическое присоединение ВРУ-0,22кВ жилого дома Новый потребитель 0 кВт Респ. Калмыкия, г. Элиста ул. Червленная  д. 7</t>
  </si>
  <si>
    <t>Лиджиев Артур Михайлович</t>
  </si>
  <si>
    <t>80-1-17-00328285 Технологическое присоединение ВРУ-0,4кВ магазина Новый потребитель 0 кВт Респ. Калмыкия, г. Элиста ул. Ипподромная  д. 47А</t>
  </si>
  <si>
    <t>Лиджиева Александра Евгеньевна ИП</t>
  </si>
  <si>
    <t>80-1-17-00349387 Технологическое присоединение ЩУ-0,4кВ Новый потребитель 0 кВт Респ. Калмыкия, г. Элиста мкр. Сити-3</t>
  </si>
  <si>
    <t>Лиджиева Мария Потнеевна</t>
  </si>
  <si>
    <t>80-1-17-00301325 Технологическое присоединение ВРУ-0,4 кВ жилого дома Новый потребитель 0 кВт Респ. Калмыкия, г. Элиста ул. 2-я  д. 29</t>
  </si>
  <si>
    <t>Литовкин Владимир Васильевич</t>
  </si>
  <si>
    <t>80-1-17-00334717 Технологическое присоединение ВРУ-0,22кВ жилого дома Новый потребитель 0 кВт Респ. Калмыкия, г. Элиста ул. им М.В.Хонинова  д. 17</t>
  </si>
  <si>
    <t>Лодянов Алексей Сергеевич</t>
  </si>
  <si>
    <t>80-1-17-00347679 Технологическое присоединение ВРУ-0,22кВ жилого дома Новый потребитель 0 кВт Респ. Калмыкия, г. Элиста ул. Троицкая  д. 27г</t>
  </si>
  <si>
    <t>Лозуткаев Данзын Николаевич</t>
  </si>
  <si>
    <t>80-1-16-00278287 Технологическое присоединение ВРУ 0.22 кВ жилого дома Новый потребитель 0 кВт Респ. Калмыкия, р-н. Целинный, с. Троицкое ул. Радужная</t>
  </si>
  <si>
    <t>Луханин Юрий Васильевич</t>
  </si>
  <si>
    <t>80-1-17-00353453 Технологическое присоединение ВРУ 0,4 кВ жилого дома Увеличение мощности 0 кВт Респ. Калмыкия, р-н. Городовиковский, п. Лазаревский у</t>
  </si>
  <si>
    <t>Манджиев Бадма Бовеевич</t>
  </si>
  <si>
    <t>80-1-17-00333623 Технологическое присоединение ВРУ-0,22кВ жилого дома Новый потребитель 0 кВт Респ. Калмыкия, г. Элиста ул. Яшалтинская  д. 41</t>
  </si>
  <si>
    <t>Манджиев Михаил Сергеевич</t>
  </si>
  <si>
    <t>80-1-17-00312321 Технологическое присоединение ВРУ-0,4кВ жилого дома Новый потребитель 0 кВт Респ. Калмыкия, г. Элиста ул. Имени партизана Анатолия Ка</t>
  </si>
  <si>
    <t>Манджиева Байрта Александровна</t>
  </si>
  <si>
    <t>80-1-17-00318509 Технологическое присоединение ВРУ-0,22кВ жилого дома Новый потребитель 0 кВт Респ. Калмыкия, г. Элиста ул. Ики-Бурульская  д. 1</t>
  </si>
  <si>
    <t>Манджиева Лидия Мутаевна</t>
  </si>
  <si>
    <t>80-1-15-00194799 Технологическое присоединение ВРУ 0.22 кВ жилого дома Новый потребитель 5 кВт Респ. Калмыкия, р-н. Целинный, с. Троицкое ул. Зая Панд</t>
  </si>
  <si>
    <t>Манджиева Нина Сангаджиевна</t>
  </si>
  <si>
    <t>80-1-17-00315989 Технологическое присоединение ВРУ-0,4кВ гаража Новый потребитель 0 кВт Респ. Калмыкия, г. Элиста гск. Южный-1</t>
  </si>
  <si>
    <t>Манжеева Нюдля Ивановна</t>
  </si>
  <si>
    <t>80-1-17-00342299 Технологическое присоединение ВРУ 0.4 кВ жилого дома Новый потребитель 0 кВт Респ. Калмыкия, р-н. Яшкульский, п. Яшкуль ул. А.Очирова</t>
  </si>
  <si>
    <t>Манжиев Игорь Андреевич</t>
  </si>
  <si>
    <t>80-1-14-00185641 Технологическое присоединение ВРУ 0,22 кВ жилого дома Новый потребитель 5 кВт Респ. Калмыкия, р-н. Целинный, с. Троицкое ул. Э.Делико</t>
  </si>
  <si>
    <t>Манжиков Борис Александрович</t>
  </si>
  <si>
    <t>80-1-17-00301123 Технологическое присоединение магазин Новый потребитель 0 кВт Респ. Калмыкия, г. Элиста ул. Республиканская  д. 35 корп. 2</t>
  </si>
  <si>
    <t>Мантышев Хече Дорджиевич</t>
  </si>
  <si>
    <t>80-1-17-00323111 Технологическое присоединение ВРУ-0,4кВ жилого дома Новый потребитель 0 кВт Респ. Калмыкия, г. Элиста ул. 13-я  д. 16</t>
  </si>
  <si>
    <t>Маштыкова Т.Б.</t>
  </si>
  <si>
    <t>Мергенова Руфина  Анатольевна</t>
  </si>
  <si>
    <t>80-1-14-00181581 Технологическое присоединение ВРУ 0,22 кВ жилого дома Новый потребитель 5 кВт Респ. Калмыкия, р-н. Целинный, с. Троицкое ул. М.Ю.Лерм</t>
  </si>
  <si>
    <t>Мишкина Антонина Григорьевна</t>
  </si>
  <si>
    <t>80-1-17-00349015 Технологическое присоединение ВРУ 0.4 кВ жилого дома Новый потребитель 0 кВт Респ. Калмыкия, р-н. Городовиковский, г. Городовиковск у</t>
  </si>
  <si>
    <t>Монкурова Гилена Васильевна</t>
  </si>
  <si>
    <t>80-1-17-00341873 Технологическое присоединение ВРУ-0,4кВ торгового павильона Новый потребитель 0 кВт Респ. Калмыкия, г. Элиста ул. В.И.Ленина</t>
  </si>
  <si>
    <t>Мукабенова Софья Тюмидовна</t>
  </si>
  <si>
    <t>80-1-16-00283237 Технологическое присоединение ВРУ 0.22 кВ жилого дома Новый потребитель 0 кВт Респ. Калмыкия, р-н. Целинный, с. Троицкое ул. Зая Панд</t>
  </si>
  <si>
    <t>Мулаев Владимир Алексеевич</t>
  </si>
  <si>
    <t>80-1-17-00328535 Технологическое присоединение ВРУ-0,22кВ жилого дома Новый потребитель 0 кВт Респ. Калмыкия, г. Элиста ул. Изумрудная  д. 3</t>
  </si>
  <si>
    <t>Мутулова Анджела Дондаевна</t>
  </si>
  <si>
    <t>80-1-17-00331919 Технологическое присоединение ВРУ 0.22 кВ жилого дома Новый потребитель 0 кВт Респ. Калмыкия, р-н. Малодербетовский, п. Малые-Дербеты</t>
  </si>
  <si>
    <t>Мутулова Елена Владимировна</t>
  </si>
  <si>
    <t>80-1-17-00349047 Технологическое присоединение ВРУ-0,4кВ жилого дома Новый потребитель 0 кВт Респ. Калмыкия, г. Элиста ул. Полынная  д. 40а</t>
  </si>
  <si>
    <t>Мутырова Елена Александровна</t>
  </si>
  <si>
    <t>80-1-17-00341357 Технологическое присоединение ВРУ-0,4кВ жилого дома Новый потребитель 0 кВт Респ. Калмыкия, г. Элиста мкр. Сити-3  д. 37</t>
  </si>
  <si>
    <t>Мухлынова Мария Сергеевна</t>
  </si>
  <si>
    <t>80-1-17-00349297 Технологическое присоединение ВРУ-0,4кВ жилого дома Новый потребитель 0 кВт Респ. Калмыкия, г. Элиста мкр. 10  д. 126</t>
  </si>
  <si>
    <t>Надбитов Иван Нохашкиевич</t>
  </si>
  <si>
    <t>80-1-17-00340461 Технологическое присоединение ВРУ-0,22кВ жилого дома Новый потребитель 0 кВт Респ. Калмыкия, г. Элиста кв-л. Бумба жилая группа  д. 3</t>
  </si>
  <si>
    <t>Надбитова Маргарита Геннадьевна</t>
  </si>
  <si>
    <t>80-1-17-00342225 Технологическое присоединение ВРУ-0,22кВ жилого дома Новый потребитель 0 кВт Респ. Калмыкия, г. Элиста проезд. 27-й  д. 9</t>
  </si>
  <si>
    <t>Нараев Геннадий Борисович</t>
  </si>
  <si>
    <t>80-1-17-00328871 Технологическое присоединение ВРУ-0,22кВ жилого дома Новый потребитель 0 кВт Респ. Калмыкия, г. Элиста кв-л. Бумба жилая группа  д. 6</t>
  </si>
  <si>
    <t>Натыров Владимир Петрович</t>
  </si>
  <si>
    <t xml:space="preserve">80-1-17-00313927 Технологическое присоединение ВРУ-0,4кВ жилого дома Новый потребитель 0 кВт Респ. Калмыкия, г. Элиста, п. Аршан ул. Голубого Золота  </t>
  </si>
  <si>
    <t>Нахаев Борис Дорджиевич</t>
  </si>
  <si>
    <t>80-1-17-00312829 Технологическое присоединение ВРУ-0,22кВ жилого дома Новый потребитель 0 кВт Респ. Калмыкия, г. Элиста</t>
  </si>
  <si>
    <t>Немеева Баира Тальевна</t>
  </si>
  <si>
    <t>80-1-17-00336767 Технологическое присоединение ВРУ-0,4кВ жилого дома Новый потребитель 0 кВт Респ. Калмыкия, г. Элиста проезд. Аршанский  д. 20</t>
  </si>
  <si>
    <t>Неминов Александр Валерьевич</t>
  </si>
  <si>
    <t>80-1-17-00332443 Технологическое присоединение ВРУ-0,22кВ жилого дома Новый потребитель 0 кВт Респ. Калмыкия, г. Элиста ул. 11-я  д. 1К</t>
  </si>
  <si>
    <t>Нимеева Анастасия Анатольевна</t>
  </si>
  <si>
    <t xml:space="preserve">80-1-17-00349877 Технологическое присоединение ВРУ 0.22 кВ жилого дома Новый потребитель 0 кВт Респ. Калмыкия, р-н. Яшкульский, п. Яшкуль ул. Ленина  </t>
  </si>
  <si>
    <t>Новиков Николай Николаевич</t>
  </si>
  <si>
    <t>80-1-16-00281981 Технологическое присоединение ВРУ  0.4 кВ квартиры Новый потребитель 0 кВт Респ. Калмыкия, р-н. Городовиковский, г. Городовиковск ул.</t>
  </si>
  <si>
    <t>Нюгнеева Нямш Джаповна</t>
  </si>
  <si>
    <t>11901-14-00165363-1</t>
  </si>
  <si>
    <t>Нюдюльчиев Анатолий Александрович</t>
  </si>
  <si>
    <t>80-1-17-00347289 Технологическое присоединение ВРУ-0.22 кВ жилого дома Новый потребитель 0 кВт Респ. Калмыкия, р-н. Целинный, с. Троицкое ул. Колхозна</t>
  </si>
  <si>
    <t>Овадыкова Надежда Валерьевна</t>
  </si>
  <si>
    <t>80-1-17-00317349 Технологическое присоединение ВРУ-0,22кВ жилого дома Новый потребитель 0 кВт Респ. Калмыкия, г. Элиста ул. 17-я  д. 49</t>
  </si>
  <si>
    <t>Оконов Николай Исаевич</t>
  </si>
  <si>
    <t>80-1-17-00312609 Технологическое присоединение ВРУ-0,22кВ жилого дома Новый потребитель 0 кВт Респ. Калмыкия, г. Элиста ул. Червленная  д. 13</t>
  </si>
  <si>
    <t>Оконова Любовь Васильевна</t>
  </si>
  <si>
    <t>80-1-17-00323741 Технологическое присоединение ВРУ-0,22кВ жилого дома Новый потребитель 0 кВт Респ. Калмыкия, г. Элиста ул. им Л.А.Юдиной  д. 10</t>
  </si>
  <si>
    <t>Ольконова Валентина Мутуловна</t>
  </si>
  <si>
    <t>80-1-17-00334639 Технологическое присоединение ВРУ-0,22кВ жилого дома Новый потребитель 0 кВт Респ. Калмыкия, г. Элиста ул. Оргакинская  д. 44</t>
  </si>
  <si>
    <t>Омакаев Петр Бембеевич</t>
  </si>
  <si>
    <t>80-1-15-00224359 Технологическое присоединение вводное (распределительное) устройство жилого дома Новый потребитель 0 кВт Респ. Калмыкия, р-н. Целинны</t>
  </si>
  <si>
    <t>Омшанов Владимир Владимирович</t>
  </si>
  <si>
    <t>80-1-15-00205027 Технологическое присоединение ВРУ 0.22 кВ жилого дома Новый потребитель 5 кВт Респ. Калмыкия, р-н. Целинный, с. Троицкое ул. Народная</t>
  </si>
  <si>
    <t>Орусова Алевтина Сангаджи-Горяевна</t>
  </si>
  <si>
    <t>80-1-17-00340175 Технологическое присоединение ВРУ-0,4кВ жилого дома Новый потребитель 0 кВт Респ. Калмыкия, г. Элиста кв-л. жилая группа Сити-2  д. 3</t>
  </si>
  <si>
    <t>Отхонов Олег Андреевич</t>
  </si>
  <si>
    <t>80-1-17-00313019 Технологическое присоединение жилой дом Новый потребитель 0 кВт Респ. Калмыкия, г. Элиста кв-л. Бантир жилая группа  д. 45</t>
  </si>
  <si>
    <t>Очирова Валентина Сергеевна</t>
  </si>
  <si>
    <t>80-1-17-00317689 Технологическое присоединение ВРУ-0,4кВ жилого дома Новый потребитель 0 кВт Респ. Калмыкия, г. Элиста кв-л. Санср  д. 14</t>
  </si>
  <si>
    <t>Очирова Татьяна Геннадьевна</t>
  </si>
  <si>
    <t>80-1-17-00301205 Технологическое присоединение жилой дом Новый потребитель 0 кВт Респ. Калмыкия, г. Элиста мкр. Молодежный  д. 19А</t>
  </si>
  <si>
    <t>Очирова Элла Цедеевна</t>
  </si>
  <si>
    <t>11901-13-00151801-1</t>
  </si>
  <si>
    <t>Павилов Аркадий Убушаевич</t>
  </si>
  <si>
    <t>80-1-15-00238219 Технологическое присоединение ВРУ 0.22 жилого дома Новый потребитель 0 кВт Респ. Калмыкия, р-н. Целинный, с. Троицкое ул. Л.Н.Толстог</t>
  </si>
  <si>
    <t>Петруев Эрдни Хоньашевич</t>
  </si>
  <si>
    <t>Попов Иван Иванович</t>
  </si>
  <si>
    <t>80-1-17-00334751 Технологическое присоединение ВРУ-0,4кВ жилого дома Новый потребитель 0 кВт Респ. Калмыкия, г. Элиста ул. Островского  д. 64</t>
  </si>
  <si>
    <t>Пронин Ярослав Егорович</t>
  </si>
  <si>
    <t>80-1-17-00334737 Технологическое присоединение ВРУ-0,22кВ жилого дома Новый потребитель 0 кВт Респ. Калмыкия, г. Элиста ул. Кирбазарная  д. 47Б</t>
  </si>
  <si>
    <t xml:space="preserve">80-1-17-00329959 Технологическое присоединение ВРУ-0,22кВ жилого дома Новый потребитель 0 кВт Респ. Калмыкия, г. Элиста кв-л. Бантир жилая группа  д. </t>
  </si>
  <si>
    <t>Пюрбеев Петр Дорчиевич</t>
  </si>
  <si>
    <t>80-1-17-00312883 Технологическое присоединение ВРУ-0,22кВ жилого дома Новый потребитель 0 кВт Респ. Калмыкия, г. Элиста ул. Буровая  д. 8</t>
  </si>
  <si>
    <t>Пюрвеев Петр Улюмджиевич</t>
  </si>
  <si>
    <t>80-1-17-00341133 Технологическое присоединение ВРУ 0,4 кВ жилого дома Новый потребитель 0 кВт Респ. Калмыкия, г. Элиста мкр. Сити-3  д. 88</t>
  </si>
  <si>
    <t>Самтанова Нина Васильевна</t>
  </si>
  <si>
    <t>80-1-17-00310619 Технологическое присоединение ВРУ-0,22кВ жилого дома Новый потребитель 0 кВт Респ. Калмыкия, г. Элиста ул. Оргакинская  д. 24</t>
  </si>
  <si>
    <t>Сангаджи-Горяев Герман Сергеевич</t>
  </si>
  <si>
    <t>80-1-17-00314637 Технологическое присоединение ВРУ-0,22кВ Жилого дома Новый потребитель 0 кВт Респ. Калмыкия, г. Элиста ул. Демьяновская  д. 140Б</t>
  </si>
  <si>
    <t>Сангаджи-Горяев Мерген Саналович</t>
  </si>
  <si>
    <t>80-1-17-00323963 Технологическое присоединение ВРУ 0.4 дома Новый потребитель 0 кВт Респ. Калмыкия, р-н. Лаганский, г. Лагань ул. Спасская  д. 7</t>
  </si>
  <si>
    <t>Сангаджи-Горяева Майя Борисовна</t>
  </si>
  <si>
    <t>80-1-17-00340273 Технологическое присоединение ВРУ-0,22кВ жилого дома Новый потребитель 0 кВт Респ. Калмыкия, г. Элиста проезд. 13-й  д. 9а</t>
  </si>
  <si>
    <t>Сангаджиева Байрта Шалбуровна</t>
  </si>
  <si>
    <t>80-1-17-00348021 Технологическое присоединение ВРУ-0,22кВ жилого дома Новый потребитель 0 кВт Респ. Калмыкия, г. Элиста проезд. 6-й  д. 36а</t>
  </si>
  <si>
    <t>Санджи-Горяева Надежда Александровна</t>
  </si>
  <si>
    <t>80-1-17-00334539 Технологическое присоединение ВРУ-0,4кВ жилого дома Новый потребитель 0 кВт Респ. Калмыкия, г. Элиста ул. 14-я  д. 35</t>
  </si>
  <si>
    <t>Санджиев Басанг Дмитриевич</t>
  </si>
  <si>
    <t>80-1-17-00330871 Технологическое присоединение ВРУ 0.22 кВ жилого дома Новый потребитель 0 кВт Респ. Калмыкия, г. Элиста ул. 16-я  д. 41</t>
  </si>
  <si>
    <t>Санджиева Эльза Сергеевна</t>
  </si>
  <si>
    <t xml:space="preserve">80-1-17-00313165 Технологическое присоединение ВРУ-0,22кВ жилого дома Новый потребитель 0 кВт Респ. Калмыкия, г. Элиста кв-л. Бантир жилая группа  д. </t>
  </si>
  <si>
    <t>Санжиев Игорь Владимирович</t>
  </si>
  <si>
    <t>80-1-17-00312347 Технологическое присоединение ВРУ-0,4кВ жилого дома Новый потребитель 0 кВт Респ. Калмыкия, г. Элиста ул. Имени партизанки Були Цюгат</t>
  </si>
  <si>
    <t>Санзырова Наталия Сергеевна</t>
  </si>
  <si>
    <t>80-1-17-00351999 Технологическое присоединение ВРУ 0,22 кВ жилого дома Новый потребитель 0 кВт Респ. Калмыкия, р-н. Яшкульский, п. Яшкуль ул. Яшкульск</t>
  </si>
  <si>
    <t>Сарангаева Галина Николаевна</t>
  </si>
  <si>
    <t>80-1-17-00334513 Технологическое присоединение ВРУ-0,22кВ жилого дома Новый потребитель 0 кВт Респ. Калмыкия, г. Элиста пер. Урлдан  д. 5Д</t>
  </si>
  <si>
    <t>Саранова Елена Джембяевна</t>
  </si>
  <si>
    <t xml:space="preserve">80-1-17-00344905 Технологическое присоединение ВРУ 0.22 кВ питающее дом животновода Новый потребитель 0 кВт </t>
  </si>
  <si>
    <t>80-1-17-00344845 Технологическое присоединение ВРУ-0,22кВ жилого дома пер. Урлдан 7В Новый потребитель 0 кВт Респ. Калмыкия, г. Элиста пер. Урлдан  д.</t>
  </si>
  <si>
    <t xml:space="preserve">80-1-17-00346565 Технологическое присоединение ВРУ-0,22кВ жилого дома пер Урлдан 7Д Новый потребитель 0 кВт Респ. Калмыкия, г. Элиста пер. Урлдан  д. </t>
  </si>
  <si>
    <t>Сатаев Михаил Сатаевич</t>
  </si>
  <si>
    <t>80-1-17-00334931 Технологическое присоединение ВРУ-0,4кВ жилого дома Новый потребитель 0 кВт Респ. Калмыкия, г. Элиста пер. им Дорджиева В.П.  д. 16</t>
  </si>
  <si>
    <t>Свечкарев Владимир Леонидович</t>
  </si>
  <si>
    <t>80-1-17-00312873 Технологическое присоединение ВРУ-0,22кВ жилого дома Новый потребитель 0 кВт Респ. Калмыкия, г. Элиста ул. Черного золота  д. 2</t>
  </si>
  <si>
    <t>Семенов Юрий Александрович</t>
  </si>
  <si>
    <t>80-1-17-00350495 Технологическое присоединение ВРУ-0,22кВ жилого дома Новый потребитель 0 кВт Респ. Калмыкия, г. Элиста ул. 11-я  д. 15</t>
  </si>
  <si>
    <t>Соктуева Надежда Чюдяевна</t>
  </si>
  <si>
    <t>80-1-17-00312845 Технологическое присоединение ВРУ 0,22 магазина Новый потребитель 0 кВт Респ. Калмыкия, р-н. Черноземельский, п. Комсомольский ул. Ле</t>
  </si>
  <si>
    <t>Стрельцова Елена Васильевна</t>
  </si>
  <si>
    <t>80-1-17-00335023 Технологическое присоединение ВРУ-0,22кВ жилого дома Новый потребитель 0 кВт Респ. Калмыкия, г. Элиста въезд. Ростовский  д. 6</t>
  </si>
  <si>
    <t>Стульнева Любовь Яковлевна</t>
  </si>
  <si>
    <t>80-1-16-00257649 Технологическое присоединение вводное (распрежелительное) устройство 0,22 кВ летней кухни Новый потребитель 0 кВт Респ. Калмыкия, р-н</t>
  </si>
  <si>
    <t>Таскимбаева Гиляна Владимировна</t>
  </si>
  <si>
    <t>80-1-17-00313343 Технологическое присоединение ВРУ 0,22 жилого дома Новый потребитель 0 кВт Респ. Калмыкия, р-н. Юстинский, п. Цаган-Аман ул. Зая Панд</t>
  </si>
  <si>
    <t>Тен Алла Георгиевна</t>
  </si>
  <si>
    <t xml:space="preserve">80-1-17-00351795 Технологическое присоединение ВРУ 0.4 кВ жилого дома Новый потребитель 0 кВт Респ. Калмыкия, р-н. Малодербетовский, п. Малые-Дербеты </t>
  </si>
  <si>
    <t>Титаренко Юрий Степанович</t>
  </si>
  <si>
    <t>80-1-17-00349219 Технологическое присоединение ВРУ-0,22 кВ гаража Новый потребитель 0 кВт Респ. Калмыкия, г. Элиста гск. Южный-2</t>
  </si>
  <si>
    <t>Тогаева Наталья Бувайсовна</t>
  </si>
  <si>
    <t>80-1-17-00317327 Технологическое присоединение ВРУ-0,22кВ жилого дома Новый потребитель 0 кВт Респ. Калмыкия, г. Элиста проезд. Луговой  д. 26</t>
  </si>
  <si>
    <t>Тутинова Александра Николаевна</t>
  </si>
  <si>
    <t>80-1-17-00348265 Технологическое присоединение ВРУ-0,4кВ жилого дома Новый потребитель 0 кВт Респ. Калмыкия, г. Элиста ул. В.И.Ленина  д. 35Б</t>
  </si>
  <si>
    <t>Тюменов Нимя Нарынович</t>
  </si>
  <si>
    <t>80-1-17-00328107 Технологическое присоединение ВРУ-0,4кВ жилого дома Новый потребитель 0 кВт Респ. Калмыкия, г. Элиста ул. Зулы Нохашкиева  д. 24</t>
  </si>
  <si>
    <t>Улюмджиев Виктор Александрович</t>
  </si>
  <si>
    <t>80-1-15-00191655 Технологическое присоединение ВРУ 0.22 кВ жилого дома Новый потребитель 5 кВт Респ. Калмыкия, р-н. Целинный, с. Троицкое проезд. Вост</t>
  </si>
  <si>
    <t>Улюмджиева Л С- Г</t>
  </si>
  <si>
    <t xml:space="preserve">80-1-17-00342685 Технологическое присоединение трансформаторная подстанция10/0,4кВ, питающая жилой дом ЛПХ Новый потребитель 0 кВт Респ. Калмыкия, г. </t>
  </si>
  <si>
    <t>Улюмджиева Наталья Наркаевна</t>
  </si>
  <si>
    <t>80-1-17-00342597 Технологическое присоединение ВРУ-0,4кВ нежилого здания Новый потребитель 0 кВт Респ. Калмыкия, г. Элиста мкр. 5</t>
  </si>
  <si>
    <t>Умадыков Александр Валерьевич</t>
  </si>
  <si>
    <t>80-1-17-00328405 Технологическое присоединение ВРУ-0,22кВ жилого дома Новый потребитель 0 кВт Респ. Калмыкия, г. Элиста въезд. Профсоюзный  д. 16</t>
  </si>
  <si>
    <t>11901-13-00145891-1</t>
  </si>
  <si>
    <t>Холод Виталий Васильевич</t>
  </si>
  <si>
    <t>80-1-17-00349437 Технологическое присоединение ВРУ 0.4 кВ питающее квартиру Увеличение мощности 0 кВт Респ. Калмыкия, р-н. Городовиковский, с. Веселое</t>
  </si>
  <si>
    <t>Хохлова Валентина Дертеевна</t>
  </si>
  <si>
    <t>80-1-17-00338301 Технологическое присоединение ВРУ 0.22 кВ жилого дома Новый потребитель 0 кВт Респ. Калмыкия, р-н. Целинный, с. Троицкое ул. Бакланов</t>
  </si>
  <si>
    <t>Хочиев Кирсан Вячеславович</t>
  </si>
  <si>
    <t>80-1-17-00300951 Технологическое присоединение жилой дом Новый потребитель 0 кВт Респ. Калмыкия, г. Элиста пер. Урлдан  д. 9в</t>
  </si>
  <si>
    <t>Худогулов Вячеслав Борисович</t>
  </si>
  <si>
    <t>80-1-17-00319545 Технологическое присоединение ВРУ 0.22 кВ жилого дома Новый потребитель 0 кВт Респ. Калмыкия, р-н. Целинный, с. Троицкое ул. 50 лет П</t>
  </si>
  <si>
    <t>Хунялова Байрта Михайловна</t>
  </si>
  <si>
    <t xml:space="preserve">80-1-15-00217645 Технологическое присоединение ВРУ 0.22 кВ жилого дома Новый потребитель 0 кВт Респ. Калмыкия, г. Элиста, п. Аршан ул. Родниковая  д. </t>
  </si>
  <si>
    <t>Царенов Чингиз Васильевич</t>
  </si>
  <si>
    <t>80-1-17-00349415 Технологическое присоединение ВРУ 0.4 кВ жилого дома Новый потребитель 0 кВт Респ. Калмыкия, р-н. Яшкульский, п. Яшкуль ул. Алтн-Булг</t>
  </si>
  <si>
    <t>Цеденов Санал Михайлович</t>
  </si>
  <si>
    <t>80-1-17-00310843 Технологическое присоединение ВРУ 0,22 жилого дома Новый потребитель 0 кВт Респ. Калмыкия, р-н. Целинный, с. Троицкое ул. 40 лет Октя</t>
  </si>
  <si>
    <t>Цекирова Данара Александровна</t>
  </si>
  <si>
    <t>80-1-17-00349319 Технологическое присоединение ВРУ-0,4кВ жилого дома Новый потребитель 0 кВт Респ. Калмыкия, г. Элиста, п. Аршан пер. Романтиков  д. 4</t>
  </si>
  <si>
    <t>Церенова Валентина Сангаджиевна</t>
  </si>
  <si>
    <t>80-1-17-00317365 Технологическое присоединение ВРУ-0,22кВ жилого дома Новый потребитель 0 кВт Респ. Калмыкия, г. Элиста проезд. 6-й  д. 36А</t>
  </si>
  <si>
    <t>Церенова Татьяна Борисовна</t>
  </si>
  <si>
    <t>80-1-17-00318329 Технологическое присоединение ВРУ-0,22кВ жилого дома Новый потребитель 0 кВт Респ. Калмыкия, г. Элиста</t>
  </si>
  <si>
    <t>Цяолун Батэбаиэр</t>
  </si>
  <si>
    <t>80-1-17-00333251 Технологическое присоединение Однофазная ТП-10/0,4кВ для электроснабжения жилого дома Новый потребитель 0 кВт Респ. Калмыкия, г. Элис</t>
  </si>
  <si>
    <t>Чадыров Баатр Валериевич гр</t>
  </si>
  <si>
    <t>80-1-17-00335087 Технологическое присоединение ВРУ-0,4кВ магазина Новый потребитель 0 кВт Респ. Калмыкия, г. Элиста мкр. 1  д. 37Г</t>
  </si>
  <si>
    <t>Чамсадинов Чамсадин Магомедсаидович</t>
  </si>
  <si>
    <t>80-1-16-00262297 Технологическое присоединение ТП 10/0,22 кВ, питающая животноводческую стоянку Новый потребитель 0 кВт Респ. Калмыкия, р-н. Яшалтинск</t>
  </si>
  <si>
    <t>Четырев Павел Павлович</t>
  </si>
  <si>
    <t>80-1-17-00312439 Технологическое присоединение ВРУ-0,22кВ жилого дома Новый потребитель 0 кВт Респ. Калмыкия, г. Элиста ул. Червленная  д. 11</t>
  </si>
  <si>
    <t>Чудаев Валерий Николаевич</t>
  </si>
  <si>
    <t>80-1-17-00329725 Технологическое присоединение ВРУ 0.4 кВ жилого дома Новый потребитель 0 кВт Респ. Калмыкия, р-н. Лаганский, г. Лагань ул. Революцион</t>
  </si>
  <si>
    <t>Чумпинов Санжа Бадьминович</t>
  </si>
  <si>
    <t>80-1-17-00312763 Технологическое присоединение ВРУ-0,22кВ жилого дома Новый потребитель 0 кВт Респ. Калмыкия, г. Элиста</t>
  </si>
  <si>
    <t>Шакуева Сянцана Батыровна</t>
  </si>
  <si>
    <t>80-1-17-00314005 Технологическое присоединение ВРУ-0,22кВ жилого дома Новый потребитель 0 кВт Респ. Калмыкия, г. Элиста ул. Полынная  д. 50</t>
  </si>
  <si>
    <t>Шалбуров Вячеслав Эрдниевич</t>
  </si>
  <si>
    <t>80-1-17-00334783 Технологическое присоединение ВРУ-0,4кВ объекта социального обслуживания Новый потребитель 0 кВт Респ. Калмыкия, г. Элиста ул. Ю.Клык</t>
  </si>
  <si>
    <t>Шараева Лейла Дурсуновна</t>
  </si>
  <si>
    <t>80-1-17-00298115 Технологическое присоединение ВРУ 0.4 кВ жилого дома в с.Троицкое по ул. Толстого , д. 81 Новый потребитель 0 кВт Респ. Калмыкия, р-н</t>
  </si>
  <si>
    <t>Шарлдаев Тюмид Улюмджиевич</t>
  </si>
  <si>
    <t>80-1-17-00312853 Технологическое присоединение ВРУ-0,22кВ жилого дома Новый потребитель 0 кВт Респ. Калмыкия, г. Элиста ул. Черного золота  д. 13</t>
  </si>
  <si>
    <t>Эрднигоряев Владимир Юрьевич</t>
  </si>
  <si>
    <t>80-1-17-00312815 Технологическое присоединение ВРУ-0,22кВ жилого дома Новый потребитель 0 кВт Респ. Калмыкия, г. Элиста</t>
  </si>
  <si>
    <t>Эрдниева Екатерина Анатольевна</t>
  </si>
  <si>
    <t>80-1-17-00347499 Технологическое присоединение ВРУ-0,4кВ жилого дома Новый потребитель 0 кВт Респ. Калмыкия, г. Элиста, п. Аршан   д. 3</t>
  </si>
  <si>
    <t>Эрдниева Мария Манджарыковна</t>
  </si>
  <si>
    <t>80-1-17-00333975 Технологическое присоединение ВРУ 0,23 кВ жилого дома Новый потребитель 0 кВт Респ. Калмыкия, р-н. Кетченеровский, п. Цегрик ул. Лерм</t>
  </si>
  <si>
    <t>Эрдниева Татьяна Вячеславовна</t>
  </si>
  <si>
    <t xml:space="preserve">80-1-17-00338441 Технологическое присоединение ВРУ-0,22кВ жилого дома Новый потребитель 0 кВт Респ. Калмыкия, г. Элиста кв-л. Гурвн Сала жилая группа </t>
  </si>
  <si>
    <t>Эрендженова Ольга Чонаевна</t>
  </si>
  <si>
    <t>80-1-17-00315761 Технологическое присоединение ВРУ-0,22кВ жилого дома Новый потребитель 0 кВт Респ. Калмыкия, г. Элиста ул. Звездная  д. 46Б</t>
  </si>
  <si>
    <t>Эрендженова Светлана Николаевна</t>
  </si>
  <si>
    <t>80-1-17-00312361 Технологическое присоединение ВРУ-0,4кВ жилого дома Новый потребитель 0 кВт Респ. Калмыкия, г. Элиста ул. Имени партизана Анатолия Ка</t>
  </si>
  <si>
    <t xml:space="preserve">80-1-17-00323773 Технологическое присоединение базовая станция мобильной связи №62967 "Трио"  в г.Элиста  ул Сухе-Батора д.30 Новый потребитель 0 кВт </t>
  </si>
  <si>
    <t>Газпром газораспределение ОАО</t>
  </si>
  <si>
    <t>22003-13-00136789-1</t>
  </si>
  <si>
    <t>42003-13-00137001-1</t>
  </si>
  <si>
    <t>42003-13-00137009-1</t>
  </si>
  <si>
    <t>80-1-17-00303819 Технологическое присоединение КЛ-0.22 кВ питающая оборудование ПГБ п.Арым Новый потребитель 0 кВт Респ. Калмыкия, р-н. Сарпинский, п.</t>
  </si>
  <si>
    <t>80-1-17-00303825 Технологическое присоединение ВЛ 0.22 кВ питающая обрудовантие ПГБ п.Коробкин Новый потребитель 0 кВт Респ. Калмыкия, р-н. Сарпинский</t>
  </si>
  <si>
    <t>80-1-17-00303831 Технологическое присоединение ВЛ 0.4 кВ питающая оборудование ПГБ п.Салын-Тугтун Новый потребитель 0 кВт Респ. Калмыкия, р-н. Сарпинс</t>
  </si>
  <si>
    <t>Договор по ТП 29,24,43 от 01.10.08</t>
  </si>
  <si>
    <t>ИП Синглеев Вадим Эдуардович</t>
  </si>
  <si>
    <t>80-1-15-00209275 Технологическое присоединение ВРУ 0.4 кВ парикмахерской Новый потребитель 12 кВт Респ. Калмыкия, р-н. Целинный, с. Троицкое ул. А.С.П</t>
  </si>
  <si>
    <t>ИП Халтыров Игорь Алексеевич</t>
  </si>
  <si>
    <t>80-1-14-00180351 Технологическое присоединение ВРУ 10 кВ животноводческой стоянки КФХ Новый потребитель 5 кВт Респ. Калмыкия, р-н. Яшкульский, п. Улан</t>
  </si>
  <si>
    <t>Казенное учреждение Республики Калмыкия "Центр социальной защиты населения Городовиковского района"</t>
  </si>
  <si>
    <t>80-1-17-00332879 Технологическое присоединение ВРУ 0.4 кВ питающее здание станции юных техников Новый потребитель 0 кВт Респ. Калмыкия, р-н. Городовик</t>
  </si>
  <si>
    <t>МегаФон ПАО</t>
  </si>
  <si>
    <t>основной договор</t>
  </si>
  <si>
    <t>80-1-17-00300061 Технологическое присоединение базовая станция ,расположенная в г.Элиста ул. Ленина, западнее КПРК " ДСК" Новый потребитель 0 кВт Респ</t>
  </si>
  <si>
    <t>80-1-17-00350071 Технологическое присоединение конечная точка доступа ВОЛС для устранения цифрового неравенства п.Чолун-Хамур Ики-Бурульского р-на Нов</t>
  </si>
  <si>
    <t>80-1-17-00350229 Технологическое присоединение конечная точка доступа ВОЛС для устранения цифрового неравенства п. Зунда-Толга Ики-Бурульского р-на Но</t>
  </si>
  <si>
    <t>80-1-17-00350259 Технологическое присоединение конечная точка доступа ВОЛС для устранения цифрового неравенства п.Маныч Ики-Бурульского р-на Новый пот</t>
  </si>
  <si>
    <t>80-1-17-00350297 Технологическое присоединение конечная точка доступа ВОЛС для устранения цифрового неравенства п.Светлый Ики-Бурульского р-на Новый п</t>
  </si>
  <si>
    <t>80-1-17-00352525 Технологическое присоединение конечная точка доступа ВОЛС для устранения цифрового неравенства в п.Кумской Черноземельского р-на Новы</t>
  </si>
  <si>
    <t xml:space="preserve">80-1-17-00352605 Технологическое присоединение конечная точка доступа ВОЛС для устранения цифрового неравенства в п.Нарын-Худук Черноземельского р-на </t>
  </si>
  <si>
    <t>80-1-16-00289265 Технологическое присоединение искусственное электроосвещение автомобильной дороги Р-21 (А-154) "Астрахань-Элиста-Ставрополь" км 239+0</t>
  </si>
  <si>
    <t>Шиндя К(Ф)Х</t>
  </si>
  <si>
    <t xml:space="preserve">80-1-14-00184175 Технологическое присоединение ВЛ 10 кВ, КТП 10/0,4 кВ, питающие животоноводческую стоянку Новый потребитель 3,83 кВт Респ. Калмыкия, </t>
  </si>
  <si>
    <t>Энергосервис АО</t>
  </si>
  <si>
    <t>80-1-17-00345079 Технологическое присоединение ВРУ 0,4 кВ энергопринимающего устройства, предназначенного для коммунального обслуживания ул. Хомутнико</t>
  </si>
  <si>
    <t>80-1-17-00345511 Технологическое присоединение ВРУ 0,4 кВ энергопринимающего устройства, предназначенного для коммунального обслуживания г.Элиста 3 ми</t>
  </si>
  <si>
    <t>Технологическое присоединение мощностью не менее 670 кВт</t>
  </si>
  <si>
    <t>Калмкаспвод ФГУ</t>
  </si>
  <si>
    <t xml:space="preserve">80-1-14-00187511 Технологическое присоединение ПС 35/6 кВ "Насосная" Новый потребитель 3 300 кВт </t>
  </si>
  <si>
    <t>Биф Арт ЗАО</t>
  </si>
  <si>
    <t xml:space="preserve">80-1-14-00175287 Технологическое присоединение Мясоперерабатывающий комплекс (первая очередь) Увеличение мощности 3 840 кВт </t>
  </si>
  <si>
    <t>Гучинова Байрта Васильевна ИП</t>
  </si>
  <si>
    <t>08001130000038 21902-13-00119307-1</t>
  </si>
  <si>
    <t>Кичиков Савр Сергеевич ИП</t>
  </si>
  <si>
    <t>80-1-16-00248699 Технологическое присоединение Животноводческая стоянка Новый потребитель 0 кВт Респ. Калмыкия, р-н. Кетченеровский, п. Кетченеры</t>
  </si>
  <si>
    <t>Комсомольская гимназия им.Б.Басангова МБОУ</t>
  </si>
  <si>
    <t>80-1-17-00346763 Технологическое присоединение вводное (распределительное) устройство 0.4 кВ блока начальных классов на 125 учащихся Новый потребитель</t>
  </si>
  <si>
    <t>МРИ ФНС РФ 1 по Республике Калмыкия</t>
  </si>
  <si>
    <t>80-1-17-00343285 Технологическое присоединение ВРУ 0.4 кВ нежилого помещения Увеличение мощности 0 кВт Респ. Калмыкия, р-н. Городовиковский, г. Городо</t>
  </si>
  <si>
    <t>Ачиров Леонид Улюмджиевич</t>
  </si>
  <si>
    <t>80-1-17-00304565 Технологическое присоединение офис Увеличение мощности 0 кВт Респ. Калмыкия, г. Элиста ул. Чкалова  д. 4</t>
  </si>
  <si>
    <t>Бамбышев Василий Александрович</t>
  </si>
  <si>
    <t xml:space="preserve">80-1-17-00322175 Технологическое присоединение трансформаторная подстанция 10/0,4кВ, питающая гараж Новый потребитель 0 кВт Респ. Калмыкия, г. Элиста </t>
  </si>
  <si>
    <t>80-1-17-00341215 Технологическое присоединение ВРУ-0,4кВ магазина г. Элиста ул. Изотова д.68 А Новый потребитель 0 кВт Респ. Калмыкия, г. Элиста ул. И</t>
  </si>
  <si>
    <t>Индивидуальный предприниматель Бадмаева Елена Борисовна</t>
  </si>
  <si>
    <t>80-1-17-00321425 Технологическое присоединение ВРУ-0,4кВ мини-пекарни Увеличение мощности 0 кВт Респ. Калмыкия, г. Элиста ул. Тенгрин Уйдл  д. 57А</t>
  </si>
  <si>
    <t>Индивидуальный предприниматель Грицина Николай Павлович</t>
  </si>
  <si>
    <t xml:space="preserve">80-1-17-00337683 Технологическое присоединение ВРУ 0,4 кВ складского помещения Новый потребитель 0 кВт Респ. Калмыкия, р-н. Приютненский, с. Приютное </t>
  </si>
  <si>
    <t>Капуров Сапиюлла Набиюллаевич</t>
  </si>
  <si>
    <t>80-1-16-00292469 Технологическое присоединение ТП 10/0,4 кВ Новый потребитель 0 кВт Респ. Калмыкия, р-н. Яшалтинский, с. Шовгр-Толга</t>
  </si>
  <si>
    <t>Шоволдаева Анна Викторовна</t>
  </si>
  <si>
    <t>80-1-17-00348787 Технологическое присоединение ВРУ-0,4кВ 2-х этажных блокированных жилых домов Новый потребитель 0 кВт Респ. Калмыкия, г. Элиста ул. и</t>
  </si>
  <si>
    <t>Администрация Сарульского сельского муниципального образования Республики Калмыкия</t>
  </si>
  <si>
    <t xml:space="preserve">80-1-17-00311559 Технологическое присоединение ВРУ 0,4 кВ пункта для раздачи воды Новый потребитель 0 кВт </t>
  </si>
  <si>
    <t>Биф Арт ООО</t>
  </si>
  <si>
    <t>80-1-15-00201243 Технологическое присоединение КТП 10/0,4 кв питающая Водозабор Новый потребитель 40 кВт Респ. Калмыкия, р-н. Кетченеровский, п. Гашун</t>
  </si>
  <si>
    <t>80-1-17-00334689 Технологическое присоединение оборудование для энергоснабжения малоэтажной многоквартирной жилой застройки Новый потребитель 0 кВт Ре</t>
  </si>
  <si>
    <t>ИП Бокаев Борис Бамбаевич</t>
  </si>
  <si>
    <t>80-1-14-00188215 Технологическое присоединение КТП 10/0,4 кВ животноводческой стоянки Новый потребитель 20 кВт Респ. Калмыкия, р-н. Сарпинский, с. Сад</t>
  </si>
  <si>
    <t>Общество с ограниченной ответственностью "Арлтан"</t>
  </si>
  <si>
    <t xml:space="preserve">80-1-17-00347835 Технологическое присоединение КТП 10/0,4 кВ, питающая скотоубойный цех Новый потребитель 0 кВт </t>
  </si>
  <si>
    <t>Тег ООО</t>
  </si>
  <si>
    <t>80-1-17-00349649 Технологическое присоединение ВРУ 0,4 кВ модуля Талдомского завода Увеличение мощности 0 кВт Респ. Калмыкия, р-н. Целинный, с. Троицк</t>
  </si>
  <si>
    <t>ФГКУ "Пограничное управление Федеральной службы безопасности Российской Федерации по Республике Калм</t>
  </si>
  <si>
    <t>22100-14-00155921-1 Технологическое присоединение Пост береговой охраны 7-й км Новый потребитель 20 кВт Респ. Калмыкия, р-н. Лаганский, г. Лагань</t>
  </si>
  <si>
    <t>Адм Лаганского РМО РК</t>
  </si>
  <si>
    <t>80-1-14-00185821 Технологическое присоединение инженерная инфраструктура малоэтажной жилой застройки на земельном участке (8 га) в северной части г.Ла</t>
  </si>
  <si>
    <t>АВГА КФХ глава Джеляев Анатолий Анатольевич</t>
  </si>
  <si>
    <t>80200-14-00170739-1 Технологическое присоединение орошаемый участок Новый потребитель 600 кВт Респ. Калмыкия, р-н. Лаганский, с. Красинское</t>
  </si>
  <si>
    <t>ИП Катаев Леонид Сергеевич</t>
  </si>
  <si>
    <t xml:space="preserve">80-1-15-00236091 Технологическое присоединение КТП 10/0,4 кВ 400 кВА питающая КФХ Новый потребитель 0 кВт </t>
  </si>
  <si>
    <t>МВД Республики Калмыкия</t>
  </si>
  <si>
    <t>80-1-17-00319027 Технологическое присоединение трансформаторная подстанция 10/0,4 кв, питающая здания ФКУЗ " Медико-санитарной части МВД РК" Новый пот</t>
  </si>
  <si>
    <t>Индивидуальный предприниматель Кравченко Марина Николаевна</t>
  </si>
  <si>
    <t>80-1-17-00341525 Технологическое присоединение ТП 10/0,4 кВ питающее оборудования административного здания Новый потребитель 0 кВт Респ. Калмыкия, р-н</t>
  </si>
  <si>
    <t>муниципальное казенное учреждение "Управление строительства городо Элисты"</t>
  </si>
  <si>
    <t xml:space="preserve">80-1-17-00340583 Технологическое присоединение ВРУ 0,4 кВ современной школы на 1000 мест Новый потребитель 0 кВт Респ. Калмыкия, г. Элиста мкр. 9  д. </t>
  </si>
  <si>
    <t>Обороты счета 20.01 за 2017 г.</t>
  </si>
  <si>
    <t>Номенклатурные группы В группе из списка "УСЛУГИ ПО ТЕХНОЛОГИЧЕСКОМ..."</t>
  </si>
  <si>
    <t>Номенклатурные группы</t>
  </si>
  <si>
    <t>Статьи затрат</t>
  </si>
  <si>
    <t>20.01</t>
  </si>
  <si>
    <t>Амортизационная премия</t>
  </si>
  <si>
    <t>Амортизация НМА</t>
  </si>
  <si>
    <t>Амортизация прочих ОС</t>
  </si>
  <si>
    <t>Аренда автотранспорта производственного назначения и спецтехники</t>
  </si>
  <si>
    <t>Аренда земельных участков под производственными и административными объектами</t>
  </si>
  <si>
    <t>Аренда недвижимого имущества (производственного назначения)</t>
  </si>
  <si>
    <t>Возмещение вреда, причиняемого автомобильным дорогам общего пользования федерального значения ТС, имеющими разрешенную максимальную массу свыше 12 тн</t>
  </si>
  <si>
    <t>Гарантии и компенсации - выходное пособие при прекращении трудового договора</t>
  </si>
  <si>
    <t>Гарантии и компенсации - прочие расходы</t>
  </si>
  <si>
    <t>ГСМ для производственного транспорта и оборудования</t>
  </si>
  <si>
    <t>ГСМ для транспорта административно-хозяйственного назначения</t>
  </si>
  <si>
    <t>Добровольное медицинское страхование сотрудников (ДМС)</t>
  </si>
  <si>
    <t>Добровольное страхование сотрудников от несчастных случаев и болезней</t>
  </si>
  <si>
    <t>Дополнительная заработная плата - вознаграждения (надбавки) за выслугу лет, стаж работы</t>
  </si>
  <si>
    <t>Дополнительная заработная плата - доплаты и надбавки к тарифным ставкам и окладам</t>
  </si>
  <si>
    <t>Затраты на охрану труда - мероприятия по предупреждению заболеваний на производстве</t>
  </si>
  <si>
    <t>Затраты на охрану труда - мероприятия по предупреждению несчастных случаев</t>
  </si>
  <si>
    <t>Затраты на приобретение технической, экономической литературы</t>
  </si>
  <si>
    <t>Затраты на экологию (кроме налогов и сборов)</t>
  </si>
  <si>
    <t>Земельный налог</t>
  </si>
  <si>
    <t>Иные выплаты в составе заработной платы</t>
  </si>
  <si>
    <t>Канцелярские затраты</t>
  </si>
  <si>
    <t>Командировочные расходы по повышению квалификации - проезд воздушным транспортом</t>
  </si>
  <si>
    <t>Командировочные расходы по повышению квалификации - проезд железнодорожным транспортом</t>
  </si>
  <si>
    <t>Командировочные расходы по повышению квалификации - проезд прочим транспортом</t>
  </si>
  <si>
    <t>Командировочные расходы по повышению квалификации - проживание</t>
  </si>
  <si>
    <t>Командировочные расходы по повышению квалификации - суточные</t>
  </si>
  <si>
    <t>Командировочные расходы производственные - проезд воздушным транспортом</t>
  </si>
  <si>
    <t>Командировочные расходы производственные - проезд железнодорожным транспортом</t>
  </si>
  <si>
    <t>Командировочные расходы производственные - проезд прочим транспортом</t>
  </si>
  <si>
    <t>Командировочные расходы производственные - проживание</t>
  </si>
  <si>
    <t>Командировочные расходы производственные - суточные</t>
  </si>
  <si>
    <t>Материалы для автотранспортных средств административно-хозяйственного назначения (ремонт)</t>
  </si>
  <si>
    <t>Материалы для автотранспортных средств административно-хозяйственного назначения (техобслуживание)</t>
  </si>
  <si>
    <t>Материалы для автотранспортных средств производственного назначения (ремонт)</t>
  </si>
  <si>
    <t>Материалы для автотранспортных средств производственного назначения (техобслуживание)</t>
  </si>
  <si>
    <t>Материалы для административных зданий и сооружений (ремонт)</t>
  </si>
  <si>
    <t>Материалы для административных зданий и сооружений (техобслуживание)</t>
  </si>
  <si>
    <t>Материалы для оргтехники (техобслуживание)</t>
  </si>
  <si>
    <t>Материалы для производственных зданий и сооружений (ремонт)</t>
  </si>
  <si>
    <t>Материалы для производственных зданий и сооружений (техобслуживание)</t>
  </si>
  <si>
    <t>Материалы для средств измерений (техобслуживание)</t>
  </si>
  <si>
    <t>Материалы для средств связи (техобслуживание)</t>
  </si>
  <si>
    <t>Налог на имущество организаций</t>
  </si>
  <si>
    <t>Оплата дней нетрудоспособности</t>
  </si>
  <si>
    <t>Оплата учебных отпусков</t>
  </si>
  <si>
    <t>Основная заработная плата</t>
  </si>
  <si>
    <t>Повышение квалификации кадров</t>
  </si>
  <si>
    <t>Профессиональная переподготовка кадров</t>
  </si>
  <si>
    <t>Профессиональная подготовка кадров</t>
  </si>
  <si>
    <t>Прочие материалы бытовая техника</t>
  </si>
  <si>
    <t>Прочие материалы другие</t>
  </si>
  <si>
    <t>Прочие материалы инструмент и инвентарь</t>
  </si>
  <si>
    <t>Прочие материалы мебель</t>
  </si>
  <si>
    <t>Прочие материалы моющие и чистящие средства</t>
  </si>
  <si>
    <t>Прочие материалы по охране труда и технике безопасности</t>
  </si>
  <si>
    <t>Прочие материалы по пожарной безопасности</t>
  </si>
  <si>
    <t>Прочие материалы смывающие и обезвреживающие средства</t>
  </si>
  <si>
    <t>Прочие материалы специальная одежда и обувь</t>
  </si>
  <si>
    <t>Прочие материалы средства защиты</t>
  </si>
  <si>
    <t>Расходы по управлению собственностью - затраты на гос.регистрацию прав (аренды) на земельные участки</t>
  </si>
  <si>
    <t>Расходы по управлению собственностью - изготовление технических паспортов на объекты недвижимости</t>
  </si>
  <si>
    <t>Расходы по управлению собственностью - кадастровые работы по межеванию земельных участков</t>
  </si>
  <si>
    <t>РЕЗЕРВ на выплату вознаграждений работникам по итогам года (без страховых взносов)</t>
  </si>
  <si>
    <t>РЕЗЕРВ на выплату вознаграждений работникам по итогам квартала (без страховых взносов)</t>
  </si>
  <si>
    <t>РЕЗЕРВ на выплату вознаграждений работникам по итогам месяца (без страховых взносов)</t>
  </si>
  <si>
    <t>РЕЗЕРВ на оплату отпусков (без страховых взносов)</t>
  </si>
  <si>
    <t>Стимулирующие выплаты - Единовременные премии</t>
  </si>
  <si>
    <t>Стимулирующие выплаты - Премии и вознаграждения, носящие систематический характер</t>
  </si>
  <si>
    <t>Страхование гражданской ответственности владельцев автотранспортных средств (ОСАГО)</t>
  </si>
  <si>
    <t>Страхование гражданской ответственности организаций, эксплуатирующих опасные объекты</t>
  </si>
  <si>
    <t>Страхование имущества кроме транспортных средств</t>
  </si>
  <si>
    <t>Страхование средств автотранспорта (КАСКО)</t>
  </si>
  <si>
    <t>Страховые взносы на обязательное медицинское страхование ФФОМС</t>
  </si>
  <si>
    <t>Страховые взносы на обязательное медицинское страхование ФФОМС (резерв на выплату вознаграждений по итогам года)</t>
  </si>
  <si>
    <t>Страховые взносы на обязательное медицинское страхование ФФОМС (резерв на выплату вознаграждений по итогам квартала)</t>
  </si>
  <si>
    <t>Страховые взносы на обязательное медицинское страхование ФФОМС (резерв на выплату вознаграждений по итогам месяца)</t>
  </si>
  <si>
    <t>Страховые взносы на обязательное медицинское страхование ФФОМС (резерв на оплату отпусков)</t>
  </si>
  <si>
    <t>Страховые взносы на обязательное пенсионное страхование ПФ РФ(страховая часть)</t>
  </si>
  <si>
    <t>Страховые взносы на обязательное пенсионное страхование ПФ РФ(страховая часть) (резерв на выплату вознаграждений по итогам года)</t>
  </si>
  <si>
    <t>Страховые взносы на обязательное пенсионное страхование ПФ РФ(страховая часть) (резерв на выплату вознаграждений по итогам квартала)</t>
  </si>
  <si>
    <t>Страховые взносы на обязательное пенсионное страхование ПФ РФ(страховая часть) (резерв на выплату вознаграждений по итогам месяца)</t>
  </si>
  <si>
    <t>Страховые взносы на обязательное пенсионное страхование ПФ РФ(страховая часть) (резерв на оплату отпусков)</t>
  </si>
  <si>
    <t>Страховые взносы на обязательное страхование от НС и ПЗ ФСС</t>
  </si>
  <si>
    <t>Страховые взносы на обязательное страхование от НС и ПЗ ФСС (резерв на выплату вознаграждений по итогам года)</t>
  </si>
  <si>
    <t>Страховые взносы на обязательное страхование от НС и ПЗ ФСС (резерв на выплату вознаграждений по итогам квартала)</t>
  </si>
  <si>
    <t>Страховые взносы на обязательное страхование от НС и ПЗ ФСС (резерв на выплату вознаграждений по итогам месяца)</t>
  </si>
  <si>
    <t>Страховые взносы на обязательное страхование от НС и ПЗ ФСС (резерв на оплату отпусков)</t>
  </si>
  <si>
    <t>Страховые взносы на случай временной нетрудоспособности и в связи с материнством ФСС</t>
  </si>
  <si>
    <t>Страховые взносы на случай временной нетрудоспособности и в связи с материнством ФСС (резерв на выплату вознаграждений по итогам года)</t>
  </si>
  <si>
    <t>Страховые взносы на случай временной нетрудоспособности и в связи с материнством ФСС (резерв на выплату вознаграждений по итогам квартала)</t>
  </si>
  <si>
    <t>Страховые взносы на случай временной нетрудоспособности и в связи с материнством ФСС (резерв на выплату вознаграждений по итогам месяца)</t>
  </si>
  <si>
    <t>Страховые взносы на случай временной нетрудоспособности и в связи с материнством ФСС (резерв на оплату отпусков)</t>
  </si>
  <si>
    <t>Тепловая энергия на производственные и хозяйственные нужды</t>
  </si>
  <si>
    <t>Транспортный налог</t>
  </si>
  <si>
    <t>Услуги информационные по предоставлению метеоданных</t>
  </si>
  <si>
    <t>Услуги ИТ - внедрение SAP</t>
  </si>
  <si>
    <t>Услуги ИТ - информационные системы (Консультант+, Гарант и другие)</t>
  </si>
  <si>
    <t>Услуги ИТ - приобретение программных продуктов (в т.ч. лиценз. соглашения)</t>
  </si>
  <si>
    <t>Услуги ИТ - разработка системного проекта и внедрение прочих программных продуктов</t>
  </si>
  <si>
    <t>Услуги ИТ - сопровождение и обновление программных продуктов</t>
  </si>
  <si>
    <t>Услуги коммунального хозяйства - вывоз ТБО</t>
  </si>
  <si>
    <t>Услуги коммунального хозяйства - газоснабжение</t>
  </si>
  <si>
    <t>Услуги коммунального хозяйства - содержание и ремонт помещений</t>
  </si>
  <si>
    <t>Услуги коммунального хозяйства - холодное водоснабжение и канализация</t>
  </si>
  <si>
    <t>Услуги консультационные - другие</t>
  </si>
  <si>
    <t>Услуги консультационные - финансовые и бухгалтерские консультации (кроме консультаций в области МСФО)</t>
  </si>
  <si>
    <t>Услуги по аттестации объекта информатизации, технической защите информации, составляющей гос.тайну</t>
  </si>
  <si>
    <t>Услуги по диагностике и экспертизе промышленной безопасности</t>
  </si>
  <si>
    <t>Услуги по испытанию и поверке приборов (метрологические)</t>
  </si>
  <si>
    <t>Услуги по организации казначейской функции</t>
  </si>
  <si>
    <t>Услуги по предрейсовому и послерейсовому медосвидетельствованию водителей транспорта административно-хозяйственного назначения</t>
  </si>
  <si>
    <t>Услуги по предрейсовому и послерейсовому медосвидетельствованию водителей транспорта производственного назначения</t>
  </si>
  <si>
    <t>Услуги по сертификации и контролю качества электроэнергии</t>
  </si>
  <si>
    <t>Услуги по сертификации систем менеджмента</t>
  </si>
  <si>
    <t>Услуги по техническому надзору над объектами электросетевого хозяйства</t>
  </si>
  <si>
    <t>Услуги по техосмотру, инструментальному контролю и перерегистрации транспорта административно-хозяйственного назначения</t>
  </si>
  <si>
    <t>Услуги по техосмотру, инструментальному контролю и перерегистрации транспорта производственного назначения</t>
  </si>
  <si>
    <t>Услуги по транспортировке и утилизации опасных производственных отходов</t>
  </si>
  <si>
    <t>Услуги подрядчиков по ремонту транспорта административно-хозяйственного назначения</t>
  </si>
  <si>
    <t>Услуги подрядчиков по ремонту транспорта производственного назначения</t>
  </si>
  <si>
    <t>Услуги подрядчиков по техобслуживанию административных зданий и сооружений</t>
  </si>
  <si>
    <t>Услуги подрядчиков по техобслуживанию оргтехники</t>
  </si>
  <si>
    <t>Услуги подрядчиков по техобслуживанию прочих технических средств</t>
  </si>
  <si>
    <t>Услуги подрядчиков по техобслуживанию транспорта административно-хозяйственного назначен</t>
  </si>
  <si>
    <t>Услуги подрядчиков по техобслуживанию транспорта производственного назначения</t>
  </si>
  <si>
    <t>Услуги пожарной охраны - прочие</t>
  </si>
  <si>
    <t>Услуги пожарной охраны - техобслуживание автоматических установок пожаротушения и пожарной сигнализации</t>
  </si>
  <si>
    <t>Услуги почты и телеграфа</t>
  </si>
  <si>
    <t>Услуги связи и передачи данных - аренда каналов связи</t>
  </si>
  <si>
    <t>Услуги связи и передачи данных - городская и междугородняя телефонная связь</t>
  </si>
  <si>
    <t>Услуги связи и передачи данных - интернет-обслуживание</t>
  </si>
  <si>
    <t>Услуги связи и передачи данных - мобильная связь</t>
  </si>
  <si>
    <t>Услуги связи и передачи данных - прочие услуги связи</t>
  </si>
  <si>
    <t>Услуги связи и передачи данных - услуги радиочастотных центров</t>
  </si>
  <si>
    <t>Услуги связи и передачи данных - услуги специальной связи</t>
  </si>
  <si>
    <t>Услуги СМИ</t>
  </si>
  <si>
    <t>Услуги типографии и типографская продукция</t>
  </si>
  <si>
    <t>Услуги физической охраны и инженерно-технического обслуживания</t>
  </si>
  <si>
    <t>Экологические платежи за загрязнение окружающей среды (в пределах лимитов выбросов)</t>
  </si>
  <si>
    <t>Экологические платежи за загрязнение окружающей среды (сверх лимитов выбросов)</t>
  </si>
  <si>
    <t>Электрическая энергия на производственные и хозяйственные нужды</t>
  </si>
  <si>
    <t>Услуги по организации функционирования и развитию ЕЭС России</t>
  </si>
  <si>
    <t>Технологическое присоединение</t>
  </si>
  <si>
    <t>до 15 кВт</t>
  </si>
  <si>
    <t>в том числе</t>
  </si>
  <si>
    <t>свыше 15 кВт и до 150 кВт</t>
  </si>
  <si>
    <t>свыше 150 кВт и менее 670 кВт</t>
  </si>
  <si>
    <t>льгота 550</t>
  </si>
  <si>
    <t>не льгота</t>
  </si>
  <si>
    <t>Обороты счета 20 за 2017 г.</t>
  </si>
  <si>
    <t>АМОРТИЗАЦИЯ ОС И НМА</t>
  </si>
  <si>
    <t>ЗАТРАТЫ НА ОПЛАТУ ТРУДА</t>
  </si>
  <si>
    <t>МАТЕРИАЛЬНЫЕ ЗАТРАТЫ</t>
  </si>
  <si>
    <t>ПОКУПНАЯ ЭНЕРГИЯ НА ПРОИЗВОДСТВЕННЫЕ И ХОЗЯЙСТВЕННЫЕ НУЖДЫ</t>
  </si>
  <si>
    <t>РАБОТЫ И УСЛУГИ ПРОИЗВОДСТВЕННОГО ХАРАКТЕРА (СТОРОННИХ ОРГАНИЗАЦИЙ)</t>
  </si>
  <si>
    <t>ПРОЧИЕ УСЛУГИ ПРОИЗВОДСТВЕННОГО ХАРАКТЕРА</t>
  </si>
  <si>
    <t>УСЛУГИ ПОДРЯДЧИКОВ ПО ОБСЛУЖИВАНИЮ И РЕМОНТУ</t>
  </si>
  <si>
    <t>РЕМОНТ ПОДРЯДНЫМ СПОСОБОМ</t>
  </si>
  <si>
    <t>УСЛУГИ ПОДРЯДЧИКОВ ПО ТЕХОБСЛУЖИВАНИЮ</t>
  </si>
  <si>
    <t>СЫРЬЕ И МАТЕРИАЛЫ</t>
  </si>
  <si>
    <t>ГСМ</t>
  </si>
  <si>
    <t>МАТЕРИАЛЫ НА РЕМОНТ</t>
  </si>
  <si>
    <t>МАТЕРИАЛЫ НА ТЕХОБСЛУЖИВАНИЕ</t>
  </si>
  <si>
    <t>ПРОЧИЕ МАТЕРИАЛЫ</t>
  </si>
  <si>
    <t>ПРОЧИЕ ЗАТРАТЫ</t>
  </si>
  <si>
    <t>АРЕНДНАЯ ПЛАТА</t>
  </si>
  <si>
    <t>ДРУГИЕ ЗАТРАТЫ В СОСТАВЕ ПРОЧИХ</t>
  </si>
  <si>
    <t>ЗАТРАТЫ НА ОХРАНУ ТРУДА</t>
  </si>
  <si>
    <t>ЗАТРАТЫ ПО УПРАВЛЕНИЮ СОБСТВЕННОСТЬЮ</t>
  </si>
  <si>
    <t>ЗАТРАТЫ НА СТРАХОВАНИЕ</t>
  </si>
  <si>
    <t>КОМАНДИРОВОЧНЫЕ И ПРЕДСТАВИТЕЛЬСКИЕ</t>
  </si>
  <si>
    <t>КОМАНДИРОВОЧНЫЕ РАСХОДЫ ПО ПОВЫШЕНИЮ КВАЛИФИКАЦИИ</t>
  </si>
  <si>
    <t>КОМАНДИРОВОЧНЫЕ РАСХОДЫ ПРОИЗВОДСТВЕННОГО НАЗНАЧЕНИЯ</t>
  </si>
  <si>
    <t>НАЛОГИ, СБОРЫ И ОБЯЗАТЕЛЬНЫЕ ПЛАТЕЖИ</t>
  </si>
  <si>
    <t>УСЛУГИ СТОРОННИХ ОРГАНИЗАЦИЙ</t>
  </si>
  <si>
    <t>ПРОЧИЕ РАБОТЫ И УСЛУГИ СТОРОННИХ ОРГАНИЗАЦИЙ</t>
  </si>
  <si>
    <t>УСЛУГИ КОММУНАЛЬНОГО ХОЗЯЙСТВА</t>
  </si>
  <si>
    <t>УСЛУГИ КОНСУЛЬТАЦИОННЫЕ</t>
  </si>
  <si>
    <t>УСЛУГИ ПО IT-ОБСЛУЖИВАНИЮ</t>
  </si>
  <si>
    <t>УСЛУГИ ПО ОБУЧЕНИЮ</t>
  </si>
  <si>
    <t>УСЛУГИ СВЯЗИ</t>
  </si>
  <si>
    <t>СТРАХОВЫЕ ВЗНОСЫ</t>
  </si>
  <si>
    <t>ИТОГО</t>
  </si>
  <si>
    <t>до 15 кВт льгота</t>
  </si>
  <si>
    <t>до 15 кВт не льгота</t>
  </si>
  <si>
    <t>76.03</t>
  </si>
  <si>
    <t>90.01</t>
  </si>
  <si>
    <t>90.01.1</t>
  </si>
  <si>
    <t>91.01</t>
  </si>
  <si>
    <t>50.01</t>
  </si>
  <si>
    <t>91.02</t>
  </si>
  <si>
    <t>Документы расчетов с контрагентом</t>
  </si>
  <si>
    <t>Расчеты с покупателями и заказчиками (62)</t>
  </si>
  <si>
    <t>УСЛУГИ ПО ТЕХНОЛОГИЧЕСКОМУ ПРИСОЕДИНЕНИЮ</t>
  </si>
  <si>
    <t>Реализация товаров и услуг 08000000002683 от 07.08.2017 0:00:00</t>
  </si>
  <si>
    <t>Реализация товаров и услуг 08000000001324 от 04.05.2017 0:00:00</t>
  </si>
  <si>
    <t>Реализация товаров и услуг 08000000003900 от 12.10.2017 0:00:00</t>
  </si>
  <si>
    <t>Реализация товаров и услуг 08000000004309 от 27.11.2017 0:00:00</t>
  </si>
  <si>
    <t>Реализация товаров и услуг 08000000005032 от 28.12.2017 0:00:00</t>
  </si>
  <si>
    <t>Реализация товаров и услуг 08000000004255 от 14.11.2017 0:00:00</t>
  </si>
  <si>
    <t>Реализация товаров и услуг 08000000003703 от 15.09.2017 0:00:00</t>
  </si>
  <si>
    <t>Реализация товаров и услуг 08000000004314 от 01.11.2017 0:00:00</t>
  </si>
  <si>
    <t>Реализация товаров и услуг 08000000001101 от 03.04.2017 0:00:00</t>
  </si>
  <si>
    <t>Реализация товаров и услуг 08000000001915 от 30.05.2017 0:00:00</t>
  </si>
  <si>
    <t>Реализация товаров и услуг 08000000002458 от 07.07.2017 0:00:00</t>
  </si>
  <si>
    <t>Реализация товаров и услуг 08000000003866 от 03.11.2017 0:00:00</t>
  </si>
  <si>
    <t>Реализация товаров и услуг 08000000002110 от 30.06.2017 0:00:00</t>
  </si>
  <si>
    <t>Реализация товаров и услуг 08000000004128 от 03.11.2017 0:00:00</t>
  </si>
  <si>
    <t>Реализация товаров и услуг 08000000002918 от 22.08.2017 0:00:00</t>
  </si>
  <si>
    <t>Реализация товаров и услуг 08000000002019 от 22.06.2017 0:00:00</t>
  </si>
  <si>
    <t>Реализация товаров и услуг 08000000002467 от 07.07.2017 0:00:00</t>
  </si>
  <si>
    <t>Реализация товаров и услуг 08000000003921 от 13.10.2017 0:00:00</t>
  </si>
  <si>
    <t>Реализация товаров и услуг 08000000001910 от 30.05.2017 0:00:00</t>
  </si>
  <si>
    <t>Реализация товаров и услуг 08000000003451 от 21.09.2017 0:00:00</t>
  </si>
  <si>
    <t>Реализация товаров и услуг 08000000003348 от 12.09.2017 0:00:00</t>
  </si>
  <si>
    <t>Реализация товаров и услуг 08000000002952 от 29.08.2017 0:00:00</t>
  </si>
  <si>
    <t>Реализация товаров и услуг 08000000002468 от 17.07.2017 0:00:00</t>
  </si>
  <si>
    <t>Реализация товаров и услуг 08000000004132 от 07.11.2017 0:00:00</t>
  </si>
  <si>
    <t>Реализация товаров и услуг 08000000002521 от 18.07.2017 0:00:00</t>
  </si>
  <si>
    <t>Реализация товаров и услуг 08000000003862 от 03.11.2017 0:00:00</t>
  </si>
  <si>
    <t>Реализация товаров и услуг 08000000004029 от 08.11.2017 0:00:00</t>
  </si>
  <si>
    <t>Реализация товаров и услуг 08000000001980 от 19.06.2017 0:00:00</t>
  </si>
  <si>
    <t>Реализация товаров и услуг 08000000000762 от 29.03.2017 0:00:00</t>
  </si>
  <si>
    <t>Реализация товаров и услуг 08000000003929 от 31.10.2017 0:00:00</t>
  </si>
  <si>
    <t>Реализация товаров и услуг 08000000003868 от 03.11.2017 0:00:00</t>
  </si>
  <si>
    <t>Реализация товаров и услуг 08000000003899 от 02.10.2017 0:00:00</t>
  </si>
  <si>
    <t>Реализация товаров и услуг 08000000001886 от 07.06.2017 0:00:00</t>
  </si>
  <si>
    <t>Реализация товаров и услуг 08000000002457 от 03.07.2017 0:00:00</t>
  </si>
  <si>
    <t>Реализация товаров и услуг 08000000004707 от 25.12.2017 0:00:00</t>
  </si>
  <si>
    <t>Реализация товаров и услуг 08000000004703 от 22.12.2017 0:00:00</t>
  </si>
  <si>
    <t>Реализация товаров и услуг 08000000003881 от 03.10.2017 0:00:00</t>
  </si>
  <si>
    <t>Реализация товаров и услуг 08000000004130 от 03.11.2017 0:00:00</t>
  </si>
  <si>
    <t>Реализация товаров и услуг 08000000004244 от 07.11.2017 0:00:00</t>
  </si>
  <si>
    <t>Реализация товаров и услуг 08000000003813 от 13.10.2017 0:00:00</t>
  </si>
  <si>
    <t>Реализация товаров и услуг 08000000004126 от 03.11.2017 0:00:00</t>
  </si>
  <si>
    <t>Реализация товаров и услуг 08000000001934 от 14.06.2017 0:00:00</t>
  </si>
  <si>
    <t>Реализация товаров и услуг 08000000002456 от 07.07.2017 0:00:00</t>
  </si>
  <si>
    <t>Реализация товаров и услуг 08000000004124 от 03.11.2017 0:00:00</t>
  </si>
  <si>
    <t>Реализация товаров и услуг 08000000004123 от 03.11.2017 0:00:00</t>
  </si>
  <si>
    <t>Реализация товаров и услуг 08000000003350 от 11.09.2017 0:00:00</t>
  </si>
  <si>
    <t>Реализация товаров и услуг 08000000003351 от 11.09.2017 0:00:00</t>
  </si>
  <si>
    <t>Реализация товаров и услуг 08000000003349 от 11.09.2017 0:00:00</t>
  </si>
  <si>
    <t>Реализация товаров и услуг 08000000001911 от 31.05.2017 0:00:00</t>
  </si>
  <si>
    <t>Реализация товаров и услуг 08000000001916 от 30.05.2017 0:00:00</t>
  </si>
  <si>
    <t>Реализация товаров и услуг 08000000003874 от 10.10.2017 0:00:00</t>
  </si>
  <si>
    <t>Реализация товаров и услуг 08000000003997 от 01.11.2017 0:00:00</t>
  </si>
  <si>
    <t>Реализация товаров и услуг 08000000003439 от 19.09.2017 0:00:00</t>
  </si>
  <si>
    <t>Реализация товаров и услуг 08000000003867 от 03.11.2017 0:00:00</t>
  </si>
  <si>
    <t>Реализация товаров и услуг 08000000003120 от 07.09.2017 0:00:00</t>
  </si>
  <si>
    <t>Реализация товаров и услуг 08000000001625 от 25.05.2017 0:00:00</t>
  </si>
  <si>
    <t>Реализация товаров и услуг 08000000001262 от 28.04.2017 0:00:00</t>
  </si>
  <si>
    <t>Реализация товаров и услуг 08000000003949 от 08.11.2017 0:00:00</t>
  </si>
  <si>
    <t>Реализация товаров и услуг 08000000001121 от 12.04.2017 0:00:00</t>
  </si>
  <si>
    <t>Реализация товаров и услуг 08000000002771 от 01.08.2017 0:00:00</t>
  </si>
  <si>
    <t>Реализация товаров и услуг 08000000002525 от 21.07.2017 0:00:00</t>
  </si>
  <si>
    <t>Реализация товаров и услуг 08000000003973 от 08.11.2017 0:00:00</t>
  </si>
  <si>
    <t>Реализация товаров и услуг 08000000000355 от 28.02.2017 0:00:00</t>
  </si>
  <si>
    <t>Реализация товаров и услуг 08000000004229 от 14.11.2017 0:00:00</t>
  </si>
  <si>
    <t>Реализация товаров и услуг 08000000004312 от 30.11.2017 0:00:00</t>
  </si>
  <si>
    <t>Реализация товаров и услуг 08000000003401 от 22.09.2017 0:00:00</t>
  </si>
  <si>
    <t>Реализация товаров и услуг 08000000002526 от 28.07.2017 0:00:00</t>
  </si>
  <si>
    <t>Реализация товаров и услуг 08000000002945 от 29.08.2017 0:00:00</t>
  </si>
  <si>
    <t>Реализация товаров и услуг 08000000002914 от 01.08.2017 0:00:00</t>
  </si>
  <si>
    <t>Реализация товаров и услуг 08000000004173 от 13.11.2017 0:00:00</t>
  </si>
  <si>
    <t>Реализация товаров и услуг 08000000001917 от 31.05.2017 0:00:00</t>
  </si>
  <si>
    <t>Реализация товаров и услуг 08000000004308 от 28.11.2017 0:00:00</t>
  </si>
  <si>
    <t>Реализация товаров и услуг 08000000003453 от 11.09.2017 0:00:00</t>
  </si>
  <si>
    <t>Реализация товаров и услуг 08000000004270 от 13.11.2017 0:00:00</t>
  </si>
  <si>
    <t>Реализация товаров и услуг 08000000004590 от 08.12.2017 0:00:00</t>
  </si>
  <si>
    <t>Реализация товаров и услуг 08000000003706 от 02.10.2017 0:00:00</t>
  </si>
  <si>
    <t>Реализация товаров и услуг 08000000001880 от 07.06.2017 0:00:00</t>
  </si>
  <si>
    <t>Реализация товаров и услуг 08000000004593 от 01.12.2017 0:00:00</t>
  </si>
  <si>
    <t>Реализация товаров и услуг 08000000000265 от 10.02.2017 0:00:00</t>
  </si>
  <si>
    <t>Реализация товаров и услуг 08000000003841 от 27.10.2017 0:00:00</t>
  </si>
  <si>
    <t>Реализация товаров и услуг 08000000002465 от 17.07.2017 0:00:00</t>
  </si>
  <si>
    <t>Реализация товаров и услуг 08000000000030 от 31.01.2017 0:00:00</t>
  </si>
  <si>
    <t>Реализация товаров и услуг 08000000002089 от 29.06.2017 0:00:00</t>
  </si>
  <si>
    <t>Реализация товаров и услуг 08000000003855 от 31.10.2017 0:00:00</t>
  </si>
  <si>
    <t>Реализация товаров и услуг 08000000003528 от 05.10.2017 0:00:00</t>
  </si>
  <si>
    <t>Реализация товаров и услуг 08000000002029 от 26.06.2017 0:00:00</t>
  </si>
  <si>
    <t>Реализация товаров и услуг 08000000004741 от 27.12.2017 0:00:00</t>
  </si>
  <si>
    <t>Реализация товаров и услуг 08000000001924 от 06.06.2017 0:00:00</t>
  </si>
  <si>
    <t>Реализация товаров и услуг 08000000003918 от 05.10.2017 0:00:00</t>
  </si>
  <si>
    <t>Реализация товаров и услуг 08000000002216 от 28.06.2017 0:00:00</t>
  </si>
  <si>
    <t>Реализация товаров и услуг 08000000003683 от 06.10.2017 0:00:00</t>
  </si>
  <si>
    <t>Реализация товаров и услуг 08000000002524 от 21.07.2017 0:00:00</t>
  </si>
  <si>
    <t>Реализация товаров и услуг 08000000003917 от 16.10.2017 0:00:00</t>
  </si>
  <si>
    <t>Реализация товаров и услуг 08000000003114 от 06.09.2017 0:00:00</t>
  </si>
  <si>
    <t>Реализация товаров и услуг 08000000004127 от 01.11.2017 0:00:00</t>
  </si>
  <si>
    <t>Реализация товаров и услуг 08000000000003 от 16.01.2017 0:00:00</t>
  </si>
  <si>
    <t>Реализация товаров и услуг 08000000001035 от 06.04.2017 0:00:00</t>
  </si>
  <si>
    <t>Реализация товаров и услуг 08000000004131 от 03.11.2017 0:00:00</t>
  </si>
  <si>
    <t>Реализация товаров и услуг 08000000002514 от 25.07.2017 0:00:00</t>
  </si>
  <si>
    <t>Реализация товаров и услуг 08000000004313 от 30.11.2017 0:00:00</t>
  </si>
  <si>
    <t>Реализация товаров и услуг 08000000002028 от 23.06.2017 0:00:00</t>
  </si>
  <si>
    <t>Реализация товаров и услуг 08000000003324 от 19.09.2017 0:00:00</t>
  </si>
  <si>
    <t>Реализация товаров и услуг 08000000004292 от 24.11.2017 0:00:00</t>
  </si>
  <si>
    <t>Реализация товаров и услуг 08000000003974 от 08.11.2017 0:00:00</t>
  </si>
  <si>
    <t>Реализация товаров и услуг 08000000002520 от 21.07.2017 0:00:00</t>
  </si>
  <si>
    <t>Реализация товаров и услуг 08000000000009 от 27.01.2017 0:00:00</t>
  </si>
  <si>
    <t>Реализация товаров и услуг 08000000001912 от 26.05.2017 0:00:00</t>
  </si>
  <si>
    <t>Реализация товаров и услуг 08000000000365 от 28.02.2017 0:00:00</t>
  </si>
  <si>
    <t>Реализация товаров и услуг 08000000002935 от 10.08.2017 0:00:00</t>
  </si>
  <si>
    <t>Реализация товаров и услуг 08000000002936 от 01.08.2017 0:00:00</t>
  </si>
  <si>
    <t>Реализация товаров и услуг 08000000003976 от 08.11.2017 0:00:00</t>
  </si>
  <si>
    <t>Реализация товаров и услуг 08000000001447 от 05.05.2017 0:00:00</t>
  </si>
  <si>
    <t>Реализация товаров и услуг 08000000002473 от 24.07.2017 0:00:00</t>
  </si>
  <si>
    <t>Реализация товаров и услуг 08000000003396 от 04.09.2017 0:00:00</t>
  </si>
  <si>
    <t>Реализация товаров и услуг 08000000003821 от 19.10.2017 0:00:00</t>
  </si>
  <si>
    <t>Реализация товаров и услуг 08000000004114 от 13.11.2017 0:00:00</t>
  </si>
  <si>
    <t>Реализация товаров и услуг 08000000000677 от 16.03.2017 0:00:00</t>
  </si>
  <si>
    <t>Реализация товаров и услуг 08000000003852 от 20.10.2017 0:00:00</t>
  </si>
  <si>
    <t>Реализация товаров и услуг 08000000004285 от 24.11.2017 0:00:00</t>
  </si>
  <si>
    <t>Реализация товаров и услуг 08000000000040 от 01.02.2017 0:00:00</t>
  </si>
  <si>
    <t>Реализация товаров и услуг 08000000004460 от 14.11.2017 0:00:00</t>
  </si>
  <si>
    <t>Реализация товаров и услуг 08000000002034 от 22.06.2017 0:00:00</t>
  </si>
  <si>
    <t>Реализация товаров и услуг 08000000001955 от 16.06.2017 0:00:00</t>
  </si>
  <si>
    <t>Реализация товаров и услуг 08000000000525 от 06.03.2017 0:00:00</t>
  </si>
  <si>
    <t>Реализация товаров и услуг 08000000003234 от 13.09.2017 0:00:00</t>
  </si>
  <si>
    <t>Реализация товаров и услуг 08000000004269 от 16.11.2017 0:00:00</t>
  </si>
  <si>
    <t>Реализация товаров и услуг 08000000002934 от 24.08.2017 0:00:00</t>
  </si>
  <si>
    <t>Реализация товаров и услуг 08000000002893 от 01.08.2017 0:00:00</t>
  </si>
  <si>
    <t>Реализация товаров и услуг 08000000004310 от 30.11.2017 0:00:00</t>
  </si>
  <si>
    <t>Реализация товаров и услуг 08000000001543 от 19.05.2017 0:00:00</t>
  </si>
  <si>
    <t>Реализация товаров и услуг 08000000003943 от 31.10.2017 0:00:00</t>
  </si>
  <si>
    <t>Реализация товаров и услуг 08000000004746 от 12.12.2017 0:00:00</t>
  </si>
  <si>
    <t>Реализация товаров и услуг 08000000004252 от 03.11.2017 0:00:00</t>
  </si>
  <si>
    <t>Реализация товаров и услуг 08000000003814 от 18.10.2017 0:00:00</t>
  </si>
  <si>
    <t>Реализация товаров и услуг 08000000003995 от 03.11.2017 0:00:00</t>
  </si>
  <si>
    <t>Реализация товаров и услуг 08000000003019 от 29.08.2017 0:00:00</t>
  </si>
  <si>
    <t>Реализация товаров и услуг 08000000001538 от 18.05.2017 0:00:00</t>
  </si>
  <si>
    <t>Реализация товаров и услуг 08000000002523 от 21.07.2017 0:00:00</t>
  </si>
  <si>
    <t>Реализация товаров и услуг 08000000003998 от 03.11.2017 0:00:00</t>
  </si>
  <si>
    <t>Реализация товаров и услуг 08000000003438 от 28.09.2017 0:00:00</t>
  </si>
  <si>
    <t>Реализация товаров и услуг 08000000003999 от 03.11.2017 0:00:00</t>
  </si>
  <si>
    <t>Реализация товаров и услуг 08000000003982 от 08.11.2017 0:00:00</t>
  </si>
  <si>
    <t>Реализация товаров и услуг 08000000004116 от 13.11.2017 0:00:00</t>
  </si>
  <si>
    <t>Реализация товаров и услуг 08000000002947 от 22.08.2017 0:00:00</t>
  </si>
  <si>
    <t>Реализация товаров и услуг 08000000004291 от 14.11.2017 0:00:00</t>
  </si>
  <si>
    <t>Реализация товаров и услуг 08000000003818 от 18.10.2017 23:59:58</t>
  </si>
  <si>
    <t>Реализация товаров и услуг 08000000004134 от 07.11.2017 0:00:00</t>
  </si>
  <si>
    <t>Реализация товаров и услуг 08000000001935 от 13.06.2017 0:00:00</t>
  </si>
  <si>
    <t>Реализация товаров и услуг 08000000001729 от 23.05.2017 0:00:00</t>
  </si>
  <si>
    <t>Реализация товаров и услуг 08000000003701 от 09.10.2017 23:59:58</t>
  </si>
  <si>
    <t>Реализация товаров и услуг 08000000003983 от 08.11.2017 0:00:00</t>
  </si>
  <si>
    <t>Реализация товаров и услуг 08000000002461 от 12.07.2017 0:00:00</t>
  </si>
  <si>
    <t>Реализация товаров и услуг 08000000001120 от 12.04.2017 0:00:00</t>
  </si>
  <si>
    <t>Реализация товаров и услуг 08000000003897 от 02.10.2017 0:00:00</t>
  </si>
  <si>
    <t>Реализация товаров и услуг 08000000004250 от 16.11.2017 0:00:00</t>
  </si>
  <si>
    <t>Реализация товаров и услуг 08000000004742 от 27.12.2017 0:00:00</t>
  </si>
  <si>
    <t>Реализация товаров и услуг 08000000003815 от 18.10.2017 0:00:00</t>
  </si>
  <si>
    <t>Реализация товаров и услуг 08000000003903 от 18.10.2017 0:00:00</t>
  </si>
  <si>
    <t>Реализация товаров и услуг 08000000003902 от 02.11.2017 0:00:00</t>
  </si>
  <si>
    <t>Реализация товаров и услуг 08000000003326 от 20.09.2017 0:00:00</t>
  </si>
  <si>
    <t>Реализация товаров и услуг 08000000003863 от 03.11.2017 0:00:00</t>
  </si>
  <si>
    <t>Реализация товаров и услуг 08000000000021 от 30.01.2017 0:00:00</t>
  </si>
  <si>
    <t>Реализация товаров и услуг 08000000002911 от 21.08.2017 0:00:00</t>
  </si>
  <si>
    <t>Реализация товаров и услуг 08000000001921 от 14.06.2017 0:00:00</t>
  </si>
  <si>
    <t>Реализация товаров и услуг 08000000002471 от 20.07.2017 0:00:00</t>
  </si>
  <si>
    <t>Реализация товаров и услуг 08000000003457 от 02.10.2017 0:00:00</t>
  </si>
  <si>
    <t>Реализация товаров и услуг 08000000004330 от 22.11.2017 23:59:58</t>
  </si>
  <si>
    <t>Реализация товаров и услуг 08000000003452 от 11.09.2017 0:00:00</t>
  </si>
  <si>
    <t>Реализация товаров и услуг 08000000002885 от 08.08.2017 0:00:00</t>
  </si>
  <si>
    <t>Реализация товаров и услуг 08000000003115 от 17.08.2017 0:00:00</t>
  </si>
  <si>
    <t>Реализация товаров и услуг 08000000003954 от 08.11.2017 0:00:00</t>
  </si>
  <si>
    <t>Реализация товаров и услуг 08000000002463 от 06.07.2017 0:00:00</t>
  </si>
  <si>
    <t>Реализация товаров и услуг 08000000002995 от 30.08.2017 0:00:00</t>
  </si>
  <si>
    <t>Реализация товаров и услуг 08000000002919 от 22.08.2017 0:00:00</t>
  </si>
  <si>
    <t>Реализация товаров и услуг 08000000002112 от 03.07.2017 0:00:00</t>
  </si>
  <si>
    <t>Реализация товаров и услуг 08000000002462 от 12.07.2017 0:00:00</t>
  </si>
  <si>
    <t>Реализация товаров и услуг 08000000001261 от 28.04.2017 0:00:00</t>
  </si>
  <si>
    <t>Реализация товаров и услуг 08000000003916 от 23.10.2017 0:00:00</t>
  </si>
  <si>
    <t>Реализация товаров и услуг 08000000004328 от 22.11.2017 0:00:00</t>
  </si>
  <si>
    <t>Реализация товаров и услуг 08000000003953 от 07.11.2017 0:00:00</t>
  </si>
  <si>
    <t>Реализация товаров и услуг 08000000002472 от 20.07.2017 0:00:00</t>
  </si>
  <si>
    <t>Реализация товаров и услуг 08000000004125 от 07.11.2017 0:00:00</t>
  </si>
  <si>
    <t>Реализация товаров и услуг 08000000001883 от 05.06.2017 0:00:00</t>
  </si>
  <si>
    <t>Реализация товаров и услуг 08000000003441 от 25.09.2017 0:00:00</t>
  </si>
  <si>
    <t>Реализация товаров и услуг 08000000002466 от 17.07.2017 0:00:00</t>
  </si>
  <si>
    <t>Реализация товаров и услуг 08000000004271 от 15.11.2017 0:00:00</t>
  </si>
  <si>
    <t>Реализация товаров и услуг 08000000002910 от 14.08.2017 0:00:00</t>
  </si>
  <si>
    <t>Реализация товаров и услуг 08000000003186 от 05.09.2017 0:00:00</t>
  </si>
  <si>
    <t>Реализация товаров и услуг 08000000002932 от 24.08.2017 0:00:00</t>
  </si>
  <si>
    <t>Реализация товаров и услуг 08000000003898 от 04.10.2017 0:00:00</t>
  </si>
  <si>
    <t>Реализация товаров и услуг 08000000003711 от 10.10.2017 0:00:00</t>
  </si>
  <si>
    <t>Реализация товаров и услуг 08000000003955 от 08.11.2017 0:00:00</t>
  </si>
  <si>
    <t>Реализация товаров и услуг 08000000003871 от 23.10.2017 0:00:00</t>
  </si>
  <si>
    <t>Реализация товаров и услуг 08000000004133 от 07.11.2017 0:00:00</t>
  </si>
  <si>
    <t>Реализация товаров и услуг 08000000000006 от 25.01.2017 0:00:00</t>
  </si>
  <si>
    <t>Реализация товаров и услуг 08000000000694 от 20.03.2017 0:00:00</t>
  </si>
  <si>
    <t>Реализация товаров и услуг 08000000005031 от 29.12.2017 0:00:00</t>
  </si>
  <si>
    <t>Реализация товаров и услуг 08000000001730 от 15.05.2017 0:00:00</t>
  </si>
  <si>
    <t>Реализация товаров и услуг 08000000000129 от 07.02.2017 0:00:00</t>
  </si>
  <si>
    <t>Реализация товаров и услуг 08000000003996 от 01.11.2017 0:00:00</t>
  </si>
  <si>
    <t>Реализация товаров и услуг 08000000001913 от 31.05.2017 0:00:00</t>
  </si>
  <si>
    <t>Реализация товаров и услуг 08000000000042 от 31.01.2017 0:00:00</t>
  </si>
  <si>
    <t>Реализация товаров и услуг 08000000003952 от 08.11.2017 0:00:00</t>
  </si>
  <si>
    <t>Реализация товаров и услуг 08000000003969 от 08.11.2017 0:00:00</t>
  </si>
  <si>
    <t>Реализация товаров и услуг 08000000003113 от 07.09.2017 0:00:00</t>
  </si>
  <si>
    <t>Реализация товаров и услуг 08000000003865 от 03.11.2017 0:00:00</t>
  </si>
  <si>
    <t>Реализация товаров и услуг 08000000000639 от 16.03.2017 0:00:00</t>
  </si>
  <si>
    <t>Реализация товаров и услуг 08000000004364 от 04.12.2017 0:00:00</t>
  </si>
  <si>
    <t>Реализация товаров и услуг 08000000003901 от 02.10.2017 0:00:00</t>
  </si>
  <si>
    <t>Реализация товаров и услуг 08000000002913 от 01.08.2017 0:00:00</t>
  </si>
  <si>
    <t>Реализация товаров и услуг 08000000001139 от 19.04.2017 0:00:00</t>
  </si>
  <si>
    <t>Реализация товаров и услуг 08000000002946 от 24.08.2017 0:00:00</t>
  </si>
  <si>
    <t>Реализация товаров и услуг 08000000003972 от 08.11.2017 0:00:00</t>
  </si>
  <si>
    <t>Реализация товаров и услуг 08000000002536 от 30.07.2017 0:00:00</t>
  </si>
  <si>
    <t>Реализация товаров и услуг 08000000003872 от 09.10.2017 0:00:00</t>
  </si>
  <si>
    <t>Реализация товаров и услуг 08000000003919 от 09.10.2017 0:00:00</t>
  </si>
  <si>
    <t>Реализация товаров и услуг 08000000002894 от 16.08.2017 0:00:00</t>
  </si>
  <si>
    <t>Реализация товаров и услуг 08000000002939 от 03.08.2017 0:00:00</t>
  </si>
  <si>
    <t>Реализация товаров и услуг 08000000003882 от 06.10.2017 0:00:00</t>
  </si>
  <si>
    <t>Реализация товаров и услуг 08000000002109 от 30.06.2017 0:00:00</t>
  </si>
  <si>
    <t>Реализация товаров и услуг 08000000003968 от 08.11.2017 0:00:00</t>
  </si>
  <si>
    <t>Реализация товаров и услуг 08000000003975 от 08.11.2017 0:00:00</t>
  </si>
  <si>
    <t>Реализация товаров и услуг 08000000003437 от 28.09.2017 0:00:00</t>
  </si>
  <si>
    <t>Реализация товаров и услуг 08000000003436 от 28.09.2017 0:00:00</t>
  </si>
  <si>
    <t>Реализация товаров и услуг 08000000003456 от 02.10.2017 0:00:00</t>
  </si>
  <si>
    <t>Реализация товаров и услуг 08000000002974 от 28.08.2017 0:00:00</t>
  </si>
  <si>
    <t>Реализация товаров и услуг 08000000004311 от 24.11.2017 0:00:00</t>
  </si>
  <si>
    <t>Реализация товаров и услуг 08000000004587 от 08.12.2017 0:00:00</t>
  </si>
  <si>
    <t>Реализация товаров и услуг 08000000000904 от 06.04.2017 0:00:00</t>
  </si>
  <si>
    <t>Реализация товаров и услуг 08000000001748 от 29.05.2017 0:00:00</t>
  </si>
  <si>
    <t>Реализация товаров и услуг 08000000000249 от 09.02.2017 0:00:00</t>
  </si>
  <si>
    <t>Реализация товаров и услуг 08000000004265 от 22.11.2017 0:00:00</t>
  </si>
  <si>
    <t>Реализация товаров и услуг 08000000003442 от 02.10.2017 0:00:00</t>
  </si>
  <si>
    <t>Реализация товаров и услуг 08000000003850 от 31.10.2017 0:00:00</t>
  </si>
  <si>
    <t>Реализация товаров и услуг 08000000004243 от 16.11.2017 0:00:00</t>
  </si>
  <si>
    <t>Реализация товаров и услуг 08000000003658 от 05.10.2017 0:00:00</t>
  </si>
  <si>
    <t>Реализация товаров и услуг 08000000002915 от 11.08.2017 0:00:00</t>
  </si>
  <si>
    <t>Реализация товаров и услуг 08000000000180 от 08.02.2017 0:00:00</t>
  </si>
  <si>
    <t>Реализация товаров и услуг 08000000004273 от 03.11.2017 0:00:00</t>
  </si>
  <si>
    <t>Реализация товаров и услуг 08000000002533 от 01.08.2017 0:00:00</t>
  </si>
  <si>
    <t>Реализация товаров и услуг 08000000004307 от 17.11.2017 0:00:00</t>
  </si>
  <si>
    <t>Реализация товаров и услуг 08000000002460 от 13.07.2017 0:00:00</t>
  </si>
  <si>
    <t>Реализация товаров и услуг 08000000004201 от 14.11.2017 0:00:00</t>
  </si>
  <si>
    <t>Реализация товаров и услуг 08000000003948 от 07.11.2017 0:00:00</t>
  </si>
  <si>
    <t>Реализация товаров и услуг 08000000003352 от 06.09.2017 0:00:00</t>
  </si>
  <si>
    <t>Реализация товаров и услуг 08000000003836 от 26.10.2017 0:00:00</t>
  </si>
  <si>
    <t>Реализация товаров и услуг 08000000003864 от 03.11.2017 0:00:00</t>
  </si>
  <si>
    <t>Реализация товаров и услуг 08000000002975 от 23.08.2017 0:00:00</t>
  </si>
  <si>
    <t>Реализация товаров и услуг 08000000002921 от 23.08.2017 0:00:00</t>
  </si>
  <si>
    <t>Реализация товаров и услуг 08000000002024 от 22.06.2017 0:00:00</t>
  </si>
  <si>
    <t>Реализация товаров и услуг 08000000002025 от 22.06.2017 0:00:00</t>
  </si>
  <si>
    <t>Реализация товаров и услуг 08000000003970 от 08.11.2017 0:00:00</t>
  </si>
  <si>
    <t>Реализация товаров и услуг 08000000001882 от 06.06.2017 0:00:00</t>
  </si>
  <si>
    <t>Реализация товаров и услуг 08000000003837 от 26.10.2017 0:00:00</t>
  </si>
  <si>
    <t>Реализация товаров и услуг 08000000001598 от 24.05.2017 0:00:00</t>
  </si>
  <si>
    <t>Реализация товаров и услуг 08000000000002 от 11.01.2017 0:00:00</t>
  </si>
  <si>
    <t>Реализация товаров и услуг 08000000003971 от 08.11.2017 0:00:00</t>
  </si>
  <si>
    <t>Реализация товаров и услуг 08000000000007 от 26.01.2017 0:00:00</t>
  </si>
  <si>
    <t>Реализация товаров и услуг 08000000002917 от 22.08.2017 0:00:00</t>
  </si>
  <si>
    <t>Реализация товаров и услуг 08000000003967 от 08.11.2017 0:00:00</t>
  </si>
  <si>
    <t>Реализация товаров и услуг 08000000004272 от 15.11.2017 0:00:00</t>
  </si>
  <si>
    <t>Реализация товаров и услуг 08000000003861 от 03.11.2017 0:00:00</t>
  </si>
  <si>
    <t>Реализация товаров и услуг 08000000003922 от 03.11.2017 0:00:00</t>
  </si>
  <si>
    <t>Реализация товаров и услуг 08000000003020 от 29.08.2017 0:00:00</t>
  </si>
  <si>
    <t>Реализация товаров и услуг 08000000003951 от 08.11.2017 0:00:00</t>
  </si>
  <si>
    <t>Реализация товаров и услуг 08000000000227 от 10.02.2017 0:00:00</t>
  </si>
  <si>
    <t>Реализация товаров и услуг 08000000003659 от 04.10.2017 0:00:00</t>
  </si>
  <si>
    <t>Реализация товаров и услуг 08000000001138 от 19.04.2017 0:00:00</t>
  </si>
  <si>
    <t>Реализация товаров и услуг 08000000000427 от 28.02.2017 0:00:00</t>
  </si>
  <si>
    <t>Реализация товаров и услуг 08000000002996 от 31.08.2017 0:00:00</t>
  </si>
  <si>
    <t>Реализация товаров и услуг 08000000002544 от 04.08.2017 0:00:00</t>
  </si>
  <si>
    <t>Реализация товаров и услуг 08000000004172 от 08.11.2017 0:00:00</t>
  </si>
  <si>
    <t>Реализация товаров и услуг 08000000002518 от 05.07.2017 0:00:00</t>
  </si>
  <si>
    <t>Реализация товаров и услуг 08000000002519 от 05.07.2017 0:00:00</t>
  </si>
  <si>
    <t>Реализация товаров и услуг 08000000002517 от 05.07.2017 0:00:00</t>
  </si>
  <si>
    <t>Реализация товаров и услуг 08000000002976 от 29.08.2017 0:00:00</t>
  </si>
  <si>
    <t>Реализация товаров и услуг 08000000003012 от 29.08.2017 0:00:00</t>
  </si>
  <si>
    <t>Реализация товаров и услуг 08000000000552 от 09.03.2017 0:00:00</t>
  </si>
  <si>
    <t>Реализация товаров и услуг 08000000002912 от 01.08.2017 0:00:00</t>
  </si>
  <si>
    <t>Реализация товаров и услуг 08000000001887 от 08.06.2017 0:00:00</t>
  </si>
  <si>
    <t>Реализация товаров и услуг 08000000003116 от 07.09.2017 0:00:00</t>
  </si>
  <si>
    <t>Реализация товаров и услуг 08000000003117 от 07.09.2017 0:00:00</t>
  </si>
  <si>
    <t>Реализация товаров и услуг 08000000002090 от 30.06.2017 0:00:00</t>
  </si>
  <si>
    <t>Реализация товаров и услуг 08000000000345 от 17.02.2017 0:00:00</t>
  </si>
  <si>
    <t>Реализация товаров и услуг 08000000001408 от 05.05.2017 0:00:00</t>
  </si>
  <si>
    <t>Реализация товаров и услуг 08000000003397 от 04.09.2017 0:00:00</t>
  </si>
  <si>
    <t>Реализация товаров и услуг 08000000000900 от 28.03.2017 0:00:00</t>
  </si>
  <si>
    <t>Реализация товаров и услуг 08000000003702 от 25.09.2017 0:00:00</t>
  </si>
  <si>
    <t>Реализация товаров и услуг 08000000001914 от 31.05.2017 0:00:00</t>
  </si>
  <si>
    <t>Реализация товаров и услуг 08000000002215 от 21.06.2017 0:00:00</t>
  </si>
  <si>
    <t>Реализация товаров и услуг 08000000003870 от 20.10.2017 0:00:00</t>
  </si>
  <si>
    <t>Реализация товаров и услуг 08000000001521 от 16.05.2017 0:00:00</t>
  </si>
  <si>
    <t>Реализация товаров и услуг 08000000002916 от 15.08.2017 0:00:00</t>
  </si>
  <si>
    <t>Реализация товаров и услуг 08000000003869 от 03.11.2017 0:00:00</t>
  </si>
  <si>
    <t>Реализация товаров и услуг 08000000002522 от 18.07.2017 0:00:00</t>
  </si>
  <si>
    <t>Реализация товаров и услуг 08000000003920 от 16.10.2017 0:00:00</t>
  </si>
  <si>
    <t>Реализация товаров и услуг 08000000002111 от 30.06.2017 0:00:00</t>
  </si>
  <si>
    <t>Реализация товаров и услуг 08000000003915 от 16.10.2017 0:00:00</t>
  </si>
  <si>
    <t>Реализация товаров и услуг 08000000000005 от 18.01.2017 0:00:00</t>
  </si>
  <si>
    <t>Реализация товаров и услуг 08000000003873 от 01.10.2017 0:00:00</t>
  </si>
  <si>
    <t>Реализация товаров и услуг 08000000000547 от 03.03.2017 0:00:00</t>
  </si>
  <si>
    <t>Реализация товаров и услуг 08000000001448 от 05.05.2017 0:00:00</t>
  </si>
  <si>
    <t>Реализация товаров и услуг 08000000001133 от 13.04.2017 0:00:00</t>
  </si>
  <si>
    <t>Реализация товаров и услуг 08000000001881 от 06.06.2017 23:59:58</t>
  </si>
  <si>
    <t>Реализация товаров и услуг 08000000001925 от 07.06.2017 0:00:00</t>
  </si>
  <si>
    <t>Реализация товаров и услуг 08000000004129 от 03.11.2017 0:00:00</t>
  </si>
  <si>
    <t>Реализация товаров и услуг 08000000003822 от 20.10.2017 0:00:00</t>
  </si>
  <si>
    <t>Реализация товаров и услуг 08000000004585 от 01.12.2017 0:00:00</t>
  </si>
  <si>
    <t>Реализация товаров и услуг 08000000004605 от 13.12.2017 0:00:00</t>
  </si>
  <si>
    <t>Реализация товаров и услуг 08000000004743 от 26.12.2017 0:00:00</t>
  </si>
  <si>
    <t>Реализация товаров и услуг 08000000003853 от 30.10.2017 0:00:00</t>
  </si>
  <si>
    <t>Реализация товаров и услуг 08000000004752 от 27.12.2017 0:00:00</t>
  </si>
  <si>
    <t>Реализация товаров и услуг 08000000003325 от 13.09.2017 0:00:00</t>
  </si>
  <si>
    <t>Реализация товаров и услуг 08000000000004 от 12.01.2017 0:00:00</t>
  </si>
  <si>
    <t>Реализация товаров и услуг 08000000000309 от 07.02.2017 0:00:00</t>
  </si>
  <si>
    <t>Реализация товаров и услуг 08000000004759 от 06.12.2017 0:00:00</t>
  </si>
  <si>
    <t>Реализация товаров и услуг 08000000000537 от 20.02.2017 0:00:00</t>
  </si>
  <si>
    <t>Реализация товаров и услуг 08000000002023 от 05.06.2017 0:00:00</t>
  </si>
  <si>
    <t>Реализация товаров и услуг 08000000004251 от 08.11.2017 0:00:00</t>
  </si>
  <si>
    <t>Реализация товаров и услуг 08000000004589 от 11.12.2017 0:00:00</t>
  </si>
  <si>
    <t>Реализация товаров и услуг 08000000000570 от 10.03.2017 0:00:00</t>
  </si>
  <si>
    <t>Реализация товаров и услуг 08000000000125 от 07.02.2017 0:00:00</t>
  </si>
  <si>
    <t>Реализация товаров и услуг 08000000004473 от 06.12.2017 0:00:00</t>
  </si>
  <si>
    <t>Реализация товаров и услуг 08000000004697 от 25.12.2017 0:00:00</t>
  </si>
  <si>
    <t>Реализация товаров и услуг 08000000004695 от 25.12.2017 0:00:00</t>
  </si>
  <si>
    <t>Реализация товаров и услуг 08000000004696 от 25.12.2017 0:00:00</t>
  </si>
  <si>
    <t>Реализация товаров и услуг 08000000002026 от 19.06.2017 0:00:00</t>
  </si>
  <si>
    <t>Реализация товаров и услуг 08000000003403 от 15.09.2017 0:00:00</t>
  </si>
  <si>
    <t>Реализация товаров и услуг 08000000001919 от 15.05.2017 0:00:00</t>
  </si>
  <si>
    <t>Реализация товаров и услуг 08000000004254 от 01.11.2017 0:00:00</t>
  </si>
  <si>
    <t>Реализация товаров и услуг 08000000003819 от 18.10.2017 23:59:58</t>
  </si>
  <si>
    <t>Реализация товаров и услуг 08000000003820 от 18.10.2017 23:59:58</t>
  </si>
  <si>
    <t>Реализация товаров и услуг 08000000003848 от 23.10.2017 23:59:58</t>
  </si>
  <si>
    <t>Реализация товаров и услуг 08000000004028 от 09.11.2017 0:00:00</t>
  </si>
  <si>
    <t>Реализация товаров и услуг 08000000004266 от 01.11.2017 23:59:59</t>
  </si>
  <si>
    <t>Реализация товаров и услуг 08000000000183 от 31.01.2017 0:00:00</t>
  </si>
  <si>
    <t>Реализация товаров и услуг 08000000000182 от 31.01.2017 0:00:00</t>
  </si>
  <si>
    <t>Реализация товаров и услуг 08000000000001 от 10.01.2017 0:00:00</t>
  </si>
  <si>
    <t>Реализация товаров и услуг 08000000002031 от 26.06.2017 0:00:00</t>
  </si>
  <si>
    <t>Реализация товаров и услуг 08000000002030 от 26.06.2017 0:00:00</t>
  </si>
  <si>
    <t>Реализация товаров и услуг 08000000002032 от 26.06.2017 0:00:00</t>
  </si>
  <si>
    <t>Реализация товаров и услуг 08000000004303 от 17.11.2017 0:00:00</t>
  </si>
  <si>
    <t>Реализация товаров и услуг 08000000003857 от 31.10.2017 0:00:00</t>
  </si>
  <si>
    <t>Реализация товаров и услуг 08000000003859 от 31.10.2017 0:00:00</t>
  </si>
  <si>
    <t>Реализация товаров и услуг 08000000003860 от 31.10.2017 0:00:00</t>
  </si>
  <si>
    <t>Реализация товаров и услуг 08000000003858 от 31.10.2017 0:00:00</t>
  </si>
  <si>
    <t>Реализация товаров и услуг 08000000001451 от 12.05.2017 0:00:00</t>
  </si>
  <si>
    <t>Реализация товаров и услуг 08000000004586 от 01.12.2017 0:00:00</t>
  </si>
  <si>
    <t>Реализация товаров и услуг 08000000003454 от 21.09.2017 0:00:00</t>
  </si>
  <si>
    <t>Реализация товаров и услуг 08000000003455 от 21.09.2017 0:00:00</t>
  </si>
  <si>
    <t>Реализация товаров и услуг 08000000002063 от 22.07.2014 0:00:00</t>
  </si>
  <si>
    <t>Реализация товаров и услуг 08000000003025 от 28.10.2015 0:00:00</t>
  </si>
  <si>
    <t>Реализация товаров и услуг 08000000003213 от 11.09.2017 0:00:00</t>
  </si>
  <si>
    <t>Реализация товаров и услуг 08000000001920 от 19.05.2017 0:00:00</t>
  </si>
  <si>
    <t>Реализация товаров и услуг 08000000003440 от 28.09.2017 0:00:00</t>
  </si>
  <si>
    <t>Реализация товаров и услуг 08000000003916 от 23.12.2016 0:00:00</t>
  </si>
  <si>
    <t>Реализация товаров и услуг 08000000002922 от 01.08.2017 0:00:00</t>
  </si>
  <si>
    <t>Реализация товаров и услуг 08000000004760 от 29.12.2017 0:00:00</t>
  </si>
  <si>
    <t>Реализация товаров и услуг 08000000001918 от 11.05.2017 0:00:00</t>
  </si>
  <si>
    <t>Реализация товаров и услуг 08000000003812 от 04.10.2017 0:00:00</t>
  </si>
  <si>
    <t>Реализация товаров и услуг 08000000002470 от 10.07.2017 0:00:00</t>
  </si>
  <si>
    <t>Реализация товаров и услуг 08000000002886 от 07.08.2017 0:00:00</t>
  </si>
  <si>
    <t>Реализация товаров и услуг 08000000001728 от 19.05.2017 0:00:00</t>
  </si>
  <si>
    <t>Реализация товаров и услуг 08000000002035 от 23.06.2017 0:00:00</t>
  </si>
  <si>
    <t>Поступление на расчетный счет 08000000001047 от 15.04.2014 0:00:00</t>
  </si>
  <si>
    <t>Поступление на расчетный счет 08000000003502 от 27.11.2013 0:00:00</t>
  </si>
  <si>
    <t>Поступление на расчетный счет 08000000003503 от 27.11.2013 0:00:00</t>
  </si>
  <si>
    <t>Поступление на расчетный счет 08000000003504 от 27.11.2013 0:00:00</t>
  </si>
  <si>
    <t>Поступление на расчетный счет 08000000002556 от 17.09.2013 0:00:00</t>
  </si>
  <si>
    <t>Документ расчетов с контрагентом (ручной учет) 08000000000768 от 31.12.2012 23:59:59</t>
  </si>
  <si>
    <t>Поступление на расчетный счет 08000000003306 от 14.11.2013 0:00:00</t>
  </si>
  <si>
    <t>Поступление на расчетный счет 08000000004532 от 27.10.2016 0:00:00</t>
  </si>
  <si>
    <t>Поступление на расчетный счет 08000000004441 от 12.11.2014 0:00:00</t>
  </si>
  <si>
    <t>Поступление на расчетный счет 08000000012904 от 05.10.2017 0:00:00</t>
  </si>
  <si>
    <t>Поступление на расчетный счет 08000000014190 от 30.10.2017 0:00:00</t>
  </si>
  <si>
    <t>Документ расчетов с контрагентом (ручной учет) 08000000000770 от 31.12.2012 23:59:59</t>
  </si>
  <si>
    <t>Поступление на расчетный счет 08000000011526 от 11.09.2017 0:00:00</t>
  </si>
  <si>
    <t>Поступление на расчетный счет 08000000006971 от 09.06.2017 0:00:00</t>
  </si>
  <si>
    <t>Документ расчетов с контрагентом (ручной учет) 08000000000827 от 31.12.2012 23:59:59</t>
  </si>
  <si>
    <t>Документ расчетов с контрагентом (ручной учет) 08000000000835 от 31.12.2012 23:59:59</t>
  </si>
  <si>
    <t>Документ расчетов с контрагентом (ручной учет) 08000000000838 от 31.12.2012 23:59:59</t>
  </si>
  <si>
    <t>Документ расчетов с контрагентом (ручной учет) 08000000001507 от 31.12.2012 23:59:59</t>
  </si>
  <si>
    <t>Документ расчетов с контрагентом (ручной учет) 08000000001509 от 31.12.2012 23:59:59</t>
  </si>
  <si>
    <t>Поступление на расчетный счет 08000000014400 от 02.11.2017 0:00:00</t>
  </si>
  <si>
    <t>Поступление на расчетный счет 08000000001654 от 23.05.2014 0:00:00</t>
  </si>
  <si>
    <t>Поступление на расчетный счет 08000000010058 от 11.08.2017 0:00:00</t>
  </si>
  <si>
    <t>Поступление на расчетный счет 08000000012372 от 27.09.2017 0:00:00</t>
  </si>
  <si>
    <t>Поступление на расчетный счет 08000000015302 от 24.11.2017 0:00:00</t>
  </si>
  <si>
    <t>Поступление на расчетный счет 08000000003948 от 11.04.2017 0:00:00</t>
  </si>
  <si>
    <t>Поступление на расчетный счет 08000000006968 от 09.06.2017 0:00:00</t>
  </si>
  <si>
    <t>Поступление на расчетный счет 08000000015815 от 01.12.2017 0:00:00</t>
  </si>
  <si>
    <t>Поступление на расчетный счет 08000000001921 от 03.06.2014 0:00:00</t>
  </si>
  <si>
    <t>Поступление на расчетный счет 08000000001960 от 19.06.2015 0:00:00</t>
  </si>
  <si>
    <t>Поступление на расчетный счет 08000000000400 от 16.02.2016 0:00:00</t>
  </si>
  <si>
    <t>Поступление на расчетный счет 08000000006053 от 26.05.2017 0:00:00</t>
  </si>
  <si>
    <t>Поступление на расчетный счет 08000000007717 от 27.06.2017 0:00:00</t>
  </si>
  <si>
    <t>Поступление на расчетный счет 08000000011621 от 12.09.2017 0:00:00</t>
  </si>
  <si>
    <t>Поступление на расчетный счет 08000000011360 от 05.09.2017 0:00:00</t>
  </si>
  <si>
    <t>Поступление на расчетный счет 08000000003059 от 29.03.2017 0:00:00</t>
  </si>
  <si>
    <t>Поступление на расчетный счет 08000000009606 от 02.08.2017 0:00:00</t>
  </si>
  <si>
    <t>Поступление на расчетный счет 08000000006165 от 29.05.2017 0:00:00</t>
  </si>
  <si>
    <t>Поступление на расчетный счет 08000000007254 от 21.06.2017 0:00:00</t>
  </si>
  <si>
    <t>Поступление на расчетный счет 08000000011211 от 04.09.2017 0:00:00</t>
  </si>
  <si>
    <t>Поступление на расчетный счет 08000000001331 от 22.02.2017 0:00:00</t>
  </si>
  <si>
    <t>Поступление на расчетный счет 08000000009325 от 27.07.2017 0:00:00</t>
  </si>
  <si>
    <t>Поступление на расчетный счет 08000000010199 от 15.08.2017 0:00:00</t>
  </si>
  <si>
    <t>Поступление на расчетный счет 08000000007513 от 23.06.2017 0:00:00</t>
  </si>
  <si>
    <t>Поступление на расчетный счет 08000000011212 от 04.09.2017 0:00:00</t>
  </si>
  <si>
    <t>Поступление на расчетный счет 08000000010642 от 24.08.2017 0:00:00</t>
  </si>
  <si>
    <t>Поступление на расчетный счет 08000000003275 от 03.04.2017 0:00:00</t>
  </si>
  <si>
    <t>Поступление на расчетный счет 08000000006975 от 09.06.2017 0:00:00</t>
  </si>
  <si>
    <t>Поступление на расчетный счет 08000000012399 от 27.09.2017 0:00:00</t>
  </si>
  <si>
    <t>Поступление на расчетный счет 08000000008389 от 07.07.2017 0:00:00</t>
  </si>
  <si>
    <t>Поступление на расчетный счет 08000000003292 от 13.11.2013 0:00:00</t>
  </si>
  <si>
    <t>Поступление на расчетный счет 08000000000215 от 05.02.2014 0:00:00</t>
  </si>
  <si>
    <t>Поступление на расчетный счет 08000000000946 от 23.03.2016 0:00:00</t>
  </si>
  <si>
    <t>Поступление на расчетный счет 08000000004788 от 03.05.2017 0:00:00</t>
  </si>
  <si>
    <t>Поступление на расчетный счет 08000000004146 от 30.09.2016 0:00:00</t>
  </si>
  <si>
    <t>Поступление на расчетный счет 08000000008914 от 20.07.2017 0:00:00</t>
  </si>
  <si>
    <t>Поступление на расчетный счет 08000000016481 от 12.12.2017 23:59:59</t>
  </si>
  <si>
    <t>Поступление на расчетный счет 08000000013074 от 03.10.2017 0:00:00</t>
  </si>
  <si>
    <t>Поступление на расчетный счет 08000000016329 от 11.12.2017 23:59:59</t>
  </si>
  <si>
    <t>Поступление на расчетный счет 08000000011886 от 18.09.2017 0:00:00</t>
  </si>
  <si>
    <t>Поступление на расчетный счет 08000000003257 от 11.11.2013 0:00:00</t>
  </si>
  <si>
    <t>Поступление на расчетный счет 08000000010768 от 25.08.2017 0:00:00</t>
  </si>
  <si>
    <t>Поступление на расчетный счет 08000000005965 от 25.05.2017 0:00:00</t>
  </si>
  <si>
    <t>Поступление на расчетный счет 08000000009507 от 28.07.2017 0:00:00</t>
  </si>
  <si>
    <t>Поступление на расчетный счет 08000000003126 от 12.08.2014 0:00:00</t>
  </si>
  <si>
    <t>Поступление на расчетный счет 08000000014183 от 30.10.2017 0:00:00</t>
  </si>
  <si>
    <t>Документ расчетов с контрагентом (ручной учет) 08000000000813 от 31.12.2012 23:59:59</t>
  </si>
  <si>
    <t>Поступление на расчетный счет 08000000000201 от 25.01.2016 0:00:00</t>
  </si>
  <si>
    <t>Поступление на расчетный счет 08000000003812 от 05.04.2017 0:00:00</t>
  </si>
  <si>
    <t>Поступление на расчетный счет 08000000007512 от 23.06.2017 0:00:00</t>
  </si>
  <si>
    <t>Поступление на расчетный счет 08000000016869 от 21.12.2017 0:00:00</t>
  </si>
  <si>
    <t>Поступление на расчетный счет 08000000016277 от 06.12.2017 0:00:00</t>
  </si>
  <si>
    <t>Поступление на расчетный счет 08000000007113 от 14.06.2017 0:00:00</t>
  </si>
  <si>
    <t>Поступление на расчетный счет 08000000013307 от 16.10.2017 0:00:00</t>
  </si>
  <si>
    <t>Поступление на расчетный счет 08000000007114 от 20.06.2017 0:00:00</t>
  </si>
  <si>
    <t>Поступление на расчетный счет 08000000007212 от 20.06.2017 0:00:00</t>
  </si>
  <si>
    <t>Поступление на расчетный счет 08000000008881 от 21.07.2017 0:00:00</t>
  </si>
  <si>
    <t>Поступление на расчетный счет 08000000013162 от 12.10.2017 0:00:00</t>
  </si>
  <si>
    <t>Поступление на расчетный счет 08000000004260 от 24.11.2015 0:00:00</t>
  </si>
  <si>
    <t>Поступление на расчетный счет 08000000007511 от 23.06.2017 0:00:00</t>
  </si>
  <si>
    <t>Поступление на расчетный счет 08000000015081 от 21.11.2017 0:00:00</t>
  </si>
  <si>
    <t>Поступление на расчетный счет 08000000003248 от 08.11.2013 0:00:00</t>
  </si>
  <si>
    <t>Поступление на расчетный счет 08000000011164 от 01.09.2017 0:00:00</t>
  </si>
  <si>
    <t>Поступление на расчетный счет 08000000010560 от 24.08.2017 0:00:00</t>
  </si>
  <si>
    <t>Поступление на расчетный счет 08000000005894 от 24.05.2017 0:00:00</t>
  </si>
  <si>
    <t>Поступление на расчетный счет 08000000003950 от 11.04.2017 0:00:00</t>
  </si>
  <si>
    <t>Поступление на расчетный счет 08000000006966 от 09.06.2017 0:00:00</t>
  </si>
  <si>
    <t>Поступление на расчетный счет 08000000006962 от 09.06.2017 0:00:00</t>
  </si>
  <si>
    <t>Поступление на расчетный счет 08000000006967 от 09.06.2017 0:00:00</t>
  </si>
  <si>
    <t>Поступление на расчетный счет 08000000013665 от 17.10.2017 0:00:00</t>
  </si>
  <si>
    <t>Поступление на расчетный счет 08000000013656 от 17.10.2017 0:00:00</t>
  </si>
  <si>
    <t>Поступление на расчетный счет 08000000013739 от 17.10.2017 0:00:00</t>
  </si>
  <si>
    <t>Поступление на расчетный счет 08000000011358 от 05.09.2017 0:00:00</t>
  </si>
  <si>
    <t>Поступление на расчетный счет 08000000011356 от 05.09.2017 0:00:00</t>
  </si>
  <si>
    <t>Поступление на расчетный счет 08000000011357 от 05.09.2017 0:00:00</t>
  </si>
  <si>
    <t>Поступление на расчетный счет 08000000016246 от 01.12.2017 0:00:00</t>
  </si>
  <si>
    <t>Поступление на расчетный счет 08000000016247 от 01.12.2017 0:00:00</t>
  </si>
  <si>
    <t>Поступление на расчетный счет 08000000005893 от 24.05.2017 0:00:00</t>
  </si>
  <si>
    <t>Поступление на расчетный счет 08000000003949 от 11.04.2017 0:00:00</t>
  </si>
  <si>
    <t>Поступление на расчетный счет 08000000007510 от 23.06.2017 0:00:00</t>
  </si>
  <si>
    <t>Поступление на расчетный счет 08000000011375 от 06.09.2017 0:00:00</t>
  </si>
  <si>
    <t>Поступление на расчетный счет 08000000011116 от 31.08.2017 0:00:00</t>
  </si>
  <si>
    <t>Поступление на расчетный счет 08000000009859 от 04.08.2017 0:00:00</t>
  </si>
  <si>
    <t>Поступление на расчетный счет 08000000015366 от 24.11.2017 0:00:00</t>
  </si>
  <si>
    <t>Поступление на расчетный счет 08000000016287 от 06.12.2017 0:00:00</t>
  </si>
  <si>
    <t>Поступление на расчетный счет 08000000011524 от 11.09.2017 0:00:00</t>
  </si>
  <si>
    <t>Поступление на расчетный счет 08000000011525 от 11.09.2017 0:00:00</t>
  </si>
  <si>
    <t>Поступление на расчетный счет 08000000005892 от 24.05.2017 0:00:00</t>
  </si>
  <si>
    <t>Поступление на расчетный счет 08000000007509 от 23.06.2017 0:00:00</t>
  </si>
  <si>
    <t>Поступление на расчетный счет 08000000009416 от 28.07.2017 0:00:00</t>
  </si>
  <si>
    <t>Поступление на расчетный счет 08000000008909 от 19.07.2017 0:00:00</t>
  </si>
  <si>
    <t>Поступление на расчетный счет 08000000003203 от 05.11.2013 0:00:00</t>
  </si>
  <si>
    <t>Поступление на расчетный счет 08000000009322 от 27.07.2017 0:00:00</t>
  </si>
  <si>
    <t>Поступление на расчетный счет 08000000001119 от 09.04.2015 0:00:00</t>
  </si>
  <si>
    <t>Поступление на расчетный счет 08000000009788 от 01.08.2017 0:00:00</t>
  </si>
  <si>
    <t>Поступление на расчетный счет 08000000003033 от 29.03.2017 0:00:00</t>
  </si>
  <si>
    <t>Поступление на расчетный счет 08000000002864 от 27.03.2017 0:00:00</t>
  </si>
  <si>
    <t>Поступление на расчетный счет 08000000003307 от 14.11.2013 0:00:00</t>
  </si>
  <si>
    <t>Поступление на расчетный счет 08000000003244 от 08.11.2013 0:00:00</t>
  </si>
  <si>
    <t>Поступление на расчетный счет 08000000000649 от 02.02.2017 0:00:00</t>
  </si>
  <si>
    <t>Поступление на расчетный счет 08000000008949 от 18.07.2017 0:00:00</t>
  </si>
  <si>
    <t>Поступление на расчетный счет 08000000008344 от 10.07.2017 0:00:00</t>
  </si>
  <si>
    <t>Поступление на расчетный счет 08000000004811 от 05.12.2014 0:00:00</t>
  </si>
  <si>
    <t>Поступление на расчетный счет 08000000003293 от 13.11.2013 0:00:00</t>
  </si>
  <si>
    <t>Поступление на расчетный счет 08000000000453 от 25.02.2014 16:07:12</t>
  </si>
  <si>
    <t>Поступление на расчетный счет 08000000004113 от 14.04.2017 0:00:00</t>
  </si>
  <si>
    <t>Поступление на расчетный счет 08000000007493 от 23.06.2017 0:00:00</t>
  </si>
  <si>
    <t>Поступление на расчетный счет 08000000000422 от 01.02.2017 0:00:00</t>
  </si>
  <si>
    <t>Поступление на расчетный счет 08000000012649 от 29.09.2017 0:00:00</t>
  </si>
  <si>
    <t>Поступление на расчетный счет 08000000007115 от 20.06.2017 0:00:00</t>
  </si>
  <si>
    <t>Поступление на расчетный счет 08000000013533 от 12.10.2017 0:00:00</t>
  </si>
  <si>
    <t>Поступление на расчетный счет 08000000010086 от 11.08.2017 0:00:00</t>
  </si>
  <si>
    <t>Поступление на расчетный счет 08000000008498 от 11.07.2017 0:00:00</t>
  </si>
  <si>
    <t>Поступление на расчетный счет 08000000015059 от 02.11.2017 0:00:00</t>
  </si>
  <si>
    <t>Поступление на расчетный счет 08000000013853 от 09.10.2017 0:00:00</t>
  </si>
  <si>
    <t>Поступление на расчетный счет 08000000011620 от 12.09.2017 0:00:00</t>
  </si>
  <si>
    <t>Поступление на расчетный счет 08000000010866 от 28.08.2017 0:00:00</t>
  </si>
  <si>
    <t>Поступление на расчетный счет 08000000015258 от 03.11.2017 0:00:00</t>
  </si>
  <si>
    <t>Поступление на расчетный счет 08000000008882 от 21.07.2017 0:00:00</t>
  </si>
  <si>
    <t>Поступление на расчетный счет 08000000014607 от 09.11.2017 0:00:00</t>
  </si>
  <si>
    <t>Поступление на расчетный счет 08000000005169 от 10.05.2017 0:00:00</t>
  </si>
  <si>
    <t>Поступление на расчетный счет 08000000011523 от 11.09.2017 0:00:00</t>
  </si>
  <si>
    <t>Поступление на расчетный счет 08000000010553 от 23.08.2017 0:00:00</t>
  </si>
  <si>
    <t>Поступление на расчетный счет 08000000015259 от 03.11.2017 0:00:00</t>
  </si>
  <si>
    <t>Поступление на расчетный счет 08000000003107 от 30.03.2017 0:00:00</t>
  </si>
  <si>
    <t>Поступление на расчетный счет 08000000009240 от 26.07.2017 0:00:00</t>
  </si>
  <si>
    <t>Поступление на расчетный счет 08000000006257 от 24.05.2017 0:00:00</t>
  </si>
  <si>
    <t>Поступление на расчетный счет 08000000000996 от 16.02.2017 0:00:00</t>
  </si>
  <si>
    <t>Поступление на расчетный счет 08000000006533 от 06.06.2017 0:00:00</t>
  </si>
  <si>
    <t>Поступление на расчетный счет 08000000016775 от 20.12.2017 0:00:00</t>
  </si>
  <si>
    <t>Поступление на расчетный счет 08000000000063 от 20.01.2017 0:00:00</t>
  </si>
  <si>
    <t>Поступление на расчетный счет 08000000013644 от 16.10.2017 0:00:00</t>
  </si>
  <si>
    <t>Поступление на расчетный счет 08000000008265 от 05.07.2017 0:00:00</t>
  </si>
  <si>
    <t>Поступление на расчетный счет 08000000000531 от 05.03.2015 0:00:00</t>
  </si>
  <si>
    <t>Поступление на расчетный счет 08000000001646 от 06.03.2017 0:00:00</t>
  </si>
  <si>
    <t>Поступление на расчетный счет 08000000001056 от 17.02.2017 0:00:00</t>
  </si>
  <si>
    <t>Поступление на расчетный счет 08000000004928 от 24.11.2016 0:00:00</t>
  </si>
  <si>
    <t>Поступление на расчетный счет 08000000008061 от 03.07.2017 0:00:00</t>
  </si>
  <si>
    <t>Поступление на расчетный счет 08000000006147 от 29.05.2017 0:00:00</t>
  </si>
  <si>
    <t>Поступление на расчетный счет 08000000012709 от 02.10.2017 0:00:00</t>
  </si>
  <si>
    <t>Поступление на расчетный счет 08000000013204 от 06.10.2017 0:00:00</t>
  </si>
  <si>
    <t>Поступление на расчетный счет 08000000007507 от 23.06.2017 0:00:00</t>
  </si>
  <si>
    <t>Поступление на расчетный счет 08000000010412 от 21.08.2017 0:00:00</t>
  </si>
  <si>
    <t>Поступление на расчетный счет 08000000006640 от 09.06.2017 0:00:00</t>
  </si>
  <si>
    <t>Поступление на расчетный счет 08000000016323 от 11.12.2017 23:59:59</t>
  </si>
  <si>
    <t>Поступление на расчетный счет 08000000008272 от 05.07.2017 0:00:00</t>
  </si>
  <si>
    <t>Поступление на расчетный счет 08000000007508 от 23.06.2017 0:00:00</t>
  </si>
  <si>
    <t>Поступление на расчетный счет 08000000002846 от 24.03.2017 0:00:00</t>
  </si>
  <si>
    <t>Поступление на расчетный счет 08000000011355 от 05.09.2017 0:00:00</t>
  </si>
  <si>
    <t>Поступление на расчетный счет 08000000009414 от 11.07.2017 0:00:00</t>
  </si>
  <si>
    <t>Поступление на расчетный счет 08000000012531 от 28.09.2017 0:00:00</t>
  </si>
  <si>
    <t>Поступление на расчетный счет 08000000007492 от 23.06.2017 0:00:00</t>
  </si>
  <si>
    <t>Поступление на расчетный счет 08000000008691 от 13.07.2017 0:00:00</t>
  </si>
  <si>
    <t>Поступление на расчетный счет 08000000013202 от 06.10.2017 0:00:00</t>
  </si>
  <si>
    <t>Поступление на расчетный счет 08000000005964 от 25.05.2017 0:00:00</t>
  </si>
  <si>
    <t>Поступление на расчетный счет 08000000012398 от 27.09.2017 0:00:00</t>
  </si>
  <si>
    <t>Поступление на расчетный счет 08000000017141 от 25.12.2017 0:00:00</t>
  </si>
  <si>
    <t>Поступление на расчетный счет 08000000010251 от 16.08.2017 0:00:00</t>
  </si>
  <si>
    <t>Поступление на расчетный счет 08000000010962 от 29.08.2017 0:00:00</t>
  </si>
  <si>
    <t>Поступление на расчетный счет 08000000013935 от 09.10.2017 0:00:00</t>
  </si>
  <si>
    <t>Поступление на расчетный счет 08000000006976 от 09.06.2017 0:00:00</t>
  </si>
  <si>
    <t>Поступление на расчетный счет 08000000004907 от 23.11.2016 0:00:00</t>
  </si>
  <si>
    <t>Поступление на расчетный счет 08000000010196 от 15.08.2017 0:00:00</t>
  </si>
  <si>
    <t>Поступление на расчетный счет 08000000005278 от 20.12.2016 0:00:00</t>
  </si>
  <si>
    <t>Поступление на расчетный счет 08000000011021 от 30.08.2017 0:00:00</t>
  </si>
  <si>
    <t>Поступление на расчетный счет 08000000005273 от 04.05.2017 0:00:00</t>
  </si>
  <si>
    <t>Поступление на расчетный счет 08000000006329 от 31.05.2017 0:00:00</t>
  </si>
  <si>
    <t>Поступление на расчетный счет 08000000009942 от 09.08.2017 0:00:00</t>
  </si>
  <si>
    <t>Поступление на расчетный счет 08000000011513 от 11.09.2017 0:00:00</t>
  </si>
  <si>
    <t>Поступление на расчетный счет 08000000012301 от 26.09.2017 0:00:00</t>
  </si>
  <si>
    <t>Поступление на расчетный счет 08000000010150 от 14.08.2017 0:00:00</t>
  </si>
  <si>
    <t>Поступление на расчетный счет 08000000006164 от 29.05.2017 0:00:00</t>
  </si>
  <si>
    <t>Поступление на расчетный счет 08000000003258 от 11.11.2013 0:00:00</t>
  </si>
  <si>
    <t>Поступление на расчетный счет 08000000008199 от 06.07.2017 0:00:00</t>
  </si>
  <si>
    <t>Поступление на расчетный счет 08000000009503 от 28.07.2017 0:00:00</t>
  </si>
  <si>
    <t>Поступление на расчетный счет 08000000001823 от 16.05.2016 0:00:00</t>
  </si>
  <si>
    <t>Поступление на расчетный счет 08000000008939 от 18.07.2017 0:00:00</t>
  </si>
  <si>
    <t>Поступление на расчетный счет 08000000007624 от 26.06.2017 0:00:00</t>
  </si>
  <si>
    <t>Поступление на расчетный счет 08000000007935 от 30.06.2017 0:00:00</t>
  </si>
  <si>
    <t>Поступление на расчетный счет 08000000014959 от 10.11.2017 0:00:00</t>
  </si>
  <si>
    <t>Поступление на расчетный счет 08000000016510 от 15.12.2017 23:59:59</t>
  </si>
  <si>
    <t>Поступление на расчетный счет 08000000003244 от 09.08.2016 0:00:00</t>
  </si>
  <si>
    <t>Поступление на расчетный счет 08000000005646 от 22.05.2017 0:00:00</t>
  </si>
  <si>
    <t>Поступление на расчетный счет 08000000004322 от 05.10.2016 0:00:00</t>
  </si>
  <si>
    <t>Поступление на расчетный счет 08000000009779 от 07.08.2017 0:00:00</t>
  </si>
  <si>
    <t>Поступление на расчетный счет 08000000014087 от 24.10.2017 0:00:00</t>
  </si>
  <si>
    <t>Поступление на расчетный счет 08000000008018 от 30.06.2017 0:00:00</t>
  </si>
  <si>
    <t>Поступление на расчетный счет 08000000016279 от 06.12.2017 0:00:00</t>
  </si>
  <si>
    <t>Поступление на расчетный счет 08000000008345 от 10.07.2017 0:00:00</t>
  </si>
  <si>
    <t>Поступление на расчетный счет 08000000007734 от 27.06.2017 0:00:00</t>
  </si>
  <si>
    <t>Поступление на расчетный счет 08000000008269 от 05.07.2017 0:00:00</t>
  </si>
  <si>
    <t>Поступление на расчетный счет 08000000003273 от 12.11.2013 0:00:00</t>
  </si>
  <si>
    <t>Поступление на расчетный счет 08000000010373 от 21.08.2017 0:00:00</t>
  </si>
  <si>
    <t>Поступление на расчетный счет 08000000007506 от 23.06.2017 0:00:00</t>
  </si>
  <si>
    <t>Поступление на расчетный счет 08000000010000 от 10.08.2017 0:00:00</t>
  </si>
  <si>
    <t>Поступление на расчетный счет 08000000011530 от 11.09.2017 0:00:00</t>
  </si>
  <si>
    <t>Поступление на расчетный счет 08000000003803 от 18.04.2017 0:00:00</t>
  </si>
  <si>
    <t>Поступление на расчетный счет 08000000014941 от 20.11.2017 0:00:00</t>
  </si>
  <si>
    <t>Поступление на расчетный счет 08000000008271 от 05.07.2017 0:00:00</t>
  </si>
  <si>
    <t>Поступление на расчетный счет 08000000010964 от 29.08.2017 0:00:00</t>
  </si>
  <si>
    <t>Поступление на расчетный счет 08000000004218 от 24.04.2017 0:00:00</t>
  </si>
  <si>
    <t>Поступление на расчетный счет 08000000013200 от 06.10.2017 0:00:00</t>
  </si>
  <si>
    <t>Поступление на расчетный счет 08000000011837 от 18.09.2017 0:00:00</t>
  </si>
  <si>
    <t>Поступление на расчетный счет 08000000013075 от 03.10.2017 0:00:00</t>
  </si>
  <si>
    <t>Поступление на расчетный счет 08000000002087 от 14.03.2017 0:00:00</t>
  </si>
  <si>
    <t>Поступление на расчетный счет 08000000004219 от 24.04.2017 0:00:00</t>
  </si>
  <si>
    <t>Поступление на расчетный счет 08000000015058 от 02.11.2017 0:00:00</t>
  </si>
  <si>
    <t>Поступление на расчетный счет 08000000002538 от 27.06.2016 0:00:00</t>
  </si>
  <si>
    <t>Поступление на расчетный счет 08000000001352 от 11.04.2016 0:00:00</t>
  </si>
  <si>
    <t>Поступление на расчетный счет 08000000005966 от 25.05.2017 0:00:00</t>
  </si>
  <si>
    <t>Поступление на расчетный счет 08000000005414 от 17.05.2017 0:00:00</t>
  </si>
  <si>
    <t>Поступление на расчетный счет 08000000003729 от 06.09.2016 0:00:00</t>
  </si>
  <si>
    <t>Поступление на расчетный счет 08000000000321 от 30.01.2017 0:00:00</t>
  </si>
  <si>
    <t>Поступление на расчетный счет 08000000004374 от 26.04.2017 0:00:00</t>
  </si>
  <si>
    <t>Поступление на расчетный счет 08000000004287 от 10.10.2016 0:00:00</t>
  </si>
  <si>
    <t>Поступление на расчетный счет 08000000003487 от 23.08.2016 0:00:00</t>
  </si>
  <si>
    <t>Поступление на расчетный счет 08000000004543 от 28.10.2016 0:00:00</t>
  </si>
  <si>
    <t>Поступление на расчетный счет 08000000010854 от 28.08.2017 0:00:00</t>
  </si>
  <si>
    <t>Поступление на расчетный счет 08000000014464 от 06.11.2017 0:00:00</t>
  </si>
  <si>
    <t>Поступление на расчетный счет 08000000004227 от 24.04.2017 0:00:00</t>
  </si>
  <si>
    <t>Поступление на расчетный счет 08000000009060 от 24.07.2017 0:00:00</t>
  </si>
  <si>
    <t>Поступление на расчетный счет 08000000012302 от 26.09.2017 0:00:00</t>
  </si>
  <si>
    <t>Поступление на расчетный счет 08000000005524 от 19.05.2017 0:00:00</t>
  </si>
  <si>
    <t>Поступление на расчетный счет 08000000000144 от 20.01.2017 0:00:00</t>
  </si>
  <si>
    <t>Поступление на расчетный счет 08000000009505 от 28.07.2017 0:00:00</t>
  </si>
  <si>
    <t>Поступление на расчетный счет 08000000002415 от 20.06.2016 0:00:00</t>
  </si>
  <si>
    <t>Поступление на расчетный счет 08000000004164 от 03.10.2016 0:00:00</t>
  </si>
  <si>
    <t>Поступление на расчетный счет 08000000014055 от 27.10.2017 0:00:00</t>
  </si>
  <si>
    <t>Поступление на расчетный счет 08000000004506 от 19.11.2014 0:00:00</t>
  </si>
  <si>
    <t>Поступление на расчетный счет 08000000014960 от 10.11.2017 0:00:00</t>
  </si>
  <si>
    <t>Поступление на расчетный счет 08000000015189 от 22.11.2017 0:00:00</t>
  </si>
  <si>
    <t>Поступление на расчетный счет 08000000001558 от 27.04.2016 0:00:00</t>
  </si>
  <si>
    <t>Поступление на расчетный счет 08000000016575 от 18.12.2017 0:00:00</t>
  </si>
  <si>
    <t>Поступление на расчетный счет 08000000015492 от 28.11.2017 0:00:00</t>
  </si>
  <si>
    <t>Поступление на расчетный счет 08000000004109 от 13.04.2017 0:00:00</t>
  </si>
  <si>
    <t>Поступление на расчетный счет 08000000013082 от 04.10.2017 0:00:00</t>
  </si>
  <si>
    <t>Поступление на расчетный счет 08000000013937 от 10.10.2017 0:00:00</t>
  </si>
  <si>
    <t>Поступление на расчетный счет 08000000014307 от 31.10.2017 0:00:00</t>
  </si>
  <si>
    <t>Поступление на расчетный счет 08000000006952 от 08.06.2017 0:00:00</t>
  </si>
  <si>
    <t>Поступление на расчетный счет 08000000005420 от 17.05.2017 0:00:00</t>
  </si>
  <si>
    <t>Поступление на расчетный счет 08000000008556 от 13.07.2017 0:00:00</t>
  </si>
  <si>
    <t>Поступление на расчетный счет 08000000006256 от 24.05.2017 0:00:00</t>
  </si>
  <si>
    <t>Поступление на расчетный счет 08000000015301 от 24.11.2017 0:00:00</t>
  </si>
  <si>
    <t>Поступление на расчетный счет 08000000003723 от 06.09.2016 0:00:00</t>
  </si>
  <si>
    <t>Поступление на расчетный счет 08000000010863 от 28.08.2017 0:00:00</t>
  </si>
  <si>
    <t>Поступление на расчетный счет 08000000011343 от 07.09.2017 0:00:00</t>
  </si>
  <si>
    <t>Поступление на расчетный счет 08000000007505 от 23.06.2017 0:00:00</t>
  </si>
  <si>
    <t>Поступление на расчетный счет 08000000016672 от 19.12.2017 0:00:00</t>
  </si>
  <si>
    <t>Поступление на расчетный счет 08000000002235 от 15.03.2017 0:00:00</t>
  </si>
  <si>
    <t>Поступление на расчетный счет 08000000003166 от 01.11.2013 0:00:00</t>
  </si>
  <si>
    <t>Поступление на расчетный счет 08000000013645 от 16.10.2017 0:00:00</t>
  </si>
  <si>
    <t>Поступление на расчетный счет 08000000008570 от 12.07.2017 0:00:00</t>
  </si>
  <si>
    <t>Поступление на расчетный счет 08000000003815 от 05.04.2017 0:00:00</t>
  </si>
  <si>
    <t>Поступление на расчетный счет 08000000013845 от 25.10.2017 0:00:00</t>
  </si>
  <si>
    <t>Поступление на расчетный счет 08000000007504 от 23.06.2017 0:00:00</t>
  </si>
  <si>
    <t>Поступление на расчетный счет 08000000006874 от 07.06.2017 0:00:00</t>
  </si>
  <si>
    <t>Поступление на расчетный счет 08000000004467 от 27.04.2017 0:00:00</t>
  </si>
  <si>
    <t>Поступление на расчетный счет 08000000003168 от 01.11.2013 0:00:00</t>
  </si>
  <si>
    <t>Поступление на расчетный счет 08000000015177 от 22.11.2017 0:00:00</t>
  </si>
  <si>
    <t>Поступление на расчетный счет 08000000005955 от 25.05.2017 0:00:00</t>
  </si>
  <si>
    <t>Поступление на расчетный счет 08000000007896 от 29.06.2017 0:00:00</t>
  </si>
  <si>
    <t>Поступление на расчетный счет 08000000008506 от 11.07.2017 0:00:00</t>
  </si>
  <si>
    <t>Поступление на расчетный счет 08000000004638 от 08.11.2016 0:00:00</t>
  </si>
  <si>
    <t>Поступление на расчетный счет 08000000010195 от 15.08.2017 0:00:00</t>
  </si>
  <si>
    <t>Поступление на расчетный счет 08000000002180 от 01.07.2015 0:00:00</t>
  </si>
  <si>
    <t>Поступление на расчетный счет 08000000013773 от 23.10.2017 0:00:00</t>
  </si>
  <si>
    <t>Поступление на расчетный счет 08000000007503 от 23.06.2017 0:00:00</t>
  </si>
  <si>
    <t>Поступление на расчетный счет 08000000003164 от 01.11.2013 0:00:00</t>
  </si>
  <si>
    <t>Поступление на расчетный счет 08000000008574 от 12.07.2017 0:00:00</t>
  </si>
  <si>
    <t>Поступление на расчетный счет 08000000010234 от 16.08.2017 0:00:00</t>
  </si>
  <si>
    <t>Поступление на расчетный счет 08000000005168 от 10.05.2017 0:00:00</t>
  </si>
  <si>
    <t>Поступление на расчетный счет 08000000006166 от 29.05.2017 0:00:00</t>
  </si>
  <si>
    <t>Поступление на расчетный счет 08000000007502 от 23.06.2017 0:00:00</t>
  </si>
  <si>
    <t>Поступление на расчетный счет 08000000010769 от 25.08.2017 0:00:00</t>
  </si>
  <si>
    <t>Поступление на расчетный счет 08000000011865 от 18.09.2017 0:00:00</t>
  </si>
  <si>
    <t>Поступление на расчетный счет 08000000014411 от 13.10.2017 23:59:59</t>
  </si>
  <si>
    <t>Поступление на расчетный счет 08000000011872 от 18.09.2017 0:00:00</t>
  </si>
  <si>
    <t>Поступление на расчетный счет 08000000016035 от 08.12.2017 0:00:00</t>
  </si>
  <si>
    <t>Поступление на расчетный счет 08000000010149 от 14.08.2017 0:00:00</t>
  </si>
  <si>
    <t>Поступление на расчетный счет 08000000002603 от 22.07.2014 0:00:00</t>
  </si>
  <si>
    <t>Поступление на расчетный счет 08000000002204 от 17.03.2017 0:00:00</t>
  </si>
  <si>
    <t>Поступление на расчетный счет 08000000003539 от 29.11.2013 0:00:00</t>
  </si>
  <si>
    <t>Поступление на расчетный счет 08000000005195 от 11.05.2017 0:00:00</t>
  </si>
  <si>
    <t>Поступление на расчетный счет 08000000013936 от 09.10.2017 0:00:00</t>
  </si>
  <si>
    <t>Поступление на расчетный счет 08000000015636 от 29.11.2017 0:00:00</t>
  </si>
  <si>
    <t>Поступление на расчетный счет 08000000003653 от 01.09.2016 0:00:00</t>
  </si>
  <si>
    <t>Поступление на расчетный счет 08000000017343 от 27.12.2017 0:00:00</t>
  </si>
  <si>
    <t>Поступление на расчетный счет 08000000006161 от 29.05.2017 0:00:00</t>
  </si>
  <si>
    <t>Поступление на расчетный счет 08000000003169 от 01.11.2013 0:00:00</t>
  </si>
  <si>
    <t>Поступление на расчетный счет 08000000004910 от 05.05.2017 0:00:00</t>
  </si>
  <si>
    <t>Поступление на расчетный счет 08000000009858 от 04.08.2017 0:00:00</t>
  </si>
  <si>
    <t>Поступление на расчетный счет 08000000008947 от 18.07.2017 0:00:00</t>
  </si>
  <si>
    <t>Поступление на расчетный счет 08000000005016 от 01.12.2016 0:00:00</t>
  </si>
  <si>
    <t>Поступление на расчетный счет 08000000003197 от 05.11.2013 0:00:00</t>
  </si>
  <si>
    <t>Поступление на расчетный счет 08000000011891 от 19.09.2017 0:00:00</t>
  </si>
  <si>
    <t>Поступление на расчетный счет 08000000006882 от 16.06.2017 0:00:00</t>
  </si>
  <si>
    <t>Поступление на расчетный счет 08000000005170 от 10.05.2017 0:00:00</t>
  </si>
  <si>
    <t>Поступление на расчетный счет 08000000008910 от 19.07.2017 0:00:00</t>
  </si>
  <si>
    <t>Поступление на расчетный счет 08000000003297 от 15.08.2016 0:00:00</t>
  </si>
  <si>
    <t>Поступление на расчетный счет 08000000008555 от 13.07.2017 0:00:00</t>
  </si>
  <si>
    <t>Поступление на расчетный счет 08000000004383 от 26.04.2017 0:00:00</t>
  </si>
  <si>
    <t>Поступление на расчетный счет 08000000000887 от 03.04.2015 0:00:00</t>
  </si>
  <si>
    <t>Поступление на расчетный счет 08000000005179 от 10.05.2017 0:00:00</t>
  </si>
  <si>
    <t>Поступление на расчетный счет 08000000008948 от 18.07.2017 0:00:00</t>
  </si>
  <si>
    <t>Поступление на расчетный счет 08000000002264 от 17.03.2017 0:00:00</t>
  </si>
  <si>
    <t>Поступление на расчетный счет 08000000013450 от 19.10.2017 0:00:00</t>
  </si>
  <si>
    <t>Поступление на расчетный счет 08000000015053 от 01.11.2017 0:00:00</t>
  </si>
  <si>
    <t>Поступление на расчетный счет 08000000014771 от 15.11.2017 0:00:00</t>
  </si>
  <si>
    <t>Поступление на расчетный счет 08000000004927 от 15.12.2014 0:00:00</t>
  </si>
  <si>
    <t>Поступление на расчетный счет 08000000002639 от 22.03.2017 0:00:00</t>
  </si>
  <si>
    <t>Поступление на расчетный счет 08000000000073 от 23.01.2017 0:00:00</t>
  </si>
  <si>
    <t>Поступление на расчетный счет 08000000004290 от 25.04.2017 0:00:00</t>
  </si>
  <si>
    <t>Поступление на расчетный счет 08000000014091 от 24.10.2017 0:00:00</t>
  </si>
  <si>
    <t>Поступление на расчетный счет 08000000005349 от 05.05.2017 0:00:00</t>
  </si>
  <si>
    <t>Поступление на расчетный счет 08000000011787 от 15.09.2017 0:00:00</t>
  </si>
  <si>
    <t>Поступление на расчетный счет 08000000009324 от 27.07.2017 0:00:00</t>
  </si>
  <si>
    <t>Поступление на расчетный счет 08000000007997 от 30.06.2017 0:00:00</t>
  </si>
  <si>
    <t>Документ расчетов с контрагентом (ручной учет) 08000000000779 от 31.12.2012 23:59:59</t>
  </si>
  <si>
    <t>Поступление на расчетный счет 08000000011871 от 18.09.2017 0:00:00</t>
  </si>
  <si>
    <t>Поступление на расчетный счет 08000000004209 от 23.10.2014 0:00:00</t>
  </si>
  <si>
    <t>Поступление на расчетный счет 08000000009312 от 27.07.2017 0:00:00</t>
  </si>
  <si>
    <t>Поступление на расчетный счет 08000000010079 от 11.08.2017 0:00:00</t>
  </si>
  <si>
    <t>Поступление на расчетный счет 08000000016281 от 06.12.2017 0:00:00</t>
  </si>
  <si>
    <t>Поступление на расчетный счет 08000000000190 от 17.01.2017 0:00:00</t>
  </si>
  <si>
    <t>Поступление на расчетный счет 08000000010200 от 15.08.2017 0:00:00</t>
  </si>
  <si>
    <t>Поступление на расчетный счет 08000000005677 от 22.05.2017 0:00:00</t>
  </si>
  <si>
    <t>Поступление на расчетный счет 08000000014184 от 30.10.2017 0:00:00</t>
  </si>
  <si>
    <t>Поступление на расчетный счет 08000000003291 от 13.11.2013 0:00:00</t>
  </si>
  <si>
    <t>Поступление на расчетный счет 08000000012529 от 28.09.2017 0:00:00</t>
  </si>
  <si>
    <t>Поступление на расчетный счет 08000000014296 от 31.10.2017 0:00:00</t>
  </si>
  <si>
    <t>Поступление на расчетный счет 08000000004306 от 07.10.2016 0:00:00</t>
  </si>
  <si>
    <t>Поступление на расчетный счет 08000000001332 от 22.02.2017 0:00:00</t>
  </si>
  <si>
    <t>Поступление на расчетный счет 08000000017353 от 27.12.2017 0:00:00</t>
  </si>
  <si>
    <t>Поступление на расчетный счет 08000000010484 от 23.08.2017 0:00:00</t>
  </si>
  <si>
    <t>Поступление на расчетный счет 08000000011777 от 15.09.2017 0:00:00</t>
  </si>
  <si>
    <t>Поступление на расчетный счет 08000000016494 от 14.12.2017 23:59:59</t>
  </si>
  <si>
    <t>Поступление на расчетный счет 08000000000613 от 08.02.2017 0:00:00</t>
  </si>
  <si>
    <t>Поступление на расчетный счет 08000000005000 от 30.11.2016 0:00:00</t>
  </si>
  <si>
    <t>Поступление на расчетный счет 08000000014045 от 27.10.2017 0:00:00</t>
  </si>
  <si>
    <t>Поступление на расчетный счет 08000000012956 от 06.10.2017 0:00:00</t>
  </si>
  <si>
    <t>Поступление на расчетный счет 08000000016475 от 12.12.2017 23:59:59</t>
  </si>
  <si>
    <t>Поступление на расчетный счет 08000000005144 от 03.05.2017 0:00:00</t>
  </si>
  <si>
    <t>Поступление на расчетный счет 08000000014070 от 25.10.2017 0:00:00</t>
  </si>
  <si>
    <t>Поступление на расчетный счет 08000000014306 от 31.10.2017 0:00:00</t>
  </si>
  <si>
    <t>Поступление на расчетный счет 08000000000161 от 29.01.2014 0:00:00</t>
  </si>
  <si>
    <t>Поступление на расчетный счет 08000000003581 от 04.12.2013 0:00:00</t>
  </si>
  <si>
    <t>Поступление на расчетный счет 08000000011051 от 31.08.2017 0:00:00</t>
  </si>
  <si>
    <t>Поступление на расчетный счет 08000000000170 от 30.01.2014 0:00:00</t>
  </si>
  <si>
    <t>Поступление на расчетный счет 08000000011660 от 13.09.2017 0:00:00</t>
  </si>
  <si>
    <t>Поступление на расчетный счет 08000000007490 от 23.06.2017 0:00:00</t>
  </si>
  <si>
    <t>Поступление на расчетный счет 08000000013343 от 17.10.2017 0:00:00</t>
  </si>
  <si>
    <t>Поступление на расчетный счет 08000000011783 от 15.09.2017 0:00:00</t>
  </si>
  <si>
    <t>Поступление на расчетный счет 08000000010544 от 23.08.2017 0:00:00</t>
  </si>
  <si>
    <t>Поступление на расчетный счет 08000000016361 от 14.12.2017 23:59:59</t>
  </si>
  <si>
    <t>Поступление на расчетный счет 08000000004039 от 23.09.2016 0:00:00</t>
  </si>
  <si>
    <t>Поступление на расчетный счет 08000000001946 от 05.06.2014 0:00:00</t>
  </si>
  <si>
    <t>Поступление на расчетный счет 08000000015487 от 28.11.2017 0:00:00</t>
  </si>
  <si>
    <t>Поступление на расчетный счет 08000000008388 от 07.07.2017 0:00:00</t>
  </si>
  <si>
    <t>Поступление на расчетный счет 08000000001716 от 27.05.2014 0:00:00</t>
  </si>
  <si>
    <t>Поступление на расчетный счет 08000000007494 от 23.06.2017 0:00:00</t>
  </si>
  <si>
    <t>Поступление на расчетный счет 08000000009728 от 04.08.2017 0:00:00</t>
  </si>
  <si>
    <t>Поступление на расчетный счет 08000000016278 от 06.12.2017 0:00:00</t>
  </si>
  <si>
    <t>Поступление на расчетный счет 08000000003094 от 04.09.2015 0:00:00</t>
  </si>
  <si>
    <t>Поступление на расчетный счет 08000000000854 от 14.02.2017 0:00:00</t>
  </si>
  <si>
    <t>Поступление на расчетный счет 08000000001846 от 08.06.2015 0:00:00</t>
  </si>
  <si>
    <t>Поступление на расчетный счет 08000000014952 от 16.11.2017 0:00:00</t>
  </si>
  <si>
    <t>Поступление на расчетный счет 08000000011659 от 13.09.2017 0:00:00</t>
  </si>
  <si>
    <t>Поступление на расчетный счет 08000000013772 от 23.10.2017 0:00:00</t>
  </si>
  <si>
    <t>Поступление на расчетный счет 08000000007202 от 21.06.2017 0:00:00</t>
  </si>
  <si>
    <t>Поступление на расчетный счет 08000000008690 от 13.07.2017 0:00:00</t>
  </si>
  <si>
    <t>Поступление на расчетный счет 08000000004036 от 20.04.2017 0:00:00</t>
  </si>
  <si>
    <t>Поступление на расчетный счет 08000000003222 от 07.11.2013 0:00:00</t>
  </si>
  <si>
    <t>Поступление на расчетный счет 08000000002450 от 10.07.2014 0:00:00</t>
  </si>
  <si>
    <t>Поступление на расчетный счет 08000000007793 от 28.06.2017 0:00:00</t>
  </si>
  <si>
    <t>Поступление на расчетный счет 08000000012288 от 26.09.2017 0:00:00</t>
  </si>
  <si>
    <t>Поступление на расчетный счет 08000000003273 от 03.04.2017 0:00:00</t>
  </si>
  <si>
    <t>Поступление на расчетный счет 08000000000187 от 03.02.2014 0:00:00</t>
  </si>
  <si>
    <t>Поступление на расчетный счет 08000000000423 от 01.02.2017 0:00:00</t>
  </si>
  <si>
    <t>Поступление на расчетный счет 08000000011374 от 06.09.2017 0:00:00</t>
  </si>
  <si>
    <t>Поступление на расчетный счет 08000000010151 от 14.08.2017 0:00:00</t>
  </si>
  <si>
    <t>Поступление на расчетный счет 08000000007022 от 19.06.2017 0:00:00</t>
  </si>
  <si>
    <t>Поступление на расчетный счет 08000000009323 от 27.07.2017 0:00:00</t>
  </si>
  <si>
    <t>Поступление на расчетный счет 08000000007897 от 29.06.2017 0:00:00</t>
  </si>
  <si>
    <t>Поступление на расчетный счет 08000000003201 от 05.11.2013 0:00:00</t>
  </si>
  <si>
    <t>Поступление на расчетный счет 08000000010961 от 29.08.2017 0:00:00</t>
  </si>
  <si>
    <t>Поступление на расчетный счет 08000000006872 от 07.06.2017 0:00:00</t>
  </si>
  <si>
    <t>Поступление на расчетный счет 08000000012404 от 27.09.2017 0:00:00</t>
  </si>
  <si>
    <t>Поступление на расчетный счет 08000000010023 от 10.08.2017 0:00:00</t>
  </si>
  <si>
    <t>Поступление на расчетный счет 08000000013938 от 10.10.2017 0:00:00</t>
  </si>
  <si>
    <t>Поступление на расчетный счет 08000000011663 от 13.09.2017 0:00:00</t>
  </si>
  <si>
    <t>Поступление на расчетный счет 08000000014515 от 06.11.2017 0:00:00</t>
  </si>
  <si>
    <t>Поступление на расчетный счет 08000000007496 от 23.06.2017 0:00:00</t>
  </si>
  <si>
    <t>Поступление на расчетный счет 08000000014032 от 27.10.2017 0:00:00</t>
  </si>
  <si>
    <t>Поступление на расчетный счет 08000000013928 от 26.10.2017 0:00:00</t>
  </si>
  <si>
    <t>Поступление на расчетный счет 08000000000612 от 08.02.2017 0:00:00</t>
  </si>
  <si>
    <t>Поступление на расчетный счет 08000000005003 от 30.11.2016 0:00:00</t>
  </si>
  <si>
    <t>Поступление на расчетный счет 08000000000126 от 17.01.2017 0:00:00</t>
  </si>
  <si>
    <t>Поступление на расчетный счет 08000000012802 от 03.10.2017 0:00:00</t>
  </si>
  <si>
    <t>Поступление на расчетный счет 08000000009226 от 26.07.2017 0:00:00</t>
  </si>
  <si>
    <t>Поступление на расчетный счет 08000000006246 от 30.05.2017 0:00:00</t>
  </si>
  <si>
    <t>Поступление на расчетный счет 08000000009066 от 24.07.2017 0:00:00</t>
  </si>
  <si>
    <t>Поступление на расчетный счет 08000000007260 от 21.06.2017 0:00:00</t>
  </si>
  <si>
    <t>Поступление на расчетный счет 08000000008940 от 18.07.2017 0:00:00</t>
  </si>
  <si>
    <t>Поступление на расчетный счет 08000000011885 от 18.09.2017 0:00:00</t>
  </si>
  <si>
    <t>Поступление на расчетный счет 08000000013606 от 23.10.2017 0:00:00</t>
  </si>
  <si>
    <t>Поступление на расчетный счет 08000000011780 от 15.09.2017 0:00:00</t>
  </si>
  <si>
    <t>Поступление на расчетный счет 08000000016280 от 06.12.2017 0:00:00</t>
  </si>
  <si>
    <t>Поступление на расчетный счет 08000000009242 от 26.07.2017 0:00:00</t>
  </si>
  <si>
    <t>Поступление на расчетный счет 08000000000601 от 07.02.2017 0:00:00</t>
  </si>
  <si>
    <t>Поступление на расчетный счет 08000000010767 от 25.08.2017 0:00:00</t>
  </si>
  <si>
    <t>Поступление на расчетный счет 08000000009569 от 01.08.2017 0:00:00</t>
  </si>
  <si>
    <t>Поступление на расчетный счет 08000000013153 от 06.10.2017 0:00:00</t>
  </si>
  <si>
    <t>Поступление на расчетный счет 08000000011569 от 12.09.2017 0:00:00</t>
  </si>
  <si>
    <t>Поступление на расчетный счет 08000000012734 от 29.09.2017 0:00:00</t>
  </si>
  <si>
    <t>Поступление на расчетный счет 08000000008496 от 11.07.2017 0:00:00</t>
  </si>
  <si>
    <t>Поступление на расчетный счет 08000000011661 от 13.09.2017 0:00:00</t>
  </si>
  <si>
    <t>Поступление на расчетный счет 08000000000182 от 03.02.2014 0:00:00</t>
  </si>
  <si>
    <t>Поступление на расчетный счет 08000000011359 от 05.09.2017 0:00:00</t>
  </si>
  <si>
    <t>Поступление на расчетный счет 08000000008819 от 20.07.2017 0:00:00</t>
  </si>
  <si>
    <t>Поступление на расчетный счет 08000000008572 от 12.07.2017 0:00:00</t>
  </si>
  <si>
    <t>Поступление на расчетный счет 08000000016781 от 20.12.2017 0:00:00</t>
  </si>
  <si>
    <t>Поступление на расчетный счет 08000000014071 от 25.10.2017 0:00:00</t>
  </si>
  <si>
    <t>Поступление на расчетный счет 08000000001713 от 27.05.2014 0:00:00</t>
  </si>
  <si>
    <t>Поступление на расчетный счет 08000000012403 от 27.09.2017 0:00:00</t>
  </si>
  <si>
    <t>Поступление на расчетный счет 08000000010197 от 15.08.2017 0:00:00</t>
  </si>
  <si>
    <t>Поступление на расчетный счет 08000000008692 от 13.07.2017 0:00:00</t>
  </si>
  <si>
    <t>Поступление на расчетный счет 08000000014940 от 20.11.2017 0:00:00</t>
  </si>
  <si>
    <t>Поступление на расчетный счет 08000000007050 от 19.06.2017 0:00:00</t>
  </si>
  <si>
    <t>Поступление на расчетный счет 08000000007049 от 19.06.2017 0:00:00</t>
  </si>
  <si>
    <t>Поступление на расчетный счет 08000000016275 от 06.12.2017 0:00:00</t>
  </si>
  <si>
    <t>Поступление на расчетный счет 08000000016276 от 06.12.2017 0:00:00</t>
  </si>
  <si>
    <t>Поступление на расчетный счет 08000000012402 от 27.09.2017 0:00:00</t>
  </si>
  <si>
    <t>Поступление на расчетный счет 08000000007497 от 23.06.2017 0:00:00</t>
  </si>
  <si>
    <t>Поступление на расчетный счет 08000000003215 от 06.11.2013 0:00:00</t>
  </si>
  <si>
    <t>Поступление на расчетный счет 08000000016298 от 11.12.2017 23:59:59</t>
  </si>
  <si>
    <t>Поступление на расчетный счет 08000000006168 от 29.05.2017 0:00:00</t>
  </si>
  <si>
    <t>Поступление на расчетный счет 08000000013161 от 12.10.2017 0:00:00</t>
  </si>
  <si>
    <t>Поступление на расчетный счет 08000000006331 от 31.05.2017 0:00:00</t>
  </si>
  <si>
    <t>Поступление на расчетный счет 08000000013939 от 10.10.2017 0:00:00</t>
  </si>
  <si>
    <t>Поступление на расчетный счет 08000000001350 от 11.04.2016 0:00:00</t>
  </si>
  <si>
    <t>Поступление на расчетный счет 08000000003196 от 05.11.2013 0:00:00</t>
  </si>
  <si>
    <t>Поступление на расчетный счет 08000000005017 от 01.12.2016 0:00:00</t>
  </si>
  <si>
    <t>Поступление на расчетный счет 08000000008782 от 17.07.2017 0:00:00</t>
  </si>
  <si>
    <t>Поступление на расчетный счет 08000000016592 от 18.12.2017 0:00:00</t>
  </si>
  <si>
    <t>Поступление на расчетный счет 08000000016274 от 06.12.2017 0:00:00</t>
  </si>
  <si>
    <t>Поступление на расчетный счет 08000000008614 от 14.07.2017 0:00:00</t>
  </si>
  <si>
    <t>Поступление на расчетный счет 08000000003818 от 27.12.2013 0:00:00</t>
  </si>
  <si>
    <t>Поступление на расчетный счет 08000000016590 от 18.12.2017 0:00:00</t>
  </si>
  <si>
    <t>Поступление на расчетный счет 08000000003419 от 17.08.2016 0:00:00</t>
  </si>
  <si>
    <t>Поступление на расчетный счет 08000000011892 от 19.09.2017 0:00:00</t>
  </si>
  <si>
    <t>Поступление на расчетный счет 08000000003429 от 22.11.2013 0:00:00</t>
  </si>
  <si>
    <t>Поступление на расчетный счет 08000000013024 от 10.10.2017 0:00:00</t>
  </si>
  <si>
    <t>Поступление на расчетный счет 08000000014198 от 30.10.2017 0:00:00</t>
  </si>
  <si>
    <t>Поступление на расчетный счет 08000000003428 от 22.11.2013 0:00:00</t>
  </si>
  <si>
    <t>Поступление на расчетный счет 08000000000876 от 02.04.2015 0:00:00</t>
  </si>
  <si>
    <t>Поступление на расчетный счет 08000000015197 от 03.11.2017 0:00:00</t>
  </si>
  <si>
    <t>Поступление на расчетный счет 08000000014957 от 10.11.2017 0:00:00</t>
  </si>
  <si>
    <t>Поступление на расчетный счет 08000000009227 от 26.07.2017 0:00:00</t>
  </si>
  <si>
    <t>Поступление на расчетный счет 08000000013094 от 04.10.2017 0:00:00</t>
  </si>
  <si>
    <t>Поступление на расчетный счет 08000000000364 от 21.02.2014 0:00:00</t>
  </si>
  <si>
    <t>Поступление на расчетный счет 08000000003358 от 19.11.2013 0:00:00</t>
  </si>
  <si>
    <t>Поступление на расчетный счет 08000000011953 от 20.09.2017 0:00:00</t>
  </si>
  <si>
    <t>Поступление на расчетный счет 08000000003438 от 18.08.2016 0:00:00</t>
  </si>
  <si>
    <t>Поступление на расчетный счет 08000000003356 от 19.11.2013 0:00:00</t>
  </si>
  <si>
    <t>Поступление на расчетный счет 08000000003664 от 01.09.2016 0:00:00</t>
  </si>
  <si>
    <t>Поступление на расчетный счет 08000000005488 от 18.05.2017 0:00:00</t>
  </si>
  <si>
    <t>Поступление на расчетный счет 08000000009241 от 26.07.2017 0:00:00</t>
  </si>
  <si>
    <t>Поступление на расчетный счет 08000000013655 от 17.10.2017 0:00:00</t>
  </si>
  <si>
    <t>Поступление на расчетный счет 08000000007718 от 27.06.2017 0:00:00</t>
  </si>
  <si>
    <t>Поступление на расчетный счет 08000000007719 от 27.06.2017 0:00:00</t>
  </si>
  <si>
    <t>Поступление на расчетный счет 08000000007720 от 27.06.2017 0:00:00</t>
  </si>
  <si>
    <t>Поступление на расчетный счет 08000000008386 от 07.07.2017 0:00:00</t>
  </si>
  <si>
    <t>Поступление на расчетный счет 08000000008387 от 07.07.2017 0:00:00</t>
  </si>
  <si>
    <t>Поступление на расчетный счет 08000000015899 от 05.12.2017 0:00:00</t>
  </si>
  <si>
    <t>Поступление на расчетный счет 08000000003802 от 12.09.2016 0:00:00</t>
  </si>
  <si>
    <t>Поступление на расчетный счет 08000000013534 от 12.10.2017 0:00:00</t>
  </si>
  <si>
    <t>Поступление на расчетный счет 08000000002462 от 21.03.2017 0:00:00</t>
  </si>
  <si>
    <t>Поступление на расчетный счет 08000000011047 от 30.08.2017 0:00:00</t>
  </si>
  <si>
    <t>Поступление на расчетный счет 08000000005483 от 18.05.2017 0:00:00</t>
  </si>
  <si>
    <t>Поступление на расчетный счет 08000000002542 от 30.07.2015 0:00:00</t>
  </si>
  <si>
    <t>Поступление на расчетный счет 08000000002508 от 30.07.2015 0:00:00</t>
  </si>
  <si>
    <t>Поступление на расчетный счет 08000000010967 от 29.08.2017 0:00:00</t>
  </si>
  <si>
    <t>Поступление на расчетный счет 08000000010963 от 29.08.2017 0:00:00</t>
  </si>
  <si>
    <t>Поступление на расчетный счет 08000000017045 от 25.12.2017 0:00:00</t>
  </si>
  <si>
    <t>Поступление на расчетный счет 08000000006764 от 02.06.2017 0:00:00</t>
  </si>
  <si>
    <t>Поступление на расчетный счет 08000000005539 от 18.05.2017 0:00:00</t>
  </si>
  <si>
    <t>Поступление на расчетный счет 08000000016311 от 08.12.2017 0:00:00</t>
  </si>
  <si>
    <t>Поступление на расчетный счет 08000000000934 от 15.02.2017 0:00:00</t>
  </si>
  <si>
    <t>Поступление на расчетный счет 08000000004131 от 17.04.2017 0:00:00</t>
  </si>
  <si>
    <t>Поступление на расчетный счет 08000000010862 от 28.08.2017 0:00:00</t>
  </si>
  <si>
    <t>Поступление на расчетный счет 08000000001855 от 13.03.2017 0:00:00</t>
  </si>
  <si>
    <t>Поступление на расчетный счет 08000000010413 от 21.08.2017 0:00:00</t>
  </si>
  <si>
    <t>Поступление на расчетный счет 08000000008391 от 07.07.2017 0:00:00</t>
  </si>
  <si>
    <t>Поступление на расчетный счет 08000000011888 от 18.09.2017 0:00:00</t>
  </si>
  <si>
    <t>Поступление на расчетный счет 08000000013952 от 10.10.2017 0:00:00</t>
  </si>
  <si>
    <t>Поступление на расчетный счет 08000000002032 от 27.05.2016 0:00:00</t>
  </si>
  <si>
    <t>Поступление на расчетный счет 08000000004345 от 11.10.2016 0:00:00</t>
  </si>
  <si>
    <t>Поступление на расчетный счет 08000000004962 от 28.11.2016 0:00:00</t>
  </si>
  <si>
    <t>Поступление на расчетный счет 08000000007498 от 23.06.2017 0:00:00</t>
  </si>
  <si>
    <t>Поступление на расчетный счет 08000000016283 от 06.12.2017 0:00:00</t>
  </si>
  <si>
    <t>Поступление на расчетный счет 08000000007217 от 20.06.2017 0:00:00</t>
  </si>
  <si>
    <t>Поступление на расчетный счет 08000000007500 от 23.06.2017 0:00:00</t>
  </si>
  <si>
    <t>Поступление на расчетный счет 08000000006250 от 30.05.2017 0:00:00</t>
  </si>
  <si>
    <t>Поступление на расчетный счет 08000000006318 от 31.05.2017 0:00:00</t>
  </si>
  <si>
    <t>Поступление на расчетный счет 08000000006870 от 07.06.2017 0:00:00</t>
  </si>
  <si>
    <t>Поступление на расчетный счет 08000000013148 от 05.10.2017 0:00:00</t>
  </si>
  <si>
    <t>Поступление на расчетный счет 08000000001864 от 13.03.2017 0:00:00</t>
  </si>
  <si>
    <t>Поступление на расчетный счет 08000000013152 от 06.10.2017 0:00:00</t>
  </si>
  <si>
    <t>Поступление на расчетный счет 08000000007491 от 23.06.2017 0:00:00</t>
  </si>
  <si>
    <t>Поступление на расчетный счет 08000000001647 от 06.03.2017 0:00:00</t>
  </si>
  <si>
    <t>Поступление на расчетный счет 08000000007716 от 27.06.2017 0:00:00</t>
  </si>
  <si>
    <t>Поступление на расчетный счет 08000000000181 от 03.02.2014 0:00:00</t>
  </si>
  <si>
    <t>Поступление на расчетный счет 08000000005484 от 18.05.2017 0:00:00</t>
  </si>
  <si>
    <t>Поступление на расчетный счет 08000000012803 от 03.10.2017 0:00:00</t>
  </si>
  <si>
    <t>Поступление на расчетный счет 08000000006768 от 05.06.2017 0:00:00</t>
  </si>
  <si>
    <t>Поступление на расчетный счет 08000000011870 от 18.09.2017 0:00:00</t>
  </si>
  <si>
    <t>Поступление на расчетный счет 08000000007201 от 21.06.2017 0:00:00</t>
  </si>
  <si>
    <t>Поступление на расчетный счет 08000000004468 от 27.04.2017 0:00:00</t>
  </si>
  <si>
    <t>Поступление на расчетный счет 08000000007501 от 23.06.2017 0:00:00</t>
  </si>
  <si>
    <t>Поступление на расчетный счет 08000000015736 от 01.12.2017 0:00:00</t>
  </si>
  <si>
    <t>Поступление на расчетный счет 08000000012097 от 22.09.2017 0:00:00</t>
  </si>
  <si>
    <t>Поступление на расчетный счет 08000000013622 от 13.10.2017 0:00:00</t>
  </si>
  <si>
    <t>Поступление на расчетный счет 08000000008390 от 07.07.2017 0:00:00</t>
  </si>
  <si>
    <t>Поступление на расчетный счет 08000000006970 от 16.06.2017 0:00:00</t>
  </si>
  <si>
    <t>Поступление на расчетный счет 08000000005777 от 23.05.2017 0:00:00</t>
  </si>
  <si>
    <t>Поступление на расчетный счет 08000000013657 от 17.10.2017 0:00:00</t>
  </si>
  <si>
    <t>Поступление на расчетный счет 08000000012530 от 28.09.2017 0:00:00</t>
  </si>
  <si>
    <t>Поступление на расчетный счет 08000000015638 от 30.11.2017 0:00:00</t>
  </si>
  <si>
    <t>Поступление на расчетный счет 08000000015737 от 01.12.2017 0:00:00</t>
  </si>
  <si>
    <t>Поступление на расчетный счет 08000000004559 от 28.04.2017 0:00:00</t>
  </si>
  <si>
    <t>Поступление на расчетный счет 08000000012648 от 29.09.2017 0:00:00</t>
  </si>
  <si>
    <t>Поступление на расчетный счет 08000000012712 от 02.10.2017 0:00:00</t>
  </si>
  <si>
    <t>Поступление на расчетный счет 08000000003748 от 20.12.2013 0:00:00</t>
  </si>
  <si>
    <t>Поступление на расчетный счет 08000000003749 от 20.12.2013 0:00:00</t>
  </si>
  <si>
    <t>Поступление на расчетный счет 08000000003750 от 20.12.2013 0:00:00</t>
  </si>
  <si>
    <t>Поступление на расчетный счет 08000000006688 от 13.06.2017 0:00:00</t>
  </si>
  <si>
    <t>Поступление на расчетный счет 08000000006692 от 13.06.2017 0:00:00</t>
  </si>
  <si>
    <t>Поступление на расчетный счет 08000000006693 от 13.06.2017 0:00:00</t>
  </si>
  <si>
    <t>Поступление на расчетный счет 08000000006689 от 13.06.2017 0:00:00</t>
  </si>
  <si>
    <t>Документ расчетов с контрагентом (ручной учет) 08000000000725 от 31.12.2012 23:59:59</t>
  </si>
  <si>
    <t>Поступление на расчетный счет 08000000014654 от 13.11.2017 0:00:00</t>
  </si>
  <si>
    <t>Поступление на расчетный счет 08000000002301 от 14.07.2015 0:00:00</t>
  </si>
  <si>
    <t>Поступление на расчетный счет 08000000004063 от 15.10.2014 0:00:00</t>
  </si>
  <si>
    <t>Поступление на расчетный счет 08000000005331 от 27.12.2016 0:00:00</t>
  </si>
  <si>
    <t>Поступление на расчетный счет 08000000011887 от 18.09.2017 0:00:00</t>
  </si>
  <si>
    <t>Поступление на расчетный счет 08000000000172 от 23.01.2017 0:00:00</t>
  </si>
  <si>
    <t>Документ расчетов с контрагентом (ручной учет) 08000000000726 от 31.12.2012 23:59:59</t>
  </si>
  <si>
    <t>Документ расчетов с контрагентом (ручной учет) 08000000000727 от 31.12.2012 23:59:59</t>
  </si>
  <si>
    <t>Документ расчетов с контрагентом (ручной учет) 08000000000728 от 31.12.2012 23:59:59</t>
  </si>
  <si>
    <t>Поступление на расчетный счет 08000000003768 от 17.04.2017 0:00:00</t>
  </si>
  <si>
    <t>Поступление на расчетный счет 08000000006832 от 15.06.2017 0:00:00</t>
  </si>
  <si>
    <t>Корректировка долга 08000000000190 от 20.11.2017 23:59:59</t>
  </si>
  <si>
    <t>Поступление на расчетный счет 08000000005286 от 21.12.2016 0:00:00</t>
  </si>
  <si>
    <t>Поступление на расчетный счет 08000000004671 от 03.11.2016 0:00:00</t>
  </si>
  <si>
    <t>Поступление на расчетный счет 08000000013771 от 23.10.2017 0:00:00</t>
  </si>
  <si>
    <t>Поступление на расчетный счет 08000000003463 от 07.04.2017 0:00:00</t>
  </si>
  <si>
    <t>Поступление на расчетный счет 08000000014408 от 02.11.2017 0:00:00</t>
  </si>
  <si>
    <t>Поступление на расчетный счет 08000000015994 от 07.12.2017 0:00:00</t>
  </si>
  <si>
    <t>Поступление на расчетный счет 08000000014410 от 02.11.2017 0:00:00</t>
  </si>
  <si>
    <t>Поступление на расчетный счет 08000000006328 от 31.05.2017 0:00:00</t>
  </si>
  <si>
    <t>Поступление на расчетный счет 08000000001756 от 09.03.2017 0:00:00</t>
  </si>
  <si>
    <t>Поступление на расчетный счет 08000000014305 от 31.10.2017 0:00:00</t>
  </si>
  <si>
    <t>Поступление на расчетный счет 08000000014064 от 26.10.2017 0:00:00</t>
  </si>
  <si>
    <t>Поступление на расчетный счет 08000000003861 от 24.09.2014 0:00:00</t>
  </si>
  <si>
    <t>Приходный кассовый ордер 08000000000230 от 02.11.2016 15:16:55</t>
  </si>
  <si>
    <t>Поступление на расчетный счет 08000000003809 от 18.04.2017 0:00:00</t>
  </si>
  <si>
    <t>Поступление на расчетный счет 08000000017009 от 22.12.2017 0:00:00</t>
  </si>
  <si>
    <t>Поступление на расчетный счет 08000000017010 от 22.12.2017 0:00:00</t>
  </si>
  <si>
    <t>Поступление на расчетный счет 08000000017008 от 22.12.2017 0:00:00</t>
  </si>
  <si>
    <t>Поступление на расчетный счет 08000000017007 от 22.12.2017 0:00:00</t>
  </si>
  <si>
    <t>Поступление на расчетный счет 08000000017004 от 22.12.2017 0:00:00</t>
  </si>
  <si>
    <t>Поступление на расчетный счет 08000000017006 от 22.12.2017 0:00:00</t>
  </si>
  <si>
    <t>Поступление на расчетный счет 08000000003932 от 20.04.2017 0:00:00</t>
  </si>
  <si>
    <t>Поступление на расчетный счет 08000000009729 от 04.08.2017 0:00:00</t>
  </si>
  <si>
    <t>Поступление на расчетный счет 08000000001796 от 10.03.2017 0:00:00</t>
  </si>
  <si>
    <t>Поступление на расчетный счет 08000000011310 от 06.09.2017 0:00:00</t>
  </si>
  <si>
    <t>Поступление на расчетный счет 08000000011313 от 06.09.2017 0:00:00</t>
  </si>
  <si>
    <t>Поступление на расчетный счет 08000000004496 от 18.11.2014 0:00:00</t>
  </si>
  <si>
    <t>Поступление на расчетный счет 08000000016368 от 14.12.2017 0:00:00</t>
  </si>
  <si>
    <t>Поступление на расчетный счет 08000000002110 от 03.07.2015 0:00:00</t>
  </si>
  <si>
    <t>Поступление на расчетный счет 08000000004518 от 19.11.2014 0:00:00</t>
  </si>
  <si>
    <t>Поступление на расчетный счет 08000000000745 от 27.03.2013 0:00:00</t>
  </si>
  <si>
    <t>Корректировка долга 08000000000449 от 27.03.2013 0:00:01</t>
  </si>
  <si>
    <t>Поступление на расчетный счет 08000000000497 от 24.02.2016 0:00:00</t>
  </si>
  <si>
    <t>Поступление на расчетный счет 08000000017255 от 26.12.2017 0:00:00</t>
  </si>
  <si>
    <t>Поступление на расчетный счет 08000000017053 от 25.12.2017 0:00:00</t>
  </si>
  <si>
    <t>Поступление на расчетный счет 08000000003838 от 10.04.2017 0:00:00</t>
  </si>
  <si>
    <t>Поступление на расчетный счет 08000000011764 от 14.09.2017 0:00:00</t>
  </si>
  <si>
    <t>Поступление на расчетный счет 08000000014191 от 30.10.2017 0:00:00</t>
  </si>
  <si>
    <t>Поступление на расчетный счет 08000000009246 от 26.07.2017 0:00:00</t>
  </si>
  <si>
    <t>Поступление на расчетный счет 08000000014571 от 08.11.2017 0:00:00</t>
  </si>
  <si>
    <t>Поступление на расчетный счет 08000000008026 от 30.06.2017 0:00:00</t>
  </si>
  <si>
    <t>Поступление на расчетный счет 08000000000554 от 06.02.2017 0:00:00</t>
  </si>
  <si>
    <t>Поступление на расчетный счет 08000000004796 от 03.05.2017 0:00:00</t>
  </si>
  <si>
    <t>Поступление на расчетный счет 08000000009790 от 01.08.2017 0:00:00</t>
  </si>
  <si>
    <t>Поступление на расчетный счет 08000000016304 от 08.12.2017 0:00:00</t>
  </si>
  <si>
    <t>Поступление на расчетный счет 08000000010007 от 10.08.2017 0:00:00</t>
  </si>
  <si>
    <t>Поступление на расчетный счет 08000000004732 от 15.11.2016 0:00:00</t>
  </si>
  <si>
    <t>Поступление на расчетный счет 08000000015993 от 07.12.2017 0:00:00</t>
  </si>
  <si>
    <t>Поступление на расчетный счет 08000000017498 от 29.12.2017 0:00:00</t>
  </si>
  <si>
    <t>Приходный кассовый ордер 08000000000315 от 29.12.2014 11:37:03</t>
  </si>
  <si>
    <t>Поступление на расчетный счет 08000000008739 от 14.07.2017 0:00:00</t>
  </si>
  <si>
    <t>Поступление на расчетный счет 08000000010853 от 28.08.2017 0:00:00</t>
  </si>
  <si>
    <t>Поступление на расчетный счет 08000000013169 от 12.10.2017 0:00:00</t>
  </si>
  <si>
    <t>Поступление на расчетный счет 08000000016876 от 21.12.2017 0:00:00</t>
  </si>
  <si>
    <t>Поступление на расчетный счет 08000000010430 от 22.08.2017 0:00:00</t>
  </si>
  <si>
    <t>Поступление на расчетный счет 08000000008065 от 03.07.2017 0:00:00</t>
  </si>
  <si>
    <t>Поступление на расчетный счет 08000000009234 от 26.07.2017 0:00:00</t>
  </si>
  <si>
    <t>Поступление на расчетный счет 08000000017349 от 27.12.2017 0:00:00</t>
  </si>
  <si>
    <t>Поступление на расчетный счет 08000000002458 от 10.07.2014 0:00:00</t>
  </si>
  <si>
    <t>Поступление на расчетный счет 08000000003194 от 26.08.2014 0:00:00</t>
  </si>
  <si>
    <t>Поступление на расчетный счет 08000000004627 от 26.11.2014 0:00:00</t>
  </si>
  <si>
    <t>Поступление на расчетный счет 08000000005037 от 22.12.2014 0:00:00</t>
  </si>
  <si>
    <t>Поступление на расчетный счет 08000000003642 от 23.09.2014 0:00:00</t>
  </si>
  <si>
    <t>Поступление на расчетный счет 08000000003945 от 30.10.2015 0:00:00</t>
  </si>
  <si>
    <t>Поступление на расчетный счет 08000000016236 от 13.12.2017 0:00:00</t>
  </si>
  <si>
    <t>Поступление на расчетный счет 08000000015493 от 28.11.2017 0:00:00</t>
  </si>
  <si>
    <t>Поступление на расчетный счет 08000000016239 от 13.12.2017 0:00:00</t>
  </si>
  <si>
    <t>Поступление на расчетный счет 08000000014409 от 02.11.2017 0:00:00</t>
  </si>
  <si>
    <t>Поступление на расчетный счет 08000000005073 от 12.05.2017 0:00:00</t>
  </si>
  <si>
    <t>по реализации</t>
  </si>
  <si>
    <t>за границей н.п.</t>
  </si>
  <si>
    <t>за границей населенного пункта:</t>
  </si>
  <si>
    <t>н.п.</t>
  </si>
  <si>
    <t>населенный пункт:</t>
  </si>
  <si>
    <t>№№ п.п.</t>
  </si>
  <si>
    <t>Наименование стройки</t>
  </si>
  <si>
    <t>Год ввода</t>
  </si>
  <si>
    <t>Ур. напр., кВ</t>
  </si>
  <si>
    <t>Физ. параметры(км/мВа)</t>
  </si>
  <si>
    <t>ПИР (60), тыс. руб.</t>
  </si>
  <si>
    <t>оборудование (07), тыс. руб.</t>
  </si>
  <si>
    <t>материалы (10), тыс. руб.</t>
  </si>
  <si>
    <t>прочие (гсм и т.д.) (23,79), тыс. руб.</t>
  </si>
  <si>
    <t>зарплата (70), тыс. руб.</t>
  </si>
  <si>
    <t>отчисления ЕСН (30,56%) (69), тыс. руб.</t>
  </si>
  <si>
    <t>СМР, тыс. руб.</t>
  </si>
  <si>
    <t>Сумма кап. вложений (ввод)</t>
  </si>
  <si>
    <t>КТП</t>
  </si>
  <si>
    <t>Категория ТП</t>
  </si>
  <si>
    <t>Марка, тип, сечение провода</t>
  </si>
  <si>
    <t>Местоположение (в н.п. или за границей н.п.)</t>
  </si>
  <si>
    <t>в текущих ценах, руб.</t>
  </si>
  <si>
    <t>Период ввода</t>
  </si>
  <si>
    <t>Индексы ФЕР</t>
  </si>
  <si>
    <t>в базовых ценах 2001 г.</t>
  </si>
  <si>
    <t>В базовых ценах 2001 года</t>
  </si>
  <si>
    <t>Кол-во</t>
  </si>
  <si>
    <t>№ акта</t>
  </si>
  <si>
    <t xml:space="preserve">№ акта, где есть еще стр-во ВЛ </t>
  </si>
  <si>
    <t>Заявитель</t>
  </si>
  <si>
    <t>Объединенные акты</t>
  </si>
  <si>
    <t>Утв. станд.ставки на 2016 г. по маркам провода</t>
  </si>
  <si>
    <t>Стоимость</t>
  </si>
  <si>
    <t>Стоимость 1 км., руб.</t>
  </si>
  <si>
    <t>км</t>
  </si>
  <si>
    <t>кВт</t>
  </si>
  <si>
    <t>всего</t>
  </si>
  <si>
    <t>в т.ч. гсм</t>
  </si>
  <si>
    <t>руб.</t>
  </si>
  <si>
    <t>СМР</t>
  </si>
  <si>
    <t>Обор.</t>
  </si>
  <si>
    <t>Прочие</t>
  </si>
  <si>
    <t>Всего</t>
  </si>
  <si>
    <t>до 15 кВт (льгота)</t>
  </si>
  <si>
    <t>ВЛ-0,4 до 15 кВт (льгота)</t>
  </si>
  <si>
    <t>1.1.1.</t>
  </si>
  <si>
    <t>1.1.1.1.</t>
  </si>
  <si>
    <t>льгота</t>
  </si>
  <si>
    <t>СИП-4 2*16</t>
  </si>
  <si>
    <t>СИП-4 4*16</t>
  </si>
  <si>
    <t>б/н</t>
  </si>
  <si>
    <t>СИП-4 2*25</t>
  </si>
  <si>
    <t>СИП-4 4*25</t>
  </si>
  <si>
    <t>1.1.1.2.</t>
  </si>
  <si>
    <t>СИП-2 3*50+1*54,6</t>
  </si>
  <si>
    <t>СИП-2 3*50+1*54,6+1*16</t>
  </si>
  <si>
    <t>СИП-2 3*50+1*54,6+2*25</t>
  </si>
  <si>
    <t>1.1.1.3.</t>
  </si>
  <si>
    <t>1.1.1.3.1.</t>
  </si>
  <si>
    <t>1.1.2.</t>
  </si>
  <si>
    <t>Неизолированный</t>
  </si>
  <si>
    <t>1.1.2.1.</t>
  </si>
  <si>
    <t>1.1.2.1.1.</t>
  </si>
  <si>
    <t>АС-35</t>
  </si>
  <si>
    <t>АС-50</t>
  </si>
  <si>
    <t>проверка:</t>
  </si>
  <si>
    <t>ВЛ-10 до 15 кВт (льгота)</t>
  </si>
  <si>
    <t>1.2.1.</t>
  </si>
  <si>
    <t>1.2.1.1.</t>
  </si>
  <si>
    <t>1.2.2.</t>
  </si>
  <si>
    <t>1.2.2.1.</t>
  </si>
  <si>
    <t>1.2.2.2.</t>
  </si>
  <si>
    <t>1.2.2.2.1.</t>
  </si>
  <si>
    <t>АС-70</t>
  </si>
  <si>
    <t>до 15 кВт (не льгота)</t>
  </si>
  <si>
    <t>ВЛ-0,4 до 15 кВт (не льгота)</t>
  </si>
  <si>
    <t>2.1.1.</t>
  </si>
  <si>
    <t>2.1.1.1.</t>
  </si>
  <si>
    <t>тариф</t>
  </si>
  <si>
    <t>ВЛ-10 до 15 кВт (не льгота)</t>
  </si>
  <si>
    <t>2.2.1.</t>
  </si>
  <si>
    <t>2.2.1.1.</t>
  </si>
  <si>
    <t>от 15 до 150 кВт</t>
  </si>
  <si>
    <t>ВЛ-0,4 от 15 до 150 кВт</t>
  </si>
  <si>
    <t>3.1.1.</t>
  </si>
  <si>
    <t>3.1.1.1.</t>
  </si>
  <si>
    <t>3.1.1.1.1.</t>
  </si>
  <si>
    <t>3.1.1.2.</t>
  </si>
  <si>
    <t>3.1.1.2.1.</t>
  </si>
  <si>
    <t>СИП-2 3*35+1*54,6</t>
  </si>
  <si>
    <t>3.1.1.2.2.</t>
  </si>
  <si>
    <t>ВЛ-10 от 15 до 150 кВт</t>
  </si>
  <si>
    <t>3.2.1.</t>
  </si>
  <si>
    <t>3.2.1.1.</t>
  </si>
  <si>
    <t>3.2.1.1.2.</t>
  </si>
  <si>
    <t>АС-50/8</t>
  </si>
  <si>
    <t>от 150 до 670 кВт</t>
  </si>
  <si>
    <t>ВЛ-0,4 от 150 до 670 кВт</t>
  </si>
  <si>
    <t>ВЛ-10 от 150 до 670 кВт</t>
  </si>
  <si>
    <t>4.2.1.</t>
  </si>
  <si>
    <t>4.2.1.1.</t>
  </si>
  <si>
    <t>4.2.1.1.1.</t>
  </si>
  <si>
    <t>Льготные объекты:</t>
  </si>
  <si>
    <t>ВЛ-0,4 кВ</t>
  </si>
  <si>
    <t>ВЛ-10,кВ</t>
  </si>
  <si>
    <t>Трансф. подстанции до 35 кВ</t>
  </si>
  <si>
    <t>Стоимость 1 кВт., руб.</t>
  </si>
  <si>
    <t>5.1.</t>
  </si>
  <si>
    <t>Льгота (ТП, КТП, МТП, СТП)</t>
  </si>
  <si>
    <t>5.1.1.</t>
  </si>
  <si>
    <t>Однотрансф.</t>
  </si>
  <si>
    <t>5.1.1.1.</t>
  </si>
  <si>
    <t>до 25 кВА</t>
  </si>
  <si>
    <t>5.1.1.2.</t>
  </si>
  <si>
    <t>25-100 кВА</t>
  </si>
  <si>
    <t>5.1.1.3.</t>
  </si>
  <si>
    <t>100-250 кВА</t>
  </si>
  <si>
    <t>5.1.1.4.</t>
  </si>
  <si>
    <t>250-500 кВА</t>
  </si>
  <si>
    <t>КТП 400 кВА</t>
  </si>
  <si>
    <t>до 15 кВт (льгота); 1Т</t>
  </si>
  <si>
    <t>5.1.1.5.</t>
  </si>
  <si>
    <t>500-900 кВА</t>
  </si>
  <si>
    <t>5.1.1.6.</t>
  </si>
  <si>
    <t>Свыше 1000 кВА</t>
  </si>
  <si>
    <t>5.1.2.</t>
  </si>
  <si>
    <t>Двухтрансф.</t>
  </si>
  <si>
    <t>5.2.</t>
  </si>
  <si>
    <t>Льгота (РТП)</t>
  </si>
  <si>
    <t>5.3.</t>
  </si>
  <si>
    <t>Не льгота (ТП, КТП, МТП, СТП)</t>
  </si>
  <si>
    <t>5.3.1.</t>
  </si>
  <si>
    <t>5.3.1.1.</t>
  </si>
  <si>
    <t>СТП 25 кВА</t>
  </si>
  <si>
    <t>до 15 кВт (не льгота); 1Т</t>
  </si>
  <si>
    <t>ТП 25 кВА</t>
  </si>
  <si>
    <t>от 15 до 150 кВт; 1Т</t>
  </si>
  <si>
    <t>5.3.1.2.</t>
  </si>
  <si>
    <t>ТП 63 кВА</t>
  </si>
  <si>
    <t>5.3.1.3.</t>
  </si>
  <si>
    <t>5.3.1.4.</t>
  </si>
  <si>
    <t>5.3.1.5.</t>
  </si>
  <si>
    <t>5.3.1.6.</t>
  </si>
  <si>
    <t>5.3.2.</t>
  </si>
  <si>
    <t>5.4.</t>
  </si>
  <si>
    <t>Не льгота (РТП)</t>
  </si>
  <si>
    <t>Объединенный Акт (+ еще ВЛ-0,4)</t>
  </si>
  <si>
    <t>Объединенный Акт (+ еще ВЛ-10)</t>
  </si>
  <si>
    <t>Объединенный Акт (+ ТП)</t>
  </si>
  <si>
    <t xml:space="preserve"> - объединенные акты, где указано стр-во и ВЛ и ТП вместе</t>
  </si>
  <si>
    <t>Для исключения из общей суммы (значатся в объединенных актах)</t>
  </si>
  <si>
    <t>Стр-во возд.отв. ВЛИ-0,22 кВ от опоры №38 ВЛ-0,4 кВ фидер-1 от КТП 10/0,4 кВ № 6/250 кВА ВЛ-10кВ Микрорайон ПС 110/35/10 кВ Каспийская-2 ЛПХ ЦереновЭВ</t>
  </si>
  <si>
    <t>Церенов Э.В.</t>
  </si>
  <si>
    <t>1кв 2017</t>
  </si>
  <si>
    <t>Строительство воздушного ответвления ВЛИ-0,22 кВ от опоры №5 ВЛ-0,4 кВ фидер-1 от ЗТП №7/600 кВА ВЛ-10кВ ПМК-9 ПС 35/10 кВ Троицкая, Рыбников С.И.</t>
  </si>
  <si>
    <t>Рыбников С.И.</t>
  </si>
  <si>
    <t>80-1-16-00284541</t>
  </si>
  <si>
    <t>80-1-16-00291215</t>
  </si>
  <si>
    <t>2кв 2017</t>
  </si>
  <si>
    <t>Строительство возд.ответвления ВЛИ-0,22 кВ от опоры №9 ВЛ-0,4 кВ фидер-1 от КТП 10/0,4 кВ №11/100 кВА ВЛ-10кВ Троицкое ПС 35/10 кВ Троицкая,ЦереновБ.Ш</t>
  </si>
  <si>
    <t>80-1-17-00305175</t>
  </si>
  <si>
    <t>Церенов Б.Ш.</t>
  </si>
  <si>
    <t>Стр-во возд.отв.ВЛИ0,22кВ от опоры№13 ВЛ0,4кВ фидер-2 от КТП77/400 кВА ПМК4 ВЛ10кВ №9 МДербеты ПС110/35/10кВ М.Дербеты,ВРУ-0,22 жилого дома Очирова С.Н</t>
  </si>
  <si>
    <t>80-1-17-00306979</t>
  </si>
  <si>
    <t>3кв 2017</t>
  </si>
  <si>
    <t>Очиров С.Н.</t>
  </si>
  <si>
    <t>Стр-во возд. ответвл. ВЛИ0,22кВ от опоры№26 ВЛ0,4кВ фидер1 от КТП№21/250кВА ВЛ10кВ Троицкое ПС35/10кВТроицкая,АГРС АО Газпром газораспределение Элиста</t>
  </si>
  <si>
    <t>80-1-17-00310763</t>
  </si>
  <si>
    <t>АО "Газпром газораспределение Элиста"</t>
  </si>
  <si>
    <t>Стр-во возд.ответвл. ВЛИ-0,22 кВ от опоры №38 ВЛ-0,4 кВ фидер-2 от ЗТП №25А/400 кВА ВЛ10кВ ПМК-9 ПС35/10кВ Троицкая, жил.дом Кикельдеевой В.Б.</t>
  </si>
  <si>
    <t>80-1-17-00320399</t>
  </si>
  <si>
    <t>Кикельдеева В.Б</t>
  </si>
  <si>
    <t>Строительство воздушного ответвления ВЛИ0,22 кВ от опоры №5 ВЛ-0,4 кВ фидер-2 от КТП №29/400 кВА ВЛ-10кВ ПМК-9 ПС 35/10 кВ Троицкая, Азыдова Н.Л.</t>
  </si>
  <si>
    <t>80-1-17-00303623</t>
  </si>
  <si>
    <t>Азыдова Н.Л.</t>
  </si>
  <si>
    <t>Строительство воздушного ответвления ВЛИ0,22кВ от опоры №5 ВЛ0,4кВ фидер-2 от ЗТП №23/250кВА ВЛ10кВ Троицкое ПС35/10кВ Троицкая,жил.дом Халгаевой З.Л.</t>
  </si>
  <si>
    <t>80-1-17-00311199</t>
  </si>
  <si>
    <t>Халгаева З.Л.</t>
  </si>
  <si>
    <t xml:space="preserve">Стр-во возд.отв.ВЛИ-0,22 кВ от опоры №12 ВЛ0,4 кВ фидер-2 от КТП 10/0,4 кВ №11/250 кВА ВЛ-10кВ Микрорайон ПС 110/35/10 кВ Яшкуль-2", жил.дом Буркуева </t>
  </si>
  <si>
    <t>80-1-17-00310853</t>
  </si>
  <si>
    <t>4кв 2017</t>
  </si>
  <si>
    <t>Буркуев О.А.</t>
  </si>
  <si>
    <t>Стр-во ВЛИ-,4 кВ ориент.пр.138м от опоры №3 ВЛ0,4кВ №5 от ТП№299/320кВА ВЛ10кВ 3-4 микрорайон от ПС220/110/10 кВ Элиста Северная, жил.дом Белеевой СВ</t>
  </si>
  <si>
    <t>80-1-17-00320377</t>
  </si>
  <si>
    <t>Белеева С.В.</t>
  </si>
  <si>
    <t>Стр-тво ВЛИ0,22кВ ориент.протяж. 25м от опоры №20 ВЛ0,4кВ №2 от ТП №389/160кВА ВЛ10кВ Солнечный от ПС110/3510 кВ Элиста Западная, жил.дом ОвадыковойНВ</t>
  </si>
  <si>
    <t>80-1-17-00317349</t>
  </si>
  <si>
    <t>Овадыкова Н.В.</t>
  </si>
  <si>
    <t>80-1-17-00317365</t>
  </si>
  <si>
    <t>Стр-тво ВЛИ0,22кВ ориент.протяж.25м  от опоры №25 ВЛ0,4кВ №1 от ТП №381/100кВА ВЛ10кВ Солнечный от ПС110/35/10кВ Элиста Западная, жил.дом Цереновой ВС</t>
  </si>
  <si>
    <t>Церенова В.С.</t>
  </si>
  <si>
    <t>80-1-17-00313501</t>
  </si>
  <si>
    <t>Стр-тво ВЛИ0,4кВ ориент.протяж.25м от опоры №13 ВЛ0,4кВ №2 от ТП №389/160кВА ВЛ10кВ Солнечный от ПС110/35/10кВ Элиста Западная, жил.дом Бюрчиевой ОЦ</t>
  </si>
  <si>
    <t>Бюрчиева О.Ц.</t>
  </si>
  <si>
    <t>Стр-во воз.отвВЛИ0,22кВ совм.подв. с ВЛ10 кВОгнебор от оп№1 ВЛ0,4 кВ фидер1 от КТП№2/400кВА ВЛ10кВОгнеборц ПС35/10кВТроицкая, ждБачаеваДД(ор.пр.0,12км</t>
  </si>
  <si>
    <t>80-1-17-00320719</t>
  </si>
  <si>
    <t>Бачаев Д.Д.</t>
  </si>
  <si>
    <t>Стр-во возд.отв. ВЛИ0,22кВ от опоры №1 ВЛ0,4кВ фидер-1 от ТП№4/100 кВА ВЛ-10кВ Поселок ПС35/10 кВ Хар-Булук, жд ДорджиеваНМ(ор.пр.0,055км)</t>
  </si>
  <si>
    <t>80-1-17-00311549</t>
  </si>
  <si>
    <t>Дорджиев Н.М.</t>
  </si>
  <si>
    <t>80-1-17-00338341</t>
  </si>
  <si>
    <t>Стр-во возд.отв. ВЛИ0,22кВ от опоры №13 ВЛ0,4кВ фидер-2 от КТП№24/250кВА ВЛ10кВПМК9 ПС35/10кВТроицкая, ждБоляеваЮА(орпр0,03км)</t>
  </si>
  <si>
    <t>Боляев Ю.А.</t>
  </si>
  <si>
    <t xml:space="preserve">Стр-во возд.отв. ВЛИ0,22кВ от опоры №57 ВЛ0,4 кВ фидер-2 от ЗТП№26а/400кВА ВЛ10кВПМК9 ПС35/10кВТроицкая,ждРуденкоБН(орпр0,085км) </t>
  </si>
  <si>
    <t>80-1-17-00341129</t>
  </si>
  <si>
    <t>Руденко Б.Н.</t>
  </si>
  <si>
    <t>Стр-во возд.отв. ВЛИ0,22кВ от опоры №6/1 ВЛ0,4кВ фидер-2 от КТП №3/250кВА ВЛ10кВ ПМК-9 ПС35/10 кВТроицкая, ждСавченкоЮА(орпр0,01км)</t>
  </si>
  <si>
    <t>80-1-17-00336205</t>
  </si>
  <si>
    <t>Савченко Ю.А.</t>
  </si>
  <si>
    <t>Стр-во возд.отв.ВЛИ0,22кВ от опоры№9 ВЛ0,4кВ фидер-1 от КТП№10/400кВА ВЛ10кВТроицкое ПС35/10кВТроицкая,жил.дом Буржинова Б.Б. (ориент.пр.0,02км)</t>
  </si>
  <si>
    <t>80-1-17-00322491</t>
  </si>
  <si>
    <t>Буржинов Б.Б</t>
  </si>
  <si>
    <t>Строительство ВЛИ-0,4 кВ от опоры № 17 ВЛ-0,4 кВ фидер-2 от КТП 10/0,4 кВ №10/160 кВА ВЛ-10кВ ТХН от ПС110/35/10 кВ Яшалтинская,магазин ИПАллахвердиев</t>
  </si>
  <si>
    <t>80-1-17-00296207</t>
  </si>
  <si>
    <t>Сведения о ходе строительства объектов ТП с 01.01.2017 г.</t>
  </si>
  <si>
    <t>Аллахвердиев С.Ио.</t>
  </si>
  <si>
    <t>Стр-во возд.отв.ВЛИ0,4кВ от опоры1 ВЛ0,4кВфидер2 от КТП58/250кВА Кафе ВЛ10кВ№9 М.Дерб ПС110//35/10кВ М.Дерб, ВРУ0,4 объекта общест.пит.ИПСанджиевойХН</t>
  </si>
  <si>
    <t>80-1-17-00306759</t>
  </si>
  <si>
    <t>Санджиева Н.Х.</t>
  </si>
  <si>
    <t>Стр-во возд.отв.ВЛИ0,4кВ ориент.пр.270 м от опоры№9 ВЛ0,4кВ фидер1 от ЗТП№24А/400кВА ВЛ10кВ «Троицкое» ПС 35/10 кВ «Троицкая», жил.дом Динчян Л.И.</t>
  </si>
  <si>
    <t>80-1-17-00307957</t>
  </si>
  <si>
    <t>Динчян Л.И.</t>
  </si>
  <si>
    <t>Строительство воздушного ответвления ВЛИ-0,4 кВ от опоры № 29 ВЛ-0,4 кВ от КТП 10/0,4 кВ № 3/400 кВА ВЛ-10кВ ПМК-9 от ПС 35/10кВ Троицкая, ХорунжийЗН</t>
  </si>
  <si>
    <t>Хорунжий З.Н.</t>
  </si>
  <si>
    <t>80-1-16-00280183</t>
  </si>
  <si>
    <t>Строительство ВЛИ-0,4 кВ от ТП 10/0,4 кВ №531/250 кВА ВЛ-10кВ «ДМБ» от ПС 220/110/10 кВ «Элиста Северная», жил.дом Кандуевой Л.В.</t>
  </si>
  <si>
    <t>80-1-17-00313665</t>
  </si>
  <si>
    <t>Кандуева Л.В.</t>
  </si>
  <si>
    <t>80-1-16-00287347</t>
  </si>
  <si>
    <t>Строительство ВЛИ-0,4 кВ от КТП 10/0,4 кВ 400 кВА «ФОК» ВЛ-10кВ «Нефтеразведка» ПС 35/10 кВ «Каспийская-1», Крюков С.С.</t>
  </si>
  <si>
    <t>Крюков С.С.</t>
  </si>
  <si>
    <t>Стр-во ВЛИ0,4кВ ориент.пр.250м от опоры№8 ВЛ0,4кВ №5 от ТП №299/320кВА ВЛ10кВ 3-4 микрорайон от ПС 220/110/10 кВ Элиста Северная, жил.дом Бадмаевой ЛС</t>
  </si>
  <si>
    <t>80-1-17-00315875</t>
  </si>
  <si>
    <t>Бадмаева Л.С.</t>
  </si>
  <si>
    <t>Строительство ВЛ-10 кВ от опоры № 87 ВЛ-10 кВ "Ленинец" ПС 35/10 кВ «Городовиковская» до КТП 10/0,4 кВ, питающего здание зернотока ИП Алейников А.С.</t>
  </si>
  <si>
    <t>80-1-16-00279669</t>
  </si>
  <si>
    <t>80-1-17-00296655</t>
  </si>
  <si>
    <t>Строительство линейного ответвления 10кВ от опоры № 72 по ВЛ-10кВ № 2 «Шампань» от ПС 110/35/10 кВ  «Малые Дербеты», жив.стоянка ИП Музраева Д.Н.</t>
  </si>
  <si>
    <t>Музраев Д.Н.</t>
  </si>
  <si>
    <t>Строительство линейного ответвления 10кВ от опоры № 100 по ВЛ-10кВ «Ферма-3» от ПС 35/10 кВ  «Вознесеновка», ЛПХ Ким М.Д.</t>
  </si>
  <si>
    <t>80-1-17-00301555</t>
  </si>
  <si>
    <t>Ким М.Д.</t>
  </si>
  <si>
    <t>Стр-во ВЛИ0,4кВ от оп10 ВЛ0,4кВфид2 от КТП6/160кВАИльинаВЛ10кВПриютное от ПС35/10кВПриютное-1, ВРУ 0,4 кВ производ-го здания МУППриютненское ДУ</t>
  </si>
  <si>
    <t>80-1-17-00311529</t>
  </si>
  <si>
    <t>МУП Приютненское Дорожное управление</t>
  </si>
  <si>
    <t>Строительство ВЛИ-0,4 кВ от опоры №24 фидер №3 от КТП 10/0,4 кВ №7/400 кВА ВЛ-10кВ "Яшкуль" от ПС 110/35/10 кВ "Яшкуль 2", жил.дом Чудутова Б.В.</t>
  </si>
  <si>
    <t>СИП-2 3*70+1*70</t>
  </si>
  <si>
    <t>80-1-17-00312287</t>
  </si>
  <si>
    <t>Чудутов Б.В.</t>
  </si>
  <si>
    <t>Строительство ВЛИ-0,4 кВ от КТП 10/0,4 кВ №19/100 кВА «Микрорайон» ВЛ-10кВ Поселок от ПС 110 кВ Комсомольская (ИП Чумудовой О.Н. (ориент.протяж.0,45 км)</t>
  </si>
  <si>
    <t>80-1-17-00314655</t>
  </si>
  <si>
    <t>Чумудова О.Н.</t>
  </si>
  <si>
    <t>Стр-во возд.отв.ВЛИ0,23кВ от опоры №6 ВЛ0,4кВ фидер2 от КТП№13/100кВА ВЛ10кВ Поселок ПС110кВ Комсомольская (ЛПХ Багамаева Р.О. (ориент.прот.0,08км))</t>
  </si>
  <si>
    <t>80-1-17-00322097</t>
  </si>
  <si>
    <t>Багамаев Р.О.</t>
  </si>
  <si>
    <t>Строительство линейного ответвления 10кВ от опоры № 40 по ВЛ-10кВ «Ферма 3-4» от ПС 35/10 кВ  «Хар-Булук», жив.стоянка ИП Халенгинова В.С.</t>
  </si>
  <si>
    <t>80-1-17-00311221</t>
  </si>
  <si>
    <t>Халенгинов В.С.</t>
  </si>
  <si>
    <t>Стр-во ВЛИ0,22кВ ориент.пр.20 м от опоры№1 фидера№1 КТП№2/100кВАСело ВЛ-10кВ БагаТугтун ПС35/10кВБагаТугтун,ПАОМегафон,базовая станция Бага Тугтун</t>
  </si>
  <si>
    <t>80-1-17-00307769</t>
  </si>
  <si>
    <t>2.1.1.1.2.</t>
  </si>
  <si>
    <t>80-1-17-00296973</t>
  </si>
  <si>
    <t>Строительство ВЛИ-0,4 кВ от опоры № 5 фидера № 2 КТП 10/0,4 кВ № 2/160 кВА Школа ВЛ-10кВ Юбилейный ПС 35/10 кВ Юбилейная, ПАО Мегафон, базовая станция</t>
  </si>
  <si>
    <t>ПАО"МегаФон" Бага-Туг)</t>
  </si>
  <si>
    <t>ПАО"МегаФон" Маныческое</t>
  </si>
  <si>
    <t>Стр-во ВЛИ0,4кВ от РУ-0,4кВ КТП№14/400кВА ПСШ №1 ВЛ10кВПриютное от ПС35кВПриютное-1, ВРУ 0,4 кВ складского помещения ИП Грицина Н.П. (орпр0,25км)</t>
  </si>
  <si>
    <t>80-1-17-00337683</t>
  </si>
  <si>
    <t>Стр-тво ВЛИ0,38кВ от опоры№10 ВЛ0,38кВ №3 от КТП№392/250кВА ВЛ10кВСолнечный от ПС110кВЭлистаЗападная, баз.станПРС ПАО МТС ул.Строителей(ориенпр0,18км)</t>
  </si>
  <si>
    <t>80-1-17-00331657</t>
  </si>
  <si>
    <t>ПАО МТС</t>
  </si>
  <si>
    <t>Стр-во ВЛИ0,38кВ ориент.прот.25м от опоры№25 ВЛ0,38кВ №1 от КТП№99/250кВА ВЛ10кВ Северный от ПС110 кВЭлистаЗападная,баз.станцияПРСПАОМТСулСтроительная</t>
  </si>
  <si>
    <t>80-1-17-00331313</t>
  </si>
  <si>
    <t>Стр-во ВЛИ0,4 кВ от опоры №10 фидер№3 от КТП №32/400 кВА Спутник ВЛ10кВ № 6 Садовое от ПС 110/35/10 кВ Садовое-1, магазин Березка ИП Чернобровый В.В.</t>
  </si>
  <si>
    <t>80-1-17-00317565</t>
  </si>
  <si>
    <t>Чернобровый В.В.</t>
  </si>
  <si>
    <t>Строительство линейного ответвления 10 кВ от опоры №13 отпайки №6 по ВЛ-10кВ №12 "Больница" от ПС 110/35/10 кВ "Советская", ИП Кичиков С.С.</t>
  </si>
  <si>
    <t>80-1-16-00248699</t>
  </si>
  <si>
    <t>Строительство линейного ответвления  10кВ от опоры №40 по ВЛ-10кВ  «Овцекомплекс» ПС 110/10кВ  «Бургустинская», ООО «Биф Арт»</t>
  </si>
  <si>
    <t>80-1-15-00201243</t>
  </si>
  <si>
    <t>Управленческий отчет о прибылях(убытках) по ПАО "МРСК-Юга"</t>
  </si>
  <si>
    <t>Параметры:</t>
  </si>
  <si>
    <t>Период: 01.01.2017 по 31.12.2017</t>
  </si>
  <si>
    <t>Код строки</t>
  </si>
  <si>
    <t>Группы иерархии</t>
  </si>
  <si>
    <t>Калмэнерго</t>
  </si>
  <si>
    <t>Группы иерархии.Код строки</t>
  </si>
  <si>
    <t>Статья БДР</t>
  </si>
  <si>
    <t>Иерархия управленческого отчета о прибылях и убытках</t>
  </si>
  <si>
    <t>Выручка</t>
  </si>
  <si>
    <t>Передача электроэнергии</t>
  </si>
  <si>
    <t>РСК (собств.)</t>
  </si>
  <si>
    <t>Чистая прибыль (убыток)</t>
  </si>
  <si>
    <t>Валовая прибыль</t>
  </si>
  <si>
    <t>Выручка от передачи электроэнергии</t>
  </si>
  <si>
    <t>ИА (распред. на РСК) прямая</t>
  </si>
  <si>
    <t>ИА (распред. на РСК) косвенные</t>
  </si>
  <si>
    <t>1.3</t>
  </si>
  <si>
    <t>прочие виды деятельности:</t>
  </si>
  <si>
    <t>1.3.1</t>
  </si>
  <si>
    <t>Прочая основная деятельность</t>
  </si>
  <si>
    <t>1.3.2</t>
  </si>
  <si>
    <t>Непрофильная деятельность</t>
  </si>
  <si>
    <t>Затраты (себестоимость)</t>
  </si>
  <si>
    <t>2.3.1</t>
  </si>
  <si>
    <t>2.3.2</t>
  </si>
  <si>
    <t>3.1</t>
  </si>
  <si>
    <t>3.2</t>
  </si>
  <si>
    <t>3.3</t>
  </si>
  <si>
    <t>3.3.1</t>
  </si>
  <si>
    <t>3.3.2</t>
  </si>
  <si>
    <t>Прочие доходы</t>
  </si>
  <si>
    <t>4.1</t>
  </si>
  <si>
    <t>4.2</t>
  </si>
  <si>
    <t>4.3</t>
  </si>
  <si>
    <t>4.3.1</t>
  </si>
  <si>
    <t>4.3.2</t>
  </si>
  <si>
    <t>Прочие расходы РСК</t>
  </si>
  <si>
    <t>5.3.1</t>
  </si>
  <si>
    <t>5.3.2</t>
  </si>
  <si>
    <t>6.</t>
  </si>
  <si>
    <t>Управленческие расходы ИА</t>
  </si>
  <si>
    <t>6.1</t>
  </si>
  <si>
    <t>6.2</t>
  </si>
  <si>
    <t>6.3</t>
  </si>
  <si>
    <t>6.3.1</t>
  </si>
  <si>
    <t>6.3.2</t>
  </si>
  <si>
    <t>8.</t>
  </si>
  <si>
    <t>Проценты к получению</t>
  </si>
  <si>
    <t>8.1</t>
  </si>
  <si>
    <t>8.2</t>
  </si>
  <si>
    <t>8.3</t>
  </si>
  <si>
    <t>8.3.1</t>
  </si>
  <si>
    <t>8.3.2</t>
  </si>
  <si>
    <t>9.</t>
  </si>
  <si>
    <t>Проценты к уплате</t>
  </si>
  <si>
    <t>9.1</t>
  </si>
  <si>
    <t>9.2</t>
  </si>
  <si>
    <t>9.3</t>
  </si>
  <si>
    <t>9.3.1</t>
  </si>
  <si>
    <t>9.3.2</t>
  </si>
  <si>
    <t>10.</t>
  </si>
  <si>
    <t>Управленческая прибыль до н/о РСК с учетом ИА</t>
  </si>
  <si>
    <t>10.1</t>
  </si>
  <si>
    <t>10.2</t>
  </si>
  <si>
    <t>10.3</t>
  </si>
  <si>
    <t>10.3.1</t>
  </si>
  <si>
    <t>10.3.2</t>
  </si>
  <si>
    <t>11.</t>
  </si>
  <si>
    <t>Налог на прибыль и иные аналогичные платежи</t>
  </si>
  <si>
    <t>11.1</t>
  </si>
  <si>
    <t>Условный доход/расход</t>
  </si>
  <si>
    <t>11.1.1</t>
  </si>
  <si>
    <t>11.1.2</t>
  </si>
  <si>
    <t>11.1.3</t>
  </si>
  <si>
    <t>11.1.3.1</t>
  </si>
  <si>
    <t>11.1.3.2</t>
  </si>
  <si>
    <t>11.2</t>
  </si>
  <si>
    <t>Постоянное налоговое обязательство</t>
  </si>
  <si>
    <t>11.2.1</t>
  </si>
  <si>
    <t>11.2.2</t>
  </si>
  <si>
    <t>11.2.3</t>
  </si>
  <si>
    <t>11.2.3.1</t>
  </si>
  <si>
    <t>11.2.3.2</t>
  </si>
  <si>
    <t>12.</t>
  </si>
  <si>
    <t>Чистая прибыль</t>
  </si>
  <si>
    <t>12.1</t>
  </si>
  <si>
    <t>12.2</t>
  </si>
  <si>
    <t>12.3</t>
  </si>
  <si>
    <t>12.3.1</t>
  </si>
  <si>
    <t>12.3.2</t>
  </si>
  <si>
    <t>Количество</t>
  </si>
  <si>
    <t>Зумаев Б.Н.</t>
  </si>
  <si>
    <r>
      <rPr>
        <b/>
        <sz val="10"/>
        <rFont val="Times New Roman"/>
        <family val="1"/>
        <charset val="204"/>
      </rPr>
      <t>Строительство воздушного ответвления ВЛ 10 кВ</t>
    </r>
    <r>
      <rPr>
        <sz val="10"/>
        <rFont val="Times New Roman"/>
        <family val="1"/>
        <charset val="204"/>
      </rPr>
      <t xml:space="preserve"> - 3700 м. от опоры № 112 отпайки Р-2 ВЛ 10 кВ № 10 "Шароны" ПС 110/35/10 кВ № "Малые Дербеты" и СТП-10/0,22 кВ </t>
    </r>
    <r>
      <rPr>
        <b/>
        <sz val="10"/>
        <rFont val="Times New Roman"/>
        <family val="1"/>
        <charset val="204"/>
      </rPr>
      <t>(ИП Зумаев Б.Н.</t>
    </r>
    <r>
      <rPr>
        <sz val="10"/>
        <rFont val="Times New Roman"/>
        <family val="1"/>
        <charset val="204"/>
      </rPr>
      <t>)(ориентировочная протяженность ЛЭП - 3.70 км)</t>
    </r>
  </si>
  <si>
    <r>
      <t xml:space="preserve">Строительство воздушного ответвления ВЛ 10 кВ - 3700 м. от опоры № 112 отпайки Р-2 ВЛ 10 кВ № 10 "Шароны" ПС 110/35/10 кВ № "Малые Дербеты" и </t>
    </r>
    <r>
      <rPr>
        <b/>
        <sz val="11"/>
        <rFont val="Times New Roman"/>
        <family val="1"/>
        <charset val="204"/>
      </rPr>
      <t>СТП-10/0,22 кВ (ИП Зумаев Б.Н.)</t>
    </r>
    <r>
      <rPr>
        <sz val="11"/>
        <rFont val="Times New Roman"/>
        <family val="1"/>
        <charset val="204"/>
      </rPr>
      <t>(ориентировочная протяженность ЛЭП - 3.70 км)</t>
    </r>
  </si>
  <si>
    <t>42002-12-00104311-1</t>
  </si>
  <si>
    <t>Объединенный Акт (+ еще ТП)</t>
  </si>
  <si>
    <t>Строительство отп. ВЛ 10 кВ-1822 м от опоры №30 ВЛ 10 кВ №11 Шин Мер ПС 110/35/10 кВ Советская (ИП Балтыков З.Э.)(ориентировочная протяженность ЛЭП - 1.822 км)</t>
  </si>
  <si>
    <t>22004-12-00092765-1</t>
  </si>
  <si>
    <t>Балтыков З.Э.</t>
  </si>
  <si>
    <t>Строительство отп. ВЛ 10 кВ от опоры №122 отп. Р-24  ВЛ 10 кВ «Зурган » от  ПС 110/35/10 кВ «Цаган Толга»  (Убушиева Ц.Б.)(ориентировочная протяженность ЛЭП - 2.62 км)</t>
  </si>
  <si>
    <t>22002-11-00078731-1</t>
  </si>
  <si>
    <t>Убушиева Ц.Б.</t>
  </si>
  <si>
    <t>Строительство воздушного ответвления ВЛ 10 кВ - 2928 м. от опоры №10 отпайки № 3 ВЛ 10 кВ № 11 "Шин-Мер" ПС 110/35/10 кВ "Советская"  (ИП Бадмаева Н.С. )(ориентировочная протяженность ЛЭП - 2.928 км)</t>
  </si>
  <si>
    <t>Бадмаева Н.С.</t>
  </si>
  <si>
    <t>22004-12-00088107-1</t>
  </si>
  <si>
    <r>
      <rPr>
        <b/>
        <sz val="11"/>
        <rFont val="Times New Roman"/>
        <family val="1"/>
        <charset val="204"/>
      </rPr>
      <t>Строительство ВЛ 10 кВ - 2100 м.</t>
    </r>
    <r>
      <rPr>
        <sz val="11"/>
        <rFont val="Times New Roman"/>
        <family val="1"/>
        <charset val="204"/>
      </rPr>
      <t xml:space="preserve"> от ВЛ 10 кВ № 8 "Связь с ПС Кегульта" ПС 110/10 кВ "Ергенинская"и ТП-10/0,4 кВ 63 кВА ("Билайн")(ориентировочная протяженность ЛЭП - 2.20 км)</t>
    </r>
  </si>
  <si>
    <t>42004-13-00115361-1</t>
  </si>
  <si>
    <t>от 15 до 150 кВт (не льгота); 1Т</t>
  </si>
  <si>
    <t>ОАО "Вымпелком"</t>
  </si>
  <si>
    <r>
      <rPr>
        <b/>
        <sz val="11"/>
        <rFont val="Times New Roman"/>
        <family val="1"/>
        <charset val="204"/>
      </rPr>
      <t>Строительство ВЛ 10кВ</t>
    </r>
    <r>
      <rPr>
        <sz val="11"/>
        <rFont val="Times New Roman"/>
        <family val="1"/>
        <charset val="204"/>
      </rPr>
      <t xml:space="preserve">-1200 м. от опоры №72 ВЛ 10 кВ №8 «Бригада 1» ПС 35/10 кВ «Кегульта» и ТП-10/0,4 кВ 63 кВА </t>
    </r>
    <r>
      <rPr>
        <b/>
        <sz val="11"/>
        <rFont val="Times New Roman"/>
        <family val="1"/>
        <charset val="204"/>
      </rPr>
      <t>(МТС)(</t>
    </r>
    <r>
      <rPr>
        <sz val="11"/>
        <rFont val="Times New Roman"/>
        <family val="1"/>
        <charset val="204"/>
      </rPr>
      <t>ориентировочная протяженность ЛЭП - 1.20 км)</t>
    </r>
  </si>
  <si>
    <t>По индивидуальным проектам</t>
  </si>
  <si>
    <t>прочие расходы, налог на прибыль, тыс.руб.</t>
  </si>
  <si>
    <t>по техприсоединению</t>
  </si>
  <si>
    <t>без Инд проектов</t>
  </si>
  <si>
    <t xml:space="preserve">по инд проектам </t>
  </si>
  <si>
    <t>прочие без льготников и инд. проектов</t>
  </si>
  <si>
    <t>в т.ч.  льготники</t>
  </si>
  <si>
    <t>в т.ч.  нельготники до 15 кВт</t>
  </si>
  <si>
    <t>свыше 15 кВт и до 150 кВт включительно</t>
  </si>
  <si>
    <t xml:space="preserve"> (не менее 670 кВт)</t>
  </si>
  <si>
    <t xml:space="preserve">Выручка  </t>
  </si>
  <si>
    <t xml:space="preserve">Себестоимость  </t>
  </si>
  <si>
    <t xml:space="preserve">Прочие доходы РСК </t>
  </si>
  <si>
    <t>в доле от выручки без инд проектов</t>
  </si>
  <si>
    <t xml:space="preserve">Прочие расходы РСК </t>
  </si>
  <si>
    <t>в доле от выручки</t>
  </si>
  <si>
    <t>Прочие доходы ИА</t>
  </si>
  <si>
    <t>Прочие расходы ИА</t>
  </si>
  <si>
    <t>Проценты к получению ИА</t>
  </si>
  <si>
    <t xml:space="preserve">Проценты к уплате РСК </t>
  </si>
  <si>
    <t>Проценты к уплате ИА</t>
  </si>
  <si>
    <t>налог</t>
  </si>
  <si>
    <t xml:space="preserve"> Доходы/расходы всего (сальдо)</t>
  </si>
  <si>
    <t xml:space="preserve"> 2017г., тыс.руб.</t>
  </si>
  <si>
    <t>Количество, ед.</t>
  </si>
  <si>
    <t>Выручка (с НДС)</t>
  </si>
  <si>
    <t>НДС</t>
  </si>
  <si>
    <t>Выручка без НДС</t>
  </si>
  <si>
    <t>Себестоимость 2017 г.</t>
  </si>
  <si>
    <t>до 15 кВт включительно</t>
  </si>
  <si>
    <t>в т.ч. до 15 кВт (льгота)</t>
  </si>
  <si>
    <t>0,4 кВ</t>
  </si>
  <si>
    <t>в т.ч. до 15 кВт (не льгота)</t>
  </si>
  <si>
    <t>не менее 670 кВт</t>
  </si>
  <si>
    <t>Согласно выручке</t>
  </si>
  <si>
    <t>СИП4 2*16</t>
  </si>
  <si>
    <t xml:space="preserve">СИП4 4*16 </t>
  </si>
  <si>
    <t>СИП-2 3*25+1*54,6-0,6/1 кВ</t>
  </si>
  <si>
    <t>СИП-2 3*50+1*54,6-0,66/1</t>
  </si>
  <si>
    <t>аллюминевый</t>
  </si>
  <si>
    <t>за границей г.н.п.</t>
  </si>
  <si>
    <t>территории, не относящиеся к территориям городских населенных пунктов</t>
  </si>
  <si>
    <t>изолированный</t>
  </si>
  <si>
    <t>сталеалюминиевый</t>
  </si>
  <si>
    <t>г.н.п.</t>
  </si>
  <si>
    <t>территории городских населенных пунктов</t>
  </si>
  <si>
    <t>6-10 кВ</t>
  </si>
  <si>
    <t>неизолированный</t>
  </si>
  <si>
    <t>Сведения о ходе строительства объектов ТП с 01.01.2015 г.</t>
  </si>
  <si>
    <t>Г.Н.П.</t>
  </si>
  <si>
    <t>алюминевый</t>
  </si>
  <si>
    <t>Вне Г.Н.П.</t>
  </si>
  <si>
    <t>Материал провода провода</t>
  </si>
  <si>
    <t>город</t>
  </si>
  <si>
    <t>в текущих ценах</t>
  </si>
  <si>
    <t>Изолир. алюм. до 50 мм</t>
  </si>
  <si>
    <t>Стр-во лин. отв. ВЛИ - 0,22 кВ от оп № 5 по ВЛ 0,4кВ ф №1 КТП №3/250кВА по ВЛ 10кВ Элист ПС Зверосовх (Андрюшкина ЕК</t>
  </si>
  <si>
    <t>80101-14-00168817-1</t>
  </si>
  <si>
    <t>да</t>
  </si>
  <si>
    <t>1кв 2015</t>
  </si>
  <si>
    <t>Андрюшкина Е.К.</t>
  </si>
  <si>
    <t>Стр-вовозотвВЛИ0,4кВоп9ВЛ0,4кВфид1КТП11/400кВАДюймовВЛ10кВМашзаводПС110/35/10кВКаспийс(Измухамбетова И.А.)</t>
  </si>
  <si>
    <t>80-1-15-00195727</t>
  </si>
  <si>
    <t>2кв 2015</t>
  </si>
  <si>
    <t>???</t>
  </si>
  <si>
    <t>Измухамбетова И.А.</t>
  </si>
  <si>
    <t>Строительство линейного ответвления ВЛИ-0,22кВ от опоры №9 ВЛ-0,4 кВ Фидер №1 от КТП 10/0,4 кВ №4/250 кВА ВЛ 10 кВ «Элистинский» ПС 35/10 кВ «Зверосовхозная» Басангова М.Л-Г.</t>
  </si>
  <si>
    <t>80-1-14-00178115</t>
  </si>
  <si>
    <t>Басангова М.Л-Г.</t>
  </si>
  <si>
    <t>Строительство линейного ответвления от опоры №32  ВЛ 0,4 кВ Фидер №1 от КТП 10/0,4 кВ №6/400 кВА ВЛ 10 кВ «Элистинский» ПС 35/10 кВ «Зверосовхозная» Басангов Владимир Убушевич, Аржанцова Оксана Николаевна, Манджиева Няамяш Васильевна</t>
  </si>
  <si>
    <t>80-1-14-00185637; 80-1-14-00178299; 80-1-14-00177629</t>
  </si>
  <si>
    <t>Басангов Владимир Убушевич, Аржанцова Оксана Николаевна, Манджиева Няамяш Васильевна</t>
  </si>
  <si>
    <t>Строительство линейного ответвления ВЛИ-0,22кВ от опоры №18 фидер 1 КТП 10/0,4 кВ №3/250 кВА  ВЛ 10 кВ «Элистинский» ПС 35/10 кВ «Зверосовхозная» (Санджиева Д.С.)</t>
  </si>
  <si>
    <t>80-1-15-00200233</t>
  </si>
  <si>
    <t>4кв 2015</t>
  </si>
  <si>
    <t>Санджиева Д.С.</t>
  </si>
  <si>
    <t>Стр-во линотвВЛИ-0,22кВ ориентировочной прот45мотоп2фид1КТП22/400кВАВЛ10кВМикрорайонПС110/35/10кВКаспийская-2(ЭргюеваСЕ)</t>
  </si>
  <si>
    <t>80-1-15-00203217</t>
  </si>
  <si>
    <t>Эргюева С.Е.</t>
  </si>
  <si>
    <t>Стр-во лин отв ВЛИ 0,4 кВ от оп 10 ВЛ 0,4 кВ ф 2 КТП 2/250 кВА Цветочная ВЛ 10 кВ Земснаряд ПС 35/10 Каспийская 1 (Ользятиев Н.П.)</t>
  </si>
  <si>
    <t>80-1-14-00176123</t>
  </si>
  <si>
    <t>Ользятиев Н.П.</t>
  </si>
  <si>
    <t>Строительство линейного ответвления ВЛИ-0,4кВ от опоры №5  ВЛ 0,4 кВ Фидер №2 от КТП 10/0,4 кВ №5/400 кВА «Некрасова» ВЛ 10 кВ «Земснаряд» ПС 35/10 кВ «Каспийская-1» (Очир-Горяева О.В.)</t>
  </si>
  <si>
    <t>80-1-14-00185419</t>
  </si>
  <si>
    <t>Очир-Горяева О.В.</t>
  </si>
  <si>
    <t>Строительство воздушного ответвления ВЛ-0,4кВ от опоры №6 по ВЛ-0,4кВ фидер №1 КТП 10/0,4кВ №1/250кВА по ВЛ-10кВ   «Поселок» ПС 35/10 кВ «Зверосовхозная» Шрамко Н.Н., Джантелеев С.Х.)</t>
  </si>
  <si>
    <t>11901-13-00148417-1; 11901-13-00148423-1</t>
  </si>
  <si>
    <t>Шрамко Н.Н., Джантелеев С.Х.</t>
  </si>
  <si>
    <t>Строительство воздушного ответвления ВЛ-0,4кВ от опоры №16  ВЛ 0,4 кВ Фидер №1 от КТП №6/250 кВа ВЛ 10 кВ «1 микрорайон» ПС 35/10 кВ «Городовиковская» (Министерство по земельным и имущественным отношениям РК)</t>
  </si>
  <si>
    <t>80-1-14-00187197</t>
  </si>
  <si>
    <t>СИП-2 3*25+1*54,6</t>
  </si>
  <si>
    <t>Министерство по земельным и имущественным отношениям РК</t>
  </si>
  <si>
    <t>Строительство ВЛИ-0,4кВ от ЗТП 10/0,4 кВ №3/160 кВА  по ВЛ-10 кВ «Элеватор»  ПС 35/10 кВ «Городовиковская» (Железняков Е.В.)</t>
  </si>
  <si>
    <t>80-1-15-00205277</t>
  </si>
  <si>
    <t>Железняков Е.В.</t>
  </si>
  <si>
    <t>Стр-во лин. отв. ВЛИ - 0,22 кВ от оп № 15 по ВЛ 0,4 кВ Ф № 1 от КТП № 6/250 кВа по ВЛ 10 кВ Элист ПС Зверо (Микуляева ВС)</t>
  </si>
  <si>
    <t>11901-14-00161753-1</t>
  </si>
  <si>
    <t>Микуляева В.С.</t>
  </si>
  <si>
    <t>Изолир. алюм. 50-100 мм</t>
  </si>
  <si>
    <t>Стр-во возд. отв.ВЛ-0,4кВ от оп.№6поВЛ-0,4кВ Ф№1 ЗТП№26А400кВАпоВЛ-10кВПМК-9отПСТрои(Серелеева О.Б.)</t>
  </si>
  <si>
    <t>11901-13-00146317-1</t>
  </si>
  <si>
    <t>нет</t>
  </si>
  <si>
    <t>Серелеева О.Б.</t>
  </si>
  <si>
    <t>Стр-во лин. отв. ВЛ-0,22 кВ от оп №1 по ВЛ0,4кВ Ф №2 от КТП № 5/250кВА по ВЛ 10кВ ПМК ПС Троиц. (ИП Кривенко Н В)</t>
  </si>
  <si>
    <t>80401-14-00170807-1</t>
  </si>
  <si>
    <t>ИП Кривенко Н.В.</t>
  </si>
  <si>
    <t>Стр-во лин. отв. ВЛ - 0,22 кВ от оп № 26 по ВЛ 0,4кВ Ф №1 от ЗТП № 24 А/400 кВА по ВЛ 10 Троицкое ПС Тр (Бадмаева НГ)</t>
  </si>
  <si>
    <t>80101-14-00170775-1</t>
  </si>
  <si>
    <t>Бадмаева Н.Г.</t>
  </si>
  <si>
    <t>Стр-во лин. отв. ВЛИ - 0,22 кВ от оп № 23 по ВЛ 0,4 кВ Ф № 1 от КТП №3/250 кВа по ВЛ 10 кВ ПМК - 9 ПС Троиц (Лиджиев А.Б)</t>
  </si>
  <si>
    <t>11901-14-00161761-1</t>
  </si>
  <si>
    <t>Лиджиев А.Б.</t>
  </si>
  <si>
    <t>Стр-во отв к вводу ВЛ0,22кВотоп№24поВЛ0,4кВфид3ЗТП№53/400кВАпоВЛ10кВ№6ОППСПСМалыеДербеты(МанджиевАМ)</t>
  </si>
  <si>
    <t>80-1-14-00181137</t>
  </si>
  <si>
    <t>Манджиев А.М.</t>
  </si>
  <si>
    <t>Строительство линейного ответвления ВЛИ-0,22кВ от опоры №45  ВЛ 0,4 кВ Фидер №1 от КТП 10/0,4 кВ №20/250 кВА ВЛ 10 кВ «Троицкаое» ПС 35/10 кВ «Троицкая» Надвид-Убушаева Н.Н.(Надбит-Убушаева Н.Н.)</t>
  </si>
  <si>
    <t>80-1-14-00185945</t>
  </si>
  <si>
    <t>Надбит-Убушаева Н.Н.</t>
  </si>
  <si>
    <t>80-1-14-00185565</t>
  </si>
  <si>
    <t>Добжаева З.С.</t>
  </si>
  <si>
    <t>Строительство линейного ответвления от опоры №10 ВЛ 0,4 кВ Фидер №2 от ЗТП 10/0,4 кВ №7/600 кВа ВЛ 10 кВ "Троицкое" ПС 35/10 кВ "Троицкая" (Гадиев В.Б.)</t>
  </si>
  <si>
    <t>80101-14-00169865-1</t>
  </si>
  <si>
    <t>24???</t>
  </si>
  <si>
    <t>Гадиев В.Б.</t>
  </si>
  <si>
    <t>Строительство линейного ответвления  от опоры №14 ВЛ 0,4 кВ Фидер №2 от КТП 10/0,4 кВ №24/250 кВа ВЛ 10 кВ "ПМК-9" ПС 35/10 кВ "Троицкая" Юреев С.А.</t>
  </si>
  <si>
    <t>80101-14-00170829-1</t>
  </si>
  <si>
    <t>Юреев С.А.</t>
  </si>
  <si>
    <t>Строительство линейного ответвления  от опоры №15 ВЛ 0,4 кВ Фидер №2 от КТП 10/0,4 кВ №24/250 кВа ВЛ 10 кВ "ПМК-9" ПС 35/10 кВ "Троицкая"(Уляева Э.Н.)</t>
  </si>
  <si>
    <t>80101-14-00170801-1</t>
  </si>
  <si>
    <t>Уляева Э.Н.</t>
  </si>
  <si>
    <t>Строительство линейного ответвления  ВЛИ-0,22кВ  от опоры №18 ВЛ-0,4кВ Фидер №2 КТП 10/0,4кВ №17/400кВА  по ВЛ-10кВ  «ПМК» от ПС 35/10 кВ «Троицкая» Бурулова Н.В.</t>
  </si>
  <si>
    <t>80-1-14-00175009</t>
  </si>
  <si>
    <t>Бурулова Н.В.</t>
  </si>
  <si>
    <t>Строительство линейного ответвления  от опоры №20 ВЛ 0,4 кВ Фидер №1 от КТП 10/0,4 кВ №19/100 кВа ВЛ 10 кВ "Троицкое"  ПС 35/10 кВ "Троицкая" Мацаков Д.И.</t>
  </si>
  <si>
    <t>80101-14-00173639-1</t>
  </si>
  <si>
    <t>Мацаков Д.И.</t>
  </si>
  <si>
    <t>80-1-15-00189185</t>
  </si>
  <si>
    <t>3кв 2015</t>
  </si>
  <si>
    <t>Строительство линейного ответвления  ВЛИ-0,4кВ  от опоры №22 по ВЛ-0,4кВ Фидер №2 ЗТП 10/0,4кВ №25А/400кВА  по ВЛ-10кВ  «ПМК» от ПС 35/10 кВ «Троицкая»  (Бембеева Д.Н.)</t>
  </si>
  <si>
    <t>80-1-14-00185071</t>
  </si>
  <si>
    <t>Бембеева Д.Н.</t>
  </si>
  <si>
    <t>Строительство линейного ответвления ВЛИ-0,22кВ от опоры №10 ВЛ-0,4кВ фидер2 КТП 10/0,4 кВ №4/250 кВА «Гагарина» ВЛ 10 кВ «ПМК» ПС 35/10 кВ «Троицкая» (Лиджиева Н.И.)</t>
  </si>
  <si>
    <t>80-1-15-00192689</t>
  </si>
  <si>
    <t>Лиджиева Н.И.</t>
  </si>
  <si>
    <t>Строительство линейного ответвления ВЛИ-0,22кВ от опоры № 3 ВЛ-0,4кВ фидер1 КТП 10/0,4 кВ № 5/250 кВА "Детская больница" ВЛ 10 кВ "Хлебозавод" ПС 35/10 кВ "Приютное-1" МРО Прихода Крестовоздвиженского храма с.Приютное</t>
  </si>
  <si>
    <t>80-1-15-00195673</t>
  </si>
  <si>
    <t>МРО Прихода Крестовоздвиженского храма с.Приютное</t>
  </si>
  <si>
    <t>Строительство линейного ответвления  ВЛИ-0,22кВ  от опоры №20 по ВЛ-0,4кВ Фидер №1 КТП 10/0,4кВ №27/400кВА  по ВЛ-10кВ  "ПМК" ПС 35/10 кВ "Троицкая" (Санжиева Н.Р.)</t>
  </si>
  <si>
    <t>80-1-15-00191939</t>
  </si>
  <si>
    <t>Санжиева Н.Р.</t>
  </si>
  <si>
    <t>Стр-волинотвВЛИ0,22кВориентпрот30мотоп32ВЛ0,4кВфид1КТП3/250кВАВЛ10кВПМК9ПС35/10кВТроицкая(КанаевББ)</t>
  </si>
  <si>
    <t>80-1-15-00217829</t>
  </si>
  <si>
    <t>Канаев Б.Б.</t>
  </si>
  <si>
    <t>Стр-волинотВЛИ0,22кВорпр90мотоп6ВЛ0,4кВфид2КТП9/100кВАВЛ10кВСвсЭПТФПС35/10кВВознесеновска(ИПГаряевАС)</t>
  </si>
  <si>
    <t>80-1-15-00194815</t>
  </si>
  <si>
    <t>ИП Гаряев А.С.</t>
  </si>
  <si>
    <t>Строительство линейного ответвления ВЛИ-0,22кВ от опоры №11п ВЛ-0,4 кВ Фидер №2 от КТП 10/0,4 кВ №23/160кВА «ж/с Гигант» ВЛ-10 кВ №6 «Садовое» ПС 110/35/10 кВ «Садовое» Гайдукова Л.Б.</t>
  </si>
  <si>
    <t>80-1-14-00181749</t>
  </si>
  <si>
    <t>СИП-4 2*16-0,6/1</t>
  </si>
  <si>
    <t>Гайдукова Л.Б.</t>
  </si>
  <si>
    <t>Строительство линейного ответвления ВЛИ-0,22кВ от опоры №12 ВЛИ-0,4кВ фидер1 КТП 10/0,4 кВ №16/100 кВА ВЛ 10 кВ «Микрорайон» ПС 110/35/10 кВ «Яшкуль» Бояев Ч.А.</t>
  </si>
  <si>
    <t>80-1-14-00183271</t>
  </si>
  <si>
    <t>Бояев Ч.А.</t>
  </si>
  <si>
    <t>Строительство ВЛ 0,4 кВ  от  опоры №26 ВЛ 0,4 кВ Фидер №2 КТП 10/0,4 кВ №6/160 кВа  ВЛ 10 кВ "Центральная усадьба"  ПС 110//10 кВ "Адык"(Мергульчиев Б.Н.)</t>
  </si>
  <si>
    <t>80-1-14-00174961</t>
  </si>
  <si>
    <t>Мергульчиев Б.Н.</t>
  </si>
  <si>
    <t>Строительство воздушного ответвления ВЛИ-0,4кВ от опоры №28 ВЛ-0,4кВ фидер №1 КТП №446/100кВА ВЛ-10кВ №9 «Малые Дербеты»   ПС 110/35/10 кВ «Малые Дербеты» (Асеев М.М.)</t>
  </si>
  <si>
    <t>80-1-15-00190923</t>
  </si>
  <si>
    <t>Асеев М.М.</t>
  </si>
  <si>
    <t>Строительство линейного ответвления ВЛИ-0,4кВ от опоры №13 ВЛ-0,4 кВ Фидер №1 от КТП 10/0,4 кВ №11/250 кВА ВЛ 10 кВ «Поселок» ПС 110/35/10 кВ «Комсомольская» (Шалхаев О.В.)</t>
  </si>
  <si>
    <t>80-1-14-00183423</t>
  </si>
  <si>
    <t>Шалхаев О.В.</t>
  </si>
  <si>
    <t>Стр-во ВЛИ-0,4кВ ор.прот.200м от РУ-0,4кВ КТП №2/160кВА ВЛ-10кВ "Поселок" ПС 110/10кВ "Ленинская" (Адм. Ики-Чоносовского СМО)</t>
  </si>
  <si>
    <t>80-1-15-00218909</t>
  </si>
  <si>
    <t>Адм. Ики-Чоносовского СМО</t>
  </si>
  <si>
    <t>80-1-15-00228503</t>
  </si>
  <si>
    <t>Гаряев Н.О.</t>
  </si>
  <si>
    <t>Строительство линейного ответвления  0,4 кВ от опоры №9  ВЛ-0,4 кВ  Фидер №3 от КТП 10/0,4 кВ №5/160 кВа "Байр" ВЛ 10 кВ №8 "Райцентр-1" ПС 110/10кВ  «Цаган-Аман»(ИП Наминова Л.Д.)</t>
  </si>
  <si>
    <t>80-1-14-00176021</t>
  </si>
  <si>
    <t>ИП Наминова Л.Д.</t>
  </si>
  <si>
    <t>Строительство ВЛИ-0,22кВ от СТП 10/0,22 кВ №11/10 кВА  ВЛ 10 кВ «АБЗ» ПС 35/10 кВ «Яшалта 1» ИП Дегтярев П.Т.</t>
  </si>
  <si>
    <t>80-1-15-00197565</t>
  </si>
  <si>
    <t>ИП Дегтярев П.Т.</t>
  </si>
  <si>
    <t>Строительство ответвления к вводу ВЛИ-0,22кВ от опоры №27  ВЛ 0,4 кВ Фидер №2 от ЗТП 10/0,4 кВ №16/250 кВА ВЛ 10 кВ «Троицкаое» ПС 35/10 кВ «Троицкая» Сокиркин К.В.</t>
  </si>
  <si>
    <t>80-1-14-00184851</t>
  </si>
  <si>
    <t>Сокиркин К.В.</t>
  </si>
  <si>
    <t>Строительство линейного ответвления ВЛИ-0,22кВ от опоры №25  ВЛ 0,4 кВ Фидер №2 от ЗТП 10/0,4 кВ №24А/400 кВА ВЛ 10 кВ «Троицкое» ПС 35/10 кВ «Троицкая» (Коростылев С.В., Пахомов С.А.)</t>
  </si>
  <si>
    <t>80-1-14-00185099; 80-1-14-00185105</t>
  </si>
  <si>
    <t>Коростылев С.В., Пахомов С.А.</t>
  </si>
  <si>
    <t>Строительство линейного ответвления от опоры №10 ВЛ 0,4 кВ Фидер №2 от ЗТП 10/0,4 кВ №25А/400 кВа ВЛ 10 кВ "ПМК-9" ПС 35/10 кВ "Троицкая" Сокиркина О.Н.,Кабаканова Роза Галлямовна</t>
  </si>
  <si>
    <t>80-1-14-00184837; 80-1-14-00174859</t>
  </si>
  <si>
    <t>Сокиркина О.Н., Кабаканова Роза Галлямовна</t>
  </si>
  <si>
    <t>Строительство линейного ответвления ВЛИ-0,4кВ от опоры №3 ВЛ-0,4кВ фидер1 ЗТП 10/0,4 кВ №25А/400 кВА ВЛ 10 кВ «Троицкое» ПС 35/10 кВ «Троицкая»(Манджиев В.Б.)</t>
  </si>
  <si>
    <t>80-1-15-00194431</t>
  </si>
  <si>
    <t>Манджиев В.Б.</t>
  </si>
  <si>
    <t>Строительство линейного ответвления ВЛИ-0,4кВ от опоры №4 ВЛ-0,4 кВ Фидер №2 от КТП 10/0,4 кВ №10/400 кВА ВЛ 10 кВ «ПМК-9» ПС 35/10 кВ «Троицкая» Хайсаков А.Б.</t>
  </si>
  <si>
    <t>80-1-14-00178287</t>
  </si>
  <si>
    <t>Хайсаков А.Б.</t>
  </si>
  <si>
    <t>Стр-во линотвВЛИ0,4кВорпрот25мотоп46ВЛИ0,4кВфид3ЗТП26А/400кВАВЛ10кВПМКПС35/10кВТроицкая (Беренкеев В.А.)</t>
  </si>
  <si>
    <t>80-1-15-00218685</t>
  </si>
  <si>
    <t>Беренкеев В.А.</t>
  </si>
  <si>
    <t>80-1-15-00211511; 80-1-15-00211559; 80-1-15-00211509</t>
  </si>
  <si>
    <t>при сложении мощность (кВт) не учитывать, т.к. акт разбит на 2 составные части</t>
  </si>
  <si>
    <t>СИП-4 4*25; СИП-4 2*16</t>
  </si>
  <si>
    <t>Затонский А.Н., Зябрев В.А. , Цеденов С.А.</t>
  </si>
  <si>
    <t>Строительство линейного ответвления ВЛИ-0,22кВ от опоры №9  ВЛ 0,4 кВ Фидер №2 от КТП 10/0,4 кВ №4/400 кВА «Микрорайон» ВЛ 10 кВ «СХТ» ПС 110/35/10 кВ «Яшалтинская» Министерство по земельным и имущественным отношениям РК</t>
  </si>
  <si>
    <t>80-1-14-00187493</t>
  </si>
  <si>
    <t>СИП-2 3*25+1*54,6/1</t>
  </si>
  <si>
    <t>Строительство линейного ответвления ВЛИ-0,22кВ от опоры №17  ВЛ 0,4 кВ Фидер №2 от ЗТП 10/0,4 кВ №27А/400 кВА ВЛ 10 кВ «ПМК» ПС 35/10 кВ «Троицкая» (Бадмаев С.С.)</t>
  </si>
  <si>
    <t>80-1-14-00178253</t>
  </si>
  <si>
    <t>Бадмаев С.С.</t>
  </si>
  <si>
    <t>Строительство воздушного ответвления ВЛ 0,4 кВ от опоры №5 ВЛ 0,4 кВ фидер №1 КТП №15/400 кВа "2-й микрорайон" ВЛ 10 кВ №6 "Садовое" ПС 110/35/10 кВ "Садовое-1" (Минзем РК)</t>
  </si>
  <si>
    <t>22000-14-00155793-1</t>
  </si>
  <si>
    <t>Минзем РК</t>
  </si>
  <si>
    <t>Стр-во лин. отв. ВЛИ - 0,22 кВ от оп №3 по ВЛ 0,4 кВ Ф №3 от ЗТП № 25А/400 кВА по ВЛ 10 кВ ПМК - 9 ПС Троиц (Лиджиева Б.Г)</t>
  </si>
  <si>
    <t>80101-14-00168083-1</t>
  </si>
  <si>
    <t>Лиджиева Б.Г.</t>
  </si>
  <si>
    <t>Строительство линейного ответвления ВЛИ-0,4кВ от опоры №13  ВЛ 0,4 кВ Фидер №2 от ЗТП 10/0,4 кВ №24А/400 кВА ВЛ 10 кВ «Троицкое» ПС 35/10 кВ «Троицкая» Горбанев И.И.</t>
  </si>
  <si>
    <t>80-1-14-00185211</t>
  </si>
  <si>
    <t>Горбанев И.И.</t>
  </si>
  <si>
    <t>1.1.2.2.</t>
  </si>
  <si>
    <t>Строительство линейного ответвления  от опоры №26 ВЛ 0,4 кВ Фидер №1 от КТП 10/0,4 кВ №24А/400 кВа ВЛ 10 кВ "Троицкая"  ПС 35/10 кВ "Троицкая"(Бадмаев Б.В.)</t>
  </si>
  <si>
    <t>80101-14-00171021-1</t>
  </si>
  <si>
    <t>СИП-2 3*70+1*54,6</t>
  </si>
  <si>
    <t>Бадмаев Б.В.</t>
  </si>
  <si>
    <t>Строительство линейного ответвления от опоры №18 ВЛ 0,4 кВ Фидер №1 от КТП 10/0,4 кВ №5/250 кВа "Баня" ВЛ 10 кВ "Яшкуль" ПС 110/35/10 кВ "Яшкуль" (Боржиков У.А.)"</t>
  </si>
  <si>
    <t>80102-14-00169889-1</t>
  </si>
  <si>
    <t>СИП-2 3*70+1*54,6-0,6/1</t>
  </si>
  <si>
    <t>Боржиков У.А.</t>
  </si>
  <si>
    <t>1.1.2.3.</t>
  </si>
  <si>
    <t>Неизолир. сталеалюм. до 50 мм</t>
  </si>
  <si>
    <t>Строительство линейного ответвления  0,22 кВ к вводу от опоры №13  ВЛ-0,4 кВ  Фидер №2 от КТП 10/0,4 кВ №8/160 кВа "ул. Ленина" ВЛ 10 кВ "Поселок" ПС 110/35/10кВ  «Комсомольская»(Наранова Д.А.)</t>
  </si>
  <si>
    <t>80-1-14-00175769</t>
  </si>
  <si>
    <t>Наранова Д.А.</t>
  </si>
  <si>
    <t>Стр-во воз отв ВЛ-0,4кВ от оп6 ВЛ-0,4кВ фидер 1 КТП455/250ВЛ10кВ6 ОППС ПС110/35/10кВМДерб(ЗамбаевНИ)</t>
  </si>
  <si>
    <t>12002-14-00161831-1</t>
  </si>
  <si>
    <t>Замбаев Н.И.</t>
  </si>
  <si>
    <t>Стр-во лин. отв. ВЛ 0,4 кВ от оп 2/4 по ВЛ 0,4 кВ фид 2 КТП 55/100 кВА СММП по ВЛ 10 кВ № 6 ОППС ПС М. Дербеты (Очиров ЭЭ)</t>
  </si>
  <si>
    <t>80102-14-00171609-1</t>
  </si>
  <si>
    <t>Очиров Э.Э.</t>
  </si>
  <si>
    <t>1.2.1.2.</t>
  </si>
  <si>
    <t>1.2.2.3.</t>
  </si>
  <si>
    <t>Стр-во лин. Ответвления  ВЛ 10 кВ от оп №183 по ВЛ 10 кВ Орошение Зултурган ПС110/10кВЧолун--амур(РумянцеваСВ)</t>
  </si>
  <si>
    <t>41903-14-00163129-1</t>
  </si>
  <si>
    <t>АС-35/6,2</t>
  </si>
  <si>
    <t>Румянцева С.В.</t>
  </si>
  <si>
    <t>Стр-во линтве10кВ ориентпротяж150м от оп10 по ВЛ10кВ «Бригада3» ПС110/10кВЛенинская (ИП ЭрдниеваЛЭ)</t>
  </si>
  <si>
    <t>80-1-15-00198659</t>
  </si>
  <si>
    <t>ИП Эрдниева Л.Э.</t>
  </si>
  <si>
    <t>Строительство линейного ответвления  от опоры №75  отпайки Р-1 ВЛ-10 кВ "Связь с ПС Приманычская" ПС 35/10кВ  «Первомайская» (Темяников В.Л.)</t>
  </si>
  <si>
    <t>80103-14-00171619-1</t>
  </si>
  <si>
    <t>Темяников В.Л.</t>
  </si>
  <si>
    <t>2.1.1.2.</t>
  </si>
  <si>
    <t>2.1.2.</t>
  </si>
  <si>
    <t>2.1.2.1.</t>
  </si>
  <si>
    <t>Стр-во лин. отв. ВЛ-0,22 кВ от оп №38 по ВЛ 0,4 кВ Ф. №1 от ЗТП №24/250 кВа по ВЛ 10 кВ ПМК-9 ПС Троицкая (Чуров С.А.)</t>
  </si>
  <si>
    <t>80101-14-00170797-1</t>
  </si>
  <si>
    <t>Чуров С.А.</t>
  </si>
  <si>
    <t>2.1.2.2.</t>
  </si>
  <si>
    <t>2.2.1.2.</t>
  </si>
  <si>
    <t>2.2.2.</t>
  </si>
  <si>
    <t>2.2.2.1.</t>
  </si>
  <si>
    <t>2.2.2.2.</t>
  </si>
  <si>
    <t>2.2.2.3.</t>
  </si>
  <si>
    <t>Стр-во воздотвВЛ10кВ от оп№130 наКТП№8 по ВЛ10кВ№3 МТФотПСЦаган-АмансустанСТП10/0,4кВ-25кВа(Газпром)</t>
  </si>
  <si>
    <t>плюс СТП</t>
  </si>
  <si>
    <t>Газпром от оп. № 130</t>
  </si>
  <si>
    <t>Стр-во воздотвВЛ10кВ от опо№118 по  ВЛ10кВ№3 МТФ от ПСЦаган-Аман с устан СТП10/0,4кВ-25кВа(Газпром)</t>
  </si>
  <si>
    <t>Газпром от оп. № 118</t>
  </si>
  <si>
    <t>Стр-во воздотвВЛ10кВот оп. №25поВЛ10кВ№2СвязьсПСЦаган-АманотРП10кВЮжнаясустанСТП10/0,4кВ-25кВа(Газпром)</t>
  </si>
  <si>
    <t>Газпром от оп. №25</t>
  </si>
  <si>
    <t>Стр-во возд.отв. ВЛ0,4 от опоры№5 ВЛ0,4кВ ф1 ЗТП№14/100кВа ВЛ-10кВМикр-н ПСКасп-2(Минзем)</t>
  </si>
  <si>
    <t>22100-14-00155279-1</t>
  </si>
  <si>
    <t>Минзем</t>
  </si>
  <si>
    <t>3.1.2.</t>
  </si>
  <si>
    <t>3.1.2.1.</t>
  </si>
  <si>
    <t>3.1.2.2.</t>
  </si>
  <si>
    <t>3.1.2.3.</t>
  </si>
  <si>
    <t>3.2.1.2.</t>
  </si>
  <si>
    <t>3.2.1.3.</t>
  </si>
  <si>
    <t>Стр-во возд. отв ВЛ10кВ от оп7 отп на абон ВЛ10кВЗАОАгат ВЛ10кВНефтераз ПС110/35/10кВКасп1(АдминЛагРМО)</t>
  </si>
  <si>
    <t>22100-14-00152391-1</t>
  </si>
  <si>
    <t>Админ. Лаг. РМО</t>
  </si>
  <si>
    <t>3.2.2.</t>
  </si>
  <si>
    <t>3.2.2.1.</t>
  </si>
  <si>
    <t>3.2.2.2.</t>
  </si>
  <si>
    <t>3.2.2.3.</t>
  </si>
  <si>
    <t>Строительство воздушного ответвления ВЛ 10 кВ от опоры №31 линейного ответвления №1 ВЛ 10 кВ №4 "Связь с ПС Аршань Зельмень" ПС 110/10 кВ  «Кировская» (СПОК Найн)</t>
  </si>
  <si>
    <t>80-1-14-00177655</t>
  </si>
  <si>
    <t>20 или 21</t>
  </si>
  <si>
    <t>СПОК "Найн"</t>
  </si>
  <si>
    <t>Стр-во лин.отв.от оп.№338поВЛ10кВФерма 2,3ПС35/10кВТавн Гашун"прот4,5кмиТП мощн25кВА (КФХБогаИПБогаевВБ)</t>
  </si>
  <si>
    <t>21902-13-00151699-1</t>
  </si>
  <si>
    <t>КФХ Бога ИП Богаев В.Б.</t>
  </si>
  <si>
    <t>Стр-во линотв от оп130отв-я«отп№4»магистралиВЛ10кВ№14«Северный»ПС110/35/10кВИджил(КФХИПБасаевББ)</t>
  </si>
  <si>
    <t>22005-14-00159375-1</t>
  </si>
  <si>
    <t>КФХ ИП Басаев Б.Б.</t>
  </si>
  <si>
    <t>4.2.1.2.</t>
  </si>
  <si>
    <t>4.2.1.3.</t>
  </si>
  <si>
    <t>Стр-во лин.отв. ВЛ-10кВ от оп.№9 по ВЛ-10кВ "Земснаряд" от ПС-35/10 "Каспийская-1" (ФГКУ "Пограничное упр. ФСБ РФ по РК и Астр.обл.")</t>
  </si>
  <si>
    <t>22101-14-00155963-1</t>
  </si>
  <si>
    <t>ФГКУ "Пограничное упр. ФСБ РФ по РК и Астр.обл."</t>
  </si>
  <si>
    <t>добавлено</t>
  </si>
  <si>
    <t>Свыше 900 кВА</t>
  </si>
  <si>
    <r>
      <t xml:space="preserve">Стр-во возд.отв.ВЛ10кВ от оп.№130 на КТП №8 по ВЛ10кВ №3 МТФот ПС Цаган-Аман </t>
    </r>
    <r>
      <rPr>
        <b/>
        <sz val="8"/>
        <rFont val="Times New Roman"/>
        <family val="1"/>
        <charset val="204"/>
      </rPr>
      <t>с устан.СТП10/0,4кВ-25кВа</t>
    </r>
    <r>
      <rPr>
        <sz val="8"/>
        <rFont val="Times New Roman"/>
        <family val="1"/>
        <charset val="204"/>
      </rPr>
      <t>(Газпром)</t>
    </r>
  </si>
  <si>
    <r>
      <t xml:space="preserve">Стр-во воздотвВЛ10кВ от опо№118 по  ВЛ10кВ№3 МТФ от ПСЦаган-Аман </t>
    </r>
    <r>
      <rPr>
        <b/>
        <sz val="8"/>
        <rFont val="Times New Roman"/>
        <family val="1"/>
        <charset val="204"/>
      </rPr>
      <t>с устан. СТП10/0,4кВ-25кВа</t>
    </r>
    <r>
      <rPr>
        <sz val="8"/>
        <rFont val="Times New Roman"/>
        <family val="1"/>
        <charset val="204"/>
      </rPr>
      <t>(Газпром)</t>
    </r>
  </si>
  <si>
    <r>
      <t xml:space="preserve">Стр-во возд.отв.ВЛ10кВ от оп. №25 по ВЛ10кВ №2 Связь с ПС Цаган-Аман от РП10кВ Южная </t>
    </r>
    <r>
      <rPr>
        <b/>
        <sz val="8"/>
        <rFont val="Times New Roman"/>
        <family val="1"/>
        <charset val="204"/>
      </rPr>
      <t>с устан.СТП10/0,4кВ-25кВа</t>
    </r>
    <r>
      <rPr>
        <sz val="8"/>
        <rFont val="Times New Roman"/>
        <family val="1"/>
        <charset val="204"/>
      </rPr>
      <t>(Газпром)</t>
    </r>
  </si>
  <si>
    <r>
      <t xml:space="preserve">Стр-во лин.отв. от оп.№338 поВЛ10кВ Ферма 2,3 ПС35/10кВ "Тавн Гашун" прот.4,5км и </t>
    </r>
    <r>
      <rPr>
        <b/>
        <sz val="8"/>
        <rFont val="Times New Roman"/>
        <family val="1"/>
        <charset val="204"/>
      </rPr>
      <t>ТП мощн.25кВА</t>
    </r>
    <r>
      <rPr>
        <sz val="8"/>
        <rFont val="Times New Roman"/>
        <family val="1"/>
        <charset val="204"/>
      </rPr>
      <t xml:space="preserve"> (КФХБогаИПБогаевВБ)</t>
    </r>
  </si>
  <si>
    <t>Стр-во КТП10/0,4кВ 400кВа по ВЛ10кВНефтеразведка (АдминЛагРМО)</t>
  </si>
  <si>
    <t>Стр-во КТП 10/04кВ-400кВА для эл/снабжения изолятора временного содержания в г. Лагань (заявитель МВД)</t>
  </si>
  <si>
    <t>22100-14-00165037-1</t>
  </si>
  <si>
    <t>МВД</t>
  </si>
  <si>
    <t>1кв</t>
  </si>
  <si>
    <t>письмо Минстроя от 19.02.2016 № 4688-ХМ/05</t>
  </si>
  <si>
    <t>2кв</t>
  </si>
  <si>
    <t>письмо Минстроя от 03.06.2016 № 17269-ХМ/09</t>
  </si>
  <si>
    <t>Сведения о ходе строительства объектов ТП с 01.01.2016 г.</t>
  </si>
  <si>
    <t>3кв</t>
  </si>
  <si>
    <t>письмо Минстроя от 27.09.2016 № 31523-ХМ/09</t>
  </si>
  <si>
    <t>4кв</t>
  </si>
  <si>
    <t>письмо Минстроя от 09.12.2016 № 41695-ХМ/09</t>
  </si>
  <si>
    <t>Строительство воздушного ответвления ВЛИ-0,22 кВ от опоры №17 ВЛ-0,4 кВ фидер-1 от ЗТП №5/400 кВА "Платная стоянка" по ВЛ-10 кВ "Микрорайон" от ПС 110/35/10 кВ "Каспийская-2" (ЛПХ Баканев К.М.)</t>
  </si>
  <si>
    <t>80-1-16-00259853</t>
  </si>
  <si>
    <t>3кв 2016</t>
  </si>
  <si>
    <t>ЛПХ Баканев К.М.</t>
  </si>
  <si>
    <t>Строительство линейного ответвления ВЛИ-0,22 кВ ориентировочной протяженностью 50 м. от опоры №4 фидер-1 КТП 10/0,4 кВ №3/250 кВА ВЛ-10 кВ "Элистинский" ПС 35/10 кВ "Зверосовхозная" (Тюлеева Л.К.)</t>
  </si>
  <si>
    <t>80-1-15-00205431</t>
  </si>
  <si>
    <t>2кв 2016</t>
  </si>
  <si>
    <t>Тюлеева Л.К.</t>
  </si>
  <si>
    <t>Строительство воздушного ответвления ВЛИ-0,4 кВ от опоры №14 ВЛ-0,4 кВ фидер-2 от КТП 10/0,4 кВ №2/400 кВА "д/с Герел" ВЛ-10 кВ "Ракуша" ПС 35/10 кВ "Каспийская-1" (Дорджиева В.О.)</t>
  </si>
  <si>
    <t>80-1-16-00248597</t>
  </si>
  <si>
    <t>Дорджиева В.О.</t>
  </si>
  <si>
    <t>Строительство линейного ответвления ВЛИ-0,4 кВ протяженностью 300 м. от опоры №27 ВЛ-0,4 кВ фидер 1 КТП 10/0,4 кВ №6/400 кВА ВЛ-10 кВ "Элистинский" ПС 35/10 кВ "Зверосовхозная" (Михайлинов А.М.)</t>
  </si>
  <si>
    <t>80-1-15-00217471</t>
  </si>
  <si>
    <t>1кв 2016</t>
  </si>
  <si>
    <t>Михайлинов А.М.</t>
  </si>
  <si>
    <t>Строительство воздушного ответвления ВЛИ-0,4 кВ протяженностью 35 м. от опоры №15 ВЛ-0,4 кВ фидер №1 от КТП 10/0,4 кВ №21/250 кВА ВЛ-10 кВ "Троицкое" ПС 35/10 кВ "Троицкая" (Бадминов Н.О.)</t>
  </si>
  <si>
    <t>80-1-15-00238653</t>
  </si>
  <si>
    <t>Бадминов Н.О.</t>
  </si>
  <si>
    <t>Строительство воздушного ответвления ВЛИ-0,22 кВ протяженностью 30 м. от опоры №36 ВЛ-0,4 кВ фидер-1 ЗТП 10/0,4 кВ №27А/400 кВА ВЛ-10 кВ "ПМК" ПС 35/10 кВ "Троицкая" (Бембеев С.Г.)</t>
  </si>
  <si>
    <t>80-1-15-00196427</t>
  </si>
  <si>
    <t>Бембеев С.Г.</t>
  </si>
  <si>
    <t>Строительство линейного ответвления ВЛИ-0,22 кВ ориентировочной протяженностью 30 м. от опоры №38 ВЛ-0,4 кВ фидер-2 КТП 10/0,4 кВ №17/400 кВА ВЛ-10 кВ "ПМК" ПС 35/10 кВ "Троицкая" (Карташова Э.В.)</t>
  </si>
  <si>
    <t>80-1-15-00204919</t>
  </si>
  <si>
    <t>Карташова Э.В.</t>
  </si>
  <si>
    <t>Строительство линейного ответвления ВЛИ-0,22 кВ протяженностью 230 м. от опоры №24 фидер-2 ЗТП 10/0,4 кВ №3/250 кВА ВЛ-10 кВ "Троицкое" ПС 35/10 кВ "Троицкая" (Кукеев Д.С.)</t>
  </si>
  <si>
    <t>80-1-15-00209277</t>
  </si>
  <si>
    <t>Кукеев Д.С.</t>
  </si>
  <si>
    <t>Строительство воздушного ответвления ВЛИ-0,4 кВ от опоры №14 ВЛ-0,4 кВ фидер №1 от КТП 10/0,4 кВ №1/250 кВА "МТМ" ВЛ-10 кВ №7 "Центральная усадьба" ПС 35/10 кВ "Сарпинская" (КФХ ИП Манжиков А.В.)</t>
  </si>
  <si>
    <t>80-1-16-00254017</t>
  </si>
  <si>
    <t>4кв 2016</t>
  </si>
  <si>
    <t>ИП Манжиков А.В.</t>
  </si>
  <si>
    <t>Строительство воздушного ответвления ВЛИ-0,4 кВ от опоры №2 отпайки 4 ВЛ-0,4 кВ фидер-3 от КТП 10/0,4 кВ №4/160 кВА ВЛ-10 кВ "Поселок" ПС 110/10 кВ "Володаровская" (Манкуев Б.Н.)</t>
  </si>
  <si>
    <t>80-1-16-00273937</t>
  </si>
  <si>
    <t>Манкуев Б.Н.</t>
  </si>
  <si>
    <t>Строительство линейного ответвления ВЛИ-0,22 кВ протяженностью 110 м. от опоры №11 ВЛ-0,4 кВ фидер-2 КТП 10/0,4 кВ №20/400 кВА ВЛ-10 кВ "ПМК" ПС 35/10 кВ "Троицкая" (Нимгиров Г.Ю.)</t>
  </si>
  <si>
    <t>80-1-15-00209285</t>
  </si>
  <si>
    <t>Нимгиров Г.Ю.</t>
  </si>
  <si>
    <t>Строительство воздушного ответвления ВЛИ-0,22 кВ протяженностью 30 м. от опоры №7 отпайки №6 ВЛ-0,4 кВ фидер №2 от ЗТП 10/0,4 кВ №26А/400 кВА ВЛ-10 кВ "ПМК-9" ПС 35/10 кВ "Троицкая" (Нохаева Б.А.)</t>
  </si>
  <si>
    <t>80-1-15-00236513</t>
  </si>
  <si>
    <t>Нохаева Б.А.</t>
  </si>
  <si>
    <t>Строительство воздушного ответвления ВЛИ-0,22 кВ протяженностью 40 м. от опоры №5 отпайки №5 ВЛИ-0,4 кВ фидер-1 от КТП 10/0,4 кВ №10/400 кВА ВЛ-10 кВ "Троицкое" ПС 35/10 кВ "Троицкая" (Санджиева А.Н.)</t>
  </si>
  <si>
    <t>80-1-16-00253185</t>
  </si>
  <si>
    <t>Санджиева А.Н.</t>
  </si>
  <si>
    <t>Строительство воздушного ответвления ВЛИ-0,22 кВ от опоры №1/2 ВЛ-0,4 кВ фидер-2 от КТП 10/0,4 кВ №24/250 кВА ВЛ-10 кВ "ПМК-9" ПС 35/10 кВ "Троицкая" (Тюлюмджиева Г.Э.)</t>
  </si>
  <si>
    <t>80-1-16-00276209</t>
  </si>
  <si>
    <t>Тюлюмджиева Г.Э.</t>
  </si>
  <si>
    <t>Строительство воздушного ответвления ВЛИ-0,22 кВ от опоры №8 ВЛ-0,4 кВ фидер-1 от КТП 10/0,4 кВ №3/160 кВА ВЛ-10 кВ "Поселок" ПС 110/35/10 кВ "Комсомольская" (Харакаева Ц.Б.)</t>
  </si>
  <si>
    <t>80-1-16-00262039</t>
  </si>
  <si>
    <t>Харакаева Ц.Б.</t>
  </si>
  <si>
    <t>Строительство воздушного ответвления ВЛИ-0,22 кВ от опоры №7 ВЛ-0,4 кВ фидер-2 от КТП 10/0,4 кВ №6/160 кВА ВЛ-10 кВ "Центральная Усадьба" ПС 110/10 кВ "Адык" (Эндыров Р.И.)</t>
  </si>
  <si>
    <t>80-1-16-00273411</t>
  </si>
  <si>
    <t>Эндыров Р.И.</t>
  </si>
  <si>
    <t>Строительство воздушного ответвления ВЛИ-0,4 кВ от опоры №6 ВЛИ-0,4 кВ фидер-1 от ЗТП 10/0,4 кВ №12/100 кВА ВЛ-10 кВ "Троицкое" ПС 110/35/10 кВ "Троицкая" (Бадмаев Ч.В.)</t>
  </si>
  <si>
    <t>80-1-15-00236479</t>
  </si>
  <si>
    <t>Бадмаев Ч.В.</t>
  </si>
  <si>
    <t>Строительство линейного ответвления ВЛИ-0,4 кВ ориентировочной протяженностью 50 м. от опоры №12 ВЛ-0,4 кВ фидер №2 ЗТП 10/0,4 кВ №6/250 кВА по ВЛ-10 кВ "ПМК" от ПС 35/10 кВ "Троицкая" (Пахомова В.И.)</t>
  </si>
  <si>
    <t>80-1-15-00201219</t>
  </si>
  <si>
    <t>Пахомова В.И.</t>
  </si>
  <si>
    <t>Строительство воздушного ответвления ВЛИ-0,22 кВ от опоры №67 ВЛ-0,4 кВ фидер-2 от КТП 10/0,4 кВ №26А/400 кВА ВЛ-10 кВ "ПМК-9" ПС 35/10 кВ "Троицкая" (Бимбеева З.Б.)</t>
  </si>
  <si>
    <t>80-1-16-00274783</t>
  </si>
  <si>
    <t>Бимбеева З.Б.</t>
  </si>
  <si>
    <t>Строительство воздушного ответвления ВЛИ-0,22 кВ от опоры №1 отпайки №2 ВЛ-0,4 кВ фидер-1 от ЗТП 10/0,4 кВ №24А/400 кВА ВЛ-10 кВ "Троицкая" ПС 35/10 кВ "Троицкая" (Дюсенова И.С.)</t>
  </si>
  <si>
    <t>80-1-16-00274845</t>
  </si>
  <si>
    <t>Дюсенова И.С.</t>
  </si>
  <si>
    <t>Строительство воздушного ответвления ВЛИ-0,22 кВ от опоры №18 ВЛ-0,4 кВ фидер-1 от КТП 10/0,4 кВ №19/250 кВА ВЛ-10 кВ "ПМК-9" ПС 35/10 кВ "Троицкая" (Манджиев Б.Г.)</t>
  </si>
  <si>
    <t>80-1-16-00264009</t>
  </si>
  <si>
    <t>Манджиев Б.Г.</t>
  </si>
  <si>
    <t>Строительство воздушного ответвления ВЛИ-0,22 кВ от опоры №3 ВЛ-0,4 кВ фидер-2 от КТП 10/0,4 кВ №18/400 кВА ВЛ-10 кВ "ПМК-9" ПС 35/10 кВ "Троицкая" (Микеев В.В.)</t>
  </si>
  <si>
    <t>80-1-16-00273189</t>
  </si>
  <si>
    <t>Микеев В.В.</t>
  </si>
  <si>
    <t>Строительство линейного ответвления ВЛИ-0,22 кВ ориентировочной протяженностью 75 м. от опоры №13 фидер-1 КТП 10/0,4 кВ №2/160 кВА ВЛ-10 кВ "Бургуста" ПС 35/10 кВ "Хар-Булук" (Минкеев У.Б.)</t>
  </si>
  <si>
    <t>80-1-15-00199191</t>
  </si>
  <si>
    <t>Минкеев У.Б.</t>
  </si>
  <si>
    <r>
      <t xml:space="preserve">Строительство воздушного ответвления ВЛИ-0,4 кВ от КТП 10/0,4 кВ №1/250 кВА "База РЭС" ВЛ-10 кВ "Бригада-2" от ПС 35/10 кВ "Троицкая", ВРУ-0,4 кВ (ООО "РТ-ИНВЕСТ Транспортные системы" </t>
    </r>
    <r>
      <rPr>
        <b/>
        <sz val="8"/>
        <rFont val="Times New Roman"/>
        <family val="1"/>
        <charset val="204"/>
      </rPr>
      <t>с.Троицкое</t>
    </r>
    <r>
      <rPr>
        <sz val="8"/>
        <rFont val="Times New Roman"/>
        <family val="1"/>
        <charset val="204"/>
      </rPr>
      <t>)</t>
    </r>
  </si>
  <si>
    <t>80-1-16-00251377</t>
  </si>
  <si>
    <t>ООО "РТ-ИНВЕСТ Транспортные системы" (с.Троицкое)</t>
  </si>
  <si>
    <t>Строительство воздушного ответвления ВЛИ-0,4 кВ от опоры №35 ВЛ-0,4 кВ фидер №2 от КТП 10/0,4 кВ №1/250 кВА ВЛ-10 кВ №6 "Харба" ПС 35/10 кВ "Харба", ВРУ-0,4 кВ (Администрация Юстинского районного муниципального образования РК: фельдшерско-акушерский пункт (ФАП) п.Харба)</t>
  </si>
  <si>
    <t>80-1-16-00284261</t>
  </si>
  <si>
    <t>Администрация Юстинского районного муниципального образования РК: фельдшерско-акушерский пункт (ФАП) п.Харба</t>
  </si>
  <si>
    <r>
      <t xml:space="preserve">Строительство </t>
    </r>
    <r>
      <rPr>
        <b/>
        <sz val="10"/>
        <rFont val="Times New Roman"/>
        <family val="1"/>
        <charset val="204"/>
      </rPr>
      <t>ВЛ-0,4 кВ</t>
    </r>
    <r>
      <rPr>
        <sz val="8"/>
        <rFont val="Times New Roman"/>
        <family val="1"/>
        <charset val="204"/>
      </rPr>
      <t xml:space="preserve"> от проектируемого КТП по ВЛ-10 кВ (проектируемая) ПС 35/10 кВ "Троицкая" (квартал "Огнеборцев") для технологического присоединения 240 льготных заявителей (</t>
    </r>
    <r>
      <rPr>
        <b/>
        <u/>
        <sz val="10"/>
        <rFont val="Times New Roman"/>
        <family val="1"/>
        <charset val="204"/>
      </rPr>
      <t>Квартал "Огнеборцев": 1-й, 2-й, 3-й пусковые комплексы</t>
    </r>
    <r>
      <rPr>
        <sz val="8"/>
        <rFont val="Times New Roman"/>
        <family val="1"/>
        <charset val="204"/>
      </rPr>
      <t>)</t>
    </r>
  </si>
  <si>
    <t>СИП-2 3*70+1*70+1*16</t>
  </si>
  <si>
    <t>плюс КТП 400 кВа</t>
  </si>
  <si>
    <t>Огнеборцы ВЛ-0,4</t>
  </si>
  <si>
    <t>1-3 пуск.</t>
  </si>
  <si>
    <r>
      <t xml:space="preserve">Строительство </t>
    </r>
    <r>
      <rPr>
        <b/>
        <sz val="10"/>
        <rFont val="Times New Roman"/>
        <family val="1"/>
        <charset val="204"/>
      </rPr>
      <t>ВЛ-0,4 кВ</t>
    </r>
    <r>
      <rPr>
        <sz val="8"/>
        <rFont val="Times New Roman"/>
        <family val="1"/>
        <charset val="204"/>
      </rPr>
      <t xml:space="preserve"> от проектируемого КТП по ВЛ-10 кВ (проектируемая) ПС 35/10 кВ "Троицкая" (квартал "Огнеборцев") для технологического присоединения 240 льготных заявителей (</t>
    </r>
    <r>
      <rPr>
        <b/>
        <u/>
        <sz val="10"/>
        <rFont val="Times New Roman"/>
        <family val="1"/>
        <charset val="204"/>
      </rPr>
      <t>Квартал "Огнеборцев": 4-й пусковой комплекс</t>
    </r>
    <r>
      <rPr>
        <sz val="8"/>
        <rFont val="Times New Roman"/>
        <family val="1"/>
        <charset val="204"/>
      </rPr>
      <t>)</t>
    </r>
  </si>
  <si>
    <t>4 пуск.</t>
  </si>
  <si>
    <r>
      <t xml:space="preserve">Строительство </t>
    </r>
    <r>
      <rPr>
        <b/>
        <sz val="10"/>
        <rFont val="Times New Roman"/>
        <family val="1"/>
        <charset val="204"/>
      </rPr>
      <t>ВЛ-10 кВ</t>
    </r>
    <r>
      <rPr>
        <sz val="8"/>
        <rFont val="Times New Roman"/>
        <family val="1"/>
        <charset val="204"/>
      </rPr>
      <t xml:space="preserve"> от ячейки 10 кВ ПС 35/10 кВ "Троицкая" для технологического присоединения 240 льготных заявителей (</t>
    </r>
    <r>
      <rPr>
        <b/>
        <u/>
        <sz val="10"/>
        <rFont val="Times New Roman"/>
        <family val="1"/>
        <charset val="204"/>
      </rPr>
      <t>Квартал "Огнеборцев": 1-й, 2-й, 3-й пусковые комплексы</t>
    </r>
    <r>
      <rPr>
        <sz val="8"/>
        <rFont val="Times New Roman"/>
        <family val="1"/>
        <charset val="204"/>
      </rPr>
      <t>)</t>
    </r>
  </si>
  <si>
    <t>Огнеборцы ВЛ-10</t>
  </si>
  <si>
    <t>Строительство линейного ответвления ВЛ-10 кВ ориентировочной протяженностью 50,0 м. от опоры №184 по ВЛ-10 кВ "Орошение 3" от ПС 35/10 кВ "Ялмта" (ИП Борлыков С.Б.)</t>
  </si>
  <si>
    <t>80-1-14-00184057</t>
  </si>
  <si>
    <t>ИП Борлыков С.Б.</t>
  </si>
  <si>
    <t>1.2.2.4.</t>
  </si>
  <si>
    <t>Неизолир. сталеалюм. 50-100 мм</t>
  </si>
  <si>
    <r>
      <t xml:space="preserve">Строительство ВЛИ-0,4 кВ, СТП 10/0,4 кВ и </t>
    </r>
    <r>
      <rPr>
        <b/>
        <u/>
        <sz val="10"/>
        <rFont val="Times New Roman"/>
        <family val="1"/>
        <charset val="204"/>
      </rPr>
      <t>линейного ответвления 10 кВ</t>
    </r>
    <r>
      <rPr>
        <sz val="8"/>
        <rFont val="Times New Roman"/>
        <family val="1"/>
        <charset val="204"/>
      </rPr>
      <t xml:space="preserve"> от опоры №65 по ВЛ-10 кВ №13 "КРС" от ПС 110/35/10 кВ "Малые Дербеты", ВРУ-0,4 кВ, питающие рамные конструкции системы (ООО "РТ-ИНВЕСТ Транспортные системы" </t>
    </r>
    <r>
      <rPr>
        <b/>
        <sz val="8"/>
        <rFont val="Times New Roman"/>
        <family val="1"/>
        <charset val="204"/>
      </rPr>
      <t>п.Малые Дербеты</t>
    </r>
    <r>
      <rPr>
        <sz val="8"/>
        <rFont val="Times New Roman"/>
        <family val="1"/>
        <charset val="204"/>
      </rPr>
      <t>)</t>
    </r>
  </si>
  <si>
    <t>80-1-16-00251345</t>
  </si>
  <si>
    <t>плюс СТП 25 кВА</t>
  </si>
  <si>
    <t>ООО "РТ-ИНВЕСТ Транспортные системы" (п.Малые Дербеты)</t>
  </si>
  <si>
    <r>
      <t xml:space="preserve">Строительство </t>
    </r>
    <r>
      <rPr>
        <b/>
        <sz val="10"/>
        <rFont val="Times New Roman"/>
        <family val="1"/>
        <charset val="204"/>
      </rPr>
      <t>ВЛ-10 кВ</t>
    </r>
    <r>
      <rPr>
        <sz val="8"/>
        <rFont val="Times New Roman"/>
        <family val="1"/>
        <charset val="204"/>
      </rPr>
      <t xml:space="preserve"> от опоры №196 ВЛ-10 кВ №8 "Орошение" ПС 35/10 кВ "Обильное" и ТП 10/0,4 кВ 63 кВА (Мегафон)</t>
    </r>
  </si>
  <si>
    <t>42001-13-00116391-1</t>
  </si>
  <si>
    <t>плюс ТП 63 кВА</t>
  </si>
  <si>
    <t>Мегафон</t>
  </si>
  <si>
    <r>
      <t xml:space="preserve">Строительство ВЛИ-0,4 кВ протяженностью 278 м. от КТП 10/0,4 кВ №16/160 кВА "ДРСУ" ВЛ-10 кВ №8 "Райцентр-1! ПС 110/10 кВ "Цаган-Аман" (Сбербанк России доп. офис </t>
    </r>
    <r>
      <rPr>
        <b/>
        <sz val="10"/>
        <rFont val="Times New Roman"/>
        <family val="1"/>
        <charset val="204"/>
      </rPr>
      <t>п.Цаган-Аман</t>
    </r>
    <r>
      <rPr>
        <sz val="8"/>
        <rFont val="Times New Roman"/>
        <family val="1"/>
        <charset val="204"/>
      </rPr>
      <t>)</t>
    </r>
  </si>
  <si>
    <t>80-1-15-00242271</t>
  </si>
  <si>
    <t>Сбербанк России доп. офис п.Цаган-Аман</t>
  </si>
  <si>
    <t>Строительство воздушного ответвления ВЛ-0,4 кВ от опоры №8 ВЛИ-0,4 кВ фидер-3 от КТП 10/0,4 кВ №4/400 кВА ВЛ-10 кВ "Яшкуль" ПС 110/35/10 кВ "Яшкуль" (Администрация Яшкульского СМО)</t>
  </si>
  <si>
    <t>80-1-16-00250889</t>
  </si>
  <si>
    <t>Администрация Яшкульского СМО</t>
  </si>
  <si>
    <r>
      <t xml:space="preserve">Строительство </t>
    </r>
    <r>
      <rPr>
        <b/>
        <sz val="10"/>
        <rFont val="Times New Roman"/>
        <family val="1"/>
        <charset val="204"/>
      </rPr>
      <t>КТП 10/0,4 кВ</t>
    </r>
    <r>
      <rPr>
        <sz val="8"/>
        <rFont val="Times New Roman"/>
        <family val="1"/>
        <charset val="204"/>
      </rPr>
      <t xml:space="preserve"> (киоскового типа) по ВЛ-10 кВ (проектируемая) от ПС "Троицкая" (огнеборцы) в количестве 4 шт. для технологического присоединения 240 льготных заявителей (</t>
    </r>
    <r>
      <rPr>
        <b/>
        <u/>
        <sz val="10"/>
        <rFont val="Times New Roman"/>
        <family val="1"/>
        <charset val="204"/>
      </rPr>
      <t>Квартал "Огнеборцев": 1-й, 2-й, 3-й пусковые комплексы</t>
    </r>
    <r>
      <rPr>
        <sz val="8"/>
        <rFont val="Times New Roman"/>
        <family val="1"/>
        <charset val="204"/>
      </rPr>
      <t>)</t>
    </r>
  </si>
  <si>
    <t>плюс ВЛ-0,4 кВ</t>
  </si>
  <si>
    <t>Огнеборцы КТП</t>
  </si>
  <si>
    <r>
      <t xml:space="preserve">Строительство </t>
    </r>
    <r>
      <rPr>
        <b/>
        <sz val="10"/>
        <rFont val="Times New Roman"/>
        <family val="1"/>
        <charset val="204"/>
      </rPr>
      <t>КТП 10/0,4 кВ</t>
    </r>
    <r>
      <rPr>
        <sz val="8"/>
        <rFont val="Times New Roman"/>
        <family val="1"/>
        <charset val="204"/>
      </rPr>
      <t xml:space="preserve"> (киоскового типа) по ВЛ-10 кВ (проектируемая) от ПС "Троицкая" (огнеборцы) в количестве 4 шт. для технологического присоединения 240 льготных заявителей (</t>
    </r>
    <r>
      <rPr>
        <b/>
        <u/>
        <sz val="10"/>
        <rFont val="Times New Roman"/>
        <family val="1"/>
        <charset val="204"/>
      </rPr>
      <t>Квартал "Огнеборцев": 4-й пусковой комплекс</t>
    </r>
    <r>
      <rPr>
        <sz val="8"/>
        <rFont val="Times New Roman"/>
        <family val="1"/>
        <charset val="204"/>
      </rPr>
      <t>)</t>
    </r>
  </si>
  <si>
    <r>
      <t xml:space="preserve">Строительство ВЛИ-0,4 кВ, </t>
    </r>
    <r>
      <rPr>
        <b/>
        <u/>
        <sz val="10"/>
        <rFont val="Times New Roman"/>
        <family val="1"/>
        <charset val="204"/>
      </rPr>
      <t>СТП 10/0,4 кВ</t>
    </r>
    <r>
      <rPr>
        <sz val="8"/>
        <rFont val="Times New Roman"/>
        <family val="1"/>
        <charset val="204"/>
      </rPr>
      <t xml:space="preserve"> и линейного ответвления 10 кВ от опоры №65 по ВЛ-10 кВ №13 "КРС" от ПС 110/35/10 кВ "Малые Дербеты", ВРУ-0,4 кВ, питающие рамные конструкции системы (ООО "РТ-ИНВЕСТ Транспортные системы" </t>
    </r>
    <r>
      <rPr>
        <b/>
        <sz val="8"/>
        <rFont val="Times New Roman"/>
        <family val="1"/>
        <charset val="204"/>
      </rPr>
      <t>п.Малые Дербеты</t>
    </r>
    <r>
      <rPr>
        <sz val="8"/>
        <rFont val="Times New Roman"/>
        <family val="1"/>
        <charset val="204"/>
      </rPr>
      <t>)</t>
    </r>
  </si>
  <si>
    <t>плюс ВЛ-10 кВ</t>
  </si>
  <si>
    <r>
      <t xml:space="preserve">Строительство ВЛ-10 кВ от опоры №196 ВЛ-10 кВ №8 "Орошение" ПС 35/10 кВ "Обильное" и </t>
    </r>
    <r>
      <rPr>
        <b/>
        <sz val="10"/>
        <rFont val="Times New Roman"/>
        <family val="1"/>
        <charset val="204"/>
      </rPr>
      <t>ТП 10/0,4 кВ 63 кВА</t>
    </r>
    <r>
      <rPr>
        <sz val="8"/>
        <rFont val="Times New Roman"/>
        <family val="1"/>
        <charset val="204"/>
      </rPr>
      <t xml:space="preserve"> (Мегафон)</t>
    </r>
  </si>
  <si>
    <t>Неизол. До 50 мм</t>
  </si>
  <si>
    <t>неизолир. сталеалюм. до 50 мм</t>
  </si>
  <si>
    <t xml:space="preserve"> вне Г.Н.П.</t>
  </si>
  <si>
    <t>ИТОГО по ВЛ-10 до 15 кВт (не льгота):</t>
  </si>
  <si>
    <t>ИТОГО ВЛ до 15 кВт (не льгота):</t>
  </si>
  <si>
    <t>Строительство линейного ответвления ВЛИ-0,22кВ от опоры №49  ВЛ 0,4 кВ Фидер №2 от КТП 10/0,4 кВ №4/250 кВА ВЛ 10 кВ «ПМК-9» ПС 35/10 кВ «Троицкая» Добжаева З.С., Дорджиева Т.В.</t>
  </si>
  <si>
    <t>Строительство линейного ответвления  ВЛИ-0,22кВ  от опоры №4 по ВЛ-0,4кВ Фидер №1 КТП 10/0,4кВ №1/160кВА  по ВЛ-10кВ  «ЦРБ» от ПС 35/10 кВ «Яшкуль-2»  (заявитель-Министерство по строительству, транспорту и дорожному хозяйству РК)</t>
  </si>
  <si>
    <t>Стр-во лин.отв.ВЛИ-0,4кВ ор.пр.180м. от оп.№3 ВЛ-0,4кВ фид.2 КТП №18/250кВА "ХРЭУ-4" ВЛ-10кВ №8 "Райцентр" ПС 110/10кВ "Ц.Аман" (Горяев НО)</t>
  </si>
  <si>
    <t>ВЛИ-0,4кВ от КТП 10/0,4 кВ №2/160 кВА Северная  ВЛ 10 кВ №13 «Райцентр-2» ПС 110/10 кВ «Цаган Аман» (Затонский А.Н., Зябрев В.А. , Цеденов С.А.)</t>
  </si>
  <si>
    <t>Начальник управления капитального строительства /</t>
  </si>
  <si>
    <t>А.И. Столяров</t>
  </si>
  <si>
    <t>АС 35</t>
  </si>
  <si>
    <t>СИП 2 3*70 +1*54,6-0,66/1</t>
  </si>
  <si>
    <t>НН льгота 0,4кВ</t>
  </si>
  <si>
    <t>Сн2 льгота 10кВ</t>
  </si>
  <si>
    <t>11901-14-00164439-1</t>
  </si>
  <si>
    <t>80101-14-00166169-1</t>
  </si>
  <si>
    <t>80-1-17-00319375</t>
  </si>
  <si>
    <t>80-1-17-00340437</t>
  </si>
  <si>
    <t>80-1-16-00257561</t>
  </si>
  <si>
    <t>80-1-16-00257563</t>
  </si>
  <si>
    <t>80-1-17-00302459</t>
  </si>
  <si>
    <t>80-1-17-00303385</t>
  </si>
  <si>
    <t>80-1-15-00216191</t>
  </si>
  <si>
    <t>80-1-17-00333265</t>
  </si>
  <si>
    <t>80-1-17-00337737</t>
  </si>
  <si>
    <t>80-1-17-00335897</t>
  </si>
  <si>
    <t>80-1-17-00305075</t>
  </si>
  <si>
    <t>80-1-17-00321815</t>
  </si>
  <si>
    <t>80-1-17-00326873</t>
  </si>
  <si>
    <t>80-1-17-00330741</t>
  </si>
  <si>
    <t>80-1-17-00326863</t>
  </si>
  <si>
    <t>80-1-17-00346319</t>
  </si>
  <si>
    <t>80-1-17-00342183</t>
  </si>
  <si>
    <t>80-1-16-00286199</t>
  </si>
  <si>
    <t>80-1-16-00281627</t>
  </si>
  <si>
    <t>80-1-17-00306479</t>
  </si>
  <si>
    <t>80-1-17-00325639</t>
  </si>
  <si>
    <t>80-1-17-00340557</t>
  </si>
  <si>
    <t>80-1-16-00284929</t>
  </si>
  <si>
    <t>80-1-17-00314799</t>
  </si>
  <si>
    <t>80-1-16-00283687</t>
  </si>
  <si>
    <t>80-1-16-00276821</t>
  </si>
  <si>
    <t>80-1-16-00263895</t>
  </si>
  <si>
    <t>80-1-17-00309165</t>
  </si>
  <si>
    <t>80-1-17-00309335</t>
  </si>
  <si>
    <t>80-1-17-00302543</t>
  </si>
  <si>
    <t>80-1-17-00307227</t>
  </si>
  <si>
    <t>80-1-17-00309619</t>
  </si>
  <si>
    <t>80-1-17-00310647</t>
  </si>
  <si>
    <t>80-1-16-00278297</t>
  </si>
  <si>
    <t>80-1-17-00312021</t>
  </si>
  <si>
    <t>80-1-17-00307975</t>
  </si>
  <si>
    <t>80-1-17-00303409</t>
  </si>
  <si>
    <t>80-1-16-00281401</t>
  </si>
  <si>
    <t>80-1-17-00313301</t>
  </si>
  <si>
    <t>80-1-17-00326763</t>
  </si>
  <si>
    <t>80-1-17-00309385</t>
  </si>
  <si>
    <t>80-1-17-00308059</t>
  </si>
  <si>
    <t>80-1-17-00306207</t>
  </si>
  <si>
    <t>80-1-16-00283255</t>
  </si>
  <si>
    <t>80-1-17-00318649</t>
  </si>
  <si>
    <t>80-1-16-00285073</t>
  </si>
  <si>
    <t>80-1-16-00273073</t>
  </si>
  <si>
    <t>80-1-17-00295395</t>
  </si>
  <si>
    <t>80-1-17-00302573</t>
  </si>
  <si>
    <t>80-1-17-00296929</t>
  </si>
  <si>
    <t>80-1-17-00301363</t>
  </si>
  <si>
    <t>80-1-17-00306807</t>
  </si>
  <si>
    <t>80-1-17-00298277</t>
  </si>
  <si>
    <t>80-1-16-00291345</t>
  </si>
  <si>
    <t>80-1-17-00296309</t>
  </si>
  <si>
    <t>80-1-17-00296321</t>
  </si>
  <si>
    <t>80-1-17-00296953</t>
  </si>
  <si>
    <t>80-1-17-00297695</t>
  </si>
  <si>
    <t>80-1-17-00311093</t>
  </si>
  <si>
    <t>80-1-17-00298439</t>
  </si>
  <si>
    <t>80-1-17-00307813</t>
  </si>
  <si>
    <t>80-1-17-00295601</t>
  </si>
  <si>
    <t>80-1-17-00308055</t>
  </si>
  <si>
    <t>80-1-17-00295803</t>
  </si>
  <si>
    <t>80-1-17-00305235</t>
  </si>
  <si>
    <t>80-1-17-00304055</t>
  </si>
  <si>
    <t>80-1-17-00324047</t>
  </si>
  <si>
    <t>80-1-17-00310273</t>
  </si>
  <si>
    <t>80-1-17-00310359</t>
  </si>
  <si>
    <t>80-1-16-00292937</t>
  </si>
  <si>
    <t>80-1-17-00309747</t>
  </si>
  <si>
    <t>80-1-17-00310855</t>
  </si>
  <si>
    <t>80-1-16-00290983</t>
  </si>
  <si>
    <t>80-1-17-00315731</t>
  </si>
  <si>
    <t>80-1-17-00298725</t>
  </si>
  <si>
    <t>80-1-17-00299451</t>
  </si>
  <si>
    <t>80-1-16-00292767</t>
  </si>
  <si>
    <t>80-1-16-00293297</t>
  </si>
  <si>
    <t>80-1-17-00326091</t>
  </si>
  <si>
    <t>80-1-17-00313613</t>
  </si>
  <si>
    <t>80-1-17-00323435</t>
  </si>
  <si>
    <t>80-1-17-00310907</t>
  </si>
  <si>
    <t>80-1-17-00300643</t>
  </si>
  <si>
    <t>80-1-17-00339141</t>
  </si>
  <si>
    <t>80-1-17-00301035</t>
  </si>
  <si>
    <t>80-1-17-00301779</t>
  </si>
  <si>
    <t>80-1-17-00328251</t>
  </si>
  <si>
    <t>80-1-17-00309659</t>
  </si>
  <si>
    <t>80-1-17-00310989</t>
  </si>
  <si>
    <t>80-1-17-00311557</t>
  </si>
  <si>
    <t>80-1-17-00304115</t>
  </si>
  <si>
    <t>80-1-17-00310753</t>
  </si>
  <si>
    <t>80-1-17-00311309</t>
  </si>
  <si>
    <t>80-1-17-00311343</t>
  </si>
  <si>
    <t>80-1-17-00331621</t>
  </si>
  <si>
    <t>80-1-17-00310369</t>
  </si>
  <si>
    <t>80-1-17-00309937</t>
  </si>
  <si>
    <t>80-1-17-00308191</t>
  </si>
  <si>
    <t>80-1-17-00309401</t>
  </si>
  <si>
    <t>80-1-17-00310847</t>
  </si>
  <si>
    <t>80-1-17-00311367</t>
  </si>
  <si>
    <t>80-1-17-00311265</t>
  </si>
  <si>
    <t>80-1-17-00311203</t>
  </si>
  <si>
    <t>80-1-17-00311517</t>
  </si>
  <si>
    <t>80-1-17-00333529</t>
  </si>
  <si>
    <t>80-1-17-00334479</t>
  </si>
  <si>
    <t>80-1-17-00329413</t>
  </si>
  <si>
    <t>80-1-17-00313887</t>
  </si>
  <si>
    <t>80-1-17-00331211</t>
  </si>
  <si>
    <t>80-1-17-00326715</t>
  </si>
  <si>
    <t>80-1-17-00326829</t>
  </si>
  <si>
    <t>80-1-17-00326663</t>
  </si>
  <si>
    <t>80-1-17-00313521</t>
  </si>
  <si>
    <t>80-1-17-00311971</t>
  </si>
  <si>
    <t>80-1-17-00314917</t>
  </si>
  <si>
    <t>80-1-17-00312555</t>
  </si>
  <si>
    <t>80-1-17-00319335</t>
  </si>
  <si>
    <t>80-1-17-00323067</t>
  </si>
  <si>
    <t>80-1-17-00333621</t>
  </si>
  <si>
    <t>80-1-17-00333637</t>
  </si>
  <si>
    <t>80-1-17-00326485</t>
  </si>
  <si>
    <t>80-1-17-00333667</t>
  </si>
  <si>
    <t>80-1-17-00319359</t>
  </si>
  <si>
    <t>80-1-17-00323901</t>
  </si>
  <si>
    <t>80-1-17-00329931</t>
  </si>
  <si>
    <t>80-1-17-00330235</t>
  </si>
  <si>
    <t>80-1-17-00336221</t>
  </si>
  <si>
    <t>80-1-17-00336277</t>
  </si>
  <si>
    <t>80-1-17-00313571</t>
  </si>
  <si>
    <t>80-1-17-00328671</t>
  </si>
  <si>
    <t>80-1-17-00325937</t>
  </si>
  <si>
    <t>80-1-17-00312711</t>
  </si>
  <si>
    <t>80-1-17-00330633</t>
  </si>
  <si>
    <t>80-1-17-00334553</t>
  </si>
  <si>
    <t>80-1-17-00320365</t>
  </si>
  <si>
    <t>80-1-17-00313633</t>
  </si>
  <si>
    <t>80-1-17-00313733</t>
  </si>
  <si>
    <t>80-1-17-00321777</t>
  </si>
  <si>
    <t>80-1-17-00317607</t>
  </si>
  <si>
    <t>80-1-17-00326871</t>
  </si>
  <si>
    <t>80-1-17-00334965</t>
  </si>
  <si>
    <t>80-1-17-00334493</t>
  </si>
  <si>
    <t>80-1-17-00334579</t>
  </si>
  <si>
    <t>80-1-17-00332827</t>
  </si>
  <si>
    <t>80-1-17-00335557</t>
  </si>
  <si>
    <t>80-1-17-00331661</t>
  </si>
  <si>
    <t>80-1-17-00330693</t>
  </si>
  <si>
    <t>80-1-17-00335535</t>
  </si>
  <si>
    <t>80-1-17-00321021</t>
  </si>
  <si>
    <t>80-1-17-00314351</t>
  </si>
  <si>
    <t>80-1-17-00332857</t>
  </si>
  <si>
    <t>80-1-17-00315963</t>
  </si>
  <si>
    <t>80-1-17-00322085</t>
  </si>
  <si>
    <t>80-1-17-00319031</t>
  </si>
  <si>
    <t>80-1-17-00313839</t>
  </si>
  <si>
    <t>80-1-17-00313791</t>
  </si>
  <si>
    <t>80-1-17-00313337</t>
  </si>
  <si>
    <t>80-1-17-00315629</t>
  </si>
  <si>
    <t>80-1-17-00323407</t>
  </si>
  <si>
    <t>80-1-17-00323957</t>
  </si>
  <si>
    <t>80-1-17-00316947</t>
  </si>
  <si>
    <t>80-1-17-00328707</t>
  </si>
  <si>
    <t>80-1-17-00336049</t>
  </si>
  <si>
    <t>80-1-17-00326725</t>
  </si>
  <si>
    <t>80-1-17-00337105</t>
  </si>
  <si>
    <t>80-1-17-00328613</t>
  </si>
  <si>
    <t>80-1-17-00328779</t>
  </si>
  <si>
    <t>80-1-17-00320605</t>
  </si>
  <si>
    <t>80-1-17-00330547</t>
  </si>
  <si>
    <t>80-1-17-00338035</t>
  </si>
  <si>
    <t>80-1-17-00332841</t>
  </si>
  <si>
    <t>80-1-17-00336483</t>
  </si>
  <si>
    <t>80-1-17-00339371</t>
  </si>
  <si>
    <t>80-1-17-00334711</t>
  </si>
  <si>
    <t>80-1-17-00337399</t>
  </si>
  <si>
    <t>80-1-17-00320307</t>
  </si>
  <si>
    <t>80-1-17-00332335</t>
  </si>
  <si>
    <t>80-1-17-00333561</t>
  </si>
  <si>
    <t>80-1-17-00336055</t>
  </si>
  <si>
    <t>80-1-17-00322603</t>
  </si>
  <si>
    <t>80-1-17-00311705</t>
  </si>
  <si>
    <t>80-1-17-00312803</t>
  </si>
  <si>
    <t>80-1-17-00311697</t>
  </si>
  <si>
    <t>80-1-17-00312581</t>
  </si>
  <si>
    <t>80-1-17-00328609</t>
  </si>
  <si>
    <t>80-1-17-00315457</t>
  </si>
  <si>
    <t>80-1-17-00334885</t>
  </si>
  <si>
    <t>80-1-17-00328821</t>
  </si>
  <si>
    <t>80-1-17-00332135</t>
  </si>
  <si>
    <t>80-1-17-00329779</t>
  </si>
  <si>
    <t>80-1-17-00336017</t>
  </si>
  <si>
    <t>80-1-17-00319939</t>
  </si>
  <si>
    <t>80-1-17-00318745</t>
  </si>
  <si>
    <t>80-1-17-00338929</t>
  </si>
  <si>
    <t>80-1-17-00343047</t>
  </si>
  <si>
    <t>80-1-17-00344385</t>
  </si>
  <si>
    <t>80-1-17-00339193</t>
  </si>
  <si>
    <t>80-1-17-00341785</t>
  </si>
  <si>
    <t>80-1-17-00341037</t>
  </si>
  <si>
    <t>80-1-17-00342721</t>
  </si>
  <si>
    <t>80-1-17-00353641</t>
  </si>
  <si>
    <t>80-1-17-00340869</t>
  </si>
  <si>
    <t>80-1-17-00341097</t>
  </si>
  <si>
    <t>80-1-17-00339583</t>
  </si>
  <si>
    <t>80-1-17-00338561</t>
  </si>
  <si>
    <t>80-1-17-00340883</t>
  </si>
  <si>
    <t>80-1-17-00341065</t>
  </si>
  <si>
    <t>80-1-17-00341771</t>
  </si>
  <si>
    <t>80-1-17-00348809</t>
  </si>
  <si>
    <t>80-1-17-00306139</t>
  </si>
  <si>
    <t>6-20</t>
  </si>
  <si>
    <t>80-1-17-00346323</t>
  </si>
  <si>
    <t>80-1-17-00325871</t>
  </si>
  <si>
    <t>80-1-17-00310417</t>
  </si>
  <si>
    <t>80-1-16-00286067</t>
  </si>
  <si>
    <t>80-1-17-00295521</t>
  </si>
  <si>
    <t>80-1-16-00294323</t>
  </si>
  <si>
    <t>80-1-17-00306811</t>
  </si>
  <si>
    <t>80-1-17-00321267</t>
  </si>
  <si>
    <t>80-1-17-00341777</t>
  </si>
  <si>
    <t>80-1-17-00346031</t>
  </si>
  <si>
    <t>80-1-17-00342601</t>
  </si>
  <si>
    <t>шт</t>
  </si>
  <si>
    <t>80-1-16-00282217</t>
  </si>
  <si>
    <t>80-1-17-00321289</t>
  </si>
  <si>
    <t>80-1-17-00331327</t>
  </si>
  <si>
    <t>80-1-17-00320475</t>
  </si>
  <si>
    <t>80-1-17-00339213</t>
  </si>
  <si>
    <t>80-1-17-00305203</t>
  </si>
  <si>
    <t>80-1-16-00280737</t>
  </si>
  <si>
    <t>80-1-17-00321401</t>
  </si>
  <si>
    <t>80-1-16-00290795</t>
  </si>
  <si>
    <t>80-1-17-00303845</t>
  </si>
  <si>
    <t>80-1-17-00295379</t>
  </si>
  <si>
    <t>80-1-17-00303843</t>
  </si>
  <si>
    <t>80-1-17-00308141</t>
  </si>
  <si>
    <t>80-1-16-00291079</t>
  </si>
  <si>
    <t>80-1-17-00329683</t>
  </si>
  <si>
    <t>80-1-17-00315655</t>
  </si>
  <si>
    <t>80-1-17-00303889</t>
  </si>
  <si>
    <t>80-1-17-00332199</t>
  </si>
  <si>
    <t>80-1-17-00316987</t>
  </si>
  <si>
    <t>80-1-17-00328731</t>
  </si>
  <si>
    <t>80-1-17-00332911</t>
  </si>
  <si>
    <t>80-1-17-00321393</t>
  </si>
  <si>
    <t>80-1-17-00329297</t>
  </si>
  <si>
    <t>80-1-17-00318381</t>
  </si>
  <si>
    <t>80-1-17-00316959</t>
  </si>
  <si>
    <t>80-1-17-00329937</t>
  </si>
  <si>
    <t>80-1-17-00331227</t>
  </si>
  <si>
    <t>80-1-17-00336945</t>
  </si>
  <si>
    <t>80-1-17-00316509</t>
  </si>
  <si>
    <t>80-1-17-00318417</t>
  </si>
  <si>
    <t>80-1-17-00323765</t>
  </si>
  <si>
    <t>80-1-17-00325581</t>
  </si>
  <si>
    <t>80-1-17-00331235</t>
  </si>
  <si>
    <t>80-1-17-00325981</t>
  </si>
  <si>
    <t>80-1-17-00318761</t>
  </si>
  <si>
    <t>80-1-17-00317141</t>
  </si>
  <si>
    <t>80-1-17-00311897</t>
  </si>
  <si>
    <t>80-1-17-00317153</t>
  </si>
  <si>
    <t>80-1-17-00341741</t>
  </si>
  <si>
    <t>80-1-17-00341739</t>
  </si>
  <si>
    <t>80-1-17-00340867</t>
  </si>
  <si>
    <t>80-1-17-00340289</t>
  </si>
  <si>
    <t>80-1-17-00340823</t>
  </si>
  <si>
    <t>80-1-17-00340871</t>
  </si>
  <si>
    <t>80-1-17-00340873</t>
  </si>
  <si>
    <t>80-1-17-00339189</t>
  </si>
  <si>
    <t>80-1-17-00339649</t>
  </si>
  <si>
    <t>До 15 нельг</t>
  </si>
  <si>
    <t>Потребители до 15 кВт которые прошли актами выполненных работ в 2017 году, а по бухгалтерии не прошли.</t>
  </si>
  <si>
    <t>Молокаева</t>
  </si>
  <si>
    <t>Филимонова Раиса Николаевна (Молокаева Светлана)смена собственника</t>
  </si>
  <si>
    <t xml:space="preserve">80-1-17-00322415 </t>
  </si>
  <si>
    <t xml:space="preserve">80-1-17-00313665 </t>
  </si>
  <si>
    <t xml:space="preserve">80-1-17-00336891 </t>
  </si>
  <si>
    <t xml:space="preserve">80-1-17-00308035 </t>
  </si>
  <si>
    <t xml:space="preserve">80-1-16-00265749 </t>
  </si>
  <si>
    <t xml:space="preserve">80-1-17-00320433 </t>
  </si>
  <si>
    <t xml:space="preserve">80-1-17-00339405 </t>
  </si>
  <si>
    <t xml:space="preserve">80-1-17-00333067 </t>
  </si>
  <si>
    <t xml:space="preserve">80-1-17-00322951 </t>
  </si>
  <si>
    <t xml:space="preserve">80-1-17-00313691 </t>
  </si>
  <si>
    <t xml:space="preserve">80-1-17-00324189 </t>
  </si>
  <si>
    <t xml:space="preserve">80-1-17-00333707 </t>
  </si>
  <si>
    <t xml:space="preserve">80-1-17-00300777 </t>
  </si>
  <si>
    <t xml:space="preserve">80-1-17-00340425 </t>
  </si>
  <si>
    <t>80-1-14-00175523</t>
  </si>
  <si>
    <t xml:space="preserve">80-1-17-00325661 </t>
  </si>
  <si>
    <t xml:space="preserve">80-1-16-00250889 </t>
  </si>
  <si>
    <t xml:space="preserve">80-1-17-00304913 </t>
  </si>
  <si>
    <t>80-1-17-00323693</t>
  </si>
  <si>
    <t>80-1-17-00307681</t>
  </si>
  <si>
    <t>80-1-17-00315749</t>
  </si>
  <si>
    <t>15-150</t>
  </si>
  <si>
    <t>мощность</t>
  </si>
  <si>
    <t>итого расходы без налога на прибыль</t>
  </si>
  <si>
    <t>итого расходы сальдо</t>
  </si>
  <si>
    <t>АС 35/6,2</t>
  </si>
  <si>
    <t>ИП Кичиков С.С.</t>
  </si>
  <si>
    <t>Биф АРТ</t>
  </si>
  <si>
    <t>Алейников А.С,</t>
  </si>
  <si>
    <t>СИП-2 3х35+1х54,6</t>
  </si>
  <si>
    <t>Грицина Н.П.</t>
  </si>
  <si>
    <t>выручка (с НДС)</t>
  </si>
  <si>
    <t>Себестоимость</t>
  </si>
  <si>
    <t>Проверка</t>
  </si>
  <si>
    <t>в т.ч. Льготники</t>
  </si>
  <si>
    <t>Индивидуальные ТП</t>
  </si>
  <si>
    <t xml:space="preserve"> ЗАО "КТК-Р"</t>
  </si>
  <si>
    <t>1-е п/г 2016г., тыс.руб.</t>
  </si>
  <si>
    <t>2015г., тыс.руб.</t>
  </si>
  <si>
    <t>контроль</t>
  </si>
  <si>
    <t>в т.ч.  без льготников</t>
  </si>
  <si>
    <t>Прочие расходыИА</t>
  </si>
  <si>
    <t>в т.ч. денежные выплаты социального характера (по Коллективному договору)</t>
  </si>
  <si>
    <t>выручка, тыс.руб.</t>
  </si>
  <si>
    <t>затраты, тыс.руб.</t>
  </si>
  <si>
    <t>до 15 все</t>
  </si>
  <si>
    <t>льготники до 15</t>
  </si>
  <si>
    <t>нельготники до 15</t>
  </si>
  <si>
    <t>Исполненные договоры</t>
  </si>
  <si>
    <t>6-20 кВ</t>
  </si>
  <si>
    <t>Обороты счета 20 за 2016 г.</t>
  </si>
  <si>
    <t>Себестоимость 2016 г.</t>
  </si>
  <si>
    <t>Доля по выручке</t>
  </si>
  <si>
    <t>От ОТП</t>
  </si>
  <si>
    <t>Себестоимость 2015 г.</t>
  </si>
  <si>
    <t>Разница</t>
  </si>
  <si>
    <t>%%</t>
  </si>
  <si>
    <t>10 кВ</t>
  </si>
  <si>
    <t>Количество по выручке</t>
  </si>
  <si>
    <t>По мощности</t>
  </si>
  <si>
    <t>1-е п/г 2017г., тыс.руб.</t>
  </si>
  <si>
    <t xml:space="preserve"> 2016г., тыс.руб.</t>
  </si>
  <si>
    <t>в т.ч.  Льготники</t>
  </si>
  <si>
    <t>По количеству договоров</t>
  </si>
  <si>
    <t>По присоединяемой мощности</t>
  </si>
  <si>
    <t>№ п/п</t>
  </si>
  <si>
    <t xml:space="preserve">Всего </t>
  </si>
  <si>
    <t>Данные за 2016 год</t>
  </si>
  <si>
    <t>Данные за 2017 год</t>
  </si>
  <si>
    <t>Расходы по выполнению мероприятий по технологическому присоединению, всего</t>
  </si>
  <si>
    <t>Вспомогательные материалы</t>
  </si>
  <si>
    <t>Энергия на хозяйственные нужды</t>
  </si>
  <si>
    <t>Оплата труда ППП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</si>
  <si>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</si>
  <si>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</si>
  <si>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</si>
  <si>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</si>
  <si>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</si>
  <si>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</si>
  <si>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</si>
  <si>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</si>
  <si>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том числе: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</si>
  <si>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</si>
  <si>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</si>
  <si>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</si>
  <si>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</si>
  <si>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</si>
  <si>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</t>
  </si>
  <si>
    <t>1.5.3.4.</t>
  </si>
  <si>
    <t>плата за аренду имущества</t>
  </si>
  <si>
    <t>1.5.3.5.</t>
  </si>
  <si>
    <t>другие прочие расходы, связанные с производством и реализацией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</si>
  <si>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</si>
  <si>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</si>
  <si>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</si>
  <si>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</si>
  <si>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</si>
  <si>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</si>
  <si>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</si>
  <si>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</si>
  <si>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</si>
  <si>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</si>
  <si>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>N п/п</t>
  </si>
  <si>
    <t>Наименование мероприятий</t>
  </si>
  <si>
    <t xml:space="preserve">Напряжение, кВ </t>
  </si>
  <si>
    <t>до 15 кВт включительно (льготная категория заявителей)</t>
  </si>
  <si>
    <t>до 15 кВт включительно (нельготная категория заявителей)</t>
  </si>
  <si>
    <t xml:space="preserve">свыше 15 кВт  до 150 кВт         </t>
  </si>
  <si>
    <t>не менее 670 кВт (инд проект)</t>
  </si>
  <si>
    <t>Всего (по общей ставке)</t>
  </si>
  <si>
    <t>Количество исполненных договоров</t>
  </si>
  <si>
    <t>Мощность присоединений</t>
  </si>
  <si>
    <t>Подготовка и выдача сетевой организацией технических условий Заявителю (ТУ)</t>
  </si>
  <si>
    <t>Проверка сетевой организацией выполнения Заявителем ТУ</t>
  </si>
  <si>
    <t>Участие сетевой организации в осмотре должностным лицом органа федерального государственного энергетического надзора присоединяемых устройств Заявителя</t>
  </si>
  <si>
    <t>Фактические действия по присоединению и обеспечению работы устройств в электрической сети</t>
  </si>
  <si>
    <t>Подготовка и выдача сетевой организацией технических условий (ТУ) Заявителю</t>
  </si>
  <si>
    <t>Проверка сетевой организацией выполнения Заявителем ТУ (включая процедуры, предусмотренные подпунктами "г" - "е" пункта 7 Правил ТП)</t>
  </si>
  <si>
    <t>35 кВ</t>
  </si>
  <si>
    <t>ФОТ, руб/1 присоединение</t>
  </si>
  <si>
    <t>Прямые затраты, руб/1 присоединение</t>
  </si>
  <si>
    <t>амортизация автотранспорта</t>
  </si>
  <si>
    <t>техническая поддержка</t>
  </si>
  <si>
    <t>Косвенные затраты, руб/1 присоединение</t>
  </si>
  <si>
    <t>Количество исполненных договоров, шт</t>
  </si>
  <si>
    <t>в том числе по КЭ, шт</t>
  </si>
  <si>
    <t>в том числе по КЭКу из сайта, шт</t>
  </si>
  <si>
    <t>Мощность присоединений, кВт</t>
  </si>
  <si>
    <t>6.1.</t>
  </si>
  <si>
    <t>в том числе по КЭ, кВт</t>
  </si>
  <si>
    <t>6.2.</t>
  </si>
  <si>
    <t>в том числе по КЭКу из сайта, кВт</t>
  </si>
  <si>
    <t>Ставка, руб./кВт</t>
  </si>
  <si>
    <t>в т.ч.  ГСМ</t>
  </si>
  <si>
    <t>прочие материалы</t>
  </si>
  <si>
    <t>в т.ч. амортизация автотранспорта</t>
  </si>
  <si>
    <t>прочие расходы</t>
  </si>
  <si>
    <t xml:space="preserve">от 15 до 150 кВт                                            </t>
  </si>
  <si>
    <t>Оплата труда ППП (без соц. отчислений)</t>
  </si>
  <si>
    <t>трудозатраты, чел-час на 1 присоединение</t>
  </si>
  <si>
    <t>доля трудозатрат, %</t>
  </si>
  <si>
    <t xml:space="preserve">от 15 до 150 кВт                                              </t>
  </si>
  <si>
    <t xml:space="preserve">свыше 150 кВт  до 670 кВт                             </t>
  </si>
  <si>
    <t xml:space="preserve">свыше 150 кВт  до 670 кВт                          </t>
  </si>
  <si>
    <t>Фактическая себестоимость ТП согласно форме 2 ОАО "КЭК"</t>
  </si>
  <si>
    <t xml:space="preserve"> - работы и услуги производственного характера</t>
  </si>
  <si>
    <t xml:space="preserve"> - налоги и сборы, уменьшающие налогооблагаемую базу на прибыль организаций, всего</t>
  </si>
  <si>
    <t xml:space="preserve"> - работы и услуги непроизводственного характера, в.ч. :</t>
  </si>
  <si>
    <t>расходы на информационное обслуживание, консультационные и юридические услуги</t>
  </si>
  <si>
    <t xml:space="preserve">другие прочие расходы, связанные с производством и реализацией </t>
  </si>
  <si>
    <t xml:space="preserve"> - расходы на услуги банков</t>
  </si>
  <si>
    <t xml:space="preserve"> - % за пользование кредитом</t>
  </si>
  <si>
    <t xml:space="preserve"> - прочие обоснованные расходы*</t>
  </si>
  <si>
    <t xml:space="preserve"> - денежные выплаты социального характера (по Коллективному договору)</t>
  </si>
  <si>
    <t>Итого себестоимость по РК (КЭ+КЭК)</t>
  </si>
  <si>
    <t>т.к. свыше 150 кВт не было</t>
  </si>
  <si>
    <t>в том числе по г.Элиста из сайта, шт</t>
  </si>
  <si>
    <t>в том числе по г.Элиста, кВт</t>
  </si>
  <si>
    <t>Обороты счета 20.01 за 2015 г.</t>
  </si>
  <si>
    <t>итого до 15 кВт</t>
  </si>
  <si>
    <t>в т.ч. Льготные</t>
  </si>
  <si>
    <t>количество</t>
  </si>
  <si>
    <t>в том числе:</t>
  </si>
  <si>
    <t>Факт без индивидуальных проектов</t>
  </si>
  <si>
    <t>Факт без индивидуальных и льготников</t>
  </si>
  <si>
    <t>льготники</t>
  </si>
  <si>
    <t>нельготники</t>
  </si>
  <si>
    <t>Аренда движимого имущества (прочее)</t>
  </si>
  <si>
    <t>Другие прочие затраты</t>
  </si>
  <si>
    <t>Материалы для прочих технических средств (техобслуживание)</t>
  </si>
  <si>
    <t>Материалы для устройств РЗА (техобслуживание)</t>
  </si>
  <si>
    <t>Расходы по управлению собственностью - межевание земельных участков</t>
  </si>
  <si>
    <t>Расходы по управлению собственностью - оценка имущества</t>
  </si>
  <si>
    <t>Расходы по управлению собственностью - установление охранных зон</t>
  </si>
  <si>
    <t>Страховые взносы ОМС ФФОМС (резерв на выплату вознаграждений по итогам года)</t>
  </si>
  <si>
    <t>Страховые взносы ОМС ФФОМС (резерв на выплату вознаграждений по итогам квартала)</t>
  </si>
  <si>
    <t>Страховые взносы ОМС ФФОМС (резерв на выплату вознаграждений по итогам месяца)</t>
  </si>
  <si>
    <t>Страховые взносы ОМС ФФОМС (резерв на оплату отпусков)</t>
  </si>
  <si>
    <t>Услуги автотранспорта производственного назначения</t>
  </si>
  <si>
    <t>Услуги нотариальные</t>
  </si>
  <si>
    <t>Услуги по аккредитации (аттестации) и экспертизе в области метрологического обеспечения и качества э/э</t>
  </si>
  <si>
    <t>Услуги подрядчиков по техобслуживанию средств измерений</t>
  </si>
  <si>
    <t>Согласованно ДЭ</t>
  </si>
  <si>
    <t>1.1.3.</t>
  </si>
  <si>
    <t>п/п</t>
  </si>
  <si>
    <t xml:space="preserve">Наименование </t>
  </si>
  <si>
    <t>Итого по статье "другие прочие расходы, связанные с производством и реализацией"</t>
  </si>
  <si>
    <t>Итого по статье "прочие обоснованные расходы"</t>
  </si>
  <si>
    <t>прочие обоснованные</t>
  </si>
  <si>
    <t>Прочие доходы ИА и РСК</t>
  </si>
  <si>
    <t xml:space="preserve"> - </t>
  </si>
  <si>
    <t>Факт (инд. проекты)</t>
  </si>
  <si>
    <t>Статьи затрат согласно
Приложению 5</t>
  </si>
  <si>
    <t>ТРАНСПОРТНЫЕ УСЛУГИ</t>
  </si>
  <si>
    <t>Услуги подрядчиков по ремонту производственных зданий и сооружений</t>
  </si>
  <si>
    <t>Материалы для капитального строительства (реконструкции, модернизации)</t>
  </si>
  <si>
    <t>Затраты на подписку периодических изданий</t>
  </si>
  <si>
    <t>Услуги автомоек, автостоянок</t>
  </si>
  <si>
    <t>Услуги коммунального хозяйства - дератизация</t>
  </si>
  <si>
    <t xml:space="preserve">не менее 670 кВт </t>
  </si>
  <si>
    <t>До 15 кВт</t>
  </si>
  <si>
    <t>нельгота</t>
  </si>
  <si>
    <t xml:space="preserve"> - работы и услуги непроизводственного характера, в.ч.:</t>
  </si>
  <si>
    <t>Затраты по исполнительному аппарату ПАО "МРСК Юга"</t>
  </si>
  <si>
    <t>Страхование</t>
  </si>
  <si>
    <t xml:space="preserve">Затраты на охрану труда - мероприятия по предупреждению заболеваний на производстве </t>
  </si>
  <si>
    <t>Канцелярские расходы</t>
  </si>
  <si>
    <t>Командировочные расходы</t>
  </si>
  <si>
    <t>Повышение квалификации</t>
  </si>
  <si>
    <t xml:space="preserve">Услуги PR, СМИ, рекламы </t>
  </si>
  <si>
    <t>Услуги коммунального хозяйства</t>
  </si>
  <si>
    <t>прочие</t>
  </si>
  <si>
    <t xml:space="preserve"> - денежные выплаты социального характера (по Коллективному договору) РСК</t>
  </si>
  <si>
    <t xml:space="preserve"> - денежные выплаты социального характера (по Коллективному договору) ИА</t>
  </si>
  <si>
    <t>(рекомендуемый образец)</t>
  </si>
  <si>
    <t>С2. Строительство воздушных линий</t>
  </si>
  <si>
    <t>Тип территории</t>
  </si>
  <si>
    <t>Материал опоры</t>
  </si>
  <si>
    <t>Тип провода</t>
  </si>
  <si>
    <t>Материал провода</t>
  </si>
  <si>
    <r>
      <t>Сечение провода, мм</t>
    </r>
    <r>
      <rPr>
        <vertAlign val="superscript"/>
        <sz val="11"/>
        <rFont val="Times New Roman"/>
        <family val="1"/>
        <charset val="204"/>
      </rPr>
      <t>2</t>
    </r>
  </si>
  <si>
    <t>Объект электросетевого хозяйства</t>
  </si>
  <si>
    <t>Протяженность (для линий электропередачи), м</t>
  </si>
  <si>
    <t>Пропускная способность, кВт / Максимальная мощность, кВт</t>
  </si>
  <si>
    <t>Расходы на строительство объекта, тыс.руб</t>
  </si>
  <si>
    <t>ИЦП по подразделу "Строительство" раздела "Капитальные вложения (инвестиции)" МЭР РФ</t>
  </si>
  <si>
    <t>железобетонные опоры</t>
  </si>
  <si>
    <t>до 50 вкл.</t>
  </si>
  <si>
    <t>50 - 100</t>
  </si>
  <si>
    <t>100 - 200</t>
  </si>
  <si>
    <t>200-500</t>
  </si>
  <si>
    <t>500-800</t>
  </si>
  <si>
    <t>свыше 800</t>
  </si>
  <si>
    <t>Тип ТП</t>
  </si>
  <si>
    <t>Трансформаторная мощность, кВА</t>
  </si>
  <si>
    <t>Объем строительства, шт.</t>
  </si>
  <si>
    <t>Максимальная мощность, кВт</t>
  </si>
  <si>
    <t>Расходы на строительство, тыс.руб</t>
  </si>
  <si>
    <t>Однотрансформаторные</t>
  </si>
  <si>
    <t>свыше 900 кВА</t>
  </si>
  <si>
    <t>Двухтрансформаторные и более</t>
  </si>
  <si>
    <t xml:space="preserve">
с уровнем напряжения
до 35 кВ</t>
  </si>
  <si>
    <t>С6. Строительство распределительных трансформаторных подстанций (РТП)</t>
  </si>
  <si>
    <t>Тип РТП</t>
  </si>
  <si>
    <t>С7. Строительство центров питания, подстанций уровнем напряжения 35 кВ и выше (ПС)</t>
  </si>
  <si>
    <t>Тип ПС</t>
  </si>
  <si>
    <t>ПС - 35 кВ</t>
  </si>
  <si>
    <t xml:space="preserve">ПС - 110 кВ и выше </t>
  </si>
  <si>
    <t>Начальник отдела технологического присоединения /</t>
  </si>
  <si>
    <t>В.Х. Сангинов</t>
  </si>
  <si>
    <t>Схема электроснабжения</t>
  </si>
  <si>
    <t>Информация для расчета стандартизированной тарифной ставки С1</t>
  </si>
  <si>
    <t>в среднем</t>
  </si>
  <si>
    <t>ИПЦ</t>
  </si>
  <si>
    <t>Плата за одно ТП с учетом ИПЦ, руб./1 присоединение</t>
  </si>
  <si>
    <t xml:space="preserve">Плата за присоединение, руб. за 1 присоединение </t>
  </si>
  <si>
    <t xml:space="preserve">Плата за присоединение, руб. за 1 кВт </t>
  </si>
  <si>
    <t>Расходы согласно приложению 3 по каждому мероприятию (руб.)</t>
  </si>
  <si>
    <t>Количество технологических присоединений, шт.</t>
  </si>
  <si>
    <t>Объем максимальной мощности (кВт)</t>
  </si>
  <si>
    <t>Расходы на одно присоединение (руб. на одно ТП)</t>
  </si>
  <si>
    <t xml:space="preserve">Постоянная схема электроснабжения </t>
  </si>
  <si>
    <t>Временная схема электроснабжения</t>
  </si>
  <si>
    <t xml:space="preserve">Подготовка и выдача сетевой организацией ТУ Заявителю </t>
  </si>
  <si>
    <t>тыс.руб.</t>
  </si>
  <si>
    <t>Подготовка и выдача сетевой организацией технических условий (далее - ТУ) Заявителю и их согласование с СО и ССО (при необходимости)</t>
  </si>
  <si>
    <t>Проверка сетевой организацией выполнения Заявителем ТУ в соответствии с разделом IX Правил ТП (включая процедуры, предусмотренные подпунктами "г" - "е" пункта 7 Правил ТП)</t>
  </si>
  <si>
    <t>постоянная схема электроснабжения</t>
  </si>
  <si>
    <t xml:space="preserve">временная схема электроснабжения, в том числе для обеспечения электрической энергией передвижных энергопринимающих устройств с максимальной мощностью до 150 кВт включительно (с учетом мощности ранее присоединенных в данной точке присоединения энергопринимающих устройств) </t>
  </si>
  <si>
    <t>Приложение 5 к Методическим указаниям ФАС России от 29.08.2017г. №1135/17</t>
  </si>
  <si>
    <t>КЛ 0,4 кВ</t>
  </si>
  <si>
    <t>Способ прокладки КЛ</t>
  </si>
  <si>
    <t xml:space="preserve"> Тип кабеля</t>
  </si>
  <si>
    <t>Материал изоляции</t>
  </si>
  <si>
    <t>в траншеях</t>
  </si>
  <si>
    <t>одножильный</t>
  </si>
  <si>
    <t>резиновая и пластмассовая изоляция</t>
  </si>
  <si>
    <t>бумажная изоляция</t>
  </si>
  <si>
    <t xml:space="preserve">многожильный </t>
  </si>
  <si>
    <t>в каналах</t>
  </si>
  <si>
    <t>в туннелях и коллекторах</t>
  </si>
  <si>
    <t>в галереях и эстакадах</t>
  </si>
  <si>
    <t xml:space="preserve">горизонтально-направленное бурение </t>
  </si>
  <si>
    <t>КЛ 6-10 кВ</t>
  </si>
  <si>
    <t>Приложение 3 к Методическим указаниям ФАС России от 29.08.2017г. №1135/17</t>
  </si>
  <si>
    <t>1.5.3.5.*</t>
  </si>
  <si>
    <t>1.6.3.*</t>
  </si>
  <si>
    <t>* - при необходимости предусмотреть вспомогательную таблицу с расшифровками прочих расходов (в составе себестоимости и в составе внереализационных расходов) для нивелирования риска исключения региональным Регулятором прочих расходов в полном объёме.</t>
  </si>
  <si>
    <t>Приложение 2 к Методическим указаниям ФАС России от 29.08.2017г. №1135/17</t>
  </si>
  <si>
    <t>Приложение №4
к приказу ПАО "МРСК Юга"
от "___"__________2018 г. №____</t>
  </si>
  <si>
    <t>Приложение 1 к Методическим указаниям ФАС России от 29.08.2017г. №1135/17</t>
  </si>
  <si>
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филиалов ПАО "МРСК Юга"</t>
  </si>
  <si>
    <t>План (в случае отсутствия факта за 3 года)</t>
  </si>
  <si>
    <t>С3. Строительство кабельных линий</t>
  </si>
  <si>
    <t>С4. Строительство пунктов секционирования</t>
  </si>
  <si>
    <t>Тип пунктов секционирования</t>
  </si>
  <si>
    <t>Номинальный ток, А</t>
  </si>
  <si>
    <t>Пропускная способность, кВт</t>
  </si>
  <si>
    <t>Расходы на строительство, тыс.руб.</t>
  </si>
  <si>
    <t xml:space="preserve">Реклоузеры </t>
  </si>
  <si>
    <t>до 100 А включительно</t>
  </si>
  <si>
    <t>100-250 А</t>
  </si>
  <si>
    <t>250-500 А</t>
  </si>
  <si>
    <t>500-1000 А</t>
  </si>
  <si>
    <t>свыше 1000 А</t>
  </si>
  <si>
    <t>РП</t>
  </si>
  <si>
    <t>ПП</t>
  </si>
  <si>
    <t>С5.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</si>
  <si>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Приложение №1 к приказу</t>
  </si>
  <si>
    <t>РСТ РК от 26.12.2017 г. № 99- п/тпэ</t>
  </si>
  <si>
    <t>Стандартизированные тарифные ставки на покрытие расходов по мероприятиям  технологического присоединения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к распределительным   электрическим сетям  на период  с 01.01.2018 г. по 31.12.2018 г. (в текущих ценах)</t>
  </si>
  <si>
    <t>С1 - стандартизированная тарифная ставка на покрытие расходов на технологическое присоединение энергопринимающих устройств заявителей, объектов электросетевого хозяйства, принадлежащих сетевым организациям и иным лицам , по мероприятиям , указанных в п. 16  (кроме п.п. "б") Методических указаний, (для постоянной и временной схем электроснабжения)</t>
  </si>
  <si>
    <t>руб. за одно присоединение</t>
  </si>
  <si>
    <t>С2 - стандартизированная тарифная ставка на покрытие расходов сетевой организации на строительство воздушных линий электропередачи на 0,4 кВ в расчете на 1 км линий (руб./км)</t>
  </si>
  <si>
    <t>для энергопринимающих устройств максимальной мощностью</t>
  </si>
  <si>
    <t>до 150 кВт включительно</t>
  </si>
  <si>
    <t>свыше 150 кВт и менее 8900 кВт</t>
  </si>
  <si>
    <t>С2 - стандартизированная тарифная ставка на покрытие расходов сетевой организации на строительство воздушных линий электропередачи на 6-10 кВ в расчете на 1 км линий  (руб./ км)</t>
  </si>
  <si>
    <t>1094010,70</t>
  </si>
  <si>
    <t>1094010,69</t>
  </si>
  <si>
    <t>С5 -  стандартизированная тарифная ставка на покрытие расходов сетевой организации на строительство трансформаторных подстанций (ТП) , за исключением распределительных трансформаторных подстанций (РТП), с уровнем напряжения до 35 кВ  (руб./ кВт)</t>
  </si>
  <si>
    <t>Начальник управления экономики и тарифообразования /</t>
  </si>
  <si>
    <t>Е.В. Неговора</t>
  </si>
  <si>
    <t>Приложение №2 к приказу</t>
  </si>
  <si>
    <t>Ставки за единицу максимальной мощности, определяющие величину платы за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
к распределительным электрическим сетям на уровне напряжение ниже 35 кВ и максимальной мощностью  менее 8900 кВт,  на период  с 01.01.2018 г. по 31.12.2018 г. (в текущих ценах)</t>
  </si>
  <si>
    <t>С1 maxN -ставки за единицу максимальной мощности  для определения платы за технологическое присоединение к электрическим сетям на уровне напряжения ниже 35 кВ и максимальной мощностью энергопримающих устройств Заявителя менее 8 900 кВт на осуществление мероприятий, предусмотренных пунктом 16 (за исключением подпункта "б") Методических указаний, (для постоянной и временной схем электроснабжения)</t>
  </si>
  <si>
    <t>руб. / кВт</t>
  </si>
  <si>
    <t>С2maxN - ставки за единицу максимальной мощности  для определения платы за технологическое присоединение к электрическим сетям на уровне напряжения ниже 35 кВ и максимальной мощностью энергопримающих устройств Заявителя менее 8 900 кВт на осуществление мероприятий по строительству воздушных линий  на уровне напряжения 0,4 кВ (хозяйственным способом), (руб./кВт)</t>
  </si>
  <si>
    <t>С2maxN - ставки за единицу максимальной мощности  для определения платы за технологическое присоединение к электрическим сетям на уровне напряжения ниже 35 кВ и максимальной мощностью энергопримающих устройств Заявителя менее 8 900 кВт на осуществление мероприятий по строительству воздушных линий  на уровне напряжения 6-10 кВ (хозяйственным способом), (руб./кВт)</t>
  </si>
  <si>
    <t>2170,38</t>
  </si>
  <si>
    <t xml:space="preserve">С5maxN -  ставки за единицу максимальной мощности для определения платы за технологическое присоединение к электрическим сетям на уровне напряжения ниже 35 кВ и максимальной мощностью энергопримающих устройств Заявителя менее 8 900 кВт на осуществление мероприятий по строительству трансформаторных подстанций (ТП), за исключением распределительных трансформаторных подстанций (РТП),  с уровнем напряжения до 35 кВ (хозяйственным способом) (руб./кВт) </t>
  </si>
  <si>
    <t>Данные за 2015 год (без Индивидуальных проектов)</t>
  </si>
  <si>
    <t>ВЛ 0,4 кВ (до 670 кВт)</t>
  </si>
  <si>
    <t>ВЛ 6-10 кВ (до 670 кВт)</t>
  </si>
  <si>
    <t>ВЛ 0,4 кВ (до 15 кВт) - льгота (550р.)</t>
  </si>
  <si>
    <t>ВЛ 0,4 кВ (до 150 кВт - прочие)</t>
  </si>
  <si>
    <t>Всего по Вне Г.Н.П. Изолир. алюм. до 50 мм (ВЛ-0,4 до 15 кВт (не льгота)):</t>
  </si>
  <si>
    <t>Всего по Г.Н.П. Изолир. алюм. до 50 мм (ВЛ-0,4 от 15 до 150 кВт):</t>
  </si>
  <si>
    <t>ВЛ 0,4 кВ (свыше 150 кВт - прочие)</t>
  </si>
  <si>
    <t>ВЛ 6-10 кВ (до 15 кВт) - льгота (550р.)</t>
  </si>
  <si>
    <t>ВЛ 6-10 кВ (до 150 кВт - прочие)</t>
  </si>
  <si>
    <t>СТС С2</t>
  </si>
  <si>
    <t>Ставка за 1 кВт</t>
  </si>
  <si>
    <t>руб./км</t>
  </si>
  <si>
    <t xml:space="preserve"> руб. /1 кВт</t>
  </si>
  <si>
    <t>Расходы на строительство объекта, руб на 1 км</t>
  </si>
  <si>
    <t>Расходы на строительство объекта с учетом ИПЦ, руб. на 1 км</t>
  </si>
  <si>
    <t>Сумма расходоа за 3 года с учетом ИПЦ</t>
  </si>
  <si>
    <t xml:space="preserve"> руб./км</t>
  </si>
  <si>
    <t>Подготовка и выдача сетевой организацией ТУ Заявителю и их согласование с СО и ССО (при необходимости)</t>
  </si>
  <si>
    <t>Проверка сетевой организацией выполнения Заявителем ТУ в соответствии с разделом IX Правил ТП (включая процедуры, предусмотренные п.п. "г" - "е" п. 7 Правил ТП)</t>
  </si>
  <si>
    <t>ВСЕГО</t>
  </si>
  <si>
    <t xml:space="preserve">в т.ч. </t>
  </si>
  <si>
    <t xml:space="preserve"> Льготнаяе категории потребителей до 15 кВт</t>
  </si>
  <si>
    <t xml:space="preserve"> Всего без учета льготной категории потребителей до 15 кВт</t>
  </si>
  <si>
    <t>Количество, шт</t>
  </si>
  <si>
    <t>Мощность, кВт</t>
  </si>
  <si>
    <t>Ставка, руб/присоединение</t>
  </si>
  <si>
    <t>Ставка,  руб/кВт</t>
  </si>
  <si>
    <t xml:space="preserve">Оплата труда ППП </t>
  </si>
  <si>
    <t>Инвестиционная составляющая</t>
  </si>
  <si>
    <t>в т.ч. ВЛ 0,4 кВ</t>
  </si>
  <si>
    <t xml:space="preserve">         ВЛ 6-10 кВ</t>
  </si>
  <si>
    <t xml:space="preserve">         ТП, КТП</t>
  </si>
  <si>
    <t>Необходимая валовая выручка</t>
  </si>
  <si>
    <t>в среднем 2019</t>
  </si>
  <si>
    <t xml:space="preserve">        КЛ 6-10 кВ</t>
  </si>
  <si>
    <t>НВВ, тыс.руб.</t>
  </si>
  <si>
    <t>Расходы на строительство объекта, руб на 1 кВт</t>
  </si>
  <si>
    <t>Расходы на строительство объекта с учетом ИПЦ, руб. на 1 кВт</t>
  </si>
  <si>
    <t>Сценарий В группе из списка "Факт" И
Период планирования В группе из списка "2018" И
Вид деятельности В группе из списка "Технологическое присоедин..."</t>
  </si>
  <si>
    <t>Код статьи</t>
  </si>
  <si>
    <t>Январь</t>
  </si>
  <si>
    <t>Февраль</t>
  </si>
  <si>
    <t>Март</t>
  </si>
  <si>
    <t>Апрель</t>
  </si>
  <si>
    <t>Май</t>
  </si>
  <si>
    <t>Факт</t>
  </si>
  <si>
    <t>Прибыль (убыток) до налогообложения</t>
  </si>
  <si>
    <t>Прибыль от продаж</t>
  </si>
  <si>
    <t>Выручка от услуг по технологическому присоединению</t>
  </si>
  <si>
    <t>Технологическое присоединение до 15 кВт включительно</t>
  </si>
  <si>
    <t>1.2.1</t>
  </si>
  <si>
    <t>Технологическое присоединение свыше 15 кВт и до 150 кВт включительно</t>
  </si>
  <si>
    <t>1.2.2</t>
  </si>
  <si>
    <t>Материальные затраты</t>
  </si>
  <si>
    <t>Покупная энергия на производственные и хозяйственные нужды</t>
  </si>
  <si>
    <t>2.1.3</t>
  </si>
  <si>
    <t>2.1.3.1</t>
  </si>
  <si>
    <t>Тепловая на производственные и хозяйственные нужды</t>
  </si>
  <si>
    <t>2.1.3.2</t>
  </si>
  <si>
    <t>Сырьё и материалы</t>
  </si>
  <si>
    <t>2.1.4</t>
  </si>
  <si>
    <t>2.1.4.1</t>
  </si>
  <si>
    <t>2.1.4.1.1</t>
  </si>
  <si>
    <t>2.1.4.1.2</t>
  </si>
  <si>
    <t>Материалы на техобслуживание</t>
  </si>
  <si>
    <t>2.1.4.3</t>
  </si>
  <si>
    <t>2.1.4.3.2</t>
  </si>
  <si>
    <t>2.1.4.3.3</t>
  </si>
  <si>
    <t>2.1.4.3.4</t>
  </si>
  <si>
    <t>2.1.4.3.5</t>
  </si>
  <si>
    <t>2.1.4.3.7</t>
  </si>
  <si>
    <t>2.1.4.3.9</t>
  </si>
  <si>
    <t>Материалы на ремонт</t>
  </si>
  <si>
    <t>2.1.4.4</t>
  </si>
  <si>
    <t>2.1.4.4.2</t>
  </si>
  <si>
    <t>2.1.4.4.3</t>
  </si>
  <si>
    <t>2.1.4.4.5</t>
  </si>
  <si>
    <t>Прочие материалы</t>
  </si>
  <si>
    <t>2.1.4.5</t>
  </si>
  <si>
    <t>2.1.4.5.2</t>
  </si>
  <si>
    <t>2.1.4.5.3</t>
  </si>
  <si>
    <t>2.1.4.5.4</t>
  </si>
  <si>
    <t>Прочие материалы по пожарной  безопасности</t>
  </si>
  <si>
    <t>2.1.4.5.5</t>
  </si>
  <si>
    <t>2.1.4.5.6</t>
  </si>
  <si>
    <t>2.1.4.5.7</t>
  </si>
  <si>
    <t>2.1.4.5.8</t>
  </si>
  <si>
    <t>2.1.4.5.9</t>
  </si>
  <si>
    <t>2.1.4.5.10</t>
  </si>
  <si>
    <t>Прочие материалы оргтехника, ПК, сервера, сетевое оборудование</t>
  </si>
  <si>
    <t>2.1.4.5.12</t>
  </si>
  <si>
    <t>Работы и услуги производственного характера (сторонних организаций)</t>
  </si>
  <si>
    <t>Услуги подрядчиков по обслуживанию и ремонту</t>
  </si>
  <si>
    <t>2.2.1</t>
  </si>
  <si>
    <t>Услуги подрядчиков по техобслуживанию</t>
  </si>
  <si>
    <t>2.2.1.1</t>
  </si>
  <si>
    <t>2.2.1.1.3</t>
  </si>
  <si>
    <t>Услуги подрядчиков по техобслуживанию транспорта административно-хозяйственного назначения</t>
  </si>
  <si>
    <t>2.2.1.1.4</t>
  </si>
  <si>
    <t>2.2.1.1.5</t>
  </si>
  <si>
    <t>2.2.1.1.9</t>
  </si>
  <si>
    <t>Ремонт подрядным способом</t>
  </si>
  <si>
    <t>2.2.1.2</t>
  </si>
  <si>
    <t>2.2.1.2.4</t>
  </si>
  <si>
    <t>Прочие услуги производственного характера</t>
  </si>
  <si>
    <t>2.2.6</t>
  </si>
  <si>
    <t>Услуги технического надзора</t>
  </si>
  <si>
    <t>2.2.6.9</t>
  </si>
  <si>
    <t>Фонд оплаты труда</t>
  </si>
  <si>
    <t>2.3.I</t>
  </si>
  <si>
    <t>Доплаты и надбавки к тарифным ставкам и окладам</t>
  </si>
  <si>
    <t>2.4</t>
  </si>
  <si>
    <t>Вознаграждения (надбавки) за выслугу лет, стаж работы</t>
  </si>
  <si>
    <t>2.4.1</t>
  </si>
  <si>
    <t>Единовременные премии</t>
  </si>
  <si>
    <t>2.5</t>
  </si>
  <si>
    <t>Премии и вознаграждения, носящие систематический характер</t>
  </si>
  <si>
    <t>2.5.1</t>
  </si>
  <si>
    <t>2.7</t>
  </si>
  <si>
    <t>2.9</t>
  </si>
  <si>
    <t>Резервы в части ФОТ</t>
  </si>
  <si>
    <t>2.10</t>
  </si>
  <si>
    <t>Резерв на оплату отпусков (без страховых взносов)</t>
  </si>
  <si>
    <t>2.10.1</t>
  </si>
  <si>
    <t>Резерв на оплату вознаграждения по итогам работы за квартал (без страховых взносов)</t>
  </si>
  <si>
    <t>2.10.3</t>
  </si>
  <si>
    <t>2.8</t>
  </si>
  <si>
    <t>Страховые взносы</t>
  </si>
  <si>
    <t>2.11</t>
  </si>
  <si>
    <t>Страховые взносы с учетом резервов на обязательное пенсионное страхование ПФ РФ (страховая часть)</t>
  </si>
  <si>
    <t>2.11.1.</t>
  </si>
  <si>
    <t>Страховые взносы на обязательное пенсионное страхование ПФ РФ (страховая часть)</t>
  </si>
  <si>
    <t>2.11.1.1</t>
  </si>
  <si>
    <t>Страховые взносы на обязательное пенсионное страхование ПФ РФ (страховая часть) (резерв на выплату вознаграждений по итогам квартала)</t>
  </si>
  <si>
    <t>2.11.1.3</t>
  </si>
  <si>
    <t>Страховые взносы на обязательное пенсионное страхование ПФ РФ (страховая часть) (резерв на оплату отпусков)</t>
  </si>
  <si>
    <t>2.11.1.5</t>
  </si>
  <si>
    <t>Страховые взносы с учетом резервов на ОМС ФФОМС</t>
  </si>
  <si>
    <t>2.11.3.</t>
  </si>
  <si>
    <t>2.11.3.1</t>
  </si>
  <si>
    <t>2.11.3.3</t>
  </si>
  <si>
    <t>2.11.3.5</t>
  </si>
  <si>
    <t>Страховые взносы с учетом резервов на обязательное страхование от НС и ПЗ в ФСС</t>
  </si>
  <si>
    <t>2.11.5.</t>
  </si>
  <si>
    <t>Страховые взносы на обязательное страхование от НС и ПЗ в ФСС</t>
  </si>
  <si>
    <t>2.11.5.1</t>
  </si>
  <si>
    <t>2.11.5.3</t>
  </si>
  <si>
    <t>2.11.5.5</t>
  </si>
  <si>
    <t>Страховые взносы с учетом резервов на случай временной нетрудоспособности и в связи с материнством ФСС</t>
  </si>
  <si>
    <t>2.11.6.</t>
  </si>
  <si>
    <t>2.11.6.1</t>
  </si>
  <si>
    <t>2.11.6.3</t>
  </si>
  <si>
    <t>2.11.6.5</t>
  </si>
  <si>
    <t>Амортизация основных средств и НМА</t>
  </si>
  <si>
    <t>2.13</t>
  </si>
  <si>
    <t>2.13.1</t>
  </si>
  <si>
    <t>2.13.6</t>
  </si>
  <si>
    <t>Прочие затраты</t>
  </si>
  <si>
    <t>2.14</t>
  </si>
  <si>
    <t>Услуги ПАО "Россети"</t>
  </si>
  <si>
    <t>2.14.1</t>
  </si>
  <si>
    <t>2.14.1.1</t>
  </si>
  <si>
    <t>2.14.1.2</t>
  </si>
  <si>
    <t>Услуги сторонних организаций</t>
  </si>
  <si>
    <t>2.14.2</t>
  </si>
  <si>
    <t>Услуги связи и передачи данных</t>
  </si>
  <si>
    <t>2.14.2.1</t>
  </si>
  <si>
    <t>Услуги связи и передаче данных - мобильная связь</t>
  </si>
  <si>
    <t>2.14.2.1.1</t>
  </si>
  <si>
    <t>Услуги связи и передаче данных - городская и междугородняя телефонная связь</t>
  </si>
  <si>
    <t>2.14.2.1.2</t>
  </si>
  <si>
    <t>2.14.2.1.3</t>
  </si>
  <si>
    <t>2.14.2.1.4</t>
  </si>
  <si>
    <t>2.14.2.1.5</t>
  </si>
  <si>
    <t>2.14.2.1.6</t>
  </si>
  <si>
    <t>2.14.2.1.7</t>
  </si>
  <si>
    <t>2.14.2.2</t>
  </si>
  <si>
    <t>2.14.2.2.1</t>
  </si>
  <si>
    <t>2.14.2.2.3</t>
  </si>
  <si>
    <t>2.14.2.2.4</t>
  </si>
  <si>
    <t>Услуги коммунального хозяйства - прочие</t>
  </si>
  <si>
    <t>2.14.2.2.7</t>
  </si>
  <si>
    <t>Услуги по обучению</t>
  </si>
  <si>
    <t>2.14.2.3</t>
  </si>
  <si>
    <t>2.14.2.3.1</t>
  </si>
  <si>
    <t>2.14.2.3.2</t>
  </si>
  <si>
    <t>2.14.2.3.3</t>
  </si>
  <si>
    <t>Услуги по IT-обслуживанию</t>
  </si>
  <si>
    <t>2.14.2.4</t>
  </si>
  <si>
    <t>2.14.2.4.1</t>
  </si>
  <si>
    <t>2.14.2.4.2</t>
  </si>
  <si>
    <t>Услуги ИТ - внедрение развитие и сопровождение ПО и систем SAP</t>
  </si>
  <si>
    <t>2.14.2.4.3</t>
  </si>
  <si>
    <t>2.14.2.4.4</t>
  </si>
  <si>
    <t>2.14.2.4.5</t>
  </si>
  <si>
    <t>Услуги ИТ - прочие</t>
  </si>
  <si>
    <t>2.14.2.4.6</t>
  </si>
  <si>
    <t>2.14.2.6</t>
  </si>
  <si>
    <t>2.14.2.9</t>
  </si>
  <si>
    <t>Услуги пожарной охраны - техническое обслуживание автоматических установок пожаротушения и пожарной сигнализации</t>
  </si>
  <si>
    <t>2.14.2.10</t>
  </si>
  <si>
    <t>2.14.2.12</t>
  </si>
  <si>
    <t>Услуги PR, СМИ, рекламы</t>
  </si>
  <si>
    <t>2.14.2.13</t>
  </si>
  <si>
    <t>2.14.2.13.3</t>
  </si>
  <si>
    <t>Прочие работы и услуги сторонних организаций</t>
  </si>
  <si>
    <t>2.14.2.14</t>
  </si>
  <si>
    <t>2.14.2.14.1</t>
  </si>
  <si>
    <t>Услуги по предрейсовому медосмотру водителей транспорта административно-хозяйственного назначения</t>
  </si>
  <si>
    <t>2.14.2.14.2</t>
  </si>
  <si>
    <t>Услуги по предрейсовому медосмотру водителей транспорта производственного назначения</t>
  </si>
  <si>
    <t>2.14.2.14.3</t>
  </si>
  <si>
    <t>2.14.2.14.4</t>
  </si>
  <si>
    <t>2.14.2.14.5</t>
  </si>
  <si>
    <t>2.14.2.14.6</t>
  </si>
  <si>
    <t>Услуги сторонних организаций - другие</t>
  </si>
  <si>
    <t>2.14.2.14.17</t>
  </si>
  <si>
    <t>Командировочные и представительские затраты</t>
  </si>
  <si>
    <t>2.14.3</t>
  </si>
  <si>
    <t>Командировочные по повышению квалификации</t>
  </si>
  <si>
    <t>2.14.3.1</t>
  </si>
  <si>
    <t>2.14.3.1.1</t>
  </si>
  <si>
    <t>2.14.3.1.2</t>
  </si>
  <si>
    <t>2.14.3.1.4</t>
  </si>
  <si>
    <t>2.14.3.1.5</t>
  </si>
  <si>
    <t>Командировочные производственного назначения</t>
  </si>
  <si>
    <t>2.14.3.2</t>
  </si>
  <si>
    <t>2.14.3.2.1</t>
  </si>
  <si>
    <t>2.14.3.2.2</t>
  </si>
  <si>
    <t>2.14.3.2.3</t>
  </si>
  <si>
    <t>2.14.3.2.4</t>
  </si>
  <si>
    <t>2.14.3.2.5</t>
  </si>
  <si>
    <t>Арендная плата</t>
  </si>
  <si>
    <t>2.14.4</t>
  </si>
  <si>
    <t>2.14.4.1</t>
  </si>
  <si>
    <t>2.14.4.3</t>
  </si>
  <si>
    <t>2.14.4.6</t>
  </si>
  <si>
    <t>Затраты по страхованию</t>
  </si>
  <si>
    <t>2.14.7</t>
  </si>
  <si>
    <t>2.14.7.1</t>
  </si>
  <si>
    <t>2.14.7.3</t>
  </si>
  <si>
    <t>2.14.7.5</t>
  </si>
  <si>
    <t>2.14.7.6</t>
  </si>
  <si>
    <t>2.14.7.8</t>
  </si>
  <si>
    <t>2.14.7.9</t>
  </si>
  <si>
    <t>Налоги и сборы</t>
  </si>
  <si>
    <t>2.14.8</t>
  </si>
  <si>
    <t>2.14.8.2</t>
  </si>
  <si>
    <t>2.14.8.3</t>
  </si>
  <si>
    <t>2.14.8.4</t>
  </si>
  <si>
    <t>2.14.8.5</t>
  </si>
  <si>
    <t>Плата за возмещение вреда дорогам федерального значения</t>
  </si>
  <si>
    <t>2.14.8.7</t>
  </si>
  <si>
    <t>Затраты  на экологию (кроме налогов и сборов)</t>
  </si>
  <si>
    <t>2.14.10</t>
  </si>
  <si>
    <t>Другие затраты</t>
  </si>
  <si>
    <t>2.14.11</t>
  </si>
  <si>
    <t>2.14.11.2</t>
  </si>
  <si>
    <t>2.14.11.5</t>
  </si>
  <si>
    <t>Затраты по охране труда</t>
  </si>
  <si>
    <t>2.14.11.6</t>
  </si>
  <si>
    <t>2.14.11.6.2</t>
  </si>
  <si>
    <t>Услуги по аттестации объекта информатизации, технической защите информации, составляющей государственную тайну</t>
  </si>
  <si>
    <t>2.14.11.8</t>
  </si>
  <si>
    <t>Доходы Штрафы, пени, неустойки</t>
  </si>
  <si>
    <t>8.5</t>
  </si>
  <si>
    <t>Доходы Штрафы, пени, неустойки по хозяйственным договорам признанные</t>
  </si>
  <si>
    <t>8.5.1</t>
  </si>
  <si>
    <t>Возмещаемые доходы</t>
  </si>
  <si>
    <t>8.16</t>
  </si>
  <si>
    <t>Доходы: возмещение судебных издержек</t>
  </si>
  <si>
    <t>8.16.1</t>
  </si>
  <si>
    <t>Доходы: возмещение фактических затрат сторонними организациями и физлицами</t>
  </si>
  <si>
    <t>8.16.4</t>
  </si>
  <si>
    <t>Прочие расходы</t>
  </si>
  <si>
    <t>Расходы Оплата услуг кредитных организаций</t>
  </si>
  <si>
    <t>9.4</t>
  </si>
  <si>
    <t>Расходы Оплата услуг кредитных организаций (РКО)</t>
  </si>
  <si>
    <t>9.4.1</t>
  </si>
  <si>
    <t>Данные за 2018 год</t>
  </si>
  <si>
    <t>ВЛ 6-10 кВ (свыше 150 кВт - прочие)</t>
  </si>
  <si>
    <t>С5. Строительство трансформаторных подстанций (ТП), за исключением распределительных трансформаторных подстанций (РТП), с уровнем напряжения до 35 кВ (До 15 кВт)</t>
  </si>
  <si>
    <t>С5. Строительство трансформаторных подстанций (ТП), за исключением распределительных трансформаторных подстанций (РТП), с уровнем напряжения до 35 кВ (от 15 -150 прочие)</t>
  </si>
  <si>
    <t>Физ параметры</t>
  </si>
  <si>
    <t>Расходы на стр</t>
  </si>
  <si>
    <t>Мощность</t>
  </si>
  <si>
    <t>ВЛ 0,4-10</t>
  </si>
  <si>
    <t>С5</t>
  </si>
  <si>
    <t>ПРОВЕРКА</t>
  </si>
  <si>
    <t xml:space="preserve">Начальник управления экономики и тарифообразования </t>
  </si>
  <si>
    <t>среднее за 3 года</t>
  </si>
  <si>
    <t>Обороты счета 20 за 1 полугодие 2018 г.</t>
  </si>
  <si>
    <t>ОБЫЧНЫЕ ВИДЫ ДЕЯТЕЛЬНОСТИ</t>
  </si>
  <si>
    <t>до 15</t>
  </si>
  <si>
    <t>150-670</t>
  </si>
  <si>
    <t>Итого 1пг 2018</t>
  </si>
  <si>
    <t>за 2018 год</t>
  </si>
  <si>
    <t>Установленные СТС на 2018 год (в ценах 2018г.)</t>
  </si>
  <si>
    <t>Установленные СТС на 2018 год (в  ценах 2019 - с учётом ИЦП)</t>
  </si>
  <si>
    <t>Отклонение СТС (среднефакт. от ТБР), %</t>
  </si>
  <si>
    <t>в ценах 2019 года</t>
  </si>
  <si>
    <t>Сечение провода, мм2</t>
  </si>
  <si>
    <t>Расходы на строительство объекта с учетом ИПЦ, руб. за 1 км</t>
  </si>
  <si>
    <t>Утверждено РСТ РК на 2018 год 6-10 кВт</t>
  </si>
  <si>
    <t/>
  </si>
  <si>
    <t>Заявка на 2019 год</t>
  </si>
  <si>
    <t>Установленные СП на 2018 год (в  ценах 2019 - с учётом ИЦП)</t>
  </si>
  <si>
    <t>Отклонение СП (среднефакт. от ТБР), %</t>
  </si>
  <si>
    <t>Установленные СП на 2018 год (в ценах 2018г.)</t>
  </si>
  <si>
    <t>изменить</t>
  </si>
  <si>
    <t xml:space="preserve"> ТБР 2018 г Плата за присоединение, руб. за 1 кВт </t>
  </si>
  <si>
    <t xml:space="preserve">ТБР 2018 Плата за присоединение, руб. за 1 присоединение </t>
  </si>
  <si>
    <t>Отклонение 
Ст.32=Ст.30-Ст.28</t>
  </si>
  <si>
    <t>Отклонение 
Ст.31=Ст.27/Ст.29</t>
  </si>
  <si>
    <t>2015*</t>
  </si>
  <si>
    <t>2016*</t>
  </si>
  <si>
    <t>* В  2015 и 2016 гг. учтены фактические данные с сайта ОАО "КалмЭнергоКом", имущество которого консолидировано филиалом ПАО "МРСК Юга" - "Калмэнерго" в декабре 2016 г.</t>
  </si>
  <si>
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"МРСК Юга" - "Калмэнерго"</t>
  </si>
  <si>
    <t>Расходы на выполнение мероприятий по технологическому присоединению филиала ПАО "МРСК Юга" - "Калмэнерго", предусмотренным подпунктами «а» и «в» пункта 16 Методических указаний ФАС России, за 2015-2017 годы</t>
  </si>
  <si>
    <t>Расчет фактических расходов на выполнение мероприятий по технологическому присоединению филиала ПАО "МРСК Юга" - "Калмэнерго", предусмотренных подпунктами «а» и «в» пункта 16 Методических указаний ФАС России, за 2015-2017 годы</t>
  </si>
  <si>
    <t>Сведения о строительстве линий электропередачи при технологическом присоединении энергопринимающих устройств максимальной мощности менее 8900 кВт и на уровне напряжения ниже 35 кВ к сетям филиала ПАО "МРСК Юга" - "Калмэнерго"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</si>
</sst>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\ _₽_-;\-* #,##0.00\ _₽_-;_-* &quot;-&quot;??\ _₽_-;_-@_-"/>
    <numFmt numFmtId="164" formatCode="_-* #,##0_р_._-;\-* #,##0_р_._-;_-* &quot;-&quot;_р_._-;_-@_-"/>
    <numFmt numFmtId="165" formatCode="_(* #,##0.00_);_(* \(#,##0.00\);_(* &quot;-&quot;??_);_(@_)"/>
    <numFmt numFmtId="166" formatCode="0.000"/>
    <numFmt numFmtId="167" formatCode="0.000000"/>
    <numFmt numFmtId="168" formatCode="_-* #,##0.00_$_-;\-* #,##0.00_$_-;_-* &quot;-&quot;??_$_-;_-@_-"/>
    <numFmt numFmtId="169" formatCode="#,##0.00;[Red]\-#,##0.00;_(* &quot;-&quot;??_)"/>
    <numFmt numFmtId="170" formatCode="#,##0;[Red]\-#,##0;_(* &quot;-&quot;??_)"/>
    <numFmt numFmtId="171" formatCode="#,##0.00_ ;[Red]\-#,##0.00\ "/>
    <numFmt numFmtId="172" formatCode="_-* #,##0.000_р_._-;\-* #,##0.000_р_._-;_-* &quot;-&quot;???_р_._-;_-@_-"/>
    <numFmt numFmtId="173" formatCode="_(* #,##0.000_);_(* \(#,##0.000\);_(* &quot;-&quot;??_);_(@_)"/>
    <numFmt numFmtId="174" formatCode="#,##0.000_ ;[Red]\-#,##0.000\ "/>
    <numFmt numFmtId="175" formatCode="_-* #,##0.00_р_._-;\-* #,##0.00_р_._-;_-* &quot;-&quot;??_р_._-;_-@_-"/>
    <numFmt numFmtId="176" formatCode="#,##0.0000"/>
    <numFmt numFmtId="177" formatCode="_(* #,##0_);_(* \(#,##0\);_(* &quot;-&quot;??_);_(@_)"/>
    <numFmt numFmtId="178" formatCode="#,##0_ ;[Red]\-#,##0\ "/>
    <numFmt numFmtId="179" formatCode="0.0"/>
    <numFmt numFmtId="180" formatCode="#,##0.000000000000000000000000000000000_ ;\-#,##0.000000000000000000000000000000000\ "/>
    <numFmt numFmtId="181" formatCode="&quot;$&quot;#,##0_);[Red]\(&quot;$&quot;#,##0\)"/>
    <numFmt numFmtId="182" formatCode="_-* #,##0.00&quot;р.&quot;_-;\-* #,##0.00&quot;р.&quot;_-;_-* &quot;-&quot;??&quot;р.&quot;_-;_-@_-"/>
    <numFmt numFmtId="183" formatCode="_-* #,##0.00[$€-1]_-;\-* #,##0.00[$€-1]_-;_-* &quot;-&quot;??[$€-1]_-"/>
    <numFmt numFmtId="184" formatCode="General_)"/>
    <numFmt numFmtId="185" formatCode="_-* #,##0.00_$_-;\-* #,##0.00_$_-;_-* \-??_$_-;_-@_-"/>
    <numFmt numFmtId="186" formatCode="#,##0.00000"/>
    <numFmt numFmtId="187" formatCode="0.00000"/>
    <numFmt numFmtId="188" formatCode="#,##0.000000"/>
    <numFmt numFmtId="189" formatCode="0.0%"/>
    <numFmt numFmtId="190" formatCode="_-* #,##0.000_р_._-;\-* #,##0.000_р_._-;_-* &quot;-&quot;??_р_._-;_-@_-"/>
    <numFmt numFmtId="191" formatCode="#,##0.00000_ ;[Red]\-#,##0.00000\ "/>
    <numFmt numFmtId="192" formatCode="_-* #,##0_р_._-;\-* #,##0_р_._-;_-* &quot;-&quot;??_р_._-;_-@_-"/>
    <numFmt numFmtId="193" formatCode="_(* #,##0.00000_);_(* \(#,##0.00000\);_(* &quot;-&quot;??_);_(@_)"/>
    <numFmt numFmtId="194" formatCode="0.0000"/>
    <numFmt numFmtId="195" formatCode="#,##0.000000_ ;[Red]\-#,##0.000000\ "/>
    <numFmt numFmtId="196" formatCode="_(* #,##0.0000_);_(* \(#,##0.0000\);_(* &quot;-&quot;??_);_(@_)"/>
    <numFmt numFmtId="197" formatCode="#,##0.00000000_ ;[Red]\-#,##0.00000000\ "/>
    <numFmt numFmtId="198" formatCode="_-* #,##0.000\ _₽_-;\-* #,##0.000\ _₽_-;_-* &quot;-&quot;???\ _₽_-;_-@_-"/>
    <numFmt numFmtId="199" formatCode="_(* #,##0.000000000000_);_(* \(#,##0.000000000000\);_(* &quot;-&quot;??_);_(@_)"/>
    <numFmt numFmtId="200" formatCode="0.0000000"/>
    <numFmt numFmtId="201" formatCode="_(* #,##0.0_);_(* \(#,##0.0\);_(* &quot;-&quot;??_);_(@_)"/>
    <numFmt numFmtId="202" formatCode="#,##0.0"/>
    <numFmt numFmtId="203" formatCode="#,##0.000"/>
  </numFmts>
  <fonts count="18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4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9"/>
      <name val="Tahoma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Arial Cyr"/>
      <charset val="204"/>
    </font>
    <font>
      <b/>
      <sz val="10"/>
      <name val="Times New Roman"/>
      <family val="1"/>
      <charset val="204"/>
    </font>
    <font>
      <sz val="9"/>
      <name val="Arial"/>
      <family val="2"/>
      <charset val="204"/>
    </font>
    <font>
      <i/>
      <sz val="12"/>
      <name val="Times New Roman"/>
      <family val="1"/>
      <charset val="204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24"/>
      <name val="Arial"/>
      <family val="2"/>
    </font>
    <font>
      <sz val="9"/>
      <color indexed="24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sz val="10"/>
      <name val="Arial"/>
      <family val="2"/>
    </font>
    <font>
      <sz val="9"/>
      <color rgb="FFC00000"/>
      <name val="Arial"/>
      <family val="2"/>
    </font>
    <font>
      <sz val="8"/>
      <name val="Arial"/>
      <family val="2"/>
    </font>
    <font>
      <sz val="8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8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FF"/>
      <name val="Arial Cyr"/>
      <charset val="204"/>
    </font>
    <font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i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rgb="FFFF0000"/>
      <name val="Arial Cyr"/>
      <charset val="204"/>
    </font>
    <font>
      <sz val="12"/>
      <color rgb="FF0000FF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0"/>
      <color rgb="FF0000FF"/>
      <name val="Arial Cyr"/>
      <charset val="204"/>
    </font>
    <font>
      <sz val="10"/>
      <color rgb="FFFF0000"/>
      <name val="Times New Roman"/>
      <family val="1"/>
      <charset val="204"/>
    </font>
    <font>
      <sz val="8"/>
      <color rgb="FF0000FF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name val="Arial Cyr"/>
      <charset val="204"/>
    </font>
    <font>
      <i/>
      <sz val="10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i/>
      <sz val="10"/>
      <color rgb="FF0000FF"/>
      <name val="Arial Cyr"/>
      <charset val="204"/>
    </font>
    <font>
      <b/>
      <sz val="8"/>
      <name val="Arial"/>
      <family val="2"/>
      <charset val="204"/>
    </font>
    <font>
      <b/>
      <sz val="16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0"/>
      <name val="Helv"/>
    </font>
    <font>
      <sz val="10"/>
      <name val="Arial CYR"/>
    </font>
    <font>
      <sz val="10"/>
      <name val="MS Sans Serif"/>
      <family val="2"/>
      <charset val="204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9"/>
      <name val="HelvDL"/>
    </font>
    <font>
      <sz val="9"/>
      <name val="HelvDL"/>
    </font>
    <font>
      <sz val="10"/>
      <name val="NTHarmonica"/>
    </font>
    <font>
      <b/>
      <i/>
      <sz val="1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8"/>
      <name val="Arial"/>
      <family val="2"/>
    </font>
    <font>
      <b/>
      <sz val="11"/>
      <name val="Times New Roman"/>
      <family val="1"/>
      <charset val="204"/>
    </font>
    <font>
      <sz val="10"/>
      <color rgb="FFFFFF00"/>
      <name val="Arial"/>
      <family val="2"/>
      <charset val="204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i/>
      <sz val="10"/>
      <color rgb="FF0000FF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9"/>
      <color theme="1"/>
      <name val="Arial"/>
      <family val="2"/>
      <charset val="204"/>
    </font>
    <font>
      <i/>
      <sz val="8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rgb="FFFF0000"/>
      <name val="Calibri"/>
      <family val="2"/>
      <charset val="204"/>
      <scheme val="minor"/>
    </font>
    <font>
      <b/>
      <sz val="12"/>
      <name val="Arial Cyr"/>
      <charset val="204"/>
    </font>
    <font>
      <b/>
      <i/>
      <sz val="11"/>
      <color theme="1"/>
      <name val="Calibri"/>
      <family val="2"/>
      <charset val="204"/>
      <scheme val="minor"/>
    </font>
    <font>
      <b/>
      <sz val="8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0"/>
      <color rgb="FFFF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rgb="FF0000FF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8"/>
      <color rgb="FF0000FF"/>
      <name val="Arial"/>
      <family val="2"/>
      <charset val="204"/>
    </font>
    <font>
      <i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color rgb="FF0000FF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i/>
      <sz val="10"/>
      <color rgb="FF333333"/>
      <name val="Arial"/>
      <family val="2"/>
      <charset val="204"/>
    </font>
    <font>
      <sz val="14"/>
      <color rgb="FF333333"/>
      <name val="Times New Roman"/>
      <family val="1"/>
      <charset val="204"/>
    </font>
    <font>
      <sz val="12"/>
      <color rgb="FF0000FF"/>
      <name val="Times New Roman"/>
      <family val="1"/>
      <charset val="204"/>
    </font>
    <font>
      <sz val="11"/>
      <name val="Arial"/>
      <family val="2"/>
      <charset val="204"/>
    </font>
    <font>
      <b/>
      <sz val="12"/>
      <name val="Times New Roman"/>
      <family val="1"/>
      <charset val="204"/>
    </font>
    <font>
      <b/>
      <sz val="16"/>
      <name val="Arial Cyr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theme="1"/>
      <name val="Calibri"/>
      <family val="2"/>
      <scheme val="minor"/>
    </font>
    <font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0"/>
      <name val="Arial"/>
      <family val="2"/>
      <charset val="204"/>
    </font>
    <font>
      <b/>
      <sz val="11"/>
      <color rgb="FFC0000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4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color indexed="81"/>
      <name val="Tahoma"/>
      <family val="2"/>
      <charset val="204"/>
    </font>
    <font>
      <b/>
      <sz val="10"/>
      <color rgb="FFFF0000"/>
      <name val="Arial"/>
      <family val="2"/>
      <charset val="204"/>
    </font>
    <font>
      <sz val="24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color theme="1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FF"/>
        <bgColor indexed="64"/>
      </patternFill>
    </fill>
  </fills>
  <borders count="2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indexed="29"/>
      </left>
      <right/>
      <top/>
      <bottom style="thin">
        <color indexed="29"/>
      </bottom>
      <diagonal/>
    </border>
    <border>
      <left/>
      <right style="thin">
        <color indexed="29"/>
      </right>
      <top/>
      <bottom style="thin">
        <color indexed="29"/>
      </bottom>
      <diagonal/>
    </border>
    <border>
      <left/>
      <right style="thin">
        <color indexed="26"/>
      </right>
      <top style="thin">
        <color indexed="26"/>
      </top>
      <bottom/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/>
      <top style="thin">
        <color indexed="29"/>
      </top>
      <bottom/>
      <diagonal/>
    </border>
    <border>
      <left/>
      <right style="thin">
        <color indexed="29"/>
      </right>
      <top style="thin">
        <color indexed="29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thin">
        <color indexed="24"/>
      </top>
      <bottom style="thin">
        <color indexed="24"/>
      </bottom>
      <diagonal/>
    </border>
    <border>
      <left/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/>
      <right/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4"/>
      </left>
      <right/>
      <top style="thin">
        <color indexed="30"/>
      </top>
      <bottom style="thin">
        <color indexed="30"/>
      </bottom>
      <diagonal/>
    </border>
    <border>
      <left/>
      <right style="thin">
        <color indexed="24"/>
      </right>
      <top style="thin">
        <color indexed="30"/>
      </top>
      <bottom style="thin">
        <color indexed="30"/>
      </bottom>
      <diagonal/>
    </border>
    <border>
      <left style="thin">
        <color indexed="24"/>
      </left>
      <right/>
      <top style="thin">
        <color indexed="24"/>
      </top>
      <bottom style="thin">
        <color indexed="30"/>
      </bottom>
      <diagonal/>
    </border>
    <border>
      <left/>
      <right/>
      <top style="thin">
        <color indexed="24"/>
      </top>
      <bottom style="thin">
        <color indexed="30"/>
      </bottom>
      <diagonal/>
    </border>
    <border>
      <left/>
      <right style="thin">
        <color indexed="24"/>
      </right>
      <top style="thin">
        <color indexed="24"/>
      </top>
      <bottom style="thin">
        <color indexed="30"/>
      </bottom>
      <diagonal/>
    </border>
    <border>
      <left style="thin">
        <color indexed="24"/>
      </left>
      <right/>
      <top style="thin">
        <color indexed="30"/>
      </top>
      <bottom style="thin">
        <color indexed="24"/>
      </bottom>
      <diagonal/>
    </border>
    <border>
      <left/>
      <right/>
      <top style="thin">
        <color indexed="30"/>
      </top>
      <bottom style="thin">
        <color indexed="24"/>
      </bottom>
      <diagonal/>
    </border>
    <border>
      <left/>
      <right style="thin">
        <color indexed="24"/>
      </right>
      <top style="thin">
        <color indexed="30"/>
      </top>
      <bottom style="thin">
        <color indexed="2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29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/>
      <bottom/>
      <diagonal/>
    </border>
    <border>
      <left/>
      <right style="thin">
        <color indexed="24"/>
      </right>
      <top/>
      <bottom/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indexed="24"/>
      </left>
      <right/>
      <top/>
      <bottom style="thin">
        <color indexed="24"/>
      </bottom>
      <diagonal/>
    </border>
    <border>
      <left/>
      <right/>
      <top/>
      <bottom style="thin">
        <color indexed="24"/>
      </bottom>
      <diagonal/>
    </border>
    <border>
      <left/>
      <right style="thin">
        <color indexed="24"/>
      </right>
      <top/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0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65" fontId="3" fillId="0" borderId="0" applyFont="0" applyFill="0" applyBorder="0" applyAlignment="0" applyProtection="0"/>
    <xf numFmtId="0" fontId="3" fillId="0" borderId="0"/>
    <xf numFmtId="0" fontId="5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3" fillId="0" borderId="0"/>
    <xf numFmtId="0" fontId="4" fillId="0" borderId="0"/>
    <xf numFmtId="0" fontId="2" fillId="0" borderId="0"/>
    <xf numFmtId="168" fontId="4" fillId="0" borderId="0" applyFont="0" applyFill="0" applyBorder="0" applyAlignment="0" applyProtection="0"/>
    <xf numFmtId="0" fontId="36" fillId="0" borderId="0"/>
    <xf numFmtId="0" fontId="54" fillId="0" borderId="0"/>
    <xf numFmtId="9" fontId="36" fillId="0" borderId="0" applyFont="0" applyFill="0" applyBorder="0" applyAlignment="0" applyProtection="0"/>
    <xf numFmtId="0" fontId="4" fillId="0" borderId="0"/>
    <xf numFmtId="0" fontId="85" fillId="0" borderId="0"/>
    <xf numFmtId="0" fontId="3" fillId="0" borderId="0"/>
    <xf numFmtId="0" fontId="3" fillId="0" borderId="0"/>
    <xf numFmtId="0" fontId="86" fillId="0" borderId="0"/>
    <xf numFmtId="0" fontId="3" fillId="0" borderId="0" applyBorder="0" applyAlignment="0">
      <alignment vertical="top" wrapText="1" shrinkToFit="1"/>
    </xf>
    <xf numFmtId="0" fontId="3" fillId="0" borderId="0" applyBorder="0" applyAlignment="0">
      <alignment vertical="top" wrapText="1" shrinkToFit="1"/>
    </xf>
    <xf numFmtId="0" fontId="5" fillId="0" borderId="0"/>
    <xf numFmtId="0" fontId="85" fillId="0" borderId="0"/>
    <xf numFmtId="0" fontId="86" fillId="0" borderId="0" applyBorder="0"/>
    <xf numFmtId="0" fontId="4" fillId="0" borderId="0" applyBorder="0"/>
    <xf numFmtId="16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81" fontId="87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88" fillId="0" borderId="0"/>
    <xf numFmtId="183" fontId="4" fillId="19" borderId="49" applyNumberFormat="0" applyFont="0" applyAlignment="0" applyProtection="0"/>
    <xf numFmtId="0" fontId="89" fillId="0" borderId="0" applyNumberFormat="0">
      <alignment horizontal="left"/>
    </xf>
    <xf numFmtId="184" fontId="90" fillId="0" borderId="50">
      <protection locked="0"/>
    </xf>
    <xf numFmtId="0" fontId="91" fillId="0" borderId="0" applyBorder="0">
      <alignment horizontal="center" vertical="center" wrapText="1"/>
    </xf>
    <xf numFmtId="0" fontId="92" fillId="0" borderId="0" applyBorder="0">
      <alignment horizontal="center" vertical="center" wrapText="1"/>
    </xf>
    <xf numFmtId="184" fontId="93" fillId="20" borderId="50"/>
    <xf numFmtId="4" fontId="9" fillId="21" borderId="0" applyBorder="0">
      <alignment horizontal="right"/>
    </xf>
    <xf numFmtId="4" fontId="3" fillId="0" borderId="0" applyBorder="0">
      <alignment horizontal="right" vertical="top" wrapText="1"/>
    </xf>
    <xf numFmtId="0" fontId="20" fillId="0" borderId="6">
      <alignment horizontal="center" wrapText="1"/>
    </xf>
    <xf numFmtId="0" fontId="94" fillId="0" borderId="0">
      <alignment horizontal="center" vertical="top" wrapText="1"/>
    </xf>
    <xf numFmtId="0" fontId="95" fillId="0" borderId="0">
      <alignment horizontal="center" vertical="center" wrapText="1"/>
    </xf>
    <xf numFmtId="0" fontId="7" fillId="4" borderId="0" applyFill="0">
      <alignment wrapText="1"/>
    </xf>
    <xf numFmtId="0" fontId="96" fillId="0" borderId="0">
      <alignment vertical="top"/>
    </xf>
    <xf numFmtId="0" fontId="90" fillId="0" borderId="0"/>
    <xf numFmtId="0" fontId="4" fillId="0" borderId="0"/>
    <xf numFmtId="0" fontId="11" fillId="0" borderId="0"/>
    <xf numFmtId="0" fontId="1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3" fillId="0" borderId="0"/>
    <xf numFmtId="0" fontId="54" fillId="0" borderId="0"/>
    <xf numFmtId="0" fontId="90" fillId="0" borderId="0"/>
    <xf numFmtId="0" fontId="8" fillId="0" borderId="0"/>
    <xf numFmtId="0" fontId="90" fillId="0" borderId="0"/>
    <xf numFmtId="0" fontId="4" fillId="0" borderId="0"/>
    <xf numFmtId="0" fontId="90" fillId="0" borderId="0"/>
    <xf numFmtId="0" fontId="36" fillId="0" borderId="0"/>
    <xf numFmtId="0" fontId="54" fillId="0" borderId="0"/>
    <xf numFmtId="0" fontId="90" fillId="0" borderId="0"/>
    <xf numFmtId="0" fontId="90" fillId="0" borderId="0"/>
    <xf numFmtId="0" fontId="90" fillId="0" borderId="0"/>
    <xf numFmtId="0" fontId="97" fillId="0" borderId="0">
      <alignment vertical="top" wrapText="1"/>
    </xf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0" fontId="3" fillId="0" borderId="0"/>
    <xf numFmtId="0" fontId="85" fillId="0" borderId="0"/>
    <xf numFmtId="49" fontId="7" fillId="0" borderId="0">
      <alignment horizontal="center"/>
    </xf>
    <xf numFmtId="0" fontId="20" fillId="0" borderId="0">
      <alignment horizontal="center"/>
    </xf>
    <xf numFmtId="164" fontId="98" fillId="0" borderId="0" applyFont="0" applyFill="0" applyBorder="0" applyAlignment="0" applyProtection="0"/>
    <xf numFmtId="175" fontId="98" fillId="0" borderId="0" applyFont="0" applyFill="0" applyBorder="0" applyAlignment="0" applyProtection="0"/>
    <xf numFmtId="175" fontId="8" fillId="0" borderId="0" applyFont="0" applyFill="0" applyBorder="0" applyAlignment="0" applyProtection="0"/>
    <xf numFmtId="185" fontId="90" fillId="0" borderId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54" fillId="0" borderId="0" applyFont="0" applyFill="0" applyBorder="0" applyAlignment="0" applyProtection="0"/>
    <xf numFmtId="4" fontId="9" fillId="4" borderId="0" applyBorder="0">
      <alignment horizontal="right"/>
    </xf>
    <xf numFmtId="4" fontId="9" fillId="4" borderId="51" applyBorder="0">
      <alignment horizontal="right"/>
    </xf>
    <xf numFmtId="4" fontId="9" fillId="4" borderId="1" applyFont="0" applyBorder="0">
      <alignment horizontal="right"/>
    </xf>
    <xf numFmtId="4" fontId="9" fillId="4" borderId="1" applyFont="0" applyBorder="0">
      <alignment horizontal="right"/>
    </xf>
    <xf numFmtId="4" fontId="22" fillId="0" borderId="0">
      <alignment horizontal="right" vertical="top"/>
    </xf>
    <xf numFmtId="0" fontId="54" fillId="0" borderId="0"/>
    <xf numFmtId="0" fontId="20" fillId="0" borderId="6">
      <alignment horizontal="center" wrapText="1"/>
    </xf>
    <xf numFmtId="0" fontId="20" fillId="0" borderId="6">
      <alignment horizontal="center" wrapText="1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9" fillId="4" borderId="1" applyFont="0" applyBorder="0">
      <alignment horizontal="right"/>
    </xf>
    <xf numFmtId="4" fontId="9" fillId="4" borderId="1" applyFont="0" applyBorder="0">
      <alignment horizontal="right"/>
    </xf>
    <xf numFmtId="4" fontId="9" fillId="4" borderId="1" applyFont="0" applyBorder="0">
      <alignment horizontal="right"/>
    </xf>
    <xf numFmtId="183" fontId="4" fillId="19" borderId="49" applyNumberFormat="0" applyFont="0" applyAlignment="0" applyProtection="0"/>
    <xf numFmtId="183" fontId="4" fillId="19" borderId="49" applyNumberFormat="0" applyFont="0" applyAlignment="0" applyProtection="0"/>
    <xf numFmtId="184" fontId="90" fillId="0" borderId="79">
      <protection locked="0"/>
    </xf>
    <xf numFmtId="184" fontId="90" fillId="0" borderId="79">
      <protection locked="0"/>
    </xf>
    <xf numFmtId="184" fontId="93" fillId="20" borderId="79"/>
    <xf numFmtId="184" fontId="93" fillId="20" borderId="79"/>
    <xf numFmtId="0" fontId="20" fillId="0" borderId="80">
      <alignment horizontal="center" wrapText="1"/>
    </xf>
    <xf numFmtId="0" fontId="20" fillId="0" borderId="80">
      <alignment horizontal="center" wrapText="1"/>
    </xf>
    <xf numFmtId="0" fontId="20" fillId="0" borderId="80">
      <alignment horizontal="center" wrapText="1"/>
    </xf>
    <xf numFmtId="4" fontId="9" fillId="4" borderId="81" applyFont="0" applyBorder="0">
      <alignment horizontal="right"/>
    </xf>
    <xf numFmtId="4" fontId="9" fillId="4" borderId="81" applyFont="0" applyBorder="0">
      <alignment horizontal="right"/>
    </xf>
    <xf numFmtId="4" fontId="9" fillId="4" borderId="81" applyFont="0" applyBorder="0">
      <alignment horizontal="right"/>
    </xf>
    <xf numFmtId="4" fontId="9" fillId="4" borderId="81" applyFont="0" applyBorder="0">
      <alignment horizontal="right"/>
    </xf>
    <xf numFmtId="4" fontId="9" fillId="4" borderId="81" applyFont="0" applyBorder="0">
      <alignment horizontal="right"/>
    </xf>
    <xf numFmtId="0" fontId="54" fillId="0" borderId="0"/>
    <xf numFmtId="0" fontId="54" fillId="0" borderId="0"/>
    <xf numFmtId="0" fontId="3" fillId="0" borderId="0"/>
    <xf numFmtId="0" fontId="54" fillId="0" borderId="0"/>
    <xf numFmtId="9" fontId="54" fillId="0" borderId="0" applyFont="0" applyFill="0" applyBorder="0" applyAlignment="0" applyProtection="0"/>
    <xf numFmtId="0" fontId="169" fillId="0" borderId="0"/>
    <xf numFmtId="0" fontId="1" fillId="0" borderId="0"/>
    <xf numFmtId="9" fontId="178" fillId="0" borderId="0" applyFont="0" applyFill="0" applyBorder="0" applyAlignment="0" applyProtection="0"/>
  </cellStyleXfs>
  <cellXfs count="3781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top" wrapText="1"/>
    </xf>
    <xf numFmtId="0" fontId="29" fillId="9" borderId="17" xfId="0" applyNumberFormat="1" applyFont="1" applyFill="1" applyBorder="1" applyAlignment="1">
      <alignment horizontal="right" vertical="top" wrapText="1"/>
    </xf>
    <xf numFmtId="0" fontId="31" fillId="0" borderId="17" xfId="0" applyNumberFormat="1" applyFont="1" applyBorder="1" applyAlignment="1">
      <alignment horizontal="left" vertical="top" wrapText="1"/>
    </xf>
    <xf numFmtId="0" fontId="31" fillId="0" borderId="18" xfId="0" applyNumberFormat="1" applyFont="1" applyBorder="1" applyAlignment="1">
      <alignment horizontal="left" vertical="top" wrapText="1"/>
    </xf>
    <xf numFmtId="0" fontId="31" fillId="0" borderId="19" xfId="0" applyNumberFormat="1" applyFont="1" applyBorder="1" applyAlignment="1">
      <alignment horizontal="left" vertical="top" wrapText="1"/>
    </xf>
    <xf numFmtId="0" fontId="30" fillId="10" borderId="17" xfId="0" applyNumberFormat="1" applyFont="1" applyFill="1" applyBorder="1" applyAlignment="1">
      <alignment horizontal="right" vertical="top" wrapText="1"/>
    </xf>
    <xf numFmtId="0" fontId="31" fillId="10" borderId="17" xfId="0" applyNumberFormat="1" applyFont="1" applyFill="1" applyBorder="1" applyAlignment="1">
      <alignment horizontal="right" vertical="top" wrapText="1"/>
    </xf>
    <xf numFmtId="0" fontId="31" fillId="0" borderId="17" xfId="0" applyNumberFormat="1" applyFont="1" applyBorder="1" applyAlignment="1">
      <alignment horizontal="right" vertical="top" wrapText="1"/>
    </xf>
    <xf numFmtId="4" fontId="31" fillId="0" borderId="17" xfId="0" applyNumberFormat="1" applyFont="1" applyBorder="1" applyAlignment="1">
      <alignment horizontal="right" vertical="top" wrapText="1"/>
    </xf>
    <xf numFmtId="2" fontId="31" fillId="0" borderId="17" xfId="0" applyNumberFormat="1" applyFont="1" applyBorder="1" applyAlignment="1">
      <alignment horizontal="right" vertical="top" wrapText="1"/>
    </xf>
    <xf numFmtId="2" fontId="32" fillId="0" borderId="17" xfId="0" applyNumberFormat="1" applyFont="1" applyBorder="1" applyAlignment="1">
      <alignment horizontal="right" vertical="top" wrapText="1"/>
    </xf>
    <xf numFmtId="4" fontId="33" fillId="8" borderId="11" xfId="0" applyNumberFormat="1" applyFont="1" applyFill="1" applyBorder="1" applyAlignment="1">
      <alignment horizontal="right" vertical="top" wrapText="1"/>
    </xf>
    <xf numFmtId="2" fontId="33" fillId="8" borderId="11" xfId="0" applyNumberFormat="1" applyFont="1" applyFill="1" applyBorder="1" applyAlignment="1">
      <alignment horizontal="right" vertical="top" wrapText="1"/>
    </xf>
    <xf numFmtId="4" fontId="34" fillId="2" borderId="1" xfId="0" applyNumberFormat="1" applyFont="1" applyFill="1" applyBorder="1" applyAlignment="1">
      <alignment horizontal="right" vertical="top" wrapText="1"/>
    </xf>
    <xf numFmtId="2" fontId="34" fillId="2" borderId="1" xfId="0" applyNumberFormat="1" applyFont="1" applyFill="1" applyBorder="1" applyAlignment="1">
      <alignment horizontal="right" vertical="top" wrapText="1"/>
    </xf>
    <xf numFmtId="0" fontId="34" fillId="2" borderId="1" xfId="0" applyNumberFormat="1" applyFont="1" applyFill="1" applyBorder="1" applyAlignment="1">
      <alignment horizontal="right" vertical="top" wrapText="1"/>
    </xf>
    <xf numFmtId="0" fontId="34" fillId="2" borderId="1" xfId="0" applyNumberFormat="1" applyFont="1" applyFill="1" applyBorder="1" applyAlignment="1">
      <alignment horizontal="left" vertical="top" wrapText="1"/>
    </xf>
    <xf numFmtId="4" fontId="0" fillId="0" borderId="0" xfId="0" applyNumberFormat="1" applyAlignment="1">
      <alignment horizontal="left"/>
    </xf>
    <xf numFmtId="0" fontId="33" fillId="8" borderId="11" xfId="0" applyNumberFormat="1" applyFont="1" applyFill="1" applyBorder="1" applyAlignment="1">
      <alignment horizontal="right" vertical="top" wrapText="1"/>
    </xf>
    <xf numFmtId="4" fontId="0" fillId="0" borderId="0" xfId="0" applyNumberFormat="1"/>
    <xf numFmtId="0" fontId="29" fillId="9" borderId="19" xfId="0" applyNumberFormat="1" applyFont="1" applyFill="1" applyBorder="1" applyAlignment="1">
      <alignment horizontal="right" vertical="top" wrapText="1"/>
    </xf>
    <xf numFmtId="171" fontId="0" fillId="0" borderId="0" xfId="0" applyNumberFormat="1"/>
    <xf numFmtId="2" fontId="0" fillId="0" borderId="0" xfId="0" applyNumberFormat="1"/>
    <xf numFmtId="0" fontId="30" fillId="10" borderId="19" xfId="0" applyNumberFormat="1" applyFont="1" applyFill="1" applyBorder="1" applyAlignment="1">
      <alignment horizontal="right" vertical="top" wrapText="1"/>
    </xf>
    <xf numFmtId="0" fontId="31" fillId="10" borderId="19" xfId="0" applyNumberFormat="1" applyFont="1" applyFill="1" applyBorder="1" applyAlignment="1">
      <alignment horizontal="right" vertical="top" wrapText="1"/>
    </xf>
    <xf numFmtId="0" fontId="31" fillId="0" borderId="19" xfId="0" applyNumberFormat="1" applyFont="1" applyBorder="1" applyAlignment="1">
      <alignment horizontal="right" vertical="top" wrapText="1"/>
    </xf>
    <xf numFmtId="0" fontId="33" fillId="8" borderId="24" xfId="0" applyNumberFormat="1" applyFont="1" applyFill="1" applyBorder="1" applyAlignment="1">
      <alignment horizontal="right" vertical="top" wrapText="1"/>
    </xf>
    <xf numFmtId="0" fontId="35" fillId="11" borderId="1" xfId="0" applyNumberFormat="1" applyFont="1" applyFill="1" applyBorder="1" applyAlignment="1">
      <alignment horizontal="right" vertical="top" wrapText="1"/>
    </xf>
    <xf numFmtId="4" fontId="35" fillId="11" borderId="1" xfId="0" applyNumberFormat="1" applyFont="1" applyFill="1" applyBorder="1" applyAlignment="1">
      <alignment horizontal="right" vertical="top" wrapText="1"/>
    </xf>
    <xf numFmtId="0" fontId="35" fillId="11" borderId="1" xfId="0" applyNumberFormat="1" applyFont="1" applyFill="1" applyBorder="1" applyAlignment="1">
      <alignment horizontal="left" vertical="top" wrapText="1"/>
    </xf>
    <xf numFmtId="0" fontId="31" fillId="10" borderId="1" xfId="0" applyNumberFormat="1" applyFont="1" applyFill="1" applyBorder="1" applyAlignment="1">
      <alignment horizontal="right" vertical="top" wrapText="1"/>
    </xf>
    <xf numFmtId="4" fontId="31" fillId="10" borderId="1" xfId="0" applyNumberFormat="1" applyFont="1" applyFill="1" applyBorder="1" applyAlignment="1">
      <alignment horizontal="right" vertical="top" wrapText="1"/>
    </xf>
    <xf numFmtId="0" fontId="31" fillId="10" borderId="1" xfId="0" applyNumberFormat="1" applyFont="1" applyFill="1" applyBorder="1" applyAlignment="1">
      <alignment horizontal="left" vertical="top" wrapText="1"/>
    </xf>
    <xf numFmtId="0" fontId="25" fillId="0" borderId="1" xfId="62" applyNumberFormat="1" applyFont="1" applyBorder="1" applyAlignment="1">
      <alignment horizontal="left" vertical="top" wrapText="1" indent="8"/>
    </xf>
    <xf numFmtId="0" fontId="31" fillId="0" borderId="1" xfId="0" applyNumberFormat="1" applyFont="1" applyBorder="1" applyAlignment="1">
      <alignment horizontal="right" vertical="top" wrapText="1"/>
    </xf>
    <xf numFmtId="2" fontId="31" fillId="0" borderId="1" xfId="0" applyNumberFormat="1" applyFont="1" applyBorder="1" applyAlignment="1">
      <alignment horizontal="right" vertical="top" wrapText="1"/>
    </xf>
    <xf numFmtId="0" fontId="31" fillId="0" borderId="1" xfId="0" applyNumberFormat="1" applyFont="1" applyBorder="1" applyAlignment="1">
      <alignment horizontal="left" vertical="top" wrapText="1"/>
    </xf>
    <xf numFmtId="4" fontId="31" fillId="0" borderId="1" xfId="0" applyNumberFormat="1" applyFont="1" applyBorder="1" applyAlignment="1">
      <alignment horizontal="right" vertical="top" wrapText="1"/>
    </xf>
    <xf numFmtId="2" fontId="31" fillId="10" borderId="1" xfId="0" applyNumberFormat="1" applyFont="1" applyFill="1" applyBorder="1" applyAlignment="1">
      <alignment horizontal="right" vertical="top" wrapText="1"/>
    </xf>
    <xf numFmtId="0" fontId="30" fillId="10" borderId="1" xfId="0" applyNumberFormat="1" applyFont="1" applyFill="1" applyBorder="1" applyAlignment="1">
      <alignment horizontal="right" vertical="top" wrapText="1"/>
    </xf>
    <xf numFmtId="0" fontId="31" fillId="2" borderId="1" xfId="0" applyNumberFormat="1" applyFont="1" applyFill="1" applyBorder="1" applyAlignment="1">
      <alignment horizontal="right" vertical="top" wrapText="1"/>
    </xf>
    <xf numFmtId="4" fontId="31" fillId="2" borderId="1" xfId="0" applyNumberFormat="1" applyFont="1" applyFill="1" applyBorder="1" applyAlignment="1">
      <alignment horizontal="right" vertical="top" wrapText="1"/>
    </xf>
    <xf numFmtId="0" fontId="31" fillId="2" borderId="1" xfId="0" applyNumberFormat="1" applyFont="1" applyFill="1" applyBorder="1" applyAlignment="1">
      <alignment horizontal="left" vertical="top" wrapText="1"/>
    </xf>
    <xf numFmtId="0" fontId="0" fillId="0" borderId="17" xfId="0" applyNumberFormat="1" applyFont="1" applyBorder="1" applyAlignment="1">
      <alignment horizontal="left" vertical="top" wrapText="1"/>
    </xf>
    <xf numFmtId="4" fontId="0" fillId="0" borderId="17" xfId="0" applyNumberFormat="1" applyFont="1" applyBorder="1" applyAlignment="1">
      <alignment horizontal="right" vertical="top" wrapText="1"/>
    </xf>
    <xf numFmtId="0" fontId="0" fillId="0" borderId="18" xfId="0" applyNumberFormat="1" applyFont="1" applyBorder="1" applyAlignment="1">
      <alignment horizontal="left" vertical="top" wrapText="1"/>
    </xf>
    <xf numFmtId="0" fontId="0" fillId="0" borderId="19" xfId="0" applyNumberFormat="1" applyFont="1" applyBorder="1" applyAlignment="1">
      <alignment horizontal="left" vertical="top" wrapText="1"/>
    </xf>
    <xf numFmtId="2" fontId="0" fillId="0" borderId="17" xfId="0" applyNumberFormat="1" applyFont="1" applyBorder="1" applyAlignment="1">
      <alignment horizontal="right" vertical="top" wrapText="1"/>
    </xf>
    <xf numFmtId="0" fontId="0" fillId="0" borderId="17" xfId="0" applyNumberFormat="1" applyFont="1" applyBorder="1" applyAlignment="1">
      <alignment horizontal="right" vertical="top" wrapText="1"/>
    </xf>
    <xf numFmtId="4" fontId="39" fillId="2" borderId="1" xfId="0" applyNumberFormat="1" applyFont="1" applyFill="1" applyBorder="1" applyAlignment="1">
      <alignment horizontal="right" vertical="top" wrapText="1"/>
    </xf>
    <xf numFmtId="0" fontId="39" fillId="2" borderId="1" xfId="0" applyNumberFormat="1" applyFont="1" applyFill="1" applyBorder="1" applyAlignment="1">
      <alignment horizontal="right" vertical="top" wrapText="1"/>
    </xf>
    <xf numFmtId="0" fontId="39" fillId="2" borderId="1" xfId="0" applyNumberFormat="1" applyFont="1" applyFill="1" applyBorder="1" applyAlignment="1">
      <alignment horizontal="left" vertical="top" wrapText="1"/>
    </xf>
    <xf numFmtId="2" fontId="39" fillId="2" borderId="1" xfId="0" applyNumberFormat="1" applyFont="1" applyFill="1" applyBorder="1" applyAlignment="1">
      <alignment horizontal="right" vertical="top" wrapText="1"/>
    </xf>
    <xf numFmtId="0" fontId="40" fillId="11" borderId="20" xfId="0" applyNumberFormat="1" applyFont="1" applyFill="1" applyBorder="1" applyAlignment="1">
      <alignment horizontal="left" vertical="top" wrapText="1"/>
    </xf>
    <xf numFmtId="4" fontId="40" fillId="11" borderId="20" xfId="0" applyNumberFormat="1" applyFont="1" applyFill="1" applyBorder="1" applyAlignment="1">
      <alignment horizontal="right" vertical="top" wrapText="1"/>
    </xf>
    <xf numFmtId="0" fontId="40" fillId="11" borderId="21" xfId="0" applyNumberFormat="1" applyFont="1" applyFill="1" applyBorder="1" applyAlignment="1">
      <alignment horizontal="left" vertical="top" wrapText="1"/>
    </xf>
    <xf numFmtId="0" fontId="40" fillId="11" borderId="22" xfId="0" applyNumberFormat="1" applyFont="1" applyFill="1" applyBorder="1" applyAlignment="1">
      <alignment horizontal="left" vertical="top" wrapText="1"/>
    </xf>
    <xf numFmtId="2" fontId="40" fillId="11" borderId="20" xfId="0" applyNumberFormat="1" applyFont="1" applyFill="1" applyBorder="1" applyAlignment="1">
      <alignment horizontal="right" vertical="top" wrapText="1"/>
    </xf>
    <xf numFmtId="0" fontId="31" fillId="0" borderId="25" xfId="0" applyNumberFormat="1" applyFont="1" applyBorder="1" applyAlignment="1">
      <alignment horizontal="left" vertical="top" wrapText="1"/>
    </xf>
    <xf numFmtId="4" fontId="31" fillId="0" borderId="25" xfId="0" applyNumberFormat="1" applyFont="1" applyBorder="1" applyAlignment="1">
      <alignment horizontal="right" vertical="top" wrapText="1"/>
    </xf>
    <xf numFmtId="0" fontId="31" fillId="0" borderId="26" xfId="0" applyNumberFormat="1" applyFont="1" applyBorder="1" applyAlignment="1">
      <alignment horizontal="left" vertical="top" wrapText="1"/>
    </xf>
    <xf numFmtId="0" fontId="31" fillId="0" borderId="27" xfId="0" applyNumberFormat="1" applyFont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36" fillId="0" borderId="1" xfId="62" applyBorder="1" applyAlignment="1">
      <alignment horizontal="right" wrapText="1"/>
    </xf>
    <xf numFmtId="0" fontId="0" fillId="13" borderId="0" xfId="0" applyFill="1"/>
    <xf numFmtId="0" fontId="41" fillId="11" borderId="17" xfId="0" applyNumberFormat="1" applyFont="1" applyFill="1" applyBorder="1" applyAlignment="1">
      <alignment horizontal="left" vertical="top" wrapText="1"/>
    </xf>
    <xf numFmtId="2" fontId="41" fillId="11" borderId="17" xfId="0" applyNumberFormat="1" applyFont="1" applyFill="1" applyBorder="1" applyAlignment="1">
      <alignment horizontal="right" vertical="top" wrapText="1"/>
    </xf>
    <xf numFmtId="0" fontId="41" fillId="11" borderId="18" xfId="0" applyNumberFormat="1" applyFont="1" applyFill="1" applyBorder="1" applyAlignment="1">
      <alignment horizontal="left" vertical="top" wrapText="1"/>
    </xf>
    <xf numFmtId="0" fontId="41" fillId="11" borderId="19" xfId="0" applyNumberFormat="1" applyFont="1" applyFill="1" applyBorder="1" applyAlignment="1">
      <alignment horizontal="left" vertical="top" wrapText="1"/>
    </xf>
    <xf numFmtId="0" fontId="0" fillId="13" borderId="0" xfId="0" applyFill="1" applyAlignment="1">
      <alignment horizontal="center"/>
    </xf>
    <xf numFmtId="0" fontId="4" fillId="0" borderId="0" xfId="15"/>
    <xf numFmtId="172" fontId="4" fillId="0" borderId="0" xfId="15" applyNumberFormat="1"/>
    <xf numFmtId="0" fontId="4" fillId="14" borderId="0" xfId="15" applyFill="1" applyAlignment="1">
      <alignment horizontal="left"/>
    </xf>
    <xf numFmtId="0" fontId="4" fillId="0" borderId="0" xfId="15" applyAlignment="1">
      <alignment horizontal="left"/>
    </xf>
    <xf numFmtId="165" fontId="42" fillId="0" borderId="0" xfId="15" applyNumberFormat="1" applyFont="1" applyAlignment="1">
      <alignment horizontal="left"/>
    </xf>
    <xf numFmtId="165" fontId="42" fillId="0" borderId="0" xfId="15" applyNumberFormat="1" applyFont="1"/>
    <xf numFmtId="0" fontId="42" fillId="0" borderId="0" xfId="15" applyFont="1"/>
    <xf numFmtId="0" fontId="42" fillId="0" borderId="0" xfId="15" applyFont="1" applyAlignment="1">
      <alignment horizontal="center"/>
    </xf>
    <xf numFmtId="0" fontId="42" fillId="0" borderId="0" xfId="15" applyFont="1" applyAlignment="1">
      <alignment vertical="center" wrapText="1"/>
    </xf>
    <xf numFmtId="171" fontId="42" fillId="0" borderId="0" xfId="15" applyNumberFormat="1" applyFont="1"/>
    <xf numFmtId="0" fontId="43" fillId="2" borderId="0" xfId="15" applyFont="1" applyFill="1"/>
    <xf numFmtId="0" fontId="44" fillId="2" borderId="0" xfId="15" applyFont="1" applyFill="1"/>
    <xf numFmtId="173" fontId="43" fillId="2" borderId="0" xfId="15" applyNumberFormat="1" applyFont="1" applyFill="1"/>
    <xf numFmtId="171" fontId="45" fillId="0" borderId="0" xfId="15" applyNumberFormat="1" applyFont="1"/>
    <xf numFmtId="165" fontId="43" fillId="2" borderId="0" xfId="15" applyNumberFormat="1" applyFont="1" applyFill="1"/>
    <xf numFmtId="0" fontId="43" fillId="2" borderId="0" xfId="15" applyFont="1" applyFill="1" applyBorder="1" applyAlignment="1">
      <alignment horizontal="center" vertical="center"/>
    </xf>
    <xf numFmtId="165" fontId="42" fillId="0" borderId="0" xfId="15" applyNumberFormat="1" applyFont="1" applyAlignment="1">
      <alignment horizontal="center" vertical="center" wrapText="1"/>
    </xf>
    <xf numFmtId="165" fontId="4" fillId="0" borderId="0" xfId="15" applyNumberFormat="1" applyFont="1"/>
    <xf numFmtId="0" fontId="4" fillId="0" borderId="0" xfId="15" applyFont="1"/>
    <xf numFmtId="171" fontId="4" fillId="6" borderId="0" xfId="15" applyNumberFormat="1" applyFont="1" applyFill="1"/>
    <xf numFmtId="165" fontId="4" fillId="0" borderId="1" xfId="15" applyNumberFormat="1" applyFont="1" applyBorder="1" applyAlignment="1">
      <alignment horizontal="center"/>
    </xf>
    <xf numFmtId="171" fontId="4" fillId="0" borderId="0" xfId="15" applyNumberFormat="1" applyFont="1"/>
    <xf numFmtId="0" fontId="4" fillId="7" borderId="1" xfId="15" applyFont="1" applyFill="1" applyBorder="1" applyAlignment="1">
      <alignment horizontal="center" vertical="center"/>
    </xf>
    <xf numFmtId="0" fontId="43" fillId="2" borderId="1" xfId="15" applyFont="1" applyFill="1" applyBorder="1" applyAlignment="1">
      <alignment horizontal="center" wrapText="1"/>
    </xf>
    <xf numFmtId="0" fontId="44" fillId="2" borderId="1" xfId="15" applyFont="1" applyFill="1" applyBorder="1" applyAlignment="1">
      <alignment horizontal="center" wrapText="1"/>
    </xf>
    <xf numFmtId="0" fontId="43" fillId="2" borderId="6" xfId="15" applyFont="1" applyFill="1" applyBorder="1" applyAlignment="1">
      <alignment horizontal="center" vertical="center"/>
    </xf>
    <xf numFmtId="0" fontId="42" fillId="0" borderId="0" xfId="15" applyFont="1" applyBorder="1"/>
    <xf numFmtId="0" fontId="48" fillId="16" borderId="2" xfId="15" applyFont="1" applyFill="1" applyBorder="1" applyAlignment="1">
      <alignment wrapText="1"/>
    </xf>
    <xf numFmtId="0" fontId="49" fillId="16" borderId="0" xfId="15" applyFont="1" applyFill="1" applyBorder="1" applyAlignment="1">
      <alignment horizontal="center" wrapText="1"/>
    </xf>
    <xf numFmtId="165" fontId="42" fillId="0" borderId="29" xfId="15" applyNumberFormat="1" applyFont="1" applyBorder="1"/>
    <xf numFmtId="165" fontId="42" fillId="0" borderId="30" xfId="15" applyNumberFormat="1" applyFont="1" applyBorder="1"/>
    <xf numFmtId="165" fontId="42" fillId="0" borderId="31" xfId="15" applyNumberFormat="1" applyFont="1" applyBorder="1"/>
    <xf numFmtId="165" fontId="42" fillId="0" borderId="32" xfId="15" applyNumberFormat="1" applyFont="1" applyBorder="1"/>
    <xf numFmtId="165" fontId="42" fillId="0" borderId="33" xfId="15" applyNumberFormat="1" applyFont="1" applyBorder="1"/>
    <xf numFmtId="0" fontId="48" fillId="7" borderId="2" xfId="15" applyFont="1" applyFill="1" applyBorder="1" applyAlignment="1">
      <alignment wrapText="1"/>
    </xf>
    <xf numFmtId="0" fontId="50" fillId="7" borderId="2" xfId="15" applyFont="1" applyFill="1" applyBorder="1" applyAlignment="1">
      <alignment wrapText="1"/>
    </xf>
    <xf numFmtId="0" fontId="50" fillId="7" borderId="3" xfId="15" applyFont="1" applyFill="1" applyBorder="1" applyAlignment="1">
      <alignment wrapText="1"/>
    </xf>
    <xf numFmtId="173" fontId="50" fillId="7" borderId="3" xfId="15" applyNumberFormat="1" applyFont="1" applyFill="1" applyBorder="1" applyAlignment="1">
      <alignment wrapText="1"/>
    </xf>
    <xf numFmtId="165" fontId="50" fillId="7" borderId="3" xfId="15" applyNumberFormat="1" applyFont="1" applyFill="1" applyBorder="1" applyAlignment="1">
      <alignment wrapText="1"/>
    </xf>
    <xf numFmtId="0" fontId="50" fillId="7" borderId="5" xfId="15" applyFont="1" applyFill="1" applyBorder="1" applyAlignment="1">
      <alignment wrapText="1"/>
    </xf>
    <xf numFmtId="0" fontId="50" fillId="17" borderId="0" xfId="15" applyFont="1" applyFill="1" applyBorder="1" applyAlignment="1">
      <alignment horizontal="center" wrapText="1"/>
    </xf>
    <xf numFmtId="165" fontId="42" fillId="0" borderId="34" xfId="15" applyNumberFormat="1" applyFont="1" applyBorder="1"/>
    <xf numFmtId="165" fontId="42" fillId="0" borderId="35" xfId="15" applyNumberFormat="1" applyFont="1" applyBorder="1"/>
    <xf numFmtId="165" fontId="42" fillId="0" borderId="36" xfId="15" applyNumberFormat="1" applyFont="1" applyBorder="1"/>
    <xf numFmtId="0" fontId="51" fillId="2" borderId="0" xfId="15" applyFont="1" applyFill="1"/>
    <xf numFmtId="0" fontId="48" fillId="2" borderId="37" xfId="15" applyFont="1" applyFill="1" applyBorder="1" applyAlignment="1">
      <alignment wrapText="1"/>
    </xf>
    <xf numFmtId="0" fontId="52" fillId="17" borderId="33" xfId="15" applyFont="1" applyFill="1" applyBorder="1" applyAlignment="1">
      <alignment horizontal="left" wrapText="1" indent="2"/>
    </xf>
    <xf numFmtId="0" fontId="52" fillId="17" borderId="6" xfId="15" applyFont="1" applyFill="1" applyBorder="1" applyAlignment="1">
      <alignment horizontal="left" wrapText="1" indent="2"/>
    </xf>
    <xf numFmtId="173" fontId="52" fillId="17" borderId="1" xfId="15" applyNumberFormat="1" applyFont="1" applyFill="1" applyBorder="1" applyAlignment="1">
      <alignment wrapText="1"/>
    </xf>
    <xf numFmtId="165" fontId="52" fillId="17" borderId="1" xfId="15" applyNumberFormat="1" applyFont="1" applyFill="1" applyBorder="1" applyAlignment="1">
      <alignment wrapText="1"/>
    </xf>
    <xf numFmtId="0" fontId="48" fillId="17" borderId="37" xfId="15" applyFont="1" applyFill="1" applyBorder="1" applyAlignment="1">
      <alignment wrapText="1"/>
    </xf>
    <xf numFmtId="0" fontId="48" fillId="17" borderId="1" xfId="15" applyFont="1" applyFill="1" applyBorder="1" applyAlignment="1">
      <alignment wrapText="1"/>
    </xf>
    <xf numFmtId="0" fontId="4" fillId="0" borderId="0" xfId="15" applyAlignment="1">
      <alignment wrapText="1"/>
    </xf>
    <xf numFmtId="171" fontId="4" fillId="0" borderId="0" xfId="15" applyNumberFormat="1" applyAlignment="1">
      <alignment wrapText="1"/>
    </xf>
    <xf numFmtId="0" fontId="4" fillId="0" borderId="32" xfId="15" applyBorder="1" applyAlignment="1">
      <alignment wrapText="1"/>
    </xf>
    <xf numFmtId="0" fontId="4" fillId="14" borderId="32" xfId="15" applyFill="1" applyBorder="1"/>
    <xf numFmtId="0" fontId="4" fillId="7" borderId="32" xfId="15" applyFill="1" applyBorder="1" applyAlignment="1">
      <alignment wrapText="1"/>
    </xf>
    <xf numFmtId="0" fontId="4" fillId="6" borderId="32" xfId="15" applyFill="1" applyBorder="1" applyAlignment="1">
      <alignment wrapText="1"/>
    </xf>
    <xf numFmtId="165" fontId="42" fillId="0" borderId="0" xfId="15" applyNumberFormat="1" applyFont="1" applyAlignment="1">
      <alignment wrapText="1"/>
    </xf>
    <xf numFmtId="165" fontId="42" fillId="0" borderId="34" xfId="15" applyNumberFormat="1" applyFont="1" applyBorder="1" applyAlignment="1"/>
    <xf numFmtId="165" fontId="42" fillId="0" borderId="35" xfId="15" applyNumberFormat="1" applyFont="1" applyBorder="1" applyAlignment="1"/>
    <xf numFmtId="165" fontId="42" fillId="0" borderId="36" xfId="15" applyNumberFormat="1" applyFont="1" applyBorder="1" applyAlignment="1"/>
    <xf numFmtId="165" fontId="53" fillId="2" borderId="32" xfId="15" applyNumberFormat="1" applyFont="1" applyFill="1" applyBorder="1"/>
    <xf numFmtId="165" fontId="42" fillId="14" borderId="32" xfId="15" applyNumberFormat="1" applyFont="1" applyFill="1" applyBorder="1"/>
    <xf numFmtId="0" fontId="53" fillId="2" borderId="0" xfId="15" applyFont="1" applyFill="1"/>
    <xf numFmtId="171" fontId="53" fillId="2" borderId="0" xfId="15" applyNumberFormat="1" applyFont="1" applyFill="1"/>
    <xf numFmtId="0" fontId="52" fillId="17" borderId="33" xfId="15" applyFont="1" applyFill="1" applyBorder="1" applyAlignment="1">
      <alignment horizontal="left" wrapText="1" indent="4"/>
    </xf>
    <xf numFmtId="0" fontId="52" fillId="17" borderId="6" xfId="15" applyFont="1" applyFill="1" applyBorder="1" applyAlignment="1">
      <alignment horizontal="left" wrapText="1" indent="4"/>
    </xf>
    <xf numFmtId="0" fontId="52" fillId="17" borderId="33" xfId="15" applyFont="1" applyFill="1" applyBorder="1" applyAlignment="1">
      <alignment horizontal="left" wrapText="1" indent="6"/>
    </xf>
    <xf numFmtId="0" fontId="56" fillId="17" borderId="33" xfId="15" applyFont="1" applyFill="1" applyBorder="1" applyAlignment="1">
      <alignment horizontal="center" wrapText="1"/>
    </xf>
    <xf numFmtId="0" fontId="56" fillId="17" borderId="33" xfId="15" applyFont="1" applyFill="1" applyBorder="1" applyAlignment="1">
      <alignment wrapText="1"/>
    </xf>
    <xf numFmtId="0" fontId="56" fillId="17" borderId="0" xfId="15" applyFont="1" applyFill="1" applyBorder="1" applyAlignment="1">
      <alignment wrapText="1"/>
    </xf>
    <xf numFmtId="165" fontId="57" fillId="6" borderId="32" xfId="15" applyNumberFormat="1" applyFont="1" applyFill="1" applyBorder="1"/>
    <xf numFmtId="165" fontId="42" fillId="6" borderId="34" xfId="15" applyNumberFormat="1" applyFont="1" applyFill="1" applyBorder="1"/>
    <xf numFmtId="165" fontId="42" fillId="6" borderId="35" xfId="15" applyNumberFormat="1" applyFont="1" applyFill="1" applyBorder="1"/>
    <xf numFmtId="165" fontId="42" fillId="6" borderId="36" xfId="15" applyNumberFormat="1" applyFont="1" applyFill="1" applyBorder="1"/>
    <xf numFmtId="165" fontId="42" fillId="6" borderId="32" xfId="15" applyNumberFormat="1" applyFont="1" applyFill="1" applyBorder="1"/>
    <xf numFmtId="4" fontId="42" fillId="0" borderId="0" xfId="15" applyNumberFormat="1" applyFont="1"/>
    <xf numFmtId="4" fontId="42" fillId="7" borderId="0" xfId="15" applyNumberFormat="1" applyFont="1" applyFill="1"/>
    <xf numFmtId="4" fontId="42" fillId="6" borderId="0" xfId="15" applyNumberFormat="1" applyFont="1" applyFill="1"/>
    <xf numFmtId="0" fontId="43" fillId="0" borderId="32" xfId="15" applyFont="1" applyFill="1" applyBorder="1" applyAlignment="1">
      <alignment vertical="center" wrapText="1"/>
    </xf>
    <xf numFmtId="0" fontId="21" fillId="14" borderId="32" xfId="15" applyFont="1" applyFill="1" applyBorder="1" applyAlignment="1">
      <alignment horizontal="left" vertical="center" wrapText="1"/>
    </xf>
    <xf numFmtId="0" fontId="58" fillId="14" borderId="32" xfId="15" applyFont="1" applyFill="1" applyBorder="1" applyAlignment="1">
      <alignment horizontal="center" vertical="center" wrapText="1"/>
    </xf>
    <xf numFmtId="0" fontId="51" fillId="14" borderId="32" xfId="15" applyFont="1" applyFill="1" applyBorder="1" applyAlignment="1">
      <alignment horizontal="center" vertical="center" wrapText="1"/>
    </xf>
    <xf numFmtId="174" fontId="59" fillId="14" borderId="32" xfId="15" applyNumberFormat="1" applyFont="1" applyFill="1" applyBorder="1" applyAlignment="1">
      <alignment horizontal="center" vertical="center" wrapText="1"/>
    </xf>
    <xf numFmtId="0" fontId="20" fillId="14" borderId="32" xfId="15" applyFont="1" applyFill="1" applyBorder="1" applyAlignment="1">
      <alignment horizontal="center" vertical="center" wrapText="1"/>
    </xf>
    <xf numFmtId="171" fontId="53" fillId="14" borderId="32" xfId="15" applyNumberFormat="1" applyFont="1" applyFill="1" applyBorder="1" applyAlignment="1">
      <alignment horizontal="center" vertical="center" wrapText="1"/>
    </xf>
    <xf numFmtId="171" fontId="20" fillId="14" borderId="32" xfId="15" applyNumberFormat="1" applyFont="1" applyFill="1" applyBorder="1" applyAlignment="1">
      <alignment horizontal="center" vertical="center"/>
    </xf>
    <xf numFmtId="0" fontId="43" fillId="2" borderId="32" xfId="15" applyFont="1" applyFill="1" applyBorder="1" applyAlignment="1">
      <alignment horizontal="center" vertical="center" wrapText="1"/>
    </xf>
    <xf numFmtId="0" fontId="43" fillId="2" borderId="32" xfId="15" applyFont="1" applyFill="1" applyBorder="1" applyAlignment="1">
      <alignment horizontal="center" vertical="center"/>
    </xf>
    <xf numFmtId="0" fontId="21" fillId="0" borderId="32" xfId="15" applyFont="1" applyFill="1" applyBorder="1" applyAlignment="1">
      <alignment horizontal="center" vertical="center" wrapText="1"/>
    </xf>
    <xf numFmtId="0" fontId="21" fillId="0" borderId="32" xfId="15" applyFont="1" applyFill="1" applyBorder="1" applyAlignment="1">
      <alignment vertical="center" wrapText="1"/>
    </xf>
    <xf numFmtId="0" fontId="21" fillId="0" borderId="0" xfId="15" applyFont="1" applyFill="1" applyBorder="1" applyAlignment="1">
      <alignment vertical="center" wrapText="1"/>
    </xf>
    <xf numFmtId="0" fontId="60" fillId="0" borderId="0" xfId="15" applyFont="1" applyFill="1" applyAlignment="1">
      <alignment wrapText="1"/>
    </xf>
    <xf numFmtId="165" fontId="42" fillId="14" borderId="34" xfId="15" applyNumberFormat="1" applyFont="1" applyFill="1" applyBorder="1"/>
    <xf numFmtId="165" fontId="42" fillId="14" borderId="35" xfId="15" applyNumberFormat="1" applyFont="1" applyFill="1" applyBorder="1"/>
    <xf numFmtId="165" fontId="42" fillId="14" borderId="36" xfId="15" applyNumberFormat="1" applyFont="1" applyFill="1" applyBorder="1"/>
    <xf numFmtId="0" fontId="4" fillId="0" borderId="6" xfId="15" applyBorder="1"/>
    <xf numFmtId="0" fontId="60" fillId="0" borderId="0" xfId="15" applyFont="1" applyAlignment="1">
      <alignment wrapText="1"/>
    </xf>
    <xf numFmtId="0" fontId="4" fillId="0" borderId="4" xfId="15" applyBorder="1"/>
    <xf numFmtId="0" fontId="48" fillId="2" borderId="33" xfId="15" applyFont="1" applyFill="1" applyBorder="1" applyAlignment="1">
      <alignment wrapText="1"/>
    </xf>
    <xf numFmtId="173" fontId="56" fillId="17" borderId="33" xfId="63" applyNumberFormat="1" applyFont="1" applyFill="1" applyBorder="1" applyAlignment="1">
      <alignment horizontal="center" wrapText="1"/>
    </xf>
    <xf numFmtId="165" fontId="56" fillId="17" borderId="33" xfId="63" applyNumberFormat="1" applyFont="1" applyFill="1" applyBorder="1" applyAlignment="1">
      <alignment horizontal="center" wrapText="1"/>
    </xf>
    <xf numFmtId="0" fontId="43" fillId="0" borderId="38" xfId="15" applyFont="1" applyFill="1" applyBorder="1" applyAlignment="1">
      <alignment vertical="center" wrapText="1"/>
    </xf>
    <xf numFmtId="0" fontId="21" fillId="14" borderId="38" xfId="15" applyFont="1" applyFill="1" applyBorder="1" applyAlignment="1">
      <alignment horizontal="left" vertical="center" wrapText="1"/>
    </xf>
    <xf numFmtId="174" fontId="59" fillId="14" borderId="38" xfId="15" applyNumberFormat="1" applyFont="1" applyFill="1" applyBorder="1" applyAlignment="1">
      <alignment horizontal="center" vertical="center" wrapText="1"/>
    </xf>
    <xf numFmtId="0" fontId="20" fillId="14" borderId="38" xfId="15" applyFont="1" applyFill="1" applyBorder="1" applyAlignment="1">
      <alignment horizontal="center" vertical="center" wrapText="1"/>
    </xf>
    <xf numFmtId="171" fontId="53" fillId="14" borderId="38" xfId="15" applyNumberFormat="1" applyFont="1" applyFill="1" applyBorder="1" applyAlignment="1">
      <alignment horizontal="center" vertical="center" wrapText="1"/>
    </xf>
    <xf numFmtId="171" fontId="20" fillId="14" borderId="38" xfId="15" applyNumberFormat="1" applyFont="1" applyFill="1" applyBorder="1" applyAlignment="1">
      <alignment horizontal="center" vertical="center"/>
    </xf>
    <xf numFmtId="0" fontId="43" fillId="2" borderId="38" xfId="15" applyFont="1" applyFill="1" applyBorder="1" applyAlignment="1">
      <alignment horizontal="center" vertical="center" wrapText="1"/>
    </xf>
    <xf numFmtId="0" fontId="43" fillId="2" borderId="38" xfId="15" applyFont="1" applyFill="1" applyBorder="1" applyAlignment="1">
      <alignment horizontal="center" vertical="center"/>
    </xf>
    <xf numFmtId="0" fontId="21" fillId="0" borderId="38" xfId="15" applyFont="1" applyFill="1" applyBorder="1" applyAlignment="1">
      <alignment horizontal="center" vertical="center" wrapText="1"/>
    </xf>
    <xf numFmtId="0" fontId="21" fillId="0" borderId="38" xfId="15" applyFont="1" applyFill="1" applyBorder="1" applyAlignment="1">
      <alignment vertical="center" wrapText="1"/>
    </xf>
    <xf numFmtId="0" fontId="42" fillId="7" borderId="0" xfId="15" applyFont="1" applyFill="1"/>
    <xf numFmtId="0" fontId="43" fillId="2" borderId="32" xfId="15" applyFont="1" applyFill="1" applyBorder="1" applyAlignment="1">
      <alignment vertical="center" wrapText="1"/>
    </xf>
    <xf numFmtId="0" fontId="43" fillId="2" borderId="38" xfId="15" applyFont="1" applyFill="1" applyBorder="1" applyAlignment="1">
      <alignment vertical="center" wrapText="1"/>
    </xf>
    <xf numFmtId="165" fontId="53" fillId="2" borderId="32" xfId="15" applyNumberFormat="1" applyFont="1" applyFill="1" applyBorder="1" applyAlignment="1"/>
    <xf numFmtId="165" fontId="53" fillId="14" borderId="32" xfId="15" applyNumberFormat="1" applyFont="1" applyFill="1" applyBorder="1"/>
    <xf numFmtId="171" fontId="43" fillId="14" borderId="32" xfId="15" applyNumberFormat="1" applyFont="1" applyFill="1" applyBorder="1" applyAlignment="1">
      <alignment horizontal="center" vertical="center" wrapText="1"/>
    </xf>
    <xf numFmtId="171" fontId="43" fillId="14" borderId="38" xfId="15" applyNumberFormat="1" applyFont="1" applyFill="1" applyBorder="1" applyAlignment="1">
      <alignment horizontal="center" vertical="center" wrapText="1"/>
    </xf>
    <xf numFmtId="174" fontId="59" fillId="14" borderId="32" xfId="15" applyNumberFormat="1" applyFont="1" applyFill="1" applyBorder="1" applyAlignment="1">
      <alignment vertical="center" wrapText="1"/>
    </xf>
    <xf numFmtId="0" fontId="20" fillId="14" borderId="39" xfId="15" applyFont="1" applyFill="1" applyBorder="1" applyAlignment="1">
      <alignment horizontal="center" vertical="center" wrapText="1"/>
    </xf>
    <xf numFmtId="0" fontId="42" fillId="0" borderId="0" xfId="15" applyFont="1" applyAlignment="1">
      <alignment vertical="center"/>
    </xf>
    <xf numFmtId="0" fontId="47" fillId="11" borderId="0" xfId="15" applyFont="1" applyFill="1" applyAlignment="1">
      <alignment vertical="center"/>
    </xf>
    <xf numFmtId="165" fontId="53" fillId="6" borderId="34" xfId="15" applyNumberFormat="1" applyFont="1" applyFill="1" applyBorder="1"/>
    <xf numFmtId="165" fontId="53" fillId="6" borderId="35" xfId="15" applyNumberFormat="1" applyFont="1" applyFill="1" applyBorder="1"/>
    <xf numFmtId="165" fontId="53" fillId="6" borderId="36" xfId="15" applyNumberFormat="1" applyFont="1" applyFill="1" applyBorder="1"/>
    <xf numFmtId="0" fontId="43" fillId="6" borderId="1" xfId="15" applyFont="1" applyFill="1" applyBorder="1" applyAlignment="1">
      <alignment vertical="center" wrapText="1"/>
    </xf>
    <xf numFmtId="0" fontId="50" fillId="6" borderId="1" xfId="15" applyFont="1" applyFill="1" applyBorder="1" applyAlignment="1">
      <alignment horizontal="right" wrapText="1"/>
    </xf>
    <xf numFmtId="173" fontId="64" fillId="6" borderId="1" xfId="63" applyNumberFormat="1" applyFont="1" applyFill="1" applyBorder="1" applyAlignment="1">
      <alignment horizontal="center" vertical="center" wrapText="1"/>
    </xf>
    <xf numFmtId="165" fontId="64" fillId="6" borderId="1" xfId="63" applyNumberFormat="1" applyFont="1" applyFill="1" applyBorder="1" applyAlignment="1">
      <alignment horizontal="center" vertical="center" wrapText="1"/>
    </xf>
    <xf numFmtId="0" fontId="43" fillId="2" borderId="1" xfId="15" applyFont="1" applyFill="1" applyBorder="1" applyAlignment="1">
      <alignment vertical="center" wrapText="1"/>
    </xf>
    <xf numFmtId="0" fontId="43" fillId="2" borderId="0" xfId="15" applyFont="1" applyFill="1" applyBorder="1" applyAlignment="1">
      <alignment vertical="center" wrapText="1"/>
    </xf>
    <xf numFmtId="166" fontId="42" fillId="0" borderId="0" xfId="15" applyNumberFormat="1" applyFont="1"/>
    <xf numFmtId="4" fontId="65" fillId="6" borderId="1" xfId="15" applyNumberFormat="1" applyFont="1" applyFill="1" applyBorder="1"/>
    <xf numFmtId="0" fontId="43" fillId="0" borderId="1" xfId="15" applyFont="1" applyFill="1" applyBorder="1" applyAlignment="1">
      <alignment vertical="center" wrapText="1"/>
    </xf>
    <xf numFmtId="171" fontId="26" fillId="2" borderId="2" xfId="15" applyNumberFormat="1" applyFont="1" applyFill="1" applyBorder="1" applyAlignment="1">
      <alignment horizontal="right" vertical="center" wrapText="1"/>
    </xf>
    <xf numFmtId="171" fontId="26" fillId="2" borderId="3" xfId="15" applyNumberFormat="1" applyFont="1" applyFill="1" applyBorder="1" applyAlignment="1">
      <alignment horizontal="right" vertical="center" wrapText="1"/>
    </xf>
    <xf numFmtId="173" fontId="66" fillId="0" borderId="3" xfId="15" applyNumberFormat="1" applyFont="1" applyFill="1" applyBorder="1" applyAlignment="1">
      <alignment vertical="center" wrapText="1"/>
    </xf>
    <xf numFmtId="0" fontId="43" fillId="2" borderId="3" xfId="15" applyFont="1" applyFill="1" applyBorder="1" applyAlignment="1">
      <alignment horizontal="center" vertical="center" wrapText="1"/>
    </xf>
    <xf numFmtId="0" fontId="43" fillId="2" borderId="3" xfId="15" applyFont="1" applyFill="1" applyBorder="1" applyAlignment="1">
      <alignment horizontal="center" vertical="center"/>
    </xf>
    <xf numFmtId="0" fontId="43" fillId="2" borderId="0" xfId="15" applyFont="1" applyFill="1" applyBorder="1" applyAlignment="1">
      <alignment horizontal="center" vertical="center" wrapText="1"/>
    </xf>
    <xf numFmtId="175" fontId="53" fillId="2" borderId="0" xfId="15" applyNumberFormat="1" applyFont="1" applyFill="1"/>
    <xf numFmtId="173" fontId="59" fillId="14" borderId="32" xfId="15" applyNumberFormat="1" applyFont="1" applyFill="1" applyBorder="1" applyAlignment="1">
      <alignment horizontal="center" vertical="center" wrapText="1"/>
    </xf>
    <xf numFmtId="0" fontId="21" fillId="0" borderId="0" xfId="15" applyFont="1" applyFill="1" applyBorder="1" applyAlignment="1">
      <alignment horizontal="center" vertical="center" wrapText="1"/>
    </xf>
    <xf numFmtId="173" fontId="59" fillId="14" borderId="38" xfId="15" applyNumberFormat="1" applyFont="1" applyFill="1" applyBorder="1" applyAlignment="1">
      <alignment horizontal="center" vertical="center" wrapText="1"/>
    </xf>
    <xf numFmtId="0" fontId="4" fillId="0" borderId="8" xfId="15" applyBorder="1"/>
    <xf numFmtId="0" fontId="67" fillId="2" borderId="1" xfId="15" applyFont="1" applyFill="1" applyBorder="1" applyAlignment="1">
      <alignment vertical="top" wrapText="1"/>
    </xf>
    <xf numFmtId="0" fontId="68" fillId="6" borderId="1" xfId="15" applyFont="1" applyFill="1" applyBorder="1" applyAlignment="1">
      <alignment horizontal="right" wrapText="1"/>
    </xf>
    <xf numFmtId="0" fontId="68" fillId="6" borderId="3" xfId="15" applyFont="1" applyFill="1" applyBorder="1" applyAlignment="1">
      <alignment horizontal="right" wrapText="1"/>
    </xf>
    <xf numFmtId="173" fontId="69" fillId="2" borderId="3" xfId="15" applyNumberFormat="1" applyFont="1" applyFill="1" applyBorder="1" applyAlignment="1">
      <alignment horizontal="center" wrapText="1"/>
    </xf>
    <xf numFmtId="165" fontId="69" fillId="2" borderId="3" xfId="15" applyNumberFormat="1" applyFont="1" applyFill="1" applyBorder="1" applyAlignment="1">
      <alignment horizontal="center" wrapText="1"/>
    </xf>
    <xf numFmtId="166" fontId="51" fillId="2" borderId="3" xfId="15" applyNumberFormat="1" applyFont="1" applyFill="1" applyBorder="1" applyAlignment="1">
      <alignment horizontal="center" vertical="center"/>
    </xf>
    <xf numFmtId="0" fontId="51" fillId="2" borderId="5" xfId="15" applyFont="1" applyFill="1" applyBorder="1"/>
    <xf numFmtId="165" fontId="70" fillId="6" borderId="32" xfId="15" applyNumberFormat="1" applyFont="1" applyFill="1" applyBorder="1"/>
    <xf numFmtId="173" fontId="71" fillId="17" borderId="1" xfId="15" applyNumberFormat="1" applyFont="1" applyFill="1" applyBorder="1" applyAlignment="1">
      <alignment wrapText="1"/>
    </xf>
    <xf numFmtId="165" fontId="71" fillId="17" borderId="1" xfId="15" applyNumberFormat="1" applyFont="1" applyFill="1" applyBorder="1" applyAlignment="1">
      <alignment wrapText="1"/>
    </xf>
    <xf numFmtId="171" fontId="72" fillId="14" borderId="38" xfId="15" applyNumberFormat="1" applyFont="1" applyFill="1" applyBorder="1" applyAlignment="1">
      <alignment horizontal="center" vertical="center" wrapText="1"/>
    </xf>
    <xf numFmtId="166" fontId="17" fillId="0" borderId="38" xfId="15" applyNumberFormat="1" applyFont="1" applyFill="1" applyBorder="1" applyAlignment="1">
      <alignment horizontal="center" vertical="center" wrapText="1"/>
    </xf>
    <xf numFmtId="49" fontId="42" fillId="0" borderId="0" xfId="15" applyNumberFormat="1" applyFont="1"/>
    <xf numFmtId="2" fontId="20" fillId="14" borderId="32" xfId="15" applyNumberFormat="1" applyFont="1" applyFill="1" applyBorder="1" applyAlignment="1">
      <alignment horizontal="center" vertical="center" wrapText="1"/>
    </xf>
    <xf numFmtId="166" fontId="17" fillId="0" borderId="32" xfId="15" applyNumberFormat="1" applyFont="1" applyFill="1" applyBorder="1" applyAlignment="1">
      <alignment horizontal="center" vertical="center" wrapText="1"/>
    </xf>
    <xf numFmtId="2" fontId="20" fillId="14" borderId="38" xfId="15" applyNumberFormat="1" applyFont="1" applyFill="1" applyBorder="1" applyAlignment="1">
      <alignment horizontal="center" vertical="center" wrapText="1"/>
    </xf>
    <xf numFmtId="0" fontId="49" fillId="16" borderId="0" xfId="15" applyFont="1" applyFill="1" applyBorder="1" applyAlignment="1">
      <alignment horizontal="center" vertical="center" wrapText="1"/>
    </xf>
    <xf numFmtId="0" fontId="43" fillId="14" borderId="32" xfId="15" applyFont="1" applyFill="1" applyBorder="1" applyAlignment="1">
      <alignment horizontal="center" vertical="center" wrapText="1"/>
    </xf>
    <xf numFmtId="171" fontId="53" fillId="14" borderId="32" xfId="15" applyNumberFormat="1" applyFont="1" applyFill="1" applyBorder="1" applyAlignment="1">
      <alignment wrapText="1"/>
    </xf>
    <xf numFmtId="171" fontId="20" fillId="14" borderId="32" xfId="15" applyNumberFormat="1" applyFont="1" applyFill="1" applyBorder="1" applyAlignment="1">
      <alignment horizontal="center" vertical="center" wrapText="1"/>
    </xf>
    <xf numFmtId="0" fontId="43" fillId="0" borderId="32" xfId="15" applyFont="1" applyFill="1" applyBorder="1" applyAlignment="1">
      <alignment horizontal="center" vertical="center" wrapText="1"/>
    </xf>
    <xf numFmtId="171" fontId="43" fillId="14" borderId="32" xfId="15" applyNumberFormat="1" applyFont="1" applyFill="1" applyBorder="1" applyAlignment="1">
      <alignment wrapText="1"/>
    </xf>
    <xf numFmtId="0" fontId="43" fillId="14" borderId="38" xfId="15" applyFont="1" applyFill="1" applyBorder="1" applyAlignment="1">
      <alignment horizontal="center" vertical="center" wrapText="1"/>
    </xf>
    <xf numFmtId="171" fontId="20" fillId="14" borderId="38" xfId="15" applyNumberFormat="1" applyFont="1" applyFill="1" applyBorder="1" applyAlignment="1">
      <alignment horizontal="center" vertical="center" wrapText="1"/>
    </xf>
    <xf numFmtId="0" fontId="43" fillId="0" borderId="38" xfId="15" applyFont="1" applyFill="1" applyBorder="1" applyAlignment="1">
      <alignment horizontal="center" vertical="center" wrapText="1"/>
    </xf>
    <xf numFmtId="171" fontId="43" fillId="14" borderId="38" xfId="15" applyNumberFormat="1" applyFont="1" applyFill="1" applyBorder="1" applyAlignment="1">
      <alignment wrapText="1"/>
    </xf>
    <xf numFmtId="0" fontId="4" fillId="6" borderId="1" xfId="15" applyFill="1" applyBorder="1"/>
    <xf numFmtId="0" fontId="43" fillId="17" borderId="33" xfId="15" applyFont="1" applyFill="1" applyBorder="1" applyAlignment="1">
      <alignment wrapText="1"/>
    </xf>
    <xf numFmtId="0" fontId="56" fillId="17" borderId="33" xfId="15" applyFont="1" applyFill="1" applyBorder="1" applyAlignment="1">
      <alignment horizontal="left" wrapText="1" indent="6"/>
    </xf>
    <xf numFmtId="0" fontId="56" fillId="17" borderId="6" xfId="15" applyFont="1" applyFill="1" applyBorder="1" applyAlignment="1">
      <alignment horizontal="left" wrapText="1" indent="6"/>
    </xf>
    <xf numFmtId="0" fontId="54" fillId="0" borderId="0" xfId="63" applyFont="1"/>
    <xf numFmtId="0" fontId="56" fillId="17" borderId="33" xfId="63" applyFont="1" applyFill="1" applyBorder="1" applyAlignment="1">
      <alignment horizontal="center" wrapText="1"/>
    </xf>
    <xf numFmtId="0" fontId="56" fillId="17" borderId="33" xfId="63" applyFont="1" applyFill="1" applyBorder="1" applyAlignment="1">
      <alignment wrapText="1"/>
    </xf>
    <xf numFmtId="0" fontId="56" fillId="17" borderId="0" xfId="63" applyFont="1" applyFill="1" applyBorder="1" applyAlignment="1">
      <alignment wrapText="1"/>
    </xf>
    <xf numFmtId="0" fontId="53" fillId="0" borderId="0" xfId="63" applyFont="1"/>
    <xf numFmtId="4" fontId="53" fillId="7" borderId="0" xfId="63" applyNumberFormat="1" applyFont="1" applyFill="1"/>
    <xf numFmtId="4" fontId="53" fillId="6" borderId="0" xfId="63" applyNumberFormat="1" applyFont="1" applyFill="1"/>
    <xf numFmtId="173" fontId="4" fillId="0" borderId="0" xfId="15" applyNumberFormat="1"/>
    <xf numFmtId="165" fontId="4" fillId="0" borderId="0" xfId="15" applyNumberFormat="1"/>
    <xf numFmtId="0" fontId="43" fillId="11" borderId="1" xfId="15" applyFont="1" applyFill="1" applyBorder="1" applyAlignment="1">
      <alignment wrapText="1"/>
    </xf>
    <xf numFmtId="0" fontId="44" fillId="11" borderId="1" xfId="15" applyFont="1" applyFill="1" applyBorder="1" applyAlignment="1">
      <alignment horizontal="right" wrapText="1"/>
    </xf>
    <xf numFmtId="173" fontId="43" fillId="11" borderId="1" xfId="63" applyNumberFormat="1" applyFont="1" applyFill="1" applyBorder="1" applyAlignment="1">
      <alignment wrapText="1"/>
    </xf>
    <xf numFmtId="176" fontId="43" fillId="11" borderId="1" xfId="15" applyNumberFormat="1" applyFont="1" applyFill="1" applyBorder="1" applyAlignment="1">
      <alignment wrapText="1"/>
    </xf>
    <xf numFmtId="0" fontId="43" fillId="11" borderId="1" xfId="15" applyFont="1" applyFill="1" applyBorder="1" applyAlignment="1">
      <alignment horizontal="center"/>
    </xf>
    <xf numFmtId="0" fontId="43" fillId="11" borderId="1" xfId="15" applyFont="1" applyFill="1" applyBorder="1"/>
    <xf numFmtId="0" fontId="43" fillId="2" borderId="1" xfId="15" applyFont="1" applyFill="1" applyBorder="1"/>
    <xf numFmtId="0" fontId="43" fillId="2" borderId="0" xfId="15" applyFont="1" applyFill="1" applyBorder="1"/>
    <xf numFmtId="173" fontId="43" fillId="0" borderId="0" xfId="63" applyNumberFormat="1" applyFont="1"/>
    <xf numFmtId="165" fontId="43" fillId="0" borderId="0" xfId="63" applyNumberFormat="1" applyFont="1"/>
    <xf numFmtId="171" fontId="4" fillId="0" borderId="0" xfId="15" applyNumberFormat="1"/>
    <xf numFmtId="0" fontId="73" fillId="16" borderId="2" xfId="15" applyFont="1" applyFill="1" applyBorder="1" applyAlignment="1">
      <alignment wrapText="1"/>
    </xf>
    <xf numFmtId="0" fontId="42" fillId="0" borderId="1" xfId="15" applyFont="1" applyBorder="1"/>
    <xf numFmtId="0" fontId="42" fillId="7" borderId="1" xfId="15" applyFont="1" applyFill="1" applyBorder="1" applyAlignment="1">
      <alignment horizontal="center" vertical="center"/>
    </xf>
    <xf numFmtId="0" fontId="42" fillId="0" borderId="1" xfId="15" applyFont="1" applyBorder="1" applyAlignment="1">
      <alignment horizontal="center" vertical="center" wrapText="1"/>
    </xf>
    <xf numFmtId="0" fontId="49" fillId="18" borderId="2" xfId="15" applyFont="1" applyFill="1" applyBorder="1" applyAlignment="1">
      <alignment vertical="center" wrapText="1"/>
    </xf>
    <xf numFmtId="0" fontId="49" fillId="18" borderId="3" xfId="15" applyFont="1" applyFill="1" applyBorder="1" applyAlignment="1">
      <alignment vertical="center" wrapText="1"/>
    </xf>
    <xf numFmtId="177" fontId="49" fillId="18" borderId="3" xfId="15" applyNumberFormat="1" applyFont="1" applyFill="1" applyBorder="1" applyAlignment="1">
      <alignment vertical="center" wrapText="1"/>
    </xf>
    <xf numFmtId="165" fontId="49" fillId="18" borderId="3" xfId="15" applyNumberFormat="1" applyFont="1" applyFill="1" applyBorder="1" applyAlignment="1">
      <alignment vertical="center" wrapText="1"/>
    </xf>
    <xf numFmtId="0" fontId="49" fillId="18" borderId="5" xfId="15" applyFont="1" applyFill="1" applyBorder="1" applyAlignment="1">
      <alignment vertical="center" wrapText="1"/>
    </xf>
    <xf numFmtId="0" fontId="51" fillId="2" borderId="1" xfId="15" applyFont="1" applyFill="1" applyBorder="1" applyAlignment="1">
      <alignment vertical="top" wrapText="1"/>
    </xf>
    <xf numFmtId="0" fontId="50" fillId="17" borderId="33" xfId="15" applyFont="1" applyFill="1" applyBorder="1" applyAlignment="1">
      <alignment horizontal="left" wrapText="1" indent="2"/>
    </xf>
    <xf numFmtId="0" fontId="50" fillId="17" borderId="6" xfId="15" applyFont="1" applyFill="1" applyBorder="1" applyAlignment="1">
      <alignment horizontal="left" wrapText="1" indent="2"/>
    </xf>
    <xf numFmtId="177" fontId="52" fillId="17" borderId="1" xfId="15" applyNumberFormat="1" applyFont="1" applyFill="1" applyBorder="1" applyAlignment="1">
      <alignment wrapText="1"/>
    </xf>
    <xf numFmtId="0" fontId="50" fillId="17" borderId="1" xfId="15" applyFont="1" applyFill="1" applyBorder="1" applyAlignment="1">
      <alignment wrapText="1"/>
    </xf>
    <xf numFmtId="0" fontId="69" fillId="17" borderId="1" xfId="15" applyFont="1" applyFill="1" applyBorder="1" applyAlignment="1">
      <alignment wrapText="1"/>
    </xf>
    <xf numFmtId="0" fontId="51" fillId="2" borderId="33" xfId="15" applyFont="1" applyFill="1" applyBorder="1" applyAlignment="1">
      <alignment vertical="top" wrapText="1"/>
    </xf>
    <xf numFmtId="0" fontId="71" fillId="17" borderId="33" xfId="15" applyFont="1" applyFill="1" applyBorder="1" applyAlignment="1">
      <alignment horizontal="left" wrapText="1" indent="4"/>
    </xf>
    <xf numFmtId="177" fontId="71" fillId="17" borderId="33" xfId="15" applyNumberFormat="1" applyFont="1" applyFill="1" applyBorder="1" applyAlignment="1">
      <alignment wrapText="1"/>
    </xf>
    <xf numFmtId="165" fontId="71" fillId="17" borderId="33" xfId="15" applyNumberFormat="1" applyFont="1" applyFill="1" applyBorder="1" applyAlignment="1">
      <alignment wrapText="1"/>
    </xf>
    <xf numFmtId="0" fontId="50" fillId="17" borderId="33" xfId="15" applyFont="1" applyFill="1" applyBorder="1" applyAlignment="1">
      <alignment wrapText="1"/>
    </xf>
    <xf numFmtId="0" fontId="69" fillId="17" borderId="33" xfId="15" applyFont="1" applyFill="1" applyBorder="1" applyAlignment="1">
      <alignment wrapText="1"/>
    </xf>
    <xf numFmtId="0" fontId="43" fillId="14" borderId="38" xfId="15" applyFont="1" applyFill="1" applyBorder="1" applyAlignment="1">
      <alignment vertical="center" wrapText="1"/>
    </xf>
    <xf numFmtId="178" fontId="4" fillId="14" borderId="38" xfId="15" applyNumberFormat="1" applyFont="1" applyFill="1" applyBorder="1"/>
    <xf numFmtId="0" fontId="42" fillId="14" borderId="38" xfId="15" applyFont="1" applyFill="1" applyBorder="1"/>
    <xf numFmtId="0" fontId="4" fillId="0" borderId="38" xfId="15" applyBorder="1"/>
    <xf numFmtId="0" fontId="4" fillId="14" borderId="33" xfId="15" applyFill="1" applyBorder="1" applyAlignment="1">
      <alignment vertical="center"/>
    </xf>
    <xf numFmtId="0" fontId="4" fillId="7" borderId="33" xfId="15" applyFill="1" applyBorder="1" applyAlignment="1">
      <alignment vertical="center" wrapText="1"/>
    </xf>
    <xf numFmtId="0" fontId="4" fillId="14" borderId="33" xfId="15" applyFill="1" applyBorder="1" applyAlignment="1">
      <alignment vertical="center" wrapText="1"/>
    </xf>
    <xf numFmtId="0" fontId="60" fillId="6" borderId="33" xfId="15" applyFont="1" applyFill="1" applyBorder="1" applyAlignment="1">
      <alignment vertical="center" wrapText="1"/>
    </xf>
    <xf numFmtId="0" fontId="51" fillId="14" borderId="38" xfId="15" applyFont="1" applyFill="1" applyBorder="1" applyAlignment="1">
      <alignment horizontal="center" vertical="center" wrapText="1"/>
    </xf>
    <xf numFmtId="0" fontId="51" fillId="2" borderId="38" xfId="15" applyFont="1" applyFill="1" applyBorder="1" applyAlignment="1">
      <alignment horizontal="center" vertical="center"/>
    </xf>
    <xf numFmtId="0" fontId="6" fillId="0" borderId="38" xfId="15" applyFont="1" applyFill="1" applyBorder="1" applyAlignment="1">
      <alignment horizontal="center" vertical="center" wrapText="1"/>
    </xf>
    <xf numFmtId="0" fontId="75" fillId="2" borderId="38" xfId="15" applyFont="1" applyFill="1" applyBorder="1" applyAlignment="1">
      <alignment horizontal="center" vertical="center"/>
    </xf>
    <xf numFmtId="0" fontId="51" fillId="14" borderId="38" xfId="15" applyFont="1" applyFill="1" applyBorder="1" applyAlignment="1">
      <alignment wrapText="1"/>
    </xf>
    <xf numFmtId="0" fontId="4" fillId="7" borderId="38" xfId="15" applyFill="1" applyBorder="1" applyAlignment="1">
      <alignment wrapText="1"/>
    </xf>
    <xf numFmtId="0" fontId="4" fillId="14" borderId="38" xfId="15" applyFill="1" applyBorder="1"/>
    <xf numFmtId="0" fontId="4" fillId="14" borderId="38" xfId="15" applyFill="1" applyBorder="1" applyAlignment="1">
      <alignment wrapText="1"/>
    </xf>
    <xf numFmtId="0" fontId="60" fillId="6" borderId="38" xfId="15" applyFont="1" applyFill="1" applyBorder="1" applyAlignment="1">
      <alignment wrapText="1"/>
    </xf>
    <xf numFmtId="0" fontId="43" fillId="14" borderId="32" xfId="15" applyFont="1" applyFill="1" applyBorder="1" applyAlignment="1">
      <alignment vertical="center" wrapText="1"/>
    </xf>
    <xf numFmtId="178" fontId="4" fillId="14" borderId="32" xfId="15" applyNumberFormat="1" applyFont="1" applyFill="1" applyBorder="1"/>
    <xf numFmtId="0" fontId="4" fillId="0" borderId="32" xfId="15" applyBorder="1"/>
    <xf numFmtId="171" fontId="43" fillId="14" borderId="37" xfId="15" applyNumberFormat="1" applyFont="1" applyFill="1" applyBorder="1" applyAlignment="1">
      <alignment horizontal="center" vertical="center" wrapText="1"/>
    </xf>
    <xf numFmtId="0" fontId="4" fillId="14" borderId="32" xfId="15" applyFill="1" applyBorder="1" applyAlignment="1">
      <alignment vertical="center" wrapText="1"/>
    </xf>
    <xf numFmtId="0" fontId="4" fillId="7" borderId="32" xfId="15" applyFill="1" applyBorder="1" applyAlignment="1">
      <alignment vertical="center" wrapText="1"/>
    </xf>
    <xf numFmtId="0" fontId="60" fillId="6" borderId="32" xfId="15" applyFont="1" applyFill="1" applyBorder="1" applyAlignment="1">
      <alignment vertical="center" wrapText="1"/>
    </xf>
    <xf numFmtId="0" fontId="58" fillId="14" borderId="38" xfId="15" applyFont="1" applyFill="1" applyBorder="1" applyAlignment="1">
      <alignment horizontal="center" vertical="center" wrapText="1"/>
    </xf>
    <xf numFmtId="0" fontId="50" fillId="17" borderId="3" xfId="15" applyFont="1" applyFill="1" applyBorder="1" applyAlignment="1">
      <alignment wrapText="1"/>
    </xf>
    <xf numFmtId="0" fontId="51" fillId="2" borderId="38" xfId="15" applyFont="1" applyFill="1" applyBorder="1" applyAlignment="1">
      <alignment vertical="center" wrapText="1"/>
    </xf>
    <xf numFmtId="0" fontId="51" fillId="2" borderId="38" xfId="15" applyFont="1" applyFill="1" applyBorder="1" applyAlignment="1">
      <alignment horizontal="left" wrapText="1"/>
    </xf>
    <xf numFmtId="1" fontId="51" fillId="2" borderId="38" xfId="15" applyNumberFormat="1" applyFont="1" applyFill="1" applyBorder="1" applyAlignment="1">
      <alignment horizontal="center" vertical="center"/>
    </xf>
    <xf numFmtId="171" fontId="51" fillId="0" borderId="38" xfId="15" applyNumberFormat="1" applyFont="1" applyFill="1" applyBorder="1" applyAlignment="1">
      <alignment horizontal="center" vertical="center"/>
    </xf>
    <xf numFmtId="179" fontId="51" fillId="2" borderId="38" xfId="15" applyNumberFormat="1" applyFont="1" applyFill="1" applyBorder="1" applyAlignment="1">
      <alignment horizontal="center" vertical="center"/>
    </xf>
    <xf numFmtId="0" fontId="51" fillId="2" borderId="38" xfId="15" applyFont="1" applyFill="1" applyBorder="1" applyAlignment="1">
      <alignment horizontal="center" vertical="center" wrapText="1"/>
    </xf>
    <xf numFmtId="178" fontId="17" fillId="6" borderId="1" xfId="15" applyNumberFormat="1" applyFont="1" applyFill="1" applyBorder="1" applyAlignment="1">
      <alignment horizontal="center" vertical="center" wrapText="1"/>
    </xf>
    <xf numFmtId="177" fontId="69" fillId="6" borderId="1" xfId="15" applyNumberFormat="1" applyFont="1" applyFill="1" applyBorder="1" applyAlignment="1">
      <alignment horizontal="center" wrapText="1"/>
    </xf>
    <xf numFmtId="165" fontId="69" fillId="6" borderId="1" xfId="15" applyNumberFormat="1" applyFont="1" applyFill="1" applyBorder="1" applyAlignment="1">
      <alignment horizontal="center" wrapText="1"/>
    </xf>
    <xf numFmtId="0" fontId="4" fillId="0" borderId="1" xfId="15" applyBorder="1"/>
    <xf numFmtId="0" fontId="4" fillId="0" borderId="0" xfId="15" applyAlignment="1">
      <alignment vertical="center"/>
    </xf>
    <xf numFmtId="0" fontId="4" fillId="7" borderId="0" xfId="15" applyFill="1" applyAlignment="1">
      <alignment vertical="center" wrapText="1"/>
    </xf>
    <xf numFmtId="0" fontId="4" fillId="0" borderId="0" xfId="15" applyAlignment="1">
      <alignment vertical="center" wrapText="1"/>
    </xf>
    <xf numFmtId="0" fontId="60" fillId="0" borderId="0" xfId="15" applyFont="1" applyAlignment="1">
      <alignment vertical="center" wrapText="1"/>
    </xf>
    <xf numFmtId="0" fontId="49" fillId="18" borderId="0" xfId="15" applyFont="1" applyFill="1" applyBorder="1" applyAlignment="1">
      <alignment horizontal="center" vertical="center" wrapText="1"/>
    </xf>
    <xf numFmtId="0" fontId="43" fillId="0" borderId="0" xfId="15" applyFont="1" applyFill="1" applyBorder="1" applyAlignment="1">
      <alignment horizontal="center" vertical="center" wrapText="1"/>
    </xf>
    <xf numFmtId="0" fontId="4" fillId="14" borderId="32" xfId="15" applyFill="1" applyBorder="1" applyAlignment="1">
      <alignment wrapText="1"/>
    </xf>
    <xf numFmtId="0" fontId="60" fillId="6" borderId="32" xfId="15" applyFont="1" applyFill="1" applyBorder="1" applyAlignment="1">
      <alignment wrapText="1"/>
    </xf>
    <xf numFmtId="171" fontId="42" fillId="11" borderId="0" xfId="15" applyNumberFormat="1" applyFont="1" applyFill="1"/>
    <xf numFmtId="0" fontId="76" fillId="14" borderId="32" xfId="15" applyFont="1" applyFill="1" applyBorder="1" applyAlignment="1">
      <alignment horizontal="left" vertical="center" wrapText="1"/>
    </xf>
    <xf numFmtId="0" fontId="76" fillId="14" borderId="38" xfId="15" applyFont="1" applyFill="1" applyBorder="1" applyAlignment="1">
      <alignment horizontal="left" vertical="center" wrapText="1"/>
    </xf>
    <xf numFmtId="0" fontId="43" fillId="14" borderId="33" xfId="15" applyFont="1" applyFill="1" applyBorder="1" applyAlignment="1">
      <alignment vertical="center" wrapText="1"/>
    </xf>
    <xf numFmtId="0" fontId="4" fillId="7" borderId="33" xfId="15" applyFill="1" applyBorder="1" applyAlignment="1">
      <alignment wrapText="1"/>
    </xf>
    <xf numFmtId="0" fontId="4" fillId="14" borderId="33" xfId="15" applyFill="1" applyBorder="1"/>
    <xf numFmtId="0" fontId="4" fillId="14" borderId="33" xfId="15" applyFill="1" applyBorder="1" applyAlignment="1">
      <alignment wrapText="1"/>
    </xf>
    <xf numFmtId="0" fontId="60" fillId="6" borderId="33" xfId="15" applyFont="1" applyFill="1" applyBorder="1" applyAlignment="1">
      <alignment wrapText="1"/>
    </xf>
    <xf numFmtId="171" fontId="53" fillId="14" borderId="38" xfId="15" applyNumberFormat="1" applyFont="1" applyFill="1" applyBorder="1" applyAlignment="1">
      <alignment wrapText="1"/>
    </xf>
    <xf numFmtId="0" fontId="21" fillId="14" borderId="33" xfId="15" applyFont="1" applyFill="1" applyBorder="1" applyAlignment="1">
      <alignment horizontal="left" vertical="center" wrapText="1"/>
    </xf>
    <xf numFmtId="0" fontId="76" fillId="14" borderId="33" xfId="15" applyFont="1" applyFill="1" applyBorder="1" applyAlignment="1">
      <alignment horizontal="left" vertical="center" wrapText="1"/>
    </xf>
    <xf numFmtId="178" fontId="4" fillId="14" borderId="33" xfId="15" applyNumberFormat="1" applyFont="1" applyFill="1" applyBorder="1"/>
    <xf numFmtId="171" fontId="43" fillId="14" borderId="33" xfId="15" applyNumberFormat="1" applyFont="1" applyFill="1" applyBorder="1" applyAlignment="1">
      <alignment horizontal="center" vertical="center" wrapText="1"/>
    </xf>
    <xf numFmtId="0" fontId="42" fillId="14" borderId="33" xfId="15" applyFont="1" applyFill="1" applyBorder="1"/>
    <xf numFmtId="171" fontId="20" fillId="14" borderId="33" xfId="15" applyNumberFormat="1" applyFont="1" applyFill="1" applyBorder="1" applyAlignment="1">
      <alignment horizontal="center" vertical="center" wrapText="1"/>
    </xf>
    <xf numFmtId="0" fontId="4" fillId="0" borderId="0" xfId="15" applyBorder="1"/>
    <xf numFmtId="165" fontId="42" fillId="0" borderId="40" xfId="15" applyNumberFormat="1" applyFont="1" applyBorder="1"/>
    <xf numFmtId="165" fontId="42" fillId="0" borderId="41" xfId="15" applyNumberFormat="1" applyFont="1" applyBorder="1"/>
    <xf numFmtId="165" fontId="42" fillId="0" borderId="42" xfId="15" applyNumberFormat="1" applyFont="1" applyBorder="1"/>
    <xf numFmtId="165" fontId="42" fillId="0" borderId="38" xfId="15" applyNumberFormat="1" applyFont="1" applyBorder="1"/>
    <xf numFmtId="165" fontId="42" fillId="14" borderId="38" xfId="15" applyNumberFormat="1" applyFont="1" applyFill="1" applyBorder="1"/>
    <xf numFmtId="165" fontId="42" fillId="6" borderId="40" xfId="15" applyNumberFormat="1" applyFont="1" applyFill="1" applyBorder="1"/>
    <xf numFmtId="165" fontId="42" fillId="6" borderId="41" xfId="15" applyNumberFormat="1" applyFont="1" applyFill="1" applyBorder="1"/>
    <xf numFmtId="165" fontId="42" fillId="6" borderId="42" xfId="15" applyNumberFormat="1" applyFont="1" applyFill="1" applyBorder="1"/>
    <xf numFmtId="165" fontId="42" fillId="6" borderId="38" xfId="15" applyNumberFormat="1" applyFont="1" applyFill="1" applyBorder="1"/>
    <xf numFmtId="167" fontId="4" fillId="0" borderId="0" xfId="15" applyNumberFormat="1"/>
    <xf numFmtId="165" fontId="42" fillId="0" borderId="1" xfId="15" applyNumberFormat="1" applyFont="1" applyBorder="1"/>
    <xf numFmtId="165" fontId="65" fillId="0" borderId="1" xfId="15" applyNumberFormat="1" applyFont="1" applyBorder="1"/>
    <xf numFmtId="177" fontId="4" fillId="0" borderId="0" xfId="15" applyNumberFormat="1"/>
    <xf numFmtId="0" fontId="4" fillId="7" borderId="0" xfId="15" applyFill="1"/>
    <xf numFmtId="0" fontId="51" fillId="6" borderId="0" xfId="15" applyFont="1" applyFill="1"/>
    <xf numFmtId="173" fontId="77" fillId="0" borderId="0" xfId="63" applyNumberFormat="1" applyFont="1"/>
    <xf numFmtId="165" fontId="60" fillId="0" borderId="0" xfId="63" applyNumberFormat="1" applyFont="1"/>
    <xf numFmtId="177" fontId="60" fillId="0" borderId="0" xfId="63" applyNumberFormat="1" applyFont="1"/>
    <xf numFmtId="165" fontId="37" fillId="2" borderId="29" xfId="15" applyNumberFormat="1" applyFont="1" applyFill="1" applyBorder="1"/>
    <xf numFmtId="165" fontId="37" fillId="2" borderId="30" xfId="15" applyNumberFormat="1" applyFont="1" applyFill="1" applyBorder="1"/>
    <xf numFmtId="165" fontId="37" fillId="2" borderId="31" xfId="15" applyNumberFormat="1" applyFont="1" applyFill="1" applyBorder="1"/>
    <xf numFmtId="165" fontId="78" fillId="2" borderId="33" xfId="15" applyNumberFormat="1" applyFont="1" applyFill="1" applyBorder="1"/>
    <xf numFmtId="165" fontId="37" fillId="2" borderId="34" xfId="15" applyNumberFormat="1" applyFont="1" applyFill="1" applyBorder="1"/>
    <xf numFmtId="165" fontId="37" fillId="2" borderId="35" xfId="15" applyNumberFormat="1" applyFont="1" applyFill="1" applyBorder="1"/>
    <xf numFmtId="165" fontId="37" fillId="2" borderId="36" xfId="15" applyNumberFormat="1" applyFont="1" applyFill="1" applyBorder="1"/>
    <xf numFmtId="165" fontId="78" fillId="2" borderId="32" xfId="15" applyNumberFormat="1" applyFont="1" applyFill="1" applyBorder="1"/>
    <xf numFmtId="171" fontId="42" fillId="0" borderId="0" xfId="15" applyNumberFormat="1" applyFont="1" applyAlignment="1">
      <alignment vertical="center" wrapText="1"/>
    </xf>
    <xf numFmtId="165" fontId="37" fillId="2" borderId="43" xfId="15" applyNumberFormat="1" applyFont="1" applyFill="1" applyBorder="1"/>
    <xf numFmtId="165" fontId="37" fillId="2" borderId="44" xfId="15" applyNumberFormat="1" applyFont="1" applyFill="1" applyBorder="1"/>
    <xf numFmtId="165" fontId="37" fillId="2" borderId="45" xfId="15" applyNumberFormat="1" applyFont="1" applyFill="1" applyBorder="1"/>
    <xf numFmtId="165" fontId="78" fillId="2" borderId="39" xfId="15" applyNumberFormat="1" applyFont="1" applyFill="1" applyBorder="1"/>
    <xf numFmtId="178" fontId="4" fillId="7" borderId="0" xfId="15" applyNumberFormat="1" applyFill="1"/>
    <xf numFmtId="177" fontId="77" fillId="0" borderId="0" xfId="63" applyNumberFormat="1" applyFont="1"/>
    <xf numFmtId="165" fontId="37" fillId="2" borderId="40" xfId="15" applyNumberFormat="1" applyFont="1" applyFill="1" applyBorder="1"/>
    <xf numFmtId="165" fontId="37" fillId="2" borderId="41" xfId="15" applyNumberFormat="1" applyFont="1" applyFill="1" applyBorder="1"/>
    <xf numFmtId="165" fontId="37" fillId="2" borderId="42" xfId="15" applyNumberFormat="1" applyFont="1" applyFill="1" applyBorder="1"/>
    <xf numFmtId="165" fontId="78" fillId="2" borderId="38" xfId="15" applyNumberFormat="1" applyFont="1" applyFill="1" applyBorder="1"/>
    <xf numFmtId="178" fontId="79" fillId="17" borderId="1" xfId="15" applyNumberFormat="1" applyFont="1" applyFill="1" applyBorder="1"/>
    <xf numFmtId="0" fontId="80" fillId="6" borderId="1" xfId="15" applyFont="1" applyFill="1" applyBorder="1" applyAlignment="1">
      <alignment wrapText="1"/>
    </xf>
    <xf numFmtId="0" fontId="80" fillId="6" borderId="1" xfId="15" applyFont="1" applyFill="1" applyBorder="1"/>
    <xf numFmtId="174" fontId="81" fillId="17" borderId="2" xfId="15" applyNumberFormat="1" applyFont="1" applyFill="1" applyBorder="1"/>
    <xf numFmtId="171" fontId="81" fillId="17" borderId="1" xfId="15" applyNumberFormat="1" applyFont="1" applyFill="1" applyBorder="1"/>
    <xf numFmtId="165" fontId="47" fillId="6" borderId="1" xfId="63" applyNumberFormat="1" applyFont="1" applyFill="1" applyBorder="1"/>
    <xf numFmtId="177" fontId="47" fillId="6" borderId="1" xfId="63" applyNumberFormat="1" applyFont="1" applyFill="1" applyBorder="1"/>
    <xf numFmtId="165" fontId="37" fillId="2" borderId="46" xfId="15" applyNumberFormat="1" applyFont="1" applyFill="1" applyBorder="1"/>
    <xf numFmtId="165" fontId="37" fillId="2" borderId="47" xfId="15" applyNumberFormat="1" applyFont="1" applyFill="1" applyBorder="1"/>
    <xf numFmtId="165" fontId="37" fillId="2" borderId="48" xfId="15" applyNumberFormat="1" applyFont="1" applyFill="1" applyBorder="1"/>
    <xf numFmtId="165" fontId="78" fillId="2" borderId="1" xfId="15" applyNumberFormat="1" applyFont="1" applyFill="1" applyBorder="1"/>
    <xf numFmtId="0" fontId="51" fillId="6" borderId="1" xfId="15" applyFont="1" applyFill="1" applyBorder="1"/>
    <xf numFmtId="0" fontId="68" fillId="2" borderId="1" xfId="15" applyFont="1" applyFill="1" applyBorder="1"/>
    <xf numFmtId="0" fontId="51" fillId="2" borderId="1" xfId="15" applyFont="1" applyFill="1" applyBorder="1" applyAlignment="1">
      <alignment horizontal="center" vertical="center"/>
    </xf>
    <xf numFmtId="173" fontId="51" fillId="0" borderId="2" xfId="15" applyNumberFormat="1" applyFont="1" applyFill="1" applyBorder="1"/>
    <xf numFmtId="165" fontId="51" fillId="6" borderId="5" xfId="15" applyNumberFormat="1" applyFont="1" applyFill="1" applyBorder="1"/>
    <xf numFmtId="165" fontId="82" fillId="0" borderId="2" xfId="15" applyNumberFormat="1" applyFont="1" applyFill="1" applyBorder="1"/>
    <xf numFmtId="165" fontId="82" fillId="0" borderId="3" xfId="15" applyNumberFormat="1" applyFont="1" applyFill="1" applyBorder="1"/>
    <xf numFmtId="177" fontId="51" fillId="6" borderId="3" xfId="15" applyNumberFormat="1" applyFont="1" applyFill="1" applyBorder="1"/>
    <xf numFmtId="165" fontId="51" fillId="6" borderId="3" xfId="15" applyNumberFormat="1" applyFont="1" applyFill="1" applyBorder="1"/>
    <xf numFmtId="173" fontId="51" fillId="6" borderId="2" xfId="15" applyNumberFormat="1" applyFont="1" applyFill="1" applyBorder="1"/>
    <xf numFmtId="165" fontId="83" fillId="2" borderId="1" xfId="15" applyNumberFormat="1" applyFont="1" applyFill="1" applyBorder="1"/>
    <xf numFmtId="0" fontId="4" fillId="0" borderId="0" xfId="15" applyAlignment="1">
      <alignment horizontal="center" vertical="center"/>
    </xf>
    <xf numFmtId="171" fontId="4" fillId="14" borderId="0" xfId="15" applyNumberFormat="1" applyFill="1"/>
    <xf numFmtId="0" fontId="4" fillId="0" borderId="0" xfId="15" applyFill="1"/>
    <xf numFmtId="0" fontId="51" fillId="0" borderId="0" xfId="15" applyFont="1" applyFill="1" applyAlignment="1">
      <alignment horizontal="right" wrapText="1"/>
    </xf>
    <xf numFmtId="0" fontId="51" fillId="0" borderId="0" xfId="15" applyFont="1" applyFill="1" applyAlignment="1">
      <alignment horizontal="center" vertical="center" wrapText="1"/>
    </xf>
    <xf numFmtId="173" fontId="60" fillId="0" borderId="0" xfId="63" applyNumberFormat="1" applyFont="1" applyFill="1"/>
    <xf numFmtId="165" fontId="84" fillId="0" borderId="0" xfId="63" applyNumberFormat="1" applyFont="1"/>
    <xf numFmtId="165" fontId="60" fillId="0" borderId="0" xfId="63" applyNumberFormat="1" applyFont="1" applyFill="1"/>
    <xf numFmtId="177" fontId="77" fillId="0" borderId="0" xfId="63" applyNumberFormat="1" applyFont="1" applyFill="1"/>
    <xf numFmtId="165" fontId="37" fillId="2" borderId="1" xfId="15" applyNumberFormat="1" applyFont="1" applyFill="1" applyBorder="1"/>
    <xf numFmtId="171" fontId="4" fillId="6" borderId="0" xfId="15" applyNumberFormat="1" applyFill="1"/>
    <xf numFmtId="180" fontId="77" fillId="0" borderId="0" xfId="63" applyNumberFormat="1" applyFont="1"/>
    <xf numFmtId="180" fontId="77" fillId="0" borderId="0" xfId="63" applyNumberFormat="1" applyFont="1" applyAlignment="1">
      <alignment horizontal="center" vertical="center"/>
    </xf>
    <xf numFmtId="0" fontId="4" fillId="14" borderId="0" xfId="15" applyFont="1" applyFill="1" applyAlignment="1">
      <alignment vertical="center" wrapText="1"/>
    </xf>
    <xf numFmtId="0" fontId="23" fillId="0" borderId="0" xfId="15" applyFont="1" applyAlignment="1">
      <alignment horizontal="center" vertical="center"/>
    </xf>
    <xf numFmtId="0" fontId="21" fillId="14" borderId="37" xfId="15" applyFont="1" applyFill="1" applyBorder="1" applyAlignment="1">
      <alignment horizontal="left" vertical="center" wrapText="1"/>
    </xf>
    <xf numFmtId="174" fontId="59" fillId="14" borderId="37" xfId="15" applyNumberFormat="1" applyFont="1" applyFill="1" applyBorder="1" applyAlignment="1">
      <alignment horizontal="center" vertical="center" wrapText="1"/>
    </xf>
    <xf numFmtId="0" fontId="20" fillId="14" borderId="37" xfId="15" applyFont="1" applyFill="1" applyBorder="1" applyAlignment="1">
      <alignment horizontal="center" vertical="center" wrapText="1"/>
    </xf>
    <xf numFmtId="171" fontId="53" fillId="14" borderId="37" xfId="15" applyNumberFormat="1" applyFont="1" applyFill="1" applyBorder="1" applyAlignment="1">
      <alignment horizontal="center" vertical="center" wrapText="1"/>
    </xf>
    <xf numFmtId="171" fontId="20" fillId="14" borderId="37" xfId="15" applyNumberFormat="1" applyFont="1" applyFill="1" applyBorder="1" applyAlignment="1">
      <alignment horizontal="center" vertical="center"/>
    </xf>
    <xf numFmtId="0" fontId="43" fillId="2" borderId="37" xfId="15" applyFont="1" applyFill="1" applyBorder="1" applyAlignment="1">
      <alignment horizontal="center" vertical="center" wrapText="1"/>
    </xf>
    <xf numFmtId="0" fontId="21" fillId="0" borderId="37" xfId="15" applyFont="1" applyFill="1" applyBorder="1" applyAlignment="1">
      <alignment horizontal="center" vertical="center" wrapText="1"/>
    </xf>
    <xf numFmtId="0" fontId="58" fillId="14" borderId="37" xfId="15" applyFont="1" applyFill="1" applyBorder="1" applyAlignment="1">
      <alignment horizontal="center" vertical="center" wrapText="1"/>
    </xf>
    <xf numFmtId="0" fontId="51" fillId="14" borderId="37" xfId="15" applyFont="1" applyFill="1" applyBorder="1" applyAlignment="1">
      <alignment horizontal="center" vertical="center" wrapText="1"/>
    </xf>
    <xf numFmtId="165" fontId="42" fillId="14" borderId="52" xfId="15" applyNumberFormat="1" applyFont="1" applyFill="1" applyBorder="1"/>
    <xf numFmtId="165" fontId="42" fillId="14" borderId="53" xfId="15" applyNumberFormat="1" applyFont="1" applyFill="1" applyBorder="1"/>
    <xf numFmtId="165" fontId="42" fillId="14" borderId="54" xfId="15" applyNumberFormat="1" applyFont="1" applyFill="1" applyBorder="1"/>
    <xf numFmtId="165" fontId="42" fillId="6" borderId="55" xfId="15" applyNumberFormat="1" applyFont="1" applyFill="1" applyBorder="1"/>
    <xf numFmtId="165" fontId="42" fillId="14" borderId="55" xfId="15" applyNumberFormat="1" applyFont="1" applyFill="1" applyBorder="1"/>
    <xf numFmtId="165" fontId="53" fillId="6" borderId="52" xfId="15" applyNumberFormat="1" applyFont="1" applyFill="1" applyBorder="1"/>
    <xf numFmtId="165" fontId="53" fillId="6" borderId="53" xfId="15" applyNumberFormat="1" applyFont="1" applyFill="1" applyBorder="1"/>
    <xf numFmtId="165" fontId="53" fillId="6" borderId="54" xfId="15" applyNumberFormat="1" applyFont="1" applyFill="1" applyBorder="1"/>
    <xf numFmtId="0" fontId="43" fillId="2" borderId="37" xfId="15" applyFont="1" applyFill="1" applyBorder="1" applyAlignment="1">
      <alignment horizontal="center" vertical="center"/>
    </xf>
    <xf numFmtId="0" fontId="21" fillId="0" borderId="37" xfId="15" applyFont="1" applyFill="1" applyBorder="1" applyAlignment="1">
      <alignment vertical="center" wrapText="1"/>
    </xf>
    <xf numFmtId="0" fontId="21" fillId="14" borderId="39" xfId="15" applyFont="1" applyFill="1" applyBorder="1" applyAlignment="1">
      <alignment horizontal="left" vertical="center" wrapText="1"/>
    </xf>
    <xf numFmtId="173" fontId="59" fillId="14" borderId="39" xfId="15" applyNumberFormat="1" applyFont="1" applyFill="1" applyBorder="1" applyAlignment="1">
      <alignment horizontal="center" vertical="center" wrapText="1"/>
    </xf>
    <xf numFmtId="171" fontId="53" fillId="14" borderId="39" xfId="15" applyNumberFormat="1" applyFont="1" applyFill="1" applyBorder="1" applyAlignment="1">
      <alignment horizontal="center" vertical="center" wrapText="1"/>
    </xf>
    <xf numFmtId="171" fontId="20" fillId="14" borderId="39" xfId="15" applyNumberFormat="1" applyFont="1" applyFill="1" applyBorder="1" applyAlignment="1">
      <alignment horizontal="center" vertical="center"/>
    </xf>
    <xf numFmtId="0" fontId="43" fillId="2" borderId="39" xfId="15" applyFont="1" applyFill="1" applyBorder="1" applyAlignment="1">
      <alignment horizontal="center" vertical="center" wrapText="1"/>
    </xf>
    <xf numFmtId="0" fontId="21" fillId="0" borderId="55" xfId="15" applyFont="1" applyFill="1" applyBorder="1" applyAlignment="1">
      <alignment horizontal="center" vertical="center" wrapText="1"/>
    </xf>
    <xf numFmtId="0" fontId="99" fillId="7" borderId="2" xfId="15" applyFont="1" applyFill="1" applyBorder="1" applyAlignment="1">
      <alignment wrapText="1"/>
    </xf>
    <xf numFmtId="0" fontId="4" fillId="14" borderId="0" xfId="15" applyFont="1" applyFill="1" applyAlignment="1">
      <alignment horizontal="center" vertical="center" wrapText="1"/>
    </xf>
    <xf numFmtId="0" fontId="42" fillId="0" borderId="0" xfId="15" applyFont="1" applyAlignment="1">
      <alignment horizontal="center" vertical="center"/>
    </xf>
    <xf numFmtId="173" fontId="20" fillId="14" borderId="32" xfId="15" applyNumberFormat="1" applyFont="1" applyFill="1" applyBorder="1" applyAlignment="1">
      <alignment horizontal="center" vertical="center" wrapText="1"/>
    </xf>
    <xf numFmtId="0" fontId="43" fillId="0" borderId="37" xfId="15" applyFont="1" applyFill="1" applyBorder="1" applyAlignment="1">
      <alignment vertical="center" wrapText="1"/>
    </xf>
    <xf numFmtId="173" fontId="59" fillId="14" borderId="37" xfId="15" applyNumberFormat="1" applyFont="1" applyFill="1" applyBorder="1" applyAlignment="1">
      <alignment horizontal="center" vertical="center" wrapText="1"/>
    </xf>
    <xf numFmtId="173" fontId="20" fillId="14" borderId="37" xfId="15" applyNumberFormat="1" applyFont="1" applyFill="1" applyBorder="1" applyAlignment="1">
      <alignment horizontal="center" vertical="center" wrapText="1"/>
    </xf>
    <xf numFmtId="166" fontId="17" fillId="0" borderId="4" xfId="15" applyNumberFormat="1" applyFont="1" applyFill="1" applyBorder="1" applyAlignment="1">
      <alignment horizontal="center" vertical="center" wrapText="1"/>
    </xf>
    <xf numFmtId="0" fontId="43" fillId="2" borderId="4" xfId="15" applyFont="1" applyFill="1" applyBorder="1" applyAlignment="1">
      <alignment horizontal="center" vertical="center"/>
    </xf>
    <xf numFmtId="0" fontId="21" fillId="0" borderId="4" xfId="15" applyFont="1" applyFill="1" applyBorder="1" applyAlignment="1">
      <alignment horizontal="center" vertical="center" wrapText="1"/>
    </xf>
    <xf numFmtId="0" fontId="100" fillId="6" borderId="1" xfId="15" applyFont="1" applyFill="1" applyBorder="1" applyAlignment="1">
      <alignment horizontal="right" wrapText="1"/>
    </xf>
    <xf numFmtId="0" fontId="101" fillId="0" borderId="0" xfId="0" applyNumberFormat="1" applyFont="1" applyAlignment="1">
      <alignment horizontal="left" vertical="top"/>
    </xf>
    <xf numFmtId="0" fontId="34" fillId="0" borderId="0" xfId="0" applyNumberFormat="1" applyFont="1" applyAlignment="1">
      <alignment horizontal="left" vertical="top"/>
    </xf>
    <xf numFmtId="0" fontId="3" fillId="2" borderId="59" xfId="0" applyNumberFormat="1" applyFont="1" applyFill="1" applyBorder="1" applyAlignment="1">
      <alignment horizontal="left" vertical="top" wrapText="1"/>
    </xf>
    <xf numFmtId="0" fontId="3" fillId="2" borderId="60" xfId="0" applyNumberFormat="1" applyFont="1" applyFill="1" applyBorder="1" applyAlignment="1">
      <alignment horizontal="left" vertical="top" wrapText="1"/>
    </xf>
    <xf numFmtId="0" fontId="3" fillId="2" borderId="61" xfId="0" applyNumberFormat="1" applyFont="1" applyFill="1" applyBorder="1" applyAlignment="1">
      <alignment horizontal="left" vertical="top" wrapText="1"/>
    </xf>
    <xf numFmtId="0" fontId="3" fillId="2" borderId="56" xfId="0" applyNumberFormat="1" applyFont="1" applyFill="1" applyBorder="1" applyAlignment="1">
      <alignment horizontal="left" vertical="top"/>
    </xf>
    <xf numFmtId="186" fontId="78" fillId="2" borderId="56" xfId="0" applyNumberFormat="1" applyFont="1" applyFill="1" applyBorder="1" applyAlignment="1">
      <alignment horizontal="right" vertical="top"/>
    </xf>
    <xf numFmtId="186" fontId="3" fillId="2" borderId="56" xfId="0" applyNumberFormat="1" applyFont="1" applyFill="1" applyBorder="1" applyAlignment="1">
      <alignment horizontal="right" vertical="top"/>
    </xf>
    <xf numFmtId="0" fontId="3" fillId="2" borderId="62" xfId="0" applyNumberFormat="1" applyFont="1" applyFill="1" applyBorder="1" applyAlignment="1">
      <alignment horizontal="left" vertical="top" wrapText="1" indent="8"/>
    </xf>
    <xf numFmtId="0" fontId="3" fillId="2" borderId="63" xfId="0" applyNumberFormat="1" applyFont="1" applyFill="1" applyBorder="1" applyAlignment="1">
      <alignment horizontal="left" vertical="top" wrapText="1" indent="8"/>
    </xf>
    <xf numFmtId="0" fontId="3" fillId="2" borderId="64" xfId="0" applyNumberFormat="1" applyFont="1" applyFill="1" applyBorder="1" applyAlignment="1">
      <alignment horizontal="left" vertical="top" wrapText="1" indent="8"/>
    </xf>
    <xf numFmtId="186" fontId="3" fillId="2" borderId="65" xfId="0" applyNumberFormat="1" applyFont="1" applyFill="1" applyBorder="1" applyAlignment="1">
      <alignment horizontal="right" vertical="top"/>
    </xf>
    <xf numFmtId="0" fontId="3" fillId="2" borderId="62" xfId="0" applyNumberFormat="1" applyFont="1" applyFill="1" applyBorder="1" applyAlignment="1">
      <alignment horizontal="left" vertical="top" wrapText="1" indent="10"/>
    </xf>
    <xf numFmtId="0" fontId="3" fillId="2" borderId="63" xfId="0" applyNumberFormat="1" applyFont="1" applyFill="1" applyBorder="1" applyAlignment="1">
      <alignment horizontal="left" vertical="top" wrapText="1" indent="10"/>
    </xf>
    <xf numFmtId="0" fontId="3" fillId="2" borderId="64" xfId="0" applyNumberFormat="1" applyFont="1" applyFill="1" applyBorder="1" applyAlignment="1">
      <alignment horizontal="left" vertical="top" wrapText="1" indent="10"/>
    </xf>
    <xf numFmtId="0" fontId="3" fillId="2" borderId="62" xfId="0" applyNumberFormat="1" applyFont="1" applyFill="1" applyBorder="1" applyAlignment="1">
      <alignment horizontal="left" vertical="top" wrapText="1"/>
    </xf>
    <xf numFmtId="0" fontId="3" fillId="2" borderId="63" xfId="0" applyNumberFormat="1" applyFont="1" applyFill="1" applyBorder="1" applyAlignment="1">
      <alignment horizontal="left" vertical="top" wrapText="1"/>
    </xf>
    <xf numFmtId="0" fontId="3" fillId="2" borderId="64" xfId="0" applyNumberFormat="1" applyFont="1" applyFill="1" applyBorder="1" applyAlignment="1">
      <alignment horizontal="left" vertical="top" wrapText="1"/>
    </xf>
    <xf numFmtId="0" fontId="3" fillId="2" borderId="62" xfId="0" applyNumberFormat="1" applyFont="1" applyFill="1" applyBorder="1" applyAlignment="1">
      <alignment horizontal="left" vertical="top" wrapText="1" indent="2"/>
    </xf>
    <xf numFmtId="0" fontId="3" fillId="2" borderId="63" xfId="0" applyNumberFormat="1" applyFont="1" applyFill="1" applyBorder="1" applyAlignment="1">
      <alignment horizontal="left" vertical="top" wrapText="1" indent="2"/>
    </xf>
    <xf numFmtId="0" fontId="3" fillId="2" borderId="64" xfId="0" applyNumberFormat="1" applyFont="1" applyFill="1" applyBorder="1" applyAlignment="1">
      <alignment horizontal="left" vertical="top" wrapText="1" indent="2"/>
    </xf>
    <xf numFmtId="0" fontId="3" fillId="2" borderId="65" xfId="0" applyNumberFormat="1" applyFont="1" applyFill="1" applyBorder="1" applyAlignment="1">
      <alignment horizontal="right" vertical="top"/>
    </xf>
    <xf numFmtId="0" fontId="3" fillId="2" borderId="56" xfId="0" applyNumberFormat="1" applyFont="1" applyFill="1" applyBorder="1" applyAlignment="1">
      <alignment horizontal="right" vertical="top"/>
    </xf>
    <xf numFmtId="0" fontId="3" fillId="2" borderId="62" xfId="0" applyNumberFormat="1" applyFont="1" applyFill="1" applyBorder="1" applyAlignment="1">
      <alignment horizontal="left" vertical="top" wrapText="1" indent="6"/>
    </xf>
    <xf numFmtId="0" fontId="3" fillId="2" borderId="63" xfId="0" applyNumberFormat="1" applyFont="1" applyFill="1" applyBorder="1" applyAlignment="1">
      <alignment horizontal="left" vertical="top" wrapText="1" indent="6"/>
    </xf>
    <xf numFmtId="0" fontId="3" fillId="2" borderId="64" xfId="0" applyNumberFormat="1" applyFont="1" applyFill="1" applyBorder="1" applyAlignment="1">
      <alignment horizontal="left" vertical="top" wrapText="1" indent="6"/>
    </xf>
    <xf numFmtId="187" fontId="3" fillId="2" borderId="56" xfId="0" applyNumberFormat="1" applyFont="1" applyFill="1" applyBorder="1" applyAlignment="1">
      <alignment horizontal="right" vertical="top"/>
    </xf>
    <xf numFmtId="0" fontId="78" fillId="0" borderId="0" xfId="0" applyFont="1"/>
    <xf numFmtId="171" fontId="0" fillId="0" borderId="1" xfId="0" applyNumberFormat="1" applyBorder="1" applyAlignment="1">
      <alignment horizontal="center" vertical="center" wrapText="1"/>
    </xf>
    <xf numFmtId="0" fontId="4" fillId="0" borderId="1" xfId="15" applyFont="1" applyBorder="1" applyAlignment="1">
      <alignment horizontal="center" vertical="center" wrapText="1"/>
    </xf>
    <xf numFmtId="0" fontId="43" fillId="2" borderId="1" xfId="15" applyFont="1" applyFill="1" applyBorder="1" applyAlignment="1">
      <alignment horizontal="center" vertical="center" wrapText="1"/>
    </xf>
    <xf numFmtId="0" fontId="43" fillId="2" borderId="1" xfId="15" applyFont="1" applyFill="1" applyBorder="1" applyAlignment="1">
      <alignment horizontal="center" vertical="center"/>
    </xf>
    <xf numFmtId="0" fontId="4" fillId="0" borderId="0" xfId="15" applyAlignment="1">
      <alignment horizontal="center" vertical="center" wrapText="1"/>
    </xf>
    <xf numFmtId="0" fontId="43" fillId="2" borderId="5" xfId="15" applyFont="1" applyFill="1" applyBorder="1" applyAlignment="1">
      <alignment horizontal="center" vertical="center" wrapText="1"/>
    </xf>
    <xf numFmtId="0" fontId="19" fillId="7" borderId="32" xfId="15" applyFont="1" applyFill="1" applyBorder="1" applyAlignment="1">
      <alignment horizontal="left" vertical="center" wrapText="1"/>
    </xf>
    <xf numFmtId="0" fontId="20" fillId="7" borderId="32" xfId="15" applyFont="1" applyFill="1" applyBorder="1" applyAlignment="1">
      <alignment horizontal="left" vertical="center" wrapText="1"/>
    </xf>
    <xf numFmtId="165" fontId="42" fillId="6" borderId="52" xfId="15" applyNumberFormat="1" applyFont="1" applyFill="1" applyBorder="1"/>
    <xf numFmtId="165" fontId="42" fillId="6" borderId="53" xfId="15" applyNumberFormat="1" applyFont="1" applyFill="1" applyBorder="1"/>
    <xf numFmtId="165" fontId="42" fillId="6" borderId="54" xfId="15" applyNumberFormat="1" applyFont="1" applyFill="1" applyBorder="1"/>
    <xf numFmtId="2" fontId="20" fillId="14" borderId="37" xfId="15" applyNumberFormat="1" applyFont="1" applyFill="1" applyBorder="1" applyAlignment="1">
      <alignment horizontal="center" vertical="center" wrapText="1"/>
    </xf>
    <xf numFmtId="173" fontId="59" fillId="14" borderId="55" xfId="15" applyNumberFormat="1" applyFont="1" applyFill="1" applyBorder="1" applyAlignment="1">
      <alignment horizontal="center" vertical="center" wrapText="1"/>
    </xf>
    <xf numFmtId="0" fontId="43" fillId="14" borderId="55" xfId="15" applyFont="1" applyFill="1" applyBorder="1" applyAlignment="1">
      <alignment horizontal="center" vertical="center" wrapText="1"/>
    </xf>
    <xf numFmtId="171" fontId="43" fillId="14" borderId="55" xfId="15" applyNumberFormat="1" applyFont="1" applyFill="1" applyBorder="1" applyAlignment="1">
      <alignment horizontal="center" vertical="center" wrapText="1"/>
    </xf>
    <xf numFmtId="171" fontId="43" fillId="14" borderId="55" xfId="15" applyNumberFormat="1" applyFont="1" applyFill="1" applyBorder="1" applyAlignment="1">
      <alignment wrapText="1"/>
    </xf>
    <xf numFmtId="173" fontId="20" fillId="14" borderId="55" xfId="15" applyNumberFormat="1" applyFont="1" applyFill="1" applyBorder="1" applyAlignment="1">
      <alignment horizontal="center" vertical="center" wrapText="1"/>
    </xf>
    <xf numFmtId="171" fontId="53" fillId="14" borderId="55" xfId="15" applyNumberFormat="1" applyFont="1" applyFill="1" applyBorder="1" applyAlignment="1">
      <alignment horizontal="center" vertical="center" wrapText="1"/>
    </xf>
    <xf numFmtId="0" fontId="21" fillId="14" borderId="55" xfId="15" applyFont="1" applyFill="1" applyBorder="1" applyAlignment="1">
      <alignment horizontal="left" vertical="center" wrapText="1"/>
    </xf>
    <xf numFmtId="0" fontId="58" fillId="14" borderId="39" xfId="15" applyFont="1" applyFill="1" applyBorder="1" applyAlignment="1">
      <alignment horizontal="center" vertical="center" wrapText="1"/>
    </xf>
    <xf numFmtId="0" fontId="51" fillId="14" borderId="39" xfId="15" applyFont="1" applyFill="1" applyBorder="1" applyAlignment="1">
      <alignment horizontal="center" vertical="center" wrapText="1"/>
    </xf>
    <xf numFmtId="2" fontId="20" fillId="14" borderId="39" xfId="15" applyNumberFormat="1" applyFont="1" applyFill="1" applyBorder="1" applyAlignment="1">
      <alignment horizontal="center" vertical="center" wrapText="1"/>
    </xf>
    <xf numFmtId="173" fontId="20" fillId="14" borderId="39" xfId="15" applyNumberFormat="1" applyFont="1" applyFill="1" applyBorder="1" applyAlignment="1">
      <alignment horizontal="center" vertical="center" wrapText="1"/>
    </xf>
    <xf numFmtId="0" fontId="43" fillId="2" borderId="39" xfId="15" applyFont="1" applyFill="1" applyBorder="1" applyAlignment="1">
      <alignment vertical="center" wrapText="1"/>
    </xf>
    <xf numFmtId="0" fontId="43" fillId="14" borderId="39" xfId="15" applyFont="1" applyFill="1" applyBorder="1" applyAlignment="1">
      <alignment horizontal="center" vertical="center" wrapText="1"/>
    </xf>
    <xf numFmtId="0" fontId="43" fillId="0" borderId="55" xfId="15" applyFont="1" applyFill="1" applyBorder="1" applyAlignment="1">
      <alignment horizontal="center" vertical="center" wrapText="1"/>
    </xf>
    <xf numFmtId="0" fontId="19" fillId="23" borderId="39" xfId="15" applyFont="1" applyFill="1" applyBorder="1" applyAlignment="1">
      <alignment horizontal="left" vertical="center" wrapText="1"/>
    </xf>
    <xf numFmtId="165" fontId="56" fillId="17" borderId="37" xfId="63" applyNumberFormat="1" applyFont="1" applyFill="1" applyBorder="1" applyAlignment="1">
      <alignment horizontal="center" wrapText="1"/>
    </xf>
    <xf numFmtId="0" fontId="19" fillId="24" borderId="38" xfId="15" applyFont="1" applyFill="1" applyBorder="1" applyAlignment="1">
      <alignment horizontal="left" vertical="center" wrapText="1"/>
    </xf>
    <xf numFmtId="166" fontId="21" fillId="0" borderId="0" xfId="15" applyNumberFormat="1" applyFont="1" applyFill="1" applyBorder="1" applyAlignment="1">
      <alignment horizontal="center" vertical="center" wrapText="1"/>
    </xf>
    <xf numFmtId="186" fontId="0" fillId="0" borderId="0" xfId="0" applyNumberFormat="1"/>
    <xf numFmtId="188" fontId="0" fillId="0" borderId="0" xfId="0" applyNumberFormat="1"/>
    <xf numFmtId="0" fontId="34" fillId="15" borderId="1" xfId="0" applyNumberFormat="1" applyFont="1" applyFill="1" applyBorder="1" applyAlignment="1">
      <alignment horizontal="right" vertical="top" wrapText="1"/>
    </xf>
    <xf numFmtId="4" fontId="34" fillId="15" borderId="1" xfId="0" applyNumberFormat="1" applyFont="1" applyFill="1" applyBorder="1" applyAlignment="1">
      <alignment horizontal="right" vertical="top" wrapText="1"/>
    </xf>
    <xf numFmtId="0" fontId="34" fillId="15" borderId="1" xfId="0" applyNumberFormat="1" applyFont="1" applyFill="1" applyBorder="1" applyAlignment="1">
      <alignment horizontal="left" vertical="top" wrapText="1"/>
    </xf>
    <xf numFmtId="2" fontId="34" fillId="15" borderId="1" xfId="0" applyNumberFormat="1" applyFont="1" applyFill="1" applyBorder="1" applyAlignment="1">
      <alignment horizontal="right" vertical="top" wrapText="1"/>
    </xf>
    <xf numFmtId="0" fontId="39" fillId="15" borderId="1" xfId="0" applyNumberFormat="1" applyFont="1" applyFill="1" applyBorder="1" applyAlignment="1">
      <alignment horizontal="right" vertical="top" wrapText="1"/>
    </xf>
    <xf numFmtId="4" fontId="39" fillId="15" borderId="1" xfId="0" applyNumberFormat="1" applyFont="1" applyFill="1" applyBorder="1" applyAlignment="1">
      <alignment horizontal="right" vertical="top" wrapText="1"/>
    </xf>
    <xf numFmtId="0" fontId="39" fillId="15" borderId="1" xfId="0" applyNumberFormat="1" applyFont="1" applyFill="1" applyBorder="1" applyAlignment="1">
      <alignment horizontal="left" vertical="top" wrapText="1"/>
    </xf>
    <xf numFmtId="2" fontId="39" fillId="15" borderId="1" xfId="0" applyNumberFormat="1" applyFont="1" applyFill="1" applyBorder="1" applyAlignment="1">
      <alignment horizontal="right" vertical="top" wrapText="1"/>
    </xf>
    <xf numFmtId="0" fontId="103" fillId="15" borderId="0" xfId="0" applyFont="1" applyFill="1" applyAlignment="1">
      <alignment horizontal="left"/>
    </xf>
    <xf numFmtId="165" fontId="104" fillId="0" borderId="0" xfId="62" applyNumberFormat="1" applyFont="1" applyFill="1" applyAlignment="1">
      <alignment horizontal="right" vertical="center"/>
    </xf>
    <xf numFmtId="165" fontId="25" fillId="0" borderId="0" xfId="62" applyNumberFormat="1" applyFont="1" applyFill="1" applyAlignment="1">
      <alignment vertical="center"/>
    </xf>
    <xf numFmtId="165" fontId="54" fillId="0" borderId="0" xfId="52" applyFont="1" applyAlignment="1">
      <alignment horizontal="left"/>
    </xf>
    <xf numFmtId="0" fontId="105" fillId="0" borderId="0" xfId="62" applyFont="1" applyFill="1"/>
    <xf numFmtId="171" fontId="105" fillId="0" borderId="0" xfId="62" applyNumberFormat="1" applyFont="1" applyFill="1"/>
    <xf numFmtId="0" fontId="44" fillId="0" borderId="1" xfId="108" applyFont="1" applyBorder="1" applyAlignment="1">
      <alignment horizontal="center" vertical="center"/>
    </xf>
    <xf numFmtId="3" fontId="22" fillId="0" borderId="6" xfId="108" applyNumberFormat="1" applyFont="1" applyBorder="1" applyAlignment="1">
      <alignment horizontal="center" vertical="center" wrapText="1"/>
    </xf>
    <xf numFmtId="3" fontId="22" fillId="0" borderId="6" xfId="108" applyNumberFormat="1" applyFont="1" applyBorder="1" applyAlignment="1">
      <alignment horizontal="right" vertical="center" wrapText="1"/>
    </xf>
    <xf numFmtId="3" fontId="22" fillId="11" borderId="6" xfId="108" applyNumberFormat="1" applyFont="1" applyFill="1" applyBorder="1" applyAlignment="1">
      <alignment horizontal="center" vertical="center" wrapText="1"/>
    </xf>
    <xf numFmtId="3" fontId="22" fillId="16" borderId="6" xfId="108" applyNumberFormat="1" applyFont="1" applyFill="1" applyBorder="1" applyAlignment="1">
      <alignment horizontal="center" vertical="center" wrapText="1"/>
    </xf>
    <xf numFmtId="0" fontId="22" fillId="0" borderId="33" xfId="108" applyNumberFormat="1" applyFont="1" applyBorder="1" applyAlignment="1">
      <alignment horizontal="left" vertical="top" wrapText="1"/>
    </xf>
    <xf numFmtId="0" fontId="22" fillId="0" borderId="55" xfId="108" applyNumberFormat="1" applyFont="1" applyBorder="1" applyAlignment="1">
      <alignment horizontal="left" vertical="top" wrapText="1"/>
    </xf>
    <xf numFmtId="165" fontId="107" fillId="0" borderId="55" xfId="108" applyNumberFormat="1" applyFont="1" applyBorder="1" applyAlignment="1">
      <alignment horizontal="center" vertical="top" wrapText="1"/>
    </xf>
    <xf numFmtId="165" fontId="22" fillId="0" borderId="55" xfId="108" applyNumberFormat="1" applyFont="1" applyBorder="1" applyAlignment="1">
      <alignment horizontal="center" vertical="top" wrapText="1"/>
    </xf>
    <xf numFmtId="165" fontId="22" fillId="0" borderId="55" xfId="108" applyNumberFormat="1" applyFont="1" applyBorder="1" applyAlignment="1">
      <alignment horizontal="left" vertical="top" wrapText="1"/>
    </xf>
    <xf numFmtId="0" fontId="22" fillId="0" borderId="38" xfId="108" applyNumberFormat="1" applyFont="1" applyBorder="1" applyAlignment="1">
      <alignment horizontal="left" vertical="top" wrapText="1"/>
    </xf>
    <xf numFmtId="165" fontId="107" fillId="0" borderId="38" xfId="108" applyNumberFormat="1" applyFont="1" applyBorder="1" applyAlignment="1">
      <alignment horizontal="center" vertical="top" wrapText="1"/>
    </xf>
    <xf numFmtId="0" fontId="108" fillId="0" borderId="1" xfId="108" applyNumberFormat="1" applyFont="1" applyBorder="1" applyAlignment="1">
      <alignment horizontal="right" vertical="top" wrapText="1"/>
    </xf>
    <xf numFmtId="165" fontId="22" fillId="25" borderId="6" xfId="108" applyNumberFormat="1" applyFont="1" applyFill="1" applyBorder="1" applyAlignment="1">
      <alignment horizontal="right" vertical="top" wrapText="1"/>
    </xf>
    <xf numFmtId="165" fontId="22" fillId="0" borderId="1" xfId="108" applyNumberFormat="1" applyFont="1" applyBorder="1" applyAlignment="1">
      <alignment horizontal="center" vertical="top" wrapText="1"/>
    </xf>
    <xf numFmtId="165" fontId="22" fillId="25" borderId="1" xfId="108" applyNumberFormat="1" applyFont="1" applyFill="1" applyBorder="1" applyAlignment="1">
      <alignment horizontal="right" vertical="top" wrapText="1"/>
    </xf>
    <xf numFmtId="0" fontId="0" fillId="0" borderId="33" xfId="0" applyBorder="1"/>
    <xf numFmtId="0" fontId="0" fillId="0" borderId="55" xfId="0" applyBorder="1"/>
    <xf numFmtId="0" fontId="104" fillId="0" borderId="1" xfId="62" applyNumberFormat="1" applyFont="1" applyFill="1" applyBorder="1" applyAlignment="1">
      <alignment horizontal="left" vertical="center" wrapText="1"/>
    </xf>
    <xf numFmtId="0" fontId="104" fillId="0" borderId="1" xfId="42" applyNumberFormat="1" applyFont="1" applyFill="1" applyBorder="1" applyAlignment="1">
      <alignment horizontal="center" vertical="center" wrapText="1"/>
    </xf>
    <xf numFmtId="0" fontId="104" fillId="0" borderId="1" xfId="62" applyNumberFormat="1" applyFont="1" applyFill="1" applyBorder="1" applyAlignment="1">
      <alignment horizontal="center" vertical="center" wrapText="1"/>
    </xf>
    <xf numFmtId="0" fontId="109" fillId="16" borderId="6" xfId="62" applyNumberFormat="1" applyFont="1" applyFill="1" applyBorder="1" applyAlignment="1">
      <alignment horizontal="left" vertical="center" wrapText="1"/>
    </xf>
    <xf numFmtId="0" fontId="109" fillId="16" borderId="10" xfId="62" applyNumberFormat="1" applyFont="1" applyFill="1" applyBorder="1" applyAlignment="1">
      <alignment horizontal="left" vertical="center" wrapText="1"/>
    </xf>
    <xf numFmtId="165" fontId="25" fillId="16" borderId="66" xfId="62" applyNumberFormat="1" applyFont="1" applyFill="1" applyBorder="1" applyAlignment="1">
      <alignment horizontal="right" vertical="center" wrapText="1"/>
    </xf>
    <xf numFmtId="0" fontId="25" fillId="0" borderId="33" xfId="62" applyNumberFormat="1" applyFont="1" applyFill="1" applyBorder="1" applyAlignment="1">
      <alignment horizontal="left" vertical="center" wrapText="1" indent="2"/>
    </xf>
    <xf numFmtId="0" fontId="25" fillId="0" borderId="55" xfId="62" applyNumberFormat="1" applyFont="1" applyFill="1" applyBorder="1" applyAlignment="1">
      <alignment horizontal="left" vertical="center" wrapText="1" indent="4"/>
    </xf>
    <xf numFmtId="0" fontId="25" fillId="0" borderId="38" xfId="62" applyNumberFormat="1" applyFont="1" applyFill="1" applyBorder="1" applyAlignment="1">
      <alignment horizontal="left" vertical="center" wrapText="1" indent="4"/>
    </xf>
    <xf numFmtId="0" fontId="25" fillId="0" borderId="1" xfId="62" applyNumberFormat="1" applyFont="1" applyFill="1" applyBorder="1" applyAlignment="1">
      <alignment horizontal="left" vertical="center" wrapText="1" indent="2"/>
    </xf>
    <xf numFmtId="0" fontId="104" fillId="0" borderId="8" xfId="62" applyNumberFormat="1" applyFont="1" applyFill="1" applyBorder="1" applyAlignment="1">
      <alignment horizontal="left" vertical="center"/>
    </xf>
    <xf numFmtId="0" fontId="104" fillId="0" borderId="0" xfId="62" applyNumberFormat="1" applyFont="1" applyFill="1" applyAlignment="1">
      <alignment vertical="center" wrapText="1"/>
    </xf>
    <xf numFmtId="0" fontId="25" fillId="0" borderId="0" xfId="62" applyFont="1" applyFill="1" applyAlignment="1">
      <alignment horizontal="left" vertical="center"/>
    </xf>
    <xf numFmtId="43" fontId="25" fillId="0" borderId="0" xfId="62" applyNumberFormat="1" applyFont="1" applyFill="1" applyAlignment="1">
      <alignment horizontal="left" vertical="center"/>
    </xf>
    <xf numFmtId="0" fontId="25" fillId="0" borderId="1" xfId="62" applyNumberFormat="1" applyFont="1" applyFill="1" applyBorder="1" applyAlignment="1">
      <alignment horizontal="left" vertical="center" wrapText="1"/>
    </xf>
    <xf numFmtId="0" fontId="104" fillId="0" borderId="0" xfId="62" applyFont="1" applyFill="1" applyAlignment="1">
      <alignment horizontal="center" vertical="center" wrapText="1"/>
    </xf>
    <xf numFmtId="0" fontId="25" fillId="0" borderId="0" xfId="62" applyFont="1" applyFill="1" applyAlignment="1">
      <alignment vertical="center"/>
    </xf>
    <xf numFmtId="0" fontId="104" fillId="0" borderId="1" xfId="62" applyFont="1" applyFill="1" applyBorder="1" applyAlignment="1">
      <alignment horizontal="center" vertical="center" wrapText="1"/>
    </xf>
    <xf numFmtId="0" fontId="25" fillId="7" borderId="1" xfId="62" applyFont="1" applyFill="1" applyBorder="1" applyAlignment="1">
      <alignment horizontal="center" vertical="center"/>
    </xf>
    <xf numFmtId="0" fontId="25" fillId="0" borderId="1" xfId="62" applyFont="1" applyFill="1" applyBorder="1" applyAlignment="1">
      <alignment horizontal="center" vertical="center"/>
    </xf>
    <xf numFmtId="189" fontId="25" fillId="0" borderId="0" xfId="64" applyNumberFormat="1" applyFont="1" applyFill="1" applyAlignment="1">
      <alignment vertical="center"/>
    </xf>
    <xf numFmtId="10" fontId="25" fillId="0" borderId="0" xfId="136" applyNumberFormat="1" applyFont="1" applyFill="1" applyAlignment="1">
      <alignment vertical="center"/>
    </xf>
    <xf numFmtId="165" fontId="106" fillId="0" borderId="33" xfId="105" applyNumberFormat="1" applyFont="1" applyBorder="1" applyAlignment="1">
      <alignment horizontal="right" vertical="top" wrapText="1"/>
    </xf>
    <xf numFmtId="165" fontId="106" fillId="0" borderId="55" xfId="105" applyNumberFormat="1" applyFont="1" applyBorder="1" applyAlignment="1">
      <alignment horizontal="right" vertical="top" wrapText="1"/>
    </xf>
    <xf numFmtId="165" fontId="22" fillId="7" borderId="55" xfId="105" applyNumberFormat="1" applyFont="1" applyFill="1" applyBorder="1" applyAlignment="1">
      <alignment horizontal="right" vertical="center" wrapText="1"/>
    </xf>
    <xf numFmtId="0" fontId="4" fillId="0" borderId="0" xfId="13" applyAlignment="1">
      <alignment horizontal="center" vertical="center" wrapText="1"/>
    </xf>
    <xf numFmtId="0" fontId="4" fillId="0" borderId="0" xfId="13" applyAlignment="1">
      <alignment wrapText="1"/>
    </xf>
    <xf numFmtId="186" fontId="10" fillId="15" borderId="56" xfId="0" applyNumberFormat="1" applyFont="1" applyFill="1" applyBorder="1" applyAlignment="1">
      <alignment horizontal="right" vertical="top"/>
    </xf>
    <xf numFmtId="0" fontId="10" fillId="15" borderId="56" xfId="0" applyNumberFormat="1" applyFont="1" applyFill="1" applyBorder="1" applyAlignment="1">
      <alignment horizontal="right" vertical="top"/>
    </xf>
    <xf numFmtId="165" fontId="110" fillId="6" borderId="53" xfId="42" applyNumberFormat="1" applyFont="1" applyFill="1" applyBorder="1" applyAlignment="1">
      <alignment horizontal="center" vertical="center" wrapText="1"/>
    </xf>
    <xf numFmtId="165" fontId="110" fillId="6" borderId="33" xfId="42" applyNumberFormat="1" applyFont="1" applyFill="1" applyBorder="1" applyAlignment="1">
      <alignment horizontal="center" vertical="center" wrapText="1"/>
    </xf>
    <xf numFmtId="165" fontId="22" fillId="2" borderId="55" xfId="105" applyNumberFormat="1" applyFont="1" applyFill="1" applyBorder="1" applyAlignment="1">
      <alignment horizontal="right" vertical="center" wrapText="1"/>
    </xf>
    <xf numFmtId="165" fontId="66" fillId="0" borderId="33" xfId="105" applyNumberFormat="1" applyFont="1" applyBorder="1" applyAlignment="1">
      <alignment horizontal="right" vertical="top" wrapText="1"/>
    </xf>
    <xf numFmtId="165" fontId="66" fillId="0" borderId="55" xfId="105" applyNumberFormat="1" applyFont="1" applyBorder="1" applyAlignment="1">
      <alignment horizontal="right" vertical="top" wrapText="1"/>
    </xf>
    <xf numFmtId="165" fontId="66" fillId="0" borderId="38" xfId="105" applyNumberFormat="1" applyFont="1" applyBorder="1" applyAlignment="1">
      <alignment horizontal="right" vertical="top" wrapText="1"/>
    </xf>
    <xf numFmtId="4" fontId="104" fillId="6" borderId="67" xfId="42" applyNumberFormat="1" applyFont="1" applyFill="1" applyBorder="1" applyAlignment="1">
      <alignment horizontal="center" vertical="center" wrapText="1"/>
    </xf>
    <xf numFmtId="4" fontId="104" fillId="6" borderId="33" xfId="62" applyNumberFormat="1" applyFont="1" applyFill="1" applyBorder="1" applyAlignment="1">
      <alignment horizontal="right" vertical="center" wrapText="1"/>
    </xf>
    <xf numFmtId="4" fontId="104" fillId="14" borderId="30" xfId="62" applyNumberFormat="1" applyFont="1" applyFill="1" applyBorder="1" applyAlignment="1">
      <alignment horizontal="right" vertical="center" wrapText="1"/>
    </xf>
    <xf numFmtId="4" fontId="25" fillId="6" borderId="55" xfId="62" applyNumberFormat="1" applyFont="1" applyFill="1" applyBorder="1" applyAlignment="1">
      <alignment horizontal="right" vertical="center" wrapText="1"/>
    </xf>
    <xf numFmtId="4" fontId="25" fillId="6" borderId="38" xfId="62" applyNumberFormat="1" applyFont="1" applyFill="1" applyBorder="1" applyAlignment="1">
      <alignment horizontal="right" vertical="center" wrapText="1"/>
    </xf>
    <xf numFmtId="4" fontId="104" fillId="14" borderId="30" xfId="62" applyNumberFormat="1" applyFont="1" applyFill="1" applyBorder="1" applyAlignment="1">
      <alignment horizontal="left" vertical="center" wrapText="1"/>
    </xf>
    <xf numFmtId="4" fontId="104" fillId="6" borderId="1" xfId="62" applyNumberFormat="1" applyFont="1" applyFill="1" applyBorder="1" applyAlignment="1">
      <alignment horizontal="right" vertical="center" wrapText="1"/>
    </xf>
    <xf numFmtId="4" fontId="104" fillId="6" borderId="8" xfId="42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left"/>
    </xf>
    <xf numFmtId="0" fontId="4" fillId="0" borderId="0" xfId="13"/>
    <xf numFmtId="172" fontId="4" fillId="0" borderId="0" xfId="13" applyNumberFormat="1"/>
    <xf numFmtId="0" fontId="21" fillId="0" borderId="0" xfId="13" applyFont="1" applyFill="1" applyBorder="1" applyAlignment="1">
      <alignment vertical="center" wrapText="1"/>
    </xf>
    <xf numFmtId="0" fontId="4" fillId="0" borderId="0" xfId="13" applyAlignment="1">
      <alignment vertical="center" wrapText="1"/>
    </xf>
    <xf numFmtId="0" fontId="4" fillId="0" borderId="0" xfId="13" applyAlignment="1">
      <alignment horizontal="left"/>
    </xf>
    <xf numFmtId="4" fontId="4" fillId="14" borderId="0" xfId="13" applyNumberFormat="1" applyFill="1"/>
    <xf numFmtId="166" fontId="4" fillId="0" borderId="0" xfId="13" applyNumberFormat="1"/>
    <xf numFmtId="171" fontId="4" fillId="0" borderId="0" xfId="13" applyNumberFormat="1" applyAlignment="1">
      <alignment vertical="center"/>
    </xf>
    <xf numFmtId="171" fontId="4" fillId="0" borderId="0" xfId="13" applyNumberFormat="1"/>
    <xf numFmtId="0" fontId="43" fillId="2" borderId="0" xfId="13" applyFont="1" applyFill="1"/>
    <xf numFmtId="0" fontId="44" fillId="2" borderId="0" xfId="13" applyFont="1" applyFill="1"/>
    <xf numFmtId="173" fontId="43" fillId="2" borderId="0" xfId="13" applyNumberFormat="1" applyFont="1" applyFill="1"/>
    <xf numFmtId="4" fontId="4" fillId="7" borderId="0" xfId="13" applyNumberFormat="1" applyFill="1"/>
    <xf numFmtId="4" fontId="4" fillId="6" borderId="0" xfId="13" applyNumberFormat="1" applyFill="1"/>
    <xf numFmtId="0" fontId="43" fillId="2" borderId="0" xfId="113" applyFont="1" applyFill="1" applyBorder="1" applyAlignment="1">
      <alignment horizontal="center" vertical="center"/>
    </xf>
    <xf numFmtId="0" fontId="116" fillId="7" borderId="0" xfId="113" applyFont="1" applyFill="1" applyBorder="1" applyAlignment="1">
      <alignment horizontal="center" vertical="center"/>
    </xf>
    <xf numFmtId="0" fontId="43" fillId="2" borderId="0" xfId="13" applyFont="1" applyFill="1" applyBorder="1" applyAlignment="1">
      <alignment horizontal="center" vertical="center"/>
    </xf>
    <xf numFmtId="0" fontId="4" fillId="0" borderId="0" xfId="13" applyBorder="1"/>
    <xf numFmtId="0" fontId="49" fillId="16" borderId="0" xfId="13" applyFont="1" applyFill="1" applyBorder="1" applyAlignment="1">
      <alignment horizontal="center" wrapText="1"/>
    </xf>
    <xf numFmtId="0" fontId="4" fillId="0" borderId="30" xfId="13" applyBorder="1"/>
    <xf numFmtId="0" fontId="50" fillId="17" borderId="0" xfId="13" applyFont="1" applyFill="1" applyBorder="1" applyAlignment="1">
      <alignment horizontal="center" wrapText="1"/>
    </xf>
    <xf numFmtId="0" fontId="4" fillId="0" borderId="52" xfId="13" applyBorder="1"/>
    <xf numFmtId="0" fontId="4" fillId="0" borderId="53" xfId="13" applyBorder="1"/>
    <xf numFmtId="0" fontId="4" fillId="0" borderId="54" xfId="13" applyBorder="1"/>
    <xf numFmtId="0" fontId="4" fillId="0" borderId="55" xfId="13" applyBorder="1"/>
    <xf numFmtId="0" fontId="117" fillId="0" borderId="0" xfId="15" applyFont="1"/>
    <xf numFmtId="0" fontId="48" fillId="2" borderId="1" xfId="15" applyFont="1" applyFill="1" applyBorder="1" applyAlignment="1">
      <alignment wrapText="1"/>
    </xf>
    <xf numFmtId="0" fontId="52" fillId="17" borderId="1" xfId="15" applyFont="1" applyFill="1" applyBorder="1" applyAlignment="1">
      <alignment horizontal="left" wrapText="1" indent="1"/>
    </xf>
    <xf numFmtId="0" fontId="52" fillId="17" borderId="1" xfId="15" applyFont="1" applyFill="1" applyBorder="1" applyAlignment="1">
      <alignment horizontal="left" wrapText="1" indent="2"/>
    </xf>
    <xf numFmtId="190" fontId="52" fillId="17" borderId="1" xfId="15" applyNumberFormat="1" applyFont="1" applyFill="1" applyBorder="1" applyAlignment="1">
      <alignment wrapText="1"/>
    </xf>
    <xf numFmtId="0" fontId="4" fillId="0" borderId="55" xfId="15" applyBorder="1" applyAlignment="1">
      <alignment wrapText="1"/>
    </xf>
    <xf numFmtId="0" fontId="4" fillId="14" borderId="55" xfId="15" applyFill="1" applyBorder="1"/>
    <xf numFmtId="0" fontId="4" fillId="7" borderId="55" xfId="15" applyFill="1" applyBorder="1" applyAlignment="1">
      <alignment wrapText="1"/>
    </xf>
    <xf numFmtId="0" fontId="4" fillId="6" borderId="55" xfId="15" applyFill="1" applyBorder="1" applyAlignment="1">
      <alignment wrapText="1"/>
    </xf>
    <xf numFmtId="0" fontId="4" fillId="0" borderId="52" xfId="15" applyBorder="1" applyAlignment="1"/>
    <xf numFmtId="0" fontId="4" fillId="0" borderId="53" xfId="15" applyBorder="1" applyAlignment="1"/>
    <xf numFmtId="0" fontId="4" fillId="0" borderId="54" xfId="15" applyBorder="1" applyAlignment="1"/>
    <xf numFmtId="0" fontId="51" fillId="2" borderId="55" xfId="15" applyFont="1" applyFill="1" applyBorder="1" applyAlignment="1"/>
    <xf numFmtId="0" fontId="51" fillId="2" borderId="55" xfId="15" applyFont="1" applyFill="1" applyBorder="1"/>
    <xf numFmtId="0" fontId="4" fillId="14" borderId="52" xfId="15" applyFill="1" applyBorder="1"/>
    <xf numFmtId="0" fontId="4" fillId="0" borderId="52" xfId="15" applyBorder="1"/>
    <xf numFmtId="0" fontId="4" fillId="0" borderId="53" xfId="15" applyBorder="1"/>
    <xf numFmtId="0" fontId="4" fillId="0" borderId="54" xfId="15" applyBorder="1"/>
    <xf numFmtId="175" fontId="51" fillId="2" borderId="0" xfId="15" applyNumberFormat="1" applyFont="1" applyFill="1"/>
    <xf numFmtId="0" fontId="48" fillId="17" borderId="37" xfId="15" applyFont="1" applyFill="1" applyBorder="1"/>
    <xf numFmtId="171" fontId="51" fillId="2" borderId="0" xfId="15" applyNumberFormat="1" applyFont="1" applyFill="1" applyAlignment="1">
      <alignment vertical="center"/>
    </xf>
    <xf numFmtId="171" fontId="51" fillId="2" borderId="0" xfId="15" applyNumberFormat="1" applyFont="1" applyFill="1"/>
    <xf numFmtId="0" fontId="43" fillId="0" borderId="55" xfId="13" applyFont="1" applyFill="1" applyBorder="1" applyAlignment="1">
      <alignment vertical="center" wrapText="1"/>
    </xf>
    <xf numFmtId="0" fontId="21" fillId="14" borderId="55" xfId="13" applyFont="1" applyFill="1" applyBorder="1" applyAlignment="1">
      <alignment horizontal="left" vertical="center" wrapText="1"/>
    </xf>
    <xf numFmtId="0" fontId="51" fillId="7" borderId="55" xfId="13" applyFont="1" applyFill="1" applyBorder="1" applyAlignment="1">
      <alignment horizontal="center" vertical="center" wrapText="1"/>
    </xf>
    <xf numFmtId="0" fontId="51" fillId="0" borderId="55" xfId="13" applyFont="1" applyFill="1" applyBorder="1" applyAlignment="1">
      <alignment horizontal="center" vertical="center" wrapText="1"/>
    </xf>
    <xf numFmtId="174" fontId="119" fillId="14" borderId="55" xfId="13" applyNumberFormat="1" applyFont="1" applyFill="1" applyBorder="1" applyAlignment="1">
      <alignment horizontal="center" vertical="center" wrapText="1"/>
    </xf>
    <xf numFmtId="0" fontId="21" fillId="14" borderId="55" xfId="13" applyFont="1" applyFill="1" applyBorder="1" applyAlignment="1">
      <alignment horizontal="center" vertical="center" wrapText="1"/>
    </xf>
    <xf numFmtId="171" fontId="43" fillId="14" borderId="55" xfId="13" applyNumberFormat="1" applyFont="1" applyFill="1" applyBorder="1" applyAlignment="1">
      <alignment horizontal="center" vertical="center" wrapText="1"/>
    </xf>
    <xf numFmtId="171" fontId="21" fillId="14" borderId="55" xfId="13" applyNumberFormat="1" applyFont="1" applyFill="1" applyBorder="1" applyAlignment="1">
      <alignment horizontal="center" vertical="center"/>
    </xf>
    <xf numFmtId="0" fontId="43" fillId="2" borderId="55" xfId="13" applyFont="1" applyFill="1" applyBorder="1" applyAlignment="1">
      <alignment horizontal="center" vertical="center" wrapText="1"/>
    </xf>
    <xf numFmtId="0" fontId="43" fillId="2" borderId="55" xfId="13" applyFont="1" applyFill="1" applyBorder="1" applyAlignment="1">
      <alignment horizontal="center" vertical="center"/>
    </xf>
    <xf numFmtId="0" fontId="21" fillId="0" borderId="55" xfId="13" applyFont="1" applyFill="1" applyBorder="1" applyAlignment="1">
      <alignment horizontal="center" vertical="center" wrapText="1"/>
    </xf>
    <xf numFmtId="0" fontId="21" fillId="0" borderId="55" xfId="13" applyFont="1" applyFill="1" applyBorder="1" applyAlignment="1">
      <alignment vertical="center" wrapText="1"/>
    </xf>
    <xf numFmtId="171" fontId="4" fillId="0" borderId="52" xfId="13" applyNumberFormat="1" applyBorder="1"/>
    <xf numFmtId="171" fontId="4" fillId="0" borderId="53" xfId="13" applyNumberFormat="1" applyBorder="1"/>
    <xf numFmtId="171" fontId="4" fillId="0" borderId="54" xfId="13" applyNumberFormat="1" applyBorder="1"/>
    <xf numFmtId="171" fontId="4" fillId="0" borderId="55" xfId="13" applyNumberFormat="1" applyBorder="1"/>
    <xf numFmtId="171" fontId="4" fillId="14" borderId="52" xfId="13" applyNumberFormat="1" applyFill="1" applyBorder="1"/>
    <xf numFmtId="171" fontId="4" fillId="6" borderId="52" xfId="13" applyNumberFormat="1" applyFill="1" applyBorder="1"/>
    <xf numFmtId="171" fontId="4" fillId="6" borderId="53" xfId="13" applyNumberFormat="1" applyFill="1" applyBorder="1"/>
    <xf numFmtId="171" fontId="4" fillId="6" borderId="54" xfId="13" applyNumberFormat="1" applyFill="1" applyBorder="1"/>
    <xf numFmtId="171" fontId="4" fillId="6" borderId="55" xfId="13" applyNumberFormat="1" applyFill="1" applyBorder="1"/>
    <xf numFmtId="0" fontId="4" fillId="14" borderId="0" xfId="13" applyFill="1" applyAlignment="1">
      <alignment vertical="center" wrapText="1"/>
    </xf>
    <xf numFmtId="171" fontId="4" fillId="11" borderId="52" xfId="13" applyNumberFormat="1" applyFill="1" applyBorder="1"/>
    <xf numFmtId="171" fontId="4" fillId="11" borderId="53" xfId="13" applyNumberFormat="1" applyFill="1" applyBorder="1"/>
    <xf numFmtId="171" fontId="4" fillId="11" borderId="54" xfId="13" applyNumberFormat="1" applyFill="1" applyBorder="1"/>
    <xf numFmtId="171" fontId="4" fillId="11" borderId="55" xfId="13" applyNumberFormat="1" applyFill="1" applyBorder="1"/>
    <xf numFmtId="0" fontId="84" fillId="11" borderId="0" xfId="13" applyFont="1" applyFill="1" applyAlignment="1">
      <alignment vertical="center" wrapText="1"/>
    </xf>
    <xf numFmtId="174" fontId="120" fillId="14" borderId="55" xfId="13" applyNumberFormat="1" applyFont="1" applyFill="1" applyBorder="1" applyAlignment="1">
      <alignment horizontal="center" vertical="center" wrapText="1"/>
    </xf>
    <xf numFmtId="0" fontId="18" fillId="2" borderId="55" xfId="15" applyFont="1" applyFill="1" applyBorder="1" applyAlignment="1">
      <alignment wrapText="1"/>
    </xf>
    <xf numFmtId="0" fontId="43" fillId="0" borderId="55" xfId="15" applyFont="1" applyFill="1" applyBorder="1" applyAlignment="1">
      <alignment vertical="center" wrapText="1"/>
    </xf>
    <xf numFmtId="0" fontId="21" fillId="0" borderId="55" xfId="15" applyFont="1" applyFill="1" applyBorder="1" applyAlignment="1">
      <alignment horizontal="left" vertical="center" wrapText="1"/>
    </xf>
    <xf numFmtId="0" fontId="51" fillId="7" borderId="55" xfId="15" applyFont="1" applyFill="1" applyBorder="1" applyAlignment="1">
      <alignment horizontal="center" vertical="center" wrapText="1"/>
    </xf>
    <xf numFmtId="0" fontId="51" fillId="0" borderId="55" xfId="15" applyFont="1" applyFill="1" applyBorder="1" applyAlignment="1">
      <alignment horizontal="center" vertical="center" wrapText="1"/>
    </xf>
    <xf numFmtId="174" fontId="119" fillId="0" borderId="55" xfId="15" applyNumberFormat="1" applyFont="1" applyFill="1" applyBorder="1" applyAlignment="1">
      <alignment horizontal="center" vertical="center" wrapText="1"/>
    </xf>
    <xf numFmtId="171" fontId="21" fillId="0" borderId="55" xfId="15" applyNumberFormat="1" applyFont="1" applyFill="1" applyBorder="1" applyAlignment="1">
      <alignment horizontal="center" vertical="center" wrapText="1"/>
    </xf>
    <xf numFmtId="171" fontId="21" fillId="0" borderId="55" xfId="15" applyNumberFormat="1" applyFont="1" applyFill="1" applyBorder="1" applyAlignment="1">
      <alignment horizontal="center" vertical="center"/>
    </xf>
    <xf numFmtId="0" fontId="43" fillId="2" borderId="55" xfId="15" applyFont="1" applyFill="1" applyBorder="1" applyAlignment="1">
      <alignment horizontal="center" vertical="center" wrapText="1"/>
    </xf>
    <xf numFmtId="0" fontId="43" fillId="2" borderId="55" xfId="15" applyFont="1" applyFill="1" applyBorder="1" applyAlignment="1">
      <alignment horizontal="center" vertical="center"/>
    </xf>
    <xf numFmtId="0" fontId="4" fillId="0" borderId="55" xfId="15" applyBorder="1"/>
    <xf numFmtId="0" fontId="21" fillId="0" borderId="55" xfId="15" applyFont="1" applyFill="1" applyBorder="1" applyAlignment="1">
      <alignment vertical="center" wrapText="1"/>
    </xf>
    <xf numFmtId="4" fontId="51" fillId="14" borderId="52" xfId="15" applyNumberFormat="1" applyFont="1" applyFill="1" applyBorder="1"/>
    <xf numFmtId="4" fontId="51" fillId="6" borderId="52" xfId="15" applyNumberFormat="1" applyFont="1" applyFill="1" applyBorder="1"/>
    <xf numFmtId="4" fontId="51" fillId="6" borderId="53" xfId="15" applyNumberFormat="1" applyFont="1" applyFill="1" applyBorder="1"/>
    <xf numFmtId="4" fontId="51" fillId="6" borderId="54" xfId="15" applyNumberFormat="1" applyFont="1" applyFill="1" applyBorder="1"/>
    <xf numFmtId="4" fontId="4" fillId="6" borderId="55" xfId="15" applyNumberFormat="1" applyFill="1" applyBorder="1"/>
    <xf numFmtId="171" fontId="4" fillId="0" borderId="0" xfId="15" applyNumberFormat="1" applyAlignment="1">
      <alignment vertical="center"/>
    </xf>
    <xf numFmtId="0" fontId="21" fillId="0" borderId="38" xfId="15" applyFont="1" applyFill="1" applyBorder="1" applyAlignment="1">
      <alignment horizontal="left" vertical="center" wrapText="1"/>
    </xf>
    <xf numFmtId="0" fontId="51" fillId="7" borderId="38" xfId="15" applyFont="1" applyFill="1" applyBorder="1" applyAlignment="1">
      <alignment horizontal="center" vertical="center" wrapText="1"/>
    </xf>
    <xf numFmtId="0" fontId="51" fillId="0" borderId="38" xfId="15" applyFont="1" applyFill="1" applyBorder="1" applyAlignment="1">
      <alignment horizontal="center" vertical="center" wrapText="1"/>
    </xf>
    <xf numFmtId="174" fontId="119" fillId="0" borderId="38" xfId="15" applyNumberFormat="1" applyFont="1" applyFill="1" applyBorder="1" applyAlignment="1">
      <alignment horizontal="center" vertical="center" wrapText="1"/>
    </xf>
    <xf numFmtId="171" fontId="21" fillId="0" borderId="38" xfId="15" applyNumberFormat="1" applyFont="1" applyFill="1" applyBorder="1" applyAlignment="1">
      <alignment horizontal="center" vertical="center" wrapText="1"/>
    </xf>
    <xf numFmtId="0" fontId="43" fillId="0" borderId="38" xfId="15" applyFont="1" applyFill="1" applyBorder="1" applyAlignment="1">
      <alignment wrapText="1"/>
    </xf>
    <xf numFmtId="2" fontId="43" fillId="0" borderId="38" xfId="15" applyNumberFormat="1" applyFont="1" applyFill="1" applyBorder="1" applyAlignment="1">
      <alignment wrapText="1"/>
    </xf>
    <xf numFmtId="171" fontId="21" fillId="0" borderId="38" xfId="15" applyNumberFormat="1" applyFont="1" applyFill="1" applyBorder="1" applyAlignment="1">
      <alignment horizontal="center" vertical="center"/>
    </xf>
    <xf numFmtId="171" fontId="4" fillId="6" borderId="52" xfId="15" applyNumberFormat="1" applyFill="1" applyBorder="1"/>
    <xf numFmtId="171" fontId="4" fillId="6" borderId="53" xfId="15" applyNumberFormat="1" applyFill="1" applyBorder="1"/>
    <xf numFmtId="171" fontId="4" fillId="6" borderId="54" xfId="15" applyNumberFormat="1" applyFill="1" applyBorder="1"/>
    <xf numFmtId="171" fontId="4" fillId="6" borderId="55" xfId="15" applyNumberFormat="1" applyFill="1" applyBorder="1"/>
    <xf numFmtId="171" fontId="121" fillId="14" borderId="55" xfId="13" applyNumberFormat="1" applyFont="1" applyFill="1" applyBorder="1" applyAlignment="1">
      <alignment horizontal="center" vertical="center"/>
    </xf>
    <xf numFmtId="0" fontId="122" fillId="2" borderId="55" xfId="13" applyFont="1" applyFill="1" applyBorder="1" applyAlignment="1">
      <alignment vertical="center" wrapText="1"/>
    </xf>
    <xf numFmtId="0" fontId="43" fillId="11" borderId="55" xfId="13" applyFont="1" applyFill="1" applyBorder="1" applyAlignment="1">
      <alignment vertical="center" wrapText="1"/>
    </xf>
    <xf numFmtId="0" fontId="21" fillId="11" borderId="55" xfId="13" applyFont="1" applyFill="1" applyBorder="1" applyAlignment="1">
      <alignment horizontal="center" vertical="center" wrapText="1"/>
    </xf>
    <xf numFmtId="0" fontId="121" fillId="11" borderId="55" xfId="13" applyFont="1" applyFill="1" applyBorder="1" applyAlignment="1">
      <alignment horizontal="left" vertical="center" wrapText="1"/>
    </xf>
    <xf numFmtId="0" fontId="123" fillId="11" borderId="55" xfId="13" applyFont="1" applyFill="1" applyBorder="1" applyAlignment="1">
      <alignment horizontal="center" vertical="center" wrapText="1"/>
    </xf>
    <xf numFmtId="174" fontId="120" fillId="11" borderId="55" xfId="13" applyNumberFormat="1" applyFont="1" applyFill="1" applyBorder="1" applyAlignment="1">
      <alignment horizontal="center" vertical="center" wrapText="1"/>
    </xf>
    <xf numFmtId="0" fontId="121" fillId="11" borderId="55" xfId="13" applyFont="1" applyFill="1" applyBorder="1" applyAlignment="1">
      <alignment horizontal="center" vertical="center" wrapText="1"/>
    </xf>
    <xf numFmtId="171" fontId="124" fillId="11" borderId="55" xfId="13" applyNumberFormat="1" applyFont="1" applyFill="1" applyBorder="1" applyAlignment="1">
      <alignment horizontal="center" vertical="center" wrapText="1"/>
    </xf>
    <xf numFmtId="171" fontId="121" fillId="11" borderId="55" xfId="13" applyNumberFormat="1" applyFont="1" applyFill="1" applyBorder="1" applyAlignment="1">
      <alignment horizontal="center" vertical="center"/>
    </xf>
    <xf numFmtId="0" fontId="124" fillId="11" borderId="55" xfId="13" applyFont="1" applyFill="1" applyBorder="1" applyAlignment="1">
      <alignment horizontal="center" vertical="center" wrapText="1"/>
    </xf>
    <xf numFmtId="0" fontId="124" fillId="11" borderId="55" xfId="13" applyFont="1" applyFill="1" applyBorder="1" applyAlignment="1">
      <alignment horizontal="center" vertical="center"/>
    </xf>
    <xf numFmtId="0" fontId="121" fillId="11" borderId="55" xfId="13" applyFont="1" applyFill="1" applyBorder="1" applyAlignment="1">
      <alignment vertical="center" wrapText="1"/>
    </xf>
    <xf numFmtId="0" fontId="21" fillId="14" borderId="55" xfId="13" applyFont="1" applyFill="1" applyBorder="1" applyAlignment="1">
      <alignment vertical="center" wrapText="1"/>
    </xf>
    <xf numFmtId="0" fontId="21" fillId="14" borderId="0" xfId="13" applyFont="1" applyFill="1" applyBorder="1" applyAlignment="1">
      <alignment vertical="center" wrapText="1"/>
    </xf>
    <xf numFmtId="191" fontId="4" fillId="11" borderId="55" xfId="13" applyNumberFormat="1" applyFill="1" applyBorder="1"/>
    <xf numFmtId="0" fontId="4" fillId="14" borderId="0" xfId="13" applyFill="1"/>
    <xf numFmtId="4" fontId="4" fillId="0" borderId="0" xfId="13" applyNumberFormat="1"/>
    <xf numFmtId="0" fontId="4" fillId="11" borderId="0" xfId="13" applyFill="1" applyAlignment="1">
      <alignment vertical="center" wrapText="1"/>
    </xf>
    <xf numFmtId="0" fontId="43" fillId="2" borderId="55" xfId="13" applyFont="1" applyFill="1" applyBorder="1" applyAlignment="1">
      <alignment vertical="center" wrapText="1"/>
    </xf>
    <xf numFmtId="0" fontId="4" fillId="0" borderId="0" xfId="13" applyFont="1"/>
    <xf numFmtId="171" fontId="43" fillId="0" borderId="38" xfId="15" applyNumberFormat="1" applyFont="1" applyFill="1" applyBorder="1" applyAlignment="1">
      <alignment horizontal="center" vertical="center" wrapText="1"/>
    </xf>
    <xf numFmtId="0" fontId="4" fillId="0" borderId="52" xfId="15" applyFill="1" applyBorder="1"/>
    <xf numFmtId="0" fontId="4" fillId="0" borderId="53" xfId="15" applyFill="1" applyBorder="1"/>
    <xf numFmtId="0" fontId="4" fillId="0" borderId="54" xfId="15" applyFill="1" applyBorder="1"/>
    <xf numFmtId="0" fontId="4" fillId="0" borderId="55" xfId="15" applyFill="1" applyBorder="1"/>
    <xf numFmtId="4" fontId="51" fillId="14" borderId="52" xfId="13" applyNumberFormat="1" applyFont="1" applyFill="1" applyBorder="1"/>
    <xf numFmtId="4" fontId="51" fillId="6" borderId="52" xfId="13" applyNumberFormat="1" applyFont="1" applyFill="1" applyBorder="1"/>
    <xf numFmtId="4" fontId="51" fillId="6" borderId="53" xfId="13" applyNumberFormat="1" applyFont="1" applyFill="1" applyBorder="1"/>
    <xf numFmtId="4" fontId="51" fillId="6" borderId="54" xfId="13" applyNumberFormat="1" applyFont="1" applyFill="1" applyBorder="1"/>
    <xf numFmtId="4" fontId="4" fillId="6" borderId="55" xfId="13" applyNumberFormat="1" applyFill="1" applyBorder="1"/>
    <xf numFmtId="166" fontId="4" fillId="0" borderId="0" xfId="15" applyNumberFormat="1"/>
    <xf numFmtId="0" fontId="43" fillId="2" borderId="0" xfId="13" applyFont="1" applyFill="1" applyBorder="1" applyAlignment="1">
      <alignment horizontal="center" vertical="center" wrapText="1"/>
    </xf>
    <xf numFmtId="0" fontId="43" fillId="0" borderId="39" xfId="15" applyFont="1" applyFill="1" applyBorder="1" applyAlignment="1">
      <alignment vertical="center" wrapText="1"/>
    </xf>
    <xf numFmtId="0" fontId="118" fillId="17" borderId="37" xfId="15" applyFont="1" applyFill="1" applyBorder="1" applyAlignment="1">
      <alignment horizontal="left" wrapText="1" indent="2"/>
    </xf>
    <xf numFmtId="190" fontId="113" fillId="17" borderId="37" xfId="15" applyNumberFormat="1" applyFont="1" applyFill="1" applyBorder="1" applyAlignment="1">
      <alignment wrapText="1"/>
    </xf>
    <xf numFmtId="175" fontId="113" fillId="17" borderId="37" xfId="15" applyNumberFormat="1" applyFont="1" applyFill="1" applyBorder="1" applyAlignment="1">
      <alignment wrapText="1"/>
    </xf>
    <xf numFmtId="0" fontId="18" fillId="17" borderId="37" xfId="15" applyFont="1" applyFill="1" applyBorder="1" applyAlignment="1">
      <alignment wrapText="1"/>
    </xf>
    <xf numFmtId="173" fontId="119" fillId="14" borderId="55" xfId="13" applyNumberFormat="1" applyFont="1" applyFill="1" applyBorder="1" applyAlignment="1">
      <alignment horizontal="center" vertical="center" wrapText="1"/>
    </xf>
    <xf numFmtId="0" fontId="21" fillId="0" borderId="0" xfId="13" applyFont="1" applyFill="1" applyBorder="1" applyAlignment="1">
      <alignment horizontal="center" vertical="center" wrapText="1"/>
    </xf>
    <xf numFmtId="171" fontId="4" fillId="0" borderId="0" xfId="13" applyNumberFormat="1" applyAlignment="1">
      <alignment wrapText="1"/>
    </xf>
    <xf numFmtId="0" fontId="4" fillId="0" borderId="55" xfId="13" applyBorder="1" applyAlignment="1">
      <alignment wrapText="1"/>
    </xf>
    <xf numFmtId="0" fontId="4" fillId="14" borderId="55" xfId="13" applyFill="1" applyBorder="1"/>
    <xf numFmtId="0" fontId="4" fillId="7" borderId="55" xfId="13" applyFill="1" applyBorder="1" applyAlignment="1">
      <alignment wrapText="1"/>
    </xf>
    <xf numFmtId="0" fontId="4" fillId="6" borderId="55" xfId="13" applyFill="1" applyBorder="1" applyAlignment="1">
      <alignment wrapText="1"/>
    </xf>
    <xf numFmtId="4" fontId="4" fillId="0" borderId="52" xfId="13" applyNumberFormat="1" applyBorder="1" applyAlignment="1">
      <alignment vertical="center"/>
    </xf>
    <xf numFmtId="4" fontId="4" fillId="0" borderId="53" xfId="13" applyNumberFormat="1" applyBorder="1" applyAlignment="1">
      <alignment vertical="center"/>
    </xf>
    <xf numFmtId="4" fontId="4" fillId="0" borderId="54" xfId="13" applyNumberFormat="1" applyBorder="1" applyAlignment="1">
      <alignment vertical="center"/>
    </xf>
    <xf numFmtId="4" fontId="51" fillId="2" borderId="55" xfId="13" applyNumberFormat="1" applyFont="1" applyFill="1" applyBorder="1" applyAlignment="1">
      <alignment vertical="center"/>
    </xf>
    <xf numFmtId="0" fontId="51" fillId="2" borderId="55" xfId="13" applyFont="1" applyFill="1" applyBorder="1"/>
    <xf numFmtId="4" fontId="76" fillId="6" borderId="55" xfId="13" applyNumberFormat="1" applyFont="1" applyFill="1" applyBorder="1"/>
    <xf numFmtId="0" fontId="51" fillId="2" borderId="0" xfId="13" applyFont="1" applyFill="1" applyBorder="1"/>
    <xf numFmtId="0" fontId="51" fillId="2" borderId="0" xfId="13" applyFont="1" applyFill="1"/>
    <xf numFmtId="175" fontId="51" fillId="2" borderId="0" xfId="13" applyNumberFormat="1" applyFont="1" applyFill="1"/>
    <xf numFmtId="171" fontId="51" fillId="2" borderId="0" xfId="13" applyNumberFormat="1" applyFont="1" applyFill="1" applyAlignment="1">
      <alignment vertical="center"/>
    </xf>
    <xf numFmtId="171" fontId="51" fillId="2" borderId="0" xfId="13" applyNumberFormat="1" applyFont="1" applyFill="1"/>
    <xf numFmtId="171" fontId="72" fillId="14" borderId="55" xfId="13" applyNumberFormat="1" applyFont="1" applyFill="1" applyBorder="1" applyAlignment="1">
      <alignment horizontal="center" vertical="center" wrapText="1"/>
    </xf>
    <xf numFmtId="166" fontId="17" fillId="0" borderId="55" xfId="13" applyNumberFormat="1" applyFont="1" applyFill="1" applyBorder="1" applyAlignment="1">
      <alignment horizontal="center" vertical="center" wrapText="1"/>
    </xf>
    <xf numFmtId="4" fontId="4" fillId="7" borderId="0" xfId="13" applyNumberFormat="1" applyFont="1" applyFill="1"/>
    <xf numFmtId="4" fontId="4" fillId="6" borderId="0" xfId="13" applyNumberFormat="1" applyFont="1" applyFill="1"/>
    <xf numFmtId="49" fontId="4" fillId="0" borderId="0" xfId="13" applyNumberFormat="1"/>
    <xf numFmtId="0" fontId="4" fillId="2" borderId="52" xfId="15" applyFill="1" applyBorder="1"/>
    <xf numFmtId="0" fontId="4" fillId="2" borderId="53" xfId="15" applyFill="1" applyBorder="1"/>
    <xf numFmtId="0" fontId="4" fillId="2" borderId="54" xfId="15" applyFill="1" applyBorder="1"/>
    <xf numFmtId="0" fontId="4" fillId="2" borderId="55" xfId="15" applyFill="1" applyBorder="1"/>
    <xf numFmtId="0" fontId="4" fillId="2" borderId="0" xfId="15" applyFill="1"/>
    <xf numFmtId="171" fontId="4" fillId="2" borderId="0" xfId="15" applyNumberFormat="1" applyFill="1" applyAlignment="1">
      <alignment vertical="center"/>
    </xf>
    <xf numFmtId="171" fontId="4" fillId="2" borderId="0" xfId="15" applyNumberFormat="1" applyFill="1"/>
    <xf numFmtId="2" fontId="21" fillId="14" borderId="55" xfId="13" applyNumberFormat="1" applyFont="1" applyFill="1" applyBorder="1" applyAlignment="1">
      <alignment horizontal="center" vertical="center" wrapText="1"/>
    </xf>
    <xf numFmtId="0" fontId="43" fillId="2" borderId="38" xfId="13" applyFont="1" applyFill="1" applyBorder="1" applyAlignment="1">
      <alignment vertical="center" wrapText="1"/>
    </xf>
    <xf numFmtId="0" fontId="21" fillId="14" borderId="38" xfId="13" applyFont="1" applyFill="1" applyBorder="1" applyAlignment="1">
      <alignment horizontal="left" vertical="center" wrapText="1"/>
    </xf>
    <xf numFmtId="173" fontId="119" fillId="14" borderId="38" xfId="13" applyNumberFormat="1" applyFont="1" applyFill="1" applyBorder="1" applyAlignment="1">
      <alignment horizontal="center" vertical="center" wrapText="1"/>
    </xf>
    <xf numFmtId="2" fontId="21" fillId="14" borderId="38" xfId="13" applyNumberFormat="1" applyFont="1" applyFill="1" applyBorder="1" applyAlignment="1">
      <alignment horizontal="center" vertical="center" wrapText="1"/>
    </xf>
    <xf numFmtId="171" fontId="43" fillId="14" borderId="38" xfId="13" applyNumberFormat="1" applyFont="1" applyFill="1" applyBorder="1" applyAlignment="1">
      <alignment horizontal="center" vertical="center" wrapText="1"/>
    </xf>
    <xf numFmtId="171" fontId="21" fillId="14" borderId="38" xfId="13" applyNumberFormat="1" applyFont="1" applyFill="1" applyBorder="1" applyAlignment="1">
      <alignment horizontal="center" vertical="center"/>
    </xf>
    <xf numFmtId="166" fontId="17" fillId="0" borderId="38" xfId="13" applyNumberFormat="1" applyFont="1" applyFill="1" applyBorder="1" applyAlignment="1">
      <alignment horizontal="center" vertical="center" wrapText="1"/>
    </xf>
    <xf numFmtId="0" fontId="43" fillId="2" borderId="38" xfId="13" applyFont="1" applyFill="1" applyBorder="1" applyAlignment="1">
      <alignment horizontal="center" vertical="center"/>
    </xf>
    <xf numFmtId="0" fontId="21" fillId="0" borderId="38" xfId="13" applyFont="1" applyFill="1" applyBorder="1" applyAlignment="1">
      <alignment horizontal="center" vertical="center" wrapText="1"/>
    </xf>
    <xf numFmtId="0" fontId="49" fillId="16" borderId="0" xfId="13" applyFont="1" applyFill="1" applyBorder="1" applyAlignment="1">
      <alignment horizontal="center" vertical="center" wrapText="1"/>
    </xf>
    <xf numFmtId="0" fontId="48" fillId="17" borderId="78" xfId="15" applyFont="1" applyFill="1" applyBorder="1" applyAlignment="1">
      <alignment wrapText="1"/>
    </xf>
    <xf numFmtId="0" fontId="4" fillId="6" borderId="53" xfId="15" applyFill="1" applyBorder="1"/>
    <xf numFmtId="0" fontId="4" fillId="6" borderId="54" xfId="15" applyFill="1" applyBorder="1"/>
    <xf numFmtId="4" fontId="76" fillId="6" borderId="55" xfId="15" applyNumberFormat="1" applyFont="1" applyFill="1" applyBorder="1"/>
    <xf numFmtId="0" fontId="48" fillId="17" borderId="4" xfId="15" applyFont="1" applyFill="1" applyBorder="1" applyAlignment="1">
      <alignment wrapText="1"/>
    </xf>
    <xf numFmtId="0" fontId="48" fillId="17" borderId="4" xfId="15" applyFont="1" applyFill="1" applyBorder="1"/>
    <xf numFmtId="0" fontId="18" fillId="2" borderId="38" xfId="15" applyFont="1" applyFill="1" applyBorder="1" applyAlignment="1">
      <alignment wrapText="1"/>
    </xf>
    <xf numFmtId="0" fontId="21" fillId="0" borderId="39" xfId="15" applyFont="1" applyFill="1" applyBorder="1" applyAlignment="1">
      <alignment horizontal="left" vertical="center" wrapText="1"/>
    </xf>
    <xf numFmtId="0" fontId="51" fillId="7" borderId="39" xfId="15" applyFont="1" applyFill="1" applyBorder="1" applyAlignment="1">
      <alignment horizontal="center" vertical="center" wrapText="1"/>
    </xf>
    <xf numFmtId="0" fontId="51" fillId="0" borderId="39" xfId="15" applyFont="1" applyFill="1" applyBorder="1" applyAlignment="1">
      <alignment horizontal="center" vertical="center" wrapText="1"/>
    </xf>
    <xf numFmtId="174" fontId="119" fillId="0" borderId="39" xfId="15" applyNumberFormat="1" applyFont="1" applyFill="1" applyBorder="1" applyAlignment="1">
      <alignment horizontal="center" vertical="center" wrapText="1"/>
    </xf>
    <xf numFmtId="171" fontId="21" fillId="0" borderId="39" xfId="15" applyNumberFormat="1" applyFont="1" applyFill="1" applyBorder="1" applyAlignment="1">
      <alignment horizontal="center" vertical="center" wrapText="1"/>
    </xf>
    <xf numFmtId="0" fontId="43" fillId="0" borderId="39" xfId="15" applyFont="1" applyFill="1" applyBorder="1" applyAlignment="1">
      <alignment horizontal="center" vertical="center" wrapText="1"/>
    </xf>
    <xf numFmtId="171" fontId="21" fillId="0" borderId="39" xfId="15" applyNumberFormat="1" applyFont="1" applyFill="1" applyBorder="1" applyAlignment="1">
      <alignment horizontal="center" vertical="center"/>
    </xf>
    <xf numFmtId="0" fontId="43" fillId="2" borderId="39" xfId="15" applyFont="1" applyFill="1" applyBorder="1" applyAlignment="1">
      <alignment horizontal="center" vertical="center"/>
    </xf>
    <xf numFmtId="0" fontId="4" fillId="0" borderId="39" xfId="15" applyBorder="1"/>
    <xf numFmtId="0" fontId="21" fillId="0" borderId="39" xfId="15" applyFont="1" applyFill="1" applyBorder="1" applyAlignment="1">
      <alignment vertical="center" wrapText="1"/>
    </xf>
    <xf numFmtId="2" fontId="4" fillId="0" borderId="0" xfId="15" applyNumberFormat="1"/>
    <xf numFmtId="0" fontId="43" fillId="14" borderId="55" xfId="13" applyFont="1" applyFill="1" applyBorder="1" applyAlignment="1">
      <alignment horizontal="center" vertical="center" wrapText="1"/>
    </xf>
    <xf numFmtId="171" fontId="43" fillId="14" borderId="55" xfId="13" applyNumberFormat="1" applyFont="1" applyFill="1" applyBorder="1" applyAlignment="1">
      <alignment wrapText="1"/>
    </xf>
    <xf numFmtId="171" fontId="21" fillId="14" borderId="55" xfId="13" applyNumberFormat="1" applyFont="1" applyFill="1" applyBorder="1" applyAlignment="1">
      <alignment horizontal="center" vertical="center" wrapText="1"/>
    </xf>
    <xf numFmtId="0" fontId="43" fillId="0" borderId="55" xfId="13" applyFont="1" applyFill="1" applyBorder="1" applyAlignment="1">
      <alignment horizontal="center" vertical="center" wrapText="1"/>
    </xf>
    <xf numFmtId="0" fontId="4" fillId="0" borderId="0" xfId="13" applyFill="1" applyAlignment="1">
      <alignment vertical="center" wrapText="1"/>
    </xf>
    <xf numFmtId="0" fontId="43" fillId="0" borderId="38" xfId="13" applyFont="1" applyFill="1" applyBorder="1" applyAlignment="1">
      <alignment vertical="center" wrapText="1"/>
    </xf>
    <xf numFmtId="0" fontId="51" fillId="7" borderId="38" xfId="13" applyFont="1" applyFill="1" applyBorder="1" applyAlignment="1">
      <alignment horizontal="center" vertical="center" wrapText="1"/>
    </xf>
    <xf numFmtId="0" fontId="51" fillId="0" borderId="38" xfId="13" applyFont="1" applyFill="1" applyBorder="1" applyAlignment="1">
      <alignment horizontal="center" vertical="center" wrapText="1"/>
    </xf>
    <xf numFmtId="0" fontId="43" fillId="14" borderId="38" xfId="13" applyFont="1" applyFill="1" applyBorder="1" applyAlignment="1">
      <alignment horizontal="center" vertical="center" wrapText="1"/>
    </xf>
    <xf numFmtId="171" fontId="21" fillId="14" borderId="38" xfId="13" applyNumberFormat="1" applyFont="1" applyFill="1" applyBorder="1" applyAlignment="1">
      <alignment horizontal="center" vertical="center" wrapText="1"/>
    </xf>
    <xf numFmtId="0" fontId="43" fillId="0" borderId="38" xfId="13" applyFont="1" applyFill="1" applyBorder="1" applyAlignment="1">
      <alignment horizontal="center" vertical="center" wrapText="1"/>
    </xf>
    <xf numFmtId="0" fontId="56" fillId="17" borderId="0" xfId="13" applyFont="1" applyFill="1" applyBorder="1" applyAlignment="1">
      <alignment wrapText="1"/>
    </xf>
    <xf numFmtId="0" fontId="4" fillId="0" borderId="0" xfId="13" applyFont="1" applyAlignment="1">
      <alignment vertical="center" wrapText="1"/>
    </xf>
    <xf numFmtId="171" fontId="4" fillId="0" borderId="0" xfId="13" applyNumberFormat="1" applyFont="1" applyAlignment="1">
      <alignment vertical="center"/>
    </xf>
    <xf numFmtId="171" fontId="4" fillId="0" borderId="0" xfId="13" applyNumberFormat="1" applyFont="1"/>
    <xf numFmtId="171" fontId="72" fillId="14" borderId="38" xfId="13" applyNumberFormat="1" applyFont="1" applyFill="1" applyBorder="1" applyAlignment="1">
      <alignment horizontal="center" vertical="center" wrapText="1"/>
    </xf>
    <xf numFmtId="0" fontId="20" fillId="0" borderId="38" xfId="15" applyFont="1" applyFill="1" applyBorder="1" applyAlignment="1">
      <alignment vertical="center" wrapText="1"/>
    </xf>
    <xf numFmtId="4" fontId="4" fillId="0" borderId="52" xfId="15" applyNumberFormat="1" applyBorder="1" applyAlignment="1">
      <alignment vertical="center"/>
    </xf>
    <xf numFmtId="4" fontId="4" fillId="0" borderId="53" xfId="15" applyNumberFormat="1" applyBorder="1" applyAlignment="1">
      <alignment vertical="center"/>
    </xf>
    <xf numFmtId="4" fontId="4" fillId="0" borderId="54" xfId="15" applyNumberFormat="1" applyBorder="1" applyAlignment="1">
      <alignment vertical="center"/>
    </xf>
    <xf numFmtId="4" fontId="51" fillId="2" borderId="55" xfId="15" applyNumberFormat="1" applyFont="1" applyFill="1" applyBorder="1" applyAlignment="1">
      <alignment vertical="center"/>
    </xf>
    <xf numFmtId="0" fontId="51" fillId="2" borderId="0" xfId="15" applyFont="1" applyFill="1" applyBorder="1"/>
    <xf numFmtId="0" fontId="125" fillId="0" borderId="55" xfId="15" applyFont="1" applyFill="1" applyBorder="1" applyAlignment="1">
      <alignment horizontal="center" vertical="center"/>
    </xf>
    <xf numFmtId="0" fontId="125" fillId="0" borderId="55" xfId="15" applyFont="1" applyFill="1" applyBorder="1"/>
    <xf numFmtId="173" fontId="4" fillId="0" borderId="0" xfId="13" applyNumberFormat="1"/>
    <xf numFmtId="165" fontId="4" fillId="0" borderId="0" xfId="13" applyNumberFormat="1"/>
    <xf numFmtId="0" fontId="43" fillId="2" borderId="0" xfId="13" applyFont="1" applyFill="1" applyBorder="1"/>
    <xf numFmtId="173" fontId="43" fillId="0" borderId="0" xfId="119" applyNumberFormat="1" applyFont="1"/>
    <xf numFmtId="165" fontId="43" fillId="0" borderId="0" xfId="119" applyNumberFormat="1" applyFont="1"/>
    <xf numFmtId="171" fontId="4" fillId="0" borderId="43" xfId="13" applyNumberFormat="1" applyBorder="1"/>
    <xf numFmtId="171" fontId="4" fillId="0" borderId="44" xfId="13" applyNumberFormat="1" applyBorder="1"/>
    <xf numFmtId="171" fontId="4" fillId="0" borderId="45" xfId="13" applyNumberFormat="1" applyBorder="1"/>
    <xf numFmtId="171" fontId="4" fillId="0" borderId="39" xfId="13" applyNumberFormat="1" applyBorder="1"/>
    <xf numFmtId="171" fontId="4" fillId="14" borderId="43" xfId="13" applyNumberFormat="1" applyFill="1" applyBorder="1"/>
    <xf numFmtId="171" fontId="4" fillId="6" borderId="43" xfId="13" applyNumberFormat="1" applyFill="1" applyBorder="1"/>
    <xf numFmtId="171" fontId="4" fillId="6" borderId="44" xfId="13" applyNumberFormat="1" applyFill="1" applyBorder="1"/>
    <xf numFmtId="171" fontId="4" fillId="6" borderId="45" xfId="13" applyNumberFormat="1" applyFill="1" applyBorder="1"/>
    <xf numFmtId="171" fontId="4" fillId="6" borderId="39" xfId="13" applyNumberFormat="1" applyFill="1" applyBorder="1"/>
    <xf numFmtId="171" fontId="4" fillId="0" borderId="30" xfId="13" applyNumberFormat="1" applyBorder="1"/>
    <xf numFmtId="171" fontId="4" fillId="6" borderId="30" xfId="13" applyNumberFormat="1" applyFill="1" applyBorder="1"/>
    <xf numFmtId="171" fontId="4" fillId="5" borderId="55" xfId="13" applyNumberFormat="1" applyFill="1" applyBorder="1"/>
    <xf numFmtId="0" fontId="43" fillId="14" borderId="38" xfId="13" applyFont="1" applyFill="1" applyBorder="1" applyAlignment="1">
      <alignment vertical="center" wrapText="1"/>
    </xf>
    <xf numFmtId="178" fontId="4" fillId="14" borderId="38" xfId="13" applyNumberFormat="1" applyFill="1" applyBorder="1"/>
    <xf numFmtId="0" fontId="4" fillId="14" borderId="38" xfId="13" applyFill="1" applyBorder="1"/>
    <xf numFmtId="0" fontId="4" fillId="0" borderId="38" xfId="13" applyBorder="1"/>
    <xf numFmtId="2" fontId="4" fillId="0" borderId="55" xfId="13" applyNumberFormat="1" applyBorder="1"/>
    <xf numFmtId="0" fontId="51" fillId="14" borderId="38" xfId="13" applyFont="1" applyFill="1" applyBorder="1" applyAlignment="1">
      <alignment horizontal="center" vertical="center" wrapText="1"/>
    </xf>
    <xf numFmtId="0" fontId="51" fillId="2" borderId="38" xfId="13" applyFont="1" applyFill="1" applyBorder="1" applyAlignment="1">
      <alignment horizontal="center" vertical="center"/>
    </xf>
    <xf numFmtId="0" fontId="6" fillId="0" borderId="38" xfId="13" applyFont="1" applyFill="1" applyBorder="1" applyAlignment="1">
      <alignment horizontal="center" vertical="center" wrapText="1"/>
    </xf>
    <xf numFmtId="0" fontId="75" fillId="2" borderId="38" xfId="13" applyFont="1" applyFill="1" applyBorder="1" applyAlignment="1">
      <alignment horizontal="center" vertical="center"/>
    </xf>
    <xf numFmtId="0" fontId="51" fillId="14" borderId="38" xfId="13" applyFont="1" applyFill="1" applyBorder="1" applyAlignment="1">
      <alignment wrapText="1"/>
    </xf>
    <xf numFmtId="0" fontId="4" fillId="7" borderId="38" xfId="13" applyFill="1" applyBorder="1" applyAlignment="1">
      <alignment wrapText="1"/>
    </xf>
    <xf numFmtId="0" fontId="4" fillId="14" borderId="38" xfId="13" applyFill="1" applyBorder="1" applyAlignment="1">
      <alignment wrapText="1"/>
    </xf>
    <xf numFmtId="0" fontId="4" fillId="6" borderId="38" xfId="13" applyFill="1" applyBorder="1" applyAlignment="1">
      <alignment wrapText="1"/>
    </xf>
    <xf numFmtId="0" fontId="51" fillId="2" borderId="38" xfId="13" applyFont="1" applyFill="1" applyBorder="1"/>
    <xf numFmtId="0" fontId="4" fillId="14" borderId="38" xfId="13" applyFill="1" applyBorder="1" applyAlignment="1">
      <alignment vertical="center"/>
    </xf>
    <xf numFmtId="0" fontId="4" fillId="7" borderId="38" xfId="13" applyFill="1" applyBorder="1" applyAlignment="1">
      <alignment vertical="center" wrapText="1"/>
    </xf>
    <xf numFmtId="0" fontId="4" fillId="14" borderId="38" xfId="13" applyFill="1" applyBorder="1" applyAlignment="1">
      <alignment vertical="center" wrapText="1"/>
    </xf>
    <xf numFmtId="0" fontId="4" fillId="6" borderId="38" xfId="13" applyFill="1" applyBorder="1" applyAlignment="1">
      <alignment vertical="center" wrapText="1"/>
    </xf>
    <xf numFmtId="0" fontId="51" fillId="2" borderId="38" xfId="13" applyFont="1" applyFill="1" applyBorder="1" applyAlignment="1">
      <alignment vertical="center" wrapText="1"/>
    </xf>
    <xf numFmtId="0" fontId="51" fillId="2" borderId="38" xfId="13" applyFont="1" applyFill="1" applyBorder="1" applyAlignment="1">
      <alignment horizontal="left" wrapText="1"/>
    </xf>
    <xf numFmtId="1" fontId="51" fillId="2" borderId="38" xfId="13" applyNumberFormat="1" applyFont="1" applyFill="1" applyBorder="1" applyAlignment="1">
      <alignment horizontal="center" vertical="center"/>
    </xf>
    <xf numFmtId="171" fontId="51" fillId="0" borderId="38" xfId="13" applyNumberFormat="1" applyFont="1" applyFill="1" applyBorder="1" applyAlignment="1">
      <alignment horizontal="center" vertical="center"/>
    </xf>
    <xf numFmtId="179" fontId="51" fillId="2" borderId="38" xfId="13" applyNumberFormat="1" applyFont="1" applyFill="1" applyBorder="1" applyAlignment="1">
      <alignment horizontal="center" vertical="center"/>
    </xf>
    <xf numFmtId="0" fontId="51" fillId="2" borderId="38" xfId="13" applyFont="1" applyFill="1" applyBorder="1" applyAlignment="1">
      <alignment horizontal="center" vertical="center" wrapText="1"/>
    </xf>
    <xf numFmtId="0" fontId="4" fillId="0" borderId="0" xfId="13" applyAlignment="1">
      <alignment vertical="center"/>
    </xf>
    <xf numFmtId="0" fontId="4" fillId="7" borderId="0" xfId="13" applyFill="1" applyAlignment="1">
      <alignment vertical="center" wrapText="1"/>
    </xf>
    <xf numFmtId="0" fontId="49" fillId="18" borderId="0" xfId="13" applyFont="1" applyFill="1" applyBorder="1" applyAlignment="1">
      <alignment horizontal="center" vertical="center" wrapText="1"/>
    </xf>
    <xf numFmtId="0" fontId="43" fillId="0" borderId="0" xfId="13" applyFont="1" applyFill="1" applyBorder="1" applyAlignment="1">
      <alignment horizontal="center" vertical="center" wrapText="1"/>
    </xf>
    <xf numFmtId="0" fontId="43" fillId="14" borderId="55" xfId="13" applyFont="1" applyFill="1" applyBorder="1" applyAlignment="1">
      <alignment vertical="center" wrapText="1"/>
    </xf>
    <xf numFmtId="0" fontId="4" fillId="14" borderId="55" xfId="13" applyFill="1" applyBorder="1" applyAlignment="1">
      <alignment wrapText="1"/>
    </xf>
    <xf numFmtId="0" fontId="4" fillId="7" borderId="0" xfId="13" applyFill="1"/>
    <xf numFmtId="0" fontId="21" fillId="15" borderId="55" xfId="13" applyFont="1" applyFill="1" applyBorder="1" applyAlignment="1">
      <alignment horizontal="left" vertical="center" wrapText="1"/>
    </xf>
    <xf numFmtId="0" fontId="4" fillId="0" borderId="0" xfId="13" applyFill="1"/>
    <xf numFmtId="0" fontId="43" fillId="11" borderId="38" xfId="13" applyFont="1" applyFill="1" applyBorder="1" applyAlignment="1">
      <alignment vertical="center" wrapText="1"/>
    </xf>
    <xf numFmtId="0" fontId="21" fillId="15" borderId="38" xfId="13" applyFont="1" applyFill="1" applyBorder="1" applyAlignment="1">
      <alignment horizontal="left" vertical="center" wrapText="1"/>
    </xf>
    <xf numFmtId="0" fontId="43" fillId="11" borderId="38" xfId="13" applyFont="1" applyFill="1" applyBorder="1" applyAlignment="1">
      <alignment horizontal="center" vertical="center" wrapText="1"/>
    </xf>
    <xf numFmtId="171" fontId="43" fillId="14" borderId="38" xfId="13" applyNumberFormat="1" applyFont="1" applyFill="1" applyBorder="1" applyAlignment="1">
      <alignment wrapText="1"/>
    </xf>
    <xf numFmtId="4" fontId="51" fillId="5" borderId="55" xfId="13" applyNumberFormat="1" applyFont="1" applyFill="1" applyBorder="1"/>
    <xf numFmtId="0" fontId="4" fillId="5" borderId="55" xfId="13" applyFill="1" applyBorder="1"/>
    <xf numFmtId="0" fontId="4" fillId="0" borderId="40" xfId="13" applyBorder="1"/>
    <xf numFmtId="0" fontId="4" fillId="0" borderId="41" xfId="13" applyBorder="1"/>
    <xf numFmtId="0" fontId="4" fillId="0" borderId="42" xfId="13" applyBorder="1"/>
    <xf numFmtId="171" fontId="4" fillId="5" borderId="38" xfId="13" applyNumberFormat="1" applyFill="1" applyBorder="1"/>
    <xf numFmtId="171" fontId="4" fillId="6" borderId="40" xfId="13" applyNumberFormat="1" applyFill="1" applyBorder="1"/>
    <xf numFmtId="171" fontId="4" fillId="6" borderId="41" xfId="13" applyNumberFormat="1" applyFill="1" applyBorder="1"/>
    <xf numFmtId="171" fontId="4" fillId="6" borderId="42" xfId="13" applyNumberFormat="1" applyFill="1" applyBorder="1"/>
    <xf numFmtId="171" fontId="4" fillId="6" borderId="38" xfId="13" applyNumberFormat="1" applyFill="1" applyBorder="1"/>
    <xf numFmtId="167" fontId="4" fillId="0" borderId="0" xfId="13" applyNumberFormat="1"/>
    <xf numFmtId="0" fontId="4" fillId="0" borderId="0" xfId="113"/>
    <xf numFmtId="172" fontId="4" fillId="0" borderId="0" xfId="113" applyNumberFormat="1"/>
    <xf numFmtId="0" fontId="4" fillId="0" borderId="0" xfId="113" applyAlignment="1">
      <alignment horizontal="left"/>
    </xf>
    <xf numFmtId="165" fontId="42" fillId="0" borderId="0" xfId="113" applyNumberFormat="1" applyFont="1" applyAlignment="1">
      <alignment horizontal="left"/>
    </xf>
    <xf numFmtId="165" fontId="42" fillId="0" borderId="0" xfId="113" applyNumberFormat="1" applyFont="1"/>
    <xf numFmtId="0" fontId="42" fillId="0" borderId="0" xfId="113" applyFont="1"/>
    <xf numFmtId="0" fontId="42" fillId="0" borderId="0" xfId="113" applyFont="1" applyAlignment="1">
      <alignment horizontal="center"/>
    </xf>
    <xf numFmtId="0" fontId="42" fillId="0" borderId="0" xfId="113" applyFont="1" applyAlignment="1">
      <alignment vertical="center" wrapText="1"/>
    </xf>
    <xf numFmtId="171" fontId="42" fillId="0" borderId="0" xfId="113" applyNumberFormat="1" applyFont="1"/>
    <xf numFmtId="0" fontId="43" fillId="2" borderId="0" xfId="113" applyFont="1" applyFill="1"/>
    <xf numFmtId="0" fontId="44" fillId="2" borderId="0" xfId="113" applyFont="1" applyFill="1"/>
    <xf numFmtId="173" fontId="43" fillId="2" borderId="0" xfId="113" applyNumberFormat="1" applyFont="1" applyFill="1"/>
    <xf numFmtId="171" fontId="45" fillId="0" borderId="0" xfId="113" applyNumberFormat="1" applyFont="1"/>
    <xf numFmtId="165" fontId="43" fillId="2" borderId="0" xfId="113" applyNumberFormat="1" applyFont="1" applyFill="1"/>
    <xf numFmtId="0" fontId="4" fillId="0" borderId="0" xfId="113" applyAlignment="1">
      <alignment horizontal="center" vertical="center" wrapText="1"/>
    </xf>
    <xf numFmtId="165" fontId="42" fillId="0" borderId="0" xfId="113" applyNumberFormat="1" applyFont="1" applyAlignment="1">
      <alignment horizontal="center" vertical="center" wrapText="1"/>
    </xf>
    <xf numFmtId="165" fontId="4" fillId="0" borderId="0" xfId="113" applyNumberFormat="1" applyFont="1"/>
    <xf numFmtId="0" fontId="4" fillId="0" borderId="0" xfId="113" applyFont="1"/>
    <xf numFmtId="171" fontId="4" fillId="6" borderId="0" xfId="113" applyNumberFormat="1" applyFont="1" applyFill="1"/>
    <xf numFmtId="171" fontId="4" fillId="0" borderId="0" xfId="113" applyNumberFormat="1" applyFont="1"/>
    <xf numFmtId="0" fontId="42" fillId="0" borderId="0" xfId="113" applyFont="1" applyBorder="1"/>
    <xf numFmtId="0" fontId="49" fillId="16" borderId="0" xfId="113" applyFont="1" applyFill="1" applyBorder="1" applyAlignment="1">
      <alignment horizontal="center" wrapText="1"/>
    </xf>
    <xf numFmtId="165" fontId="42" fillId="0" borderId="30" xfId="113" applyNumberFormat="1" applyFont="1" applyBorder="1"/>
    <xf numFmtId="165" fontId="42" fillId="0" borderId="55" xfId="113" applyNumberFormat="1" applyFont="1" applyBorder="1"/>
    <xf numFmtId="0" fontId="50" fillId="17" borderId="0" xfId="113" applyFont="1" applyFill="1" applyBorder="1" applyAlignment="1">
      <alignment horizontal="center" wrapText="1"/>
    </xf>
    <xf numFmtId="165" fontId="42" fillId="0" borderId="52" xfId="113" applyNumberFormat="1" applyFont="1" applyBorder="1"/>
    <xf numFmtId="165" fontId="42" fillId="0" borderId="53" xfId="113" applyNumberFormat="1" applyFont="1" applyBorder="1"/>
    <xf numFmtId="165" fontId="42" fillId="0" borderId="54" xfId="113" applyNumberFormat="1" applyFont="1" applyBorder="1"/>
    <xf numFmtId="0" fontId="42" fillId="14" borderId="0" xfId="113" applyFont="1" applyFill="1" applyAlignment="1">
      <alignment vertical="center" wrapText="1"/>
    </xf>
    <xf numFmtId="0" fontId="43" fillId="0" borderId="55" xfId="113" applyFont="1" applyFill="1" applyBorder="1" applyAlignment="1">
      <alignment vertical="center" wrapText="1"/>
    </xf>
    <xf numFmtId="0" fontId="21" fillId="14" borderId="55" xfId="113" applyFont="1" applyFill="1" applyBorder="1" applyAlignment="1">
      <alignment horizontal="left" vertical="center" wrapText="1"/>
    </xf>
    <xf numFmtId="0" fontId="58" fillId="14" borderId="55" xfId="113" applyFont="1" applyFill="1" applyBorder="1" applyAlignment="1">
      <alignment horizontal="center" vertical="center" wrapText="1"/>
    </xf>
    <xf numFmtId="0" fontId="51" fillId="14" borderId="55" xfId="113" applyFont="1" applyFill="1" applyBorder="1" applyAlignment="1">
      <alignment horizontal="center" vertical="center" wrapText="1"/>
    </xf>
    <xf numFmtId="174" fontId="59" fillId="14" borderId="55" xfId="113" applyNumberFormat="1" applyFont="1" applyFill="1" applyBorder="1" applyAlignment="1">
      <alignment horizontal="center" vertical="center" wrapText="1"/>
    </xf>
    <xf numFmtId="0" fontId="20" fillId="14" borderId="55" xfId="113" applyFont="1" applyFill="1" applyBorder="1" applyAlignment="1">
      <alignment horizontal="center" vertical="center" wrapText="1"/>
    </xf>
    <xf numFmtId="171" fontId="53" fillId="14" borderId="55" xfId="113" applyNumberFormat="1" applyFont="1" applyFill="1" applyBorder="1" applyAlignment="1">
      <alignment horizontal="center" vertical="center" wrapText="1"/>
    </xf>
    <xf numFmtId="171" fontId="20" fillId="14" borderId="55" xfId="113" applyNumberFormat="1" applyFont="1" applyFill="1" applyBorder="1" applyAlignment="1">
      <alignment horizontal="center" vertical="center"/>
    </xf>
    <xf numFmtId="0" fontId="43" fillId="2" borderId="55" xfId="113" applyFont="1" applyFill="1" applyBorder="1" applyAlignment="1">
      <alignment horizontal="center" vertical="center" wrapText="1"/>
    </xf>
    <xf numFmtId="0" fontId="43" fillId="2" borderId="55" xfId="113" applyFont="1" applyFill="1" applyBorder="1" applyAlignment="1">
      <alignment horizontal="center" vertical="center"/>
    </xf>
    <xf numFmtId="0" fontId="21" fillId="14" borderId="55" xfId="113" applyFont="1" applyFill="1" applyBorder="1" applyAlignment="1">
      <alignment horizontal="center" vertical="center" wrapText="1"/>
    </xf>
    <xf numFmtId="0" fontId="21" fillId="0" borderId="55" xfId="113" applyFont="1" applyFill="1" applyBorder="1" applyAlignment="1">
      <alignment vertical="center" wrapText="1"/>
    </xf>
    <xf numFmtId="0" fontId="21" fillId="0" borderId="0" xfId="113" applyFont="1" applyFill="1" applyBorder="1" applyAlignment="1">
      <alignment vertical="center" wrapText="1"/>
    </xf>
    <xf numFmtId="0" fontId="60" fillId="0" borderId="0" xfId="113" applyFont="1" applyAlignment="1">
      <alignment wrapText="1"/>
    </xf>
    <xf numFmtId="165" fontId="42" fillId="0" borderId="0" xfId="113" applyNumberFormat="1" applyFont="1" applyAlignment="1">
      <alignment wrapText="1"/>
    </xf>
    <xf numFmtId="165" fontId="42" fillId="14" borderId="52" xfId="113" applyNumberFormat="1" applyFont="1" applyFill="1" applyBorder="1"/>
    <xf numFmtId="165" fontId="42" fillId="14" borderId="53" xfId="113" applyNumberFormat="1" applyFont="1" applyFill="1" applyBorder="1"/>
    <xf numFmtId="165" fontId="42" fillId="14" borderId="54" xfId="113" applyNumberFormat="1" applyFont="1" applyFill="1" applyBorder="1"/>
    <xf numFmtId="165" fontId="42" fillId="6" borderId="55" xfId="113" applyNumberFormat="1" applyFont="1" applyFill="1" applyBorder="1"/>
    <xf numFmtId="165" fontId="42" fillId="14" borderId="55" xfId="113" applyNumberFormat="1" applyFont="1" applyFill="1" applyBorder="1"/>
    <xf numFmtId="165" fontId="57" fillId="6" borderId="55" xfId="113" applyNumberFormat="1" applyFont="1" applyFill="1" applyBorder="1"/>
    <xf numFmtId="165" fontId="42" fillId="6" borderId="52" xfId="113" applyNumberFormat="1" applyFont="1" applyFill="1" applyBorder="1"/>
    <xf numFmtId="165" fontId="42" fillId="6" borderId="53" xfId="113" applyNumberFormat="1" applyFont="1" applyFill="1" applyBorder="1"/>
    <xf numFmtId="165" fontId="42" fillId="6" borderId="54" xfId="113" applyNumberFormat="1" applyFont="1" applyFill="1" applyBorder="1"/>
    <xf numFmtId="0" fontId="43" fillId="11" borderId="55" xfId="113" applyFont="1" applyFill="1" applyBorder="1" applyAlignment="1">
      <alignment vertical="center" wrapText="1"/>
    </xf>
    <xf numFmtId="0" fontId="21" fillId="11" borderId="55" xfId="113" applyFont="1" applyFill="1" applyBorder="1" applyAlignment="1">
      <alignment horizontal="left" vertical="center" wrapText="1"/>
    </xf>
    <xf numFmtId="0" fontId="20" fillId="11" borderId="55" xfId="113" applyFont="1" applyFill="1" applyBorder="1" applyAlignment="1">
      <alignment horizontal="center" vertical="center" wrapText="1"/>
    </xf>
    <xf numFmtId="171" fontId="62" fillId="14" borderId="55" xfId="113" applyNumberFormat="1" applyFont="1" applyFill="1" applyBorder="1" applyAlignment="1">
      <alignment horizontal="center" vertical="center" wrapText="1"/>
    </xf>
    <xf numFmtId="171" fontId="63" fillId="14" borderId="55" xfId="113" applyNumberFormat="1" applyFont="1" applyFill="1" applyBorder="1" applyAlignment="1">
      <alignment horizontal="center" vertical="center"/>
    </xf>
    <xf numFmtId="0" fontId="42" fillId="11" borderId="0" xfId="113" applyFont="1" applyFill="1"/>
    <xf numFmtId="16" fontId="42" fillId="11" borderId="0" xfId="113" applyNumberFormat="1" applyFont="1" applyFill="1" applyAlignment="1">
      <alignment horizontal="center"/>
    </xf>
    <xf numFmtId="0" fontId="42" fillId="11" borderId="0" xfId="113" applyFont="1" applyFill="1" applyAlignment="1">
      <alignment vertical="center" wrapText="1"/>
    </xf>
    <xf numFmtId="0" fontId="42" fillId="7" borderId="0" xfId="113" applyFont="1" applyFill="1"/>
    <xf numFmtId="0" fontId="43" fillId="2" borderId="55" xfId="113" applyFont="1" applyFill="1" applyBorder="1" applyAlignment="1">
      <alignment vertical="center" wrapText="1"/>
    </xf>
    <xf numFmtId="0" fontId="21" fillId="0" borderId="55" xfId="113" applyFont="1" applyFill="1" applyBorder="1" applyAlignment="1">
      <alignment horizontal="center" vertical="center" wrapText="1"/>
    </xf>
    <xf numFmtId="0" fontId="60" fillId="0" borderId="0" xfId="113" applyFont="1" applyFill="1" applyAlignment="1">
      <alignment wrapText="1"/>
    </xf>
    <xf numFmtId="0" fontId="21" fillId="7" borderId="55" xfId="113" applyFont="1" applyFill="1" applyBorder="1" applyAlignment="1">
      <alignment horizontal="left" vertical="center" wrapText="1"/>
    </xf>
    <xf numFmtId="174" fontId="59" fillId="14" borderId="55" xfId="113" applyNumberFormat="1" applyFont="1" applyFill="1" applyBorder="1" applyAlignment="1">
      <alignment vertical="center" wrapText="1"/>
    </xf>
    <xf numFmtId="171" fontId="43" fillId="14" borderId="55" xfId="113" applyNumberFormat="1" applyFont="1" applyFill="1" applyBorder="1" applyAlignment="1">
      <alignment horizontal="center" vertical="center" wrapText="1"/>
    </xf>
    <xf numFmtId="0" fontId="42" fillId="11" borderId="0" xfId="113" applyFont="1" applyFill="1" applyAlignment="1">
      <alignment horizontal="center" vertical="center"/>
    </xf>
    <xf numFmtId="0" fontId="42" fillId="0" borderId="0" xfId="113" applyFont="1" applyAlignment="1">
      <alignment vertical="center"/>
    </xf>
    <xf numFmtId="0" fontId="47" fillId="11" borderId="0" xfId="113" applyFont="1" applyFill="1" applyAlignment="1">
      <alignment vertical="center"/>
    </xf>
    <xf numFmtId="0" fontId="43" fillId="2" borderId="0" xfId="113" applyFont="1" applyFill="1" applyBorder="1" applyAlignment="1">
      <alignment vertical="center" wrapText="1"/>
    </xf>
    <xf numFmtId="166" fontId="42" fillId="0" borderId="0" xfId="113" applyNumberFormat="1" applyFont="1"/>
    <xf numFmtId="4" fontId="42" fillId="0" borderId="0" xfId="113" applyNumberFormat="1" applyFont="1"/>
    <xf numFmtId="0" fontId="43" fillId="2" borderId="0" xfId="113" applyFont="1" applyFill="1" applyBorder="1" applyAlignment="1">
      <alignment horizontal="center" vertical="center" wrapText="1"/>
    </xf>
    <xf numFmtId="173" fontId="59" fillId="14" borderId="55" xfId="113" applyNumberFormat="1" applyFont="1" applyFill="1" applyBorder="1" applyAlignment="1">
      <alignment horizontal="center" vertical="center" wrapText="1"/>
    </xf>
    <xf numFmtId="0" fontId="63" fillId="14" borderId="55" xfId="113" applyFont="1" applyFill="1" applyBorder="1" applyAlignment="1">
      <alignment horizontal="center" vertical="center" wrapText="1"/>
    </xf>
    <xf numFmtId="0" fontId="21" fillId="0" borderId="0" xfId="113" applyFont="1" applyFill="1" applyBorder="1" applyAlignment="1">
      <alignment horizontal="center" vertical="center" wrapText="1"/>
    </xf>
    <xf numFmtId="0" fontId="51" fillId="2" borderId="0" xfId="113" applyFont="1" applyFill="1"/>
    <xf numFmtId="0" fontId="4" fillId="0" borderId="0" xfId="113" applyAlignment="1">
      <alignment wrapText="1"/>
    </xf>
    <xf numFmtId="171" fontId="4" fillId="0" borderId="0" xfId="113" applyNumberFormat="1" applyAlignment="1">
      <alignment wrapText="1"/>
    </xf>
    <xf numFmtId="0" fontId="4" fillId="0" borderId="55" xfId="113" applyBorder="1" applyAlignment="1">
      <alignment wrapText="1"/>
    </xf>
    <xf numFmtId="0" fontId="4" fillId="14" borderId="55" xfId="113" applyFill="1" applyBorder="1"/>
    <xf numFmtId="0" fontId="4" fillId="7" borderId="55" xfId="113" applyFill="1" applyBorder="1" applyAlignment="1">
      <alignment wrapText="1"/>
    </xf>
    <xf numFmtId="0" fontId="4" fillId="6" borderId="55" xfId="113" applyFill="1" applyBorder="1" applyAlignment="1">
      <alignment wrapText="1"/>
    </xf>
    <xf numFmtId="165" fontId="53" fillId="14" borderId="55" xfId="113" applyNumberFormat="1" applyFont="1" applyFill="1" applyBorder="1"/>
    <xf numFmtId="165" fontId="128" fillId="6" borderId="55" xfId="113" applyNumberFormat="1" applyFont="1" applyFill="1" applyBorder="1"/>
    <xf numFmtId="165" fontId="53" fillId="6" borderId="52" xfId="113" applyNumberFormat="1" applyFont="1" applyFill="1" applyBorder="1"/>
    <xf numFmtId="165" fontId="53" fillId="6" borderId="53" xfId="113" applyNumberFormat="1" applyFont="1" applyFill="1" applyBorder="1"/>
    <xf numFmtId="165" fontId="53" fillId="6" borderId="54" xfId="113" applyNumberFormat="1" applyFont="1" applyFill="1" applyBorder="1"/>
    <xf numFmtId="165" fontId="70" fillId="6" borderId="55" xfId="113" applyNumberFormat="1" applyFont="1" applyFill="1" applyBorder="1"/>
    <xf numFmtId="0" fontId="53" fillId="2" borderId="0" xfId="113" applyFont="1" applyFill="1"/>
    <xf numFmtId="0" fontId="21" fillId="14" borderId="39" xfId="13" applyFont="1" applyFill="1" applyBorder="1" applyAlignment="1">
      <alignment horizontal="left" vertical="center" wrapText="1"/>
    </xf>
    <xf numFmtId="0" fontId="51" fillId="7" borderId="39" xfId="13" applyFont="1" applyFill="1" applyBorder="1" applyAlignment="1">
      <alignment horizontal="center" vertical="center" wrapText="1"/>
    </xf>
    <xf numFmtId="0" fontId="51" fillId="0" borderId="39" xfId="13" applyFont="1" applyFill="1" applyBorder="1" applyAlignment="1">
      <alignment horizontal="center" vertical="center" wrapText="1"/>
    </xf>
    <xf numFmtId="173" fontId="119" fillId="14" borderId="39" xfId="13" applyNumberFormat="1" applyFont="1" applyFill="1" applyBorder="1" applyAlignment="1">
      <alignment horizontal="center" vertical="center" wrapText="1"/>
    </xf>
    <xf numFmtId="0" fontId="21" fillId="14" borderId="39" xfId="13" applyFont="1" applyFill="1" applyBorder="1" applyAlignment="1">
      <alignment horizontal="center" vertical="center" wrapText="1"/>
    </xf>
    <xf numFmtId="171" fontId="72" fillId="14" borderId="39" xfId="13" applyNumberFormat="1" applyFont="1" applyFill="1" applyBorder="1" applyAlignment="1">
      <alignment horizontal="center" vertical="center" wrapText="1"/>
    </xf>
    <xf numFmtId="171" fontId="21" fillId="14" borderId="39" xfId="13" applyNumberFormat="1" applyFont="1" applyFill="1" applyBorder="1" applyAlignment="1">
      <alignment horizontal="center" vertical="center"/>
    </xf>
    <xf numFmtId="166" fontId="17" fillId="0" borderId="39" xfId="13" applyNumberFormat="1" applyFont="1" applyFill="1" applyBorder="1" applyAlignment="1">
      <alignment horizontal="center" vertical="center" wrapText="1"/>
    </xf>
    <xf numFmtId="0" fontId="43" fillId="2" borderId="39" xfId="13" applyFont="1" applyFill="1" applyBorder="1" applyAlignment="1">
      <alignment horizontal="center" vertical="center"/>
    </xf>
    <xf numFmtId="0" fontId="21" fillId="0" borderId="39" xfId="13" applyFont="1" applyFill="1" applyBorder="1" applyAlignment="1">
      <alignment horizontal="center" vertical="center" wrapText="1"/>
    </xf>
    <xf numFmtId="2" fontId="20" fillId="14" borderId="55" xfId="113" applyNumberFormat="1" applyFont="1" applyFill="1" applyBorder="1" applyAlignment="1">
      <alignment horizontal="center" vertical="center" wrapText="1"/>
    </xf>
    <xf numFmtId="166" fontId="17" fillId="0" borderId="55" xfId="113" applyNumberFormat="1" applyFont="1" applyFill="1" applyBorder="1" applyAlignment="1">
      <alignment horizontal="center" vertical="center" wrapText="1"/>
    </xf>
    <xf numFmtId="0" fontId="42" fillId="11" borderId="0" xfId="113" applyFont="1" applyFill="1" applyAlignment="1">
      <alignment horizontal="center" wrapText="1"/>
    </xf>
    <xf numFmtId="0" fontId="43" fillId="2" borderId="39" xfId="13" applyFont="1" applyFill="1" applyBorder="1" applyAlignment="1">
      <alignment vertical="center" wrapText="1"/>
    </xf>
    <xf numFmtId="2" fontId="21" fillId="14" borderId="39" xfId="13" applyNumberFormat="1" applyFont="1" applyFill="1" applyBorder="1" applyAlignment="1">
      <alignment horizontal="center" vertical="center" wrapText="1"/>
    </xf>
    <xf numFmtId="171" fontId="43" fillId="14" borderId="39" xfId="13" applyNumberFormat="1" applyFont="1" applyFill="1" applyBorder="1" applyAlignment="1">
      <alignment horizontal="center" vertical="center" wrapText="1"/>
    </xf>
    <xf numFmtId="0" fontId="49" fillId="16" borderId="0" xfId="113" applyFont="1" applyFill="1" applyBorder="1" applyAlignment="1">
      <alignment horizontal="center" vertical="center" wrapText="1"/>
    </xf>
    <xf numFmtId="0" fontId="43" fillId="14" borderId="55" xfId="113" applyFont="1" applyFill="1" applyBorder="1" applyAlignment="1">
      <alignment horizontal="center" vertical="center" wrapText="1"/>
    </xf>
    <xf numFmtId="171" fontId="53" fillId="14" borderId="55" xfId="113" applyNumberFormat="1" applyFont="1" applyFill="1" applyBorder="1" applyAlignment="1">
      <alignment wrapText="1"/>
    </xf>
    <xf numFmtId="171" fontId="20" fillId="14" borderId="55" xfId="113" applyNumberFormat="1" applyFont="1" applyFill="1" applyBorder="1" applyAlignment="1">
      <alignment horizontal="center" vertical="center" wrapText="1"/>
    </xf>
    <xf numFmtId="0" fontId="43" fillId="0" borderId="55" xfId="113" applyFont="1" applyFill="1" applyBorder="1" applyAlignment="1">
      <alignment horizontal="center" vertical="center" wrapText="1"/>
    </xf>
    <xf numFmtId="171" fontId="72" fillId="14" borderId="55" xfId="113" applyNumberFormat="1" applyFont="1" applyFill="1" applyBorder="1" applyAlignment="1">
      <alignment horizontal="center" vertical="center" wrapText="1"/>
    </xf>
    <xf numFmtId="0" fontId="43" fillId="14" borderId="39" xfId="13" applyFont="1" applyFill="1" applyBorder="1" applyAlignment="1">
      <alignment horizontal="center" vertical="center" wrapText="1"/>
    </xf>
    <xf numFmtId="171" fontId="43" fillId="14" borderId="39" xfId="13" applyNumberFormat="1" applyFont="1" applyFill="1" applyBorder="1" applyAlignment="1">
      <alignment wrapText="1"/>
    </xf>
    <xf numFmtId="171" fontId="21" fillId="14" borderId="39" xfId="13" applyNumberFormat="1" applyFont="1" applyFill="1" applyBorder="1" applyAlignment="1">
      <alignment horizontal="center" vertical="center" wrapText="1"/>
    </xf>
    <xf numFmtId="0" fontId="43" fillId="0" borderId="39" xfId="13" applyFont="1" applyFill="1" applyBorder="1" applyAlignment="1">
      <alignment horizontal="center" vertical="center" wrapText="1"/>
    </xf>
    <xf numFmtId="171" fontId="43" fillId="14" borderId="55" xfId="113" applyNumberFormat="1" applyFont="1" applyFill="1" applyBorder="1" applyAlignment="1">
      <alignment wrapText="1"/>
    </xf>
    <xf numFmtId="0" fontId="43" fillId="0" borderId="38" xfId="113" applyFont="1" applyFill="1" applyBorder="1" applyAlignment="1">
      <alignment vertical="center" wrapText="1"/>
    </xf>
    <xf numFmtId="0" fontId="21" fillId="14" borderId="38" xfId="113" applyFont="1" applyFill="1" applyBorder="1" applyAlignment="1">
      <alignment horizontal="left" vertical="center" wrapText="1"/>
    </xf>
    <xf numFmtId="173" fontId="59" fillId="14" borderId="38" xfId="113" applyNumberFormat="1" applyFont="1" applyFill="1" applyBorder="1" applyAlignment="1">
      <alignment horizontal="center" vertical="center" wrapText="1"/>
    </xf>
    <xf numFmtId="0" fontId="43" fillId="14" borderId="38" xfId="113" applyFont="1" applyFill="1" applyBorder="1" applyAlignment="1">
      <alignment horizontal="center" vertical="center" wrapText="1"/>
    </xf>
    <xf numFmtId="171" fontId="43" fillId="14" borderId="38" xfId="113" applyNumberFormat="1" applyFont="1" applyFill="1" applyBorder="1" applyAlignment="1">
      <alignment horizontal="center" vertical="center" wrapText="1"/>
    </xf>
    <xf numFmtId="171" fontId="43" fillId="14" borderId="38" xfId="113" applyNumberFormat="1" applyFont="1" applyFill="1" applyBorder="1" applyAlignment="1">
      <alignment wrapText="1"/>
    </xf>
    <xf numFmtId="171" fontId="20" fillId="14" borderId="38" xfId="113" applyNumberFormat="1" applyFont="1" applyFill="1" applyBorder="1" applyAlignment="1">
      <alignment horizontal="center" vertical="center" wrapText="1"/>
    </xf>
    <xf numFmtId="0" fontId="43" fillId="0" borderId="38" xfId="113" applyFont="1" applyFill="1" applyBorder="1" applyAlignment="1">
      <alignment horizontal="center" vertical="center" wrapText="1"/>
    </xf>
    <xf numFmtId="0" fontId="43" fillId="2" borderId="38" xfId="113" applyFont="1" applyFill="1" applyBorder="1" applyAlignment="1">
      <alignment horizontal="center" vertical="center"/>
    </xf>
    <xf numFmtId="0" fontId="21" fillId="0" borderId="38" xfId="113" applyFont="1" applyFill="1" applyBorder="1" applyAlignment="1">
      <alignment horizontal="center" vertical="center" wrapText="1"/>
    </xf>
    <xf numFmtId="0" fontId="56" fillId="17" borderId="0" xfId="113" applyFont="1" applyFill="1" applyBorder="1" applyAlignment="1">
      <alignment wrapText="1"/>
    </xf>
    <xf numFmtId="2" fontId="20" fillId="14" borderId="38" xfId="113" applyNumberFormat="1" applyFont="1" applyFill="1" applyBorder="1" applyAlignment="1">
      <alignment horizontal="center" vertical="center" wrapText="1"/>
    </xf>
    <xf numFmtId="171" fontId="72" fillId="14" borderId="38" xfId="113" applyNumberFormat="1" applyFont="1" applyFill="1" applyBorder="1" applyAlignment="1">
      <alignment horizontal="center" vertical="center" wrapText="1"/>
    </xf>
    <xf numFmtId="171" fontId="20" fillId="14" borderId="38" xfId="113" applyNumberFormat="1" applyFont="1" applyFill="1" applyBorder="1" applyAlignment="1">
      <alignment horizontal="center" vertical="center"/>
    </xf>
    <xf numFmtId="166" fontId="17" fillId="0" borderId="38" xfId="113" applyNumberFormat="1" applyFont="1" applyFill="1" applyBorder="1" applyAlignment="1">
      <alignment horizontal="center" vertical="center" wrapText="1"/>
    </xf>
    <xf numFmtId="173" fontId="4" fillId="0" borderId="0" xfId="113" applyNumberFormat="1"/>
    <xf numFmtId="165" fontId="4" fillId="0" borderId="0" xfId="113" applyNumberFormat="1"/>
    <xf numFmtId="0" fontId="43" fillId="2" borderId="0" xfId="113" applyFont="1" applyFill="1" applyBorder="1"/>
    <xf numFmtId="171" fontId="4" fillId="0" borderId="0" xfId="113" applyNumberFormat="1"/>
    <xf numFmtId="165" fontId="42" fillId="0" borderId="43" xfId="113" applyNumberFormat="1" applyFont="1" applyBorder="1"/>
    <xf numFmtId="165" fontId="42" fillId="0" borderId="44" xfId="113" applyNumberFormat="1" applyFont="1" applyBorder="1"/>
    <xf numFmtId="165" fontId="42" fillId="0" borderId="45" xfId="113" applyNumberFormat="1" applyFont="1" applyBorder="1"/>
    <xf numFmtId="165" fontId="42" fillId="0" borderId="39" xfId="113" applyNumberFormat="1" applyFont="1" applyBorder="1"/>
    <xf numFmtId="165" fontId="42" fillId="14" borderId="39" xfId="113" applyNumberFormat="1" applyFont="1" applyFill="1" applyBorder="1"/>
    <xf numFmtId="165" fontId="57" fillId="6" borderId="39" xfId="113" applyNumberFormat="1" applyFont="1" applyFill="1" applyBorder="1"/>
    <xf numFmtId="165" fontId="42" fillId="6" borderId="43" xfId="113" applyNumberFormat="1" applyFont="1" applyFill="1" applyBorder="1"/>
    <xf numFmtId="165" fontId="42" fillId="6" borderId="44" xfId="113" applyNumberFormat="1" applyFont="1" applyFill="1" applyBorder="1"/>
    <xf numFmtId="165" fontId="42" fillId="6" borderId="45" xfId="113" applyNumberFormat="1" applyFont="1" applyFill="1" applyBorder="1"/>
    <xf numFmtId="165" fontId="42" fillId="6" borderId="39" xfId="113" applyNumberFormat="1" applyFont="1" applyFill="1" applyBorder="1"/>
    <xf numFmtId="165" fontId="42" fillId="6" borderId="30" xfId="113" applyNumberFormat="1" applyFont="1" applyFill="1" applyBorder="1"/>
    <xf numFmtId="165" fontId="57" fillId="18" borderId="55" xfId="113" applyNumberFormat="1" applyFont="1" applyFill="1" applyBorder="1"/>
    <xf numFmtId="165" fontId="128" fillId="18" borderId="55" xfId="113" applyNumberFormat="1" applyFont="1" applyFill="1" applyBorder="1"/>
    <xf numFmtId="0" fontId="43" fillId="14" borderId="38" xfId="113" applyFont="1" applyFill="1" applyBorder="1" applyAlignment="1">
      <alignment vertical="center" wrapText="1"/>
    </xf>
    <xf numFmtId="178" fontId="4" fillId="14" borderId="38" xfId="113" applyNumberFormat="1" applyFont="1" applyFill="1" applyBorder="1"/>
    <xf numFmtId="0" fontId="42" fillId="14" borderId="38" xfId="113" applyFont="1" applyFill="1" applyBorder="1"/>
    <xf numFmtId="0" fontId="4" fillId="0" borderId="38" xfId="113" applyBorder="1"/>
    <xf numFmtId="0" fontId="51" fillId="14" borderId="38" xfId="113" applyFont="1" applyFill="1" applyBorder="1" applyAlignment="1">
      <alignment horizontal="center" vertical="center" wrapText="1"/>
    </xf>
    <xf numFmtId="0" fontId="51" fillId="2" borderId="38" xfId="113" applyFont="1" applyFill="1" applyBorder="1" applyAlignment="1">
      <alignment horizontal="center" vertical="center"/>
    </xf>
    <xf numFmtId="0" fontId="6" fillId="0" borderId="38" xfId="113" applyFont="1" applyFill="1" applyBorder="1" applyAlignment="1">
      <alignment horizontal="center" vertical="center" wrapText="1"/>
    </xf>
    <xf numFmtId="0" fontId="75" fillId="2" borderId="38" xfId="113" applyFont="1" applyFill="1" applyBorder="1" applyAlignment="1">
      <alignment horizontal="center" vertical="center"/>
    </xf>
    <xf numFmtId="0" fontId="51" fillId="14" borderId="38" xfId="113" applyFont="1" applyFill="1" applyBorder="1" applyAlignment="1">
      <alignment wrapText="1"/>
    </xf>
    <xf numFmtId="0" fontId="4" fillId="7" borderId="38" xfId="113" applyFill="1" applyBorder="1" applyAlignment="1">
      <alignment wrapText="1"/>
    </xf>
    <xf numFmtId="0" fontId="4" fillId="14" borderId="38" xfId="113" applyFill="1" applyBorder="1"/>
    <xf numFmtId="0" fontId="4" fillId="14" borderId="38" xfId="113" applyFill="1" applyBorder="1" applyAlignment="1">
      <alignment wrapText="1"/>
    </xf>
    <xf numFmtId="0" fontId="60" fillId="6" borderId="38" xfId="113" applyFont="1" applyFill="1" applyBorder="1" applyAlignment="1">
      <alignment wrapText="1"/>
    </xf>
    <xf numFmtId="0" fontId="53" fillId="2" borderId="38" xfId="113" applyFont="1" applyFill="1" applyBorder="1"/>
    <xf numFmtId="0" fontId="53" fillId="2" borderId="38" xfId="113" applyFont="1" applyFill="1" applyBorder="1" applyAlignment="1">
      <alignment horizontal="center"/>
    </xf>
    <xf numFmtId="0" fontId="43" fillId="14" borderId="55" xfId="113" applyFont="1" applyFill="1" applyBorder="1" applyAlignment="1">
      <alignment vertical="center" wrapText="1"/>
    </xf>
    <xf numFmtId="178" fontId="4" fillId="14" borderId="55" xfId="113" applyNumberFormat="1" applyFont="1" applyFill="1" applyBorder="1"/>
    <xf numFmtId="0" fontId="4" fillId="0" borderId="55" xfId="113" applyBorder="1"/>
    <xf numFmtId="0" fontId="4" fillId="14" borderId="55" xfId="113" applyFill="1" applyBorder="1" applyAlignment="1">
      <alignment vertical="center" wrapText="1"/>
    </xf>
    <xf numFmtId="0" fontId="4" fillId="7" borderId="55" xfId="113" applyFill="1" applyBorder="1" applyAlignment="1">
      <alignment vertical="center" wrapText="1"/>
    </xf>
    <xf numFmtId="0" fontId="60" fillId="6" borderId="55" xfId="113" applyFont="1" applyFill="1" applyBorder="1" applyAlignment="1">
      <alignment vertical="center" wrapText="1"/>
    </xf>
    <xf numFmtId="0" fontId="58" fillId="14" borderId="38" xfId="113" applyFont="1" applyFill="1" applyBorder="1" applyAlignment="1">
      <alignment horizontal="center" vertical="center" wrapText="1"/>
    </xf>
    <xf numFmtId="0" fontId="51" fillId="2" borderId="38" xfId="113" applyFont="1" applyFill="1" applyBorder="1" applyAlignment="1">
      <alignment vertical="center" wrapText="1"/>
    </xf>
    <xf numFmtId="0" fontId="51" fillId="2" borderId="38" xfId="113" applyFont="1" applyFill="1" applyBorder="1" applyAlignment="1">
      <alignment horizontal="left" wrapText="1"/>
    </xf>
    <xf numFmtId="1" fontId="51" fillId="2" borderId="38" xfId="113" applyNumberFormat="1" applyFont="1" applyFill="1" applyBorder="1" applyAlignment="1">
      <alignment horizontal="center" vertical="center"/>
    </xf>
    <xf numFmtId="171" fontId="51" fillId="0" borderId="38" xfId="113" applyNumberFormat="1" applyFont="1" applyFill="1" applyBorder="1" applyAlignment="1">
      <alignment horizontal="center" vertical="center"/>
    </xf>
    <xf numFmtId="179" fontId="51" fillId="2" borderId="38" xfId="113" applyNumberFormat="1" applyFont="1" applyFill="1" applyBorder="1" applyAlignment="1">
      <alignment horizontal="center" vertical="center"/>
    </xf>
    <xf numFmtId="0" fontId="51" fillId="2" borderId="38" xfId="113" applyFont="1" applyFill="1" applyBorder="1" applyAlignment="1">
      <alignment horizontal="center" vertical="center" wrapText="1"/>
    </xf>
    <xf numFmtId="0" fontId="4" fillId="0" borderId="0" xfId="113" applyAlignment="1">
      <alignment vertical="center"/>
    </xf>
    <xf numFmtId="0" fontId="4" fillId="7" borderId="0" xfId="113" applyFill="1" applyAlignment="1">
      <alignment vertical="center" wrapText="1"/>
    </xf>
    <xf numFmtId="0" fontId="4" fillId="0" borderId="0" xfId="113" applyAlignment="1">
      <alignment vertical="center" wrapText="1"/>
    </xf>
    <xf numFmtId="0" fontId="60" fillId="0" borderId="0" xfId="113" applyFont="1" applyAlignment="1">
      <alignment vertical="center" wrapText="1"/>
    </xf>
    <xf numFmtId="0" fontId="49" fillId="18" borderId="0" xfId="113" applyFont="1" applyFill="1" applyBorder="1" applyAlignment="1">
      <alignment horizontal="center" vertical="center" wrapText="1"/>
    </xf>
    <xf numFmtId="0" fontId="43" fillId="0" borderId="0" xfId="113" applyFont="1" applyFill="1" applyBorder="1" applyAlignment="1">
      <alignment horizontal="center" vertical="center" wrapText="1"/>
    </xf>
    <xf numFmtId="0" fontId="4" fillId="14" borderId="55" xfId="113" applyFill="1" applyBorder="1" applyAlignment="1">
      <alignment wrapText="1"/>
    </xf>
    <xf numFmtId="0" fontId="60" fillId="6" borderId="55" xfId="113" applyFont="1" applyFill="1" applyBorder="1" applyAlignment="1">
      <alignment wrapText="1"/>
    </xf>
    <xf numFmtId="0" fontId="42" fillId="14" borderId="0" xfId="113" applyFont="1" applyFill="1"/>
    <xf numFmtId="171" fontId="42" fillId="11" borderId="0" xfId="113" applyNumberFormat="1" applyFont="1" applyFill="1"/>
    <xf numFmtId="0" fontId="76" fillId="14" borderId="55" xfId="113" applyFont="1" applyFill="1" applyBorder="1" applyAlignment="1">
      <alignment horizontal="left" vertical="center" wrapText="1"/>
    </xf>
    <xf numFmtId="0" fontId="42" fillId="14" borderId="0" xfId="113" applyFont="1" applyFill="1" applyAlignment="1">
      <alignment horizontal="center"/>
    </xf>
    <xf numFmtId="0" fontId="76" fillId="14" borderId="38" xfId="113" applyFont="1" applyFill="1" applyBorder="1" applyAlignment="1">
      <alignment horizontal="left" vertical="center" wrapText="1"/>
    </xf>
    <xf numFmtId="171" fontId="53" fillId="14" borderId="38" xfId="113" applyNumberFormat="1" applyFont="1" applyFill="1" applyBorder="1" applyAlignment="1">
      <alignment horizontal="center" vertical="center" wrapText="1"/>
    </xf>
    <xf numFmtId="0" fontId="42" fillId="0" borderId="0" xfId="113" applyFont="1" applyFill="1"/>
    <xf numFmtId="0" fontId="43" fillId="2" borderId="38" xfId="113" applyFont="1" applyFill="1" applyBorder="1" applyAlignment="1">
      <alignment vertical="center" wrapText="1"/>
    </xf>
    <xf numFmtId="171" fontId="53" fillId="14" borderId="38" xfId="113" applyNumberFormat="1" applyFont="1" applyFill="1" applyBorder="1" applyAlignment="1">
      <alignment wrapText="1"/>
    </xf>
    <xf numFmtId="0" fontId="4" fillId="0" borderId="0" xfId="113" applyBorder="1"/>
    <xf numFmtId="165" fontId="42" fillId="0" borderId="40" xfId="113" applyNumberFormat="1" applyFont="1" applyBorder="1"/>
    <xf numFmtId="165" fontId="42" fillId="0" borderId="41" xfId="113" applyNumberFormat="1" applyFont="1" applyBorder="1"/>
    <xf numFmtId="165" fontId="42" fillId="0" borderId="42" xfId="113" applyNumberFormat="1" applyFont="1" applyBorder="1"/>
    <xf numFmtId="165" fontId="42" fillId="0" borderId="38" xfId="113" applyNumberFormat="1" applyFont="1" applyBorder="1"/>
    <xf numFmtId="165" fontId="42" fillId="14" borderId="38" xfId="113" applyNumberFormat="1" applyFont="1" applyFill="1" applyBorder="1"/>
    <xf numFmtId="165" fontId="57" fillId="18" borderId="38" xfId="113" applyNumberFormat="1" applyFont="1" applyFill="1" applyBorder="1"/>
    <xf numFmtId="165" fontId="42" fillId="6" borderId="40" xfId="113" applyNumberFormat="1" applyFont="1" applyFill="1" applyBorder="1"/>
    <xf numFmtId="165" fontId="42" fillId="6" borderId="41" xfId="113" applyNumberFormat="1" applyFont="1" applyFill="1" applyBorder="1"/>
    <xf numFmtId="165" fontId="42" fillId="6" borderId="42" xfId="113" applyNumberFormat="1" applyFont="1" applyFill="1" applyBorder="1"/>
    <xf numFmtId="165" fontId="42" fillId="6" borderId="38" xfId="113" applyNumberFormat="1" applyFont="1" applyFill="1" applyBorder="1"/>
    <xf numFmtId="167" fontId="4" fillId="0" borderId="0" xfId="113" applyNumberFormat="1"/>
    <xf numFmtId="171" fontId="42" fillId="0" borderId="0" xfId="113" applyNumberFormat="1" applyFont="1" applyAlignment="1">
      <alignment horizontal="center"/>
    </xf>
    <xf numFmtId="177" fontId="4" fillId="0" borderId="0" xfId="113" applyNumberFormat="1"/>
    <xf numFmtId="43" fontId="4" fillId="0" borderId="0" xfId="15" applyNumberFormat="1"/>
    <xf numFmtId="165" fontId="57" fillId="6" borderId="55" xfId="15" applyNumberFormat="1" applyFont="1" applyFill="1" applyBorder="1"/>
    <xf numFmtId="0" fontId="21" fillId="0" borderId="39" xfId="15" applyFont="1" applyFill="1" applyBorder="1" applyAlignment="1">
      <alignment horizontal="center" vertical="center" wrapText="1"/>
    </xf>
    <xf numFmtId="0" fontId="4" fillId="14" borderId="0" xfId="15" applyFont="1" applyFill="1" applyAlignment="1">
      <alignment horizontal="center" wrapText="1"/>
    </xf>
    <xf numFmtId="0" fontId="4" fillId="14" borderId="0" xfId="15" applyFont="1" applyFill="1" applyAlignment="1">
      <alignment wrapText="1"/>
    </xf>
    <xf numFmtId="173" fontId="52" fillId="17" borderId="33" xfId="15" applyNumberFormat="1" applyFont="1" applyFill="1" applyBorder="1" applyAlignment="1">
      <alignment wrapText="1"/>
    </xf>
    <xf numFmtId="0" fontId="48" fillId="17" borderId="33" xfId="15" applyFont="1" applyFill="1" applyBorder="1" applyAlignment="1">
      <alignment wrapText="1"/>
    </xf>
    <xf numFmtId="0" fontId="20" fillId="14" borderId="4" xfId="15" applyFont="1" applyFill="1" applyBorder="1" applyAlignment="1">
      <alignment horizontal="center" vertical="center" wrapText="1"/>
    </xf>
    <xf numFmtId="173" fontId="59" fillId="14" borderId="4" xfId="15" applyNumberFormat="1" applyFont="1" applyFill="1" applyBorder="1" applyAlignment="1">
      <alignment horizontal="center" vertical="center" wrapText="1"/>
    </xf>
    <xf numFmtId="173" fontId="71" fillId="17" borderId="33" xfId="15" applyNumberFormat="1" applyFont="1" applyFill="1" applyBorder="1" applyAlignment="1">
      <alignment wrapText="1"/>
    </xf>
    <xf numFmtId="0" fontId="43" fillId="0" borderId="37" xfId="15" applyFont="1" applyFill="1" applyBorder="1" applyAlignment="1">
      <alignment horizontal="center" vertical="center" wrapText="1"/>
    </xf>
    <xf numFmtId="2" fontId="20" fillId="14" borderId="4" xfId="15" applyNumberFormat="1" applyFont="1" applyFill="1" applyBorder="1" applyAlignment="1">
      <alignment horizontal="center" vertical="center" wrapText="1"/>
    </xf>
    <xf numFmtId="171" fontId="43" fillId="14" borderId="39" xfId="15" applyNumberFormat="1" applyFont="1" applyFill="1" applyBorder="1" applyAlignment="1">
      <alignment horizontal="center" vertical="center" wrapText="1"/>
    </xf>
    <xf numFmtId="0" fontId="19" fillId="23" borderId="38" xfId="15" applyFont="1" applyFill="1" applyBorder="1" applyAlignment="1">
      <alignment horizontal="left" vertical="center" wrapText="1"/>
    </xf>
    <xf numFmtId="171" fontId="43" fillId="14" borderId="37" xfId="15" applyNumberFormat="1" applyFont="1" applyFill="1" applyBorder="1" applyAlignment="1">
      <alignment wrapText="1"/>
    </xf>
    <xf numFmtId="171" fontId="21" fillId="11" borderId="55" xfId="13" applyNumberFormat="1" applyFont="1" applyFill="1" applyBorder="1" applyAlignment="1">
      <alignment horizontal="center" vertical="center"/>
    </xf>
    <xf numFmtId="0" fontId="75" fillId="0" borderId="0" xfId="105" applyFont="1"/>
    <xf numFmtId="0" fontId="12" fillId="0" borderId="0" xfId="105" applyFont="1"/>
    <xf numFmtId="0" fontId="12" fillId="0" borderId="0" xfId="105" applyFont="1" applyAlignment="1">
      <alignment wrapText="1"/>
    </xf>
    <xf numFmtId="195" fontId="4" fillId="0" borderId="0" xfId="15" applyNumberFormat="1"/>
    <xf numFmtId="166" fontId="131" fillId="2" borderId="0" xfId="15" applyNumberFormat="1" applyFont="1" applyFill="1" applyBorder="1" applyAlignment="1">
      <alignment horizontal="center" vertical="center" wrapText="1"/>
    </xf>
    <xf numFmtId="174" fontId="4" fillId="0" borderId="0" xfId="15" applyNumberFormat="1" applyBorder="1"/>
    <xf numFmtId="166" fontId="17" fillId="2" borderId="0" xfId="15" applyNumberFormat="1" applyFont="1" applyFill="1" applyBorder="1" applyAlignment="1">
      <alignment horizontal="center" vertical="center" wrapText="1"/>
    </xf>
    <xf numFmtId="174" fontId="17" fillId="2" borderId="0" xfId="15" applyNumberFormat="1" applyFont="1" applyFill="1" applyBorder="1" applyAlignment="1">
      <alignment horizontal="center" vertical="center" wrapText="1"/>
    </xf>
    <xf numFmtId="0" fontId="43" fillId="2" borderId="81" xfId="113" applyFont="1" applyFill="1" applyBorder="1" applyAlignment="1">
      <alignment horizontal="center" vertical="center" wrapText="1"/>
    </xf>
    <xf numFmtId="165" fontId="4" fillId="0" borderId="81" xfId="113" applyNumberFormat="1" applyFont="1" applyBorder="1" applyAlignment="1">
      <alignment horizontal="center"/>
    </xf>
    <xf numFmtId="0" fontId="43" fillId="2" borderId="81" xfId="113" applyFont="1" applyFill="1" applyBorder="1" applyAlignment="1">
      <alignment horizontal="center" wrapText="1"/>
    </xf>
    <xf numFmtId="0" fontId="44" fillId="2" borderId="81" xfId="113" applyFont="1" applyFill="1" applyBorder="1" applyAlignment="1">
      <alignment horizontal="center" wrapText="1"/>
    </xf>
    <xf numFmtId="0" fontId="43" fillId="2" borderId="81" xfId="113" applyFont="1" applyFill="1" applyBorder="1" applyAlignment="1">
      <alignment horizontal="center" vertical="center"/>
    </xf>
    <xf numFmtId="0" fontId="43" fillId="2" borderId="80" xfId="113" applyFont="1" applyFill="1" applyBorder="1" applyAlignment="1">
      <alignment horizontal="center" vertical="center"/>
    </xf>
    <xf numFmtId="0" fontId="48" fillId="16" borderId="82" xfId="113" applyFont="1" applyFill="1" applyBorder="1" applyAlignment="1">
      <alignment wrapText="1"/>
    </xf>
    <xf numFmtId="165" fontId="42" fillId="0" borderId="87" xfId="113" applyNumberFormat="1" applyFont="1" applyBorder="1"/>
    <xf numFmtId="165" fontId="42" fillId="0" borderId="88" xfId="113" applyNumberFormat="1" applyFont="1" applyBorder="1"/>
    <xf numFmtId="165" fontId="42" fillId="0" borderId="89" xfId="113" applyNumberFormat="1" applyFont="1" applyBorder="1"/>
    <xf numFmtId="0" fontId="48" fillId="7" borderId="82" xfId="113" applyFont="1" applyFill="1" applyBorder="1" applyAlignment="1">
      <alignment wrapText="1"/>
    </xf>
    <xf numFmtId="0" fontId="50" fillId="7" borderId="82" xfId="113" applyFont="1" applyFill="1" applyBorder="1" applyAlignment="1">
      <alignment wrapText="1"/>
    </xf>
    <xf numFmtId="0" fontId="50" fillId="7" borderId="86" xfId="113" applyFont="1" applyFill="1" applyBorder="1" applyAlignment="1">
      <alignment wrapText="1"/>
    </xf>
    <xf numFmtId="173" fontId="50" fillId="7" borderId="86" xfId="113" applyNumberFormat="1" applyFont="1" applyFill="1" applyBorder="1" applyAlignment="1">
      <alignment wrapText="1"/>
    </xf>
    <xf numFmtId="165" fontId="50" fillId="7" borderId="86" xfId="113" applyNumberFormat="1" applyFont="1" applyFill="1" applyBorder="1" applyAlignment="1">
      <alignment wrapText="1"/>
    </xf>
    <xf numFmtId="0" fontId="50" fillId="7" borderId="83" xfId="113" applyFont="1" applyFill="1" applyBorder="1" applyAlignment="1">
      <alignment wrapText="1"/>
    </xf>
    <xf numFmtId="0" fontId="48" fillId="2" borderId="81" xfId="15" applyFont="1" applyFill="1" applyBorder="1" applyAlignment="1">
      <alignment wrapText="1"/>
    </xf>
    <xf numFmtId="0" fontId="52" fillId="17" borderId="81" xfId="15" applyFont="1" applyFill="1" applyBorder="1" applyAlignment="1">
      <alignment horizontal="left" wrapText="1" indent="1"/>
    </xf>
    <xf numFmtId="0" fontId="52" fillId="17" borderId="81" xfId="15" applyFont="1" applyFill="1" applyBorder="1" applyAlignment="1">
      <alignment horizontal="left" wrapText="1" indent="2"/>
    </xf>
    <xf numFmtId="190" fontId="52" fillId="17" borderId="81" xfId="15" applyNumberFormat="1" applyFont="1" applyFill="1" applyBorder="1" applyAlignment="1">
      <alignment wrapText="1"/>
    </xf>
    <xf numFmtId="175" fontId="52" fillId="17" borderId="81" xfId="15" applyNumberFormat="1" applyFont="1" applyFill="1" applyBorder="1" applyAlignment="1">
      <alignment wrapText="1"/>
    </xf>
    <xf numFmtId="0" fontId="48" fillId="17" borderId="81" xfId="15" applyFont="1" applyFill="1" applyBorder="1" applyAlignment="1">
      <alignment wrapText="1"/>
    </xf>
    <xf numFmtId="0" fontId="18" fillId="2" borderId="89" xfId="15" applyFont="1" applyFill="1" applyBorder="1" applyAlignment="1">
      <alignment wrapText="1"/>
    </xf>
    <xf numFmtId="0" fontId="118" fillId="17" borderId="89" xfId="15" applyFont="1" applyFill="1" applyBorder="1" applyAlignment="1">
      <alignment horizontal="left" wrapText="1" indent="2"/>
    </xf>
    <xf numFmtId="190" fontId="113" fillId="17" borderId="89" xfId="15" applyNumberFormat="1" applyFont="1" applyFill="1" applyBorder="1" applyAlignment="1">
      <alignment wrapText="1"/>
    </xf>
    <xf numFmtId="175" fontId="113" fillId="17" borderId="89" xfId="15" applyNumberFormat="1" applyFont="1" applyFill="1" applyBorder="1" applyAlignment="1">
      <alignment wrapText="1"/>
    </xf>
    <xf numFmtId="0" fontId="18" fillId="17" borderId="89" xfId="15" applyFont="1" applyFill="1" applyBorder="1" applyAlignment="1">
      <alignment wrapText="1"/>
    </xf>
    <xf numFmtId="0" fontId="43" fillId="26" borderId="55" xfId="113" applyFont="1" applyFill="1" applyBorder="1" applyAlignment="1">
      <alignment vertical="center" wrapText="1"/>
    </xf>
    <xf numFmtId="174" fontId="64" fillId="26" borderId="55" xfId="113" applyNumberFormat="1" applyFont="1" applyFill="1" applyBorder="1" applyAlignment="1">
      <alignment horizontal="center" vertical="center" wrapText="1"/>
    </xf>
    <xf numFmtId="0" fontId="46" fillId="26" borderId="55" xfId="113" applyFont="1" applyFill="1" applyBorder="1" applyAlignment="1">
      <alignment horizontal="center" vertical="center" wrapText="1"/>
    </xf>
    <xf numFmtId="171" fontId="53" fillId="26" borderId="55" xfId="113" applyNumberFormat="1" applyFont="1" applyFill="1" applyBorder="1" applyAlignment="1">
      <alignment horizontal="center" vertical="center" wrapText="1"/>
    </xf>
    <xf numFmtId="171" fontId="46" fillId="26" borderId="55" xfId="113" applyNumberFormat="1" applyFont="1" applyFill="1" applyBorder="1" applyAlignment="1">
      <alignment horizontal="center" vertical="center"/>
    </xf>
    <xf numFmtId="171" fontId="46" fillId="14" borderId="55" xfId="113" applyNumberFormat="1" applyFont="1" applyFill="1" applyBorder="1" applyAlignment="1">
      <alignment horizontal="center" vertical="center"/>
    </xf>
    <xf numFmtId="0" fontId="20" fillId="26" borderId="55" xfId="113" applyFont="1" applyFill="1" applyBorder="1" applyAlignment="1">
      <alignment horizontal="center" vertical="center" wrapText="1"/>
    </xf>
    <xf numFmtId="171" fontId="20" fillId="26" borderId="55" xfId="113" applyNumberFormat="1" applyFont="1" applyFill="1" applyBorder="1" applyAlignment="1">
      <alignment horizontal="center" vertical="center"/>
    </xf>
    <xf numFmtId="171" fontId="43" fillId="0" borderId="8" xfId="15" applyNumberFormat="1" applyFont="1" applyFill="1" applyBorder="1" applyAlignment="1">
      <alignment horizontal="center" vertical="center" wrapText="1"/>
    </xf>
    <xf numFmtId="178" fontId="17" fillId="6" borderId="81" xfId="15" applyNumberFormat="1" applyFont="1" applyFill="1" applyBorder="1" applyAlignment="1">
      <alignment horizontal="center" vertical="center" wrapText="1"/>
    </xf>
    <xf numFmtId="0" fontId="50" fillId="6" borderId="81" xfId="113" applyFont="1" applyFill="1" applyBorder="1" applyAlignment="1">
      <alignment horizontal="right" wrapText="1"/>
    </xf>
    <xf numFmtId="173" fontId="64" fillId="6" borderId="81" xfId="63" applyNumberFormat="1" applyFont="1" applyFill="1" applyBorder="1" applyAlignment="1">
      <alignment horizontal="center" vertical="center" wrapText="1"/>
    </xf>
    <xf numFmtId="165" fontId="64" fillId="6" borderId="81" xfId="63" applyNumberFormat="1" applyFont="1" applyFill="1" applyBorder="1" applyAlignment="1">
      <alignment horizontal="center" vertical="center" wrapText="1"/>
    </xf>
    <xf numFmtId="0" fontId="43" fillId="2" borderId="81" xfId="113" applyFont="1" applyFill="1" applyBorder="1" applyAlignment="1">
      <alignment vertical="center" wrapText="1"/>
    </xf>
    <xf numFmtId="0" fontId="43" fillId="0" borderId="81" xfId="113" applyFont="1" applyFill="1" applyBorder="1" applyAlignment="1">
      <alignment vertical="center" wrapText="1"/>
    </xf>
    <xf numFmtId="171" fontId="26" fillId="2" borderId="82" xfId="113" applyNumberFormat="1" applyFont="1" applyFill="1" applyBorder="1" applyAlignment="1">
      <alignment horizontal="right" vertical="center" wrapText="1"/>
    </xf>
    <xf numFmtId="171" fontId="26" fillId="2" borderId="86" xfId="113" applyNumberFormat="1" applyFont="1" applyFill="1" applyBorder="1" applyAlignment="1">
      <alignment horizontal="right" vertical="center" wrapText="1"/>
    </xf>
    <xf numFmtId="173" fontId="66" fillId="0" borderId="86" xfId="113" applyNumberFormat="1" applyFont="1" applyFill="1" applyBorder="1" applyAlignment="1">
      <alignment vertical="center" wrapText="1"/>
    </xf>
    <xf numFmtId="165" fontId="66" fillId="11" borderId="86" xfId="113" applyNumberFormat="1" applyFont="1" applyFill="1" applyBorder="1" applyAlignment="1">
      <alignment vertical="center" wrapText="1"/>
    </xf>
    <xf numFmtId="165" fontId="66" fillId="0" borderId="86" xfId="113" applyNumberFormat="1" applyFont="1" applyFill="1" applyBorder="1" applyAlignment="1">
      <alignment vertical="center" wrapText="1"/>
    </xf>
    <xf numFmtId="0" fontId="43" fillId="2" borderId="86" xfId="113" applyFont="1" applyFill="1" applyBorder="1" applyAlignment="1">
      <alignment horizontal="center" vertical="center" wrapText="1"/>
    </xf>
    <xf numFmtId="0" fontId="43" fillId="2" borderId="86" xfId="113" applyFont="1" applyFill="1" applyBorder="1" applyAlignment="1">
      <alignment horizontal="center" vertical="center"/>
    </xf>
    <xf numFmtId="0" fontId="43" fillId="2" borderId="83" xfId="113" applyFont="1" applyFill="1" applyBorder="1" applyAlignment="1">
      <alignment horizontal="center" vertical="center" wrapText="1"/>
    </xf>
    <xf numFmtId="0" fontId="67" fillId="2" borderId="81" xfId="113" applyFont="1" applyFill="1" applyBorder="1" applyAlignment="1">
      <alignment vertical="top" wrapText="1"/>
    </xf>
    <xf numFmtId="0" fontId="68" fillId="6" borderId="81" xfId="113" applyFont="1" applyFill="1" applyBorder="1" applyAlignment="1">
      <alignment horizontal="right" wrapText="1"/>
    </xf>
    <xf numFmtId="173" fontId="69" fillId="2" borderId="81" xfId="113" applyNumberFormat="1" applyFont="1" applyFill="1" applyBorder="1" applyAlignment="1">
      <alignment horizontal="center" wrapText="1"/>
    </xf>
    <xf numFmtId="165" fontId="69" fillId="2" borderId="81" xfId="113" applyNumberFormat="1" applyFont="1" applyFill="1" applyBorder="1" applyAlignment="1">
      <alignment horizontal="center" wrapText="1"/>
    </xf>
    <xf numFmtId="166" fontId="51" fillId="2" borderId="81" xfId="113" applyNumberFormat="1" applyFont="1" applyFill="1" applyBorder="1" applyAlignment="1">
      <alignment horizontal="center" vertical="center"/>
    </xf>
    <xf numFmtId="0" fontId="51" fillId="2" borderId="81" xfId="113" applyFont="1" applyFill="1" applyBorder="1"/>
    <xf numFmtId="166" fontId="53" fillId="2" borderId="86" xfId="113" applyNumberFormat="1" applyFont="1" applyFill="1" applyBorder="1" applyAlignment="1">
      <alignment horizontal="center" vertical="center"/>
    </xf>
    <xf numFmtId="0" fontId="53" fillId="2" borderId="86" xfId="113" applyFont="1" applyFill="1" applyBorder="1" applyAlignment="1">
      <alignment horizontal="center" wrapText="1"/>
    </xf>
    <xf numFmtId="192" fontId="52" fillId="17" borderId="81" xfId="15" applyNumberFormat="1" applyFont="1" applyFill="1" applyBorder="1" applyAlignment="1">
      <alignment wrapText="1"/>
    </xf>
    <xf numFmtId="192" fontId="113" fillId="17" borderId="89" xfId="15" applyNumberFormat="1" applyFont="1" applyFill="1" applyBorder="1" applyAlignment="1">
      <alignment wrapText="1"/>
    </xf>
    <xf numFmtId="190" fontId="113" fillId="11" borderId="89" xfId="15" applyNumberFormat="1" applyFont="1" applyFill="1" applyBorder="1" applyAlignment="1">
      <alignment wrapText="1"/>
    </xf>
    <xf numFmtId="175" fontId="113" fillId="11" borderId="89" xfId="15" applyNumberFormat="1" applyFont="1" applyFill="1" applyBorder="1" applyAlignment="1">
      <alignment wrapText="1"/>
    </xf>
    <xf numFmtId="0" fontId="43" fillId="17" borderId="89" xfId="113" applyFont="1" applyFill="1" applyBorder="1" applyAlignment="1">
      <alignment wrapText="1"/>
    </xf>
    <xf numFmtId="0" fontId="52" fillId="17" borderId="89" xfId="15" applyFont="1" applyFill="1" applyBorder="1" applyAlignment="1">
      <alignment horizontal="left" wrapText="1" indent="1"/>
    </xf>
    <xf numFmtId="0" fontId="56" fillId="17" borderId="80" xfId="113" applyFont="1" applyFill="1" applyBorder="1" applyAlignment="1">
      <alignment horizontal="left" wrapText="1" indent="6"/>
    </xf>
    <xf numFmtId="173" fontId="56" fillId="17" borderId="89" xfId="63" applyNumberFormat="1" applyFont="1" applyFill="1" applyBorder="1" applyAlignment="1">
      <alignment horizontal="center" wrapText="1"/>
    </xf>
    <xf numFmtId="165" fontId="56" fillId="17" borderId="89" xfId="63" applyNumberFormat="1" applyFont="1" applyFill="1" applyBorder="1" applyAlignment="1">
      <alignment horizontal="center" wrapText="1"/>
    </xf>
    <xf numFmtId="0" fontId="56" fillId="17" borderId="89" xfId="113" applyFont="1" applyFill="1" applyBorder="1" applyAlignment="1">
      <alignment horizontal="center" wrapText="1"/>
    </xf>
    <xf numFmtId="0" fontId="56" fillId="17" borderId="89" xfId="113" applyFont="1" applyFill="1" applyBorder="1" applyAlignment="1">
      <alignment wrapText="1"/>
    </xf>
    <xf numFmtId="0" fontId="43" fillId="11" borderId="81" xfId="113" applyFont="1" applyFill="1" applyBorder="1" applyAlignment="1">
      <alignment wrapText="1"/>
    </xf>
    <xf numFmtId="0" fontId="44" fillId="11" borderId="81" xfId="113" applyFont="1" applyFill="1" applyBorder="1" applyAlignment="1">
      <alignment horizontal="right" wrapText="1"/>
    </xf>
    <xf numFmtId="173" fontId="43" fillId="11" borderId="81" xfId="63" applyNumberFormat="1" applyFont="1" applyFill="1" applyBorder="1" applyAlignment="1">
      <alignment wrapText="1"/>
    </xf>
    <xf numFmtId="165" fontId="43" fillId="11" borderId="81" xfId="63" applyNumberFormat="1" applyFont="1" applyFill="1" applyBorder="1" applyAlignment="1">
      <alignment wrapText="1"/>
    </xf>
    <xf numFmtId="176" fontId="43" fillId="11" borderId="81" xfId="113" applyNumberFormat="1" applyFont="1" applyFill="1" applyBorder="1" applyAlignment="1">
      <alignment wrapText="1"/>
    </xf>
    <xf numFmtId="0" fontId="43" fillId="11" borderId="81" xfId="113" applyFont="1" applyFill="1" applyBorder="1" applyAlignment="1">
      <alignment horizontal="center"/>
    </xf>
    <xf numFmtId="0" fontId="43" fillId="11" borderId="81" xfId="113" applyFont="1" applyFill="1" applyBorder="1"/>
    <xf numFmtId="0" fontId="43" fillId="2" borderId="81" xfId="113" applyFont="1" applyFill="1" applyBorder="1"/>
    <xf numFmtId="0" fontId="73" fillId="16" borderId="82" xfId="113" applyFont="1" applyFill="1" applyBorder="1" applyAlignment="1">
      <alignment wrapText="1"/>
    </xf>
    <xf numFmtId="165" fontId="42" fillId="14" borderId="89" xfId="113" applyNumberFormat="1" applyFont="1" applyFill="1" applyBorder="1"/>
    <xf numFmtId="165" fontId="57" fillId="18" borderId="89" xfId="113" applyNumberFormat="1" applyFont="1" applyFill="1" applyBorder="1"/>
    <xf numFmtId="165" fontId="42" fillId="6" borderId="87" xfId="113" applyNumberFormat="1" applyFont="1" applyFill="1" applyBorder="1"/>
    <xf numFmtId="165" fontId="42" fillId="6" borderId="88" xfId="113" applyNumberFormat="1" applyFont="1" applyFill="1" applyBorder="1"/>
    <xf numFmtId="165" fontId="42" fillId="6" borderId="89" xfId="113" applyNumberFormat="1" applyFont="1" applyFill="1" applyBorder="1"/>
    <xf numFmtId="0" fontId="49" fillId="18" borderId="82" xfId="113" applyFont="1" applyFill="1" applyBorder="1" applyAlignment="1">
      <alignment vertical="center" wrapText="1"/>
    </xf>
    <xf numFmtId="0" fontId="49" fillId="18" borderId="86" xfId="113" applyFont="1" applyFill="1" applyBorder="1" applyAlignment="1">
      <alignment vertical="center" wrapText="1"/>
    </xf>
    <xf numFmtId="177" fontId="49" fillId="18" borderId="86" xfId="113" applyNumberFormat="1" applyFont="1" applyFill="1" applyBorder="1" applyAlignment="1">
      <alignment vertical="center" wrapText="1"/>
    </xf>
    <xf numFmtId="165" fontId="49" fillId="18" borderId="86" xfId="113" applyNumberFormat="1" applyFont="1" applyFill="1" applyBorder="1" applyAlignment="1">
      <alignment vertical="center" wrapText="1"/>
    </xf>
    <xf numFmtId="0" fontId="49" fillId="18" borderId="83" xfId="113" applyFont="1" applyFill="1" applyBorder="1" applyAlignment="1">
      <alignment vertical="center" wrapText="1"/>
    </xf>
    <xf numFmtId="0" fontId="51" fillId="2" borderId="81" xfId="113" applyFont="1" applyFill="1" applyBorder="1" applyAlignment="1">
      <alignment vertical="top" wrapText="1"/>
    </xf>
    <xf numFmtId="0" fontId="50" fillId="17" borderId="89" xfId="113" applyFont="1" applyFill="1" applyBorder="1" applyAlignment="1">
      <alignment horizontal="left" wrapText="1" indent="2"/>
    </xf>
    <xf numFmtId="0" fontId="50" fillId="17" borderId="80" xfId="113" applyFont="1" applyFill="1" applyBorder="1" applyAlignment="1">
      <alignment horizontal="left" wrapText="1" indent="2"/>
    </xf>
    <xf numFmtId="177" fontId="52" fillId="17" borderId="81" xfId="113" applyNumberFormat="1" applyFont="1" applyFill="1" applyBorder="1" applyAlignment="1">
      <alignment wrapText="1"/>
    </xf>
    <xf numFmtId="165" fontId="52" fillId="17" borderId="81" xfId="113" applyNumberFormat="1" applyFont="1" applyFill="1" applyBorder="1" applyAlignment="1">
      <alignment wrapText="1"/>
    </xf>
    <xf numFmtId="0" fontId="50" fillId="17" borderId="81" xfId="113" applyFont="1" applyFill="1" applyBorder="1" applyAlignment="1">
      <alignment wrapText="1"/>
    </xf>
    <xf numFmtId="0" fontId="69" fillId="17" borderId="81" xfId="113" applyFont="1" applyFill="1" applyBorder="1" applyAlignment="1">
      <alignment wrapText="1"/>
    </xf>
    <xf numFmtId="0" fontId="129" fillId="17" borderId="81" xfId="113" applyFont="1" applyFill="1" applyBorder="1" applyAlignment="1">
      <alignment horizontal="center" wrapText="1"/>
    </xf>
    <xf numFmtId="0" fontId="130" fillId="17" borderId="86" xfId="113" applyFont="1" applyFill="1" applyBorder="1" applyAlignment="1">
      <alignment horizontal="center" wrapText="1"/>
    </xf>
    <xf numFmtId="0" fontId="51" fillId="2" borderId="89" xfId="113" applyFont="1" applyFill="1" applyBorder="1" applyAlignment="1">
      <alignment vertical="top" wrapText="1"/>
    </xf>
    <xf numFmtId="0" fontId="71" fillId="17" borderId="89" xfId="113" applyFont="1" applyFill="1" applyBorder="1" applyAlignment="1">
      <alignment horizontal="left" wrapText="1" indent="4"/>
    </xf>
    <xf numFmtId="177" fontId="71" fillId="17" borderId="89" xfId="113" applyNumberFormat="1" applyFont="1" applyFill="1" applyBorder="1" applyAlignment="1">
      <alignment wrapText="1"/>
    </xf>
    <xf numFmtId="165" fontId="71" fillId="17" borderId="89" xfId="113" applyNumberFormat="1" applyFont="1" applyFill="1" applyBorder="1" applyAlignment="1">
      <alignment wrapText="1"/>
    </xf>
    <xf numFmtId="0" fontId="50" fillId="17" borderId="89" xfId="113" applyFont="1" applyFill="1" applyBorder="1" applyAlignment="1">
      <alignment wrapText="1"/>
    </xf>
    <xf numFmtId="0" fontId="69" fillId="17" borderId="89" xfId="113" applyFont="1" applyFill="1" applyBorder="1" applyAlignment="1">
      <alignment wrapText="1"/>
    </xf>
    <xf numFmtId="0" fontId="4" fillId="14" borderId="89" xfId="113" applyFill="1" applyBorder="1" applyAlignment="1">
      <alignment vertical="center"/>
    </xf>
    <xf numFmtId="0" fontId="4" fillId="7" borderId="89" xfId="113" applyFill="1" applyBorder="1" applyAlignment="1">
      <alignment vertical="center" wrapText="1"/>
    </xf>
    <xf numFmtId="0" fontId="4" fillId="14" borderId="89" xfId="113" applyFill="1" applyBorder="1" applyAlignment="1">
      <alignment vertical="center" wrapText="1"/>
    </xf>
    <xf numFmtId="0" fontId="60" fillId="6" borderId="89" xfId="113" applyFont="1" applyFill="1" applyBorder="1" applyAlignment="1">
      <alignment vertical="center" wrapText="1"/>
    </xf>
    <xf numFmtId="0" fontId="129" fillId="17" borderId="86" xfId="113" applyFont="1" applyFill="1" applyBorder="1" applyAlignment="1">
      <alignment horizontal="center" wrapText="1"/>
    </xf>
    <xf numFmtId="0" fontId="50" fillId="17" borderId="86" xfId="113" applyFont="1" applyFill="1" applyBorder="1" applyAlignment="1">
      <alignment wrapText="1"/>
    </xf>
    <xf numFmtId="178" fontId="17" fillId="6" borderId="81" xfId="113" applyNumberFormat="1" applyFont="1" applyFill="1" applyBorder="1" applyAlignment="1">
      <alignment horizontal="center" vertical="center" wrapText="1"/>
    </xf>
    <xf numFmtId="177" fontId="69" fillId="6" borderId="81" xfId="113" applyNumberFormat="1" applyFont="1" applyFill="1" applyBorder="1" applyAlignment="1">
      <alignment horizontal="center" wrapText="1"/>
    </xf>
    <xf numFmtId="165" fontId="69" fillId="6" borderId="81" xfId="113" applyNumberFormat="1" applyFont="1" applyFill="1" applyBorder="1" applyAlignment="1">
      <alignment horizontal="center" wrapText="1"/>
    </xf>
    <xf numFmtId="0" fontId="4" fillId="0" borderId="81" xfId="113" applyBorder="1"/>
    <xf numFmtId="0" fontId="43" fillId="14" borderId="89" xfId="113" applyFont="1" applyFill="1" applyBorder="1" applyAlignment="1">
      <alignment vertical="center" wrapText="1"/>
    </xf>
    <xf numFmtId="0" fontId="4" fillId="7" borderId="89" xfId="113" applyFill="1" applyBorder="1" applyAlignment="1">
      <alignment wrapText="1"/>
    </xf>
    <xf numFmtId="0" fontId="4" fillId="14" borderId="89" xfId="113" applyFill="1" applyBorder="1"/>
    <xf numFmtId="0" fontId="4" fillId="14" borderId="89" xfId="113" applyFill="1" applyBorder="1" applyAlignment="1">
      <alignment wrapText="1"/>
    </xf>
    <xf numFmtId="0" fontId="60" fillId="6" borderId="89" xfId="113" applyFont="1" applyFill="1" applyBorder="1" applyAlignment="1">
      <alignment wrapText="1"/>
    </xf>
    <xf numFmtId="0" fontId="21" fillId="14" borderId="89" xfId="113" applyFont="1" applyFill="1" applyBorder="1" applyAlignment="1">
      <alignment horizontal="left" vertical="center" wrapText="1"/>
    </xf>
    <xf numFmtId="0" fontId="76" fillId="14" borderId="89" xfId="113" applyFont="1" applyFill="1" applyBorder="1" applyAlignment="1">
      <alignment horizontal="left" vertical="center" wrapText="1"/>
    </xf>
    <xf numFmtId="178" fontId="4" fillId="14" borderId="89" xfId="113" applyNumberFormat="1" applyFont="1" applyFill="1" applyBorder="1"/>
    <xf numFmtId="171" fontId="43" fillId="14" borderId="89" xfId="113" applyNumberFormat="1" applyFont="1" applyFill="1" applyBorder="1" applyAlignment="1">
      <alignment horizontal="center" vertical="center" wrapText="1"/>
    </xf>
    <xf numFmtId="0" fontId="42" fillId="14" borderId="89" xfId="113" applyFont="1" applyFill="1" applyBorder="1"/>
    <xf numFmtId="171" fontId="20" fillId="14" borderId="89" xfId="113" applyNumberFormat="1" applyFont="1" applyFill="1" applyBorder="1" applyAlignment="1">
      <alignment horizontal="center" vertical="center" wrapText="1"/>
    </xf>
    <xf numFmtId="165" fontId="42" fillId="0" borderId="81" xfId="113" applyNumberFormat="1" applyFont="1" applyBorder="1"/>
    <xf numFmtId="165" fontId="65" fillId="0" borderId="81" xfId="113" applyNumberFormat="1" applyFont="1" applyBorder="1"/>
    <xf numFmtId="0" fontId="43" fillId="2" borderId="81" xfId="13" applyFont="1" applyFill="1" applyBorder="1" applyAlignment="1">
      <alignment horizontal="center" vertical="center" wrapText="1"/>
    </xf>
    <xf numFmtId="0" fontId="61" fillId="7" borderId="80" xfId="113" applyFont="1" applyFill="1" applyBorder="1" applyAlignment="1">
      <alignment horizontal="center" vertical="center" wrapText="1"/>
    </xf>
    <xf numFmtId="0" fontId="4" fillId="0" borderId="81" xfId="13" applyBorder="1" applyAlignment="1">
      <alignment horizontal="center" vertical="center" wrapText="1"/>
    </xf>
    <xf numFmtId="0" fontId="43" fillId="2" borderId="81" xfId="13" applyFont="1" applyFill="1" applyBorder="1" applyAlignment="1">
      <alignment vertical="center" wrapText="1"/>
    </xf>
    <xf numFmtId="0" fontId="4" fillId="0" borderId="81" xfId="13" applyBorder="1" applyAlignment="1">
      <alignment horizontal="center"/>
    </xf>
    <xf numFmtId="0" fontId="4" fillId="7" borderId="81" xfId="13" applyFill="1" applyBorder="1" applyAlignment="1">
      <alignment horizontal="center" vertical="center"/>
    </xf>
    <xf numFmtId="0" fontId="43" fillId="2" borderId="81" xfId="13" applyFont="1" applyFill="1" applyBorder="1" applyAlignment="1">
      <alignment horizontal="center" wrapText="1"/>
    </xf>
    <xf numFmtId="0" fontId="44" fillId="2" borderId="81" xfId="13" applyFont="1" applyFill="1" applyBorder="1" applyAlignment="1">
      <alignment horizontal="center" wrapText="1"/>
    </xf>
    <xf numFmtId="0" fontId="43" fillId="2" borderId="81" xfId="13" applyFont="1" applyFill="1" applyBorder="1" applyAlignment="1">
      <alignment horizontal="center" vertical="center"/>
    </xf>
    <xf numFmtId="0" fontId="43" fillId="2" borderId="80" xfId="13" applyFont="1" applyFill="1" applyBorder="1" applyAlignment="1">
      <alignment horizontal="center" vertical="center"/>
    </xf>
    <xf numFmtId="0" fontId="48" fillId="16" borderId="82" xfId="13" applyFont="1" applyFill="1" applyBorder="1" applyAlignment="1">
      <alignment wrapText="1"/>
    </xf>
    <xf numFmtId="0" fontId="4" fillId="0" borderId="87" xfId="13" applyBorder="1"/>
    <xf numFmtId="0" fontId="4" fillId="0" borderId="88" xfId="13" applyBorder="1"/>
    <xf numFmtId="0" fontId="4" fillId="0" borderId="89" xfId="13" applyBorder="1"/>
    <xf numFmtId="0" fontId="48" fillId="7" borderId="82" xfId="13" applyFont="1" applyFill="1" applyBorder="1" applyAlignment="1">
      <alignment wrapText="1"/>
    </xf>
    <xf numFmtId="0" fontId="50" fillId="7" borderId="82" xfId="13" applyFont="1" applyFill="1" applyBorder="1" applyAlignment="1">
      <alignment wrapText="1"/>
    </xf>
    <xf numFmtId="0" fontId="50" fillId="7" borderId="86" xfId="13" applyFont="1" applyFill="1" applyBorder="1" applyAlignment="1">
      <alignment wrapText="1"/>
    </xf>
    <xf numFmtId="173" fontId="50" fillId="7" borderId="86" xfId="13" applyNumberFormat="1" applyFont="1" applyFill="1" applyBorder="1" applyAlignment="1">
      <alignment wrapText="1"/>
    </xf>
    <xf numFmtId="165" fontId="50" fillId="7" borderId="86" xfId="13" applyNumberFormat="1" applyFont="1" applyFill="1" applyBorder="1" applyAlignment="1">
      <alignment wrapText="1"/>
    </xf>
    <xf numFmtId="0" fontId="50" fillId="7" borderId="83" xfId="13" applyFont="1" applyFill="1" applyBorder="1" applyAlignment="1">
      <alignment wrapText="1"/>
    </xf>
    <xf numFmtId="0" fontId="21" fillId="14" borderId="81" xfId="13" applyFont="1" applyFill="1" applyBorder="1" applyAlignment="1">
      <alignment vertical="center" wrapText="1"/>
    </xf>
    <xf numFmtId="0" fontId="50" fillId="6" borderId="81" xfId="15" applyFont="1" applyFill="1" applyBorder="1" applyAlignment="1">
      <alignment horizontal="right" wrapText="1"/>
    </xf>
    <xf numFmtId="190" fontId="17" fillId="6" borderId="81" xfId="15" applyNumberFormat="1" applyFont="1" applyFill="1" applyBorder="1" applyAlignment="1">
      <alignment horizontal="center" vertical="center" wrapText="1"/>
    </xf>
    <xf numFmtId="175" fontId="17" fillId="6" borderId="81" xfId="15" applyNumberFormat="1" applyFont="1" applyFill="1" applyBorder="1" applyAlignment="1">
      <alignment horizontal="center" vertical="center" wrapText="1"/>
    </xf>
    <xf numFmtId="0" fontId="43" fillId="2" borderId="81" xfId="15" applyFont="1" applyFill="1" applyBorder="1" applyAlignment="1">
      <alignment horizontal="center" vertical="center" wrapText="1"/>
    </xf>
    <xf numFmtId="0" fontId="43" fillId="2" borderId="81" xfId="15" applyFont="1" applyFill="1" applyBorder="1" applyAlignment="1">
      <alignment horizontal="center" vertical="center"/>
    </xf>
    <xf numFmtId="0" fontId="43" fillId="0" borderId="81" xfId="13" applyFont="1" applyFill="1" applyBorder="1" applyAlignment="1">
      <alignment vertical="center" wrapText="1"/>
    </xf>
    <xf numFmtId="171" fontId="26" fillId="2" borderId="82" xfId="13" applyNumberFormat="1" applyFont="1" applyFill="1" applyBorder="1" applyAlignment="1">
      <alignment horizontal="right" vertical="center" wrapText="1"/>
    </xf>
    <xf numFmtId="171" fontId="26" fillId="2" borderId="86" xfId="13" applyNumberFormat="1" applyFont="1" applyFill="1" applyBorder="1" applyAlignment="1">
      <alignment horizontal="right" vertical="center" wrapText="1"/>
    </xf>
    <xf numFmtId="173" fontId="66" fillId="0" borderId="86" xfId="13" applyNumberFormat="1" applyFont="1" applyFill="1" applyBorder="1" applyAlignment="1">
      <alignment vertical="center" wrapText="1"/>
    </xf>
    <xf numFmtId="165" fontId="66" fillId="0" borderId="86" xfId="13" applyNumberFormat="1" applyFont="1" applyFill="1" applyBorder="1" applyAlignment="1">
      <alignment vertical="center" wrapText="1"/>
    </xf>
    <xf numFmtId="0" fontId="43" fillId="2" borderId="86" xfId="13" applyFont="1" applyFill="1" applyBorder="1" applyAlignment="1">
      <alignment horizontal="center" vertical="center" wrapText="1"/>
    </xf>
    <xf numFmtId="0" fontId="43" fillId="2" borderId="86" xfId="13" applyFont="1" applyFill="1" applyBorder="1" applyAlignment="1">
      <alignment horizontal="center" vertical="center"/>
    </xf>
    <xf numFmtId="0" fontId="43" fillId="2" borderId="83" xfId="13" applyFont="1" applyFill="1" applyBorder="1" applyAlignment="1">
      <alignment horizontal="center" vertical="center" wrapText="1"/>
    </xf>
    <xf numFmtId="0" fontId="67" fillId="2" borderId="81" xfId="13" applyFont="1" applyFill="1" applyBorder="1" applyAlignment="1">
      <alignment vertical="top" wrapText="1"/>
    </xf>
    <xf numFmtId="0" fontId="68" fillId="6" borderId="81" xfId="13" applyFont="1" applyFill="1" applyBorder="1" applyAlignment="1">
      <alignment horizontal="right" wrapText="1"/>
    </xf>
    <xf numFmtId="173" fontId="69" fillId="2" borderId="81" xfId="13" applyNumberFormat="1" applyFont="1" applyFill="1" applyBorder="1" applyAlignment="1">
      <alignment horizontal="center" wrapText="1"/>
    </xf>
    <xf numFmtId="165" fontId="69" fillId="2" borderId="81" xfId="13" applyNumberFormat="1" applyFont="1" applyFill="1" applyBorder="1" applyAlignment="1">
      <alignment horizontal="center" wrapText="1"/>
    </xf>
    <xf numFmtId="166" fontId="51" fillId="2" borderId="81" xfId="13" applyNumberFormat="1" applyFont="1" applyFill="1" applyBorder="1" applyAlignment="1">
      <alignment horizontal="center" vertical="center"/>
    </xf>
    <xf numFmtId="0" fontId="51" fillId="2" borderId="81" xfId="13" applyFont="1" applyFill="1" applyBorder="1"/>
    <xf numFmtId="166" fontId="51" fillId="2" borderId="86" xfId="13" applyNumberFormat="1" applyFont="1" applyFill="1" applyBorder="1" applyAlignment="1">
      <alignment horizontal="center" vertical="center"/>
    </xf>
    <xf numFmtId="0" fontId="51" fillId="2" borderId="86" xfId="13" applyFont="1" applyFill="1" applyBorder="1" applyAlignment="1">
      <alignment wrapText="1"/>
    </xf>
    <xf numFmtId="166" fontId="17" fillId="2" borderId="81" xfId="15" applyNumberFormat="1" applyFont="1" applyFill="1" applyBorder="1" applyAlignment="1">
      <alignment horizontal="center" vertical="center" wrapText="1"/>
    </xf>
    <xf numFmtId="0" fontId="50" fillId="6" borderId="81" xfId="13" applyFont="1" applyFill="1" applyBorder="1" applyAlignment="1">
      <alignment horizontal="right" wrapText="1"/>
    </xf>
    <xf numFmtId="173" fontId="64" fillId="6" borderId="81" xfId="119" applyNumberFormat="1" applyFont="1" applyFill="1" applyBorder="1" applyAlignment="1">
      <alignment horizontal="center" vertical="center" wrapText="1"/>
    </xf>
    <xf numFmtId="165" fontId="64" fillId="6" borderId="81" xfId="119" applyNumberFormat="1" applyFont="1" applyFill="1" applyBorder="1" applyAlignment="1">
      <alignment horizontal="center" vertical="center" wrapText="1"/>
    </xf>
    <xf numFmtId="4" fontId="47" fillId="6" borderId="81" xfId="13" applyNumberFormat="1" applyFont="1" applyFill="1" applyBorder="1"/>
    <xf numFmtId="0" fontId="43" fillId="17" borderId="89" xfId="13" applyFont="1" applyFill="1" applyBorder="1" applyAlignment="1">
      <alignment wrapText="1"/>
    </xf>
    <xf numFmtId="0" fontId="56" fillId="17" borderId="89" xfId="13" applyFont="1" applyFill="1" applyBorder="1" applyAlignment="1">
      <alignment horizontal="left" wrapText="1" indent="6"/>
    </xf>
    <xf numFmtId="173" fontId="52" fillId="17" borderId="89" xfId="13" applyNumberFormat="1" applyFont="1" applyFill="1" applyBorder="1" applyAlignment="1">
      <alignment wrapText="1"/>
    </xf>
    <xf numFmtId="165" fontId="52" fillId="17" borderId="89" xfId="13" applyNumberFormat="1" applyFont="1" applyFill="1" applyBorder="1" applyAlignment="1">
      <alignment wrapText="1"/>
    </xf>
    <xf numFmtId="0" fontId="56" fillId="17" borderId="89" xfId="13" applyFont="1" applyFill="1" applyBorder="1" applyAlignment="1">
      <alignment horizontal="center" wrapText="1"/>
    </xf>
    <xf numFmtId="0" fontId="56" fillId="17" borderId="89" xfId="13" applyFont="1" applyFill="1" applyBorder="1" applyAlignment="1">
      <alignment wrapText="1"/>
    </xf>
    <xf numFmtId="0" fontId="43" fillId="11" borderId="81" xfId="13" applyFont="1" applyFill="1" applyBorder="1" applyAlignment="1">
      <alignment wrapText="1"/>
    </xf>
    <xf numFmtId="0" fontId="44" fillId="11" borderId="81" xfId="13" applyFont="1" applyFill="1" applyBorder="1" applyAlignment="1">
      <alignment horizontal="right" wrapText="1"/>
    </xf>
    <xf numFmtId="173" fontId="43" fillId="11" borderId="81" xfId="119" applyNumberFormat="1" applyFont="1" applyFill="1" applyBorder="1" applyAlignment="1">
      <alignment wrapText="1"/>
    </xf>
    <xf numFmtId="165" fontId="43" fillId="11" borderId="81" xfId="119" applyNumberFormat="1" applyFont="1" applyFill="1" applyBorder="1" applyAlignment="1">
      <alignment wrapText="1"/>
    </xf>
    <xf numFmtId="176" fontId="43" fillId="11" borderId="81" xfId="13" applyNumberFormat="1" applyFont="1" applyFill="1" applyBorder="1" applyAlignment="1">
      <alignment wrapText="1"/>
    </xf>
    <xf numFmtId="0" fontId="43" fillId="11" borderId="81" xfId="13" applyFont="1" applyFill="1" applyBorder="1" applyAlignment="1">
      <alignment horizontal="center"/>
    </xf>
    <xf numFmtId="0" fontId="43" fillId="11" borderId="81" xfId="13" applyFont="1" applyFill="1" applyBorder="1"/>
    <xf numFmtId="0" fontId="43" fillId="2" borderId="81" xfId="13" applyFont="1" applyFill="1" applyBorder="1"/>
    <xf numFmtId="0" fontId="73" fillId="16" borderId="82" xfId="13" applyFont="1" applyFill="1" applyBorder="1" applyAlignment="1">
      <alignment wrapText="1"/>
    </xf>
    <xf numFmtId="171" fontId="4" fillId="0" borderId="87" xfId="13" applyNumberFormat="1" applyBorder="1"/>
    <xf numFmtId="171" fontId="4" fillId="0" borderId="88" xfId="13" applyNumberFormat="1" applyBorder="1"/>
    <xf numFmtId="171" fontId="4" fillId="0" borderId="89" xfId="13" applyNumberFormat="1" applyBorder="1"/>
    <xf numFmtId="171" fontId="4" fillId="5" borderId="89" xfId="13" applyNumberFormat="1" applyFill="1" applyBorder="1"/>
    <xf numFmtId="171" fontId="4" fillId="6" borderId="87" xfId="13" applyNumberFormat="1" applyFill="1" applyBorder="1"/>
    <xf numFmtId="171" fontId="4" fillId="6" borderId="88" xfId="13" applyNumberFormat="1" applyFill="1" applyBorder="1"/>
    <xf numFmtId="171" fontId="4" fillId="6" borderId="89" xfId="13" applyNumberFormat="1" applyFill="1" applyBorder="1"/>
    <xf numFmtId="0" fontId="4" fillId="0" borderId="81" xfId="13" applyBorder="1"/>
    <xf numFmtId="0" fontId="49" fillId="18" borderId="82" xfId="13" applyFont="1" applyFill="1" applyBorder="1" applyAlignment="1">
      <alignment vertical="center" wrapText="1"/>
    </xf>
    <xf numFmtId="0" fontId="49" fillId="18" borderId="86" xfId="13" applyFont="1" applyFill="1" applyBorder="1" applyAlignment="1">
      <alignment vertical="center" wrapText="1"/>
    </xf>
    <xf numFmtId="177" fontId="49" fillId="18" borderId="86" xfId="13" applyNumberFormat="1" applyFont="1" applyFill="1" applyBorder="1" applyAlignment="1">
      <alignment vertical="center" wrapText="1"/>
    </xf>
    <xf numFmtId="165" fontId="49" fillId="18" borderId="86" xfId="13" applyNumberFormat="1" applyFont="1" applyFill="1" applyBorder="1" applyAlignment="1">
      <alignment vertical="center" wrapText="1"/>
    </xf>
    <xf numFmtId="0" fontId="49" fillId="18" borderId="83" xfId="13" applyFont="1" applyFill="1" applyBorder="1" applyAlignment="1">
      <alignment vertical="center" wrapText="1"/>
    </xf>
    <xf numFmtId="0" fontId="51" fillId="2" borderId="81" xfId="13" applyFont="1" applyFill="1" applyBorder="1" applyAlignment="1">
      <alignment vertical="top" wrapText="1"/>
    </xf>
    <xf numFmtId="0" fontId="50" fillId="17" borderId="89" xfId="13" applyFont="1" applyFill="1" applyBorder="1" applyAlignment="1">
      <alignment horizontal="left" wrapText="1" indent="2"/>
    </xf>
    <xf numFmtId="0" fontId="50" fillId="17" borderId="80" xfId="13" applyFont="1" applyFill="1" applyBorder="1" applyAlignment="1">
      <alignment horizontal="left" wrapText="1" indent="2"/>
    </xf>
    <xf numFmtId="177" fontId="52" fillId="17" borderId="81" xfId="13" applyNumberFormat="1" applyFont="1" applyFill="1" applyBorder="1" applyAlignment="1">
      <alignment wrapText="1"/>
    </xf>
    <xf numFmtId="165" fontId="52" fillId="17" borderId="81" xfId="13" applyNumberFormat="1" applyFont="1" applyFill="1" applyBorder="1" applyAlignment="1">
      <alignment wrapText="1"/>
    </xf>
    <xf numFmtId="0" fontId="50" fillId="17" borderId="81" xfId="13" applyFont="1" applyFill="1" applyBorder="1" applyAlignment="1">
      <alignment wrapText="1"/>
    </xf>
    <xf numFmtId="0" fontId="69" fillId="17" borderId="81" xfId="13" applyFont="1" applyFill="1" applyBorder="1" applyAlignment="1">
      <alignment wrapText="1"/>
    </xf>
    <xf numFmtId="0" fontId="50" fillId="17" borderId="81" xfId="13" applyFont="1" applyFill="1" applyBorder="1" applyAlignment="1">
      <alignment horizontal="center" wrapText="1"/>
    </xf>
    <xf numFmtId="0" fontId="69" fillId="17" borderId="86" xfId="13" applyFont="1" applyFill="1" applyBorder="1" applyAlignment="1">
      <alignment wrapText="1"/>
    </xf>
    <xf numFmtId="0" fontId="51" fillId="2" borderId="89" xfId="13" applyFont="1" applyFill="1" applyBorder="1" applyAlignment="1">
      <alignment vertical="top" wrapText="1"/>
    </xf>
    <xf numFmtId="0" fontId="71" fillId="17" borderId="89" xfId="13" applyFont="1" applyFill="1" applyBorder="1" applyAlignment="1">
      <alignment horizontal="left" wrapText="1" indent="4"/>
    </xf>
    <xf numFmtId="177" fontId="71" fillId="17" borderId="89" xfId="13" applyNumberFormat="1" applyFont="1" applyFill="1" applyBorder="1" applyAlignment="1">
      <alignment wrapText="1"/>
    </xf>
    <xf numFmtId="165" fontId="71" fillId="17" borderId="89" xfId="13" applyNumberFormat="1" applyFont="1" applyFill="1" applyBorder="1" applyAlignment="1">
      <alignment wrapText="1"/>
    </xf>
    <xf numFmtId="0" fontId="50" fillId="17" borderId="89" xfId="13" applyFont="1" applyFill="1" applyBorder="1" applyAlignment="1">
      <alignment wrapText="1"/>
    </xf>
    <xf numFmtId="0" fontId="69" fillId="17" borderId="89" xfId="13" applyFont="1" applyFill="1" applyBorder="1" applyAlignment="1">
      <alignment wrapText="1"/>
    </xf>
    <xf numFmtId="0" fontId="4" fillId="14" borderId="89" xfId="13" applyFill="1" applyBorder="1" applyAlignment="1">
      <alignment vertical="center"/>
    </xf>
    <xf numFmtId="0" fontId="4" fillId="7" borderId="89" xfId="13" applyFill="1" applyBorder="1" applyAlignment="1">
      <alignment vertical="center" wrapText="1"/>
    </xf>
    <xf numFmtId="0" fontId="4" fillId="14" borderId="89" xfId="13" applyFill="1" applyBorder="1" applyAlignment="1">
      <alignment vertical="center" wrapText="1"/>
    </xf>
    <xf numFmtId="0" fontId="4" fillId="6" borderId="89" xfId="13" applyFill="1" applyBorder="1" applyAlignment="1">
      <alignment vertical="center" wrapText="1"/>
    </xf>
    <xf numFmtId="0" fontId="50" fillId="17" borderId="86" xfId="13" applyFont="1" applyFill="1" applyBorder="1" applyAlignment="1">
      <alignment horizontal="center" wrapText="1"/>
    </xf>
    <xf numFmtId="0" fontId="50" fillId="17" borderId="86" xfId="13" applyFont="1" applyFill="1" applyBorder="1" applyAlignment="1">
      <alignment wrapText="1"/>
    </xf>
    <xf numFmtId="0" fontId="43" fillId="14" borderId="89" xfId="13" applyFont="1" applyFill="1" applyBorder="1" applyAlignment="1">
      <alignment vertical="center" wrapText="1"/>
    </xf>
    <xf numFmtId="0" fontId="21" fillId="14" borderId="89" xfId="13" applyFont="1" applyFill="1" applyBorder="1" applyAlignment="1">
      <alignment horizontal="left" vertical="center" wrapText="1"/>
    </xf>
    <xf numFmtId="178" fontId="4" fillId="14" borderId="89" xfId="13" applyNumberFormat="1" applyFill="1" applyBorder="1"/>
    <xf numFmtId="171" fontId="43" fillId="14" borderId="89" xfId="13" applyNumberFormat="1" applyFont="1" applyFill="1" applyBorder="1" applyAlignment="1">
      <alignment horizontal="center" vertical="center" wrapText="1"/>
    </xf>
    <xf numFmtId="0" fontId="4" fillId="14" borderId="89" xfId="13" applyFill="1" applyBorder="1"/>
    <xf numFmtId="171" fontId="21" fillId="14" borderId="89" xfId="13" applyNumberFormat="1" applyFont="1" applyFill="1" applyBorder="1" applyAlignment="1">
      <alignment horizontal="center" vertical="center" wrapText="1"/>
    </xf>
    <xf numFmtId="178" fontId="17" fillId="6" borderId="81" xfId="13" applyNumberFormat="1" applyFont="1" applyFill="1" applyBorder="1" applyAlignment="1">
      <alignment horizontal="center" vertical="center" wrapText="1"/>
    </xf>
    <xf numFmtId="177" fontId="69" fillId="6" borderId="81" xfId="13" applyNumberFormat="1" applyFont="1" applyFill="1" applyBorder="1" applyAlignment="1">
      <alignment horizontal="center" wrapText="1"/>
    </xf>
    <xf numFmtId="165" fontId="69" fillId="6" borderId="81" xfId="13" applyNumberFormat="1" applyFont="1" applyFill="1" applyBorder="1" applyAlignment="1">
      <alignment horizontal="center" wrapText="1"/>
    </xf>
    <xf numFmtId="0" fontId="4" fillId="7" borderId="89" xfId="13" applyFill="1" applyBorder="1" applyAlignment="1">
      <alignment wrapText="1"/>
    </xf>
    <xf numFmtId="0" fontId="4" fillId="14" borderId="89" xfId="13" applyFill="1" applyBorder="1" applyAlignment="1">
      <alignment wrapText="1"/>
    </xf>
    <xf numFmtId="0" fontId="4" fillId="6" borderId="89" xfId="13" applyFill="1" applyBorder="1" applyAlignment="1">
      <alignment wrapText="1"/>
    </xf>
    <xf numFmtId="171" fontId="4" fillId="0" borderId="81" xfId="13" applyNumberFormat="1" applyBorder="1"/>
    <xf numFmtId="171" fontId="47" fillId="0" borderId="81" xfId="13" applyNumberFormat="1" applyFont="1" applyBorder="1"/>
    <xf numFmtId="175" fontId="113" fillId="11" borderId="80" xfId="15" applyNumberFormat="1" applyFont="1" applyFill="1" applyBorder="1" applyAlignment="1">
      <alignment wrapText="1"/>
    </xf>
    <xf numFmtId="0" fontId="20" fillId="14" borderId="81" xfId="113" applyFont="1" applyFill="1" applyBorder="1" applyAlignment="1">
      <alignment vertical="center" wrapText="1"/>
    </xf>
    <xf numFmtId="171" fontId="43" fillId="14" borderId="39" xfId="113" applyNumberFormat="1" applyFont="1" applyFill="1" applyBorder="1" applyAlignment="1">
      <alignment vertical="center" wrapText="1"/>
    </xf>
    <xf numFmtId="174" fontId="43" fillId="2" borderId="0" xfId="15" applyNumberFormat="1" applyFont="1" applyFill="1"/>
    <xf numFmtId="174" fontId="4" fillId="0" borderId="81" xfId="15" applyNumberFormat="1" applyBorder="1"/>
    <xf numFmtId="0" fontId="47" fillId="0" borderId="0" xfId="15" applyFont="1"/>
    <xf numFmtId="174" fontId="4" fillId="0" borderId="0" xfId="15" applyNumberFormat="1"/>
    <xf numFmtId="1" fontId="110" fillId="7" borderId="68" xfId="0" applyNumberFormat="1" applyFont="1" applyFill="1" applyBorder="1" applyAlignment="1">
      <alignment vertical="center" wrapText="1"/>
    </xf>
    <xf numFmtId="4" fontId="104" fillId="7" borderId="89" xfId="62" applyNumberFormat="1" applyFont="1" applyFill="1" applyBorder="1" applyAlignment="1">
      <alignment horizontal="right" vertical="center" wrapText="1"/>
    </xf>
    <xf numFmtId="4" fontId="25" fillId="7" borderId="92" xfId="62" applyNumberFormat="1" applyFont="1" applyFill="1" applyBorder="1" applyAlignment="1">
      <alignment horizontal="right" vertical="center" wrapText="1"/>
    </xf>
    <xf numFmtId="4" fontId="25" fillId="7" borderId="38" xfId="62" applyNumberFormat="1" applyFont="1" applyFill="1" applyBorder="1" applyAlignment="1">
      <alignment horizontal="right" vertical="center" wrapText="1"/>
    </xf>
    <xf numFmtId="4" fontId="104" fillId="6" borderId="77" xfId="42" applyNumberFormat="1" applyFont="1" applyFill="1" applyBorder="1" applyAlignment="1">
      <alignment horizontal="center" vertical="center"/>
    </xf>
    <xf numFmtId="4" fontId="104" fillId="7" borderId="81" xfId="62" applyNumberFormat="1" applyFont="1" applyFill="1" applyBorder="1" applyAlignment="1">
      <alignment horizontal="right" vertical="center" wrapText="1"/>
    </xf>
    <xf numFmtId="4" fontId="104" fillId="6" borderId="94" xfId="62" applyNumberFormat="1" applyFont="1" applyFill="1" applyBorder="1" applyAlignment="1">
      <alignment horizontal="right" vertical="center" wrapText="1"/>
    </xf>
    <xf numFmtId="4" fontId="25" fillId="6" borderId="95" xfId="62" applyNumberFormat="1" applyFont="1" applyFill="1" applyBorder="1" applyAlignment="1">
      <alignment horizontal="right" vertical="center" wrapText="1"/>
    </xf>
    <xf numFmtId="4" fontId="25" fillId="6" borderId="96" xfId="62" applyNumberFormat="1" applyFont="1" applyFill="1" applyBorder="1" applyAlignment="1">
      <alignment horizontal="right" vertical="center" wrapText="1"/>
    </xf>
    <xf numFmtId="4" fontId="104" fillId="6" borderId="86" xfId="62" applyNumberFormat="1" applyFont="1" applyFill="1" applyBorder="1" applyAlignment="1">
      <alignment horizontal="right" vertical="center" wrapText="1"/>
    </xf>
    <xf numFmtId="4" fontId="104" fillId="6" borderId="7" xfId="42" applyNumberFormat="1" applyFont="1" applyFill="1" applyBorder="1" applyAlignment="1">
      <alignment horizontal="center" vertical="center"/>
    </xf>
    <xf numFmtId="4" fontId="104" fillId="14" borderId="87" xfId="62" applyNumberFormat="1" applyFont="1" applyFill="1" applyBorder="1" applyAlignment="1">
      <alignment horizontal="right" vertical="center" wrapText="1"/>
    </xf>
    <xf numFmtId="4" fontId="104" fillId="14" borderId="89" xfId="62" applyNumberFormat="1" applyFont="1" applyFill="1" applyBorder="1" applyAlignment="1">
      <alignment horizontal="right" vertical="center" wrapText="1"/>
    </xf>
    <xf numFmtId="4" fontId="104" fillId="14" borderId="87" xfId="62" applyNumberFormat="1" applyFont="1" applyFill="1" applyBorder="1" applyAlignment="1">
      <alignment horizontal="left" vertical="center" wrapText="1"/>
    </xf>
    <xf numFmtId="4" fontId="104" fillId="0" borderId="98" xfId="62" applyNumberFormat="1" applyFont="1" applyFill="1" applyBorder="1" applyAlignment="1">
      <alignment horizontal="left" vertical="center" wrapText="1"/>
    </xf>
    <xf numFmtId="4" fontId="104" fillId="0" borderId="99" xfId="62" applyNumberFormat="1" applyFont="1" applyFill="1" applyBorder="1" applyAlignment="1">
      <alignment horizontal="left" vertical="center" wrapText="1"/>
    </xf>
    <xf numFmtId="4" fontId="104" fillId="0" borderId="81" xfId="62" applyNumberFormat="1" applyFont="1" applyFill="1" applyBorder="1" applyAlignment="1">
      <alignment horizontal="right" vertical="center" wrapText="1"/>
    </xf>
    <xf numFmtId="4" fontId="104" fillId="14" borderId="91" xfId="62" applyNumberFormat="1" applyFont="1" applyFill="1" applyBorder="1" applyAlignment="1">
      <alignment horizontal="right" vertical="center" wrapText="1"/>
    </xf>
    <xf numFmtId="4" fontId="104" fillId="14" borderId="89" xfId="62" applyNumberFormat="1" applyFont="1" applyFill="1" applyBorder="1" applyAlignment="1">
      <alignment horizontal="left" vertical="center" wrapText="1"/>
    </xf>
    <xf numFmtId="4" fontId="104" fillId="0" borderId="81" xfId="62" applyNumberFormat="1" applyFont="1" applyFill="1" applyBorder="1" applyAlignment="1">
      <alignment horizontal="left" vertical="center" wrapText="1"/>
    </xf>
    <xf numFmtId="4" fontId="104" fillId="11" borderId="81" xfId="62" applyNumberFormat="1" applyFont="1" applyFill="1" applyBorder="1" applyAlignment="1">
      <alignment horizontal="right" vertical="center" wrapText="1"/>
    </xf>
    <xf numFmtId="4" fontId="104" fillId="0" borderId="93" xfId="62" applyNumberFormat="1" applyFont="1" applyFill="1" applyBorder="1" applyAlignment="1">
      <alignment horizontal="left" vertical="center" wrapText="1"/>
    </xf>
    <xf numFmtId="0" fontId="31" fillId="24" borderId="17" xfId="0" applyNumberFormat="1" applyFont="1" applyFill="1" applyBorder="1" applyAlignment="1">
      <alignment horizontal="left" vertical="top" wrapText="1"/>
    </xf>
    <xf numFmtId="4" fontId="31" fillId="24" borderId="17" xfId="0" applyNumberFormat="1" applyFont="1" applyFill="1" applyBorder="1" applyAlignment="1">
      <alignment horizontal="right" vertical="top" wrapText="1"/>
    </xf>
    <xf numFmtId="0" fontId="31" fillId="24" borderId="18" xfId="0" applyNumberFormat="1" applyFont="1" applyFill="1" applyBorder="1" applyAlignment="1">
      <alignment horizontal="left" vertical="top" wrapText="1"/>
    </xf>
    <xf numFmtId="0" fontId="31" fillId="24" borderId="19" xfId="0" applyNumberFormat="1" applyFont="1" applyFill="1" applyBorder="1" applyAlignment="1">
      <alignment horizontal="left" vertical="top" wrapText="1"/>
    </xf>
    <xf numFmtId="0" fontId="0" fillId="0" borderId="81" xfId="0" applyBorder="1" applyAlignment="1">
      <alignment horizontal="left"/>
    </xf>
    <xf numFmtId="0" fontId="0" fillId="0" borderId="81" xfId="0" applyBorder="1"/>
    <xf numFmtId="0" fontId="0" fillId="0" borderId="81" xfId="0" applyBorder="1" applyAlignment="1">
      <alignment horizontal="center" vertical="center"/>
    </xf>
    <xf numFmtId="0" fontId="31" fillId="11" borderId="17" xfId="0" applyNumberFormat="1" applyFont="1" applyFill="1" applyBorder="1" applyAlignment="1">
      <alignment horizontal="right" vertical="top" wrapText="1"/>
    </xf>
    <xf numFmtId="0" fontId="31" fillId="11" borderId="17" xfId="0" applyNumberFormat="1" applyFont="1" applyFill="1" applyBorder="1" applyAlignment="1">
      <alignment horizontal="left" vertical="top" wrapText="1"/>
    </xf>
    <xf numFmtId="0" fontId="31" fillId="11" borderId="18" xfId="0" applyNumberFormat="1" applyFont="1" applyFill="1" applyBorder="1" applyAlignment="1">
      <alignment horizontal="left" vertical="top" wrapText="1"/>
    </xf>
    <xf numFmtId="0" fontId="31" fillId="11" borderId="19" xfId="0" applyNumberFormat="1" applyFont="1" applyFill="1" applyBorder="1" applyAlignment="1">
      <alignment horizontal="left" vertical="top" wrapText="1"/>
    </xf>
    <xf numFmtId="2" fontId="31" fillId="11" borderId="17" xfId="0" applyNumberFormat="1" applyFont="1" applyFill="1" applyBorder="1" applyAlignment="1">
      <alignment horizontal="right" vertical="top" wrapText="1"/>
    </xf>
    <xf numFmtId="0" fontId="0" fillId="0" borderId="84" xfId="0" applyBorder="1"/>
    <xf numFmtId="0" fontId="0" fillId="0" borderId="90" xfId="0" applyBorder="1"/>
    <xf numFmtId="2" fontId="0" fillId="0" borderId="85" xfId="0" applyNumberFormat="1" applyBorder="1"/>
    <xf numFmtId="0" fontId="0" fillId="0" borderId="77" xfId="0" applyBorder="1"/>
    <xf numFmtId="0" fontId="0" fillId="0" borderId="7" xfId="0" applyBorder="1"/>
    <xf numFmtId="0" fontId="0" fillId="0" borderId="100" xfId="0" applyBorder="1"/>
    <xf numFmtId="0" fontId="0" fillId="0" borderId="0" xfId="0" applyBorder="1"/>
    <xf numFmtId="0" fontId="0" fillId="0" borderId="85" xfId="0" applyBorder="1"/>
    <xf numFmtId="2" fontId="0" fillId="0" borderId="100" xfId="0" applyNumberFormat="1" applyBorder="1"/>
    <xf numFmtId="0" fontId="0" fillId="0" borderId="9" xfId="0" applyBorder="1"/>
    <xf numFmtId="0" fontId="0" fillId="0" borderId="101" xfId="0" applyBorder="1"/>
    <xf numFmtId="2" fontId="133" fillId="11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11" borderId="0" xfId="0" applyFill="1"/>
    <xf numFmtId="0" fontId="3" fillId="11" borderId="0" xfId="0" applyFont="1" applyFill="1"/>
    <xf numFmtId="2" fontId="0" fillId="0" borderId="1" xfId="0" applyNumberFormat="1" applyBorder="1" applyAlignment="1">
      <alignment horizontal="left"/>
    </xf>
    <xf numFmtId="4" fontId="25" fillId="6" borderId="97" xfId="62" applyNumberFormat="1" applyFont="1" applyFill="1" applyBorder="1" applyAlignment="1">
      <alignment horizontal="center" vertical="center" wrapText="1"/>
    </xf>
    <xf numFmtId="165" fontId="25" fillId="6" borderId="38" xfId="62" applyNumberFormat="1" applyFont="1" applyFill="1" applyBorder="1" applyAlignment="1">
      <alignment horizontal="center" vertical="center" wrapText="1"/>
    </xf>
    <xf numFmtId="43" fontId="66" fillId="0" borderId="55" xfId="105" applyNumberFormat="1" applyFont="1" applyBorder="1" applyAlignment="1">
      <alignment horizontal="right" vertical="top" wrapText="1"/>
    </xf>
    <xf numFmtId="43" fontId="0" fillId="0" borderId="0" xfId="0" applyNumberFormat="1"/>
    <xf numFmtId="196" fontId="66" fillId="0" borderId="55" xfId="105" applyNumberFormat="1" applyFont="1" applyBorder="1" applyAlignment="1">
      <alignment horizontal="right" vertical="top" wrapText="1"/>
    </xf>
    <xf numFmtId="0" fontId="49" fillId="16" borderId="82" xfId="15" applyFont="1" applyFill="1" applyBorder="1" applyAlignment="1">
      <alignment wrapText="1"/>
    </xf>
    <xf numFmtId="0" fontId="49" fillId="16" borderId="86" xfId="15" applyFont="1" applyFill="1" applyBorder="1" applyAlignment="1">
      <alignment wrapText="1"/>
    </xf>
    <xf numFmtId="0" fontId="49" fillId="16" borderId="83" xfId="15" applyFont="1" applyFill="1" applyBorder="1" applyAlignment="1">
      <alignment wrapText="1"/>
    </xf>
    <xf numFmtId="0" fontId="49" fillId="16" borderId="82" xfId="15" applyFont="1" applyFill="1" applyBorder="1" applyAlignment="1">
      <alignment vertical="center" wrapText="1"/>
    </xf>
    <xf numFmtId="0" fontId="49" fillId="16" borderId="86" xfId="15" applyFont="1" applyFill="1" applyBorder="1" applyAlignment="1">
      <alignment vertical="center" wrapText="1"/>
    </xf>
    <xf numFmtId="197" fontId="53" fillId="14" borderId="32" xfId="15" applyNumberFormat="1" applyFont="1" applyFill="1" applyBorder="1" applyAlignment="1">
      <alignment horizontal="center" vertical="center" wrapText="1"/>
    </xf>
    <xf numFmtId="0" fontId="74" fillId="16" borderId="82" xfId="15" applyFont="1" applyFill="1" applyBorder="1" applyAlignment="1">
      <alignment vertical="center" wrapText="1"/>
    </xf>
    <xf numFmtId="0" fontId="74" fillId="16" borderId="86" xfId="15" applyFont="1" applyFill="1" applyBorder="1" applyAlignment="1">
      <alignment vertical="center" wrapText="1"/>
    </xf>
    <xf numFmtId="0" fontId="74" fillId="16" borderId="83" xfId="15" applyFont="1" applyFill="1" applyBorder="1" applyAlignment="1">
      <alignment vertical="center" wrapText="1"/>
    </xf>
    <xf numFmtId="0" fontId="31" fillId="15" borderId="17" xfId="0" applyNumberFormat="1" applyFont="1" applyFill="1" applyBorder="1" applyAlignment="1">
      <alignment horizontal="right" vertical="top" wrapText="1"/>
    </xf>
    <xf numFmtId="2" fontId="31" fillId="15" borderId="17" xfId="0" applyNumberFormat="1" applyFont="1" applyFill="1" applyBorder="1" applyAlignment="1">
      <alignment horizontal="right" vertical="top" wrapText="1"/>
    </xf>
    <xf numFmtId="0" fontId="31" fillId="15" borderId="17" xfId="0" applyNumberFormat="1" applyFont="1" applyFill="1" applyBorder="1" applyAlignment="1">
      <alignment horizontal="left" vertical="top" wrapText="1"/>
    </xf>
    <xf numFmtId="0" fontId="31" fillId="15" borderId="18" xfId="0" applyNumberFormat="1" applyFont="1" applyFill="1" applyBorder="1" applyAlignment="1">
      <alignment horizontal="left" vertical="top" wrapText="1"/>
    </xf>
    <xf numFmtId="0" fontId="31" fillId="15" borderId="19" xfId="0" applyNumberFormat="1" applyFont="1" applyFill="1" applyBorder="1" applyAlignment="1">
      <alignment horizontal="left" vertical="top" wrapText="1"/>
    </xf>
    <xf numFmtId="173" fontId="43" fillId="2" borderId="3" xfId="15" applyNumberFormat="1" applyFont="1" applyFill="1" applyBorder="1" applyAlignment="1">
      <alignment horizontal="center" vertical="center" wrapText="1"/>
    </xf>
    <xf numFmtId="0" fontId="105" fillId="0" borderId="84" xfId="62" applyFont="1" applyFill="1" applyBorder="1" applyAlignment="1">
      <alignment horizontal="left"/>
    </xf>
    <xf numFmtId="165" fontId="24" fillId="6" borderId="89" xfId="105" applyNumberFormat="1" applyFont="1" applyFill="1" applyBorder="1" applyAlignment="1">
      <alignment horizontal="right" vertical="top" wrapText="1"/>
    </xf>
    <xf numFmtId="0" fontId="105" fillId="0" borderId="77" xfId="62" applyFont="1" applyFill="1" applyBorder="1" applyAlignment="1">
      <alignment horizontal="left"/>
    </xf>
    <xf numFmtId="165" fontId="20" fillId="6" borderId="38" xfId="105" applyNumberFormat="1" applyFont="1" applyFill="1" applyBorder="1" applyAlignment="1">
      <alignment horizontal="right" vertical="top" wrapText="1"/>
    </xf>
    <xf numFmtId="0" fontId="21" fillId="11" borderId="32" xfId="15" applyFont="1" applyFill="1" applyBorder="1" applyAlignment="1">
      <alignment horizontal="left" vertical="center" wrapText="1"/>
    </xf>
    <xf numFmtId="0" fontId="21" fillId="11" borderId="37" xfId="15" applyFont="1" applyFill="1" applyBorder="1" applyAlignment="1">
      <alignment horizontal="left" vertical="center" wrapText="1"/>
    </xf>
    <xf numFmtId="4" fontId="31" fillId="15" borderId="17" xfId="0" applyNumberFormat="1" applyFont="1" applyFill="1" applyBorder="1" applyAlignment="1">
      <alignment horizontal="right" vertical="top" wrapText="1"/>
    </xf>
    <xf numFmtId="0" fontId="21" fillId="28" borderId="32" xfId="15" applyFont="1" applyFill="1" applyBorder="1" applyAlignment="1">
      <alignment horizontal="left" vertical="center" wrapText="1"/>
    </xf>
    <xf numFmtId="0" fontId="21" fillId="28" borderId="39" xfId="15" applyFont="1" applyFill="1" applyBorder="1" applyAlignment="1">
      <alignment horizontal="left" vertical="center" wrapText="1"/>
    </xf>
    <xf numFmtId="0" fontId="58" fillId="14" borderId="81" xfId="15" applyFont="1" applyFill="1" applyBorder="1" applyAlignment="1">
      <alignment horizontal="center" vertical="center" wrapText="1"/>
    </xf>
    <xf numFmtId="0" fontId="51" fillId="14" borderId="81" xfId="15" applyFont="1" applyFill="1" applyBorder="1" applyAlignment="1">
      <alignment horizontal="center" vertical="center" wrapText="1"/>
    </xf>
    <xf numFmtId="175" fontId="105" fillId="0" borderId="0" xfId="62" applyNumberFormat="1" applyFont="1" applyFill="1"/>
    <xf numFmtId="165" fontId="105" fillId="0" borderId="0" xfId="148" applyFont="1" applyFill="1"/>
    <xf numFmtId="0" fontId="105" fillId="0" borderId="0" xfId="62" applyFont="1" applyFill="1" applyAlignment="1">
      <alignment horizontal="left"/>
    </xf>
    <xf numFmtId="4" fontId="105" fillId="0" borderId="0" xfId="62" applyNumberFormat="1" applyFont="1" applyFill="1" applyAlignment="1"/>
    <xf numFmtId="171" fontId="105" fillId="0" borderId="0" xfId="62" applyNumberFormat="1" applyFont="1" applyFill="1" applyAlignment="1">
      <alignment horizontal="left"/>
    </xf>
    <xf numFmtId="0" fontId="136" fillId="0" borderId="81" xfId="62" applyNumberFormat="1" applyFont="1" applyFill="1" applyBorder="1" applyAlignment="1">
      <alignment horizontal="left" vertical="top" wrapText="1"/>
    </xf>
    <xf numFmtId="171" fontId="137" fillId="0" borderId="0" xfId="62" applyNumberFormat="1" applyFont="1" applyFill="1" applyAlignment="1"/>
    <xf numFmtId="0" fontId="109" fillId="16" borderId="89" xfId="62" applyNumberFormat="1" applyFont="1" applyFill="1" applyBorder="1" applyAlignment="1">
      <alignment horizontal="left" vertical="top" wrapText="1" indent="2"/>
    </xf>
    <xf numFmtId="4" fontId="138" fillId="16" borderId="89" xfId="62" applyNumberFormat="1" applyFont="1" applyFill="1" applyBorder="1" applyAlignment="1">
      <alignment horizontal="right" vertical="top" wrapText="1"/>
    </xf>
    <xf numFmtId="4" fontId="138" fillId="16" borderId="102" xfId="62" applyNumberFormat="1" applyFont="1" applyFill="1" applyBorder="1" applyAlignment="1">
      <alignment horizontal="right" vertical="top" wrapText="1"/>
    </xf>
    <xf numFmtId="4" fontId="138" fillId="16" borderId="30" xfId="62" applyNumberFormat="1" applyFont="1" applyFill="1" applyBorder="1" applyAlignment="1">
      <alignment horizontal="right" vertical="top" wrapText="1"/>
    </xf>
    <xf numFmtId="4" fontId="138" fillId="16" borderId="31" xfId="62" applyNumberFormat="1" applyFont="1" applyFill="1" applyBorder="1" applyAlignment="1">
      <alignment horizontal="right" vertical="top" wrapText="1"/>
    </xf>
    <xf numFmtId="0" fontId="109" fillId="0" borderId="92" xfId="62" applyNumberFormat="1" applyFont="1" applyFill="1" applyBorder="1" applyAlignment="1">
      <alignment horizontal="left" vertical="top" wrapText="1" indent="4"/>
    </xf>
    <xf numFmtId="4" fontId="109" fillId="6" borderId="92" xfId="62" applyNumberFormat="1" applyFont="1" applyFill="1" applyBorder="1" applyAlignment="1">
      <alignment horizontal="right" vertical="top" wrapText="1"/>
    </xf>
    <xf numFmtId="4" fontId="109" fillId="7" borderId="92" xfId="62" applyNumberFormat="1" applyFont="1" applyFill="1" applyBorder="1" applyAlignment="1">
      <alignment horizontal="right" vertical="top" wrapText="1"/>
    </xf>
    <xf numFmtId="4" fontId="109" fillId="7" borderId="103" xfId="62" applyNumberFormat="1" applyFont="1" applyFill="1" applyBorder="1" applyAlignment="1">
      <alignment horizontal="right" vertical="top" wrapText="1"/>
    </xf>
    <xf numFmtId="4" fontId="109" fillId="7" borderId="53" xfId="62" applyNumberFormat="1" applyFont="1" applyFill="1" applyBorder="1" applyAlignment="1">
      <alignment horizontal="right" vertical="top" wrapText="1"/>
    </xf>
    <xf numFmtId="4" fontId="109" fillId="7" borderId="97" xfId="62" applyNumberFormat="1" applyFont="1" applyFill="1" applyBorder="1" applyAlignment="1">
      <alignment horizontal="right" vertical="top" wrapText="1"/>
    </xf>
    <xf numFmtId="178" fontId="139" fillId="0" borderId="0" xfId="62" applyNumberFormat="1" applyFont="1" applyFill="1"/>
    <xf numFmtId="4" fontId="109" fillId="6" borderId="103" xfId="62" applyNumberFormat="1" applyFont="1" applyFill="1" applyBorder="1" applyAlignment="1">
      <alignment horizontal="right" vertical="top" wrapText="1"/>
    </xf>
    <xf numFmtId="4" fontId="109" fillId="6" borderId="53" xfId="62" applyNumberFormat="1" applyFont="1" applyFill="1" applyBorder="1" applyAlignment="1">
      <alignment horizontal="right" vertical="top" wrapText="1"/>
    </xf>
    <xf numFmtId="4" fontId="109" fillId="6" borderId="97" xfId="62" applyNumberFormat="1" applyFont="1" applyFill="1" applyBorder="1" applyAlignment="1">
      <alignment horizontal="right" vertical="top" wrapText="1"/>
    </xf>
    <xf numFmtId="0" fontId="109" fillId="0" borderId="38" xfId="62" applyNumberFormat="1" applyFont="1" applyFill="1" applyBorder="1" applyAlignment="1">
      <alignment horizontal="left" vertical="top" wrapText="1" indent="4"/>
    </xf>
    <xf numFmtId="4" fontId="109" fillId="6" borderId="38" xfId="62" applyNumberFormat="1" applyFont="1" applyFill="1" applyBorder="1" applyAlignment="1">
      <alignment horizontal="right" vertical="top" wrapText="1"/>
    </xf>
    <xf numFmtId="4" fontId="109" fillId="7" borderId="38" xfId="62" applyNumberFormat="1" applyFont="1" applyFill="1" applyBorder="1" applyAlignment="1">
      <alignment horizontal="right" vertical="top" wrapText="1"/>
    </xf>
    <xf numFmtId="4" fontId="109" fillId="7" borderId="104" xfId="62" applyNumberFormat="1" applyFont="1" applyFill="1" applyBorder="1" applyAlignment="1">
      <alignment horizontal="right" vertical="top" wrapText="1"/>
    </xf>
    <xf numFmtId="4" fontId="109" fillId="7" borderId="41" xfId="62" applyNumberFormat="1" applyFont="1" applyFill="1" applyBorder="1" applyAlignment="1">
      <alignment horizontal="right" vertical="top" wrapText="1"/>
    </xf>
    <xf numFmtId="4" fontId="109" fillId="7" borderId="42" xfId="62" applyNumberFormat="1" applyFont="1" applyFill="1" applyBorder="1" applyAlignment="1">
      <alignment horizontal="right" vertical="top" wrapText="1"/>
    </xf>
    <xf numFmtId="0" fontId="137" fillId="5" borderId="0" xfId="62" applyFont="1" applyFill="1" applyAlignment="1">
      <alignment horizontal="left"/>
    </xf>
    <xf numFmtId="0" fontId="137" fillId="5" borderId="0" xfId="62" applyFont="1" applyFill="1"/>
    <xf numFmtId="4" fontId="137" fillId="5" borderId="0" xfId="62" applyNumberFormat="1" applyFont="1" applyFill="1"/>
    <xf numFmtId="0" fontId="137" fillId="0" borderId="0" xfId="62" applyFont="1" applyFill="1"/>
    <xf numFmtId="171" fontId="137" fillId="0" borderId="0" xfId="62" applyNumberFormat="1" applyFont="1" applyFill="1"/>
    <xf numFmtId="0" fontId="105" fillId="5" borderId="0" xfId="62" applyFont="1" applyFill="1" applyAlignment="1">
      <alignment horizontal="left"/>
    </xf>
    <xf numFmtId="4" fontId="105" fillId="5" borderId="0" xfId="62" applyNumberFormat="1" applyFont="1" applyFill="1" applyAlignment="1"/>
    <xf numFmtId="4" fontId="105" fillId="5" borderId="0" xfId="62" applyNumberFormat="1" applyFont="1" applyFill="1"/>
    <xf numFmtId="4" fontId="105" fillId="5" borderId="0" xfId="62" applyNumberFormat="1" applyFont="1" applyFill="1" applyAlignment="1">
      <alignment horizontal="left"/>
    </xf>
    <xf numFmtId="4" fontId="105" fillId="0" borderId="0" xfId="62" applyNumberFormat="1" applyFont="1" applyFill="1" applyAlignment="1">
      <alignment horizontal="left"/>
    </xf>
    <xf numFmtId="2" fontId="105" fillId="0" borderId="0" xfId="62" applyNumberFormat="1" applyFont="1" applyFill="1" applyAlignment="1">
      <alignment horizontal="left"/>
    </xf>
    <xf numFmtId="0" fontId="54" fillId="0" borderId="0" xfId="106" applyAlignment="1">
      <alignment horizontal="left"/>
    </xf>
    <xf numFmtId="165" fontId="54" fillId="0" borderId="0" xfId="148" applyFont="1" applyAlignment="1">
      <alignment horizontal="left"/>
    </xf>
    <xf numFmtId="171" fontId="140" fillId="0" borderId="0" xfId="62" applyNumberFormat="1" applyFont="1" applyFill="1"/>
    <xf numFmtId="0" fontId="44" fillId="0" borderId="81" xfId="106" applyFont="1" applyBorder="1" applyAlignment="1">
      <alignment horizontal="center" vertical="center"/>
    </xf>
    <xf numFmtId="3" fontId="22" fillId="0" borderId="80" xfId="106" applyNumberFormat="1" applyFont="1" applyBorder="1" applyAlignment="1">
      <alignment horizontal="center" vertical="center" wrapText="1"/>
    </xf>
    <xf numFmtId="3" fontId="22" fillId="0" borderId="80" xfId="106" applyNumberFormat="1" applyFont="1" applyBorder="1" applyAlignment="1">
      <alignment horizontal="right" vertical="center" wrapText="1"/>
    </xf>
    <xf numFmtId="3" fontId="22" fillId="11" borderId="80" xfId="106" applyNumberFormat="1" applyFont="1" applyFill="1" applyBorder="1" applyAlignment="1">
      <alignment horizontal="center" vertical="center" wrapText="1"/>
    </xf>
    <xf numFmtId="3" fontId="22" fillId="16" borderId="80" xfId="106" applyNumberFormat="1" applyFont="1" applyFill="1" applyBorder="1" applyAlignment="1">
      <alignment horizontal="center" vertical="center" wrapText="1"/>
    </xf>
    <xf numFmtId="171" fontId="105" fillId="0" borderId="0" xfId="62" applyNumberFormat="1" applyFont="1" applyFill="1" applyAlignment="1">
      <alignment horizontal="center" vertical="center"/>
    </xf>
    <xf numFmtId="0" fontId="22" fillId="0" borderId="89" xfId="106" applyNumberFormat="1" applyFont="1" applyBorder="1" applyAlignment="1">
      <alignment horizontal="left" vertical="top" wrapText="1"/>
    </xf>
    <xf numFmtId="4" fontId="106" fillId="0" borderId="89" xfId="106" applyNumberFormat="1" applyFont="1" applyBorder="1" applyAlignment="1">
      <alignment horizontal="right" vertical="top" wrapText="1"/>
    </xf>
    <xf numFmtId="4" fontId="22" fillId="0" borderId="89" xfId="106" applyNumberFormat="1" applyFont="1" applyBorder="1" applyAlignment="1">
      <alignment horizontal="right" vertical="top" wrapText="1"/>
    </xf>
    <xf numFmtId="4" fontId="22" fillId="6" borderId="89" xfId="106" applyNumberFormat="1" applyFont="1" applyFill="1" applyBorder="1" applyAlignment="1">
      <alignment horizontal="right" vertical="top" wrapText="1"/>
    </xf>
    <xf numFmtId="171" fontId="141" fillId="0" borderId="89" xfId="62" applyNumberFormat="1" applyFont="1" applyFill="1" applyBorder="1"/>
    <xf numFmtId="0" fontId="22" fillId="0" borderId="92" xfId="106" applyNumberFormat="1" applyFont="1" applyBorder="1" applyAlignment="1">
      <alignment horizontal="left" vertical="top" wrapText="1"/>
    </xf>
    <xf numFmtId="4" fontId="106" fillId="0" borderId="92" xfId="106" applyNumberFormat="1" applyFont="1" applyBorder="1" applyAlignment="1">
      <alignment horizontal="right" vertical="top" wrapText="1"/>
    </xf>
    <xf numFmtId="4" fontId="22" fillId="0" borderId="92" xfId="106" applyNumberFormat="1" applyFont="1" applyBorder="1" applyAlignment="1">
      <alignment horizontal="right" vertical="top" wrapText="1"/>
    </xf>
    <xf numFmtId="4" fontId="22" fillId="6" borderId="92" xfId="106" applyNumberFormat="1" applyFont="1" applyFill="1" applyBorder="1" applyAlignment="1">
      <alignment horizontal="right" vertical="top" wrapText="1"/>
    </xf>
    <xf numFmtId="4" fontId="22" fillId="11" borderId="92" xfId="106" applyNumberFormat="1" applyFont="1" applyFill="1" applyBorder="1" applyAlignment="1">
      <alignment horizontal="right" vertical="top" wrapText="1"/>
    </xf>
    <xf numFmtId="171" fontId="141" fillId="0" borderId="92" xfId="62" applyNumberFormat="1" applyFont="1" applyFill="1" applyBorder="1"/>
    <xf numFmtId="4" fontId="22" fillId="7" borderId="92" xfId="106" applyNumberFormat="1" applyFont="1" applyFill="1" applyBorder="1" applyAlignment="1">
      <alignment horizontal="right" vertical="top" wrapText="1"/>
    </xf>
    <xf numFmtId="4" fontId="107" fillId="0" borderId="92" xfId="106" applyNumberFormat="1" applyFont="1" applyBorder="1" applyAlignment="1">
      <alignment horizontal="center" vertical="top" wrapText="1"/>
    </xf>
    <xf numFmtId="171" fontId="142" fillId="7" borderId="92" xfId="62" applyNumberFormat="1" applyFont="1" applyFill="1" applyBorder="1"/>
    <xf numFmtId="4" fontId="22" fillId="0" borderId="92" xfId="106" applyNumberFormat="1" applyFont="1" applyBorder="1" applyAlignment="1">
      <alignment horizontal="center" vertical="top" wrapText="1"/>
    </xf>
    <xf numFmtId="176" fontId="22" fillId="0" borderId="92" xfId="106" applyNumberFormat="1" applyFont="1" applyBorder="1" applyAlignment="1">
      <alignment horizontal="right" vertical="top" wrapText="1"/>
    </xf>
    <xf numFmtId="4" fontId="22" fillId="0" borderId="92" xfId="106" applyNumberFormat="1" applyFont="1" applyBorder="1" applyAlignment="1">
      <alignment horizontal="left" vertical="top" wrapText="1"/>
    </xf>
    <xf numFmtId="0" fontId="22" fillId="0" borderId="38" xfId="106" applyNumberFormat="1" applyFont="1" applyBorder="1" applyAlignment="1">
      <alignment horizontal="left" vertical="top" wrapText="1"/>
    </xf>
    <xf numFmtId="4" fontId="22" fillId="7" borderId="38" xfId="106" applyNumberFormat="1" applyFont="1" applyFill="1" applyBorder="1" applyAlignment="1">
      <alignment horizontal="right" vertical="top" wrapText="1"/>
    </xf>
    <xf numFmtId="4" fontId="22" fillId="0" borderId="38" xfId="106" applyNumberFormat="1" applyFont="1" applyBorder="1" applyAlignment="1">
      <alignment horizontal="left" vertical="top" wrapText="1"/>
    </xf>
    <xf numFmtId="4" fontId="22" fillId="6" borderId="38" xfId="106" applyNumberFormat="1" applyFont="1" applyFill="1" applyBorder="1" applyAlignment="1">
      <alignment horizontal="right" vertical="top" wrapText="1"/>
    </xf>
    <xf numFmtId="4" fontId="22" fillId="0" borderId="38" xfId="106" applyNumberFormat="1" applyFont="1" applyBorder="1" applyAlignment="1">
      <alignment horizontal="right" vertical="top" wrapText="1"/>
    </xf>
    <xf numFmtId="4" fontId="22" fillId="11" borderId="38" xfId="106" applyNumberFormat="1" applyFont="1" applyFill="1" applyBorder="1" applyAlignment="1">
      <alignment horizontal="right" vertical="top" wrapText="1"/>
    </xf>
    <xf numFmtId="171" fontId="142" fillId="7" borderId="38" xfId="62" applyNumberFormat="1" applyFont="1" applyFill="1" applyBorder="1"/>
    <xf numFmtId="0" fontId="108" fillId="0" borderId="81" xfId="106" applyNumberFormat="1" applyFont="1" applyBorder="1" applyAlignment="1">
      <alignment horizontal="right" vertical="top" wrapText="1"/>
    </xf>
    <xf numFmtId="4" fontId="22" fillId="25" borderId="80" xfId="106" applyNumberFormat="1" applyFont="1" applyFill="1" applyBorder="1" applyAlignment="1">
      <alignment horizontal="right" vertical="top" wrapText="1"/>
    </xf>
    <xf numFmtId="4" fontId="22" fillId="0" borderId="81" xfId="106" applyNumberFormat="1" applyFont="1" applyBorder="1" applyAlignment="1">
      <alignment horizontal="center" vertical="top" wrapText="1"/>
    </xf>
    <xf numFmtId="4" fontId="22" fillId="25" borderId="81" xfId="106" applyNumberFormat="1" applyFont="1" applyFill="1" applyBorder="1" applyAlignment="1">
      <alignment horizontal="right" vertical="top" wrapText="1"/>
    </xf>
    <xf numFmtId="176" fontId="105" fillId="0" borderId="0" xfId="62" applyNumberFormat="1" applyFont="1" applyFill="1"/>
    <xf numFmtId="176" fontId="105" fillId="0" borderId="0" xfId="62" applyNumberFormat="1" applyFont="1" applyFill="1" applyAlignment="1">
      <alignment horizontal="left"/>
    </xf>
    <xf numFmtId="171" fontId="36" fillId="29" borderId="0" xfId="62" applyNumberFormat="1" applyFill="1" applyAlignment="1">
      <alignment horizontal="left"/>
    </xf>
    <xf numFmtId="171" fontId="78" fillId="29" borderId="0" xfId="62" applyNumberFormat="1" applyFont="1" applyFill="1" applyAlignment="1"/>
    <xf numFmtId="0" fontId="105" fillId="29" borderId="0" xfId="62" applyFont="1" applyFill="1"/>
    <xf numFmtId="171" fontId="105" fillId="29" borderId="0" xfId="62" applyNumberFormat="1" applyFont="1" applyFill="1"/>
    <xf numFmtId="4" fontId="22" fillId="29" borderId="92" xfId="106" applyNumberFormat="1" applyFont="1" applyFill="1" applyBorder="1" applyAlignment="1">
      <alignment horizontal="right" vertical="top" wrapText="1"/>
    </xf>
    <xf numFmtId="176" fontId="22" fillId="29" borderId="92" xfId="106" applyNumberFormat="1" applyFont="1" applyFill="1" applyBorder="1" applyAlignment="1">
      <alignment horizontal="right" vertical="top" wrapText="1"/>
    </xf>
    <xf numFmtId="3" fontId="105" fillId="0" borderId="0" xfId="62" applyNumberFormat="1" applyFont="1" applyFill="1" applyAlignment="1">
      <alignment horizontal="left"/>
    </xf>
    <xf numFmtId="2" fontId="105" fillId="11" borderId="0" xfId="62" applyNumberFormat="1" applyFont="1" applyFill="1"/>
    <xf numFmtId="0" fontId="105" fillId="0" borderId="81" xfId="62" applyFont="1" applyFill="1" applyBorder="1" applyAlignment="1">
      <alignment horizontal="center" vertical="center" wrapText="1"/>
    </xf>
    <xf numFmtId="0" fontId="143" fillId="0" borderId="81" xfId="62" applyFont="1" applyFill="1" applyBorder="1" applyAlignment="1">
      <alignment horizontal="left"/>
    </xf>
    <xf numFmtId="3" fontId="139" fillId="0" borderId="81" xfId="62" applyNumberFormat="1" applyFont="1" applyFill="1" applyBorder="1" applyAlignment="1"/>
    <xf numFmtId="166" fontId="139" fillId="0" borderId="81" xfId="62" applyNumberFormat="1" applyFont="1" applyFill="1" applyBorder="1"/>
    <xf numFmtId="4" fontId="139" fillId="0" borderId="81" xfId="62" applyNumberFormat="1" applyFont="1" applyFill="1" applyBorder="1"/>
    <xf numFmtId="4" fontId="105" fillId="0" borderId="0" xfId="62" applyNumberFormat="1" applyFont="1" applyFill="1"/>
    <xf numFmtId="0" fontId="139" fillId="0" borderId="81" xfId="62" applyFont="1" applyFill="1" applyBorder="1" applyAlignment="1"/>
    <xf numFmtId="2" fontId="105" fillId="6" borderId="81" xfId="62" applyNumberFormat="1" applyFont="1" applyFill="1" applyBorder="1"/>
    <xf numFmtId="166" fontId="105" fillId="6" borderId="81" xfId="62" applyNumberFormat="1" applyFont="1" applyFill="1" applyBorder="1"/>
    <xf numFmtId="4" fontId="105" fillId="6" borderId="81" xfId="62" applyNumberFormat="1" applyFont="1" applyFill="1" applyBorder="1"/>
    <xf numFmtId="0" fontId="143" fillId="0" borderId="0" xfId="62" applyFont="1" applyFill="1" applyAlignment="1">
      <alignment horizontal="left"/>
    </xf>
    <xf numFmtId="0" fontId="105" fillId="0" borderId="81" xfId="62" applyFont="1" applyFill="1" applyBorder="1" applyAlignment="1">
      <alignment horizontal="center"/>
    </xf>
    <xf numFmtId="0" fontId="143" fillId="0" borderId="89" xfId="62" applyFont="1" applyFill="1" applyBorder="1" applyAlignment="1">
      <alignment horizontal="left"/>
    </xf>
    <xf numFmtId="178" fontId="105" fillId="14" borderId="89" xfId="62" applyNumberFormat="1" applyFont="1" applyFill="1" applyBorder="1"/>
    <xf numFmtId="174" fontId="105" fillId="14" borderId="89" xfId="62" applyNumberFormat="1" applyFont="1" applyFill="1" applyBorder="1"/>
    <xf numFmtId="178" fontId="105" fillId="6" borderId="89" xfId="62" applyNumberFormat="1" applyFont="1" applyFill="1" applyBorder="1"/>
    <xf numFmtId="174" fontId="105" fillId="6" borderId="89" xfId="62" applyNumberFormat="1" applyFont="1" applyFill="1" applyBorder="1"/>
    <xf numFmtId="0" fontId="143" fillId="0" borderId="39" xfId="62" applyFont="1" applyFill="1" applyBorder="1" applyAlignment="1">
      <alignment horizontal="left"/>
    </xf>
    <xf numFmtId="178" fontId="105" fillId="14" borderId="39" xfId="62" applyNumberFormat="1" applyFont="1" applyFill="1" applyBorder="1"/>
    <xf numFmtId="174" fontId="105" fillId="14" borderId="39" xfId="62" applyNumberFormat="1" applyFont="1" applyFill="1" applyBorder="1"/>
    <xf numFmtId="178" fontId="105" fillId="6" borderId="39" xfId="62" applyNumberFormat="1" applyFont="1" applyFill="1" applyBorder="1"/>
    <xf numFmtId="174" fontId="105" fillId="6" borderId="39" xfId="62" applyNumberFormat="1" applyFont="1" applyFill="1" applyBorder="1"/>
    <xf numFmtId="178" fontId="105" fillId="6" borderId="81" xfId="62" applyNumberFormat="1" applyFont="1" applyFill="1" applyBorder="1"/>
    <xf numFmtId="174" fontId="105" fillId="6" borderId="81" xfId="62" applyNumberFormat="1" applyFont="1" applyFill="1" applyBorder="1"/>
    <xf numFmtId="43" fontId="104" fillId="0" borderId="0" xfId="62" applyNumberFormat="1" applyFont="1" applyFill="1" applyAlignment="1">
      <alignment vertical="center" wrapText="1"/>
    </xf>
    <xf numFmtId="165" fontId="104" fillId="0" borderId="0" xfId="62" applyNumberFormat="1" applyFont="1" applyFill="1" applyAlignment="1">
      <alignment vertical="center"/>
    </xf>
    <xf numFmtId="171" fontId="25" fillId="0" borderId="0" xfId="62" applyNumberFormat="1" applyFont="1" applyFill="1" applyAlignment="1">
      <alignment vertical="center"/>
    </xf>
    <xf numFmtId="0" fontId="25" fillId="0" borderId="81" xfId="62" applyNumberFormat="1" applyFont="1" applyFill="1" applyBorder="1" applyAlignment="1">
      <alignment horizontal="left" vertical="center" wrapText="1"/>
    </xf>
    <xf numFmtId="165" fontId="25" fillId="0" borderId="0" xfId="62" applyNumberFormat="1" applyFont="1" applyFill="1" applyAlignment="1">
      <alignment horizontal="left" vertical="center"/>
    </xf>
    <xf numFmtId="171" fontId="25" fillId="0" borderId="0" xfId="62" applyNumberFormat="1" applyFont="1" applyFill="1" applyAlignment="1">
      <alignment horizontal="left" vertical="center"/>
    </xf>
    <xf numFmtId="0" fontId="104" fillId="0" borderId="81" xfId="62" applyNumberFormat="1" applyFont="1" applyFill="1" applyBorder="1" applyAlignment="1">
      <alignment horizontal="left" vertical="center" wrapText="1"/>
    </xf>
    <xf numFmtId="0" fontId="104" fillId="0" borderId="81" xfId="167" applyNumberFormat="1" applyFont="1" applyFill="1" applyBorder="1" applyAlignment="1">
      <alignment horizontal="center" vertical="center" wrapText="1"/>
    </xf>
    <xf numFmtId="0" fontId="104" fillId="0" borderId="81" xfId="62" applyNumberFormat="1" applyFont="1" applyFill="1" applyBorder="1" applyAlignment="1">
      <alignment horizontal="center" vertical="center" wrapText="1"/>
    </xf>
    <xf numFmtId="1" fontId="104" fillId="0" borderId="81" xfId="62" applyNumberFormat="1" applyFont="1" applyFill="1" applyBorder="1" applyAlignment="1">
      <alignment horizontal="left" vertical="center" wrapText="1"/>
    </xf>
    <xf numFmtId="1" fontId="25" fillId="0" borderId="0" xfId="62" applyNumberFormat="1" applyFont="1" applyFill="1" applyAlignment="1">
      <alignment vertical="center"/>
    </xf>
    <xf numFmtId="0" fontId="104" fillId="0" borderId="81" xfId="62" applyFont="1" applyFill="1" applyBorder="1" applyAlignment="1">
      <alignment horizontal="center" vertical="center" wrapText="1"/>
    </xf>
    <xf numFmtId="0" fontId="104" fillId="0" borderId="0" xfId="62" applyFont="1" applyFill="1" applyBorder="1" applyAlignment="1">
      <alignment horizontal="center" vertical="center" wrapText="1"/>
    </xf>
    <xf numFmtId="0" fontId="25" fillId="0" borderId="0" xfId="62" applyFont="1" applyFill="1" applyAlignment="1">
      <alignment horizontal="center" vertical="center" wrapText="1"/>
    </xf>
    <xf numFmtId="171" fontId="104" fillId="0" borderId="0" xfId="62" applyNumberFormat="1" applyFont="1" applyFill="1" applyAlignment="1">
      <alignment horizontal="center" vertical="center"/>
    </xf>
    <xf numFmtId="0" fontId="109" fillId="16" borderId="80" xfId="62" applyNumberFormat="1" applyFont="1" applyFill="1" applyBorder="1" applyAlignment="1">
      <alignment horizontal="left" vertical="center" wrapText="1"/>
    </xf>
    <xf numFmtId="0" fontId="109" fillId="16" borderId="84" xfId="62" applyNumberFormat="1" applyFont="1" applyFill="1" applyBorder="1" applyAlignment="1">
      <alignment horizontal="left" vertical="center" wrapText="1"/>
    </xf>
    <xf numFmtId="165" fontId="25" fillId="16" borderId="105" xfId="62" applyNumberFormat="1" applyFont="1" applyFill="1" applyBorder="1" applyAlignment="1">
      <alignment horizontal="right" vertical="center" wrapText="1"/>
    </xf>
    <xf numFmtId="165" fontId="25" fillId="16" borderId="106" xfId="62" applyNumberFormat="1" applyFont="1" applyFill="1" applyBorder="1" applyAlignment="1">
      <alignment horizontal="right" vertical="center" wrapText="1"/>
    </xf>
    <xf numFmtId="165" fontId="25" fillId="16" borderId="80" xfId="62" applyNumberFormat="1" applyFont="1" applyFill="1" applyBorder="1" applyAlignment="1">
      <alignment horizontal="right" vertical="center" wrapText="1"/>
    </xf>
    <xf numFmtId="165" fontId="25" fillId="16" borderId="107" xfId="62" applyNumberFormat="1" applyFont="1" applyFill="1" applyBorder="1" applyAlignment="1">
      <alignment horizontal="right" vertical="center" wrapText="1"/>
    </xf>
    <xf numFmtId="165" fontId="25" fillId="16" borderId="89" xfId="62" applyNumberFormat="1" applyFont="1" applyFill="1" applyBorder="1" applyAlignment="1">
      <alignment horizontal="right" vertical="center" wrapText="1"/>
    </xf>
    <xf numFmtId="0" fontId="25" fillId="0" borderId="89" xfId="62" applyNumberFormat="1" applyFont="1" applyFill="1" applyBorder="1" applyAlignment="1">
      <alignment horizontal="left" vertical="center" wrapText="1" indent="2"/>
    </xf>
    <xf numFmtId="1" fontId="104" fillId="6" borderId="108" xfId="167" applyNumberFormat="1" applyFont="1" applyFill="1" applyBorder="1" applyAlignment="1">
      <alignment horizontal="center" vertical="center" wrapText="1"/>
    </xf>
    <xf numFmtId="165" fontId="104" fillId="7" borderId="87" xfId="62" applyNumberFormat="1" applyFont="1" applyFill="1" applyBorder="1" applyAlignment="1">
      <alignment horizontal="right" vertical="center" wrapText="1"/>
    </xf>
    <xf numFmtId="165" fontId="104" fillId="6" borderId="30" xfId="62" applyNumberFormat="1" applyFont="1" applyFill="1" applyBorder="1" applyAlignment="1">
      <alignment horizontal="right" vertical="center" wrapText="1"/>
    </xf>
    <xf numFmtId="165" fontId="104" fillId="7" borderId="30" xfId="62" applyNumberFormat="1" applyFont="1" applyFill="1" applyBorder="1" applyAlignment="1">
      <alignment horizontal="right" vertical="center" wrapText="1"/>
    </xf>
    <xf numFmtId="165" fontId="104" fillId="6" borderId="89" xfId="62" applyNumberFormat="1" applyFont="1" applyFill="1" applyBorder="1" applyAlignment="1">
      <alignment horizontal="right" vertical="center" wrapText="1"/>
    </xf>
    <xf numFmtId="165" fontId="104" fillId="14" borderId="87" xfId="62" applyNumberFormat="1" applyFont="1" applyFill="1" applyBorder="1" applyAlignment="1">
      <alignment horizontal="right" vertical="center" wrapText="1"/>
    </xf>
    <xf numFmtId="165" fontId="104" fillId="14" borderId="30" xfId="62" applyNumberFormat="1" applyFont="1" applyFill="1" applyBorder="1" applyAlignment="1">
      <alignment horizontal="right" vertical="center" wrapText="1"/>
    </xf>
    <xf numFmtId="165" fontId="104" fillId="14" borderId="31" xfId="62" applyNumberFormat="1" applyFont="1" applyFill="1" applyBorder="1" applyAlignment="1">
      <alignment horizontal="left" vertical="center" wrapText="1"/>
    </xf>
    <xf numFmtId="165" fontId="104" fillId="14" borderId="89" xfId="62" applyNumberFormat="1" applyFont="1" applyFill="1" applyBorder="1" applyAlignment="1">
      <alignment horizontal="right" vertical="center" wrapText="1"/>
    </xf>
    <xf numFmtId="0" fontId="25" fillId="7" borderId="0" xfId="62" applyFont="1" applyFill="1" applyAlignment="1">
      <alignment vertical="center"/>
    </xf>
    <xf numFmtId="189" fontId="25" fillId="0" borderId="0" xfId="168" applyNumberFormat="1" applyFont="1" applyFill="1" applyAlignment="1">
      <alignment vertical="center"/>
    </xf>
    <xf numFmtId="165" fontId="25" fillId="6" borderId="0" xfId="62" applyNumberFormat="1" applyFont="1" applyFill="1" applyAlignment="1">
      <alignment vertical="center"/>
    </xf>
    <xf numFmtId="165" fontId="25" fillId="14" borderId="92" xfId="62" applyNumberFormat="1" applyFont="1" applyFill="1" applyBorder="1" applyAlignment="1">
      <alignment horizontal="right" vertical="center" wrapText="1"/>
    </xf>
    <xf numFmtId="171" fontId="25" fillId="14" borderId="82" xfId="62" applyNumberFormat="1" applyFont="1" applyFill="1" applyBorder="1" applyAlignment="1">
      <alignment vertical="center"/>
    </xf>
    <xf numFmtId="189" fontId="25" fillId="14" borderId="86" xfId="170" applyNumberFormat="1" applyFont="1" applyFill="1" applyBorder="1" applyAlignment="1">
      <alignment vertical="center"/>
    </xf>
    <xf numFmtId="171" fontId="25" fillId="14" borderId="86" xfId="62" applyNumberFormat="1" applyFont="1" applyFill="1" applyBorder="1" applyAlignment="1">
      <alignment vertical="center"/>
    </xf>
    <xf numFmtId="0" fontId="25" fillId="0" borderId="89" xfId="62" applyNumberFormat="1" applyFont="1" applyFill="1" applyBorder="1" applyAlignment="1">
      <alignment horizontal="left" vertical="center" indent="2"/>
    </xf>
    <xf numFmtId="0" fontId="25" fillId="0" borderId="92" xfId="62" applyNumberFormat="1" applyFont="1" applyFill="1" applyBorder="1" applyAlignment="1">
      <alignment horizontal="left" vertical="center" wrapText="1" indent="4"/>
    </xf>
    <xf numFmtId="1" fontId="25" fillId="14" borderId="68" xfId="167" applyNumberFormat="1" applyFont="1" applyFill="1" applyBorder="1" applyAlignment="1">
      <alignment horizontal="left" vertical="center" wrapText="1" indent="6"/>
    </xf>
    <xf numFmtId="165" fontId="25" fillId="7" borderId="52" xfId="62" applyNumberFormat="1" applyFont="1" applyFill="1" applyBorder="1" applyAlignment="1">
      <alignment horizontal="right" vertical="center" wrapText="1"/>
    </xf>
    <xf numFmtId="165" fontId="25" fillId="6" borderId="53" xfId="62" applyNumberFormat="1" applyFont="1" applyFill="1" applyBorder="1" applyAlignment="1">
      <alignment horizontal="right" vertical="center" wrapText="1"/>
    </xf>
    <xf numFmtId="165" fontId="25" fillId="7" borderId="53" xfId="62" applyNumberFormat="1" applyFont="1" applyFill="1" applyBorder="1" applyAlignment="1">
      <alignment horizontal="right" vertical="center" wrapText="1"/>
    </xf>
    <xf numFmtId="165" fontId="25" fillId="6" borderId="92" xfId="62" applyNumberFormat="1" applyFont="1" applyFill="1" applyBorder="1" applyAlignment="1">
      <alignment horizontal="right" vertical="center" wrapText="1"/>
    </xf>
    <xf numFmtId="165" fontId="25" fillId="6" borderId="52" xfId="62" applyNumberFormat="1" applyFont="1" applyFill="1" applyBorder="1" applyAlignment="1">
      <alignment horizontal="right" vertical="center" wrapText="1"/>
    </xf>
    <xf numFmtId="165" fontId="25" fillId="6" borderId="97" xfId="62" applyNumberFormat="1" applyFont="1" applyFill="1" applyBorder="1" applyAlignment="1">
      <alignment horizontal="left" vertical="center" wrapText="1"/>
    </xf>
    <xf numFmtId="43" fontId="25" fillId="6" borderId="0" xfId="62" applyNumberFormat="1" applyFont="1" applyFill="1" applyAlignment="1">
      <alignment vertical="center"/>
    </xf>
    <xf numFmtId="10" fontId="25" fillId="0" borderId="0" xfId="170" applyNumberFormat="1" applyFont="1" applyFill="1" applyAlignment="1">
      <alignment vertical="center"/>
    </xf>
    <xf numFmtId="171" fontId="25" fillId="7" borderId="0" xfId="62" applyNumberFormat="1" applyFont="1" applyFill="1" applyAlignment="1">
      <alignment vertical="center"/>
    </xf>
    <xf numFmtId="189" fontId="25" fillId="7" borderId="0" xfId="170" applyNumberFormat="1" applyFont="1" applyFill="1" applyAlignment="1">
      <alignment vertical="center"/>
    </xf>
    <xf numFmtId="171" fontId="146" fillId="0" borderId="0" xfId="62" applyNumberFormat="1" applyFont="1" applyFill="1" applyAlignment="1">
      <alignment vertical="center"/>
    </xf>
    <xf numFmtId="0" fontId="25" fillId="0" borderId="92" xfId="62" applyNumberFormat="1" applyFont="1" applyFill="1" applyBorder="1" applyAlignment="1">
      <alignment horizontal="left" vertical="center" indent="4"/>
    </xf>
    <xf numFmtId="0" fontId="110" fillId="0" borderId="92" xfId="167" applyNumberFormat="1" applyFont="1" applyFill="1" applyBorder="1" applyAlignment="1">
      <alignment horizontal="left" vertical="center" wrapText="1" indent="6"/>
    </xf>
    <xf numFmtId="1" fontId="110" fillId="14" borderId="68" xfId="167" applyNumberFormat="1" applyFont="1" applyFill="1" applyBorder="1" applyAlignment="1">
      <alignment vertical="center" wrapText="1"/>
    </xf>
    <xf numFmtId="165" fontId="110" fillId="6" borderId="52" xfId="167" applyNumberFormat="1" applyFont="1" applyFill="1" applyBorder="1" applyAlignment="1">
      <alignment horizontal="right" vertical="center" wrapText="1"/>
    </xf>
    <xf numFmtId="165" fontId="110" fillId="6" borderId="53" xfId="167" applyNumberFormat="1" applyFont="1" applyFill="1" applyBorder="1" applyAlignment="1">
      <alignment horizontal="right" vertical="center" wrapText="1"/>
    </xf>
    <xf numFmtId="165" fontId="110" fillId="6" borderId="92" xfId="167" applyNumberFormat="1" applyFont="1" applyFill="1" applyBorder="1" applyAlignment="1">
      <alignment horizontal="right" vertical="center" wrapText="1"/>
    </xf>
    <xf numFmtId="165" fontId="110" fillId="6" borderId="52" xfId="164" applyNumberFormat="1" applyFont="1" applyFill="1" applyBorder="1" applyAlignment="1">
      <alignment horizontal="right" vertical="center" wrapText="1"/>
    </xf>
    <xf numFmtId="165" fontId="110" fillId="6" borderId="53" xfId="164" applyNumberFormat="1" applyFont="1" applyFill="1" applyBorder="1" applyAlignment="1">
      <alignment horizontal="right" vertical="center" wrapText="1"/>
    </xf>
    <xf numFmtId="165" fontId="110" fillId="6" borderId="97" xfId="164" applyNumberFormat="1" applyFont="1" applyFill="1" applyBorder="1" applyAlignment="1">
      <alignment horizontal="left" vertical="center" wrapText="1"/>
    </xf>
    <xf numFmtId="165" fontId="110" fillId="6" borderId="92" xfId="164" applyNumberFormat="1" applyFont="1" applyFill="1" applyBorder="1" applyAlignment="1">
      <alignment horizontal="right" vertical="center" wrapText="1"/>
    </xf>
    <xf numFmtId="0" fontId="25" fillId="0" borderId="0" xfId="167" applyFont="1" applyFill="1" applyAlignment="1">
      <alignment vertical="center"/>
    </xf>
    <xf numFmtId="0" fontId="25" fillId="7" borderId="0" xfId="167" applyFont="1" applyFill="1" applyAlignment="1">
      <alignment vertical="center"/>
    </xf>
    <xf numFmtId="165" fontId="25" fillId="6" borderId="0" xfId="167" applyNumberFormat="1" applyFont="1" applyFill="1" applyAlignment="1">
      <alignment vertical="center"/>
    </xf>
    <xf numFmtId="165" fontId="25" fillId="14" borderId="92" xfId="167" applyNumberFormat="1" applyFont="1" applyFill="1" applyBorder="1" applyAlignment="1">
      <alignment horizontal="right" vertical="center" wrapText="1"/>
    </xf>
    <xf numFmtId="171" fontId="25" fillId="0" borderId="0" xfId="167" applyNumberFormat="1" applyFont="1" applyFill="1" applyAlignment="1">
      <alignment vertical="center"/>
    </xf>
    <xf numFmtId="171" fontId="110" fillId="7" borderId="0" xfId="62" applyNumberFormat="1" applyFont="1" applyFill="1" applyAlignment="1">
      <alignment vertical="center"/>
    </xf>
    <xf numFmtId="189" fontId="110" fillId="7" borderId="0" xfId="170" applyNumberFormat="1" applyFont="1" applyFill="1" applyAlignment="1">
      <alignment vertical="center"/>
    </xf>
    <xf numFmtId="0" fontId="110" fillId="0" borderId="92" xfId="167" applyNumberFormat="1" applyFont="1" applyFill="1" applyBorder="1" applyAlignment="1">
      <alignment horizontal="left" vertical="center" indent="6"/>
    </xf>
    <xf numFmtId="1" fontId="110" fillId="6" borderId="68" xfId="167" applyNumberFormat="1" applyFont="1" applyFill="1" applyBorder="1" applyAlignment="1">
      <alignment vertical="center" wrapText="1"/>
    </xf>
    <xf numFmtId="0" fontId="146" fillId="0" borderId="109" xfId="167" applyNumberFormat="1" applyFont="1" applyFill="1" applyBorder="1" applyAlignment="1">
      <alignment horizontal="left" vertical="center" wrapText="1" indent="6"/>
    </xf>
    <xf numFmtId="165" fontId="25" fillId="6" borderId="40" xfId="62" applyNumberFormat="1" applyFont="1" applyFill="1" applyBorder="1" applyAlignment="1">
      <alignment horizontal="right" vertical="center" wrapText="1"/>
    </xf>
    <xf numFmtId="165" fontId="25" fillId="6" borderId="41" xfId="62" applyNumberFormat="1" applyFont="1" applyFill="1" applyBorder="1" applyAlignment="1">
      <alignment horizontal="right" vertical="center" wrapText="1"/>
    </xf>
    <xf numFmtId="165" fontId="25" fillId="7" borderId="41" xfId="62" applyNumberFormat="1" applyFont="1" applyFill="1" applyBorder="1" applyAlignment="1">
      <alignment horizontal="right" vertical="center" wrapText="1"/>
    </xf>
    <xf numFmtId="165" fontId="25" fillId="6" borderId="38" xfId="62" applyNumberFormat="1" applyFont="1" applyFill="1" applyBorder="1" applyAlignment="1">
      <alignment horizontal="right" vertical="center" wrapText="1"/>
    </xf>
    <xf numFmtId="165" fontId="25" fillId="6" borderId="42" xfId="62" applyNumberFormat="1" applyFont="1" applyFill="1" applyBorder="1" applyAlignment="1">
      <alignment horizontal="left" vertical="center" wrapText="1"/>
    </xf>
    <xf numFmtId="171" fontId="25" fillId="6" borderId="0" xfId="62" applyNumberFormat="1" applyFont="1" applyFill="1" applyAlignment="1">
      <alignment vertical="center"/>
    </xf>
    <xf numFmtId="189" fontId="25" fillId="6" borderId="0" xfId="170" applyNumberFormat="1" applyFont="1" applyFill="1" applyAlignment="1">
      <alignment vertical="center"/>
    </xf>
    <xf numFmtId="0" fontId="25" fillId="0" borderId="38" xfId="62" applyNumberFormat="1" applyFont="1" applyFill="1" applyBorder="1" applyAlignment="1">
      <alignment horizontal="left" vertical="center" indent="4"/>
    </xf>
    <xf numFmtId="165" fontId="104" fillId="14" borderId="87" xfId="62" applyNumberFormat="1" applyFont="1" applyFill="1" applyBorder="1" applyAlignment="1">
      <alignment horizontal="left" vertical="center" wrapText="1"/>
    </xf>
    <xf numFmtId="165" fontId="104" fillId="14" borderId="30" xfId="62" applyNumberFormat="1" applyFont="1" applyFill="1" applyBorder="1" applyAlignment="1">
      <alignment horizontal="left" vertical="center" wrapText="1"/>
    </xf>
    <xf numFmtId="165" fontId="104" fillId="14" borderId="31" xfId="62" applyNumberFormat="1" applyFont="1" applyFill="1" applyBorder="1" applyAlignment="1">
      <alignment horizontal="right" vertical="center" wrapText="1"/>
    </xf>
    <xf numFmtId="2" fontId="25" fillId="6" borderId="0" xfId="62" applyNumberFormat="1" applyFont="1" applyFill="1" applyAlignment="1">
      <alignment vertical="center"/>
    </xf>
    <xf numFmtId="43" fontId="25" fillId="0" borderId="0" xfId="62" applyNumberFormat="1" applyFont="1" applyFill="1" applyAlignment="1">
      <alignment vertical="center"/>
    </xf>
    <xf numFmtId="171" fontId="25" fillId="7" borderId="82" xfId="62" applyNumberFormat="1" applyFont="1" applyFill="1" applyBorder="1" applyAlignment="1">
      <alignment vertical="center"/>
    </xf>
    <xf numFmtId="189" fontId="25" fillId="7" borderId="86" xfId="170" applyNumberFormat="1" applyFont="1" applyFill="1" applyBorder="1" applyAlignment="1">
      <alignment vertical="center"/>
    </xf>
    <xf numFmtId="2" fontId="25" fillId="7" borderId="0" xfId="167" applyNumberFormat="1" applyFont="1" applyFill="1" applyAlignment="1">
      <alignment vertical="center"/>
    </xf>
    <xf numFmtId="2" fontId="25" fillId="6" borderId="0" xfId="167" applyNumberFormat="1" applyFont="1" applyFill="1" applyAlignment="1">
      <alignment vertical="center"/>
    </xf>
    <xf numFmtId="0" fontId="110" fillId="0" borderId="39" xfId="167" applyNumberFormat="1" applyFont="1" applyFill="1" applyBorder="1" applyAlignment="1">
      <alignment horizontal="left" vertical="center" wrapText="1" indent="6"/>
    </xf>
    <xf numFmtId="1" fontId="110" fillId="14" borderId="110" xfId="167" applyNumberFormat="1" applyFont="1" applyFill="1" applyBorder="1" applyAlignment="1">
      <alignment vertical="center" wrapText="1"/>
    </xf>
    <xf numFmtId="165" fontId="110" fillId="6" borderId="43" xfId="167" applyNumberFormat="1" applyFont="1" applyFill="1" applyBorder="1" applyAlignment="1">
      <alignment horizontal="right" vertical="center" wrapText="1"/>
    </xf>
    <xf numFmtId="165" fontId="110" fillId="6" borderId="44" xfId="167" applyNumberFormat="1" applyFont="1" applyFill="1" applyBorder="1" applyAlignment="1">
      <alignment horizontal="right" vertical="center" wrapText="1"/>
    </xf>
    <xf numFmtId="165" fontId="110" fillId="6" borderId="39" xfId="167" applyNumberFormat="1" applyFont="1" applyFill="1" applyBorder="1" applyAlignment="1">
      <alignment horizontal="right" vertical="center" wrapText="1"/>
    </xf>
    <xf numFmtId="165" fontId="110" fillId="6" borderId="43" xfId="164" applyNumberFormat="1" applyFont="1" applyFill="1" applyBorder="1" applyAlignment="1">
      <alignment horizontal="right" vertical="center" wrapText="1"/>
    </xf>
    <xf numFmtId="165" fontId="110" fillId="6" borderId="44" xfId="164" applyNumberFormat="1" applyFont="1" applyFill="1" applyBorder="1" applyAlignment="1">
      <alignment horizontal="right" vertical="center" wrapText="1"/>
    </xf>
    <xf numFmtId="165" fontId="110" fillId="6" borderId="45" xfId="164" applyNumberFormat="1" applyFont="1" applyFill="1" applyBorder="1" applyAlignment="1">
      <alignment horizontal="left" vertical="center" wrapText="1"/>
    </xf>
    <xf numFmtId="165" fontId="110" fillId="6" borderId="39" xfId="164" applyNumberFormat="1" applyFont="1" applyFill="1" applyBorder="1" applyAlignment="1">
      <alignment horizontal="right" vertical="center" wrapText="1"/>
    </xf>
    <xf numFmtId="0" fontId="110" fillId="0" borderId="39" xfId="167" applyNumberFormat="1" applyFont="1" applyFill="1" applyBorder="1" applyAlignment="1">
      <alignment horizontal="left" vertical="center" indent="6"/>
    </xf>
    <xf numFmtId="0" fontId="25" fillId="0" borderId="81" xfId="62" applyNumberFormat="1" applyFont="1" applyFill="1" applyBorder="1" applyAlignment="1">
      <alignment horizontal="left" vertical="center" wrapText="1" indent="2"/>
    </xf>
    <xf numFmtId="0" fontId="104" fillId="0" borderId="82" xfId="167" applyNumberFormat="1" applyFont="1" applyFill="1" applyBorder="1" applyAlignment="1">
      <alignment horizontal="center" vertical="center" wrapText="1"/>
    </xf>
    <xf numFmtId="165" fontId="104" fillId="7" borderId="98" xfId="62" applyNumberFormat="1" applyFont="1" applyFill="1" applyBorder="1" applyAlignment="1">
      <alignment horizontal="right" vertical="center" wrapText="1"/>
    </xf>
    <xf numFmtId="165" fontId="104" fillId="6" borderId="99" xfId="62" applyNumberFormat="1" applyFont="1" applyFill="1" applyBorder="1" applyAlignment="1">
      <alignment horizontal="right" vertical="center" wrapText="1"/>
    </xf>
    <xf numFmtId="165" fontId="104" fillId="7" borderId="99" xfId="62" applyNumberFormat="1" applyFont="1" applyFill="1" applyBorder="1" applyAlignment="1">
      <alignment horizontal="right" vertical="center" wrapText="1"/>
    </xf>
    <xf numFmtId="165" fontId="104" fillId="6" borderId="81" xfId="62" applyNumberFormat="1" applyFont="1" applyFill="1" applyBorder="1" applyAlignment="1">
      <alignment horizontal="right" vertical="center" wrapText="1"/>
    </xf>
    <xf numFmtId="165" fontId="104" fillId="0" borderId="98" xfId="62" applyNumberFormat="1" applyFont="1" applyFill="1" applyBorder="1" applyAlignment="1">
      <alignment horizontal="left" vertical="center" wrapText="1"/>
    </xf>
    <xf numFmtId="165" fontId="104" fillId="0" borderId="99" xfId="62" applyNumberFormat="1" applyFont="1" applyFill="1" applyBorder="1" applyAlignment="1">
      <alignment horizontal="left" vertical="center" wrapText="1"/>
    </xf>
    <xf numFmtId="165" fontId="104" fillId="0" borderId="99" xfId="62" applyNumberFormat="1" applyFont="1" applyFill="1" applyBorder="1" applyAlignment="1">
      <alignment horizontal="right" vertical="center" wrapText="1"/>
    </xf>
    <xf numFmtId="165" fontId="104" fillId="0" borderId="111" xfId="62" applyNumberFormat="1" applyFont="1" applyFill="1" applyBorder="1" applyAlignment="1">
      <alignment horizontal="left" vertical="center" wrapText="1"/>
    </xf>
    <xf numFmtId="165" fontId="104" fillId="0" borderId="81" xfId="62" applyNumberFormat="1" applyFont="1" applyFill="1" applyBorder="1" applyAlignment="1">
      <alignment horizontal="right" vertical="center" wrapText="1"/>
    </xf>
    <xf numFmtId="189" fontId="25" fillId="0" borderId="0" xfId="170" applyNumberFormat="1" applyFont="1" applyFill="1" applyAlignment="1">
      <alignment vertical="center"/>
    </xf>
    <xf numFmtId="0" fontId="25" fillId="0" borderId="81" xfId="62" applyNumberFormat="1" applyFont="1" applyFill="1" applyBorder="1" applyAlignment="1">
      <alignment horizontal="left" vertical="center" indent="2"/>
    </xf>
    <xf numFmtId="165" fontId="104" fillId="11" borderId="99" xfId="62" applyNumberFormat="1" applyFont="1" applyFill="1" applyBorder="1" applyAlignment="1">
      <alignment horizontal="right" vertical="center" wrapText="1"/>
    </xf>
    <xf numFmtId="165" fontId="25" fillId="14" borderId="38" xfId="62" applyNumberFormat="1" applyFont="1" applyFill="1" applyBorder="1" applyAlignment="1">
      <alignment horizontal="right" vertical="center" wrapText="1"/>
    </xf>
    <xf numFmtId="1" fontId="104" fillId="6" borderId="8" xfId="167" applyNumberFormat="1" applyFont="1" applyFill="1" applyBorder="1" applyAlignment="1">
      <alignment horizontal="center" vertical="center"/>
    </xf>
    <xf numFmtId="165" fontId="104" fillId="6" borderId="8" xfId="62" applyNumberFormat="1" applyFont="1" applyFill="1" applyBorder="1" applyAlignment="1">
      <alignment horizontal="right" vertical="center" wrapText="1"/>
    </xf>
    <xf numFmtId="171" fontId="104" fillId="6" borderId="81" xfId="62" applyNumberFormat="1" applyFont="1" applyFill="1" applyBorder="1" applyAlignment="1">
      <alignment vertical="center"/>
    </xf>
    <xf numFmtId="189" fontId="104" fillId="6" borderId="81" xfId="170" applyNumberFormat="1" applyFont="1" applyFill="1" applyBorder="1" applyAlignment="1">
      <alignment vertical="center"/>
    </xf>
    <xf numFmtId="171" fontId="25" fillId="6" borderId="81" xfId="62" applyNumberFormat="1" applyFont="1" applyFill="1" applyBorder="1" applyAlignment="1">
      <alignment vertical="center"/>
    </xf>
    <xf numFmtId="165" fontId="25" fillId="0" borderId="0" xfId="167" applyNumberFormat="1" applyFont="1" applyFill="1" applyAlignment="1">
      <alignment vertical="center"/>
    </xf>
    <xf numFmtId="199" fontId="25" fillId="0" borderId="0" xfId="62" applyNumberFormat="1" applyFont="1" applyFill="1" applyAlignment="1">
      <alignment vertical="center"/>
    </xf>
    <xf numFmtId="165" fontId="104" fillId="0" borderId="0" xfId="167" applyNumberFormat="1" applyFont="1" applyFill="1" applyAlignment="1">
      <alignment horizontal="right" vertical="center"/>
    </xf>
    <xf numFmtId="165" fontId="25" fillId="14" borderId="81" xfId="62" applyNumberFormat="1" applyFont="1" applyFill="1" applyBorder="1" applyAlignment="1">
      <alignment vertical="center"/>
    </xf>
    <xf numFmtId="0" fontId="54" fillId="0" borderId="0" xfId="108" applyAlignment="1">
      <alignment horizontal="left"/>
    </xf>
    <xf numFmtId="165" fontId="54" fillId="0" borderId="0" xfId="174" applyFont="1" applyAlignment="1">
      <alignment horizontal="left"/>
    </xf>
    <xf numFmtId="0" fontId="147" fillId="0" borderId="0" xfId="62" applyFont="1" applyFill="1" applyAlignment="1">
      <alignment horizontal="center" vertical="center" wrapText="1"/>
    </xf>
    <xf numFmtId="0" fontId="4" fillId="0" borderId="0" xfId="95"/>
    <xf numFmtId="0" fontId="44" fillId="0" borderId="81" xfId="108" applyFont="1" applyBorder="1" applyAlignment="1">
      <alignment horizontal="center" vertical="center"/>
    </xf>
    <xf numFmtId="3" fontId="22" fillId="0" borderId="80" xfId="108" applyNumberFormat="1" applyFont="1" applyBorder="1" applyAlignment="1">
      <alignment horizontal="center" vertical="center" wrapText="1"/>
    </xf>
    <xf numFmtId="3" fontId="22" fillId="0" borderId="80" xfId="108" applyNumberFormat="1" applyFont="1" applyBorder="1" applyAlignment="1">
      <alignment horizontal="right" vertical="center" wrapText="1"/>
    </xf>
    <xf numFmtId="3" fontId="22" fillId="11" borderId="80" xfId="108" applyNumberFormat="1" applyFont="1" applyFill="1" applyBorder="1" applyAlignment="1">
      <alignment horizontal="center" vertical="center" wrapText="1"/>
    </xf>
    <xf numFmtId="3" fontId="22" fillId="16" borderId="80" xfId="108" applyNumberFormat="1" applyFont="1" applyFill="1" applyBorder="1" applyAlignment="1">
      <alignment horizontal="center" vertical="center" wrapText="1"/>
    </xf>
    <xf numFmtId="3" fontId="22" fillId="0" borderId="80" xfId="158" applyNumberFormat="1" applyFont="1" applyBorder="1" applyAlignment="1">
      <alignment horizontal="center" vertical="center" wrapText="1"/>
    </xf>
    <xf numFmtId="3" fontId="22" fillId="11" borderId="80" xfId="158" applyNumberFormat="1" applyFont="1" applyFill="1" applyBorder="1" applyAlignment="1">
      <alignment horizontal="center" vertical="center" wrapText="1"/>
    </xf>
    <xf numFmtId="0" fontId="22" fillId="0" borderId="89" xfId="108" applyNumberFormat="1" applyFont="1" applyBorder="1" applyAlignment="1">
      <alignment horizontal="left" vertical="top" wrapText="1"/>
    </xf>
    <xf numFmtId="165" fontId="106" fillId="0" borderId="89" xfId="108" applyNumberFormat="1" applyFont="1" applyBorder="1" applyAlignment="1">
      <alignment horizontal="right" vertical="top" wrapText="1"/>
    </xf>
    <xf numFmtId="165" fontId="22" fillId="0" borderId="89" xfId="108" applyNumberFormat="1" applyFont="1" applyBorder="1" applyAlignment="1">
      <alignment horizontal="right" vertical="top" wrapText="1"/>
    </xf>
    <xf numFmtId="165" fontId="22" fillId="6" borderId="89" xfId="108" applyNumberFormat="1" applyFont="1" applyFill="1" applyBorder="1" applyAlignment="1">
      <alignment horizontal="right" vertical="top" wrapText="1"/>
    </xf>
    <xf numFmtId="165" fontId="106" fillId="11" borderId="89" xfId="108" applyNumberFormat="1" applyFont="1" applyFill="1" applyBorder="1" applyAlignment="1">
      <alignment horizontal="right" vertical="top" wrapText="1"/>
    </xf>
    <xf numFmtId="0" fontId="22" fillId="0" borderId="92" xfId="108" applyNumberFormat="1" applyFont="1" applyBorder="1" applyAlignment="1">
      <alignment horizontal="left" vertical="top" wrapText="1"/>
    </xf>
    <xf numFmtId="165" fontId="106" fillId="0" borderId="92" xfId="108" applyNumberFormat="1" applyFont="1" applyBorder="1" applyAlignment="1">
      <alignment horizontal="right" vertical="top" wrapText="1"/>
    </xf>
    <xf numFmtId="165" fontId="22" fillId="0" borderId="92" xfId="108" applyNumberFormat="1" applyFont="1" applyBorder="1" applyAlignment="1">
      <alignment horizontal="right" vertical="top" wrapText="1"/>
    </xf>
    <xf numFmtId="165" fontId="22" fillId="6" borderId="92" xfId="108" applyNumberFormat="1" applyFont="1" applyFill="1" applyBorder="1" applyAlignment="1">
      <alignment horizontal="right" vertical="top" wrapText="1"/>
    </xf>
    <xf numFmtId="165" fontId="22" fillId="11" borderId="92" xfId="108" applyNumberFormat="1" applyFont="1" applyFill="1" applyBorder="1" applyAlignment="1">
      <alignment horizontal="right" vertical="top" wrapText="1"/>
    </xf>
    <xf numFmtId="193" fontId="22" fillId="6" borderId="92" xfId="108" applyNumberFormat="1" applyFont="1" applyFill="1" applyBorder="1" applyAlignment="1">
      <alignment horizontal="right" vertical="top" wrapText="1"/>
    </xf>
    <xf numFmtId="165" fontId="22" fillId="7" borderId="92" xfId="108" applyNumberFormat="1" applyFont="1" applyFill="1" applyBorder="1" applyAlignment="1">
      <alignment horizontal="right" vertical="top" wrapText="1"/>
    </xf>
    <xf numFmtId="165" fontId="107" fillId="0" borderId="92" xfId="108" applyNumberFormat="1" applyFont="1" applyBorder="1" applyAlignment="1">
      <alignment horizontal="center" vertical="top" wrapText="1"/>
    </xf>
    <xf numFmtId="171" fontId="142" fillId="6" borderId="92" xfId="62" applyNumberFormat="1" applyFont="1" applyFill="1" applyBorder="1"/>
    <xf numFmtId="165" fontId="22" fillId="0" borderId="92" xfId="108" applyNumberFormat="1" applyFont="1" applyBorder="1" applyAlignment="1">
      <alignment horizontal="center" vertical="top" wrapText="1"/>
    </xf>
    <xf numFmtId="173" fontId="22" fillId="6" borderId="92" xfId="108" applyNumberFormat="1" applyFont="1" applyFill="1" applyBorder="1" applyAlignment="1">
      <alignment horizontal="right" vertical="top" wrapText="1"/>
    </xf>
    <xf numFmtId="165" fontId="22" fillId="0" borderId="92" xfId="108" applyNumberFormat="1" applyFont="1" applyBorder="1" applyAlignment="1">
      <alignment horizontal="left" vertical="top" wrapText="1"/>
    </xf>
    <xf numFmtId="165" fontId="22" fillId="14" borderId="92" xfId="108" applyNumberFormat="1" applyFont="1" applyFill="1" applyBorder="1" applyAlignment="1">
      <alignment horizontal="right" vertical="top" wrapText="1"/>
    </xf>
    <xf numFmtId="171" fontId="142" fillId="14" borderId="92" xfId="62" applyNumberFormat="1" applyFont="1" applyFill="1" applyBorder="1"/>
    <xf numFmtId="165" fontId="22" fillId="7" borderId="38" xfId="108" applyNumberFormat="1" applyFont="1" applyFill="1" applyBorder="1" applyAlignment="1">
      <alignment horizontal="right" vertical="top" wrapText="1"/>
    </xf>
    <xf numFmtId="165" fontId="22" fillId="6" borderId="38" xfId="108" applyNumberFormat="1" applyFont="1" applyFill="1" applyBorder="1" applyAlignment="1">
      <alignment horizontal="right" vertical="top" wrapText="1"/>
    </xf>
    <xf numFmtId="165" fontId="22" fillId="11" borderId="38" xfId="108" applyNumberFormat="1" applyFont="1" applyFill="1" applyBorder="1" applyAlignment="1">
      <alignment horizontal="right" vertical="top" wrapText="1"/>
    </xf>
    <xf numFmtId="171" fontId="142" fillId="6" borderId="38" xfId="62" applyNumberFormat="1" applyFont="1" applyFill="1" applyBorder="1"/>
    <xf numFmtId="0" fontId="108" fillId="0" borderId="81" xfId="108" applyNumberFormat="1" applyFont="1" applyBorder="1" applyAlignment="1">
      <alignment horizontal="right" vertical="top" wrapText="1"/>
    </xf>
    <xf numFmtId="165" fontId="22" fillId="25" borderId="80" xfId="108" applyNumberFormat="1" applyFont="1" applyFill="1" applyBorder="1" applyAlignment="1">
      <alignment horizontal="right" vertical="top" wrapText="1"/>
    </xf>
    <xf numFmtId="165" fontId="22" fillId="0" borderId="81" xfId="108" applyNumberFormat="1" applyFont="1" applyBorder="1" applyAlignment="1">
      <alignment horizontal="center" vertical="top" wrapText="1"/>
    </xf>
    <xf numFmtId="165" fontId="22" fillId="25" borderId="81" xfId="108" applyNumberFormat="1" applyFont="1" applyFill="1" applyBorder="1" applyAlignment="1">
      <alignment horizontal="right" vertical="top" wrapText="1"/>
    </xf>
    <xf numFmtId="4" fontId="22" fillId="25" borderId="80" xfId="158" applyNumberFormat="1" applyFont="1" applyFill="1" applyBorder="1" applyAlignment="1">
      <alignment horizontal="right" vertical="top" wrapText="1"/>
    </xf>
    <xf numFmtId="4" fontId="22" fillId="25" borderId="81" xfId="158" applyNumberFormat="1" applyFont="1" applyFill="1" applyBorder="1" applyAlignment="1">
      <alignment horizontal="right" vertical="top" wrapText="1"/>
    </xf>
    <xf numFmtId="43" fontId="105" fillId="0" borderId="0" xfId="62" applyNumberFormat="1" applyFont="1" applyFill="1"/>
    <xf numFmtId="43" fontId="148" fillId="7" borderId="0" xfId="62" applyNumberFormat="1" applyFont="1" applyFill="1"/>
    <xf numFmtId="165" fontId="24" fillId="6" borderId="89" xfId="108" applyNumberFormat="1" applyFont="1" applyFill="1" applyBorder="1" applyAlignment="1">
      <alignment horizontal="right" vertical="top" wrapText="1"/>
    </xf>
    <xf numFmtId="165" fontId="20" fillId="6" borderId="38" xfId="108" applyNumberFormat="1" applyFont="1" applyFill="1" applyBorder="1" applyAlignment="1">
      <alignment horizontal="right" vertical="top" wrapText="1"/>
    </xf>
    <xf numFmtId="165" fontId="24" fillId="6" borderId="38" xfId="108" applyNumberFormat="1" applyFont="1" applyFill="1" applyBorder="1" applyAlignment="1">
      <alignment horizontal="right" vertical="top" wrapText="1"/>
    </xf>
    <xf numFmtId="165" fontId="111" fillId="0" borderId="0" xfId="62" applyNumberFormat="1" applyFont="1" applyFill="1" applyAlignment="1">
      <alignment vertical="center"/>
    </xf>
    <xf numFmtId="165" fontId="146" fillId="0" borderId="0" xfId="62" applyNumberFormat="1" applyFont="1" applyFill="1" applyAlignment="1">
      <alignment vertical="center"/>
    </xf>
    <xf numFmtId="165" fontId="25" fillId="7" borderId="0" xfId="62" applyNumberFormat="1" applyFont="1" applyFill="1" applyAlignment="1">
      <alignment vertical="center"/>
    </xf>
    <xf numFmtId="0" fontId="4" fillId="0" borderId="0" xfId="95" applyAlignment="1">
      <alignment horizontal="right"/>
    </xf>
    <xf numFmtId="0" fontId="149" fillId="0" borderId="81" xfId="95" applyFont="1" applyBorder="1" applyAlignment="1">
      <alignment horizontal="center" vertical="center" wrapText="1"/>
    </xf>
    <xf numFmtId="0" fontId="150" fillId="0" borderId="81" xfId="95" applyFont="1" applyBorder="1" applyAlignment="1">
      <alignment horizontal="center" vertical="center" wrapText="1"/>
    </xf>
    <xf numFmtId="0" fontId="149" fillId="0" borderId="81" xfId="95" applyFont="1" applyBorder="1" applyAlignment="1">
      <alignment horizontal="left" vertical="top" wrapText="1"/>
    </xf>
    <xf numFmtId="0" fontId="151" fillId="0" borderId="81" xfId="95" applyFont="1" applyBorder="1" applyAlignment="1">
      <alignment horizontal="left" vertical="top" wrapText="1"/>
    </xf>
    <xf numFmtId="4" fontId="152" fillId="3" borderId="81" xfId="95" applyNumberFormat="1" applyFont="1" applyFill="1" applyBorder="1" applyAlignment="1">
      <alignment horizontal="right" vertical="top" wrapText="1"/>
    </xf>
    <xf numFmtId="4" fontId="152" fillId="0" borderId="81" xfId="95" applyNumberFormat="1" applyFont="1" applyBorder="1" applyAlignment="1">
      <alignment horizontal="right" vertical="top" wrapText="1"/>
    </xf>
    <xf numFmtId="4" fontId="4" fillId="0" borderId="0" xfId="95" applyNumberFormat="1"/>
    <xf numFmtId="0" fontId="4" fillId="0" borderId="0" xfId="95" applyAlignment="1">
      <alignment vertical="center"/>
    </xf>
    <xf numFmtId="165" fontId="4" fillId="0" borderId="0" xfId="95" applyNumberFormat="1" applyAlignment="1">
      <alignment vertical="center"/>
    </xf>
    <xf numFmtId="0" fontId="8" fillId="0" borderId="81" xfId="95" applyFont="1" applyBorder="1" applyAlignment="1">
      <alignment horizontal="center" vertical="center" wrapText="1"/>
    </xf>
    <xf numFmtId="0" fontId="8" fillId="0" borderId="77" xfId="95" applyFont="1" applyBorder="1" applyAlignment="1">
      <alignment horizontal="center" vertical="center" wrapText="1"/>
    </xf>
    <xf numFmtId="0" fontId="8" fillId="0" borderId="80" xfId="95" applyFont="1" applyBorder="1" applyAlignment="1">
      <alignment horizontal="center" vertical="center" wrapText="1"/>
    </xf>
    <xf numFmtId="17" fontId="8" fillId="0" borderId="80" xfId="95" applyNumberFormat="1" applyFont="1" applyBorder="1" applyAlignment="1">
      <alignment horizontal="center" vertical="center" wrapText="1"/>
    </xf>
    <xf numFmtId="0" fontId="8" fillId="0" borderId="89" xfId="95" applyFont="1" applyBorder="1" applyAlignment="1">
      <alignment horizontal="center" vertical="center" wrapText="1"/>
    </xf>
    <xf numFmtId="0" fontId="8" fillId="35" borderId="89" xfId="58" applyFont="1" applyFill="1" applyBorder="1" applyAlignment="1">
      <alignment horizontal="center" vertical="center" wrapText="1"/>
    </xf>
    <xf numFmtId="165" fontId="8" fillId="0" borderId="89" xfId="95" applyNumberFormat="1" applyFont="1" applyBorder="1" applyAlignment="1">
      <alignment horizontal="center" vertical="center" wrapText="1"/>
    </xf>
    <xf numFmtId="177" fontId="8" fillId="0" borderId="89" xfId="95" applyNumberFormat="1" applyFont="1" applyBorder="1" applyAlignment="1">
      <alignment vertical="center" wrapText="1"/>
    </xf>
    <xf numFmtId="165" fontId="8" fillId="0" borderId="89" xfId="95" applyNumberFormat="1" applyFont="1" applyBorder="1" applyAlignment="1">
      <alignment vertical="center" wrapText="1"/>
    </xf>
    <xf numFmtId="165" fontId="4" fillId="0" borderId="87" xfId="95" applyNumberFormat="1" applyBorder="1" applyAlignment="1">
      <alignment vertical="center"/>
    </xf>
    <xf numFmtId="165" fontId="4" fillId="0" borderId="30" xfId="95" applyNumberFormat="1" applyBorder="1" applyAlignment="1">
      <alignment vertical="center"/>
    </xf>
    <xf numFmtId="165" fontId="4" fillId="0" borderId="31" xfId="95" applyNumberFormat="1" applyBorder="1" applyAlignment="1">
      <alignment vertical="center"/>
    </xf>
    <xf numFmtId="165" fontId="4" fillId="0" borderId="102" xfId="95" applyNumberFormat="1" applyBorder="1" applyAlignment="1">
      <alignment vertical="center"/>
    </xf>
    <xf numFmtId="165" fontId="4" fillId="0" borderId="91" xfId="95" applyNumberFormat="1" applyBorder="1" applyAlignment="1">
      <alignment vertical="center"/>
    </xf>
    <xf numFmtId="0" fontId="8" fillId="0" borderId="92" xfId="95" applyFont="1" applyBorder="1" applyAlignment="1">
      <alignment horizontal="center" vertical="center" wrapText="1"/>
    </xf>
    <xf numFmtId="0" fontId="8" fillId="30" borderId="92" xfId="95" applyFont="1" applyFill="1" applyBorder="1" applyAlignment="1">
      <alignment horizontal="left" vertical="center" wrapText="1"/>
    </xf>
    <xf numFmtId="165" fontId="8" fillId="30" borderId="92" xfId="95" applyNumberFormat="1" applyFont="1" applyFill="1" applyBorder="1" applyAlignment="1">
      <alignment horizontal="center" vertical="center" wrapText="1"/>
    </xf>
    <xf numFmtId="177" fontId="8" fillId="30" borderId="92" xfId="95" applyNumberFormat="1" applyFont="1" applyFill="1" applyBorder="1" applyAlignment="1">
      <alignment horizontal="center" vertical="center" wrapText="1"/>
    </xf>
    <xf numFmtId="165" fontId="8" fillId="7" borderId="52" xfId="95" applyNumberFormat="1" applyFont="1" applyFill="1" applyBorder="1" applyAlignment="1">
      <alignment vertical="center" wrapText="1"/>
    </xf>
    <xf numFmtId="165" fontId="8" fillId="7" borderId="53" xfId="95" applyNumberFormat="1" applyFont="1" applyFill="1" applyBorder="1" applyAlignment="1">
      <alignment vertical="center" wrapText="1"/>
    </xf>
    <xf numFmtId="165" fontId="8" fillId="0" borderId="53" xfId="95" applyNumberFormat="1" applyFont="1" applyFill="1" applyBorder="1" applyAlignment="1">
      <alignment vertical="center" wrapText="1"/>
    </xf>
    <xf numFmtId="165" fontId="8" fillId="6" borderId="97" xfId="95" applyNumberFormat="1" applyFont="1" applyFill="1" applyBorder="1" applyAlignment="1">
      <alignment vertical="center" wrapText="1"/>
    </xf>
    <xf numFmtId="165" fontId="153" fillId="0" borderId="52" xfId="95" applyNumberFormat="1" applyFont="1" applyFill="1" applyBorder="1" applyAlignment="1">
      <alignment vertical="center" wrapText="1"/>
    </xf>
    <xf numFmtId="165" fontId="153" fillId="0" borderId="53" xfId="95" applyNumberFormat="1" applyFont="1" applyFill="1" applyBorder="1" applyAlignment="1">
      <alignment vertical="center" wrapText="1"/>
    </xf>
    <xf numFmtId="165" fontId="8" fillId="7" borderId="103" xfId="95" applyNumberFormat="1" applyFont="1" applyFill="1" applyBorder="1" applyAlignment="1">
      <alignment vertical="center" wrapText="1"/>
    </xf>
    <xf numFmtId="165" fontId="8" fillId="6" borderId="112" xfId="95" applyNumberFormat="1" applyFont="1" applyFill="1" applyBorder="1" applyAlignment="1">
      <alignment vertical="center" wrapText="1"/>
    </xf>
    <xf numFmtId="165" fontId="8" fillId="7" borderId="112" xfId="95" applyNumberFormat="1" applyFont="1" applyFill="1" applyBorder="1" applyAlignment="1">
      <alignment vertical="center" wrapText="1"/>
    </xf>
    <xf numFmtId="165" fontId="4" fillId="0" borderId="81" xfId="95" applyNumberFormat="1" applyBorder="1" applyAlignment="1">
      <alignment vertical="center"/>
    </xf>
    <xf numFmtId="165" fontId="4" fillId="6" borderId="81" xfId="95" applyNumberFormat="1" applyFill="1" applyBorder="1" applyAlignment="1">
      <alignment vertical="center"/>
    </xf>
    <xf numFmtId="165" fontId="4" fillId="14" borderId="87" xfId="95" applyNumberFormat="1" applyFill="1" applyBorder="1" applyAlignment="1">
      <alignment vertical="center"/>
    </xf>
    <xf numFmtId="165" fontId="4" fillId="14" borderId="31" xfId="95" applyNumberFormat="1" applyFill="1" applyBorder="1" applyAlignment="1">
      <alignment vertical="center"/>
    </xf>
    <xf numFmtId="0" fontId="8" fillId="30" borderId="92" xfId="58" applyFont="1" applyFill="1" applyBorder="1" applyAlignment="1">
      <alignment vertical="center" wrapText="1"/>
    </xf>
    <xf numFmtId="165" fontId="8" fillId="30" borderId="92" xfId="95" applyNumberFormat="1" applyFont="1" applyFill="1" applyBorder="1" applyAlignment="1">
      <alignment vertical="center" wrapText="1"/>
    </xf>
    <xf numFmtId="177" fontId="8" fillId="30" borderId="92" xfId="95" applyNumberFormat="1" applyFont="1" applyFill="1" applyBorder="1" applyAlignment="1">
      <alignment vertical="center" wrapText="1"/>
    </xf>
    <xf numFmtId="165" fontId="0" fillId="6" borderId="52" xfId="134" applyNumberFormat="1" applyFont="1" applyFill="1" applyBorder="1" applyAlignment="1">
      <alignment vertical="center"/>
    </xf>
    <xf numFmtId="165" fontId="0" fillId="6" borderId="53" xfId="134" applyNumberFormat="1" applyFont="1" applyFill="1" applyBorder="1" applyAlignment="1">
      <alignment vertical="center"/>
    </xf>
    <xf numFmtId="165" fontId="8" fillId="6" borderId="52" xfId="95" applyNumberFormat="1" applyFont="1" applyFill="1" applyBorder="1" applyAlignment="1">
      <alignment vertical="center" wrapText="1"/>
    </xf>
    <xf numFmtId="165" fontId="8" fillId="6" borderId="103" xfId="95" applyNumberFormat="1" applyFont="1" applyFill="1" applyBorder="1" applyAlignment="1">
      <alignment vertical="center" wrapText="1"/>
    </xf>
    <xf numFmtId="165" fontId="8" fillId="6" borderId="53" xfId="95" applyNumberFormat="1" applyFont="1" applyFill="1" applyBorder="1" applyAlignment="1">
      <alignment vertical="center" wrapText="1"/>
    </xf>
    <xf numFmtId="165" fontId="4" fillId="14" borderId="52" xfId="95" applyNumberFormat="1" applyFill="1" applyBorder="1" applyAlignment="1">
      <alignment vertical="center"/>
    </xf>
    <xf numFmtId="165" fontId="4" fillId="14" borderId="97" xfId="95" applyNumberFormat="1" applyFill="1" applyBorder="1" applyAlignment="1">
      <alignment vertical="center"/>
    </xf>
    <xf numFmtId="0" fontId="8" fillId="30" borderId="92" xfId="58" applyFont="1" applyFill="1" applyBorder="1" applyAlignment="1">
      <alignment horizontal="left" vertical="center" wrapText="1" indent="2"/>
    </xf>
    <xf numFmtId="165" fontId="0" fillId="7" borderId="52" xfId="134" applyNumberFormat="1" applyFont="1" applyFill="1" applyBorder="1" applyAlignment="1">
      <alignment vertical="center"/>
    </xf>
    <xf numFmtId="165" fontId="0" fillId="7" borderId="53" xfId="134" applyNumberFormat="1" applyFont="1" applyFill="1" applyBorder="1" applyAlignment="1">
      <alignment vertical="center"/>
    </xf>
    <xf numFmtId="165" fontId="0" fillId="0" borderId="53" xfId="134" applyNumberFormat="1" applyFont="1" applyFill="1" applyBorder="1" applyAlignment="1">
      <alignment vertical="center"/>
    </xf>
    <xf numFmtId="165" fontId="8" fillId="0" borderId="97" xfId="95" applyNumberFormat="1" applyFont="1" applyFill="1" applyBorder="1" applyAlignment="1">
      <alignment vertical="center" wrapText="1"/>
    </xf>
    <xf numFmtId="0" fontId="8" fillId="35" borderId="92" xfId="95" applyFont="1" applyFill="1" applyBorder="1" applyAlignment="1">
      <alignment vertical="center" wrapText="1"/>
    </xf>
    <xf numFmtId="165" fontId="8" fillId="0" borderId="92" xfId="95" applyNumberFormat="1" applyFont="1" applyBorder="1" applyAlignment="1">
      <alignment vertical="center" wrapText="1"/>
    </xf>
    <xf numFmtId="177" fontId="8" fillId="0" borderId="92" xfId="95" applyNumberFormat="1" applyFont="1" applyBorder="1" applyAlignment="1">
      <alignment vertical="center" wrapText="1"/>
    </xf>
    <xf numFmtId="165" fontId="111" fillId="2" borderId="52" xfId="62" applyNumberFormat="1" applyFont="1" applyFill="1" applyBorder="1" applyAlignment="1">
      <alignment vertical="center" wrapText="1"/>
    </xf>
    <xf numFmtId="165" fontId="111" fillId="2" borderId="53" xfId="62" applyNumberFormat="1" applyFont="1" applyFill="1" applyBorder="1" applyAlignment="1">
      <alignment vertical="center" wrapText="1"/>
    </xf>
    <xf numFmtId="165" fontId="111" fillId="2" borderId="97" xfId="62" applyNumberFormat="1" applyFont="1" applyFill="1" applyBorder="1" applyAlignment="1">
      <alignment vertical="center" wrapText="1"/>
    </xf>
    <xf numFmtId="165" fontId="8" fillId="0" borderId="97" xfId="95" applyNumberFormat="1" applyFont="1" applyBorder="1" applyAlignment="1">
      <alignment vertical="center" wrapText="1"/>
    </xf>
    <xf numFmtId="165" fontId="111" fillId="2" borderId="103" xfId="62" applyNumberFormat="1" applyFont="1" applyFill="1" applyBorder="1" applyAlignment="1">
      <alignment vertical="center" wrapText="1"/>
    </xf>
    <xf numFmtId="165" fontId="111" fillId="2" borderId="112" xfId="62" applyNumberFormat="1" applyFont="1" applyFill="1" applyBorder="1" applyAlignment="1">
      <alignment vertical="center" wrapText="1"/>
    </xf>
    <xf numFmtId="0" fontId="8" fillId="35" borderId="89" xfId="95" applyFont="1" applyFill="1" applyBorder="1" applyAlignment="1">
      <alignment vertical="center" wrapText="1"/>
    </xf>
    <xf numFmtId="177" fontId="111" fillId="2" borderId="87" xfId="62" applyNumberFormat="1" applyFont="1" applyFill="1" applyBorder="1" applyAlignment="1">
      <alignment vertical="center" wrapText="1"/>
    </xf>
    <xf numFmtId="177" fontId="111" fillId="2" borderId="30" xfId="62" applyNumberFormat="1" applyFont="1" applyFill="1" applyBorder="1" applyAlignment="1">
      <alignment vertical="center" wrapText="1"/>
    </xf>
    <xf numFmtId="177" fontId="111" fillId="6" borderId="31" xfId="62" applyNumberFormat="1" applyFont="1" applyFill="1" applyBorder="1" applyAlignment="1">
      <alignment vertical="center" wrapText="1"/>
    </xf>
    <xf numFmtId="177" fontId="111" fillId="2" borderId="102" xfId="62" applyNumberFormat="1" applyFont="1" applyFill="1" applyBorder="1" applyAlignment="1">
      <alignment vertical="center" wrapText="1"/>
    </xf>
    <xf numFmtId="177" fontId="111" fillId="2" borderId="91" xfId="62" applyNumberFormat="1" applyFont="1" applyFill="1" applyBorder="1" applyAlignment="1">
      <alignment vertical="center" wrapText="1"/>
    </xf>
    <xf numFmtId="177" fontId="154" fillId="6" borderId="91" xfId="62" applyNumberFormat="1" applyFont="1" applyFill="1" applyBorder="1" applyAlignment="1">
      <alignment vertical="center" wrapText="1"/>
    </xf>
    <xf numFmtId="177" fontId="8" fillId="6" borderId="31" xfId="95" applyNumberFormat="1" applyFont="1" applyFill="1" applyBorder="1" applyAlignment="1">
      <alignment vertical="center" wrapText="1"/>
    </xf>
    <xf numFmtId="177" fontId="47" fillId="6" borderId="0" xfId="95" applyNumberFormat="1" applyFont="1" applyFill="1" applyAlignment="1">
      <alignment vertical="center"/>
    </xf>
    <xf numFmtId="165" fontId="60" fillId="0" borderId="89" xfId="95" applyNumberFormat="1" applyFont="1" applyFill="1" applyBorder="1" applyAlignment="1">
      <alignment vertical="center"/>
    </xf>
    <xf numFmtId="0" fontId="8" fillId="35" borderId="92" xfId="95" applyFont="1" applyFill="1" applyBorder="1" applyAlignment="1">
      <alignment horizontal="left" vertical="center" wrapText="1" indent="2"/>
    </xf>
    <xf numFmtId="177" fontId="111" fillId="2" borderId="52" xfId="62" applyNumberFormat="1" applyFont="1" applyFill="1" applyBorder="1" applyAlignment="1">
      <alignment vertical="center" wrapText="1"/>
    </xf>
    <xf numFmtId="177" fontId="111" fillId="2" borderId="53" xfId="62" applyNumberFormat="1" applyFont="1" applyFill="1" applyBorder="1" applyAlignment="1">
      <alignment vertical="center" wrapText="1"/>
    </xf>
    <xf numFmtId="177" fontId="111" fillId="7" borderId="97" xfId="62" applyNumberFormat="1" applyFont="1" applyFill="1" applyBorder="1" applyAlignment="1">
      <alignment vertical="center" wrapText="1"/>
    </xf>
    <xf numFmtId="177" fontId="8" fillId="7" borderId="97" xfId="95" applyNumberFormat="1" applyFont="1" applyFill="1" applyBorder="1" applyAlignment="1">
      <alignment vertical="center" wrapText="1"/>
    </xf>
    <xf numFmtId="177" fontId="111" fillId="2" borderId="103" xfId="62" applyNumberFormat="1" applyFont="1" applyFill="1" applyBorder="1" applyAlignment="1">
      <alignment vertical="center" wrapText="1"/>
    </xf>
    <xf numFmtId="177" fontId="111" fillId="2" borderId="112" xfId="62" applyNumberFormat="1" applyFont="1" applyFill="1" applyBorder="1" applyAlignment="1">
      <alignment vertical="center" wrapText="1"/>
    </xf>
    <xf numFmtId="177" fontId="154" fillId="7" borderId="112" xfId="62" applyNumberFormat="1" applyFont="1" applyFill="1" applyBorder="1" applyAlignment="1">
      <alignment vertical="center" wrapText="1"/>
    </xf>
    <xf numFmtId="177" fontId="47" fillId="14" borderId="0" xfId="95" applyNumberFormat="1" applyFont="1" applyFill="1" applyAlignment="1">
      <alignment vertical="center"/>
    </xf>
    <xf numFmtId="165" fontId="60" fillId="0" borderId="92" xfId="95" applyNumberFormat="1" applyFont="1" applyFill="1" applyBorder="1" applyAlignment="1">
      <alignment vertical="center"/>
    </xf>
    <xf numFmtId="0" fontId="8" fillId="0" borderId="38" xfId="95" applyFont="1" applyBorder="1" applyAlignment="1">
      <alignment horizontal="center" vertical="center" wrapText="1"/>
    </xf>
    <xf numFmtId="0" fontId="8" fillId="35" borderId="38" xfId="95" applyFont="1" applyFill="1" applyBorder="1" applyAlignment="1">
      <alignment horizontal="left" vertical="center" wrapText="1" indent="2"/>
    </xf>
    <xf numFmtId="177" fontId="8" fillId="0" borderId="38" xfId="95" applyNumberFormat="1" applyFont="1" applyBorder="1" applyAlignment="1">
      <alignment vertical="center" wrapText="1"/>
    </xf>
    <xf numFmtId="177" fontId="111" fillId="2" borderId="40" xfId="62" applyNumberFormat="1" applyFont="1" applyFill="1" applyBorder="1" applyAlignment="1">
      <alignment vertical="center" wrapText="1"/>
    </xf>
    <xf numFmtId="177" fontId="111" fillId="2" borderId="41" xfId="62" applyNumberFormat="1" applyFont="1" applyFill="1" applyBorder="1" applyAlignment="1">
      <alignment vertical="center" wrapText="1"/>
    </xf>
    <xf numFmtId="177" fontId="111" fillId="7" borderId="42" xfId="62" applyNumberFormat="1" applyFont="1" applyFill="1" applyBorder="1" applyAlignment="1">
      <alignment vertical="center" wrapText="1"/>
    </xf>
    <xf numFmtId="177" fontId="8" fillId="7" borderId="42" xfId="95" applyNumberFormat="1" applyFont="1" applyFill="1" applyBorder="1" applyAlignment="1">
      <alignment vertical="center" wrapText="1"/>
    </xf>
    <xf numFmtId="177" fontId="111" fillId="2" borderId="104" xfId="62" applyNumberFormat="1" applyFont="1" applyFill="1" applyBorder="1" applyAlignment="1">
      <alignment vertical="center" wrapText="1"/>
    </xf>
    <xf numFmtId="177" fontId="111" fillId="2" borderId="113" xfId="62" applyNumberFormat="1" applyFont="1" applyFill="1" applyBorder="1" applyAlignment="1">
      <alignment vertical="center" wrapText="1"/>
    </xf>
    <xf numFmtId="177" fontId="154" fillId="14" borderId="113" xfId="62" applyNumberFormat="1" applyFont="1" applyFill="1" applyBorder="1" applyAlignment="1">
      <alignment vertical="center" wrapText="1"/>
    </xf>
    <xf numFmtId="177" fontId="8" fillId="14" borderId="42" xfId="95" applyNumberFormat="1" applyFont="1" applyFill="1" applyBorder="1" applyAlignment="1">
      <alignment vertical="center" wrapText="1"/>
    </xf>
    <xf numFmtId="165" fontId="4" fillId="14" borderId="40" xfId="95" applyNumberFormat="1" applyFill="1" applyBorder="1" applyAlignment="1">
      <alignment vertical="center"/>
    </xf>
    <xf numFmtId="165" fontId="4" fillId="14" borderId="42" xfId="95" applyNumberFormat="1" applyFill="1" applyBorder="1" applyAlignment="1">
      <alignment vertical="center"/>
    </xf>
    <xf numFmtId="165" fontId="60" fillId="0" borderId="38" xfId="95" applyNumberFormat="1" applyFont="1" applyFill="1" applyBorder="1" applyAlignment="1">
      <alignment vertical="center"/>
    </xf>
    <xf numFmtId="165" fontId="111" fillId="2" borderId="87" xfId="62" applyNumberFormat="1" applyFont="1" applyFill="1" applyBorder="1" applyAlignment="1">
      <alignment vertical="center" wrapText="1"/>
    </xf>
    <xf numFmtId="165" fontId="111" fillId="2" borderId="30" xfId="62" applyNumberFormat="1" applyFont="1" applyFill="1" applyBorder="1" applyAlignment="1">
      <alignment vertical="center" wrapText="1"/>
    </xf>
    <xf numFmtId="165" fontId="111" fillId="6" borderId="31" xfId="62" applyNumberFormat="1" applyFont="1" applyFill="1" applyBorder="1" applyAlignment="1">
      <alignment vertical="center" wrapText="1"/>
    </xf>
    <xf numFmtId="165" fontId="111" fillId="2" borderId="102" xfId="62" applyNumberFormat="1" applyFont="1" applyFill="1" applyBorder="1" applyAlignment="1">
      <alignment vertical="center" wrapText="1"/>
    </xf>
    <xf numFmtId="165" fontId="111" fillId="2" borderId="91" xfId="62" applyNumberFormat="1" applyFont="1" applyFill="1" applyBorder="1" applyAlignment="1">
      <alignment vertical="center" wrapText="1"/>
    </xf>
    <xf numFmtId="165" fontId="154" fillId="6" borderId="91" xfId="62" applyNumberFormat="1" applyFont="1" applyFill="1" applyBorder="1" applyAlignment="1">
      <alignment vertical="center" wrapText="1"/>
    </xf>
    <xf numFmtId="165" fontId="47" fillId="6" borderId="0" xfId="95" applyNumberFormat="1" applyFont="1" applyFill="1" applyAlignment="1">
      <alignment vertical="center"/>
    </xf>
    <xf numFmtId="165" fontId="111" fillId="7" borderId="97" xfId="62" applyNumberFormat="1" applyFont="1" applyFill="1" applyBorder="1" applyAlignment="1">
      <alignment vertical="center" wrapText="1"/>
    </xf>
    <xf numFmtId="165" fontId="8" fillId="7" borderId="97" xfId="95" applyNumberFormat="1" applyFont="1" applyFill="1" applyBorder="1" applyAlignment="1">
      <alignment vertical="center" wrapText="1"/>
    </xf>
    <xf numFmtId="165" fontId="111" fillId="2" borderId="114" xfId="62" applyNumberFormat="1" applyFont="1" applyFill="1" applyBorder="1" applyAlignment="1">
      <alignment vertical="center" wrapText="1"/>
    </xf>
    <xf numFmtId="165" fontId="154" fillId="7" borderId="112" xfId="62" applyNumberFormat="1" applyFont="1" applyFill="1" applyBorder="1" applyAlignment="1">
      <alignment vertical="center" wrapText="1"/>
    </xf>
    <xf numFmtId="165" fontId="47" fillId="14" borderId="0" xfId="95" applyNumberFormat="1" applyFont="1" applyFill="1" applyAlignment="1">
      <alignment vertical="center"/>
    </xf>
    <xf numFmtId="165" fontId="60" fillId="0" borderId="115" xfId="95" applyNumberFormat="1" applyFont="1" applyFill="1" applyBorder="1" applyAlignment="1">
      <alignment vertical="center"/>
    </xf>
    <xf numFmtId="165" fontId="4" fillId="14" borderId="116" xfId="95" applyNumberFormat="1" applyFill="1" applyBorder="1" applyAlignment="1">
      <alignment vertical="center"/>
    </xf>
    <xf numFmtId="165" fontId="4" fillId="14" borderId="117" xfId="95" applyNumberFormat="1" applyFill="1" applyBorder="1" applyAlignment="1">
      <alignment vertical="center"/>
    </xf>
    <xf numFmtId="165" fontId="8" fillId="0" borderId="38" xfId="95" applyNumberFormat="1" applyFont="1" applyBorder="1" applyAlignment="1">
      <alignment vertical="center" wrapText="1"/>
    </xf>
    <xf numFmtId="165" fontId="111" fillId="2" borderId="40" xfId="62" applyNumberFormat="1" applyFont="1" applyFill="1" applyBorder="1" applyAlignment="1">
      <alignment vertical="center" wrapText="1"/>
    </xf>
    <xf numFmtId="165" fontId="111" fillId="2" borderId="41" xfId="62" applyNumberFormat="1" applyFont="1" applyFill="1" applyBorder="1" applyAlignment="1">
      <alignment vertical="center" wrapText="1"/>
    </xf>
    <xf numFmtId="165" fontId="111" fillId="7" borderId="42" xfId="62" applyNumberFormat="1" applyFont="1" applyFill="1" applyBorder="1" applyAlignment="1">
      <alignment vertical="center" wrapText="1"/>
    </xf>
    <xf numFmtId="165" fontId="8" fillId="7" borderId="42" xfId="95" applyNumberFormat="1" applyFont="1" applyFill="1" applyBorder="1" applyAlignment="1">
      <alignment vertical="center" wrapText="1"/>
    </xf>
    <xf numFmtId="165" fontId="111" fillId="2" borderId="104" xfId="62" applyNumberFormat="1" applyFont="1" applyFill="1" applyBorder="1" applyAlignment="1">
      <alignment vertical="center" wrapText="1"/>
    </xf>
    <xf numFmtId="165" fontId="111" fillId="2" borderId="113" xfId="62" applyNumberFormat="1" applyFont="1" applyFill="1" applyBorder="1" applyAlignment="1">
      <alignment vertical="center" wrapText="1"/>
    </xf>
    <xf numFmtId="165" fontId="154" fillId="14" borderId="113" xfId="62" applyNumberFormat="1" applyFont="1" applyFill="1" applyBorder="1" applyAlignment="1">
      <alignment vertical="center" wrapText="1"/>
    </xf>
    <xf numFmtId="165" fontId="8" fillId="14" borderId="42" xfId="95" applyNumberFormat="1" applyFont="1" applyFill="1" applyBorder="1" applyAlignment="1">
      <alignment vertical="center" wrapText="1"/>
    </xf>
    <xf numFmtId="0" fontId="8" fillId="0" borderId="4" xfId="95" applyFont="1" applyBorder="1" applyAlignment="1">
      <alignment horizontal="center" vertical="center" wrapText="1"/>
    </xf>
    <xf numFmtId="0" fontId="8" fillId="35" borderId="4" xfId="95" applyFont="1" applyFill="1" applyBorder="1" applyAlignment="1">
      <alignment vertical="center" wrapText="1"/>
    </xf>
    <xf numFmtId="165" fontId="8" fillId="0" borderId="4" xfId="95" applyNumberFormat="1" applyFont="1" applyBorder="1" applyAlignment="1">
      <alignment vertical="center" wrapText="1"/>
    </xf>
    <xf numFmtId="177" fontId="8" fillId="0" borderId="4" xfId="95" applyNumberFormat="1" applyFont="1" applyBorder="1" applyAlignment="1">
      <alignment vertical="center" wrapText="1"/>
    </xf>
    <xf numFmtId="165" fontId="111" fillId="2" borderId="118" xfId="62" applyNumberFormat="1" applyFont="1" applyFill="1" applyBorder="1" applyAlignment="1">
      <alignment vertical="center" wrapText="1"/>
    </xf>
    <xf numFmtId="165" fontId="111" fillId="2" borderId="119" xfId="62" applyNumberFormat="1" applyFont="1" applyFill="1" applyBorder="1" applyAlignment="1">
      <alignment vertical="center" wrapText="1"/>
    </xf>
    <xf numFmtId="165" fontId="111" fillId="0" borderId="120" xfId="95" applyNumberFormat="1" applyFont="1" applyFill="1" applyBorder="1" applyAlignment="1">
      <alignment vertical="center" wrapText="1"/>
    </xf>
    <xf numFmtId="165" fontId="111" fillId="2" borderId="121" xfId="62" applyNumberFormat="1" applyFont="1" applyFill="1" applyBorder="1" applyAlignment="1">
      <alignment vertical="center" wrapText="1"/>
    </xf>
    <xf numFmtId="165" fontId="111" fillId="2" borderId="122" xfId="62" applyNumberFormat="1" applyFont="1" applyFill="1" applyBorder="1" applyAlignment="1">
      <alignment vertical="center" wrapText="1"/>
    </xf>
    <xf numFmtId="43" fontId="4" fillId="0" borderId="0" xfId="95" applyNumberFormat="1" applyAlignment="1">
      <alignment vertical="center"/>
    </xf>
    <xf numFmtId="0" fontId="155" fillId="0" borderId="89" xfId="95" applyFont="1" applyBorder="1" applyAlignment="1">
      <alignment vertical="center" wrapText="1"/>
    </xf>
    <xf numFmtId="177" fontId="153" fillId="14" borderId="89" xfId="95" applyNumberFormat="1" applyFont="1" applyFill="1" applyBorder="1" applyAlignment="1">
      <alignment vertical="center" wrapText="1"/>
    </xf>
    <xf numFmtId="165" fontId="153" fillId="14" borderId="89" xfId="95" applyNumberFormat="1" applyFont="1" applyFill="1" applyBorder="1" applyAlignment="1">
      <alignment vertical="center" wrapText="1"/>
    </xf>
    <xf numFmtId="165" fontId="111" fillId="6" borderId="87" xfId="62" applyNumberFormat="1" applyFont="1" applyFill="1" applyBorder="1" applyAlignment="1">
      <alignment vertical="center" wrapText="1"/>
    </xf>
    <xf numFmtId="165" fontId="111" fillId="6" borderId="30" xfId="62" applyNumberFormat="1" applyFont="1" applyFill="1" applyBorder="1" applyAlignment="1">
      <alignment vertical="center" wrapText="1"/>
    </xf>
    <xf numFmtId="165" fontId="111" fillId="6" borderId="102" xfId="62" applyNumberFormat="1" applyFont="1" applyFill="1" applyBorder="1" applyAlignment="1">
      <alignment vertical="center" wrapText="1"/>
    </xf>
    <xf numFmtId="165" fontId="111" fillId="6" borderId="91" xfId="62" applyNumberFormat="1" applyFont="1" applyFill="1" applyBorder="1" applyAlignment="1">
      <alignment vertical="center" wrapText="1"/>
    </xf>
    <xf numFmtId="165" fontId="111" fillId="6" borderId="81" xfId="62" applyNumberFormat="1" applyFont="1" applyFill="1" applyBorder="1" applyAlignment="1">
      <alignment vertical="center" wrapText="1"/>
    </xf>
    <xf numFmtId="0" fontId="8" fillId="0" borderId="115" xfId="95" applyFont="1" applyBorder="1" applyAlignment="1">
      <alignment horizontal="center" vertical="center" wrapText="1"/>
    </xf>
    <xf numFmtId="0" fontId="8" fillId="2" borderId="115" xfId="95" applyFont="1" applyFill="1" applyBorder="1" applyAlignment="1">
      <alignment horizontal="left" vertical="center" wrapText="1"/>
    </xf>
    <xf numFmtId="165" fontId="8" fillId="0" borderId="115" xfId="95" applyNumberFormat="1" applyFont="1" applyBorder="1" applyAlignment="1">
      <alignment vertical="center" wrapText="1"/>
    </xf>
    <xf numFmtId="177" fontId="8" fillId="0" borderId="115" xfId="95" applyNumberFormat="1" applyFont="1" applyBorder="1" applyAlignment="1">
      <alignment vertical="center" wrapText="1"/>
    </xf>
    <xf numFmtId="165" fontId="8" fillId="6" borderId="116" xfId="95" applyNumberFormat="1" applyFont="1" applyFill="1" applyBorder="1" applyAlignment="1">
      <alignment vertical="center" wrapText="1"/>
    </xf>
    <xf numFmtId="165" fontId="8" fillId="7" borderId="117" xfId="95" applyNumberFormat="1" applyFont="1" applyFill="1" applyBorder="1" applyAlignment="1">
      <alignment vertical="center" wrapText="1"/>
    </xf>
    <xf numFmtId="165" fontId="8" fillId="0" borderId="116" xfId="95" applyNumberFormat="1" applyFont="1" applyBorder="1" applyAlignment="1">
      <alignment vertical="center" wrapText="1"/>
    </xf>
    <xf numFmtId="165" fontId="8" fillId="0" borderId="114" xfId="95" applyNumberFormat="1" applyFont="1" applyBorder="1" applyAlignment="1">
      <alignment vertical="center" wrapText="1"/>
    </xf>
    <xf numFmtId="165" fontId="8" fillId="0" borderId="53" xfId="95" applyNumberFormat="1" applyFont="1" applyBorder="1" applyAlignment="1">
      <alignment vertical="center" wrapText="1"/>
    </xf>
    <xf numFmtId="165" fontId="8" fillId="0" borderId="123" xfId="95" applyNumberFormat="1" applyFont="1" applyBorder="1" applyAlignment="1">
      <alignment vertical="center" wrapText="1"/>
    </xf>
    <xf numFmtId="165" fontId="8" fillId="6" borderId="123" xfId="95" applyNumberFormat="1" applyFont="1" applyFill="1" applyBorder="1" applyAlignment="1">
      <alignment vertical="center" wrapText="1"/>
    </xf>
    <xf numFmtId="165" fontId="4" fillId="6" borderId="0" xfId="95" applyNumberFormat="1" applyFill="1" applyAlignment="1">
      <alignment vertical="center"/>
    </xf>
    <xf numFmtId="165" fontId="8" fillId="6" borderId="81" xfId="95" applyNumberFormat="1" applyFont="1" applyFill="1" applyBorder="1" applyAlignment="1">
      <alignment vertical="center" wrapText="1"/>
    </xf>
    <xf numFmtId="165" fontId="8" fillId="6" borderId="117" xfId="95" applyNumberFormat="1" applyFont="1" applyFill="1" applyBorder="1" applyAlignment="1">
      <alignment vertical="center" wrapText="1"/>
    </xf>
    <xf numFmtId="0" fontId="8" fillId="2" borderId="115" xfId="58" applyFont="1" applyFill="1" applyBorder="1" applyAlignment="1">
      <alignment horizontal="left" vertical="center" wrapText="1" indent="1"/>
    </xf>
    <xf numFmtId="0" fontId="8" fillId="2" borderId="115" xfId="95" applyFont="1" applyFill="1" applyBorder="1" applyAlignment="1">
      <alignment horizontal="left" vertical="center" wrapText="1" indent="1"/>
    </xf>
    <xf numFmtId="165" fontId="8" fillId="6" borderId="114" xfId="95" applyNumberFormat="1" applyFont="1" applyFill="1" applyBorder="1" applyAlignment="1">
      <alignment vertical="center" wrapText="1"/>
    </xf>
    <xf numFmtId="165" fontId="111" fillId="6" borderId="116" xfId="62" applyNumberFormat="1" applyFont="1" applyFill="1" applyBorder="1" applyAlignment="1">
      <alignment vertical="center" wrapText="1"/>
    </xf>
    <xf numFmtId="165" fontId="111" fillId="6" borderId="53" xfId="62" applyNumberFormat="1" applyFont="1" applyFill="1" applyBorder="1" applyAlignment="1">
      <alignment vertical="center" wrapText="1"/>
    </xf>
    <xf numFmtId="165" fontId="111" fillId="6" borderId="114" xfId="62" applyNumberFormat="1" applyFont="1" applyFill="1" applyBorder="1" applyAlignment="1">
      <alignment vertical="center" wrapText="1"/>
    </xf>
    <xf numFmtId="165" fontId="111" fillId="6" borderId="123" xfId="62" applyNumberFormat="1" applyFont="1" applyFill="1" applyBorder="1" applyAlignment="1">
      <alignment vertical="center" wrapText="1"/>
    </xf>
    <xf numFmtId="165" fontId="111" fillId="6" borderId="117" xfId="62" applyNumberFormat="1" applyFont="1" applyFill="1" applyBorder="1" applyAlignment="1">
      <alignment vertical="center" wrapText="1"/>
    </xf>
    <xf numFmtId="0" fontId="26" fillId="2" borderId="115" xfId="95" applyFont="1" applyFill="1" applyBorder="1" applyAlignment="1">
      <alignment horizontal="left" vertical="center" wrapText="1" indent="3"/>
    </xf>
    <xf numFmtId="165" fontId="26" fillId="0" borderId="115" xfId="95" applyNumberFormat="1" applyFont="1" applyBorder="1" applyAlignment="1">
      <alignment vertical="center" wrapText="1"/>
    </xf>
    <xf numFmtId="177" fontId="26" fillId="0" borderId="115" xfId="95" applyNumberFormat="1" applyFont="1" applyBorder="1" applyAlignment="1">
      <alignment vertical="center" wrapText="1"/>
    </xf>
    <xf numFmtId="165" fontId="26" fillId="0" borderId="116" xfId="95" applyNumberFormat="1" applyFont="1" applyBorder="1" applyAlignment="1">
      <alignment vertical="center" wrapText="1"/>
    </xf>
    <xf numFmtId="165" fontId="26" fillId="0" borderId="53" xfId="95" applyNumberFormat="1" applyFont="1" applyBorder="1" applyAlignment="1">
      <alignment vertical="center" wrapText="1"/>
    </xf>
    <xf numFmtId="165" fontId="26" fillId="0" borderId="114" xfId="95" applyNumberFormat="1" applyFont="1" applyBorder="1" applyAlignment="1">
      <alignment vertical="center" wrapText="1"/>
    </xf>
    <xf numFmtId="165" fontId="26" fillId="0" borderId="123" xfId="95" applyNumberFormat="1" applyFont="1" applyBorder="1" applyAlignment="1">
      <alignment vertical="center" wrapText="1"/>
    </xf>
    <xf numFmtId="165" fontId="26" fillId="6" borderId="123" xfId="95" applyNumberFormat="1" applyFont="1" applyFill="1" applyBorder="1" applyAlignment="1">
      <alignment vertical="center" wrapText="1"/>
    </xf>
    <xf numFmtId="165" fontId="26" fillId="6" borderId="116" xfId="95" applyNumberFormat="1" applyFont="1" applyFill="1" applyBorder="1" applyAlignment="1">
      <alignment vertical="center" wrapText="1"/>
    </xf>
    <xf numFmtId="165" fontId="26" fillId="6" borderId="53" xfId="95" applyNumberFormat="1" applyFont="1" applyFill="1" applyBorder="1" applyAlignment="1">
      <alignment vertical="center" wrapText="1"/>
    </xf>
    <xf numFmtId="165" fontId="26" fillId="6" borderId="114" xfId="95" applyNumberFormat="1" applyFont="1" applyFill="1" applyBorder="1" applyAlignment="1">
      <alignment vertical="center" wrapText="1"/>
    </xf>
    <xf numFmtId="165" fontId="26" fillId="6" borderId="81" xfId="95" applyNumberFormat="1" applyFont="1" applyFill="1" applyBorder="1" applyAlignment="1">
      <alignment vertical="center" wrapText="1"/>
    </xf>
    <xf numFmtId="165" fontId="26" fillId="6" borderId="117" xfId="95" applyNumberFormat="1" applyFont="1" applyFill="1" applyBorder="1" applyAlignment="1">
      <alignment vertical="center" wrapText="1"/>
    </xf>
    <xf numFmtId="0" fontId="26" fillId="0" borderId="115" xfId="95" applyFont="1" applyBorder="1" applyAlignment="1">
      <alignment horizontal="center" vertical="center" wrapText="1"/>
    </xf>
    <xf numFmtId="0" fontId="26" fillId="2" borderId="115" xfId="58" applyFont="1" applyFill="1" applyBorder="1" applyAlignment="1">
      <alignment horizontal="left" vertical="center" wrapText="1" indent="5"/>
    </xf>
    <xf numFmtId="0" fontId="26" fillId="2" borderId="115" xfId="95" applyFont="1" applyFill="1" applyBorder="1" applyAlignment="1">
      <alignment horizontal="left" vertical="center" wrapText="1" indent="5"/>
    </xf>
    <xf numFmtId="165" fontId="153" fillId="14" borderId="117" xfId="95" applyNumberFormat="1" applyFont="1" applyFill="1" applyBorder="1" applyAlignment="1">
      <alignment vertical="center" wrapText="1"/>
    </xf>
    <xf numFmtId="0" fontId="8" fillId="2" borderId="38" xfId="95" applyFont="1" applyFill="1" applyBorder="1" applyAlignment="1">
      <alignment horizontal="left" vertical="center" wrapText="1" indent="1"/>
    </xf>
    <xf numFmtId="165" fontId="8" fillId="0" borderId="40" xfId="95" applyNumberFormat="1" applyFont="1" applyBorder="1" applyAlignment="1">
      <alignment vertical="center" wrapText="1"/>
    </xf>
    <xf numFmtId="165" fontId="8" fillId="0" borderId="41" xfId="95" applyNumberFormat="1" applyFont="1" applyBorder="1" applyAlignment="1">
      <alignment vertical="center" wrapText="1"/>
    </xf>
    <xf numFmtId="165" fontId="8" fillId="0" borderId="42" xfId="95" applyNumberFormat="1" applyFont="1" applyBorder="1" applyAlignment="1">
      <alignment vertical="center" wrapText="1"/>
    </xf>
    <xf numFmtId="165" fontId="8" fillId="0" borderId="104" xfId="95" applyNumberFormat="1" applyFont="1" applyBorder="1" applyAlignment="1">
      <alignment vertical="center" wrapText="1"/>
    </xf>
    <xf numFmtId="165" fontId="8" fillId="0" borderId="113" xfId="95" applyNumberFormat="1" applyFont="1" applyBorder="1" applyAlignment="1">
      <alignment vertical="center" wrapText="1"/>
    </xf>
    <xf numFmtId="165" fontId="4" fillId="0" borderId="40" xfId="95" applyNumberFormat="1" applyBorder="1" applyAlignment="1">
      <alignment vertical="center"/>
    </xf>
    <xf numFmtId="165" fontId="4" fillId="0" borderId="104" xfId="95" applyNumberFormat="1" applyBorder="1" applyAlignment="1">
      <alignment vertical="center"/>
    </xf>
    <xf numFmtId="165" fontId="4" fillId="0" borderId="41" xfId="95" applyNumberFormat="1" applyBorder="1" applyAlignment="1">
      <alignment vertical="center"/>
    </xf>
    <xf numFmtId="165" fontId="4" fillId="0" borderId="113" xfId="95" applyNumberFormat="1" applyBorder="1" applyAlignment="1">
      <alignment vertical="center"/>
    </xf>
    <xf numFmtId="165" fontId="4" fillId="0" borderId="42" xfId="95" applyNumberFormat="1" applyBorder="1" applyAlignment="1">
      <alignment vertical="center"/>
    </xf>
    <xf numFmtId="3" fontId="8" fillId="35" borderId="51" xfId="58" applyNumberFormat="1" applyFont="1" applyFill="1" applyBorder="1" applyAlignment="1">
      <alignment horizontal="center" vertical="center" wrapText="1"/>
    </xf>
    <xf numFmtId="165" fontId="8" fillId="0" borderId="124" xfId="95" applyNumberFormat="1" applyFont="1" applyBorder="1" applyAlignment="1">
      <alignment vertical="center" wrapText="1"/>
    </xf>
    <xf numFmtId="165" fontId="8" fillId="0" borderId="125" xfId="95" applyNumberFormat="1" applyFont="1" applyBorder="1" applyAlignment="1">
      <alignment vertical="center" wrapText="1"/>
    </xf>
    <xf numFmtId="165" fontId="8" fillId="0" borderId="126" xfId="95" applyNumberFormat="1" applyFont="1" applyBorder="1" applyAlignment="1">
      <alignment vertical="center" wrapText="1"/>
    </xf>
    <xf numFmtId="0" fontId="8" fillId="0" borderId="82" xfId="95" applyFont="1" applyBorder="1" applyAlignment="1">
      <alignment horizontal="center" vertical="center" wrapText="1"/>
    </xf>
    <xf numFmtId="0" fontId="8" fillId="2" borderId="127" xfId="95" applyFont="1" applyFill="1" applyBorder="1" applyAlignment="1">
      <alignment horizontal="center" vertical="center" wrapText="1"/>
    </xf>
    <xf numFmtId="165" fontId="8" fillId="0" borderId="81" xfId="95" applyNumberFormat="1" applyFont="1" applyBorder="1" applyAlignment="1">
      <alignment vertical="center" wrapText="1"/>
    </xf>
    <xf numFmtId="165" fontId="8" fillId="0" borderId="128" xfId="95" applyNumberFormat="1" applyFont="1" applyBorder="1" applyAlignment="1">
      <alignment vertical="center" wrapText="1"/>
    </xf>
    <xf numFmtId="165" fontId="8" fillId="0" borderId="82" xfId="95" applyNumberFormat="1" applyFont="1" applyBorder="1" applyAlignment="1">
      <alignment vertical="center" wrapText="1"/>
    </xf>
    <xf numFmtId="0" fontId="8" fillId="2" borderId="127" xfId="95" applyFont="1" applyFill="1" applyBorder="1" applyAlignment="1">
      <alignment horizontal="left" vertical="center" wrapText="1"/>
    </xf>
    <xf numFmtId="3" fontId="8" fillId="35" borderId="127" xfId="58" applyNumberFormat="1" applyFont="1" applyFill="1" applyBorder="1" applyAlignment="1">
      <alignment horizontal="center" vertical="center" wrapText="1"/>
    </xf>
    <xf numFmtId="165" fontId="8" fillId="0" borderId="81" xfId="95" applyNumberFormat="1" applyFont="1" applyBorder="1" applyAlignment="1">
      <alignment horizontal="left" vertical="center" wrapText="1"/>
    </xf>
    <xf numFmtId="165" fontId="4" fillId="0" borderId="128" xfId="95" applyNumberFormat="1" applyBorder="1" applyAlignment="1">
      <alignment vertical="center"/>
    </xf>
    <xf numFmtId="165" fontId="4" fillId="0" borderId="82" xfId="95" applyNumberFormat="1" applyBorder="1" applyAlignment="1">
      <alignment vertical="center"/>
    </xf>
    <xf numFmtId="0" fontId="8" fillId="2" borderId="127" xfId="58" applyFont="1" applyFill="1" applyBorder="1" applyAlignment="1">
      <alignment vertical="center" wrapText="1"/>
    </xf>
    <xf numFmtId="165" fontId="0" fillId="0" borderId="81" xfId="134" applyNumberFormat="1" applyFont="1" applyBorder="1" applyAlignment="1">
      <alignment vertical="center"/>
    </xf>
    <xf numFmtId="165" fontId="0" fillId="0" borderId="128" xfId="134" applyNumberFormat="1" applyFont="1" applyBorder="1" applyAlignment="1">
      <alignment vertical="center"/>
    </xf>
    <xf numFmtId="165" fontId="0" fillId="0" borderId="82" xfId="134" applyNumberFormat="1" applyFont="1" applyBorder="1" applyAlignment="1">
      <alignment vertical="center"/>
    </xf>
    <xf numFmtId="0" fontId="8" fillId="2" borderId="129" xfId="58" applyFont="1" applyFill="1" applyBorder="1" applyAlignment="1">
      <alignment vertical="center" wrapText="1"/>
    </xf>
    <xf numFmtId="165" fontId="8" fillId="0" borderId="130" xfId="95" applyNumberFormat="1" applyFont="1" applyBorder="1" applyAlignment="1">
      <alignment horizontal="left" vertical="center" wrapText="1"/>
    </xf>
    <xf numFmtId="165" fontId="8" fillId="0" borderId="130" xfId="95" applyNumberFormat="1" applyFont="1" applyBorder="1" applyAlignment="1">
      <alignment vertical="center" wrapText="1"/>
    </xf>
    <xf numFmtId="165" fontId="0" fillId="0" borderId="130" xfId="134" applyNumberFormat="1" applyFont="1" applyBorder="1" applyAlignment="1">
      <alignment vertical="center"/>
    </xf>
    <xf numFmtId="165" fontId="0" fillId="0" borderId="131" xfId="134" applyNumberFormat="1" applyFont="1" applyBorder="1" applyAlignment="1">
      <alignment vertical="center"/>
    </xf>
    <xf numFmtId="165" fontId="0" fillId="0" borderId="132" xfId="134" applyNumberFormat="1" applyFont="1" applyBorder="1" applyAlignment="1">
      <alignment vertical="center"/>
    </xf>
    <xf numFmtId="0" fontId="8" fillId="0" borderId="101" xfId="58" applyFont="1" applyFill="1" applyBorder="1" applyAlignment="1">
      <alignment vertical="center" wrapText="1"/>
    </xf>
    <xf numFmtId="165" fontId="8" fillId="0" borderId="4" xfId="95" applyNumberFormat="1" applyFont="1" applyBorder="1" applyAlignment="1">
      <alignment horizontal="left" vertical="center" wrapText="1"/>
    </xf>
    <xf numFmtId="165" fontId="8" fillId="0" borderId="0" xfId="95" applyNumberFormat="1" applyFont="1" applyBorder="1" applyAlignment="1">
      <alignment vertical="center" wrapText="1"/>
    </xf>
    <xf numFmtId="165" fontId="0" fillId="0" borderId="0" xfId="134" applyNumberFormat="1" applyFont="1" applyBorder="1" applyAlignment="1">
      <alignment vertical="center"/>
    </xf>
    <xf numFmtId="0" fontId="8" fillId="2" borderId="101" xfId="58" applyFont="1" applyFill="1" applyBorder="1" applyAlignment="1">
      <alignment vertical="center" wrapText="1"/>
    </xf>
    <xf numFmtId="165" fontId="8" fillId="0" borderId="124" xfId="95" applyNumberFormat="1" applyFont="1" applyBorder="1" applyAlignment="1">
      <alignment horizontal="left" vertical="center" wrapText="1"/>
    </xf>
    <xf numFmtId="165" fontId="0" fillId="0" borderId="124" xfId="134" applyNumberFormat="1" applyFont="1" applyBorder="1" applyAlignment="1">
      <alignment vertical="center"/>
    </xf>
    <xf numFmtId="165" fontId="0" fillId="0" borderId="125" xfId="134" applyNumberFormat="1" applyFont="1" applyBorder="1" applyAlignment="1">
      <alignment vertical="center"/>
    </xf>
    <xf numFmtId="165" fontId="0" fillId="0" borderId="126" xfId="134" applyNumberFormat="1" applyFont="1" applyBorder="1" applyAlignment="1">
      <alignment vertical="center"/>
    </xf>
    <xf numFmtId="165" fontId="4" fillId="0" borderId="130" xfId="95" applyNumberFormat="1" applyBorder="1" applyAlignment="1">
      <alignment vertical="center"/>
    </xf>
    <xf numFmtId="0" fontId="8" fillId="2" borderId="8" xfId="58" applyFont="1" applyFill="1" applyBorder="1" applyAlignment="1">
      <alignment vertical="center" wrapText="1"/>
    </xf>
    <xf numFmtId="165" fontId="8" fillId="0" borderId="8" xfId="95" applyNumberFormat="1" applyFont="1" applyBorder="1" applyAlignment="1">
      <alignment vertical="center" wrapText="1"/>
    </xf>
    <xf numFmtId="165" fontId="47" fillId="0" borderId="0" xfId="95" applyNumberFormat="1" applyFont="1" applyAlignment="1">
      <alignment vertical="center"/>
    </xf>
    <xf numFmtId="196" fontId="4" fillId="0" borderId="0" xfId="95" applyNumberFormat="1" applyAlignment="1">
      <alignment vertical="center"/>
    </xf>
    <xf numFmtId="0" fontId="156" fillId="0" borderId="0" xfId="95" applyFont="1" applyAlignment="1">
      <alignment vertical="center"/>
    </xf>
    <xf numFmtId="165" fontId="4" fillId="7" borderId="0" xfId="95" applyNumberFormat="1" applyFill="1" applyAlignment="1">
      <alignment vertical="center"/>
    </xf>
    <xf numFmtId="165" fontId="111" fillId="6" borderId="82" xfId="62" applyNumberFormat="1" applyFont="1" applyFill="1" applyBorder="1" applyAlignment="1">
      <alignment vertical="center" wrapText="1"/>
    </xf>
    <xf numFmtId="165" fontId="8" fillId="6" borderId="82" xfId="95" applyNumberFormat="1" applyFont="1" applyFill="1" applyBorder="1" applyAlignment="1">
      <alignment vertical="center" wrapText="1"/>
    </xf>
    <xf numFmtId="165" fontId="26" fillId="6" borderId="82" xfId="95" applyNumberFormat="1" applyFont="1" applyFill="1" applyBorder="1" applyAlignment="1">
      <alignment vertical="center" wrapText="1"/>
    </xf>
    <xf numFmtId="165" fontId="8" fillId="6" borderId="113" xfId="95" applyNumberFormat="1" applyFont="1" applyFill="1" applyBorder="1" applyAlignment="1">
      <alignment vertical="center" wrapText="1"/>
    </xf>
    <xf numFmtId="165" fontId="4" fillId="6" borderId="113" xfId="95" applyNumberFormat="1" applyFill="1" applyBorder="1" applyAlignment="1">
      <alignment vertical="center"/>
    </xf>
    <xf numFmtId="177" fontId="8" fillId="14" borderId="89" xfId="95" applyNumberFormat="1" applyFont="1" applyFill="1" applyBorder="1" applyAlignment="1">
      <alignment vertical="center" wrapText="1"/>
    </xf>
    <xf numFmtId="165" fontId="8" fillId="14" borderId="89" xfId="95" applyNumberFormat="1" applyFont="1" applyFill="1" applyBorder="1" applyAlignment="1">
      <alignment vertical="center" wrapText="1"/>
    </xf>
    <xf numFmtId="165" fontId="8" fillId="14" borderId="117" xfId="95" applyNumberFormat="1" applyFont="1" applyFill="1" applyBorder="1" applyAlignment="1">
      <alignment vertical="center" wrapText="1"/>
    </xf>
    <xf numFmtId="165" fontId="8" fillId="14" borderId="116" xfId="95" applyNumberFormat="1" applyFont="1" applyFill="1" applyBorder="1" applyAlignment="1">
      <alignment vertical="center" wrapText="1"/>
    </xf>
    <xf numFmtId="165" fontId="8" fillId="14" borderId="114" xfId="95" applyNumberFormat="1" applyFont="1" applyFill="1" applyBorder="1" applyAlignment="1">
      <alignment vertical="center" wrapText="1"/>
    </xf>
    <xf numFmtId="165" fontId="8" fillId="14" borderId="53" xfId="95" applyNumberFormat="1" applyFont="1" applyFill="1" applyBorder="1" applyAlignment="1">
      <alignment vertical="center" wrapText="1"/>
    </xf>
    <xf numFmtId="165" fontId="8" fillId="14" borderId="123" xfId="95" applyNumberFormat="1" applyFont="1" applyFill="1" applyBorder="1" applyAlignment="1">
      <alignment vertical="center" wrapText="1"/>
    </xf>
    <xf numFmtId="165" fontId="26" fillId="14" borderId="116" xfId="95" applyNumberFormat="1" applyFont="1" applyFill="1" applyBorder="1" applyAlignment="1">
      <alignment vertical="center" wrapText="1"/>
    </xf>
    <xf numFmtId="165" fontId="26" fillId="14" borderId="53" xfId="95" applyNumberFormat="1" applyFont="1" applyFill="1" applyBorder="1" applyAlignment="1">
      <alignment vertical="center" wrapText="1"/>
    </xf>
    <xf numFmtId="165" fontId="26" fillId="14" borderId="114" xfId="95" applyNumberFormat="1" applyFont="1" applyFill="1" applyBorder="1" applyAlignment="1">
      <alignment vertical="center" wrapText="1"/>
    </xf>
    <xf numFmtId="165" fontId="26" fillId="14" borderId="123" xfId="95" applyNumberFormat="1" applyFont="1" applyFill="1" applyBorder="1" applyAlignment="1">
      <alignment vertical="center" wrapText="1"/>
    </xf>
    <xf numFmtId="165" fontId="8" fillId="14" borderId="40" xfId="95" applyNumberFormat="1" applyFont="1" applyFill="1" applyBorder="1" applyAlignment="1">
      <alignment vertical="center" wrapText="1"/>
    </xf>
    <xf numFmtId="165" fontId="8" fillId="14" borderId="41" xfId="95" applyNumberFormat="1" applyFont="1" applyFill="1" applyBorder="1" applyAlignment="1">
      <alignment vertical="center" wrapText="1"/>
    </xf>
    <xf numFmtId="165" fontId="8" fillId="14" borderId="104" xfId="95" applyNumberFormat="1" applyFont="1" applyFill="1" applyBorder="1" applyAlignment="1">
      <alignment vertical="center" wrapText="1"/>
    </xf>
    <xf numFmtId="165" fontId="8" fillId="14" borderId="113" xfId="95" applyNumberFormat="1" applyFont="1" applyFill="1" applyBorder="1" applyAlignment="1">
      <alignment vertical="center" wrapText="1"/>
    </xf>
    <xf numFmtId="165" fontId="4" fillId="14" borderId="104" xfId="95" applyNumberFormat="1" applyFill="1" applyBorder="1" applyAlignment="1">
      <alignment vertical="center"/>
    </xf>
    <xf numFmtId="165" fontId="4" fillId="14" borderId="41" xfId="95" applyNumberFormat="1" applyFill="1" applyBorder="1" applyAlignment="1">
      <alignment vertical="center"/>
    </xf>
    <xf numFmtId="165" fontId="4" fillId="14" borderId="113" xfId="95" applyNumberFormat="1" applyFill="1" applyBorder="1" applyAlignment="1">
      <alignment vertical="center"/>
    </xf>
    <xf numFmtId="165" fontId="4" fillId="14" borderId="42" xfId="95" applyNumberFormat="1" applyFont="1" applyFill="1" applyBorder="1" applyAlignment="1">
      <alignment vertical="center"/>
    </xf>
    <xf numFmtId="2" fontId="4" fillId="0" borderId="0" xfId="95" applyNumberFormat="1" applyAlignment="1">
      <alignment vertical="center"/>
    </xf>
    <xf numFmtId="173" fontId="47" fillId="6" borderId="0" xfId="95" applyNumberFormat="1" applyFont="1" applyFill="1" applyAlignment="1">
      <alignment vertical="center"/>
    </xf>
    <xf numFmtId="0" fontId="8" fillId="30" borderId="115" xfId="95" applyFont="1" applyFill="1" applyBorder="1" applyAlignment="1">
      <alignment horizontal="left" vertical="center" wrapText="1"/>
    </xf>
    <xf numFmtId="165" fontId="8" fillId="30" borderId="115" xfId="95" applyNumberFormat="1" applyFont="1" applyFill="1" applyBorder="1" applyAlignment="1">
      <alignment horizontal="center" vertical="center" wrapText="1"/>
    </xf>
    <xf numFmtId="177" fontId="8" fillId="30" borderId="115" xfId="95" applyNumberFormat="1" applyFont="1" applyFill="1" applyBorder="1" applyAlignment="1">
      <alignment horizontal="center" vertical="center" wrapText="1"/>
    </xf>
    <xf numFmtId="165" fontId="8" fillId="7" borderId="116" xfId="95" applyNumberFormat="1" applyFont="1" applyFill="1" applyBorder="1" applyAlignment="1">
      <alignment vertical="center" wrapText="1"/>
    </xf>
    <xf numFmtId="165" fontId="153" fillId="0" borderId="116" xfId="95" applyNumberFormat="1" applyFont="1" applyFill="1" applyBorder="1" applyAlignment="1">
      <alignment vertical="center" wrapText="1"/>
    </xf>
    <xf numFmtId="165" fontId="8" fillId="7" borderId="114" xfId="95" applyNumberFormat="1" applyFont="1" applyFill="1" applyBorder="1" applyAlignment="1">
      <alignment vertical="center" wrapText="1"/>
    </xf>
    <xf numFmtId="165" fontId="8" fillId="7" borderId="123" xfId="95" applyNumberFormat="1" applyFont="1" applyFill="1" applyBorder="1" applyAlignment="1">
      <alignment vertical="center" wrapText="1"/>
    </xf>
    <xf numFmtId="0" fontId="8" fillId="30" borderId="115" xfId="58" applyFont="1" applyFill="1" applyBorder="1" applyAlignment="1">
      <alignment vertical="center" wrapText="1"/>
    </xf>
    <xf numFmtId="165" fontId="8" fillId="30" borderId="115" xfId="95" applyNumberFormat="1" applyFont="1" applyFill="1" applyBorder="1" applyAlignment="1">
      <alignment vertical="center" wrapText="1"/>
    </xf>
    <xf numFmtId="177" fontId="8" fillId="30" borderId="115" xfId="95" applyNumberFormat="1" applyFont="1" applyFill="1" applyBorder="1" applyAlignment="1">
      <alignment vertical="center" wrapText="1"/>
    </xf>
    <xf numFmtId="165" fontId="0" fillId="6" borderId="116" xfId="134" applyNumberFormat="1" applyFont="1" applyFill="1" applyBorder="1" applyAlignment="1">
      <alignment vertical="center"/>
    </xf>
    <xf numFmtId="0" fontId="8" fillId="30" borderId="115" xfId="58" applyFont="1" applyFill="1" applyBorder="1" applyAlignment="1">
      <alignment horizontal="left" vertical="center" wrapText="1" indent="2"/>
    </xf>
    <xf numFmtId="165" fontId="0" fillId="7" borderId="116" xfId="134" applyNumberFormat="1" applyFont="1" applyFill="1" applyBorder="1" applyAlignment="1">
      <alignment vertical="center"/>
    </xf>
    <xf numFmtId="165" fontId="8" fillId="0" borderId="117" xfId="95" applyNumberFormat="1" applyFont="1" applyFill="1" applyBorder="1" applyAlignment="1">
      <alignment vertical="center" wrapText="1"/>
    </xf>
    <xf numFmtId="0" fontId="8" fillId="35" borderId="115" xfId="95" applyFont="1" applyFill="1" applyBorder="1" applyAlignment="1">
      <alignment vertical="center" wrapText="1"/>
    </xf>
    <xf numFmtId="165" fontId="111" fillId="2" borderId="116" xfId="62" applyNumberFormat="1" applyFont="1" applyFill="1" applyBorder="1" applyAlignment="1">
      <alignment vertical="center" wrapText="1"/>
    </xf>
    <xf numFmtId="165" fontId="111" fillId="2" borderId="117" xfId="62" applyNumberFormat="1" applyFont="1" applyFill="1" applyBorder="1" applyAlignment="1">
      <alignment vertical="center" wrapText="1"/>
    </xf>
    <xf numFmtId="165" fontId="8" fillId="0" borderId="117" xfId="95" applyNumberFormat="1" applyFont="1" applyBorder="1" applyAlignment="1">
      <alignment vertical="center" wrapText="1"/>
    </xf>
    <xf numFmtId="165" fontId="111" fillId="2" borderId="123" xfId="62" applyNumberFormat="1" applyFont="1" applyFill="1" applyBorder="1" applyAlignment="1">
      <alignment vertical="center" wrapText="1"/>
    </xf>
    <xf numFmtId="0" fontId="8" fillId="35" borderId="115" xfId="95" applyFont="1" applyFill="1" applyBorder="1" applyAlignment="1">
      <alignment horizontal="left" vertical="center" wrapText="1" indent="2"/>
    </xf>
    <xf numFmtId="177" fontId="111" fillId="2" borderId="116" xfId="62" applyNumberFormat="1" applyFont="1" applyFill="1" applyBorder="1" applyAlignment="1">
      <alignment vertical="center" wrapText="1"/>
    </xf>
    <xf numFmtId="177" fontId="111" fillId="14" borderId="117" xfId="62" applyNumberFormat="1" applyFont="1" applyFill="1" applyBorder="1" applyAlignment="1">
      <alignment vertical="center" wrapText="1"/>
    </xf>
    <xf numFmtId="177" fontId="8" fillId="14" borderId="117" xfId="95" applyNumberFormat="1" applyFont="1" applyFill="1" applyBorder="1" applyAlignment="1">
      <alignment vertical="center" wrapText="1"/>
    </xf>
    <xf numFmtId="177" fontId="111" fillId="2" borderId="114" xfId="62" applyNumberFormat="1" applyFont="1" applyFill="1" applyBorder="1" applyAlignment="1">
      <alignment vertical="center" wrapText="1"/>
    </xf>
    <xf numFmtId="177" fontId="111" fillId="2" borderId="123" xfId="62" applyNumberFormat="1" applyFont="1" applyFill="1" applyBorder="1" applyAlignment="1">
      <alignment vertical="center" wrapText="1"/>
    </xf>
    <xf numFmtId="177" fontId="154" fillId="14" borderId="123" xfId="62" applyNumberFormat="1" applyFont="1" applyFill="1" applyBorder="1" applyAlignment="1">
      <alignment vertical="center" wrapText="1"/>
    </xf>
    <xf numFmtId="177" fontId="8" fillId="7" borderId="117" xfId="95" applyNumberFormat="1" applyFont="1" applyFill="1" applyBorder="1" applyAlignment="1">
      <alignment vertical="center" wrapText="1"/>
    </xf>
    <xf numFmtId="177" fontId="154" fillId="7" borderId="123" xfId="62" applyNumberFormat="1" applyFont="1" applyFill="1" applyBorder="1" applyAlignment="1">
      <alignment vertical="center" wrapText="1"/>
    </xf>
    <xf numFmtId="165" fontId="111" fillId="14" borderId="117" xfId="62" applyNumberFormat="1" applyFont="1" applyFill="1" applyBorder="1" applyAlignment="1">
      <alignment vertical="center" wrapText="1"/>
    </xf>
    <xf numFmtId="165" fontId="154" fillId="14" borderId="123" xfId="62" applyNumberFormat="1" applyFont="1" applyFill="1" applyBorder="1" applyAlignment="1">
      <alignment vertical="center" wrapText="1"/>
    </xf>
    <xf numFmtId="165" fontId="4" fillId="0" borderId="0" xfId="95" applyNumberFormat="1" applyAlignment="1">
      <alignment horizontal="right" vertical="center"/>
    </xf>
    <xf numFmtId="177" fontId="157" fillId="6" borderId="31" xfId="62" applyNumberFormat="1" applyFont="1" applyFill="1" applyBorder="1" applyAlignment="1">
      <alignment vertical="center" wrapText="1"/>
    </xf>
    <xf numFmtId="177" fontId="111" fillId="0" borderId="87" xfId="62" applyNumberFormat="1" applyFont="1" applyFill="1" applyBorder="1" applyAlignment="1">
      <alignment vertical="center" wrapText="1"/>
    </xf>
    <xf numFmtId="177" fontId="111" fillId="0" borderId="30" xfId="62" applyNumberFormat="1" applyFont="1" applyFill="1" applyBorder="1" applyAlignment="1">
      <alignment vertical="center" wrapText="1"/>
    </xf>
    <xf numFmtId="177" fontId="111" fillId="0" borderId="31" xfId="62" applyNumberFormat="1" applyFont="1" applyFill="1" applyBorder="1" applyAlignment="1">
      <alignment vertical="center" wrapText="1"/>
    </xf>
    <xf numFmtId="177" fontId="111" fillId="0" borderId="102" xfId="62" applyNumberFormat="1" applyFont="1" applyFill="1" applyBorder="1" applyAlignment="1">
      <alignment vertical="center" wrapText="1"/>
    </xf>
    <xf numFmtId="177" fontId="111" fillId="0" borderId="91" xfId="62" applyNumberFormat="1" applyFont="1" applyFill="1" applyBorder="1" applyAlignment="1">
      <alignment vertical="center" wrapText="1"/>
    </xf>
    <xf numFmtId="177" fontId="154" fillId="0" borderId="91" xfId="62" applyNumberFormat="1" applyFont="1" applyFill="1" applyBorder="1" applyAlignment="1">
      <alignment vertical="center" wrapText="1"/>
    </xf>
    <xf numFmtId="177" fontId="8" fillId="0" borderId="31" xfId="95" applyNumberFormat="1" applyFont="1" applyFill="1" applyBorder="1" applyAlignment="1">
      <alignment vertical="center" wrapText="1"/>
    </xf>
    <xf numFmtId="177" fontId="157" fillId="11" borderId="117" xfId="62" applyNumberFormat="1" applyFont="1" applyFill="1" applyBorder="1" applyAlignment="1">
      <alignment vertical="center" wrapText="1"/>
    </xf>
    <xf numFmtId="177" fontId="111" fillId="0" borderId="116" xfId="62" applyNumberFormat="1" applyFont="1" applyFill="1" applyBorder="1" applyAlignment="1">
      <alignment vertical="center" wrapText="1"/>
    </xf>
    <xf numFmtId="177" fontId="111" fillId="0" borderId="53" xfId="62" applyNumberFormat="1" applyFont="1" applyFill="1" applyBorder="1" applyAlignment="1">
      <alignment vertical="center" wrapText="1"/>
    </xf>
    <xf numFmtId="177" fontId="16" fillId="11" borderId="117" xfId="95" applyNumberFormat="1" applyFont="1" applyFill="1" applyBorder="1" applyAlignment="1">
      <alignment vertical="center" wrapText="1"/>
    </xf>
    <xf numFmtId="177" fontId="111" fillId="0" borderId="114" xfId="62" applyNumberFormat="1" applyFont="1" applyFill="1" applyBorder="1" applyAlignment="1">
      <alignment vertical="center" wrapText="1"/>
    </xf>
    <xf numFmtId="177" fontId="111" fillId="0" borderId="123" xfId="62" applyNumberFormat="1" applyFont="1" applyFill="1" applyBorder="1" applyAlignment="1">
      <alignment vertical="center" wrapText="1"/>
    </xf>
    <xf numFmtId="177" fontId="158" fillId="11" borderId="123" xfId="62" applyNumberFormat="1" applyFont="1" applyFill="1" applyBorder="1" applyAlignment="1">
      <alignment vertical="center" wrapText="1"/>
    </xf>
    <xf numFmtId="177" fontId="154" fillId="0" borderId="123" xfId="62" applyNumberFormat="1" applyFont="1" applyFill="1" applyBorder="1" applyAlignment="1">
      <alignment vertical="center" wrapText="1"/>
    </xf>
    <xf numFmtId="177" fontId="8" fillId="0" borderId="117" xfId="95" applyNumberFormat="1" applyFont="1" applyFill="1" applyBorder="1" applyAlignment="1">
      <alignment vertical="center" wrapText="1"/>
    </xf>
    <xf numFmtId="177" fontId="157" fillId="6" borderId="42" xfId="62" applyNumberFormat="1" applyFont="1" applyFill="1" applyBorder="1" applyAlignment="1">
      <alignment vertical="center" wrapText="1"/>
    </xf>
    <xf numFmtId="177" fontId="111" fillId="0" borderId="40" xfId="62" applyNumberFormat="1" applyFont="1" applyFill="1" applyBorder="1" applyAlignment="1">
      <alignment vertical="center" wrapText="1"/>
    </xf>
    <xf numFmtId="177" fontId="111" fillId="0" borderId="41" xfId="62" applyNumberFormat="1" applyFont="1" applyFill="1" applyBorder="1" applyAlignment="1">
      <alignment vertical="center" wrapText="1"/>
    </xf>
    <xf numFmtId="177" fontId="8" fillId="0" borderId="42" xfId="95" applyNumberFormat="1" applyFont="1" applyFill="1" applyBorder="1" applyAlignment="1">
      <alignment vertical="center" wrapText="1"/>
    </xf>
    <xf numFmtId="177" fontId="111" fillId="0" borderId="104" xfId="62" applyNumberFormat="1" applyFont="1" applyFill="1" applyBorder="1" applyAlignment="1">
      <alignment vertical="center" wrapText="1"/>
    </xf>
    <xf numFmtId="177" fontId="111" fillId="0" borderId="113" xfId="62" applyNumberFormat="1" applyFont="1" applyFill="1" applyBorder="1" applyAlignment="1">
      <alignment vertical="center" wrapText="1"/>
    </xf>
    <xf numFmtId="177" fontId="154" fillId="0" borderId="113" xfId="62" applyNumberFormat="1" applyFont="1" applyFill="1" applyBorder="1" applyAlignment="1">
      <alignment vertical="center" wrapText="1"/>
    </xf>
    <xf numFmtId="165" fontId="157" fillId="6" borderId="31" xfId="62" applyNumberFormat="1" applyFont="1" applyFill="1" applyBorder="1" applyAlignment="1">
      <alignment vertical="center" wrapText="1"/>
    </xf>
    <xf numFmtId="165" fontId="111" fillId="0" borderId="87" xfId="62" applyNumberFormat="1" applyFont="1" applyFill="1" applyBorder="1" applyAlignment="1">
      <alignment vertical="center" wrapText="1"/>
    </xf>
    <xf numFmtId="165" fontId="111" fillId="0" borderId="30" xfId="62" applyNumberFormat="1" applyFont="1" applyFill="1" applyBorder="1" applyAlignment="1">
      <alignment vertical="center" wrapText="1"/>
    </xf>
    <xf numFmtId="165" fontId="111" fillId="0" borderId="31" xfId="62" applyNumberFormat="1" applyFont="1" applyFill="1" applyBorder="1" applyAlignment="1">
      <alignment vertical="center" wrapText="1"/>
    </xf>
    <xf numFmtId="165" fontId="111" fillId="0" borderId="102" xfId="62" applyNumberFormat="1" applyFont="1" applyFill="1" applyBorder="1" applyAlignment="1">
      <alignment vertical="center" wrapText="1"/>
    </xf>
    <xf numFmtId="165" fontId="111" fillId="0" borderId="91" xfId="62" applyNumberFormat="1" applyFont="1" applyFill="1" applyBorder="1" applyAlignment="1">
      <alignment vertical="center" wrapText="1"/>
    </xf>
    <xf numFmtId="165" fontId="154" fillId="0" borderId="91" xfId="62" applyNumberFormat="1" applyFont="1" applyFill="1" applyBorder="1" applyAlignment="1">
      <alignment vertical="center" wrapText="1"/>
    </xf>
    <xf numFmtId="165" fontId="157" fillId="11" borderId="117" xfId="62" applyNumberFormat="1" applyFont="1" applyFill="1" applyBorder="1" applyAlignment="1">
      <alignment vertical="center" wrapText="1"/>
    </xf>
    <xf numFmtId="165" fontId="111" fillId="0" borderId="116" xfId="62" applyNumberFormat="1" applyFont="1" applyFill="1" applyBorder="1" applyAlignment="1">
      <alignment vertical="center" wrapText="1"/>
    </xf>
    <xf numFmtId="165" fontId="111" fillId="0" borderId="53" xfId="62" applyNumberFormat="1" applyFont="1" applyFill="1" applyBorder="1" applyAlignment="1">
      <alignment vertical="center" wrapText="1"/>
    </xf>
    <xf numFmtId="165" fontId="16" fillId="11" borderId="117" xfId="95" applyNumberFormat="1" applyFont="1" applyFill="1" applyBorder="1" applyAlignment="1">
      <alignment vertical="center" wrapText="1"/>
    </xf>
    <xf numFmtId="165" fontId="111" fillId="0" borderId="114" xfId="62" applyNumberFormat="1" applyFont="1" applyFill="1" applyBorder="1" applyAlignment="1">
      <alignment vertical="center" wrapText="1"/>
    </xf>
    <xf numFmtId="165" fontId="111" fillId="0" borderId="123" xfId="62" applyNumberFormat="1" applyFont="1" applyFill="1" applyBorder="1" applyAlignment="1">
      <alignment vertical="center" wrapText="1"/>
    </xf>
    <xf numFmtId="165" fontId="158" fillId="11" borderId="123" xfId="62" applyNumberFormat="1" applyFont="1" applyFill="1" applyBorder="1" applyAlignment="1">
      <alignment vertical="center" wrapText="1"/>
    </xf>
    <xf numFmtId="165" fontId="154" fillId="0" borderId="123" xfId="62" applyNumberFormat="1" applyFont="1" applyFill="1" applyBorder="1" applyAlignment="1">
      <alignment vertical="center" wrapText="1"/>
    </xf>
    <xf numFmtId="165" fontId="157" fillId="6" borderId="42" xfId="62" applyNumberFormat="1" applyFont="1" applyFill="1" applyBorder="1" applyAlignment="1">
      <alignment vertical="center" wrapText="1"/>
    </xf>
    <xf numFmtId="165" fontId="111" fillId="0" borderId="40" xfId="62" applyNumberFormat="1" applyFont="1" applyFill="1" applyBorder="1" applyAlignment="1">
      <alignment vertical="center" wrapText="1"/>
    </xf>
    <xf numFmtId="165" fontId="111" fillId="0" borderId="41" xfId="62" applyNumberFormat="1" applyFont="1" applyFill="1" applyBorder="1" applyAlignment="1">
      <alignment vertical="center" wrapText="1"/>
    </xf>
    <xf numFmtId="165" fontId="8" fillId="0" borderId="42" xfId="95" applyNumberFormat="1" applyFont="1" applyFill="1" applyBorder="1" applyAlignment="1">
      <alignment vertical="center" wrapText="1"/>
    </xf>
    <xf numFmtId="165" fontId="111" fillId="0" borderId="104" xfId="62" applyNumberFormat="1" applyFont="1" applyFill="1" applyBorder="1" applyAlignment="1">
      <alignment vertical="center" wrapText="1"/>
    </xf>
    <xf numFmtId="165" fontId="111" fillId="0" borderId="113" xfId="62" applyNumberFormat="1" applyFont="1" applyFill="1" applyBorder="1" applyAlignment="1">
      <alignment vertical="center" wrapText="1"/>
    </xf>
    <xf numFmtId="165" fontId="154" fillId="0" borderId="113" xfId="62" applyNumberFormat="1" applyFont="1" applyFill="1" applyBorder="1" applyAlignment="1">
      <alignment vertical="center" wrapText="1"/>
    </xf>
    <xf numFmtId="0" fontId="10" fillId="0" borderId="0" xfId="62" applyNumberFormat="1" applyFont="1" applyAlignment="1">
      <alignment horizontal="left" wrapText="1"/>
    </xf>
    <xf numFmtId="0" fontId="36" fillId="0" borderId="0" xfId="62"/>
    <xf numFmtId="0" fontId="94" fillId="0" borderId="0" xfId="62" applyNumberFormat="1" applyFont="1" applyAlignment="1">
      <alignment horizontal="left" wrapText="1"/>
    </xf>
    <xf numFmtId="171" fontId="36" fillId="0" borderId="0" xfId="62" applyNumberFormat="1" applyAlignment="1">
      <alignment vertical="center"/>
    </xf>
    <xf numFmtId="4" fontId="104" fillId="11" borderId="20" xfId="62" applyNumberFormat="1" applyFont="1" applyFill="1" applyBorder="1" applyAlignment="1">
      <alignment horizontal="right" vertical="top" wrapText="1"/>
    </xf>
    <xf numFmtId="171" fontId="31" fillId="11" borderId="20" xfId="62" applyNumberFormat="1" applyFont="1" applyFill="1" applyBorder="1" applyAlignment="1">
      <alignment horizontal="right" vertical="top" wrapText="1"/>
    </xf>
    <xf numFmtId="171" fontId="159" fillId="0" borderId="81" xfId="111" applyNumberFormat="1" applyFont="1" applyBorder="1" applyAlignment="1">
      <alignment vertical="center" wrapText="1"/>
    </xf>
    <xf numFmtId="0" fontId="34" fillId="11" borderId="81" xfId="62" applyNumberFormat="1" applyFont="1" applyFill="1" applyBorder="1" applyAlignment="1">
      <alignment horizontal="left" vertical="top" wrapText="1"/>
    </xf>
    <xf numFmtId="0" fontId="36" fillId="0" borderId="0" xfId="62" applyFont="1"/>
    <xf numFmtId="0" fontId="11" fillId="0" borderId="81" xfId="111" applyBorder="1" applyAlignment="1">
      <alignment horizontal="center" vertical="center" wrapText="1"/>
    </xf>
    <xf numFmtId="0" fontId="78" fillId="0" borderId="81" xfId="62" applyFont="1" applyBorder="1" applyAlignment="1">
      <alignment horizontal="center" vertical="center" wrapText="1"/>
    </xf>
    <xf numFmtId="178" fontId="11" fillId="14" borderId="81" xfId="111" applyNumberFormat="1" applyFill="1" applyBorder="1"/>
    <xf numFmtId="171" fontId="11" fillId="14" borderId="81" xfId="111" applyNumberFormat="1" applyFill="1" applyBorder="1"/>
    <xf numFmtId="0" fontId="31" fillId="10" borderId="21" xfId="62" applyNumberFormat="1" applyFont="1" applyFill="1" applyBorder="1" applyAlignment="1">
      <alignment horizontal="left" vertical="top" wrapText="1" indent="2"/>
    </xf>
    <xf numFmtId="171" fontId="36" fillId="0" borderId="0" xfId="62" applyNumberFormat="1" applyFont="1"/>
    <xf numFmtId="4" fontId="11" fillId="0" borderId="81" xfId="111" applyNumberFormat="1" applyBorder="1"/>
    <xf numFmtId="0" fontId="31" fillId="10" borderId="133" xfId="62" applyNumberFormat="1" applyFont="1" applyFill="1" applyBorder="1" applyAlignment="1">
      <alignment horizontal="left" vertical="top" wrapText="1" indent="2"/>
    </xf>
    <xf numFmtId="4" fontId="104" fillId="10" borderId="134" xfId="62" applyNumberFormat="1" applyFont="1" applyFill="1" applyBorder="1" applyAlignment="1">
      <alignment horizontal="right" vertical="top" wrapText="1"/>
    </xf>
    <xf numFmtId="171" fontId="31" fillId="10" borderId="134" xfId="62" applyNumberFormat="1" applyFont="1" applyFill="1" applyBorder="1" applyAlignment="1">
      <alignment horizontal="right" vertical="top" wrapText="1"/>
    </xf>
    <xf numFmtId="171" fontId="104" fillId="10" borderId="134" xfId="62" applyNumberFormat="1" applyFont="1" applyFill="1" applyBorder="1" applyAlignment="1">
      <alignment horizontal="right" vertical="top" wrapText="1"/>
    </xf>
    <xf numFmtId="0" fontId="31" fillId="0" borderId="133" xfId="62" applyNumberFormat="1" applyFont="1" applyBorder="1" applyAlignment="1">
      <alignment horizontal="left" vertical="top" wrapText="1" indent="4"/>
    </xf>
    <xf numFmtId="2" fontId="104" fillId="6" borderId="134" xfId="62" applyNumberFormat="1" applyFont="1" applyFill="1" applyBorder="1" applyAlignment="1">
      <alignment horizontal="right" vertical="top" wrapText="1"/>
    </xf>
    <xf numFmtId="171" fontId="31" fillId="0" borderId="134" xfId="62" applyNumberFormat="1" applyFont="1" applyBorder="1" applyAlignment="1">
      <alignment horizontal="right" vertical="top" wrapText="1"/>
    </xf>
    <xf numFmtId="171" fontId="31" fillId="6" borderId="134" xfId="62" applyNumberFormat="1" applyFont="1" applyFill="1" applyBorder="1" applyAlignment="1">
      <alignment horizontal="right" vertical="top" wrapText="1"/>
    </xf>
    <xf numFmtId="171" fontId="36" fillId="0" borderId="0" xfId="62" applyNumberFormat="1" applyFont="1" applyAlignment="1">
      <alignment horizontal="left"/>
    </xf>
    <xf numFmtId="0" fontId="36" fillId="0" borderId="0" xfId="62" applyFont="1" applyAlignment="1">
      <alignment horizontal="left"/>
    </xf>
    <xf numFmtId="171" fontId="160" fillId="7" borderId="53" xfId="59" applyNumberFormat="1" applyFont="1" applyFill="1" applyBorder="1" applyAlignment="1">
      <alignment horizontal="left" wrapText="1"/>
    </xf>
    <xf numFmtId="171" fontId="104" fillId="6" borderId="134" xfId="62" applyNumberFormat="1" applyFont="1" applyFill="1" applyBorder="1" applyAlignment="1">
      <alignment horizontal="right" vertical="top" wrapText="1"/>
    </xf>
    <xf numFmtId="171" fontId="36" fillId="7" borderId="0" xfId="62" applyNumberFormat="1" applyFont="1" applyFill="1" applyAlignment="1">
      <alignment horizontal="left"/>
    </xf>
    <xf numFmtId="171" fontId="161" fillId="7" borderId="53" xfId="59" applyNumberFormat="1" applyFont="1" applyFill="1" applyBorder="1" applyAlignment="1">
      <alignment horizontal="left" wrapText="1"/>
    </xf>
    <xf numFmtId="171" fontId="160" fillId="11" borderId="53" xfId="59" applyNumberFormat="1" applyFont="1" applyFill="1" applyBorder="1" applyAlignment="1">
      <alignment horizontal="left" wrapText="1"/>
    </xf>
    <xf numFmtId="171" fontId="36" fillId="0" borderId="0" xfId="62" applyNumberFormat="1" applyAlignment="1">
      <alignment horizontal="left"/>
    </xf>
    <xf numFmtId="171" fontId="78" fillId="0" borderId="0" xfId="62" applyNumberFormat="1" applyFont="1" applyAlignment="1"/>
    <xf numFmtId="171" fontId="36" fillId="0" borderId="0" xfId="62" applyNumberFormat="1" applyAlignment="1"/>
    <xf numFmtId="171" fontId="111" fillId="14" borderId="0" xfId="62" applyNumberFormat="1" applyFont="1" applyFill="1" applyAlignment="1"/>
    <xf numFmtId="171" fontId="78" fillId="0" borderId="81" xfId="62" applyNumberFormat="1" applyFont="1" applyBorder="1" applyAlignment="1">
      <alignment horizontal="center" vertical="center" wrapText="1"/>
    </xf>
    <xf numFmtId="171" fontId="78" fillId="0" borderId="0" xfId="62" applyNumberFormat="1" applyFont="1" applyAlignment="1">
      <alignment horizontal="center" vertical="center" wrapText="1"/>
    </xf>
    <xf numFmtId="49" fontId="102" fillId="0" borderId="81" xfId="59" applyNumberFormat="1" applyFont="1" applyBorder="1" applyAlignment="1">
      <alignment horizontal="center"/>
    </xf>
    <xf numFmtId="171" fontId="102" fillId="0" borderId="81" xfId="59" applyNumberFormat="1" applyFont="1" applyBorder="1" applyAlignment="1">
      <alignment horizontal="left" wrapText="1"/>
    </xf>
    <xf numFmtId="175" fontId="111" fillId="6" borderId="81" xfId="62" applyNumberFormat="1" applyFont="1" applyFill="1" applyBorder="1" applyAlignment="1">
      <alignment wrapText="1"/>
    </xf>
    <xf numFmtId="49" fontId="160" fillId="0" borderId="37" xfId="59" applyNumberFormat="1" applyFont="1" applyBorder="1" applyAlignment="1">
      <alignment horizontal="center"/>
    </xf>
    <xf numFmtId="171" fontId="160" fillId="7" borderId="37" xfId="59" applyNumberFormat="1" applyFont="1" applyFill="1" applyBorder="1" applyAlignment="1">
      <alignment horizontal="left" wrapText="1"/>
    </xf>
    <xf numFmtId="175" fontId="141" fillId="0" borderId="135" xfId="62" applyNumberFormat="1" applyFont="1" applyBorder="1" applyAlignment="1"/>
    <xf numFmtId="175" fontId="141" fillId="6" borderId="115" xfId="62" applyNumberFormat="1" applyFont="1" applyFill="1" applyBorder="1" applyAlignment="1"/>
    <xf numFmtId="175" fontId="141" fillId="0" borderId="115" xfId="62" applyNumberFormat="1" applyFont="1" applyBorder="1" applyAlignment="1"/>
    <xf numFmtId="49" fontId="162" fillId="0" borderId="37" xfId="59" applyNumberFormat="1" applyFont="1" applyBorder="1" applyAlignment="1">
      <alignment horizontal="center"/>
    </xf>
    <xf numFmtId="171" fontId="162" fillId="0" borderId="37" xfId="59" applyNumberFormat="1" applyFont="1" applyFill="1" applyBorder="1" applyAlignment="1">
      <alignment horizontal="left" wrapText="1" indent="1"/>
    </xf>
    <xf numFmtId="175" fontId="141" fillId="7" borderId="115" xfId="62" applyNumberFormat="1" applyFont="1" applyFill="1" applyBorder="1" applyAlignment="1"/>
    <xf numFmtId="49" fontId="160" fillId="0" borderId="115" xfId="59" applyNumberFormat="1" applyFont="1" applyBorder="1" applyAlignment="1">
      <alignment horizontal="center"/>
    </xf>
    <xf numFmtId="171" fontId="160" fillId="7" borderId="115" xfId="59" applyNumberFormat="1" applyFont="1" applyFill="1" applyBorder="1" applyAlignment="1">
      <alignment horizontal="left" wrapText="1"/>
    </xf>
    <xf numFmtId="175" fontId="78" fillId="6" borderId="115" xfId="62" applyNumberFormat="1" applyFont="1" applyFill="1" applyBorder="1" applyAlignment="1"/>
    <xf numFmtId="175" fontId="141" fillId="6" borderId="135" xfId="62" applyNumberFormat="1" applyFont="1" applyFill="1" applyBorder="1" applyAlignment="1"/>
    <xf numFmtId="175" fontId="141" fillId="14" borderId="115" xfId="62" applyNumberFormat="1" applyFont="1" applyFill="1" applyBorder="1" applyAlignment="1"/>
    <xf numFmtId="49" fontId="160" fillId="0" borderId="38" xfId="59" applyNumberFormat="1" applyFont="1" applyBorder="1" applyAlignment="1">
      <alignment horizontal="center"/>
    </xf>
    <xf numFmtId="171" fontId="160" fillId="7" borderId="38" xfId="59" applyNumberFormat="1" applyFont="1" applyFill="1" applyBorder="1" applyAlignment="1">
      <alignment horizontal="left" wrapText="1"/>
    </xf>
    <xf numFmtId="175" fontId="141" fillId="0" borderId="38" xfId="62" applyNumberFormat="1" applyFont="1" applyBorder="1" applyAlignment="1"/>
    <xf numFmtId="175" fontId="141" fillId="0" borderId="81" xfId="62" applyNumberFormat="1" applyFont="1" applyBorder="1" applyAlignment="1"/>
    <xf numFmtId="171" fontId="78" fillId="0" borderId="81" xfId="62" applyNumberFormat="1" applyFont="1" applyBorder="1" applyAlignment="1">
      <alignment vertical="center"/>
    </xf>
    <xf numFmtId="0" fontId="160" fillId="0" borderId="81" xfId="59" applyFont="1" applyBorder="1" applyAlignment="1">
      <alignment horizontal="center"/>
    </xf>
    <xf numFmtId="175" fontId="78" fillId="6" borderId="81" xfId="62" applyNumberFormat="1" applyFont="1" applyFill="1" applyBorder="1" applyAlignment="1"/>
    <xf numFmtId="0" fontId="160" fillId="0" borderId="135" xfId="59" applyFont="1" applyBorder="1" applyAlignment="1">
      <alignment horizontal="center"/>
    </xf>
    <xf numFmtId="0" fontId="160" fillId="7" borderId="135" xfId="59" applyFont="1" applyFill="1" applyBorder="1" applyAlignment="1">
      <alignment horizontal="left" wrapText="1"/>
    </xf>
    <xf numFmtId="175" fontId="141" fillId="7" borderId="135" xfId="62" applyNumberFormat="1" applyFont="1" applyFill="1" applyBorder="1" applyAlignment="1"/>
    <xf numFmtId="0" fontId="160" fillId="0" borderId="115" xfId="59" applyFont="1" applyBorder="1" applyAlignment="1">
      <alignment horizontal="center"/>
    </xf>
    <xf numFmtId="0" fontId="160" fillId="7" borderId="115" xfId="59" applyFont="1" applyFill="1" applyBorder="1" applyAlignment="1">
      <alignment horizontal="left" wrapText="1"/>
    </xf>
    <xf numFmtId="175" fontId="141" fillId="11" borderId="115" xfId="62" applyNumberFormat="1" applyFont="1" applyFill="1" applyBorder="1" applyAlignment="1"/>
    <xf numFmtId="0" fontId="160" fillId="0" borderId="38" xfId="59" applyFont="1" applyBorder="1" applyAlignment="1">
      <alignment horizontal="center"/>
    </xf>
    <xf numFmtId="0" fontId="160" fillId="7" borderId="38" xfId="59" applyFont="1" applyFill="1" applyBorder="1" applyAlignment="1">
      <alignment horizontal="left"/>
    </xf>
    <xf numFmtId="175" fontId="78" fillId="6" borderId="136" xfId="62" applyNumberFormat="1" applyFont="1" applyFill="1" applyBorder="1" applyAlignment="1"/>
    <xf numFmtId="175" fontId="78" fillId="11" borderId="136" xfId="62" applyNumberFormat="1" applyFont="1" applyFill="1" applyBorder="1" applyAlignment="1"/>
    <xf numFmtId="0" fontId="160" fillId="14" borderId="135" xfId="59" applyFont="1" applyFill="1" applyBorder="1" applyAlignment="1">
      <alignment horizontal="left"/>
    </xf>
    <xf numFmtId="0" fontId="160" fillId="0" borderId="115" xfId="59" applyFont="1" applyBorder="1" applyAlignment="1">
      <alignment horizontal="left"/>
    </xf>
    <xf numFmtId="0" fontId="160" fillId="0" borderId="38" xfId="59" applyFont="1" applyBorder="1" applyAlignment="1">
      <alignment horizontal="left"/>
    </xf>
    <xf numFmtId="175" fontId="141" fillId="7" borderId="38" xfId="62" applyNumberFormat="1" applyFont="1" applyFill="1" applyBorder="1" applyAlignment="1"/>
    <xf numFmtId="0" fontId="78" fillId="0" borderId="0" xfId="62" applyFont="1" applyAlignment="1">
      <alignment horizontal="left"/>
    </xf>
    <xf numFmtId="0" fontId="36" fillId="0" borderId="0" xfId="62" applyAlignment="1">
      <alignment horizontal="left"/>
    </xf>
    <xf numFmtId="169" fontId="37" fillId="0" borderId="0" xfId="62" applyNumberFormat="1" applyFont="1"/>
    <xf numFmtId="10" fontId="37" fillId="0" borderId="0" xfId="134" applyNumberFormat="1" applyFont="1"/>
    <xf numFmtId="2" fontId="36" fillId="0" borderId="0" xfId="62" applyNumberFormat="1"/>
    <xf numFmtId="169" fontId="78" fillId="0" borderId="0" xfId="62" applyNumberFormat="1" applyFont="1"/>
    <xf numFmtId="169" fontId="36" fillId="7" borderId="0" xfId="62" applyNumberFormat="1" applyFill="1"/>
    <xf numFmtId="171" fontId="36" fillId="6" borderId="0" xfId="62" applyNumberFormat="1" applyFill="1"/>
    <xf numFmtId="169" fontId="37" fillId="7" borderId="0" xfId="62" applyNumberFormat="1" applyFont="1" applyFill="1" applyAlignment="1">
      <alignment horizontal="left"/>
    </xf>
    <xf numFmtId="189" fontId="36" fillId="6" borderId="0" xfId="134" applyNumberFormat="1" applyFont="1" applyFill="1"/>
    <xf numFmtId="189" fontId="37" fillId="0" borderId="0" xfId="134" applyNumberFormat="1" applyFont="1"/>
    <xf numFmtId="0" fontId="37" fillId="0" borderId="0" xfId="62" applyFont="1"/>
    <xf numFmtId="0" fontId="37" fillId="0" borderId="0" xfId="62" applyNumberFormat="1" applyFont="1" applyAlignment="1">
      <alignment horizontal="left" vertical="top" wrapText="1"/>
    </xf>
    <xf numFmtId="171" fontId="159" fillId="0" borderId="81" xfId="111" applyNumberFormat="1" applyFont="1" applyBorder="1" applyAlignment="1">
      <alignment horizontal="center" vertical="center" wrapText="1"/>
    </xf>
    <xf numFmtId="0" fontId="37" fillId="0" borderId="0" xfId="62" applyFont="1" applyAlignment="1">
      <alignment horizontal="left"/>
    </xf>
    <xf numFmtId="169" fontId="37" fillId="0" borderId="0" xfId="62" applyNumberFormat="1" applyFont="1" applyAlignment="1">
      <alignment horizontal="left"/>
    </xf>
    <xf numFmtId="178" fontId="11" fillId="7" borderId="137" xfId="111" applyNumberFormat="1" applyFill="1" applyBorder="1"/>
    <xf numFmtId="171" fontId="11" fillId="7" borderId="31" xfId="111" applyNumberFormat="1" applyFill="1" applyBorder="1"/>
    <xf numFmtId="169" fontId="3" fillId="12" borderId="138" xfId="62" applyNumberFormat="1" applyFont="1" applyFill="1" applyBorder="1" applyAlignment="1">
      <alignment horizontal="left" vertical="top" wrapText="1"/>
    </xf>
    <xf numFmtId="169" fontId="3" fillId="12" borderId="138" xfId="62" applyNumberFormat="1" applyFont="1" applyFill="1" applyBorder="1" applyAlignment="1">
      <alignment horizontal="left" vertical="top" wrapText="1" indent="1"/>
    </xf>
    <xf numFmtId="169" fontId="3" fillId="12" borderId="81" xfId="62" applyNumberFormat="1" applyFont="1" applyFill="1" applyBorder="1" applyAlignment="1">
      <alignment horizontal="center" vertical="center" wrapText="1"/>
    </xf>
    <xf numFmtId="4" fontId="11" fillId="0" borderId="40" xfId="111" applyNumberFormat="1" applyBorder="1"/>
    <xf numFmtId="4" fontId="11" fillId="0" borderId="42" xfId="111" applyNumberFormat="1" applyBorder="1"/>
    <xf numFmtId="169" fontId="3" fillId="12" borderId="0" xfId="62" applyNumberFormat="1" applyFont="1" applyFill="1" applyBorder="1" applyAlignment="1">
      <alignment horizontal="left" vertical="top" wrapText="1"/>
    </xf>
    <xf numFmtId="169" fontId="3" fillId="12" borderId="0" xfId="62" applyNumberFormat="1" applyFont="1" applyFill="1" applyBorder="1" applyAlignment="1">
      <alignment horizontal="left" vertical="top" wrapText="1" indent="1"/>
    </xf>
    <xf numFmtId="0" fontId="37" fillId="12" borderId="81" xfId="62" applyNumberFormat="1" applyFont="1" applyFill="1" applyBorder="1" applyAlignment="1">
      <alignment horizontal="center" vertical="center" wrapText="1"/>
    </xf>
    <xf numFmtId="170" fontId="37" fillId="12" borderId="81" xfId="62" applyNumberFormat="1" applyFont="1" applyFill="1" applyBorder="1" applyAlignment="1">
      <alignment horizontal="center" vertical="center" wrapText="1"/>
    </xf>
    <xf numFmtId="178" fontId="31" fillId="10" borderId="20" xfId="62" applyNumberFormat="1" applyFont="1" applyFill="1" applyBorder="1" applyAlignment="1">
      <alignment horizontal="center" vertical="center" wrapText="1"/>
    </xf>
    <xf numFmtId="0" fontId="78" fillId="0" borderId="0" xfId="62" applyFont="1" applyAlignment="1"/>
    <xf numFmtId="169" fontId="37" fillId="0" borderId="0" xfId="62" applyNumberFormat="1" applyFont="1" applyAlignment="1"/>
    <xf numFmtId="169" fontId="3" fillId="12" borderId="0" xfId="62" applyNumberFormat="1" applyFont="1" applyFill="1" applyBorder="1" applyAlignment="1">
      <alignment vertical="top" wrapText="1"/>
    </xf>
    <xf numFmtId="0" fontId="3" fillId="12" borderId="139" xfId="62" applyNumberFormat="1" applyFont="1" applyFill="1" applyBorder="1" applyAlignment="1">
      <alignment vertical="center" wrapText="1"/>
    </xf>
    <xf numFmtId="169" fontId="25" fillId="31" borderId="20" xfId="62" applyNumberFormat="1" applyFont="1" applyFill="1" applyBorder="1" applyAlignment="1">
      <alignment horizontal="right" vertical="top" wrapText="1"/>
    </xf>
    <xf numFmtId="171" fontId="31" fillId="14" borderId="134" xfId="62" applyNumberFormat="1" applyFont="1" applyFill="1" applyBorder="1" applyAlignment="1">
      <alignment horizontal="right" vertical="top" wrapText="1"/>
    </xf>
    <xf numFmtId="171" fontId="160" fillId="0" borderId="53" xfId="59" applyNumberFormat="1" applyFont="1" applyFill="1" applyBorder="1" applyAlignment="1">
      <alignment horizontal="left" wrapText="1"/>
    </xf>
    <xf numFmtId="169" fontId="78" fillId="0" borderId="0" xfId="62" applyNumberFormat="1" applyFont="1" applyAlignment="1"/>
    <xf numFmtId="169" fontId="25" fillId="31" borderId="134" xfId="62" applyNumberFormat="1" applyFont="1" applyFill="1" applyBorder="1" applyAlignment="1">
      <alignment vertical="top" wrapText="1"/>
    </xf>
    <xf numFmtId="0" fontId="25" fillId="10" borderId="134" xfId="62" applyNumberFormat="1" applyFont="1" applyFill="1" applyBorder="1" applyAlignment="1">
      <alignment horizontal="left" vertical="top" wrapText="1" indent="6"/>
    </xf>
    <xf numFmtId="169" fontId="25" fillId="36" borderId="134" xfId="62" applyNumberFormat="1" applyFont="1" applyFill="1" applyBorder="1" applyAlignment="1">
      <alignment horizontal="right" vertical="top" wrapText="1"/>
    </xf>
    <xf numFmtId="169" fontId="25" fillId="6" borderId="134" xfId="62" applyNumberFormat="1" applyFont="1" applyFill="1" applyBorder="1" applyAlignment="1">
      <alignment horizontal="right" vertical="top" wrapText="1"/>
    </xf>
    <xf numFmtId="169" fontId="36" fillId="0" borderId="0" xfId="62" applyNumberFormat="1" applyFont="1" applyAlignment="1"/>
    <xf numFmtId="169" fontId="25" fillId="10" borderId="134" xfId="62" applyNumberFormat="1" applyFont="1" applyFill="1" applyBorder="1" applyAlignment="1">
      <alignment vertical="top" wrapText="1"/>
    </xf>
    <xf numFmtId="0" fontId="25" fillId="0" borderId="134" xfId="62" applyNumberFormat="1" applyFont="1" applyBorder="1" applyAlignment="1">
      <alignment horizontal="left" vertical="top" wrapText="1" indent="8"/>
    </xf>
    <xf numFmtId="169" fontId="25" fillId="0" borderId="134" xfId="62" applyNumberFormat="1" applyFont="1" applyBorder="1" applyAlignment="1">
      <alignment horizontal="right" vertical="top" wrapText="1"/>
    </xf>
    <xf numFmtId="169" fontId="25" fillId="0" borderId="134" xfId="62" applyNumberFormat="1" applyFont="1" applyBorder="1" applyAlignment="1">
      <alignment vertical="top" wrapText="1"/>
    </xf>
    <xf numFmtId="169" fontId="25" fillId="11" borderId="134" xfId="62" applyNumberFormat="1" applyFont="1" applyFill="1" applyBorder="1" applyAlignment="1">
      <alignment horizontal="right" vertical="top" wrapText="1"/>
    </xf>
    <xf numFmtId="169" fontId="25" fillId="0" borderId="133" xfId="62" applyNumberFormat="1" applyFont="1" applyBorder="1" applyAlignment="1">
      <alignment vertical="top" wrapText="1"/>
    </xf>
    <xf numFmtId="169" fontId="25" fillId="0" borderId="140" xfId="62" applyNumberFormat="1" applyFont="1" applyBorder="1" applyAlignment="1">
      <alignment vertical="top" wrapText="1"/>
    </xf>
    <xf numFmtId="0" fontId="25" fillId="10" borderId="134" xfId="62" applyNumberFormat="1" applyFont="1" applyFill="1" applyBorder="1" applyAlignment="1">
      <alignment horizontal="left" vertical="top" wrapText="1" indent="8"/>
    </xf>
    <xf numFmtId="0" fontId="25" fillId="0" borderId="134" xfId="62" applyNumberFormat="1" applyFont="1" applyBorder="1" applyAlignment="1">
      <alignment horizontal="left" vertical="top" wrapText="1" indent="10"/>
    </xf>
    <xf numFmtId="0" fontId="25" fillId="10" borderId="134" xfId="62" applyNumberFormat="1" applyFont="1" applyFill="1" applyBorder="1" applyAlignment="1">
      <alignment horizontal="left" vertical="top" wrapText="1" indent="10"/>
    </xf>
    <xf numFmtId="0" fontId="25" fillId="0" borderId="134" xfId="62" applyNumberFormat="1" applyFont="1" applyBorder="1" applyAlignment="1">
      <alignment horizontal="left" vertical="top" wrapText="1" indent="12"/>
    </xf>
    <xf numFmtId="0" fontId="25" fillId="10" borderId="134" xfId="62" applyNumberFormat="1" applyFont="1" applyFill="1" applyBorder="1" applyAlignment="1">
      <alignment horizontal="left" vertical="top" wrapText="1" indent="12"/>
    </xf>
    <xf numFmtId="0" fontId="25" fillId="0" borderId="134" xfId="62" applyNumberFormat="1" applyFont="1" applyBorder="1" applyAlignment="1">
      <alignment horizontal="left" vertical="top" wrapText="1" indent="14"/>
    </xf>
    <xf numFmtId="171" fontId="160" fillId="14" borderId="53" xfId="59" applyNumberFormat="1" applyFont="1" applyFill="1" applyBorder="1" applyAlignment="1">
      <alignment horizontal="left" wrapText="1"/>
    </xf>
    <xf numFmtId="169" fontId="25" fillId="6" borderId="134" xfId="62" applyNumberFormat="1" applyFont="1" applyFill="1" applyBorder="1" applyAlignment="1">
      <alignment horizontal="left" vertical="top" wrapText="1"/>
    </xf>
    <xf numFmtId="169" fontId="25" fillId="0" borderId="134" xfId="62" applyNumberFormat="1" applyFont="1" applyBorder="1" applyAlignment="1">
      <alignment horizontal="left" vertical="top" wrapText="1"/>
    </xf>
    <xf numFmtId="171" fontId="31" fillId="11" borderId="134" xfId="62" applyNumberFormat="1" applyFont="1" applyFill="1" applyBorder="1" applyAlignment="1">
      <alignment horizontal="right" vertical="top" wrapText="1"/>
    </xf>
    <xf numFmtId="169" fontId="78" fillId="11" borderId="0" xfId="62" applyNumberFormat="1" applyFont="1" applyFill="1" applyAlignment="1"/>
    <xf numFmtId="169" fontId="36" fillId="0" borderId="0" xfId="62" applyNumberFormat="1" applyAlignment="1"/>
    <xf numFmtId="43" fontId="37" fillId="0" borderId="0" xfId="62" applyNumberFormat="1" applyFont="1" applyAlignment="1">
      <alignment horizontal="left"/>
    </xf>
    <xf numFmtId="169" fontId="111" fillId="6" borderId="81" xfId="62" applyNumberFormat="1" applyFont="1" applyFill="1" applyBorder="1" applyAlignment="1"/>
    <xf numFmtId="169" fontId="141" fillId="36" borderId="135" xfId="62" applyNumberFormat="1" applyFont="1" applyFill="1" applyBorder="1" applyAlignment="1"/>
    <xf numFmtId="169" fontId="141" fillId="6" borderId="135" xfId="62" applyNumberFormat="1" applyFont="1" applyFill="1" applyBorder="1" applyAlignment="1"/>
    <xf numFmtId="171" fontId="160" fillId="7" borderId="115" xfId="59" applyNumberFormat="1" applyFont="1" applyFill="1" applyBorder="1" applyAlignment="1">
      <alignment horizontal="left" wrapText="1" indent="1"/>
    </xf>
    <xf numFmtId="169" fontId="141" fillId="6" borderId="37" xfId="62" applyNumberFormat="1" applyFont="1" applyFill="1" applyBorder="1" applyAlignment="1"/>
    <xf numFmtId="169" fontId="141" fillId="36" borderId="115" xfId="62" applyNumberFormat="1" applyFont="1" applyFill="1" applyBorder="1" applyAlignment="1"/>
    <xf numFmtId="169" fontId="141" fillId="6" borderId="115" xfId="62" applyNumberFormat="1" applyFont="1" applyFill="1" applyBorder="1" applyAlignment="1"/>
    <xf numFmtId="169" fontId="78" fillId="6" borderId="115" xfId="62" applyNumberFormat="1" applyFont="1" applyFill="1" applyBorder="1" applyAlignment="1"/>
    <xf numFmtId="171" fontId="160" fillId="7" borderId="115" xfId="59" applyNumberFormat="1" applyFont="1" applyFill="1" applyBorder="1" applyAlignment="1">
      <alignment horizontal="left" wrapText="1" indent="3"/>
    </xf>
    <xf numFmtId="169" fontId="141" fillId="0" borderId="115" xfId="62" applyNumberFormat="1" applyFont="1" applyFill="1" applyBorder="1" applyAlignment="1"/>
    <xf numFmtId="171" fontId="160" fillId="7" borderId="38" xfId="59" applyNumberFormat="1" applyFont="1" applyFill="1" applyBorder="1" applyAlignment="1">
      <alignment horizontal="left" wrapText="1" indent="1"/>
    </xf>
    <xf numFmtId="169" fontId="141" fillId="6" borderId="38" xfId="62" applyNumberFormat="1" applyFont="1" applyFill="1" applyBorder="1" applyAlignment="1"/>
    <xf numFmtId="169" fontId="78" fillId="0" borderId="0" xfId="62" applyNumberFormat="1" applyFont="1" applyAlignment="1">
      <alignment vertical="center"/>
    </xf>
    <xf numFmtId="169" fontId="78" fillId="6" borderId="81" xfId="62" applyNumberFormat="1" applyFont="1" applyFill="1" applyBorder="1" applyAlignment="1"/>
    <xf numFmtId="169" fontId="141" fillId="0" borderId="135" xfId="62" applyNumberFormat="1" applyFont="1" applyBorder="1" applyAlignment="1"/>
    <xf numFmtId="169" fontId="141" fillId="0" borderId="115" xfId="62" applyNumberFormat="1" applyFont="1" applyBorder="1" applyAlignment="1"/>
    <xf numFmtId="169" fontId="141" fillId="0" borderId="38" xfId="62" applyNumberFormat="1" applyFont="1" applyBorder="1" applyAlignment="1"/>
    <xf numFmtId="169" fontId="78" fillId="6" borderId="8" xfId="62" applyNumberFormat="1" applyFont="1" applyFill="1" applyBorder="1" applyAlignment="1"/>
    <xf numFmtId="175" fontId="78" fillId="6" borderId="8" xfId="62" applyNumberFormat="1" applyFont="1" applyFill="1" applyBorder="1" applyAlignment="1"/>
    <xf numFmtId="0" fontId="25" fillId="31" borderId="141" xfId="62" applyNumberFormat="1" applyFont="1" applyFill="1" applyBorder="1" applyAlignment="1">
      <alignment horizontal="left" vertical="top" wrapText="1" indent="4"/>
    </xf>
    <xf numFmtId="169" fontId="25" fillId="31" borderId="141" xfId="62" applyNumberFormat="1" applyFont="1" applyFill="1" applyBorder="1" applyAlignment="1">
      <alignment horizontal="right" vertical="top" wrapText="1"/>
    </xf>
    <xf numFmtId="169" fontId="25" fillId="31" borderId="141" xfId="62" applyNumberFormat="1" applyFont="1" applyFill="1" applyBorder="1" applyAlignment="1">
      <alignment vertical="top" wrapText="1"/>
    </xf>
    <xf numFmtId="169" fontId="25" fillId="31" borderId="142" xfId="62" applyNumberFormat="1" applyFont="1" applyFill="1" applyBorder="1" applyAlignment="1">
      <alignment vertical="top" wrapText="1"/>
    </xf>
    <xf numFmtId="169" fontId="25" fillId="31" borderId="143" xfId="62" applyNumberFormat="1" applyFont="1" applyFill="1" applyBorder="1" applyAlignment="1">
      <alignment vertical="top" wrapText="1"/>
    </xf>
    <xf numFmtId="0" fontId="25" fillId="10" borderId="141" xfId="62" applyNumberFormat="1" applyFont="1" applyFill="1" applyBorder="1" applyAlignment="1">
      <alignment horizontal="left" vertical="top" wrapText="1" indent="6"/>
    </xf>
    <xf numFmtId="169" fontId="25" fillId="10" borderId="141" xfId="62" applyNumberFormat="1" applyFont="1" applyFill="1" applyBorder="1" applyAlignment="1">
      <alignment horizontal="right" vertical="top" wrapText="1"/>
    </xf>
    <xf numFmtId="169" fontId="25" fillId="10" borderId="141" xfId="62" applyNumberFormat="1" applyFont="1" applyFill="1" applyBorder="1" applyAlignment="1">
      <alignment vertical="top" wrapText="1"/>
    </xf>
    <xf numFmtId="169" fontId="25" fillId="10" borderId="142" xfId="62" applyNumberFormat="1" applyFont="1" applyFill="1" applyBorder="1" applyAlignment="1">
      <alignment vertical="top" wrapText="1"/>
    </xf>
    <xf numFmtId="169" fontId="25" fillId="10" borderId="143" xfId="62" applyNumberFormat="1" applyFont="1" applyFill="1" applyBorder="1" applyAlignment="1">
      <alignment vertical="top" wrapText="1"/>
    </xf>
    <xf numFmtId="0" fontId="25" fillId="0" borderId="141" xfId="62" applyNumberFormat="1" applyFont="1" applyBorder="1" applyAlignment="1">
      <alignment horizontal="left" vertical="top" wrapText="1" indent="8"/>
    </xf>
    <xf numFmtId="169" fontId="25" fillId="0" borderId="141" xfId="62" applyNumberFormat="1" applyFont="1" applyBorder="1" applyAlignment="1">
      <alignment horizontal="right" vertical="top" wrapText="1"/>
    </xf>
    <xf numFmtId="169" fontId="25" fillId="0" borderId="141" xfId="62" applyNumberFormat="1" applyFont="1" applyBorder="1" applyAlignment="1">
      <alignment vertical="top" wrapText="1"/>
    </xf>
    <xf numFmtId="169" fontId="25" fillId="0" borderId="142" xfId="62" applyNumberFormat="1" applyFont="1" applyBorder="1" applyAlignment="1">
      <alignment vertical="top" wrapText="1"/>
    </xf>
    <xf numFmtId="169" fontId="25" fillId="0" borderId="143" xfId="62" applyNumberFormat="1" applyFont="1" applyBorder="1" applyAlignment="1">
      <alignment vertical="top" wrapText="1"/>
    </xf>
    <xf numFmtId="169" fontId="25" fillId="0" borderId="141" xfId="62" applyNumberFormat="1" applyFont="1" applyBorder="1" applyAlignment="1">
      <alignment horizontal="left" vertical="top" wrapText="1"/>
    </xf>
    <xf numFmtId="0" fontId="25" fillId="10" borderId="141" xfId="62" applyNumberFormat="1" applyFont="1" applyFill="1" applyBorder="1" applyAlignment="1">
      <alignment horizontal="left" vertical="top" wrapText="1" indent="8"/>
    </xf>
    <xf numFmtId="0" fontId="25" fillId="0" borderId="141" xfId="62" applyNumberFormat="1" applyFont="1" applyBorder="1" applyAlignment="1">
      <alignment horizontal="left" vertical="top" wrapText="1" indent="10"/>
    </xf>
    <xf numFmtId="0" fontId="25" fillId="10" borderId="141" xfId="62" applyNumberFormat="1" applyFont="1" applyFill="1" applyBorder="1" applyAlignment="1">
      <alignment horizontal="left" vertical="top" wrapText="1" indent="10"/>
    </xf>
    <xf numFmtId="0" fontId="25" fillId="0" borderId="141" xfId="62" applyNumberFormat="1" applyFont="1" applyBorder="1" applyAlignment="1">
      <alignment horizontal="left" vertical="top" wrapText="1" indent="12"/>
    </xf>
    <xf numFmtId="0" fontId="25" fillId="10" borderId="141" xfId="62" applyNumberFormat="1" applyFont="1" applyFill="1" applyBorder="1" applyAlignment="1">
      <alignment horizontal="left" vertical="top" wrapText="1" indent="12"/>
    </xf>
    <xf numFmtId="0" fontId="25" fillId="0" borderId="141" xfId="62" applyNumberFormat="1" applyFont="1" applyBorder="1" applyAlignment="1">
      <alignment horizontal="left" vertical="top" wrapText="1" indent="14"/>
    </xf>
    <xf numFmtId="0" fontId="10" fillId="12" borderId="144" xfId="62" applyNumberFormat="1" applyFont="1" applyFill="1" applyBorder="1" applyAlignment="1">
      <alignment horizontal="left" vertical="top"/>
    </xf>
    <xf numFmtId="169" fontId="10" fillId="12" borderId="144" xfId="62" applyNumberFormat="1" applyFont="1" applyFill="1" applyBorder="1" applyAlignment="1">
      <alignment horizontal="right" vertical="top" wrapText="1"/>
    </xf>
    <xf numFmtId="169" fontId="10" fillId="12" borderId="144" xfId="62" applyNumberFormat="1" applyFont="1" applyFill="1" applyBorder="1" applyAlignment="1">
      <alignment vertical="top" wrapText="1"/>
    </xf>
    <xf numFmtId="0" fontId="3" fillId="0" borderId="0" xfId="194"/>
    <xf numFmtId="0" fontId="28" fillId="0" borderId="0" xfId="194" applyNumberFormat="1" applyFont="1" applyAlignment="1">
      <alignment wrapText="1"/>
    </xf>
    <xf numFmtId="4" fontId="28" fillId="0" borderId="0" xfId="194" applyNumberFormat="1" applyFont="1" applyAlignment="1">
      <alignment wrapText="1"/>
    </xf>
    <xf numFmtId="0" fontId="10" fillId="0" borderId="145" xfId="194" applyFont="1" applyBorder="1"/>
    <xf numFmtId="0" fontId="3" fillId="0" borderId="0" xfId="194" applyAlignment="1">
      <alignment horizontal="left"/>
    </xf>
    <xf numFmtId="4" fontId="3" fillId="0" borderId="0" xfId="194" applyNumberFormat="1" applyAlignment="1">
      <alignment horizontal="left"/>
    </xf>
    <xf numFmtId="4" fontId="3" fillId="0" borderId="0" xfId="194" applyNumberFormat="1"/>
    <xf numFmtId="4" fontId="164" fillId="0" borderId="145" xfId="194" applyNumberFormat="1" applyFont="1" applyBorder="1"/>
    <xf numFmtId="0" fontId="3" fillId="0" borderId="0" xfId="194" applyNumberFormat="1" applyAlignment="1">
      <alignment horizontal="left" vertical="top" wrapText="1"/>
    </xf>
    <xf numFmtId="9" fontId="3" fillId="11" borderId="145" xfId="194" applyNumberFormat="1" applyFill="1" applyBorder="1"/>
    <xf numFmtId="10" fontId="133" fillId="11" borderId="145" xfId="194" applyNumberFormat="1" applyFont="1" applyFill="1" applyBorder="1"/>
    <xf numFmtId="169" fontId="3" fillId="12" borderId="145" xfId="62" applyNumberFormat="1" applyFont="1" applyFill="1" applyBorder="1" applyAlignment="1">
      <alignment horizontal="center" vertical="center" wrapText="1"/>
    </xf>
    <xf numFmtId="0" fontId="37" fillId="12" borderId="145" xfId="62" applyNumberFormat="1" applyFont="1" applyFill="1" applyBorder="1" applyAlignment="1">
      <alignment horizontal="center" vertical="center" wrapText="1"/>
    </xf>
    <xf numFmtId="170" fontId="37" fillId="12" borderId="145" xfId="62" applyNumberFormat="1" applyFont="1" applyFill="1" applyBorder="1" applyAlignment="1">
      <alignment horizontal="center" vertical="center" wrapText="1"/>
    </xf>
    <xf numFmtId="0" fontId="38" fillId="11" borderId="80" xfId="194" applyFont="1" applyFill="1" applyBorder="1"/>
    <xf numFmtId="171" fontId="38" fillId="11" borderId="0" xfId="194" applyNumberFormat="1" applyFont="1" applyFill="1"/>
    <xf numFmtId="171" fontId="38" fillId="11" borderId="0" xfId="194" applyNumberFormat="1" applyFont="1" applyFill="1" applyAlignment="1">
      <alignment horizontal="center" vertical="center"/>
    </xf>
    <xf numFmtId="0" fontId="3" fillId="0" borderId="145" xfId="194" applyBorder="1"/>
    <xf numFmtId="0" fontId="25" fillId="10" borderId="148" xfId="62" applyNumberFormat="1" applyFont="1" applyFill="1" applyBorder="1" applyAlignment="1">
      <alignment horizontal="left" vertical="top" wrapText="1" indent="6"/>
    </xf>
    <xf numFmtId="171" fontId="3" fillId="6" borderId="141" xfId="62" applyNumberFormat="1" applyFont="1" applyFill="1" applyBorder="1" applyAlignment="1">
      <alignment horizontal="right" vertical="top" wrapText="1"/>
    </xf>
    <xf numFmtId="171" fontId="31" fillId="14" borderId="141" xfId="62" applyNumberFormat="1" applyFont="1" applyFill="1" applyBorder="1" applyAlignment="1">
      <alignment horizontal="right" vertical="top" wrapText="1"/>
    </xf>
    <xf numFmtId="171" fontId="31" fillId="6" borderId="141" xfId="62" applyNumberFormat="1" applyFont="1" applyFill="1" applyBorder="1" applyAlignment="1">
      <alignment horizontal="right" vertical="top" wrapText="1"/>
    </xf>
    <xf numFmtId="0" fontId="25" fillId="0" borderId="148" xfId="62" applyNumberFormat="1" applyFont="1" applyBorder="1" applyAlignment="1">
      <alignment horizontal="left" vertical="top" wrapText="1"/>
    </xf>
    <xf numFmtId="171" fontId="25" fillId="6" borderId="141" xfId="62" applyNumberFormat="1" applyFont="1" applyFill="1" applyBorder="1" applyAlignment="1">
      <alignment horizontal="right" vertical="top" wrapText="1"/>
    </xf>
    <xf numFmtId="0" fontId="31" fillId="10" borderId="148" xfId="194" applyNumberFormat="1" applyFont="1" applyFill="1" applyBorder="1" applyAlignment="1">
      <alignment horizontal="left" vertical="top" wrapText="1" indent="6"/>
    </xf>
    <xf numFmtId="0" fontId="31" fillId="10" borderId="148" xfId="194" applyNumberFormat="1" applyFont="1" applyFill="1" applyBorder="1" applyAlignment="1">
      <alignment horizontal="left" vertical="top" wrapText="1" indent="8"/>
    </xf>
    <xf numFmtId="0" fontId="25" fillId="0" borderId="148" xfId="62" applyNumberFormat="1" applyFont="1" applyBorder="1" applyAlignment="1">
      <alignment vertical="top" wrapText="1"/>
    </xf>
    <xf numFmtId="0" fontId="25" fillId="5" borderId="148" xfId="62" applyNumberFormat="1" applyFont="1" applyFill="1" applyBorder="1" applyAlignment="1">
      <alignment vertical="top" wrapText="1"/>
    </xf>
    <xf numFmtId="0" fontId="25" fillId="0" borderId="149" xfId="62" applyNumberFormat="1" applyFont="1" applyBorder="1" applyAlignment="1">
      <alignment vertical="top" wrapText="1"/>
    </xf>
    <xf numFmtId="171" fontId="19" fillId="0" borderId="0" xfId="62" applyNumberFormat="1" applyFont="1" applyAlignment="1"/>
    <xf numFmtId="171" fontId="102" fillId="0" borderId="0" xfId="62" applyNumberFormat="1" applyFont="1" applyAlignment="1"/>
    <xf numFmtId="171" fontId="102" fillId="0" borderId="145" xfId="62" applyNumberFormat="1" applyFont="1" applyBorder="1" applyAlignment="1">
      <alignment horizontal="center" vertical="center" wrapText="1"/>
    </xf>
    <xf numFmtId="49" fontId="102" fillId="0" borderId="145" xfId="59" applyNumberFormat="1" applyFont="1" applyBorder="1" applyAlignment="1">
      <alignment horizontal="center"/>
    </xf>
    <xf numFmtId="171" fontId="102" fillId="0" borderId="145" xfId="59" applyNumberFormat="1" applyFont="1" applyBorder="1" applyAlignment="1">
      <alignment horizontal="left" wrapText="1"/>
    </xf>
    <xf numFmtId="169" fontId="111" fillId="6" borderId="145" xfId="62" applyNumberFormat="1" applyFont="1" applyFill="1" applyBorder="1" applyAlignment="1"/>
    <xf numFmtId="169" fontId="133" fillId="11" borderId="0" xfId="194" applyNumberFormat="1" applyFont="1" applyFill="1"/>
    <xf numFmtId="171" fontId="8" fillId="7" borderId="37" xfId="59" applyNumberFormat="1" applyFont="1" applyFill="1" applyBorder="1" applyAlignment="1">
      <alignment horizontal="left" wrapText="1"/>
    </xf>
    <xf numFmtId="171" fontId="3" fillId="0" borderId="135" xfId="194" applyNumberFormat="1" applyBorder="1"/>
    <xf numFmtId="171" fontId="133" fillId="11" borderId="0" xfId="194" applyNumberFormat="1" applyFont="1" applyFill="1"/>
    <xf numFmtId="171" fontId="8" fillId="7" borderId="115" xfId="59" applyNumberFormat="1" applyFont="1" applyFill="1" applyBorder="1" applyAlignment="1">
      <alignment horizontal="left" wrapText="1" indent="1"/>
    </xf>
    <xf numFmtId="171" fontId="3" fillId="0" borderId="115" xfId="194" applyNumberFormat="1" applyBorder="1"/>
    <xf numFmtId="171" fontId="8" fillId="7" borderId="115" xfId="59" applyNumberFormat="1" applyFont="1" applyFill="1" applyBorder="1" applyAlignment="1">
      <alignment horizontal="left" wrapText="1"/>
    </xf>
    <xf numFmtId="171" fontId="3" fillId="6" borderId="115" xfId="194" applyNumberFormat="1" applyFill="1" applyBorder="1"/>
    <xf numFmtId="171" fontId="8" fillId="7" borderId="115" xfId="59" applyNumberFormat="1" applyFont="1" applyFill="1" applyBorder="1" applyAlignment="1">
      <alignment horizontal="left" wrapText="1" indent="3"/>
    </xf>
    <xf numFmtId="171" fontId="8" fillId="7" borderId="38" xfId="59" applyNumberFormat="1" applyFont="1" applyFill="1" applyBorder="1" applyAlignment="1">
      <alignment horizontal="left" wrapText="1" indent="1"/>
    </xf>
    <xf numFmtId="171" fontId="3" fillId="0" borderId="38" xfId="194" applyNumberFormat="1" applyBorder="1"/>
    <xf numFmtId="171" fontId="94" fillId="0" borderId="145" xfId="62" applyNumberFormat="1" applyFont="1" applyBorder="1" applyAlignment="1">
      <alignment horizontal="center" vertical="center" wrapText="1"/>
    </xf>
    <xf numFmtId="0" fontId="160" fillId="0" borderId="145" xfId="59" applyFont="1" applyBorder="1" applyAlignment="1">
      <alignment horizontal="center"/>
    </xf>
    <xf numFmtId="169" fontId="78" fillId="6" borderId="145" xfId="62" applyNumberFormat="1" applyFont="1" applyFill="1" applyBorder="1" applyAlignment="1"/>
    <xf numFmtId="175" fontId="78" fillId="6" borderId="145" xfId="62" applyNumberFormat="1" applyFont="1" applyFill="1" applyBorder="1" applyAlignment="1"/>
    <xf numFmtId="0" fontId="3" fillId="0" borderId="135" xfId="194" applyBorder="1"/>
    <xf numFmtId="43" fontId="3" fillId="0" borderId="135" xfId="194" applyNumberFormat="1" applyBorder="1"/>
    <xf numFmtId="0" fontId="3" fillId="0" borderId="115" xfId="194" applyBorder="1"/>
    <xf numFmtId="166" fontId="3" fillId="0" borderId="115" xfId="194" applyNumberFormat="1" applyBorder="1"/>
    <xf numFmtId="0" fontId="3" fillId="0" borderId="38" xfId="194" applyBorder="1"/>
    <xf numFmtId="171" fontId="3" fillId="0" borderId="0" xfId="194" applyNumberFormat="1"/>
    <xf numFmtId="43" fontId="3" fillId="0" borderId="0" xfId="194" applyNumberFormat="1"/>
    <xf numFmtId="4" fontId="35" fillId="11" borderId="20" xfId="194" applyNumberFormat="1" applyFont="1" applyFill="1" applyBorder="1" applyAlignment="1">
      <alignment horizontal="right" vertical="top" wrapText="1"/>
    </xf>
    <xf numFmtId="0" fontId="31" fillId="0" borderId="150" xfId="194" applyNumberFormat="1" applyFont="1" applyBorder="1" applyAlignment="1">
      <alignment horizontal="left" vertical="top" wrapText="1"/>
    </xf>
    <xf numFmtId="4" fontId="31" fillId="10" borderId="150" xfId="194" applyNumberFormat="1" applyFont="1" applyFill="1" applyBorder="1" applyAlignment="1">
      <alignment horizontal="right" vertical="top" wrapText="1"/>
    </xf>
    <xf numFmtId="2" fontId="31" fillId="0" borderId="150" xfId="194" applyNumberFormat="1" applyFont="1" applyBorder="1" applyAlignment="1">
      <alignment horizontal="right" vertical="top" wrapText="1"/>
    </xf>
    <xf numFmtId="4" fontId="31" fillId="0" borderId="150" xfId="194" applyNumberFormat="1" applyFont="1" applyBorder="1" applyAlignment="1">
      <alignment horizontal="right" vertical="top" wrapText="1"/>
    </xf>
    <xf numFmtId="2" fontId="31" fillId="10" borderId="150" xfId="194" applyNumberFormat="1" applyFont="1" applyFill="1" applyBorder="1" applyAlignment="1">
      <alignment horizontal="right" vertical="top" wrapText="1"/>
    </xf>
    <xf numFmtId="0" fontId="19" fillId="0" borderId="154" xfId="95" applyFont="1" applyFill="1" applyBorder="1" applyAlignment="1">
      <alignment horizontal="center" vertical="center" wrapText="1"/>
    </xf>
    <xf numFmtId="0" fontId="102" fillId="0" borderId="154" xfId="95" applyFont="1" applyFill="1" applyBorder="1" applyAlignment="1">
      <alignment horizontal="center" vertical="center" wrapText="1"/>
    </xf>
    <xf numFmtId="0" fontId="168" fillId="11" borderId="154" xfId="95" applyFont="1" applyFill="1" applyBorder="1" applyAlignment="1">
      <alignment horizontal="center" vertical="center" wrapText="1"/>
    </xf>
    <xf numFmtId="4" fontId="4" fillId="0" borderId="0" xfId="15" applyNumberFormat="1"/>
    <xf numFmtId="198" fontId="4" fillId="0" borderId="0" xfId="15" applyNumberFormat="1"/>
    <xf numFmtId="0" fontId="12" fillId="6" borderId="154" xfId="95" applyFont="1" applyFill="1" applyBorder="1" applyAlignment="1">
      <alignment horizontal="center" vertical="center" wrapText="1"/>
    </xf>
    <xf numFmtId="0" fontId="155" fillId="0" borderId="0" xfId="105" applyFont="1" applyFill="1" applyBorder="1" applyAlignment="1">
      <alignment vertical="center" wrapText="1"/>
    </xf>
    <xf numFmtId="0" fontId="155" fillId="0" borderId="0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2" fillId="27" borderId="161" xfId="105" applyFont="1" applyFill="1" applyBorder="1" applyAlignment="1">
      <alignment horizontal="center" vertical="center"/>
    </xf>
    <xf numFmtId="0" fontId="19" fillId="27" borderId="162" xfId="105" applyFont="1" applyFill="1" applyBorder="1" applyAlignment="1">
      <alignment horizontal="center" vertical="center" wrapText="1"/>
    </xf>
    <xf numFmtId="0" fontId="12" fillId="0" borderId="159" xfId="105" applyFont="1" applyBorder="1"/>
    <xf numFmtId="0" fontId="12" fillId="0" borderId="154" xfId="105" applyFont="1" applyBorder="1"/>
    <xf numFmtId="0" fontId="15" fillId="0" borderId="154" xfId="105" applyFont="1" applyFill="1" applyBorder="1" applyAlignment="1">
      <alignment horizontal="center" vertical="center" wrapText="1"/>
    </xf>
    <xf numFmtId="0" fontId="12" fillId="0" borderId="158" xfId="105" applyFont="1" applyFill="1" applyBorder="1" applyAlignment="1">
      <alignment vertical="top" wrapText="1"/>
    </xf>
    <xf numFmtId="0" fontId="12" fillId="0" borderId="154" xfId="105" applyFont="1" applyFill="1" applyBorder="1" applyAlignment="1">
      <alignment vertical="top" wrapText="1"/>
    </xf>
    <xf numFmtId="0" fontId="12" fillId="0" borderId="154" xfId="105" applyFont="1" applyFill="1" applyBorder="1"/>
    <xf numFmtId="0" fontId="12" fillId="0" borderId="158" xfId="105" applyFont="1" applyFill="1" applyBorder="1" applyAlignment="1">
      <alignment wrapText="1"/>
    </xf>
    <xf numFmtId="0" fontId="12" fillId="0" borderId="154" xfId="105" applyFont="1" applyFill="1" applyBorder="1" applyAlignment="1">
      <alignment wrapText="1"/>
    </xf>
    <xf numFmtId="0" fontId="12" fillId="0" borderId="158" xfId="105" applyFont="1" applyFill="1" applyBorder="1"/>
    <xf numFmtId="0" fontId="12" fillId="0" borderId="177" xfId="105" applyFont="1" applyFill="1" applyBorder="1"/>
    <xf numFmtId="0" fontId="12" fillId="0" borderId="0" xfId="105" applyFont="1" applyFill="1" applyBorder="1" applyAlignment="1">
      <alignment horizontal="center" vertical="center" wrapText="1"/>
    </xf>
    <xf numFmtId="0" fontId="12" fillId="0" borderId="189" xfId="105" applyFont="1" applyFill="1" applyBorder="1"/>
    <xf numFmtId="0" fontId="19" fillId="0" borderId="0" xfId="105" applyFont="1" applyFill="1" applyBorder="1" applyAlignment="1">
      <alignment horizontal="center" vertical="center" wrapText="1"/>
    </xf>
    <xf numFmtId="0" fontId="12" fillId="0" borderId="0" xfId="105" applyFont="1" applyBorder="1"/>
    <xf numFmtId="0" fontId="12" fillId="0" borderId="153" xfId="105" applyFont="1" applyBorder="1"/>
    <xf numFmtId="0" fontId="12" fillId="0" borderId="153" xfId="105" applyFont="1" applyBorder="1" applyAlignment="1">
      <alignment wrapText="1"/>
    </xf>
    <xf numFmtId="0" fontId="12" fillId="0" borderId="0" xfId="105" applyFont="1" applyBorder="1" applyAlignment="1">
      <alignment wrapText="1"/>
    </xf>
    <xf numFmtId="0" fontId="19" fillId="0" borderId="151" xfId="105" applyFont="1" applyFill="1" applyBorder="1" applyAlignment="1">
      <alignment horizontal="center" vertical="center" wrapText="1"/>
    </xf>
    <xf numFmtId="0" fontId="12" fillId="0" borderId="174" xfId="105" applyFont="1" applyBorder="1" applyAlignment="1">
      <alignment wrapText="1"/>
    </xf>
    <xf numFmtId="0" fontId="12" fillId="0" borderId="166" xfId="105" applyFont="1" applyBorder="1" applyAlignment="1">
      <alignment wrapText="1"/>
    </xf>
    <xf numFmtId="0" fontId="12" fillId="0" borderId="0" xfId="105" applyFont="1" applyFill="1"/>
    <xf numFmtId="0" fontId="12" fillId="0" borderId="159" xfId="105" applyFont="1" applyFill="1" applyBorder="1"/>
    <xf numFmtId="0" fontId="12" fillId="0" borderId="173" xfId="105" applyFont="1" applyBorder="1" applyAlignment="1">
      <alignment wrapText="1"/>
    </xf>
    <xf numFmtId="0" fontId="12" fillId="34" borderId="173" xfId="105" applyFont="1" applyFill="1" applyBorder="1" applyAlignment="1">
      <alignment wrapText="1"/>
    </xf>
    <xf numFmtId="0" fontId="12" fillId="34" borderId="166" xfId="105" applyFont="1" applyFill="1" applyBorder="1" applyAlignment="1">
      <alignment wrapText="1"/>
    </xf>
    <xf numFmtId="0" fontId="12" fillId="34" borderId="154" xfId="105" applyFont="1" applyFill="1" applyBorder="1"/>
    <xf numFmtId="0" fontId="12" fillId="34" borderId="0" xfId="105" applyFont="1" applyFill="1"/>
    <xf numFmtId="0" fontId="12" fillId="0" borderId="0" xfId="105" applyFont="1" applyFill="1" applyBorder="1"/>
    <xf numFmtId="0" fontId="12" fillId="34" borderId="0" xfId="105" applyFont="1" applyFill="1" applyBorder="1"/>
    <xf numFmtId="0" fontId="12" fillId="34" borderId="174" xfId="105" applyFont="1" applyFill="1" applyBorder="1" applyAlignment="1">
      <alignment wrapText="1"/>
    </xf>
    <xf numFmtId="0" fontId="12" fillId="34" borderId="165" xfId="105" applyFont="1" applyFill="1" applyBorder="1" applyAlignment="1">
      <alignment wrapText="1"/>
    </xf>
    <xf numFmtId="0" fontId="12" fillId="0" borderId="176" xfId="105" applyFont="1" applyFill="1" applyBorder="1"/>
    <xf numFmtId="0" fontId="12" fillId="0" borderId="193" xfId="105" applyFont="1" applyBorder="1" applyAlignment="1">
      <alignment wrapText="1"/>
    </xf>
    <xf numFmtId="0" fontId="12" fillId="0" borderId="169" xfId="105" applyFont="1" applyBorder="1" applyAlignment="1">
      <alignment wrapText="1"/>
    </xf>
    <xf numFmtId="0" fontId="12" fillId="0" borderId="153" xfId="105" applyFont="1" applyFill="1" applyBorder="1"/>
    <xf numFmtId="0" fontId="19" fillId="0" borderId="153" xfId="105" applyFont="1" applyFill="1" applyBorder="1" applyAlignment="1">
      <alignment vertical="center" wrapText="1"/>
    </xf>
    <xf numFmtId="0" fontId="19" fillId="0" borderId="153" xfId="105" applyFont="1" applyFill="1" applyBorder="1" applyAlignment="1">
      <alignment horizontal="center" vertical="center" wrapText="1"/>
    </xf>
    <xf numFmtId="0" fontId="12" fillId="0" borderId="153" xfId="105" applyFont="1" applyFill="1" applyBorder="1" applyAlignment="1">
      <alignment wrapText="1"/>
    </xf>
    <xf numFmtId="0" fontId="19" fillId="0" borderId="0" xfId="105" applyFont="1" applyFill="1" applyBorder="1" applyAlignment="1">
      <alignment vertical="center" wrapText="1"/>
    </xf>
    <xf numFmtId="0" fontId="12" fillId="0" borderId="0" xfId="105" applyFont="1" applyFill="1" applyBorder="1" applyAlignment="1">
      <alignment wrapText="1"/>
    </xf>
    <xf numFmtId="0" fontId="54" fillId="0" borderId="0" xfId="105"/>
    <xf numFmtId="0" fontId="21" fillId="0" borderId="0" xfId="105" applyFont="1" applyFill="1" applyBorder="1" applyAlignment="1">
      <alignment horizontal="center"/>
    </xf>
    <xf numFmtId="0" fontId="12" fillId="0" borderId="0" xfId="105" applyFont="1" applyAlignment="1">
      <alignment horizontal="left"/>
    </xf>
    <xf numFmtId="0" fontId="12" fillId="0" borderId="0" xfId="105" applyFont="1" applyBorder="1" applyAlignment="1">
      <alignment vertical="center"/>
    </xf>
    <xf numFmtId="0" fontId="19" fillId="0" borderId="0" xfId="105" applyFont="1" applyBorder="1" applyAlignment="1"/>
    <xf numFmtId="0" fontId="19" fillId="0" borderId="0" xfId="105" applyFont="1" applyBorder="1" applyAlignment="1">
      <alignment vertical="center"/>
    </xf>
    <xf numFmtId="0" fontId="19" fillId="0" borderId="0" xfId="105" applyFont="1" applyBorder="1" applyAlignment="1">
      <alignment horizontal="center"/>
    </xf>
    <xf numFmtId="0" fontId="12" fillId="27" borderId="154" xfId="105" applyFont="1" applyFill="1" applyBorder="1" applyAlignment="1">
      <alignment horizontal="center" vertical="center" wrapText="1"/>
    </xf>
    <xf numFmtId="0" fontId="12" fillId="0" borderId="166" xfId="105" applyFont="1" applyFill="1" applyBorder="1" applyAlignment="1">
      <alignment vertical="center" wrapText="1"/>
    </xf>
    <xf numFmtId="0" fontId="12" fillId="0" borderId="173" xfId="105" applyFont="1" applyFill="1" applyBorder="1" applyAlignment="1">
      <alignment vertical="center" wrapText="1"/>
    </xf>
    <xf numFmtId="0" fontId="12" fillId="0" borderId="154" xfId="105" applyFont="1" applyFill="1" applyBorder="1" applyAlignment="1">
      <alignment vertical="center" wrapText="1"/>
    </xf>
    <xf numFmtId="0" fontId="12" fillId="0" borderId="154" xfId="105" applyFont="1" applyFill="1" applyBorder="1" applyAlignment="1">
      <alignment horizontal="center" vertical="center" wrapText="1"/>
    </xf>
    <xf numFmtId="49" fontId="12" fillId="0" borderId="173" xfId="105" applyNumberFormat="1" applyFont="1" applyFill="1" applyBorder="1" applyAlignment="1">
      <alignment vertical="center" wrapText="1"/>
    </xf>
    <xf numFmtId="0" fontId="12" fillId="0" borderId="173" xfId="105" applyFont="1" applyFill="1" applyBorder="1"/>
    <xf numFmtId="0" fontId="12" fillId="0" borderId="167" xfId="105" applyFont="1" applyFill="1" applyBorder="1" applyAlignment="1">
      <alignment vertical="center" wrapText="1"/>
    </xf>
    <xf numFmtId="49" fontId="12" fillId="0" borderId="178" xfId="105" applyNumberFormat="1" applyFont="1" applyFill="1" applyBorder="1" applyAlignment="1">
      <alignment vertical="center" wrapText="1"/>
    </xf>
    <xf numFmtId="0" fontId="12" fillId="0" borderId="177" xfId="105" applyFont="1" applyFill="1" applyBorder="1" applyAlignment="1">
      <alignment vertical="center" wrapText="1"/>
    </xf>
    <xf numFmtId="0" fontId="12" fillId="0" borderId="178" xfId="105" applyFont="1" applyFill="1" applyBorder="1"/>
    <xf numFmtId="0" fontId="15" fillId="0" borderId="0" xfId="105" applyFont="1"/>
    <xf numFmtId="0" fontId="19" fillId="0" borderId="0" xfId="105" applyFont="1" applyAlignment="1">
      <alignment horizontal="center"/>
    </xf>
    <xf numFmtId="0" fontId="12" fillId="0" borderId="194" xfId="105" applyFont="1" applyFill="1" applyBorder="1" applyAlignment="1">
      <alignment horizontal="center" vertical="center" wrapText="1"/>
    </xf>
    <xf numFmtId="0" fontId="19" fillId="0" borderId="196" xfId="105" applyFont="1" applyFill="1" applyBorder="1" applyAlignment="1">
      <alignment horizontal="center" vertical="center" wrapText="1"/>
    </xf>
    <xf numFmtId="0" fontId="19" fillId="0" borderId="197" xfId="105" applyFont="1" applyFill="1" applyBorder="1" applyAlignment="1">
      <alignment horizontal="center" vertical="center" wrapText="1"/>
    </xf>
    <xf numFmtId="0" fontId="12" fillId="0" borderId="174" xfId="105" applyFont="1" applyFill="1" applyBorder="1" applyAlignment="1">
      <alignment horizontal="center" vertical="center" wrapText="1"/>
    </xf>
    <xf numFmtId="0" fontId="12" fillId="0" borderId="198" xfId="105" applyFont="1" applyFill="1" applyBorder="1"/>
    <xf numFmtId="0" fontId="12" fillId="0" borderId="156" xfId="105" applyFont="1" applyFill="1" applyBorder="1"/>
    <xf numFmtId="0" fontId="19" fillId="0" borderId="196" xfId="105" applyFont="1" applyBorder="1" applyAlignment="1">
      <alignment horizontal="center" vertical="center" wrapText="1"/>
    </xf>
    <xf numFmtId="0" fontId="19" fillId="0" borderId="197" xfId="105" applyFont="1" applyBorder="1" applyAlignment="1">
      <alignment horizontal="center" vertical="center" wrapText="1"/>
    </xf>
    <xf numFmtId="0" fontId="12" fillId="0" borderId="165" xfId="105" applyFont="1" applyBorder="1" applyAlignment="1">
      <alignment wrapText="1"/>
    </xf>
    <xf numFmtId="0" fontId="12" fillId="0" borderId="189" xfId="105" applyFont="1" applyBorder="1"/>
    <xf numFmtId="0" fontId="12" fillId="27" borderId="179" xfId="105" applyFont="1" applyFill="1" applyBorder="1" applyAlignment="1">
      <alignment horizontal="center" vertical="center"/>
    </xf>
    <xf numFmtId="0" fontId="12" fillId="0" borderId="155" xfId="105" applyFont="1" applyFill="1" applyBorder="1"/>
    <xf numFmtId="0" fontId="12" fillId="0" borderId="125" xfId="105" applyFont="1" applyBorder="1" applyAlignment="1">
      <alignment wrapText="1"/>
    </xf>
    <xf numFmtId="0" fontId="12" fillId="0" borderId="51" xfId="105" applyFont="1" applyBorder="1" applyAlignment="1">
      <alignment wrapText="1"/>
    </xf>
    <xf numFmtId="0" fontId="12" fillId="0" borderId="176" xfId="105" applyFont="1" applyBorder="1"/>
    <xf numFmtId="0" fontId="12" fillId="0" borderId="178" xfId="105" applyFont="1" applyBorder="1" applyAlignment="1">
      <alignment wrapText="1"/>
    </xf>
    <xf numFmtId="0" fontId="12" fillId="0" borderId="167" xfId="105" applyFont="1" applyBorder="1" applyAlignment="1">
      <alignment wrapText="1"/>
    </xf>
    <xf numFmtId="0" fontId="12" fillId="0" borderId="177" xfId="105" applyFont="1" applyBorder="1"/>
    <xf numFmtId="0" fontId="12" fillId="0" borderId="0" xfId="105" applyFont="1" applyFill="1" applyBorder="1" applyAlignment="1">
      <alignment horizontal="center" vertical="center"/>
    </xf>
    <xf numFmtId="0" fontId="12" fillId="0" borderId="155" xfId="105" applyFont="1" applyBorder="1"/>
    <xf numFmtId="0" fontId="19" fillId="0" borderId="178" xfId="105" applyFont="1" applyBorder="1" applyAlignment="1">
      <alignment horizontal="center" vertical="center" wrapText="1"/>
    </xf>
    <xf numFmtId="0" fontId="19" fillId="0" borderId="167" xfId="105" applyFont="1" applyBorder="1" applyAlignment="1">
      <alignment horizontal="center" vertical="center" wrapText="1"/>
    </xf>
    <xf numFmtId="0" fontId="12" fillId="0" borderId="51" xfId="105" applyFont="1" applyBorder="1" applyAlignment="1">
      <alignment horizontal="left"/>
    </xf>
    <xf numFmtId="0" fontId="12" fillId="0" borderId="166" xfId="105" applyFont="1" applyBorder="1" applyAlignment="1">
      <alignment horizontal="left"/>
    </xf>
    <xf numFmtId="0" fontId="12" fillId="0" borderId="167" xfId="105" applyFont="1" applyBorder="1" applyAlignment="1">
      <alignment horizontal="left"/>
    </xf>
    <xf numFmtId="171" fontId="134" fillId="0" borderId="166" xfId="105" applyNumberFormat="1" applyFont="1" applyFill="1" applyBorder="1" applyAlignment="1">
      <alignment vertical="center" wrapText="1"/>
    </xf>
    <xf numFmtId="171" fontId="134" fillId="0" borderId="154" xfId="105" applyNumberFormat="1" applyFont="1" applyFill="1" applyBorder="1" applyAlignment="1">
      <alignment vertical="center" wrapText="1"/>
    </xf>
    <xf numFmtId="171" fontId="134" fillId="0" borderId="177" xfId="105" applyNumberFormat="1" applyFont="1" applyFill="1" applyBorder="1" applyAlignment="1">
      <alignment vertical="center" wrapText="1"/>
    </xf>
    <xf numFmtId="171" fontId="134" fillId="0" borderId="177" xfId="105" applyNumberFormat="1" applyFont="1" applyFill="1" applyBorder="1" applyAlignment="1">
      <alignment horizontal="center" vertical="center"/>
    </xf>
    <xf numFmtId="0" fontId="12" fillId="0" borderId="154" xfId="105" applyFont="1" applyBorder="1" applyAlignment="1">
      <alignment horizontal="center" vertical="center" wrapText="1"/>
    </xf>
    <xf numFmtId="171" fontId="12" fillId="0" borderId="0" xfId="105" applyNumberFormat="1" applyFont="1"/>
    <xf numFmtId="4" fontId="12" fillId="0" borderId="0" xfId="105" applyNumberFormat="1" applyFont="1"/>
    <xf numFmtId="0" fontId="12" fillId="0" borderId="154" xfId="105" applyFont="1" applyBorder="1" applyAlignment="1">
      <alignment horizontal="center" vertical="center" wrapText="1"/>
    </xf>
    <xf numFmtId="0" fontId="12" fillId="0" borderId="154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3" fillId="0" borderId="0" xfId="105" applyFont="1"/>
    <xf numFmtId="0" fontId="12" fillId="2" borderId="194" xfId="105" applyFont="1" applyFill="1" applyBorder="1" applyAlignment="1">
      <alignment horizontal="center" vertical="center" wrapText="1"/>
    </xf>
    <xf numFmtId="2" fontId="54" fillId="0" borderId="0" xfId="105" applyNumberFormat="1"/>
    <xf numFmtId="165" fontId="12" fillId="0" borderId="135" xfId="105" applyNumberFormat="1" applyFont="1" applyBorder="1" applyAlignment="1">
      <alignment horizontal="center" vertical="center" wrapText="1"/>
    </xf>
    <xf numFmtId="165" fontId="12" fillId="0" borderId="135" xfId="105" applyNumberFormat="1" applyFont="1" applyBorder="1" applyAlignment="1">
      <alignment horizontal="center" vertical="center" wrapText="1"/>
    </xf>
    <xf numFmtId="2" fontId="8" fillId="0" borderId="156" xfId="105" applyNumberFormat="1" applyFont="1" applyFill="1" applyBorder="1" applyAlignment="1">
      <alignment horizontal="right" vertical="center" wrapText="1"/>
    </xf>
    <xf numFmtId="0" fontId="54" fillId="0" borderId="158" xfId="105" applyBorder="1"/>
    <xf numFmtId="166" fontId="54" fillId="0" borderId="0" xfId="105" applyNumberFormat="1"/>
    <xf numFmtId="165" fontId="12" fillId="0" borderId="38" xfId="105" applyNumberFormat="1" applyFont="1" applyBorder="1" applyAlignment="1">
      <alignment horizontal="center" vertical="center" wrapText="1"/>
    </xf>
    <xf numFmtId="165" fontId="12" fillId="0" borderId="38" xfId="105" applyNumberFormat="1" applyFont="1" applyBorder="1" applyAlignment="1">
      <alignment horizontal="center" vertical="center" wrapText="1"/>
    </xf>
    <xf numFmtId="0" fontId="12" fillId="27" borderId="154" xfId="105" applyFont="1" applyFill="1" applyBorder="1" applyAlignment="1">
      <alignment horizontal="center" vertical="center"/>
    </xf>
    <xf numFmtId="0" fontId="12" fillId="27" borderId="154" xfId="105" applyFont="1" applyFill="1" applyBorder="1" applyAlignment="1">
      <alignment horizontal="center" vertical="center"/>
    </xf>
    <xf numFmtId="0" fontId="54" fillId="0" borderId="154" xfId="105" applyBorder="1"/>
    <xf numFmtId="49" fontId="54" fillId="0" borderId="154" xfId="105" applyNumberFormat="1" applyBorder="1" applyAlignment="1">
      <alignment horizontal="right"/>
    </xf>
    <xf numFmtId="2" fontId="12" fillId="0" borderId="154" xfId="105" applyNumberFormat="1" applyFont="1" applyBorder="1"/>
    <xf numFmtId="0" fontId="54" fillId="0" borderId="194" xfId="105" applyBorder="1"/>
    <xf numFmtId="0" fontId="13" fillId="27" borderId="154" xfId="105" applyFont="1" applyFill="1" applyBorder="1" applyAlignment="1">
      <alignment horizontal="center" vertical="center"/>
    </xf>
    <xf numFmtId="0" fontId="13" fillId="27" borderId="154" xfId="105" applyFont="1" applyFill="1" applyBorder="1" applyAlignment="1">
      <alignment horizontal="center" vertical="center"/>
    </xf>
    <xf numFmtId="0" fontId="8" fillId="0" borderId="154" xfId="105" applyFont="1" applyBorder="1" applyAlignment="1">
      <alignment horizontal="center" vertical="center" wrapText="1"/>
    </xf>
    <xf numFmtId="0" fontId="13" fillId="0" borderId="154" xfId="105" applyFont="1" applyBorder="1"/>
    <xf numFmtId="166" fontId="12" fillId="0" borderId="154" xfId="105" applyNumberFormat="1" applyFont="1" applyFill="1" applyBorder="1"/>
    <xf numFmtId="1" fontId="12" fillId="0" borderId="158" xfId="105" applyNumberFormat="1" applyFont="1" applyFill="1" applyBorder="1" applyAlignment="1">
      <alignment vertical="top" wrapText="1"/>
    </xf>
    <xf numFmtId="166" fontId="12" fillId="0" borderId="156" xfId="105" applyNumberFormat="1" applyFont="1" applyFill="1" applyBorder="1"/>
    <xf numFmtId="166" fontId="12" fillId="11" borderId="154" xfId="105" applyNumberFormat="1" applyFont="1" applyFill="1" applyBorder="1" applyAlignment="1">
      <alignment horizontal="center"/>
    </xf>
    <xf numFmtId="194" fontId="12" fillId="11" borderId="154" xfId="105" applyNumberFormat="1" applyFont="1" applyFill="1" applyBorder="1" applyAlignment="1">
      <alignment horizontal="center"/>
    </xf>
    <xf numFmtId="166" fontId="12" fillId="11" borderId="156" xfId="105" applyNumberFormat="1" applyFont="1" applyFill="1" applyBorder="1" applyAlignment="1">
      <alignment horizontal="center"/>
    </xf>
    <xf numFmtId="0" fontId="112" fillId="0" borderId="0" xfId="105" applyFont="1"/>
    <xf numFmtId="166" fontId="12" fillId="0" borderId="154" xfId="105" applyNumberFormat="1" applyFont="1" applyFill="1" applyBorder="1" applyAlignment="1">
      <alignment vertical="top" wrapText="1"/>
    </xf>
    <xf numFmtId="166" fontId="12" fillId="0" borderId="0" xfId="105" applyNumberFormat="1" applyFont="1"/>
    <xf numFmtId="4" fontId="12" fillId="0" borderId="189" xfId="105" applyNumberFormat="1" applyFont="1" applyFill="1" applyBorder="1"/>
    <xf numFmtId="4" fontId="12" fillId="0" borderId="154" xfId="105" applyNumberFormat="1" applyFont="1" applyBorder="1" applyAlignment="1">
      <alignment horizontal="center" vertical="center"/>
    </xf>
    <xf numFmtId="4" fontId="12" fillId="0" borderId="154" xfId="105" applyNumberFormat="1" applyFont="1" applyBorder="1"/>
    <xf numFmtId="4" fontId="12" fillId="0" borderId="154" xfId="105" applyNumberFormat="1" applyFont="1" applyFill="1" applyBorder="1"/>
    <xf numFmtId="3" fontId="12" fillId="0" borderId="154" xfId="105" applyNumberFormat="1" applyFont="1" applyBorder="1"/>
    <xf numFmtId="0" fontId="112" fillId="0" borderId="0" xfId="105" applyFont="1" applyBorder="1"/>
    <xf numFmtId="3" fontId="112" fillId="0" borderId="0" xfId="105" applyNumberFormat="1" applyFont="1"/>
    <xf numFmtId="0" fontId="75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2" fillId="2" borderId="4" xfId="105" applyFont="1" applyFill="1" applyBorder="1" applyAlignment="1">
      <alignment horizontal="center" vertical="center" wrapText="1"/>
    </xf>
    <xf numFmtId="2" fontId="54" fillId="0" borderId="156" xfId="105" applyNumberFormat="1" applyBorder="1" applyAlignment="1">
      <alignment vertical="center"/>
    </xf>
    <xf numFmtId="175" fontId="54" fillId="0" borderId="0" xfId="105" applyNumberFormat="1"/>
    <xf numFmtId="0" fontId="12" fillId="0" borderId="0" xfId="105" applyFont="1" applyBorder="1" applyAlignment="1">
      <alignment vertical="center" wrapText="1"/>
    </xf>
    <xf numFmtId="0" fontId="13" fillId="0" borderId="0" xfId="105" applyFont="1" applyBorder="1" applyAlignment="1">
      <alignment vertical="center" wrapText="1"/>
    </xf>
    <xf numFmtId="0" fontId="54" fillId="0" borderId="0" xfId="105" applyBorder="1"/>
    <xf numFmtId="43" fontId="12" fillId="0" borderId="0" xfId="105" applyNumberFormat="1" applyFont="1"/>
    <xf numFmtId="165" fontId="12" fillId="0" borderId="0" xfId="105" applyNumberFormat="1" applyFont="1"/>
    <xf numFmtId="0" fontId="19" fillId="0" borderId="194" xfId="105" applyFont="1" applyFill="1" applyBorder="1" applyAlignment="1">
      <alignment horizontal="center" vertical="center" wrapText="1"/>
    </xf>
    <xf numFmtId="0" fontId="155" fillId="0" borderId="0" xfId="105" applyFont="1" applyFill="1" applyBorder="1" applyAlignment="1">
      <alignment horizontal="center" vertical="center" wrapText="1"/>
    </xf>
    <xf numFmtId="0" fontId="165" fillId="0" borderId="0" xfId="105" applyFont="1" applyFill="1" applyBorder="1" applyAlignment="1">
      <alignment horizontal="center" vertical="center"/>
    </xf>
    <xf numFmtId="0" fontId="12" fillId="0" borderId="154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2" fillId="0" borderId="165" xfId="105" applyFont="1" applyFill="1" applyBorder="1" applyAlignment="1">
      <alignment horizontal="center" vertical="center" wrapText="1"/>
    </xf>
    <xf numFmtId="0" fontId="12" fillId="0" borderId="166" xfId="105" applyFont="1" applyFill="1" applyBorder="1" applyAlignment="1">
      <alignment horizontal="center" vertical="center" wrapText="1"/>
    </xf>
    <xf numFmtId="0" fontId="19" fillId="0" borderId="51" xfId="105" applyFont="1" applyBorder="1" applyAlignment="1">
      <alignment horizontal="center" vertical="center" wrapText="1"/>
    </xf>
    <xf numFmtId="0" fontId="19" fillId="0" borderId="194" xfId="105" applyFont="1" applyBorder="1" applyAlignment="1">
      <alignment horizontal="center" vertical="center" wrapText="1"/>
    </xf>
    <xf numFmtId="0" fontId="19" fillId="0" borderId="125" xfId="105" applyFont="1" applyBorder="1" applyAlignment="1">
      <alignment horizontal="center" vertical="center" wrapText="1"/>
    </xf>
    <xf numFmtId="0" fontId="12" fillId="27" borderId="162" xfId="105" applyFont="1" applyFill="1" applyBorder="1" applyAlignment="1">
      <alignment horizontal="center" vertical="center"/>
    </xf>
    <xf numFmtId="0" fontId="19" fillId="0" borderId="177" xfId="105" applyFont="1" applyBorder="1" applyAlignment="1">
      <alignment horizontal="center" vertical="center" wrapText="1"/>
    </xf>
    <xf numFmtId="0" fontId="12" fillId="0" borderId="173" xfId="105" applyFont="1" applyFill="1" applyBorder="1" applyAlignment="1">
      <alignment horizontal="center" vertical="center" wrapText="1"/>
    </xf>
    <xf numFmtId="0" fontId="19" fillId="0" borderId="166" xfId="105" applyFont="1" applyFill="1" applyBorder="1" applyAlignment="1">
      <alignment horizontal="center" vertical="center" wrapText="1"/>
    </xf>
    <xf numFmtId="0" fontId="19" fillId="0" borderId="173" xfId="105" applyFont="1" applyFill="1" applyBorder="1" applyAlignment="1">
      <alignment horizontal="center" vertical="center" wrapText="1"/>
    </xf>
    <xf numFmtId="0" fontId="19" fillId="0" borderId="166" xfId="105" applyFont="1" applyBorder="1" applyAlignment="1">
      <alignment horizontal="center" vertical="center" wrapText="1"/>
    </xf>
    <xf numFmtId="0" fontId="19" fillId="0" borderId="173" xfId="105" applyFont="1" applyBorder="1" applyAlignment="1">
      <alignment horizontal="center" vertical="center" wrapText="1"/>
    </xf>
    <xf numFmtId="0" fontId="12" fillId="27" borderId="162" xfId="105" applyFont="1" applyFill="1" applyBorder="1" applyAlignment="1">
      <alignment horizontal="center" vertical="center"/>
    </xf>
    <xf numFmtId="0" fontId="12" fillId="0" borderId="166" xfId="105" applyFont="1" applyFill="1" applyBorder="1" applyAlignment="1">
      <alignment horizontal="center" vertical="center" wrapText="1"/>
    </xf>
    <xf numFmtId="0" fontId="12" fillId="0" borderId="154" xfId="105" applyFont="1" applyFill="1" applyBorder="1" applyAlignment="1">
      <alignment horizontal="center" vertical="center" wrapText="1"/>
    </xf>
    <xf numFmtId="0" fontId="12" fillId="0" borderId="154" xfId="105" applyFont="1" applyFill="1" applyBorder="1" applyAlignment="1">
      <alignment horizontal="center" vertical="center"/>
    </xf>
    <xf numFmtId="0" fontId="12" fillId="0" borderId="154" xfId="105" applyFont="1" applyBorder="1" applyAlignment="1">
      <alignment horizontal="center"/>
    </xf>
    <xf numFmtId="0" fontId="19" fillId="0" borderId="188" xfId="105" applyFont="1" applyFill="1" applyBorder="1" applyAlignment="1">
      <alignment horizontal="center" vertical="center" wrapText="1"/>
    </xf>
    <xf numFmtId="0" fontId="165" fillId="0" borderId="0" xfId="105" applyFont="1" applyFill="1" applyBorder="1" applyAlignment="1">
      <alignment horizontal="center" vertical="center"/>
    </xf>
    <xf numFmtId="0" fontId="19" fillId="0" borderId="154" xfId="105" applyFont="1" applyFill="1" applyBorder="1" applyAlignment="1">
      <alignment horizontal="center" vertical="center" wrapText="1"/>
    </xf>
    <xf numFmtId="0" fontId="12" fillId="0" borderId="165" xfId="105" applyFont="1" applyFill="1" applyBorder="1" applyAlignment="1">
      <alignment horizontal="center" vertical="center" wrapText="1"/>
    </xf>
    <xf numFmtId="0" fontId="19" fillId="0" borderId="189" xfId="105" applyFont="1" applyFill="1" applyBorder="1" applyAlignment="1">
      <alignment horizontal="center" vertical="center" wrapText="1"/>
    </xf>
    <xf numFmtId="0" fontId="19" fillId="0" borderId="158" xfId="105" applyFont="1" applyFill="1" applyBorder="1" applyAlignment="1">
      <alignment horizontal="center" vertical="center" wrapText="1"/>
    </xf>
    <xf numFmtId="0" fontId="19" fillId="0" borderId="194" xfId="105" applyFont="1" applyFill="1" applyBorder="1" applyAlignment="1">
      <alignment horizontal="center" vertical="center" wrapText="1"/>
    </xf>
    <xf numFmtId="0" fontId="12" fillId="0" borderId="156" xfId="105" applyFont="1" applyBorder="1" applyAlignment="1">
      <alignment horizontal="center"/>
    </xf>
    <xf numFmtId="0" fontId="12" fillId="0" borderId="0" xfId="105" applyFont="1" applyAlignment="1">
      <alignment horizontal="left" wrapText="1"/>
    </xf>
    <xf numFmtId="0" fontId="12" fillId="0" borderId="0" xfId="105" applyFont="1" applyBorder="1" applyAlignment="1">
      <alignment horizontal="right" vertical="center" wrapText="1"/>
    </xf>
    <xf numFmtId="0" fontId="12" fillId="0" borderId="173" xfId="105" applyFont="1" applyFill="1" applyBorder="1" applyAlignment="1">
      <alignment horizontal="center" vertical="center" wrapText="1"/>
    </xf>
    <xf numFmtId="0" fontId="19" fillId="0" borderId="166" xfId="105" applyFont="1" applyFill="1" applyBorder="1" applyAlignment="1">
      <alignment horizontal="center" vertical="center" wrapText="1"/>
    </xf>
    <xf numFmtId="0" fontId="19" fillId="0" borderId="173" xfId="105" applyFont="1" applyFill="1" applyBorder="1" applyAlignment="1">
      <alignment horizontal="center" vertical="center" wrapText="1"/>
    </xf>
    <xf numFmtId="0" fontId="12" fillId="0" borderId="160" xfId="105" applyFont="1" applyFill="1" applyBorder="1" applyAlignment="1">
      <alignment horizontal="center" vertical="center" wrapText="1"/>
    </xf>
    <xf numFmtId="0" fontId="19" fillId="0" borderId="154" xfId="0" applyFont="1" applyFill="1" applyBorder="1" applyAlignment="1">
      <alignment horizontal="center" vertical="center" wrapText="1"/>
    </xf>
    <xf numFmtId="0" fontId="12" fillId="0" borderId="154" xfId="0" applyFont="1" applyBorder="1" applyAlignment="1">
      <alignment horizontal="center" vertical="center"/>
    </xf>
    <xf numFmtId="0" fontId="12" fillId="0" borderId="154" xfId="0" applyFont="1" applyBorder="1" applyAlignment="1">
      <alignment horizontal="center"/>
    </xf>
    <xf numFmtId="0" fontId="0" fillId="0" borderId="154" xfId="0" applyBorder="1" applyAlignment="1">
      <alignment horizontal="center"/>
    </xf>
    <xf numFmtId="0" fontId="168" fillId="0" borderId="154" xfId="0" applyFont="1" applyFill="1" applyBorder="1" applyAlignment="1">
      <alignment horizontal="center" vertical="center" wrapText="1"/>
    </xf>
    <xf numFmtId="194" fontId="12" fillId="11" borderId="158" xfId="105" applyNumberFormat="1" applyFont="1" applyFill="1" applyBorder="1" applyAlignment="1">
      <alignment horizontal="center"/>
    </xf>
    <xf numFmtId="0" fontId="170" fillId="6" borderId="0" xfId="105" applyFont="1" applyFill="1" applyBorder="1" applyAlignment="1">
      <alignment horizontal="center" vertical="top" wrapText="1"/>
    </xf>
    <xf numFmtId="0" fontId="19" fillId="0" borderId="194" xfId="0" applyFont="1" applyFill="1" applyBorder="1" applyAlignment="1">
      <alignment horizontal="center" vertical="center" wrapText="1"/>
    </xf>
    <xf numFmtId="201" fontId="0" fillId="0" borderId="154" xfId="0" applyNumberFormat="1" applyBorder="1"/>
    <xf numFmtId="0" fontId="168" fillId="0" borderId="154" xfId="0" applyFont="1" applyBorder="1" applyAlignment="1">
      <alignment horizontal="center" vertical="center"/>
    </xf>
    <xf numFmtId="4" fontId="14" fillId="7" borderId="154" xfId="105" applyNumberFormat="1" applyFont="1" applyFill="1" applyBorder="1"/>
    <xf numFmtId="3" fontId="12" fillId="0" borderId="154" xfId="105" applyNumberFormat="1" applyFont="1" applyBorder="1" applyAlignment="1">
      <alignment horizontal="center" vertical="center"/>
    </xf>
    <xf numFmtId="0" fontId="172" fillId="0" borderId="194" xfId="105" applyFont="1" applyFill="1" applyBorder="1" applyAlignment="1">
      <alignment horizontal="center" vertical="center" wrapText="1"/>
    </xf>
    <xf numFmtId="4" fontId="12" fillId="0" borderId="154" xfId="0" applyNumberFormat="1" applyFont="1" applyBorder="1"/>
    <xf numFmtId="0" fontId="12" fillId="0" borderId="0" xfId="105" applyFont="1" applyBorder="1" applyAlignment="1">
      <alignment horizontal="right" vertical="center" wrapText="1"/>
    </xf>
    <xf numFmtId="0" fontId="12" fillId="0" borderId="0" xfId="105" applyFont="1" applyAlignment="1">
      <alignment horizontal="left"/>
    </xf>
    <xf numFmtId="0" fontId="155" fillId="0" borderId="0" xfId="105" applyFont="1" applyFill="1" applyBorder="1" applyAlignment="1">
      <alignment horizontal="center" vertical="center" wrapText="1"/>
    </xf>
    <xf numFmtId="0" fontId="19" fillId="0" borderId="158" xfId="105" applyFont="1" applyFill="1" applyBorder="1" applyAlignment="1">
      <alignment horizontal="center" vertical="center" wrapText="1"/>
    </xf>
    <xf numFmtId="0" fontId="19" fillId="27" borderId="164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9" fillId="0" borderId="189" xfId="105" applyFont="1" applyFill="1" applyBorder="1" applyAlignment="1">
      <alignment horizontal="center" vertical="center" wrapText="1"/>
    </xf>
    <xf numFmtId="0" fontId="19" fillId="0" borderId="191" xfId="105" applyFont="1" applyBorder="1" applyAlignment="1">
      <alignment horizontal="center" vertical="center" wrapText="1"/>
    </xf>
    <xf numFmtId="0" fontId="19" fillId="0" borderId="177" xfId="105" applyFont="1" applyBorder="1" applyAlignment="1">
      <alignment horizontal="center" vertical="center" wrapText="1"/>
    </xf>
    <xf numFmtId="0" fontId="19" fillId="0" borderId="193" xfId="105" applyFont="1" applyFill="1" applyBorder="1" applyAlignment="1">
      <alignment horizontal="center" vertical="center" wrapText="1"/>
    </xf>
    <xf numFmtId="202" fontId="12" fillId="0" borderId="154" xfId="105" applyNumberFormat="1" applyFont="1" applyBorder="1"/>
    <xf numFmtId="0" fontId="1" fillId="0" borderId="0" xfId="198"/>
    <xf numFmtId="0" fontId="12" fillId="2" borderId="154" xfId="198" applyFont="1" applyFill="1" applyBorder="1" applyAlignment="1">
      <alignment horizontal="center" vertical="center" wrapText="1"/>
    </xf>
    <xf numFmtId="0" fontId="12" fillId="2" borderId="194" xfId="198" applyFont="1" applyFill="1" applyBorder="1" applyAlignment="1">
      <alignment horizontal="center" vertical="center" wrapText="1"/>
    </xf>
    <xf numFmtId="0" fontId="12" fillId="2" borderId="154" xfId="198" applyFont="1" applyFill="1" applyBorder="1" applyAlignment="1">
      <alignment horizontal="left" vertical="center" wrapText="1"/>
    </xf>
    <xf numFmtId="4" fontId="12" fillId="2" borderId="154" xfId="198" applyNumberFormat="1" applyFont="1" applyFill="1" applyBorder="1" applyAlignment="1">
      <alignment horizontal="center" vertical="center" wrapText="1"/>
    </xf>
    <xf numFmtId="2" fontId="12" fillId="2" borderId="154" xfId="198" applyNumberFormat="1" applyFont="1" applyFill="1" applyBorder="1" applyAlignment="1">
      <alignment horizontal="center" vertical="center" wrapText="1"/>
    </xf>
    <xf numFmtId="0" fontId="12" fillId="34" borderId="154" xfId="198" applyFont="1" applyFill="1" applyBorder="1" applyAlignment="1">
      <alignment vertical="center" wrapText="1"/>
    </xf>
    <xf numFmtId="4" fontId="12" fillId="34" borderId="154" xfId="198" applyNumberFormat="1" applyFont="1" applyFill="1" applyBorder="1" applyAlignment="1">
      <alignment horizontal="center" vertical="center" wrapText="1"/>
    </xf>
    <xf numFmtId="4" fontId="168" fillId="11" borderId="154" xfId="198" applyNumberFormat="1" applyFont="1" applyFill="1" applyBorder="1" applyAlignment="1">
      <alignment horizontal="center" vertical="center" wrapText="1"/>
    </xf>
    <xf numFmtId="0" fontId="12" fillId="0" borderId="202" xfId="198" applyFont="1" applyFill="1" applyBorder="1" applyAlignment="1">
      <alignment vertical="center" wrapText="1"/>
    </xf>
    <xf numFmtId="0" fontId="12" fillId="0" borderId="154" xfId="198" applyFont="1" applyFill="1" applyBorder="1" applyAlignment="1">
      <alignment vertical="center" wrapText="1"/>
    </xf>
    <xf numFmtId="0" fontId="12" fillId="0" borderId="203" xfId="198" applyFont="1" applyFill="1" applyBorder="1" applyAlignment="1">
      <alignment vertical="center" wrapText="1"/>
    </xf>
    <xf numFmtId="0" fontId="12" fillId="0" borderId="204" xfId="198" applyFont="1" applyFill="1" applyBorder="1" applyAlignment="1">
      <alignment vertical="center" wrapText="1"/>
    </xf>
    <xf numFmtId="0" fontId="12" fillId="0" borderId="205" xfId="198" applyFont="1" applyFill="1" applyBorder="1" applyAlignment="1">
      <alignment vertical="center" wrapText="1"/>
    </xf>
    <xf numFmtId="0" fontId="12" fillId="6" borderId="154" xfId="198" applyFont="1" applyFill="1" applyBorder="1" applyAlignment="1">
      <alignment vertical="center" wrapText="1"/>
    </xf>
    <xf numFmtId="4" fontId="12" fillId="6" borderId="154" xfId="198" applyNumberFormat="1" applyFont="1" applyFill="1" applyBorder="1" applyAlignment="1">
      <alignment horizontal="center" vertical="center" wrapText="1"/>
    </xf>
    <xf numFmtId="49" fontId="12" fillId="0" borderId="154" xfId="198" applyNumberFormat="1" applyFont="1" applyFill="1" applyBorder="1" applyAlignment="1">
      <alignment horizontal="left" vertical="center" wrapText="1" indent="1"/>
    </xf>
    <xf numFmtId="49" fontId="12" fillId="6" borderId="154" xfId="198" applyNumberFormat="1" applyFont="1" applyFill="1" applyBorder="1" applyAlignment="1">
      <alignment horizontal="left" vertical="center" wrapText="1" indent="1"/>
    </xf>
    <xf numFmtId="0" fontId="12" fillId="0" borderId="154" xfId="198" applyFont="1" applyFill="1" applyBorder="1" applyAlignment="1">
      <alignment horizontal="left" vertical="center" wrapText="1" indent="3"/>
    </xf>
    <xf numFmtId="0" fontId="12" fillId="0" borderId="206" xfId="198" applyFont="1" applyFill="1" applyBorder="1" applyAlignment="1">
      <alignment vertical="center" wrapText="1"/>
    </xf>
    <xf numFmtId="0" fontId="1" fillId="34" borderId="154" xfId="198" applyFill="1" applyBorder="1"/>
    <xf numFmtId="0" fontId="1" fillId="0" borderId="154" xfId="198" applyBorder="1"/>
    <xf numFmtId="165" fontId="12" fillId="23" borderId="0" xfId="105" applyNumberFormat="1" applyFont="1" applyFill="1"/>
    <xf numFmtId="4" fontId="12" fillId="0" borderId="154" xfId="198" applyNumberFormat="1" applyFont="1" applyBorder="1" applyAlignment="1">
      <alignment horizontal="center"/>
    </xf>
    <xf numFmtId="4" fontId="168" fillId="11" borderId="154" xfId="105" applyNumberFormat="1" applyFont="1" applyFill="1" applyBorder="1"/>
    <xf numFmtId="49" fontId="14" fillId="34" borderId="154" xfId="198" applyNumberFormat="1" applyFont="1" applyFill="1" applyBorder="1" applyAlignment="1">
      <alignment horizontal="left" vertical="center" wrapText="1" indent="1"/>
    </xf>
    <xf numFmtId="4" fontId="15" fillId="2" borderId="154" xfId="198" applyNumberFormat="1" applyFont="1" applyFill="1" applyBorder="1" applyAlignment="1">
      <alignment horizontal="center" vertical="center" wrapText="1"/>
    </xf>
    <xf numFmtId="4" fontId="15" fillId="11" borderId="154" xfId="198" applyNumberFormat="1" applyFont="1" applyFill="1" applyBorder="1" applyAlignment="1">
      <alignment horizontal="center" vertical="center" wrapText="1"/>
    </xf>
    <xf numFmtId="0" fontId="34" fillId="22" borderId="208" xfId="0" applyNumberFormat="1" applyFont="1" applyFill="1" applyBorder="1" applyAlignment="1">
      <alignment horizontal="left" vertical="top" wrapText="1"/>
    </xf>
    <xf numFmtId="0" fontId="0" fillId="0" borderId="208" xfId="0" applyNumberFormat="1" applyFont="1" applyBorder="1" applyAlignment="1">
      <alignment horizontal="left" vertical="top" wrapText="1"/>
    </xf>
    <xf numFmtId="166" fontId="0" fillId="0" borderId="208" xfId="0" applyNumberFormat="1" applyFont="1" applyBorder="1" applyAlignment="1">
      <alignment horizontal="right" vertical="top"/>
    </xf>
    <xf numFmtId="0" fontId="0" fillId="0" borderId="208" xfId="0" applyNumberFormat="1" applyFont="1" applyBorder="1" applyAlignment="1">
      <alignment horizontal="left" vertical="top"/>
    </xf>
    <xf numFmtId="166" fontId="0" fillId="2" borderId="208" xfId="0" applyNumberFormat="1" applyFont="1" applyFill="1" applyBorder="1" applyAlignment="1">
      <alignment horizontal="right" vertical="top"/>
    </xf>
    <xf numFmtId="203" fontId="0" fillId="2" borderId="208" xfId="0" applyNumberFormat="1" applyFont="1" applyFill="1" applyBorder="1" applyAlignment="1">
      <alignment horizontal="right" vertical="top"/>
    </xf>
    <xf numFmtId="0" fontId="0" fillId="2" borderId="208" xfId="0" applyNumberFormat="1" applyFont="1" applyFill="1" applyBorder="1" applyAlignment="1">
      <alignment horizontal="left" vertical="top" wrapText="1"/>
    </xf>
    <xf numFmtId="0" fontId="0" fillId="2" borderId="208" xfId="0" applyNumberFormat="1" applyFont="1" applyFill="1" applyBorder="1" applyAlignment="1">
      <alignment horizontal="left" vertical="top"/>
    </xf>
    <xf numFmtId="1" fontId="0" fillId="6" borderId="208" xfId="0" applyNumberFormat="1" applyFont="1" applyFill="1" applyBorder="1" applyAlignment="1">
      <alignment horizontal="left" vertical="top" wrapText="1"/>
    </xf>
    <xf numFmtId="166" fontId="0" fillId="6" borderId="208" xfId="0" applyNumberFormat="1" applyFont="1" applyFill="1" applyBorder="1" applyAlignment="1">
      <alignment horizontal="right" vertical="top"/>
    </xf>
    <xf numFmtId="203" fontId="0" fillId="6" borderId="208" xfId="0" applyNumberFormat="1" applyFont="1" applyFill="1" applyBorder="1" applyAlignment="1">
      <alignment horizontal="right" vertical="top"/>
    </xf>
    <xf numFmtId="0" fontId="0" fillId="13" borderId="208" xfId="0" applyNumberFormat="1" applyFont="1" applyFill="1" applyBorder="1" applyAlignment="1">
      <alignment horizontal="left" vertical="top" wrapText="1"/>
    </xf>
    <xf numFmtId="166" fontId="0" fillId="13" borderId="208" xfId="0" applyNumberFormat="1" applyFont="1" applyFill="1" applyBorder="1" applyAlignment="1">
      <alignment horizontal="right" vertical="top"/>
    </xf>
    <xf numFmtId="203" fontId="0" fillId="13" borderId="208" xfId="0" applyNumberFormat="1" applyFont="1" applyFill="1" applyBorder="1" applyAlignment="1">
      <alignment horizontal="right" vertical="top"/>
    </xf>
    <xf numFmtId="0" fontId="0" fillId="13" borderId="208" xfId="0" applyNumberFormat="1" applyFont="1" applyFill="1" applyBorder="1" applyAlignment="1">
      <alignment horizontal="left" vertical="top"/>
    </xf>
    <xf numFmtId="1" fontId="0" fillId="13" borderId="208" xfId="0" applyNumberFormat="1" applyFont="1" applyFill="1" applyBorder="1" applyAlignment="1">
      <alignment horizontal="left" vertical="top" wrapText="1"/>
    </xf>
    <xf numFmtId="166" fontId="12" fillId="11" borderId="216" xfId="105" applyNumberFormat="1" applyFont="1" applyFill="1" applyBorder="1" applyAlignment="1">
      <alignment horizontal="center"/>
    </xf>
    <xf numFmtId="0" fontId="12" fillId="0" borderId="216" xfId="105" applyFont="1" applyFill="1" applyBorder="1"/>
    <xf numFmtId="0" fontId="12" fillId="0" borderId="216" xfId="105" applyFont="1" applyBorder="1"/>
    <xf numFmtId="0" fontId="19" fillId="0" borderId="217" xfId="105" applyFont="1" applyFill="1" applyBorder="1" applyAlignment="1">
      <alignment horizontal="center" vertical="center" wrapText="1"/>
    </xf>
    <xf numFmtId="0" fontId="12" fillId="0" borderId="217" xfId="105" applyFont="1" applyFill="1" applyBorder="1" applyAlignment="1">
      <alignment horizontal="center" vertical="center" wrapText="1"/>
    </xf>
    <xf numFmtId="0" fontId="12" fillId="0" borderId="220" xfId="105" applyFont="1" applyFill="1" applyBorder="1" applyAlignment="1">
      <alignment horizontal="center" vertical="center" wrapText="1"/>
    </xf>
    <xf numFmtId="0" fontId="12" fillId="0" borderId="222" xfId="105" applyFont="1" applyFill="1" applyBorder="1" applyAlignment="1">
      <alignment horizontal="center" vertical="center" wrapText="1"/>
    </xf>
    <xf numFmtId="0" fontId="19" fillId="0" borderId="222" xfId="105" applyFont="1" applyFill="1" applyBorder="1" applyAlignment="1">
      <alignment horizontal="center" vertical="center" wrapText="1"/>
    </xf>
    <xf numFmtId="0" fontId="19" fillId="0" borderId="221" xfId="105" applyFont="1" applyFill="1" applyBorder="1" applyAlignment="1">
      <alignment horizontal="center" vertical="center" wrapText="1"/>
    </xf>
    <xf numFmtId="166" fontId="12" fillId="0" borderId="216" xfId="105" applyNumberFormat="1" applyFont="1" applyFill="1" applyBorder="1"/>
    <xf numFmtId="0" fontId="12" fillId="0" borderId="224" xfId="105" applyFont="1" applyBorder="1"/>
    <xf numFmtId="0" fontId="12" fillId="0" borderId="225" xfId="105" applyFont="1" applyBorder="1" applyAlignment="1">
      <alignment wrapText="1"/>
    </xf>
    <xf numFmtId="0" fontId="12" fillId="0" borderId="226" xfId="105" applyFont="1" applyBorder="1" applyAlignment="1">
      <alignment wrapText="1"/>
    </xf>
    <xf numFmtId="0" fontId="12" fillId="0" borderId="227" xfId="105" applyFont="1" applyBorder="1" applyAlignment="1">
      <alignment wrapText="1"/>
    </xf>
    <xf numFmtId="0" fontId="12" fillId="0" borderId="228" xfId="105" applyFont="1" applyBorder="1" applyAlignment="1">
      <alignment wrapText="1"/>
    </xf>
    <xf numFmtId="0" fontId="12" fillId="0" borderId="218" xfId="105" applyFont="1" applyFill="1" applyBorder="1"/>
    <xf numFmtId="4" fontId="112" fillId="0" borderId="0" xfId="105" applyNumberFormat="1" applyFont="1" applyBorder="1"/>
    <xf numFmtId="0" fontId="155" fillId="0" borderId="0" xfId="105" applyFont="1" applyFill="1" applyBorder="1" applyAlignment="1">
      <alignment horizontal="center" vertical="center" wrapText="1"/>
    </xf>
    <xf numFmtId="0" fontId="19" fillId="0" borderId="194" xfId="105" applyFont="1" applyFill="1" applyBorder="1" applyAlignment="1">
      <alignment horizontal="center" vertical="center" wrapText="1"/>
    </xf>
    <xf numFmtId="0" fontId="19" fillId="27" borderId="164" xfId="105" applyFont="1" applyFill="1" applyBorder="1" applyAlignment="1">
      <alignment horizontal="center" vertical="center" wrapText="1"/>
    </xf>
    <xf numFmtId="0" fontId="19" fillId="0" borderId="189" xfId="105" applyFont="1" applyFill="1" applyBorder="1" applyAlignment="1">
      <alignment horizontal="center" vertical="center" wrapText="1"/>
    </xf>
    <xf numFmtId="0" fontId="19" fillId="0" borderId="193" xfId="105" applyFont="1" applyBorder="1" applyAlignment="1">
      <alignment horizontal="center" vertical="center" wrapText="1"/>
    </xf>
    <xf numFmtId="0" fontId="19" fillId="0" borderId="191" xfId="105" applyFont="1" applyBorder="1" applyAlignment="1">
      <alignment horizontal="center" vertical="center" wrapText="1"/>
    </xf>
    <xf numFmtId="0" fontId="12" fillId="0" borderId="216" xfId="105" applyFont="1" applyBorder="1" applyAlignment="1">
      <alignment horizontal="center"/>
    </xf>
    <xf numFmtId="0" fontId="19" fillId="0" borderId="227" xfId="105" applyFont="1" applyFill="1" applyBorder="1" applyAlignment="1">
      <alignment horizontal="center" vertical="center" wrapText="1"/>
    </xf>
    <xf numFmtId="0" fontId="19" fillId="0" borderId="216" xfId="105" applyFont="1" applyFill="1" applyBorder="1" applyAlignment="1">
      <alignment horizontal="center" vertical="center" wrapText="1"/>
    </xf>
    <xf numFmtId="0" fontId="15" fillId="0" borderId="216" xfId="105" applyFont="1" applyFill="1" applyBorder="1" applyAlignment="1">
      <alignment horizontal="center" vertical="center" wrapText="1"/>
    </xf>
    <xf numFmtId="0" fontId="12" fillId="0" borderId="217" xfId="105" applyFont="1" applyFill="1" applyBorder="1"/>
    <xf numFmtId="0" fontId="19" fillId="0" borderId="218" xfId="105" applyFont="1" applyBorder="1" applyAlignment="1">
      <alignment horizontal="center" vertical="center" wrapText="1"/>
    </xf>
    <xf numFmtId="4" fontId="12" fillId="0" borderId="216" xfId="105" applyNumberFormat="1" applyFont="1" applyBorder="1"/>
    <xf numFmtId="0" fontId="102" fillId="0" borderId="194" xfId="105" applyFont="1" applyFill="1" applyBorder="1" applyAlignment="1">
      <alignment horizontal="center" vertical="center" wrapText="1"/>
    </xf>
    <xf numFmtId="194" fontId="12" fillId="11" borderId="216" xfId="105" applyNumberFormat="1" applyFont="1" applyFill="1" applyBorder="1" applyAlignment="1">
      <alignment horizontal="center"/>
    </xf>
    <xf numFmtId="0" fontId="168" fillId="0" borderId="154" xfId="0" applyFont="1" applyBorder="1" applyAlignment="1">
      <alignment horizontal="center" vertical="center" wrapText="1"/>
    </xf>
    <xf numFmtId="3" fontId="0" fillId="0" borderId="216" xfId="0" applyNumberFormat="1" applyBorder="1"/>
    <xf numFmtId="3" fontId="20" fillId="0" borderId="216" xfId="0" applyNumberFormat="1" applyFont="1" applyBorder="1"/>
    <xf numFmtId="3" fontId="14" fillId="7" borderId="154" xfId="105" applyNumberFormat="1" applyFont="1" applyFill="1" applyBorder="1"/>
    <xf numFmtId="3" fontId="10" fillId="7" borderId="154" xfId="0" applyNumberFormat="1" applyFont="1" applyFill="1" applyBorder="1"/>
    <xf numFmtId="203" fontId="0" fillId="0" borderId="216" xfId="0" applyNumberFormat="1" applyBorder="1" applyAlignment="1">
      <alignment horizontal="center" vertical="center"/>
    </xf>
    <xf numFmtId="0" fontId="12" fillId="27" borderId="162" xfId="105" applyFont="1" applyFill="1" applyBorder="1" applyAlignment="1">
      <alignment horizontal="center" vertical="center"/>
    </xf>
    <xf numFmtId="0" fontId="12" fillId="0" borderId="166" xfId="105" applyFont="1" applyFill="1" applyBorder="1" applyAlignment="1">
      <alignment horizontal="center" vertical="center" wrapText="1"/>
    </xf>
    <xf numFmtId="0" fontId="12" fillId="0" borderId="154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2" fillId="0" borderId="165" xfId="105" applyFont="1" applyFill="1" applyBorder="1" applyAlignment="1">
      <alignment horizontal="center" vertical="center" wrapText="1"/>
    </xf>
    <xf numFmtId="0" fontId="19" fillId="0" borderId="194" xfId="105" applyFont="1" applyFill="1" applyBorder="1" applyAlignment="1">
      <alignment horizontal="center" vertical="center" wrapText="1"/>
    </xf>
    <xf numFmtId="0" fontId="12" fillId="0" borderId="216" xfId="105" applyFont="1" applyBorder="1" applyAlignment="1">
      <alignment horizontal="center"/>
    </xf>
    <xf numFmtId="0" fontId="19" fillId="27" borderId="162" xfId="105" applyFont="1" applyFill="1" applyBorder="1" applyAlignment="1">
      <alignment horizontal="center" vertical="center" wrapText="1"/>
    </xf>
    <xf numFmtId="0" fontId="12" fillId="0" borderId="173" xfId="105" applyFont="1" applyFill="1" applyBorder="1" applyAlignment="1">
      <alignment horizontal="center" vertical="center" wrapText="1"/>
    </xf>
    <xf numFmtId="0" fontId="19" fillId="0" borderId="166" xfId="105" applyFont="1" applyFill="1" applyBorder="1" applyAlignment="1">
      <alignment horizontal="center" vertical="center" wrapText="1"/>
    </xf>
    <xf numFmtId="0" fontId="19" fillId="0" borderId="173" xfId="105" applyFont="1" applyFill="1" applyBorder="1" applyAlignment="1">
      <alignment horizontal="center" vertical="center" wrapText="1"/>
    </xf>
    <xf numFmtId="203" fontId="14" fillId="11" borderId="216" xfId="105" applyNumberFormat="1" applyFont="1" applyFill="1" applyBorder="1" applyAlignment="1">
      <alignment horizontal="center" vertical="center"/>
    </xf>
    <xf numFmtId="1" fontId="19" fillId="7" borderId="158" xfId="105" applyNumberFormat="1" applyFont="1" applyFill="1" applyBorder="1" applyAlignment="1">
      <alignment horizontal="center" wrapText="1"/>
    </xf>
    <xf numFmtId="1" fontId="19" fillId="7" borderId="154" xfId="105" applyNumberFormat="1" applyFont="1" applyFill="1" applyBorder="1" applyAlignment="1">
      <alignment horizontal="center" wrapText="1"/>
    </xf>
    <xf numFmtId="1" fontId="172" fillId="7" borderId="158" xfId="105" applyNumberFormat="1" applyFont="1" applyFill="1" applyBorder="1" applyAlignment="1">
      <alignment horizontal="center" wrapText="1"/>
    </xf>
    <xf numFmtId="1" fontId="172" fillId="7" borderId="154" xfId="105" applyNumberFormat="1" applyFont="1" applyFill="1" applyBorder="1" applyAlignment="1">
      <alignment horizontal="center" wrapText="1"/>
    </xf>
    <xf numFmtId="1" fontId="12" fillId="7" borderId="158" xfId="105" applyNumberFormat="1" applyFont="1" applyFill="1" applyBorder="1" applyAlignment="1">
      <alignment horizontal="center" wrapText="1"/>
    </xf>
    <xf numFmtId="1" fontId="12" fillId="7" borderId="154" xfId="105" applyNumberFormat="1" applyFont="1" applyFill="1" applyBorder="1" applyAlignment="1">
      <alignment horizontal="center" wrapText="1"/>
    </xf>
    <xf numFmtId="1" fontId="112" fillId="7" borderId="154" xfId="105" applyNumberFormat="1" applyFont="1" applyFill="1" applyBorder="1" applyAlignment="1">
      <alignment horizontal="center" wrapText="1"/>
    </xf>
    <xf numFmtId="2" fontId="19" fillId="7" borderId="154" xfId="105" applyNumberFormat="1" applyFont="1" applyFill="1" applyBorder="1" applyAlignment="1">
      <alignment horizontal="center" vertical="center" wrapText="1"/>
    </xf>
    <xf numFmtId="2" fontId="12" fillId="7" borderId="154" xfId="105" applyNumberFormat="1" applyFont="1" applyFill="1" applyBorder="1" applyAlignment="1">
      <alignment horizontal="center" vertical="center" wrapText="1"/>
    </xf>
    <xf numFmtId="2" fontId="12" fillId="7" borderId="154" xfId="105" applyNumberFormat="1" applyFont="1" applyFill="1" applyBorder="1" applyAlignment="1">
      <alignment horizontal="center" vertical="center"/>
    </xf>
    <xf numFmtId="0" fontId="12" fillId="7" borderId="216" xfId="105" applyFont="1" applyFill="1" applyBorder="1" applyAlignment="1">
      <alignment horizontal="center" vertical="center"/>
    </xf>
    <xf numFmtId="0" fontId="12" fillId="7" borderId="156" xfId="105" applyFont="1" applyFill="1" applyBorder="1" applyAlignment="1">
      <alignment horizontal="center" vertical="center"/>
    </xf>
    <xf numFmtId="0" fontId="12" fillId="7" borderId="158" xfId="105" applyFont="1" applyFill="1" applyBorder="1" applyAlignment="1">
      <alignment horizontal="center"/>
    </xf>
    <xf numFmtId="0" fontId="12" fillId="7" borderId="154" xfId="105" applyFont="1" applyFill="1" applyBorder="1" applyAlignment="1">
      <alignment horizontal="center"/>
    </xf>
    <xf numFmtId="0" fontId="12" fillId="7" borderId="154" xfId="105" applyFont="1" applyFill="1" applyBorder="1" applyAlignment="1">
      <alignment horizontal="center" vertical="center"/>
    </xf>
    <xf numFmtId="2" fontId="12" fillId="7" borderId="158" xfId="105" applyNumberFormat="1" applyFont="1" applyFill="1" applyBorder="1" applyAlignment="1">
      <alignment horizontal="center"/>
    </xf>
    <xf numFmtId="2" fontId="12" fillId="7" borderId="154" xfId="105" applyNumberFormat="1" applyFont="1" applyFill="1" applyBorder="1" applyAlignment="1">
      <alignment horizontal="center"/>
    </xf>
    <xf numFmtId="3" fontId="0" fillId="0" borderId="216" xfId="0" applyNumberFormat="1" applyBorder="1" applyAlignment="1">
      <alignment horizontal="center" vertical="center"/>
    </xf>
    <xf numFmtId="4" fontId="12" fillId="0" borderId="216" xfId="105" applyNumberFormat="1" applyFont="1" applyBorder="1" applyAlignment="1">
      <alignment horizontal="center" vertical="center"/>
    </xf>
    <xf numFmtId="0" fontId="19" fillId="7" borderId="158" xfId="105" applyFont="1" applyFill="1" applyBorder="1" applyAlignment="1">
      <alignment horizontal="center" wrapText="1"/>
    </xf>
    <xf numFmtId="0" fontId="19" fillId="7" borderId="154" xfId="105" applyFont="1" applyFill="1" applyBorder="1" applyAlignment="1">
      <alignment horizontal="center" wrapText="1"/>
    </xf>
    <xf numFmtId="0" fontId="19" fillId="7" borderId="154" xfId="105" applyFont="1" applyFill="1" applyBorder="1" applyAlignment="1">
      <alignment horizontal="center" vertical="center" wrapText="1"/>
    </xf>
    <xf numFmtId="0" fontId="12" fillId="7" borderId="158" xfId="105" applyFont="1" applyFill="1" applyBorder="1" applyAlignment="1">
      <alignment horizontal="center" wrapText="1"/>
    </xf>
    <xf numFmtId="0" fontId="12" fillId="7" borderId="154" xfId="105" applyFont="1" applyFill="1" applyBorder="1" applyAlignment="1">
      <alignment horizontal="center" wrapText="1"/>
    </xf>
    <xf numFmtId="0" fontId="12" fillId="7" borderId="154" xfId="105" applyFont="1" applyFill="1" applyBorder="1" applyAlignment="1">
      <alignment vertical="top" wrapText="1"/>
    </xf>
    <xf numFmtId="0" fontId="12" fillId="7" borderId="154" xfId="105" applyFont="1" applyFill="1" applyBorder="1" applyAlignment="1">
      <alignment wrapText="1"/>
    </xf>
    <xf numFmtId="0" fontId="12" fillId="7" borderId="154" xfId="105" applyFont="1" applyFill="1" applyBorder="1"/>
    <xf numFmtId="0" fontId="0" fillId="0" borderId="216" xfId="0" applyBorder="1"/>
    <xf numFmtId="3" fontId="20" fillId="0" borderId="217" xfId="0" applyNumberFormat="1" applyFont="1" applyBorder="1"/>
    <xf numFmtId="3" fontId="20" fillId="0" borderId="216" xfId="0" applyNumberFormat="1" applyFont="1" applyBorder="1" applyAlignment="1">
      <alignment horizontal="center" vertical="center"/>
    </xf>
    <xf numFmtId="203" fontId="20" fillId="0" borderId="216" xfId="0" applyNumberFormat="1" applyFont="1" applyBorder="1" applyAlignment="1">
      <alignment horizontal="center" vertical="center"/>
    </xf>
    <xf numFmtId="3" fontId="24" fillId="7" borderId="154" xfId="0" applyNumberFormat="1" applyFont="1" applyFill="1" applyBorder="1"/>
    <xf numFmtId="2" fontId="19" fillId="7" borderId="158" xfId="105" applyNumberFormat="1" applyFont="1" applyFill="1" applyBorder="1" applyAlignment="1">
      <alignment horizontal="center" vertical="center" wrapText="1"/>
    </xf>
    <xf numFmtId="2" fontId="12" fillId="7" borderId="154" xfId="105" applyNumberFormat="1" applyFont="1" applyFill="1" applyBorder="1"/>
    <xf numFmtId="0" fontId="12" fillId="7" borderId="216" xfId="105" applyFont="1" applyFill="1" applyBorder="1"/>
    <xf numFmtId="0" fontId="12" fillId="7" borderId="156" xfId="105" applyFont="1" applyFill="1" applyBorder="1"/>
    <xf numFmtId="166" fontId="12" fillId="7" borderId="154" xfId="105" applyNumberFormat="1" applyFont="1" applyFill="1" applyBorder="1"/>
    <xf numFmtId="166" fontId="12" fillId="7" borderId="156" xfId="105" applyNumberFormat="1" applyFont="1" applyFill="1" applyBorder="1"/>
    <xf numFmtId="2" fontId="12" fillId="7" borderId="158" xfId="105" applyNumberFormat="1" applyFont="1" applyFill="1" applyBorder="1"/>
    <xf numFmtId="0" fontId="19" fillId="7" borderId="189" xfId="105" applyFont="1" applyFill="1" applyBorder="1" applyAlignment="1">
      <alignment horizontal="center" vertical="center" wrapText="1"/>
    </xf>
    <xf numFmtId="0" fontId="12" fillId="7" borderId="194" xfId="105" applyFont="1" applyFill="1" applyBorder="1" applyAlignment="1">
      <alignment horizontal="center"/>
    </xf>
    <xf numFmtId="0" fontId="172" fillId="7" borderId="189" xfId="105" applyFont="1" applyFill="1" applyBorder="1" applyAlignment="1">
      <alignment horizontal="center" vertical="center" wrapText="1"/>
    </xf>
    <xf numFmtId="0" fontId="172" fillId="7" borderId="154" xfId="105" applyFont="1" applyFill="1" applyBorder="1" applyAlignment="1">
      <alignment horizontal="center" vertical="center" wrapText="1"/>
    </xf>
    <xf numFmtId="0" fontId="112" fillId="7" borderId="154" xfId="105" applyFont="1" applyFill="1" applyBorder="1" applyAlignment="1">
      <alignment horizontal="center" wrapText="1"/>
    </xf>
    <xf numFmtId="0" fontId="112" fillId="7" borderId="154" xfId="105" applyFont="1" applyFill="1" applyBorder="1" applyAlignment="1">
      <alignment horizontal="center"/>
    </xf>
    <xf numFmtId="0" fontId="112" fillId="7" borderId="158" xfId="105" applyFont="1" applyFill="1" applyBorder="1" applyAlignment="1">
      <alignment horizontal="center"/>
    </xf>
    <xf numFmtId="0" fontId="112" fillId="7" borderId="194" xfId="105" applyFont="1" applyFill="1" applyBorder="1" applyAlignment="1">
      <alignment horizontal="center"/>
    </xf>
    <xf numFmtId="0" fontId="112" fillId="7" borderId="154" xfId="105" applyFont="1" applyFill="1" applyBorder="1"/>
    <xf numFmtId="0" fontId="19" fillId="7" borderId="188" xfId="105" applyFont="1" applyFill="1" applyBorder="1" applyAlignment="1">
      <alignment horizontal="center" vertical="center" wrapText="1"/>
    </xf>
    <xf numFmtId="0" fontId="19" fillId="7" borderId="158" xfId="105" applyFont="1" applyFill="1" applyBorder="1" applyAlignment="1">
      <alignment horizontal="center" vertical="center" wrapText="1"/>
    </xf>
    <xf numFmtId="0" fontId="15" fillId="7" borderId="154" xfId="105" applyFont="1" applyFill="1" applyBorder="1" applyAlignment="1">
      <alignment horizontal="center" vertical="center" wrapText="1"/>
    </xf>
    <xf numFmtId="0" fontId="12" fillId="7" borderId="154" xfId="105" applyFont="1" applyFill="1" applyBorder="1" applyAlignment="1">
      <alignment horizontal="center" vertical="center" wrapText="1"/>
    </xf>
    <xf numFmtId="0" fontId="12" fillId="7" borderId="194" xfId="105" applyFont="1" applyFill="1" applyBorder="1" applyAlignment="1">
      <alignment horizontal="center" vertical="center"/>
    </xf>
    <xf numFmtId="0" fontId="12" fillId="7" borderId="189" xfId="105" applyFont="1" applyFill="1" applyBorder="1" applyAlignment="1">
      <alignment horizontal="center" vertical="center"/>
    </xf>
    <xf numFmtId="0" fontId="12" fillId="7" borderId="198" xfId="105" applyFont="1" applyFill="1" applyBorder="1" applyAlignment="1">
      <alignment horizontal="center" vertical="center"/>
    </xf>
    <xf numFmtId="0" fontId="12" fillId="7" borderId="197" xfId="105" applyFont="1" applyFill="1" applyBorder="1" applyAlignment="1">
      <alignment horizontal="center" vertical="center"/>
    </xf>
    <xf numFmtId="166" fontId="0" fillId="0" borderId="216" xfId="0" applyNumberFormat="1" applyBorder="1"/>
    <xf numFmtId="3" fontId="12" fillId="0" borderId="223" xfId="105" applyNumberFormat="1" applyFont="1" applyBorder="1" applyAlignment="1">
      <alignment horizontal="center" vertical="center"/>
    </xf>
    <xf numFmtId="0" fontId="19" fillId="0" borderId="194" xfId="105" applyFont="1" applyBorder="1" applyAlignment="1">
      <alignment horizontal="center" vertical="center" wrapText="1"/>
    </xf>
    <xf numFmtId="0" fontId="12" fillId="0" borderId="154" xfId="105" applyFont="1" applyBorder="1" applyAlignment="1">
      <alignment horizontal="center" vertical="center"/>
    </xf>
    <xf numFmtId="0" fontId="19" fillId="0" borderId="199" xfId="105" applyFont="1" applyBorder="1" applyAlignment="1">
      <alignment horizontal="center" vertical="center" wrapText="1"/>
    </xf>
    <xf numFmtId="0" fontId="19" fillId="0" borderId="177" xfId="105" applyFont="1" applyBorder="1" applyAlignment="1">
      <alignment horizontal="center" vertical="center" wrapText="1"/>
    </xf>
    <xf numFmtId="0" fontId="12" fillId="0" borderId="216" xfId="105" applyFont="1" applyBorder="1" applyAlignment="1">
      <alignment horizontal="center"/>
    </xf>
    <xf numFmtId="0" fontId="19" fillId="27" borderId="162" xfId="105" applyFont="1" applyFill="1" applyBorder="1" applyAlignment="1">
      <alignment horizontal="center" vertical="center" wrapText="1"/>
    </xf>
    <xf numFmtId="0" fontId="19" fillId="0" borderId="227" xfId="105" applyFont="1" applyFill="1" applyBorder="1" applyAlignment="1">
      <alignment horizontal="center" vertical="center" wrapText="1"/>
    </xf>
    <xf numFmtId="0" fontId="19" fillId="0" borderId="173" xfId="105" applyFont="1" applyFill="1" applyBorder="1" applyAlignment="1">
      <alignment horizontal="center" vertical="center" wrapText="1"/>
    </xf>
    <xf numFmtId="2" fontId="12" fillId="0" borderId="0" xfId="105" applyNumberFormat="1" applyFont="1"/>
    <xf numFmtId="2" fontId="112" fillId="0" borderId="0" xfId="105" applyNumberFormat="1" applyFont="1"/>
    <xf numFmtId="200" fontId="12" fillId="0" borderId="216" xfId="105" applyNumberFormat="1" applyFont="1" applyBorder="1"/>
    <xf numFmtId="0" fontId="0" fillId="7" borderId="216" xfId="0" applyFill="1" applyBorder="1"/>
    <xf numFmtId="0" fontId="12" fillId="7" borderId="158" xfId="105" applyFont="1" applyFill="1" applyBorder="1"/>
    <xf numFmtId="166" fontId="12" fillId="7" borderId="0" xfId="105" applyNumberFormat="1" applyFont="1" applyFill="1"/>
    <xf numFmtId="0" fontId="19" fillId="7" borderId="216" xfId="105" applyFont="1" applyFill="1" applyBorder="1" applyAlignment="1">
      <alignment horizontal="center" vertical="center" wrapText="1"/>
    </xf>
    <xf numFmtId="0" fontId="15" fillId="7" borderId="216" xfId="105" applyFont="1" applyFill="1" applyBorder="1" applyAlignment="1">
      <alignment horizontal="center" vertical="center" wrapText="1"/>
    </xf>
    <xf numFmtId="0" fontId="12" fillId="7" borderId="218" xfId="105" applyFont="1" applyFill="1" applyBorder="1" applyAlignment="1">
      <alignment horizontal="center" vertical="center"/>
    </xf>
    <xf numFmtId="2" fontId="19" fillId="7" borderId="217" xfId="105" applyNumberFormat="1" applyFont="1" applyFill="1" applyBorder="1" applyAlignment="1">
      <alignment horizontal="center" vertical="center" wrapText="1"/>
    </xf>
    <xf numFmtId="2" fontId="19" fillId="7" borderId="216" xfId="105" applyNumberFormat="1" applyFont="1" applyFill="1" applyBorder="1" applyAlignment="1">
      <alignment horizontal="center" vertical="center" wrapText="1"/>
    </xf>
    <xf numFmtId="2" fontId="12" fillId="7" borderId="216" xfId="105" applyNumberFormat="1" applyFont="1" applyFill="1" applyBorder="1" applyAlignment="1">
      <alignment horizontal="center" vertical="center"/>
    </xf>
    <xf numFmtId="1" fontId="12" fillId="7" borderId="216" xfId="105" applyNumberFormat="1" applyFont="1" applyFill="1" applyBorder="1" applyAlignment="1">
      <alignment horizontal="center" wrapText="1"/>
    </xf>
    <xf numFmtId="2" fontId="12" fillId="7" borderId="216" xfId="105" applyNumberFormat="1" applyFont="1" applyFill="1" applyBorder="1" applyAlignment="1">
      <alignment horizontal="center" vertical="center" wrapText="1"/>
    </xf>
    <xf numFmtId="0" fontId="12" fillId="7" borderId="216" xfId="105" applyFont="1" applyFill="1" applyBorder="1" applyAlignment="1">
      <alignment horizontal="center" wrapText="1"/>
    </xf>
    <xf numFmtId="0" fontId="12" fillId="7" borderId="216" xfId="105" applyFont="1" applyFill="1" applyBorder="1" applyAlignment="1">
      <alignment horizontal="center" vertical="center" wrapText="1"/>
    </xf>
    <xf numFmtId="0" fontId="12" fillId="7" borderId="216" xfId="105" applyFont="1" applyFill="1" applyBorder="1" applyAlignment="1">
      <alignment horizontal="center"/>
    </xf>
    <xf numFmtId="0" fontId="12" fillId="7" borderId="217" xfId="105" applyFont="1" applyFill="1" applyBorder="1" applyAlignment="1">
      <alignment horizontal="center" vertical="center"/>
    </xf>
    <xf numFmtId="1" fontId="112" fillId="7" borderId="216" xfId="105" applyNumberFormat="1" applyFont="1" applyFill="1" applyBorder="1" applyAlignment="1">
      <alignment horizontal="center" wrapText="1"/>
    </xf>
    <xf numFmtId="3" fontId="14" fillId="7" borderId="154" xfId="105" applyNumberFormat="1" applyFont="1" applyFill="1" applyBorder="1" applyAlignment="1">
      <alignment horizontal="center" vertical="center"/>
    </xf>
    <xf numFmtId="3" fontId="24" fillId="7" borderId="154" xfId="0" applyNumberFormat="1" applyFont="1" applyFill="1" applyBorder="1" applyAlignment="1">
      <alignment horizontal="center" vertical="center"/>
    </xf>
    <xf numFmtId="3" fontId="24" fillId="7" borderId="216" xfId="0" applyNumberFormat="1" applyFont="1" applyFill="1" applyBorder="1" applyAlignment="1">
      <alignment horizontal="center" vertical="center"/>
    </xf>
    <xf numFmtId="0" fontId="19" fillId="0" borderId="216" xfId="0" applyFont="1" applyFill="1" applyBorder="1" applyAlignment="1">
      <alignment horizontal="center" vertical="center" wrapText="1"/>
    </xf>
    <xf numFmtId="0" fontId="19" fillId="0" borderId="216" xfId="0" applyFont="1" applyFill="1" applyBorder="1" applyAlignment="1">
      <alignment horizontal="center" vertical="center" wrapText="1"/>
    </xf>
    <xf numFmtId="3" fontId="12" fillId="0" borderId="0" xfId="105" applyNumberFormat="1" applyFont="1"/>
    <xf numFmtId="0" fontId="20" fillId="0" borderId="216" xfId="0" applyFont="1" applyBorder="1"/>
    <xf numFmtId="202" fontId="20" fillId="0" borderId="216" xfId="0" applyNumberFormat="1" applyFont="1" applyBorder="1"/>
    <xf numFmtId="0" fontId="12" fillId="0" borderId="216" xfId="0" applyFont="1" applyBorder="1" applyAlignment="1">
      <alignment horizontal="center" vertical="center"/>
    </xf>
    <xf numFmtId="0" fontId="12" fillId="0" borderId="216" xfId="0" applyFont="1" applyBorder="1"/>
    <xf numFmtId="0" fontId="12" fillId="27" borderId="229" xfId="105" applyFont="1" applyFill="1" applyBorder="1" applyAlignment="1">
      <alignment horizontal="center" vertical="center"/>
    </xf>
    <xf numFmtId="0" fontId="19" fillId="0" borderId="216" xfId="0" applyFont="1" applyFill="1" applyBorder="1" applyAlignment="1">
      <alignment horizontal="center" vertical="center" wrapText="1"/>
    </xf>
    <xf numFmtId="0" fontId="19" fillId="0" borderId="217" xfId="105" applyFont="1" applyBorder="1" applyAlignment="1">
      <alignment horizontal="center" vertical="center" wrapText="1"/>
    </xf>
    <xf numFmtId="0" fontId="8" fillId="0" borderId="216" xfId="105" applyFont="1" applyBorder="1" applyAlignment="1">
      <alignment horizontal="center" vertical="center" wrapText="1"/>
    </xf>
    <xf numFmtId="3" fontId="12" fillId="0" borderId="154" xfId="105" applyNumberFormat="1" applyFont="1" applyFill="1" applyBorder="1" applyAlignment="1">
      <alignment horizontal="center" vertical="center"/>
    </xf>
    <xf numFmtId="171" fontId="67" fillId="2" borderId="0" xfId="113" applyNumberFormat="1" applyFont="1" applyFill="1"/>
    <xf numFmtId="0" fontId="67" fillId="2" borderId="0" xfId="113" applyFont="1" applyFill="1"/>
    <xf numFmtId="194" fontId="0" fillId="0" borderId="216" xfId="0" applyNumberFormat="1" applyBorder="1" applyAlignment="1">
      <alignment horizontal="center"/>
    </xf>
    <xf numFmtId="0" fontId="0" fillId="0" borderId="216" xfId="0" applyBorder="1" applyAlignment="1">
      <alignment horizontal="center"/>
    </xf>
    <xf numFmtId="0" fontId="12" fillId="0" borderId="216" xfId="105" applyFont="1" applyFill="1" applyBorder="1" applyAlignment="1">
      <alignment horizontal="center" vertical="center"/>
    </xf>
    <xf numFmtId="194" fontId="0" fillId="0" borderId="216" xfId="0" applyNumberFormat="1" applyBorder="1" applyAlignment="1">
      <alignment horizontal="center" vertical="center"/>
    </xf>
    <xf numFmtId="1" fontId="0" fillId="0" borderId="216" xfId="0" applyNumberForma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4" fontId="12" fillId="0" borderId="216" xfId="105" applyNumberFormat="1" applyFont="1" applyFill="1" applyBorder="1" applyAlignment="1">
      <alignment horizontal="center" vertical="center"/>
    </xf>
    <xf numFmtId="4" fontId="0" fillId="0" borderId="216" xfId="0" applyNumberFormat="1" applyBorder="1" applyAlignment="1">
      <alignment horizontal="center" vertical="center"/>
    </xf>
    <xf numFmtId="1" fontId="12" fillId="0" borderId="216" xfId="105" applyNumberFormat="1" applyFont="1" applyBorder="1" applyAlignment="1">
      <alignment horizontal="center"/>
    </xf>
    <xf numFmtId="3" fontId="12" fillId="0" borderId="216" xfId="105" applyNumberFormat="1" applyFont="1" applyFill="1" applyBorder="1" applyAlignment="1">
      <alignment horizontal="center"/>
    </xf>
    <xf numFmtId="3" fontId="0" fillId="0" borderId="216" xfId="0" applyNumberFormat="1" applyBorder="1" applyAlignment="1">
      <alignment horizontal="center"/>
    </xf>
    <xf numFmtId="3" fontId="14" fillId="0" borderId="154" xfId="105" applyNumberFormat="1" applyFont="1" applyFill="1" applyBorder="1" applyAlignment="1">
      <alignment horizontal="center" vertical="center"/>
    </xf>
    <xf numFmtId="0" fontId="0" fillId="0" borderId="216" xfId="0" applyFill="1" applyBorder="1"/>
    <xf numFmtId="0" fontId="19" fillId="27" borderId="153" xfId="105" applyFont="1" applyFill="1" applyBorder="1" applyAlignment="1">
      <alignment horizontal="center" vertical="center" wrapText="1"/>
    </xf>
    <xf numFmtId="3" fontId="0" fillId="0" borderId="216" xfId="0" applyNumberFormat="1" applyFill="1" applyBorder="1" applyAlignment="1">
      <alignment horizontal="center" vertical="center"/>
    </xf>
    <xf numFmtId="3" fontId="0" fillId="0" borderId="216" xfId="0" applyNumberFormat="1" applyFill="1" applyBorder="1"/>
    <xf numFmtId="3" fontId="12" fillId="7" borderId="154" xfId="105" applyNumberFormat="1" applyFont="1" applyFill="1" applyBorder="1" applyAlignment="1">
      <alignment horizontal="center" vertical="center"/>
    </xf>
    <xf numFmtId="4" fontId="12" fillId="7" borderId="154" xfId="105" applyNumberFormat="1" applyFont="1" applyFill="1" applyBorder="1" applyAlignment="1">
      <alignment horizontal="center" vertical="center"/>
    </xf>
    <xf numFmtId="3" fontId="112" fillId="7" borderId="154" xfId="105" applyNumberFormat="1" applyFont="1" applyFill="1" applyBorder="1" applyAlignment="1">
      <alignment horizontal="center" vertical="center"/>
    </xf>
    <xf numFmtId="3" fontId="12" fillId="7" borderId="154" xfId="105" applyNumberFormat="1" applyFont="1" applyFill="1" applyBorder="1"/>
    <xf numFmtId="4" fontId="12" fillId="7" borderId="154" xfId="105" applyNumberFormat="1" applyFont="1" applyFill="1" applyBorder="1"/>
    <xf numFmtId="3" fontId="112" fillId="7" borderId="216" xfId="105" applyNumberFormat="1" applyFont="1" applyFill="1" applyBorder="1" applyAlignment="1">
      <alignment horizontal="center" vertical="center"/>
    </xf>
    <xf numFmtId="4" fontId="112" fillId="7" borderId="216" xfId="105" applyNumberFormat="1" applyFont="1" applyFill="1" applyBorder="1"/>
    <xf numFmtId="3" fontId="12" fillId="0" borderId="216" xfId="105" applyNumberFormat="1" applyFont="1" applyFill="1" applyBorder="1" applyAlignment="1">
      <alignment horizontal="center" vertical="center"/>
    </xf>
    <xf numFmtId="0" fontId="124" fillId="0" borderId="0" xfId="13" applyFont="1" applyFill="1" applyBorder="1" applyAlignment="1">
      <alignment horizontal="center" vertical="center" wrapText="1"/>
    </xf>
    <xf numFmtId="0" fontId="124" fillId="0" borderId="0" xfId="113" applyFont="1" applyFill="1" applyBorder="1" applyAlignment="1">
      <alignment horizontal="center" vertical="center" wrapText="1"/>
    </xf>
    <xf numFmtId="0" fontId="14" fillId="0" borderId="216" xfId="105" applyFont="1" applyFill="1" applyBorder="1"/>
    <xf numFmtId="3" fontId="12" fillId="7" borderId="216" xfId="105" applyNumberFormat="1" applyFont="1" applyFill="1" applyBorder="1" applyAlignment="1">
      <alignment horizontal="center"/>
    </xf>
    <xf numFmtId="4" fontId="12" fillId="7" borderId="189" xfId="105" applyNumberFormat="1" applyFont="1" applyFill="1" applyBorder="1"/>
    <xf numFmtId="202" fontId="12" fillId="7" borderId="216" xfId="105" applyNumberFormat="1" applyFont="1" applyFill="1" applyBorder="1" applyAlignment="1">
      <alignment horizontal="center"/>
    </xf>
    <xf numFmtId="3" fontId="12" fillId="7" borderId="154" xfId="105" applyNumberFormat="1" applyFont="1" applyFill="1" applyBorder="1" applyAlignment="1">
      <alignment horizontal="center"/>
    </xf>
    <xf numFmtId="3" fontId="12" fillId="7" borderId="216" xfId="105" applyNumberFormat="1" applyFont="1" applyFill="1" applyBorder="1" applyAlignment="1">
      <alignment horizontal="center" vertical="center"/>
    </xf>
    <xf numFmtId="0" fontId="112" fillId="0" borderId="0" xfId="105" applyFont="1" applyBorder="1" applyAlignment="1">
      <alignment horizontal="center"/>
    </xf>
    <xf numFmtId="3" fontId="112" fillId="0" borderId="0" xfId="105" applyNumberFormat="1" applyFont="1" applyBorder="1" applyAlignment="1">
      <alignment horizontal="center" vertical="center"/>
    </xf>
    <xf numFmtId="1" fontId="112" fillId="0" borderId="0" xfId="105" applyNumberFormat="1" applyFont="1" applyBorder="1" applyAlignment="1">
      <alignment horizontal="center"/>
    </xf>
    <xf numFmtId="0" fontId="112" fillId="0" borderId="0" xfId="105" applyFont="1" applyBorder="1" applyAlignment="1">
      <alignment horizontal="center" vertical="center"/>
    </xf>
    <xf numFmtId="1" fontId="112" fillId="0" borderId="0" xfId="105" applyNumberFormat="1" applyFont="1" applyBorder="1" applyAlignment="1">
      <alignment horizontal="center" vertical="center"/>
    </xf>
    <xf numFmtId="4" fontId="12" fillId="7" borderId="216" xfId="105" applyNumberFormat="1" applyFont="1" applyFill="1" applyBorder="1"/>
    <xf numFmtId="166" fontId="0" fillId="0" borderId="216" xfId="0" applyNumberFormat="1" applyBorder="1" applyAlignment="1">
      <alignment horizontal="center" vertical="center"/>
    </xf>
    <xf numFmtId="0" fontId="164" fillId="0" borderId="216" xfId="0" applyFont="1" applyBorder="1"/>
    <xf numFmtId="0" fontId="0" fillId="0" borderId="153" xfId="0" applyBorder="1"/>
    <xf numFmtId="0" fontId="0" fillId="0" borderId="166" xfId="0" applyBorder="1" applyAlignment="1">
      <alignment horizontal="center"/>
    </xf>
    <xf numFmtId="0" fontId="0" fillId="0" borderId="222" xfId="0" applyBorder="1" applyAlignment="1">
      <alignment horizontal="center"/>
    </xf>
    <xf numFmtId="166" fontId="0" fillId="0" borderId="166" xfId="0" applyNumberFormat="1" applyBorder="1" applyAlignment="1">
      <alignment horizontal="center" vertical="center"/>
    </xf>
    <xf numFmtId="166" fontId="0" fillId="0" borderId="222" xfId="0" applyNumberFormat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166" fontId="0" fillId="0" borderId="222" xfId="0" applyNumberFormat="1" applyBorder="1"/>
    <xf numFmtId="0" fontId="164" fillId="0" borderId="166" xfId="0" applyFont="1" applyBorder="1"/>
    <xf numFmtId="0" fontId="164" fillId="0" borderId="222" xfId="0" applyFont="1" applyBorder="1"/>
    <xf numFmtId="0" fontId="0" fillId="0" borderId="172" xfId="0" applyBorder="1"/>
    <xf numFmtId="0" fontId="0" fillId="0" borderId="234" xfId="0" applyBorder="1"/>
    <xf numFmtId="3" fontId="0" fillId="0" borderId="166" xfId="0" applyNumberFormat="1" applyBorder="1" applyAlignment="1">
      <alignment horizontal="center" vertical="center"/>
    </xf>
    <xf numFmtId="3" fontId="0" fillId="0" borderId="222" xfId="0" applyNumberFormat="1" applyBorder="1" applyAlignment="1">
      <alignment horizontal="center" vertical="center"/>
    </xf>
    <xf numFmtId="1" fontId="0" fillId="0" borderId="222" xfId="0" applyNumberFormat="1" applyBorder="1" applyAlignment="1">
      <alignment horizontal="center" vertical="center"/>
    </xf>
    <xf numFmtId="0" fontId="0" fillId="0" borderId="167" xfId="0" applyBorder="1"/>
    <xf numFmtId="0" fontId="0" fillId="0" borderId="177" xfId="0" applyBorder="1"/>
    <xf numFmtId="0" fontId="0" fillId="0" borderId="151" xfId="0" applyBorder="1"/>
    <xf numFmtId="0" fontId="0" fillId="0" borderId="221" xfId="0" applyBorder="1"/>
    <xf numFmtId="194" fontId="12" fillId="0" borderId="216" xfId="105" applyNumberFormat="1" applyFont="1" applyBorder="1"/>
    <xf numFmtId="177" fontId="0" fillId="0" borderId="154" xfId="0" applyNumberFormat="1" applyBorder="1"/>
    <xf numFmtId="4" fontId="168" fillId="7" borderId="154" xfId="105" applyNumberFormat="1" applyFont="1" applyFill="1" applyBorder="1"/>
    <xf numFmtId="177" fontId="174" fillId="7" borderId="154" xfId="0" applyNumberFormat="1" applyFont="1" applyFill="1" applyBorder="1"/>
    <xf numFmtId="0" fontId="172" fillId="0" borderId="154" xfId="0" applyFont="1" applyFill="1" applyBorder="1" applyAlignment="1">
      <alignment horizontal="center" vertical="center" wrapText="1"/>
    </xf>
    <xf numFmtId="3" fontId="168" fillId="7" borderId="154" xfId="105" applyNumberFormat="1" applyFont="1" applyFill="1" applyBorder="1" applyAlignment="1">
      <alignment horizontal="center" vertical="center"/>
    </xf>
    <xf numFmtId="177" fontId="0" fillId="0" borderId="154" xfId="0" applyNumberFormat="1" applyBorder="1" applyAlignment="1">
      <alignment horizontal="center" vertical="center"/>
    </xf>
    <xf numFmtId="177" fontId="174" fillId="7" borderId="154" xfId="0" applyNumberFormat="1" applyFont="1" applyFill="1" applyBorder="1" applyAlignment="1">
      <alignment horizontal="center" vertical="center"/>
    </xf>
    <xf numFmtId="165" fontId="174" fillId="7" borderId="154" xfId="0" applyNumberFormat="1" applyFont="1" applyFill="1" applyBorder="1" applyAlignment="1">
      <alignment horizontal="center" vertical="center"/>
    </xf>
    <xf numFmtId="3" fontId="12" fillId="34" borderId="154" xfId="105" applyNumberFormat="1" applyFont="1" applyFill="1" applyBorder="1"/>
    <xf numFmtId="4" fontId="12" fillId="7" borderId="124" xfId="105" applyNumberFormat="1" applyFont="1" applyFill="1" applyBorder="1"/>
    <xf numFmtId="3" fontId="12" fillId="0" borderId="154" xfId="0" applyNumberFormat="1" applyFont="1" applyBorder="1" applyAlignment="1">
      <alignment horizontal="center" vertical="center"/>
    </xf>
    <xf numFmtId="4" fontId="168" fillId="7" borderId="154" xfId="105" applyNumberFormat="1" applyFont="1" applyFill="1" applyBorder="1" applyAlignment="1">
      <alignment horizontal="center" vertical="center"/>
    </xf>
    <xf numFmtId="194" fontId="12" fillId="0" borderId="216" xfId="105" applyNumberFormat="1" applyFont="1" applyFill="1" applyBorder="1" applyAlignment="1">
      <alignment horizontal="center" vertical="center"/>
    </xf>
    <xf numFmtId="3" fontId="12" fillId="7" borderId="158" xfId="105" applyNumberFormat="1" applyFont="1" applyFill="1" applyBorder="1" applyAlignment="1">
      <alignment horizontal="center" vertical="center"/>
    </xf>
    <xf numFmtId="3" fontId="19" fillId="7" borderId="188" xfId="105" applyNumberFormat="1" applyFont="1" applyFill="1" applyBorder="1" applyAlignment="1">
      <alignment horizontal="center" vertical="center" wrapText="1"/>
    </xf>
    <xf numFmtId="3" fontId="19" fillId="7" borderId="189" xfId="105" applyNumberFormat="1" applyFont="1" applyFill="1" applyBorder="1" applyAlignment="1">
      <alignment horizontal="center" vertical="center" wrapText="1"/>
    </xf>
    <xf numFmtId="3" fontId="12" fillId="7" borderId="189" xfId="105" applyNumberFormat="1" applyFont="1" applyFill="1" applyBorder="1" applyAlignment="1">
      <alignment horizontal="center" vertical="center"/>
    </xf>
    <xf numFmtId="3" fontId="12" fillId="7" borderId="198" xfId="105" applyNumberFormat="1" applyFont="1" applyFill="1" applyBorder="1" applyAlignment="1">
      <alignment horizontal="center" vertical="center"/>
    </xf>
    <xf numFmtId="3" fontId="19" fillId="7" borderId="158" xfId="105" applyNumberFormat="1" applyFont="1" applyFill="1" applyBorder="1" applyAlignment="1">
      <alignment horizontal="center" vertical="center" wrapText="1"/>
    </xf>
    <xf numFmtId="3" fontId="19" fillId="7" borderId="154" xfId="105" applyNumberFormat="1" applyFont="1" applyFill="1" applyBorder="1" applyAlignment="1">
      <alignment horizontal="center" vertical="center" wrapText="1"/>
    </xf>
    <xf numFmtId="3" fontId="12" fillId="7" borderId="156" xfId="105" applyNumberFormat="1" applyFont="1" applyFill="1" applyBorder="1" applyAlignment="1">
      <alignment horizontal="center" vertical="center"/>
    </xf>
    <xf numFmtId="3" fontId="15" fillId="7" borderId="154" xfId="105" applyNumberFormat="1" applyFont="1" applyFill="1" applyBorder="1" applyAlignment="1">
      <alignment horizontal="center" vertical="center" wrapText="1"/>
    </xf>
    <xf numFmtId="3" fontId="12" fillId="7" borderId="158" xfId="105" applyNumberFormat="1" applyFont="1" applyFill="1" applyBorder="1" applyAlignment="1">
      <alignment horizontal="center" vertical="center" wrapText="1"/>
    </xf>
    <xf numFmtId="3" fontId="12" fillId="7" borderId="154" xfId="105" applyNumberFormat="1" applyFont="1" applyFill="1" applyBorder="1" applyAlignment="1">
      <alignment horizontal="center" vertical="center" wrapText="1"/>
    </xf>
    <xf numFmtId="3" fontId="172" fillId="7" borderId="189" xfId="105" applyNumberFormat="1" applyFont="1" applyFill="1" applyBorder="1" applyAlignment="1">
      <alignment horizontal="center" vertical="center" wrapText="1"/>
    </xf>
    <xf numFmtId="3" fontId="12" fillId="7" borderId="0" xfId="105" applyNumberFormat="1" applyFont="1" applyFill="1" applyAlignment="1">
      <alignment horizontal="center" vertical="center"/>
    </xf>
    <xf numFmtId="3" fontId="12" fillId="7" borderId="158" xfId="105" applyNumberFormat="1" applyFont="1" applyFill="1" applyBorder="1" applyAlignment="1">
      <alignment horizontal="center"/>
    </xf>
    <xf numFmtId="166" fontId="12" fillId="0" borderId="218" xfId="105" applyNumberFormat="1" applyFont="1" applyFill="1" applyBorder="1"/>
    <xf numFmtId="0" fontId="12" fillId="0" borderId="218" xfId="105" applyFont="1" applyBorder="1"/>
    <xf numFmtId="0" fontId="0" fillId="0" borderId="218" xfId="0" applyBorder="1"/>
    <xf numFmtId="3" fontId="14" fillId="7" borderId="218" xfId="105" applyNumberFormat="1" applyFont="1" applyFill="1" applyBorder="1"/>
    <xf numFmtId="3" fontId="24" fillId="7" borderId="218" xfId="0" applyNumberFormat="1" applyFont="1" applyFill="1" applyBorder="1"/>
    <xf numFmtId="0" fontId="12" fillId="0" borderId="167" xfId="105" applyFont="1" applyFill="1" applyBorder="1"/>
    <xf numFmtId="166" fontId="12" fillId="0" borderId="177" xfId="105" applyNumberFormat="1" applyFont="1" applyFill="1" applyBorder="1"/>
    <xf numFmtId="3" fontId="14" fillId="7" borderId="177" xfId="105" applyNumberFormat="1" applyFont="1" applyFill="1" applyBorder="1"/>
    <xf numFmtId="3" fontId="24" fillId="7" borderId="177" xfId="0" applyNumberFormat="1" applyFont="1" applyFill="1" applyBorder="1"/>
    <xf numFmtId="0" fontId="12" fillId="7" borderId="177" xfId="105" applyFont="1" applyFill="1" applyBorder="1"/>
    <xf numFmtId="3" fontId="0" fillId="0" borderId="177" xfId="0" applyNumberFormat="1" applyBorder="1" applyAlignment="1">
      <alignment horizontal="center" vertical="center"/>
    </xf>
    <xf numFmtId="0" fontId="0" fillId="7" borderId="177" xfId="0" applyFill="1" applyBorder="1"/>
    <xf numFmtId="0" fontId="20" fillId="0" borderId="177" xfId="0" applyFont="1" applyBorder="1"/>
    <xf numFmtId="177" fontId="12" fillId="6" borderId="154" xfId="95" applyNumberFormat="1" applyFont="1" applyFill="1" applyBorder="1" applyAlignment="1">
      <alignment horizontal="center" vertical="center" wrapText="1"/>
    </xf>
    <xf numFmtId="177" fontId="19" fillId="6" borderId="154" xfId="95" applyNumberFormat="1" applyFont="1" applyFill="1" applyBorder="1" applyAlignment="1">
      <alignment horizontal="center" vertical="center" wrapText="1"/>
    </xf>
    <xf numFmtId="177" fontId="14" fillId="0" borderId="154" xfId="95" applyNumberFormat="1" applyFont="1" applyBorder="1" applyAlignment="1">
      <alignment vertical="center"/>
    </xf>
    <xf numFmtId="3" fontId="168" fillId="7" borderId="154" xfId="95" applyNumberFormat="1" applyFont="1" applyFill="1" applyBorder="1" applyAlignment="1">
      <alignment horizontal="center" vertical="center" wrapText="1"/>
    </xf>
    <xf numFmtId="171" fontId="12" fillId="6" borderId="216" xfId="105" applyNumberFormat="1" applyFont="1" applyFill="1" applyBorder="1" applyAlignment="1">
      <alignment horizontal="center" vertical="center" wrapText="1"/>
    </xf>
    <xf numFmtId="0" fontId="12" fillId="6" borderId="189" xfId="105" applyFont="1" applyFill="1" applyBorder="1" applyAlignment="1">
      <alignment horizontal="center" vertical="center" wrapText="1"/>
    </xf>
    <xf numFmtId="0" fontId="19" fillId="0" borderId="223" xfId="95" applyFont="1" applyFill="1" applyBorder="1" applyAlignment="1">
      <alignment horizontal="center" vertical="center" wrapText="1"/>
    </xf>
    <xf numFmtId="171" fontId="134" fillId="0" borderId="216" xfId="105" applyNumberFormat="1" applyFont="1" applyFill="1" applyBorder="1" applyAlignment="1">
      <alignment horizontal="center" vertical="center" wrapText="1"/>
    </xf>
    <xf numFmtId="0" fontId="12" fillId="0" borderId="216" xfId="105" applyFont="1" applyBorder="1" applyAlignment="1">
      <alignment horizontal="center" vertical="center"/>
    </xf>
    <xf numFmtId="4" fontId="14" fillId="0" borderId="216" xfId="105" applyNumberFormat="1" applyFont="1" applyBorder="1" applyAlignment="1">
      <alignment horizontal="center" vertical="center"/>
    </xf>
    <xf numFmtId="0" fontId="12" fillId="7" borderId="189" xfId="105" applyFont="1" applyFill="1" applyBorder="1"/>
    <xf numFmtId="0" fontId="12" fillId="7" borderId="198" xfId="105" applyFont="1" applyFill="1" applyBorder="1"/>
    <xf numFmtId="0" fontId="12" fillId="7" borderId="223" xfId="105" applyFont="1" applyFill="1" applyBorder="1"/>
    <xf numFmtId="0" fontId="12" fillId="7" borderId="154" xfId="105" applyFont="1" applyFill="1" applyBorder="1" applyAlignment="1">
      <alignment vertical="center"/>
    </xf>
    <xf numFmtId="0" fontId="12" fillId="7" borderId="216" xfId="105" applyFont="1" applyFill="1" applyBorder="1" applyAlignment="1">
      <alignment vertical="center"/>
    </xf>
    <xf numFmtId="0" fontId="15" fillId="7" borderId="154" xfId="105" applyFont="1" applyFill="1" applyBorder="1" applyAlignment="1">
      <alignment vertical="top" wrapText="1"/>
    </xf>
    <xf numFmtId="0" fontId="15" fillId="7" borderId="216" xfId="105" applyFont="1" applyFill="1" applyBorder="1" applyAlignment="1">
      <alignment vertical="top" wrapText="1"/>
    </xf>
    <xf numFmtId="0" fontId="19" fillId="7" borderId="154" xfId="105" applyFont="1" applyFill="1" applyBorder="1" applyAlignment="1">
      <alignment vertical="center" wrapText="1"/>
    </xf>
    <xf numFmtId="0" fontId="12" fillId="7" borderId="154" xfId="105" applyFont="1" applyFill="1" applyBorder="1" applyAlignment="1"/>
    <xf numFmtId="0" fontId="12" fillId="7" borderId="216" xfId="105" applyFont="1" applyFill="1" applyBorder="1" applyAlignment="1"/>
    <xf numFmtId="0" fontId="15" fillId="7" borderId="154" xfId="105" applyFont="1" applyFill="1" applyBorder="1" applyAlignment="1">
      <alignment vertical="center" wrapText="1"/>
    </xf>
    <xf numFmtId="0" fontId="15" fillId="7" borderId="216" xfId="105" applyFont="1" applyFill="1" applyBorder="1" applyAlignment="1">
      <alignment vertical="center" wrapText="1"/>
    </xf>
    <xf numFmtId="0" fontId="12" fillId="7" borderId="218" xfId="105" applyFont="1" applyFill="1" applyBorder="1"/>
    <xf numFmtId="0" fontId="12" fillId="7" borderId="219" xfId="105" applyFont="1" applyFill="1" applyBorder="1"/>
    <xf numFmtId="0" fontId="12" fillId="7" borderId="224" xfId="105" applyFont="1" applyFill="1" applyBorder="1"/>
    <xf numFmtId="0" fontId="12" fillId="7" borderId="124" xfId="105" applyFont="1" applyFill="1" applyBorder="1"/>
    <xf numFmtId="0" fontId="12" fillId="7" borderId="132" xfId="105" applyFont="1" applyFill="1" applyBorder="1"/>
    <xf numFmtId="4" fontId="12" fillId="7" borderId="218" xfId="105" applyNumberFormat="1" applyFont="1" applyFill="1" applyBorder="1"/>
    <xf numFmtId="0" fontId="112" fillId="7" borderId="216" xfId="105" applyFont="1" applyFill="1" applyBorder="1"/>
    <xf numFmtId="0" fontId="12" fillId="0" borderId="187" xfId="105" applyFont="1" applyFill="1" applyBorder="1"/>
    <xf numFmtId="171" fontId="84" fillId="7" borderId="0" xfId="13" applyNumberFormat="1" applyFont="1" applyFill="1"/>
    <xf numFmtId="171" fontId="84" fillId="7" borderId="0" xfId="113" applyNumberFormat="1" applyFont="1" applyFill="1"/>
    <xf numFmtId="171" fontId="84" fillId="7" borderId="0" xfId="15" applyNumberFormat="1" applyFont="1" applyFill="1"/>
    <xf numFmtId="4" fontId="168" fillId="7" borderId="154" xfId="95" applyNumberFormat="1" applyFont="1" applyFill="1" applyBorder="1" applyAlignment="1">
      <alignment horizontal="center" vertical="center" wrapText="1"/>
    </xf>
    <xf numFmtId="0" fontId="12" fillId="0" borderId="0" xfId="105" applyFont="1" applyBorder="1" applyAlignment="1">
      <alignment horizontal="right" vertical="center" wrapText="1"/>
    </xf>
    <xf numFmtId="0" fontId="12" fillId="0" borderId="0" xfId="105" applyFont="1" applyAlignment="1">
      <alignment horizontal="left"/>
    </xf>
    <xf numFmtId="0" fontId="0" fillId="0" borderId="0" xfId="0" applyNumberFormat="1" applyAlignment="1">
      <alignment horizontal="left" vertical="top" wrapText="1"/>
    </xf>
    <xf numFmtId="2" fontId="12" fillId="0" borderId="216" xfId="105" applyNumberFormat="1" applyFont="1" applyFill="1" applyBorder="1"/>
    <xf numFmtId="4" fontId="152" fillId="3" borderId="216" xfId="95" applyNumberFormat="1" applyFont="1" applyFill="1" applyBorder="1" applyAlignment="1">
      <alignment horizontal="right" vertical="top" wrapText="1"/>
    </xf>
    <xf numFmtId="4" fontId="4" fillId="0" borderId="216" xfId="95" applyNumberFormat="1" applyBorder="1"/>
    <xf numFmtId="0" fontId="4" fillId="0" borderId="216" xfId="95" applyBorder="1" applyAlignment="1">
      <alignment horizontal="center" vertical="center"/>
    </xf>
    <xf numFmtId="0" fontId="20" fillId="2" borderId="216" xfId="0" applyNumberFormat="1" applyFont="1" applyFill="1" applyBorder="1" applyAlignment="1">
      <alignment horizontal="right" vertical="top" wrapText="1"/>
    </xf>
    <xf numFmtId="4" fontId="20" fillId="2" borderId="216" xfId="0" applyNumberFormat="1" applyFont="1" applyFill="1" applyBorder="1" applyAlignment="1">
      <alignment horizontal="right" vertical="top" wrapText="1"/>
    </xf>
    <xf numFmtId="0" fontId="20" fillId="2" borderId="216" xfId="0" applyNumberFormat="1" applyFont="1" applyFill="1" applyBorder="1" applyAlignment="1">
      <alignment horizontal="left" vertical="top" wrapText="1"/>
    </xf>
    <xf numFmtId="2" fontId="20" fillId="2" borderId="216" xfId="0" applyNumberFormat="1" applyFont="1" applyFill="1" applyBorder="1" applyAlignment="1">
      <alignment horizontal="right" vertical="top" wrapText="1"/>
    </xf>
    <xf numFmtId="0" fontId="24" fillId="2" borderId="216" xfId="0" applyNumberFormat="1" applyFont="1" applyFill="1" applyBorder="1" applyAlignment="1">
      <alignment horizontal="right" vertical="top" wrapText="1"/>
    </xf>
    <xf numFmtId="4" fontId="24" fillId="2" borderId="216" xfId="0" applyNumberFormat="1" applyFont="1" applyFill="1" applyBorder="1" applyAlignment="1">
      <alignment horizontal="right" vertical="top" wrapText="1"/>
    </xf>
    <xf numFmtId="0" fontId="108" fillId="2" borderId="216" xfId="0" applyNumberFormat="1" applyFont="1" applyFill="1" applyBorder="1" applyAlignment="1">
      <alignment horizontal="right" vertical="top" wrapText="1"/>
    </xf>
    <xf numFmtId="4" fontId="108" fillId="2" borderId="216" xfId="0" applyNumberFormat="1" applyFont="1" applyFill="1" applyBorder="1" applyAlignment="1">
      <alignment horizontal="right" vertical="top" wrapText="1"/>
    </xf>
    <xf numFmtId="0" fontId="24" fillId="2" borderId="216" xfId="0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4" fontId="20" fillId="0" borderId="216" xfId="0" applyNumberFormat="1" applyFont="1" applyBorder="1" applyAlignment="1">
      <alignment horizontal="right" vertical="center"/>
    </xf>
    <xf numFmtId="0" fontId="108" fillId="11" borderId="216" xfId="0" applyNumberFormat="1" applyFont="1" applyFill="1" applyBorder="1" applyAlignment="1">
      <alignment horizontal="right" vertical="top" wrapText="1"/>
    </xf>
    <xf numFmtId="4" fontId="108" fillId="11" borderId="216" xfId="0" applyNumberFormat="1" applyFont="1" applyFill="1" applyBorder="1" applyAlignment="1">
      <alignment horizontal="right" vertical="top" wrapText="1"/>
    </xf>
    <xf numFmtId="0" fontId="108" fillId="11" borderId="216" xfId="0" applyNumberFormat="1" applyFont="1" applyFill="1" applyBorder="1" applyAlignment="1">
      <alignment horizontal="left" vertical="top" wrapText="1"/>
    </xf>
    <xf numFmtId="2" fontId="108" fillId="11" borderId="216" xfId="0" applyNumberFormat="1" applyFont="1" applyFill="1" applyBorder="1" applyAlignment="1">
      <alignment horizontal="right" vertical="top" wrapText="1"/>
    </xf>
    <xf numFmtId="4" fontId="0" fillId="0" borderId="216" xfId="0" applyNumberFormat="1" applyBorder="1" applyAlignment="1">
      <alignment horizontal="right"/>
    </xf>
    <xf numFmtId="4" fontId="19" fillId="0" borderId="216" xfId="0" applyNumberFormat="1" applyFont="1" applyBorder="1" applyAlignment="1">
      <alignment horizontal="right" vertical="center"/>
    </xf>
    <xf numFmtId="4" fontId="154" fillId="0" borderId="216" xfId="0" applyNumberFormat="1" applyFont="1" applyBorder="1" applyAlignment="1">
      <alignment horizontal="right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horizontal="left"/>
    </xf>
    <xf numFmtId="177" fontId="12" fillId="0" borderId="0" xfId="105" applyNumberFormat="1" applyFont="1"/>
    <xf numFmtId="201" fontId="12" fillId="6" borderId="154" xfId="95" applyNumberFormat="1" applyFont="1" applyFill="1" applyBorder="1" applyAlignment="1">
      <alignment horizontal="center" vertical="center" wrapText="1"/>
    </xf>
    <xf numFmtId="3" fontId="12" fillId="0" borderId="0" xfId="105" applyNumberFormat="1" applyFont="1" applyFill="1" applyBorder="1"/>
    <xf numFmtId="203" fontId="12" fillId="0" borderId="0" xfId="105" applyNumberFormat="1" applyFont="1" applyFill="1" applyBorder="1"/>
    <xf numFmtId="0" fontId="12" fillId="0" borderId="216" xfId="0" applyFont="1" applyBorder="1" applyAlignment="1">
      <alignment horizontal="center" vertical="center"/>
    </xf>
    <xf numFmtId="0" fontId="19" fillId="0" borderId="194" xfId="105" applyFont="1" applyFill="1" applyBorder="1" applyAlignment="1">
      <alignment horizontal="center" vertical="center" wrapText="1"/>
    </xf>
    <xf numFmtId="0" fontId="19" fillId="27" borderId="164" xfId="105" applyFont="1" applyFill="1" applyBorder="1" applyAlignment="1">
      <alignment horizontal="center" vertical="center" wrapText="1"/>
    </xf>
    <xf numFmtId="0" fontId="12" fillId="0" borderId="154" xfId="105" applyFont="1" applyBorder="1" applyAlignment="1">
      <alignment horizontal="center"/>
    </xf>
    <xf numFmtId="0" fontId="12" fillId="0" borderId="154" xfId="105" applyFont="1" applyBorder="1" applyAlignment="1">
      <alignment horizontal="center" vertical="center"/>
    </xf>
    <xf numFmtId="0" fontId="12" fillId="0" borderId="156" xfId="105" applyFont="1" applyBorder="1" applyAlignment="1">
      <alignment horizontal="center"/>
    </xf>
    <xf numFmtId="0" fontId="19" fillId="0" borderId="216" xfId="0" applyFont="1" applyFill="1" applyBorder="1" applyAlignment="1">
      <alignment horizontal="center" vertical="center" wrapText="1"/>
    </xf>
    <xf numFmtId="0" fontId="19" fillId="27" borderId="200" xfId="105" applyFont="1" applyFill="1" applyBorder="1" applyAlignment="1">
      <alignment horizontal="center" vertical="center" wrapText="1"/>
    </xf>
    <xf numFmtId="0" fontId="12" fillId="0" borderId="2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16" xfId="0" applyFont="1" applyBorder="1" applyAlignment="1">
      <alignment horizontal="center"/>
    </xf>
    <xf numFmtId="0" fontId="12" fillId="0" borderId="223" xfId="0" applyFont="1" applyBorder="1" applyAlignment="1">
      <alignment horizontal="center"/>
    </xf>
    <xf numFmtId="0" fontId="108" fillId="6" borderId="216" xfId="0" applyFont="1" applyFill="1" applyBorder="1" applyAlignment="1">
      <alignment horizontal="center" vertical="center" wrapText="1"/>
    </xf>
    <xf numFmtId="0" fontId="108" fillId="6" borderId="223" xfId="0" applyFont="1" applyFill="1" applyBorder="1" applyAlignment="1">
      <alignment horizontal="center" vertical="center" wrapText="1"/>
    </xf>
    <xf numFmtId="171" fontId="112" fillId="0" borderId="223" xfId="0" applyNumberFormat="1" applyFont="1" applyBorder="1" applyAlignment="1">
      <alignment horizontal="center"/>
    </xf>
    <xf numFmtId="171" fontId="112" fillId="0" borderId="216" xfId="0" applyNumberFormat="1" applyFont="1" applyBorder="1"/>
    <xf numFmtId="2" fontId="112" fillId="0" borderId="216" xfId="0" applyNumberFormat="1" applyFont="1" applyBorder="1"/>
    <xf numFmtId="171" fontId="112" fillId="0" borderId="216" xfId="0" applyNumberFormat="1" applyFont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9" fillId="0" borderId="196" xfId="0" applyFont="1" applyFill="1" applyBorder="1" applyAlignment="1">
      <alignment horizontal="center" vertical="center" wrapText="1"/>
    </xf>
    <xf numFmtId="0" fontId="19" fillId="0" borderId="218" xfId="0" applyFont="1" applyFill="1" applyBorder="1" applyAlignment="1">
      <alignment horizontal="center" vertical="center" wrapText="1"/>
    </xf>
    <xf numFmtId="0" fontId="19" fillId="0" borderId="219" xfId="0" applyFont="1" applyFill="1" applyBorder="1" applyAlignment="1">
      <alignment horizontal="center" vertical="center" wrapText="1"/>
    </xf>
    <xf numFmtId="175" fontId="12" fillId="0" borderId="216" xfId="0" applyNumberFormat="1" applyFont="1" applyBorder="1"/>
    <xf numFmtId="177" fontId="19" fillId="7" borderId="216" xfId="0" applyNumberFormat="1" applyFont="1" applyFill="1" applyBorder="1" applyAlignment="1"/>
    <xf numFmtId="0" fontId="19" fillId="27" borderId="200" xfId="0" applyFont="1" applyFill="1" applyBorder="1" applyAlignment="1">
      <alignment horizontal="center" vertical="center" wrapText="1"/>
    </xf>
    <xf numFmtId="0" fontId="12" fillId="0" borderId="235" xfId="0" applyFont="1" applyFill="1" applyBorder="1" applyAlignment="1">
      <alignment horizontal="center" vertical="center" wrapText="1"/>
    </xf>
    <xf numFmtId="0" fontId="12" fillId="0" borderId="236" xfId="0" applyFont="1" applyFill="1" applyBorder="1" applyAlignment="1">
      <alignment horizontal="center" vertical="center" wrapText="1"/>
    </xf>
    <xf numFmtId="0" fontId="19" fillId="0" borderId="236" xfId="0" applyFont="1" applyFill="1" applyBorder="1" applyAlignment="1">
      <alignment horizontal="center" vertical="center" wrapText="1"/>
    </xf>
    <xf numFmtId="0" fontId="19" fillId="0" borderId="237" xfId="0" applyFont="1" applyFill="1" applyBorder="1" applyAlignment="1">
      <alignment horizontal="center" vertical="center" wrapText="1"/>
    </xf>
    <xf numFmtId="0" fontId="12" fillId="0" borderId="238" xfId="0" applyFont="1" applyFill="1" applyBorder="1" applyAlignment="1">
      <alignment horizontal="center" vertical="center" wrapText="1"/>
    </xf>
    <xf numFmtId="0" fontId="12" fillId="0" borderId="239" xfId="0" applyFont="1" applyFill="1" applyBorder="1" applyAlignment="1">
      <alignment horizontal="center" vertical="center" wrapText="1"/>
    </xf>
    <xf numFmtId="0" fontId="12" fillId="0" borderId="217" xfId="0" applyFont="1" applyBorder="1" applyAlignment="1">
      <alignment wrapText="1"/>
    </xf>
    <xf numFmtId="0" fontId="12" fillId="27" borderId="216" xfId="0" applyFont="1" applyFill="1" applyBorder="1" applyAlignment="1">
      <alignment horizontal="center" vertical="center"/>
    </xf>
    <xf numFmtId="0" fontId="12" fillId="0" borderId="216" xfId="0" applyFont="1" applyFill="1" applyBorder="1" applyAlignment="1">
      <alignment horizontal="center" vertical="center" wrapText="1"/>
    </xf>
    <xf numFmtId="171" fontId="19" fillId="7" borderId="216" xfId="0" applyNumberFormat="1" applyFont="1" applyFill="1" applyBorder="1" applyAlignment="1"/>
    <xf numFmtId="171" fontId="12" fillId="0" borderId="216" xfId="0" applyNumberFormat="1" applyFont="1" applyBorder="1"/>
    <xf numFmtId="171" fontId="168" fillId="7" borderId="216" xfId="0" applyNumberFormat="1" applyFont="1" applyFill="1" applyBorder="1"/>
    <xf numFmtId="171" fontId="19" fillId="11" borderId="216" xfId="0" applyNumberFormat="1" applyFont="1" applyFill="1" applyBorder="1" applyAlignment="1"/>
    <xf numFmtId="0" fontId="20" fillId="0" borderId="216" xfId="0" applyFont="1" applyBorder="1" applyAlignment="1">
      <alignment horizontal="center"/>
    </xf>
    <xf numFmtId="177" fontId="20" fillId="0" borderId="216" xfId="0" applyNumberFormat="1" applyFont="1" applyBorder="1"/>
    <xf numFmtId="171" fontId="20" fillId="0" borderId="216" xfId="0" applyNumberFormat="1" applyFont="1" applyBorder="1"/>
    <xf numFmtId="0" fontId="12" fillId="27" borderId="216" xfId="105" applyFont="1" applyFill="1" applyBorder="1" applyAlignment="1">
      <alignment horizontal="center" vertical="center"/>
    </xf>
    <xf numFmtId="0" fontId="12" fillId="0" borderId="216" xfId="105" applyFont="1" applyFill="1" applyBorder="1" applyAlignment="1">
      <alignment horizontal="center" vertical="center" wrapText="1"/>
    </xf>
    <xf numFmtId="0" fontId="12" fillId="0" borderId="156" xfId="105" applyFont="1" applyBorder="1" applyAlignment="1">
      <alignment horizontal="center" vertical="center"/>
    </xf>
    <xf numFmtId="177" fontId="0" fillId="38" borderId="154" xfId="0" applyNumberFormat="1" applyFill="1" applyBorder="1" applyAlignment="1">
      <alignment horizontal="center" vertical="center"/>
    </xf>
    <xf numFmtId="3" fontId="12" fillId="38" borderId="154" xfId="105" applyNumberFormat="1" applyFont="1" applyFill="1" applyBorder="1" applyAlignment="1">
      <alignment horizontal="center" vertical="center" wrapText="1"/>
    </xf>
    <xf numFmtId="171" fontId="19" fillId="38" borderId="216" xfId="0" applyNumberFormat="1" applyFont="1" applyFill="1" applyBorder="1" applyAlignment="1"/>
    <xf numFmtId="171" fontId="20" fillId="38" borderId="216" xfId="0" applyNumberFormat="1" applyFont="1" applyFill="1" applyBorder="1"/>
    <xf numFmtId="0" fontId="172" fillId="0" borderId="216" xfId="0" applyFont="1" applyFill="1" applyBorder="1" applyAlignment="1">
      <alignment horizontal="center" vertical="center" wrapText="1"/>
    </xf>
    <xf numFmtId="0" fontId="176" fillId="0" borderId="4" xfId="0" applyFont="1" applyFill="1" applyBorder="1" applyAlignment="1">
      <alignment horizontal="center" vertical="center" wrapText="1"/>
    </xf>
    <xf numFmtId="0" fontId="176" fillId="0" borderId="216" xfId="0" applyFont="1" applyFill="1" applyBorder="1" applyAlignment="1">
      <alignment horizontal="center" vertical="center" wrapText="1"/>
    </xf>
    <xf numFmtId="2" fontId="12" fillId="0" borderId="216" xfId="105" applyNumberFormat="1" applyFont="1" applyBorder="1"/>
    <xf numFmtId="2" fontId="0" fillId="0" borderId="216" xfId="0" applyNumberFormat="1" applyBorder="1"/>
    <xf numFmtId="0" fontId="168" fillId="0" borderId="216" xfId="0" applyFont="1" applyFill="1" applyBorder="1" applyAlignment="1">
      <alignment horizontal="center" vertical="center" wrapText="1"/>
    </xf>
    <xf numFmtId="0" fontId="168" fillId="0" borderId="216" xfId="0" applyFont="1" applyBorder="1" applyAlignment="1">
      <alignment horizontal="center" vertical="center"/>
    </xf>
    <xf numFmtId="0" fontId="21" fillId="0" borderId="0" xfId="105" applyFont="1" applyFill="1" applyBorder="1" applyAlignment="1"/>
    <xf numFmtId="4" fontId="12" fillId="7" borderId="158" xfId="105" applyNumberFormat="1" applyFont="1" applyFill="1" applyBorder="1" applyAlignment="1">
      <alignment horizontal="center"/>
    </xf>
    <xf numFmtId="4" fontId="12" fillId="0" borderId="0" xfId="105" applyNumberFormat="1" applyFont="1" applyFill="1"/>
    <xf numFmtId="0" fontId="19" fillId="0" borderId="217" xfId="0" applyFont="1" applyFill="1" applyBorder="1" applyAlignment="1">
      <alignment horizontal="center" vertical="center" wrapText="1"/>
    </xf>
    <xf numFmtId="0" fontId="12" fillId="0" borderId="217" xfId="105" applyFont="1" applyBorder="1"/>
    <xf numFmtId="4" fontId="12" fillId="7" borderId="217" xfId="105" applyNumberFormat="1" applyFont="1" applyFill="1" applyBorder="1" applyAlignment="1">
      <alignment horizontal="center" vertical="center"/>
    </xf>
    <xf numFmtId="0" fontId="12" fillId="0" borderId="188" xfId="105" applyFont="1" applyFill="1" applyBorder="1"/>
    <xf numFmtId="0" fontId="12" fillId="0" borderId="188" xfId="105" applyFont="1" applyBorder="1"/>
    <xf numFmtId="2" fontId="12" fillId="0" borderId="216" xfId="105" applyNumberFormat="1" applyFont="1" applyFill="1" applyBorder="1" applyAlignment="1">
      <alignment horizontal="center" vertical="center"/>
    </xf>
    <xf numFmtId="49" fontId="12" fillId="0" borderId="216" xfId="105" applyNumberFormat="1" applyFont="1" applyFill="1" applyBorder="1"/>
    <xf numFmtId="173" fontId="55" fillId="17" borderId="33" xfId="63" applyNumberFormat="1" applyFont="1" applyFill="1" applyBorder="1" applyAlignment="1">
      <alignment horizontal="center" vertical="center" wrapText="1"/>
    </xf>
    <xf numFmtId="171" fontId="172" fillId="2" borderId="216" xfId="0" applyNumberFormat="1" applyFont="1" applyFill="1" applyBorder="1"/>
    <xf numFmtId="2" fontId="177" fillId="0" borderId="216" xfId="105" applyNumberFormat="1" applyFont="1" applyFill="1" applyBorder="1"/>
    <xf numFmtId="171" fontId="20" fillId="38" borderId="32" xfId="15" applyNumberFormat="1" applyFont="1" applyFill="1" applyBorder="1" applyAlignment="1">
      <alignment horizontal="center" vertical="center"/>
    </xf>
    <xf numFmtId="171" fontId="43" fillId="38" borderId="32" xfId="15" applyNumberFormat="1" applyFont="1" applyFill="1" applyBorder="1" applyAlignment="1">
      <alignment horizontal="center" vertical="center" wrapText="1"/>
    </xf>
    <xf numFmtId="193" fontId="8" fillId="7" borderId="117" xfId="95" applyNumberFormat="1" applyFont="1" applyFill="1" applyBorder="1" applyAlignment="1">
      <alignment vertical="center" wrapText="1"/>
    </xf>
    <xf numFmtId="165" fontId="168" fillId="7" borderId="0" xfId="95" applyNumberFormat="1" applyFont="1" applyFill="1" applyBorder="1" applyAlignment="1">
      <alignment horizontal="center" vertical="center" wrapText="1"/>
    </xf>
    <xf numFmtId="0" fontId="12" fillId="27" borderId="0" xfId="105" applyFont="1" applyFill="1" applyBorder="1" applyAlignment="1">
      <alignment horizontal="center" vertical="center" wrapText="1"/>
    </xf>
    <xf numFmtId="4" fontId="168" fillId="7" borderId="0" xfId="95" applyNumberFormat="1" applyFont="1" applyFill="1" applyBorder="1" applyAlignment="1">
      <alignment horizontal="center" vertical="center" wrapText="1"/>
    </xf>
    <xf numFmtId="4" fontId="168" fillId="7" borderId="216" xfId="95" applyNumberFormat="1" applyFont="1" applyFill="1" applyBorder="1" applyAlignment="1">
      <alignment horizontal="center" vertical="center" wrapText="1"/>
    </xf>
    <xf numFmtId="3" fontId="179" fillId="0" borderId="216" xfId="105" applyNumberFormat="1" applyFont="1" applyBorder="1" applyAlignment="1">
      <alignment horizontal="center" vertical="center"/>
    </xf>
    <xf numFmtId="9" fontId="168" fillId="7" borderId="216" xfId="199" applyFont="1" applyFill="1" applyBorder="1" applyAlignment="1">
      <alignment horizontal="center" vertical="center" wrapText="1"/>
    </xf>
    <xf numFmtId="9" fontId="179" fillId="0" borderId="216" xfId="199" applyFont="1" applyBorder="1" applyAlignment="1">
      <alignment horizontal="center" vertical="center"/>
    </xf>
    <xf numFmtId="4" fontId="54" fillId="0" borderId="0" xfId="105" applyNumberFormat="1" applyAlignment="1">
      <alignment vertical="center"/>
    </xf>
    <xf numFmtId="171" fontId="54" fillId="0" borderId="0" xfId="105" applyNumberFormat="1"/>
    <xf numFmtId="186" fontId="14" fillId="11" borderId="216" xfId="105" applyNumberFormat="1" applyFont="1" applyFill="1" applyBorder="1" applyAlignment="1">
      <alignment horizontal="center" vertical="center"/>
    </xf>
    <xf numFmtId="0" fontId="12" fillId="0" borderId="166" xfId="105" applyFont="1" applyFill="1" applyBorder="1" applyAlignment="1">
      <alignment horizontal="center" vertical="center" wrapText="1"/>
    </xf>
    <xf numFmtId="0" fontId="12" fillId="0" borderId="154" xfId="105" applyFont="1" applyFill="1" applyBorder="1" applyAlignment="1">
      <alignment horizontal="center" vertical="center" wrapText="1"/>
    </xf>
    <xf numFmtId="0" fontId="12" fillId="0" borderId="167" xfId="105" applyFont="1" applyFill="1" applyBorder="1" applyAlignment="1">
      <alignment horizontal="center" vertical="center" wrapText="1"/>
    </xf>
    <xf numFmtId="0" fontId="19" fillId="0" borderId="177" xfId="105" applyFont="1" applyFill="1" applyBorder="1" applyAlignment="1">
      <alignment horizontal="center" vertical="center" wrapText="1"/>
    </xf>
    <xf numFmtId="0" fontId="165" fillId="0" borderId="0" xfId="105" applyFont="1" applyFill="1" applyBorder="1" applyAlignment="1">
      <alignment horizontal="center" vertical="center"/>
    </xf>
    <xf numFmtId="0" fontId="19" fillId="0" borderId="154" xfId="105" applyFont="1" applyFill="1" applyBorder="1" applyAlignment="1">
      <alignment horizontal="center" vertical="center" wrapText="1"/>
    </xf>
    <xf numFmtId="0" fontId="12" fillId="0" borderId="165" xfId="105" applyFont="1" applyFill="1" applyBorder="1" applyAlignment="1">
      <alignment horizontal="center" vertical="center" wrapText="1"/>
    </xf>
    <xf numFmtId="0" fontId="19" fillId="0" borderId="51" xfId="105" applyFont="1" applyFill="1" applyBorder="1" applyAlignment="1">
      <alignment horizontal="center" vertical="center" wrapText="1"/>
    </xf>
    <xf numFmtId="0" fontId="19" fillId="0" borderId="160" xfId="105" applyFont="1" applyFill="1" applyBorder="1" applyAlignment="1">
      <alignment horizontal="center" vertical="center" wrapText="1"/>
    </xf>
    <xf numFmtId="0" fontId="19" fillId="0" borderId="194" xfId="105" applyFont="1" applyFill="1" applyBorder="1" applyAlignment="1">
      <alignment horizontal="center" vertical="center" wrapText="1"/>
    </xf>
    <xf numFmtId="0" fontId="19" fillId="0" borderId="125" xfId="105" applyFont="1" applyFill="1" applyBorder="1" applyAlignment="1">
      <alignment horizontal="center" vertical="center" wrapText="1"/>
    </xf>
    <xf numFmtId="0" fontId="155" fillId="0" borderId="0" xfId="105" applyFont="1" applyFill="1" applyBorder="1" applyAlignment="1">
      <alignment horizontal="center" vertical="center" wrapText="1"/>
    </xf>
    <xf numFmtId="0" fontId="12" fillId="0" borderId="173" xfId="105" applyFont="1" applyFill="1" applyBorder="1" applyAlignment="1">
      <alignment horizontal="center" vertical="center" wrapText="1"/>
    </xf>
    <xf numFmtId="0" fontId="12" fillId="0" borderId="175" xfId="105" applyFont="1" applyFill="1" applyBorder="1" applyAlignment="1">
      <alignment horizontal="center" vertical="center" wrapText="1"/>
    </xf>
    <xf numFmtId="0" fontId="12" fillId="0" borderId="157" xfId="105" applyFont="1" applyFill="1" applyBorder="1" applyAlignment="1">
      <alignment horizontal="center" vertical="center" wrapText="1"/>
    </xf>
    <xf numFmtId="0" fontId="12" fillId="0" borderId="184" xfId="105" applyFont="1" applyFill="1" applyBorder="1" applyAlignment="1">
      <alignment horizontal="center" vertical="center" wrapText="1"/>
    </xf>
    <xf numFmtId="0" fontId="12" fillId="0" borderId="216" xfId="105" applyFont="1" applyFill="1" applyBorder="1" applyAlignment="1">
      <alignment horizontal="center" vertical="center"/>
    </xf>
    <xf numFmtId="0" fontId="12" fillId="0" borderId="216" xfId="105" applyFont="1" applyFill="1" applyBorder="1" applyAlignment="1">
      <alignment horizontal="center" vertical="center" wrapText="1"/>
    </xf>
    <xf numFmtId="0" fontId="19" fillId="0" borderId="216" xfId="105" applyFont="1" applyFill="1" applyBorder="1" applyAlignment="1">
      <alignment horizontal="center" vertical="center" wrapText="1"/>
    </xf>
    <xf numFmtId="0" fontId="172" fillId="0" borderId="216" xfId="105" applyFont="1" applyFill="1" applyBorder="1" applyAlignment="1">
      <alignment horizontal="center" vertical="center" wrapText="1"/>
    </xf>
    <xf numFmtId="0" fontId="19" fillId="0" borderId="196" xfId="105" applyFont="1" applyFill="1" applyBorder="1" applyAlignment="1">
      <alignment horizontal="center" vertical="center" wrapText="1"/>
    </xf>
    <xf numFmtId="4" fontId="12" fillId="34" borderId="154" xfId="198" applyNumberFormat="1" applyFont="1" applyFill="1" applyBorder="1" applyAlignment="1">
      <alignment horizontal="center"/>
    </xf>
    <xf numFmtId="4" fontId="12" fillId="0" borderId="154" xfId="198" applyNumberFormat="1" applyFont="1" applyBorder="1" applyAlignment="1">
      <alignment horizontal="center"/>
    </xf>
    <xf numFmtId="4" fontId="168" fillId="11" borderId="154" xfId="198" applyNumberFormat="1" applyFont="1" applyFill="1" applyBorder="1" applyAlignment="1">
      <alignment horizontal="center"/>
    </xf>
    <xf numFmtId="0" fontId="12" fillId="2" borderId="156" xfId="198" applyFont="1" applyFill="1" applyBorder="1" applyAlignment="1">
      <alignment horizontal="center" vertical="center" wrapText="1"/>
    </xf>
    <xf numFmtId="0" fontId="12" fillId="2" borderId="157" xfId="198" applyFont="1" applyFill="1" applyBorder="1" applyAlignment="1">
      <alignment horizontal="center" vertical="center" wrapText="1"/>
    </xf>
    <xf numFmtId="0" fontId="12" fillId="2" borderId="158" xfId="198" applyFont="1" applyFill="1" applyBorder="1" applyAlignment="1">
      <alignment horizontal="center" vertical="center" wrapText="1"/>
    </xf>
    <xf numFmtId="0" fontId="12" fillId="2" borderId="154" xfId="198" applyFont="1" applyFill="1" applyBorder="1" applyAlignment="1">
      <alignment horizontal="center" vertical="center" wrapText="1"/>
    </xf>
    <xf numFmtId="0" fontId="19" fillId="0" borderId="125" xfId="105" applyFont="1" applyFill="1" applyBorder="1" applyAlignment="1">
      <alignment horizontal="center" vertical="center" wrapText="1"/>
    </xf>
    <xf numFmtId="0" fontId="19" fillId="0" borderId="169" xfId="105" applyFont="1" applyFill="1" applyBorder="1" applyAlignment="1">
      <alignment horizontal="center" vertical="center" wrapText="1"/>
    </xf>
    <xf numFmtId="0" fontId="12" fillId="0" borderId="0" xfId="105" applyFont="1" applyAlignment="1">
      <alignment horizontal="left" wrapText="1"/>
    </xf>
    <xf numFmtId="0" fontId="12" fillId="0" borderId="0" xfId="105" applyFont="1" applyBorder="1" applyAlignment="1">
      <alignment horizontal="right" vertical="center" wrapText="1"/>
    </xf>
    <xf numFmtId="0" fontId="155" fillId="0" borderId="0" xfId="105" applyFont="1" applyFill="1" applyBorder="1" applyAlignment="1">
      <alignment horizontal="center" vertical="center" wrapText="1"/>
    </xf>
    <xf numFmtId="0" fontId="165" fillId="0" borderId="151" xfId="105" applyFont="1" applyFill="1" applyBorder="1" applyAlignment="1">
      <alignment horizontal="center" vertical="center"/>
    </xf>
    <xf numFmtId="0" fontId="165" fillId="0" borderId="0" xfId="105" applyFont="1" applyFill="1" applyBorder="1" applyAlignment="1">
      <alignment horizontal="center" vertical="center"/>
    </xf>
    <xf numFmtId="0" fontId="12" fillId="0" borderId="152" xfId="105" applyFont="1" applyBorder="1" applyAlignment="1">
      <alignment horizontal="center"/>
    </xf>
    <xf numFmtId="0" fontId="12" fillId="0" borderId="153" xfId="105" applyFont="1" applyBorder="1" applyAlignment="1">
      <alignment horizontal="center"/>
    </xf>
    <xf numFmtId="0" fontId="12" fillId="0" borderId="170" xfId="105" applyFont="1" applyBorder="1" applyAlignment="1">
      <alignment horizontal="center"/>
    </xf>
    <xf numFmtId="0" fontId="170" fillId="6" borderId="191" xfId="105" applyFont="1" applyFill="1" applyBorder="1" applyAlignment="1">
      <alignment horizontal="center" vertical="top" wrapText="1"/>
    </xf>
    <xf numFmtId="0" fontId="170" fillId="6" borderId="192" xfId="105" applyFont="1" applyFill="1" applyBorder="1" applyAlignment="1">
      <alignment horizontal="center" vertical="top" wrapText="1"/>
    </xf>
    <xf numFmtId="0" fontId="19" fillId="0" borderId="160" xfId="105" applyFont="1" applyFill="1" applyBorder="1" applyAlignment="1">
      <alignment horizontal="center" vertical="center" wrapText="1"/>
    </xf>
    <xf numFmtId="0" fontId="19" fillId="0" borderId="168" xfId="105" applyFont="1" applyFill="1" applyBorder="1" applyAlignment="1">
      <alignment horizontal="center" vertical="center" wrapText="1"/>
    </xf>
    <xf numFmtId="0" fontId="172" fillId="0" borderId="156" xfId="105" applyFont="1" applyFill="1" applyBorder="1" applyAlignment="1">
      <alignment horizontal="center" vertical="center" wrapText="1"/>
    </xf>
    <xf numFmtId="0" fontId="172" fillId="0" borderId="157" xfId="105" applyFont="1" applyFill="1" applyBorder="1" applyAlignment="1">
      <alignment horizontal="center" vertical="center" wrapText="1"/>
    </xf>
    <xf numFmtId="0" fontId="172" fillId="0" borderId="158" xfId="105" applyFont="1" applyFill="1" applyBorder="1" applyAlignment="1">
      <alignment horizontal="center" vertical="center" wrapText="1"/>
    </xf>
    <xf numFmtId="0" fontId="12" fillId="0" borderId="155" xfId="105" applyFont="1" applyBorder="1" applyAlignment="1">
      <alignment horizontal="center" vertical="center"/>
    </xf>
    <xf numFmtId="0" fontId="12" fillId="0" borderId="159" xfId="105" applyFont="1" applyBorder="1" applyAlignment="1">
      <alignment horizontal="center" vertical="center"/>
    </xf>
    <xf numFmtId="0" fontId="19" fillId="0" borderId="51" xfId="105" applyFont="1" applyFill="1" applyBorder="1" applyAlignment="1">
      <alignment horizontal="center" vertical="center" wrapText="1"/>
    </xf>
    <xf numFmtId="0" fontId="12" fillId="0" borderId="124" xfId="105" applyFont="1" applyFill="1" applyBorder="1" applyAlignment="1">
      <alignment horizontal="center" vertical="center" wrapText="1"/>
    </xf>
    <xf numFmtId="0" fontId="12" fillId="0" borderId="194" xfId="105" applyFont="1" applyFill="1" applyBorder="1" applyAlignment="1">
      <alignment horizontal="center" vertical="center" wrapText="1"/>
    </xf>
    <xf numFmtId="0" fontId="19" fillId="0" borderId="124" xfId="105" applyFont="1" applyFill="1" applyBorder="1" applyAlignment="1">
      <alignment horizontal="center" vertical="center" wrapText="1"/>
    </xf>
    <xf numFmtId="0" fontId="19" fillId="0" borderId="194" xfId="105" applyFont="1" applyFill="1" applyBorder="1" applyAlignment="1">
      <alignment horizontal="center" vertical="center" wrapText="1"/>
    </xf>
    <xf numFmtId="0" fontId="12" fillId="27" borderId="163" xfId="105" applyFont="1" applyFill="1" applyBorder="1" applyAlignment="1">
      <alignment horizontal="center" vertical="center"/>
    </xf>
    <xf numFmtId="0" fontId="12" fillId="27" borderId="164" xfId="105" applyFont="1" applyFill="1" applyBorder="1" applyAlignment="1">
      <alignment horizontal="center" vertical="center"/>
    </xf>
    <xf numFmtId="0" fontId="12" fillId="27" borderId="183" xfId="105" applyFont="1" applyFill="1" applyBorder="1" applyAlignment="1">
      <alignment horizontal="center" vertical="center"/>
    </xf>
    <xf numFmtId="0" fontId="19" fillId="27" borderId="163" xfId="105" applyFont="1" applyFill="1" applyBorder="1" applyAlignment="1">
      <alignment horizontal="center" vertical="center" wrapText="1"/>
    </xf>
    <xf numFmtId="0" fontId="19" fillId="27" borderId="164" xfId="105" applyFont="1" applyFill="1" applyBorder="1" applyAlignment="1">
      <alignment horizontal="center" vertical="center" wrapText="1"/>
    </xf>
    <xf numFmtId="0" fontId="19" fillId="27" borderId="171" xfId="105" applyFont="1" applyFill="1" applyBorder="1" applyAlignment="1">
      <alignment horizontal="center" vertical="center" wrapText="1"/>
    </xf>
    <xf numFmtId="0" fontId="19" fillId="27" borderId="182" xfId="105" applyFont="1" applyFill="1" applyBorder="1" applyAlignment="1">
      <alignment horizontal="center" vertical="center" wrapText="1"/>
    </xf>
    <xf numFmtId="0" fontId="19" fillId="27" borderId="183" xfId="105" applyFont="1" applyFill="1" applyBorder="1" applyAlignment="1">
      <alignment horizontal="center" vertical="center" wrapText="1"/>
    </xf>
    <xf numFmtId="0" fontId="12" fillId="0" borderId="154" xfId="105" applyFont="1" applyBorder="1" applyAlignment="1">
      <alignment horizontal="center"/>
    </xf>
    <xf numFmtId="0" fontId="12" fillId="0" borderId="167" xfId="105" applyFont="1" applyFill="1" applyBorder="1" applyAlignment="1">
      <alignment horizontal="center" vertical="center" wrapText="1"/>
    </xf>
    <xf numFmtId="0" fontId="12" fillId="0" borderId="162" xfId="105" applyFont="1" applyFill="1" applyBorder="1" applyAlignment="1">
      <alignment horizontal="center" vertical="center" wrapText="1"/>
    </xf>
    <xf numFmtId="0" fontId="12" fillId="0" borderId="171" xfId="105" applyFont="1" applyFill="1" applyBorder="1" applyAlignment="1">
      <alignment horizontal="center" vertical="center" wrapText="1"/>
    </xf>
    <xf numFmtId="0" fontId="12" fillId="0" borderId="177" xfId="105" applyFont="1" applyFill="1" applyBorder="1" applyAlignment="1">
      <alignment horizontal="center" vertical="center"/>
    </xf>
    <xf numFmtId="0" fontId="12" fillId="0" borderId="180" xfId="105" applyFont="1" applyFill="1" applyBorder="1" applyAlignment="1">
      <alignment horizontal="center" vertical="center"/>
    </xf>
    <xf numFmtId="0" fontId="12" fillId="0" borderId="154" xfId="105" applyFont="1" applyFill="1" applyBorder="1" applyAlignment="1">
      <alignment horizontal="center" vertical="center" wrapText="1"/>
    </xf>
    <xf numFmtId="0" fontId="19" fillId="0" borderId="154" xfId="105" applyFont="1" applyFill="1" applyBorder="1" applyAlignment="1">
      <alignment horizontal="center" vertical="center" wrapText="1"/>
    </xf>
    <xf numFmtId="0" fontId="12" fillId="0" borderId="177" xfId="105" applyFont="1" applyFill="1" applyBorder="1" applyAlignment="1">
      <alignment horizontal="center" vertical="center" wrapText="1"/>
    </xf>
    <xf numFmtId="0" fontId="19" fillId="0" borderId="177" xfId="105" applyFont="1" applyFill="1" applyBorder="1" applyAlignment="1">
      <alignment horizontal="center" vertical="center" wrapText="1"/>
    </xf>
    <xf numFmtId="0" fontId="12" fillId="0" borderId="165" xfId="105" applyFont="1" applyFill="1" applyBorder="1" applyAlignment="1">
      <alignment horizontal="center" vertical="center" wrapText="1"/>
    </xf>
    <xf numFmtId="0" fontId="12" fillId="0" borderId="166" xfId="105" applyFont="1" applyFill="1" applyBorder="1" applyAlignment="1">
      <alignment horizontal="center" vertical="center" wrapText="1"/>
    </xf>
    <xf numFmtId="0" fontId="12" fillId="0" borderId="189" xfId="105" applyFont="1" applyFill="1" applyBorder="1" applyAlignment="1">
      <alignment horizontal="center" vertical="center"/>
    </xf>
    <xf numFmtId="0" fontId="12" fillId="0" borderId="154" xfId="105" applyFont="1" applyFill="1" applyBorder="1" applyAlignment="1">
      <alignment horizontal="center" vertical="center"/>
    </xf>
    <xf numFmtId="0" fontId="12" fillId="0" borderId="189" xfId="105" applyFont="1" applyFill="1" applyBorder="1" applyAlignment="1">
      <alignment horizontal="center" vertical="center" wrapText="1"/>
    </xf>
    <xf numFmtId="0" fontId="19" fillId="0" borderId="189" xfId="105" applyFont="1" applyFill="1" applyBorder="1" applyAlignment="1">
      <alignment horizontal="center" vertical="center" wrapText="1"/>
    </xf>
    <xf numFmtId="0" fontId="12" fillId="0" borderId="182" xfId="105" applyFont="1" applyBorder="1" applyAlignment="1">
      <alignment horizontal="center"/>
    </xf>
    <xf numFmtId="0" fontId="12" fillId="0" borderId="164" xfId="105" applyFont="1" applyBorder="1" applyAlignment="1">
      <alignment horizontal="center"/>
    </xf>
    <xf numFmtId="0" fontId="12" fillId="0" borderId="183" xfId="105" applyFont="1" applyBorder="1" applyAlignment="1">
      <alignment horizontal="center"/>
    </xf>
    <xf numFmtId="0" fontId="19" fillId="0" borderId="51" xfId="105" applyFont="1" applyBorder="1" applyAlignment="1">
      <alignment horizontal="center" vertical="center" wrapText="1"/>
    </xf>
    <xf numFmtId="0" fontId="19" fillId="0" borderId="160" xfId="105" applyFont="1" applyBorder="1" applyAlignment="1">
      <alignment horizontal="center" vertical="center" wrapText="1"/>
    </xf>
    <xf numFmtId="0" fontId="19" fillId="0" borderId="124" xfId="105" applyFont="1" applyBorder="1" applyAlignment="1">
      <alignment horizontal="center" vertical="center" wrapText="1"/>
    </xf>
    <xf numFmtId="0" fontId="19" fillId="0" borderId="194" xfId="105" applyFont="1" applyBorder="1" applyAlignment="1">
      <alignment horizontal="center" vertical="center" wrapText="1"/>
    </xf>
    <xf numFmtId="0" fontId="19" fillId="0" borderId="125" xfId="105" applyFont="1" applyBorder="1" applyAlignment="1">
      <alignment horizontal="center" vertical="center" wrapText="1"/>
    </xf>
    <xf numFmtId="0" fontId="19" fillId="0" borderId="169" xfId="105" applyFont="1" applyBorder="1" applyAlignment="1">
      <alignment horizontal="center" vertical="center" wrapText="1"/>
    </xf>
    <xf numFmtId="0" fontId="12" fillId="0" borderId="154" xfId="105" applyFont="1" applyBorder="1" applyAlignment="1">
      <alignment horizontal="center" vertical="center" wrapText="1"/>
    </xf>
    <xf numFmtId="0" fontId="12" fillId="0" borderId="154" xfId="105" applyFont="1" applyBorder="1" applyAlignment="1">
      <alignment horizontal="center" vertical="center"/>
    </xf>
    <xf numFmtId="0" fontId="12" fillId="34" borderId="154" xfId="105" applyFont="1" applyFill="1" applyBorder="1" applyAlignment="1">
      <alignment horizontal="center" vertical="center" wrapText="1"/>
    </xf>
    <xf numFmtId="0" fontId="12" fillId="34" borderId="154" xfId="105" applyFont="1" applyFill="1" applyBorder="1" applyAlignment="1">
      <alignment horizontal="center" vertical="center"/>
    </xf>
    <xf numFmtId="0" fontId="12" fillId="0" borderId="165" xfId="105" applyFont="1" applyBorder="1" applyAlignment="1">
      <alignment horizontal="center" vertical="center" wrapText="1"/>
    </xf>
    <xf numFmtId="0" fontId="12" fillId="0" borderId="166" xfId="105" applyFont="1" applyBorder="1" applyAlignment="1">
      <alignment horizontal="center" vertical="center" wrapText="1"/>
    </xf>
    <xf numFmtId="0" fontId="12" fillId="0" borderId="189" xfId="105" applyFont="1" applyBorder="1" applyAlignment="1">
      <alignment horizontal="center" vertical="center"/>
    </xf>
    <xf numFmtId="0" fontId="12" fillId="0" borderId="189" xfId="105" applyFont="1" applyBorder="1" applyAlignment="1">
      <alignment horizontal="center" vertical="center" wrapText="1"/>
    </xf>
    <xf numFmtId="0" fontId="12" fillId="0" borderId="160" xfId="105" applyFont="1" applyBorder="1" applyAlignment="1">
      <alignment horizontal="center" vertical="center" wrapText="1"/>
    </xf>
    <xf numFmtId="0" fontId="12" fillId="0" borderId="194" xfId="105" applyFont="1" applyBorder="1" applyAlignment="1">
      <alignment horizontal="center" vertical="center"/>
    </xf>
    <xf numFmtId="0" fontId="12" fillId="0" borderId="194" xfId="105" applyFont="1" applyBorder="1" applyAlignment="1">
      <alignment horizontal="center" vertical="center" wrapText="1"/>
    </xf>
    <xf numFmtId="0" fontId="172" fillId="0" borderId="126" xfId="105" applyFont="1" applyFill="1" applyBorder="1" applyAlignment="1">
      <alignment horizontal="center" vertical="center" wrapText="1"/>
    </xf>
    <xf numFmtId="0" fontId="172" fillId="0" borderId="191" xfId="105" applyFont="1" applyFill="1" applyBorder="1" applyAlignment="1">
      <alignment horizontal="center" vertical="center" wrapText="1"/>
    </xf>
    <xf numFmtId="0" fontId="172" fillId="0" borderId="199" xfId="105" applyFont="1" applyFill="1" applyBorder="1" applyAlignment="1">
      <alignment horizontal="center" vertical="center" wrapText="1"/>
    </xf>
    <xf numFmtId="0" fontId="12" fillId="0" borderId="182" xfId="105" applyFont="1" applyFill="1" applyBorder="1" applyAlignment="1">
      <alignment horizontal="center"/>
    </xf>
    <xf numFmtId="0" fontId="12" fillId="0" borderId="164" xfId="105" applyFont="1" applyFill="1" applyBorder="1" applyAlignment="1">
      <alignment horizontal="center"/>
    </xf>
    <xf numFmtId="0" fontId="12" fillId="0" borderId="183" xfId="105" applyFont="1" applyFill="1" applyBorder="1" applyAlignment="1">
      <alignment horizontal="center"/>
    </xf>
    <xf numFmtId="0" fontId="12" fillId="0" borderId="51" xfId="105" applyFont="1" applyFill="1" applyBorder="1" applyAlignment="1">
      <alignment horizontal="center" vertical="center"/>
    </xf>
    <xf numFmtId="0" fontId="12" fillId="0" borderId="124" xfId="105" applyFont="1" applyFill="1" applyBorder="1" applyAlignment="1">
      <alignment horizontal="center" vertical="center"/>
    </xf>
    <xf numFmtId="0" fontId="12" fillId="0" borderId="167" xfId="105" applyFont="1" applyFill="1" applyBorder="1" applyAlignment="1">
      <alignment horizontal="center" vertical="center"/>
    </xf>
    <xf numFmtId="0" fontId="12" fillId="7" borderId="154" xfId="105" applyFont="1" applyFill="1" applyBorder="1" applyAlignment="1">
      <alignment horizontal="center"/>
    </xf>
    <xf numFmtId="0" fontId="12" fillId="27" borderId="162" xfId="105" applyFont="1" applyFill="1" applyBorder="1" applyAlignment="1">
      <alignment horizontal="center" vertical="center"/>
    </xf>
    <xf numFmtId="0" fontId="12" fillId="27" borderId="180" xfId="105" applyFont="1" applyFill="1" applyBorder="1" applyAlignment="1">
      <alignment horizontal="center" vertical="center"/>
    </xf>
    <xf numFmtId="0" fontId="12" fillId="27" borderId="181" xfId="105" applyFont="1" applyFill="1" applyBorder="1" applyAlignment="1">
      <alignment horizontal="center" vertical="center"/>
    </xf>
    <xf numFmtId="0" fontId="12" fillId="0" borderId="166" xfId="105" applyFont="1" applyFill="1" applyBorder="1" applyAlignment="1">
      <alignment horizontal="center" vertical="center"/>
    </xf>
    <xf numFmtId="0" fontId="12" fillId="0" borderId="176" xfId="105" applyFont="1" applyBorder="1" applyAlignment="1">
      <alignment horizontal="center" vertical="center"/>
    </xf>
    <xf numFmtId="0" fontId="19" fillId="0" borderId="177" xfId="105" applyFont="1" applyBorder="1" applyAlignment="1">
      <alignment horizontal="center" vertical="center" wrapText="1"/>
    </xf>
    <xf numFmtId="0" fontId="12" fillId="0" borderId="125" xfId="105" applyFont="1" applyFill="1" applyBorder="1" applyAlignment="1">
      <alignment horizontal="center" vertical="center" wrapText="1"/>
    </xf>
    <xf numFmtId="0" fontId="12" fillId="0" borderId="178" xfId="105" applyFont="1" applyFill="1" applyBorder="1" applyAlignment="1">
      <alignment horizontal="center" vertical="center" wrapText="1"/>
    </xf>
    <xf numFmtId="0" fontId="19" fillId="0" borderId="165" xfId="105" applyFont="1" applyFill="1" applyBorder="1" applyAlignment="1">
      <alignment horizontal="center" vertical="center" wrapText="1"/>
    </xf>
    <xf numFmtId="0" fontId="13" fillId="0" borderId="154" xfId="105" applyFont="1" applyBorder="1" applyAlignment="1">
      <alignment horizontal="center" vertical="center"/>
    </xf>
    <xf numFmtId="0" fontId="8" fillId="0" borderId="154" xfId="105" applyFont="1" applyBorder="1" applyAlignment="1">
      <alignment horizontal="center" vertical="center" wrapText="1"/>
    </xf>
    <xf numFmtId="0" fontId="13" fillId="0" borderId="154" xfId="105" applyFont="1" applyBorder="1" applyAlignment="1">
      <alignment horizontal="center" vertical="center" wrapText="1"/>
    </xf>
    <xf numFmtId="0" fontId="167" fillId="0" borderId="182" xfId="105" applyFont="1" applyFill="1" applyBorder="1" applyAlignment="1">
      <alignment horizontal="center" vertical="center" wrapText="1"/>
    </xf>
    <xf numFmtId="0" fontId="167" fillId="0" borderId="164" xfId="105" applyFont="1" applyFill="1" applyBorder="1" applyAlignment="1">
      <alignment horizontal="center" vertical="center" wrapText="1"/>
    </xf>
    <xf numFmtId="0" fontId="167" fillId="0" borderId="183" xfId="105" applyFont="1" applyFill="1" applyBorder="1" applyAlignment="1">
      <alignment horizontal="center" vertical="center" wrapText="1"/>
    </xf>
    <xf numFmtId="0" fontId="12" fillId="0" borderId="51" xfId="105" applyFont="1" applyBorder="1" applyAlignment="1">
      <alignment horizontal="center" vertical="center"/>
    </xf>
    <xf numFmtId="0" fontId="12" fillId="0" borderId="124" xfId="105" applyFont="1" applyBorder="1" applyAlignment="1">
      <alignment horizontal="center" vertical="center"/>
    </xf>
    <xf numFmtId="0" fontId="12" fillId="0" borderId="166" xfId="105" applyFont="1" applyBorder="1" applyAlignment="1">
      <alignment horizontal="center" vertical="center"/>
    </xf>
    <xf numFmtId="0" fontId="19" fillId="0" borderId="154" xfId="105" applyFont="1" applyBorder="1" applyAlignment="1">
      <alignment horizontal="center" vertical="center" wrapText="1"/>
    </xf>
    <xf numFmtId="0" fontId="12" fillId="0" borderId="167" xfId="105" applyFont="1" applyBorder="1" applyAlignment="1">
      <alignment horizontal="center" vertical="center" wrapText="1"/>
    </xf>
    <xf numFmtId="0" fontId="12" fillId="0" borderId="177" xfId="105" applyFont="1" applyBorder="1" applyAlignment="1">
      <alignment horizontal="center" vertical="center" wrapText="1"/>
    </xf>
    <xf numFmtId="0" fontId="12" fillId="0" borderId="173" xfId="105" applyFont="1" applyBorder="1" applyAlignment="1">
      <alignment horizontal="left"/>
    </xf>
    <xf numFmtId="0" fontId="12" fillId="0" borderId="179" xfId="105" applyFont="1" applyBorder="1" applyAlignment="1">
      <alignment horizontal="left"/>
    </xf>
    <xf numFmtId="0" fontId="12" fillId="0" borderId="178" xfId="105" applyFont="1" applyBorder="1" applyAlignment="1">
      <alignment horizontal="left"/>
    </xf>
    <xf numFmtId="0" fontId="12" fillId="0" borderId="186" xfId="105" applyFont="1" applyBorder="1" applyAlignment="1">
      <alignment horizontal="left"/>
    </xf>
    <xf numFmtId="0" fontId="112" fillId="11" borderId="154" xfId="105" applyFont="1" applyFill="1" applyBorder="1" applyAlignment="1">
      <alignment horizontal="center" vertical="center" wrapText="1"/>
    </xf>
    <xf numFmtId="0" fontId="12" fillId="0" borderId="51" xfId="105" applyFont="1" applyBorder="1" applyAlignment="1">
      <alignment horizontal="center" vertical="center" wrapText="1"/>
    </xf>
    <xf numFmtId="0" fontId="12" fillId="0" borderId="124" xfId="105" applyFont="1" applyBorder="1" applyAlignment="1">
      <alignment horizontal="center" vertical="center" wrapText="1"/>
    </xf>
    <xf numFmtId="0" fontId="12" fillId="0" borderId="125" xfId="105" applyFont="1" applyBorder="1" applyAlignment="1">
      <alignment horizontal="left"/>
    </xf>
    <xf numFmtId="0" fontId="12" fillId="0" borderId="185" xfId="105" applyFont="1" applyBorder="1" applyAlignment="1">
      <alignment horizontal="left"/>
    </xf>
    <xf numFmtId="0" fontId="19" fillId="27" borderId="180" xfId="105" applyFont="1" applyFill="1" applyBorder="1" applyAlignment="1">
      <alignment horizontal="center" vertical="center" wrapText="1"/>
    </xf>
    <xf numFmtId="0" fontId="172" fillId="24" borderId="156" xfId="0" applyFont="1" applyFill="1" applyBorder="1" applyAlignment="1">
      <alignment horizontal="center" vertical="center" wrapText="1"/>
    </xf>
    <xf numFmtId="0" fontId="172" fillId="24" borderId="157" xfId="0" applyFont="1" applyFill="1" applyBorder="1" applyAlignment="1">
      <alignment horizontal="center" vertical="center" wrapText="1"/>
    </xf>
    <xf numFmtId="0" fontId="172" fillId="24" borderId="158" xfId="0" applyFont="1" applyFill="1" applyBorder="1" applyAlignment="1">
      <alignment horizontal="center" vertical="center" wrapText="1"/>
    </xf>
    <xf numFmtId="0" fontId="172" fillId="0" borderId="156" xfId="0" applyFont="1" applyFill="1" applyBorder="1" applyAlignment="1">
      <alignment horizontal="center" vertical="center" wrapText="1"/>
    </xf>
    <xf numFmtId="0" fontId="172" fillId="0" borderId="157" xfId="0" applyFont="1" applyFill="1" applyBorder="1" applyAlignment="1">
      <alignment horizontal="center" vertical="center" wrapText="1"/>
    </xf>
    <xf numFmtId="0" fontId="172" fillId="0" borderId="158" xfId="0" applyFont="1" applyFill="1" applyBorder="1" applyAlignment="1">
      <alignment horizontal="center" vertical="center" wrapText="1"/>
    </xf>
    <xf numFmtId="0" fontId="12" fillId="0" borderId="156" xfId="0" applyFont="1" applyBorder="1" applyAlignment="1">
      <alignment horizontal="center"/>
    </xf>
    <xf numFmtId="0" fontId="12" fillId="0" borderId="157" xfId="0" applyFont="1" applyBorder="1" applyAlignment="1">
      <alignment horizontal="center"/>
    </xf>
    <xf numFmtId="0" fontId="12" fillId="0" borderId="158" xfId="0" applyFont="1" applyBorder="1" applyAlignment="1">
      <alignment horizontal="center"/>
    </xf>
    <xf numFmtId="0" fontId="12" fillId="0" borderId="217" xfId="105" applyFont="1" applyBorder="1" applyAlignment="1">
      <alignment horizontal="center"/>
    </xf>
    <xf numFmtId="0" fontId="12" fillId="0" borderId="156" xfId="105" applyFont="1" applyBorder="1" applyAlignment="1">
      <alignment horizontal="center"/>
    </xf>
    <xf numFmtId="0" fontId="12" fillId="0" borderId="157" xfId="105" applyFont="1" applyBorder="1" applyAlignment="1">
      <alignment horizontal="center"/>
    </xf>
    <xf numFmtId="0" fontId="12" fillId="0" borderId="158" xfId="105" applyFont="1" applyBorder="1" applyAlignment="1">
      <alignment horizontal="center"/>
    </xf>
    <xf numFmtId="0" fontId="164" fillId="0" borderId="166" xfId="0" applyFont="1" applyBorder="1" applyAlignment="1">
      <alignment horizontal="center"/>
    </xf>
    <xf numFmtId="0" fontId="0" fillId="0" borderId="216" xfId="0" applyBorder="1" applyAlignment="1">
      <alignment horizontal="center"/>
    </xf>
    <xf numFmtId="0" fontId="3" fillId="0" borderId="216" xfId="0" applyFont="1" applyBorder="1" applyAlignment="1">
      <alignment horizontal="center"/>
    </xf>
    <xf numFmtId="0" fontId="164" fillId="0" borderId="216" xfId="0" applyFont="1" applyBorder="1" applyAlignment="1">
      <alignment horizontal="center"/>
    </xf>
    <xf numFmtId="0" fontId="0" fillId="0" borderId="222" xfId="0" applyBorder="1" applyAlignment="1">
      <alignment horizontal="center"/>
    </xf>
    <xf numFmtId="0" fontId="164" fillId="0" borderId="223" xfId="0" applyFont="1" applyBorder="1" applyAlignment="1">
      <alignment horizontal="center"/>
    </xf>
    <xf numFmtId="0" fontId="164" fillId="0" borderId="227" xfId="0" applyFont="1" applyBorder="1" applyAlignment="1">
      <alignment horizontal="center"/>
    </xf>
    <xf numFmtId="0" fontId="164" fillId="0" borderId="217" xfId="0" applyFont="1" applyBorder="1" applyAlignment="1">
      <alignment horizontal="center"/>
    </xf>
    <xf numFmtId="0" fontId="3" fillId="0" borderId="166" xfId="0" applyFont="1" applyBorder="1" applyAlignment="1">
      <alignment horizontal="center"/>
    </xf>
    <xf numFmtId="0" fontId="19" fillId="0" borderId="216" xfId="0" applyFont="1" applyFill="1" applyBorder="1" applyAlignment="1">
      <alignment horizontal="center" vertical="center" wrapText="1"/>
    </xf>
    <xf numFmtId="0" fontId="164" fillId="0" borderId="162" xfId="0" applyFont="1" applyBorder="1" applyAlignment="1">
      <alignment horizontal="center"/>
    </xf>
    <xf numFmtId="0" fontId="164" fillId="0" borderId="180" xfId="0" applyFont="1" applyBorder="1" applyAlignment="1">
      <alignment horizontal="center"/>
    </xf>
    <xf numFmtId="0" fontId="164" fillId="0" borderId="181" xfId="0" applyFont="1" applyBorder="1" applyAlignment="1">
      <alignment horizontal="center"/>
    </xf>
    <xf numFmtId="0" fontId="164" fillId="0" borderId="190" xfId="0" applyFont="1" applyBorder="1" applyAlignment="1">
      <alignment horizontal="center"/>
    </xf>
    <xf numFmtId="0" fontId="0" fillId="0" borderId="191" xfId="0" applyBorder="1" applyAlignment="1">
      <alignment horizontal="center"/>
    </xf>
    <xf numFmtId="0" fontId="164" fillId="0" borderId="193" xfId="0" applyFont="1" applyBorder="1" applyAlignment="1">
      <alignment horizontal="center"/>
    </xf>
    <xf numFmtId="0" fontId="0" fillId="0" borderId="193" xfId="0" applyBorder="1" applyAlignment="1">
      <alignment horizontal="center"/>
    </xf>
    <xf numFmtId="0" fontId="164" fillId="0" borderId="191" xfId="0" applyFont="1" applyBorder="1" applyAlignment="1">
      <alignment horizontal="center"/>
    </xf>
    <xf numFmtId="0" fontId="0" fillId="0" borderId="192" xfId="0" applyBorder="1" applyAlignment="1">
      <alignment horizontal="center"/>
    </xf>
    <xf numFmtId="0" fontId="12" fillId="0" borderId="216" xfId="105" applyFont="1" applyBorder="1" applyAlignment="1">
      <alignment horizontal="center"/>
    </xf>
    <xf numFmtId="0" fontId="12" fillId="6" borderId="216" xfId="105" applyFont="1" applyFill="1" applyBorder="1" applyAlignment="1">
      <alignment horizontal="center" vertical="center" wrapText="1"/>
    </xf>
    <xf numFmtId="0" fontId="19" fillId="0" borderId="126" xfId="105" applyFont="1" applyBorder="1" applyAlignment="1">
      <alignment horizontal="center" vertical="center" wrapText="1"/>
    </xf>
    <xf numFmtId="0" fontId="19" fillId="0" borderId="191" xfId="105" applyFont="1" applyBorder="1" applyAlignment="1">
      <alignment horizontal="center" vertical="center" wrapText="1"/>
    </xf>
    <xf numFmtId="0" fontId="19" fillId="0" borderId="199" xfId="105" applyFont="1" applyBorder="1" applyAlignment="1">
      <alignment horizontal="center" vertical="center" wrapText="1"/>
    </xf>
    <xf numFmtId="0" fontId="19" fillId="0" borderId="156" xfId="0" applyFont="1" applyFill="1" applyBorder="1" applyAlignment="1">
      <alignment horizontal="center" vertical="center" wrapText="1"/>
    </xf>
    <xf numFmtId="0" fontId="19" fillId="0" borderId="157" xfId="0" applyFont="1" applyFill="1" applyBorder="1" applyAlignment="1">
      <alignment horizontal="center" vertical="center" wrapText="1"/>
    </xf>
    <xf numFmtId="0" fontId="19" fillId="0" borderId="158" xfId="0" applyFont="1" applyFill="1" applyBorder="1" applyAlignment="1">
      <alignment horizontal="center" vertical="center" wrapText="1"/>
    </xf>
    <xf numFmtId="0" fontId="12" fillId="27" borderId="230" xfId="105" applyFont="1" applyFill="1" applyBorder="1" applyAlignment="1">
      <alignment horizontal="center" vertical="center"/>
    </xf>
    <xf numFmtId="0" fontId="12" fillId="27" borderId="231" xfId="105" applyFont="1" applyFill="1" applyBorder="1" applyAlignment="1">
      <alignment horizontal="center" vertical="center"/>
    </xf>
    <xf numFmtId="0" fontId="12" fillId="27" borderId="232" xfId="105" applyFont="1" applyFill="1" applyBorder="1" applyAlignment="1">
      <alignment horizontal="center" vertical="center"/>
    </xf>
    <xf numFmtId="0" fontId="19" fillId="27" borderId="233" xfId="105" applyFont="1" applyFill="1" applyBorder="1" applyAlignment="1">
      <alignment horizontal="center" vertical="center" wrapText="1"/>
    </xf>
    <xf numFmtId="0" fontId="19" fillId="27" borderId="153" xfId="105" applyFont="1" applyFill="1" applyBorder="1" applyAlignment="1">
      <alignment horizontal="center" vertical="center" wrapText="1"/>
    </xf>
    <xf numFmtId="0" fontId="19" fillId="27" borderId="200" xfId="105" applyFont="1" applyFill="1" applyBorder="1" applyAlignment="1">
      <alignment horizontal="center" vertical="center" wrapText="1"/>
    </xf>
    <xf numFmtId="0" fontId="19" fillId="27" borderId="230" xfId="105" applyFont="1" applyFill="1" applyBorder="1" applyAlignment="1">
      <alignment horizontal="center" vertical="center" wrapText="1"/>
    </xf>
    <xf numFmtId="0" fontId="19" fillId="27" borderId="231" xfId="105" applyFont="1" applyFill="1" applyBorder="1" applyAlignment="1">
      <alignment horizontal="center" vertical="center" wrapText="1"/>
    </xf>
    <xf numFmtId="0" fontId="19" fillId="27" borderId="232" xfId="105" applyFont="1" applyFill="1" applyBorder="1" applyAlignment="1">
      <alignment horizontal="center" vertical="center" wrapText="1"/>
    </xf>
    <xf numFmtId="0" fontId="12" fillId="0" borderId="218" xfId="105" applyFont="1" applyBorder="1" applyAlignment="1">
      <alignment horizontal="center"/>
    </xf>
    <xf numFmtId="0" fontId="165" fillId="6" borderId="182" xfId="105" applyFont="1" applyFill="1" applyBorder="1" applyAlignment="1">
      <alignment horizontal="center" vertical="center" wrapText="1"/>
    </xf>
    <xf numFmtId="0" fontId="165" fillId="6" borderId="164" xfId="105" applyFont="1" applyFill="1" applyBorder="1" applyAlignment="1">
      <alignment horizontal="center" vertical="center" wrapText="1"/>
    </xf>
    <xf numFmtId="0" fontId="165" fillId="6" borderId="183" xfId="105" applyFont="1" applyFill="1" applyBorder="1" applyAlignment="1">
      <alignment horizontal="center" vertical="center" wrapText="1"/>
    </xf>
    <xf numFmtId="0" fontId="13" fillId="0" borderId="216" xfId="105" applyFont="1" applyBorder="1" applyAlignment="1">
      <alignment horizontal="center" vertical="center"/>
    </xf>
    <xf numFmtId="0" fontId="8" fillId="0" borderId="216" xfId="105" applyFont="1" applyBorder="1" applyAlignment="1">
      <alignment horizontal="center" vertical="center" wrapText="1"/>
    </xf>
    <xf numFmtId="0" fontId="13" fillId="0" borderId="216" xfId="105" applyFont="1" applyBorder="1" applyAlignment="1">
      <alignment horizontal="center" vertical="center" wrapText="1"/>
    </xf>
    <xf numFmtId="0" fontId="12" fillId="0" borderId="126" xfId="105" applyFont="1" applyBorder="1" applyAlignment="1">
      <alignment horizontal="center" vertical="center"/>
    </xf>
    <xf numFmtId="0" fontId="12" fillId="0" borderId="191" xfId="105" applyFont="1" applyBorder="1" applyAlignment="1">
      <alignment horizontal="center" vertical="center"/>
    </xf>
    <xf numFmtId="0" fontId="12" fillId="0" borderId="199" xfId="105" applyFont="1" applyBorder="1" applyAlignment="1">
      <alignment horizontal="center" vertical="center"/>
    </xf>
    <xf numFmtId="0" fontId="19" fillId="27" borderId="162" xfId="105" applyFont="1" applyFill="1" applyBorder="1" applyAlignment="1">
      <alignment horizontal="center" vertical="center" wrapText="1"/>
    </xf>
    <xf numFmtId="0" fontId="19" fillId="27" borderId="181" xfId="105" applyFont="1" applyFill="1" applyBorder="1" applyAlignment="1">
      <alignment horizontal="center" vertical="center" wrapText="1"/>
    </xf>
    <xf numFmtId="0" fontId="12" fillId="0" borderId="216" xfId="0" applyFont="1" applyBorder="1" applyAlignment="1">
      <alignment horizontal="center" vertical="center"/>
    </xf>
    <xf numFmtId="0" fontId="12" fillId="7" borderId="216" xfId="105" applyFont="1" applyFill="1" applyBorder="1" applyAlignment="1">
      <alignment horizontal="center"/>
    </xf>
    <xf numFmtId="0" fontId="165" fillId="6" borderId="182" xfId="105" applyFont="1" applyFill="1" applyBorder="1" applyAlignment="1">
      <alignment horizontal="center" vertical="top" wrapText="1"/>
    </xf>
    <xf numFmtId="0" fontId="165" fillId="6" borderId="164" xfId="105" applyFont="1" applyFill="1" applyBorder="1" applyAlignment="1">
      <alignment horizontal="center" vertical="top" wrapText="1"/>
    </xf>
    <xf numFmtId="0" fontId="165" fillId="6" borderId="183" xfId="105" applyFont="1" applyFill="1" applyBorder="1" applyAlignment="1">
      <alignment horizontal="center" vertical="top" wrapText="1"/>
    </xf>
    <xf numFmtId="0" fontId="171" fillId="6" borderId="190" xfId="105" applyFont="1" applyFill="1" applyBorder="1" applyAlignment="1">
      <alignment horizontal="center" vertical="top" wrapText="1"/>
    </xf>
    <xf numFmtId="0" fontId="171" fillId="6" borderId="191" xfId="105" applyFont="1" applyFill="1" applyBorder="1" applyAlignment="1">
      <alignment horizontal="center" vertical="top" wrapText="1"/>
    </xf>
    <xf numFmtId="0" fontId="171" fillId="6" borderId="192" xfId="105" applyFont="1" applyFill="1" applyBorder="1" applyAlignment="1">
      <alignment horizontal="center" vertical="top" wrapText="1"/>
    </xf>
    <xf numFmtId="0" fontId="19" fillId="0" borderId="223" xfId="105" applyFont="1" applyFill="1" applyBorder="1" applyAlignment="1">
      <alignment horizontal="center" vertical="center" wrapText="1"/>
    </xf>
    <xf numFmtId="0" fontId="19" fillId="0" borderId="227" xfId="105" applyFont="1" applyFill="1" applyBorder="1" applyAlignment="1">
      <alignment horizontal="center" vertical="center" wrapText="1"/>
    </xf>
    <xf numFmtId="0" fontId="19" fillId="0" borderId="217" xfId="105" applyFont="1" applyFill="1" applyBorder="1" applyAlignment="1">
      <alignment horizontal="center" vertical="center" wrapText="1"/>
    </xf>
    <xf numFmtId="0" fontId="19" fillId="0" borderId="156" xfId="105" applyFont="1" applyFill="1" applyBorder="1" applyAlignment="1">
      <alignment horizontal="center" vertical="center" wrapText="1"/>
    </xf>
    <xf numFmtId="0" fontId="19" fillId="0" borderId="157" xfId="105" applyFont="1" applyFill="1" applyBorder="1" applyAlignment="1">
      <alignment horizontal="center" vertical="center" wrapText="1"/>
    </xf>
    <xf numFmtId="0" fontId="19" fillId="0" borderId="158" xfId="105" applyFont="1" applyFill="1" applyBorder="1" applyAlignment="1">
      <alignment horizontal="center" vertical="center" wrapText="1"/>
    </xf>
    <xf numFmtId="0" fontId="19" fillId="0" borderId="198" xfId="105" applyFont="1" applyBorder="1" applyAlignment="1">
      <alignment horizontal="center" vertical="center" wrapText="1"/>
    </xf>
    <xf numFmtId="0" fontId="19" fillId="0" borderId="193" xfId="105" applyFont="1" applyBorder="1" applyAlignment="1">
      <alignment horizontal="center" vertical="center" wrapText="1"/>
    </xf>
    <xf numFmtId="0" fontId="19" fillId="0" borderId="188" xfId="105" applyFont="1" applyBorder="1" applyAlignment="1">
      <alignment horizontal="center" vertical="center" wrapText="1"/>
    </xf>
    <xf numFmtId="0" fontId="19" fillId="0" borderId="198" xfId="105" applyFont="1" applyFill="1" applyBorder="1" applyAlignment="1">
      <alignment horizontal="center" vertical="center" wrapText="1"/>
    </xf>
    <xf numFmtId="0" fontId="19" fillId="0" borderId="193" xfId="105" applyFont="1" applyFill="1" applyBorder="1" applyAlignment="1">
      <alignment horizontal="center" vertical="center" wrapText="1"/>
    </xf>
    <xf numFmtId="0" fontId="19" fillId="0" borderId="188" xfId="105" applyFont="1" applyFill="1" applyBorder="1" applyAlignment="1">
      <alignment horizontal="center" vertical="center" wrapText="1"/>
    </xf>
    <xf numFmtId="0" fontId="19" fillId="0" borderId="126" xfId="105" applyFont="1" applyFill="1" applyBorder="1" applyAlignment="1">
      <alignment horizontal="center" vertical="center" wrapText="1"/>
    </xf>
    <xf numFmtId="0" fontId="19" fillId="0" borderId="191" xfId="105" applyFont="1" applyFill="1" applyBorder="1" applyAlignment="1">
      <alignment horizontal="center" vertical="center" wrapText="1"/>
    </xf>
    <xf numFmtId="0" fontId="19" fillId="0" borderId="199" xfId="105" applyFont="1" applyFill="1" applyBorder="1" applyAlignment="1">
      <alignment horizontal="center" vertical="center" wrapText="1"/>
    </xf>
    <xf numFmtId="0" fontId="12" fillId="6" borderId="154" xfId="95" applyFont="1" applyFill="1" applyBorder="1" applyAlignment="1">
      <alignment horizontal="center" vertical="center" wrapText="1"/>
    </xf>
    <xf numFmtId="0" fontId="14" fillId="2" borderId="0" xfId="105" applyFont="1" applyFill="1" applyAlignment="1">
      <alignment horizontal="center" vertical="center" wrapText="1"/>
    </xf>
    <xf numFmtId="165" fontId="102" fillId="7" borderId="154" xfId="95" applyNumberFormat="1" applyFont="1" applyFill="1" applyBorder="1" applyAlignment="1">
      <alignment horizontal="center" vertical="center" wrapText="1"/>
    </xf>
    <xf numFmtId="165" fontId="102" fillId="7" borderId="8" xfId="95" applyNumberFormat="1" applyFont="1" applyFill="1" applyBorder="1" applyAlignment="1">
      <alignment horizontal="center" vertical="center" wrapText="1"/>
    </xf>
    <xf numFmtId="165" fontId="102" fillId="7" borderId="216" xfId="95" applyNumberFormat="1" applyFont="1" applyFill="1" applyBorder="1" applyAlignment="1">
      <alignment horizontal="center" vertical="center" wrapText="1"/>
    </xf>
    <xf numFmtId="0" fontId="14" fillId="0" borderId="154" xfId="95" applyFont="1" applyBorder="1" applyAlignment="1">
      <alignment horizontal="center" vertical="center"/>
    </xf>
    <xf numFmtId="165" fontId="14" fillId="0" borderId="156" xfId="95" applyNumberFormat="1" applyFont="1" applyBorder="1" applyAlignment="1">
      <alignment horizontal="center" vertical="center" wrapText="1"/>
    </xf>
    <xf numFmtId="165" fontId="14" fillId="0" borderId="157" xfId="95" applyNumberFormat="1" applyFont="1" applyBorder="1" applyAlignment="1">
      <alignment horizontal="center" vertical="center" wrapText="1"/>
    </xf>
    <xf numFmtId="165" fontId="14" fillId="0" borderId="158" xfId="95" applyNumberFormat="1" applyFont="1" applyBorder="1" applyAlignment="1">
      <alignment horizontal="center" vertical="center" wrapText="1"/>
    </xf>
    <xf numFmtId="165" fontId="168" fillId="7" borderId="80" xfId="95" applyNumberFormat="1" applyFont="1" applyFill="1" applyBorder="1" applyAlignment="1">
      <alignment horizontal="center" vertical="center" wrapText="1"/>
    </xf>
    <xf numFmtId="165" fontId="168" fillId="7" borderId="8" xfId="95" applyNumberFormat="1" applyFont="1" applyFill="1" applyBorder="1" applyAlignment="1">
      <alignment horizontal="center" vertical="center" wrapText="1"/>
    </xf>
    <xf numFmtId="165" fontId="168" fillId="7" borderId="154" xfId="95" applyNumberFormat="1" applyFont="1" applyFill="1" applyBorder="1" applyAlignment="1">
      <alignment horizontal="center" vertical="center" wrapText="1"/>
    </xf>
    <xf numFmtId="0" fontId="12" fillId="6" borderId="182" xfId="105" applyFont="1" applyFill="1" applyBorder="1" applyAlignment="1">
      <alignment horizontal="center" vertical="center" wrapText="1"/>
    </xf>
    <xf numFmtId="0" fontId="12" fillId="6" borderId="164" xfId="105" applyFont="1" applyFill="1" applyBorder="1" applyAlignment="1">
      <alignment horizontal="center" vertical="center" wrapText="1"/>
    </xf>
    <xf numFmtId="0" fontId="12" fillId="6" borderId="183" xfId="105" applyFont="1" applyFill="1" applyBorder="1" applyAlignment="1">
      <alignment horizontal="center" vertical="center" wrapText="1"/>
    </xf>
    <xf numFmtId="0" fontId="12" fillId="0" borderId="175" xfId="105" applyFont="1" applyFill="1" applyBorder="1" applyAlignment="1">
      <alignment horizontal="center" vertical="center"/>
    </xf>
    <xf numFmtId="0" fontId="12" fillId="0" borderId="184" xfId="105" applyFont="1" applyFill="1" applyBorder="1" applyAlignment="1">
      <alignment horizontal="center" vertical="center"/>
    </xf>
    <xf numFmtId="0" fontId="12" fillId="0" borderId="173" xfId="105" applyFont="1" applyFill="1" applyBorder="1" applyAlignment="1">
      <alignment horizontal="center" vertical="center" wrapText="1"/>
    </xf>
    <xf numFmtId="0" fontId="12" fillId="0" borderId="175" xfId="105" applyFont="1" applyFill="1" applyBorder="1" applyAlignment="1">
      <alignment horizontal="center" vertical="center" wrapText="1"/>
    </xf>
    <xf numFmtId="0" fontId="12" fillId="0" borderId="157" xfId="105" applyFont="1" applyFill="1" applyBorder="1" applyAlignment="1">
      <alignment horizontal="center" vertical="center" wrapText="1"/>
    </xf>
    <xf numFmtId="0" fontId="12" fillId="0" borderId="184" xfId="105" applyFont="1" applyFill="1" applyBorder="1" applyAlignment="1">
      <alignment horizontal="center" vertical="center" wrapText="1"/>
    </xf>
    <xf numFmtId="0" fontId="12" fillId="27" borderId="0" xfId="105" applyFont="1" applyFill="1" applyAlignment="1">
      <alignment horizontal="left" vertical="center" wrapText="1"/>
    </xf>
    <xf numFmtId="0" fontId="12" fillId="0" borderId="0" xfId="105" applyFont="1" applyAlignment="1">
      <alignment horizontal="left"/>
    </xf>
    <xf numFmtId="0" fontId="172" fillId="24" borderId="227" xfId="0" applyFont="1" applyFill="1" applyBorder="1" applyAlignment="1">
      <alignment horizontal="center" vertical="center" wrapText="1"/>
    </xf>
    <xf numFmtId="0" fontId="12" fillId="27" borderId="216" xfId="105" applyFont="1" applyFill="1" applyBorder="1" applyAlignment="1">
      <alignment horizontal="center" vertical="center"/>
    </xf>
    <xf numFmtId="0" fontId="12" fillId="0" borderId="216" xfId="105" applyFont="1" applyFill="1" applyBorder="1" applyAlignment="1">
      <alignment horizontal="center" vertical="center"/>
    </xf>
    <xf numFmtId="0" fontId="19" fillId="0" borderId="216" xfId="105" applyFont="1" applyFill="1" applyBorder="1" applyAlignment="1">
      <alignment horizontal="center" vertical="center" wrapText="1"/>
    </xf>
    <xf numFmtId="0" fontId="12" fillId="0" borderId="216" xfId="105" applyFont="1" applyFill="1" applyBorder="1" applyAlignment="1">
      <alignment horizontal="center" vertical="center" wrapText="1"/>
    </xf>
    <xf numFmtId="0" fontId="12" fillId="0" borderId="216" xfId="105" applyFont="1" applyBorder="1" applyAlignment="1">
      <alignment horizontal="center" vertical="center"/>
    </xf>
    <xf numFmtId="0" fontId="172" fillId="0" borderId="216" xfId="0" applyFont="1" applyFill="1" applyBorder="1" applyAlignment="1">
      <alignment horizontal="center" vertical="center" wrapText="1"/>
    </xf>
    <xf numFmtId="0" fontId="172" fillId="24" borderId="216" xfId="0" applyFont="1" applyFill="1" applyBorder="1" applyAlignment="1">
      <alignment horizontal="center" vertical="center" wrapText="1"/>
    </xf>
    <xf numFmtId="0" fontId="112" fillId="11" borderId="216" xfId="105" applyFont="1" applyFill="1" applyBorder="1" applyAlignment="1">
      <alignment horizontal="center" vertical="center" wrapText="1"/>
    </xf>
    <xf numFmtId="0" fontId="19" fillId="0" borderId="101" xfId="105" applyFont="1" applyFill="1" applyBorder="1" applyAlignment="1">
      <alignment horizontal="center" vertical="center" wrapText="1"/>
    </xf>
    <xf numFmtId="0" fontId="172" fillId="0" borderId="216" xfId="105" applyFont="1" applyFill="1" applyBorder="1" applyAlignment="1">
      <alignment horizontal="center" vertical="center" wrapText="1"/>
    </xf>
    <xf numFmtId="0" fontId="12" fillId="0" borderId="216" xfId="105" applyFont="1" applyFill="1" applyBorder="1" applyAlignment="1">
      <alignment horizontal="center"/>
    </xf>
    <xf numFmtId="0" fontId="167" fillId="0" borderId="216" xfId="105" applyFont="1" applyFill="1" applyBorder="1" applyAlignment="1">
      <alignment horizontal="center" vertical="center" wrapText="1"/>
    </xf>
    <xf numFmtId="0" fontId="43" fillId="2" borderId="80" xfId="13" applyFont="1" applyFill="1" applyBorder="1" applyAlignment="1">
      <alignment horizontal="center" vertical="center" wrapText="1"/>
    </xf>
    <xf numFmtId="0" fontId="43" fillId="2" borderId="8" xfId="13" applyFont="1" applyFill="1" applyBorder="1" applyAlignment="1">
      <alignment horizontal="center" vertical="center" wrapText="1"/>
    </xf>
    <xf numFmtId="0" fontId="49" fillId="16" borderId="82" xfId="13" applyFont="1" applyFill="1" applyBorder="1" applyAlignment="1">
      <alignment horizontal="center" wrapText="1"/>
    </xf>
    <xf numFmtId="0" fontId="49" fillId="16" borderId="86" xfId="13" applyFont="1" applyFill="1" applyBorder="1" applyAlignment="1">
      <alignment horizontal="center" wrapText="1"/>
    </xf>
    <xf numFmtId="0" fontId="49" fillId="16" borderId="83" xfId="13" applyFont="1" applyFill="1" applyBorder="1" applyAlignment="1">
      <alignment horizontal="center" wrapText="1"/>
    </xf>
    <xf numFmtId="0" fontId="49" fillId="16" borderId="82" xfId="13" applyFont="1" applyFill="1" applyBorder="1" applyAlignment="1">
      <alignment horizontal="center" vertical="center" wrapText="1"/>
    </xf>
    <xf numFmtId="0" fontId="49" fillId="16" borderId="86" xfId="13" applyFont="1" applyFill="1" applyBorder="1" applyAlignment="1">
      <alignment horizontal="center" vertical="center" wrapText="1"/>
    </xf>
    <xf numFmtId="0" fontId="43" fillId="2" borderId="81" xfId="13" applyFont="1" applyFill="1" applyBorder="1" applyAlignment="1">
      <alignment horizontal="center" vertical="center" wrapText="1"/>
    </xf>
    <xf numFmtId="0" fontId="43" fillId="2" borderId="81" xfId="13" applyFont="1" applyFill="1" applyBorder="1" applyAlignment="1">
      <alignment horizontal="center" vertical="center"/>
    </xf>
    <xf numFmtId="0" fontId="74" fillId="16" borderId="82" xfId="13" applyFont="1" applyFill="1" applyBorder="1" applyAlignment="1">
      <alignment vertical="center" wrapText="1"/>
    </xf>
    <xf numFmtId="0" fontId="74" fillId="16" borderId="86" xfId="13" applyFont="1" applyFill="1" applyBorder="1" applyAlignment="1">
      <alignment vertical="center" wrapText="1"/>
    </xf>
    <xf numFmtId="0" fontId="74" fillId="16" borderId="83" xfId="13" applyFont="1" applyFill="1" applyBorder="1" applyAlignment="1">
      <alignment vertical="center" wrapText="1"/>
    </xf>
    <xf numFmtId="0" fontId="4" fillId="0" borderId="82" xfId="13" applyBorder="1" applyAlignment="1">
      <alignment horizontal="center" vertical="center" wrapText="1"/>
    </xf>
    <xf numFmtId="0" fontId="4" fillId="0" borderId="86" xfId="13" applyBorder="1" applyAlignment="1">
      <alignment horizontal="center" vertical="center" wrapText="1"/>
    </xf>
    <xf numFmtId="0" fontId="4" fillId="0" borderId="83" xfId="13" applyBorder="1" applyAlignment="1">
      <alignment horizontal="center" vertical="center" wrapText="1"/>
    </xf>
    <xf numFmtId="0" fontId="4" fillId="0" borderId="81" xfId="13" applyBorder="1" applyAlignment="1">
      <alignment horizontal="center" vertical="center" wrapText="1"/>
    </xf>
    <xf numFmtId="0" fontId="13" fillId="2" borderId="80" xfId="13" applyFont="1" applyFill="1" applyBorder="1" applyAlignment="1">
      <alignment horizontal="center" vertical="center" wrapText="1"/>
    </xf>
    <xf numFmtId="0" fontId="13" fillId="2" borderId="4" xfId="13" applyFont="1" applyFill="1" applyBorder="1" applyAlignment="1">
      <alignment horizontal="center" vertical="center" wrapText="1"/>
    </xf>
    <xf numFmtId="0" fontId="4" fillId="0" borderId="0" xfId="13" applyAlignment="1">
      <alignment horizontal="center" vertical="center" wrapText="1"/>
    </xf>
    <xf numFmtId="0" fontId="4" fillId="0" borderId="81" xfId="13" applyBorder="1" applyAlignment="1">
      <alignment horizontal="center"/>
    </xf>
    <xf numFmtId="0" fontId="4" fillId="0" borderId="80" xfId="13" applyBorder="1" applyAlignment="1">
      <alignment horizontal="center" vertical="center" wrapText="1"/>
    </xf>
    <xf numFmtId="0" fontId="4" fillId="0" borderId="8" xfId="13" applyBorder="1" applyAlignment="1">
      <alignment horizontal="center" vertical="center" wrapText="1"/>
    </xf>
    <xf numFmtId="0" fontId="44" fillId="2" borderId="0" xfId="13" applyFont="1" applyFill="1" applyAlignment="1">
      <alignment horizontal="center"/>
    </xf>
    <xf numFmtId="0" fontId="44" fillId="2" borderId="80" xfId="13" applyFont="1" applyFill="1" applyBorder="1" applyAlignment="1">
      <alignment horizontal="center" vertical="center" wrapText="1"/>
    </xf>
    <xf numFmtId="0" fontId="44" fillId="2" borderId="8" xfId="13" applyFont="1" applyFill="1" applyBorder="1" applyAlignment="1">
      <alignment horizontal="center" vertical="center" wrapText="1"/>
    </xf>
    <xf numFmtId="0" fontId="13" fillId="2" borderId="8" xfId="13" applyFont="1" applyFill="1" applyBorder="1" applyAlignment="1">
      <alignment horizontal="center" vertical="center" wrapText="1"/>
    </xf>
    <xf numFmtId="0" fontId="43" fillId="2" borderId="82" xfId="13" applyFont="1" applyFill="1" applyBorder="1" applyAlignment="1">
      <alignment horizontal="center" vertical="center" wrapText="1"/>
    </xf>
    <xf numFmtId="0" fontId="43" fillId="2" borderId="83" xfId="13" applyFont="1" applyFill="1" applyBorder="1" applyAlignment="1">
      <alignment horizontal="center" vertical="center" wrapText="1"/>
    </xf>
    <xf numFmtId="0" fontId="43" fillId="2" borderId="84" xfId="13" applyFont="1" applyFill="1" applyBorder="1" applyAlignment="1">
      <alignment horizontal="center" vertical="center" wrapText="1"/>
    </xf>
    <xf numFmtId="0" fontId="43" fillId="2" borderId="85" xfId="13" applyFont="1" applyFill="1" applyBorder="1" applyAlignment="1">
      <alignment horizontal="center" vertical="center" wrapText="1"/>
    </xf>
    <xf numFmtId="0" fontId="49" fillId="16" borderId="86" xfId="113" applyFont="1" applyFill="1" applyBorder="1" applyAlignment="1">
      <alignment horizontal="center" vertical="center" wrapText="1"/>
    </xf>
    <xf numFmtId="0" fontId="74" fillId="16" borderId="82" xfId="113" applyFont="1" applyFill="1" applyBorder="1" applyAlignment="1">
      <alignment vertical="center" wrapText="1"/>
    </xf>
    <xf numFmtId="0" fontId="74" fillId="16" borderId="86" xfId="113" applyFont="1" applyFill="1" applyBorder="1" applyAlignment="1">
      <alignment vertical="center" wrapText="1"/>
    </xf>
    <xf numFmtId="0" fontId="74" fillId="16" borderId="83" xfId="113" applyFont="1" applyFill="1" applyBorder="1" applyAlignment="1">
      <alignment vertical="center" wrapText="1"/>
    </xf>
    <xf numFmtId="171" fontId="42" fillId="0" borderId="0" xfId="113" applyNumberFormat="1" applyFont="1" applyAlignment="1">
      <alignment horizontal="center" vertical="center"/>
    </xf>
    <xf numFmtId="0" fontId="47" fillId="0" borderId="80" xfId="113" applyFont="1" applyBorder="1" applyAlignment="1">
      <alignment horizontal="center" vertical="center" wrapText="1"/>
    </xf>
    <xf numFmtId="0" fontId="47" fillId="0" borderId="8" xfId="113" applyFont="1" applyBorder="1" applyAlignment="1">
      <alignment horizontal="center" vertical="center" wrapText="1"/>
    </xf>
    <xf numFmtId="0" fontId="4" fillId="0" borderId="81" xfId="113" applyFont="1" applyBorder="1" applyAlignment="1">
      <alignment horizontal="center" vertical="center" wrapText="1"/>
    </xf>
    <xf numFmtId="0" fontId="49" fillId="16" borderId="82" xfId="113" applyFont="1" applyFill="1" applyBorder="1" applyAlignment="1">
      <alignment horizontal="center" wrapText="1"/>
    </xf>
    <xf numFmtId="0" fontId="49" fillId="16" borderId="86" xfId="113" applyFont="1" applyFill="1" applyBorder="1" applyAlignment="1">
      <alignment horizontal="center" wrapText="1"/>
    </xf>
    <xf numFmtId="0" fontId="49" fillId="16" borderId="83" xfId="113" applyFont="1" applyFill="1" applyBorder="1" applyAlignment="1">
      <alignment horizontal="center" wrapText="1"/>
    </xf>
    <xf numFmtId="0" fontId="49" fillId="16" borderId="82" xfId="113" applyFont="1" applyFill="1" applyBorder="1" applyAlignment="1">
      <alignment horizontal="center" vertical="center" wrapText="1"/>
    </xf>
    <xf numFmtId="165" fontId="4" fillId="0" borderId="80" xfId="113" applyNumberFormat="1" applyFont="1" applyBorder="1" applyAlignment="1">
      <alignment horizontal="center" vertical="center" wrapText="1"/>
    </xf>
    <xf numFmtId="165" fontId="4" fillId="0" borderId="8" xfId="113" applyNumberFormat="1" applyFont="1" applyBorder="1" applyAlignment="1">
      <alignment horizontal="center" vertical="center" wrapText="1"/>
    </xf>
    <xf numFmtId="165" fontId="4" fillId="0" borderId="82" xfId="113" applyNumberFormat="1" applyFont="1" applyBorder="1" applyAlignment="1">
      <alignment horizontal="center" vertical="center" wrapText="1"/>
    </xf>
    <xf numFmtId="165" fontId="4" fillId="0" borderId="86" xfId="113" applyNumberFormat="1" applyFont="1" applyBorder="1" applyAlignment="1">
      <alignment horizontal="center" vertical="center" wrapText="1"/>
    </xf>
    <xf numFmtId="165" fontId="4" fillId="0" borderId="83" xfId="113" applyNumberFormat="1" applyFont="1" applyBorder="1" applyAlignment="1">
      <alignment horizontal="center" vertical="center" wrapText="1"/>
    </xf>
    <xf numFmtId="0" fontId="43" fillId="2" borderId="81" xfId="113" applyFont="1" applyFill="1" applyBorder="1" applyAlignment="1">
      <alignment horizontal="center" vertical="center" wrapText="1"/>
    </xf>
    <xf numFmtId="0" fontId="43" fillId="2" borderId="81" xfId="113" applyFont="1" applyFill="1" applyBorder="1" applyAlignment="1">
      <alignment horizontal="center" vertical="center"/>
    </xf>
    <xf numFmtId="0" fontId="43" fillId="2" borderId="80" xfId="113" applyFont="1" applyFill="1" applyBorder="1" applyAlignment="1">
      <alignment horizontal="center" vertical="center" wrapText="1"/>
    </xf>
    <xf numFmtId="0" fontId="43" fillId="2" borderId="8" xfId="113" applyFont="1" applyFill="1" applyBorder="1" applyAlignment="1">
      <alignment horizontal="center" vertical="center" wrapText="1"/>
    </xf>
    <xf numFmtId="0" fontId="46" fillId="2" borderId="80" xfId="113" applyFont="1" applyFill="1" applyBorder="1" applyAlignment="1">
      <alignment horizontal="center" vertical="center" wrapText="1"/>
    </xf>
    <xf numFmtId="0" fontId="46" fillId="2" borderId="4" xfId="113" applyFont="1" applyFill="1" applyBorder="1" applyAlignment="1">
      <alignment horizontal="center" vertical="center" wrapText="1"/>
    </xf>
    <xf numFmtId="0" fontId="61" fillId="7" borderId="80" xfId="113" applyFont="1" applyFill="1" applyBorder="1" applyAlignment="1">
      <alignment horizontal="center" vertical="center" wrapText="1"/>
    </xf>
    <xf numFmtId="0" fontId="61" fillId="7" borderId="4" xfId="113" applyFont="1" applyFill="1" applyBorder="1" applyAlignment="1">
      <alignment horizontal="center" vertical="center" wrapText="1"/>
    </xf>
    <xf numFmtId="0" fontId="4" fillId="15" borderId="0" xfId="113" applyFill="1" applyAlignment="1">
      <alignment horizontal="center" vertical="center" wrapText="1"/>
    </xf>
    <xf numFmtId="0" fontId="4" fillId="0" borderId="0" xfId="113" applyAlignment="1">
      <alignment horizontal="center" vertical="center" wrapText="1"/>
    </xf>
    <xf numFmtId="165" fontId="4" fillId="0" borderId="82" xfId="113" applyNumberFormat="1" applyFont="1" applyBorder="1" applyAlignment="1">
      <alignment horizontal="center" vertical="center"/>
    </xf>
    <xf numFmtId="165" fontId="4" fillId="0" borderId="86" xfId="113" applyNumberFormat="1" applyFont="1" applyBorder="1" applyAlignment="1">
      <alignment horizontal="center" vertical="center"/>
    </xf>
    <xf numFmtId="165" fontId="4" fillId="0" borderId="83" xfId="113" applyNumberFormat="1" applyFont="1" applyBorder="1" applyAlignment="1">
      <alignment horizontal="center" vertical="center"/>
    </xf>
    <xf numFmtId="0" fontId="44" fillId="2" borderId="0" xfId="113" applyFont="1" applyFill="1" applyAlignment="1">
      <alignment horizontal="center"/>
    </xf>
    <xf numFmtId="0" fontId="44" fillId="2" borderId="80" xfId="113" applyFont="1" applyFill="1" applyBorder="1" applyAlignment="1">
      <alignment horizontal="center" vertical="center" wrapText="1"/>
    </xf>
    <xf numFmtId="0" fontId="44" fillId="2" borderId="8" xfId="113" applyFont="1" applyFill="1" applyBorder="1" applyAlignment="1">
      <alignment horizontal="center" vertical="center" wrapText="1"/>
    </xf>
    <xf numFmtId="0" fontId="13" fillId="2" borderId="80" xfId="113" applyFont="1" applyFill="1" applyBorder="1" applyAlignment="1">
      <alignment horizontal="center" vertical="center" wrapText="1"/>
    </xf>
    <xf numFmtId="0" fontId="13" fillId="2" borderId="8" xfId="113" applyFont="1" applyFill="1" applyBorder="1" applyAlignment="1">
      <alignment horizontal="center" vertical="center" wrapText="1"/>
    </xf>
    <xf numFmtId="0" fontId="43" fillId="2" borderId="82" xfId="113" applyFont="1" applyFill="1" applyBorder="1" applyAlignment="1">
      <alignment horizontal="center" vertical="center" wrapText="1"/>
    </xf>
    <xf numFmtId="0" fontId="43" fillId="2" borderId="83" xfId="113" applyFont="1" applyFill="1" applyBorder="1" applyAlignment="1">
      <alignment horizontal="center" vertical="center" wrapText="1"/>
    </xf>
    <xf numFmtId="0" fontId="43" fillId="2" borderId="84" xfId="113" applyFont="1" applyFill="1" applyBorder="1" applyAlignment="1">
      <alignment horizontal="center" vertical="center" wrapText="1"/>
    </xf>
    <xf numFmtId="0" fontId="43" fillId="2" borderId="85" xfId="113" applyFont="1" applyFill="1" applyBorder="1" applyAlignment="1">
      <alignment horizontal="center" vertical="center" wrapText="1"/>
    </xf>
    <xf numFmtId="0" fontId="44" fillId="2" borderId="0" xfId="15" applyFont="1" applyFill="1" applyAlignment="1">
      <alignment horizontal="center"/>
    </xf>
    <xf numFmtId="0" fontId="43" fillId="2" borderId="6" xfId="15" applyFont="1" applyFill="1" applyBorder="1" applyAlignment="1">
      <alignment horizontal="center" vertical="center" wrapText="1"/>
    </xf>
    <xf numFmtId="0" fontId="43" fillId="2" borderId="8" xfId="15" applyFont="1" applyFill="1" applyBorder="1" applyAlignment="1">
      <alignment horizontal="center" vertical="center" wrapText="1"/>
    </xf>
    <xf numFmtId="0" fontId="44" fillId="2" borderId="6" xfId="15" applyFont="1" applyFill="1" applyBorder="1" applyAlignment="1">
      <alignment horizontal="center" vertical="center" wrapText="1"/>
    </xf>
    <xf numFmtId="0" fontId="44" fillId="2" borderId="8" xfId="15" applyFont="1" applyFill="1" applyBorder="1" applyAlignment="1">
      <alignment horizontal="center" vertical="center" wrapText="1"/>
    </xf>
    <xf numFmtId="0" fontId="13" fillId="2" borderId="6" xfId="15" applyFont="1" applyFill="1" applyBorder="1" applyAlignment="1">
      <alignment horizontal="center" vertical="center" wrapText="1"/>
    </xf>
    <xf numFmtId="0" fontId="13" fillId="2" borderId="8" xfId="15" applyFont="1" applyFill="1" applyBorder="1" applyAlignment="1">
      <alignment horizontal="center" vertical="center" wrapText="1"/>
    </xf>
    <xf numFmtId="0" fontId="43" fillId="2" borderId="2" xfId="15" applyFont="1" applyFill="1" applyBorder="1" applyAlignment="1">
      <alignment horizontal="center" vertical="center" wrapText="1"/>
    </xf>
    <xf numFmtId="0" fontId="43" fillId="2" borderId="5" xfId="15" applyFont="1" applyFill="1" applyBorder="1" applyAlignment="1">
      <alignment horizontal="center" vertical="center" wrapText="1"/>
    </xf>
    <xf numFmtId="0" fontId="43" fillId="2" borderId="10" xfId="15" applyFont="1" applyFill="1" applyBorder="1" applyAlignment="1">
      <alignment horizontal="center" vertical="center" wrapText="1"/>
    </xf>
    <xf numFmtId="0" fontId="43" fillId="2" borderId="28" xfId="15" applyFont="1" applyFill="1" applyBorder="1" applyAlignment="1">
      <alignment horizontal="center" vertical="center" wrapText="1"/>
    </xf>
    <xf numFmtId="0" fontId="4" fillId="0" borderId="1" xfId="15" applyFont="1" applyBorder="1" applyAlignment="1">
      <alignment horizontal="center" vertical="center" wrapText="1"/>
    </xf>
    <xf numFmtId="0" fontId="49" fillId="16" borderId="2" xfId="15" applyFont="1" applyFill="1" applyBorder="1" applyAlignment="1">
      <alignment horizontal="center" wrapText="1"/>
    </xf>
    <xf numFmtId="0" fontId="49" fillId="16" borderId="3" xfId="15" applyFont="1" applyFill="1" applyBorder="1" applyAlignment="1">
      <alignment horizontal="center" wrapText="1"/>
    </xf>
    <xf numFmtId="0" fontId="49" fillId="16" borderId="5" xfId="15" applyFont="1" applyFill="1" applyBorder="1" applyAlignment="1">
      <alignment horizontal="center" wrapText="1"/>
    </xf>
    <xf numFmtId="171" fontId="42" fillId="0" borderId="0" xfId="15" applyNumberFormat="1" applyFont="1" applyAlignment="1">
      <alignment horizontal="center" vertical="center"/>
    </xf>
    <xf numFmtId="165" fontId="4" fillId="0" borderId="2" xfId="15" applyNumberFormat="1" applyFont="1" applyBorder="1" applyAlignment="1">
      <alignment horizontal="center" vertical="center" wrapText="1"/>
    </xf>
    <xf numFmtId="165" fontId="4" fillId="0" borderId="3" xfId="15" applyNumberFormat="1" applyFont="1" applyBorder="1" applyAlignment="1">
      <alignment horizontal="center" vertical="center" wrapText="1"/>
    </xf>
    <xf numFmtId="165" fontId="4" fillId="0" borderId="5" xfId="15" applyNumberFormat="1" applyFont="1" applyBorder="1" applyAlignment="1">
      <alignment horizontal="center" vertical="center" wrapText="1"/>
    </xf>
    <xf numFmtId="0" fontId="43" fillId="2" borderId="1" xfId="15" applyFont="1" applyFill="1" applyBorder="1" applyAlignment="1">
      <alignment horizontal="center" vertical="center" wrapText="1"/>
    </xf>
    <xf numFmtId="0" fontId="43" fillId="2" borderId="1" xfId="15" applyFont="1" applyFill="1" applyBorder="1" applyAlignment="1">
      <alignment horizontal="center" vertical="center"/>
    </xf>
    <xf numFmtId="0" fontId="47" fillId="0" borderId="6" xfId="15" applyFont="1" applyBorder="1" applyAlignment="1">
      <alignment horizontal="center" vertical="center" wrapText="1"/>
    </xf>
    <xf numFmtId="0" fontId="47" fillId="0" borderId="8" xfId="15" applyFont="1" applyBorder="1" applyAlignment="1">
      <alignment horizontal="center" vertical="center" wrapText="1"/>
    </xf>
    <xf numFmtId="0" fontId="46" fillId="2" borderId="6" xfId="15" applyFont="1" applyFill="1" applyBorder="1" applyAlignment="1">
      <alignment horizontal="center" vertical="center" wrapText="1"/>
    </xf>
    <xf numFmtId="0" fontId="46" fillId="2" borderId="4" xfId="15" applyFont="1" applyFill="1" applyBorder="1" applyAlignment="1">
      <alignment horizontal="center" vertical="center" wrapText="1"/>
    </xf>
    <xf numFmtId="0" fontId="4" fillId="15" borderId="0" xfId="15" applyFill="1" applyAlignment="1">
      <alignment horizontal="center" vertical="center" wrapText="1"/>
    </xf>
    <xf numFmtId="0" fontId="4" fillId="0" borderId="0" xfId="15" applyAlignment="1">
      <alignment horizontal="center" vertical="center" wrapText="1"/>
    </xf>
    <xf numFmtId="165" fontId="4" fillId="0" borderId="2" xfId="15" applyNumberFormat="1" applyFont="1" applyBorder="1" applyAlignment="1">
      <alignment horizontal="center" vertical="center"/>
    </xf>
    <xf numFmtId="165" fontId="4" fillId="0" borderId="3" xfId="15" applyNumberFormat="1" applyFont="1" applyBorder="1" applyAlignment="1">
      <alignment horizontal="center" vertical="center"/>
    </xf>
    <xf numFmtId="165" fontId="4" fillId="0" borderId="5" xfId="15" applyNumberFormat="1" applyFont="1" applyBorder="1" applyAlignment="1">
      <alignment horizontal="center" vertical="center"/>
    </xf>
    <xf numFmtId="165" fontId="4" fillId="0" borderId="6" xfId="15" applyNumberFormat="1" applyFont="1" applyBorder="1" applyAlignment="1">
      <alignment horizontal="center" vertical="center" wrapText="1"/>
    </xf>
    <xf numFmtId="165" fontId="4" fillId="0" borderId="8" xfId="15" applyNumberFormat="1" applyFont="1" applyBorder="1" applyAlignment="1">
      <alignment horizontal="center" vertical="center" wrapText="1"/>
    </xf>
    <xf numFmtId="0" fontId="149" fillId="0" borderId="216" xfId="95" applyFont="1" applyBorder="1" applyAlignment="1">
      <alignment horizontal="center" vertical="center" wrapText="1"/>
    </xf>
    <xf numFmtId="0" fontId="34" fillId="0" borderId="0" xfId="0" applyNumberFormat="1" applyFont="1" applyAlignment="1">
      <alignment horizontal="left" vertical="top" wrapText="1"/>
    </xf>
    <xf numFmtId="0" fontId="34" fillId="22" borderId="207" xfId="0" applyNumberFormat="1" applyFont="1" applyFill="1" applyBorder="1" applyAlignment="1">
      <alignment horizontal="left" vertical="top" wrapText="1"/>
    </xf>
    <xf numFmtId="0" fontId="34" fillId="22" borderId="209" xfId="0" applyNumberFormat="1" applyFont="1" applyFill="1" applyBorder="1" applyAlignment="1">
      <alignment horizontal="left" vertical="top" wrapText="1"/>
    </xf>
    <xf numFmtId="0" fontId="34" fillId="22" borderId="0" xfId="0" applyNumberFormat="1" applyFont="1" applyFill="1" applyAlignment="1">
      <alignment horizontal="left" vertical="top" wrapText="1"/>
    </xf>
    <xf numFmtId="0" fontId="34" fillId="22" borderId="210" xfId="0" applyNumberFormat="1" applyFont="1" applyFill="1" applyBorder="1" applyAlignment="1">
      <alignment horizontal="left" vertical="top" wrapText="1"/>
    </xf>
    <xf numFmtId="0" fontId="34" fillId="22" borderId="213" xfId="0" applyNumberFormat="1" applyFont="1" applyFill="1" applyBorder="1" applyAlignment="1">
      <alignment horizontal="left" vertical="top" wrapText="1"/>
    </xf>
    <xf numFmtId="0" fontId="34" fillId="22" borderId="214" xfId="0" applyNumberFormat="1" applyFont="1" applyFill="1" applyBorder="1" applyAlignment="1">
      <alignment horizontal="left" vertical="top" wrapText="1"/>
    </xf>
    <xf numFmtId="0" fontId="34" fillId="22" borderId="215" xfId="0" applyNumberFormat="1" applyFont="1" applyFill="1" applyBorder="1" applyAlignment="1">
      <alignment horizontal="left" vertical="top" wrapText="1"/>
    </xf>
    <xf numFmtId="0" fontId="34" fillId="22" borderId="211" xfId="0" applyNumberFormat="1" applyFont="1" applyFill="1" applyBorder="1" applyAlignment="1">
      <alignment horizontal="left" vertical="top" wrapText="1"/>
    </xf>
    <xf numFmtId="0" fontId="34" fillId="22" borderId="212" xfId="0" applyNumberFormat="1" applyFont="1" applyFill="1" applyBorder="1" applyAlignment="1">
      <alignment horizontal="left" vertical="top" wrapText="1"/>
    </xf>
    <xf numFmtId="0" fontId="34" fillId="22" borderId="207" xfId="0" applyNumberFormat="1" applyFont="1" applyFill="1" applyBorder="1" applyAlignment="1">
      <alignment horizontal="left" vertical="top"/>
    </xf>
    <xf numFmtId="0" fontId="34" fillId="22" borderId="212" xfId="0" applyNumberFormat="1" applyFont="1" applyFill="1" applyBorder="1" applyAlignment="1">
      <alignment horizontal="left" vertical="top"/>
    </xf>
    <xf numFmtId="0" fontId="0" fillId="6" borderId="208" xfId="0" applyNumberFormat="1" applyFont="1" applyFill="1" applyBorder="1" applyAlignment="1">
      <alignment horizontal="left" vertical="top" wrapText="1"/>
    </xf>
    <xf numFmtId="0" fontId="0" fillId="6" borderId="208" xfId="0" applyNumberFormat="1" applyFont="1" applyFill="1" applyBorder="1" applyAlignment="1">
      <alignment horizontal="left" vertical="top" wrapText="1" indent="2"/>
    </xf>
    <xf numFmtId="0" fontId="0" fillId="6" borderId="208" xfId="0" applyNumberFormat="1" applyFont="1" applyFill="1" applyBorder="1" applyAlignment="1">
      <alignment horizontal="left" vertical="top" wrapText="1" indent="8"/>
    </xf>
    <xf numFmtId="0" fontId="0" fillId="13" borderId="208" xfId="0" applyNumberFormat="1" applyFont="1" applyFill="1" applyBorder="1" applyAlignment="1">
      <alignment horizontal="left" vertical="top" wrapText="1" indent="10"/>
    </xf>
    <xf numFmtId="0" fontId="0" fillId="2" borderId="208" xfId="0" applyNumberFormat="1" applyFont="1" applyFill="1" applyBorder="1" applyAlignment="1">
      <alignment horizontal="left" vertical="top" wrapText="1" indent="12"/>
    </xf>
    <xf numFmtId="0" fontId="0" fillId="2" borderId="208" xfId="0" applyNumberFormat="1" applyFont="1" applyFill="1" applyBorder="1" applyAlignment="1">
      <alignment horizontal="left" vertical="top" wrapText="1" indent="14"/>
    </xf>
    <xf numFmtId="0" fontId="0" fillId="6" borderId="208" xfId="0" applyNumberFormat="1" applyFont="1" applyFill="1" applyBorder="1" applyAlignment="1">
      <alignment horizontal="left" vertical="top" wrapText="1" indent="4"/>
    </xf>
    <xf numFmtId="0" fontId="0" fillId="6" borderId="208" xfId="0" applyNumberFormat="1" applyFont="1" applyFill="1" applyBorder="1" applyAlignment="1">
      <alignment horizontal="left" vertical="top" wrapText="1" indent="6"/>
    </xf>
    <xf numFmtId="0" fontId="0" fillId="0" borderId="208" xfId="0" applyNumberFormat="1" applyFont="1" applyBorder="1" applyAlignment="1">
      <alignment horizontal="left" vertical="top" wrapText="1" indent="12"/>
    </xf>
    <xf numFmtId="0" fontId="0" fillId="0" borderId="208" xfId="0" applyNumberFormat="1" applyFont="1" applyBorder="1" applyAlignment="1">
      <alignment horizontal="left" vertical="top" wrapText="1"/>
    </xf>
    <xf numFmtId="0" fontId="0" fillId="2" borderId="208" xfId="0" applyNumberFormat="1" applyFont="1" applyFill="1" applyBorder="1" applyAlignment="1">
      <alignment horizontal="left" vertical="top" wrapText="1"/>
    </xf>
    <xf numFmtId="0" fontId="0" fillId="13" borderId="208" xfId="0" applyNumberFormat="1" applyFont="1" applyFill="1" applyBorder="1" applyAlignment="1">
      <alignment horizontal="left" vertical="top" wrapText="1" indent="12"/>
    </xf>
    <xf numFmtId="0" fontId="0" fillId="2" borderId="208" xfId="0" applyNumberFormat="1" applyFont="1" applyFill="1" applyBorder="1" applyAlignment="1">
      <alignment horizontal="left" vertical="top" wrapText="1" indent="10"/>
    </xf>
    <xf numFmtId="0" fontId="0" fillId="13" borderId="208" xfId="0" applyNumberFormat="1" applyFont="1" applyFill="1" applyBorder="1" applyAlignment="1">
      <alignment horizontal="left" vertical="top" wrapText="1" indent="14"/>
    </xf>
    <xf numFmtId="0" fontId="0" fillId="2" borderId="208" xfId="0" applyNumberFormat="1" applyFont="1" applyFill="1" applyBorder="1" applyAlignment="1">
      <alignment horizontal="left" vertical="top" wrapText="1" indent="6"/>
    </xf>
    <xf numFmtId="0" fontId="0" fillId="2" borderId="208" xfId="0" applyNumberFormat="1" applyFont="1" applyFill="1" applyBorder="1" applyAlignment="1">
      <alignment horizontal="left" vertical="top" wrapText="1" indent="8"/>
    </xf>
    <xf numFmtId="0" fontId="0" fillId="13" borderId="208" xfId="0" applyNumberFormat="1" applyFont="1" applyFill="1" applyBorder="1" applyAlignment="1">
      <alignment horizontal="left" vertical="top" wrapText="1" indent="4"/>
    </xf>
    <xf numFmtId="0" fontId="22" fillId="0" borderId="82" xfId="106" applyNumberFormat="1" applyFont="1" applyBorder="1" applyAlignment="1">
      <alignment horizontal="center" vertical="top" wrapText="1"/>
    </xf>
    <xf numFmtId="0" fontId="22" fillId="0" borderId="83" xfId="106" applyNumberFormat="1" applyFont="1" applyBorder="1" applyAlignment="1">
      <alignment horizontal="center" vertical="top" wrapText="1"/>
    </xf>
    <xf numFmtId="0" fontId="143" fillId="0" borderId="81" xfId="62" applyFont="1" applyFill="1" applyBorder="1" applyAlignment="1">
      <alignment horizontal="center"/>
    </xf>
    <xf numFmtId="0" fontId="105" fillId="0" borderId="82" xfId="62" applyFont="1" applyFill="1" applyBorder="1" applyAlignment="1">
      <alignment horizontal="center"/>
    </xf>
    <xf numFmtId="0" fontId="105" fillId="0" borderId="86" xfId="62" applyFont="1" applyFill="1" applyBorder="1" applyAlignment="1">
      <alignment horizontal="center"/>
    </xf>
    <xf numFmtId="0" fontId="105" fillId="0" borderId="83" xfId="62" applyFont="1" applyFill="1" applyBorder="1" applyAlignment="1">
      <alignment horizontal="center"/>
    </xf>
    <xf numFmtId="0" fontId="105" fillId="0" borderId="8" xfId="62" applyFont="1" applyFill="1" applyBorder="1" applyAlignment="1">
      <alignment horizontal="center"/>
    </xf>
    <xf numFmtId="0" fontId="105" fillId="0" borderId="81" xfId="62" applyFont="1" applyFill="1" applyBorder="1" applyAlignment="1">
      <alignment horizontal="center"/>
    </xf>
    <xf numFmtId="1" fontId="136" fillId="0" borderId="81" xfId="62" applyNumberFormat="1" applyFont="1" applyFill="1" applyBorder="1" applyAlignment="1">
      <alignment horizontal="center" vertical="top" wrapText="1"/>
    </xf>
    <xf numFmtId="0" fontId="135" fillId="0" borderId="0" xfId="62" applyNumberFormat="1" applyFont="1" applyFill="1" applyAlignment="1">
      <alignment horizontal="left" wrapText="1"/>
    </xf>
    <xf numFmtId="0" fontId="136" fillId="0" borderId="80" xfId="62" applyNumberFormat="1" applyFont="1" applyFill="1" applyBorder="1" applyAlignment="1">
      <alignment horizontal="center" vertical="top" wrapText="1"/>
    </xf>
    <xf numFmtId="0" fontId="136" fillId="0" borderId="8" xfId="62" applyNumberFormat="1" applyFont="1" applyFill="1" applyBorder="1" applyAlignment="1">
      <alignment horizontal="center" vertical="top" wrapText="1"/>
    </xf>
    <xf numFmtId="1" fontId="136" fillId="0" borderId="81" xfId="62" applyNumberFormat="1" applyFont="1" applyFill="1" applyBorder="1" applyAlignment="1">
      <alignment horizontal="left" vertical="top" wrapText="1" indent="1"/>
    </xf>
    <xf numFmtId="1" fontId="136" fillId="0" borderId="80" xfId="62" applyNumberFormat="1" applyFont="1" applyFill="1" applyBorder="1" applyAlignment="1">
      <alignment horizontal="left" vertical="top" wrapText="1" indent="1"/>
    </xf>
    <xf numFmtId="1" fontId="136" fillId="0" borderId="8" xfId="62" applyNumberFormat="1" applyFont="1" applyFill="1" applyBorder="1" applyAlignment="1">
      <alignment horizontal="left" vertical="top" wrapText="1" indent="1"/>
    </xf>
    <xf numFmtId="0" fontId="22" fillId="0" borderId="82" xfId="108" applyNumberFormat="1" applyFont="1" applyBorder="1" applyAlignment="1">
      <alignment horizontal="center" vertical="center" wrapText="1"/>
    </xf>
    <xf numFmtId="0" fontId="22" fillId="0" borderId="83" xfId="108" applyNumberFormat="1" applyFont="1" applyBorder="1" applyAlignment="1">
      <alignment horizontal="center" vertical="center" wrapText="1"/>
    </xf>
    <xf numFmtId="0" fontId="22" fillId="0" borderId="2" xfId="108" applyNumberFormat="1" applyFont="1" applyBorder="1" applyAlignment="1">
      <alignment horizontal="center" vertical="center" wrapText="1"/>
    </xf>
    <xf numFmtId="0" fontId="22" fillId="0" borderId="5" xfId="108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8" fillId="0" borderId="82" xfId="95" applyFont="1" applyBorder="1" applyAlignment="1">
      <alignment horizontal="center" vertical="center" wrapText="1"/>
    </xf>
    <xf numFmtId="0" fontId="8" fillId="0" borderId="83" xfId="95" applyFont="1" applyBorder="1" applyAlignment="1">
      <alignment horizontal="center" vertical="center" wrapText="1"/>
    </xf>
    <xf numFmtId="0" fontId="8" fillId="0" borderId="80" xfId="95" applyFont="1" applyBorder="1" applyAlignment="1">
      <alignment horizontal="center" vertical="center" wrapText="1"/>
    </xf>
    <xf numFmtId="0" fontId="8" fillId="0" borderId="8" xfId="95" applyFont="1" applyBorder="1" applyAlignment="1">
      <alignment horizontal="center" vertical="center" wrapText="1"/>
    </xf>
    <xf numFmtId="0" fontId="8" fillId="0" borderId="80" xfId="95" applyFont="1" applyFill="1" applyBorder="1" applyAlignment="1">
      <alignment horizontal="center" vertical="center" wrapText="1"/>
    </xf>
    <xf numFmtId="0" fontId="8" fillId="0" borderId="8" xfId="95" applyFont="1" applyFill="1" applyBorder="1" applyAlignment="1">
      <alignment horizontal="center" vertical="center" wrapText="1"/>
    </xf>
    <xf numFmtId="0" fontId="8" fillId="0" borderId="81" xfId="95" applyFont="1" applyBorder="1" applyAlignment="1">
      <alignment horizontal="center" vertical="center" wrapText="1"/>
    </xf>
    <xf numFmtId="0" fontId="47" fillId="31" borderId="82" xfId="95" applyFont="1" applyFill="1" applyBorder="1" applyAlignment="1">
      <alignment horizontal="center" vertical="center"/>
    </xf>
    <xf numFmtId="0" fontId="47" fillId="31" borderId="86" xfId="95" applyFont="1" applyFill="1" applyBorder="1" applyAlignment="1">
      <alignment horizontal="center" vertical="center"/>
    </xf>
    <xf numFmtId="0" fontId="47" fillId="31" borderId="83" xfId="95" applyFont="1" applyFill="1" applyBorder="1" applyAlignment="1">
      <alignment horizontal="center" vertical="center"/>
    </xf>
    <xf numFmtId="0" fontId="47" fillId="32" borderId="82" xfId="95" applyFont="1" applyFill="1" applyBorder="1" applyAlignment="1">
      <alignment horizontal="center" vertical="center"/>
    </xf>
    <xf numFmtId="0" fontId="47" fillId="32" borderId="86" xfId="95" applyFont="1" applyFill="1" applyBorder="1" applyAlignment="1">
      <alignment horizontal="center" vertical="center"/>
    </xf>
    <xf numFmtId="0" fontId="47" fillId="32" borderId="83" xfId="95" applyFont="1" applyFill="1" applyBorder="1" applyAlignment="1">
      <alignment horizontal="center" vertical="center"/>
    </xf>
    <xf numFmtId="0" fontId="47" fillId="33" borderId="82" xfId="95" applyFont="1" applyFill="1" applyBorder="1" applyAlignment="1">
      <alignment horizontal="center" vertical="center"/>
    </xf>
    <xf numFmtId="0" fontId="47" fillId="33" borderId="86" xfId="95" applyFont="1" applyFill="1" applyBorder="1" applyAlignment="1">
      <alignment horizontal="center" vertical="center"/>
    </xf>
    <xf numFmtId="0" fontId="47" fillId="33" borderId="83" xfId="95" applyFont="1" applyFill="1" applyBorder="1" applyAlignment="1">
      <alignment horizontal="center" vertical="center"/>
    </xf>
    <xf numFmtId="0" fontId="47" fillId="34" borderId="81" xfId="95" applyFont="1" applyFill="1" applyBorder="1" applyAlignment="1">
      <alignment horizontal="center" vertical="center"/>
    </xf>
    <xf numFmtId="0" fontId="4" fillId="11" borderId="81" xfId="95" applyFill="1" applyBorder="1" applyAlignment="1">
      <alignment horizontal="center" vertical="center"/>
    </xf>
    <xf numFmtId="0" fontId="4" fillId="7" borderId="82" xfId="95" applyFill="1" applyBorder="1" applyAlignment="1">
      <alignment horizontal="center" vertical="center" wrapText="1"/>
    </xf>
    <xf numFmtId="0" fontId="4" fillId="7" borderId="86" xfId="95" applyFill="1" applyBorder="1" applyAlignment="1">
      <alignment horizontal="center" vertical="center" wrapText="1"/>
    </xf>
    <xf numFmtId="0" fontId="78" fillId="0" borderId="81" xfId="62" applyFont="1" applyBorder="1" applyAlignment="1">
      <alignment horizontal="center" vertical="center" wrapText="1"/>
    </xf>
    <xf numFmtId="0" fontId="163" fillId="0" borderId="82" xfId="59" applyFont="1" applyBorder="1" applyAlignment="1">
      <alignment vertical="center" wrapText="1"/>
    </xf>
    <xf numFmtId="0" fontId="104" fillId="0" borderId="83" xfId="58" applyFont="1" applyBorder="1" applyAlignment="1">
      <alignment vertical="center" wrapText="1"/>
    </xf>
    <xf numFmtId="0" fontId="160" fillId="0" borderId="81" xfId="59" applyFont="1" applyBorder="1" applyAlignment="1">
      <alignment horizontal="center" vertical="center" wrapText="1"/>
    </xf>
    <xf numFmtId="171" fontId="78" fillId="0" borderId="81" xfId="62" applyNumberFormat="1" applyFont="1" applyBorder="1" applyAlignment="1">
      <alignment horizontal="center" vertical="center" wrapText="1"/>
    </xf>
    <xf numFmtId="0" fontId="78" fillId="0" borderId="82" xfId="62" applyFont="1" applyBorder="1" applyAlignment="1">
      <alignment horizontal="center" vertical="center" wrapText="1"/>
    </xf>
    <xf numFmtId="0" fontId="78" fillId="0" borderId="83" xfId="62" applyFont="1" applyBorder="1" applyAlignment="1">
      <alignment horizontal="center" vertical="center" wrapText="1"/>
    </xf>
    <xf numFmtId="0" fontId="10" fillId="0" borderId="0" xfId="62" applyNumberFormat="1" applyFont="1" applyAlignment="1">
      <alignment horizontal="left" wrapText="1"/>
    </xf>
    <xf numFmtId="0" fontId="94" fillId="0" borderId="0" xfId="62" applyNumberFormat="1" applyFont="1" applyAlignment="1">
      <alignment horizontal="left" wrapText="1"/>
    </xf>
    <xf numFmtId="0" fontId="159" fillId="0" borderId="81" xfId="111" applyFont="1" applyBorder="1" applyAlignment="1">
      <alignment horizontal="center" vertical="center" wrapText="1"/>
    </xf>
    <xf numFmtId="4" fontId="10" fillId="11" borderId="81" xfId="62" applyNumberFormat="1" applyFont="1" applyFill="1" applyBorder="1" applyAlignment="1">
      <alignment horizontal="center" vertical="center" wrapText="1"/>
    </xf>
    <xf numFmtId="4" fontId="138" fillId="11" borderId="0" xfId="111" applyNumberFormat="1" applyFont="1" applyFill="1" applyBorder="1" applyAlignment="1">
      <alignment horizontal="center" vertical="center" wrapText="1"/>
    </xf>
    <xf numFmtId="169" fontId="25" fillId="0" borderId="141" xfId="62" applyNumberFormat="1" applyFont="1" applyBorder="1" applyAlignment="1">
      <alignment vertical="top" wrapText="1"/>
    </xf>
    <xf numFmtId="169" fontId="10" fillId="12" borderId="144" xfId="62" applyNumberFormat="1" applyFont="1" applyFill="1" applyBorder="1" applyAlignment="1">
      <alignment vertical="top" wrapText="1"/>
    </xf>
    <xf numFmtId="169" fontId="25" fillId="10" borderId="141" xfId="62" applyNumberFormat="1" applyFont="1" applyFill="1" applyBorder="1" applyAlignment="1">
      <alignment vertical="top" wrapText="1"/>
    </xf>
    <xf numFmtId="169" fontId="25" fillId="31" borderId="141" xfId="62" applyNumberFormat="1" applyFont="1" applyFill="1" applyBorder="1" applyAlignment="1">
      <alignment vertical="top" wrapText="1"/>
    </xf>
    <xf numFmtId="169" fontId="37" fillId="0" borderId="81" xfId="62" applyNumberFormat="1" applyFont="1" applyBorder="1" applyAlignment="1">
      <alignment horizontal="center"/>
    </xf>
    <xf numFmtId="171" fontId="78" fillId="0" borderId="80" xfId="62" applyNumberFormat="1" applyFont="1" applyBorder="1" applyAlignment="1">
      <alignment horizontal="center" vertical="center" wrapText="1"/>
    </xf>
    <xf numFmtId="171" fontId="78" fillId="0" borderId="8" xfId="62" applyNumberFormat="1" applyFont="1" applyBorder="1" applyAlignment="1">
      <alignment horizontal="center" vertical="center" wrapText="1"/>
    </xf>
    <xf numFmtId="171" fontId="78" fillId="0" borderId="0" xfId="62" applyNumberFormat="1" applyFont="1" applyAlignment="1">
      <alignment horizontal="center" vertical="center" wrapText="1"/>
    </xf>
    <xf numFmtId="169" fontId="25" fillId="0" borderId="134" xfId="62" applyNumberFormat="1" applyFont="1" applyBorder="1" applyAlignment="1">
      <alignment vertical="top" wrapText="1"/>
    </xf>
    <xf numFmtId="169" fontId="25" fillId="10" borderId="134" xfId="62" applyNumberFormat="1" applyFont="1" applyFill="1" applyBorder="1" applyAlignment="1">
      <alignment vertical="top" wrapText="1"/>
    </xf>
    <xf numFmtId="169" fontId="25" fillId="31" borderId="134" xfId="62" applyNumberFormat="1" applyFont="1" applyFill="1" applyBorder="1" applyAlignment="1">
      <alignment vertical="top" wrapText="1"/>
    </xf>
    <xf numFmtId="4" fontId="138" fillId="11" borderId="81" xfId="111" applyNumberFormat="1" applyFont="1" applyFill="1" applyBorder="1" applyAlignment="1">
      <alignment horizontal="center" vertical="center" wrapText="1"/>
    </xf>
    <xf numFmtId="0" fontId="10" fillId="11" borderId="81" xfId="62" applyFont="1" applyFill="1" applyBorder="1" applyAlignment="1">
      <alignment horizontal="center" vertical="center" wrapText="1"/>
    </xf>
    <xf numFmtId="169" fontId="3" fillId="12" borderId="80" xfId="62" applyNumberFormat="1" applyFont="1" applyFill="1" applyBorder="1" applyAlignment="1">
      <alignment horizontal="center" vertical="center" wrapText="1"/>
    </xf>
    <xf numFmtId="169" fontId="3" fillId="12" borderId="136" xfId="62" applyNumberFormat="1" applyFont="1" applyFill="1" applyBorder="1" applyAlignment="1">
      <alignment horizontal="center" vertical="center" wrapText="1"/>
    </xf>
    <xf numFmtId="169" fontId="3" fillId="12" borderId="138" xfId="62" applyNumberFormat="1" applyFont="1" applyFill="1" applyBorder="1" applyAlignment="1">
      <alignment horizontal="left" vertical="top" wrapText="1" indent="1"/>
    </xf>
    <xf numFmtId="169" fontId="37" fillId="0" borderId="0" xfId="62" applyNumberFormat="1" applyFont="1" applyAlignment="1">
      <alignment horizontal="left" vertical="top" wrapText="1"/>
    </xf>
    <xf numFmtId="0" fontId="3" fillId="12" borderId="80" xfId="62" applyNumberFormat="1" applyFont="1" applyFill="1" applyBorder="1" applyAlignment="1">
      <alignment horizontal="center" vertical="center" wrapText="1"/>
    </xf>
    <xf numFmtId="0" fontId="3" fillId="12" borderId="136" xfId="62" applyNumberFormat="1" applyFont="1" applyFill="1" applyBorder="1" applyAlignment="1">
      <alignment horizontal="center" vertical="center" wrapText="1"/>
    </xf>
    <xf numFmtId="169" fontId="3" fillId="12" borderId="82" xfId="62" applyNumberFormat="1" applyFont="1" applyFill="1" applyBorder="1" applyAlignment="1">
      <alignment horizontal="center" vertical="center" wrapText="1"/>
    </xf>
    <xf numFmtId="169" fontId="3" fillId="12" borderId="83" xfId="62" applyNumberFormat="1" applyFont="1" applyFill="1" applyBorder="1" applyAlignment="1">
      <alignment horizontal="center" vertical="center" wrapText="1"/>
    </xf>
    <xf numFmtId="0" fontId="31" fillId="0" borderId="150" xfId="194" applyNumberFormat="1" applyFont="1" applyBorder="1" applyAlignment="1">
      <alignment horizontal="left" vertical="top" wrapText="1" indent="8"/>
    </xf>
    <xf numFmtId="0" fontId="31" fillId="0" borderId="150" xfId="194" applyNumberFormat="1" applyFont="1" applyBorder="1" applyAlignment="1">
      <alignment horizontal="left" vertical="top" wrapText="1" indent="12"/>
    </xf>
    <xf numFmtId="0" fontId="31" fillId="0" borderId="150" xfId="194" applyNumberFormat="1" applyFont="1" applyBorder="1" applyAlignment="1">
      <alignment horizontal="left" vertical="top" wrapText="1" indent="10"/>
    </xf>
    <xf numFmtId="0" fontId="31" fillId="10" borderId="150" xfId="194" applyNumberFormat="1" applyFont="1" applyFill="1" applyBorder="1" applyAlignment="1">
      <alignment horizontal="left" vertical="top" wrapText="1" indent="6"/>
    </xf>
    <xf numFmtId="0" fontId="31" fillId="10" borderId="150" xfId="194" applyNumberFormat="1" applyFont="1" applyFill="1" applyBorder="1" applyAlignment="1">
      <alignment horizontal="left" vertical="top" wrapText="1" indent="10"/>
    </xf>
    <xf numFmtId="0" fontId="31" fillId="10" borderId="150" xfId="194" applyNumberFormat="1" applyFont="1" applyFill="1" applyBorder="1" applyAlignment="1">
      <alignment horizontal="left" vertical="top" wrapText="1" indent="8"/>
    </xf>
    <xf numFmtId="0" fontId="31" fillId="0" borderId="150" xfId="194" applyNumberFormat="1" applyFont="1" applyBorder="1" applyAlignment="1">
      <alignment horizontal="left" vertical="top" wrapText="1" indent="14"/>
    </xf>
    <xf numFmtId="0" fontId="31" fillId="10" borderId="150" xfId="194" applyNumberFormat="1" applyFont="1" applyFill="1" applyBorder="1" applyAlignment="1">
      <alignment horizontal="left" vertical="top" wrapText="1" indent="12"/>
    </xf>
    <xf numFmtId="0" fontId="35" fillId="11" borderId="20" xfId="194" applyNumberFormat="1" applyFont="1" applyFill="1" applyBorder="1" applyAlignment="1">
      <alignment horizontal="left" vertical="top" wrapText="1" indent="4"/>
    </xf>
    <xf numFmtId="0" fontId="31" fillId="0" borderId="150" xfId="194" applyNumberFormat="1" applyFont="1" applyBorder="1" applyAlignment="1">
      <alignment horizontal="left" vertical="top" wrapText="1" indent="6"/>
    </xf>
    <xf numFmtId="0" fontId="102" fillId="0" borderId="146" xfId="59" applyFont="1" applyBorder="1" applyAlignment="1">
      <alignment vertical="center" wrapText="1"/>
    </xf>
    <xf numFmtId="0" fontId="111" fillId="0" borderId="147" xfId="58" applyFont="1" applyBorder="1" applyAlignment="1">
      <alignment vertical="center" wrapText="1"/>
    </xf>
    <xf numFmtId="0" fontId="160" fillId="0" borderId="145" xfId="59" applyFont="1" applyBorder="1" applyAlignment="1">
      <alignment horizontal="center" vertical="center" wrapText="1"/>
    </xf>
    <xf numFmtId="171" fontId="94" fillId="0" borderId="81" xfId="62" applyNumberFormat="1" applyFont="1" applyBorder="1" applyAlignment="1">
      <alignment horizontal="center" vertical="center" wrapText="1"/>
    </xf>
    <xf numFmtId="171" fontId="94" fillId="0" borderId="145" xfId="62" applyNumberFormat="1" applyFont="1" applyBorder="1" applyAlignment="1">
      <alignment horizontal="center" vertical="center" wrapText="1"/>
    </xf>
    <xf numFmtId="171" fontId="94" fillId="0" borderId="80" xfId="62" applyNumberFormat="1" applyFont="1" applyBorder="1" applyAlignment="1">
      <alignment horizontal="center" vertical="center" wrapText="1"/>
    </xf>
    <xf numFmtId="171" fontId="94" fillId="0" borderId="8" xfId="62" applyNumberFormat="1" applyFont="1" applyBorder="1" applyAlignment="1">
      <alignment horizontal="center" vertical="center" wrapText="1"/>
    </xf>
    <xf numFmtId="169" fontId="7" fillId="0" borderId="145" xfId="62" applyNumberFormat="1" applyFont="1" applyBorder="1" applyAlignment="1">
      <alignment horizontal="center"/>
    </xf>
    <xf numFmtId="4" fontId="138" fillId="11" borderId="145" xfId="111" applyNumberFormat="1" applyFont="1" applyFill="1" applyBorder="1" applyAlignment="1">
      <alignment horizontal="center" vertical="center" wrapText="1"/>
    </xf>
    <xf numFmtId="0" fontId="10" fillId="11" borderId="145" xfId="62" applyFont="1" applyFill="1" applyBorder="1" applyAlignment="1">
      <alignment horizontal="center" vertical="center" wrapText="1"/>
    </xf>
    <xf numFmtId="171" fontId="102" fillId="0" borderId="80" xfId="62" applyNumberFormat="1" applyFont="1" applyBorder="1" applyAlignment="1">
      <alignment horizontal="center" vertical="center" wrapText="1"/>
    </xf>
    <xf numFmtId="171" fontId="102" fillId="0" borderId="8" xfId="62" applyNumberFormat="1" applyFont="1" applyBorder="1" applyAlignment="1">
      <alignment horizontal="center" vertical="center" wrapText="1"/>
    </xf>
    <xf numFmtId="169" fontId="19" fillId="0" borderId="145" xfId="62" applyNumberFormat="1" applyFont="1" applyBorder="1" applyAlignment="1">
      <alignment horizontal="center"/>
    </xf>
    <xf numFmtId="0" fontId="27" fillId="0" borderId="0" xfId="194" applyNumberFormat="1" applyFont="1" applyAlignment="1">
      <alignment horizontal="left" wrapText="1"/>
    </xf>
    <xf numFmtId="0" fontId="3" fillId="0" borderId="0" xfId="194" applyNumberFormat="1" applyAlignment="1">
      <alignment horizontal="left" vertical="top" wrapText="1"/>
    </xf>
    <xf numFmtId="0" fontId="3" fillId="12" borderId="8" xfId="62" applyNumberFormat="1" applyFont="1" applyFill="1" applyBorder="1" applyAlignment="1">
      <alignment horizontal="center" vertical="center" wrapText="1"/>
    </xf>
    <xf numFmtId="169" fontId="3" fillId="12" borderId="8" xfId="62" applyNumberFormat="1" applyFont="1" applyFill="1" applyBorder="1" applyAlignment="1">
      <alignment horizontal="center" vertical="center" wrapText="1"/>
    </xf>
    <xf numFmtId="169" fontId="3" fillId="12" borderId="146" xfId="62" applyNumberFormat="1" applyFont="1" applyFill="1" applyBorder="1" applyAlignment="1">
      <alignment horizontal="center" vertical="center" wrapText="1"/>
    </xf>
    <xf numFmtId="169" fontId="3" fillId="12" borderId="147" xfId="62" applyNumberFormat="1" applyFont="1" applyFill="1" applyBorder="1" applyAlignment="1">
      <alignment horizontal="center" vertical="center" wrapText="1"/>
    </xf>
    <xf numFmtId="0" fontId="34" fillId="22" borderId="56" xfId="0" applyNumberFormat="1" applyFont="1" applyFill="1" applyBorder="1" applyAlignment="1">
      <alignment horizontal="left" vertical="top" wrapText="1"/>
    </xf>
    <xf numFmtId="0" fontId="34" fillId="22" borderId="57" xfId="0" applyNumberFormat="1" applyFont="1" applyFill="1" applyBorder="1" applyAlignment="1">
      <alignment horizontal="left" vertical="top" wrapText="1"/>
    </xf>
    <xf numFmtId="0" fontId="34" fillId="22" borderId="58" xfId="0" applyNumberFormat="1" applyFont="1" applyFill="1" applyBorder="1" applyAlignment="1">
      <alignment horizontal="left" vertical="top" wrapText="1"/>
    </xf>
    <xf numFmtId="0" fontId="3" fillId="2" borderId="56" xfId="0" applyNumberFormat="1" applyFont="1" applyFill="1" applyBorder="1" applyAlignment="1">
      <alignment horizontal="left" vertical="top" wrapText="1"/>
    </xf>
    <xf numFmtId="0" fontId="3" fillId="2" borderId="56" xfId="0" applyNumberFormat="1" applyFont="1" applyFill="1" applyBorder="1" applyAlignment="1">
      <alignment horizontal="left" vertical="top" wrapText="1" indent="6"/>
    </xf>
    <xf numFmtId="0" fontId="10" fillId="15" borderId="56" xfId="0" applyNumberFormat="1" applyFont="1" applyFill="1" applyBorder="1" applyAlignment="1">
      <alignment horizontal="left" vertical="top" wrapText="1"/>
    </xf>
    <xf numFmtId="0" fontId="10" fillId="15" borderId="56" xfId="0" applyNumberFormat="1" applyFont="1" applyFill="1" applyBorder="1" applyAlignment="1">
      <alignment horizontal="left" vertical="top" wrapText="1" indent="4"/>
    </xf>
    <xf numFmtId="0" fontId="3" fillId="2" borderId="65" xfId="0" applyNumberFormat="1" applyFont="1" applyFill="1" applyBorder="1" applyAlignment="1">
      <alignment horizontal="left" vertical="top" wrapText="1"/>
    </xf>
    <xf numFmtId="0" fontId="3" fillId="2" borderId="69" xfId="0" applyNumberFormat="1" applyFont="1" applyFill="1" applyBorder="1" applyAlignment="1">
      <alignment horizontal="left" vertical="top" wrapText="1" indent="8"/>
    </xf>
    <xf numFmtId="0" fontId="3" fillId="2" borderId="63" xfId="0" applyNumberFormat="1" applyFont="1" applyFill="1" applyBorder="1" applyAlignment="1">
      <alignment horizontal="left" vertical="top" wrapText="1" indent="8"/>
    </xf>
    <xf numFmtId="0" fontId="3" fillId="2" borderId="70" xfId="0" applyNumberFormat="1" applyFont="1" applyFill="1" applyBorder="1" applyAlignment="1">
      <alignment horizontal="left" vertical="top" wrapText="1" indent="8"/>
    </xf>
    <xf numFmtId="0" fontId="3" fillId="11" borderId="74" xfId="0" applyNumberFormat="1" applyFont="1" applyFill="1" applyBorder="1" applyAlignment="1">
      <alignment horizontal="left" vertical="top" wrapText="1"/>
    </xf>
    <xf numFmtId="0" fontId="3" fillId="11" borderId="75" xfId="0" applyNumberFormat="1" applyFont="1" applyFill="1" applyBorder="1" applyAlignment="1">
      <alignment horizontal="left" vertical="top" wrapText="1"/>
    </xf>
    <xf numFmtId="0" fontId="3" fillId="11" borderId="76" xfId="0" applyNumberFormat="1" applyFont="1" applyFill="1" applyBorder="1" applyAlignment="1">
      <alignment horizontal="left" vertical="top" wrapText="1"/>
    </xf>
    <xf numFmtId="0" fontId="3" fillId="2" borderId="74" xfId="0" applyNumberFormat="1" applyFont="1" applyFill="1" applyBorder="1" applyAlignment="1">
      <alignment horizontal="left" vertical="top" wrapText="1" indent="6"/>
    </xf>
    <xf numFmtId="0" fontId="3" fillId="2" borderId="75" xfId="0" applyNumberFormat="1" applyFont="1" applyFill="1" applyBorder="1" applyAlignment="1">
      <alignment horizontal="left" vertical="top" wrapText="1" indent="6"/>
    </xf>
    <xf numFmtId="0" fontId="3" fillId="2" borderId="76" xfId="0" applyNumberFormat="1" applyFont="1" applyFill="1" applyBorder="1" applyAlignment="1">
      <alignment horizontal="left" vertical="top" wrapText="1" indent="6"/>
    </xf>
    <xf numFmtId="0" fontId="3" fillId="11" borderId="56" xfId="0" applyNumberFormat="1" applyFont="1" applyFill="1" applyBorder="1" applyAlignment="1">
      <alignment horizontal="left" vertical="top" wrapText="1"/>
    </xf>
    <xf numFmtId="0" fontId="111" fillId="2" borderId="56" xfId="0" applyNumberFormat="1" applyFont="1" applyFill="1" applyBorder="1" applyAlignment="1">
      <alignment horizontal="left" vertical="top" wrapText="1" indent="2"/>
    </xf>
    <xf numFmtId="0" fontId="3" fillId="2" borderId="56" xfId="0" applyNumberFormat="1" applyFont="1" applyFill="1" applyBorder="1" applyAlignment="1">
      <alignment horizontal="left" vertical="top" wrapText="1" indent="4"/>
    </xf>
    <xf numFmtId="0" fontId="3" fillId="2" borderId="71" xfId="0" applyNumberFormat="1" applyFont="1" applyFill="1" applyBorder="1" applyAlignment="1">
      <alignment horizontal="left" vertical="top" wrapText="1" indent="6"/>
    </xf>
    <xf numFmtId="0" fontId="3" fillId="2" borderId="72" xfId="0" applyNumberFormat="1" applyFont="1" applyFill="1" applyBorder="1" applyAlignment="1">
      <alignment horizontal="left" vertical="top" wrapText="1" indent="6"/>
    </xf>
    <xf numFmtId="0" fontId="3" fillId="2" borderId="73" xfId="0" applyNumberFormat="1" applyFont="1" applyFill="1" applyBorder="1" applyAlignment="1">
      <alignment horizontal="left" vertical="top" wrapText="1" indent="6"/>
    </xf>
    <xf numFmtId="0" fontId="3" fillId="2" borderId="71" xfId="0" applyNumberFormat="1" applyFont="1" applyFill="1" applyBorder="1" applyAlignment="1">
      <alignment horizontal="left" vertical="top" wrapText="1" indent="8"/>
    </xf>
    <xf numFmtId="0" fontId="3" fillId="2" borderId="72" xfId="0" applyNumberFormat="1" applyFont="1" applyFill="1" applyBorder="1" applyAlignment="1">
      <alignment horizontal="left" vertical="top" wrapText="1" indent="8"/>
    </xf>
    <xf numFmtId="0" fontId="3" fillId="2" borderId="73" xfId="0" applyNumberFormat="1" applyFont="1" applyFill="1" applyBorder="1" applyAlignment="1">
      <alignment horizontal="left" vertical="top" wrapText="1" indent="8"/>
    </xf>
    <xf numFmtId="0" fontId="3" fillId="11" borderId="59" xfId="0" applyNumberFormat="1" applyFont="1" applyFill="1" applyBorder="1" applyAlignment="1">
      <alignment horizontal="left" vertical="top" wrapText="1"/>
    </xf>
    <xf numFmtId="0" fontId="3" fillId="11" borderId="60" xfId="0" applyNumberFormat="1" applyFont="1" applyFill="1" applyBorder="1" applyAlignment="1">
      <alignment horizontal="left" vertical="top" wrapText="1"/>
    </xf>
    <xf numFmtId="0" fontId="3" fillId="11" borderId="61" xfId="0" applyNumberFormat="1" applyFont="1" applyFill="1" applyBorder="1" applyAlignment="1">
      <alignment horizontal="left" vertical="top" wrapText="1"/>
    </xf>
    <xf numFmtId="0" fontId="3" fillId="2" borderId="56" xfId="0" applyNumberFormat="1" applyFont="1" applyFill="1" applyBorder="1" applyAlignment="1">
      <alignment horizontal="left" vertical="top" wrapText="1" indent="8"/>
    </xf>
    <xf numFmtId="0" fontId="10" fillId="15" borderId="56" xfId="0" applyNumberFormat="1" applyFont="1" applyFill="1" applyBorder="1" applyAlignment="1">
      <alignment horizontal="left" vertical="top" wrapText="1" indent="6"/>
    </xf>
    <xf numFmtId="0" fontId="3" fillId="2" borderId="69" xfId="0" applyNumberFormat="1" applyFont="1" applyFill="1" applyBorder="1" applyAlignment="1">
      <alignment horizontal="left" vertical="top" wrapText="1" indent="6"/>
    </xf>
    <xf numFmtId="0" fontId="3" fillId="2" borderId="63" xfId="0" applyNumberFormat="1" applyFont="1" applyFill="1" applyBorder="1" applyAlignment="1">
      <alignment horizontal="left" vertical="top" wrapText="1" indent="6"/>
    </xf>
    <xf numFmtId="0" fontId="3" fillId="2" borderId="70" xfId="0" applyNumberFormat="1" applyFont="1" applyFill="1" applyBorder="1" applyAlignment="1">
      <alignment horizontal="left" vertical="top" wrapText="1" indent="6"/>
    </xf>
    <xf numFmtId="0" fontId="3" fillId="2" borderId="59" xfId="0" applyNumberFormat="1" applyFont="1" applyFill="1" applyBorder="1" applyAlignment="1">
      <alignment horizontal="left" vertical="top" wrapText="1" indent="4"/>
    </xf>
    <xf numFmtId="0" fontId="3" fillId="2" borderId="60" xfId="0" applyNumberFormat="1" applyFont="1" applyFill="1" applyBorder="1" applyAlignment="1">
      <alignment horizontal="left" vertical="top" wrapText="1" indent="4"/>
    </xf>
    <xf numFmtId="0" fontId="3" fillId="2" borderId="61" xfId="0" applyNumberFormat="1" applyFont="1" applyFill="1" applyBorder="1" applyAlignment="1">
      <alignment horizontal="left" vertical="top" wrapText="1" indent="4"/>
    </xf>
    <xf numFmtId="0" fontId="0" fillId="0" borderId="81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34" fillId="2" borderId="1" xfId="0" applyNumberFormat="1" applyFont="1" applyFill="1" applyBorder="1" applyAlignment="1">
      <alignment horizontal="left" vertical="top" wrapText="1"/>
    </xf>
    <xf numFmtId="1" fontId="34" fillId="2" borderId="1" xfId="0" applyNumberFormat="1" applyFont="1" applyFill="1" applyBorder="1" applyAlignment="1">
      <alignment horizontal="left" vertical="top" wrapText="1" indent="1"/>
    </xf>
    <xf numFmtId="0" fontId="34" fillId="2" borderId="1" xfId="0" applyNumberFormat="1" applyFont="1" applyFill="1" applyBorder="1" applyAlignment="1">
      <alignment horizontal="left" vertical="top" wrapText="1" indent="1"/>
    </xf>
    <xf numFmtId="0" fontId="34" fillId="2" borderId="1" xfId="0" applyNumberFormat="1" applyFont="1" applyFill="1" applyBorder="1" applyAlignment="1">
      <alignment horizontal="left" vertical="top" wrapText="1" indent="2"/>
    </xf>
    <xf numFmtId="0" fontId="27" fillId="0" borderId="0" xfId="0" applyNumberFormat="1" applyFont="1" applyAlignment="1">
      <alignment horizontal="left" wrapText="1"/>
    </xf>
    <xf numFmtId="0" fontId="28" fillId="0" borderId="0" xfId="0" applyNumberFormat="1" applyFont="1" applyAlignment="1">
      <alignment horizontal="left" wrapText="1"/>
    </xf>
    <xf numFmtId="0" fontId="0" fillId="0" borderId="0" xfId="0" applyNumberFormat="1" applyAlignment="1">
      <alignment horizontal="left" vertical="top" wrapText="1"/>
    </xf>
    <xf numFmtId="0" fontId="31" fillId="0" borderId="17" xfId="0" applyNumberFormat="1" applyFont="1" applyBorder="1" applyAlignment="1">
      <alignment horizontal="left" vertical="top" wrapText="1" indent="15"/>
    </xf>
    <xf numFmtId="0" fontId="31" fillId="0" borderId="17" xfId="0" applyNumberFormat="1" applyFont="1" applyBorder="1" applyAlignment="1">
      <alignment horizontal="left" vertical="top" wrapText="1" indent="14"/>
    </xf>
    <xf numFmtId="0" fontId="31" fillId="0" borderId="17" xfId="0" applyNumberFormat="1" applyFont="1" applyBorder="1" applyAlignment="1">
      <alignment horizontal="left" vertical="top" wrapText="1" indent="12"/>
    </xf>
    <xf numFmtId="0" fontId="31" fillId="2" borderId="1" xfId="0" applyNumberFormat="1" applyFont="1" applyFill="1" applyBorder="1" applyAlignment="1">
      <alignment horizontal="left" vertical="top" wrapText="1" indent="3"/>
    </xf>
    <xf numFmtId="0" fontId="40" fillId="11" borderId="20" xfId="0" applyNumberFormat="1" applyFont="1" applyFill="1" applyBorder="1" applyAlignment="1">
      <alignment horizontal="left" vertical="top" wrapText="1" indent="4"/>
    </xf>
    <xf numFmtId="0" fontId="31" fillId="0" borderId="17" xfId="0" applyNumberFormat="1" applyFont="1" applyBorder="1" applyAlignment="1">
      <alignment horizontal="left" vertical="top" wrapText="1" indent="10"/>
    </xf>
    <xf numFmtId="4" fontId="34" fillId="2" borderId="1" xfId="0" applyNumberFormat="1" applyFont="1" applyFill="1" applyBorder="1" applyAlignment="1">
      <alignment horizontal="right" vertical="top" wrapText="1"/>
    </xf>
    <xf numFmtId="0" fontId="34" fillId="2" borderId="1" xfId="0" applyNumberFormat="1" applyFont="1" applyFill="1" applyBorder="1" applyAlignment="1">
      <alignment horizontal="left" vertical="top" wrapText="1" indent="3"/>
    </xf>
    <xf numFmtId="0" fontId="41" fillId="11" borderId="17" xfId="0" applyNumberFormat="1" applyFont="1" applyFill="1" applyBorder="1" applyAlignment="1">
      <alignment horizontal="left" vertical="top" wrapText="1" indent="14"/>
    </xf>
    <xf numFmtId="0" fontId="41" fillId="11" borderId="17" xfId="0" applyNumberFormat="1" applyFont="1" applyFill="1" applyBorder="1" applyAlignment="1">
      <alignment horizontal="left" vertical="top" wrapText="1" indent="15"/>
    </xf>
    <xf numFmtId="0" fontId="41" fillId="11" borderId="17" xfId="0" applyNumberFormat="1" applyFont="1" applyFill="1" applyBorder="1" applyAlignment="1">
      <alignment horizontal="left" vertical="top" wrapText="1" indent="12"/>
    </xf>
    <xf numFmtId="0" fontId="31" fillId="11" borderId="17" xfId="0" applyNumberFormat="1" applyFont="1" applyFill="1" applyBorder="1" applyAlignment="1">
      <alignment horizontal="left" vertical="top" wrapText="1" indent="12"/>
    </xf>
    <xf numFmtId="0" fontId="31" fillId="11" borderId="17" xfId="0" applyNumberFormat="1" applyFont="1" applyFill="1" applyBorder="1" applyAlignment="1">
      <alignment horizontal="left" vertical="top" wrapText="1" indent="14"/>
    </xf>
    <xf numFmtId="0" fontId="31" fillId="11" borderId="17" xfId="0" applyNumberFormat="1" applyFont="1" applyFill="1" applyBorder="1" applyAlignment="1">
      <alignment horizontal="left" vertical="top" wrapText="1" indent="15"/>
    </xf>
    <xf numFmtId="0" fontId="31" fillId="24" borderId="17" xfId="0" applyNumberFormat="1" applyFont="1" applyFill="1" applyBorder="1" applyAlignment="1">
      <alignment horizontal="left" vertical="top" wrapText="1" indent="12"/>
    </xf>
    <xf numFmtId="0" fontId="31" fillId="24" borderId="17" xfId="0" applyNumberFormat="1" applyFont="1" applyFill="1" applyBorder="1" applyAlignment="1">
      <alignment horizontal="left" vertical="top" wrapText="1" indent="14"/>
    </xf>
    <xf numFmtId="0" fontId="31" fillId="24" borderId="17" xfId="0" applyNumberFormat="1" applyFont="1" applyFill="1" applyBorder="1" applyAlignment="1">
      <alignment horizontal="left" vertical="top" wrapText="1" indent="15"/>
    </xf>
    <xf numFmtId="0" fontId="31" fillId="15" borderId="1" xfId="0" applyNumberFormat="1" applyFont="1" applyFill="1" applyBorder="1" applyAlignment="1">
      <alignment horizontal="left" vertical="top" wrapText="1" indent="3"/>
    </xf>
    <xf numFmtId="4" fontId="39" fillId="15" borderId="1" xfId="0" applyNumberFormat="1" applyFont="1" applyFill="1" applyBorder="1" applyAlignment="1">
      <alignment horizontal="right" vertical="top" wrapText="1"/>
    </xf>
    <xf numFmtId="0" fontId="31" fillId="0" borderId="25" xfId="0" applyNumberFormat="1" applyFont="1" applyBorder="1" applyAlignment="1">
      <alignment horizontal="left" vertical="top" wrapText="1" indent="15"/>
    </xf>
    <xf numFmtId="0" fontId="34" fillId="15" borderId="1" xfId="0" applyNumberFormat="1" applyFont="1" applyFill="1" applyBorder="1" applyAlignment="1">
      <alignment horizontal="left" vertical="top" wrapText="1" indent="2"/>
    </xf>
    <xf numFmtId="4" fontId="34" fillId="15" borderId="1" xfId="0" applyNumberFormat="1" applyFont="1" applyFill="1" applyBorder="1" applyAlignment="1">
      <alignment horizontal="right" vertical="top" wrapText="1"/>
    </xf>
    <xf numFmtId="0" fontId="31" fillId="15" borderId="1" xfId="0" applyNumberFormat="1" applyFont="1" applyFill="1" applyBorder="1" applyAlignment="1">
      <alignment horizontal="left" vertical="top" wrapText="1" indent="2"/>
    </xf>
    <xf numFmtId="4" fontId="0" fillId="0" borderId="17" xfId="0" applyNumberFormat="1" applyFont="1" applyBorder="1" applyAlignment="1">
      <alignment horizontal="right" vertical="top" wrapText="1"/>
    </xf>
    <xf numFmtId="2" fontId="31" fillId="0" borderId="17" xfId="0" applyNumberFormat="1" applyFont="1" applyBorder="1" applyAlignment="1">
      <alignment horizontal="right" vertical="top" wrapText="1"/>
    </xf>
    <xf numFmtId="4" fontId="31" fillId="0" borderId="17" xfId="0" applyNumberFormat="1" applyFont="1" applyBorder="1" applyAlignment="1">
      <alignment horizontal="right" vertical="top" wrapText="1"/>
    </xf>
    <xf numFmtId="0" fontId="31" fillId="0" borderId="17" xfId="0" applyNumberFormat="1" applyFont="1" applyBorder="1" applyAlignment="1">
      <alignment horizontal="left" vertical="top" wrapText="1"/>
    </xf>
    <xf numFmtId="0" fontId="31" fillId="15" borderId="17" xfId="0" applyNumberFormat="1" applyFont="1" applyFill="1" applyBorder="1" applyAlignment="1">
      <alignment horizontal="left" vertical="top" wrapText="1" indent="12"/>
    </xf>
    <xf numFmtId="0" fontId="31" fillId="15" borderId="17" xfId="0" applyNumberFormat="1" applyFont="1" applyFill="1" applyBorder="1" applyAlignment="1">
      <alignment horizontal="left" vertical="top" wrapText="1" indent="14"/>
    </xf>
    <xf numFmtId="0" fontId="31" fillId="15" borderId="17" xfId="0" applyNumberFormat="1" applyFont="1" applyFill="1" applyBorder="1" applyAlignment="1">
      <alignment horizontal="left" vertical="top" wrapText="1" indent="15"/>
    </xf>
    <xf numFmtId="0" fontId="33" fillId="8" borderId="11" xfId="0" applyNumberFormat="1" applyFont="1" applyFill="1" applyBorder="1" applyAlignment="1">
      <alignment horizontal="left" vertical="top"/>
    </xf>
    <xf numFmtId="4" fontId="33" fillId="8" borderId="11" xfId="0" applyNumberFormat="1" applyFont="1" applyFill="1" applyBorder="1" applyAlignment="1">
      <alignment horizontal="right" vertical="top" wrapText="1"/>
    </xf>
    <xf numFmtId="2" fontId="31" fillId="0" borderId="1" xfId="0" applyNumberFormat="1" applyFont="1" applyBorder="1" applyAlignment="1">
      <alignment horizontal="right" vertical="top" wrapText="1"/>
    </xf>
    <xf numFmtId="4" fontId="31" fillId="2" borderId="1" xfId="0" applyNumberFormat="1" applyFont="1" applyFill="1" applyBorder="1" applyAlignment="1">
      <alignment horizontal="right" vertical="top" wrapText="1"/>
    </xf>
    <xf numFmtId="2" fontId="31" fillId="10" borderId="1" xfId="0" applyNumberFormat="1" applyFont="1" applyFill="1" applyBorder="1" applyAlignment="1">
      <alignment horizontal="right" vertical="top" wrapText="1"/>
    </xf>
    <xf numFmtId="0" fontId="31" fillId="0" borderId="1" xfId="0" applyNumberFormat="1" applyFont="1" applyBorder="1" applyAlignment="1">
      <alignment horizontal="left" vertical="top" wrapText="1" indent="12"/>
    </xf>
    <xf numFmtId="0" fontId="31" fillId="0" borderId="1" xfId="0" applyNumberFormat="1" applyFont="1" applyBorder="1" applyAlignment="1">
      <alignment horizontal="left" vertical="top" wrapText="1" indent="10"/>
    </xf>
    <xf numFmtId="4" fontId="31" fillId="0" borderId="1" xfId="0" applyNumberFormat="1" applyFont="1" applyBorder="1" applyAlignment="1">
      <alignment horizontal="right" vertical="top" wrapText="1"/>
    </xf>
    <xf numFmtId="4" fontId="31" fillId="10" borderId="1" xfId="0" applyNumberFormat="1" applyFont="1" applyFill="1" applyBorder="1" applyAlignment="1">
      <alignment horizontal="right" vertical="top" wrapText="1"/>
    </xf>
    <xf numFmtId="4" fontId="35" fillId="11" borderId="1" xfId="0" applyNumberFormat="1" applyFont="1" applyFill="1" applyBorder="1" applyAlignment="1">
      <alignment horizontal="right" vertical="top" wrapText="1"/>
    </xf>
    <xf numFmtId="0" fontId="31" fillId="0" borderId="1" xfId="0" applyNumberFormat="1" applyFont="1" applyBorder="1" applyAlignment="1">
      <alignment horizontal="left" vertical="top" wrapText="1" indent="8"/>
    </xf>
    <xf numFmtId="0" fontId="31" fillId="2" borderId="1" xfId="0" applyNumberFormat="1" applyFont="1" applyFill="1" applyBorder="1" applyAlignment="1">
      <alignment horizontal="left" vertical="top" wrapText="1" indent="4"/>
    </xf>
    <xf numFmtId="0" fontId="31" fillId="10" borderId="1" xfId="0" applyNumberFormat="1" applyFont="1" applyFill="1" applyBorder="1" applyAlignment="1">
      <alignment horizontal="left" vertical="top" wrapText="1" indent="6"/>
    </xf>
    <xf numFmtId="0" fontId="31" fillId="10" borderId="1" xfId="0" applyNumberFormat="1" applyFont="1" applyFill="1" applyBorder="1" applyAlignment="1">
      <alignment horizontal="left" vertical="top" wrapText="1" indent="10"/>
    </xf>
    <xf numFmtId="0" fontId="31" fillId="10" borderId="1" xfId="0" applyNumberFormat="1" applyFont="1" applyFill="1" applyBorder="1" applyAlignment="1">
      <alignment horizontal="left" vertical="top" wrapText="1" indent="8"/>
    </xf>
    <xf numFmtId="0" fontId="31" fillId="0" borderId="1" xfId="0" applyNumberFormat="1" applyFont="1" applyBorder="1" applyAlignment="1">
      <alignment horizontal="left" vertical="top" wrapText="1" indent="14"/>
    </xf>
    <xf numFmtId="0" fontId="31" fillId="10" borderId="1" xfId="0" applyNumberFormat="1" applyFont="1" applyFill="1" applyBorder="1" applyAlignment="1">
      <alignment horizontal="left" vertical="top" wrapText="1" indent="12"/>
    </xf>
    <xf numFmtId="0" fontId="35" fillId="11" borderId="1" xfId="0" applyNumberFormat="1" applyFont="1" applyFill="1" applyBorder="1" applyAlignment="1">
      <alignment horizontal="left" vertical="top" wrapText="1" indent="4"/>
    </xf>
    <xf numFmtId="1" fontId="34" fillId="2" borderId="1" xfId="0" applyNumberFormat="1" applyFont="1" applyFill="1" applyBorder="1" applyAlignment="1">
      <alignment horizontal="left" vertical="top" wrapText="1"/>
    </xf>
    <xf numFmtId="0" fontId="29" fillId="8" borderId="23" xfId="0" applyNumberFormat="1" applyFont="1" applyFill="1" applyBorder="1" applyAlignment="1">
      <alignment horizontal="left" vertical="top" wrapText="1"/>
    </xf>
    <xf numFmtId="0" fontId="29" fillId="8" borderId="14" xfId="0" applyNumberFormat="1" applyFont="1" applyFill="1" applyBorder="1" applyAlignment="1">
      <alignment horizontal="left" vertical="top" wrapText="1"/>
    </xf>
    <xf numFmtId="0" fontId="29" fillId="8" borderId="16" xfId="0" applyNumberFormat="1" applyFont="1" applyFill="1" applyBorder="1" applyAlignment="1">
      <alignment horizontal="left" vertical="top" wrapText="1"/>
    </xf>
    <xf numFmtId="0" fontId="29" fillId="8" borderId="12" xfId="0" applyNumberFormat="1" applyFont="1" applyFill="1" applyBorder="1" applyAlignment="1">
      <alignment horizontal="left" vertical="top" wrapText="1"/>
    </xf>
    <xf numFmtId="0" fontId="29" fillId="8" borderId="13" xfId="0" applyNumberFormat="1" applyFont="1" applyFill="1" applyBorder="1" applyAlignment="1">
      <alignment horizontal="left" vertical="top" wrapText="1"/>
    </xf>
    <xf numFmtId="0" fontId="29" fillId="8" borderId="15" xfId="0" applyNumberFormat="1" applyFont="1" applyFill="1" applyBorder="1" applyAlignment="1">
      <alignment horizontal="left" vertical="top" wrapText="1"/>
    </xf>
    <xf numFmtId="0" fontId="13" fillId="27" borderId="154" xfId="105" applyFont="1" applyFill="1" applyBorder="1" applyAlignment="1">
      <alignment horizontal="center" vertical="center"/>
    </xf>
    <xf numFmtId="0" fontId="13" fillId="0" borderId="156" xfId="105" applyFont="1" applyBorder="1" applyAlignment="1">
      <alignment horizontal="center" vertical="center" wrapText="1"/>
    </xf>
    <xf numFmtId="0" fontId="13" fillId="0" borderId="157" xfId="105" applyFont="1" applyBorder="1" applyAlignment="1">
      <alignment horizontal="center" vertical="center" wrapText="1"/>
    </xf>
    <xf numFmtId="0" fontId="13" fillId="0" borderId="158" xfId="105" applyFont="1" applyBorder="1" applyAlignment="1">
      <alignment horizontal="center" vertical="center" wrapText="1"/>
    </xf>
    <xf numFmtId="0" fontId="13" fillId="0" borderId="154" xfId="105" applyFont="1" applyFill="1" applyBorder="1" applyAlignment="1">
      <alignment horizontal="center" vertical="center"/>
    </xf>
    <xf numFmtId="0" fontId="13" fillId="0" borderId="154" xfId="105" applyFont="1" applyFill="1" applyBorder="1" applyAlignment="1">
      <alignment horizontal="center" vertical="center" wrapText="1"/>
    </xf>
    <xf numFmtId="0" fontId="12" fillId="27" borderId="154" xfId="105" applyFont="1" applyFill="1" applyBorder="1" applyAlignment="1">
      <alignment horizontal="center" vertical="center"/>
    </xf>
    <xf numFmtId="0" fontId="12" fillId="0" borderId="156" xfId="105" applyFont="1" applyBorder="1" applyAlignment="1">
      <alignment horizontal="center" vertical="center" wrapText="1"/>
    </xf>
    <xf numFmtId="0" fontId="12" fillId="0" borderId="157" xfId="105" applyFont="1" applyBorder="1" applyAlignment="1">
      <alignment horizontal="center" vertical="center" wrapText="1"/>
    </xf>
    <xf numFmtId="0" fontId="12" fillId="0" borderId="158" xfId="105" applyFont="1" applyBorder="1" applyAlignment="1">
      <alignment horizontal="center" vertical="center" wrapText="1"/>
    </xf>
    <xf numFmtId="0" fontId="12" fillId="0" borderId="194" xfId="105" applyFont="1" applyFill="1" applyBorder="1" applyAlignment="1">
      <alignment horizontal="center" vertical="center"/>
    </xf>
    <xf numFmtId="165" fontId="12" fillId="0" borderId="135" xfId="105" applyNumberFormat="1" applyFont="1" applyBorder="1" applyAlignment="1">
      <alignment horizontal="center" vertical="center" wrapText="1"/>
    </xf>
    <xf numFmtId="165" fontId="12" fillId="0" borderId="38" xfId="105" applyNumberFormat="1" applyFont="1" applyBorder="1" applyAlignment="1">
      <alignment horizontal="center" vertical="center" wrapText="1"/>
    </xf>
    <xf numFmtId="0" fontId="12" fillId="2" borderId="197" xfId="105" applyFont="1" applyFill="1" applyBorder="1" applyAlignment="1">
      <alignment horizontal="center" vertical="center" wrapText="1"/>
    </xf>
    <xf numFmtId="0" fontId="12" fillId="2" borderId="195" xfId="105" applyFont="1" applyFill="1" applyBorder="1" applyAlignment="1">
      <alignment horizontal="center" vertical="center" wrapText="1"/>
    </xf>
    <xf numFmtId="0" fontId="12" fillId="2" borderId="196" xfId="105" applyFont="1" applyFill="1" applyBorder="1" applyAlignment="1">
      <alignment horizontal="center" vertical="center" wrapText="1"/>
    </xf>
    <xf numFmtId="0" fontId="12" fillId="2" borderId="154" xfId="105" applyFont="1" applyFill="1" applyBorder="1" applyAlignment="1">
      <alignment horizontal="center" vertical="center" wrapText="1"/>
    </xf>
    <xf numFmtId="0" fontId="8" fillId="0" borderId="194" xfId="105" applyFont="1" applyFill="1" applyBorder="1" applyAlignment="1">
      <alignment horizontal="center" vertical="center" wrapText="1"/>
    </xf>
    <xf numFmtId="0" fontId="155" fillId="0" borderId="193" xfId="105" applyFont="1" applyFill="1" applyBorder="1" applyAlignment="1">
      <alignment horizontal="center" vertical="center" wrapText="1"/>
    </xf>
    <xf numFmtId="0" fontId="12" fillId="2" borderId="9" xfId="105" applyFont="1" applyFill="1" applyBorder="1" applyAlignment="1">
      <alignment horizontal="center" vertical="center" wrapText="1"/>
    </xf>
    <xf numFmtId="0" fontId="12" fillId="2" borderId="0" xfId="105" applyFont="1" applyFill="1" applyBorder="1" applyAlignment="1">
      <alignment horizontal="center" vertical="center" wrapText="1"/>
    </xf>
    <xf numFmtId="0" fontId="12" fillId="2" borderId="101" xfId="105" applyFont="1" applyFill="1" applyBorder="1" applyAlignment="1">
      <alignment horizontal="center" vertical="center" wrapText="1"/>
    </xf>
    <xf numFmtId="0" fontId="12" fillId="2" borderId="156" xfId="105" applyFont="1" applyFill="1" applyBorder="1" applyAlignment="1">
      <alignment horizontal="center" vertical="center" wrapText="1"/>
    </xf>
    <xf numFmtId="0" fontId="108" fillId="2" borderId="216" xfId="0" applyNumberFormat="1" applyFont="1" applyFill="1" applyBorder="1" applyAlignment="1">
      <alignment horizontal="left" vertical="top" wrapText="1"/>
    </xf>
    <xf numFmtId="1" fontId="108" fillId="2" borderId="216" xfId="0" applyNumberFormat="1" applyFont="1" applyFill="1" applyBorder="1" applyAlignment="1">
      <alignment horizontal="left" vertical="top" wrapText="1" indent="1"/>
    </xf>
    <xf numFmtId="0" fontId="108" fillId="2" borderId="216" xfId="0" applyNumberFormat="1" applyFont="1" applyFill="1" applyBorder="1" applyAlignment="1">
      <alignment horizontal="left" vertical="top" wrapText="1" indent="1"/>
    </xf>
    <xf numFmtId="0" fontId="108" fillId="2" borderId="216" xfId="0" applyNumberFormat="1" applyFont="1" applyFill="1" applyBorder="1" applyAlignment="1">
      <alignment horizontal="left" vertical="top" wrapText="1" indent="2"/>
    </xf>
    <xf numFmtId="4" fontId="108" fillId="2" borderId="216" xfId="0" applyNumberFormat="1" applyFont="1" applyFill="1" applyBorder="1" applyAlignment="1">
      <alignment horizontal="right" vertical="top" wrapText="1"/>
    </xf>
    <xf numFmtId="0" fontId="108" fillId="2" borderId="216" xfId="0" applyNumberFormat="1" applyFont="1" applyFill="1" applyBorder="1" applyAlignment="1">
      <alignment horizontal="left" vertical="top" wrapText="1" indent="4"/>
    </xf>
    <xf numFmtId="0" fontId="108" fillId="11" borderId="216" xfId="0" applyNumberFormat="1" applyFont="1" applyFill="1" applyBorder="1" applyAlignment="1">
      <alignment horizontal="left" vertical="top" wrapText="1" indent="6"/>
    </xf>
    <xf numFmtId="4" fontId="108" fillId="11" borderId="216" xfId="0" applyNumberFormat="1" applyFont="1" applyFill="1" applyBorder="1" applyAlignment="1">
      <alignment horizontal="right" vertical="top" wrapText="1"/>
    </xf>
    <xf numFmtId="0" fontId="20" fillId="2" borderId="216" xfId="0" applyNumberFormat="1" applyFont="1" applyFill="1" applyBorder="1" applyAlignment="1">
      <alignment horizontal="left" vertical="top" wrapText="1"/>
    </xf>
    <xf numFmtId="1" fontId="108" fillId="2" borderId="216" xfId="0" applyNumberFormat="1" applyFont="1" applyFill="1" applyBorder="1" applyAlignment="1">
      <alignment horizontal="left" vertical="top" wrapText="1"/>
    </xf>
    <xf numFmtId="1" fontId="20" fillId="2" borderId="216" xfId="0" applyNumberFormat="1" applyFont="1" applyFill="1" applyBorder="1" applyAlignment="1">
      <alignment horizontal="left" vertical="top" wrapText="1" indent="1"/>
    </xf>
    <xf numFmtId="0" fontId="20" fillId="2" borderId="216" xfId="0" applyNumberFormat="1" applyFont="1" applyFill="1" applyBorder="1" applyAlignment="1">
      <alignment horizontal="left" vertical="top" wrapText="1" indent="1"/>
    </xf>
    <xf numFmtId="0" fontId="20" fillId="2" borderId="216" xfId="0" applyNumberFormat="1" applyFont="1" applyFill="1" applyBorder="1" applyAlignment="1">
      <alignment horizontal="left" vertical="top" wrapText="1" indent="10"/>
    </xf>
    <xf numFmtId="2" fontId="20" fillId="2" borderId="216" xfId="0" applyNumberFormat="1" applyFont="1" applyFill="1" applyBorder="1" applyAlignment="1">
      <alignment horizontal="right" vertical="top" wrapText="1"/>
    </xf>
    <xf numFmtId="0" fontId="20" fillId="2" borderId="216" xfId="0" applyNumberFormat="1" applyFont="1" applyFill="1" applyBorder="1" applyAlignment="1">
      <alignment horizontal="left" vertical="top" wrapText="1" indent="12"/>
    </xf>
    <xf numFmtId="0" fontId="24" fillId="2" borderId="216" xfId="0" applyNumberFormat="1" applyFont="1" applyFill="1" applyBorder="1" applyAlignment="1">
      <alignment horizontal="left" vertical="top" wrapText="1" indent="8"/>
    </xf>
    <xf numFmtId="2" fontId="24" fillId="2" borderId="216" xfId="0" applyNumberFormat="1" applyFont="1" applyFill="1" applyBorder="1" applyAlignment="1">
      <alignment horizontal="right" vertical="top" wrapText="1"/>
    </xf>
    <xf numFmtId="4" fontId="24" fillId="2" borderId="216" xfId="0" applyNumberFormat="1" applyFont="1" applyFill="1" applyBorder="1" applyAlignment="1">
      <alignment horizontal="right" vertical="top" wrapText="1"/>
    </xf>
    <xf numFmtId="0" fontId="20" fillId="2" borderId="216" xfId="0" applyNumberFormat="1" applyFont="1" applyFill="1" applyBorder="1" applyAlignment="1">
      <alignment horizontal="left" vertical="top" wrapText="1" indent="8"/>
    </xf>
    <xf numFmtId="4" fontId="20" fillId="2" borderId="216" xfId="0" applyNumberFormat="1" applyFont="1" applyFill="1" applyBorder="1" applyAlignment="1">
      <alignment horizontal="right" vertical="top" wrapText="1"/>
    </xf>
    <xf numFmtId="0" fontId="20" fillId="2" borderId="216" xfId="0" applyNumberFormat="1" applyFont="1" applyFill="1" applyBorder="1" applyAlignment="1">
      <alignment horizontal="left" vertical="top" wrapText="1" indent="14"/>
    </xf>
    <xf numFmtId="0" fontId="172" fillId="2" borderId="216" xfId="0" applyNumberFormat="1" applyFont="1" applyFill="1" applyBorder="1" applyAlignment="1">
      <alignment horizontal="left" vertical="top" wrapText="1" indent="8"/>
    </xf>
    <xf numFmtId="0" fontId="108" fillId="2" borderId="216" xfId="0" applyNumberFormat="1" applyFont="1" applyFill="1" applyBorder="1" applyAlignment="1">
      <alignment horizontal="left" vertical="top" wrapText="1" indent="10"/>
    </xf>
    <xf numFmtId="0" fontId="108" fillId="2" borderId="216" xfId="0" applyNumberFormat="1" applyFont="1" applyFill="1" applyBorder="1" applyAlignment="1">
      <alignment horizontal="left" vertical="top" wrapText="1" indent="12"/>
    </xf>
    <xf numFmtId="0" fontId="108" fillId="2" borderId="216" xfId="0" applyNumberFormat="1" applyFont="1" applyFill="1" applyBorder="1" applyAlignment="1">
      <alignment horizontal="left" vertical="top"/>
    </xf>
    <xf numFmtId="0" fontId="108" fillId="2" borderId="216" xfId="0" applyNumberFormat="1" applyFont="1" applyFill="1" applyBorder="1" applyAlignment="1">
      <alignment horizontal="left" vertical="top" wrapText="1" indent="8"/>
    </xf>
    <xf numFmtId="0" fontId="108" fillId="2" borderId="216" xfId="0" applyNumberFormat="1" applyFont="1" applyFill="1" applyBorder="1" applyAlignment="1">
      <alignment horizontal="left" vertical="top" wrapText="1" indent="14"/>
    </xf>
    <xf numFmtId="0" fontId="175" fillId="11" borderId="151" xfId="0" applyFont="1" applyFill="1" applyBorder="1" applyAlignment="1">
      <alignment horizontal="center"/>
    </xf>
    <xf numFmtId="0" fontId="12" fillId="0" borderId="4" xfId="105" applyFont="1" applyBorder="1" applyAlignment="1">
      <alignment horizontal="center"/>
    </xf>
    <xf numFmtId="0" fontId="12" fillId="0" borderId="189" xfId="105" applyFont="1" applyBorder="1" applyAlignment="1">
      <alignment horizontal="center"/>
    </xf>
    <xf numFmtId="0" fontId="19" fillId="0" borderId="196" xfId="105" applyFont="1" applyFill="1" applyBorder="1" applyAlignment="1">
      <alignment horizontal="center" vertical="center" wrapText="1"/>
    </xf>
    <xf numFmtId="0" fontId="12" fillId="0" borderId="21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89" xfId="0" applyFont="1" applyBorder="1" applyAlignment="1">
      <alignment horizontal="center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223" xfId="0" applyFont="1" applyBorder="1" applyAlignment="1">
      <alignment horizontal="center"/>
    </xf>
    <xf numFmtId="0" fontId="12" fillId="0" borderId="227" xfId="0" applyFont="1" applyBorder="1" applyAlignment="1">
      <alignment horizontal="center"/>
    </xf>
    <xf numFmtId="0" fontId="12" fillId="0" borderId="217" xfId="0" applyFont="1" applyBorder="1" applyAlignment="1">
      <alignment horizontal="center"/>
    </xf>
    <xf numFmtId="0" fontId="12" fillId="27" borderId="216" xfId="0" applyFont="1" applyFill="1" applyBorder="1" applyAlignment="1">
      <alignment horizontal="center" vertical="center"/>
    </xf>
    <xf numFmtId="0" fontId="19" fillId="27" borderId="233" xfId="0" applyFont="1" applyFill="1" applyBorder="1" applyAlignment="1">
      <alignment horizontal="center" vertical="center" wrapText="1"/>
    </xf>
    <xf numFmtId="0" fontId="19" fillId="27" borderId="153" xfId="0" applyFont="1" applyFill="1" applyBorder="1" applyAlignment="1">
      <alignment horizontal="center" vertical="center" wrapText="1"/>
    </xf>
    <xf numFmtId="0" fontId="19" fillId="27" borderId="200" xfId="0" applyFont="1" applyFill="1" applyBorder="1" applyAlignment="1">
      <alignment horizontal="center" vertical="center" wrapText="1"/>
    </xf>
    <xf numFmtId="0" fontId="19" fillId="27" borderId="170" xfId="0" applyFont="1" applyFill="1" applyBorder="1" applyAlignment="1">
      <alignment horizontal="center" vertical="center" wrapText="1"/>
    </xf>
    <xf numFmtId="0" fontId="20" fillId="0" borderId="223" xfId="0" applyFont="1" applyBorder="1" applyAlignment="1">
      <alignment horizontal="center"/>
    </xf>
    <xf numFmtId="0" fontId="20" fillId="0" borderId="227" xfId="0" applyFont="1" applyBorder="1" applyAlignment="1">
      <alignment horizontal="center"/>
    </xf>
    <xf numFmtId="0" fontId="20" fillId="0" borderId="217" xfId="0" applyFont="1" applyBorder="1" applyAlignment="1">
      <alignment horizontal="center"/>
    </xf>
    <xf numFmtId="0" fontId="12" fillId="0" borderId="216" xfId="0" applyFont="1" applyBorder="1" applyAlignment="1">
      <alignment horizontal="center"/>
    </xf>
    <xf numFmtId="0" fontId="165" fillId="6" borderId="217" xfId="0" applyFont="1" applyFill="1" applyBorder="1" applyAlignment="1">
      <alignment horizontal="center" vertical="top" wrapText="1"/>
    </xf>
    <xf numFmtId="0" fontId="165" fillId="6" borderId="216" xfId="0" applyFont="1" applyFill="1" applyBorder="1" applyAlignment="1">
      <alignment horizontal="center" vertical="top" wrapText="1"/>
    </xf>
    <xf numFmtId="0" fontId="19" fillId="0" borderId="101" xfId="0" applyFont="1" applyFill="1" applyBorder="1" applyAlignment="1">
      <alignment horizontal="center" vertical="center" wrapText="1"/>
    </xf>
    <xf numFmtId="0" fontId="19" fillId="0" borderId="223" xfId="0" applyFont="1" applyFill="1" applyBorder="1" applyAlignment="1">
      <alignment horizontal="center" vertical="center" wrapText="1"/>
    </xf>
    <xf numFmtId="0" fontId="19" fillId="0" borderId="227" xfId="0" applyFont="1" applyFill="1" applyBorder="1" applyAlignment="1">
      <alignment horizontal="center" vertical="center" wrapText="1"/>
    </xf>
    <xf numFmtId="0" fontId="19" fillId="0" borderId="217" xfId="0" applyFont="1" applyFill="1" applyBorder="1" applyAlignment="1">
      <alignment horizontal="center" vertical="center" wrapText="1"/>
    </xf>
    <xf numFmtId="0" fontId="19" fillId="0" borderId="189" xfId="0" applyFont="1" applyFill="1" applyBorder="1" applyAlignment="1">
      <alignment horizontal="center" vertical="center" wrapText="1"/>
    </xf>
    <xf numFmtId="0" fontId="19" fillId="0" borderId="198" xfId="0" applyFont="1" applyFill="1" applyBorder="1" applyAlignment="1">
      <alignment horizontal="center" vertical="center" wrapText="1"/>
    </xf>
    <xf numFmtId="0" fontId="12" fillId="37" borderId="223" xfId="0" applyFont="1" applyFill="1" applyBorder="1" applyAlignment="1">
      <alignment horizontal="center" vertical="center" wrapText="1"/>
    </xf>
    <xf numFmtId="0" fontId="12" fillId="37" borderId="227" xfId="0" applyFont="1" applyFill="1" applyBorder="1" applyAlignment="1">
      <alignment horizontal="center" vertical="center" wrapText="1"/>
    </xf>
    <xf numFmtId="0" fontId="12" fillId="37" borderId="217" xfId="0" applyFont="1" applyFill="1" applyBorder="1" applyAlignment="1">
      <alignment horizontal="center" vertical="center" wrapText="1"/>
    </xf>
    <xf numFmtId="0" fontId="19" fillId="0" borderId="193" xfId="0" applyFont="1" applyFill="1" applyBorder="1" applyAlignment="1">
      <alignment horizontal="center" vertical="center" wrapText="1"/>
    </xf>
    <xf numFmtId="0" fontId="19" fillId="0" borderId="188" xfId="0" applyFont="1" applyFill="1" applyBorder="1" applyAlignment="1">
      <alignment horizontal="center" vertical="center" wrapText="1"/>
    </xf>
    <xf numFmtId="0" fontId="12" fillId="0" borderId="0" xfId="105" applyFont="1" applyFill="1" applyAlignment="1">
      <alignment wrapText="1"/>
    </xf>
    <xf numFmtId="0" fontId="12" fillId="0" borderId="0" xfId="105" applyFont="1" applyFill="1" applyAlignment="1">
      <alignment horizontal="left" wrapText="1"/>
    </xf>
    <xf numFmtId="0" fontId="12" fillId="0" borderId="0" xfId="105" applyFont="1" applyFill="1" applyAlignment="1">
      <alignment horizontal="left" wrapText="1"/>
    </xf>
    <xf numFmtId="0" fontId="12" fillId="0" borderId="0" xfId="105" applyFont="1" applyFill="1" applyBorder="1" applyAlignment="1">
      <alignment horizontal="right" vertical="center" wrapText="1"/>
    </xf>
    <xf numFmtId="0" fontId="12" fillId="0" borderId="0" xfId="105" applyFont="1" applyFill="1" applyBorder="1" applyAlignment="1">
      <alignment horizontal="right" vertical="center" wrapText="1"/>
    </xf>
    <xf numFmtId="0" fontId="12" fillId="0" borderId="152" xfId="105" applyFont="1" applyFill="1" applyBorder="1" applyAlignment="1">
      <alignment horizontal="center"/>
    </xf>
    <xf numFmtId="0" fontId="12" fillId="0" borderId="153" xfId="105" applyFont="1" applyFill="1" applyBorder="1" applyAlignment="1">
      <alignment horizontal="center"/>
    </xf>
    <xf numFmtId="0" fontId="12" fillId="0" borderId="170" xfId="105" applyFont="1" applyFill="1" applyBorder="1" applyAlignment="1">
      <alignment horizontal="center"/>
    </xf>
    <xf numFmtId="0" fontId="170" fillId="0" borderId="190" xfId="105" applyFont="1" applyFill="1" applyBorder="1" applyAlignment="1">
      <alignment horizontal="center" vertical="top" wrapText="1"/>
    </xf>
    <xf numFmtId="0" fontId="170" fillId="0" borderId="191" xfId="105" applyFont="1" applyFill="1" applyBorder="1" applyAlignment="1">
      <alignment horizontal="center" vertical="top" wrapText="1"/>
    </xf>
    <xf numFmtId="0" fontId="170" fillId="0" borderId="192" xfId="105" applyFont="1" applyFill="1" applyBorder="1" applyAlignment="1">
      <alignment horizontal="center" vertical="top" wrapText="1"/>
    </xf>
    <xf numFmtId="0" fontId="12" fillId="0" borderId="155" xfId="105" applyFont="1" applyFill="1" applyBorder="1" applyAlignment="1">
      <alignment horizontal="center" vertical="center"/>
    </xf>
    <xf numFmtId="0" fontId="12" fillId="0" borderId="159" xfId="105" applyFont="1" applyFill="1" applyBorder="1" applyAlignment="1">
      <alignment horizontal="center" vertical="center"/>
    </xf>
    <xf numFmtId="0" fontId="12" fillId="0" borderId="161" xfId="105" applyFont="1" applyFill="1" applyBorder="1" applyAlignment="1">
      <alignment horizontal="center" vertical="center"/>
    </xf>
    <xf numFmtId="0" fontId="12" fillId="0" borderId="162" xfId="105" applyFont="1" applyFill="1" applyBorder="1" applyAlignment="1">
      <alignment horizontal="center" vertical="center"/>
    </xf>
    <xf numFmtId="0" fontId="12" fillId="0" borderId="163" xfId="105" applyFont="1" applyFill="1" applyBorder="1" applyAlignment="1">
      <alignment horizontal="center" vertical="center"/>
    </xf>
    <xf numFmtId="0" fontId="12" fillId="0" borderId="164" xfId="105" applyFont="1" applyFill="1" applyBorder="1" applyAlignment="1">
      <alignment horizontal="center" vertical="center"/>
    </xf>
    <xf numFmtId="0" fontId="12" fillId="0" borderId="183" xfId="105" applyFont="1" applyFill="1" applyBorder="1" applyAlignment="1">
      <alignment horizontal="center" vertical="center"/>
    </xf>
    <xf numFmtId="0" fontId="19" fillId="0" borderId="162" xfId="105" applyFont="1" applyFill="1" applyBorder="1" applyAlignment="1">
      <alignment horizontal="center" vertical="center" wrapText="1"/>
    </xf>
    <xf numFmtId="0" fontId="19" fillId="0" borderId="163" xfId="105" applyFont="1" applyFill="1" applyBorder="1" applyAlignment="1">
      <alignment horizontal="center" vertical="center" wrapText="1"/>
    </xf>
    <xf numFmtId="0" fontId="19" fillId="0" borderId="164" xfId="105" applyFont="1" applyFill="1" applyBorder="1" applyAlignment="1">
      <alignment horizontal="center" vertical="center" wrapText="1"/>
    </xf>
    <xf numFmtId="0" fontId="19" fillId="0" borderId="171" xfId="105" applyFont="1" applyFill="1" applyBorder="1" applyAlignment="1">
      <alignment horizontal="center" vertical="center" wrapText="1"/>
    </xf>
    <xf numFmtId="0" fontId="19" fillId="0" borderId="164" xfId="105" applyFont="1" applyFill="1" applyBorder="1" applyAlignment="1">
      <alignment horizontal="center" vertical="center" wrapText="1"/>
    </xf>
    <xf numFmtId="0" fontId="19" fillId="0" borderId="182" xfId="105" applyFont="1" applyFill="1" applyBorder="1" applyAlignment="1">
      <alignment horizontal="center" vertical="center" wrapText="1"/>
    </xf>
    <xf numFmtId="0" fontId="19" fillId="0" borderId="183" xfId="105" applyFont="1" applyFill="1" applyBorder="1" applyAlignment="1">
      <alignment horizontal="center" vertical="center" wrapText="1"/>
    </xf>
    <xf numFmtId="3" fontId="19" fillId="0" borderId="216" xfId="0" applyNumberFormat="1" applyFont="1" applyFill="1" applyBorder="1" applyAlignment="1"/>
    <xf numFmtId="3" fontId="12" fillId="0" borderId="189" xfId="105" applyNumberFormat="1" applyFont="1" applyFill="1" applyBorder="1" applyAlignment="1">
      <alignment horizontal="center" vertical="center"/>
    </xf>
    <xf numFmtId="3" fontId="12" fillId="0" borderId="198" xfId="105" applyNumberFormat="1" applyFont="1" applyFill="1" applyBorder="1" applyAlignment="1">
      <alignment horizontal="center" vertical="center"/>
    </xf>
    <xf numFmtId="3" fontId="12" fillId="0" borderId="156" xfId="105" applyNumberFormat="1" applyFont="1" applyFill="1" applyBorder="1" applyAlignment="1">
      <alignment horizontal="center" vertical="center"/>
    </xf>
    <xf numFmtId="3" fontId="19" fillId="0" borderId="158" xfId="105" applyNumberFormat="1" applyFont="1" applyFill="1" applyBorder="1" applyAlignment="1">
      <alignment horizontal="center" wrapText="1"/>
    </xf>
    <xf numFmtId="3" fontId="19" fillId="0" borderId="154" xfId="105" applyNumberFormat="1" applyFont="1" applyFill="1" applyBorder="1" applyAlignment="1">
      <alignment horizontal="center" wrapText="1"/>
    </xf>
    <xf numFmtId="3" fontId="172" fillId="0" borderId="189" xfId="105" applyNumberFormat="1" applyFont="1" applyFill="1" applyBorder="1" applyAlignment="1">
      <alignment horizontal="center" vertical="center" wrapText="1"/>
    </xf>
    <xf numFmtId="3" fontId="19" fillId="0" borderId="154" xfId="105" applyNumberFormat="1" applyFont="1" applyFill="1" applyBorder="1" applyAlignment="1">
      <alignment horizontal="center" vertical="center" wrapText="1"/>
    </xf>
    <xf numFmtId="3" fontId="12" fillId="0" borderId="158" xfId="105" applyNumberFormat="1" applyFont="1" applyFill="1" applyBorder="1" applyAlignment="1">
      <alignment horizontal="center" wrapText="1"/>
    </xf>
    <xf numFmtId="3" fontId="12" fillId="0" borderId="154" xfId="105" applyNumberFormat="1" applyFont="1" applyFill="1" applyBorder="1" applyAlignment="1">
      <alignment horizontal="center" wrapText="1"/>
    </xf>
    <xf numFmtId="3" fontId="12" fillId="0" borderId="154" xfId="105" applyNumberFormat="1" applyFont="1" applyFill="1" applyBorder="1" applyAlignment="1">
      <alignment horizontal="center" vertical="center" wrapText="1"/>
    </xf>
    <xf numFmtId="3" fontId="12" fillId="0" borderId="158" xfId="105" applyNumberFormat="1" applyFont="1" applyFill="1" applyBorder="1" applyAlignment="1">
      <alignment horizontal="center"/>
    </xf>
    <xf numFmtId="3" fontId="12" fillId="0" borderId="154" xfId="105" applyNumberFormat="1" applyFont="1" applyFill="1" applyBorder="1" applyAlignment="1">
      <alignment horizontal="center"/>
    </xf>
    <xf numFmtId="0" fontId="12" fillId="0" borderId="234" xfId="105" applyFont="1" applyFill="1" applyBorder="1"/>
    <xf numFmtId="0" fontId="112" fillId="0" borderId="0" xfId="105" applyFont="1" applyFill="1"/>
    <xf numFmtId="1" fontId="112" fillId="0" borderId="0" xfId="105" applyNumberFormat="1" applyFont="1" applyFill="1"/>
    <xf numFmtId="2" fontId="112" fillId="0" borderId="0" xfId="105" applyNumberFormat="1" applyFont="1" applyFill="1"/>
    <xf numFmtId="179" fontId="112" fillId="0" borderId="0" xfId="105" applyNumberFormat="1" applyFont="1" applyFill="1"/>
    <xf numFmtId="3" fontId="19" fillId="0" borderId="188" xfId="105" applyNumberFormat="1" applyFont="1" applyFill="1" applyBorder="1" applyAlignment="1">
      <alignment horizontal="center" vertical="center" wrapText="1"/>
    </xf>
    <xf numFmtId="3" fontId="19" fillId="0" borderId="189" xfId="105" applyNumberFormat="1" applyFont="1" applyFill="1" applyBorder="1" applyAlignment="1">
      <alignment horizontal="center" vertical="center" wrapText="1"/>
    </xf>
    <xf numFmtId="3" fontId="19" fillId="0" borderId="158" xfId="105" applyNumberFormat="1" applyFont="1" applyFill="1" applyBorder="1" applyAlignment="1">
      <alignment horizontal="center" vertical="center" wrapText="1"/>
    </xf>
    <xf numFmtId="3" fontId="15" fillId="0" borderId="154" xfId="105" applyNumberFormat="1" applyFont="1" applyFill="1" applyBorder="1" applyAlignment="1">
      <alignment horizontal="center" vertical="center" wrapText="1"/>
    </xf>
    <xf numFmtId="3" fontId="12" fillId="0" borderId="158" xfId="105" applyNumberFormat="1" applyFont="1" applyFill="1" applyBorder="1" applyAlignment="1">
      <alignment horizontal="center" vertical="center" wrapText="1"/>
    </xf>
    <xf numFmtId="3" fontId="12" fillId="0" borderId="158" xfId="105" applyNumberFormat="1" applyFont="1" applyFill="1" applyBorder="1" applyAlignment="1">
      <alignment horizontal="center" vertical="center"/>
    </xf>
    <xf numFmtId="3" fontId="12" fillId="0" borderId="0" xfId="105" applyNumberFormat="1" applyFont="1" applyFill="1" applyAlignment="1">
      <alignment horizontal="center" vertical="center"/>
    </xf>
    <xf numFmtId="0" fontId="172" fillId="0" borderId="198" xfId="105" applyFont="1" applyFill="1" applyBorder="1" applyAlignment="1">
      <alignment horizontal="center" vertical="center" wrapText="1"/>
    </xf>
    <xf numFmtId="0" fontId="172" fillId="0" borderId="193" xfId="105" applyFont="1" applyFill="1" applyBorder="1" applyAlignment="1">
      <alignment horizontal="center" vertical="center" wrapText="1"/>
    </xf>
    <xf numFmtId="0" fontId="172" fillId="0" borderId="188" xfId="105" applyFont="1" applyFill="1" applyBorder="1" applyAlignment="1">
      <alignment horizontal="center" vertical="center" wrapText="1"/>
    </xf>
    <xf numFmtId="0" fontId="12" fillId="0" borderId="174" xfId="105" applyFont="1" applyFill="1" applyBorder="1" applyAlignment="1">
      <alignment wrapText="1"/>
    </xf>
    <xf numFmtId="0" fontId="12" fillId="0" borderId="165" xfId="105" applyFont="1" applyFill="1" applyBorder="1" applyAlignment="1">
      <alignment wrapText="1"/>
    </xf>
    <xf numFmtId="0" fontId="12" fillId="0" borderId="173" xfId="105" applyFont="1" applyFill="1" applyBorder="1" applyAlignment="1">
      <alignment wrapText="1"/>
    </xf>
    <xf numFmtId="0" fontId="12" fillId="0" borderId="166" xfId="105" applyFont="1" applyFill="1" applyBorder="1" applyAlignment="1">
      <alignment wrapText="1"/>
    </xf>
    <xf numFmtId="0" fontId="12" fillId="0" borderId="154" xfId="105" applyFont="1" applyFill="1" applyBorder="1" applyAlignment="1">
      <alignment vertical="center"/>
    </xf>
    <xf numFmtId="0" fontId="15" fillId="0" borderId="154" xfId="105" applyFont="1" applyFill="1" applyBorder="1" applyAlignment="1">
      <alignment vertical="top" wrapText="1"/>
    </xf>
    <xf numFmtId="0" fontId="19" fillId="0" borderId="154" xfId="105" applyFont="1" applyFill="1" applyBorder="1" applyAlignment="1">
      <alignment vertical="center" wrapText="1"/>
    </xf>
    <xf numFmtId="0" fontId="12" fillId="0" borderId="154" xfId="105" applyFont="1" applyFill="1" applyBorder="1" applyAlignment="1"/>
    <xf numFmtId="0" fontId="15" fillId="0" borderId="154" xfId="105" applyFont="1" applyFill="1" applyBorder="1" applyAlignment="1">
      <alignment vertical="center" wrapText="1"/>
    </xf>
    <xf numFmtId="0" fontId="12" fillId="0" borderId="175" xfId="105" applyFont="1" applyFill="1" applyBorder="1" applyAlignment="1">
      <alignment wrapText="1"/>
    </xf>
    <xf numFmtId="0" fontId="12" fillId="0" borderId="201" xfId="105" applyFont="1" applyFill="1" applyBorder="1" applyAlignment="1">
      <alignment wrapText="1"/>
    </xf>
    <xf numFmtId="0" fontId="12" fillId="0" borderId="193" xfId="105" applyFont="1" applyFill="1" applyBorder="1" applyAlignment="1">
      <alignment wrapText="1"/>
    </xf>
    <xf numFmtId="0" fontId="12" fillId="0" borderId="157" xfId="105" applyFont="1" applyFill="1" applyBorder="1" applyAlignment="1">
      <alignment wrapText="1"/>
    </xf>
    <xf numFmtId="0" fontId="12" fillId="0" borderId="160" xfId="105" applyFont="1" applyFill="1" applyBorder="1" applyAlignment="1">
      <alignment horizontal="center" vertical="center" wrapText="1"/>
    </xf>
    <xf numFmtId="0" fontId="12" fillId="0" borderId="169" xfId="105" applyFont="1" applyFill="1" applyBorder="1" applyAlignment="1">
      <alignment wrapText="1"/>
    </xf>
    <xf numFmtId="0" fontId="12" fillId="0" borderId="195" xfId="105" applyFont="1" applyFill="1" applyBorder="1" applyAlignment="1">
      <alignment wrapText="1"/>
    </xf>
    <xf numFmtId="1" fontId="12" fillId="0" borderId="156" xfId="105" applyNumberFormat="1" applyFont="1" applyFill="1" applyBorder="1"/>
    <xf numFmtId="0" fontId="12" fillId="0" borderId="160" xfId="105" applyFont="1" applyFill="1" applyBorder="1" applyAlignment="1">
      <alignment wrapText="1"/>
    </xf>
    <xf numFmtId="0" fontId="12" fillId="0" borderId="194" xfId="105" applyFont="1" applyFill="1" applyBorder="1"/>
    <xf numFmtId="0" fontId="12" fillId="0" borderId="197" xfId="105" applyFont="1" applyFill="1" applyBorder="1"/>
    <xf numFmtId="0" fontId="112" fillId="0" borderId="126" xfId="105" applyFont="1" applyFill="1" applyBorder="1" applyAlignment="1">
      <alignment horizontal="center" vertical="center"/>
    </xf>
    <xf numFmtId="0" fontId="112" fillId="0" borderId="191" xfId="105" applyFont="1" applyFill="1" applyBorder="1" applyAlignment="1">
      <alignment horizontal="center" vertical="center"/>
    </xf>
    <xf numFmtId="0" fontId="112" fillId="0" borderId="199" xfId="105" applyFont="1" applyFill="1" applyBorder="1" applyAlignment="1">
      <alignment horizontal="center" vertical="center"/>
    </xf>
    <xf numFmtId="0" fontId="172" fillId="0" borderId="177" xfId="105" applyFont="1" applyFill="1" applyBorder="1" applyAlignment="1">
      <alignment horizontal="center" vertical="center" wrapText="1"/>
    </xf>
    <xf numFmtId="0" fontId="12" fillId="0" borderId="179" xfId="105" applyFont="1" applyFill="1" applyBorder="1" applyAlignment="1">
      <alignment horizontal="center" vertical="center"/>
    </xf>
    <xf numFmtId="0" fontId="12" fillId="0" borderId="162" xfId="105" applyFont="1" applyFill="1" applyBorder="1" applyAlignment="1">
      <alignment horizontal="center" vertical="center"/>
    </xf>
    <xf numFmtId="0" fontId="12" fillId="0" borderId="181" xfId="105" applyFont="1" applyFill="1" applyBorder="1" applyAlignment="1">
      <alignment horizontal="center" vertical="center"/>
    </xf>
    <xf numFmtId="0" fontId="12" fillId="0" borderId="125" xfId="105" applyFont="1" applyFill="1" applyBorder="1" applyAlignment="1">
      <alignment wrapText="1"/>
    </xf>
    <xf numFmtId="0" fontId="12" fillId="0" borderId="51" xfId="105" applyFont="1" applyFill="1" applyBorder="1" applyAlignment="1">
      <alignment wrapText="1"/>
    </xf>
    <xf numFmtId="0" fontId="12" fillId="0" borderId="124" xfId="105" applyFont="1" applyFill="1" applyBorder="1"/>
    <xf numFmtId="0" fontId="12" fillId="0" borderId="154" xfId="105" applyFont="1" applyFill="1" applyBorder="1" applyAlignment="1">
      <alignment horizontal="center"/>
    </xf>
    <xf numFmtId="0" fontId="12" fillId="0" borderId="178" xfId="105" applyFont="1" applyFill="1" applyBorder="1" applyAlignment="1">
      <alignment wrapText="1"/>
    </xf>
    <xf numFmtId="0" fontId="12" fillId="0" borderId="167" xfId="105" applyFont="1" applyFill="1" applyBorder="1" applyAlignment="1">
      <alignment wrapText="1"/>
    </xf>
    <xf numFmtId="0" fontId="12" fillId="0" borderId="132" xfId="105" applyFont="1" applyFill="1" applyBorder="1"/>
    <xf numFmtId="0" fontId="12" fillId="0" borderId="176" xfId="105" applyFont="1" applyFill="1" applyBorder="1" applyAlignment="1">
      <alignment horizontal="center" vertical="center"/>
    </xf>
    <xf numFmtId="0" fontId="19" fillId="0" borderId="171" xfId="105" applyFont="1" applyFill="1" applyBorder="1" applyAlignment="1">
      <alignment horizontal="center" vertical="center" wrapText="1"/>
    </xf>
    <xf numFmtId="0" fontId="19" fillId="0" borderId="180" xfId="105" applyFont="1" applyFill="1" applyBorder="1" applyAlignment="1">
      <alignment horizontal="center" vertical="center" wrapText="1"/>
    </xf>
    <xf numFmtId="0" fontId="8" fillId="0" borderId="154" xfId="105" applyFont="1" applyFill="1" applyBorder="1" applyAlignment="1">
      <alignment horizontal="center" vertical="center" wrapText="1"/>
    </xf>
    <xf numFmtId="0" fontId="8" fillId="0" borderId="154" xfId="105" applyFont="1" applyFill="1" applyBorder="1" applyAlignment="1">
      <alignment horizontal="center" vertical="center" wrapText="1"/>
    </xf>
    <xf numFmtId="4" fontId="12" fillId="0" borderId="124" xfId="105" applyNumberFormat="1" applyFont="1" applyFill="1" applyBorder="1"/>
    <xf numFmtId="4" fontId="112" fillId="0" borderId="154" xfId="105" applyNumberFormat="1" applyFont="1" applyFill="1" applyBorder="1" applyAlignment="1">
      <alignment horizontal="center" vertical="center"/>
    </xf>
    <xf numFmtId="3" fontId="112" fillId="0" borderId="154" xfId="105" applyNumberFormat="1" applyFont="1" applyFill="1" applyBorder="1" applyAlignment="1">
      <alignment horizontal="center"/>
    </xf>
    <xf numFmtId="4" fontId="12" fillId="0" borderId="177" xfId="105" applyNumberFormat="1" applyFont="1" applyFill="1" applyBorder="1"/>
    <xf numFmtId="4" fontId="12" fillId="0" borderId="194" xfId="105" applyNumberFormat="1" applyFont="1" applyFill="1" applyBorder="1"/>
    <xf numFmtId="0" fontId="112" fillId="0" borderId="153" xfId="105" applyFont="1" applyFill="1" applyBorder="1"/>
    <xf numFmtId="3" fontId="112" fillId="0" borderId="153" xfId="105" applyNumberFormat="1" applyFont="1" applyFill="1" applyBorder="1"/>
    <xf numFmtId="4" fontId="112" fillId="0" borderId="153" xfId="105" applyNumberFormat="1" applyFont="1" applyFill="1" applyBorder="1"/>
    <xf numFmtId="0" fontId="112" fillId="0" borderId="153" xfId="105" applyFont="1" applyFill="1" applyBorder="1" applyAlignment="1">
      <alignment horizontal="center" vertical="center"/>
    </xf>
    <xf numFmtId="4" fontId="112" fillId="0" borderId="153" xfId="105" applyNumberFormat="1" applyFont="1" applyFill="1" applyBorder="1" applyAlignment="1">
      <alignment horizontal="center" vertical="center"/>
    </xf>
    <xf numFmtId="0" fontId="112" fillId="0" borderId="0" xfId="105" applyFont="1" applyFill="1" applyBorder="1"/>
    <xf numFmtId="3" fontId="112" fillId="0" borderId="0" xfId="105" applyNumberFormat="1" applyFont="1" applyFill="1"/>
    <xf numFmtId="0" fontId="112" fillId="0" borderId="0" xfId="105" applyFont="1" applyFill="1" applyAlignment="1">
      <alignment horizontal="center" vertical="center"/>
    </xf>
    <xf numFmtId="2" fontId="112" fillId="0" borderId="0" xfId="105" applyNumberFormat="1" applyFont="1" applyFill="1" applyAlignment="1">
      <alignment horizontal="center" vertical="center"/>
    </xf>
    <xf numFmtId="0" fontId="19" fillId="0" borderId="178" xfId="105" applyFont="1" applyFill="1" applyBorder="1" applyAlignment="1">
      <alignment horizontal="center" vertical="center" wrapText="1"/>
    </xf>
    <xf numFmtId="0" fontId="19" fillId="0" borderId="167" xfId="105" applyFont="1" applyFill="1" applyBorder="1" applyAlignment="1">
      <alignment horizontal="center" vertical="center" wrapText="1"/>
    </xf>
    <xf numFmtId="0" fontId="12" fillId="0" borderId="51" xfId="105" applyFont="1" applyFill="1" applyBorder="1" applyAlignment="1">
      <alignment horizontal="center" vertical="center" wrapText="1"/>
    </xf>
    <xf numFmtId="0" fontId="12" fillId="0" borderId="125" xfId="105" applyFont="1" applyFill="1" applyBorder="1" applyAlignment="1">
      <alignment horizontal="left"/>
    </xf>
    <xf numFmtId="0" fontId="12" fillId="0" borderId="185" xfId="105" applyFont="1" applyFill="1" applyBorder="1" applyAlignment="1">
      <alignment horizontal="left"/>
    </xf>
    <xf numFmtId="0" fontId="12" fillId="0" borderId="51" xfId="105" applyFont="1" applyFill="1" applyBorder="1" applyAlignment="1">
      <alignment horizontal="left"/>
    </xf>
    <xf numFmtId="0" fontId="12" fillId="0" borderId="173" xfId="105" applyFont="1" applyFill="1" applyBorder="1" applyAlignment="1">
      <alignment horizontal="left"/>
    </xf>
    <xf numFmtId="0" fontId="12" fillId="0" borderId="179" xfId="105" applyFont="1" applyFill="1" applyBorder="1" applyAlignment="1">
      <alignment horizontal="left"/>
    </xf>
    <xf numFmtId="0" fontId="12" fillId="0" borderId="166" xfId="105" applyFont="1" applyFill="1" applyBorder="1" applyAlignment="1">
      <alignment horizontal="left"/>
    </xf>
    <xf numFmtId="0" fontId="12" fillId="0" borderId="178" xfId="105" applyFont="1" applyFill="1" applyBorder="1" applyAlignment="1">
      <alignment horizontal="left"/>
    </xf>
    <xf numFmtId="0" fontId="12" fillId="0" borderId="186" xfId="105" applyFont="1" applyFill="1" applyBorder="1" applyAlignment="1">
      <alignment horizontal="left"/>
    </xf>
    <xf numFmtId="0" fontId="12" fillId="0" borderId="167" xfId="105" applyFont="1" applyFill="1" applyBorder="1" applyAlignment="1">
      <alignment horizontal="left"/>
    </xf>
    <xf numFmtId="177" fontId="12" fillId="0" borderId="154" xfId="95" applyNumberFormat="1" applyFont="1" applyFill="1" applyBorder="1" applyAlignment="1">
      <alignment horizontal="center" vertical="center" wrapText="1"/>
    </xf>
    <xf numFmtId="177" fontId="132" fillId="0" borderId="154" xfId="95" applyNumberFormat="1" applyFont="1" applyFill="1" applyBorder="1" applyAlignment="1">
      <alignment horizontal="center" vertical="center" wrapText="1"/>
    </xf>
    <xf numFmtId="165" fontId="12" fillId="0" borderId="154" xfId="95" applyNumberFormat="1" applyFont="1" applyFill="1" applyBorder="1" applyAlignment="1">
      <alignment horizontal="center" vertical="center" wrapText="1"/>
    </xf>
    <xf numFmtId="165" fontId="12" fillId="0" borderId="154" xfId="95" applyNumberFormat="1" applyFont="1" applyFill="1" applyBorder="1" applyAlignment="1">
      <alignment vertical="top" wrapText="1"/>
    </xf>
    <xf numFmtId="171" fontId="12" fillId="0" borderId="166" xfId="105" applyNumberFormat="1" applyFont="1" applyFill="1" applyBorder="1" applyAlignment="1">
      <alignment horizontal="center" vertical="center" wrapText="1"/>
    </xf>
    <xf numFmtId="171" fontId="12" fillId="0" borderId="154" xfId="105" applyNumberFormat="1" applyFont="1" applyFill="1" applyBorder="1" applyAlignment="1">
      <alignment horizontal="center" vertical="center" wrapText="1"/>
    </xf>
    <xf numFmtId="0" fontId="170" fillId="0" borderId="216" xfId="105" applyFont="1" applyFill="1" applyBorder="1" applyAlignment="1">
      <alignment horizontal="center" vertical="top" wrapText="1"/>
    </xf>
    <xf numFmtId="0" fontId="12" fillId="0" borderId="196" xfId="105" applyFont="1" applyFill="1" applyBorder="1" applyAlignment="1">
      <alignment horizontal="center"/>
    </xf>
    <xf numFmtId="0" fontId="12" fillId="0" borderId="0" xfId="0" applyFont="1" applyFill="1"/>
    <xf numFmtId="0" fontId="12" fillId="0" borderId="101" xfId="105" applyFont="1" applyFill="1" applyBorder="1" applyAlignment="1">
      <alignment horizontal="center"/>
    </xf>
    <xf numFmtId="0" fontId="3" fillId="0" borderId="0" xfId="53" applyFill="1"/>
    <xf numFmtId="3" fontId="12" fillId="0" borderId="0" xfId="105" applyNumberFormat="1" applyFont="1" applyFill="1"/>
    <xf numFmtId="0" fontId="12" fillId="0" borderId="216" xfId="105" applyFont="1" applyFill="1" applyBorder="1" applyAlignment="1">
      <alignment wrapText="1"/>
    </xf>
    <xf numFmtId="0" fontId="12" fillId="0" borderId="188" xfId="105" applyFont="1" applyFill="1" applyBorder="1" applyAlignment="1">
      <alignment wrapText="1"/>
    </xf>
    <xf numFmtId="0" fontId="12" fillId="0" borderId="217" xfId="105" applyFont="1" applyFill="1" applyBorder="1" applyAlignment="1">
      <alignment wrapText="1"/>
    </xf>
    <xf numFmtId="0" fontId="12" fillId="0" borderId="227" xfId="105" applyFont="1" applyFill="1" applyBorder="1" applyAlignment="1">
      <alignment wrapText="1"/>
    </xf>
    <xf numFmtId="0" fontId="12" fillId="0" borderId="228" xfId="105" applyFont="1" applyFill="1" applyBorder="1" applyAlignment="1">
      <alignment wrapText="1"/>
    </xf>
    <xf numFmtId="0" fontId="12" fillId="0" borderId="196" xfId="105" applyFont="1" applyFill="1" applyBorder="1" applyAlignment="1">
      <alignment wrapText="1"/>
    </xf>
    <xf numFmtId="0" fontId="112" fillId="0" borderId="216" xfId="105" applyFont="1" applyFill="1" applyBorder="1" applyAlignment="1">
      <alignment horizontal="center" vertical="center"/>
    </xf>
    <xf numFmtId="0" fontId="12" fillId="0" borderId="216" xfId="105" applyFont="1" applyFill="1" applyBorder="1" applyAlignment="1"/>
    <xf numFmtId="0" fontId="13" fillId="0" borderId="216" xfId="105" applyFont="1" applyFill="1" applyBorder="1" applyAlignment="1">
      <alignment horizontal="center" vertical="center"/>
    </xf>
    <xf numFmtId="0" fontId="8" fillId="0" borderId="216" xfId="105" applyFont="1" applyFill="1" applyBorder="1" applyAlignment="1">
      <alignment horizontal="center" vertical="center" wrapText="1"/>
    </xf>
    <xf numFmtId="0" fontId="8" fillId="0" borderId="216" xfId="105" applyFont="1" applyFill="1" applyBorder="1" applyAlignment="1">
      <alignment horizontal="center" vertical="center" wrapText="1"/>
    </xf>
    <xf numFmtId="0" fontId="13" fillId="0" borderId="216" xfId="105" applyFont="1" applyFill="1" applyBorder="1" applyAlignment="1">
      <alignment horizontal="center" vertical="center" wrapText="1"/>
    </xf>
    <xf numFmtId="0" fontId="12" fillId="0" borderId="216" xfId="105" applyFont="1" applyFill="1" applyBorder="1" applyAlignment="1">
      <alignment horizontal="left"/>
    </xf>
    <xf numFmtId="0" fontId="12" fillId="0" borderId="216" xfId="105" applyFont="1" applyFill="1" applyBorder="1" applyAlignment="1">
      <alignment horizontal="left"/>
    </xf>
  </cellXfs>
  <cellStyles count="200">
    <cellStyle name="_!!! отчетные Форматы минэнерго к ИП 2011 (1.11.10)" xfId="54"/>
    <cellStyle name="_EKSPERT" xfId="65"/>
    <cellStyle name="_амортизация 2007-2008" xfId="66"/>
    <cellStyle name="_Книга1" xfId="67"/>
    <cellStyle name="_Книга1_Копия АРМ_БП_РСК_V10 0_20100213" xfId="68"/>
    <cellStyle name="_Расчет на 2008 год" xfId="69"/>
    <cellStyle name="_Расчет платы НПС-2" xfId="70"/>
    <cellStyle name="_Расчет платы НПС-2_НПС 2 (апрель)" xfId="71"/>
    <cellStyle name="_СЭИ Программа ПР на 09-11г от 26.10.2008г 12-45 " xfId="72"/>
    <cellStyle name="_шаблон сети от системщиков(дима)" xfId="73"/>
    <cellStyle name="1" xfId="74"/>
    <cellStyle name="1_EKSPERT" xfId="75"/>
    <cellStyle name="Comma [0]_laroux" xfId="76"/>
    <cellStyle name="Comma_laroux" xfId="77"/>
    <cellStyle name="Currency [0]" xfId="78"/>
    <cellStyle name="Currency_laroux" xfId="79"/>
    <cellStyle name="Normal" xfId="155"/>
    <cellStyle name="Normal1" xfId="80"/>
    <cellStyle name="Note 4" xfId="81"/>
    <cellStyle name="Note 4 2" xfId="178"/>
    <cellStyle name="Note 4 3" xfId="179"/>
    <cellStyle name="Price_Body" xfId="82"/>
    <cellStyle name="Беззащитный" xfId="83"/>
    <cellStyle name="Беззащитный 2" xfId="180"/>
    <cellStyle name="Беззащитный 3" xfId="181"/>
    <cellStyle name="Заголовок" xfId="84"/>
    <cellStyle name="ЗаголовокСтолбца" xfId="85"/>
    <cellStyle name="Защитный" xfId="86"/>
    <cellStyle name="Защитный 2" xfId="182"/>
    <cellStyle name="Защитный 3" xfId="183"/>
    <cellStyle name="Значение" xfId="87"/>
    <cellStyle name="Итоги" xfId="88"/>
    <cellStyle name="ЛокСмета" xfId="89"/>
    <cellStyle name="ЛокСмета 2" xfId="156"/>
    <cellStyle name="ЛокСмета 2 2" xfId="184"/>
    <cellStyle name="ЛокСмета 3" xfId="157"/>
    <cellStyle name="ЛокСмета 3 2" xfId="185"/>
    <cellStyle name="ЛокСмета 4" xfId="186"/>
    <cellStyle name="Мой заголовок" xfId="90"/>
    <cellStyle name="Мой заголовок листа" xfId="91"/>
    <cellStyle name="Мои наименования показателей" xfId="92"/>
    <cellStyle name="Обычнsй" xfId="93"/>
    <cellStyle name="Обычный" xfId="0" builtinId="0"/>
    <cellStyle name="Обычный 10" xfId="1"/>
    <cellStyle name="Обычный 10 2" xfId="94"/>
    <cellStyle name="Обычный 10 5" xfId="95"/>
    <cellStyle name="Обычный 106" xfId="96"/>
    <cellStyle name="Обычный 108" xfId="97"/>
    <cellStyle name="Обычный 11" xfId="2"/>
    <cellStyle name="Обычный 11 2" xfId="98"/>
    <cellStyle name="Обычный 12" xfId="99"/>
    <cellStyle name="Обычный 12 2" xfId="100"/>
    <cellStyle name="Обычный 13" xfId="101"/>
    <cellStyle name="Обычный 133" xfId="3"/>
    <cellStyle name="Обычный 14" xfId="102"/>
    <cellStyle name="Обычный 140" xfId="4"/>
    <cellStyle name="Обычный 144" xfId="5"/>
    <cellStyle name="Обычный 15" xfId="103"/>
    <cellStyle name="Обычный 151" xfId="6"/>
    <cellStyle name="Обычный 154" xfId="7"/>
    <cellStyle name="Обычный 16" xfId="104"/>
    <cellStyle name="Обычный 168" xfId="8"/>
    <cellStyle name="Обычный 17" xfId="105"/>
    <cellStyle name="Обычный 17 2" xfId="106"/>
    <cellStyle name="Обычный 17 2 2" xfId="107"/>
    <cellStyle name="Обычный 17 2 2 2" xfId="158"/>
    <cellStyle name="Обычный 17 2 3" xfId="159"/>
    <cellStyle name="Обычный 17 3" xfId="108"/>
    <cellStyle name="Обычный 17 3 2" xfId="192"/>
    <cellStyle name="Обычный 172" xfId="9"/>
    <cellStyle name="Обычный 179" xfId="10"/>
    <cellStyle name="Обычный 18" xfId="109"/>
    <cellStyle name="Обычный 18 2" xfId="110"/>
    <cellStyle name="Обычный 18 2 2" xfId="160"/>
    <cellStyle name="Обычный 18 3" xfId="161"/>
    <cellStyle name="Обычный 183" xfId="11"/>
    <cellStyle name="Обычный 19" xfId="111"/>
    <cellStyle name="Обычный 2" xfId="12"/>
    <cellStyle name="Обычный 2 10" xfId="13"/>
    <cellStyle name="Обычный 2 11" xfId="14"/>
    <cellStyle name="Обычный 2 2" xfId="15"/>
    <cellStyle name="Обычный 2 2 19" xfId="112"/>
    <cellStyle name="Обычный 2 2 2" xfId="16"/>
    <cellStyle name="Обычный 2 2 2 2" xfId="113"/>
    <cellStyle name="Обычный 2 2 3" xfId="114"/>
    <cellStyle name="Обычный 2 2_Копия Приложение_4-10_07 10 2014(ИПЦ 67%)!!!! испр" xfId="115"/>
    <cellStyle name="Обычный 2 22" xfId="17"/>
    <cellStyle name="Обычный 2 24" xfId="18"/>
    <cellStyle name="Обычный 2 26" xfId="19"/>
    <cellStyle name="Обычный 2 26 2" xfId="116"/>
    <cellStyle name="Обычный 2 29" xfId="20"/>
    <cellStyle name="Обычный 2 3" xfId="21"/>
    <cellStyle name="Обычный 2 3 2" xfId="117"/>
    <cellStyle name="Обычный 2 3_ТП 2014 (3)" xfId="118"/>
    <cellStyle name="Обычный 2 31" xfId="22"/>
    <cellStyle name="Обычный 2 34" xfId="23"/>
    <cellStyle name="Обычный 2 38" xfId="24"/>
    <cellStyle name="Обычный 2 4" xfId="62"/>
    <cellStyle name="Обычный 2 40" xfId="25"/>
    <cellStyle name="Обычный 2 43" xfId="26"/>
    <cellStyle name="Обычный 2 49" xfId="27"/>
    <cellStyle name="Обычный 2 5" xfId="28"/>
    <cellStyle name="Обычный 2 53" xfId="29"/>
    <cellStyle name="Обычный 2 56" xfId="30"/>
    <cellStyle name="Обычный 2 57" xfId="31"/>
    <cellStyle name="Обычный 2 60" xfId="32"/>
    <cellStyle name="Обычный 2 65" xfId="33"/>
    <cellStyle name="Обычный 2 66" xfId="34"/>
    <cellStyle name="Обычный 2 7" xfId="35"/>
    <cellStyle name="Обычный 2 70" xfId="36"/>
    <cellStyle name="Обычный 2 71" xfId="37"/>
    <cellStyle name="Обычный 2 74" xfId="38"/>
    <cellStyle name="Обычный 2 77" xfId="39"/>
    <cellStyle name="Обычный 2_Заключенные ДТП СЭС 2008 год" xfId="40"/>
    <cellStyle name="Обычный 20" xfId="119"/>
    <cellStyle name="Обычный 20 2" xfId="162"/>
    <cellStyle name="Обычный 20 3" xfId="193"/>
    <cellStyle name="Обычный 21" xfId="120"/>
    <cellStyle name="Обычный 22" xfId="121"/>
    <cellStyle name="Обычный 23" xfId="163"/>
    <cellStyle name="Обычный 24" xfId="164"/>
    <cellStyle name="Обычный 25" xfId="165"/>
    <cellStyle name="Обычный 26" xfId="166"/>
    <cellStyle name="Обычный 27" xfId="194"/>
    <cellStyle name="Обычный 28" xfId="197"/>
    <cellStyle name="Обычный 29" xfId="198"/>
    <cellStyle name="Обычный 3" xfId="41"/>
    <cellStyle name="Обычный 3 2" xfId="122"/>
    <cellStyle name="Обычный 3 3" xfId="123"/>
    <cellStyle name="Обычный 4" xfId="42"/>
    <cellStyle name="Обычный 4 2" xfId="124"/>
    <cellStyle name="Обычный 4 3" xfId="125"/>
    <cellStyle name="Обычный 4 4" xfId="167"/>
    <cellStyle name="Обычный 5" xfId="60"/>
    <cellStyle name="Обычный 5 2" xfId="126"/>
    <cellStyle name="Обычный 5 3" xfId="63"/>
    <cellStyle name="Обычный 5 3 2" xfId="195"/>
    <cellStyle name="Обычный 51" xfId="43"/>
    <cellStyle name="Обычный 6" xfId="57"/>
    <cellStyle name="Обычный 6 2" xfId="127"/>
    <cellStyle name="Обычный 66" xfId="44"/>
    <cellStyle name="Обычный 7" xfId="128"/>
    <cellStyle name="Обычный 7 2" xfId="129"/>
    <cellStyle name="Обычный 76" xfId="45"/>
    <cellStyle name="Обычный 8" xfId="46"/>
    <cellStyle name="Обычный 8 2" xfId="130"/>
    <cellStyle name="Обычный 81" xfId="47"/>
    <cellStyle name="Обычный 83" xfId="48"/>
    <cellStyle name="Обычный 9" xfId="49"/>
    <cellStyle name="Обычный 9 2" xfId="131"/>
    <cellStyle name="Обычный 96" xfId="50"/>
    <cellStyle name="Обычный_Приложение 1" xfId="58"/>
    <cellStyle name="Обычный_Приложение 8 (выпадающие)_на 2011 год_13 08 10" xfId="53"/>
    <cellStyle name="Обычный_Смета  по методике" xfId="59"/>
    <cellStyle name="Перенос_слов" xfId="132"/>
    <cellStyle name="Процентный" xfId="199" builtinId="5"/>
    <cellStyle name="Процентный 2" xfId="55"/>
    <cellStyle name="Процентный 2 2" xfId="64"/>
    <cellStyle name="Процентный 2 2 2" xfId="168"/>
    <cellStyle name="Процентный 2 3" xfId="169"/>
    <cellStyle name="Процентный 3" xfId="56"/>
    <cellStyle name="Процентный 3 2" xfId="170"/>
    <cellStyle name="Процентный 4" xfId="133"/>
    <cellStyle name="Процентный 5" xfId="134"/>
    <cellStyle name="Процентный 6" xfId="135"/>
    <cellStyle name="Процентный 6 2" xfId="136"/>
    <cellStyle name="Процентный 6 2 2" xfId="171"/>
    <cellStyle name="Процентный 6 2 3" xfId="196"/>
    <cellStyle name="Процентный 6 3" xfId="172"/>
    <cellStyle name="Процентный 7" xfId="173"/>
    <cellStyle name="СводРасч" xfId="137"/>
    <cellStyle name="Стиль 1" xfId="51"/>
    <cellStyle name="Стиль 1 2" xfId="138"/>
    <cellStyle name="Стиль 1 3" xfId="139"/>
    <cellStyle name="Текстовый" xfId="140"/>
    <cellStyle name="Титул" xfId="141"/>
    <cellStyle name="Тысячи [0]_3Com" xfId="142"/>
    <cellStyle name="Тысячи_3Com" xfId="143"/>
    <cellStyle name="Финансовый 2" xfId="52"/>
    <cellStyle name="Финансовый 2 2" xfId="144"/>
    <cellStyle name="Финансовый 2 3" xfId="174"/>
    <cellStyle name="Финансовый 3" xfId="61"/>
    <cellStyle name="Финансовый 3 2" xfId="145"/>
    <cellStyle name="Финансовый 3 3" xfId="146"/>
    <cellStyle name="Финансовый 4" xfId="147"/>
    <cellStyle name="Финансовый 5" xfId="148"/>
    <cellStyle name="Финансовый 6" xfId="149"/>
    <cellStyle name="Формула" xfId="150"/>
    <cellStyle name="ФормулаВБ" xfId="151"/>
    <cellStyle name="ФормулаНаКонтроль" xfId="152"/>
    <cellStyle name="ФормулаНаКонтроль 2" xfId="153"/>
    <cellStyle name="ФормулаНаКонтроль 2 2" xfId="175"/>
    <cellStyle name="ФормулаНаКонтроль 2 2 2" xfId="187"/>
    <cellStyle name="ФормулаНаКонтроль 2 3" xfId="176"/>
    <cellStyle name="ФормулаНаКонтроль 2 3 2" xfId="188"/>
    <cellStyle name="ФормулаНаКонтроль 2 4" xfId="189"/>
    <cellStyle name="ФормулаНаКонтроль 3" xfId="177"/>
    <cellStyle name="ФормулаНаКонтроль 3 2" xfId="190"/>
    <cellStyle name="ФормулаНаКонтроль 4" xfId="191"/>
    <cellStyle name="Хвост" xfId="154"/>
  </cellStyles>
  <dxfs count="0"/>
  <tableStyles count="0" defaultTableStyle="TableStyleMedium2" defaultPivotStyle="PivotStyleLight16"/>
  <colors>
    <mruColors>
      <color rgb="FFFF00FF"/>
      <color rgb="FFFFCCFF"/>
      <color rgb="FFFFCCCC"/>
      <color rgb="FFCCFFFF"/>
      <color rgb="FFFF99FF"/>
      <color rgb="FFCCECFF"/>
      <color rgb="FFCCFFCC"/>
      <color rgb="FFFFFF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30.xml"/><Relationship Id="rId61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60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37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35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peopn\Local%20Settings\Temporary%20Internet%20Files\Content.IE5\A94KM31Q\Documents%20and%20Settings\&#1054;&#1083;&#1100;&#1075;&#1072;%20&#1048;&#1074;&#1072;&#1085;&#1086;&#1074;&#1085;&#1072;\&#1056;&#1072;&#1073;&#1086;&#1095;&#1080;&#1081;%20&#1089;&#1090;&#1086;&#1083;\&#1056;&#1072;&#1089;&#1095;&#1077;&#1090;%20&#1090;&#1072;&#1088;&#1080;&#1092;&#1086;&#1074;%20&#1085;&#1072;%202008%20&#1075;&#1086;&#1076;%20%20&#1074;&#1090;&#1086;&#1088;&#1080;&#1095;&#1085;&#1086;%2029.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alkinmi/AppData/Local/Microsoft/Windows/Temporary%20Internet%20Files/Content.Outlook/LQT1YG80/&#1058;&#1072;&#1088;&#1080;&#1092;&#1085;&#1086;&#1077;%20&#1076;&#1077;&#1083;&#1086;%202016/&#1050;&#1086;&#1087;&#1080;&#1103;%20&#1055;&#1088;&#1080;&#1083;&#1086;&#1078;&#1077;&#1085;&#1080;&#1077;_3_&#1058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dzhalkinmi\AppData\Local\Microsoft\Windows\Temporary%20Internet%20Files\Content.Outlook\LQT1YG80\&#1058;&#1072;&#1088;&#1080;&#1092;&#1085;&#1086;&#1077;%20&#1076;&#1077;&#1083;&#1086;%202016\&#1050;&#1086;&#1087;&#1080;&#1103;%20&#1055;&#1088;&#1080;&#1083;&#1086;&#1078;&#1077;&#1085;&#1080;&#1077;_3_&#1058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share$\Users\dzhalkinmi\AppData\Local\Microsoft\Windows\Temporary%20Internet%20Files\Content.Outlook\LQT1YG80\&#1058;&#1072;&#1088;&#1080;&#1092;&#1085;&#1086;&#1077;%20&#1076;&#1077;&#1083;&#1086;%202016\&#1050;&#1086;&#1087;&#1080;&#1103;%20&#1055;&#1088;&#1080;&#1083;&#1086;&#1078;&#1077;&#1085;&#1080;&#1077;_3_&#1058;&#105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4;&#1099;&#1087;&#1072;&#1076;&#1072;&#1102;&#1097;&#1080;&#1077;/&#1042;&#1099;&#1087;&#1072;&#1076;&#1072;&#1102;&#1097;&#1080;&#1077;%202015/&#1050;&#1086;&#1087;&#1080;&#1103;%20&#1055;&#1088;&#1080;&#1083;&#1086;&#1078;&#1077;&#1085;&#1080;&#1103;%203%201-3%203%20&#1085;&#1072;%2016%2003%202015_&#1085;&#1072;%20&#1089;&#1086;&#1075;&#1083;&#1072;&#1089;&#1086;&#1074;&#1072;&#1085;&#1080;&#1077;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&#1056;&#1072;&#1073;&#1086;&#1095;&#1080;&#1081;%20&#1089;&#1090;&#1086;&#1083;\&#1074;&#1099;&#1087;&#1072;&#1076;&#1072;&#1102;&#1097;&#1080;&#1077;\&#1042;&#1099;&#1087;&#1072;&#1076;&#1072;&#1102;&#1097;&#1080;&#1077;%202015\&#1050;&#1086;&#1087;&#1080;&#1103;%20&#1055;&#1088;&#1080;&#1083;&#1086;&#1078;&#1077;&#1085;&#1080;&#1103;%203%201-3%203%20&#1085;&#1072;%2016%2003%202015_&#1085;&#1072;%20&#1089;&#1086;&#1075;&#1083;&#1072;&#1089;&#1086;&#1074;&#1072;&#1085;&#1080;&#1077;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share$\&#1056;&#1072;&#1073;&#1086;&#1095;&#1080;&#1081;%20&#1089;&#1090;&#1086;&#1083;\&#1074;&#1099;&#1087;&#1072;&#1076;&#1072;&#1102;&#1097;&#1080;&#1077;\&#1042;&#1099;&#1087;&#1072;&#1076;&#1072;&#1102;&#1097;&#1080;&#1077;%202015\&#1050;&#1086;&#1087;&#1080;&#1103;%20&#1055;&#1088;&#1080;&#1083;&#1086;&#1078;&#1077;&#1085;&#1080;&#1103;%203%201-3%203%20&#1085;&#1072;%2016%2003%202015_&#1085;&#1072;%20&#1089;&#1086;&#1075;&#1083;&#1072;&#1089;&#1086;&#1074;&#1072;&#1085;&#1080;&#1077;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otp2\&#1052;&#1086;&#1080;%20&#1076;&#1086;&#1082;&#1091;&#1084;&#1077;&#1085;&#1090;&#1099;\&#1044;&#1086;&#1082;&#1091;&#1084;&#1077;&#1085;&#1090;&#1099;\&#1050;&#1072;&#1083;&#1100;&#1082;&#1091;&#1083;&#1103;&#1094;&#1080;&#1080;\&#1050;&#1069;&#1059;&#1050;\&#1043;&#1045;&#1053;&#1045;&#1056;&#1040;&#1062;&#1048;&#1071;%20&#1056;&#1054;&#1057;&#1057;&#1048;&#1048;%20&#1045;&#1048;&#1040;&#1057;\&#1054;&#1040;&#1054;%20&#1050;&#1072;&#1089;&#1082;&#1072;&#1076;%20&#1053;&#1080;&#1078;&#1085;&#1077;-&#1063;&#1077;&#1088;&#1077;&#1082;&#1089;&#1082;&#1080;&#1093;%20&#1043;&#1069;&#1057;%20(&#1086;&#1089;&#1085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&#1052;&#1086;&#1080;%20&#1076;&#1086;&#1082;&#1091;&#1084;&#1077;&#1085;&#1090;&#1099;\&#1041;&#1055;-2006%20&#1075;\&#1053;&#1086;&#1074;&#1072;&#1103;%20&#1087;&#1072;&#1087;&#1082;&#1072;\2004%20&#1043;&#1054;&#1044;\&#1040;&#1050;&#1058;&#1067;%202004\&#1052;&#1072;&#1088;&#1090;\WINDOWS\&#1056;&#1072;&#1073;&#1086;&#1095;&#1080;&#1081;%20&#1089;&#1090;&#1086;&#1083;\&#1057;&#1084;&#1077;&#1090;&#1072;\NES\&#1042;&#1072;&#1082;&#1091;&#1091;&#1084;&#1085;&#1099;&#1081;%20&#1074;&#1099;&#1082;&#1083;&#1102;&#1095;&#1072;&#1090;&#1077;&#1083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69;&#1059;&#1050;/&#1043;&#1045;&#1053;&#1045;&#1056;&#1040;&#1062;&#1048;&#1071;%20&#1056;&#1054;&#1057;&#1057;&#1048;&#1048;%20&#1045;&#1048;&#1040;&#1057;/&#1054;&#1040;&#1054;%20&#1050;&#1072;&#1089;&#1082;&#1072;&#1076;%20&#1053;&#1080;&#1078;&#1085;&#1077;-&#1063;&#1077;&#1088;&#1077;&#1082;&#1089;&#1082;&#1080;&#1093;%20&#1043;&#1069;&#1057;%20(&#1086;&#1089;&#1085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&#1050;&#1069;&#1059;&#1050;\&#1043;&#1045;&#1053;&#1045;&#1056;&#1040;&#1062;&#1048;&#1071;%20&#1056;&#1054;&#1057;&#1057;&#1048;&#1048;%20&#1045;&#1048;&#1040;&#1057;\&#1054;&#1040;&#1054;%20&#1050;&#1072;&#1089;&#1082;&#1072;&#1076;%20&#1053;&#1080;&#1078;&#1085;&#1077;-&#1063;&#1077;&#1088;&#1077;&#1082;&#1089;&#1082;&#1080;&#1093;%20&#1043;&#1069;&#1057;%20(&#1086;&#1089;&#108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99;&#1087;&#1072;&#1076;_19&#1075;%20&#1080;&#1085;&#1074;%20(29%2006%202018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share$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55;&#1056;&#1048;&#1050;&#1040;&#1047;&#1067;%20&#1056;&#1057;&#1058;\&#1058;&#1077;&#1093;%20&#1087;&#1088;&#1080;&#1089;&#1086;&#1077;&#1076;&#1080;&#1085;&#1077;&#1085;&#1080;&#1077;\2018\&#1074;&#1099;&#1087;&#1072;&#1076;&#1072;&#1102;&#1097;&#1080;&#1077;-1%20-%20&#1050;&#1069;_25.12.20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HASH~1/AppData/Local/Temp/7zOBA3C.tmp/6)&#1044;&#1077;&#1092;&#1083;&#1103;&#1090;&#1086;&#1088;&#1099;%20&#1073;&#1072;&#1079;&#1086;&#1074;&#1099;&#1081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HASH~1/AppData/Local/Temp/7zO88D2.tmp/7)&#1048;&#1055;&#1062;%20&#1041;&#1072;&#1079;&#1086;&#1074;&#1099;&#1081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54;&#1056;&#1044;&#1046;&#1048;&#1045;&#1042;&#1040;%20&#1051;.&#1042;/&#1055;&#1056;&#1048;&#1050;&#1040;&#1047;&#1067;%20&#1056;&#1057;&#1058;/&#1058;&#1077;&#1093;%20&#1087;&#1088;&#1080;&#1089;&#1086;&#1077;&#1076;&#1080;&#1085;&#1077;&#1085;&#1080;&#1077;/2018/&#1058;&#1055;_2018_&#1091;&#1090;&#1074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54;&#1056;&#1044;&#1046;&#1048;&#1045;&#1042;&#1040;%20&#1051;.&#1042;/&#1086;&#1090;&#1095;&#1077;&#1090;&#1099;%20&#1087;&#1086;%20&#1080;&#1085;&#1074;&#1077;&#1089;&#1090;%20&#1082;&#1072;&#1087;&#1080;&#1090;&#1072;&#1083;&#1091;/2016/2016%20&#1075;&#1086;&#1076;/&#1059;&#1063;&#1045;&#1058;%20&#1048;&#1050;%20&#1050;&#1072;&#1069;%20%202016&#1075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54;&#1056;&#1044;&#1046;&#1048;&#1045;&#1042;&#1040;%20&#1051;.&#1042;/&#1086;&#1090;&#1095;&#1077;&#1090;&#1099;%20&#1087;&#1086;%20&#1080;&#1085;&#1074;&#1077;&#1089;&#1090;%20&#1082;&#1072;&#1087;&#1080;&#1090;&#1072;&#1083;&#1091;/2017/2017&#1075;&#1086;&#1076;/&#1059;&#1063;&#1045;&#1058;%20&#1048;&#1050;%20&#1050;&#1072;&#1069;%20&#1079;&#1072;%202017&#1075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54;&#1056;&#1044;&#1046;&#1048;&#1045;&#1042;&#1040;%20&#1051;.&#1042;/&#1090;&#1072;&#1088;&#1080;&#1092;_&#1087;&#1077;&#1088;&#1077;&#1076;&#1072;&#1095;&#1072;/&#1090;&#1072;&#1088;&#1080;&#1092;%20%202018/&#1042;&#1099;&#1087;&#1072;&#1076;&#1072;&#1102;&#1097;.&#1058;&#1055;/&#1055;&#1088;&#1080;&#1083;.3_&#1058;&#1055;_(ver.2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\Local%20Settings\Temporary%20Internet%20Files\Content.Outlook\1HZ35996\&#1055;&#1088;&#1080;&#1083;&#1086;&#1078;&#1077;&#1085;&#1080;&#1077;_3_&#1050;&#1069;_(&#1085;&#1072;_&#1089;&#1086;&#1075;&#1083;&#1072;&#1089;&#1086;&#1074;&#1072;&#1085;&#1080;&#1077;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\Local%20Settings\Temporary%20Internet%20Files\Content.Outlook\1HZ35996\&#1055;&#1088;&#1080;&#1083;&#1086;&#1078;&#1077;&#1085;&#1080;&#1077;_3_&#1050;&#1069;_(&#1089;&#1086;&#1075;&#1083;&#1072;&#1089;&#1086;&#1074;&#1072;&#1085;&#1086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&#1052;&#1086;&#1080;%20&#1076;&#1086;&#1082;&#1091;&#1084;&#1077;&#1085;&#1090;&#1099;\&#1041;&#1055;-2006%20&#1075;\&#1053;&#1086;&#1074;&#1072;&#1103;%20&#1087;&#1072;&#1087;&#1082;&#1072;\2004%20&#1043;&#1054;&#1044;\&#1040;&#1050;&#1058;&#1067;%202004\&#1052;&#1072;&#1088;&#1090;\NES\&#1047;&#1072;&#1097;&#1080;&#1090;&#1072;%20&#1096;&#1080;&#1085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0;&#1083;.4-9_&#1050;&#1069;_2018.03.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8;&#1072;&#1088;&#1080;&#1092;&#1085;&#1099;&#1077;%20&#1076;&#1077;&#1083;&#1072;%20&#1087;&#1086;%20&#1058;&#1055;\&#1058;&#1044;%20&#1087;&#1086;%20&#1058;&#1055;%20&#1085;&#1072;%202018\&#1055;&#1088;&#1080;&#1083;.3\&#1055;&#1088;&#1080;&#1083;.3_&#1050;&#1069;_2016_(2017.08.17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90;&#1072;&#1088;&#1080;&#1092;_&#1087;&#1077;&#1088;&#1077;&#1076;&#1072;&#1095;&#1072;\&#1090;&#1072;&#1088;&#1080;&#1092;%20%202018\&#1042;&#1099;&#1087;&#1072;&#1076;&#1072;&#1102;&#1097;.&#1058;&#1055;\&#1055;&#1088;&#1080;&#1083;.3_&#1058;&#1055;_(ver.2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8/&#1047;&#1072;&#1103;&#1074;&#1082;&#1072;_(&#1073;&#1072;&#1079;.&#1084;&#1086;&#1076;&#1077;&#1083;&#1100;)/&#1055;&#1088;&#1080;&#1083;._4-9_&#1050;&#1069;_2017.10.17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44;&#1069;/&#1044;&#1083;&#1103;_&#1044;&#1069;/&#1058;&#1055;2015_&#1091;&#1090;&#1074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55;&#1088;&#1080;&#1083;.4-13_&#1088;&#1077;&#1076;.2016.11.17_(&#1085;&#1086;&#1074;.&#1052;&#1059;)/&#1055;&#1088;&#1080;&#1083;._4-9_&#1050;&#1069;_2016.11.17_(&#1085;&#1086;&#1074;.&#1052;&#1059;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55;&#1088;&#1080;&#1083;.4-13_&#1088;&#1077;&#1076;.2016.11.17_(&#1085;&#1086;&#1074;.&#1052;&#1059;)/C1/&#1055;&#1088;&#1080;&#1083;._4-9_&#1050;&#1069;_2016.11.17_(&#1085;&#1086;&#1074;.&#1052;&#1059;)_C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9;&#1090;&#1074;&#1077;&#1088;&#1078;&#1076;&#1077;&#1085;&#1086;/&#1058;&#1055;_2016_&#1091;&#1090;&#1074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9;&#1090;&#1074;&#1077;&#1088;&#1078;&#1076;&#1077;&#1085;&#1086;/&#1058;&#1055;_2017_&#1091;&#1090;&#1074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8/&#1085;&#1086;&#1074;&#1099;&#1077;%20&#1052;&#1059;%20&#1079;&#1072;&#1103;&#1074;&#1082;&#1072;/&#1055;&#1088;&#1080;&#1083;._4-9_&#1050;&#1069;_2016.11.17_(&#1085;&#1086;&#1074;.&#1052;&#105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operator\&#1056;&#1072;&#1073;&#1086;&#1095;&#1080;&#1081;%20&#1089;&#1090;&#1086;&#1083;\&#1048;&#1074;&#1072;&#1085;&#1086;&#1074;&#1072;\&#1088;&#1072;&#1079;&#1076;&#1077;&#1083;&#1077;&#1085;&#1080;&#1077;%20&#1090;&#1072;&#1088;&#1080;&#1092;&#1072;\&#1088;&#1072;&#1079;&#1076;&#1077;&#1083;%20&#1090;&#1072;&#1088;&#1080;&#1092;&#1072;%202007\&#1057;&#1069;&#1048;\&#1072;&#1084;&#1086;&#1088;&#1090;&#1080;&#1079;&#1072;&#1094;&#1080;&#1103;%202007-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44;&#1069;/&#1052;&#1056;&#1057;&#1050;_2016.12.12/&#1055;&#1088;&#1080;&#1083;._4-9_&#1050;&#1069;_2016.10.10_5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2&#1074;&#1072;&#1088;_%20&#1042;&#1099;&#1087;&#1072;&#1076;_19&#1075;%20&#1080;&#1085;&#1074;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operator\&#1056;&#1072;&#1073;&#1086;&#1095;&#1080;&#1081;%20&#1089;&#1090;&#1086;&#1083;\&#1048;&#1074;&#1072;&#1085;&#1086;&#1074;&#1072;\&#1088;&#1072;&#1079;&#1076;&#1077;&#1083;&#1077;&#1085;&#1080;&#1077;%20&#1090;&#1072;&#1088;&#1080;&#1092;&#1072;\&#1088;&#1072;&#1079;&#1076;&#1077;&#1083;%20&#1090;&#1072;&#1088;&#1080;&#1092;&#1072;%202007\&#1057;&#1069;&#1048;\1.17%20&#1089;&#1101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operator\&#1052;&#1086;&#1080;%20&#1076;&#1086;&#1082;&#1091;&#1084;&#1077;&#1085;&#1090;&#1099;\&#1056;&#1040;&#1057;&#1063;&#1045;&#1058;&#1067;%20&#1058;&#1040;&#1056;&#1048;&#1060;&#1054;&#1042;%20&#1053;&#1040;%202008%20&#1043;&#1054;&#1044;\&#1056;&#1040;&#1057;&#1063;&#1045;&#1058;%20&#1052;&#1054;&#1049;\&#1056;&#1072;&#1089;&#1095;&#1077;&#1090;%20&#1085;&#1072;%202008%20&#1075;&#1086;&#107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8;&#1072;&#1088;&#1080;&#1092;&#1085;&#1099;&#1077;%20&#1076;&#1077;&#1083;&#1072;%20&#1087;&#1086;%20&#1058;&#1055;\&#1058;&#1044;%20&#1087;&#1086;%20&#1058;&#1055;%20&#1085;&#1072;%202017\&#1047;&#1072;&#1103;&#1074;&#1082;&#1072;_&#1074;_&#1056;&#1057;&#1058;_2016.10.28\&#1055;&#1088;&#1080;&#1083;._10-12_&#1050;&#1069;_2016.10.20_(&#1073;&#1072;&#1079;.&#1084;&#1086;&#1076;.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55;&#1088;&#1080;&#1083;.4-13_&#1088;&#1077;&#1076;.2016.11.17_(&#1085;&#1086;&#1074;.&#1052;&#1059;)/&#1055;&#1088;&#1080;&#1083;._10-12_&#1050;&#1069;_2016.11.17_(&#1085;&#1086;&#1074;.&#1052;&#1059;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8;&#1072;&#1088;&#1080;&#1092;&#1085;&#1099;&#1077;%20&#1076;&#1077;&#1083;&#1072;%20&#1087;&#1086;%20&#1058;&#1055;/&#1058;&#1044;%20&#1087;&#1086;%20&#1058;&#1055;%20&#1085;&#1072;%202017/&#1047;&#1072;&#1103;&#1074;&#1082;&#1072;_&#1074;_&#1056;&#1057;&#1058;_2016.10.28/&#1055;&#1088;&#1080;&#1083;._10-12_&#1050;&#1069;_2016.10.20_(&#1073;&#1072;&#1079;.&#1084;&#1086;&#1076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анализ роста"/>
      <sheetName val="титул"/>
      <sheetName val="1.2.2.И"/>
      <sheetName val="1.3.И"/>
      <sheetName val="1.4."/>
      <sheetName val="1.5.И"/>
      <sheetName val="1.6.И"/>
      <sheetName val="1.12.а"/>
      <sheetName val="1.12.И"/>
      <sheetName val="1.13.И"/>
      <sheetName val="1.15."/>
      <sheetName val="анализ роста к факту И"/>
      <sheetName val="прочие"/>
      <sheetName val="1.18.2."/>
      <sheetName val="1.16."/>
      <sheetName val="1.16. (08.10.07)"/>
      <sheetName val="1.16. жкх"/>
      <sheetName val="1.17."/>
      <sheetName val="1.17.1."/>
      <sheetName val="1.17.2."/>
      <sheetName val="1.20."/>
      <sheetName val="1.20.3"/>
      <sheetName val="1.21.3"/>
      <sheetName val="1.24."/>
      <sheetName val="1.25."/>
      <sheetName val="1.27."/>
      <sheetName val="Таб П2.1И"/>
      <sheetName val="ТабП.2.2И"/>
      <sheetName val="расчет"/>
      <sheetName val="расчет аморт"/>
      <sheetName val="тбо 2006И"/>
      <sheetName val="тепло 2006И"/>
      <sheetName val="вода 2006И"/>
      <sheetName val="мусор"/>
      <sheetName val="вода"/>
      <sheetName val="дезин"/>
      <sheetName val="9.8.6."/>
      <sheetName val="9.8.1."/>
      <sheetName val="9.8.23"/>
      <sheetName val="9.2."/>
      <sheetName val="несчас"/>
      <sheetName val="опасные"/>
      <sheetName val="автограж"/>
      <sheetName val="9.7.4."/>
      <sheetName val="9.6."/>
      <sheetName val="ЕСН"/>
      <sheetName val="ЕСНа"/>
      <sheetName val="9.8.2.а"/>
      <sheetName val="9.8.2."/>
      <sheetName val="9.8.3.-9.8.5."/>
      <sheetName val="сбор выр"/>
      <sheetName val="9.8.7."/>
      <sheetName val="9.8.8."/>
      <sheetName val="9.8.9."/>
      <sheetName val="9.8.10."/>
      <sheetName val="9.8.10.а"/>
      <sheetName val="9.8.12."/>
      <sheetName val="9.8.13."/>
      <sheetName val="9.3."/>
      <sheetName val="9.8.14. 9.8.15"/>
      <sheetName val="9.8.16"/>
      <sheetName val="9.8.17"/>
      <sheetName val="9.8.18"/>
      <sheetName val="9.8.19  9.8.20"/>
      <sheetName val="расчет конвертов"/>
      <sheetName val="9.8.21."/>
      <sheetName val="9.8.22"/>
      <sheetName val="9.8.23."/>
      <sheetName val="9.8.24."/>
      <sheetName val="9.8.25."/>
      <sheetName val="9.8.26."/>
      <sheetName val="9.8.27.  9.8.28."/>
      <sheetName val="услуги пр хар"/>
      <sheetName val="СБЫТ числ"/>
      <sheetName val="СБЫТ зарп"/>
      <sheetName val="СМУП  числ"/>
      <sheetName val="СМУП  зарп"/>
      <sheetName val="факт 2004"/>
      <sheetName val="расчет числ по ЖКХ"/>
      <sheetName val="приб на соц разв по ЖКХ"/>
      <sheetName val="ступень оплаты"/>
      <sheetName val="выпадающие по 2006 (3)"/>
      <sheetName val="выпадающие по 2006"/>
      <sheetName val="выпдающ 05-06"/>
      <sheetName val="выпадающ 2004"/>
      <sheetName val="выпадающ 2005"/>
      <sheetName val="титул (сб)"/>
      <sheetName val="1 (сб)"/>
      <sheetName val="2(сб)"/>
      <sheetName val="3 (сб)"/>
      <sheetName val="4(сб)"/>
      <sheetName val="5(сб)"/>
      <sheetName val="6(сб)"/>
      <sheetName val="7 (сб)"/>
      <sheetName val="8(сб)"/>
      <sheetName val="анализ роста к факту И (2)"/>
      <sheetName val="17_1"/>
      <sheetName val="18_2"/>
      <sheetName val="20_1"/>
      <sheetName val="21_3"/>
      <sheetName val="P2_1"/>
      <sheetName val="P2_2"/>
    </sheetNames>
    <sheetDataSet>
      <sheetData sheetId="0"/>
      <sheetData sheetId="1">
        <row r="1">
          <cell r="G1" t="str">
            <v>Титульный лист</v>
          </cell>
        </row>
        <row r="2">
          <cell r="A2" t="str">
            <v>РАСЧЕТ ТАРИФОВ НА УСЛУГИ ПО ПЕРЕДАЧЕ ЭЛЕКТРИЧЕСКОЙ ЭНЕРГИИ</v>
          </cell>
        </row>
        <row r="6">
          <cell r="A6" t="str">
            <v>Наименование организации:</v>
          </cell>
          <cell r="B6" t="str">
            <v>Ставропольское муниципальное унитарное предприятие "Горэлектросеть"</v>
          </cell>
        </row>
        <row r="7">
          <cell r="A7" t="str">
            <v>Почтовый адрес:</v>
          </cell>
          <cell r="B7" t="str">
            <v>г. Ставрополь ул. Суворова,2</v>
          </cell>
        </row>
        <row r="9">
          <cell r="A9" t="str">
            <v>Код</v>
          </cell>
        </row>
        <row r="10">
          <cell r="A10" t="str">
            <v>отчитывающейся организации по ОКПО</v>
          </cell>
          <cell r="B10" t="str">
            <v>вида деятельности</v>
          </cell>
          <cell r="C10" t="str">
            <v xml:space="preserve">отрасли по ОКОНХ </v>
          </cell>
          <cell r="D10" t="str">
            <v>территории по ОКАТО</v>
          </cell>
          <cell r="E10" t="str">
            <v>министерства (ведомства), органа управления по ОКОГУ</v>
          </cell>
          <cell r="F10" t="str">
            <v>организационно-правовой формы по ОКОПФ</v>
          </cell>
          <cell r="G10" t="str">
            <v>формы собственности по ОКФС</v>
          </cell>
        </row>
        <row r="11">
          <cell r="A11">
            <v>1</v>
          </cell>
          <cell r="B11">
            <v>2</v>
          </cell>
          <cell r="C11">
            <v>3</v>
          </cell>
          <cell r="D11">
            <v>4</v>
          </cell>
          <cell r="E11">
            <v>5</v>
          </cell>
          <cell r="F11">
            <v>6</v>
          </cell>
          <cell r="G11">
            <v>7</v>
          </cell>
        </row>
        <row r="12">
          <cell r="A12" t="str">
            <v>03255048</v>
          </cell>
          <cell r="B12" t="str">
            <v>40.10.2</v>
          </cell>
          <cell r="C12" t="str">
            <v>11170</v>
          </cell>
          <cell r="D12" t="str">
            <v>07401366000</v>
          </cell>
          <cell r="E12" t="str">
            <v>49007</v>
          </cell>
          <cell r="F12" t="str">
            <v>42</v>
          </cell>
          <cell r="G12">
            <v>14</v>
          </cell>
        </row>
        <row r="14">
          <cell r="A14" t="str">
            <v>Период регулирования</v>
          </cell>
          <cell r="B14">
            <v>2007</v>
          </cell>
        </row>
        <row r="15">
          <cell r="A15" t="str">
            <v>Базовый период</v>
          </cell>
          <cell r="B15">
            <v>2006</v>
          </cell>
        </row>
      </sheetData>
      <sheetData sheetId="2">
        <row r="3">
          <cell r="A3" t="str">
            <v>Титульный лист РАСЧЕТ ТАРИФОВ НА УСЛУГИ ПО ПЕРЕДАЧЕ ЭЛЕКТРИЧЕСКОЙ ЭНЕРГИИ</v>
          </cell>
        </row>
      </sheetData>
      <sheetData sheetId="3">
        <row r="5"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ВН</v>
          </cell>
          <cell r="J5" t="str">
            <v>СН1</v>
          </cell>
          <cell r="K5" t="str">
            <v>СН2</v>
          </cell>
          <cell r="L5" t="str">
            <v>НН</v>
          </cell>
          <cell r="M5" t="str">
            <v>ВН</v>
          </cell>
          <cell r="N5" t="str">
            <v>СН1</v>
          </cell>
          <cell r="O5" t="str">
            <v>СН2</v>
          </cell>
          <cell r="P5" t="str">
            <v>НН</v>
          </cell>
          <cell r="Q5" t="str">
            <v>ВН</v>
          </cell>
          <cell r="R5" t="str">
            <v>СН1</v>
          </cell>
          <cell r="S5" t="str">
            <v>СН2</v>
          </cell>
          <cell r="T5" t="str">
            <v>НН</v>
          </cell>
          <cell r="U5" t="str">
            <v>ВН</v>
          </cell>
          <cell r="V5" t="str">
            <v>СН1</v>
          </cell>
          <cell r="W5" t="str">
            <v>СН2</v>
          </cell>
          <cell r="X5" t="str">
            <v>НН</v>
          </cell>
        </row>
        <row r="6">
          <cell r="E6" t="str">
            <v>4</v>
          </cell>
          <cell r="F6" t="str">
            <v>5</v>
          </cell>
          <cell r="G6" t="str">
            <v>6</v>
          </cell>
          <cell r="H6" t="str">
            <v>7</v>
          </cell>
          <cell r="I6" t="str">
            <v>8</v>
          </cell>
          <cell r="J6" t="str">
            <v>9</v>
          </cell>
          <cell r="K6" t="str">
            <v>10</v>
          </cell>
          <cell r="L6" t="str">
            <v>11</v>
          </cell>
          <cell r="M6" t="str">
            <v>12</v>
          </cell>
          <cell r="N6" t="str">
            <v>13</v>
          </cell>
          <cell r="O6" t="str">
            <v>14</v>
          </cell>
          <cell r="P6" t="str">
            <v>15</v>
          </cell>
          <cell r="Q6" t="str">
            <v>16</v>
          </cell>
          <cell r="R6" t="str">
            <v>17</v>
          </cell>
          <cell r="S6" t="str">
            <v>18</v>
          </cell>
          <cell r="T6" t="str">
            <v>19</v>
          </cell>
          <cell r="U6" t="str">
            <v>20</v>
          </cell>
          <cell r="V6" t="str">
            <v>21</v>
          </cell>
          <cell r="W6" t="str">
            <v>22</v>
          </cell>
          <cell r="X6" t="str">
            <v>23</v>
          </cell>
        </row>
        <row r="7">
          <cell r="B7" t="str">
            <v>Условно-постоянные потери</v>
          </cell>
          <cell r="C7" t="str">
            <v>L1</v>
          </cell>
          <cell r="E7">
            <v>0</v>
          </cell>
          <cell r="F7">
            <v>0</v>
          </cell>
          <cell r="G7">
            <v>4.1749678595769169</v>
          </cell>
          <cell r="H7">
            <v>9.713775938116175</v>
          </cell>
          <cell r="I7">
            <v>0.1</v>
          </cell>
          <cell r="J7">
            <v>0</v>
          </cell>
          <cell r="K7">
            <v>4.1612585664813961</v>
          </cell>
          <cell r="L7">
            <v>9.9264975315869215</v>
          </cell>
          <cell r="M7">
            <v>0</v>
          </cell>
          <cell r="N7">
            <v>0</v>
          </cell>
          <cell r="O7">
            <v>3</v>
          </cell>
          <cell r="P7">
            <v>8.4338111338260937</v>
          </cell>
          <cell r="Q7">
            <v>0</v>
          </cell>
          <cell r="R7">
            <v>0</v>
          </cell>
          <cell r="S7">
            <v>5.3599999999999994</v>
          </cell>
          <cell r="T7">
            <v>8.0050000000000008</v>
          </cell>
          <cell r="U7">
            <v>0</v>
          </cell>
          <cell r="V7">
            <v>0</v>
          </cell>
          <cell r="W7">
            <v>5.3599999999999994</v>
          </cell>
          <cell r="X7">
            <v>8.0050000000000008</v>
          </cell>
        </row>
        <row r="8">
          <cell r="B8" t="str">
            <v xml:space="preserve">Потери электроэнергии холостого хода в силовомтрансформаторе   (автотрансформаторе) </v>
          </cell>
          <cell r="C8" t="str">
            <v>L1.1</v>
          </cell>
          <cell r="G8">
            <v>4.1723601344928589</v>
          </cell>
          <cell r="H8">
            <v>9.4399648042900814</v>
          </cell>
          <cell r="I8">
            <v>0.1</v>
          </cell>
          <cell r="K8">
            <v>4.1586594043536751</v>
          </cell>
          <cell r="L8">
            <v>9.6466902186160137</v>
          </cell>
          <cell r="O8">
            <v>3</v>
          </cell>
          <cell r="P8">
            <v>8.16</v>
          </cell>
          <cell r="Q8">
            <v>0</v>
          </cell>
          <cell r="R8">
            <v>0</v>
          </cell>
          <cell r="S8">
            <v>5.0999999999999996</v>
          </cell>
          <cell r="T8">
            <v>8</v>
          </cell>
          <cell r="U8">
            <v>0</v>
          </cell>
          <cell r="V8">
            <v>0</v>
          </cell>
          <cell r="W8">
            <v>5.0999999999999996</v>
          </cell>
          <cell r="X8">
            <v>8</v>
          </cell>
        </row>
        <row r="9">
          <cell r="B9" t="str">
            <v>Потери электроэнергии в шунтирующих реакторах (ШР)и соединительных проводах и сборных шинах распределительных устройств подстанций (СППС)</v>
          </cell>
          <cell r="C9" t="str">
            <v>L1.2</v>
          </cell>
        </row>
        <row r="10">
          <cell r="B10" t="str">
            <v>Потери электроэнергии в синхронных компенсаторах</v>
          </cell>
          <cell r="C10" t="str">
            <v>L1.3</v>
          </cell>
        </row>
        <row r="11">
          <cell r="B11" t="str">
            <v>Потери электроэнергии в статических компенсирующих устройствах - батареях статических конденсаторов (БК) и статических тиристорных компенсаторах (СТК)</v>
          </cell>
          <cell r="C11" t="str">
            <v>L1.4</v>
          </cell>
        </row>
        <row r="12">
          <cell r="B12" t="str">
            <v>Потери электроэнергии в вентильных разрядниках (РВ), ограничителях перенапряжений (ОПН), измерительных трансформаторах тока (ТТ)и напряжения (ТН) и устройствах присоединения ВЧ связи (УПВЧ)</v>
          </cell>
          <cell r="C12" t="str">
            <v>L1.5</v>
          </cell>
        </row>
        <row r="13">
          <cell r="B13" t="str">
            <v>Потери электроэнергии на корону</v>
          </cell>
          <cell r="C13" t="str">
            <v>L1.6</v>
          </cell>
        </row>
        <row r="14">
          <cell r="B14" t="str">
            <v>Потери электроэнергии от токов утечки по изоляторам воздушных линий</v>
          </cell>
          <cell r="C14" t="str">
            <v>L1.7</v>
          </cell>
        </row>
        <row r="15">
          <cell r="B15" t="str">
            <v>Расход электроэнергии на плавку гололеда</v>
          </cell>
          <cell r="C15" t="str">
            <v>L1.8</v>
          </cell>
        </row>
        <row r="16">
          <cell r="B16" t="str">
            <v>Потери электроэнергии в изоляции силовых кабелей</v>
          </cell>
          <cell r="C16" t="str">
            <v>L1.9</v>
          </cell>
        </row>
        <row r="17">
          <cell r="B17" t="str">
            <v>Расход электроэнергии на собственные нужды (СН) подстанций</v>
          </cell>
          <cell r="C17" t="str">
            <v>L1.10</v>
          </cell>
          <cell r="G17">
            <v>2.607725084058037E-3</v>
          </cell>
          <cell r="H17">
            <v>0.27381113382609401</v>
          </cell>
          <cell r="K17">
            <v>2.5991621277210472E-3</v>
          </cell>
          <cell r="L17">
            <v>0.279807312970907</v>
          </cell>
          <cell r="P17">
            <v>0.27381113382609401</v>
          </cell>
          <cell r="Q17">
            <v>0</v>
          </cell>
          <cell r="R17">
            <v>0</v>
          </cell>
          <cell r="S17">
            <v>0.26</v>
          </cell>
          <cell r="T17">
            <v>5.0000000000000001E-3</v>
          </cell>
          <cell r="U17">
            <v>0</v>
          </cell>
          <cell r="V17">
            <v>0</v>
          </cell>
          <cell r="W17">
            <v>0.26</v>
          </cell>
          <cell r="X17">
            <v>5.0000000000000001E-3</v>
          </cell>
        </row>
        <row r="18">
          <cell r="B18" t="str">
            <v>Условно переменные потери</v>
          </cell>
          <cell r="C18" t="str">
            <v>L2</v>
          </cell>
          <cell r="E18">
            <v>0</v>
          </cell>
          <cell r="F18">
            <v>0</v>
          </cell>
          <cell r="G18">
            <v>39.568672620680502</v>
          </cell>
          <cell r="H18">
            <v>51.642583581626397</v>
          </cell>
          <cell r="I18">
            <v>1.7</v>
          </cell>
          <cell r="J18">
            <v>0</v>
          </cell>
          <cell r="K18">
            <v>39.438741433518601</v>
          </cell>
          <cell r="L18">
            <v>52.773502468413078</v>
          </cell>
          <cell r="M18">
            <v>0</v>
          </cell>
          <cell r="N18">
            <v>0</v>
          </cell>
          <cell r="O18">
            <v>20</v>
          </cell>
          <cell r="P18">
            <v>39</v>
          </cell>
          <cell r="Q18">
            <v>0</v>
          </cell>
          <cell r="R18">
            <v>0</v>
          </cell>
          <cell r="S18">
            <v>45</v>
          </cell>
          <cell r="T18">
            <v>63.599999999999994</v>
          </cell>
          <cell r="U18">
            <v>0</v>
          </cell>
          <cell r="V18">
            <v>0</v>
          </cell>
          <cell r="W18">
            <v>42.930978908016804</v>
          </cell>
          <cell r="X18">
            <v>60.659021091983206</v>
          </cell>
        </row>
        <row r="19">
          <cell r="B19" t="str">
            <v>Нагрузочные потери электроэнергии</v>
          </cell>
          <cell r="C19" t="str">
            <v>L2.1</v>
          </cell>
          <cell r="E19">
            <v>0</v>
          </cell>
          <cell r="G19">
            <v>39.568672620680502</v>
          </cell>
          <cell r="H19">
            <v>51.642583581626397</v>
          </cell>
          <cell r="I19">
            <v>1.7</v>
          </cell>
          <cell r="K19">
            <v>39.438741433518601</v>
          </cell>
          <cell r="L19">
            <v>52.773502468413078</v>
          </cell>
          <cell r="O19">
            <v>20</v>
          </cell>
          <cell r="P19">
            <v>39</v>
          </cell>
          <cell r="Q19">
            <v>0</v>
          </cell>
          <cell r="R19">
            <v>0</v>
          </cell>
          <cell r="S19">
            <v>45</v>
          </cell>
          <cell r="T19">
            <v>63.599999999999994</v>
          </cell>
          <cell r="U19">
            <v>0</v>
          </cell>
          <cell r="V19">
            <v>0</v>
          </cell>
          <cell r="W19">
            <v>42.930978908016804</v>
          </cell>
          <cell r="X19">
            <v>60.659021091983206</v>
          </cell>
        </row>
        <row r="20">
          <cell r="B20" t="str">
            <v>Потери электроэнергии   обусловленные допустимой    погрешностью    системы учета    электроэнергии</v>
          </cell>
          <cell r="C20" t="str">
            <v>L3</v>
          </cell>
        </row>
        <row r="21">
          <cell r="B21" t="str">
            <v>Итого:</v>
          </cell>
          <cell r="C21" t="str">
            <v>L4</v>
          </cell>
          <cell r="E21">
            <v>0</v>
          </cell>
          <cell r="F21">
            <v>0</v>
          </cell>
          <cell r="G21">
            <v>43.743640480257419</v>
          </cell>
          <cell r="H21">
            <v>61.356359519742568</v>
          </cell>
          <cell r="I21">
            <v>1.8</v>
          </cell>
          <cell r="J21">
            <v>0</v>
          </cell>
          <cell r="K21">
            <v>43.599999999999994</v>
          </cell>
          <cell r="L21">
            <v>62.7</v>
          </cell>
          <cell r="M21">
            <v>0</v>
          </cell>
          <cell r="N21">
            <v>0</v>
          </cell>
          <cell r="O21">
            <v>23</v>
          </cell>
          <cell r="P21">
            <v>47.433811133826097</v>
          </cell>
          <cell r="Q21">
            <v>0</v>
          </cell>
          <cell r="R21">
            <v>0</v>
          </cell>
          <cell r="S21">
            <v>50.36</v>
          </cell>
          <cell r="T21">
            <v>71.60499999999999</v>
          </cell>
          <cell r="U21">
            <v>0</v>
          </cell>
          <cell r="V21">
            <v>0</v>
          </cell>
          <cell r="W21">
            <v>48.290978908016804</v>
          </cell>
          <cell r="X21">
            <v>68.664021091983201</v>
          </cell>
        </row>
      </sheetData>
      <sheetData sheetId="4">
        <row r="6">
          <cell r="F6" t="str">
            <v>Всего</v>
          </cell>
          <cell r="G6" t="str">
            <v>ВН</v>
          </cell>
          <cell r="H6" t="str">
            <v>СН1</v>
          </cell>
          <cell r="I6" t="str">
            <v>СН2</v>
          </cell>
          <cell r="J6" t="str">
            <v>НН</v>
          </cell>
          <cell r="K6" t="str">
            <v>Всего</v>
          </cell>
          <cell r="L6" t="str">
            <v>ВН</v>
          </cell>
          <cell r="M6" t="str">
            <v>СН1</v>
          </cell>
          <cell r="N6" t="str">
            <v>СН2</v>
          </cell>
          <cell r="O6" t="str">
            <v>НН</v>
          </cell>
          <cell r="P6" t="str">
            <v>Всего</v>
          </cell>
          <cell r="Q6" t="str">
            <v>ВН</v>
          </cell>
          <cell r="R6" t="str">
            <v>СН1</v>
          </cell>
          <cell r="S6" t="str">
            <v>СН2</v>
          </cell>
          <cell r="T6" t="str">
            <v>НН</v>
          </cell>
          <cell r="U6" t="str">
            <v>Всего</v>
          </cell>
          <cell r="V6" t="str">
            <v>ВН</v>
          </cell>
          <cell r="W6" t="str">
            <v>СН1</v>
          </cell>
          <cell r="X6" t="str">
            <v>СН2</v>
          </cell>
          <cell r="Y6" t="str">
            <v>НН</v>
          </cell>
          <cell r="Z6" t="str">
            <v>Всего</v>
          </cell>
          <cell r="AA6" t="str">
            <v>ВН</v>
          </cell>
          <cell r="AB6" t="str">
            <v>СН1</v>
          </cell>
          <cell r="AC6" t="str">
            <v>СН2</v>
          </cell>
          <cell r="AD6" t="str">
            <v>НН</v>
          </cell>
        </row>
        <row r="7"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  <cell r="S7">
            <v>16</v>
          </cell>
          <cell r="T7">
            <v>17</v>
          </cell>
          <cell r="U7">
            <v>18</v>
          </cell>
          <cell r="V7">
            <v>19</v>
          </cell>
          <cell r="W7">
            <v>20</v>
          </cell>
          <cell r="X7">
            <v>21</v>
          </cell>
          <cell r="Y7">
            <v>22</v>
          </cell>
          <cell r="Z7">
            <v>23</v>
          </cell>
          <cell r="AA7">
            <v>24</v>
          </cell>
          <cell r="AB7">
            <v>25</v>
          </cell>
          <cell r="AC7">
            <v>26</v>
          </cell>
          <cell r="AD7">
            <v>27</v>
          </cell>
        </row>
        <row r="8">
          <cell r="C8" t="str">
            <v>L1</v>
          </cell>
          <cell r="D8" t="str">
            <v>МКВТЧ</v>
          </cell>
          <cell r="E8" t="str">
            <v>Поступление эл.энергии в сеть, всего</v>
          </cell>
          <cell r="F8">
            <v>921.1</v>
          </cell>
          <cell r="G8">
            <v>921.1</v>
          </cell>
          <cell r="H8">
            <v>871.4</v>
          </cell>
          <cell r="I8">
            <v>871.25</v>
          </cell>
          <cell r="J8">
            <v>491.00635951974255</v>
          </cell>
          <cell r="K8">
            <v>899.5856</v>
          </cell>
          <cell r="L8">
            <v>899.5856</v>
          </cell>
          <cell r="M8">
            <v>858.17440000000011</v>
          </cell>
          <cell r="N8">
            <v>858.17440000000011</v>
          </cell>
          <cell r="O8">
            <v>490.52540000000016</v>
          </cell>
          <cell r="P8">
            <v>901.4</v>
          </cell>
          <cell r="Q8">
            <v>901.4</v>
          </cell>
          <cell r="R8">
            <v>855.42</v>
          </cell>
          <cell r="S8">
            <v>855.42</v>
          </cell>
          <cell r="T8">
            <v>476.67999999999995</v>
          </cell>
          <cell r="U8">
            <v>982.74400000000014</v>
          </cell>
          <cell r="V8">
            <v>982.74400000000014</v>
          </cell>
          <cell r="W8">
            <v>947.59500000000014</v>
          </cell>
          <cell r="X8">
            <v>947.59400000000016</v>
          </cell>
          <cell r="Y8">
            <v>517.20900000000006</v>
          </cell>
          <cell r="Z8">
            <v>1002.5</v>
          </cell>
          <cell r="AA8">
            <v>1002.5</v>
          </cell>
          <cell r="AB8">
            <v>966.53800000000001</v>
          </cell>
          <cell r="AC8">
            <v>966.53700000000003</v>
          </cell>
          <cell r="AD8">
            <v>434.26902109198323</v>
          </cell>
        </row>
        <row r="9">
          <cell r="C9" t="str">
            <v>L1.1</v>
          </cell>
          <cell r="D9" t="str">
            <v>МКВТЧ</v>
          </cell>
          <cell r="E9" t="str">
            <v>Поступление эл.энергии из смежной сети, всего</v>
          </cell>
          <cell r="F9">
            <v>0</v>
          </cell>
          <cell r="G9">
            <v>0</v>
          </cell>
          <cell r="H9">
            <v>871.4</v>
          </cell>
          <cell r="I9">
            <v>871.25</v>
          </cell>
          <cell r="J9">
            <v>491.00635951974255</v>
          </cell>
          <cell r="K9">
            <v>0</v>
          </cell>
          <cell r="L9">
            <v>0</v>
          </cell>
          <cell r="M9">
            <v>858.17440000000011</v>
          </cell>
          <cell r="N9">
            <v>858.17440000000011</v>
          </cell>
          <cell r="O9">
            <v>490.52540000000016</v>
          </cell>
          <cell r="P9">
            <v>0</v>
          </cell>
          <cell r="Q9">
            <v>0</v>
          </cell>
          <cell r="R9">
            <v>855.42</v>
          </cell>
          <cell r="S9">
            <v>855.42</v>
          </cell>
          <cell r="T9">
            <v>476.67999999999995</v>
          </cell>
          <cell r="U9">
            <v>0</v>
          </cell>
          <cell r="V9">
            <v>0</v>
          </cell>
          <cell r="W9">
            <v>947.59500000000014</v>
          </cell>
          <cell r="X9">
            <v>947.59400000000016</v>
          </cell>
          <cell r="Y9">
            <v>517.20900000000006</v>
          </cell>
          <cell r="Z9">
            <v>0</v>
          </cell>
          <cell r="AA9">
            <v>0</v>
          </cell>
          <cell r="AB9">
            <v>966.53800000000001</v>
          </cell>
          <cell r="AC9">
            <v>966.53700000000003</v>
          </cell>
          <cell r="AD9">
            <v>434.26902109198323</v>
          </cell>
        </row>
        <row r="11">
          <cell r="C11" t="str">
            <v>L1.1.МСК</v>
          </cell>
          <cell r="D11" t="str">
            <v>МКВТЧ</v>
          </cell>
          <cell r="E11" t="str">
            <v>Поступление эл.энергии из смежной сети МСК</v>
          </cell>
        </row>
        <row r="12">
          <cell r="C12" t="str">
            <v>L1.1.ВН</v>
          </cell>
          <cell r="D12" t="str">
            <v>МКВТЧ</v>
          </cell>
          <cell r="E12" t="str">
            <v>Поступление эл.энергии из смежной сети ВН</v>
          </cell>
          <cell r="H12">
            <v>871.4</v>
          </cell>
          <cell r="M12">
            <v>858.17440000000011</v>
          </cell>
          <cell r="R12">
            <v>855.42</v>
          </cell>
          <cell r="W12">
            <v>947.59500000000014</v>
          </cell>
          <cell r="AB12">
            <v>966.53800000000001</v>
          </cell>
        </row>
        <row r="13">
          <cell r="C13" t="str">
            <v>L1.1.СН1</v>
          </cell>
          <cell r="D13" t="str">
            <v>МКВТЧ</v>
          </cell>
          <cell r="E13" t="str">
            <v>Поступление эл.энергии из смежной сети СН1</v>
          </cell>
          <cell r="I13">
            <v>871.25</v>
          </cell>
          <cell r="N13">
            <v>858.17440000000011</v>
          </cell>
          <cell r="S13">
            <v>855.42</v>
          </cell>
          <cell r="X13">
            <v>947.59400000000016</v>
          </cell>
          <cell r="AC13">
            <v>966.53700000000003</v>
          </cell>
        </row>
        <row r="14">
          <cell r="C14" t="str">
            <v>L1.1.СН2</v>
          </cell>
          <cell r="D14" t="str">
            <v>МКВТЧ</v>
          </cell>
          <cell r="E14" t="str">
            <v>Поступление эл.энергии из смежной сети СН2</v>
          </cell>
          <cell r="J14">
            <v>491.00635951974255</v>
          </cell>
          <cell r="O14">
            <v>490.52540000000016</v>
          </cell>
          <cell r="T14">
            <v>476.67999999999995</v>
          </cell>
          <cell r="Y14">
            <v>517.20900000000006</v>
          </cell>
          <cell r="AD14">
            <v>434.26902109198323</v>
          </cell>
        </row>
        <row r="15">
          <cell r="C15" t="str">
            <v>L1.2</v>
          </cell>
          <cell r="D15" t="str">
            <v>МКВТЧ</v>
          </cell>
          <cell r="E15" t="str">
            <v>Поступление эл.энергии от электростанций ПЭ (ЭСО)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</row>
        <row r="16">
          <cell r="C16" t="str">
            <v>L1.3</v>
          </cell>
          <cell r="D16" t="str">
            <v>МКВТЧ</v>
          </cell>
          <cell r="E16" t="str">
            <v>Поступление эл.энергии от других поставщиков (в т.ч. с оптового рынка)</v>
          </cell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</row>
        <row r="17">
          <cell r="C17" t="str">
            <v>L1.4</v>
          </cell>
          <cell r="D17" t="str">
            <v>МКВТЧ</v>
          </cell>
          <cell r="E17" t="str">
            <v xml:space="preserve">Поступление эл. энергии от других организаций </v>
          </cell>
          <cell r="F17">
            <v>921.1</v>
          </cell>
          <cell r="G17">
            <v>921.1</v>
          </cell>
          <cell r="K17">
            <v>899.5856</v>
          </cell>
          <cell r="L17">
            <v>899.5856</v>
          </cell>
          <cell r="P17">
            <v>901.4</v>
          </cell>
          <cell r="Q17">
            <v>901.4</v>
          </cell>
          <cell r="U17">
            <v>982.74400000000014</v>
          </cell>
          <cell r="V17">
            <v>982.74400000000014</v>
          </cell>
          <cell r="Z17">
            <v>1002.5</v>
          </cell>
          <cell r="AA17">
            <v>1002.5</v>
          </cell>
        </row>
        <row r="18">
          <cell r="C18" t="str">
            <v>L2</v>
          </cell>
          <cell r="D18" t="str">
            <v>МКВТЧ</v>
          </cell>
          <cell r="E18" t="str">
            <v xml:space="preserve">Потери электроэнергии в сети </v>
          </cell>
          <cell r="F18">
            <v>105.1</v>
          </cell>
          <cell r="G18">
            <v>0</v>
          </cell>
          <cell r="H18">
            <v>0</v>
          </cell>
          <cell r="I18">
            <v>43.743640480257419</v>
          </cell>
          <cell r="J18">
            <v>61.356359519742568</v>
          </cell>
          <cell r="K18">
            <v>108.1</v>
          </cell>
          <cell r="L18">
            <v>1.8</v>
          </cell>
          <cell r="M18">
            <v>0</v>
          </cell>
          <cell r="N18">
            <v>43.599999999999994</v>
          </cell>
          <cell r="O18">
            <v>62.7</v>
          </cell>
          <cell r="P18">
            <v>70.433811133826097</v>
          </cell>
          <cell r="Q18">
            <v>0</v>
          </cell>
          <cell r="R18">
            <v>0</v>
          </cell>
          <cell r="S18">
            <v>23</v>
          </cell>
          <cell r="T18">
            <v>47.433811133826097</v>
          </cell>
          <cell r="U18">
            <v>121.96499999999999</v>
          </cell>
          <cell r="V18">
            <v>0</v>
          </cell>
          <cell r="W18">
            <v>0</v>
          </cell>
          <cell r="X18">
            <v>50.36</v>
          </cell>
          <cell r="Y18">
            <v>71.60499999999999</v>
          </cell>
          <cell r="Z18">
            <v>116.95500000000001</v>
          </cell>
          <cell r="AA18">
            <v>0</v>
          </cell>
          <cell r="AB18">
            <v>0</v>
          </cell>
          <cell r="AC18">
            <v>48.290978908016804</v>
          </cell>
          <cell r="AD18">
            <v>68.664021091983201</v>
          </cell>
        </row>
        <row r="19">
          <cell r="C19" t="str">
            <v>L2.1</v>
          </cell>
          <cell r="D19" t="str">
            <v>ПРЦ</v>
          </cell>
          <cell r="E19" t="str">
            <v>Потери электроэнергии в сети, в %</v>
          </cell>
          <cell r="F19">
            <v>11.41027032895451</v>
          </cell>
          <cell r="G19">
            <v>0</v>
          </cell>
          <cell r="H19">
            <v>0</v>
          </cell>
          <cell r="I19">
            <v>5.0207908729133335</v>
          </cell>
          <cell r="J19">
            <v>12.496041717210291</v>
          </cell>
          <cell r="K19">
            <v>12.016644108131565</v>
          </cell>
          <cell r="L19">
            <v>0.20009213131023884</v>
          </cell>
          <cell r="M19">
            <v>0</v>
          </cell>
          <cell r="N19">
            <v>5.0805523912155834</v>
          </cell>
          <cell r="O19">
            <v>12.782212704989382</v>
          </cell>
          <cell r="P19">
            <v>7.8138241772604946</v>
          </cell>
          <cell r="Q19">
            <v>0</v>
          </cell>
          <cell r="R19">
            <v>0</v>
          </cell>
          <cell r="S19">
            <v>2.6887376961024994</v>
          </cell>
          <cell r="T19">
            <v>9.9508708428770039</v>
          </cell>
          <cell r="U19">
            <v>12.410658319969389</v>
          </cell>
          <cell r="V19">
            <v>0</v>
          </cell>
          <cell r="W19">
            <v>0</v>
          </cell>
          <cell r="X19">
            <v>5.3145123333410709</v>
          </cell>
          <cell r="Y19">
            <v>13.844499999033269</v>
          </cell>
          <cell r="Z19">
            <v>11.666334164588529</v>
          </cell>
          <cell r="AA19">
            <v>0</v>
          </cell>
          <cell r="AB19">
            <v>0</v>
          </cell>
          <cell r="AC19">
            <v>4.9962886995548859</v>
          </cell>
          <cell r="AD19">
            <v>15.811402093413282</v>
          </cell>
        </row>
        <row r="20">
          <cell r="C20" t="str">
            <v>L3</v>
          </cell>
          <cell r="D20" t="str">
            <v>МКВТЧ</v>
          </cell>
          <cell r="E20" t="str">
            <v>Расход электроэнергии на произв и хознужды</v>
          </cell>
          <cell r="F20">
            <v>2</v>
          </cell>
          <cell r="J20">
            <v>2</v>
          </cell>
          <cell r="K20">
            <v>1.3494999999999999</v>
          </cell>
          <cell r="O20">
            <v>1.3494999999999999</v>
          </cell>
          <cell r="P20">
            <v>1.17</v>
          </cell>
          <cell r="T20">
            <v>1.17</v>
          </cell>
          <cell r="U20">
            <v>1.246</v>
          </cell>
          <cell r="Y20">
            <v>1.246</v>
          </cell>
          <cell r="Z20">
            <v>1.329</v>
          </cell>
          <cell r="AD20">
            <v>1.329</v>
          </cell>
        </row>
        <row r="21">
          <cell r="C21" t="str">
            <v>L4</v>
          </cell>
          <cell r="D21" t="str">
            <v>МКВТЧ</v>
          </cell>
          <cell r="E21" t="str">
            <v xml:space="preserve">Полезный отпуск из сети </v>
          </cell>
          <cell r="G21">
            <v>921.1</v>
          </cell>
          <cell r="H21">
            <v>871.4</v>
          </cell>
          <cell r="I21">
            <v>827.50635951974255</v>
          </cell>
          <cell r="J21">
            <v>427.65</v>
          </cell>
          <cell r="L21">
            <v>897.78560000000004</v>
          </cell>
          <cell r="M21">
            <v>858.17440000000011</v>
          </cell>
          <cell r="N21">
            <v>814.57440000000008</v>
          </cell>
          <cell r="O21">
            <v>426.47590000000019</v>
          </cell>
          <cell r="Q21">
            <v>901.4</v>
          </cell>
          <cell r="R21">
            <v>855.42</v>
          </cell>
          <cell r="S21">
            <v>832.42</v>
          </cell>
          <cell r="T21">
            <v>428.07618886617382</v>
          </cell>
          <cell r="V21">
            <v>982.74400000000014</v>
          </cell>
          <cell r="W21">
            <v>947.59500000000014</v>
          </cell>
          <cell r="X21">
            <v>897.23400000000015</v>
          </cell>
          <cell r="Y21">
            <v>444.35800000000006</v>
          </cell>
          <cell r="AA21">
            <v>1002.5</v>
          </cell>
          <cell r="AB21">
            <v>966.53800000000001</v>
          </cell>
          <cell r="AC21">
            <v>918.24602109198327</v>
          </cell>
          <cell r="AD21">
            <v>364.27600000000001</v>
          </cell>
        </row>
        <row r="22">
          <cell r="C22" t="str">
            <v>L4.1</v>
          </cell>
          <cell r="D22" t="str">
            <v>МКВТЧ</v>
          </cell>
          <cell r="E22" t="str">
            <v>Полезный отпуск из сети  собственным потребителям ЭСО</v>
          </cell>
          <cell r="F22">
            <v>814</v>
          </cell>
          <cell r="G22">
            <v>49.7</v>
          </cell>
          <cell r="H22">
            <v>0.15</v>
          </cell>
          <cell r="I22">
            <v>336.5</v>
          </cell>
          <cell r="J22">
            <v>427.65</v>
          </cell>
          <cell r="K22">
            <v>790.1321999999999</v>
          </cell>
          <cell r="L22">
            <v>39.611199999999997</v>
          </cell>
          <cell r="M22">
            <v>0</v>
          </cell>
          <cell r="N22">
            <v>324.04899999999992</v>
          </cell>
          <cell r="O22">
            <v>426.47199999999998</v>
          </cell>
          <cell r="P22">
            <v>829.8</v>
          </cell>
          <cell r="Q22">
            <v>45.98</v>
          </cell>
          <cell r="R22">
            <v>0</v>
          </cell>
          <cell r="S22">
            <v>355.74</v>
          </cell>
          <cell r="T22">
            <v>428.08</v>
          </cell>
          <cell r="U22">
            <v>859.79800000000012</v>
          </cell>
          <cell r="V22">
            <v>35.149000000000001</v>
          </cell>
          <cell r="W22">
            <v>1E-3</v>
          </cell>
          <cell r="X22">
            <v>380.02500000000009</v>
          </cell>
          <cell r="Y22">
            <v>444.62300000000005</v>
          </cell>
          <cell r="Z22">
            <v>884.48100000000011</v>
          </cell>
          <cell r="AA22">
            <v>35.962000000000003</v>
          </cell>
          <cell r="AB22">
            <v>1E-3</v>
          </cell>
          <cell r="AC22">
            <v>483.97700000000003</v>
          </cell>
          <cell r="AD22">
            <v>364.54100000000005</v>
          </cell>
        </row>
        <row r="23">
          <cell r="D23" t="str">
            <v>МКВТЧ</v>
          </cell>
        </row>
        <row r="24">
          <cell r="C24" t="str">
            <v>L4.1.1</v>
          </cell>
          <cell r="D24" t="str">
            <v>МКВТЧ</v>
          </cell>
          <cell r="E24" t="str">
            <v>Полезный отпуск из сети  потребителям, присоединенным к центру питания на генераторном напряжении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</row>
        <row r="25">
          <cell r="C25" t="str">
            <v>L4.1.2</v>
          </cell>
          <cell r="D25" t="str">
            <v>МКВТЧ</v>
          </cell>
          <cell r="E25" t="str">
            <v>Полезный отпуск из сети  потребителям присоединенным к сетям МСК (последняя миля)</v>
          </cell>
          <cell r="F25">
            <v>0</v>
          </cell>
        </row>
        <row r="26">
          <cell r="C26" t="str">
            <v>L4.2</v>
          </cell>
          <cell r="D26" t="str">
            <v>МКВТЧ</v>
          </cell>
          <cell r="E26" t="str">
            <v>Полезный отпуск из сети  потребителям оптового рынка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</row>
        <row r="27">
          <cell r="C27" t="str">
            <v>L4.3</v>
          </cell>
          <cell r="D27" t="str">
            <v>МКВТЧ</v>
          </cell>
          <cell r="E27" t="str">
            <v>Сальдо переток в другие организации</v>
          </cell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</row>
        <row r="28">
          <cell r="C28" t="str">
            <v>L4.4</v>
          </cell>
          <cell r="D28" t="str">
            <v>МКВТЧ</v>
          </cell>
          <cell r="E28" t="str">
            <v>Сальдо переток в сопредельные регионы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</row>
        <row r="29">
          <cell r="C29" t="str">
            <v>L5</v>
          </cell>
          <cell r="D29" t="str">
            <v>МКВТЧ</v>
          </cell>
          <cell r="E29" t="str">
            <v>Проверка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3.9000000002147317E-3</v>
          </cell>
          <cell r="Q29">
            <v>0</v>
          </cell>
          <cell r="R29">
            <v>0</v>
          </cell>
          <cell r="S29">
            <v>0</v>
          </cell>
          <cell r="T29">
            <v>-3.8111338261614947E-3</v>
          </cell>
          <cell r="V29">
            <v>0</v>
          </cell>
          <cell r="W29">
            <v>0</v>
          </cell>
          <cell r="X29">
            <v>0</v>
          </cell>
          <cell r="Y29">
            <v>-0.26499999999998636</v>
          </cell>
          <cell r="AA29">
            <v>0</v>
          </cell>
          <cell r="AB29">
            <v>0</v>
          </cell>
          <cell r="AC29">
            <v>0</v>
          </cell>
          <cell r="AD29">
            <v>-0.2650000000000432</v>
          </cell>
        </row>
      </sheetData>
      <sheetData sheetId="5">
        <row r="7"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  <cell r="S7">
            <v>16</v>
          </cell>
          <cell r="T7">
            <v>17</v>
          </cell>
          <cell r="U7">
            <v>18</v>
          </cell>
          <cell r="V7">
            <v>19</v>
          </cell>
          <cell r="W7">
            <v>20</v>
          </cell>
          <cell r="X7">
            <v>21</v>
          </cell>
          <cell r="Y7">
            <v>22</v>
          </cell>
          <cell r="Z7">
            <v>23</v>
          </cell>
          <cell r="AA7">
            <v>24</v>
          </cell>
          <cell r="AB7">
            <v>25</v>
          </cell>
          <cell r="AC7">
            <v>26</v>
          </cell>
          <cell r="AD7">
            <v>27</v>
          </cell>
        </row>
        <row r="8">
          <cell r="C8" t="str">
            <v>L1</v>
          </cell>
          <cell r="D8" t="str">
            <v>МВТ</v>
          </cell>
          <cell r="E8" t="str">
            <v>Поступление мощности в сеть, всего</v>
          </cell>
          <cell r="F8">
            <v>146.48815115279061</v>
          </cell>
          <cell r="G8">
            <v>146.48815115279061</v>
          </cell>
          <cell r="H8">
            <v>137.1881511527906</v>
          </cell>
          <cell r="I8">
            <v>137.1881511527906</v>
          </cell>
          <cell r="J8">
            <v>80.462353969703159</v>
          </cell>
          <cell r="K8">
            <v>146.50988915590918</v>
          </cell>
          <cell r="L8">
            <v>146.50988915590918</v>
          </cell>
          <cell r="M8">
            <v>137.40988915590918</v>
          </cell>
          <cell r="N8">
            <v>137.40988915590918</v>
          </cell>
          <cell r="O8">
            <v>75.86068440601025</v>
          </cell>
          <cell r="P8">
            <v>148.61404268984606</v>
          </cell>
          <cell r="Q8">
            <v>148.61404268984606</v>
          </cell>
          <cell r="R8">
            <v>140.94404268984607</v>
          </cell>
          <cell r="S8">
            <v>140.94404268984607</v>
          </cell>
          <cell r="T8">
            <v>82.121911357974483</v>
          </cell>
          <cell r="U8">
            <v>151.59778587923816</v>
          </cell>
          <cell r="V8">
            <v>151.59778587923816</v>
          </cell>
          <cell r="W8">
            <v>146.18378587923817</v>
          </cell>
          <cell r="X8">
            <v>146.18378587923817</v>
          </cell>
          <cell r="Y8">
            <v>79.935311436767293</v>
          </cell>
          <cell r="Z8">
            <v>155.38057117823524</v>
          </cell>
          <cell r="AA8">
            <v>155.38057117823524</v>
          </cell>
          <cell r="AB8">
            <v>149.80557117823525</v>
          </cell>
          <cell r="AC8">
            <v>149.80557117823525</v>
          </cell>
          <cell r="AD8">
            <v>67.329423226021618</v>
          </cell>
        </row>
        <row r="9">
          <cell r="C9" t="str">
            <v>L1.1</v>
          </cell>
          <cell r="D9" t="str">
            <v>МВТ</v>
          </cell>
          <cell r="E9" t="str">
            <v>Поступление мощности из смежной сети, всего</v>
          </cell>
          <cell r="F9">
            <v>0</v>
          </cell>
          <cell r="G9">
            <v>0</v>
          </cell>
          <cell r="H9">
            <v>137.1881511527906</v>
          </cell>
          <cell r="I9">
            <v>137.1881511527906</v>
          </cell>
          <cell r="J9">
            <v>80.462353969703159</v>
          </cell>
          <cell r="K9">
            <v>0</v>
          </cell>
          <cell r="L9">
            <v>0</v>
          </cell>
          <cell r="M9">
            <v>137.40988915590918</v>
          </cell>
          <cell r="N9">
            <v>137.40988915590918</v>
          </cell>
          <cell r="O9">
            <v>75.86068440601025</v>
          </cell>
          <cell r="P9">
            <v>0</v>
          </cell>
          <cell r="Q9">
            <v>0</v>
          </cell>
          <cell r="R9">
            <v>140.94404268984607</v>
          </cell>
          <cell r="S9">
            <v>140.94404268984607</v>
          </cell>
          <cell r="T9">
            <v>82.121911357974483</v>
          </cell>
          <cell r="U9">
            <v>0</v>
          </cell>
          <cell r="V9">
            <v>0</v>
          </cell>
          <cell r="W9">
            <v>146.18378587923817</v>
          </cell>
          <cell r="X9">
            <v>146.18378587923817</v>
          </cell>
          <cell r="Y9">
            <v>79.935311436767293</v>
          </cell>
          <cell r="Z9">
            <v>0</v>
          </cell>
          <cell r="AA9">
            <v>0</v>
          </cell>
          <cell r="AB9">
            <v>149.80557117823525</v>
          </cell>
          <cell r="AC9">
            <v>149.80557117823525</v>
          </cell>
          <cell r="AD9">
            <v>67.329423226021618</v>
          </cell>
        </row>
        <row r="11">
          <cell r="C11" t="str">
            <v>L1.1.МСК</v>
          </cell>
          <cell r="D11" t="str">
            <v>МВТ</v>
          </cell>
          <cell r="E11" t="str">
            <v>Поступление мощности из смежной сети МСК</v>
          </cell>
        </row>
        <row r="12">
          <cell r="C12" t="str">
            <v>L1.1.ВН</v>
          </cell>
          <cell r="D12" t="str">
            <v>МВТ</v>
          </cell>
          <cell r="E12" t="str">
            <v>Поступление мощности из смежной сети ВН</v>
          </cell>
          <cell r="H12">
            <v>137.1881511527906</v>
          </cell>
          <cell r="M12">
            <v>137.40988915590918</v>
          </cell>
          <cell r="R12">
            <v>140.94404268984607</v>
          </cell>
          <cell r="W12">
            <v>146.18378587923817</v>
          </cell>
          <cell r="AB12">
            <v>149.80557117823525</v>
          </cell>
        </row>
        <row r="13">
          <cell r="C13" t="str">
            <v>L1.1.СН1</v>
          </cell>
          <cell r="D13" t="str">
            <v>МВТ</v>
          </cell>
          <cell r="E13" t="str">
            <v>Поступление мощности из смежной сети СН1</v>
          </cell>
          <cell r="I13">
            <v>137.1881511527906</v>
          </cell>
          <cell r="N13">
            <v>137.40988915590918</v>
          </cell>
          <cell r="S13">
            <v>140.94404268984607</v>
          </cell>
          <cell r="X13">
            <v>146.18378587923817</v>
          </cell>
          <cell r="AC13">
            <v>149.80557117823525</v>
          </cell>
        </row>
        <row r="14">
          <cell r="C14" t="str">
            <v>L1.1.СН2</v>
          </cell>
          <cell r="D14" t="str">
            <v>МВТ</v>
          </cell>
          <cell r="E14" t="str">
            <v>Поступление мощности из смежной сети СН2</v>
          </cell>
          <cell r="J14">
            <v>80.462353969703159</v>
          </cell>
          <cell r="O14">
            <v>75.86068440601025</v>
          </cell>
          <cell r="T14">
            <v>82.121911357974483</v>
          </cell>
          <cell r="Y14">
            <v>79.935311436767293</v>
          </cell>
          <cell r="AD14">
            <v>67.329423226021618</v>
          </cell>
        </row>
        <row r="15">
          <cell r="C15" t="str">
            <v>L1.2</v>
          </cell>
          <cell r="D15" t="str">
            <v>МВТ</v>
          </cell>
          <cell r="E15" t="str">
            <v>Поступление мощности от электростанций ПЭ (ЭСО)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</row>
        <row r="16">
          <cell r="C16" t="str">
            <v>L1.3</v>
          </cell>
          <cell r="D16" t="str">
            <v>МВТ</v>
          </cell>
          <cell r="E16" t="str">
            <v>Поступление мощности от других поставщиков (в т.ч. с оптового рынка)</v>
          </cell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</row>
        <row r="17">
          <cell r="C17" t="str">
            <v>L1.4</v>
          </cell>
          <cell r="D17" t="str">
            <v>МВТ</v>
          </cell>
          <cell r="E17" t="str">
            <v xml:space="preserve">Поступление мощности от других организаций </v>
          </cell>
          <cell r="F17">
            <v>146.48815115279061</v>
          </cell>
          <cell r="G17">
            <v>146.48815115279061</v>
          </cell>
          <cell r="K17">
            <v>146.50988915590918</v>
          </cell>
          <cell r="L17">
            <v>146.50988915590918</v>
          </cell>
          <cell r="P17">
            <v>148.61404268984606</v>
          </cell>
          <cell r="Q17">
            <v>148.61404268984606</v>
          </cell>
          <cell r="U17">
            <v>151.59778587923816</v>
          </cell>
          <cell r="V17">
            <v>151.59778587923816</v>
          </cell>
          <cell r="Z17">
            <v>155.38057117823524</v>
          </cell>
          <cell r="AA17">
            <v>155.38057117823524</v>
          </cell>
        </row>
        <row r="18">
          <cell r="C18" t="str">
            <v>L2</v>
          </cell>
          <cell r="D18" t="str">
            <v>МВТ</v>
          </cell>
          <cell r="E18" t="str">
            <v xml:space="preserve">Потери мощности в сети </v>
          </cell>
          <cell r="F18">
            <v>16.580406501790954</v>
          </cell>
          <cell r="I18">
            <v>6.5257971830874375</v>
          </cell>
          <cell r="J18">
            <v>10.054609318703518</v>
          </cell>
          <cell r="K18">
            <v>17.009889155909182</v>
          </cell>
          <cell r="N18">
            <v>7.2992047498989363</v>
          </cell>
          <cell r="O18">
            <v>9.7106844060102446</v>
          </cell>
          <cell r="P18">
            <v>11.754042689846081</v>
          </cell>
          <cell r="S18">
            <v>3.5721313318715917</v>
          </cell>
          <cell r="T18">
            <v>8.1819113579744887</v>
          </cell>
          <cell r="U18">
            <v>18.776785879238187</v>
          </cell>
          <cell r="V18">
            <v>0</v>
          </cell>
          <cell r="W18">
            <v>0</v>
          </cell>
          <cell r="X18">
            <v>7.7164744424708873</v>
          </cell>
          <cell r="Y18">
            <v>11.060311436767298</v>
          </cell>
          <cell r="Z18">
            <v>18.085571178235249</v>
          </cell>
          <cell r="AA18">
            <v>0</v>
          </cell>
          <cell r="AB18">
            <v>0</v>
          </cell>
          <cell r="AC18">
            <v>7.4461479522136393</v>
          </cell>
          <cell r="AD18">
            <v>10.639423226021609</v>
          </cell>
        </row>
        <row r="19">
          <cell r="C19" t="str">
            <v>L2.1</v>
          </cell>
          <cell r="D19" t="str">
            <v>ПРЦ</v>
          </cell>
          <cell r="E19" t="str">
            <v>Потери мощности в сети, в %</v>
          </cell>
          <cell r="G19">
            <v>0</v>
          </cell>
          <cell r="H19">
            <v>0</v>
          </cell>
          <cell r="I19">
            <v>4.7568227490867336</v>
          </cell>
          <cell r="J19">
            <v>12.496041717210291</v>
          </cell>
          <cell r="L19">
            <v>0</v>
          </cell>
          <cell r="M19">
            <v>0</v>
          </cell>
          <cell r="N19">
            <v>5.3119937689615995</v>
          </cell>
          <cell r="O19">
            <v>12.800681251487486</v>
          </cell>
          <cell r="Q19">
            <v>0</v>
          </cell>
          <cell r="R19">
            <v>0</v>
          </cell>
          <cell r="S19">
            <v>2.5344322922056612</v>
          </cell>
          <cell r="T19">
            <v>9.963128259775921</v>
          </cell>
          <cell r="V19">
            <v>0</v>
          </cell>
          <cell r="W19">
            <v>0</v>
          </cell>
          <cell r="X19">
            <v>5.2786117120030234</v>
          </cell>
          <cell r="Y19">
            <v>13.836577650062127</v>
          </cell>
          <cell r="AA19">
            <v>0</v>
          </cell>
          <cell r="AB19">
            <v>0</v>
          </cell>
          <cell r="AC19">
            <v>4.9705414115436213</v>
          </cell>
          <cell r="AD19">
            <v>15.802041241769709</v>
          </cell>
        </row>
        <row r="20">
          <cell r="C20" t="str">
            <v>L3</v>
          </cell>
          <cell r="D20" t="str">
            <v>МВТ</v>
          </cell>
          <cell r="E20" t="str">
            <v>Расход мощности на произв и хознужды</v>
          </cell>
          <cell r="F20">
            <v>0.32774465099964928</v>
          </cell>
          <cell r="J20">
            <v>0.32774465099964928</v>
          </cell>
          <cell r="K20">
            <v>0.1</v>
          </cell>
          <cell r="O20">
            <v>0.1</v>
          </cell>
          <cell r="P20">
            <v>0.1</v>
          </cell>
          <cell r="T20">
            <v>0.1</v>
          </cell>
          <cell r="U20">
            <v>0.2</v>
          </cell>
          <cell r="V20">
            <v>0</v>
          </cell>
          <cell r="W20">
            <v>0</v>
          </cell>
          <cell r="X20">
            <v>0</v>
          </cell>
          <cell r="Y20">
            <v>0.2</v>
          </cell>
          <cell r="Z20">
            <v>0.18</v>
          </cell>
          <cell r="AA20">
            <v>0</v>
          </cell>
          <cell r="AB20">
            <v>0</v>
          </cell>
          <cell r="AC20">
            <v>0</v>
          </cell>
          <cell r="AD20">
            <v>0.18</v>
          </cell>
        </row>
        <row r="21">
          <cell r="C21" t="str">
            <v>L4</v>
          </cell>
          <cell r="D21" t="str">
            <v>МВТ</v>
          </cell>
          <cell r="E21" t="str">
            <v xml:space="preserve">Полезный отпуск мощности из сети </v>
          </cell>
          <cell r="F21">
            <v>484.41865627528438</v>
          </cell>
          <cell r="G21">
            <v>146.48815115279061</v>
          </cell>
          <cell r="H21">
            <v>137.1881511527906</v>
          </cell>
          <cell r="I21">
            <v>130.66235396970316</v>
          </cell>
          <cell r="J21">
            <v>70.08</v>
          </cell>
          <cell r="K21">
            <v>480.08046271782865</v>
          </cell>
          <cell r="L21">
            <v>146.50988915590918</v>
          </cell>
          <cell r="M21">
            <v>137.40988915590918</v>
          </cell>
          <cell r="N21">
            <v>130.11068440601025</v>
          </cell>
          <cell r="O21">
            <v>66.050000000000011</v>
          </cell>
          <cell r="P21">
            <v>500.76999673766659</v>
          </cell>
          <cell r="Q21">
            <v>148.61404268984606</v>
          </cell>
          <cell r="R21">
            <v>140.94404268984607</v>
          </cell>
          <cell r="S21">
            <v>137.37191135797448</v>
          </cell>
          <cell r="T21">
            <v>73.84</v>
          </cell>
          <cell r="U21">
            <v>504.9238831952436</v>
          </cell>
          <cell r="V21">
            <v>151.59778587923816</v>
          </cell>
          <cell r="W21">
            <v>146.18378587923817</v>
          </cell>
          <cell r="X21">
            <v>138.46731143676729</v>
          </cell>
          <cell r="Y21">
            <v>68.674999999999997</v>
          </cell>
          <cell r="Z21">
            <v>504.05556558249214</v>
          </cell>
          <cell r="AA21">
            <v>155.38057117823524</v>
          </cell>
          <cell r="AB21">
            <v>149.80557117823525</v>
          </cell>
          <cell r="AC21">
            <v>142.35942322602162</v>
          </cell>
          <cell r="AD21">
            <v>56.510000000000012</v>
          </cell>
        </row>
        <row r="22">
          <cell r="C22" t="str">
            <v>L4.1</v>
          </cell>
          <cell r="D22" t="str">
            <v>МВТ</v>
          </cell>
          <cell r="E22" t="str">
            <v>Полезный мощности отпуск из сети собственным потребителям ЭСО</v>
          </cell>
          <cell r="F22">
            <v>129.57999999999998</v>
          </cell>
          <cell r="G22">
            <v>9.3000000000000007</v>
          </cell>
          <cell r="H22">
            <v>0</v>
          </cell>
          <cell r="I22">
            <v>50.2</v>
          </cell>
          <cell r="J22">
            <v>70.08</v>
          </cell>
          <cell r="K22">
            <v>129.4</v>
          </cell>
          <cell r="L22">
            <v>9.1</v>
          </cell>
          <cell r="N22">
            <v>54.25</v>
          </cell>
          <cell r="O22">
            <v>66.050000000000011</v>
          </cell>
          <cell r="P22">
            <v>136.76</v>
          </cell>
          <cell r="Q22">
            <v>7.67</v>
          </cell>
          <cell r="R22">
            <v>0</v>
          </cell>
          <cell r="S22">
            <v>55.25</v>
          </cell>
          <cell r="T22">
            <v>73.84</v>
          </cell>
          <cell r="U22">
            <v>132.62099999999998</v>
          </cell>
          <cell r="V22">
            <v>5.4139999999999997</v>
          </cell>
          <cell r="W22">
            <v>0</v>
          </cell>
          <cell r="X22">
            <v>58.531999999999996</v>
          </cell>
          <cell r="Y22">
            <v>68.674999999999997</v>
          </cell>
          <cell r="Z22">
            <v>137.11500000000001</v>
          </cell>
          <cell r="AA22">
            <v>5.5750000000000002</v>
          </cell>
          <cell r="AB22">
            <v>0</v>
          </cell>
          <cell r="AC22">
            <v>75.03</v>
          </cell>
          <cell r="AD22">
            <v>56.510000000000005</v>
          </cell>
        </row>
        <row r="23">
          <cell r="D23" t="str">
            <v>МВТ</v>
          </cell>
        </row>
        <row r="24">
          <cell r="C24" t="str">
            <v>L4.1.1</v>
          </cell>
          <cell r="D24" t="str">
            <v>МВТ</v>
          </cell>
          <cell r="E24" t="str">
            <v>Полезный отпуск мощности из сети  потребителям, присоединенным к центру питания на генераторном напряжении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</row>
        <row r="25">
          <cell r="C25" t="str">
            <v>L4.1.2</v>
          </cell>
          <cell r="D25" t="str">
            <v>МВТ</v>
          </cell>
          <cell r="E25" t="str">
            <v>Полезный отпуск мощности из сети  потребителям присоединенным к сетям МСК (последняя миля)</v>
          </cell>
          <cell r="F25">
            <v>0</v>
          </cell>
        </row>
        <row r="26">
          <cell r="C26" t="str">
            <v>L4.2</v>
          </cell>
          <cell r="D26" t="str">
            <v>МВТ</v>
          </cell>
          <cell r="E26" t="str">
            <v>Полезный отпуск мощности из сети  потребителям оптового рынка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</row>
        <row r="27">
          <cell r="C27" t="str">
            <v>L4.3</v>
          </cell>
          <cell r="D27" t="str">
            <v>МВТ</v>
          </cell>
          <cell r="E27" t="str">
            <v>Сальдо переток мощности в другие организации</v>
          </cell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</row>
        <row r="28">
          <cell r="C28" t="str">
            <v>L4.4</v>
          </cell>
          <cell r="D28" t="str">
            <v>МВТ</v>
          </cell>
          <cell r="E28" t="str">
            <v>Сальдо переток мощности в сопредельные регионы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</row>
        <row r="29">
          <cell r="C29" t="str">
            <v>L5</v>
          </cell>
          <cell r="D29" t="str">
            <v>МВТ</v>
          </cell>
          <cell r="E29" t="str">
            <v>Проверка</v>
          </cell>
        </row>
      </sheetData>
      <sheetData sheetId="6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6"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</row>
        <row r="7">
          <cell r="A7">
            <v>2005</v>
          </cell>
        </row>
        <row r="8">
          <cell r="B8" t="str">
            <v>Базовые потребители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</row>
        <row r="9">
          <cell r="B9" t="str">
            <v xml:space="preserve">    в том числе:</v>
          </cell>
        </row>
        <row r="10">
          <cell r="B10" t="str">
            <v>БП №1</v>
          </cell>
          <cell r="C10">
            <v>0</v>
          </cell>
          <cell r="I10">
            <v>0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0</v>
          </cell>
          <cell r="I11">
            <v>0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0</v>
          </cell>
          <cell r="I12">
            <v>0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0</v>
          </cell>
          <cell r="I13">
            <v>0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0</v>
          </cell>
          <cell r="I14">
            <v>0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0</v>
          </cell>
          <cell r="I15">
            <v>0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0</v>
          </cell>
          <cell r="I16">
            <v>0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0</v>
          </cell>
          <cell r="I17">
            <v>0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0</v>
          </cell>
          <cell r="I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0</v>
          </cell>
          <cell r="I19">
            <v>0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B20" t="str">
            <v>Добавить строки</v>
          </cell>
        </row>
        <row r="21">
          <cell r="B21" t="str">
            <v>Население</v>
          </cell>
          <cell r="C21">
            <v>241.5</v>
          </cell>
          <cell r="H21">
            <v>241.5</v>
          </cell>
          <cell r="I21">
            <v>34.9</v>
          </cell>
          <cell r="N21">
            <v>34.9</v>
          </cell>
          <cell r="O21">
            <v>6919.7707736389684</v>
          </cell>
          <cell r="P21">
            <v>100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100</v>
          </cell>
        </row>
        <row r="22">
          <cell r="B22" t="str">
            <v>Прочие потребители</v>
          </cell>
          <cell r="C22">
            <v>572.5</v>
          </cell>
          <cell r="E22">
            <v>49.7</v>
          </cell>
          <cell r="F22">
            <v>0.15</v>
          </cell>
          <cell r="G22">
            <v>336.5</v>
          </cell>
          <cell r="H22">
            <v>186.14999999999998</v>
          </cell>
          <cell r="I22">
            <v>94.68</v>
          </cell>
          <cell r="K22">
            <v>9.3000000000000007</v>
          </cell>
          <cell r="M22">
            <v>50.2</v>
          </cell>
          <cell r="N22">
            <v>35.18</v>
          </cell>
          <cell r="O22">
            <v>6046.6835656949725</v>
          </cell>
          <cell r="P22">
            <v>100</v>
          </cell>
          <cell r="Q22">
            <v>0</v>
          </cell>
          <cell r="R22">
            <v>8.681222707423581</v>
          </cell>
          <cell r="S22">
            <v>2.6200873362445413E-2</v>
          </cell>
          <cell r="T22">
            <v>58.777292576419214</v>
          </cell>
          <cell r="U22">
            <v>32.515283842794759</v>
          </cell>
        </row>
        <row r="23">
          <cell r="B23" t="str">
            <v>Бюджетные потребители</v>
          </cell>
          <cell r="C23">
            <v>77.5</v>
          </cell>
          <cell r="G23">
            <v>15.6</v>
          </cell>
          <cell r="H23">
            <v>61.9</v>
          </cell>
          <cell r="I23">
            <v>12</v>
          </cell>
          <cell r="M23">
            <v>2</v>
          </cell>
          <cell r="N23">
            <v>10</v>
          </cell>
          <cell r="O23">
            <v>6458.333333333333</v>
          </cell>
          <cell r="P23">
            <v>100</v>
          </cell>
          <cell r="Q23">
            <v>0</v>
          </cell>
          <cell r="R23">
            <v>0</v>
          </cell>
          <cell r="S23">
            <v>0</v>
          </cell>
          <cell r="T23">
            <v>20.129032258064516</v>
          </cell>
          <cell r="U23">
            <v>79.870967741935488</v>
          </cell>
        </row>
        <row r="24">
          <cell r="B24" t="str">
            <v>Всего</v>
          </cell>
          <cell r="C24">
            <v>814</v>
          </cell>
          <cell r="D24">
            <v>0</v>
          </cell>
          <cell r="E24">
            <v>49.7</v>
          </cell>
          <cell r="F24">
            <v>0.15</v>
          </cell>
          <cell r="G24">
            <v>336.5</v>
          </cell>
          <cell r="H24">
            <v>427.65</v>
          </cell>
          <cell r="I24">
            <v>129.58000000000001</v>
          </cell>
          <cell r="J24">
            <v>0</v>
          </cell>
          <cell r="K24">
            <v>9.3000000000000007</v>
          </cell>
          <cell r="L24">
            <v>0</v>
          </cell>
          <cell r="M24">
            <v>50.2</v>
          </cell>
          <cell r="N24">
            <v>70.08</v>
          </cell>
          <cell r="O24">
            <v>6281.8336162988107</v>
          </cell>
          <cell r="P24">
            <v>100</v>
          </cell>
          <cell r="Q24">
            <v>0</v>
          </cell>
          <cell r="R24">
            <v>6.1056511056511065</v>
          </cell>
          <cell r="S24">
            <v>1.8427518427518427E-2</v>
          </cell>
          <cell r="T24">
            <v>41.339066339066335</v>
          </cell>
          <cell r="U24">
            <v>52.536855036855037</v>
          </cell>
        </row>
        <row r="26">
          <cell r="B26" t="str">
            <v>Базовые потребители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27">
          <cell r="B27" t="str">
            <v xml:space="preserve">    в том числе:</v>
          </cell>
        </row>
        <row r="28">
          <cell r="B28" t="str">
            <v>БП №1</v>
          </cell>
          <cell r="C28">
            <v>0</v>
          </cell>
          <cell r="I28">
            <v>0</v>
          </cell>
          <cell r="O28" t="e">
            <v>#NAME?</v>
          </cell>
          <cell r="P28" t="e">
            <v>#NAME?</v>
          </cell>
          <cell r="Q28" t="e">
            <v>#NAME?</v>
          </cell>
          <cell r="R28" t="e">
            <v>#NAME?</v>
          </cell>
          <cell r="S28" t="e">
            <v>#NAME?</v>
          </cell>
          <cell r="T28" t="e">
            <v>#NAME?</v>
          </cell>
          <cell r="U28" t="e">
            <v>#NAME?</v>
          </cell>
        </row>
        <row r="29">
          <cell r="B29" t="str">
            <v>БП №2</v>
          </cell>
          <cell r="C29">
            <v>0</v>
          </cell>
          <cell r="I29">
            <v>0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№3</v>
          </cell>
          <cell r="C30">
            <v>0</v>
          </cell>
          <cell r="I30">
            <v>0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№4</v>
          </cell>
          <cell r="C31">
            <v>0</v>
          </cell>
          <cell r="I31">
            <v>0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№5</v>
          </cell>
          <cell r="C32">
            <v>0</v>
          </cell>
          <cell r="I32">
            <v>0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№6</v>
          </cell>
          <cell r="C33">
            <v>0</v>
          </cell>
          <cell r="I33">
            <v>0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№7</v>
          </cell>
          <cell r="C34">
            <v>0</v>
          </cell>
          <cell r="I34">
            <v>0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№8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№9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№10</v>
          </cell>
          <cell r="C37">
            <v>0</v>
          </cell>
          <cell r="I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Добавить строки</v>
          </cell>
        </row>
        <row r="39">
          <cell r="B39" t="str">
            <v>Население</v>
          </cell>
          <cell r="C39">
            <v>233.93</v>
          </cell>
          <cell r="H39">
            <v>233.93</v>
          </cell>
          <cell r="I39">
            <v>34.380000000000003</v>
          </cell>
          <cell r="N39">
            <v>34.380000000000003</v>
          </cell>
          <cell r="O39">
            <v>6804.246655031995</v>
          </cell>
          <cell r="P39">
            <v>100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100</v>
          </cell>
        </row>
        <row r="40">
          <cell r="B40" t="str">
            <v>Прочие потребители</v>
          </cell>
          <cell r="C40">
            <v>595.87</v>
          </cell>
          <cell r="E40">
            <v>45.98</v>
          </cell>
          <cell r="G40">
            <v>355.74</v>
          </cell>
          <cell r="H40">
            <v>194.14999999999998</v>
          </cell>
          <cell r="I40">
            <v>102.38</v>
          </cell>
          <cell r="K40">
            <v>7.67</v>
          </cell>
          <cell r="M40">
            <v>55.25</v>
          </cell>
          <cell r="N40">
            <v>39.46</v>
          </cell>
          <cell r="O40">
            <v>5820.1797226020708</v>
          </cell>
          <cell r="P40">
            <v>100</v>
          </cell>
          <cell r="Q40">
            <v>0</v>
          </cell>
          <cell r="R40">
            <v>7.7164482185711645</v>
          </cell>
          <cell r="S40">
            <v>0</v>
          </cell>
          <cell r="T40">
            <v>59.700941480524271</v>
          </cell>
          <cell r="U40">
            <v>32.582610300904555</v>
          </cell>
        </row>
        <row r="41">
          <cell r="B41" t="str">
            <v>Бюджетные потребители</v>
          </cell>
          <cell r="C41">
            <v>75.52</v>
          </cell>
          <cell r="G41">
            <v>13.13</v>
          </cell>
          <cell r="H41">
            <v>62.39</v>
          </cell>
          <cell r="I41">
            <v>15.66</v>
          </cell>
          <cell r="M41">
            <v>2.72</v>
          </cell>
          <cell r="N41">
            <v>12.94</v>
          </cell>
          <cell r="O41">
            <v>4822.4776500638573</v>
          </cell>
          <cell r="P41">
            <v>100</v>
          </cell>
          <cell r="Q41">
            <v>0</v>
          </cell>
          <cell r="R41">
            <v>0</v>
          </cell>
          <cell r="S41">
            <v>0</v>
          </cell>
          <cell r="T41">
            <v>17.386122881355934</v>
          </cell>
          <cell r="U41">
            <v>82.613877118644069</v>
          </cell>
        </row>
        <row r="42">
          <cell r="B42" t="str">
            <v>Всего</v>
          </cell>
          <cell r="C42">
            <v>829.8</v>
          </cell>
          <cell r="D42">
            <v>0</v>
          </cell>
          <cell r="E42">
            <v>45.98</v>
          </cell>
          <cell r="F42">
            <v>0</v>
          </cell>
          <cell r="G42">
            <v>355.74</v>
          </cell>
          <cell r="H42">
            <v>428.08</v>
          </cell>
          <cell r="I42">
            <v>136.76</v>
          </cell>
          <cell r="J42">
            <v>0</v>
          </cell>
          <cell r="K42">
            <v>7.67</v>
          </cell>
          <cell r="L42">
            <v>0</v>
          </cell>
          <cell r="M42">
            <v>55.25</v>
          </cell>
          <cell r="N42">
            <v>73.84</v>
          </cell>
          <cell r="O42">
            <v>6067.5636150921327</v>
          </cell>
          <cell r="P42">
            <v>100</v>
          </cell>
          <cell r="Q42">
            <v>0</v>
          </cell>
          <cell r="R42">
            <v>5.5410942395758012</v>
          </cell>
          <cell r="S42">
            <v>0</v>
          </cell>
          <cell r="T42">
            <v>42.870571221981201</v>
          </cell>
          <cell r="U42">
            <v>51.588334538443007</v>
          </cell>
        </row>
        <row r="44">
          <cell r="B44" t="str">
            <v>Базовые потребители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e">
            <v>#DIV/0!</v>
          </cell>
          <cell r="Q44" t="e">
            <v>#DIV/0!</v>
          </cell>
          <cell r="R44" t="e">
            <v>#DIV/0!</v>
          </cell>
          <cell r="S44" t="e">
            <v>#DIV/0!</v>
          </cell>
          <cell r="T44" t="e">
            <v>#DIV/0!</v>
          </cell>
          <cell r="U44" t="e">
            <v>#DIV/0!</v>
          </cell>
        </row>
        <row r="45">
          <cell r="B45" t="str">
            <v xml:space="preserve">    в том числе:</v>
          </cell>
        </row>
        <row r="46">
          <cell r="B46" t="str">
            <v>БП №1</v>
          </cell>
          <cell r="C46">
            <v>0</v>
          </cell>
          <cell r="I46">
            <v>0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</row>
        <row r="47">
          <cell r="B47" t="str">
            <v>БП №2</v>
          </cell>
          <cell r="C47">
            <v>0</v>
          </cell>
          <cell r="I47">
            <v>0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</row>
        <row r="48">
          <cell r="B48" t="str">
            <v>БП №3</v>
          </cell>
          <cell r="C48">
            <v>0</v>
          </cell>
          <cell r="I48">
            <v>0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</row>
        <row r="49">
          <cell r="B49" t="str">
            <v>БП №4</v>
          </cell>
          <cell r="C49">
            <v>0</v>
          </cell>
          <cell r="I49">
            <v>0</v>
          </cell>
          <cell r="O49" t="e">
            <v>#NAME?</v>
          </cell>
          <cell r="P49" t="e">
            <v>#NAME?</v>
          </cell>
          <cell r="Q49" t="e">
            <v>#NAME?</v>
          </cell>
          <cell r="R49" t="e">
            <v>#NAME?</v>
          </cell>
          <cell r="S49" t="e">
            <v>#NAME?</v>
          </cell>
          <cell r="T49" t="e">
            <v>#NAME?</v>
          </cell>
          <cell r="U49" t="e">
            <v>#NAME?</v>
          </cell>
        </row>
        <row r="50">
          <cell r="B50" t="str">
            <v>БП №5</v>
          </cell>
          <cell r="C50">
            <v>0</v>
          </cell>
          <cell r="I50">
            <v>0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  <cell r="T50" t="e">
            <v>#NAME?</v>
          </cell>
          <cell r="U50" t="e">
            <v>#NAME?</v>
          </cell>
        </row>
        <row r="51">
          <cell r="B51" t="str">
            <v>БП №6</v>
          </cell>
          <cell r="C51">
            <v>0</v>
          </cell>
          <cell r="I51">
            <v>0</v>
          </cell>
          <cell r="O51" t="e">
            <v>#NAME?</v>
          </cell>
          <cell r="P51" t="e">
            <v>#NAME?</v>
          </cell>
          <cell r="Q51" t="e">
            <v>#NAME?</v>
          </cell>
          <cell r="R51" t="e">
            <v>#NAME?</v>
          </cell>
          <cell r="S51" t="e">
            <v>#NAME?</v>
          </cell>
          <cell r="T51" t="e">
            <v>#NAME?</v>
          </cell>
          <cell r="U51" t="e">
            <v>#NAME?</v>
          </cell>
        </row>
        <row r="52">
          <cell r="B52" t="str">
            <v>БП №7</v>
          </cell>
          <cell r="C52">
            <v>0</v>
          </cell>
          <cell r="I52">
            <v>0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  <cell r="T52" t="e">
            <v>#NAME?</v>
          </cell>
          <cell r="U52" t="e">
            <v>#NAME?</v>
          </cell>
        </row>
        <row r="53">
          <cell r="B53" t="str">
            <v>БП №8</v>
          </cell>
          <cell r="C53">
            <v>0</v>
          </cell>
          <cell r="I53">
            <v>0</v>
          </cell>
          <cell r="O53" t="e">
            <v>#NAME?</v>
          </cell>
          <cell r="P53" t="e">
            <v>#NAME?</v>
          </cell>
          <cell r="Q53" t="e">
            <v>#NAME?</v>
          </cell>
          <cell r="R53" t="e">
            <v>#NAME?</v>
          </cell>
          <cell r="S53" t="e">
            <v>#NAME?</v>
          </cell>
          <cell r="T53" t="e">
            <v>#NAME?</v>
          </cell>
          <cell r="U53" t="e">
            <v>#NAME?</v>
          </cell>
        </row>
        <row r="54">
          <cell r="B54" t="str">
            <v>БП №9</v>
          </cell>
          <cell r="C54">
            <v>0</v>
          </cell>
          <cell r="I54">
            <v>0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  <cell r="U54" t="e">
            <v>#NAME?</v>
          </cell>
        </row>
        <row r="55">
          <cell r="B55" t="str">
            <v>БП №10</v>
          </cell>
          <cell r="C55">
            <v>0</v>
          </cell>
          <cell r="I55">
            <v>0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  <cell r="T55" t="e">
            <v>#NAME?</v>
          </cell>
          <cell r="U55" t="e">
            <v>#NAME?</v>
          </cell>
        </row>
        <row r="56">
          <cell r="B56" t="str">
            <v>Добавить строки</v>
          </cell>
        </row>
        <row r="57">
          <cell r="B57" t="str">
            <v>Население</v>
          </cell>
          <cell r="C57">
            <v>282.38900000000001</v>
          </cell>
          <cell r="E57">
            <v>0</v>
          </cell>
          <cell r="F57">
            <v>0</v>
          </cell>
          <cell r="G57">
            <v>0</v>
          </cell>
          <cell r="H57">
            <v>282.38900000000001</v>
          </cell>
          <cell r="I57">
            <v>43.769999999999996</v>
          </cell>
          <cell r="K57">
            <v>0</v>
          </cell>
          <cell r="L57">
            <v>0</v>
          </cell>
          <cell r="M57">
            <v>0</v>
          </cell>
          <cell r="N57">
            <v>43.769999999999996</v>
          </cell>
          <cell r="O57">
            <v>6451.6563856522744</v>
          </cell>
          <cell r="P57">
            <v>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100</v>
          </cell>
        </row>
        <row r="58">
          <cell r="B58" t="str">
            <v>Прочие потребители</v>
          </cell>
          <cell r="C58">
            <v>602.0920000000001</v>
          </cell>
          <cell r="E58">
            <v>35.962000000000003</v>
          </cell>
          <cell r="F58">
            <v>1E-3</v>
          </cell>
          <cell r="G58">
            <v>483.97700000000003</v>
          </cell>
          <cell r="H58">
            <v>82.152000000000044</v>
          </cell>
          <cell r="I58">
            <v>93.345000000000013</v>
          </cell>
          <cell r="K58">
            <v>5.5750000000000002</v>
          </cell>
          <cell r="L58">
            <v>0</v>
          </cell>
          <cell r="M58">
            <v>75.03</v>
          </cell>
          <cell r="N58">
            <v>12.740000000000009</v>
          </cell>
          <cell r="O58">
            <v>6450.1794418554819</v>
          </cell>
          <cell r="P58">
            <v>100</v>
          </cell>
          <cell r="Q58">
            <v>0</v>
          </cell>
          <cell r="R58">
            <v>5.9728413597921906</v>
          </cell>
          <cell r="S58">
            <v>1.6608757465636479E-4</v>
          </cell>
          <cell r="T58">
            <v>80.382566119463462</v>
          </cell>
          <cell r="U58">
            <v>13.644426433169688</v>
          </cell>
        </row>
        <row r="59">
          <cell r="B59" t="str">
            <v>Бюджетные потребители</v>
          </cell>
          <cell r="C59">
            <v>77.59</v>
          </cell>
          <cell r="E59">
            <v>0</v>
          </cell>
          <cell r="F59">
            <v>0</v>
          </cell>
          <cell r="G59">
            <v>66.171999999999997</v>
          </cell>
          <cell r="H59">
            <v>11.417999999999999</v>
          </cell>
          <cell r="I59">
            <v>13.603</v>
          </cell>
          <cell r="K59">
            <v>0</v>
          </cell>
          <cell r="L59">
            <v>0</v>
          </cell>
          <cell r="M59">
            <v>11.84</v>
          </cell>
          <cell r="N59">
            <v>1.7629999999999999</v>
          </cell>
          <cell r="O59">
            <v>5703.8888480482246</v>
          </cell>
          <cell r="P59">
            <v>100</v>
          </cell>
          <cell r="Q59">
            <v>0</v>
          </cell>
          <cell r="R59">
            <v>0</v>
          </cell>
          <cell r="S59">
            <v>0</v>
          </cell>
          <cell r="T59">
            <v>85.284186106457</v>
          </cell>
          <cell r="U59">
            <v>14.715813893542981</v>
          </cell>
        </row>
        <row r="60">
          <cell r="B60" t="str">
            <v>Всего</v>
          </cell>
          <cell r="C60">
            <v>884.48100000000011</v>
          </cell>
          <cell r="D60">
            <v>0</v>
          </cell>
          <cell r="E60">
            <v>35.962000000000003</v>
          </cell>
          <cell r="F60">
            <v>1E-3</v>
          </cell>
          <cell r="G60">
            <v>483.97700000000003</v>
          </cell>
          <cell r="H60">
            <v>364.54100000000005</v>
          </cell>
          <cell r="I60">
            <v>137.11500000000001</v>
          </cell>
          <cell r="J60">
            <v>0</v>
          </cell>
          <cell r="K60">
            <v>5.5750000000000002</v>
          </cell>
          <cell r="L60">
            <v>0</v>
          </cell>
          <cell r="M60">
            <v>75.03</v>
          </cell>
          <cell r="N60">
            <v>56.510000000000005</v>
          </cell>
          <cell r="O60">
            <v>6450.6509134667986</v>
          </cell>
          <cell r="P60">
            <v>100</v>
          </cell>
          <cell r="Q60">
            <v>0</v>
          </cell>
          <cell r="R60">
            <v>4.0658872265204113</v>
          </cell>
          <cell r="S60">
            <v>1.13060653648863E-4</v>
          </cell>
          <cell r="T60">
            <v>54.718755971015767</v>
          </cell>
          <cell r="U60">
            <v>41.21524374181017</v>
          </cell>
        </row>
      </sheetData>
      <sheetData sheetId="7">
        <row r="8">
          <cell r="E8">
            <v>3</v>
          </cell>
          <cell r="F8">
            <v>4</v>
          </cell>
          <cell r="G8">
            <v>5</v>
          </cell>
          <cell r="H8">
            <v>6</v>
          </cell>
          <cell r="I8">
            <v>7</v>
          </cell>
        </row>
        <row r="9">
          <cell r="C9" t="str">
            <v>L1</v>
          </cell>
          <cell r="D9" t="str">
            <v>Сырье, основные материалы</v>
          </cell>
        </row>
        <row r="10">
          <cell r="C10" t="str">
            <v>L2</v>
          </cell>
          <cell r="D10" t="str">
            <v>Вспомогательные материалы</v>
          </cell>
          <cell r="E10">
            <v>10122</v>
          </cell>
          <cell r="F10">
            <v>20143</v>
          </cell>
          <cell r="G10">
            <v>16462</v>
          </cell>
          <cell r="H10">
            <v>16462</v>
          </cell>
          <cell r="I10">
            <v>24253.091516899996</v>
          </cell>
        </row>
        <row r="11">
          <cell r="C11" t="str">
            <v>L2.1</v>
          </cell>
          <cell r="D11" t="str">
            <v>Вспомогательные материалы на ремонт</v>
          </cell>
          <cell r="H11">
            <v>11523.4</v>
          </cell>
          <cell r="I11">
            <v>16977.164061829997</v>
          </cell>
        </row>
        <row r="12">
          <cell r="C12" t="str">
            <v>L3</v>
          </cell>
          <cell r="D12" t="str">
            <v>Работы и услуги производ. характера</v>
          </cell>
          <cell r="E12">
            <v>2820</v>
          </cell>
          <cell r="F12">
            <v>11126.392334408334</v>
          </cell>
          <cell r="G12">
            <v>6066</v>
          </cell>
          <cell r="H12">
            <v>6066</v>
          </cell>
          <cell r="I12">
            <v>10804.3</v>
          </cell>
        </row>
        <row r="13">
          <cell r="C13" t="str">
            <v>L3.1</v>
          </cell>
          <cell r="D13" t="str">
            <v>Работы и услуги производ. характера на ремонт</v>
          </cell>
          <cell r="H13">
            <v>4246.2</v>
          </cell>
          <cell r="I13">
            <v>7563.0099999999993</v>
          </cell>
        </row>
        <row r="14">
          <cell r="C14" t="str">
            <v>L4</v>
          </cell>
          <cell r="D14" t="str">
            <v>Топливо на технологические цели</v>
          </cell>
          <cell r="E14">
            <v>4813</v>
          </cell>
          <cell r="F14">
            <v>5708.9213709677415</v>
          </cell>
          <cell r="G14">
            <v>5625</v>
          </cell>
          <cell r="H14">
            <v>5625</v>
          </cell>
          <cell r="I14">
            <v>7257.4970000000003</v>
          </cell>
        </row>
        <row r="15">
          <cell r="C15" t="str">
            <v>L5</v>
          </cell>
          <cell r="D15" t="str">
            <v xml:space="preserve">Энергия </v>
          </cell>
          <cell r="E15">
            <v>970692</v>
          </cell>
          <cell r="F15">
            <v>948021</v>
          </cell>
          <cell r="G15">
            <v>1144968.29874</v>
          </cell>
          <cell r="H15">
            <v>1280770.9454400002</v>
          </cell>
          <cell r="I15">
            <v>1397974.4205</v>
          </cell>
        </row>
        <row r="16">
          <cell r="C16" t="str">
            <v>L5.1</v>
          </cell>
          <cell r="D16" t="str">
            <v>Энергия на технологические цели (покупная энергия)</v>
          </cell>
          <cell r="E16">
            <v>-1136988.0000000005</v>
          </cell>
          <cell r="F16">
            <v>-473609.16000000015</v>
          </cell>
          <cell r="G16">
            <v>1143561.17484</v>
          </cell>
          <cell r="H16">
            <v>1279147.0834800003</v>
          </cell>
          <cell r="I16">
            <v>1396121.1456822001</v>
          </cell>
        </row>
        <row r="17">
          <cell r="C17" t="str">
            <v>L5.2</v>
          </cell>
          <cell r="D17" t="str">
            <v>Энергия на хозяйственные нужды</v>
          </cell>
          <cell r="E17">
            <v>2107680.0000000005</v>
          </cell>
          <cell r="F17">
            <v>1421630.1600000001</v>
          </cell>
          <cell r="G17">
            <v>1407.1238999999998</v>
          </cell>
          <cell r="H17">
            <v>1623.86196</v>
          </cell>
          <cell r="I17">
            <v>1853.2748177999999</v>
          </cell>
        </row>
        <row r="18">
          <cell r="C18" t="str">
            <v>L6</v>
          </cell>
          <cell r="D18" t="str">
            <v>Затраты на оплату труда</v>
          </cell>
          <cell r="E18">
            <v>38328.000399354954</v>
          </cell>
          <cell r="F18">
            <v>40997.003632821783</v>
          </cell>
          <cell r="G18">
            <v>40052.003799809929</v>
          </cell>
          <cell r="H18">
            <v>55727.658411310091</v>
          </cell>
          <cell r="I18">
            <v>68029.59002249995</v>
          </cell>
        </row>
        <row r="19">
          <cell r="C19" t="str">
            <v>L6.1</v>
          </cell>
          <cell r="D19" t="str">
            <v>Затраты на оплату труда на ремонт</v>
          </cell>
        </row>
        <row r="20">
          <cell r="C20" t="str">
            <v>L7</v>
          </cell>
          <cell r="D20" t="str">
            <v>Отчисления на социальные нужды</v>
          </cell>
          <cell r="E20">
            <v>10119</v>
          </cell>
          <cell r="F20">
            <v>11740.843152330885</v>
          </cell>
          <cell r="G20">
            <v>11888</v>
          </cell>
          <cell r="H20">
            <v>14771.53</v>
          </cell>
          <cell r="I20">
            <v>18032.37135466667</v>
          </cell>
        </row>
        <row r="21">
          <cell r="C21" t="str">
            <v>L7.1</v>
          </cell>
          <cell r="D21" t="str">
            <v>Отчисления на социальные нужды на ремонт</v>
          </cell>
        </row>
        <row r="22">
          <cell r="C22" t="str">
            <v>L8</v>
          </cell>
          <cell r="D22" t="str">
            <v>Амортизация основных фондов</v>
          </cell>
          <cell r="E22">
            <v>14500</v>
          </cell>
          <cell r="F22">
            <v>13832</v>
          </cell>
          <cell r="G22">
            <v>8007.2899291812919</v>
          </cell>
          <cell r="H22">
            <v>3590.3</v>
          </cell>
          <cell r="I22">
            <v>4027.0227332410809</v>
          </cell>
        </row>
        <row r="23">
          <cell r="C23" t="str">
            <v>L9</v>
          </cell>
          <cell r="D23" t="str">
            <v>Прочие затраты всего</v>
          </cell>
          <cell r="E23">
            <v>51612.21</v>
          </cell>
          <cell r="F23">
            <v>26758.03</v>
          </cell>
          <cell r="G23">
            <v>16702.366271008927</v>
          </cell>
          <cell r="H23" t="e">
            <v>#REF!</v>
          </cell>
          <cell r="I23" t="e">
            <v>#REF!</v>
          </cell>
        </row>
        <row r="25">
          <cell r="C25" t="str">
            <v>L9.1</v>
          </cell>
          <cell r="D25" t="str">
            <v>Целевые средства на НИОКР</v>
          </cell>
          <cell r="I25">
            <v>0</v>
          </cell>
        </row>
        <row r="26">
          <cell r="C26" t="str">
            <v>L9.2</v>
          </cell>
          <cell r="D26" t="str">
            <v>Средства на страхование</v>
          </cell>
          <cell r="E26">
            <v>890</v>
          </cell>
          <cell r="F26">
            <v>4396</v>
          </cell>
          <cell r="G26">
            <v>529</v>
          </cell>
          <cell r="H26">
            <v>3811</v>
          </cell>
          <cell r="I26">
            <v>3710.0727090999999</v>
          </cell>
        </row>
        <row r="27">
          <cell r="C27" t="str">
            <v>L9.3</v>
          </cell>
          <cell r="D27" t="str">
            <v>Плата за предельно допустимые выбросы (сбросы)</v>
          </cell>
          <cell r="E27">
            <v>135</v>
          </cell>
          <cell r="F27">
            <v>19</v>
          </cell>
          <cell r="G27">
            <v>37</v>
          </cell>
          <cell r="H27">
            <v>0</v>
          </cell>
          <cell r="I27">
            <v>0</v>
          </cell>
        </row>
        <row r="28">
          <cell r="C28" t="str">
            <v>L9.4</v>
          </cell>
          <cell r="D28" t="str">
            <v>Услуги ФСК</v>
          </cell>
        </row>
        <row r="29">
          <cell r="C29" t="str">
            <v>L9.5</v>
          </cell>
          <cell r="D29" t="str">
            <v>Отчисления в ремонтный фонд (в случае его формирования)</v>
          </cell>
        </row>
        <row r="30">
          <cell r="C30" t="str">
            <v>L9.6</v>
          </cell>
          <cell r="D30" t="str">
            <v>Водный налог (ГЭС)</v>
          </cell>
        </row>
        <row r="31">
          <cell r="C31" t="str">
            <v>L9.7</v>
          </cell>
          <cell r="D31" t="str">
            <v>Непроизводственные расходы (налоги и другие обязательные платежи и сборы)</v>
          </cell>
          <cell r="E31">
            <v>1285</v>
          </cell>
          <cell r="F31">
            <v>1508</v>
          </cell>
          <cell r="G31">
            <v>1234</v>
          </cell>
          <cell r="H31">
            <v>114</v>
          </cell>
          <cell r="I31">
            <v>14.882630000000001</v>
          </cell>
        </row>
        <row r="32">
          <cell r="C32" t="str">
            <v>L9.7.1</v>
          </cell>
          <cell r="D32" t="str">
            <v>Налог на землю</v>
          </cell>
          <cell r="E32">
            <v>1150</v>
          </cell>
          <cell r="F32">
            <v>1346</v>
          </cell>
          <cell r="G32">
            <v>1175</v>
          </cell>
          <cell r="H32">
            <v>0</v>
          </cell>
          <cell r="I32">
            <v>0</v>
          </cell>
        </row>
        <row r="33">
          <cell r="C33" t="str">
            <v>L9.7.2</v>
          </cell>
          <cell r="D33" t="str">
            <v>Транспортный налог</v>
          </cell>
          <cell r="E33">
            <v>135</v>
          </cell>
          <cell r="F33">
            <v>162</v>
          </cell>
          <cell r="G33">
            <v>59</v>
          </cell>
          <cell r="H33">
            <v>114</v>
          </cell>
          <cell r="I33">
            <v>14.882630000000001</v>
          </cell>
        </row>
        <row r="34">
          <cell r="C34" t="str">
            <v>L9.8</v>
          </cell>
          <cell r="D34" t="str">
            <v>Другие затраты, относимые на себестоимость продукции, всего</v>
          </cell>
          <cell r="E34">
            <v>49302.21</v>
          </cell>
          <cell r="F34">
            <v>20835.03</v>
          </cell>
          <cell r="G34">
            <v>14902.366271008925</v>
          </cell>
          <cell r="H34" t="e">
            <v>#REF!</v>
          </cell>
          <cell r="I34" t="e">
            <v>#REF!</v>
          </cell>
        </row>
        <row r="35">
          <cell r="C35" t="str">
            <v>L9.8.1</v>
          </cell>
          <cell r="D35" t="str">
            <v>Другие затраты, относимые на себестоимость продукции, по видам затрат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  <row r="38">
          <cell r="B38" t="str">
            <v>Услуги банка</v>
          </cell>
          <cell r="E38">
            <v>135</v>
          </cell>
          <cell r="F38">
            <v>445</v>
          </cell>
          <cell r="G38">
            <v>100</v>
          </cell>
          <cell r="H38">
            <v>385.39795000000004</v>
          </cell>
          <cell r="I38">
            <v>385.39795000000004</v>
          </cell>
        </row>
        <row r="39">
          <cell r="B39" t="str">
            <v>Услуги связи</v>
          </cell>
          <cell r="E39">
            <v>844</v>
          </cell>
          <cell r="F39">
            <v>1225</v>
          </cell>
          <cell r="G39">
            <v>1038</v>
          </cell>
          <cell r="H39">
            <v>1332.6775</v>
          </cell>
          <cell r="I39">
            <v>1831.3440000000001</v>
          </cell>
        </row>
        <row r="40">
          <cell r="B40" t="str">
            <v>Командирововчные расходы</v>
          </cell>
          <cell r="E40">
            <v>230</v>
          </cell>
          <cell r="F40">
            <v>385</v>
          </cell>
          <cell r="G40">
            <v>230</v>
          </cell>
          <cell r="H40">
            <v>950</v>
          </cell>
          <cell r="I40">
            <v>1780.932182</v>
          </cell>
        </row>
        <row r="41">
          <cell r="B41" t="str">
            <v>Расходы на обучение</v>
          </cell>
          <cell r="E41">
            <v>206</v>
          </cell>
          <cell r="F41">
            <v>75</v>
          </cell>
          <cell r="G41">
            <v>226</v>
          </cell>
          <cell r="H41">
            <v>296.7</v>
          </cell>
          <cell r="I41">
            <v>403.28300000000002</v>
          </cell>
        </row>
        <row r="42">
          <cell r="B42" t="str">
            <v>Охрана труда</v>
          </cell>
          <cell r="G42">
            <v>94</v>
          </cell>
          <cell r="H42">
            <v>98</v>
          </cell>
          <cell r="I42">
            <v>2693.4322000000002</v>
          </cell>
        </row>
        <row r="43">
          <cell r="B43" t="str">
            <v>Канцелярские расходы</v>
          </cell>
          <cell r="F43">
            <v>341</v>
          </cell>
          <cell r="G43">
            <v>184</v>
          </cell>
          <cell r="H43">
            <v>441.3</v>
          </cell>
          <cell r="I43">
            <v>961.8</v>
          </cell>
        </row>
        <row r="44">
          <cell r="B44" t="str">
            <v>Коммунальные услуги</v>
          </cell>
          <cell r="E44">
            <v>744</v>
          </cell>
          <cell r="F44">
            <v>1344</v>
          </cell>
          <cell r="G44">
            <v>1022</v>
          </cell>
          <cell r="H44">
            <v>1534.2105381220663</v>
          </cell>
          <cell r="I44">
            <v>1633.9342231000005</v>
          </cell>
        </row>
        <row r="45">
          <cell r="B45" t="str">
            <v>Вневедомственная охрана</v>
          </cell>
          <cell r="F45">
            <v>1393</v>
          </cell>
          <cell r="G45">
            <v>984</v>
          </cell>
          <cell r="H45">
            <v>1545.9699999999998</v>
          </cell>
          <cell r="I45">
            <v>2451.9084199999998</v>
          </cell>
        </row>
        <row r="46">
          <cell r="B46" t="str">
            <v>Аттестация рабочих мест</v>
          </cell>
          <cell r="G46">
            <v>312</v>
          </cell>
          <cell r="H46">
            <v>312</v>
          </cell>
          <cell r="I46">
            <v>0</v>
          </cell>
        </row>
        <row r="47">
          <cell r="B47" t="str">
            <v>Аудиторские услуги</v>
          </cell>
          <cell r="F47">
            <v>3525.4</v>
          </cell>
          <cell r="G47">
            <v>200</v>
          </cell>
          <cell r="H47">
            <v>6500</v>
          </cell>
          <cell r="I47">
            <v>1627.8961780575</v>
          </cell>
        </row>
        <row r="48">
          <cell r="B48" t="str">
            <v>Дебитрская задолженность</v>
          </cell>
          <cell r="G48">
            <v>46.2</v>
          </cell>
          <cell r="H48" t="e">
            <v>#REF!</v>
          </cell>
          <cell r="I48" t="e">
            <v>#REF!</v>
          </cell>
        </row>
        <row r="49">
          <cell r="B49" t="str">
            <v>Создание резерва по сомнительным долгам</v>
          </cell>
          <cell r="G49">
            <v>3126.6</v>
          </cell>
          <cell r="H49">
            <v>0</v>
          </cell>
          <cell r="I49">
            <v>0</v>
          </cell>
        </row>
        <row r="50">
          <cell r="B50" t="str">
            <v xml:space="preserve">прочие затраты  </v>
          </cell>
          <cell r="E50">
            <v>9883.73</v>
          </cell>
          <cell r="F50">
            <v>9929.6299999999992</v>
          </cell>
          <cell r="G50">
            <v>7339.5662710089255</v>
          </cell>
          <cell r="H50" t="e">
            <v>#REF!</v>
          </cell>
          <cell r="I50" t="e">
            <v>#REF!</v>
          </cell>
        </row>
        <row r="51">
          <cell r="B51" t="str">
            <v>Создание аварийного запаса</v>
          </cell>
          <cell r="G51">
            <v>0</v>
          </cell>
          <cell r="H51">
            <v>0</v>
          </cell>
          <cell r="I51" t="e">
            <v>#REF!</v>
          </cell>
        </row>
        <row r="52">
          <cell r="B52" t="str">
            <v>Экономические обоснгванные расходы неучтеные в тарифах предыдущих периодах регулирования</v>
          </cell>
          <cell r="G52">
            <v>0</v>
          </cell>
          <cell r="H52">
            <v>0</v>
          </cell>
          <cell r="I52" t="e">
            <v>#REF!</v>
          </cell>
        </row>
        <row r="53">
          <cell r="B53" t="str">
            <v>Переоценка ОПФ</v>
          </cell>
          <cell r="G53">
            <v>0</v>
          </cell>
          <cell r="H53">
            <v>0</v>
          </cell>
          <cell r="I53">
            <v>402.58749999999998</v>
          </cell>
        </row>
        <row r="54">
          <cell r="B54" t="str">
            <v>Поверка и ремонт счетчиков</v>
          </cell>
          <cell r="E54">
            <v>3097.7</v>
          </cell>
          <cell r="F54">
            <v>882</v>
          </cell>
        </row>
        <row r="55">
          <cell r="B55" t="str">
            <v>Оформление кадастровых дел по земельным участкам</v>
          </cell>
          <cell r="E55">
            <v>2521</v>
          </cell>
        </row>
        <row r="56">
          <cell r="B56" t="str">
            <v>Консультационные услуги</v>
          </cell>
          <cell r="F56">
            <v>1268</v>
          </cell>
          <cell r="G56">
            <v>0</v>
          </cell>
          <cell r="H56">
            <v>1600</v>
          </cell>
          <cell r="I56">
            <v>1865.1790000000001</v>
          </cell>
        </row>
        <row r="57">
          <cell r="B57" t="str">
            <v>Информационно-програмные услуги</v>
          </cell>
          <cell r="G57">
            <v>0</v>
          </cell>
          <cell r="H57">
            <v>450</v>
          </cell>
          <cell r="I57">
            <v>923.99582500000008</v>
          </cell>
        </row>
        <row r="58">
          <cell r="B58" t="str">
            <v>Литература, тех. документация</v>
          </cell>
          <cell r="F58">
            <v>22</v>
          </cell>
          <cell r="G58">
            <v>0</v>
          </cell>
          <cell r="H58">
            <v>25</v>
          </cell>
          <cell r="I58">
            <v>21.864000000000001</v>
          </cell>
        </row>
        <row r="59">
          <cell r="B59" t="str">
            <v>выполнение предписаний энергонадзора</v>
          </cell>
          <cell r="E59">
            <v>31640.78</v>
          </cell>
        </row>
        <row r="60">
          <cell r="B60" t="str">
            <v>налог на имущество</v>
          </cell>
          <cell r="H60">
            <v>0</v>
          </cell>
          <cell r="I60">
            <v>207.3</v>
          </cell>
        </row>
        <row r="62">
          <cell r="C62" t="str">
            <v>L10</v>
          </cell>
          <cell r="D62" t="str">
            <v>Итого затрат</v>
          </cell>
          <cell r="E62">
            <v>1103006.2103993548</v>
          </cell>
          <cell r="F62">
            <v>1078327.1904905287</v>
          </cell>
          <cell r="G62">
            <v>1249770.9587400001</v>
          </cell>
          <cell r="H62" t="e">
            <v>#REF!</v>
          </cell>
          <cell r="I62" t="e">
            <v>#REF!</v>
          </cell>
        </row>
        <row r="63">
          <cell r="C63" t="str">
            <v>L10.1</v>
          </cell>
          <cell r="D63" t="str">
            <v>Итого затрат на ремонт</v>
          </cell>
          <cell r="E63">
            <v>0</v>
          </cell>
          <cell r="F63">
            <v>0</v>
          </cell>
          <cell r="G63">
            <v>0</v>
          </cell>
          <cell r="H63">
            <v>15769.599999999999</v>
          </cell>
          <cell r="I63">
            <v>24540.174061829995</v>
          </cell>
        </row>
        <row r="64">
          <cell r="C64" t="str">
            <v>L11</v>
          </cell>
          <cell r="D64" t="str">
            <v>Недополученный по независящим причинам доход</v>
          </cell>
          <cell r="G64">
            <v>45.64</v>
          </cell>
          <cell r="I64">
            <v>145594</v>
          </cell>
        </row>
        <row r="65">
          <cell r="C65" t="str">
            <v>L12</v>
          </cell>
          <cell r="D65" t="str">
            <v>Избыток средств, полученный в предыдущем периоде регулирования</v>
          </cell>
          <cell r="E65">
            <v>23156</v>
          </cell>
          <cell r="G65">
            <v>23000</v>
          </cell>
          <cell r="I65">
            <v>0</v>
          </cell>
        </row>
        <row r="66">
          <cell r="C66" t="str">
            <v>L13</v>
          </cell>
          <cell r="D66" t="str">
            <v xml:space="preserve">Всего себестоимость товарной продукции </v>
          </cell>
          <cell r="E66">
            <v>1079850.2103993548</v>
          </cell>
          <cell r="F66">
            <v>1078327.1904905287</v>
          </cell>
          <cell r="G66">
            <v>1226816.59874</v>
          </cell>
          <cell r="H66" t="e">
            <v>#REF!</v>
          </cell>
          <cell r="I66" t="e">
            <v>#REF!</v>
          </cell>
        </row>
        <row r="67">
          <cell r="D67" t="str">
            <v xml:space="preserve">    в том числе:</v>
          </cell>
        </row>
        <row r="68">
          <cell r="C68" t="str">
            <v>L13.1</v>
          </cell>
          <cell r="D68" t="str">
            <v xml:space="preserve"> - электрическая энергия</v>
          </cell>
        </row>
        <row r="69">
          <cell r="C69" t="str">
            <v>L13.1.1</v>
          </cell>
          <cell r="D69" t="str">
            <v>производство электроэнергии</v>
          </cell>
        </row>
        <row r="70">
          <cell r="C70" t="str">
            <v>L13.1.2</v>
          </cell>
          <cell r="D70" t="str">
            <v>покупная электроэнергия</v>
          </cell>
        </row>
        <row r="71">
          <cell r="C71" t="str">
            <v>L13.1.3</v>
          </cell>
          <cell r="D71" t="str">
            <v>Всего себестоимость товарной продукции - передача электроэнергии</v>
          </cell>
          <cell r="E71">
            <v>1079850.2103993548</v>
          </cell>
          <cell r="F71">
            <v>1078327.1904905287</v>
          </cell>
          <cell r="G71">
            <v>1226816.59874</v>
          </cell>
          <cell r="H71" t="e">
            <v>#REF!</v>
          </cell>
          <cell r="I71" t="e">
            <v>#REF!</v>
          </cell>
        </row>
        <row r="72">
          <cell r="C72" t="str">
            <v>L13.2</v>
          </cell>
          <cell r="D72" t="str">
            <v xml:space="preserve"> - тепловая энергия</v>
          </cell>
        </row>
        <row r="73">
          <cell r="C73" t="str">
            <v>L13.2.1</v>
          </cell>
          <cell r="D73" t="str">
            <v>производство теплоэнергии</v>
          </cell>
        </row>
        <row r="74">
          <cell r="C74" t="str">
            <v>L13.2.3</v>
          </cell>
          <cell r="D74" t="str">
            <v>передача теплоэнергии</v>
          </cell>
        </row>
        <row r="75">
          <cell r="C75" t="str">
            <v>L13.3</v>
          </cell>
          <cell r="D75" t="str">
            <v xml:space="preserve"> - прочие виды продукции (услуг)</v>
          </cell>
        </row>
      </sheetData>
      <sheetData sheetId="8">
        <row r="6"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</row>
        <row r="7">
          <cell r="D7" t="str">
            <v>L1</v>
          </cell>
          <cell r="E7" t="str">
            <v>ЧЕЛ</v>
          </cell>
          <cell r="F7" t="str">
            <v>Численность</v>
          </cell>
          <cell r="G7">
            <v>407</v>
          </cell>
          <cell r="H7">
            <v>445</v>
          </cell>
          <cell r="I7">
            <v>407</v>
          </cell>
          <cell r="J7">
            <v>485</v>
          </cell>
          <cell r="K7">
            <v>468.37609125317357</v>
          </cell>
        </row>
        <row r="8">
          <cell r="D8" t="str">
            <v>L1.1</v>
          </cell>
          <cell r="F8" t="str">
            <v xml:space="preserve">Численность ППП </v>
          </cell>
          <cell r="G8">
            <v>407</v>
          </cell>
          <cell r="H8">
            <v>445</v>
          </cell>
          <cell r="I8">
            <v>407</v>
          </cell>
          <cell r="J8">
            <v>485</v>
          </cell>
          <cell r="K8">
            <v>468.37609125317357</v>
          </cell>
        </row>
        <row r="9">
          <cell r="F9" t="str">
            <v>Средняя оплата труда</v>
          </cell>
        </row>
        <row r="10">
          <cell r="D10" t="str">
            <v>L2.1</v>
          </cell>
          <cell r="E10" t="str">
            <v>РУБ.ЧЕЛ.МЕС</v>
          </cell>
          <cell r="F10" t="str">
            <v>Тарифная ставка рабочего 1-го разряда</v>
          </cell>
          <cell r="G10">
            <v>2604</v>
          </cell>
          <cell r="H10">
            <v>2604</v>
          </cell>
          <cell r="I10">
            <v>2890</v>
          </cell>
          <cell r="J10">
            <v>3160</v>
          </cell>
          <cell r="K10">
            <v>3400</v>
          </cell>
        </row>
        <row r="11">
          <cell r="D11" t="str">
            <v>L2.2</v>
          </cell>
          <cell r="E11" t="str">
            <v>ЧСЛ</v>
          </cell>
          <cell r="F11" t="str">
            <v>Дефлятор по заработной плате</v>
          </cell>
          <cell r="G11">
            <v>1.085</v>
          </cell>
          <cell r="H11">
            <v>1.0620000000000001</v>
          </cell>
          <cell r="I11">
            <v>1.085</v>
          </cell>
          <cell r="J11">
            <v>1.0396000000000001</v>
          </cell>
          <cell r="K11">
            <v>1.0375000000000001</v>
          </cell>
        </row>
        <row r="12">
          <cell r="D12" t="str">
            <v>L2.3</v>
          </cell>
          <cell r="E12" t="str">
            <v>РУБ.ЧЕЛ.МЕС</v>
          </cell>
          <cell r="F12" t="str">
            <v>Тарифная ставка рабочего 1-го разряда с учетом дефлятора</v>
          </cell>
          <cell r="G12">
            <v>2825.3399999999997</v>
          </cell>
          <cell r="H12">
            <v>2765.4480000000003</v>
          </cell>
          <cell r="I12">
            <v>3135.65</v>
          </cell>
          <cell r="J12">
            <v>3285.1360000000004</v>
          </cell>
          <cell r="K12">
            <v>3527.5000000000005</v>
          </cell>
        </row>
        <row r="13">
          <cell r="D13" t="str">
            <v>L2.4</v>
          </cell>
          <cell r="E13" t="str">
            <v>ЧСЛ</v>
          </cell>
          <cell r="F13" t="str">
            <v>Средняя ступень по оплате труда</v>
          </cell>
          <cell r="G13">
            <v>4.93</v>
          </cell>
          <cell r="H13">
            <v>5.1269999999999998</v>
          </cell>
          <cell r="I13">
            <v>4.9000000000000004</v>
          </cell>
          <cell r="J13">
            <v>5.25</v>
          </cell>
          <cell r="K13">
            <v>5.3201280081399034</v>
          </cell>
        </row>
        <row r="14">
          <cell r="D14" t="str">
            <v>L2.5</v>
          </cell>
          <cell r="E14" t="str">
            <v>ЧСЛ</v>
          </cell>
          <cell r="F14" t="str">
            <v>Тарифный коэффициент соответствующий ступени по оплате труда</v>
          </cell>
          <cell r="G14">
            <v>1.5598118000000001</v>
          </cell>
          <cell r="H14">
            <v>1.6105084999999999</v>
          </cell>
          <cell r="I14">
            <v>1.5461704000000001</v>
          </cell>
          <cell r="J14">
            <v>1.62</v>
          </cell>
          <cell r="K14">
            <v>1.696632612396378</v>
          </cell>
        </row>
        <row r="15">
          <cell r="D15" t="str">
            <v>L2.6</v>
          </cell>
          <cell r="E15" t="str">
            <v>РУБ.ЧЕЛ.МЕС</v>
          </cell>
          <cell r="F15" t="str">
            <v xml:space="preserve">Среднемесячная тарифная ставка </v>
          </cell>
          <cell r="G15">
            <v>4406.9986710120002</v>
          </cell>
          <cell r="H15">
            <v>4453.7775103080003</v>
          </cell>
          <cell r="I15">
            <v>4848.2492147600005</v>
          </cell>
          <cell r="J15">
            <v>5321.9203200000011</v>
          </cell>
          <cell r="K15">
            <v>5984.8715402282241</v>
          </cell>
        </row>
        <row r="16">
          <cell r="F16" t="str">
            <v>Выплаты, связанные с режимом работы в условиями труда 1 работника</v>
          </cell>
        </row>
        <row r="17">
          <cell r="D17" t="str">
            <v>L2.7.1</v>
          </cell>
          <cell r="E17" t="str">
            <v>ПРЦ</v>
          </cell>
          <cell r="F17" t="str">
            <v>Выплаты, связанные с режимом работы в условиями труда 1 работника - процент выплат</v>
          </cell>
          <cell r="G17">
            <v>8.3940000000000001</v>
          </cell>
          <cell r="H17">
            <v>5.4</v>
          </cell>
          <cell r="I17">
            <v>5.3449999999999998</v>
          </cell>
          <cell r="J17">
            <v>6.6</v>
          </cell>
          <cell r="K17">
            <v>6.6</v>
          </cell>
        </row>
        <row r="18">
          <cell r="D18" t="str">
            <v>L2.7.2</v>
          </cell>
          <cell r="E18" t="str">
            <v>РУБ.ЧЕЛ.МЕС</v>
          </cell>
          <cell r="F18" t="str">
            <v>Выплаты, связанные с режимом работы в условиями труда 1 работника - сумма выплат</v>
          </cell>
          <cell r="G18">
            <v>369.92346844474724</v>
          </cell>
          <cell r="H18">
            <v>240.50398555663205</v>
          </cell>
          <cell r="I18">
            <v>259.13892052892203</v>
          </cell>
          <cell r="J18">
            <v>351.24674112000008</v>
          </cell>
          <cell r="K18">
            <v>395.00152165506273</v>
          </cell>
        </row>
        <row r="19">
          <cell r="F19" t="str">
            <v>Текущее премирование</v>
          </cell>
        </row>
        <row r="20">
          <cell r="D20" t="str">
            <v>L2.8.1</v>
          </cell>
          <cell r="E20" t="str">
            <v>ПРЦ</v>
          </cell>
          <cell r="F20" t="str">
            <v>Текущее премирование - процент выплат</v>
          </cell>
          <cell r="G20">
            <v>20</v>
          </cell>
          <cell r="H20">
            <v>21.8</v>
          </cell>
          <cell r="I20">
            <v>15</v>
          </cell>
          <cell r="J20">
            <v>20</v>
          </cell>
          <cell r="K20">
            <v>40</v>
          </cell>
        </row>
        <row r="21">
          <cell r="D21" t="str">
            <v>L2.8.2</v>
          </cell>
          <cell r="E21" t="str">
            <v>РУБ.ЧЕЛ.МЕС</v>
          </cell>
          <cell r="F21" t="str">
            <v>Текущее премирование - сумма выплат</v>
          </cell>
          <cell r="G21">
            <v>955.38442789134945</v>
          </cell>
          <cell r="H21">
            <v>1023.3533660984899</v>
          </cell>
          <cell r="I21">
            <v>766.10822029333838</v>
          </cell>
          <cell r="J21">
            <v>1134.6334122240003</v>
          </cell>
          <cell r="K21">
            <v>2551.9492247533144</v>
          </cell>
        </row>
        <row r="22">
          <cell r="F22" t="str">
            <v>Вознаграждение за выслугу лет</v>
          </cell>
        </row>
        <row r="23">
          <cell r="D23" t="str">
            <v>L2.9.1</v>
          </cell>
          <cell r="E23" t="str">
            <v>ПРЦ</v>
          </cell>
          <cell r="F23" t="str">
            <v>Вознаграждение за выслугу лет - процент выплат</v>
          </cell>
          <cell r="G23">
            <v>15</v>
          </cell>
          <cell r="H23">
            <v>22</v>
          </cell>
          <cell r="I23">
            <v>15</v>
          </cell>
          <cell r="J23">
            <v>19</v>
          </cell>
          <cell r="K23">
            <v>20</v>
          </cell>
        </row>
        <row r="24">
          <cell r="D24" t="str">
            <v>L2.9.2</v>
          </cell>
          <cell r="E24" t="str">
            <v>РУБ.ЧЕЛ.МЕС</v>
          </cell>
          <cell r="F24" t="str">
            <v>Вознаграждение за выслугу лет - сумма выплат</v>
          </cell>
          <cell r="G24">
            <v>661.04980065180007</v>
          </cell>
          <cell r="H24">
            <v>979.83105226776013</v>
          </cell>
          <cell r="I24">
            <v>727.23738221400015</v>
          </cell>
          <cell r="J24">
            <v>1011.1648608000002</v>
          </cell>
          <cell r="K24">
            <v>1196.9743080456449</v>
          </cell>
        </row>
        <row r="25">
          <cell r="F25" t="str">
            <v>Выплаты по итогам  года</v>
          </cell>
        </row>
        <row r="26">
          <cell r="D26" t="str">
            <v>L2.10.1</v>
          </cell>
          <cell r="E26" t="str">
            <v>ПРЦ</v>
          </cell>
          <cell r="F26" t="str">
            <v>Выплаты по итогам  года - процент выплат</v>
          </cell>
          <cell r="G26">
            <v>33</v>
          </cell>
          <cell r="H26">
            <v>22.000999999999902</v>
          </cell>
          <cell r="I26">
            <v>33</v>
          </cell>
          <cell r="J26">
            <v>33</v>
          </cell>
          <cell r="K26">
            <v>33</v>
          </cell>
        </row>
        <row r="27">
          <cell r="D27" t="str">
            <v>L2.10.2</v>
          </cell>
          <cell r="E27" t="str">
            <v>РУБ.ЧЕЛ.МЕС</v>
          </cell>
          <cell r="F27" t="str">
            <v>Выплаты по итогам  года- сумма выплат</v>
          </cell>
          <cell r="G27">
            <v>1454.30956143396</v>
          </cell>
          <cell r="H27">
            <v>979.87559004285879</v>
          </cell>
          <cell r="I27">
            <v>1599.9222408708001</v>
          </cell>
          <cell r="J27">
            <v>1756.2337056000003</v>
          </cell>
          <cell r="K27">
            <v>1975.0076082753139</v>
          </cell>
        </row>
        <row r="28">
          <cell r="F28" t="str">
            <v>Выплаты по  районному коэффициенту и северные надбавки</v>
          </cell>
        </row>
        <row r="29">
          <cell r="D29" t="str">
            <v>L2.11.1</v>
          </cell>
          <cell r="E29" t="str">
            <v>ПРЦ</v>
          </cell>
          <cell r="F29" t="str">
            <v>Выплаты по  районному коэффициенту и северные надбавки - процент выплат</v>
          </cell>
        </row>
        <row r="30">
          <cell r="D30" t="str">
            <v>L2.11.2</v>
          </cell>
          <cell r="E30" t="str">
            <v>РУБ.ЧЕЛ.МЕС</v>
          </cell>
          <cell r="F30" t="str">
            <v>Выплаты по  районному коэффициенту и северные надбавки - сумма выплат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 t="str">
            <v>L2.12</v>
          </cell>
          <cell r="E31" t="str">
            <v>РУБ.ЧЕЛ.МЕС</v>
          </cell>
          <cell r="F31" t="str">
            <v xml:space="preserve">Итого среднемесячная оплата труда на 1 работника                         </v>
          </cell>
          <cell r="G31">
            <v>7847.6659294338569</v>
          </cell>
          <cell r="H31">
            <v>7677.3415042737415</v>
          </cell>
          <cell r="I31">
            <v>8200.6559786670623</v>
          </cell>
          <cell r="J31">
            <v>9575.1990397440022</v>
          </cell>
          <cell r="K31">
            <v>12103.804202957559</v>
          </cell>
        </row>
        <row r="32">
          <cell r="F32" t="str">
            <v>Расчет средств на оплату труда ППП (включенного в себестоимость)</v>
          </cell>
        </row>
        <row r="33">
          <cell r="D33" t="str">
            <v>L3.1</v>
          </cell>
          <cell r="E33" t="str">
            <v>ТРУБ</v>
          </cell>
          <cell r="F33" t="str">
            <v>Льготный проезд к месту отдыха</v>
          </cell>
        </row>
        <row r="34">
          <cell r="D34" t="str">
            <v>L3.2</v>
          </cell>
          <cell r="E34" t="str">
            <v>ТРУБ</v>
          </cell>
          <cell r="F34" t="str">
            <v xml:space="preserve">По постановлению от 3.11.94г.№1206 </v>
          </cell>
        </row>
        <row r="35">
          <cell r="D35" t="str">
            <v>L3.3</v>
          </cell>
          <cell r="E35" t="str">
            <v>ТРУБ</v>
          </cell>
          <cell r="F35" t="str">
            <v xml:space="preserve">Итого средства на оплату труда ППП </v>
          </cell>
          <cell r="G35">
            <v>38328.000399354954</v>
          </cell>
          <cell r="H35">
            <v>40997.003632821783</v>
          </cell>
          <cell r="I35">
            <v>40052.003799809929</v>
          </cell>
          <cell r="J35">
            <v>55727.658411310091</v>
          </cell>
          <cell r="K35">
            <v>68029.59002249995</v>
          </cell>
        </row>
        <row r="36">
          <cell r="F36" t="str">
            <v>Расчет средств на оплату труда непромышленного персонала (включенного в балансовую прибыль)</v>
          </cell>
        </row>
        <row r="37">
          <cell r="D37" t="str">
            <v>L4.1</v>
          </cell>
          <cell r="E37" t="str">
            <v>ЧЕЛ</v>
          </cell>
          <cell r="F37" t="str">
            <v>Численность, принятая для расчета (базовый период - фактическая)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 t="str">
            <v>L4.2</v>
          </cell>
          <cell r="E38" t="str">
            <v>РУБ.ЧЕЛ.МЕС</v>
          </cell>
          <cell r="F38" t="str">
            <v>Среднемесячная оплата труда на 1 работника</v>
          </cell>
        </row>
        <row r="39">
          <cell r="D39" t="str">
            <v>L4.3</v>
          </cell>
          <cell r="E39" t="str">
            <v>ТРУБ</v>
          </cell>
          <cell r="F39" t="str">
            <v>Льготный проезд к месту отдыха</v>
          </cell>
        </row>
        <row r="40">
          <cell r="D40" t="str">
            <v>L4.4</v>
          </cell>
          <cell r="E40" t="str">
            <v>ТРУБ</v>
          </cell>
          <cell r="F40" t="str">
            <v>По постановлению от 03.11.94 г. №1206</v>
          </cell>
        </row>
        <row r="41">
          <cell r="D41" t="str">
            <v>L4.5</v>
          </cell>
          <cell r="E41" t="str">
            <v>ТРУБ</v>
          </cell>
          <cell r="F41" t="str">
            <v>Итого средства на оплату труда непромышленного персонала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 t="str">
            <v>Расчет по денежным выплатам</v>
          </cell>
        </row>
        <row r="43">
          <cell r="D43" t="str">
            <v>L5.1</v>
          </cell>
          <cell r="E43" t="str">
            <v>ЧЕЛ</v>
          </cell>
          <cell r="F43" t="str">
            <v>Численность всего, принятая для расчета (базовый период - фактическая)</v>
          </cell>
          <cell r="G43">
            <v>407</v>
          </cell>
          <cell r="H43">
            <v>445</v>
          </cell>
          <cell r="I43">
            <v>407</v>
          </cell>
          <cell r="J43">
            <v>485</v>
          </cell>
          <cell r="K43">
            <v>468.37609125317357</v>
          </cell>
        </row>
        <row r="44">
          <cell r="D44" t="str">
            <v>L5.2</v>
          </cell>
          <cell r="E44" t="str">
            <v>РУБ.ЧЕЛ.МЕС</v>
          </cell>
          <cell r="F44" t="str">
            <v>Денежные выплаты на 1 работника</v>
          </cell>
        </row>
        <row r="45">
          <cell r="D45" t="str">
            <v>L5.3</v>
          </cell>
          <cell r="E45" t="str">
            <v>ТРУБ</v>
          </cell>
          <cell r="F45" t="str">
            <v>Итого по денежным выплатам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D46" t="str">
            <v>L6</v>
          </cell>
          <cell r="E46" t="str">
            <v>ТРУБ</v>
          </cell>
          <cell r="F46" t="str">
            <v>Итого средства на потребление</v>
          </cell>
          <cell r="G46">
            <v>38328.000399354954</v>
          </cell>
          <cell r="H46">
            <v>40997.003632821783</v>
          </cell>
          <cell r="I46">
            <v>40052.003799809929</v>
          </cell>
          <cell r="J46">
            <v>55727.658411310091</v>
          </cell>
          <cell r="K46">
            <v>68029.59002249995</v>
          </cell>
        </row>
        <row r="47">
          <cell r="D47" t="str">
            <v>L7</v>
          </cell>
          <cell r="E47" t="str">
            <v>РУБ.ЧЕЛ.МЕС</v>
          </cell>
          <cell r="F47" t="str">
            <v>Среднемесячный доход на 1 работника</v>
          </cell>
          <cell r="G47">
            <v>7847.665929433856</v>
          </cell>
          <cell r="H47">
            <v>7677.3415042737424</v>
          </cell>
          <cell r="I47">
            <v>8200.6559786670623</v>
          </cell>
          <cell r="J47">
            <v>9575.1990397440022</v>
          </cell>
          <cell r="K47">
            <v>12103.804202957561</v>
          </cell>
        </row>
      </sheetData>
      <sheetData sheetId="9">
        <row r="6"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</row>
        <row r="7">
          <cell r="B7" t="str">
            <v>Балансовая стоимость основных производственных фондов на начало периода регулирования</v>
          </cell>
          <cell r="C7" t="str">
            <v>L1</v>
          </cell>
          <cell r="D7">
            <v>479889</v>
          </cell>
          <cell r="E7">
            <v>556773</v>
          </cell>
          <cell r="F7">
            <v>312124.73849999998</v>
          </cell>
          <cell r="G7">
            <v>67476.476999999999</v>
          </cell>
          <cell r="H7">
            <v>74837.594389999998</v>
          </cell>
        </row>
        <row r="8">
          <cell r="B8" t="str">
            <v>Ввод основных производственных фондов</v>
          </cell>
          <cell r="C8" t="str">
            <v>L2</v>
          </cell>
          <cell r="D8">
            <v>29297</v>
          </cell>
          <cell r="E8">
            <v>39016</v>
          </cell>
          <cell r="F8">
            <v>20740.599999999999</v>
          </cell>
          <cell r="G8">
            <v>2465.1999999999998</v>
          </cell>
          <cell r="H8">
            <v>5250.4900000000007</v>
          </cell>
        </row>
        <row r="9">
          <cell r="B9" t="str">
            <v>Выбытие основных производственных фондов</v>
          </cell>
          <cell r="C9" t="str">
            <v>L3</v>
          </cell>
          <cell r="D9">
            <v>13226</v>
          </cell>
          <cell r="E9">
            <v>6354</v>
          </cell>
          <cell r="F9">
            <v>3177</v>
          </cell>
          <cell r="G9">
            <v>0</v>
          </cell>
          <cell r="H9">
            <v>0</v>
          </cell>
        </row>
        <row r="10">
          <cell r="B10" t="str">
            <v>Средняя стоимость основных производственных фондов</v>
          </cell>
          <cell r="C10" t="str">
            <v>L4</v>
          </cell>
          <cell r="D10">
            <v>489961</v>
          </cell>
          <cell r="E10">
            <v>573104</v>
          </cell>
          <cell r="F10">
            <v>320826.53849999997</v>
          </cell>
          <cell r="G10">
            <v>68709.077000000005</v>
          </cell>
          <cell r="H10">
            <v>76343.437476982974</v>
          </cell>
        </row>
        <row r="11">
          <cell r="B11" t="str">
            <v>Средняя норма амортизации</v>
          </cell>
          <cell r="C11" t="str">
            <v>L5</v>
          </cell>
          <cell r="D11">
            <v>2.9594192190807025</v>
          </cell>
          <cell r="E11">
            <v>2.4135235489544655</v>
          </cell>
          <cell r="F11">
            <v>2.4958315376959668</v>
          </cell>
          <cell r="G11">
            <v>5.2253649106652968</v>
          </cell>
          <cell r="H11">
            <v>5.2748774044333553</v>
          </cell>
        </row>
        <row r="12">
          <cell r="B12" t="str">
            <v>Сумма амортизационных отчислений</v>
          </cell>
          <cell r="C12" t="str">
            <v>L6</v>
          </cell>
          <cell r="D12">
            <v>14500</v>
          </cell>
          <cell r="E12">
            <v>13832</v>
          </cell>
          <cell r="F12">
            <v>8007.2899291812919</v>
          </cell>
          <cell r="G12">
            <v>3590.3</v>
          </cell>
          <cell r="H12">
            <v>4027.0227332410809</v>
          </cell>
        </row>
      </sheetData>
      <sheetData sheetId="10">
        <row r="4">
          <cell r="D4" t="str">
            <v>стоимость на начало регулируемого периода</v>
          </cell>
          <cell r="E4" t="str">
            <v>Ввод основных производственных фондов</v>
          </cell>
          <cell r="F4" t="str">
            <v>Выбытие основных производственных фондов</v>
          </cell>
          <cell r="G4" t="str">
            <v xml:space="preserve">стоимость на конец регулируемого периода </v>
          </cell>
          <cell r="H4" t="str">
            <v xml:space="preserve">среднегодовая стоимость </v>
          </cell>
          <cell r="I4" t="str">
            <v>Амортизация</v>
          </cell>
        </row>
        <row r="5">
          <cell r="D5" t="str">
            <v>L3</v>
          </cell>
          <cell r="E5" t="str">
            <v>L4</v>
          </cell>
          <cell r="F5" t="str">
            <v>L5</v>
          </cell>
          <cell r="G5" t="str">
            <v>L6</v>
          </cell>
          <cell r="H5" t="str">
            <v>L7</v>
          </cell>
          <cell r="I5" t="str">
            <v>L8</v>
          </cell>
        </row>
        <row r="7">
          <cell r="B7" t="str">
            <v>Линии электропередач</v>
          </cell>
          <cell r="D7">
            <v>43587.413</v>
          </cell>
          <cell r="E7">
            <v>2297.29</v>
          </cell>
          <cell r="F7">
            <v>0</v>
          </cell>
          <cell r="G7">
            <v>45884.703000000001</v>
          </cell>
          <cell r="H7">
            <v>44736.058000000005</v>
          </cell>
          <cell r="I7">
            <v>2105.1206750000001</v>
          </cell>
        </row>
        <row r="8">
          <cell r="B8" t="str">
            <v>ВЛЭП</v>
          </cell>
          <cell r="D8">
            <v>18476.652999999998</v>
          </cell>
          <cell r="E8">
            <v>0</v>
          </cell>
          <cell r="F8">
            <v>0</v>
          </cell>
          <cell r="G8">
            <v>18476.652999999998</v>
          </cell>
          <cell r="H8">
            <v>18476.652999999998</v>
          </cell>
          <cell r="I8">
            <v>964.54347500000017</v>
          </cell>
        </row>
        <row r="9">
          <cell r="B9" t="str">
            <v>ВН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СН2</v>
          </cell>
          <cell r="D11">
            <v>3424.8560000000002</v>
          </cell>
          <cell r="E11">
            <v>0</v>
          </cell>
          <cell r="F11">
            <v>0</v>
          </cell>
          <cell r="G11">
            <v>3424.8560000000002</v>
          </cell>
          <cell r="H11">
            <v>3424.8560000000002</v>
          </cell>
          <cell r="I11">
            <v>163.49332500000003</v>
          </cell>
        </row>
        <row r="12">
          <cell r="B12" t="str">
            <v>НН</v>
          </cell>
          <cell r="D12">
            <v>15051.796999999999</v>
          </cell>
          <cell r="E12">
            <v>0</v>
          </cell>
          <cell r="F12">
            <v>0</v>
          </cell>
          <cell r="G12">
            <v>15051.796999999999</v>
          </cell>
          <cell r="H12">
            <v>15051.796999999999</v>
          </cell>
          <cell r="I12">
            <v>801.05015000000014</v>
          </cell>
        </row>
        <row r="13">
          <cell r="B13" t="str">
            <v>КЛЭП</v>
          </cell>
          <cell r="D13">
            <v>25110.760000000002</v>
          </cell>
          <cell r="E13">
            <v>2297.29</v>
          </cell>
          <cell r="F13">
            <v>0</v>
          </cell>
          <cell r="G13">
            <v>27408.050000000003</v>
          </cell>
          <cell r="H13">
            <v>26259.405000000002</v>
          </cell>
          <cell r="I13">
            <v>1140.5771999999999</v>
          </cell>
        </row>
        <row r="14">
          <cell r="B14" t="str">
            <v>ВН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СН1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СН2</v>
          </cell>
          <cell r="D16">
            <v>17993.334000000003</v>
          </cell>
          <cell r="E16">
            <v>0</v>
          </cell>
          <cell r="F16">
            <v>0</v>
          </cell>
          <cell r="G16">
            <v>17993.334000000003</v>
          </cell>
          <cell r="H16">
            <v>17993.334000000003</v>
          </cell>
          <cell r="I16">
            <v>724.17600000000004</v>
          </cell>
        </row>
        <row r="17">
          <cell r="B17" t="str">
            <v>НН</v>
          </cell>
          <cell r="D17">
            <v>7117.4259999999995</v>
          </cell>
          <cell r="E17">
            <v>2297.29</v>
          </cell>
          <cell r="F17">
            <v>0</v>
          </cell>
          <cell r="G17">
            <v>9414.7160000000003</v>
          </cell>
          <cell r="H17">
            <v>8266.0709999999999</v>
          </cell>
          <cell r="I17">
            <v>416.4011999999999</v>
          </cell>
        </row>
        <row r="18">
          <cell r="B18" t="str">
            <v>Подстанции</v>
          </cell>
          <cell r="D18">
            <v>21218.421000000006</v>
          </cell>
          <cell r="E18">
            <v>866.7</v>
          </cell>
          <cell r="F18">
            <v>0</v>
          </cell>
          <cell r="G18">
            <v>22085.121000000006</v>
          </cell>
          <cell r="H18">
            <v>21651.771000000008</v>
          </cell>
          <cell r="I18">
            <v>1108.1428250000001</v>
          </cell>
        </row>
        <row r="19">
          <cell r="B19" t="str">
            <v>ВН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 t="str">
            <v>СН1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СН2</v>
          </cell>
          <cell r="D21">
            <v>21218.421000000006</v>
          </cell>
          <cell r="E21">
            <v>866.7</v>
          </cell>
          <cell r="F21">
            <v>0</v>
          </cell>
          <cell r="G21">
            <v>22085.121000000006</v>
          </cell>
          <cell r="H21">
            <v>21651.771000000008</v>
          </cell>
          <cell r="I21">
            <v>1108.1428250000001</v>
          </cell>
        </row>
        <row r="22">
          <cell r="B22" t="str">
            <v>НН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Всего (стр. 1+стр.2)</v>
          </cell>
          <cell r="D23">
            <v>64805.834000000003</v>
          </cell>
          <cell r="E23">
            <v>3163.99</v>
          </cell>
          <cell r="F23">
            <v>0</v>
          </cell>
          <cell r="G23">
            <v>67969.824000000008</v>
          </cell>
          <cell r="H23">
            <v>66387.829000000012</v>
          </cell>
          <cell r="I23">
            <v>3213.2635</v>
          </cell>
        </row>
        <row r="24">
          <cell r="B24" t="str">
            <v>ВН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СН2</v>
          </cell>
          <cell r="D26">
            <v>42636.611000000004</v>
          </cell>
          <cell r="E26">
            <v>866.7</v>
          </cell>
          <cell r="F26">
            <v>0</v>
          </cell>
          <cell r="G26">
            <v>43503.311000000009</v>
          </cell>
          <cell r="H26">
            <v>43069.96100000001</v>
          </cell>
          <cell r="I26">
            <v>1995.8121500000002</v>
          </cell>
        </row>
        <row r="27">
          <cell r="B27" t="str">
            <v>НН</v>
          </cell>
          <cell r="D27">
            <v>22169.222999999998</v>
          </cell>
          <cell r="E27">
            <v>2297.29</v>
          </cell>
          <cell r="F27">
            <v>0</v>
          </cell>
          <cell r="G27">
            <v>24466.512999999999</v>
          </cell>
          <cell r="H27">
            <v>23317.867999999999</v>
          </cell>
          <cell r="I27">
            <v>1217.45135</v>
          </cell>
        </row>
      </sheetData>
      <sheetData sheetId="11">
        <row r="5">
          <cell r="F5">
            <v>3</v>
          </cell>
          <cell r="G5">
            <v>4</v>
          </cell>
          <cell r="H5">
            <v>5</v>
          </cell>
          <cell r="I5">
            <v>6</v>
          </cell>
          <cell r="J5">
            <v>7</v>
          </cell>
        </row>
        <row r="6">
          <cell r="C6" t="str">
            <v>L1</v>
          </cell>
          <cell r="D6" t="str">
            <v>ТРУБ</v>
          </cell>
          <cell r="E6" t="str">
            <v>Основная оплата труда производственных рабочих</v>
          </cell>
          <cell r="F6">
            <v>35645.040000000001</v>
          </cell>
          <cell r="G6">
            <v>38127.21</v>
          </cell>
          <cell r="H6">
            <v>37248.824999999997</v>
          </cell>
          <cell r="I6">
            <v>39009.326999999997</v>
          </cell>
          <cell r="J6">
            <v>47620.699000000001</v>
          </cell>
        </row>
        <row r="7">
          <cell r="C7" t="str">
            <v>L2</v>
          </cell>
          <cell r="E7" t="str">
            <v>Дополнительная оплата труда производственных рабочих</v>
          </cell>
          <cell r="F7">
            <v>2682.96</v>
          </cell>
          <cell r="G7">
            <v>2869.7900000000004</v>
          </cell>
          <cell r="H7">
            <v>2803.6750000000002</v>
          </cell>
          <cell r="I7">
            <v>2730.6528900000003</v>
          </cell>
          <cell r="J7">
            <v>3333.4489300000005</v>
          </cell>
        </row>
        <row r="8">
          <cell r="C8" t="str">
            <v>L3</v>
          </cell>
          <cell r="E8" t="str">
            <v>Отчисления на соц. нужды с оплаты производственных рабочих</v>
          </cell>
          <cell r="F8">
            <v>10119</v>
          </cell>
          <cell r="G8">
            <v>10443</v>
          </cell>
          <cell r="H8">
            <v>10573.86</v>
          </cell>
          <cell r="I8">
            <v>11063.877336176</v>
          </cell>
          <cell r="J8">
            <v>13506.246144645334</v>
          </cell>
        </row>
        <row r="9">
          <cell r="C9" t="str">
            <v>L4</v>
          </cell>
          <cell r="E9" t="str">
            <v>Расходы по содержание и эксплуатации оборудования</v>
          </cell>
          <cell r="F9">
            <v>14500</v>
          </cell>
          <cell r="G9">
            <v>13832</v>
          </cell>
          <cell r="H9">
            <v>14240</v>
          </cell>
          <cell r="I9">
            <v>17630</v>
          </cell>
          <cell r="J9">
            <v>20193.552500000002</v>
          </cell>
        </row>
        <row r="11">
          <cell r="C11" t="str">
            <v>L4.1</v>
          </cell>
          <cell r="E11" t="str">
            <v>Амортизация производственного оборудования</v>
          </cell>
          <cell r="F11">
            <v>14500</v>
          </cell>
          <cell r="G11">
            <v>13832</v>
          </cell>
          <cell r="H11">
            <v>14240</v>
          </cell>
          <cell r="I11">
            <v>2855.2</v>
          </cell>
          <cell r="J11">
            <v>3213.2635</v>
          </cell>
        </row>
        <row r="12">
          <cell r="C12" t="str">
            <v>L4.1.ВН</v>
          </cell>
          <cell r="E12" t="str">
            <v>Амортизация производственного оборудования - ВН</v>
          </cell>
          <cell r="I12">
            <v>0</v>
          </cell>
          <cell r="J12">
            <v>0</v>
          </cell>
        </row>
        <row r="13">
          <cell r="C13" t="str">
            <v>L4.1.СН1</v>
          </cell>
          <cell r="E13" t="str">
            <v>Амортизация производственного оборудования - СН1</v>
          </cell>
          <cell r="I13">
            <v>0</v>
          </cell>
          <cell r="J13">
            <v>0</v>
          </cell>
        </row>
        <row r="14">
          <cell r="C14" t="str">
            <v>L4.1.СН2</v>
          </cell>
          <cell r="E14" t="str">
            <v>Амортизация производственного оборудования - СН2</v>
          </cell>
          <cell r="F14">
            <v>6311.6791661300622</v>
          </cell>
          <cell r="G14">
            <v>6020.9066362697258</v>
          </cell>
          <cell r="H14">
            <v>6198.5042293580746</v>
          </cell>
          <cell r="I14">
            <v>1824.7449999999999</v>
          </cell>
          <cell r="J14">
            <v>1995.8121500000002</v>
          </cell>
        </row>
        <row r="15">
          <cell r="C15" t="str">
            <v>L4.1.НН</v>
          </cell>
          <cell r="E15" t="str">
            <v>Амортизация производственного оборудования - НН</v>
          </cell>
          <cell r="F15">
            <v>8188.3208338699378</v>
          </cell>
          <cell r="G15">
            <v>7811.0933637302742</v>
          </cell>
          <cell r="H15">
            <v>8041.4957706419254</v>
          </cell>
          <cell r="I15">
            <v>1030.4549999999999</v>
          </cell>
          <cell r="J15">
            <v>1217.45135</v>
          </cell>
        </row>
        <row r="16">
          <cell r="C16" t="str">
            <v>L4.2</v>
          </cell>
          <cell r="E16" t="str">
            <v>Ремонт основного оборудования</v>
          </cell>
        </row>
        <row r="17">
          <cell r="C17" t="str">
            <v>L4.3</v>
          </cell>
          <cell r="E17" t="str">
            <v>Другие расходы по содержанию и эксплуатации оборудования</v>
          </cell>
          <cell r="I17">
            <v>14774.8</v>
          </cell>
          <cell r="J17">
            <v>16980.289000000001</v>
          </cell>
        </row>
        <row r="18">
          <cell r="C18" t="str">
            <v>L5</v>
          </cell>
          <cell r="E18" t="str">
            <v>Расходы по подготовке и освоению производства (пусковые работы)</v>
          </cell>
        </row>
        <row r="19">
          <cell r="C19" t="str">
            <v>L6</v>
          </cell>
          <cell r="E19" t="str">
            <v>Цеховые расходы</v>
          </cell>
          <cell r="I19">
            <v>1279.25</v>
          </cell>
          <cell r="J19">
            <v>1407.175</v>
          </cell>
        </row>
        <row r="20">
          <cell r="C20" t="str">
            <v>L7</v>
          </cell>
          <cell r="E20" t="str">
            <v>Общехозяйственные расходы электрических сетей</v>
          </cell>
          <cell r="F20">
            <v>47141.289999999994</v>
          </cell>
          <cell r="G20">
            <v>57850.000000000015</v>
          </cell>
          <cell r="H20">
            <v>39996.300000000003</v>
          </cell>
          <cell r="I20">
            <v>143777.73584316947</v>
          </cell>
          <cell r="J20">
            <v>197247.94547868764</v>
          </cell>
        </row>
        <row r="22">
          <cell r="C22" t="str">
            <v>L7.1</v>
          </cell>
          <cell r="E22" t="str">
            <v>Целевые средства на НИОКР</v>
          </cell>
        </row>
        <row r="23">
          <cell r="C23" t="str">
            <v>L7.2</v>
          </cell>
          <cell r="E23" t="str">
            <v>Средства на страхование</v>
          </cell>
          <cell r="F23">
            <v>890</v>
          </cell>
          <cell r="G23">
            <v>4396</v>
          </cell>
          <cell r="H23">
            <v>529</v>
          </cell>
          <cell r="I23">
            <v>3811</v>
          </cell>
          <cell r="J23">
            <v>3710.0727090999999</v>
          </cell>
        </row>
        <row r="24">
          <cell r="C24" t="str">
            <v>L7.3</v>
          </cell>
          <cell r="E24" t="str">
            <v>Плата за предельно допустимые выбросы (сбросы) загрязняющих вещетв</v>
          </cell>
          <cell r="F24">
            <v>135</v>
          </cell>
          <cell r="G24">
            <v>19</v>
          </cell>
          <cell r="H24">
            <v>37</v>
          </cell>
          <cell r="I24">
            <v>0</v>
          </cell>
          <cell r="J24">
            <v>0</v>
          </cell>
        </row>
        <row r="25">
          <cell r="C25" t="str">
            <v>L7.4</v>
          </cell>
          <cell r="E25" t="str">
            <v>Отчисления в ремонтный фонд в случае его формирования</v>
          </cell>
          <cell r="I25">
            <v>0</v>
          </cell>
          <cell r="J25">
            <v>0</v>
          </cell>
        </row>
        <row r="26">
          <cell r="C26" t="str">
            <v>L7.5</v>
          </cell>
          <cell r="E26" t="str">
            <v>Непроизводственные расходы (налоги и другие обязательные платежи и сборы) всего</v>
          </cell>
          <cell r="F26">
            <v>8186</v>
          </cell>
          <cell r="G26">
            <v>8424</v>
          </cell>
          <cell r="H26">
            <v>8756</v>
          </cell>
          <cell r="I26">
            <v>8575</v>
          </cell>
          <cell r="J26">
            <v>9321.9826300000004</v>
          </cell>
        </row>
        <row r="27">
          <cell r="C27" t="str">
            <v>L7.5.1</v>
          </cell>
          <cell r="E27" t="str">
            <v>Непроизводственные расходы (налоги и другие обязательные платежи и сборы) по видам</v>
          </cell>
        </row>
        <row r="28">
          <cell r="F28">
            <v>1150</v>
          </cell>
          <cell r="G28">
            <v>1346</v>
          </cell>
          <cell r="H28">
            <v>1175</v>
          </cell>
          <cell r="I28">
            <v>0</v>
          </cell>
          <cell r="J28">
            <v>0</v>
          </cell>
        </row>
        <row r="33">
          <cell r="I33">
            <v>0</v>
          </cell>
          <cell r="J33">
            <v>0</v>
          </cell>
        </row>
        <row r="34">
          <cell r="F34">
            <v>135</v>
          </cell>
          <cell r="G34">
            <v>162</v>
          </cell>
          <cell r="H34">
            <v>59</v>
          </cell>
          <cell r="I34">
            <v>114</v>
          </cell>
          <cell r="J34">
            <v>14.882630000000001</v>
          </cell>
        </row>
        <row r="35">
          <cell r="I35">
            <v>0</v>
          </cell>
          <cell r="J35">
            <v>0</v>
          </cell>
        </row>
        <row r="36">
          <cell r="I36">
            <v>0</v>
          </cell>
          <cell r="J36">
            <v>0</v>
          </cell>
        </row>
        <row r="37">
          <cell r="F37">
            <v>6901</v>
          </cell>
          <cell r="G37">
            <v>6916</v>
          </cell>
          <cell r="H37">
            <v>7522</v>
          </cell>
          <cell r="I37">
            <v>8461</v>
          </cell>
          <cell r="J37">
            <v>9307.1</v>
          </cell>
        </row>
        <row r="39">
          <cell r="C39" t="str">
            <v>L7.6</v>
          </cell>
          <cell r="E39" t="str">
            <v>Другие затраты, относимые на себестоимость продукции всего</v>
          </cell>
          <cell r="F39">
            <v>37930.289999999994</v>
          </cell>
          <cell r="G39">
            <v>45011.000000000015</v>
          </cell>
          <cell r="H39">
            <v>30674.300000000003</v>
          </cell>
          <cell r="I39">
            <v>131391.73584316947</v>
          </cell>
          <cell r="J39">
            <v>184215.89013958763</v>
          </cell>
        </row>
        <row r="40">
          <cell r="C40" t="str">
            <v>L7.6.1</v>
          </cell>
          <cell r="E40" t="str">
            <v>Другие затраты, относимые на себестоимость продукции по видам расходов</v>
          </cell>
        </row>
        <row r="41">
          <cell r="I41">
            <v>80467.400009345787</v>
          </cell>
          <cell r="J41">
            <v>86100.118009999991</v>
          </cell>
        </row>
        <row r="45">
          <cell r="C45" t="str">
            <v>L7.7</v>
          </cell>
          <cell r="E45" t="str">
            <v>Плата ФСК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 t="str">
            <v xml:space="preserve">    в том числе:</v>
          </cell>
        </row>
        <row r="47">
          <cell r="C47" t="str">
            <v>L7.1.ВН</v>
          </cell>
          <cell r="E47" t="str">
            <v>Плата ФСК - ВН</v>
          </cell>
        </row>
        <row r="48">
          <cell r="C48" t="str">
            <v>L7.1.СН1</v>
          </cell>
          <cell r="E48" t="str">
            <v>Плата ФСК - СН1</v>
          </cell>
        </row>
        <row r="49">
          <cell r="C49" t="str">
            <v>L7.1.СН2</v>
          </cell>
          <cell r="E49" t="str">
            <v>Плата ФСК - СН2</v>
          </cell>
        </row>
        <row r="50">
          <cell r="C50" t="str">
            <v>L7.1.НН</v>
          </cell>
          <cell r="E50" t="str">
            <v>Плата ФСК - НН</v>
          </cell>
        </row>
        <row r="51">
          <cell r="C51" t="str">
            <v>L8</v>
          </cell>
          <cell r="E51" t="str">
            <v>Недополученный по независящим причинам доход</v>
          </cell>
          <cell r="H51">
            <v>45.6</v>
          </cell>
          <cell r="J51">
            <v>145594</v>
          </cell>
        </row>
        <row r="52">
          <cell r="C52" t="str">
            <v>L9</v>
          </cell>
          <cell r="E52" t="str">
            <v>Избыток средств, полученный в предыдущем периоде регулирования</v>
          </cell>
          <cell r="H52">
            <v>23000</v>
          </cell>
          <cell r="J52">
            <v>0</v>
          </cell>
        </row>
        <row r="53">
          <cell r="C53" t="str">
            <v>L10</v>
          </cell>
          <cell r="E53" t="str">
            <v xml:space="preserve">Итого производственные расходы </v>
          </cell>
          <cell r="F53">
            <v>110088.29</v>
          </cell>
          <cell r="G53">
            <v>123122.00000000001</v>
          </cell>
          <cell r="H53">
            <v>81908.260000000009</v>
          </cell>
          <cell r="I53">
            <v>215490.84306934546</v>
          </cell>
          <cell r="J53">
            <v>428903.06705333298</v>
          </cell>
        </row>
        <row r="54">
          <cell r="E54" t="str">
            <v xml:space="preserve">    в том числе:</v>
          </cell>
        </row>
        <row r="55">
          <cell r="C55" t="str">
            <v>L10.ВН</v>
          </cell>
          <cell r="E55" t="str">
            <v>Производственные расходы - ВН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 t="str">
            <v>L10.СН1</v>
          </cell>
          <cell r="E56" t="str">
            <v>Производственные расходы - СН1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 t="str">
            <v>L10.СН2</v>
          </cell>
          <cell r="E57" t="str">
            <v>Производственные расходы - СН2</v>
          </cell>
          <cell r="F57">
            <v>84458.492592793889</v>
          </cell>
          <cell r="G57">
            <v>95369.353390574994</v>
          </cell>
          <cell r="H57">
            <v>61519.704024092134</v>
          </cell>
          <cell r="I57">
            <v>175661.91613046819</v>
          </cell>
          <cell r="J57">
            <v>350012.30722398334</v>
          </cell>
        </row>
        <row r="58">
          <cell r="C58" t="str">
            <v>L10.НН</v>
          </cell>
          <cell r="E58" t="str">
            <v>Производственные расходы - НН</v>
          </cell>
          <cell r="F58">
            <v>25629.797407206097</v>
          </cell>
          <cell r="G58">
            <v>27752.646609425006</v>
          </cell>
          <cell r="H58">
            <v>20388.555975907868</v>
          </cell>
          <cell r="I58">
            <v>39828.926938877223</v>
          </cell>
          <cell r="J58">
            <v>78890.759829349612</v>
          </cell>
        </row>
        <row r="59">
          <cell r="C59" t="str">
            <v>L11</v>
          </cell>
          <cell r="D59" t="str">
            <v>МКВТЧ</v>
          </cell>
          <cell r="E59" t="str">
            <v>Полезный отпуск электроэнергии без отпуска с шин ТЭЦ</v>
          </cell>
          <cell r="F59">
            <v>814</v>
          </cell>
          <cell r="G59">
            <v>790.1321999999999</v>
          </cell>
          <cell r="H59">
            <v>829.8</v>
          </cell>
          <cell r="I59">
            <v>859.79800000000012</v>
          </cell>
          <cell r="J59">
            <v>884.48100000000011</v>
          </cell>
        </row>
        <row r="60">
          <cell r="C60" t="str">
            <v>L12</v>
          </cell>
          <cell r="D60" t="str">
            <v>РУБ.ТКВТЧ</v>
          </cell>
          <cell r="E60" t="str">
            <v>Себестоимость</v>
          </cell>
          <cell r="F60">
            <v>135.24359950859949</v>
          </cell>
          <cell r="G60">
            <v>155.824556953887</v>
          </cell>
          <cell r="H60">
            <v>98.708435767654876</v>
          </cell>
          <cell r="I60">
            <v>250.62961657196857</v>
          </cell>
          <cell r="J60">
            <v>484.92061113051938</v>
          </cell>
        </row>
        <row r="61">
          <cell r="C61" t="str">
            <v>L13</v>
          </cell>
          <cell r="D61" t="str">
            <v>ТРУБ</v>
          </cell>
          <cell r="E61" t="str">
            <v>Условно-постоянные затраты сетей</v>
          </cell>
          <cell r="F61">
            <v>110088.29</v>
          </cell>
          <cell r="G61">
            <v>123122.00000000001</v>
          </cell>
          <cell r="H61">
            <v>81908.260000000009</v>
          </cell>
          <cell r="I61">
            <v>215490.84306934546</v>
          </cell>
          <cell r="J61">
            <v>428903.06705333298</v>
          </cell>
        </row>
        <row r="63">
          <cell r="C63" t="str">
            <v>L13.1</v>
          </cell>
          <cell r="E63" t="str">
            <v>Сумма общехозяйственных расходов</v>
          </cell>
          <cell r="F63">
            <v>73452.05417360898</v>
          </cell>
          <cell r="G63">
            <v>82148.281292797692</v>
          </cell>
          <cell r="H63">
            <v>54650.044530495034</v>
          </cell>
          <cell r="I63">
            <v>143777.73584316947</v>
          </cell>
          <cell r="J63">
            <v>197247.94547868764</v>
          </cell>
        </row>
        <row r="64">
          <cell r="C64" t="str">
            <v>L14</v>
          </cell>
          <cell r="E64" t="str">
            <v>Услуги ФСК</v>
          </cell>
        </row>
      </sheetData>
      <sheetData sheetId="12">
        <row r="6"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</row>
        <row r="7">
          <cell r="C7" t="str">
            <v>L1</v>
          </cell>
          <cell r="D7" t="str">
            <v>Объем капитальных вложений - всего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37969.86</v>
          </cell>
        </row>
        <row r="9">
          <cell r="C9" t="str">
            <v>L1.1</v>
          </cell>
          <cell r="D9" t="str">
            <v>Объем капитальных вложений - на производственное и научно-техническое развитие</v>
          </cell>
          <cell r="H9">
            <v>29996.920000000002</v>
          </cell>
          <cell r="I9">
            <v>55126.400000000001</v>
          </cell>
        </row>
        <row r="10">
          <cell r="C10" t="str">
            <v>L1.2</v>
          </cell>
          <cell r="D10" t="str">
            <v>Объем капитальных вложений - на непроизводственное развитие</v>
          </cell>
          <cell r="H10">
            <v>0</v>
          </cell>
          <cell r="I10">
            <v>0</v>
          </cell>
        </row>
        <row r="11">
          <cell r="C11" t="str">
            <v>L2</v>
          </cell>
          <cell r="D11" t="str">
            <v>Финансирование капитальных вложений из средств - всего</v>
          </cell>
          <cell r="E11">
            <v>14500</v>
          </cell>
          <cell r="F11">
            <v>13832</v>
          </cell>
          <cell r="G11">
            <v>8007.2899291812919</v>
          </cell>
          <cell r="H11" t="e">
            <v>#REF!</v>
          </cell>
          <cell r="I11" t="e">
            <v>#REF!</v>
          </cell>
        </row>
        <row r="13">
          <cell r="C13" t="str">
            <v>L2.1</v>
          </cell>
          <cell r="D13" t="str">
            <v xml:space="preserve">Амортизационных отчислений на полное восстановление основных фондов </v>
          </cell>
          <cell r="E13">
            <v>14500</v>
          </cell>
          <cell r="F13">
            <v>13832</v>
          </cell>
          <cell r="G13">
            <v>8007.2899291812919</v>
          </cell>
          <cell r="H13">
            <v>3590.3</v>
          </cell>
          <cell r="I13">
            <v>4027.0227332410809</v>
          </cell>
        </row>
        <row r="14">
          <cell r="C14" t="str">
            <v>L2.2</v>
          </cell>
          <cell r="D14" t="str">
            <v>Неиспользованных средств на начало года</v>
          </cell>
          <cell r="H14" t="e">
            <v>#REF!</v>
          </cell>
          <cell r="I14" t="e">
            <v>#REF!</v>
          </cell>
        </row>
        <row r="15">
          <cell r="C15" t="str">
            <v>L2.3</v>
          </cell>
          <cell r="D15" t="str">
            <v>Федерального бюджета</v>
          </cell>
          <cell r="H15">
            <v>0</v>
          </cell>
          <cell r="I15">
            <v>9816.8799999999974</v>
          </cell>
        </row>
        <row r="16">
          <cell r="C16" t="str">
            <v>L2.4</v>
          </cell>
          <cell r="D16" t="str">
            <v>Республиканского бюджета</v>
          </cell>
          <cell r="H16">
            <v>0</v>
          </cell>
          <cell r="I16">
            <v>0</v>
          </cell>
        </row>
        <row r="17">
          <cell r="C17" t="str">
            <v>L2.5</v>
          </cell>
          <cell r="D17" t="str">
            <v xml:space="preserve">Регионального (республиканского, краевого, областного) бюждета </v>
          </cell>
          <cell r="H17">
            <v>0</v>
          </cell>
          <cell r="I17">
            <v>0</v>
          </cell>
        </row>
        <row r="18">
          <cell r="C18" t="str">
            <v>L2.6</v>
          </cell>
          <cell r="D18" t="str">
            <v xml:space="preserve">Прочих </v>
          </cell>
          <cell r="H18">
            <v>0</v>
          </cell>
          <cell r="I18">
            <v>0</v>
          </cell>
        </row>
        <row r="19">
          <cell r="C19" t="str">
            <v>L2.7</v>
          </cell>
          <cell r="D19" t="str">
            <v>Средства, полученные от реализации ценных бумаг</v>
          </cell>
          <cell r="H19">
            <v>26406.620000000003</v>
          </cell>
          <cell r="I19">
            <v>36223.5</v>
          </cell>
        </row>
        <row r="20">
          <cell r="C20" t="str">
            <v>L2.8</v>
          </cell>
          <cell r="D20" t="str">
            <v>Кредитные средства</v>
          </cell>
          <cell r="H20">
            <v>0</v>
          </cell>
          <cell r="I20">
            <v>0</v>
          </cell>
        </row>
        <row r="21">
          <cell r="C21" t="str">
            <v>L2.9</v>
          </cell>
          <cell r="D21" t="str">
            <v>Итого источники кап. Вложений</v>
          </cell>
          <cell r="E21">
            <v>14500</v>
          </cell>
          <cell r="F21">
            <v>13832</v>
          </cell>
          <cell r="G21">
            <v>8007.2899291812919</v>
          </cell>
          <cell r="H21" t="e">
            <v>#REF!</v>
          </cell>
          <cell r="I21" t="e">
            <v>#REF!</v>
          </cell>
        </row>
        <row r="22">
          <cell r="C22" t="str">
            <v>L2.10</v>
          </cell>
          <cell r="D22" t="str">
            <v>Капвложения из прибыли</v>
          </cell>
          <cell r="E22">
            <v>0</v>
          </cell>
          <cell r="F22">
            <v>0</v>
          </cell>
          <cell r="G22">
            <v>0</v>
          </cell>
          <cell r="H22" t="e">
            <v>#REF!</v>
          </cell>
          <cell r="I22" t="e">
            <v>#REF!</v>
          </cell>
        </row>
        <row r="23">
          <cell r="D23" t="str">
            <v xml:space="preserve"> - отнесенная на производство электрической энергии</v>
          </cell>
        </row>
        <row r="24">
          <cell r="C24" t="str">
            <v>L2.10.2</v>
          </cell>
          <cell r="D24" t="str">
            <v>Прибыль отнесенная на передачу электрической энергии</v>
          </cell>
          <cell r="E24">
            <v>0</v>
          </cell>
          <cell r="F24">
            <v>0</v>
          </cell>
          <cell r="G24">
            <v>0</v>
          </cell>
          <cell r="H24" t="e">
            <v>#REF!</v>
          </cell>
          <cell r="I24" t="e">
            <v>#REF!</v>
          </cell>
        </row>
        <row r="25">
          <cell r="D25" t="str">
            <v xml:space="preserve"> - отнесенная на производство тепловой энергии</v>
          </cell>
        </row>
        <row r="26">
          <cell r="D26" t="str">
            <v xml:space="preserve"> - отнесенная на передачу тепловой энергии</v>
          </cell>
        </row>
      </sheetData>
      <sheetData sheetId="13">
        <row r="6"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8">
          <cell r="A8" t="str">
            <v>Реконструкция ВЛ -6кВ (провод СИП)</v>
          </cell>
          <cell r="J8">
            <v>17399.52</v>
          </cell>
          <cell r="K8">
            <v>0</v>
          </cell>
        </row>
        <row r="9">
          <cell r="A9" t="str">
            <v>Реконструкция  ВЛ 0,4 кВ</v>
          </cell>
          <cell r="J9">
            <v>5009.7149999999992</v>
          </cell>
          <cell r="K9">
            <v>0</v>
          </cell>
        </row>
        <row r="10">
          <cell r="A10" t="str">
            <v xml:space="preserve">Реконструкция КЛ 6-10 кВ </v>
          </cell>
          <cell r="J10">
            <v>2200.5250000000001</v>
          </cell>
          <cell r="K10">
            <v>0</v>
          </cell>
        </row>
        <row r="11">
          <cell r="A11" t="str">
            <v xml:space="preserve">Реконструкция КЛ 6-10 кВ </v>
          </cell>
          <cell r="J11">
            <v>0</v>
          </cell>
          <cell r="K11">
            <v>0</v>
          </cell>
        </row>
        <row r="12">
          <cell r="A12" t="str">
            <v>Реконструкция КЛ- 04 кВ</v>
          </cell>
          <cell r="J12">
            <v>4945</v>
          </cell>
          <cell r="K12">
            <v>0</v>
          </cell>
        </row>
        <row r="13">
          <cell r="A13" t="str">
            <v>Реконструкция КТП</v>
          </cell>
          <cell r="J13">
            <v>900.84999999999991</v>
          </cell>
          <cell r="K13">
            <v>0</v>
          </cell>
        </row>
        <row r="14">
          <cell r="A14" t="str">
            <v>Замена оборудования в РП-7 и  ЦРП</v>
          </cell>
          <cell r="J14">
            <v>1451.25</v>
          </cell>
          <cell r="K14">
            <v>0</v>
          </cell>
        </row>
        <row r="15">
          <cell r="A15" t="str">
            <v>Строительство водопровода и канализации по ул Гризодубовой</v>
          </cell>
          <cell r="J15">
            <v>0</v>
          </cell>
          <cell r="K15">
            <v>0</v>
          </cell>
        </row>
        <row r="16">
          <cell r="A16" t="str">
            <v>Организация въезда с ул. Мира на улицу Гризодубовой</v>
          </cell>
          <cell r="J16">
            <v>0</v>
          </cell>
          <cell r="K16">
            <v>0</v>
          </cell>
        </row>
        <row r="17">
          <cell r="A17" t="str">
            <v>Проектноизыскательские работы</v>
          </cell>
          <cell r="J17">
            <v>0</v>
          </cell>
          <cell r="K17">
            <v>0</v>
          </cell>
        </row>
        <row r="18">
          <cell r="A18" t="str">
            <v>Оборудование для измерения в сетях (установка пиборов учета в ТП, внедрение АСКУЭ)</v>
          </cell>
          <cell r="J18">
            <v>0</v>
          </cell>
          <cell r="K18">
            <v>0</v>
          </cell>
        </row>
        <row r="19">
          <cell r="A19" t="str">
            <v>Оборудование не требующее монтажа</v>
          </cell>
          <cell r="J19">
            <v>0</v>
          </cell>
          <cell r="K19">
            <v>0</v>
          </cell>
        </row>
        <row r="20">
          <cell r="A20" t="str">
            <v>Установка пожарной сигнализации с устройством дымовых пожарных извещателей</v>
          </cell>
          <cell r="J20">
            <v>6063</v>
          </cell>
          <cell r="K20">
            <v>0</v>
          </cell>
        </row>
        <row r="21">
          <cell r="A21" t="str">
            <v>Добавить строки</v>
          </cell>
        </row>
        <row r="22">
          <cell r="A22" t="str">
            <v>Всего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37969.86</v>
          </cell>
        </row>
      </sheetData>
      <sheetData sheetId="14">
        <row r="9"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</row>
        <row r="10">
          <cell r="C10" t="str">
            <v>L1</v>
          </cell>
          <cell r="D10" t="str">
            <v>Прибыль на развитие производства</v>
          </cell>
          <cell r="H10">
            <v>0</v>
          </cell>
          <cell r="I10">
            <v>1223.4594000000002</v>
          </cell>
        </row>
        <row r="12">
          <cell r="C12" t="str">
            <v>L1.1</v>
          </cell>
          <cell r="D12" t="str">
            <v>Прибыль на капитальные вложения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L1.1.ВН</v>
          </cell>
          <cell r="D13" t="str">
            <v>Прибыль на капитальные вложения - ВН</v>
          </cell>
          <cell r="H13">
            <v>0</v>
          </cell>
          <cell r="I13">
            <v>0</v>
          </cell>
        </row>
        <row r="14">
          <cell r="C14" t="str">
            <v>L1.1.СН1</v>
          </cell>
          <cell r="D14" t="str">
            <v>Прибыль на капитальные вложения - СН1</v>
          </cell>
          <cell r="H14">
            <v>0</v>
          </cell>
          <cell r="I14">
            <v>0</v>
          </cell>
        </row>
        <row r="15">
          <cell r="C15" t="str">
            <v>L1.1.СН2</v>
          </cell>
          <cell r="D15" t="str">
            <v>Прибыль на капитальные вложения - СН2</v>
          </cell>
          <cell r="H15">
            <v>0</v>
          </cell>
          <cell r="I15">
            <v>0</v>
          </cell>
        </row>
        <row r="16">
          <cell r="C16" t="str">
            <v>L1.1.НН</v>
          </cell>
          <cell r="D16" t="str">
            <v>Прибыль на капитальные вложения - НН</v>
          </cell>
          <cell r="H16">
            <v>0</v>
          </cell>
          <cell r="I16">
            <v>0</v>
          </cell>
        </row>
        <row r="17">
          <cell r="C17" t="str">
            <v>L2</v>
          </cell>
          <cell r="D17" t="str">
            <v xml:space="preserve">Прибыль на социальное развитие </v>
          </cell>
          <cell r="H17">
            <v>6741.7771674709502</v>
          </cell>
          <cell r="I17">
            <v>7213.7015691939168</v>
          </cell>
        </row>
        <row r="19">
          <cell r="C19" t="str">
            <v>L2.1</v>
          </cell>
          <cell r="D19" t="str">
            <v>Прибыль на социальное развитие  - капитальные вложения</v>
          </cell>
        </row>
        <row r="20">
          <cell r="C20" t="str">
            <v>L3</v>
          </cell>
          <cell r="D20" t="str">
            <v>Льготы, компенсации и проч.выплаты по Колдоговору</v>
          </cell>
        </row>
        <row r="21">
          <cell r="C21" t="str">
            <v>L4</v>
          </cell>
          <cell r="D21" t="str">
            <v>Дивиденды по акциям</v>
          </cell>
          <cell r="H21">
            <v>0</v>
          </cell>
          <cell r="I21">
            <v>0</v>
          </cell>
        </row>
        <row r="22">
          <cell r="C22" t="str">
            <v>L5</v>
          </cell>
          <cell r="D22" t="str">
            <v>Прибыль на прочие цели</v>
          </cell>
          <cell r="E22">
            <v>19264.849999999999</v>
          </cell>
          <cell r="F22">
            <v>27540</v>
          </cell>
          <cell r="G22">
            <v>30354.35</v>
          </cell>
          <cell r="H22">
            <v>337.08885837354751</v>
          </cell>
          <cell r="I22">
            <v>421.85804845969591</v>
          </cell>
        </row>
        <row r="24">
          <cell r="C24" t="str">
            <v>L5.1</v>
          </cell>
          <cell r="D24" t="str">
            <v>Проценты за пользование кредитом</v>
          </cell>
          <cell r="H24">
            <v>0</v>
          </cell>
        </row>
        <row r="25">
          <cell r="C25" t="str">
            <v>L5.2</v>
          </cell>
          <cell r="D25" t="str">
            <v>Услуги банка</v>
          </cell>
        </row>
        <row r="26">
          <cell r="C26" t="str">
            <v>L5.3</v>
          </cell>
          <cell r="D26" t="str">
            <v>Другие расходы из прибыли, всего</v>
          </cell>
          <cell r="E26">
            <v>0</v>
          </cell>
          <cell r="F26">
            <v>0</v>
          </cell>
          <cell r="G26">
            <v>30354.35</v>
          </cell>
          <cell r="H26">
            <v>0</v>
          </cell>
          <cell r="I26">
            <v>421.85804845969591</v>
          </cell>
        </row>
        <row r="27">
          <cell r="C27" t="str">
            <v>L5.3.1</v>
          </cell>
          <cell r="D27" t="str">
            <v>Другие расходы из прибыли, по видам затрат</v>
          </cell>
        </row>
        <row r="28">
          <cell r="G28">
            <v>30354.35</v>
          </cell>
        </row>
        <row r="29">
          <cell r="H29">
            <v>0</v>
          </cell>
        </row>
        <row r="30">
          <cell r="I30">
            <v>421.85804845969591</v>
          </cell>
        </row>
        <row r="31">
          <cell r="D31" t="str">
            <v>Добавить строки</v>
          </cell>
        </row>
        <row r="32">
          <cell r="C32" t="str">
            <v>L6</v>
          </cell>
          <cell r="D32" t="str">
            <v>Прибыль, облагаемая налогом</v>
          </cell>
          <cell r="H32">
            <v>12054.242705905623</v>
          </cell>
          <cell r="I32">
            <v>14564.749357819017</v>
          </cell>
        </row>
        <row r="33">
          <cell r="C33" t="str">
            <v>L7</v>
          </cell>
          <cell r="D33" t="str">
            <v>Налоги, сборы, платежи - всего</v>
          </cell>
          <cell r="E33">
            <v>9673.2099999999991</v>
          </cell>
          <cell r="F33">
            <v>10272.6</v>
          </cell>
          <cell r="G33">
            <v>625</v>
          </cell>
          <cell r="H33">
            <v>8781.9766800611251</v>
          </cell>
          <cell r="I33">
            <v>10888.130340165404</v>
          </cell>
        </row>
        <row r="35">
          <cell r="C35" t="str">
            <v>L7.1</v>
          </cell>
          <cell r="D35" t="str">
            <v>Налог на прибыль</v>
          </cell>
          <cell r="E35">
            <v>8863.2099999999991</v>
          </cell>
          <cell r="F35">
            <v>8183</v>
          </cell>
          <cell r="H35">
            <v>3806.6</v>
          </cell>
          <cell r="I35">
            <v>5182.3999999999996</v>
          </cell>
        </row>
        <row r="36">
          <cell r="C36" t="str">
            <v>L7.1.ВН</v>
          </cell>
          <cell r="D36" t="str">
            <v>Налог на прибыль - ВН</v>
          </cell>
          <cell r="H36">
            <v>0</v>
          </cell>
          <cell r="I36">
            <v>0</v>
          </cell>
        </row>
        <row r="37">
          <cell r="C37" t="str">
            <v>L7.1.СН1</v>
          </cell>
          <cell r="D37" t="str">
            <v>Налог на прибыль - СН1</v>
          </cell>
          <cell r="H37">
            <v>0</v>
          </cell>
          <cell r="I37">
            <v>0</v>
          </cell>
        </row>
        <row r="38">
          <cell r="C38" t="str">
            <v>L7.1.СН2</v>
          </cell>
          <cell r="D38" t="str">
            <v>Налог на прибыль - СН2</v>
          </cell>
          <cell r="H38">
            <v>0</v>
          </cell>
          <cell r="I38">
            <v>0</v>
          </cell>
        </row>
        <row r="39">
          <cell r="C39" t="str">
            <v>L7.1.НН</v>
          </cell>
          <cell r="D39" t="str">
            <v>Налог на прибыль - НН</v>
          </cell>
          <cell r="H39">
            <v>0</v>
          </cell>
          <cell r="I39">
            <v>0</v>
          </cell>
        </row>
        <row r="40">
          <cell r="C40" t="str">
            <v>L7.2</v>
          </cell>
          <cell r="D40" t="str">
            <v>Налог на имущество</v>
          </cell>
          <cell r="E40">
            <v>810</v>
          </cell>
          <cell r="F40">
            <v>622.6</v>
          </cell>
          <cell r="G40">
            <v>625</v>
          </cell>
          <cell r="H40">
            <v>0</v>
          </cell>
          <cell r="I40">
            <v>0</v>
          </cell>
        </row>
        <row r="41">
          <cell r="C41" t="str">
            <v>L7.2.ВН</v>
          </cell>
          <cell r="D41" t="str">
            <v>Налог на имущество - ВН</v>
          </cell>
        </row>
        <row r="42">
          <cell r="C42" t="str">
            <v>L7.2.СН1</v>
          </cell>
          <cell r="D42" t="str">
            <v>Налог на имущество - СН1</v>
          </cell>
        </row>
        <row r="43">
          <cell r="C43" t="str">
            <v>L7.2.СН2</v>
          </cell>
          <cell r="D43" t="str">
            <v>Налог на имущество - СН2</v>
          </cell>
        </row>
        <row r="44">
          <cell r="C44" t="str">
            <v>L7.2.НН</v>
          </cell>
          <cell r="D44" t="str">
            <v>Налог на имущество - НН</v>
          </cell>
        </row>
        <row r="45">
          <cell r="C45" t="str">
            <v>L7.3</v>
          </cell>
          <cell r="D45" t="str">
            <v>Плата за выбросы загрязняющих веществ</v>
          </cell>
        </row>
        <row r="46">
          <cell r="C46" t="str">
            <v>L7.4</v>
          </cell>
          <cell r="D46" t="str">
            <v>Другие налоги и обязательные сборы и платежи, всего</v>
          </cell>
          <cell r="E46">
            <v>0</v>
          </cell>
          <cell r="F46">
            <v>1467</v>
          </cell>
          <cell r="G46">
            <v>0</v>
          </cell>
          <cell r="H46">
            <v>4975.3766800611247</v>
          </cell>
          <cell r="I46">
            <v>5705.7303401654044</v>
          </cell>
        </row>
        <row r="47">
          <cell r="C47" t="str">
            <v>L7.4.1</v>
          </cell>
          <cell r="D47" t="str">
            <v>Другие налоги и обязательные сборы и платежи по видам затрат</v>
          </cell>
        </row>
        <row r="48">
          <cell r="H48">
            <v>1175.0201736000006</v>
          </cell>
          <cell r="I48">
            <v>1257.2715857520006</v>
          </cell>
        </row>
        <row r="49">
          <cell r="H49">
            <v>2030.6399999999999</v>
          </cell>
          <cell r="I49">
            <v>2233.7040000000002</v>
          </cell>
        </row>
        <row r="50">
          <cell r="F50">
            <v>1467</v>
          </cell>
          <cell r="H50">
            <v>1769.7165064611245</v>
          </cell>
          <cell r="I50">
            <v>2214.7547544134031</v>
          </cell>
        </row>
        <row r="51">
          <cell r="D51" t="str">
            <v>Добавить строки</v>
          </cell>
        </row>
        <row r="52">
          <cell r="C52" t="str">
            <v>L8</v>
          </cell>
          <cell r="D52" t="str">
            <v>Прибыль от реализации услуг по передаче электрической энергии</v>
          </cell>
          <cell r="E52">
            <v>28938.059999999998</v>
          </cell>
          <cell r="F52">
            <v>37812.6</v>
          </cell>
          <cell r="G52">
            <v>30979.35</v>
          </cell>
          <cell r="H52">
            <v>15860.842705905623</v>
          </cell>
          <cell r="I52">
            <v>19747.149357819017</v>
          </cell>
        </row>
        <row r="54">
          <cell r="C54" t="str">
            <v>L8.ВН</v>
          </cell>
          <cell r="D54" t="str">
            <v>Прибыль от реализации услуг по передаче электрической энергии - ВН</v>
          </cell>
          <cell r="H54">
            <v>0</v>
          </cell>
          <cell r="I54">
            <v>0</v>
          </cell>
        </row>
        <row r="55">
          <cell r="C55" t="str">
            <v>L8.СН1</v>
          </cell>
          <cell r="D55" t="str">
            <v>Прибыль от реализации услуг по передаче электрической энергии - СН1</v>
          </cell>
          <cell r="H55">
            <v>0</v>
          </cell>
          <cell r="I55">
            <v>0</v>
          </cell>
        </row>
        <row r="56">
          <cell r="C56" t="str">
            <v>L8.СН2</v>
          </cell>
          <cell r="D56" t="str">
            <v>Прибыль от реализации услуг по передаче электрической энергии - СН2</v>
          </cell>
          <cell r="E56">
            <v>23657.889222096172</v>
          </cell>
          <cell r="F56">
            <v>30913.140065347634</v>
          </cell>
          <cell r="G56">
            <v>25326.716112709182</v>
          </cell>
          <cell r="H56">
            <v>12966.800805078412</v>
          </cell>
          <cell r="I56">
            <v>16143.994170980015</v>
          </cell>
        </row>
        <row r="57">
          <cell r="C57" t="str">
            <v>L8.НН</v>
          </cell>
          <cell r="D57" t="str">
            <v>Прибыль от реализации услуг по передаче электрической энергии - НН</v>
          </cell>
          <cell r="E57">
            <v>5280.1707779038215</v>
          </cell>
          <cell r="F57">
            <v>6899.4599346523601</v>
          </cell>
          <cell r="G57">
            <v>5652.6338872908127</v>
          </cell>
          <cell r="H57">
            <v>2894.0419008272102</v>
          </cell>
          <cell r="I57">
            <v>3603.1551868390002</v>
          </cell>
        </row>
      </sheetData>
      <sheetData sheetId="15">
        <row r="5"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</row>
        <row r="6">
          <cell r="B6" t="str">
            <v>Затраты, отнесенные на передачу электрической энергии (п.13 табл.П.1.18.2.)</v>
          </cell>
          <cell r="D6" t="str">
            <v>L1</v>
          </cell>
          <cell r="E6" t="str">
            <v>ТРУБ</v>
          </cell>
          <cell r="F6" t="str">
            <v>Затраты, отнесенные на передачу электрической энергии</v>
          </cell>
          <cell r="G6">
            <v>110088.28999999998</v>
          </cell>
          <cell r="H6">
            <v>123122</v>
          </cell>
          <cell r="I6">
            <v>81908.260000000009</v>
          </cell>
          <cell r="J6">
            <v>215490.8430693454</v>
          </cell>
          <cell r="K6">
            <v>428903.06705333292</v>
          </cell>
        </row>
        <row r="7">
          <cell r="B7" t="str">
            <v>ВН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 t="str">
            <v>СН</v>
          </cell>
          <cell r="G8">
            <v>84458.492592793889</v>
          </cell>
          <cell r="H8">
            <v>95369.353390574994</v>
          </cell>
          <cell r="I8">
            <v>61519.704024092134</v>
          </cell>
          <cell r="J8">
            <v>175661.91613046819</v>
          </cell>
          <cell r="K8">
            <v>350012.30722398334</v>
          </cell>
        </row>
        <row r="9">
          <cell r="B9" t="str">
            <v xml:space="preserve">    в том числе:</v>
          </cell>
        </row>
        <row r="10">
          <cell r="B10" t="str">
            <v>СН1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СН2</v>
          </cell>
          <cell r="G11">
            <v>84458.492592793889</v>
          </cell>
          <cell r="H11">
            <v>95369.353390574994</v>
          </cell>
          <cell r="I11">
            <v>61519.704024092134</v>
          </cell>
          <cell r="J11">
            <v>175661.91613046819</v>
          </cell>
          <cell r="K11">
            <v>350012.30722398334</v>
          </cell>
        </row>
        <row r="12">
          <cell r="B12" t="str">
            <v>НН</v>
          </cell>
          <cell r="G12">
            <v>25629.797407206097</v>
          </cell>
          <cell r="H12">
            <v>27752.646609425006</v>
          </cell>
          <cell r="I12">
            <v>20388.555975907868</v>
          </cell>
          <cell r="J12">
            <v>39828.926938877223</v>
          </cell>
          <cell r="K12">
            <v>78890.759829349612</v>
          </cell>
        </row>
        <row r="13">
          <cell r="B13" t="str">
            <v>Прибыль, отнесенная на передачу электрической энергии (п.8 табл.П.1.21.1-2)</v>
          </cell>
          <cell r="D13" t="str">
            <v>L2</v>
          </cell>
          <cell r="F13" t="str">
            <v>Прибыль, отнесенная на передачу электрической энергии</v>
          </cell>
          <cell r="G13">
            <v>28938.059999999994</v>
          </cell>
          <cell r="H13">
            <v>37812.599999999991</v>
          </cell>
          <cell r="I13">
            <v>30979.349999999995</v>
          </cell>
          <cell r="J13">
            <v>15860.842705905623</v>
          </cell>
          <cell r="K13">
            <v>19747.149357819017</v>
          </cell>
        </row>
        <row r="14">
          <cell r="B14" t="str">
            <v>ВН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СН</v>
          </cell>
          <cell r="G15">
            <v>23657.889222096172</v>
          </cell>
          <cell r="H15">
            <v>30913.140065347634</v>
          </cell>
          <cell r="I15">
            <v>25326.716112709182</v>
          </cell>
          <cell r="J15">
            <v>12966.800805078412</v>
          </cell>
          <cell r="K15">
            <v>16143.994170980015</v>
          </cell>
        </row>
        <row r="16">
          <cell r="B16" t="str">
            <v xml:space="preserve">    в том числе:</v>
          </cell>
        </row>
        <row r="17">
          <cell r="B17" t="str">
            <v>СН1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СН2</v>
          </cell>
          <cell r="G18">
            <v>23657.889222096172</v>
          </cell>
          <cell r="H18">
            <v>30913.140065347634</v>
          </cell>
          <cell r="I18">
            <v>25326.716112709182</v>
          </cell>
          <cell r="J18">
            <v>12966.800805078412</v>
          </cell>
          <cell r="K18">
            <v>16143.994170980015</v>
          </cell>
        </row>
        <row r="19">
          <cell r="B19" t="str">
            <v>НН</v>
          </cell>
          <cell r="G19">
            <v>5280.1707779038215</v>
          </cell>
          <cell r="H19">
            <v>6899.4599346523601</v>
          </cell>
          <cell r="I19">
            <v>5652.6338872908127</v>
          </cell>
          <cell r="J19">
            <v>2894.0419008272102</v>
          </cell>
          <cell r="K19">
            <v>3603.1551868390002</v>
          </cell>
        </row>
        <row r="20">
          <cell r="B20" t="str">
            <v>Рентабельность (п.2 / п.1 * 100%)</v>
          </cell>
          <cell r="D20" t="str">
            <v>L3</v>
          </cell>
          <cell r="E20" t="str">
            <v>ПРЦ</v>
          </cell>
          <cell r="G20">
            <v>26.286228989477443</v>
          </cell>
          <cell r="H20">
            <v>30.711489417001015</v>
          </cell>
          <cell r="I20">
            <v>37.822009648355362</v>
          </cell>
          <cell r="J20">
            <v>7.3603325691206143</v>
          </cell>
          <cell r="K20">
            <v>4.6041054202495397</v>
          </cell>
        </row>
        <row r="21">
          <cell r="B21" t="str">
            <v>Необходимая валовая выручка, отнесенная на передачу электрической энергии (п.1 + п.2)</v>
          </cell>
          <cell r="D21" t="str">
            <v>L4</v>
          </cell>
          <cell r="E21" t="str">
            <v>ТРУБ</v>
          </cell>
          <cell r="F21" t="str">
            <v>Необходимая валовая выручка, отнесенная на передачу электрической энергии</v>
          </cell>
          <cell r="G21">
            <v>139026.34999999998</v>
          </cell>
          <cell r="H21">
            <v>160934.59999999998</v>
          </cell>
          <cell r="I21">
            <v>112887.61</v>
          </cell>
          <cell r="J21">
            <v>231351.68577525101</v>
          </cell>
          <cell r="K21">
            <v>448650.21641115192</v>
          </cell>
        </row>
        <row r="22">
          <cell r="B22" t="str">
            <v>ВН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СН</v>
          </cell>
          <cell r="G23">
            <v>108116.38181489006</v>
          </cell>
          <cell r="H23">
            <v>126282.49345592262</v>
          </cell>
          <cell r="I23">
            <v>86846.420136801316</v>
          </cell>
          <cell r="J23">
            <v>188628.7169355466</v>
          </cell>
          <cell r="K23">
            <v>366156.30139496335</v>
          </cell>
        </row>
        <row r="24">
          <cell r="B24" t="str">
            <v xml:space="preserve">    в том числе:</v>
          </cell>
        </row>
        <row r="25">
          <cell r="B25" t="str">
            <v>СН1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СН2</v>
          </cell>
          <cell r="G26">
            <v>108116.38181489006</v>
          </cell>
          <cell r="H26">
            <v>126282.49345592262</v>
          </cell>
          <cell r="I26">
            <v>86846.420136801316</v>
          </cell>
          <cell r="J26">
            <v>188628.7169355466</v>
          </cell>
          <cell r="K26">
            <v>366156.30139496335</v>
          </cell>
        </row>
        <row r="27">
          <cell r="B27" t="str">
            <v>НН</v>
          </cell>
          <cell r="G27">
            <v>30909.968185109919</v>
          </cell>
          <cell r="H27">
            <v>34652.106544077367</v>
          </cell>
          <cell r="I27">
            <v>26041.189863198681</v>
          </cell>
          <cell r="J27">
            <v>42722.96883970443</v>
          </cell>
          <cell r="K27">
            <v>82493.915016188606</v>
          </cell>
        </row>
        <row r="28">
          <cell r="B28" t="str">
            <v xml:space="preserve">Среднемесячная за период суммарная заявленная (расчетная) мощность потребителей в максимум нагрузки ОЭС </v>
          </cell>
          <cell r="D28" t="str">
            <v>L0.1</v>
          </cell>
          <cell r="F28" t="str">
            <v xml:space="preserve">Среднемесячная за период суммарная заявленная (расчетная) мощность потребителей в максимум нагрузки ОЭС </v>
          </cell>
          <cell r="G28">
            <v>484.41865627528438</v>
          </cell>
          <cell r="H28">
            <v>480.08046271782865</v>
          </cell>
          <cell r="I28">
            <v>500.76999673766659</v>
          </cell>
          <cell r="J28">
            <v>504.9238831952436</v>
          </cell>
          <cell r="K28">
            <v>504.05556558249214</v>
          </cell>
        </row>
        <row r="29">
          <cell r="B29" t="str">
            <v>Суммарная по СН и НН (п.1.1.+ п.1.2.+п.1.3. табл.П1.5.)</v>
          </cell>
          <cell r="D29" t="str">
            <v>L0.2</v>
          </cell>
          <cell r="E29" t="str">
            <v>МВТ.МЕС</v>
          </cell>
          <cell r="G29">
            <v>337.93050512249374</v>
          </cell>
          <cell r="H29">
            <v>333.57057356191945</v>
          </cell>
          <cell r="I29">
            <v>352.15595404782061</v>
          </cell>
          <cell r="J29">
            <v>353.32609731600547</v>
          </cell>
          <cell r="K29">
            <v>348.67499440425684</v>
          </cell>
        </row>
        <row r="30">
          <cell r="B30" t="str">
            <v>Суммарная по СН2 и НН (п.1.2.+п.1.3. табл.П1.5.)</v>
          </cell>
          <cell r="D30" t="str">
            <v>L0.3</v>
          </cell>
          <cell r="E30" t="str">
            <v>МВТ.МЕС</v>
          </cell>
          <cell r="G30">
            <v>200.74235396970317</v>
          </cell>
          <cell r="H30">
            <v>196.16068440601026</v>
          </cell>
          <cell r="I30">
            <v>211.21191135797449</v>
          </cell>
          <cell r="J30">
            <v>207.14231143676727</v>
          </cell>
          <cell r="K30">
            <v>198.86942322602164</v>
          </cell>
        </row>
        <row r="31">
          <cell r="B31" t="str">
            <v>В сети НН (п.1.3. табл.П1.5.)</v>
          </cell>
          <cell r="D31" t="str">
            <v>L0.4</v>
          </cell>
          <cell r="E31" t="str">
            <v>МВТ.МЕС</v>
          </cell>
          <cell r="G31">
            <v>70.08</v>
          </cell>
          <cell r="H31">
            <v>66.050000000000011</v>
          </cell>
          <cell r="I31">
            <v>73.84</v>
          </cell>
          <cell r="J31">
            <v>68.674999999999997</v>
          </cell>
          <cell r="K31">
            <v>56.510000000000012</v>
          </cell>
        </row>
        <row r="32">
          <cell r="B32" t="str">
            <v>Плата за услуги на содержание электрических сетей по диапазонам напряжения в расчете на 1 МВт согласно формулам (31)-(33)</v>
          </cell>
          <cell r="D32" t="str">
            <v>L5</v>
          </cell>
          <cell r="E32" t="str">
            <v>РУБ.ТКВТЧ.МЕС</v>
          </cell>
          <cell r="F32" t="str">
            <v>Плата за услуги на содержание электрических сетей по диапазонам напряжения в расчете на 1 МВт</v>
          </cell>
        </row>
        <row r="33">
          <cell r="B33" t="str">
            <v>ВН</v>
          </cell>
          <cell r="E33" t="str">
            <v>РУБ.МВТ.МЕС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СН</v>
          </cell>
        </row>
        <row r="35">
          <cell r="B35" t="str">
            <v xml:space="preserve">    в том числе:</v>
          </cell>
        </row>
        <row r="36">
          <cell r="B36" t="str">
            <v>СН1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СН2</v>
          </cell>
          <cell r="G37">
            <v>68954.049968082327</v>
          </cell>
          <cell r="H37">
            <v>80881.452352430846</v>
          </cell>
          <cell r="I37">
            <v>52683.271321802531</v>
          </cell>
          <cell r="J37">
            <v>113521.80945469701</v>
          </cell>
          <cell r="K37">
            <v>214337.93720702239</v>
          </cell>
        </row>
        <row r="38">
          <cell r="B38" t="str">
            <v>НН</v>
          </cell>
          <cell r="G38">
            <v>115925.16921045852</v>
          </cell>
          <cell r="H38">
            <v>136614.65369488712</v>
          </cell>
          <cell r="I38">
            <v>87981.447627352973</v>
          </cell>
          <cell r="J38">
            <v>183977.40949305077</v>
          </cell>
          <cell r="K38">
            <v>377026.05920403061</v>
          </cell>
        </row>
        <row r="39">
          <cell r="B39" t="str">
            <v>Плата за услуги на содержание электрических сетей по диапазонам напряжения в расчете на 1 МВтч согласно формулам (34)-(36)</v>
          </cell>
          <cell r="D39" t="str">
            <v>L6</v>
          </cell>
          <cell r="E39" t="str">
            <v>РУБ.ТКВТЧ.МЕС</v>
          </cell>
          <cell r="F39" t="str">
            <v>Плата за услуги на содержание электрических сетей по диапазонам напряжения в расчете на 1 МВтч</v>
          </cell>
        </row>
        <row r="40">
          <cell r="B40" t="str">
            <v>ВН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СН</v>
          </cell>
        </row>
        <row r="42">
          <cell r="B42" t="str">
            <v xml:space="preserve">    в том числе:</v>
          </cell>
        </row>
        <row r="43">
          <cell r="B43" t="str">
            <v>СН1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</row>
        <row r="44">
          <cell r="B44" t="str">
            <v>СН2</v>
          </cell>
          <cell r="G44">
            <v>123.44106894731884</v>
          </cell>
          <cell r="H44">
            <v>162.48723335493241</v>
          </cell>
          <cell r="I44">
            <v>98.186903036923255</v>
          </cell>
          <cell r="J44">
            <v>209.81751887909448</v>
          </cell>
          <cell r="K44">
            <v>398.74065326185882</v>
          </cell>
        </row>
        <row r="45">
          <cell r="B45" t="str">
            <v>НН</v>
          </cell>
          <cell r="G45">
            <v>227.96312474974206</v>
          </cell>
          <cell r="H45">
            <v>253.89890665405363</v>
          </cell>
          <cell r="I45">
            <v>182.11222461606459</v>
          </cell>
          <cell r="J45">
            <v>340.99851596346366</v>
          </cell>
          <cell r="K45">
            <v>701.34473561941525</v>
          </cell>
        </row>
      </sheetData>
      <sheetData sheetId="16">
        <row r="5">
          <cell r="G5">
            <v>4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</row>
        <row r="6">
          <cell r="D6" t="str">
            <v>L1</v>
          </cell>
          <cell r="E6" t="str">
            <v>РУБ.МВТЧ</v>
          </cell>
          <cell r="F6" t="str">
            <v xml:space="preserve">Ставка за электроэнергию тарифа покупки </v>
          </cell>
          <cell r="G6">
            <v>1053.8400000000001</v>
          </cell>
          <cell r="H6">
            <v>1053.8400000000001</v>
          </cell>
          <cell r="I6">
            <v>1208.1200000000001</v>
          </cell>
          <cell r="J6">
            <v>1208.1200000000001</v>
          </cell>
          <cell r="K6">
            <v>1299.5609999999999</v>
          </cell>
        </row>
        <row r="7">
          <cell r="D7" t="str">
            <v>L1.1</v>
          </cell>
          <cell r="F7" t="str">
            <v>Ставка за электроэнергию тарифа покупки. Группа 1</v>
          </cell>
        </row>
        <row r="8">
          <cell r="D8" t="str">
            <v>L1.2</v>
          </cell>
          <cell r="F8" t="str">
            <v>Ставка за электроэнергию тарифа покупки. Группы 2-4</v>
          </cell>
        </row>
        <row r="9">
          <cell r="D9" t="str">
            <v>L2</v>
          </cell>
          <cell r="E9" t="str">
            <v>МКВТЧ</v>
          </cell>
          <cell r="F9" t="str">
            <v>Отпуск электрической энергии в сеть с учетом величины сальдо-перетока электроэнергии</v>
          </cell>
        </row>
        <row r="10">
          <cell r="B10" t="str">
            <v>ВН</v>
          </cell>
          <cell r="G10">
            <v>921.1</v>
          </cell>
          <cell r="H10">
            <v>899.5856</v>
          </cell>
          <cell r="I10">
            <v>901.4</v>
          </cell>
          <cell r="J10">
            <v>982.74400000000014</v>
          </cell>
          <cell r="K10">
            <v>1002.5</v>
          </cell>
        </row>
        <row r="11">
          <cell r="B11" t="str">
            <v>СН</v>
          </cell>
          <cell r="G11">
            <v>1742.65</v>
          </cell>
          <cell r="H11">
            <v>1716.3488000000002</v>
          </cell>
          <cell r="I11">
            <v>1710.84</v>
          </cell>
          <cell r="J11">
            <v>1895.1890000000003</v>
          </cell>
          <cell r="K11">
            <v>1933.075</v>
          </cell>
        </row>
        <row r="12">
          <cell r="B12" t="str">
            <v>в том числе</v>
          </cell>
        </row>
        <row r="13">
          <cell r="B13" t="str">
            <v>СН1</v>
          </cell>
          <cell r="G13">
            <v>871.4</v>
          </cell>
          <cell r="H13">
            <v>858.17440000000011</v>
          </cell>
          <cell r="I13">
            <v>855.42</v>
          </cell>
          <cell r="J13">
            <v>947.59500000000014</v>
          </cell>
          <cell r="K13">
            <v>966.53800000000001</v>
          </cell>
        </row>
        <row r="14">
          <cell r="B14" t="str">
            <v>СН2</v>
          </cell>
          <cell r="G14">
            <v>871.25</v>
          </cell>
          <cell r="H14">
            <v>858.17440000000011</v>
          </cell>
          <cell r="I14">
            <v>855.42</v>
          </cell>
          <cell r="J14">
            <v>947.59400000000016</v>
          </cell>
          <cell r="K14">
            <v>966.53700000000003</v>
          </cell>
        </row>
        <row r="15">
          <cell r="B15" t="str">
            <v>НН</v>
          </cell>
          <cell r="G15">
            <v>491.00635951974255</v>
          </cell>
          <cell r="H15">
            <v>490.52540000000016</v>
          </cell>
          <cell r="I15">
            <v>476.67999999999995</v>
          </cell>
          <cell r="J15">
            <v>517.20900000000006</v>
          </cell>
          <cell r="K15">
            <v>434.26902109198323</v>
          </cell>
        </row>
        <row r="16">
          <cell r="B16" t="str">
            <v xml:space="preserve">Потери электрической энергии </v>
          </cell>
          <cell r="D16" t="str">
            <v>L3</v>
          </cell>
          <cell r="E16" t="str">
            <v>ПРЦ</v>
          </cell>
          <cell r="F16" t="str">
            <v xml:space="preserve">Потери электрической энергии </v>
          </cell>
        </row>
        <row r="17">
          <cell r="B17" t="str">
            <v>ВН</v>
          </cell>
          <cell r="G17">
            <v>0</v>
          </cell>
          <cell r="H17">
            <v>0.20009213131023884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СН</v>
          </cell>
        </row>
        <row r="19">
          <cell r="B19" t="str">
            <v>в том числе</v>
          </cell>
        </row>
        <row r="20">
          <cell r="B20" t="str">
            <v>СН1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СН2</v>
          </cell>
          <cell r="G21">
            <v>5.0207908729133335</v>
          </cell>
          <cell r="H21">
            <v>5.0805523912155834</v>
          </cell>
          <cell r="I21">
            <v>2.6887376961024994</v>
          </cell>
          <cell r="J21">
            <v>5.3145123333410709</v>
          </cell>
          <cell r="K21">
            <v>4.9962886995548859</v>
          </cell>
        </row>
        <row r="22">
          <cell r="B22" t="str">
            <v>НН</v>
          </cell>
          <cell r="G22">
            <v>12.496041717210291</v>
          </cell>
          <cell r="H22">
            <v>12.782212704989382</v>
          </cell>
          <cell r="I22">
            <v>9.9508708428770039</v>
          </cell>
          <cell r="J22">
            <v>13.844499999033269</v>
          </cell>
          <cell r="K22">
            <v>15.811402093413282</v>
          </cell>
        </row>
        <row r="23">
          <cell r="B23" t="str">
            <v>Полезный отпуск электрической энергии</v>
          </cell>
          <cell r="D23" t="str">
            <v>L4</v>
          </cell>
          <cell r="E23" t="str">
            <v>МКВТЧ</v>
          </cell>
          <cell r="F23" t="str">
            <v>Полезный отпуск электрической энергии</v>
          </cell>
        </row>
        <row r="24">
          <cell r="B24" t="str">
            <v>ВН</v>
          </cell>
          <cell r="G24">
            <v>49.7</v>
          </cell>
          <cell r="H24">
            <v>39.611199999999997</v>
          </cell>
          <cell r="I24">
            <v>45.98</v>
          </cell>
          <cell r="J24">
            <v>35.149000000000001</v>
          </cell>
          <cell r="K24">
            <v>35.962000000000003</v>
          </cell>
        </row>
        <row r="25">
          <cell r="B25" t="str">
            <v>СН</v>
          </cell>
          <cell r="G25">
            <v>336.65</v>
          </cell>
          <cell r="H25">
            <v>324.04899999999992</v>
          </cell>
          <cell r="I25">
            <v>355.74</v>
          </cell>
          <cell r="J25">
            <v>380.02600000000007</v>
          </cell>
          <cell r="K25">
            <v>483.97800000000001</v>
          </cell>
        </row>
        <row r="26">
          <cell r="B26" t="str">
            <v>в том числе</v>
          </cell>
        </row>
        <row r="27">
          <cell r="B27" t="str">
            <v>СН1</v>
          </cell>
          <cell r="G27">
            <v>0.15</v>
          </cell>
          <cell r="H27">
            <v>0</v>
          </cell>
          <cell r="I27">
            <v>0</v>
          </cell>
          <cell r="J27">
            <v>1E-3</v>
          </cell>
          <cell r="K27">
            <v>1E-3</v>
          </cell>
        </row>
        <row r="28">
          <cell r="B28" t="str">
            <v>СН2</v>
          </cell>
          <cell r="G28">
            <v>336.5</v>
          </cell>
          <cell r="H28">
            <v>324.04899999999992</v>
          </cell>
          <cell r="I28">
            <v>355.74</v>
          </cell>
          <cell r="J28">
            <v>380.02500000000009</v>
          </cell>
          <cell r="K28">
            <v>483.97700000000003</v>
          </cell>
        </row>
        <row r="29">
          <cell r="B29" t="str">
            <v>НН</v>
          </cell>
          <cell r="G29">
            <v>427.65</v>
          </cell>
          <cell r="H29">
            <v>426.47199999999998</v>
          </cell>
          <cell r="I29">
            <v>428.08</v>
          </cell>
          <cell r="J29">
            <v>444.62300000000005</v>
          </cell>
          <cell r="K29">
            <v>364.54100000000005</v>
          </cell>
        </row>
        <row r="30">
          <cell r="B30" t="str">
            <v>Расходы на компенсацию потерь</v>
          </cell>
          <cell r="D30" t="str">
            <v>L5</v>
          </cell>
          <cell r="E30" t="str">
            <v>ТРУБ</v>
          </cell>
          <cell r="F30" t="str">
            <v>Расходы на компенсацию потерь</v>
          </cell>
        </row>
        <row r="31">
          <cell r="B31" t="str">
            <v>ВН</v>
          </cell>
          <cell r="G31">
            <v>0</v>
          </cell>
          <cell r="H31">
            <v>1896.9120000000005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СН</v>
          </cell>
        </row>
        <row r="33">
          <cell r="B33" t="str">
            <v>в том числе</v>
          </cell>
        </row>
        <row r="34">
          <cell r="B34" t="str">
            <v>СН1</v>
          </cell>
          <cell r="G34">
            <v>0</v>
          </cell>
          <cell r="H34">
            <v>1813.2183423890965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СН2</v>
          </cell>
          <cell r="G35">
            <v>46098.798083714479</v>
          </cell>
          <cell r="H35">
            <v>47760.642342389088</v>
          </cell>
          <cell r="I35">
            <v>27786.76</v>
          </cell>
          <cell r="J35">
            <v>60840.923200000005</v>
          </cell>
          <cell r="K35">
            <v>62757.072840681227</v>
          </cell>
        </row>
        <row r="36">
          <cell r="B36" t="str">
            <v>НН</v>
          </cell>
          <cell r="G36">
            <v>92012.811986631161</v>
          </cell>
          <cell r="H36">
            <v>94836.56405405885</v>
          </cell>
          <cell r="I36">
            <v>73217.646669353533</v>
          </cell>
          <cell r="J36">
            <v>121579.0783995894</v>
          </cell>
          <cell r="K36">
            <v>118912.98664530038</v>
          </cell>
        </row>
        <row r="37">
          <cell r="B37" t="str">
            <v>Ставка на оплату технологического расхода (потерь ) электрической энергии на ее передачу по сетям</v>
          </cell>
          <cell r="D37" t="str">
            <v>L6</v>
          </cell>
          <cell r="E37" t="str">
            <v>РУБ.МВТЧ</v>
          </cell>
          <cell r="F37" t="str">
            <v>Ставка на оплату технологического расхода (потерь ) электрической энергии на ее передачу по сетям</v>
          </cell>
        </row>
        <row r="38">
          <cell r="B38" t="str">
            <v>ВН</v>
          </cell>
          <cell r="G38">
            <v>0</v>
          </cell>
          <cell r="H38">
            <v>2.1128786204635053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СН</v>
          </cell>
        </row>
        <row r="40">
          <cell r="B40" t="str">
            <v>в том числе</v>
          </cell>
        </row>
        <row r="41">
          <cell r="B41" t="str">
            <v>СН1</v>
          </cell>
          <cell r="G41">
            <v>0</v>
          </cell>
          <cell r="H41">
            <v>2.1128786204635053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СН2</v>
          </cell>
          <cell r="G42">
            <v>55.708089192775148</v>
          </cell>
          <cell r="H42">
            <v>58.632633608899425</v>
          </cell>
          <cell r="I42">
            <v>33.380697244179622</v>
          </cell>
          <cell r="J42">
            <v>67.809426749320679</v>
          </cell>
          <cell r="K42">
            <v>68.344508333453135</v>
          </cell>
        </row>
        <row r="43">
          <cell r="B43" t="str">
            <v>НН</v>
          </cell>
          <cell r="G43">
            <v>214.15759801380466</v>
          </cell>
          <cell r="H43">
            <v>221.67118654960368</v>
          </cell>
          <cell r="I43">
            <v>170.57261909011524</v>
          </cell>
          <cell r="J43">
            <v>272.84108401089168</v>
          </cell>
          <cell r="K43">
            <v>325.24989167352845</v>
          </cell>
        </row>
      </sheetData>
      <sheetData sheetId="17">
        <row r="4">
          <cell r="D4" t="str">
            <v>Базовые потребители</v>
          </cell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J4" t="str">
            <v>Население</v>
          </cell>
          <cell r="AP4" t="str">
            <v>Прочие потребители</v>
          </cell>
          <cell r="AV4" t="str">
            <v>в том числе бюджетные потребители</v>
          </cell>
          <cell r="BB4" t="str">
            <v>Итого для собственных потребителей</v>
          </cell>
          <cell r="BH4" t="str">
            <v>Потребители по прямым договорам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J6" t="str">
            <v>Всего</v>
          </cell>
          <cell r="AK6" t="str">
            <v>с шин</v>
          </cell>
          <cell r="AL6" t="str">
            <v>ВН</v>
          </cell>
          <cell r="AM6" t="str">
            <v>СН1</v>
          </cell>
          <cell r="AN6" t="str">
            <v>СН2</v>
          </cell>
          <cell r="AO6" t="str">
            <v>НН</v>
          </cell>
          <cell r="AP6" t="str">
            <v>Всего</v>
          </cell>
          <cell r="AQ6" t="str">
            <v>с шин</v>
          </cell>
          <cell r="AR6" t="str">
            <v>ВН</v>
          </cell>
          <cell r="AS6" t="str">
            <v>СН1</v>
          </cell>
          <cell r="AT6" t="str">
            <v>СН2</v>
          </cell>
          <cell r="AU6" t="str">
            <v>НН</v>
          </cell>
          <cell r="AV6" t="str">
            <v>Всего</v>
          </cell>
          <cell r="AW6" t="str">
            <v>с шин</v>
          </cell>
          <cell r="AX6" t="str">
            <v>ВН</v>
          </cell>
          <cell r="AY6" t="str">
            <v>СН1</v>
          </cell>
          <cell r="AZ6" t="str">
            <v>СН2</v>
          </cell>
          <cell r="BA6" t="str">
            <v>НН</v>
          </cell>
          <cell r="BB6" t="str">
            <v>Всего</v>
          </cell>
          <cell r="BC6" t="str">
            <v>с шин</v>
          </cell>
          <cell r="BD6" t="str">
            <v>ВН</v>
          </cell>
          <cell r="BE6" t="str">
            <v>СН1</v>
          </cell>
          <cell r="BF6" t="str">
            <v>СН2</v>
          </cell>
          <cell r="BG6" t="str">
            <v>НН</v>
          </cell>
          <cell r="BH6" t="str">
            <v>Всего</v>
          </cell>
          <cell r="BI6" t="str">
            <v>с шин</v>
          </cell>
          <cell r="BJ6" t="str">
            <v>ВН</v>
          </cell>
          <cell r="BK6" t="str">
            <v>СН1</v>
          </cell>
          <cell r="BL6" t="str">
            <v>СН2</v>
          </cell>
          <cell r="BM6" t="str">
            <v>НН</v>
          </cell>
        </row>
        <row r="8">
          <cell r="A8" t="str">
            <v>1.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Добавить столбцы</v>
          </cell>
          <cell r="AJ8">
            <v>282.38900000000001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282.38900000000001</v>
          </cell>
          <cell r="AP8">
            <v>602.0920000000001</v>
          </cell>
          <cell r="AQ8">
            <v>0</v>
          </cell>
          <cell r="AR8">
            <v>35.962000000000003</v>
          </cell>
          <cell r="AS8">
            <v>1E-3</v>
          </cell>
          <cell r="AT8">
            <v>483.97700000000003</v>
          </cell>
          <cell r="AU8">
            <v>82.152000000000044</v>
          </cell>
          <cell r="AV8">
            <v>77.59</v>
          </cell>
          <cell r="AW8">
            <v>0</v>
          </cell>
          <cell r="AX8">
            <v>0</v>
          </cell>
          <cell r="AY8">
            <v>0</v>
          </cell>
          <cell r="AZ8">
            <v>66.171999999999997</v>
          </cell>
          <cell r="BA8">
            <v>11.417999999999999</v>
          </cell>
          <cell r="BB8">
            <v>884.48100000000011</v>
          </cell>
          <cell r="BC8">
            <v>0</v>
          </cell>
          <cell r="BD8">
            <v>35.962000000000003</v>
          </cell>
          <cell r="BE8">
            <v>1E-3</v>
          </cell>
          <cell r="BF8">
            <v>483.97700000000003</v>
          </cell>
          <cell r="BG8">
            <v>364.54100000000005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 t="str">
            <v>2.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J9">
            <v>43.769999999999996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43.769999999999996</v>
          </cell>
          <cell r="AP9">
            <v>93.345000000000013</v>
          </cell>
          <cell r="AQ9">
            <v>0</v>
          </cell>
          <cell r="AR9">
            <v>5.5750000000000002</v>
          </cell>
          <cell r="AS9">
            <v>0</v>
          </cell>
          <cell r="AT9">
            <v>75.03</v>
          </cell>
          <cell r="AU9">
            <v>12.740000000000009</v>
          </cell>
          <cell r="AV9">
            <v>13.603</v>
          </cell>
          <cell r="AW9">
            <v>0</v>
          </cell>
          <cell r="AX9">
            <v>0</v>
          </cell>
          <cell r="AY9">
            <v>0</v>
          </cell>
          <cell r="AZ9">
            <v>11.84</v>
          </cell>
          <cell r="BA9">
            <v>1.7629999999999999</v>
          </cell>
          <cell r="BB9">
            <v>137.11500000000001</v>
          </cell>
          <cell r="BC9">
            <v>0</v>
          </cell>
          <cell r="BD9">
            <v>5.5750000000000002</v>
          </cell>
          <cell r="BE9">
            <v>0</v>
          </cell>
          <cell r="BF9">
            <v>75.03</v>
          </cell>
          <cell r="BG9">
            <v>56.510000000000005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1">
          <cell r="A11" t="str">
            <v>3.</v>
          </cell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</row>
        <row r="12">
          <cell r="A12" t="str">
            <v>3.1.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A13" t="str">
            <v>3.2.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5">
          <cell r="A15" t="str">
            <v>4.</v>
          </cell>
          <cell r="D15" t="e">
            <v>#NAME?</v>
          </cell>
          <cell r="F15">
            <v>0</v>
          </cell>
          <cell r="G15" t="e">
            <v>#DIV/0!</v>
          </cell>
          <cell r="H15">
            <v>467.08516159531194</v>
          </cell>
          <cell r="I15">
            <v>1026.5946272929436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J15" t="e">
            <v>#NAME?</v>
          </cell>
          <cell r="AK15">
            <v>0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P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V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B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H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</row>
        <row r="16">
          <cell r="A16" t="str">
            <v>4.1.</v>
          </cell>
          <cell r="F16">
            <v>0</v>
          </cell>
          <cell r="G16" t="e">
            <v>#DIV/0!</v>
          </cell>
          <cell r="H16">
            <v>467.08516159531194</v>
          </cell>
          <cell r="I16">
            <v>1026.5946272929436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O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U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A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G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M16" t="e">
            <v>#NAME?</v>
          </cell>
        </row>
        <row r="17">
          <cell r="A17" t="str">
            <v>4.1.1.</v>
          </cell>
          <cell r="F17">
            <v>0</v>
          </cell>
          <cell r="G17" t="e">
            <v>#DIV/0!</v>
          </cell>
          <cell r="H17">
            <v>398.74065326185882</v>
          </cell>
          <cell r="I17">
            <v>701.34473561941525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O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U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A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G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M17" t="e">
            <v>#NAME?</v>
          </cell>
        </row>
        <row r="18">
          <cell r="A18" t="str">
            <v>4.1.1.1.</v>
          </cell>
          <cell r="F18">
            <v>0</v>
          </cell>
          <cell r="G18">
            <v>0</v>
          </cell>
          <cell r="H18">
            <v>2572.0552464842685</v>
          </cell>
          <cell r="I18">
            <v>4524.3127104483674</v>
          </cell>
          <cell r="M18">
            <v>0</v>
          </cell>
          <cell r="N18">
            <v>0</v>
          </cell>
          <cell r="O18">
            <v>2572.0552464842685</v>
          </cell>
          <cell r="P18">
            <v>4524.3127104483674</v>
          </cell>
          <cell r="S18">
            <v>0</v>
          </cell>
          <cell r="T18">
            <v>0</v>
          </cell>
          <cell r="U18">
            <v>2572.0552464842685</v>
          </cell>
          <cell r="V18">
            <v>4524.3127104483674</v>
          </cell>
          <cell r="Y18">
            <v>0</v>
          </cell>
          <cell r="Z18">
            <v>0</v>
          </cell>
          <cell r="AA18">
            <v>2572.0552464842685</v>
          </cell>
          <cell r="AB18">
            <v>4524.3127104483674</v>
          </cell>
          <cell r="AE18">
            <v>0</v>
          </cell>
          <cell r="AF18">
            <v>0</v>
          </cell>
          <cell r="AG18">
            <v>2572.0552464842685</v>
          </cell>
          <cell r="AH18">
            <v>4524.3127104483674</v>
          </cell>
          <cell r="AL18">
            <v>0</v>
          </cell>
          <cell r="AM18">
            <v>0</v>
          </cell>
          <cell r="AN18">
            <v>2572.0552464842685</v>
          </cell>
          <cell r="AO18">
            <v>4524.3127104483674</v>
          </cell>
          <cell r="AR18">
            <v>0</v>
          </cell>
          <cell r="AS18">
            <v>0</v>
          </cell>
          <cell r="AT18">
            <v>2572.0552464842685</v>
          </cell>
          <cell r="AU18">
            <v>4524.3127104483674</v>
          </cell>
          <cell r="AX18">
            <v>0</v>
          </cell>
          <cell r="AY18">
            <v>0</v>
          </cell>
          <cell r="AZ18">
            <v>2572.0552464842685</v>
          </cell>
          <cell r="BA18">
            <v>4524.3127104483674</v>
          </cell>
          <cell r="BD18">
            <v>0</v>
          </cell>
          <cell r="BE18">
            <v>0</v>
          </cell>
          <cell r="BF18">
            <v>2572.0552464842685</v>
          </cell>
          <cell r="BG18">
            <v>4524.3127104483674</v>
          </cell>
          <cell r="BJ18">
            <v>0</v>
          </cell>
          <cell r="BK18">
            <v>0</v>
          </cell>
          <cell r="BL18">
            <v>2572.0552464842685</v>
          </cell>
          <cell r="BM18">
            <v>4524.3127104483674</v>
          </cell>
        </row>
        <row r="19">
          <cell r="A19" t="str">
            <v>4.1.2.</v>
          </cell>
          <cell r="F19">
            <v>0</v>
          </cell>
          <cell r="G19">
            <v>0</v>
          </cell>
          <cell r="H19">
            <v>68.344508333453135</v>
          </cell>
          <cell r="I19">
            <v>325.24989167352845</v>
          </cell>
          <cell r="M19">
            <v>0</v>
          </cell>
          <cell r="N19">
            <v>0</v>
          </cell>
          <cell r="O19">
            <v>68.344508333453135</v>
          </cell>
          <cell r="P19">
            <v>325.24989167352845</v>
          </cell>
          <cell r="S19">
            <v>0</v>
          </cell>
          <cell r="T19">
            <v>0</v>
          </cell>
          <cell r="U19">
            <v>68.344508333453135</v>
          </cell>
          <cell r="V19">
            <v>325.24989167352845</v>
          </cell>
          <cell r="Y19">
            <v>0</v>
          </cell>
          <cell r="Z19">
            <v>0</v>
          </cell>
          <cell r="AA19">
            <v>68.344508333453135</v>
          </cell>
          <cell r="AB19">
            <v>325.24989167352845</v>
          </cell>
          <cell r="AE19">
            <v>0</v>
          </cell>
          <cell r="AF19">
            <v>0</v>
          </cell>
          <cell r="AG19">
            <v>68.344508333453135</v>
          </cell>
          <cell r="AH19">
            <v>325.24989167352845</v>
          </cell>
          <cell r="AL19">
            <v>0</v>
          </cell>
          <cell r="AM19">
            <v>0</v>
          </cell>
          <cell r="AN19">
            <v>68.344508333453135</v>
          </cell>
          <cell r="AO19">
            <v>325.24989167352845</v>
          </cell>
          <cell r="AR19">
            <v>0</v>
          </cell>
          <cell r="AS19">
            <v>0</v>
          </cell>
          <cell r="AT19">
            <v>68.344508333453135</v>
          </cell>
          <cell r="AU19">
            <v>325.24989167352845</v>
          </cell>
          <cell r="AX19">
            <v>0</v>
          </cell>
          <cell r="AY19">
            <v>0</v>
          </cell>
          <cell r="AZ19">
            <v>68.344508333453135</v>
          </cell>
          <cell r="BA19">
            <v>325.24989167352845</v>
          </cell>
          <cell r="BD19">
            <v>0</v>
          </cell>
          <cell r="BE19">
            <v>0</v>
          </cell>
          <cell r="BF19">
            <v>68.344508333453135</v>
          </cell>
          <cell r="BG19">
            <v>325.24989167352845</v>
          </cell>
          <cell r="BJ19">
            <v>0</v>
          </cell>
          <cell r="BK19">
            <v>0</v>
          </cell>
          <cell r="BL19">
            <v>68.344508333453135</v>
          </cell>
          <cell r="BM19">
            <v>325.24989167352845</v>
          </cell>
        </row>
        <row r="21">
          <cell r="A21" t="str">
            <v>4.2.</v>
          </cell>
        </row>
        <row r="22">
          <cell r="A22" t="str">
            <v>4.3</v>
          </cell>
        </row>
        <row r="24">
          <cell r="A24" t="str">
            <v>5.</v>
          </cell>
          <cell r="D24" t="e">
            <v>#NAME?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e">
            <v>#NAME?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e">
            <v>#NAME?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#NAME?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 t="e">
            <v>#NAME?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 t="e">
            <v>#NAME?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 t="e">
            <v>#NAME?</v>
          </cell>
          <cell r="AP24" t="e">
            <v>#NAME?</v>
          </cell>
          <cell r="AQ24">
            <v>0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>
            <v>0</v>
          </cell>
          <cell r="AX24">
            <v>0</v>
          </cell>
          <cell r="AY24">
            <v>0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 t="str">
            <v>5.1.</v>
          </cell>
          <cell r="D25" t="e">
            <v>#NAME?</v>
          </cell>
          <cell r="E25">
            <v>0</v>
          </cell>
          <cell r="F25">
            <v>0</v>
          </cell>
          <cell r="G25">
            <v>0</v>
          </cell>
          <cell r="H25">
            <v>2572.0552464842685</v>
          </cell>
          <cell r="I25">
            <v>4524.3127104483674</v>
          </cell>
          <cell r="K25" t="e">
            <v>#NAME?</v>
          </cell>
          <cell r="L25">
            <v>0</v>
          </cell>
          <cell r="M25">
            <v>0</v>
          </cell>
          <cell r="N25">
            <v>0</v>
          </cell>
          <cell r="O25">
            <v>2572.0552464842685</v>
          </cell>
          <cell r="P25">
            <v>4524.3127104483674</v>
          </cell>
          <cell r="Q25" t="e">
            <v>#NAME?</v>
          </cell>
          <cell r="R25">
            <v>0</v>
          </cell>
          <cell r="S25">
            <v>0</v>
          </cell>
          <cell r="T25">
            <v>0</v>
          </cell>
          <cell r="U25">
            <v>2572.0552464842685</v>
          </cell>
          <cell r="V25">
            <v>4524.3127104483674</v>
          </cell>
          <cell r="W25" t="e">
            <v>#NAME?</v>
          </cell>
          <cell r="X25">
            <v>0</v>
          </cell>
          <cell r="Y25">
            <v>0</v>
          </cell>
          <cell r="Z25">
            <v>0</v>
          </cell>
          <cell r="AA25">
            <v>2572.0552464842685</v>
          </cell>
          <cell r="AB25">
            <v>4524.3127104483674</v>
          </cell>
          <cell r="AC25" t="e">
            <v>#NAME?</v>
          </cell>
          <cell r="AD25">
            <v>0</v>
          </cell>
          <cell r="AE25">
            <v>0</v>
          </cell>
          <cell r="AF25">
            <v>0</v>
          </cell>
          <cell r="AG25">
            <v>2572.0552464842685</v>
          </cell>
          <cell r="AH25">
            <v>4524.3127104483674</v>
          </cell>
          <cell r="AJ25" t="e">
            <v>#NAME?</v>
          </cell>
          <cell r="AK25">
            <v>0</v>
          </cell>
          <cell r="AL25">
            <v>0</v>
          </cell>
          <cell r="AM25">
            <v>0</v>
          </cell>
          <cell r="AN25">
            <v>2572.0552464842685</v>
          </cell>
          <cell r="AO25">
            <v>4524.3127104483674</v>
          </cell>
          <cell r="AP25" t="e">
            <v>#NAME?</v>
          </cell>
          <cell r="AQ25">
            <v>0</v>
          </cell>
          <cell r="AR25">
            <v>0</v>
          </cell>
          <cell r="AS25">
            <v>0</v>
          </cell>
          <cell r="AT25">
            <v>2572.0552464842685</v>
          </cell>
          <cell r="AU25">
            <v>4524.3127104483674</v>
          </cell>
          <cell r="AV25" t="e">
            <v>#NAME?</v>
          </cell>
          <cell r="AW25">
            <v>0</v>
          </cell>
          <cell r="AX25">
            <v>0</v>
          </cell>
          <cell r="AY25">
            <v>0</v>
          </cell>
          <cell r="AZ25">
            <v>2572.0552464842685</v>
          </cell>
          <cell r="BA25">
            <v>4524.3127104483674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J25">
            <v>0</v>
          </cell>
          <cell r="BK25">
            <v>0</v>
          </cell>
          <cell r="BL25">
            <v>2572.0552464842685</v>
          </cell>
          <cell r="BM25">
            <v>4524.3127104483674</v>
          </cell>
        </row>
        <row r="26">
          <cell r="A26" t="str">
            <v>5.2.</v>
          </cell>
          <cell r="D26" t="e">
            <v>#NAME?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e">
            <v>#NAME?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e">
            <v>#NAME?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#NAME?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 t="e">
            <v>#NAME?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 t="e">
            <v>#NAME?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325.24989167352845</v>
          </cell>
          <cell r="AP26" t="e">
            <v>#NAME?</v>
          </cell>
          <cell r="AQ26">
            <v>0</v>
          </cell>
          <cell r="AR26">
            <v>0</v>
          </cell>
          <cell r="AS26">
            <v>0</v>
          </cell>
          <cell r="AT26">
            <v>68.344508333453135</v>
          </cell>
          <cell r="AU26">
            <v>325.24989167352845</v>
          </cell>
          <cell r="AV26" t="e">
            <v>#NAME?</v>
          </cell>
          <cell r="AW26">
            <v>0</v>
          </cell>
          <cell r="AX26">
            <v>0</v>
          </cell>
          <cell r="AY26">
            <v>0</v>
          </cell>
          <cell r="AZ26">
            <v>68.344508333453135</v>
          </cell>
          <cell r="BA26">
            <v>325.24989167352845</v>
          </cell>
          <cell r="BB26" t="e">
            <v>#NAME?</v>
          </cell>
          <cell r="BC26" t="e">
            <v>#NAME?</v>
          </cell>
          <cell r="BD26" t="e">
            <v>#NAME?</v>
          </cell>
          <cell r="BE26" t="e">
            <v>#NAME?</v>
          </cell>
          <cell r="BF26" t="e">
            <v>#NAME?</v>
          </cell>
          <cell r="BG26" t="e">
            <v>#NAME?</v>
          </cell>
          <cell r="BH26" t="e">
            <v>#NAME?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8">
          <cell r="A28" t="str">
            <v>6.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 t="e">
            <v>#NAME?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 t="e">
            <v>#NAME?</v>
          </cell>
          <cell r="AP28" t="e">
            <v>#NAME?</v>
          </cell>
          <cell r="AQ28">
            <v>0</v>
          </cell>
          <cell r="AR28" t="e">
            <v>#NAME?</v>
          </cell>
          <cell r="AS28" t="e">
            <v>#NAME?</v>
          </cell>
          <cell r="AT28" t="e">
            <v>#NAME?</v>
          </cell>
          <cell r="AU28" t="e">
            <v>#NAME?</v>
          </cell>
          <cell r="AV28" t="e">
            <v>#NAME?</v>
          </cell>
          <cell r="AW28">
            <v>0</v>
          </cell>
          <cell r="AX28">
            <v>0</v>
          </cell>
          <cell r="AY28">
            <v>0</v>
          </cell>
          <cell r="AZ28" t="e">
            <v>#NAME?</v>
          </cell>
          <cell r="BA28" t="e">
            <v>#NAME?</v>
          </cell>
          <cell r="BB28" t="e">
            <v>#NAME?</v>
          </cell>
          <cell r="BC28">
            <v>0</v>
          </cell>
          <cell r="BD28" t="e">
            <v>#NAME?</v>
          </cell>
          <cell r="BE28" t="e">
            <v>#NAME?</v>
          </cell>
          <cell r="BF28" t="e">
            <v>#NAME?</v>
          </cell>
          <cell r="BG28" t="e">
            <v>#NAME?</v>
          </cell>
          <cell r="BH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30">
          <cell r="A30" t="str">
            <v>6.1.</v>
          </cell>
          <cell r="D30" t="e">
            <v>#NAME?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 t="str">
            <v>6.2.</v>
          </cell>
          <cell r="D31" t="e">
            <v>#DIV/0!</v>
          </cell>
          <cell r="E31">
            <v>0</v>
          </cell>
          <cell r="F31">
            <v>0</v>
          </cell>
          <cell r="G31" t="e">
            <v>#DIV/0!</v>
          </cell>
          <cell r="H31">
            <v>0</v>
          </cell>
          <cell r="I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>
            <v>0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>
            <v>0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>
            <v>0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J31" t="e">
            <v>#NAME?</v>
          </cell>
          <cell r="AK31">
            <v>0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>
            <v>0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>
            <v>0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#DIV/0!</v>
          </cell>
          <cell r="BC31">
            <v>0</v>
          </cell>
          <cell r="BD31" t="e">
            <v>#NAME?</v>
          </cell>
          <cell r="BE31" t="e">
            <v>#DIV/0!</v>
          </cell>
          <cell r="BF31" t="e">
            <v>#NAME?</v>
          </cell>
          <cell r="BG31" t="e">
            <v>#NAME?</v>
          </cell>
          <cell r="BH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</row>
        <row r="32">
          <cell r="A32" t="str">
            <v>6.2.1.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91846.991659796025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91846.991659796025</v>
          </cell>
          <cell r="AP32">
            <v>59797.09921046337</v>
          </cell>
          <cell r="AQ32">
            <v>0</v>
          </cell>
          <cell r="AR32">
            <v>0</v>
          </cell>
          <cell r="AS32">
            <v>0</v>
          </cell>
          <cell r="AT32">
            <v>33077.170109699648</v>
          </cell>
          <cell r="AU32">
            <v>26719.929100763722</v>
          </cell>
          <cell r="AV32">
            <v>8236.1960685696085</v>
          </cell>
          <cell r="AW32">
            <v>0</v>
          </cell>
          <cell r="AX32">
            <v>0</v>
          </cell>
          <cell r="AY32">
            <v>0</v>
          </cell>
          <cell r="AZ32">
            <v>4522.4928054412603</v>
          </cell>
          <cell r="BA32">
            <v>3713.7032631283478</v>
          </cell>
          <cell r="BB32">
            <v>151644.09087025939</v>
          </cell>
          <cell r="BC32">
            <v>0</v>
          </cell>
          <cell r="BD32">
            <v>0</v>
          </cell>
          <cell r="BE32">
            <v>0</v>
          </cell>
          <cell r="BF32">
            <v>33077.170109699648</v>
          </cell>
          <cell r="BG32">
            <v>118566.92076055975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 t="str">
            <v>То же п.6</v>
          </cell>
        </row>
        <row r="34">
          <cell r="A34" t="str">
            <v>6.3.1.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198029.16733632502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198029.16733632502</v>
          </cell>
          <cell r="AP34">
            <v>250621.04907482694</v>
          </cell>
          <cell r="AQ34">
            <v>0</v>
          </cell>
          <cell r="AR34">
            <v>0</v>
          </cell>
          <cell r="AS34">
            <v>0</v>
          </cell>
          <cell r="AT34">
            <v>192981.30514371468</v>
          </cell>
          <cell r="AU34">
            <v>57639.743931112243</v>
          </cell>
          <cell r="AV34">
            <v>38429.49742689421</v>
          </cell>
          <cell r="AW34">
            <v>0</v>
          </cell>
          <cell r="AX34">
            <v>0</v>
          </cell>
          <cell r="AY34">
            <v>0</v>
          </cell>
          <cell r="AZ34">
            <v>30453.134118373739</v>
          </cell>
          <cell r="BA34">
            <v>7976.363308520471</v>
          </cell>
          <cell r="BB34">
            <v>448650.21641115192</v>
          </cell>
          <cell r="BC34">
            <v>0</v>
          </cell>
          <cell r="BD34">
            <v>0</v>
          </cell>
          <cell r="BE34">
            <v>0</v>
          </cell>
          <cell r="BF34">
            <v>192981.30514371468</v>
          </cell>
          <cell r="BG34">
            <v>255668.91126743727</v>
          </cell>
          <cell r="BH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 t="str">
            <v>6.3.2.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91846.991659796025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91846.991659796025</v>
          </cell>
          <cell r="AP35">
            <v>59797.09921046337</v>
          </cell>
          <cell r="AQ35">
            <v>0</v>
          </cell>
          <cell r="AR35">
            <v>0</v>
          </cell>
          <cell r="AS35">
            <v>0</v>
          </cell>
          <cell r="AT35">
            <v>33077.170109699648</v>
          </cell>
          <cell r="AU35">
            <v>26719.929100763722</v>
          </cell>
          <cell r="AV35">
            <v>8236.1960685696085</v>
          </cell>
          <cell r="AW35">
            <v>0</v>
          </cell>
          <cell r="AX35">
            <v>0</v>
          </cell>
          <cell r="AY35">
            <v>0</v>
          </cell>
          <cell r="AZ35">
            <v>4522.4928054412603</v>
          </cell>
          <cell r="BA35">
            <v>3713.7032631283478</v>
          </cell>
          <cell r="BB35">
            <v>151644.09087025939</v>
          </cell>
          <cell r="BC35">
            <v>0</v>
          </cell>
          <cell r="BD35">
            <v>0</v>
          </cell>
          <cell r="BE35">
            <v>0</v>
          </cell>
          <cell r="BF35">
            <v>33077.170109699648</v>
          </cell>
          <cell r="BG35">
            <v>118566.92076055975</v>
          </cell>
          <cell r="BH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</sheetData>
      <sheetData sheetId="18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F34">
            <v>140</v>
          </cell>
          <cell r="G34">
            <v>2.6</v>
          </cell>
          <cell r="H34">
            <v>3.64</v>
          </cell>
        </row>
        <row r="35">
          <cell r="F35">
            <v>110</v>
          </cell>
          <cell r="G35">
            <v>53.2</v>
          </cell>
          <cell r="H35">
            <v>58.52</v>
          </cell>
        </row>
        <row r="36">
          <cell r="H36">
            <v>0</v>
          </cell>
        </row>
        <row r="37">
          <cell r="F37">
            <v>350</v>
          </cell>
          <cell r="G37">
            <v>497.2</v>
          </cell>
          <cell r="H37">
            <v>1740.2</v>
          </cell>
        </row>
        <row r="38">
          <cell r="H38">
            <v>0</v>
          </cell>
        </row>
        <row r="39">
          <cell r="H39">
            <v>1802.3600000000001</v>
          </cell>
        </row>
        <row r="40">
          <cell r="H40">
            <v>0</v>
          </cell>
        </row>
        <row r="41">
          <cell r="F41">
            <v>220</v>
          </cell>
          <cell r="G41">
            <v>91.9</v>
          </cell>
          <cell r="H41">
            <v>202.18</v>
          </cell>
        </row>
        <row r="42">
          <cell r="F42">
            <v>150</v>
          </cell>
          <cell r="G42">
            <v>381.5</v>
          </cell>
          <cell r="H42">
            <v>572.25</v>
          </cell>
        </row>
        <row r="43">
          <cell r="F43">
            <v>270</v>
          </cell>
          <cell r="G43">
            <v>250.9</v>
          </cell>
          <cell r="H43">
            <v>677.43</v>
          </cell>
        </row>
        <row r="44">
          <cell r="H44">
            <v>1451.8600000000001</v>
          </cell>
        </row>
      </sheetData>
      <sheetData sheetId="19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0</v>
          </cell>
          <cell r="H11">
            <v>0</v>
          </cell>
        </row>
        <row r="12">
          <cell r="F12">
            <v>105</v>
          </cell>
          <cell r="G12">
            <v>0</v>
          </cell>
          <cell r="H12">
            <v>0</v>
          </cell>
        </row>
        <row r="13">
          <cell r="F13">
            <v>75</v>
          </cell>
          <cell r="G13">
            <v>0</v>
          </cell>
          <cell r="H13">
            <v>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0</v>
          </cell>
          <cell r="H18">
            <v>0</v>
          </cell>
        </row>
        <row r="19">
          <cell r="F19">
            <v>7.8</v>
          </cell>
          <cell r="G19">
            <v>0</v>
          </cell>
          <cell r="H19">
            <v>0</v>
          </cell>
        </row>
        <row r="20">
          <cell r="F20">
            <v>2.1</v>
          </cell>
          <cell r="G20">
            <v>0</v>
          </cell>
          <cell r="H20">
            <v>0</v>
          </cell>
        </row>
        <row r="21">
          <cell r="F21">
            <v>1</v>
          </cell>
          <cell r="G21">
            <v>0</v>
          </cell>
          <cell r="H21">
            <v>0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0</v>
          </cell>
          <cell r="H26">
            <v>0</v>
          </cell>
        </row>
        <row r="27">
          <cell r="F27">
            <v>26</v>
          </cell>
          <cell r="G27">
            <v>0</v>
          </cell>
          <cell r="H27">
            <v>0</v>
          </cell>
        </row>
        <row r="28">
          <cell r="F28">
            <v>11</v>
          </cell>
          <cell r="G28">
            <v>0</v>
          </cell>
          <cell r="H28">
            <v>0</v>
          </cell>
        </row>
        <row r="29">
          <cell r="F29">
            <v>5.5</v>
          </cell>
          <cell r="G29">
            <v>0</v>
          </cell>
          <cell r="H29">
            <v>0</v>
          </cell>
        </row>
        <row r="30">
          <cell r="F30">
            <v>23</v>
          </cell>
          <cell r="G30">
            <v>0</v>
          </cell>
          <cell r="H30">
            <v>0</v>
          </cell>
        </row>
        <row r="31">
          <cell r="F31">
            <v>14</v>
          </cell>
          <cell r="G31">
            <v>0</v>
          </cell>
          <cell r="H31">
            <v>0</v>
          </cell>
        </row>
        <row r="32">
          <cell r="F32">
            <v>6.4</v>
          </cell>
          <cell r="G32">
            <v>0</v>
          </cell>
          <cell r="H32">
            <v>0</v>
          </cell>
        </row>
        <row r="33">
          <cell r="F33">
            <v>3.1</v>
          </cell>
          <cell r="G33">
            <v>253</v>
          </cell>
          <cell r="H33">
            <v>784.30000000000007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0</v>
          </cell>
          <cell r="H36">
            <v>0</v>
          </cell>
        </row>
        <row r="37">
          <cell r="F37">
            <v>9.5</v>
          </cell>
          <cell r="G37">
            <v>0</v>
          </cell>
          <cell r="H37">
            <v>0</v>
          </cell>
        </row>
        <row r="38">
          <cell r="F38">
            <v>4.7</v>
          </cell>
          <cell r="G38">
            <v>0</v>
          </cell>
          <cell r="H38">
            <v>0</v>
          </cell>
        </row>
        <row r="39">
          <cell r="F39">
            <v>2.2999999999999998</v>
          </cell>
          <cell r="G39">
            <v>1222</v>
          </cell>
          <cell r="H39">
            <v>2810.6</v>
          </cell>
        </row>
        <row r="40">
          <cell r="F40">
            <v>2.6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0</v>
          </cell>
          <cell r="H42">
            <v>0</v>
          </cell>
        </row>
        <row r="43">
          <cell r="F43">
            <v>2.4</v>
          </cell>
          <cell r="G43">
            <v>0</v>
          </cell>
          <cell r="H43">
            <v>0</v>
          </cell>
        </row>
        <row r="44">
          <cell r="F44">
            <v>2.5</v>
          </cell>
          <cell r="G44">
            <v>0</v>
          </cell>
          <cell r="H44">
            <v>0</v>
          </cell>
        </row>
        <row r="45">
          <cell r="F45">
            <v>2.2999999999999998</v>
          </cell>
          <cell r="G45">
            <v>236</v>
          </cell>
          <cell r="H45">
            <v>542.79999999999995</v>
          </cell>
        </row>
        <row r="46">
          <cell r="F46">
            <v>3</v>
          </cell>
          <cell r="G46">
            <v>242</v>
          </cell>
          <cell r="H46">
            <v>726</v>
          </cell>
        </row>
        <row r="47">
          <cell r="F47">
            <v>3.5</v>
          </cell>
          <cell r="G47">
            <v>0</v>
          </cell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4863.7</v>
          </cell>
        </row>
        <row r="51">
          <cell r="H51">
            <v>0</v>
          </cell>
        </row>
      </sheetData>
      <sheetData sheetId="20"/>
      <sheetData sheetId="21">
        <row r="7">
          <cell r="A7">
            <v>1</v>
          </cell>
          <cell r="B7">
            <v>2</v>
          </cell>
          <cell r="F7">
            <v>3</v>
          </cell>
          <cell r="G7">
            <v>4</v>
          </cell>
          <cell r="H7">
            <v>5</v>
          </cell>
          <cell r="I7">
            <v>7</v>
          </cell>
          <cell r="J7">
            <v>8</v>
          </cell>
          <cell r="K7">
            <v>9</v>
          </cell>
          <cell r="L7">
            <v>11</v>
          </cell>
          <cell r="M7">
            <v>12</v>
          </cell>
          <cell r="N7" t="str">
            <v>13</v>
          </cell>
          <cell r="O7" t="str">
            <v>14</v>
          </cell>
        </row>
        <row r="8">
          <cell r="F8" t="e">
            <v>#DIV/0!</v>
          </cell>
          <cell r="G8" t="e">
            <v>#DIV/0!</v>
          </cell>
        </row>
        <row r="9">
          <cell r="F9" t="e">
            <v>#DIV/0!</v>
          </cell>
          <cell r="G9" t="e">
            <v>#DIV/0!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O9">
            <v>0</v>
          </cell>
        </row>
        <row r="10">
          <cell r="F10" t="e">
            <v>#DIV/0!</v>
          </cell>
          <cell r="G10" t="e">
            <v>#DIV/0!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N10" t="e">
            <v>#DIV/0!</v>
          </cell>
          <cell r="O10">
            <v>0</v>
          </cell>
        </row>
        <row r="11"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I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I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I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I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I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I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I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I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I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I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#DIV/0!</v>
          </cell>
          <cell r="O23">
            <v>0</v>
          </cell>
        </row>
        <row r="24">
          <cell r="I24">
            <v>0</v>
          </cell>
          <cell r="L24">
            <v>0</v>
          </cell>
          <cell r="M24">
            <v>0</v>
          </cell>
          <cell r="O24">
            <v>0</v>
          </cell>
        </row>
        <row r="25">
          <cell r="I25">
            <v>0</v>
          </cell>
          <cell r="L25">
            <v>0</v>
          </cell>
          <cell r="M25">
            <v>0</v>
          </cell>
          <cell r="O25">
            <v>0</v>
          </cell>
        </row>
        <row r="26">
          <cell r="I26">
            <v>0</v>
          </cell>
          <cell r="L26">
            <v>0</v>
          </cell>
          <cell r="M26">
            <v>0</v>
          </cell>
          <cell r="O26">
            <v>0</v>
          </cell>
        </row>
        <row r="27">
          <cell r="I27">
            <v>0</v>
          </cell>
          <cell r="L27">
            <v>0</v>
          </cell>
          <cell r="M27">
            <v>0</v>
          </cell>
          <cell r="O27">
            <v>0</v>
          </cell>
        </row>
        <row r="28">
          <cell r="I28">
            <v>0</v>
          </cell>
          <cell r="L28">
            <v>0</v>
          </cell>
          <cell r="M28">
            <v>0</v>
          </cell>
          <cell r="O28">
            <v>0</v>
          </cell>
        </row>
        <row r="29"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 t="e">
            <v>#DIV/0!</v>
          </cell>
          <cell r="O29">
            <v>0</v>
          </cell>
        </row>
        <row r="30">
          <cell r="I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I31">
            <v>0</v>
          </cell>
          <cell r="L31">
            <v>0</v>
          </cell>
          <cell r="M31">
            <v>0</v>
          </cell>
          <cell r="O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  <cell r="O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I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I37">
            <v>0</v>
          </cell>
          <cell r="L37">
            <v>0</v>
          </cell>
          <cell r="M37">
            <v>0</v>
          </cell>
          <cell r="O37">
            <v>0</v>
          </cell>
        </row>
        <row r="38">
          <cell r="I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I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I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I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I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I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I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I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F47" t="e">
            <v>#DIV/0!</v>
          </cell>
          <cell r="G47" t="e">
            <v>#DIV/0!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 t="e">
            <v>#DIV/0!</v>
          </cell>
          <cell r="O47">
            <v>0</v>
          </cell>
        </row>
        <row r="48">
          <cell r="F48" t="e">
            <v>#DIV/0!</v>
          </cell>
          <cell r="G48" t="e">
            <v>#DIV/0!</v>
          </cell>
          <cell r="H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O48">
            <v>0</v>
          </cell>
        </row>
        <row r="49"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I50">
            <v>0</v>
          </cell>
          <cell r="L50">
            <v>0</v>
          </cell>
          <cell r="M50">
            <v>0</v>
          </cell>
          <cell r="O50">
            <v>0</v>
          </cell>
        </row>
        <row r="51">
          <cell r="I51">
            <v>0</v>
          </cell>
          <cell r="L51">
            <v>0</v>
          </cell>
          <cell r="M51">
            <v>0</v>
          </cell>
          <cell r="O51">
            <v>0</v>
          </cell>
        </row>
        <row r="52">
          <cell r="I52">
            <v>0</v>
          </cell>
          <cell r="L52">
            <v>0</v>
          </cell>
          <cell r="M52">
            <v>0</v>
          </cell>
          <cell r="O52">
            <v>0</v>
          </cell>
        </row>
        <row r="53">
          <cell r="I53">
            <v>0</v>
          </cell>
          <cell r="L53">
            <v>0</v>
          </cell>
          <cell r="M53">
            <v>0</v>
          </cell>
          <cell r="O53">
            <v>0</v>
          </cell>
        </row>
        <row r="54">
          <cell r="I54">
            <v>0</v>
          </cell>
          <cell r="L54">
            <v>0</v>
          </cell>
          <cell r="M54">
            <v>0</v>
          </cell>
          <cell r="O54">
            <v>0</v>
          </cell>
        </row>
        <row r="55"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</row>
        <row r="56">
          <cell r="I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I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I58">
            <v>0</v>
          </cell>
          <cell r="L58">
            <v>0</v>
          </cell>
          <cell r="M58">
            <v>0</v>
          </cell>
          <cell r="O58">
            <v>0</v>
          </cell>
        </row>
        <row r="59">
          <cell r="I59">
            <v>0</v>
          </cell>
          <cell r="L59">
            <v>0</v>
          </cell>
          <cell r="M59">
            <v>0</v>
          </cell>
          <cell r="O59">
            <v>0</v>
          </cell>
        </row>
        <row r="60">
          <cell r="I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 t="e">
            <v>#DIV/0!</v>
          </cell>
          <cell r="O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I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I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 t="e">
            <v>#DIV/0!</v>
          </cell>
          <cell r="O67">
            <v>0</v>
          </cell>
        </row>
        <row r="68">
          <cell r="I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I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I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I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I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I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I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I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I77">
            <v>0</v>
          </cell>
          <cell r="L77">
            <v>0</v>
          </cell>
          <cell r="M77">
            <v>0</v>
          </cell>
          <cell r="O77">
            <v>0</v>
          </cell>
        </row>
        <row r="78">
          <cell r="I78">
            <v>0</v>
          </cell>
          <cell r="L78">
            <v>0</v>
          </cell>
          <cell r="M78">
            <v>0</v>
          </cell>
          <cell r="O78">
            <v>0</v>
          </cell>
        </row>
        <row r="79"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</row>
        <row r="80">
          <cell r="I80">
            <v>0</v>
          </cell>
          <cell r="L80">
            <v>0</v>
          </cell>
          <cell r="M80">
            <v>0</v>
          </cell>
          <cell r="O80">
            <v>0</v>
          </cell>
        </row>
        <row r="81">
          <cell r="I81">
            <v>0</v>
          </cell>
          <cell r="L81">
            <v>0</v>
          </cell>
          <cell r="M81">
            <v>0</v>
          </cell>
          <cell r="O81">
            <v>0</v>
          </cell>
        </row>
        <row r="82">
          <cell r="I82">
            <v>0</v>
          </cell>
          <cell r="L82">
            <v>0</v>
          </cell>
          <cell r="M82">
            <v>0</v>
          </cell>
          <cell r="O82">
            <v>0</v>
          </cell>
        </row>
        <row r="83">
          <cell r="I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I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</row>
        <row r="86">
          <cell r="F86" t="e">
            <v>#DIV/0!</v>
          </cell>
          <cell r="G86" t="e">
            <v>#DIV/0!</v>
          </cell>
        </row>
        <row r="87">
          <cell r="F87" t="e">
            <v>#DIV/0!</v>
          </cell>
          <cell r="G87" t="e">
            <v>#DIV/0!</v>
          </cell>
          <cell r="H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 t="e">
            <v>#DIV/0!</v>
          </cell>
          <cell r="O87">
            <v>0</v>
          </cell>
        </row>
        <row r="88">
          <cell r="F88" t="e">
            <v>#DIV/0!</v>
          </cell>
          <cell r="G88" t="e">
            <v>#DIV/0!</v>
          </cell>
          <cell r="H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 t="e">
            <v>#DIV/0!</v>
          </cell>
          <cell r="O88">
            <v>0</v>
          </cell>
        </row>
        <row r="89"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I90">
            <v>0</v>
          </cell>
          <cell r="L90">
            <v>0</v>
          </cell>
          <cell r="M90">
            <v>0</v>
          </cell>
          <cell r="O90">
            <v>0</v>
          </cell>
        </row>
        <row r="91">
          <cell r="I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I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I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I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I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I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I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I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I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H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  <cell r="N101" t="e">
            <v>#DIV/0!</v>
          </cell>
          <cell r="O101">
            <v>0</v>
          </cell>
        </row>
        <row r="102">
          <cell r="I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I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I104">
            <v>0</v>
          </cell>
          <cell r="L104">
            <v>0</v>
          </cell>
          <cell r="M104">
            <v>0</v>
          </cell>
          <cell r="O104">
            <v>0</v>
          </cell>
        </row>
        <row r="105">
          <cell r="I105">
            <v>0</v>
          </cell>
          <cell r="L105">
            <v>0</v>
          </cell>
          <cell r="M105">
            <v>0</v>
          </cell>
          <cell r="O105">
            <v>0</v>
          </cell>
        </row>
        <row r="106">
          <cell r="I106">
            <v>0</v>
          </cell>
          <cell r="L106">
            <v>0</v>
          </cell>
          <cell r="M106">
            <v>0</v>
          </cell>
          <cell r="O106">
            <v>0</v>
          </cell>
        </row>
        <row r="107"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 t="e">
            <v>#DIV/0!</v>
          </cell>
          <cell r="O107">
            <v>0</v>
          </cell>
        </row>
        <row r="108">
          <cell r="I108">
            <v>0</v>
          </cell>
          <cell r="L108">
            <v>0</v>
          </cell>
          <cell r="M108">
            <v>0</v>
          </cell>
          <cell r="O108">
            <v>0</v>
          </cell>
        </row>
        <row r="109">
          <cell r="I109">
            <v>0</v>
          </cell>
          <cell r="L109">
            <v>0</v>
          </cell>
          <cell r="M109">
            <v>0</v>
          </cell>
          <cell r="O109">
            <v>0</v>
          </cell>
        </row>
        <row r="110">
          <cell r="I110">
            <v>0</v>
          </cell>
          <cell r="L110">
            <v>0</v>
          </cell>
          <cell r="M110">
            <v>0</v>
          </cell>
          <cell r="O110">
            <v>0</v>
          </cell>
        </row>
        <row r="111">
          <cell r="I111">
            <v>0</v>
          </cell>
          <cell r="L111">
            <v>0</v>
          </cell>
          <cell r="M111">
            <v>0</v>
          </cell>
          <cell r="O111">
            <v>0</v>
          </cell>
        </row>
        <row r="112">
          <cell r="I112">
            <v>0</v>
          </cell>
          <cell r="L112">
            <v>0</v>
          </cell>
          <cell r="M112">
            <v>0</v>
          </cell>
          <cell r="O112">
            <v>0</v>
          </cell>
        </row>
        <row r="113"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</row>
        <row r="114">
          <cell r="I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I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I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I117">
            <v>0</v>
          </cell>
          <cell r="L117">
            <v>0</v>
          </cell>
          <cell r="M117">
            <v>0</v>
          </cell>
          <cell r="O117">
            <v>0</v>
          </cell>
        </row>
        <row r="118">
          <cell r="I118">
            <v>0</v>
          </cell>
          <cell r="L118">
            <v>0</v>
          </cell>
          <cell r="M118">
            <v>0</v>
          </cell>
          <cell r="O118">
            <v>0</v>
          </cell>
        </row>
        <row r="119"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L120">
            <v>0</v>
          </cell>
          <cell r="M120">
            <v>0</v>
          </cell>
          <cell r="O120">
            <v>0</v>
          </cell>
        </row>
        <row r="121">
          <cell r="I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I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I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I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F125" t="e">
            <v>#DIV/0!</v>
          </cell>
          <cell r="G125" t="e">
            <v>#DIV/0!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 t="e">
            <v>#DIV/0!</v>
          </cell>
          <cell r="O125">
            <v>0</v>
          </cell>
        </row>
        <row r="126">
          <cell r="F126" t="e">
            <v>#DIV/0!</v>
          </cell>
          <cell r="G126" t="e">
            <v>#DIV/0!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 t="e">
            <v>#DIV/0!</v>
          </cell>
          <cell r="O126">
            <v>0</v>
          </cell>
        </row>
        <row r="127"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I128">
            <v>0</v>
          </cell>
          <cell r="L128">
            <v>0</v>
          </cell>
          <cell r="M128">
            <v>0</v>
          </cell>
          <cell r="O128">
            <v>0</v>
          </cell>
        </row>
        <row r="129">
          <cell r="I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I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I131">
            <v>0</v>
          </cell>
          <cell r="L131">
            <v>0</v>
          </cell>
          <cell r="M131">
            <v>0</v>
          </cell>
          <cell r="O131">
            <v>0</v>
          </cell>
        </row>
        <row r="132">
          <cell r="I132">
            <v>0</v>
          </cell>
          <cell r="L132">
            <v>0</v>
          </cell>
          <cell r="M132">
            <v>0</v>
          </cell>
          <cell r="O132">
            <v>0</v>
          </cell>
        </row>
        <row r="133"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</row>
        <row r="134">
          <cell r="I134">
            <v>0</v>
          </cell>
          <cell r="L134">
            <v>0</v>
          </cell>
          <cell r="M134">
            <v>0</v>
          </cell>
          <cell r="O134">
            <v>0</v>
          </cell>
        </row>
        <row r="135">
          <cell r="I135">
            <v>0</v>
          </cell>
          <cell r="L135">
            <v>0</v>
          </cell>
          <cell r="M135">
            <v>0</v>
          </cell>
          <cell r="O135">
            <v>0</v>
          </cell>
        </row>
        <row r="136">
          <cell r="I136">
            <v>0</v>
          </cell>
          <cell r="L136">
            <v>0</v>
          </cell>
          <cell r="M136">
            <v>0</v>
          </cell>
          <cell r="O136">
            <v>0</v>
          </cell>
        </row>
        <row r="137">
          <cell r="I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I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 t="e">
            <v>#DIV/0!</v>
          </cell>
          <cell r="O139">
            <v>0</v>
          </cell>
        </row>
        <row r="140">
          <cell r="I140">
            <v>0</v>
          </cell>
          <cell r="L140">
            <v>0</v>
          </cell>
          <cell r="M140">
            <v>0</v>
          </cell>
          <cell r="O140">
            <v>0</v>
          </cell>
        </row>
        <row r="141">
          <cell r="I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I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I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I144">
            <v>0</v>
          </cell>
          <cell r="L144">
            <v>0</v>
          </cell>
          <cell r="M144">
            <v>0</v>
          </cell>
          <cell r="O144">
            <v>0</v>
          </cell>
        </row>
        <row r="145">
          <cell r="H145">
            <v>0</v>
          </cell>
          <cell r="I145">
            <v>0</v>
          </cell>
          <cell r="K145">
            <v>0</v>
          </cell>
          <cell r="L145">
            <v>0</v>
          </cell>
          <cell r="M145">
            <v>0</v>
          </cell>
          <cell r="N145" t="e">
            <v>#DIV/0!</v>
          </cell>
          <cell r="O145">
            <v>0</v>
          </cell>
        </row>
        <row r="146">
          <cell r="I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I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I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I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I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H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I152">
            <v>0</v>
          </cell>
          <cell r="L152">
            <v>0</v>
          </cell>
          <cell r="M152">
            <v>0</v>
          </cell>
          <cell r="O152">
            <v>0</v>
          </cell>
        </row>
        <row r="153">
          <cell r="I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I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I155">
            <v>0</v>
          </cell>
          <cell r="L155">
            <v>0</v>
          </cell>
          <cell r="M155">
            <v>0</v>
          </cell>
          <cell r="O155">
            <v>0</v>
          </cell>
        </row>
        <row r="156">
          <cell r="I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H157">
            <v>0</v>
          </cell>
          <cell r="I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I158">
            <v>0</v>
          </cell>
          <cell r="L158">
            <v>0</v>
          </cell>
          <cell r="M158">
            <v>0</v>
          </cell>
          <cell r="O158">
            <v>0</v>
          </cell>
        </row>
        <row r="159">
          <cell r="I159">
            <v>0</v>
          </cell>
          <cell r="L159">
            <v>0</v>
          </cell>
          <cell r="M159">
            <v>0</v>
          </cell>
          <cell r="O159">
            <v>0</v>
          </cell>
        </row>
        <row r="160">
          <cell r="I160">
            <v>0</v>
          </cell>
          <cell r="L160">
            <v>0</v>
          </cell>
          <cell r="M160">
            <v>0</v>
          </cell>
          <cell r="O160">
            <v>0</v>
          </cell>
        </row>
        <row r="161">
          <cell r="I161">
            <v>0</v>
          </cell>
          <cell r="L161">
            <v>0</v>
          </cell>
          <cell r="M161">
            <v>0</v>
          </cell>
          <cell r="O161">
            <v>0</v>
          </cell>
        </row>
        <row r="162">
          <cell r="I162">
            <v>0</v>
          </cell>
          <cell r="L162">
            <v>0</v>
          </cell>
          <cell r="M162">
            <v>0</v>
          </cell>
          <cell r="O162">
            <v>0</v>
          </cell>
        </row>
        <row r="163"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5"/>
      <sheetName val="3.2"/>
      <sheetName val="3.3"/>
      <sheetName val="3.3.1 - реестр IVкв. 2015"/>
      <sheetName val="3.3.2 реестр исп до 150"/>
    </sheetNames>
    <sheetDataSet>
      <sheetData sheetId="0" refreshError="1"/>
      <sheetData sheetId="1"/>
      <sheetData sheetId="2" refreshError="1"/>
      <sheetData sheetId="3">
        <row r="567">
          <cell r="F567">
            <v>28.477603685825457</v>
          </cell>
        </row>
        <row r="568">
          <cell r="F568">
            <v>28.477603685825439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5"/>
      <sheetName val="3.2"/>
      <sheetName val="3.3"/>
      <sheetName val="3.3.1 - реестр IVкв. 2015"/>
      <sheetName val="3.3.2 реестр исп до 150"/>
    </sheetNames>
    <sheetDataSet>
      <sheetData sheetId="0" refreshError="1"/>
      <sheetData sheetId="1"/>
      <sheetData sheetId="2" refreshError="1"/>
      <sheetData sheetId="3">
        <row r="567">
          <cell r="F567">
            <v>28.477603685825457</v>
          </cell>
        </row>
        <row r="568">
          <cell r="F568">
            <v>28.477603685825439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5"/>
      <sheetName val="3.2"/>
      <sheetName val="3.3"/>
      <sheetName val="3.3.1 - реестр IVкв. 2015"/>
      <sheetName val="3.3.2 реестр исп до 150"/>
    </sheetNames>
    <sheetDataSet>
      <sheetData sheetId="0" refreshError="1"/>
      <sheetData sheetId="1"/>
      <sheetData sheetId="2" refreshError="1"/>
      <sheetData sheetId="3">
        <row r="567">
          <cell r="F567">
            <v>28.477603685825457</v>
          </cell>
        </row>
        <row r="568">
          <cell r="F568">
            <v>28.477603685825439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4"/>
      <sheetName val="3.1.2 - реестр инв.сост. ОИП"/>
      <sheetName val="3.2"/>
      <sheetName val="3.3"/>
      <sheetName val="3.3.1 -реестр исполненных"/>
      <sheetName val="3.3.2 - реестр инв.сост."/>
      <sheetName val="Лист1"/>
    </sheetNames>
    <sheetDataSet>
      <sheetData sheetId="0"/>
      <sheetData sheetId="1"/>
      <sheetData sheetId="2"/>
      <sheetData sheetId="3">
        <row r="29">
          <cell r="F29">
            <v>110.61317782614279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4"/>
      <sheetName val="3.1.2 - реестр инв.сост. ОИП"/>
      <sheetName val="3.2"/>
      <sheetName val="3.3"/>
      <sheetName val="3.3.1 -реестр исполненных"/>
      <sheetName val="3.3.2 - реестр инв.сост."/>
      <sheetName val="Лист1"/>
    </sheetNames>
    <sheetDataSet>
      <sheetData sheetId="0"/>
      <sheetData sheetId="1"/>
      <sheetData sheetId="2"/>
      <sheetData sheetId="3">
        <row r="29">
          <cell r="F29">
            <v>110.61317782614279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1.1 -реестр исполненных"/>
      <sheetName val="3.1.2 - реестр инв.сост."/>
      <sheetName val="Затраты 2014"/>
      <sheetName val="3.1.2 - реестр инв.сост. ОИП"/>
      <sheetName val="3.2"/>
      <sheetName val="3.3"/>
      <sheetName val="3.3.1 -реестр исполненных"/>
      <sheetName val="3.3.2 - реестр инв.сост."/>
      <sheetName val="Лист1"/>
    </sheetNames>
    <sheetDataSet>
      <sheetData sheetId="0"/>
      <sheetData sheetId="1"/>
      <sheetData sheetId="2"/>
      <sheetData sheetId="3">
        <row r="29">
          <cell r="F29">
            <v>110.61317782614279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9"/>
      <sheetName val="28"/>
      <sheetName val="30"/>
    </sheetNames>
    <sheetDataSet>
      <sheetData sheetId="0">
        <row r="14">
          <cell r="B14">
            <v>2007</v>
          </cell>
        </row>
        <row r="16">
          <cell r="B16">
            <v>2005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ВВ перв"/>
      <sheetName val="ВВ перв (Без-1)"/>
      <sheetName val="ВВ перв (Без-2)"/>
      <sheetName val="ВВ перв (Без-3)"/>
      <sheetName val="См ВВ втор"/>
      <sheetName val="См ВВ покр"/>
      <sheetName val="ВВ втор (Без-1)"/>
      <sheetName val="ВВ втор (Без-2)"/>
      <sheetName val="ВВ покр"/>
      <sheetName val="ВВ втор ввод (Без-3)"/>
      <sheetName val="Защ тр-ра"/>
      <sheetName val="ВВ втор _Без_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9"/>
      <sheetName val="28"/>
      <sheetName val="30"/>
    </sheetNames>
    <sheetDataSet>
      <sheetData sheetId="0">
        <row r="14">
          <cell r="B14">
            <v>2007</v>
          </cell>
        </row>
        <row r="16">
          <cell r="B16">
            <v>2005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9"/>
      <sheetName val="28"/>
      <sheetName val="30"/>
    </sheetNames>
    <sheetDataSet>
      <sheetData sheetId="0">
        <row r="14">
          <cell r="B14">
            <v>2007</v>
          </cell>
        </row>
        <row r="16">
          <cell r="B16">
            <v>2005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4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str">
            <v>-</v>
          </cell>
          <cell r="M11">
            <v>0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K18" t="e">
            <v>#NAME?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Котельная - 1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 t="str">
            <v>-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>
            <v>0</v>
          </cell>
          <cell r="L20" t="str">
            <v>-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"/>
      <sheetName val="Прил. 3.1"/>
      <sheetName val="Прил.3.1.1 реестр исп.дог. "/>
      <sheetName val="Прил.3.1.2 дог.с инвест. "/>
      <sheetName val="Прил.3.2"/>
      <sheetName val="Прил.3.3"/>
      <sheetName val="Прил.3.3.1 реестр исп.дог.150"/>
      <sheetName val="Прил.3.3.2 дог.с инвест."/>
      <sheetName val="выручка2017"/>
      <sheetName val="об.счета20"/>
      <sheetName val="УО2017г"/>
      <sheetName val="Стр15"/>
      <sheetName val="Стр16"/>
      <sheetName val="Стр.17"/>
      <sheetName val=" (стр.15)"/>
      <sheetName val="(стр.16)"/>
      <sheetName val="(Стр.17)"/>
      <sheetName val="Затраты 2015"/>
      <sheetName val="Затраты 2016"/>
      <sheetName val="Затраты17"/>
      <sheetName val="Затр.2015-2017 "/>
      <sheetName val="С1 2015"/>
      <sheetName val="C1 2016"/>
      <sheetName val="C1 2017"/>
      <sheetName val="СС 2015"/>
      <sheetName val="СС 2016"/>
      <sheetName val="СС2017 (2)"/>
      <sheetName val="ВСЕГО"/>
      <sheetName val="прил.2 "/>
      <sheetName val="прил.3 "/>
      <sheetName val="прил.4"/>
      <sheetName val="СС2017"/>
    </sheetNames>
    <sheetDataSet>
      <sheetData sheetId="0" refreshError="1"/>
      <sheetData sheetId="1">
        <row r="11">
          <cell r="K11">
            <v>3803.58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G25">
            <v>355908.50059799006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0"/>
      <sheetName val="10.1"/>
      <sheetName val="Затраты 2015"/>
      <sheetName val="10.1.1 реестр исп.дог."/>
      <sheetName val="10.2"/>
      <sheetName val="10.3"/>
    </sheetNames>
    <sheetDataSet>
      <sheetData sheetId="0" refreshError="1"/>
      <sheetData sheetId="1">
        <row r="12">
          <cell r="K12">
            <v>2907.31</v>
          </cell>
        </row>
        <row r="19">
          <cell r="L19">
            <v>3967.7507694558481</v>
          </cell>
        </row>
        <row r="34">
          <cell r="L34">
            <v>4157.6714689817618</v>
          </cell>
        </row>
        <row r="51">
          <cell r="L51">
            <v>1416.2881787104996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кварт"/>
    </sheetNames>
    <sheetDataSet>
      <sheetData sheetId="0">
        <row r="91">
          <cell r="B91">
            <v>105.89</v>
          </cell>
          <cell r="C91">
            <v>105.07936887282534</v>
          </cell>
          <cell r="D91">
            <v>104.65778158784902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ИПЦ (базовый)"/>
    </sheetNames>
    <sheetDataSet>
      <sheetData sheetId="0">
        <row r="5">
          <cell r="B5">
            <v>103.68</v>
          </cell>
          <cell r="C5">
            <v>102.727</v>
          </cell>
          <cell r="D5">
            <v>104.645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правки"/>
      <sheetName val="НВВ ТБР"/>
      <sheetName val="Анализ"/>
      <sheetName val="ВСЕГО"/>
      <sheetName val="ВСЕГО (КЭ черновик)"/>
      <sheetName val="Прил.1"/>
      <sheetName val="Прил.1 (КЭ заявка)"/>
      <sheetName val="Прил.2"/>
      <sheetName val="Прил.2 (КЭ заявка)"/>
      <sheetName val="Прил.3"/>
      <sheetName val="Прил.3 (КЭ заявка)"/>
      <sheetName val="Прил.5"/>
      <sheetName val="Прил.4.1 (стр.2014)"/>
      <sheetName val="Прил.4.2 (стр.2015)"/>
      <sheetName val="Прил.4.3 (стр.2016)"/>
      <sheetName val="СС 2014"/>
      <sheetName val="СС 2015"/>
      <sheetName val="СС 2016"/>
      <sheetName val="Затр.2014-2016"/>
      <sheetName val="CC_2014_РСТ"/>
      <sheetName val="СС_2015_РСТ"/>
      <sheetName val="СС_2016_РСТ"/>
    </sheetNames>
    <sheetDataSet>
      <sheetData sheetId="0"/>
      <sheetData sheetId="1"/>
      <sheetData sheetId="2"/>
      <sheetData sheetId="3">
        <row r="117">
          <cell r="K117">
            <v>47113</v>
          </cell>
        </row>
      </sheetData>
      <sheetData sheetId="4"/>
      <sheetData sheetId="5">
        <row r="13">
          <cell r="F13" t="str">
            <v>до 50 вкл.</v>
          </cell>
        </row>
        <row r="14">
          <cell r="F14" t="str">
            <v>50 - 100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200">
          <cell r="F200">
            <v>18.477</v>
          </cell>
        </row>
      </sheetData>
      <sheetData sheetId="13">
        <row r="209">
          <cell r="F209">
            <v>17.510999999999999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4 МУ"/>
      <sheetName val="прил5МУ"/>
      <sheetName val="прил 6 МУ"/>
      <sheetName val="прил 7 МУ"/>
      <sheetName val="прил 8 МУ"/>
      <sheetName val="прил 9 МУ"/>
      <sheetName val="ОС выбытие 2016."/>
      <sheetName val="ТП2016г"/>
      <sheetName val="част.выб.осн.2016"/>
      <sheetName val="прил Ж_оценщиков"/>
    </sheetNames>
    <sheetDataSet>
      <sheetData sheetId="0" refreshError="1"/>
      <sheetData sheetId="1">
        <row r="25">
          <cell r="N25" t="str">
            <v>Сбербанк России доп. офис п.Цаган-Аман</v>
          </cell>
          <cell r="O25">
            <v>61.63973</v>
          </cell>
        </row>
        <row r="28">
          <cell r="N28" t="str">
            <v>Огнеборцы ВЛ</v>
          </cell>
          <cell r="O28">
            <v>3354.88778</v>
          </cell>
        </row>
        <row r="29">
          <cell r="N29" t="str">
            <v>Огнеборцы КТП</v>
          </cell>
          <cell r="O29">
            <v>12.541840000000001</v>
          </cell>
        </row>
        <row r="30">
          <cell r="N30" t="str">
            <v>Огнеборцы КТП</v>
          </cell>
          <cell r="O30">
            <v>195.41754999999998</v>
          </cell>
        </row>
        <row r="31">
          <cell r="N31" t="str">
            <v>Огнеборцы КТП</v>
          </cell>
          <cell r="O31">
            <v>222.32892000000001</v>
          </cell>
        </row>
        <row r="32">
          <cell r="N32" t="str">
            <v>Огнеборцы КТП</v>
          </cell>
          <cell r="O32">
            <v>12.60702</v>
          </cell>
        </row>
        <row r="33">
          <cell r="N33" t="str">
            <v>Огнеборцы КТП</v>
          </cell>
          <cell r="O33">
            <v>195.49142999999998</v>
          </cell>
        </row>
        <row r="34">
          <cell r="N34" t="str">
            <v>Огнеборцы КТП</v>
          </cell>
          <cell r="O34">
            <v>222.40714000000003</v>
          </cell>
        </row>
        <row r="35">
          <cell r="N35" t="str">
            <v>Огнеборцы КТП</v>
          </cell>
          <cell r="O35">
            <v>12.440899999999999</v>
          </cell>
        </row>
        <row r="36">
          <cell r="N36" t="str">
            <v>Огнеборцы КТП</v>
          </cell>
          <cell r="O36">
            <v>195.30315999999999</v>
          </cell>
        </row>
        <row r="37">
          <cell r="N37" t="str">
            <v>Огнеборцы КТП</v>
          </cell>
          <cell r="O37">
            <v>198.82685999999998</v>
          </cell>
        </row>
        <row r="38">
          <cell r="N38" t="str">
            <v>Огнеборцы КТП</v>
          </cell>
          <cell r="O38">
            <v>20.466279999999998</v>
          </cell>
        </row>
        <row r="39">
          <cell r="N39" t="str">
            <v>Огнеборцы КТП</v>
          </cell>
          <cell r="O39">
            <v>227.91436999999999</v>
          </cell>
        </row>
        <row r="40">
          <cell r="N40" t="str">
            <v>Огнеборцы КТП</v>
          </cell>
          <cell r="O40">
            <v>199.41114999999999</v>
          </cell>
        </row>
        <row r="41">
          <cell r="N41" t="str">
            <v>ИП Борлыков С.Б.</v>
          </cell>
          <cell r="O41">
            <v>80.771590000000003</v>
          </cell>
        </row>
        <row r="43">
          <cell r="N43" t="str">
            <v>Огнеборцы ВЛ</v>
          </cell>
          <cell r="O43">
            <v>1104.9962600000001</v>
          </cell>
        </row>
        <row r="44">
          <cell r="N44" t="str">
            <v>Огнеборцы ВЛ</v>
          </cell>
          <cell r="O44">
            <v>384.52249999999998</v>
          </cell>
        </row>
        <row r="45">
          <cell r="N45" t="str">
            <v>Огнеборцы ВЛ</v>
          </cell>
          <cell r="O45">
            <v>334.12278000000003</v>
          </cell>
        </row>
        <row r="46">
          <cell r="N46" t="str">
            <v>Огнеборцы ВЛ</v>
          </cell>
          <cell r="O46">
            <v>235.09849</v>
          </cell>
        </row>
        <row r="47">
          <cell r="N47" t="str">
            <v>Огнеборцы ВЛ</v>
          </cell>
          <cell r="O47">
            <v>345.52073999999999</v>
          </cell>
        </row>
        <row r="48">
          <cell r="N48" t="str">
            <v>Огнеборцы ВЛ</v>
          </cell>
          <cell r="O48">
            <v>316.21316999999999</v>
          </cell>
        </row>
        <row r="49">
          <cell r="N49" t="str">
            <v>Огнеборцы ВЛ</v>
          </cell>
          <cell r="O49">
            <v>263.38590000000005</v>
          </cell>
        </row>
        <row r="51">
          <cell r="N51" t="str">
            <v>Михайлинов А.М.</v>
          </cell>
          <cell r="O51">
            <v>171.04404</v>
          </cell>
        </row>
        <row r="52">
          <cell r="N52" t="str">
            <v>Минкеев У.Б.</v>
          </cell>
          <cell r="O52">
            <v>21.696200000000001</v>
          </cell>
        </row>
        <row r="53">
          <cell r="N53" t="str">
            <v>Карташова Э.В.</v>
          </cell>
          <cell r="O53">
            <v>18.534800000000001</v>
          </cell>
        </row>
        <row r="54">
          <cell r="N54" t="str">
            <v>Тюлеева Л.К.</v>
          </cell>
          <cell r="O54">
            <v>21.596160000000001</v>
          </cell>
        </row>
        <row r="55">
          <cell r="N55" t="str">
            <v>Пахомова В.И.</v>
          </cell>
          <cell r="O55">
            <v>18.077000000000002</v>
          </cell>
        </row>
        <row r="56">
          <cell r="N56" t="str">
            <v>ООО "РТ-ИНВЕСТ Транспортные системы" (п.Малые Дербеты)</v>
          </cell>
          <cell r="O56">
            <v>148.84246999999999</v>
          </cell>
        </row>
        <row r="57">
          <cell r="N57" t="str">
            <v>ООО "РТ-ИНВЕСТ Транспортные системы" (п.Малые Дербеты)</v>
          </cell>
          <cell r="O57">
            <v>19.245909999999999</v>
          </cell>
        </row>
        <row r="58">
          <cell r="N58" t="str">
            <v>ООО "РТ-ИНВЕСТ Транспортные системы" (п.Малые Дербеты)</v>
          </cell>
          <cell r="O58">
            <v>81.234110000000001</v>
          </cell>
        </row>
        <row r="59">
          <cell r="N59" t="str">
            <v>ООО "РТ-ИНВЕСТ Транспортные системы" (п.Малые Дербеты)</v>
          </cell>
          <cell r="O59">
            <v>101.46119999999999</v>
          </cell>
        </row>
        <row r="60">
          <cell r="N60" t="str">
            <v>ООО "РТ-ИНВЕСТ Транспортные системы" (с.Троицкое)</v>
          </cell>
          <cell r="O60">
            <v>30.833009999999998</v>
          </cell>
        </row>
        <row r="61">
          <cell r="N61" t="str">
            <v>ЛПХ Баканев К.М.</v>
          </cell>
          <cell r="O61">
            <v>30.198700000000002</v>
          </cell>
        </row>
        <row r="62">
          <cell r="N62" t="str">
            <v>Дорджиева В.О.</v>
          </cell>
          <cell r="O62">
            <v>33.573920000000001</v>
          </cell>
        </row>
        <row r="63">
          <cell r="N63" t="str">
            <v>Санджиева А.Н.</v>
          </cell>
          <cell r="O63">
            <v>21.331619999999997</v>
          </cell>
        </row>
        <row r="64">
          <cell r="N64" t="str">
            <v>Нохаева Б.А.</v>
          </cell>
          <cell r="O64">
            <v>19.494119999999999</v>
          </cell>
        </row>
        <row r="65">
          <cell r="N65" t="str">
            <v>Бадминов Н.О.</v>
          </cell>
          <cell r="O65">
            <v>33.999790000000004</v>
          </cell>
        </row>
        <row r="66">
          <cell r="N66" t="str">
            <v>Бадмаев Ч.В.</v>
          </cell>
          <cell r="O66">
            <v>70.189479999999989</v>
          </cell>
        </row>
        <row r="67">
          <cell r="N67" t="str">
            <v>Нимгиров Г.Ю.</v>
          </cell>
          <cell r="O67">
            <v>47.974160000000005</v>
          </cell>
        </row>
        <row r="68">
          <cell r="N68" t="str">
            <v>Кукеев Д.С.</v>
          </cell>
          <cell r="O68">
            <v>79.18356</v>
          </cell>
        </row>
        <row r="69">
          <cell r="N69" t="str">
            <v>Бембеев С.Г.</v>
          </cell>
          <cell r="O69">
            <v>21.081189999999999</v>
          </cell>
        </row>
        <row r="70">
          <cell r="N70" t="str">
            <v>ИП Манжиков А.В.</v>
          </cell>
          <cell r="O70">
            <v>55.603439999999999</v>
          </cell>
        </row>
        <row r="71">
          <cell r="N71" t="str">
            <v>Эндыров Р.И.</v>
          </cell>
          <cell r="O71">
            <v>46.00976</v>
          </cell>
        </row>
        <row r="72">
          <cell r="N72" t="str">
            <v>Харакаева Ц.Б.</v>
          </cell>
          <cell r="O72">
            <v>25.068099999999998</v>
          </cell>
        </row>
        <row r="73">
          <cell r="N73" t="str">
            <v>Администрация Юстинского районного муниципального образования РК: фельдшерско-акушерский пункт (ФАП) п.Харба</v>
          </cell>
          <cell r="O73">
            <v>43.388469999999998</v>
          </cell>
        </row>
        <row r="74">
          <cell r="N74" t="str">
            <v>Манджиев Б.Г.</v>
          </cell>
          <cell r="O74">
            <v>12.189590000000001</v>
          </cell>
        </row>
        <row r="75">
          <cell r="N75" t="str">
            <v>Микеев В.В.</v>
          </cell>
          <cell r="O75">
            <v>22.821919999999999</v>
          </cell>
        </row>
        <row r="76">
          <cell r="N76" t="str">
            <v>Дюсенова И.С.</v>
          </cell>
          <cell r="O76">
            <v>22.880860000000002</v>
          </cell>
        </row>
        <row r="77">
          <cell r="N77" t="str">
            <v>Бимбеева З.Б.</v>
          </cell>
          <cell r="O77">
            <v>22.388259999999999</v>
          </cell>
        </row>
        <row r="78">
          <cell r="N78" t="str">
            <v>Тюлюмджиева Г.Э.</v>
          </cell>
          <cell r="O78">
            <v>11.92615</v>
          </cell>
        </row>
        <row r="79">
          <cell r="N79" t="str">
            <v>Администрация Яшкульского СМО</v>
          </cell>
          <cell r="O79">
            <v>23.867339999999999</v>
          </cell>
        </row>
        <row r="80">
          <cell r="N80" t="str">
            <v>Манкуев Б.Н.</v>
          </cell>
          <cell r="O80">
            <v>231.49831</v>
          </cell>
        </row>
        <row r="81">
          <cell r="N81" t="str">
            <v>Мегафон</v>
          </cell>
          <cell r="O81">
            <v>98.097059999999999</v>
          </cell>
        </row>
        <row r="82">
          <cell r="N82" t="str">
            <v>Мегафон</v>
          </cell>
          <cell r="O82">
            <v>78.591380000000001</v>
          </cell>
        </row>
        <row r="83">
          <cell r="N83" t="str">
            <v>Мегафон</v>
          </cell>
          <cell r="O83">
            <v>46.123269999999998</v>
          </cell>
        </row>
        <row r="84">
          <cell r="N84" t="str">
            <v>Мегафон</v>
          </cell>
          <cell r="O84">
            <v>1117.3082099999999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K13">
            <v>3354.88778</v>
          </cell>
        </row>
      </sheetData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4 МУ"/>
      <sheetName val="прил 5 МУ"/>
      <sheetName val="прил 6 МУ"/>
      <sheetName val="прил 7 МУ"/>
      <sheetName val="прил 8 МУ"/>
      <sheetName val="прил 9 МУ"/>
      <sheetName val="ввод"/>
      <sheetName val="ТП2017"/>
      <sheetName val="списание"/>
      <sheetName val="Част.спис.2017г"/>
      <sheetName val="прил Ж_оценщиков"/>
      <sheetName val="ввод за 2017"/>
      <sheetName val="списание за 17"/>
      <sheetName val="НИОКР"/>
    </sheetNames>
    <sheetDataSet>
      <sheetData sheetId="0"/>
      <sheetData sheetId="1">
        <row r="18">
          <cell r="J18">
            <v>583.10685999999998</v>
          </cell>
        </row>
      </sheetData>
      <sheetData sheetId="2"/>
      <sheetData sheetId="3"/>
      <sheetData sheetId="4"/>
      <sheetData sheetId="5"/>
      <sheetData sheetId="6"/>
      <sheetData sheetId="7">
        <row r="10">
          <cell r="J10">
            <v>583.10685999999998</v>
          </cell>
        </row>
        <row r="11">
          <cell r="K11">
            <v>258.70650000000001</v>
          </cell>
        </row>
        <row r="12">
          <cell r="K12">
            <v>182.97816</v>
          </cell>
        </row>
        <row r="13">
          <cell r="K13">
            <v>208.40666000000002</v>
          </cell>
        </row>
        <row r="14">
          <cell r="J14">
            <v>103.95426999999999</v>
          </cell>
        </row>
        <row r="15">
          <cell r="J15">
            <v>51.398760000000003</v>
          </cell>
        </row>
        <row r="16">
          <cell r="J16">
            <v>146.59905000000001</v>
          </cell>
        </row>
        <row r="17">
          <cell r="J17">
            <v>346.35485</v>
          </cell>
        </row>
        <row r="18">
          <cell r="J18">
            <v>2483.5903899999998</v>
          </cell>
        </row>
        <row r="19">
          <cell r="J19">
            <v>78.802199999999999</v>
          </cell>
        </row>
        <row r="20">
          <cell r="J20">
            <v>48.602359999999997</v>
          </cell>
        </row>
        <row r="21">
          <cell r="J21">
            <v>128.19777999999999</v>
          </cell>
        </row>
        <row r="22">
          <cell r="K22">
            <v>1410.80159</v>
          </cell>
        </row>
        <row r="23">
          <cell r="J23">
            <v>1441.5571399999999</v>
          </cell>
        </row>
        <row r="24">
          <cell r="J24">
            <v>66.865539999999996</v>
          </cell>
        </row>
        <row r="25">
          <cell r="J25">
            <v>41.240250000000003</v>
          </cell>
        </row>
        <row r="26">
          <cell r="J26">
            <v>108.77885999999999</v>
          </cell>
        </row>
        <row r="27">
          <cell r="J27">
            <v>938.74027999999998</v>
          </cell>
        </row>
        <row r="28">
          <cell r="J28">
            <v>64.927279999999996</v>
          </cell>
        </row>
        <row r="29">
          <cell r="J29">
            <v>40.044800000000002</v>
          </cell>
        </row>
        <row r="30">
          <cell r="J30">
            <v>105.62564</v>
          </cell>
        </row>
        <row r="31">
          <cell r="J31">
            <v>1448.33194</v>
          </cell>
        </row>
        <row r="32">
          <cell r="K32">
            <v>1005.23227</v>
          </cell>
        </row>
        <row r="33">
          <cell r="K33">
            <v>35.310009999999998</v>
          </cell>
        </row>
        <row r="34">
          <cell r="K34">
            <v>10.232060000000001</v>
          </cell>
        </row>
        <row r="35">
          <cell r="K35">
            <v>49.452509999999997</v>
          </cell>
        </row>
        <row r="36">
          <cell r="J36">
            <v>12.82959</v>
          </cell>
        </row>
        <row r="37">
          <cell r="K37">
            <v>26.060030000000001</v>
          </cell>
        </row>
        <row r="38">
          <cell r="K38">
            <v>46.661529999999999</v>
          </cell>
        </row>
        <row r="39">
          <cell r="K39">
            <v>238.96933999999999</v>
          </cell>
        </row>
        <row r="40">
          <cell r="K40">
            <v>196.96916999999999</v>
          </cell>
        </row>
        <row r="41">
          <cell r="K41">
            <v>48.663710000000002</v>
          </cell>
        </row>
        <row r="42">
          <cell r="K42">
            <v>45.223280000000003</v>
          </cell>
        </row>
        <row r="43">
          <cell r="K43">
            <v>72.102869999999996</v>
          </cell>
        </row>
        <row r="44">
          <cell r="K44">
            <v>32.153759999999998</v>
          </cell>
        </row>
        <row r="45">
          <cell r="K45">
            <v>129.43599</v>
          </cell>
        </row>
        <row r="46">
          <cell r="K46">
            <v>31.19782</v>
          </cell>
        </row>
        <row r="47">
          <cell r="K47">
            <v>13.32292</v>
          </cell>
        </row>
        <row r="48">
          <cell r="K48">
            <v>208.32629</v>
          </cell>
        </row>
        <row r="49">
          <cell r="K49">
            <v>57.053809999999999</v>
          </cell>
        </row>
        <row r="50">
          <cell r="J50">
            <v>126.06036999999999</v>
          </cell>
        </row>
        <row r="51">
          <cell r="K51">
            <v>88.257339999999999</v>
          </cell>
        </row>
        <row r="52">
          <cell r="K52">
            <v>295.72361999999998</v>
          </cell>
        </row>
        <row r="53">
          <cell r="K53">
            <v>82.181149999999988</v>
          </cell>
        </row>
        <row r="54">
          <cell r="K54">
            <v>85.77628</v>
          </cell>
        </row>
        <row r="55">
          <cell r="K55">
            <v>128.19454999999999</v>
          </cell>
        </row>
        <row r="56">
          <cell r="K56">
            <v>81.776710000000008</v>
          </cell>
        </row>
        <row r="57">
          <cell r="K57">
            <v>81.873289999999997</v>
          </cell>
        </row>
        <row r="58">
          <cell r="K58">
            <v>76.577300000000008</v>
          </cell>
        </row>
        <row r="59">
          <cell r="K59">
            <v>6.5974300000000001</v>
          </cell>
        </row>
        <row r="60">
          <cell r="K60">
            <v>36.803129999999996</v>
          </cell>
        </row>
        <row r="61">
          <cell r="K61">
            <v>11.08967</v>
          </cell>
        </row>
        <row r="62">
          <cell r="K62">
            <v>26.19725</v>
          </cell>
        </row>
        <row r="63">
          <cell r="K63">
            <v>11.32733</v>
          </cell>
        </row>
        <row r="64">
          <cell r="K64">
            <v>11.71669</v>
          </cell>
        </row>
        <row r="65">
          <cell r="K65">
            <v>181.31333999999998</v>
          </cell>
        </row>
        <row r="66">
          <cell r="J66">
            <v>13.385879999999998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3.1"/>
      <sheetName val="3.1.1 -реестр исполненных"/>
      <sheetName val="3.1.1-реестр исполн.(0)"/>
      <sheetName val="3.1.2 - реестр инв.сост."/>
      <sheetName val="3.1.2 - реестр инв.сост.0"/>
      <sheetName val="3.2"/>
      <sheetName val="3.3"/>
      <sheetName val="3.3.1 - реестр 2016г"/>
      <sheetName val="3.3.1 - реестр 2016г0"/>
      <sheetName val="3.2.2 - реестр до 150 не льгот"/>
      <sheetName val="3.2.2-реестр до 150 (0)"/>
      <sheetName val="Затраты 2016"/>
      <sheetName val="Стр.2016"/>
      <sheetName val="Огнеборцы"/>
      <sheetName val="стр.2015"/>
      <sheetName val="стр.2014"/>
    </sheetNames>
    <sheetDataSet>
      <sheetData sheetId="0" refreshError="1"/>
      <sheetData sheetId="1" refreshError="1"/>
      <sheetData sheetId="2">
        <row r="6">
          <cell r="E6">
            <v>191</v>
          </cell>
        </row>
        <row r="10">
          <cell r="C10" t="str">
            <v>80-1-16-00254017</v>
          </cell>
          <cell r="D10" t="str">
            <v>Индивидуальный предприниматель, глава КФХ Манжиков Алексей Витальевич</v>
          </cell>
          <cell r="E10" t="str">
            <v>0,4</v>
          </cell>
          <cell r="F10">
            <v>8.5304486732720246</v>
          </cell>
          <cell r="G10">
            <v>15</v>
          </cell>
          <cell r="H10">
            <v>0.56869657821813502</v>
          </cell>
          <cell r="I10">
            <v>55.603439999999999</v>
          </cell>
        </row>
        <row r="11">
          <cell r="C11" t="str">
            <v>80-1-16-00259853</v>
          </cell>
          <cell r="D11" t="str">
            <v>Баканев Константин Михайлович</v>
          </cell>
          <cell r="E11" t="str">
            <v>0,4</v>
          </cell>
          <cell r="F11">
            <v>8.5304486732720246</v>
          </cell>
          <cell r="G11">
            <v>2</v>
          </cell>
          <cell r="H11">
            <v>4.2652243366360123</v>
          </cell>
          <cell r="I11">
            <v>30.198700000000002</v>
          </cell>
        </row>
        <row r="12">
          <cell r="C12" t="str">
            <v>11901-14-00162649-1</v>
          </cell>
          <cell r="D12" t="str">
            <v>Мархаева Елизавета Александровна</v>
          </cell>
          <cell r="E12" t="str">
            <v>0,4</v>
          </cell>
          <cell r="F12">
            <v>8.5304486732720246</v>
          </cell>
          <cell r="G12">
            <v>5</v>
          </cell>
          <cell r="H12">
            <v>1.7060897346544048</v>
          </cell>
          <cell r="I12" t="str">
            <v/>
          </cell>
        </row>
        <row r="13">
          <cell r="C13" t="str">
            <v>11901-13-00144945-1</v>
          </cell>
          <cell r="D13" t="str">
            <v>Коворов Алексей Санджиевич</v>
          </cell>
          <cell r="E13" t="str">
            <v>0,4</v>
          </cell>
          <cell r="F13">
            <v>8.5304486732720246</v>
          </cell>
          <cell r="G13">
            <v>5</v>
          </cell>
          <cell r="H13">
            <v>1.7060897346544048</v>
          </cell>
          <cell r="I13" t="str">
            <v/>
          </cell>
        </row>
        <row r="14">
          <cell r="C14" t="str">
            <v>11901-13-00144911-1</v>
          </cell>
          <cell r="D14" t="str">
            <v>Бембеева Галина Лиджиевна</v>
          </cell>
          <cell r="E14" t="str">
            <v>0,4</v>
          </cell>
          <cell r="F14">
            <v>8.5304486732720246</v>
          </cell>
          <cell r="G14">
            <v>5</v>
          </cell>
          <cell r="H14">
            <v>1.7060897346544048</v>
          </cell>
          <cell r="I14" t="str">
            <v/>
          </cell>
        </row>
        <row r="15">
          <cell r="C15" t="str">
            <v>11901-13-00148585-1</v>
          </cell>
          <cell r="D15" t="str">
            <v>Убушуев Мингиян Николаевич</v>
          </cell>
          <cell r="E15" t="str">
            <v>0,4</v>
          </cell>
          <cell r="F15">
            <v>8.5304486732720246</v>
          </cell>
          <cell r="G15">
            <v>5</v>
          </cell>
          <cell r="H15">
            <v>1.7060897346544048</v>
          </cell>
          <cell r="I15" t="str">
            <v/>
          </cell>
        </row>
        <row r="16">
          <cell r="C16" t="str">
            <v>11901-13-00148631-1</v>
          </cell>
          <cell r="D16" t="str">
            <v>Петруев Баатр Эрдниевич</v>
          </cell>
          <cell r="E16" t="str">
            <v>0,4</v>
          </cell>
          <cell r="F16">
            <v>8.5304486732720246</v>
          </cell>
          <cell r="G16">
            <v>5</v>
          </cell>
          <cell r="H16">
            <v>1.7060897346544048</v>
          </cell>
          <cell r="I16" t="str">
            <v/>
          </cell>
        </row>
        <row r="17">
          <cell r="C17" t="str">
            <v>11901-13-00144925-1</v>
          </cell>
          <cell r="D17" t="str">
            <v>Дорджиева Виктория Очировна</v>
          </cell>
          <cell r="E17" t="str">
            <v>0,4</v>
          </cell>
          <cell r="F17">
            <v>8.5304486732720246</v>
          </cell>
          <cell r="G17">
            <v>5</v>
          </cell>
          <cell r="H17">
            <v>1.7060897346544048</v>
          </cell>
          <cell r="I17" t="str">
            <v/>
          </cell>
        </row>
        <row r="18">
          <cell r="C18" t="str">
            <v>11901-13-00144937-1</v>
          </cell>
          <cell r="D18" t="str">
            <v>Кекеев Адьян Александрович</v>
          </cell>
          <cell r="E18" t="str">
            <v>0,4</v>
          </cell>
          <cell r="F18">
            <v>8.5304486732720246</v>
          </cell>
          <cell r="G18">
            <v>5</v>
          </cell>
          <cell r="H18">
            <v>1.7060897346544048</v>
          </cell>
          <cell r="I18" t="str">
            <v/>
          </cell>
        </row>
        <row r="19">
          <cell r="C19" t="str">
            <v>11901-13-00145825-1</v>
          </cell>
          <cell r="D19" t="str">
            <v>Ушанов Батр Намжилович</v>
          </cell>
          <cell r="E19" t="str">
            <v>0,4</v>
          </cell>
          <cell r="F19">
            <v>8.5304486732720246</v>
          </cell>
          <cell r="G19">
            <v>5</v>
          </cell>
          <cell r="H19">
            <v>1.7060897346544048</v>
          </cell>
          <cell r="I19" t="str">
            <v/>
          </cell>
        </row>
        <row r="20">
          <cell r="C20" t="str">
            <v>11901-13-00145901-1</v>
          </cell>
          <cell r="D20" t="str">
            <v>Хулхачиева Нина Лиджиевна</v>
          </cell>
          <cell r="E20" t="str">
            <v>0,4</v>
          </cell>
          <cell r="F20">
            <v>8.5304486732720246</v>
          </cell>
          <cell r="G20">
            <v>5</v>
          </cell>
          <cell r="H20">
            <v>1.7060897346544048</v>
          </cell>
          <cell r="I20" t="str">
            <v/>
          </cell>
        </row>
        <row r="21">
          <cell r="C21" t="str">
            <v>11901-13-00144935-1</v>
          </cell>
          <cell r="D21" t="str">
            <v>Каруева Кермен Николаевна</v>
          </cell>
          <cell r="E21" t="str">
            <v>0,4</v>
          </cell>
          <cell r="F21">
            <v>8.5304486732720246</v>
          </cell>
          <cell r="G21">
            <v>5</v>
          </cell>
          <cell r="H21">
            <v>1.7060897346544048</v>
          </cell>
          <cell r="I21" t="str">
            <v/>
          </cell>
        </row>
        <row r="22">
          <cell r="C22" t="str">
            <v>80-1-14-00176021</v>
          </cell>
          <cell r="D22" t="str">
            <v>ИП Наминова Любовь Дорджиевна</v>
          </cell>
          <cell r="E22" t="str">
            <v>0,4</v>
          </cell>
          <cell r="F22">
            <v>8.5304486732720246</v>
          </cell>
          <cell r="G22">
            <v>13.2</v>
          </cell>
          <cell r="H22">
            <v>0.64624611161151702</v>
          </cell>
          <cell r="I22" t="str">
            <v/>
          </cell>
        </row>
        <row r="23">
          <cell r="C23" t="str">
            <v>80-1-15-00189185</v>
          </cell>
          <cell r="D23" t="str">
            <v>Министерство по строительству , транспорту и дорожному хозяйству Республики Калмыкия</v>
          </cell>
          <cell r="E23" t="str">
            <v>0,4</v>
          </cell>
          <cell r="F23">
            <v>8.5304486732720246</v>
          </cell>
          <cell r="G23">
            <v>0.1</v>
          </cell>
          <cell r="H23">
            <v>85.304486732720235</v>
          </cell>
          <cell r="I23" t="str">
            <v/>
          </cell>
        </row>
        <row r="24">
          <cell r="C24" t="str">
            <v>80-1-15-00192689</v>
          </cell>
          <cell r="D24" t="str">
            <v>Лиджиева Наталья Ивановна</v>
          </cell>
          <cell r="E24" t="str">
            <v>0,4</v>
          </cell>
          <cell r="F24">
            <v>8.5304486732720246</v>
          </cell>
          <cell r="G24">
            <v>5</v>
          </cell>
          <cell r="H24">
            <v>1.7060897346544048</v>
          </cell>
          <cell r="I24" t="str">
            <v/>
          </cell>
        </row>
        <row r="25">
          <cell r="C25" t="str">
            <v>80-1-15-00201219</v>
          </cell>
          <cell r="D25" t="str">
            <v>Пахомова Валентина Ивановна</v>
          </cell>
          <cell r="E25" t="str">
            <v>0,4</v>
          </cell>
          <cell r="F25">
            <v>8.5304486732720246</v>
          </cell>
          <cell r="G25">
            <v>15</v>
          </cell>
          <cell r="H25">
            <v>0.56869657821813502</v>
          </cell>
          <cell r="I25">
            <v>18.077000000000002</v>
          </cell>
        </row>
        <row r="26">
          <cell r="C26" t="str">
            <v>80-1-15-00199191</v>
          </cell>
          <cell r="D26" t="str">
            <v>Минкеев Улюмдж Батырович</v>
          </cell>
          <cell r="E26" t="str">
            <v>0,4</v>
          </cell>
          <cell r="F26">
            <v>8.5304486732720246</v>
          </cell>
          <cell r="G26">
            <v>5</v>
          </cell>
          <cell r="H26">
            <v>1.7060897346544048</v>
          </cell>
          <cell r="I26">
            <v>21.696200000000001</v>
          </cell>
        </row>
        <row r="27">
          <cell r="C27" t="str">
            <v>80-1-15-00217471</v>
          </cell>
          <cell r="D27" t="str">
            <v>Михайлинов Аркадий Михайлович</v>
          </cell>
          <cell r="E27" t="str">
            <v>0,4</v>
          </cell>
          <cell r="F27">
            <v>8.5304486732720246</v>
          </cell>
          <cell r="G27">
            <v>10</v>
          </cell>
          <cell r="H27">
            <v>0.85304486732720242</v>
          </cell>
          <cell r="I27">
            <v>171.04404</v>
          </cell>
        </row>
        <row r="28">
          <cell r="C28" t="str">
            <v>80-1-15-00209285</v>
          </cell>
          <cell r="D28" t="str">
            <v>Нимгиров Геннадий Юрьевич</v>
          </cell>
          <cell r="E28" t="str">
            <v>0,4</v>
          </cell>
          <cell r="F28">
            <v>8.5304486732720246</v>
          </cell>
          <cell r="G28">
            <v>5</v>
          </cell>
          <cell r="H28">
            <v>1.7060897346544048</v>
          </cell>
          <cell r="I28">
            <v>47.974160000000005</v>
          </cell>
        </row>
        <row r="29">
          <cell r="C29" t="str">
            <v>80-1-15-00205431</v>
          </cell>
          <cell r="D29" t="str">
            <v>Тюлеева Любовь Канушевна</v>
          </cell>
          <cell r="E29" t="str">
            <v>0,4</v>
          </cell>
          <cell r="F29">
            <v>8.5304486732720246</v>
          </cell>
          <cell r="G29">
            <v>5</v>
          </cell>
          <cell r="H29">
            <v>1.7060897346544048</v>
          </cell>
          <cell r="I29">
            <v>21.596160000000001</v>
          </cell>
        </row>
        <row r="30">
          <cell r="C30" t="str">
            <v>80-1-15-00221381</v>
          </cell>
          <cell r="D30" t="str">
            <v>Гувуров Александр Александрович</v>
          </cell>
          <cell r="E30" t="str">
            <v>0,4</v>
          </cell>
          <cell r="F30">
            <v>8.5304486732720246</v>
          </cell>
          <cell r="G30">
            <v>5</v>
          </cell>
          <cell r="H30">
            <v>1.7060897346544048</v>
          </cell>
          <cell r="I30" t="str">
            <v/>
          </cell>
        </row>
        <row r="31">
          <cell r="C31" t="str">
            <v>80-1-15-00236513</v>
          </cell>
          <cell r="D31" t="str">
            <v>Нохаева Баира Александровна</v>
          </cell>
          <cell r="E31" t="str">
            <v>0,4</v>
          </cell>
          <cell r="F31">
            <v>8.5304486732720246</v>
          </cell>
          <cell r="G31">
            <v>5</v>
          </cell>
          <cell r="H31">
            <v>1.7060897346544048</v>
          </cell>
          <cell r="I31">
            <v>19.494119999999999</v>
          </cell>
        </row>
        <row r="32">
          <cell r="C32" t="str">
            <v>80-1-16-00248597</v>
          </cell>
          <cell r="D32" t="str">
            <v>Дорджиева Валентина Орзаевна</v>
          </cell>
          <cell r="E32" t="str">
            <v>0,4</v>
          </cell>
          <cell r="F32">
            <v>8.5304486732720246</v>
          </cell>
          <cell r="G32">
            <v>7</v>
          </cell>
          <cell r="H32">
            <v>1.2186355247531464</v>
          </cell>
          <cell r="I32">
            <v>33.573920000000001</v>
          </cell>
        </row>
        <row r="33">
          <cell r="C33" t="str">
            <v>80-1-16-00251377</v>
          </cell>
          <cell r="D33" t="str">
            <v>Общество с ограниченной ответственностью РТ-Инвест Транспортные Системы</v>
          </cell>
          <cell r="E33" t="str">
            <v>0,4</v>
          </cell>
          <cell r="F33">
            <v>8.5304486732720246</v>
          </cell>
          <cell r="G33">
            <v>15</v>
          </cell>
          <cell r="H33">
            <v>0.56869657821813502</v>
          </cell>
          <cell r="I33">
            <v>30.833009999999998</v>
          </cell>
        </row>
        <row r="34">
          <cell r="C34" t="str">
            <v>80-1-15-00211511</v>
          </cell>
          <cell r="D34" t="str">
            <v>Затонский Андрей Николаевич</v>
          </cell>
          <cell r="E34" t="str">
            <v>0,4</v>
          </cell>
          <cell r="F34">
            <v>8.5304486732720246</v>
          </cell>
          <cell r="G34">
            <v>10</v>
          </cell>
          <cell r="H34">
            <v>0.85304486732720242</v>
          </cell>
          <cell r="I34" t="str">
            <v/>
          </cell>
        </row>
        <row r="35">
          <cell r="C35" t="str">
            <v>80-1-15-00211559</v>
          </cell>
          <cell r="D35" t="str">
            <v>Зябрев Василий Алексеевич</v>
          </cell>
          <cell r="E35" t="str">
            <v>0,4</v>
          </cell>
          <cell r="F35">
            <v>8.5304486732720246</v>
          </cell>
          <cell r="G35">
            <v>10</v>
          </cell>
          <cell r="H35">
            <v>0.85304486732720242</v>
          </cell>
          <cell r="I35" t="str">
            <v/>
          </cell>
        </row>
        <row r="36">
          <cell r="C36" t="str">
            <v>80-1-16-00253185</v>
          </cell>
          <cell r="D36" t="str">
            <v>Санджиева Алёна Николаевна</v>
          </cell>
          <cell r="E36" t="str">
            <v>0,4</v>
          </cell>
          <cell r="F36">
            <v>8.5304486732720246</v>
          </cell>
          <cell r="G36">
            <v>5</v>
          </cell>
          <cell r="H36">
            <v>1.7060897346544048</v>
          </cell>
          <cell r="I36">
            <v>21.331619999999997</v>
          </cell>
        </row>
        <row r="37">
          <cell r="C37" t="str">
            <v>80-1-16-00262039</v>
          </cell>
          <cell r="D37" t="str">
            <v>Харакаева Цагана Батеоровна</v>
          </cell>
          <cell r="E37" t="str">
            <v>0,4</v>
          </cell>
          <cell r="F37">
            <v>8.5304486732720246</v>
          </cell>
          <cell r="G37">
            <v>5.36</v>
          </cell>
          <cell r="H37">
            <v>1.5915016181477657</v>
          </cell>
          <cell r="I37">
            <v>25.068099999999998</v>
          </cell>
        </row>
        <row r="38">
          <cell r="C38" t="str">
            <v>80-1-16-00273189</v>
          </cell>
          <cell r="D38" t="str">
            <v>Микеев Владимир Викторович</v>
          </cell>
          <cell r="E38" t="str">
            <v>0,4</v>
          </cell>
          <cell r="F38">
            <v>8.5304486732720246</v>
          </cell>
          <cell r="G38">
            <v>6</v>
          </cell>
          <cell r="H38">
            <v>1.4217414455453374</v>
          </cell>
          <cell r="I38">
            <v>22.821919999999999</v>
          </cell>
        </row>
        <row r="39">
          <cell r="C39" t="str">
            <v>80-1-16-00273937</v>
          </cell>
          <cell r="D39" t="str">
            <v>Манкуев Бадма Николаевич</v>
          </cell>
          <cell r="E39" t="str">
            <v>0,4</v>
          </cell>
          <cell r="F39">
            <v>8.5304486732720246</v>
          </cell>
          <cell r="G39">
            <v>3.6</v>
          </cell>
          <cell r="H39">
            <v>2.3695690759088959</v>
          </cell>
          <cell r="I39">
            <v>231.49831</v>
          </cell>
        </row>
        <row r="40">
          <cell r="C40" t="str">
            <v>80-1-16-00274783</v>
          </cell>
          <cell r="D40" t="str">
            <v>Бимбеева Зинаида Бадьминовна</v>
          </cell>
          <cell r="E40" t="str">
            <v>0,4</v>
          </cell>
          <cell r="F40">
            <v>8.5304486732720246</v>
          </cell>
          <cell r="G40">
            <v>5</v>
          </cell>
          <cell r="H40">
            <v>1.7060897346544048</v>
          </cell>
          <cell r="I40">
            <v>22.388259999999999</v>
          </cell>
        </row>
        <row r="41">
          <cell r="C41" t="str">
            <v>80-1-16-00264009</v>
          </cell>
          <cell r="D41" t="str">
            <v>Манджиев Баатр Григорьевич</v>
          </cell>
          <cell r="E41" t="str">
            <v>0,4</v>
          </cell>
          <cell r="F41">
            <v>8.5304486732720246</v>
          </cell>
          <cell r="G41">
            <v>5</v>
          </cell>
          <cell r="H41">
            <v>1.7060897346544048</v>
          </cell>
          <cell r="I41">
            <v>12.189590000000001</v>
          </cell>
        </row>
        <row r="42">
          <cell r="C42" t="str">
            <v>80-1-16-00284261</v>
          </cell>
          <cell r="D42" t="str">
            <v>Администрация Юстинскогог районного муниципального образования РК</v>
          </cell>
          <cell r="E42" t="str">
            <v>0,4</v>
          </cell>
          <cell r="F42">
            <v>8.5304486732720246</v>
          </cell>
          <cell r="G42">
            <v>3.84</v>
          </cell>
          <cell r="H42">
            <v>2.2214710086645897</v>
          </cell>
          <cell r="I42">
            <v>43.388469999999998</v>
          </cell>
        </row>
        <row r="43">
          <cell r="C43" t="str">
            <v>80-1-16-00255191</v>
          </cell>
          <cell r="D43" t="str">
            <v>Акционерное общество "Газпром газораспределение Элиста"</v>
          </cell>
          <cell r="E43" t="str">
            <v>0,4</v>
          </cell>
          <cell r="F43">
            <v>8.5304486732720246</v>
          </cell>
          <cell r="G43">
            <v>3</v>
          </cell>
          <cell r="H43">
            <v>2.8434828910906749</v>
          </cell>
          <cell r="I43" t="str">
            <v/>
          </cell>
        </row>
        <row r="44">
          <cell r="C44" t="str">
            <v>80-1-16-00255145</v>
          </cell>
          <cell r="D44" t="str">
            <v>Акционерное общество "Газпром газораспределение Элиста"</v>
          </cell>
          <cell r="E44" t="str">
            <v>0,4</v>
          </cell>
          <cell r="F44">
            <v>8.5304486732720246</v>
          </cell>
          <cell r="G44">
            <v>3</v>
          </cell>
          <cell r="H44">
            <v>2.8434828910906749</v>
          </cell>
          <cell r="I44" t="str">
            <v/>
          </cell>
        </row>
        <row r="45">
          <cell r="C45" t="str">
            <v>80-1-16-00256553</v>
          </cell>
          <cell r="D45" t="str">
            <v>Аршинов Валерий Александрович</v>
          </cell>
          <cell r="E45" t="str">
            <v>0,4</v>
          </cell>
          <cell r="F45">
            <v>8.5304486732720246</v>
          </cell>
          <cell r="G45">
            <v>5</v>
          </cell>
          <cell r="H45">
            <v>1.7060897346544048</v>
          </cell>
          <cell r="I45" t="str">
            <v/>
          </cell>
        </row>
        <row r="46">
          <cell r="C46" t="str">
            <v>80-1-16-00255155</v>
          </cell>
          <cell r="D46" t="str">
            <v>Акционерное общество "Газпром газораспределение Элиста"</v>
          </cell>
          <cell r="E46" t="str">
            <v>0,4</v>
          </cell>
          <cell r="F46">
            <v>8.5304486732720246</v>
          </cell>
          <cell r="G46">
            <v>3</v>
          </cell>
          <cell r="H46">
            <v>2.8434828910906749</v>
          </cell>
          <cell r="I46" t="str">
            <v/>
          </cell>
        </row>
        <row r="47">
          <cell r="C47" t="str">
            <v>80-1-16-00255443</v>
          </cell>
          <cell r="D47" t="str">
            <v>Санджиева Наталья Николаевна</v>
          </cell>
          <cell r="E47" t="str">
            <v>0,4</v>
          </cell>
          <cell r="F47">
            <v>8.5304486732720246</v>
          </cell>
          <cell r="G47">
            <v>6</v>
          </cell>
          <cell r="H47">
            <v>1.4217414455453374</v>
          </cell>
          <cell r="I47" t="str">
            <v/>
          </cell>
        </row>
        <row r="48">
          <cell r="C48" t="str">
            <v>80-1-16-00255695</v>
          </cell>
          <cell r="D48" t="str">
            <v>Бембеева Галина Генадьевна</v>
          </cell>
          <cell r="E48" t="str">
            <v>0,4</v>
          </cell>
          <cell r="F48">
            <v>8.5304486732720246</v>
          </cell>
          <cell r="G48">
            <v>5</v>
          </cell>
          <cell r="H48">
            <v>1.7060897346544048</v>
          </cell>
          <cell r="I48" t="str">
            <v/>
          </cell>
        </row>
        <row r="49">
          <cell r="C49" t="str">
            <v>80-1-16-00258635</v>
          </cell>
          <cell r="D49" t="str">
            <v>Гордиенко Анатолий Григорьевич</v>
          </cell>
          <cell r="E49" t="str">
            <v>0,4</v>
          </cell>
          <cell r="F49">
            <v>8.5304486732720246</v>
          </cell>
          <cell r="G49">
            <v>10.5</v>
          </cell>
          <cell r="H49">
            <v>0.81242368316876423</v>
          </cell>
          <cell r="I49" t="str">
            <v/>
          </cell>
        </row>
        <row r="50">
          <cell r="C50" t="str">
            <v>80-1-16-00260231</v>
          </cell>
          <cell r="D50" t="str">
            <v>Симкаева Анна Вячеславовна</v>
          </cell>
          <cell r="E50" t="str">
            <v>0,4</v>
          </cell>
          <cell r="F50">
            <v>8.5304486732720246</v>
          </cell>
          <cell r="G50">
            <v>7.28</v>
          </cell>
          <cell r="H50">
            <v>1.1717649276472561</v>
          </cell>
          <cell r="I50" t="str">
            <v/>
          </cell>
        </row>
        <row r="51">
          <cell r="C51" t="str">
            <v>80-1-16-00255083</v>
          </cell>
          <cell r="D51" t="str">
            <v>Акционерное общество "Газпром газораспределение Элиста"</v>
          </cell>
          <cell r="E51" t="str">
            <v>0,4</v>
          </cell>
          <cell r="F51">
            <v>8.5304486732720246</v>
          </cell>
          <cell r="G51">
            <v>3</v>
          </cell>
          <cell r="H51">
            <v>2.8434828910906749</v>
          </cell>
          <cell r="I51" t="str">
            <v/>
          </cell>
        </row>
        <row r="52">
          <cell r="C52" t="str">
            <v>80-1-16-00255371</v>
          </cell>
          <cell r="D52" t="str">
            <v>Мулялина Светлана Андреевна</v>
          </cell>
          <cell r="E52" t="str">
            <v>0,4</v>
          </cell>
          <cell r="F52">
            <v>8.5304486732720246</v>
          </cell>
          <cell r="G52">
            <v>5</v>
          </cell>
          <cell r="H52">
            <v>1.7060897346544048</v>
          </cell>
          <cell r="I52" t="str">
            <v/>
          </cell>
        </row>
        <row r="53">
          <cell r="C53" t="str">
            <v>80-1-16-00255103</v>
          </cell>
          <cell r="D53" t="str">
            <v>Акционерное общество "Газпром газораспределение Элиста"</v>
          </cell>
          <cell r="E53" t="str">
            <v>0,4</v>
          </cell>
          <cell r="F53">
            <v>8.5304486732720246</v>
          </cell>
          <cell r="G53">
            <v>3</v>
          </cell>
          <cell r="H53">
            <v>2.8434828910906749</v>
          </cell>
          <cell r="I53" t="str">
            <v/>
          </cell>
        </row>
        <row r="54">
          <cell r="C54" t="str">
            <v>80-1-16-00259797</v>
          </cell>
          <cell r="D54" t="str">
            <v>Кучинская Валентина Васильевна</v>
          </cell>
          <cell r="E54" t="str">
            <v>0,4</v>
          </cell>
          <cell r="F54">
            <v>8.5304486732720246</v>
          </cell>
          <cell r="G54">
            <v>2.2999999999999998</v>
          </cell>
          <cell r="H54">
            <v>3.7088907275095764</v>
          </cell>
          <cell r="I54" t="str">
            <v/>
          </cell>
        </row>
        <row r="55">
          <cell r="C55" t="str">
            <v>80-1-16-00257053</v>
          </cell>
          <cell r="D55" t="str">
            <v>Кенжегалиева Галина Улюмджиевна</v>
          </cell>
          <cell r="E55" t="str">
            <v>0,4</v>
          </cell>
          <cell r="F55">
            <v>8.5304486732720246</v>
          </cell>
          <cell r="G55">
            <v>4.0999999999999996</v>
          </cell>
          <cell r="H55">
            <v>2.0805972373834209</v>
          </cell>
          <cell r="I55" t="str">
            <v/>
          </cell>
        </row>
        <row r="56">
          <cell r="C56" t="str">
            <v>80-1-16-00255137</v>
          </cell>
          <cell r="D56" t="str">
            <v>Акционерное общество "Газпром газораспределение Элиста"</v>
          </cell>
          <cell r="E56" t="str">
            <v>0,4</v>
          </cell>
          <cell r="F56">
            <v>8.5304486732720246</v>
          </cell>
          <cell r="G56">
            <v>3</v>
          </cell>
          <cell r="H56">
            <v>2.8434828910906749</v>
          </cell>
          <cell r="I56" t="str">
            <v/>
          </cell>
        </row>
        <row r="57">
          <cell r="C57" t="str">
            <v>80-1-15-00215725</v>
          </cell>
          <cell r="D57" t="str">
            <v>Нимгиров Андрей Николаевич</v>
          </cell>
          <cell r="E57" t="str">
            <v>0,4</v>
          </cell>
          <cell r="F57">
            <v>8.5304486732720246</v>
          </cell>
          <cell r="G57">
            <v>9.4109999999999996</v>
          </cell>
          <cell r="H57">
            <v>0.9064338192829694</v>
          </cell>
          <cell r="I57" t="str">
            <v/>
          </cell>
        </row>
        <row r="58">
          <cell r="C58" t="str">
            <v>12001-11-00071219-1</v>
          </cell>
          <cell r="D58" t="str">
            <v>Доржинов Мингиян Аркадьевич</v>
          </cell>
          <cell r="E58" t="str">
            <v>0,4</v>
          </cell>
          <cell r="F58">
            <v>8.5304486732720246</v>
          </cell>
          <cell r="G58">
            <v>6</v>
          </cell>
          <cell r="H58">
            <v>1.4217414455453374</v>
          </cell>
          <cell r="I58" t="str">
            <v/>
          </cell>
        </row>
        <row r="59">
          <cell r="C59" t="str">
            <v>42001-13-00137735-1</v>
          </cell>
          <cell r="D59" t="str">
            <v>Крестьянское (фермерское) хозяйство "Санан"</v>
          </cell>
          <cell r="E59" t="str">
            <v>0,4</v>
          </cell>
          <cell r="F59">
            <v>8.5304486732720246</v>
          </cell>
          <cell r="G59">
            <v>4.5</v>
          </cell>
          <cell r="H59">
            <v>1.8956552607271167</v>
          </cell>
          <cell r="I59" t="str">
            <v/>
          </cell>
        </row>
        <row r="60">
          <cell r="C60" t="str">
            <v>80-1-15-00202635</v>
          </cell>
          <cell r="D60" t="str">
            <v>Джусубалиев Рсбек Раисович</v>
          </cell>
          <cell r="E60" t="str">
            <v>0,4</v>
          </cell>
          <cell r="F60">
            <v>8.5304486732720246</v>
          </cell>
          <cell r="G60">
            <v>4.5860000000000003</v>
          </cell>
          <cell r="H60">
            <v>1.8601065576258229</v>
          </cell>
          <cell r="I60" t="str">
            <v/>
          </cell>
        </row>
        <row r="61">
          <cell r="C61" t="str">
            <v>80-1-15-00198267</v>
          </cell>
          <cell r="D61" t="str">
            <v>Эльдгаев Дмитрий Александрович</v>
          </cell>
          <cell r="E61" t="str">
            <v>0,4</v>
          </cell>
          <cell r="F61">
            <v>8.5304486732720246</v>
          </cell>
          <cell r="G61">
            <v>6.5830000000000002</v>
          </cell>
          <cell r="H61">
            <v>1.2958299670776279</v>
          </cell>
          <cell r="I61" t="str">
            <v/>
          </cell>
        </row>
        <row r="62">
          <cell r="C62" t="str">
            <v>80-1-15-00195333</v>
          </cell>
          <cell r="D62" t="str">
            <v>Мудаева Элеонора Анатольевна</v>
          </cell>
          <cell r="E62" t="str">
            <v>0,4</v>
          </cell>
          <cell r="F62">
            <v>8.5304486732720246</v>
          </cell>
          <cell r="G62">
            <v>5</v>
          </cell>
          <cell r="H62">
            <v>1.7060897346544048</v>
          </cell>
          <cell r="I62" t="str">
            <v/>
          </cell>
        </row>
        <row r="63">
          <cell r="C63" t="str">
            <v>80-1-15-00197501</v>
          </cell>
          <cell r="D63" t="str">
            <v>ИП Шкурский Денис Владимирович</v>
          </cell>
          <cell r="E63" t="str">
            <v>0,4</v>
          </cell>
          <cell r="F63">
            <v>8.5304486732720246</v>
          </cell>
          <cell r="G63">
            <v>15</v>
          </cell>
          <cell r="H63">
            <v>0.56869657821813502</v>
          </cell>
          <cell r="I63" t="str">
            <v/>
          </cell>
        </row>
        <row r="64">
          <cell r="C64" t="str">
            <v>80-1-15-00198455</v>
          </cell>
          <cell r="D64" t="str">
            <v>Карсаев Олег Борисович</v>
          </cell>
          <cell r="E64" t="str">
            <v>0,4</v>
          </cell>
          <cell r="F64">
            <v>8.5304486732720246</v>
          </cell>
          <cell r="G64">
            <v>10.55</v>
          </cell>
          <cell r="H64">
            <v>0.80857333395943354</v>
          </cell>
          <cell r="I64" t="str">
            <v/>
          </cell>
        </row>
        <row r="65">
          <cell r="C65" t="str">
            <v>80-1-14-00185671</v>
          </cell>
          <cell r="D65" t="str">
            <v xml:space="preserve">Бадминова Ирина Андреевна </v>
          </cell>
          <cell r="E65" t="str">
            <v>0,4</v>
          </cell>
          <cell r="F65">
            <v>8.5304486732720246</v>
          </cell>
          <cell r="G65">
            <v>6</v>
          </cell>
          <cell r="H65">
            <v>1.4217414455453374</v>
          </cell>
          <cell r="I65" t="str">
            <v/>
          </cell>
        </row>
        <row r="66">
          <cell r="C66" t="str">
            <v>80-1-15-00205031</v>
          </cell>
          <cell r="D66" t="str">
            <v>Манджиева Эмма Борисовна</v>
          </cell>
          <cell r="E66" t="str">
            <v>0,4</v>
          </cell>
          <cell r="F66">
            <v>8.5304486732720246</v>
          </cell>
          <cell r="G66">
            <v>5.2830000000000004</v>
          </cell>
          <cell r="H66">
            <v>1.6146978370759084</v>
          </cell>
          <cell r="I66" t="str">
            <v/>
          </cell>
        </row>
        <row r="67">
          <cell r="C67" t="str">
            <v>80-1-15-00234251</v>
          </cell>
          <cell r="D67" t="str">
            <v>Горяев Андрей Михайлович</v>
          </cell>
          <cell r="E67" t="str">
            <v>0,4</v>
          </cell>
          <cell r="F67">
            <v>8.5304486732720246</v>
          </cell>
          <cell r="G67">
            <v>10.7</v>
          </cell>
          <cell r="H67">
            <v>0.79723819376374072</v>
          </cell>
          <cell r="I67" t="str">
            <v/>
          </cell>
        </row>
        <row r="68">
          <cell r="C68" t="str">
            <v>80-1-15-00234093</v>
          </cell>
          <cell r="D68" t="str">
            <v>Мацакова Баира Батаевна</v>
          </cell>
          <cell r="E68" t="str">
            <v>0,4</v>
          </cell>
          <cell r="F68">
            <v>8.5304486732720246</v>
          </cell>
          <cell r="G68">
            <v>5</v>
          </cell>
          <cell r="H68">
            <v>1.7060897346544048</v>
          </cell>
          <cell r="I68" t="str">
            <v/>
          </cell>
        </row>
        <row r="69">
          <cell r="C69" t="str">
            <v>80-1-15-00208715</v>
          </cell>
          <cell r="D69" t="str">
            <v>Адучеев Эрдни Николаевич</v>
          </cell>
          <cell r="E69" t="str">
            <v>0,4</v>
          </cell>
          <cell r="F69">
            <v>8.5304486732720246</v>
          </cell>
          <cell r="G69">
            <v>5</v>
          </cell>
          <cell r="H69">
            <v>1.7060897346544048</v>
          </cell>
          <cell r="I69" t="str">
            <v/>
          </cell>
        </row>
        <row r="70">
          <cell r="C70" t="str">
            <v>80-1-15-00216425</v>
          </cell>
          <cell r="D70" t="str">
            <v>Адучеева Гилян Басанговна</v>
          </cell>
          <cell r="E70" t="str">
            <v>0,4</v>
          </cell>
          <cell r="F70">
            <v>8.5304486732720246</v>
          </cell>
          <cell r="G70">
            <v>12</v>
          </cell>
          <cell r="H70">
            <v>0.71087072277266872</v>
          </cell>
          <cell r="I70" t="str">
            <v/>
          </cell>
        </row>
        <row r="71">
          <cell r="C71" t="str">
            <v>80-1-15-00216471</v>
          </cell>
          <cell r="D71" t="str">
            <v>Пачаев Манджи Александрович</v>
          </cell>
          <cell r="E71" t="str">
            <v>0,4</v>
          </cell>
          <cell r="F71">
            <v>8.5304486732720246</v>
          </cell>
          <cell r="G71">
            <v>5</v>
          </cell>
          <cell r="H71">
            <v>1.7060897346544048</v>
          </cell>
          <cell r="I71" t="str">
            <v/>
          </cell>
        </row>
        <row r="72">
          <cell r="C72" t="str">
            <v>80-1-15-00205349</v>
          </cell>
          <cell r="D72" t="str">
            <v>Калмыцкий филиал Публичного акционерного общества междугородной и международной электрической связи "Ростелеком"</v>
          </cell>
          <cell r="E72" t="str">
            <v>0,4</v>
          </cell>
          <cell r="F72">
            <v>8.5304486732720246</v>
          </cell>
          <cell r="G72">
            <v>0.3</v>
          </cell>
          <cell r="H72">
            <v>28.434828910906749</v>
          </cell>
          <cell r="I72" t="str">
            <v/>
          </cell>
        </row>
        <row r="73">
          <cell r="C73" t="str">
            <v>80-1-15-00216561</v>
          </cell>
          <cell r="D73" t="str">
            <v>Романова Лхамо Батыровна</v>
          </cell>
          <cell r="E73" t="str">
            <v>0,4</v>
          </cell>
          <cell r="F73">
            <v>8.5304486732720246</v>
          </cell>
          <cell r="G73">
            <v>5</v>
          </cell>
          <cell r="H73">
            <v>1.7060897346544048</v>
          </cell>
          <cell r="I73" t="str">
            <v/>
          </cell>
        </row>
        <row r="74">
          <cell r="C74" t="str">
            <v>80-1-15-00232773</v>
          </cell>
          <cell r="D74" t="str">
            <v>Региональное отделение по Республике Калмыкия Поволжского филиала Публичного акционерного общества "МегаФон"</v>
          </cell>
          <cell r="E74" t="str">
            <v>0,4</v>
          </cell>
          <cell r="F74">
            <v>8.5304486732720246</v>
          </cell>
          <cell r="G74">
            <v>5</v>
          </cell>
          <cell r="H74">
            <v>1.7060897346544048</v>
          </cell>
          <cell r="I74" t="str">
            <v/>
          </cell>
        </row>
        <row r="75">
          <cell r="C75" t="str">
            <v>80-1-15-00227539</v>
          </cell>
          <cell r="D75" t="str">
            <v>Маливанова Галина Александровна</v>
          </cell>
          <cell r="E75" t="str">
            <v>0,4</v>
          </cell>
          <cell r="F75">
            <v>8.5304486732720246</v>
          </cell>
          <cell r="G75">
            <v>14.5</v>
          </cell>
          <cell r="H75">
            <v>0.58830680505324306</v>
          </cell>
          <cell r="I75" t="str">
            <v/>
          </cell>
        </row>
        <row r="76">
          <cell r="C76" t="str">
            <v>80-1-15-00233799</v>
          </cell>
          <cell r="D76" t="str">
            <v>Басангова Лидия Семеновна</v>
          </cell>
          <cell r="E76" t="str">
            <v>0,4</v>
          </cell>
          <cell r="F76">
            <v>8.5304486732720246</v>
          </cell>
          <cell r="G76">
            <v>5</v>
          </cell>
          <cell r="H76">
            <v>1.7060897346544048</v>
          </cell>
          <cell r="I76" t="str">
            <v/>
          </cell>
        </row>
        <row r="77">
          <cell r="C77" t="str">
            <v>80-1-15-00208683</v>
          </cell>
          <cell r="D77" t="str">
            <v>Игебаев Салават Шарифкулович</v>
          </cell>
          <cell r="E77" t="str">
            <v>0,4</v>
          </cell>
          <cell r="F77">
            <v>8.5304486732720246</v>
          </cell>
          <cell r="G77">
            <v>5</v>
          </cell>
          <cell r="H77">
            <v>1.7060897346544048</v>
          </cell>
          <cell r="I77" t="str">
            <v/>
          </cell>
        </row>
        <row r="78">
          <cell r="C78" t="str">
            <v>80-1-15-00242921</v>
          </cell>
          <cell r="D78" t="str">
            <v>Сотаев Сергей Константинович</v>
          </cell>
          <cell r="E78" t="str">
            <v>0,4</v>
          </cell>
          <cell r="F78">
            <v>8.5304486732720246</v>
          </cell>
          <cell r="G78">
            <v>3.75</v>
          </cell>
          <cell r="H78">
            <v>2.2747863128725401</v>
          </cell>
          <cell r="I78" t="str">
            <v/>
          </cell>
        </row>
        <row r="79">
          <cell r="C79" t="str">
            <v>80-1-15-00234501</v>
          </cell>
          <cell r="D79" t="str">
            <v>Мангаев Александр Петрович</v>
          </cell>
          <cell r="E79" t="str">
            <v>0,4</v>
          </cell>
          <cell r="F79">
            <v>8.5304486732720246</v>
          </cell>
          <cell r="G79">
            <v>5</v>
          </cell>
          <cell r="H79">
            <v>1.7060897346544048</v>
          </cell>
          <cell r="I79" t="str">
            <v/>
          </cell>
        </row>
        <row r="80">
          <cell r="C80" t="str">
            <v>80-1-15-00236217</v>
          </cell>
          <cell r="D80" t="str">
            <v>Петькиев Евгений Юрьевич</v>
          </cell>
          <cell r="E80" t="str">
            <v>0,4</v>
          </cell>
          <cell r="F80">
            <v>8.5304486732720246</v>
          </cell>
          <cell r="G80">
            <v>5</v>
          </cell>
          <cell r="H80">
            <v>1.7060897346544048</v>
          </cell>
          <cell r="I80" t="str">
            <v/>
          </cell>
        </row>
        <row r="81">
          <cell r="C81" t="str">
            <v>80-1-15-00245915</v>
          </cell>
          <cell r="D81" t="str">
            <v>Айгуров Мингиян Максимович</v>
          </cell>
          <cell r="E81" t="str">
            <v>0,4</v>
          </cell>
          <cell r="F81">
            <v>8.5304486732720246</v>
          </cell>
          <cell r="G81">
            <v>5</v>
          </cell>
          <cell r="H81">
            <v>1.7060897346544048</v>
          </cell>
          <cell r="I81" t="str">
            <v/>
          </cell>
        </row>
        <row r="82">
          <cell r="C82" t="str">
            <v>80-1-15-00238185</v>
          </cell>
          <cell r="D82" t="str">
            <v>Говорова Инна Владимировна</v>
          </cell>
          <cell r="E82" t="str">
            <v>0,4</v>
          </cell>
          <cell r="F82">
            <v>8.5304486732720246</v>
          </cell>
          <cell r="G82">
            <v>2.92</v>
          </cell>
          <cell r="H82">
            <v>2.9213865319424741</v>
          </cell>
          <cell r="I82" t="str">
            <v/>
          </cell>
        </row>
        <row r="83">
          <cell r="C83" t="str">
            <v>80-1-15-00246691</v>
          </cell>
          <cell r="D83" t="str">
            <v>Мурадов Рахимджан Ахмедович</v>
          </cell>
          <cell r="E83" t="str">
            <v>0,4</v>
          </cell>
          <cell r="F83">
            <v>8.5304486732720246</v>
          </cell>
          <cell r="G83">
            <v>6.5</v>
          </cell>
          <cell r="H83">
            <v>1.3123767189649269</v>
          </cell>
          <cell r="I83" t="str">
            <v/>
          </cell>
        </row>
        <row r="84">
          <cell r="C84" t="str">
            <v>80-1-15-00241103</v>
          </cell>
          <cell r="D84" t="str">
            <v>Меркер Ольга Викторовна</v>
          </cell>
          <cell r="E84" t="str">
            <v>0,4</v>
          </cell>
          <cell r="F84">
            <v>8.5304486732720246</v>
          </cell>
          <cell r="G84">
            <v>5.5</v>
          </cell>
          <cell r="H84">
            <v>1.5509906678676408</v>
          </cell>
          <cell r="I84" t="str">
            <v/>
          </cell>
        </row>
        <row r="85">
          <cell r="C85" t="str">
            <v>80-1-15-00240935</v>
          </cell>
          <cell r="D85" t="str">
            <v>Кекеев Александр Владимирович</v>
          </cell>
          <cell r="E85" t="str">
            <v>0,4</v>
          </cell>
          <cell r="F85">
            <v>8.5304486732720246</v>
          </cell>
          <cell r="G85">
            <v>5</v>
          </cell>
          <cell r="H85">
            <v>1.7060897346544048</v>
          </cell>
          <cell r="I85" t="str">
            <v/>
          </cell>
        </row>
        <row r="86">
          <cell r="C86" t="str">
            <v>80-1-15-00240443</v>
          </cell>
          <cell r="D86" t="str">
            <v xml:space="preserve">Абакумова Марина Сергеевна </v>
          </cell>
          <cell r="E86" t="str">
            <v>0,4</v>
          </cell>
          <cell r="F86">
            <v>8.5304486732720246</v>
          </cell>
          <cell r="G86">
            <v>12</v>
          </cell>
          <cell r="H86">
            <v>0.71087072277266872</v>
          </cell>
          <cell r="I86" t="str">
            <v/>
          </cell>
        </row>
        <row r="87">
          <cell r="C87" t="str">
            <v>80-1-16-00250361</v>
          </cell>
          <cell r="D87" t="str">
            <v>Бебик Арслан Николаевич</v>
          </cell>
          <cell r="E87" t="str">
            <v>0,4</v>
          </cell>
          <cell r="F87">
            <v>8.5304486732720246</v>
          </cell>
          <cell r="G87">
            <v>6.25</v>
          </cell>
          <cell r="H87">
            <v>1.3648717877235239</v>
          </cell>
          <cell r="I87" t="str">
            <v/>
          </cell>
        </row>
        <row r="88">
          <cell r="C88" t="str">
            <v>80-1-16-00252025</v>
          </cell>
          <cell r="D88" t="str">
            <v>Гасаналиева Дольгана Владимировна</v>
          </cell>
          <cell r="E88" t="str">
            <v>0,4</v>
          </cell>
          <cell r="F88">
            <v>8.5304486732720246</v>
          </cell>
          <cell r="G88">
            <v>5</v>
          </cell>
          <cell r="H88">
            <v>1.7060897346544048</v>
          </cell>
          <cell r="I88" t="str">
            <v/>
          </cell>
        </row>
        <row r="89">
          <cell r="C89" t="str">
            <v>80-1-15-00238169</v>
          </cell>
          <cell r="D89" t="str">
            <v>Хонгоров Сергей Хампаевич</v>
          </cell>
          <cell r="E89" t="str">
            <v>0,4</v>
          </cell>
          <cell r="F89">
            <v>8.5304486732720246</v>
          </cell>
          <cell r="G89">
            <v>5</v>
          </cell>
          <cell r="H89">
            <v>1.7060897346544048</v>
          </cell>
          <cell r="I89" t="str">
            <v/>
          </cell>
        </row>
        <row r="90">
          <cell r="C90" t="str">
            <v>80-1-15-00237033</v>
          </cell>
          <cell r="D90" t="str">
            <v>Комлаева Вера Николаевна</v>
          </cell>
          <cell r="E90" t="str">
            <v>0,4</v>
          </cell>
          <cell r="F90">
            <v>8.5304486732720246</v>
          </cell>
          <cell r="G90">
            <v>5</v>
          </cell>
          <cell r="H90">
            <v>1.7060897346544048</v>
          </cell>
          <cell r="I90" t="str">
            <v/>
          </cell>
        </row>
        <row r="91">
          <cell r="C91" t="str">
            <v>80-1-16-00252557</v>
          </cell>
          <cell r="D91" t="str">
            <v>Гасаналиев Шамиль Багаудинович</v>
          </cell>
          <cell r="E91" t="str">
            <v>0,4</v>
          </cell>
          <cell r="F91">
            <v>8.5304486732720246</v>
          </cell>
          <cell r="G91">
            <v>5</v>
          </cell>
          <cell r="H91">
            <v>1.7060897346544048</v>
          </cell>
          <cell r="I91" t="str">
            <v/>
          </cell>
        </row>
        <row r="92">
          <cell r="C92" t="str">
            <v>80-1-16-00252015</v>
          </cell>
          <cell r="D92" t="str">
            <v>Букреева Оксана Леонтьевна</v>
          </cell>
          <cell r="E92" t="str">
            <v>0,4</v>
          </cell>
          <cell r="F92">
            <v>8.5304486732720246</v>
          </cell>
          <cell r="G92">
            <v>5</v>
          </cell>
          <cell r="H92">
            <v>1.7060897346544048</v>
          </cell>
          <cell r="I92" t="str">
            <v/>
          </cell>
        </row>
        <row r="93">
          <cell r="C93" t="str">
            <v>80-1-16-00250201</v>
          </cell>
          <cell r="D93" t="str">
            <v xml:space="preserve">Катнанова Байрта Сергеевна </v>
          </cell>
          <cell r="E93" t="str">
            <v>0,4</v>
          </cell>
          <cell r="F93">
            <v>8.5304486732720246</v>
          </cell>
          <cell r="G93">
            <v>8.15</v>
          </cell>
          <cell r="H93">
            <v>1.0466808188063834</v>
          </cell>
          <cell r="I93" t="str">
            <v/>
          </cell>
        </row>
        <row r="94">
          <cell r="C94" t="str">
            <v>80-1-16-00252793</v>
          </cell>
          <cell r="D94" t="str">
            <v>Индивидуальный предприниматель Колерт Виктор Эдмундович</v>
          </cell>
          <cell r="E94" t="str">
            <v>0,4</v>
          </cell>
          <cell r="F94">
            <v>8.5304486732720246</v>
          </cell>
          <cell r="G94">
            <v>14</v>
          </cell>
          <cell r="H94">
            <v>0.6093177623765732</v>
          </cell>
          <cell r="I94" t="str">
            <v/>
          </cell>
        </row>
        <row r="95">
          <cell r="C95" t="str">
            <v>80-1-16-00251909</v>
          </cell>
          <cell r="D95" t="str">
            <v>Шумпинова Чимида Менкеевна</v>
          </cell>
          <cell r="E95" t="str">
            <v>0,4</v>
          </cell>
          <cell r="F95">
            <v>8.5304486732720246</v>
          </cell>
          <cell r="G95">
            <v>5</v>
          </cell>
          <cell r="H95">
            <v>1.7060897346544048</v>
          </cell>
          <cell r="I95" t="str">
            <v/>
          </cell>
        </row>
        <row r="96">
          <cell r="C96" t="str">
            <v>80-1-16-00250169</v>
          </cell>
          <cell r="D96" t="str">
            <v xml:space="preserve">Улюмджиева Людмила Манджиевна </v>
          </cell>
          <cell r="E96" t="str">
            <v>0,4</v>
          </cell>
          <cell r="F96">
            <v>8.5304486732720246</v>
          </cell>
          <cell r="G96">
            <v>7.4</v>
          </cell>
          <cell r="H96">
            <v>1.1527633342259491</v>
          </cell>
          <cell r="I96" t="str">
            <v/>
          </cell>
        </row>
        <row r="97">
          <cell r="C97" t="str">
            <v>80-1-16-00250219</v>
          </cell>
          <cell r="D97" t="str">
            <v>Шапуева Елена Очировна</v>
          </cell>
          <cell r="E97" t="str">
            <v>0,4</v>
          </cell>
          <cell r="F97">
            <v>8.5304486732720246</v>
          </cell>
          <cell r="G97">
            <v>3.75</v>
          </cell>
          <cell r="H97">
            <v>2.2747863128725401</v>
          </cell>
          <cell r="I97" t="str">
            <v/>
          </cell>
        </row>
        <row r="98">
          <cell r="C98" t="str">
            <v>80-1-16-00252945</v>
          </cell>
          <cell r="D98" t="str">
            <v>Манджиева Булган Булгтаевна</v>
          </cell>
          <cell r="E98" t="str">
            <v>0,4</v>
          </cell>
          <cell r="F98">
            <v>8.5304486732720246</v>
          </cell>
          <cell r="G98">
            <v>5.84</v>
          </cell>
          <cell r="H98">
            <v>1.4606932659712371</v>
          </cell>
          <cell r="I98" t="str">
            <v/>
          </cell>
        </row>
        <row r="99">
          <cell r="C99" t="str">
            <v>80-1-16-00260527</v>
          </cell>
          <cell r="D99" t="str">
            <v>Эшонкулов Хусейн Джураевич</v>
          </cell>
          <cell r="E99" t="str">
            <v>0,4</v>
          </cell>
          <cell r="F99">
            <v>8.5304486732720246</v>
          </cell>
          <cell r="G99">
            <v>5</v>
          </cell>
          <cell r="H99">
            <v>1.7060897346544048</v>
          </cell>
          <cell r="I99" t="str">
            <v/>
          </cell>
        </row>
        <row r="100">
          <cell r="C100" t="str">
            <v>80-1-16-00260533</v>
          </cell>
          <cell r="D100" t="str">
            <v>Гаков Андрей Борисович</v>
          </cell>
          <cell r="E100" t="str">
            <v>0,4</v>
          </cell>
          <cell r="F100">
            <v>8.5304486732720246</v>
          </cell>
          <cell r="G100">
            <v>5</v>
          </cell>
          <cell r="H100">
            <v>1.7060897346544048</v>
          </cell>
          <cell r="I100" t="str">
            <v/>
          </cell>
        </row>
        <row r="101">
          <cell r="C101" t="str">
            <v>80-1-16-00260613</v>
          </cell>
          <cell r="D101" t="str">
            <v>Басанова Байрта Юрьевна</v>
          </cell>
          <cell r="E101" t="str">
            <v>0,4</v>
          </cell>
          <cell r="F101">
            <v>8.5304486732720246</v>
          </cell>
          <cell r="G101">
            <v>7</v>
          </cell>
          <cell r="H101">
            <v>1.2186355247531464</v>
          </cell>
          <cell r="I101" t="str">
            <v/>
          </cell>
        </row>
        <row r="102">
          <cell r="C102" t="str">
            <v>80-1-16-00260395</v>
          </cell>
          <cell r="D102" t="str">
            <v>Узаиров Умар Испандиевич</v>
          </cell>
          <cell r="E102" t="str">
            <v>0,4</v>
          </cell>
          <cell r="F102">
            <v>8.5304486732720246</v>
          </cell>
          <cell r="G102">
            <v>7</v>
          </cell>
          <cell r="H102">
            <v>1.2186355247531464</v>
          </cell>
          <cell r="I102" t="str">
            <v/>
          </cell>
        </row>
        <row r="103">
          <cell r="C103" t="str">
            <v>80-1-16-00272963</v>
          </cell>
          <cell r="D103" t="str">
            <v>Джиджикова Роза Дорджиевна</v>
          </cell>
          <cell r="E103" t="str">
            <v>0,4</v>
          </cell>
          <cell r="F103">
            <v>8.5304486732720246</v>
          </cell>
          <cell r="G103">
            <v>5</v>
          </cell>
          <cell r="H103">
            <v>1.7060897346544048</v>
          </cell>
          <cell r="I103" t="str">
            <v/>
          </cell>
        </row>
        <row r="104">
          <cell r="C104" t="str">
            <v>80-1-16-00286775</v>
          </cell>
          <cell r="D104" t="str">
            <v>общество с ограниченной ответственностью "Сар"</v>
          </cell>
          <cell r="E104" t="str">
            <v>0,4</v>
          </cell>
          <cell r="F104">
            <v>8.5304486732720246</v>
          </cell>
          <cell r="G104">
            <v>14.45</v>
          </cell>
          <cell r="H104">
            <v>0.59034246873854845</v>
          </cell>
          <cell r="I104" t="str">
            <v/>
          </cell>
        </row>
        <row r="105">
          <cell r="C105" t="str">
            <v>80-1-16-00276297</v>
          </cell>
          <cell r="D105" t="str">
            <v>Монтыкова Юлия Борисовна</v>
          </cell>
          <cell r="E105" t="str">
            <v>0,4</v>
          </cell>
          <cell r="F105">
            <v>8.5304486732720246</v>
          </cell>
          <cell r="G105">
            <v>4.8600000000000003</v>
          </cell>
          <cell r="H105">
            <v>1.7552363525251078</v>
          </cell>
          <cell r="I105" t="str">
            <v/>
          </cell>
        </row>
        <row r="106">
          <cell r="C106" t="str">
            <v>80-1-16-00280377</v>
          </cell>
          <cell r="D106" t="str">
            <v>Манджиева Зинаида Аркадьевна</v>
          </cell>
          <cell r="E106" t="str">
            <v>0,4</v>
          </cell>
          <cell r="F106">
            <v>8.5304486732720246</v>
          </cell>
          <cell r="G106">
            <v>7.54</v>
          </cell>
          <cell r="H106">
            <v>1.1313592404870059</v>
          </cell>
          <cell r="I106" t="str">
            <v/>
          </cell>
        </row>
        <row r="107">
          <cell r="C107" t="str">
            <v>80-1-16-00276801</v>
          </cell>
          <cell r="D107" t="str">
            <v>Манцаева Намджил Бадмаевна</v>
          </cell>
          <cell r="E107" t="str">
            <v>0,4</v>
          </cell>
          <cell r="F107">
            <v>8.5304486732720246</v>
          </cell>
          <cell r="G107">
            <v>5</v>
          </cell>
          <cell r="H107">
            <v>1.7060897346544048</v>
          </cell>
          <cell r="I107" t="str">
            <v/>
          </cell>
        </row>
        <row r="108">
          <cell r="C108" t="str">
            <v>80-1-16-00267585</v>
          </cell>
          <cell r="D108" t="str">
            <v>Шараева Лейла Дурсуновна</v>
          </cell>
          <cell r="E108" t="str">
            <v>0,4</v>
          </cell>
          <cell r="F108">
            <v>8.5304486732720246</v>
          </cell>
          <cell r="G108">
            <v>5</v>
          </cell>
          <cell r="H108">
            <v>1.7060897346544048</v>
          </cell>
          <cell r="I108" t="str">
            <v/>
          </cell>
        </row>
        <row r="109">
          <cell r="C109" t="str">
            <v>80-1-16-00277377</v>
          </cell>
          <cell r="D109" t="str">
            <v>Лиджиев Данзан Владимирович</v>
          </cell>
          <cell r="E109" t="str">
            <v>0,4</v>
          </cell>
          <cell r="F109">
            <v>8.5304486732720246</v>
          </cell>
          <cell r="G109">
            <v>10.9</v>
          </cell>
          <cell r="H109">
            <v>0.78260997002495636</v>
          </cell>
          <cell r="I109" t="str">
            <v/>
          </cell>
        </row>
        <row r="110">
          <cell r="C110" t="str">
            <v>80-1-16-00273829</v>
          </cell>
          <cell r="D110" t="str">
            <v>Кравченко Наталья Алексеевна</v>
          </cell>
          <cell r="E110" t="str">
            <v>0,4</v>
          </cell>
          <cell r="F110">
            <v>8.5304486732720246</v>
          </cell>
          <cell r="G110">
            <v>1</v>
          </cell>
          <cell r="H110">
            <v>8.5304486732720246</v>
          </cell>
          <cell r="I110" t="str">
            <v/>
          </cell>
        </row>
        <row r="111">
          <cell r="C111" t="str">
            <v>80-1-16-00285845</v>
          </cell>
          <cell r="D111" t="str">
            <v>Бамбаев Анатолий Чюрюмович</v>
          </cell>
          <cell r="E111" t="str">
            <v>0,4</v>
          </cell>
          <cell r="F111">
            <v>8.5304486732720246</v>
          </cell>
          <cell r="G111">
            <v>4</v>
          </cell>
          <cell r="H111">
            <v>2.1326121683180062</v>
          </cell>
          <cell r="I111" t="str">
            <v/>
          </cell>
        </row>
        <row r="112">
          <cell r="C112" t="str">
            <v>80-1-16-00260861</v>
          </cell>
          <cell r="D112" t="str">
            <v>Дарбаков Владимир Пантелеевич</v>
          </cell>
          <cell r="E112" t="str">
            <v>0,4</v>
          </cell>
          <cell r="F112">
            <v>8.5304486732720246</v>
          </cell>
          <cell r="G112">
            <v>14.5</v>
          </cell>
          <cell r="H112">
            <v>0.58830680505324306</v>
          </cell>
          <cell r="I112" t="str">
            <v/>
          </cell>
        </row>
        <row r="113">
          <cell r="C113" t="str">
            <v>80-1-16-00279189</v>
          </cell>
          <cell r="D113" t="str">
            <v>Шарапов Анатолий Николаевич</v>
          </cell>
          <cell r="E113" t="str">
            <v>0,4</v>
          </cell>
          <cell r="F113">
            <v>8.5304486732720246</v>
          </cell>
          <cell r="G113">
            <v>5</v>
          </cell>
          <cell r="H113">
            <v>1.7060897346544048</v>
          </cell>
          <cell r="I113" t="str">
            <v/>
          </cell>
        </row>
        <row r="114">
          <cell r="C114" t="str">
            <v>80-1-16-00262037</v>
          </cell>
          <cell r="D114" t="str">
            <v>Есенов Александр Сергеевич</v>
          </cell>
          <cell r="E114" t="str">
            <v>0,4</v>
          </cell>
          <cell r="F114">
            <v>8.5304486732720246</v>
          </cell>
          <cell r="G114">
            <v>9.6999999999999993</v>
          </cell>
          <cell r="H114">
            <v>0.87942769827546652</v>
          </cell>
          <cell r="I114" t="str">
            <v/>
          </cell>
        </row>
        <row r="115">
          <cell r="C115" t="str">
            <v>80-1-16-00263435</v>
          </cell>
          <cell r="D115" t="str">
            <v>индивидуальный предприниматель Джунгуров Владимир Васильевич</v>
          </cell>
          <cell r="E115" t="str">
            <v>0,4</v>
          </cell>
          <cell r="F115">
            <v>8.5304486732720246</v>
          </cell>
          <cell r="G115">
            <v>15</v>
          </cell>
          <cell r="H115">
            <v>0.56869657821813502</v>
          </cell>
          <cell r="I115" t="str">
            <v/>
          </cell>
        </row>
        <row r="116">
          <cell r="C116" t="str">
            <v>80-1-16-00273475</v>
          </cell>
          <cell r="D116" t="str">
            <v>Карбушев Юрий Анатольевич</v>
          </cell>
          <cell r="E116" t="str">
            <v>0,4</v>
          </cell>
          <cell r="F116">
            <v>8.5304486732720246</v>
          </cell>
          <cell r="G116">
            <v>6.5</v>
          </cell>
          <cell r="H116">
            <v>1.3123767189649269</v>
          </cell>
          <cell r="I116" t="str">
            <v/>
          </cell>
        </row>
        <row r="117">
          <cell r="C117" t="str">
            <v>80-1-16-00283621</v>
          </cell>
          <cell r="D117" t="str">
            <v>Горяев Александр Иванович</v>
          </cell>
          <cell r="E117" t="str">
            <v>0,4</v>
          </cell>
          <cell r="F117">
            <v>8.5304486732720246</v>
          </cell>
          <cell r="G117">
            <v>4</v>
          </cell>
          <cell r="H117">
            <v>2.1326121683180062</v>
          </cell>
          <cell r="I117" t="str">
            <v/>
          </cell>
        </row>
        <row r="118">
          <cell r="C118" t="str">
            <v>80-1-16-00287765</v>
          </cell>
          <cell r="D118" t="str">
            <v>Настаева Анна Саранговна</v>
          </cell>
          <cell r="E118" t="str">
            <v>0,4</v>
          </cell>
          <cell r="F118">
            <v>8.5304486732720246</v>
          </cell>
          <cell r="G118">
            <v>5</v>
          </cell>
          <cell r="H118">
            <v>1.7060897346544048</v>
          </cell>
          <cell r="I118" t="str">
            <v/>
          </cell>
        </row>
        <row r="119">
          <cell r="C119" t="str">
            <v>80-1-16-00284021</v>
          </cell>
          <cell r="D119" t="str">
            <v>Натыров Бадма Александрович</v>
          </cell>
          <cell r="E119" t="str">
            <v>0,4</v>
          </cell>
          <cell r="F119">
            <v>8.5304486732720246</v>
          </cell>
          <cell r="G119">
            <v>5</v>
          </cell>
          <cell r="H119">
            <v>1.7060897346544048</v>
          </cell>
          <cell r="I119" t="str">
            <v/>
          </cell>
        </row>
        <row r="120">
          <cell r="C120" t="str">
            <v>80-1-16-00272411</v>
          </cell>
          <cell r="D120" t="str">
            <v>Буваева Галина Санджиевна</v>
          </cell>
          <cell r="E120" t="str">
            <v>0,4</v>
          </cell>
          <cell r="F120">
            <v>8.5304486732720246</v>
          </cell>
          <cell r="G120">
            <v>6</v>
          </cell>
          <cell r="H120">
            <v>1.4217414455453374</v>
          </cell>
          <cell r="I120" t="str">
            <v/>
          </cell>
        </row>
        <row r="121">
          <cell r="C121" t="str">
            <v>80-1-16-00289093</v>
          </cell>
          <cell r="D121" t="str">
            <v>общество с ограниченной ответственностью "Стройпроект""</v>
          </cell>
          <cell r="E121" t="str">
            <v>0,4</v>
          </cell>
          <cell r="F121">
            <v>8.5304486732720246</v>
          </cell>
          <cell r="G121">
            <v>5</v>
          </cell>
          <cell r="H121">
            <v>1.7060897346544048</v>
          </cell>
          <cell r="I121" t="str">
            <v/>
          </cell>
        </row>
        <row r="122">
          <cell r="C122" t="str">
            <v>80-1-16-00266807</v>
          </cell>
          <cell r="D122" t="str">
            <v>Каруев Александр Юрьевич</v>
          </cell>
          <cell r="E122" t="str">
            <v>0,4</v>
          </cell>
          <cell r="F122">
            <v>8.5304486732720246</v>
          </cell>
          <cell r="G122">
            <v>5</v>
          </cell>
          <cell r="H122">
            <v>1.7060897346544048</v>
          </cell>
          <cell r="I122" t="str">
            <v/>
          </cell>
        </row>
        <row r="123">
          <cell r="C123" t="str">
            <v>80-1-16-00283185</v>
          </cell>
          <cell r="D123" t="str">
            <v>Саксыкова Данара Андреевна</v>
          </cell>
          <cell r="E123" t="str">
            <v>0,4</v>
          </cell>
          <cell r="F123">
            <v>8.5304486732720246</v>
          </cell>
          <cell r="G123">
            <v>15</v>
          </cell>
          <cell r="H123">
            <v>0.56869657821813502</v>
          </cell>
          <cell r="I123" t="str">
            <v/>
          </cell>
        </row>
        <row r="124">
          <cell r="C124" t="str">
            <v>80-1-16-00276333</v>
          </cell>
          <cell r="D124" t="str">
            <v>Цеденова Маргарита Ивановна</v>
          </cell>
          <cell r="E124" t="str">
            <v>0,4</v>
          </cell>
          <cell r="F124">
            <v>8.5304486732720246</v>
          </cell>
          <cell r="G124">
            <v>12.1</v>
          </cell>
          <cell r="H124">
            <v>0.70499575812165494</v>
          </cell>
          <cell r="I124" t="str">
            <v/>
          </cell>
        </row>
        <row r="125">
          <cell r="C125" t="str">
            <v>80-1-16-00276805</v>
          </cell>
          <cell r="D125" t="str">
            <v>Джабруев Убуш Дмитриевич</v>
          </cell>
          <cell r="E125" t="str">
            <v>0,4</v>
          </cell>
          <cell r="F125">
            <v>8.5304486732720246</v>
          </cell>
          <cell r="G125">
            <v>5</v>
          </cell>
          <cell r="H125">
            <v>1.7060897346544048</v>
          </cell>
          <cell r="I125" t="str">
            <v/>
          </cell>
        </row>
        <row r="126">
          <cell r="C126" t="str">
            <v>80-1-16-00264833</v>
          </cell>
          <cell r="D126" t="str">
            <v>Мучкаев Владимир Васильевич</v>
          </cell>
          <cell r="E126" t="str">
            <v>0,4</v>
          </cell>
          <cell r="F126">
            <v>8.5304486732720246</v>
          </cell>
          <cell r="G126">
            <v>5</v>
          </cell>
          <cell r="H126">
            <v>1.7060897346544048</v>
          </cell>
          <cell r="I126" t="str">
            <v/>
          </cell>
        </row>
        <row r="127">
          <cell r="C127" t="str">
            <v>80-1-16-00285725</v>
          </cell>
          <cell r="D127" t="str">
            <v>Мучаев Владимир Лиджи-Горяевич</v>
          </cell>
          <cell r="E127" t="str">
            <v>0,4</v>
          </cell>
          <cell r="F127">
            <v>8.5304486732720246</v>
          </cell>
          <cell r="G127">
            <v>12.5</v>
          </cell>
          <cell r="H127">
            <v>0.68243589386176196</v>
          </cell>
          <cell r="I127" t="str">
            <v/>
          </cell>
        </row>
        <row r="128">
          <cell r="C128" t="str">
            <v>80-1-16-00273109</v>
          </cell>
          <cell r="D128" t="str">
            <v>Тобомбаева Джиргал Санджиевна</v>
          </cell>
          <cell r="E128" t="str">
            <v>0,4</v>
          </cell>
          <cell r="F128">
            <v>8.5304486732720246</v>
          </cell>
          <cell r="G128">
            <v>5</v>
          </cell>
          <cell r="H128">
            <v>1.7060897346544048</v>
          </cell>
          <cell r="I128" t="str">
            <v/>
          </cell>
        </row>
        <row r="129">
          <cell r="C129" t="str">
            <v>80-1-16-00287481</v>
          </cell>
          <cell r="D129" t="str">
            <v>ИП Манжикова Людмила Алексеевна</v>
          </cell>
          <cell r="E129" t="str">
            <v>0,4</v>
          </cell>
          <cell r="F129">
            <v>8.5304486732720246</v>
          </cell>
          <cell r="G129">
            <v>14</v>
          </cell>
          <cell r="H129">
            <v>0.6093177623765732</v>
          </cell>
          <cell r="I129" t="str">
            <v/>
          </cell>
        </row>
        <row r="130">
          <cell r="C130" t="str">
            <v>80-1-16-00281603</v>
          </cell>
          <cell r="D130" t="str">
            <v>Бельтрикова Зинаида Санджиевна</v>
          </cell>
          <cell r="E130" t="str">
            <v>0,4</v>
          </cell>
          <cell r="F130">
            <v>8.5304486732720246</v>
          </cell>
          <cell r="G130">
            <v>5</v>
          </cell>
          <cell r="H130">
            <v>1.7060897346544048</v>
          </cell>
          <cell r="I130" t="str">
            <v/>
          </cell>
        </row>
        <row r="131">
          <cell r="C131" t="str">
            <v>80-1-16-00284037</v>
          </cell>
          <cell r="D131" t="str">
            <v>Гуртеева Данара Викторовна</v>
          </cell>
          <cell r="E131" t="str">
            <v>0,4</v>
          </cell>
          <cell r="F131">
            <v>8.5304486732720246</v>
          </cell>
          <cell r="G131">
            <v>5</v>
          </cell>
          <cell r="H131">
            <v>1.7060897346544048</v>
          </cell>
          <cell r="I131" t="str">
            <v/>
          </cell>
        </row>
        <row r="132">
          <cell r="C132" t="str">
            <v>80-1-16-00284057</v>
          </cell>
          <cell r="D132" t="str">
            <v>Оргадыков Александр Эрдняевич</v>
          </cell>
          <cell r="E132" t="str">
            <v>0,4</v>
          </cell>
          <cell r="F132">
            <v>8.5304486732720246</v>
          </cell>
          <cell r="G132">
            <v>5</v>
          </cell>
          <cell r="H132">
            <v>1.7060897346544048</v>
          </cell>
          <cell r="I132" t="str">
            <v/>
          </cell>
        </row>
        <row r="133">
          <cell r="C133" t="str">
            <v>80-1-16-00262173</v>
          </cell>
          <cell r="D133" t="str">
            <v>Джалыков Александр Вячеславович</v>
          </cell>
          <cell r="E133" t="str">
            <v>0,4</v>
          </cell>
          <cell r="F133">
            <v>8.5304486732720246</v>
          </cell>
          <cell r="G133">
            <v>5</v>
          </cell>
          <cell r="H133">
            <v>1.7060897346544048</v>
          </cell>
          <cell r="I133" t="str">
            <v/>
          </cell>
        </row>
        <row r="134">
          <cell r="C134" t="str">
            <v>80-1-16-00283113</v>
          </cell>
          <cell r="D134" t="str">
            <v>Калмыцкий филиал Публичного акционерного общества междугородной и международной электрической связи "Ростелеком"</v>
          </cell>
          <cell r="E134" t="str">
            <v>0,4</v>
          </cell>
          <cell r="F134">
            <v>8.5304486732720246</v>
          </cell>
          <cell r="G134">
            <v>1.2</v>
          </cell>
          <cell r="H134">
            <v>7.1087072277266872</v>
          </cell>
          <cell r="I134" t="str">
            <v/>
          </cell>
        </row>
        <row r="135">
          <cell r="C135" t="str">
            <v>80-1-16-00276813</v>
          </cell>
          <cell r="D135" t="str">
            <v>Обгенов Араша Батаевич</v>
          </cell>
          <cell r="E135" t="str">
            <v>0,4</v>
          </cell>
          <cell r="F135">
            <v>8.5304486732720246</v>
          </cell>
          <cell r="G135">
            <v>5</v>
          </cell>
          <cell r="H135">
            <v>1.7060897346544048</v>
          </cell>
          <cell r="I135" t="str">
            <v/>
          </cell>
        </row>
        <row r="136">
          <cell r="C136" t="str">
            <v>80-1-16-00284965</v>
          </cell>
          <cell r="D136" t="str">
            <v>индивидуальный предприниматель Манджиева Любовь Борисовна</v>
          </cell>
          <cell r="E136" t="str">
            <v>0,4</v>
          </cell>
          <cell r="F136">
            <v>8.5304486732720246</v>
          </cell>
          <cell r="G136">
            <v>10.6</v>
          </cell>
          <cell r="H136">
            <v>0.80475930879924762</v>
          </cell>
          <cell r="I136" t="str">
            <v/>
          </cell>
        </row>
        <row r="137">
          <cell r="C137" t="str">
            <v>80-1-16-00276761</v>
          </cell>
          <cell r="D137" t="str">
            <v>Яков Борис Николаевич</v>
          </cell>
          <cell r="E137" t="str">
            <v>0,4</v>
          </cell>
          <cell r="F137">
            <v>8.5304486732720246</v>
          </cell>
          <cell r="G137">
            <v>5</v>
          </cell>
          <cell r="H137">
            <v>1.7060897346544048</v>
          </cell>
          <cell r="I137" t="str">
            <v/>
          </cell>
        </row>
        <row r="138">
          <cell r="C138" t="str">
            <v>80-1-16-00283951</v>
          </cell>
          <cell r="D138" t="str">
            <v>Калмыцкий филиал Публичного акционерного общества междугородной и международной электрической связи "Ростелеком"</v>
          </cell>
          <cell r="E138" t="str">
            <v>0,4</v>
          </cell>
          <cell r="F138">
            <v>8.5304486732720246</v>
          </cell>
          <cell r="G138">
            <v>1.2</v>
          </cell>
          <cell r="H138">
            <v>7.1087072277266872</v>
          </cell>
          <cell r="I138" t="str">
            <v/>
          </cell>
        </row>
        <row r="139">
          <cell r="C139" t="str">
            <v>80-1-16-00284925</v>
          </cell>
          <cell r="D139" t="str">
            <v>ИП Максимов Бембе Церенович</v>
          </cell>
          <cell r="E139" t="str">
            <v>0,4</v>
          </cell>
          <cell r="F139">
            <v>8.5304486732720246</v>
          </cell>
          <cell r="G139">
            <v>8</v>
          </cell>
          <cell r="H139">
            <v>1.0663060841590031</v>
          </cell>
          <cell r="I139" t="str">
            <v/>
          </cell>
        </row>
        <row r="140">
          <cell r="C140" t="str">
            <v>80-1-16-00264015</v>
          </cell>
          <cell r="D140" t="str">
            <v>Садмонов Эдуард Васильевич</v>
          </cell>
          <cell r="E140" t="str">
            <v>0,4</v>
          </cell>
          <cell r="F140">
            <v>8.5304486732720246</v>
          </cell>
          <cell r="G140">
            <v>5</v>
          </cell>
          <cell r="H140">
            <v>1.7060897346544048</v>
          </cell>
          <cell r="I140" t="str">
            <v/>
          </cell>
        </row>
        <row r="141">
          <cell r="C141" t="str">
            <v>80-1-16-00264781</v>
          </cell>
          <cell r="D141" t="str">
            <v>Горяева Светлана Николаевна</v>
          </cell>
          <cell r="E141" t="str">
            <v>0,4</v>
          </cell>
          <cell r="F141">
            <v>8.5304486732720246</v>
          </cell>
          <cell r="G141">
            <v>7.71</v>
          </cell>
          <cell r="H141">
            <v>1.1064135762998735</v>
          </cell>
          <cell r="I141" t="str">
            <v/>
          </cell>
        </row>
        <row r="142">
          <cell r="C142" t="str">
            <v>80-1-16-00273219</v>
          </cell>
          <cell r="D142" t="str">
            <v>Якушев Виктор Владимирович</v>
          </cell>
          <cell r="E142" t="str">
            <v>0,4</v>
          </cell>
          <cell r="F142">
            <v>8.5304486732720246</v>
          </cell>
          <cell r="G142">
            <v>5</v>
          </cell>
          <cell r="H142">
            <v>1.7060897346544048</v>
          </cell>
          <cell r="I142" t="str">
            <v/>
          </cell>
        </row>
        <row r="143">
          <cell r="C143" t="str">
            <v>80-1-16-00265443</v>
          </cell>
          <cell r="D143" t="str">
            <v>Региональное отделение по Республике Калмыкия Поволжского филиала Публичного акционерного общества "МегаФон"</v>
          </cell>
          <cell r="E143" t="str">
            <v>0,4</v>
          </cell>
          <cell r="F143">
            <v>8.5304486732720246</v>
          </cell>
          <cell r="G143">
            <v>5</v>
          </cell>
          <cell r="H143">
            <v>1.7060897346544048</v>
          </cell>
          <cell r="I143" t="str">
            <v/>
          </cell>
        </row>
        <row r="144">
          <cell r="C144" t="str">
            <v>80-1-16-00267137</v>
          </cell>
          <cell r="D144" t="str">
            <v>Болдырев Эренцен Владимирович</v>
          </cell>
          <cell r="E144" t="str">
            <v>0,4</v>
          </cell>
          <cell r="F144">
            <v>8.5304486732720246</v>
          </cell>
          <cell r="G144">
            <v>12.6</v>
          </cell>
          <cell r="H144">
            <v>0.67701973597397025</v>
          </cell>
          <cell r="I144" t="str">
            <v/>
          </cell>
        </row>
        <row r="145">
          <cell r="C145" t="str">
            <v>80-1-16-00274865</v>
          </cell>
          <cell r="D145" t="str">
            <v>Егоринов Эрдни Александрович</v>
          </cell>
          <cell r="E145" t="str">
            <v>0,4</v>
          </cell>
          <cell r="F145">
            <v>8.5304486732720246</v>
          </cell>
          <cell r="G145">
            <v>10</v>
          </cell>
          <cell r="H145">
            <v>0.85304486732720242</v>
          </cell>
          <cell r="I145" t="str">
            <v/>
          </cell>
        </row>
        <row r="146">
          <cell r="C146" t="str">
            <v>80-1-16-00272559</v>
          </cell>
          <cell r="D146" t="str">
            <v>ИП Убушиев Мерген Николаевич</v>
          </cell>
          <cell r="E146" t="str">
            <v>0,4</v>
          </cell>
          <cell r="F146">
            <v>8.5304486732720246</v>
          </cell>
          <cell r="G146">
            <v>14</v>
          </cell>
          <cell r="H146">
            <v>0.6093177623765732</v>
          </cell>
          <cell r="I146" t="str">
            <v/>
          </cell>
        </row>
        <row r="147">
          <cell r="C147" t="str">
            <v>80-1-16-00261973</v>
          </cell>
          <cell r="D147" t="str">
            <v>Титеева Татьяна Анатольевна</v>
          </cell>
          <cell r="E147" t="str">
            <v>0,4</v>
          </cell>
          <cell r="F147">
            <v>8.5304486732720246</v>
          </cell>
          <cell r="G147">
            <v>9.6</v>
          </cell>
          <cell r="H147">
            <v>0.8885884034658359</v>
          </cell>
          <cell r="I147" t="str">
            <v/>
          </cell>
        </row>
        <row r="148">
          <cell r="C148" t="str">
            <v>80-1-16-00262061</v>
          </cell>
          <cell r="D148" t="str">
            <v>Соктуева Байрта Эрдниевна</v>
          </cell>
          <cell r="E148" t="str">
            <v>0,4</v>
          </cell>
          <cell r="F148">
            <v>8.5304486732720246</v>
          </cell>
          <cell r="G148">
            <v>6.88</v>
          </cell>
          <cell r="H148">
            <v>1.2398907955337246</v>
          </cell>
          <cell r="I148" t="str">
            <v/>
          </cell>
        </row>
        <row r="149">
          <cell r="C149" t="str">
            <v>80-1-16-00263061</v>
          </cell>
          <cell r="D149" t="str">
            <v>Федотов Дмитрий Викторович</v>
          </cell>
          <cell r="E149" t="str">
            <v>0,4</v>
          </cell>
          <cell r="F149">
            <v>8.5304486732720246</v>
          </cell>
          <cell r="G149">
            <v>13</v>
          </cell>
          <cell r="H149">
            <v>0.65618835948246346</v>
          </cell>
          <cell r="I149" t="str">
            <v/>
          </cell>
        </row>
        <row r="150">
          <cell r="C150" t="str">
            <v>80-1-16-00279459</v>
          </cell>
          <cell r="D150" t="str">
            <v>индивидуальный предприниматель Зольванов Юрий Корнусович</v>
          </cell>
          <cell r="E150" t="str">
            <v>0,4</v>
          </cell>
          <cell r="F150">
            <v>8.5304486732720246</v>
          </cell>
          <cell r="G150">
            <v>15</v>
          </cell>
          <cell r="H150">
            <v>0.56869657821813502</v>
          </cell>
          <cell r="I150" t="str">
            <v/>
          </cell>
        </row>
        <row r="151">
          <cell r="C151" t="str">
            <v>80-1-16-00262029</v>
          </cell>
          <cell r="D151" t="str">
            <v>Бадмаев Надбит Александрович</v>
          </cell>
          <cell r="E151" t="str">
            <v>0,4</v>
          </cell>
          <cell r="F151">
            <v>8.5304486732720246</v>
          </cell>
          <cell r="G151">
            <v>8.98</v>
          </cell>
          <cell r="H151">
            <v>0.94993860504142813</v>
          </cell>
          <cell r="I151" t="str">
            <v/>
          </cell>
        </row>
        <row r="152">
          <cell r="C152" t="str">
            <v>80-1-16-00280487</v>
          </cell>
          <cell r="D152" t="str">
            <v>Городоваев Юрий Анатольевич</v>
          </cell>
          <cell r="E152" t="str">
            <v>0,4</v>
          </cell>
          <cell r="F152">
            <v>8.5304486732720246</v>
          </cell>
          <cell r="G152">
            <v>10.57</v>
          </cell>
          <cell r="H152">
            <v>0.8070433938762559</v>
          </cell>
          <cell r="I152" t="str">
            <v/>
          </cell>
        </row>
        <row r="153">
          <cell r="C153" t="str">
            <v>80-1-16-00274411</v>
          </cell>
          <cell r="D153" t="str">
            <v>индивидуальный предприниматель Менкеносонова Валентина Хейчиевна</v>
          </cell>
          <cell r="E153" t="str">
            <v>0,4</v>
          </cell>
          <cell r="F153">
            <v>8.5304486732720246</v>
          </cell>
          <cell r="G153">
            <v>13.3</v>
          </cell>
          <cell r="H153">
            <v>0.6413871182911296</v>
          </cell>
          <cell r="I153" t="str">
            <v/>
          </cell>
        </row>
        <row r="154">
          <cell r="C154" t="str">
            <v>80-1-16-00261491</v>
          </cell>
          <cell r="D154" t="str">
            <v>Убушиев Дольган Дорджиевич</v>
          </cell>
          <cell r="E154" t="str">
            <v>0,4</v>
          </cell>
          <cell r="F154">
            <v>8.5304486732720246</v>
          </cell>
          <cell r="G154">
            <v>5</v>
          </cell>
          <cell r="H154">
            <v>1.7060897346544048</v>
          </cell>
          <cell r="I154" t="str">
            <v/>
          </cell>
        </row>
        <row r="155">
          <cell r="C155" t="str">
            <v>80-1-16-00281177</v>
          </cell>
          <cell r="D155" t="str">
            <v>Очирова Юлия Александровна</v>
          </cell>
          <cell r="E155" t="str">
            <v>0,4</v>
          </cell>
          <cell r="F155">
            <v>8.5304486732720246</v>
          </cell>
          <cell r="G155">
            <v>5</v>
          </cell>
          <cell r="H155">
            <v>1.7060897346544048</v>
          </cell>
          <cell r="I155" t="str">
            <v/>
          </cell>
        </row>
        <row r="156">
          <cell r="C156" t="str">
            <v>80-1-16-00281695</v>
          </cell>
          <cell r="D156" t="str">
            <v>Хахарова Эльза Алексеевна</v>
          </cell>
          <cell r="E156" t="str">
            <v>0,4</v>
          </cell>
          <cell r="F156">
            <v>8.5304486732720246</v>
          </cell>
          <cell r="G156">
            <v>5</v>
          </cell>
          <cell r="H156">
            <v>1.7060897346544048</v>
          </cell>
          <cell r="I156" t="str">
            <v/>
          </cell>
        </row>
        <row r="157">
          <cell r="C157" t="str">
            <v>80-1-16-00282031</v>
          </cell>
          <cell r="D157" t="str">
            <v>Эрднеева Светлана Борисовна</v>
          </cell>
          <cell r="E157" t="str">
            <v>0,4</v>
          </cell>
          <cell r="F157">
            <v>8.5304486732720246</v>
          </cell>
          <cell r="G157">
            <v>5</v>
          </cell>
          <cell r="H157">
            <v>1.7060897346544048</v>
          </cell>
          <cell r="I157" t="str">
            <v/>
          </cell>
        </row>
        <row r="158">
          <cell r="C158" t="str">
            <v>80-1-16-00264043</v>
          </cell>
          <cell r="D158" t="str">
            <v>Санджиев Александр Дорджиевич</v>
          </cell>
          <cell r="E158" t="str">
            <v>0,4</v>
          </cell>
          <cell r="F158">
            <v>8.5304486732720246</v>
          </cell>
          <cell r="G158">
            <v>2.84</v>
          </cell>
          <cell r="H158">
            <v>3.003679110307051</v>
          </cell>
          <cell r="I158" t="str">
            <v/>
          </cell>
        </row>
        <row r="159">
          <cell r="C159" t="str">
            <v>80-1-16-00281667</v>
          </cell>
          <cell r="D159" t="str">
            <v>Эрдниева Евгения Анатольевна</v>
          </cell>
          <cell r="E159" t="str">
            <v>0,4</v>
          </cell>
          <cell r="F159">
            <v>8.5304486732720246</v>
          </cell>
          <cell r="G159">
            <v>5</v>
          </cell>
          <cell r="H159">
            <v>1.7060897346544048</v>
          </cell>
          <cell r="I159" t="str">
            <v/>
          </cell>
        </row>
        <row r="160">
          <cell r="C160" t="str">
            <v>80-1-16-00276845</v>
          </cell>
          <cell r="D160" t="str">
            <v>Ким Людмила Анатольевна</v>
          </cell>
          <cell r="E160" t="str">
            <v>0,4</v>
          </cell>
          <cell r="F160">
            <v>8.5304486732720246</v>
          </cell>
          <cell r="G160">
            <v>6</v>
          </cell>
          <cell r="H160">
            <v>1.4217414455453374</v>
          </cell>
          <cell r="I160" t="str">
            <v/>
          </cell>
        </row>
        <row r="161">
          <cell r="C161" t="str">
            <v>80-1-16-00294019</v>
          </cell>
          <cell r="D161" t="str">
            <v>Сельвина Зоя Балдановна</v>
          </cell>
          <cell r="E161" t="str">
            <v>0,4</v>
          </cell>
          <cell r="F161">
            <v>8.5304486732720246</v>
          </cell>
          <cell r="G161">
            <v>5</v>
          </cell>
          <cell r="H161">
            <v>1.7060897346544048</v>
          </cell>
          <cell r="I161" t="str">
            <v/>
          </cell>
        </row>
        <row r="162">
          <cell r="C162" t="str">
            <v>80-1-16-00294229</v>
          </cell>
          <cell r="D162" t="str">
            <v>Санджиева Нина Эрендженовна</v>
          </cell>
          <cell r="E162" t="str">
            <v>0,4</v>
          </cell>
          <cell r="F162">
            <v>8.5304486732720246</v>
          </cell>
          <cell r="G162">
            <v>5</v>
          </cell>
          <cell r="H162">
            <v>1.7060897346544048</v>
          </cell>
          <cell r="I162" t="str">
            <v/>
          </cell>
        </row>
        <row r="163">
          <cell r="C163" t="str">
            <v>80-1-16-00294275</v>
          </cell>
          <cell r="D163" t="str">
            <v>Ехаев Владимир Александрович</v>
          </cell>
          <cell r="E163" t="str">
            <v>0,4</v>
          </cell>
          <cell r="F163">
            <v>8.5304486732720246</v>
          </cell>
          <cell r="G163">
            <v>5</v>
          </cell>
          <cell r="H163">
            <v>1.7060897346544048</v>
          </cell>
          <cell r="I163" t="str">
            <v/>
          </cell>
        </row>
        <row r="164">
          <cell r="C164" t="str">
            <v>80-1-16-00291269</v>
          </cell>
          <cell r="D164" t="str">
            <v>Басангова Надежда Владимировна</v>
          </cell>
          <cell r="E164" t="str">
            <v>0,4</v>
          </cell>
          <cell r="F164">
            <v>8.5304486732720246</v>
          </cell>
          <cell r="G164">
            <v>8</v>
          </cell>
          <cell r="H164">
            <v>1.0663060841590031</v>
          </cell>
          <cell r="I164" t="str">
            <v/>
          </cell>
        </row>
        <row r="165">
          <cell r="C165" t="str">
            <v>80-1-16-00294235</v>
          </cell>
          <cell r="D165" t="str">
            <v>Учуров Игорь Владимирович</v>
          </cell>
          <cell r="E165" t="str">
            <v>0,4</v>
          </cell>
          <cell r="F165">
            <v>8.5304486732720246</v>
          </cell>
          <cell r="G165">
            <v>5</v>
          </cell>
          <cell r="H165">
            <v>1.7060897346544048</v>
          </cell>
          <cell r="I165" t="str">
            <v/>
          </cell>
        </row>
        <row r="166">
          <cell r="C166" t="str">
            <v>80-1-16-00294239</v>
          </cell>
          <cell r="D166" t="str">
            <v>Бамбышев Илья Антонович</v>
          </cell>
          <cell r="E166" t="str">
            <v>0,4</v>
          </cell>
          <cell r="F166">
            <v>8.5304486732720246</v>
          </cell>
          <cell r="G166">
            <v>5</v>
          </cell>
          <cell r="H166">
            <v>1.7060897346544048</v>
          </cell>
          <cell r="I166" t="str">
            <v/>
          </cell>
        </row>
        <row r="167">
          <cell r="C167" t="str">
            <v>80-1-16-00294241</v>
          </cell>
          <cell r="D167" t="str">
            <v>Кекеев Станислав Дорджиевич</v>
          </cell>
          <cell r="E167" t="str">
            <v>0,4</v>
          </cell>
          <cell r="F167">
            <v>8.5304486732720246</v>
          </cell>
          <cell r="G167">
            <v>5</v>
          </cell>
          <cell r="H167">
            <v>1.7060897346544048</v>
          </cell>
          <cell r="I167" t="str">
            <v/>
          </cell>
        </row>
        <row r="168">
          <cell r="C168" t="str">
            <v>80-1-16-00294243</v>
          </cell>
          <cell r="D168" t="str">
            <v>Эльдеев Виктор Церенович</v>
          </cell>
          <cell r="E168" t="str">
            <v>0,4</v>
          </cell>
          <cell r="F168">
            <v>8.5304486732720246</v>
          </cell>
          <cell r="G168">
            <v>5</v>
          </cell>
          <cell r="H168">
            <v>1.7060897346544048</v>
          </cell>
          <cell r="I168" t="str">
            <v/>
          </cell>
        </row>
        <row r="169">
          <cell r="C169" t="str">
            <v>80-1-16-00294237</v>
          </cell>
          <cell r="D169" t="str">
            <v>Хатуева Зоя Санжиевна</v>
          </cell>
          <cell r="E169" t="str">
            <v>0,4</v>
          </cell>
          <cell r="F169">
            <v>8.5304486732720246</v>
          </cell>
          <cell r="G169">
            <v>5</v>
          </cell>
          <cell r="H169">
            <v>1.7060897346544048</v>
          </cell>
          <cell r="I169" t="str">
            <v/>
          </cell>
        </row>
        <row r="170">
          <cell r="C170" t="str">
            <v>80-1-16-00291157</v>
          </cell>
          <cell r="D170" t="str">
            <v>Баджаева Галина Мигляевна</v>
          </cell>
          <cell r="E170" t="str">
            <v>0,4</v>
          </cell>
          <cell r="F170">
            <v>8.5304486732720246</v>
          </cell>
          <cell r="G170">
            <v>5</v>
          </cell>
          <cell r="H170">
            <v>1.7060897346544048</v>
          </cell>
          <cell r="I170" t="str">
            <v/>
          </cell>
        </row>
        <row r="171">
          <cell r="C171" t="str">
            <v>80-1-16-00289495</v>
          </cell>
          <cell r="D171" t="str">
            <v>Сактуев Игорь Иванович</v>
          </cell>
          <cell r="E171" t="str">
            <v>0,4</v>
          </cell>
          <cell r="F171">
            <v>8.5304486732720246</v>
          </cell>
          <cell r="G171">
            <v>7.21</v>
          </cell>
          <cell r="H171">
            <v>1.1831412861681032</v>
          </cell>
          <cell r="I171" t="str">
            <v/>
          </cell>
        </row>
        <row r="172">
          <cell r="C172" t="str">
            <v>с инвест</v>
          </cell>
          <cell r="D172">
            <v>33</v>
          </cell>
          <cell r="E172">
            <v>0</v>
          </cell>
          <cell r="F172">
            <v>281.50480621797669</v>
          </cell>
          <cell r="G172">
            <v>211.10000000000002</v>
          </cell>
          <cell r="H172">
            <v>135.71980514905712</v>
          </cell>
          <cell r="I172">
            <v>0</v>
          </cell>
        </row>
        <row r="173">
          <cell r="C173" t="str">
            <v>без инвест</v>
          </cell>
          <cell r="D173">
            <v>129</v>
          </cell>
          <cell r="E173">
            <v>0</v>
          </cell>
          <cell r="F173">
            <v>1100.4278788520944</v>
          </cell>
          <cell r="G173">
            <v>847.39300000000014</v>
          </cell>
          <cell r="H173">
            <v>241.09703965735261</v>
          </cell>
          <cell r="I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C175" t="str">
            <v>80103-14-00171619-1</v>
          </cell>
          <cell r="D175" t="str">
            <v>Темяников Владимир Лиджиевич</v>
          </cell>
          <cell r="E175" t="str">
            <v>6-20</v>
          </cell>
          <cell r="F175">
            <v>8.5304486732720246</v>
          </cell>
          <cell r="G175">
            <v>8</v>
          </cell>
          <cell r="H175">
            <v>1.0663060841590031</v>
          </cell>
          <cell r="I175" t="str">
            <v/>
          </cell>
        </row>
        <row r="176">
          <cell r="C176" t="str">
            <v>80-1-14-00184057</v>
          </cell>
          <cell r="D176" t="str">
            <v>Глава КФХ "Боодг" ИП Борлыков Сергей Борисович</v>
          </cell>
          <cell r="E176" t="str">
            <v>6-20</v>
          </cell>
          <cell r="F176">
            <v>8.5304486732720246</v>
          </cell>
          <cell r="G176">
            <v>10</v>
          </cell>
          <cell r="H176">
            <v>0.85304486732720242</v>
          </cell>
          <cell r="I176">
            <v>80.771590000000003</v>
          </cell>
        </row>
        <row r="177">
          <cell r="C177" t="str">
            <v>80-1-16-00256967</v>
          </cell>
          <cell r="D177" t="str">
            <v>Дорошенко Андрей Пантелеевич</v>
          </cell>
          <cell r="E177" t="str">
            <v>6-20</v>
          </cell>
          <cell r="F177">
            <v>8.5304486732720246</v>
          </cell>
          <cell r="G177">
            <v>15</v>
          </cell>
          <cell r="H177">
            <v>0.56869657821813502</v>
          </cell>
          <cell r="I177" t="str">
            <v/>
          </cell>
        </row>
        <row r="178">
          <cell r="C178" t="str">
            <v>80-1-16-00258537</v>
          </cell>
          <cell r="D178" t="str">
            <v>крестьянское (фермерское) хозяйство "Тензин" - индивидуальный предприниматель Хулхачиев Сергей Андреевич</v>
          </cell>
          <cell r="E178" t="str">
            <v>6-20</v>
          </cell>
          <cell r="F178">
            <v>8.5304486732720246</v>
          </cell>
          <cell r="G178">
            <v>5</v>
          </cell>
          <cell r="H178">
            <v>1.7060897346544048</v>
          </cell>
          <cell r="I178" t="str">
            <v/>
          </cell>
        </row>
        <row r="179">
          <cell r="C179" t="str">
            <v>21902-11-00039995-1</v>
          </cell>
          <cell r="D179" t="str">
            <v>ИП Джамаева Н.П. КФХ "Цаган-Хаалг-1"</v>
          </cell>
          <cell r="E179" t="str">
            <v>6-20</v>
          </cell>
          <cell r="F179">
            <v>8.5304486732720246</v>
          </cell>
          <cell r="G179">
            <v>6</v>
          </cell>
          <cell r="H179">
            <v>1.4217414455453374</v>
          </cell>
          <cell r="I179" t="str">
            <v/>
          </cell>
        </row>
        <row r="180">
          <cell r="C180" t="str">
            <v>20000-10-00016172-1</v>
          </cell>
          <cell r="D180" t="str">
            <v>крестьянское (фермерское) хозяйство "Амуланга" ИП Ангиров Анатолий Талдыкович</v>
          </cell>
          <cell r="E180" t="str">
            <v>6-20</v>
          </cell>
          <cell r="F180">
            <v>8.5304486732720246</v>
          </cell>
          <cell r="G180">
            <v>5</v>
          </cell>
          <cell r="H180">
            <v>1.7060897346544048</v>
          </cell>
          <cell r="I180" t="str">
            <v/>
          </cell>
        </row>
        <row r="181">
          <cell r="C181" t="str">
            <v>21903-13-00142901-1</v>
          </cell>
          <cell r="D181" t="str">
            <v>Крестьянское (фермерское) хозяйство "Хаджимурад" - ИП Гасайниева Джума Муртазалиевна</v>
          </cell>
          <cell r="E181" t="str">
            <v>6-20</v>
          </cell>
          <cell r="F181">
            <v>8.5304486732720246</v>
          </cell>
          <cell r="G181">
            <v>8</v>
          </cell>
          <cell r="H181">
            <v>1.0663060841590031</v>
          </cell>
          <cell r="I181" t="str">
            <v/>
          </cell>
        </row>
        <row r="182">
          <cell r="C182" t="str">
            <v>80-1-14-00177295</v>
          </cell>
          <cell r="D182" t="str">
            <v>Крестьянское (фермерское) хозяйство - ИП Дорджиев Владимир Александрович</v>
          </cell>
          <cell r="E182" t="str">
            <v>6-20</v>
          </cell>
          <cell r="F182">
            <v>8.5304486732720246</v>
          </cell>
          <cell r="G182">
            <v>3.2</v>
          </cell>
          <cell r="H182">
            <v>2.6657652103975074</v>
          </cell>
          <cell r="I182" t="str">
            <v/>
          </cell>
        </row>
        <row r="183">
          <cell r="C183" t="str">
            <v>80-1-14-00187977</v>
          </cell>
          <cell r="D183" t="str">
            <v>ИП Ен Юрий Владимирович</v>
          </cell>
          <cell r="E183" t="str">
            <v>6-20</v>
          </cell>
          <cell r="F183">
            <v>8.5304486732720246</v>
          </cell>
          <cell r="G183">
            <v>3</v>
          </cell>
          <cell r="H183">
            <v>2.8434828910906749</v>
          </cell>
          <cell r="I183" t="str">
            <v/>
          </cell>
        </row>
        <row r="184">
          <cell r="C184" t="str">
            <v>80-7-15-00217885</v>
          </cell>
          <cell r="D184" t="str">
            <v>крестьянское (фермерское) хозяйство "Дорджиев" - ИП Дорджиев Анатолий Алексеевич</v>
          </cell>
          <cell r="E184" t="str">
            <v>6-20</v>
          </cell>
          <cell r="F184">
            <v>8.5304486732720246</v>
          </cell>
          <cell r="G184">
            <v>8</v>
          </cell>
          <cell r="H184">
            <v>1.0663060841590031</v>
          </cell>
          <cell r="I184" t="str">
            <v/>
          </cell>
        </row>
        <row r="185">
          <cell r="C185" t="str">
            <v>80-1-15-00228501</v>
          </cell>
          <cell r="D185" t="str">
            <v>Крестьянское (фермерское хозяйство) - ИП Квачёв Евгений Васильевич</v>
          </cell>
          <cell r="E185" t="str">
            <v>6-20</v>
          </cell>
          <cell r="F185">
            <v>8.5304486732720246</v>
          </cell>
          <cell r="G185">
            <v>7</v>
          </cell>
          <cell r="H185">
            <v>1.2186355247531464</v>
          </cell>
          <cell r="I185" t="str">
            <v/>
          </cell>
        </row>
        <row r="186">
          <cell r="C186" t="str">
            <v>80-1-15-00233219</v>
          </cell>
          <cell r="D186" t="str">
            <v>ИП Бадаева Татьяна Очировна</v>
          </cell>
          <cell r="E186" t="str">
            <v>6-20</v>
          </cell>
          <cell r="F186">
            <v>8.5304486732720246</v>
          </cell>
          <cell r="G186">
            <v>10</v>
          </cell>
          <cell r="H186">
            <v>0.85304486732720242</v>
          </cell>
          <cell r="I186" t="str">
            <v/>
          </cell>
        </row>
        <row r="187">
          <cell r="C187" t="str">
            <v>80-1-15-00239933</v>
          </cell>
          <cell r="D187" t="str">
            <v>Муниципальное унитарное предприятие им С.М. Буденного</v>
          </cell>
          <cell r="E187" t="str">
            <v>6-20</v>
          </cell>
          <cell r="F187">
            <v>8.5304486732720246</v>
          </cell>
          <cell r="G187">
            <v>2.7</v>
          </cell>
          <cell r="H187">
            <v>3.1594254345451942</v>
          </cell>
          <cell r="I187" t="str">
            <v/>
          </cell>
        </row>
        <row r="188">
          <cell r="C188" t="str">
            <v>80-1-16-00249421</v>
          </cell>
          <cell r="D188" t="str">
            <v>КФХ "Орска" - Индивидуальный предприниматель Горяева Клавдия Трофимовна</v>
          </cell>
          <cell r="E188" t="str">
            <v>6-20</v>
          </cell>
          <cell r="F188">
            <v>8.5304486732720246</v>
          </cell>
          <cell r="G188">
            <v>3.47</v>
          </cell>
          <cell r="H188">
            <v>2.4583425571389119</v>
          </cell>
          <cell r="I188" t="str">
            <v/>
          </cell>
        </row>
        <row r="189">
          <cell r="C189" t="str">
            <v>80-1-16-00267663</v>
          </cell>
          <cell r="D189" t="str">
            <v>индивидуальный предприниматель Сангаджиев Арслан Максимович</v>
          </cell>
          <cell r="E189" t="str">
            <v>6-20</v>
          </cell>
          <cell r="F189">
            <v>8.5304486732720246</v>
          </cell>
          <cell r="G189">
            <v>10</v>
          </cell>
          <cell r="H189">
            <v>0.85304486732720242</v>
          </cell>
          <cell r="I189" t="str">
            <v/>
          </cell>
        </row>
        <row r="190">
          <cell r="C190" t="str">
            <v>80-1-16-00262285</v>
          </cell>
          <cell r="D190" t="str">
            <v>индивидуальный предприниматель Мирошниченко Татьяна Юрьевна</v>
          </cell>
          <cell r="E190" t="str">
            <v>6-20</v>
          </cell>
          <cell r="F190">
            <v>8.5304486732720246</v>
          </cell>
          <cell r="G190">
            <v>3.37</v>
          </cell>
          <cell r="H190">
            <v>2.5312904074991169</v>
          </cell>
          <cell r="I190" t="str">
            <v/>
          </cell>
        </row>
        <row r="191">
          <cell r="C191" t="str">
            <v>80-1-16-00265519</v>
          </cell>
          <cell r="D191" t="str">
            <v>Индивидуальный предприниматель Наранов Чингиз Михайлович</v>
          </cell>
          <cell r="E191" t="str">
            <v>6-20</v>
          </cell>
          <cell r="F191">
            <v>8.5304486732720246</v>
          </cell>
          <cell r="G191">
            <v>3.68</v>
          </cell>
          <cell r="H191">
            <v>2.3180567046934848</v>
          </cell>
          <cell r="I191" t="str">
            <v/>
          </cell>
        </row>
        <row r="192">
          <cell r="C192" t="str">
            <v>80-1-16-00276535</v>
          </cell>
          <cell r="D192" t="str">
            <v>ИП Хараева Светлана Бюрбеевна</v>
          </cell>
          <cell r="E192" t="str">
            <v>6-20</v>
          </cell>
          <cell r="F192">
            <v>8.5304486732720246</v>
          </cell>
          <cell r="G192">
            <v>1.4</v>
          </cell>
          <cell r="H192">
            <v>6.0931776237657322</v>
          </cell>
          <cell r="I192" t="str">
            <v/>
          </cell>
        </row>
        <row r="193">
          <cell r="C193" t="str">
            <v>80-1-16-00260871</v>
          </cell>
          <cell r="D193" t="str">
            <v>Крестьянское (фермерское) хозяйство - ИП Бамбеев Николай Яковлевич</v>
          </cell>
          <cell r="E193" t="str">
            <v>6-20</v>
          </cell>
          <cell r="F193">
            <v>8.5304486732720246</v>
          </cell>
          <cell r="G193">
            <v>1.3</v>
          </cell>
          <cell r="H193">
            <v>6.5618835948246339</v>
          </cell>
          <cell r="I193" t="str">
            <v/>
          </cell>
        </row>
        <row r="194">
          <cell r="C194" t="str">
            <v>80-1-16-00265561</v>
          </cell>
          <cell r="D194" t="str">
            <v>ИП Кикеев Владислав Геннадьевич</v>
          </cell>
          <cell r="E194" t="str">
            <v>6-20</v>
          </cell>
          <cell r="F194">
            <v>8.5304486732720246</v>
          </cell>
          <cell r="G194">
            <v>14</v>
          </cell>
          <cell r="H194">
            <v>0.6093177623765732</v>
          </cell>
          <cell r="I194" t="str">
            <v/>
          </cell>
        </row>
        <row r="195">
          <cell r="C195" t="str">
            <v>80-1-16-00290629</v>
          </cell>
          <cell r="D195" t="str">
            <v>Индивидуальный предприниматель Тоштаев Сергей Баатырович</v>
          </cell>
          <cell r="E195" t="str">
            <v>6-20</v>
          </cell>
          <cell r="F195">
            <v>8.5304486732720246</v>
          </cell>
          <cell r="G195">
            <v>8</v>
          </cell>
          <cell r="H195">
            <v>1.0663060841590031</v>
          </cell>
          <cell r="I195" t="str">
            <v/>
          </cell>
        </row>
        <row r="196">
          <cell r="C196" t="str">
            <v>80-1-15-00219677</v>
          </cell>
          <cell r="D196" t="str">
            <v>Садово-огородническое товарищество "Надежда садовода"</v>
          </cell>
          <cell r="E196" t="str">
            <v>6-20</v>
          </cell>
          <cell r="F196">
            <v>68.243589386176197</v>
          </cell>
          <cell r="G196">
            <v>50</v>
          </cell>
          <cell r="H196">
            <v>1.3648717877235239</v>
          </cell>
          <cell r="I196" t="str">
            <v/>
          </cell>
        </row>
        <row r="197">
          <cell r="C197" t="str">
            <v>с инвест</v>
          </cell>
          <cell r="D197">
            <v>2</v>
          </cell>
          <cell r="E197">
            <v>0</v>
          </cell>
          <cell r="F197">
            <v>17.060897346544049</v>
          </cell>
          <cell r="G197">
            <v>18</v>
          </cell>
          <cell r="H197">
            <v>1.9193509514862055</v>
          </cell>
          <cell r="I197">
            <v>0</v>
          </cell>
        </row>
        <row r="198">
          <cell r="C198" t="str">
            <v>без инвест</v>
          </cell>
          <cell r="D198">
            <v>27</v>
          </cell>
          <cell r="E198">
            <v>0</v>
          </cell>
          <cell r="F198">
            <v>230.32211417834463</v>
          </cell>
          <cell r="G198">
            <v>168.12</v>
          </cell>
          <cell r="H198">
            <v>42.131874979012196</v>
          </cell>
          <cell r="I198">
            <v>0</v>
          </cell>
        </row>
        <row r="199">
          <cell r="C199">
            <v>0</v>
          </cell>
          <cell r="D199" t="str">
            <v>Рассрочка платежа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C201">
            <v>0</v>
          </cell>
          <cell r="D201" t="str">
            <v>-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"/>
      <sheetName val="Реестр 2015 ТП"/>
      <sheetName val="Реестр 2015 ИП"/>
      <sheetName val="Затраты 2015"/>
      <sheetName val="Затр. 2015 (без нал. на приб.)"/>
      <sheetName val="Об.сч.20.01"/>
      <sheetName val="Об.сч.62"/>
      <sheetName val="УО"/>
    </sheetNames>
    <sheetDataSet>
      <sheetData sheetId="0">
        <row r="23">
          <cell r="F23">
            <v>3770.8252700000007</v>
          </cell>
        </row>
      </sheetData>
      <sheetData sheetId="1">
        <row r="549">
          <cell r="N549">
            <v>61.719000000000001</v>
          </cell>
        </row>
        <row r="558">
          <cell r="J558">
            <v>109.53349999999959</v>
          </cell>
        </row>
        <row r="561">
          <cell r="J561">
            <v>152.20194593221876</v>
          </cell>
        </row>
        <row r="567">
          <cell r="J567">
            <v>872.78327000000002</v>
          </cell>
        </row>
        <row r="570">
          <cell r="J570">
            <v>663.38513999999986</v>
          </cell>
        </row>
      </sheetData>
      <sheetData sheetId="2"/>
      <sheetData sheetId="3"/>
      <sheetData sheetId="4"/>
      <sheetData sheetId="5">
        <row r="12">
          <cell r="F12">
            <v>53946.54</v>
          </cell>
          <cell r="H12">
            <v>737466.05</v>
          </cell>
          <cell r="J12">
            <v>35665.21</v>
          </cell>
          <cell r="L12">
            <v>1430.36</v>
          </cell>
          <cell r="S12">
            <v>4372.6099999999997</v>
          </cell>
        </row>
        <row r="151">
          <cell r="H151">
            <v>75401.02</v>
          </cell>
          <cell r="J151">
            <v>3687.49</v>
          </cell>
        </row>
        <row r="279">
          <cell r="F279">
            <v>5157.74</v>
          </cell>
          <cell r="H279">
            <v>2354132.5499999998</v>
          </cell>
          <cell r="J279">
            <v>127925.53</v>
          </cell>
          <cell r="L279">
            <v>194.47</v>
          </cell>
          <cell r="S279">
            <v>639.61</v>
          </cell>
          <cell r="T279">
            <v>180633.12</v>
          </cell>
        </row>
        <row r="419">
          <cell r="H419">
            <v>1186589.6000000001</v>
          </cell>
          <cell r="J419">
            <v>60982.080000000002</v>
          </cell>
        </row>
      </sheetData>
      <sheetData sheetId="6">
        <row r="7">
          <cell r="AE7">
            <v>129250</v>
          </cell>
        </row>
        <row r="133">
          <cell r="L133">
            <v>301213.46999999997</v>
          </cell>
        </row>
        <row r="1818">
          <cell r="L1818">
            <v>72828.42</v>
          </cell>
        </row>
        <row r="1831">
          <cell r="L1831">
            <v>1020339.41</v>
          </cell>
        </row>
        <row r="1967">
          <cell r="L1967">
            <v>799973.67</v>
          </cell>
        </row>
      </sheetData>
      <sheetData sheetId="7">
        <row r="52">
          <cell r="C52">
            <v>95.451629999999994</v>
          </cell>
        </row>
        <row r="54">
          <cell r="C54">
            <v>5.8633199999999999</v>
          </cell>
        </row>
        <row r="70">
          <cell r="C70">
            <v>206.59980999999999</v>
          </cell>
        </row>
        <row r="72">
          <cell r="C72">
            <v>88.739699999999999</v>
          </cell>
        </row>
        <row r="87">
          <cell r="C87">
            <v>2927.1842200000001</v>
          </cell>
        </row>
        <row r="105">
          <cell r="C105">
            <v>2.8216100000000002</v>
          </cell>
        </row>
        <row r="124">
          <cell r="C124">
            <v>2345.4751700000002</v>
          </cell>
        </row>
        <row r="145">
          <cell r="C145">
            <v>-1686.4927700000001</v>
          </cell>
        </row>
        <row r="151">
          <cell r="C151">
            <v>-201.21983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"/>
      <sheetName val="Реестр 2015 ТП"/>
      <sheetName val="Реестр 2015 ИП"/>
      <sheetName val="Затраты 2015"/>
      <sheetName val="Затр. 2015 (без нал. на приб.)"/>
      <sheetName val="Об.сч.20.01 (2015)"/>
      <sheetName val="Об.сч.62 (2015)"/>
      <sheetName val="УО 2015"/>
    </sheetNames>
    <sheetDataSet>
      <sheetData sheetId="0">
        <row r="26">
          <cell r="D26">
            <v>21677.399530000002</v>
          </cell>
        </row>
      </sheetData>
      <sheetData sheetId="1"/>
      <sheetData sheetId="2"/>
      <sheetData sheetId="3">
        <row r="13">
          <cell r="B13">
            <v>72828.42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Нива"/>
      <sheetName val="Темижбек"/>
      <sheetName val="Мелиоратор"/>
      <sheetName val="Подлесная"/>
      <sheetName val="Смета на п.ст. Нива"/>
    </sheetNames>
    <sheetDataSet>
      <sheetData sheetId="0" refreshError="1"/>
      <sheetData sheetId="1">
        <row r="101">
          <cell r="I101">
            <v>4242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4 (пр-во)"/>
      <sheetName val="Прил. 5 (НВВ) без льг.и инд.пр."/>
      <sheetName val="Прил. 5 (НВВ) 0"/>
      <sheetName val="Прил. 4 (пр-во) (без г.Элиста)"/>
      <sheetName val="Прил. 5 (НВВ)"/>
      <sheetName val="Прил 6 (кальк)-2в"/>
      <sheetName val="Прил. 6 (кальк)1в 3в"/>
      <sheetName val="Прил. 6 (кальк) без льгот"/>
      <sheetName val="Прил. 7 "/>
      <sheetName val="Табл. 7.1"/>
      <sheetName val="Табл. 7.2"/>
      <sheetName val="Табл. 7.3 Подг ТУ"/>
      <sheetName val="Табл. 7.4 разраб. ПСД"/>
      <sheetName val="Табл. 7.5 Проверка вып.ТУ"/>
      <sheetName val="Табл. 7.6 Ростехнадз."/>
      <sheetName val="Табл. 7.7 факт присоед"/>
      <sheetName val="Табл. 7.8 прям"/>
      <sheetName val="Табл. 7.9 косв"/>
      <sheetName val="Прил. 6 (кальк) (2)"/>
      <sheetName val="Прил. 8 инвест за 3 года "/>
      <sheetName val="Прил. 9 СТС"/>
      <sheetName val="Расч. Удельных прил.9.1."/>
      <sheetName val="для ПЗ"/>
      <sheetName val="Тариф. ставки"/>
      <sheetName val="Ст-ть маш. час"/>
      <sheetName val="Стр.14"/>
      <sheetName val="Прил. 9 СТС (2)"/>
      <sheetName val="Об.сч.20 2016"/>
      <sheetName val="Об.сч.62 2016"/>
      <sheetName val="УО 2016"/>
      <sheetName val="УО 6 мес.2016"/>
      <sheetName val="СС 2016 (1-е полуг.)"/>
      <sheetName val="Об.сч.62 1-е полуг.2016"/>
      <sheetName val="СС 6мес.2017"/>
      <sheetName val="Об.сч.20 6мес.2017"/>
      <sheetName val="Об.сч.62 6мес.2017"/>
      <sheetName val="УО 6мес.2017"/>
      <sheetName val="С1 2014"/>
      <sheetName val="С1 2018 (до 15 льг.) 2в"/>
      <sheetName val="С1 2018 (до 150) 2в"/>
      <sheetName val="С1 2018(свыше 150) 2в"/>
      <sheetName val="СС 2014"/>
      <sheetName val="Элиста"/>
      <sheetName val="Затр.2014-2016"/>
      <sheetName val="прил.3"/>
      <sheetName val="прил.4"/>
      <sheetName val="Об.сч.20 2016 (2)"/>
      <sheetName val="Затраты 2015"/>
      <sheetName val="Затраты 2016"/>
      <sheetName val="затраты17"/>
      <sheetName val="Затр.2015-2017 "/>
      <sheetName val="С1 2015"/>
      <sheetName val="C1 2016"/>
      <sheetName val="C1 2017"/>
      <sheetName val="СС 2015"/>
      <sheetName val="СС 2016"/>
      <sheetName val="СС2017"/>
      <sheetName val="Стр.15"/>
      <sheetName val="Стр.16"/>
      <sheetName val="ВСЕГО"/>
      <sheetName val="прил.1(2)"/>
      <sheetName val="прил.2"/>
      <sheetName val="прил.2 (2)"/>
      <sheetName val="прил.3 (2)"/>
      <sheetName val="прил.4 (2)"/>
      <sheetName val="Элиста (2)"/>
      <sheetName val="Прил.4.2 (стр.2015)"/>
      <sheetName val="Прил.4.3 (стр.2016)"/>
      <sheetName val="Прил.4.3(стр.2017)"/>
    </sheetNames>
    <sheetDataSet>
      <sheetData sheetId="0" refreshError="1"/>
      <sheetData sheetId="1" refreshError="1"/>
      <sheetData sheetId="2" refreshError="1">
        <row r="25">
          <cell r="B25" t="str">
            <v>Расходы по выполнению мероприятий по технологическому присоединению, всего</v>
          </cell>
        </row>
        <row r="26">
          <cell r="B26" t="str">
            <v>Вспомогательные материалы</v>
          </cell>
        </row>
        <row r="27">
          <cell r="B27" t="str">
            <v>Энергия на хозяйственные нужды</v>
          </cell>
        </row>
        <row r="28">
          <cell r="B28" t="str">
            <v>Оплата труда ППП (без соц. отчислений)</v>
          </cell>
        </row>
        <row r="29">
          <cell r="B29" t="str">
            <v>Отчисления на страховые взносы</v>
          </cell>
        </row>
        <row r="30">
          <cell r="B30" t="str">
            <v>Прочие расходы, всего, в том числе:</v>
          </cell>
        </row>
        <row r="31">
          <cell r="B31" t="str">
            <v xml:space="preserve"> - работы и услуги производственного характера</v>
          </cell>
        </row>
        <row r="32">
          <cell r="B32" t="str">
            <v xml:space="preserve"> - налоги и сборы, уменьшающие налогооблагаемую базу на прибыль организаций, всего</v>
          </cell>
        </row>
        <row r="33">
          <cell r="B33" t="str">
            <v xml:space="preserve"> - работы и услуги непроизводственного характера, в.ч.:</v>
          </cell>
        </row>
        <row r="34">
          <cell r="B34" t="str">
            <v>услуги связи</v>
          </cell>
        </row>
        <row r="35">
          <cell r="B35" t="str">
            <v>расходы на охрану и пожарную безопасность</v>
          </cell>
        </row>
        <row r="36">
          <cell r="B36" t="str">
            <v>расходы на информационное обслуживание, консультационные и юридические услуги</v>
          </cell>
        </row>
        <row r="37">
          <cell r="B37" t="str">
            <v>плата за аренду имущества</v>
          </cell>
        </row>
        <row r="38">
          <cell r="B38" t="str">
            <v xml:space="preserve">другие прочие расходы, связанные с производством и реализацией </v>
          </cell>
        </row>
        <row r="39">
          <cell r="B39" t="str">
            <v>Внереализационные расходы, всего</v>
          </cell>
        </row>
        <row r="40">
          <cell r="B40" t="str">
            <v xml:space="preserve"> - расходы на услуги банков</v>
          </cell>
        </row>
        <row r="41">
          <cell r="B41" t="str">
            <v xml:space="preserve"> - % за пользование кредитом</v>
          </cell>
        </row>
        <row r="42">
          <cell r="B42" t="str">
            <v xml:space="preserve"> - прочие обоснованные расходы*</v>
          </cell>
        </row>
        <row r="43">
          <cell r="B43" t="str">
            <v xml:space="preserve"> - денежные выплаты социального характера (по Коллективному договору)</v>
          </cell>
        </row>
        <row r="59">
          <cell r="B59" t="str">
            <v>Затраты по исполнительному аппарату ПАО "МРСК Юга"</v>
          </cell>
        </row>
        <row r="60">
          <cell r="B60" t="str">
            <v>Амортизация прочих ОС</v>
          </cell>
        </row>
        <row r="61">
          <cell r="B61" t="str">
            <v>Страхование</v>
          </cell>
        </row>
        <row r="62">
          <cell r="B62" t="str">
            <v xml:space="preserve">Затраты на охрану труда - мероприятия по предупреждению заболеваний на производстве </v>
          </cell>
        </row>
        <row r="63">
          <cell r="B63" t="str">
            <v>Затраты на экологию (кроме налогов и сборов)</v>
          </cell>
        </row>
        <row r="64">
          <cell r="B64" t="str">
            <v>Канцелярские расходы</v>
          </cell>
        </row>
        <row r="65">
          <cell r="B65" t="str">
            <v>Командировочные расходы</v>
          </cell>
        </row>
        <row r="66">
          <cell r="B66" t="str">
            <v>Оплата дней нетрудоспособности</v>
          </cell>
        </row>
        <row r="67">
          <cell r="B67" t="str">
            <v>Повышение квалификации</v>
          </cell>
        </row>
        <row r="68">
          <cell r="B68" t="str">
            <v>Расходы по управлению собственностью - межевание земельных участков</v>
          </cell>
        </row>
        <row r="69">
          <cell r="B69" t="str">
            <v xml:space="preserve">Услуги PR, СМИ, рекламы </v>
          </cell>
        </row>
        <row r="70">
          <cell r="B70" t="str">
            <v>Услуги коммунального хозяйства</v>
          </cell>
        </row>
        <row r="71">
          <cell r="B71" t="str">
            <v>Услуги по организации функционирования и развитию ЕЭС России</v>
          </cell>
        </row>
        <row r="72">
          <cell r="B72" t="str">
            <v>Услуги по аккредитации (аттестации) и экспертизе в области метрологического обеспечения и качества э/э</v>
          </cell>
        </row>
        <row r="73">
          <cell r="B73" t="str">
            <v>прочие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3">
          <cell r="B13">
            <v>3684876.1</v>
          </cell>
        </row>
      </sheetData>
      <sheetData sheetId="28" refreshError="1">
        <row r="3">
          <cell r="Q3">
            <v>1822168.1200000006</v>
          </cell>
          <cell r="S3">
            <v>211</v>
          </cell>
        </row>
        <row r="4">
          <cell r="Q4">
            <v>105600</v>
          </cell>
          <cell r="S4">
            <v>192</v>
          </cell>
        </row>
        <row r="5">
          <cell r="S5">
            <v>19</v>
          </cell>
        </row>
        <row r="624">
          <cell r="F624">
            <v>155533.46</v>
          </cell>
        </row>
        <row r="667">
          <cell r="F667">
            <v>4400</v>
          </cell>
        </row>
        <row r="671">
          <cell r="F671">
            <v>7549.54</v>
          </cell>
        </row>
      </sheetData>
      <sheetData sheetId="29" refreshError="1">
        <row r="56">
          <cell r="F56">
            <v>15.77765</v>
          </cell>
        </row>
        <row r="58">
          <cell r="F58">
            <v>20.356929999999998</v>
          </cell>
        </row>
        <row r="74">
          <cell r="F74">
            <v>437.73552000000001</v>
          </cell>
        </row>
        <row r="76">
          <cell r="F76">
            <v>131.64761999999999</v>
          </cell>
        </row>
        <row r="94">
          <cell r="F94">
            <v>2096.4635800000001</v>
          </cell>
        </row>
        <row r="112">
          <cell r="F112">
            <v>3.15585</v>
          </cell>
        </row>
        <row r="149">
          <cell r="F149">
            <v>-1124.85204</v>
          </cell>
        </row>
        <row r="155">
          <cell r="F155">
            <v>43.604309999999998</v>
          </cell>
        </row>
      </sheetData>
      <sheetData sheetId="30" refreshError="1">
        <row r="53">
          <cell r="D53">
            <v>9.9888999999999992</v>
          </cell>
        </row>
        <row r="55">
          <cell r="D55">
            <v>8.3809999999999996E-2</v>
          </cell>
        </row>
        <row r="71">
          <cell r="D71">
            <v>108.04815000000001</v>
          </cell>
        </row>
        <row r="73">
          <cell r="D73">
            <v>32.117040000000003</v>
          </cell>
        </row>
        <row r="88">
          <cell r="D88">
            <v>1083.3858</v>
          </cell>
        </row>
        <row r="109">
          <cell r="D109">
            <v>0.13858000000000001</v>
          </cell>
        </row>
        <row r="146">
          <cell r="D146">
            <v>-667.65132000000006</v>
          </cell>
        </row>
        <row r="152">
          <cell r="D152">
            <v>-36.735410000000002</v>
          </cell>
        </row>
      </sheetData>
      <sheetData sheetId="31" refreshError="1">
        <row r="4">
          <cell r="D4">
            <v>2219384.46</v>
          </cell>
        </row>
        <row r="7">
          <cell r="F7">
            <v>1618618.8081818179</v>
          </cell>
        </row>
      </sheetData>
      <sheetData sheetId="32" refreshError="1">
        <row r="7">
          <cell r="R7">
            <v>94467.703389830524</v>
          </cell>
          <cell r="S7">
            <v>37288.135593220344</v>
          </cell>
        </row>
      </sheetData>
      <sheetData sheetId="33" refreshError="1">
        <row r="11">
          <cell r="N11">
            <v>2826684.37</v>
          </cell>
          <cell r="P11">
            <v>1674563.1719387756</v>
          </cell>
          <cell r="W11">
            <v>1152121.1980612243</v>
          </cell>
        </row>
      </sheetData>
      <sheetData sheetId="34" refreshError="1"/>
      <sheetData sheetId="35" refreshError="1">
        <row r="7">
          <cell r="P7">
            <v>155577.29661016949</v>
          </cell>
          <cell r="Q7">
            <v>40550.847457627118</v>
          </cell>
        </row>
      </sheetData>
      <sheetData sheetId="36" refreshError="1">
        <row r="65">
          <cell r="F65">
            <v>5.7103700000000002</v>
          </cell>
        </row>
        <row r="67">
          <cell r="F67">
            <v>0.91110000000000002</v>
          </cell>
        </row>
        <row r="87">
          <cell r="F87">
            <v>124.67064000000001</v>
          </cell>
        </row>
        <row r="89">
          <cell r="F89">
            <v>45.964919999999999</v>
          </cell>
        </row>
        <row r="108">
          <cell r="F108">
            <v>373.64393999999999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>
        <row r="270">
          <cell r="D270">
            <v>236</v>
          </cell>
        </row>
      </sheetData>
      <sheetData sheetId="42" refreshError="1">
        <row r="19">
          <cell r="H19">
            <v>963</v>
          </cell>
          <cell r="J19">
            <v>1281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>
        <row r="20">
          <cell r="E20">
            <v>79.088510000000014</v>
          </cell>
          <cell r="G20">
            <v>625.3258177316294</v>
          </cell>
          <cell r="H20">
            <v>207.55495226837058</v>
          </cell>
          <cell r="I20">
            <v>2668.6830199999999</v>
          </cell>
          <cell r="J20">
            <v>1247.5716800000002</v>
          </cell>
        </row>
        <row r="22">
          <cell r="E22">
            <v>6.8568385426720999</v>
          </cell>
          <cell r="G22">
            <v>11.702918048395697</v>
          </cell>
          <cell r="H22">
            <v>17.375286291459197</v>
          </cell>
          <cell r="I22">
            <v>96.964208187679475</v>
          </cell>
          <cell r="J22">
            <v>73.700558929793516</v>
          </cell>
        </row>
        <row r="23">
          <cell r="E23">
            <v>97.150280928126548</v>
          </cell>
          <cell r="G23">
            <v>165.81136758652914</v>
          </cell>
          <cell r="H23">
            <v>246.17962548146429</v>
          </cell>
          <cell r="I23">
            <v>1373.8255621424346</v>
          </cell>
          <cell r="J23">
            <v>1044.2173838614453</v>
          </cell>
        </row>
        <row r="25">
          <cell r="E25">
            <v>2.9451808074032564</v>
          </cell>
          <cell r="G25">
            <v>5.0266911510674648</v>
          </cell>
          <cell r="H25">
            <v>7.4631128311211983</v>
          </cell>
          <cell r="I25">
            <v>41.648512383976637</v>
          </cell>
          <cell r="J25">
            <v>31.656202826431436</v>
          </cell>
        </row>
        <row r="32">
          <cell r="E32">
            <v>183.21920027820192</v>
          </cell>
          <cell r="G32">
            <v>945.28791876940045</v>
          </cell>
          <cell r="H32">
            <v>682.60169573507255</v>
          </cell>
          <cell r="I32">
            <v>5319.7202783055764</v>
          </cell>
          <cell r="J32">
            <v>3262.572176911749</v>
          </cell>
        </row>
        <row r="34">
          <cell r="B34">
            <v>39.238450999999998</v>
          </cell>
        </row>
      </sheetData>
      <sheetData sheetId="48" refreshError="1">
        <row r="6">
          <cell r="C6">
            <v>202</v>
          </cell>
          <cell r="G6">
            <v>3769870.8481658548</v>
          </cell>
          <cell r="AD6">
            <v>1305.3969999999999</v>
          </cell>
        </row>
        <row r="7">
          <cell r="C7">
            <v>183</v>
          </cell>
          <cell r="G7">
            <v>298544.15224608785</v>
          </cell>
          <cell r="AD7">
            <v>1244.6130000000003</v>
          </cell>
        </row>
        <row r="11">
          <cell r="G11">
            <v>880698.13183414598</v>
          </cell>
        </row>
        <row r="14">
          <cell r="G14">
            <v>25830.23</v>
          </cell>
          <cell r="U14">
            <v>0.92227141577952443</v>
          </cell>
        </row>
        <row r="26">
          <cell r="L26">
            <v>0</v>
          </cell>
        </row>
        <row r="27">
          <cell r="H27">
            <v>1046.5395684969308</v>
          </cell>
          <cell r="I27">
            <v>51.110554952838399</v>
          </cell>
          <cell r="J27">
            <v>498.84924114143337</v>
          </cell>
          <cell r="K27">
            <v>499.96421540879771</v>
          </cell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6">
          <cell r="C36">
            <v>7342.245930000001</v>
          </cell>
          <cell r="H36">
            <v>1629.3156965949568</v>
          </cell>
          <cell r="I36">
            <v>3536.318478547541</v>
          </cell>
          <cell r="J36">
            <v>1515.0309320592658</v>
          </cell>
          <cell r="K36">
            <v>661.58082279823816</v>
          </cell>
          <cell r="L36">
            <v>0</v>
          </cell>
        </row>
        <row r="37">
          <cell r="C37">
            <v>97.986419999999995</v>
          </cell>
          <cell r="H37">
            <v>5.2236795949358994</v>
          </cell>
          <cell r="I37">
            <v>84.913194784963665</v>
          </cell>
          <cell r="J37">
            <v>7.476093477101494</v>
          </cell>
          <cell r="K37">
            <v>0.37345214299854018</v>
          </cell>
          <cell r="L37">
            <v>0</v>
          </cell>
        </row>
      </sheetData>
      <sheetData sheetId="49" refreshError="1">
        <row r="6">
          <cell r="G6">
            <v>2076287.5100000002</v>
          </cell>
        </row>
        <row r="32">
          <cell r="H32">
            <v>2025.7021492555971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>
        <row r="1">
          <cell r="C1" t="str">
            <v>Филиал ПАО "МРСК Юга" - "Калмэнерго"</v>
          </cell>
        </row>
        <row r="2">
          <cell r="C2" t="str">
            <v>Обороты счета 20.01 за 2015 г.</v>
          </cell>
        </row>
        <row r="3">
          <cell r="D3">
            <v>4828223.9800000004</v>
          </cell>
          <cell r="E3">
            <v>832880.77</v>
          </cell>
          <cell r="F3">
            <v>625325.81773162936</v>
          </cell>
          <cell r="G3">
            <v>207554.95226837057</v>
          </cell>
          <cell r="H3">
            <v>2668683.02</v>
          </cell>
          <cell r="I3">
            <v>1247571.6800000002</v>
          </cell>
          <cell r="J3">
            <v>79088.510000000009</v>
          </cell>
        </row>
        <row r="4">
          <cell r="C4" t="str">
            <v>20.01</v>
          </cell>
          <cell r="D4">
            <v>4828223.9800000004</v>
          </cell>
          <cell r="E4" t="str">
            <v>до 15 кВт включительно</v>
          </cell>
          <cell r="F4" t="str">
            <v>в том числе:</v>
          </cell>
          <cell r="H4" t="str">
            <v>свыше 15 кВт и до 150 кВт включительно</v>
          </cell>
          <cell r="I4" t="str">
            <v>свыше 150 кВт и менее 670 кВт</v>
          </cell>
          <cell r="J4" t="str">
            <v>не менее 670 кВт</v>
          </cell>
          <cell r="L4" t="str">
            <v>Факт без индивидуальных проектов</v>
          </cell>
          <cell r="M4" t="str">
            <v>Факт без индивидуальных и льготников</v>
          </cell>
        </row>
        <row r="5">
          <cell r="F5" t="str">
            <v>льготники</v>
          </cell>
          <cell r="G5" t="str">
            <v>нельготники</v>
          </cell>
        </row>
        <row r="7">
          <cell r="D7">
            <v>4828223.9799999958</v>
          </cell>
          <cell r="E7">
            <v>832880.7700000006</v>
          </cell>
          <cell r="F7">
            <v>625325.81773162913</v>
          </cell>
          <cell r="G7">
            <v>207554.95226837066</v>
          </cell>
          <cell r="H7">
            <v>2668683.0199999991</v>
          </cell>
          <cell r="I7">
            <v>1247571.6800000002</v>
          </cell>
          <cell r="J7">
            <v>79088.510000000009</v>
          </cell>
          <cell r="L7">
            <v>4749135.4700000025</v>
          </cell>
          <cell r="M7">
            <v>4123809.6522683706</v>
          </cell>
        </row>
        <row r="8">
          <cell r="C8" t="str">
            <v>Амортизация НМА</v>
          </cell>
          <cell r="D8">
            <v>416.32</v>
          </cell>
          <cell r="E8">
            <v>65.89</v>
          </cell>
          <cell r="F8">
            <v>49.470127795527162</v>
          </cell>
          <cell r="G8">
            <v>16.419872204472838</v>
          </cell>
          <cell r="H8">
            <v>234.45</v>
          </cell>
          <cell r="I8">
            <v>110.05</v>
          </cell>
          <cell r="J8">
            <v>5.93</v>
          </cell>
          <cell r="L8">
            <v>410.39</v>
          </cell>
          <cell r="M8">
            <v>360.91987220447282</v>
          </cell>
          <cell r="O8" t="str">
            <v>Амортизация прочих ОС</v>
          </cell>
        </row>
        <row r="9">
          <cell r="C9" t="str">
            <v>Амортизация прочих ОС</v>
          </cell>
          <cell r="D9">
            <v>24270.59</v>
          </cell>
          <cell r="E9">
            <v>6540.88</v>
          </cell>
          <cell r="F9">
            <v>4910.8843450479235</v>
          </cell>
          <cell r="G9">
            <v>1629.9956549520766</v>
          </cell>
          <cell r="H9">
            <v>11941.14</v>
          </cell>
          <cell r="I9">
            <v>5498.29</v>
          </cell>
          <cell r="J9">
            <v>290.27999999999997</v>
          </cell>
          <cell r="L9">
            <v>23980.31</v>
          </cell>
          <cell r="M9">
            <v>19069.42565495208</v>
          </cell>
          <cell r="O9" t="str">
            <v>Амортизация прочих ОС</v>
          </cell>
        </row>
        <row r="10">
          <cell r="C10" t="str">
            <v>Аренда автотранспорта производственного назначения и спецтехники</v>
          </cell>
          <cell r="D10">
            <v>69.180000000000007</v>
          </cell>
          <cell r="E10">
            <v>8.4700000000000006</v>
          </cell>
          <cell r="F10">
            <v>6.3592651757188507</v>
          </cell>
          <cell r="G10">
            <v>2.1107348242811499</v>
          </cell>
          <cell r="H10">
            <v>28.69</v>
          </cell>
          <cell r="I10">
            <v>31.12</v>
          </cell>
          <cell r="J10">
            <v>0.9</v>
          </cell>
          <cell r="L10">
            <v>68.28</v>
          </cell>
          <cell r="M10">
            <v>61.920734824281155</v>
          </cell>
          <cell r="O10" t="str">
            <v>плата за аренду имущества</v>
          </cell>
        </row>
        <row r="11">
          <cell r="C11" t="str">
            <v>Аренда движимого имущества (прочее)</v>
          </cell>
          <cell r="D11">
            <v>14.2</v>
          </cell>
          <cell r="E11">
            <v>3.25</v>
          </cell>
          <cell r="F11">
            <v>2.4400958466453675</v>
          </cell>
          <cell r="G11">
            <v>0.80990415335463251</v>
          </cell>
          <cell r="H11">
            <v>10.95</v>
          </cell>
          <cell r="L11">
            <v>14.2</v>
          </cell>
          <cell r="M11">
            <v>11.759904153354633</v>
          </cell>
          <cell r="O11" t="str">
            <v>плата за аренду имущества</v>
          </cell>
        </row>
        <row r="12">
          <cell r="C12" t="str">
            <v>Аренда земельных участков под производственными и административными объектами</v>
          </cell>
          <cell r="D12">
            <v>534.38</v>
          </cell>
          <cell r="E12">
            <v>83.84</v>
          </cell>
          <cell r="F12">
            <v>62.946964856230039</v>
          </cell>
          <cell r="G12">
            <v>20.893035143769964</v>
          </cell>
          <cell r="H12">
            <v>288.27999999999997</v>
          </cell>
          <cell r="I12">
            <v>154.47999999999999</v>
          </cell>
          <cell r="J12">
            <v>7.78</v>
          </cell>
          <cell r="L12">
            <v>526.6</v>
          </cell>
          <cell r="M12">
            <v>463.65303514377001</v>
          </cell>
          <cell r="O12" t="str">
            <v>плата за аренду имущества</v>
          </cell>
        </row>
        <row r="13">
          <cell r="C13" t="str">
            <v>Возмещение вреда, причиняемого автомобильным дорогам общего пользования федерального значения ТС, имеющими разрешенную максимальную массу свыше 12 тн</v>
          </cell>
          <cell r="D13">
            <v>3.59</v>
          </cell>
          <cell r="E13">
            <v>0.48</v>
          </cell>
          <cell r="F13">
            <v>0.36038338658146968</v>
          </cell>
          <cell r="G13">
            <v>0.1196166134185303</v>
          </cell>
          <cell r="H13">
            <v>1.69</v>
          </cell>
          <cell r="I13">
            <v>1.31</v>
          </cell>
          <cell r="J13">
            <v>0.11</v>
          </cell>
          <cell r="L13">
            <v>3.48</v>
          </cell>
          <cell r="M13">
            <v>3.1196166134185304</v>
          </cell>
          <cell r="O13" t="str">
            <v xml:space="preserve"> - налоги и сборы, уменьшающие налогооблагаемую базу на прибыль организаций, всего</v>
          </cell>
        </row>
        <row r="14">
          <cell r="C14" t="str">
            <v>Гарантии и компенсации - выходное пособие при прекращении трудового договора</v>
          </cell>
          <cell r="D14">
            <v>113.96000000000001</v>
          </cell>
          <cell r="E14">
            <v>20.04</v>
          </cell>
          <cell r="F14">
            <v>15.046006389776359</v>
          </cell>
          <cell r="G14">
            <v>4.9939936102236402</v>
          </cell>
          <cell r="H14">
            <v>93.92</v>
          </cell>
          <cell r="L14">
            <v>113.96000000000001</v>
          </cell>
          <cell r="M14">
            <v>98.913993610223656</v>
          </cell>
          <cell r="O14" t="str">
            <v>прочие</v>
          </cell>
        </row>
        <row r="15">
          <cell r="C15" t="str">
            <v>Гарантии и компенсации - прочие расходы</v>
          </cell>
          <cell r="D15">
            <v>123.68</v>
          </cell>
          <cell r="E15">
            <v>15.11</v>
          </cell>
          <cell r="F15">
            <v>11.344568690095846</v>
          </cell>
          <cell r="G15">
            <v>3.7654313099041534</v>
          </cell>
          <cell r="H15">
            <v>51.41</v>
          </cell>
          <cell r="I15">
            <v>55.63</v>
          </cell>
          <cell r="J15">
            <v>1.53</v>
          </cell>
          <cell r="L15">
            <v>122.15</v>
          </cell>
          <cell r="M15">
            <v>110.80543130990417</v>
          </cell>
          <cell r="O15" t="str">
            <v>прочие</v>
          </cell>
        </row>
        <row r="16">
          <cell r="C16" t="str">
            <v>ГСМ для производственного транспорта и оборудования</v>
          </cell>
          <cell r="D16">
            <v>39574.370000000003</v>
          </cell>
          <cell r="E16">
            <v>12731.74</v>
          </cell>
          <cell r="F16">
            <v>9558.9741214057503</v>
          </cell>
          <cell r="G16">
            <v>3172.7658785942494</v>
          </cell>
          <cell r="H16">
            <v>17788.86</v>
          </cell>
          <cell r="I16">
            <v>8656.26</v>
          </cell>
          <cell r="J16">
            <v>397.51</v>
          </cell>
          <cell r="L16">
            <v>39176.86</v>
          </cell>
          <cell r="M16">
            <v>29617.885878594254</v>
          </cell>
          <cell r="O16" t="str">
            <v>Вспомогательные материалы</v>
          </cell>
        </row>
        <row r="17">
          <cell r="C17" t="str">
            <v>ГСМ для транспорта административно-хозяйственного назначения</v>
          </cell>
          <cell r="D17">
            <v>11130.61</v>
          </cell>
          <cell r="E17">
            <v>1813.91</v>
          </cell>
          <cell r="F17">
            <v>1361.8813099041533</v>
          </cell>
          <cell r="G17">
            <v>452.02869009584674</v>
          </cell>
          <cell r="H17">
            <v>6608.44</v>
          </cell>
          <cell r="I17">
            <v>2537.17</v>
          </cell>
          <cell r="J17">
            <v>171.09</v>
          </cell>
          <cell r="L17">
            <v>10959.52</v>
          </cell>
          <cell r="M17">
            <v>9597.6386900958478</v>
          </cell>
          <cell r="O17" t="str">
            <v>Вспомогательные материалы</v>
          </cell>
        </row>
        <row r="18">
          <cell r="C18" t="str">
            <v>Добровольное медицинское страхование сотрудников (ДМС)</v>
          </cell>
          <cell r="D18">
            <v>8205.91</v>
          </cell>
          <cell r="E18">
            <v>1295.1600000000001</v>
          </cell>
          <cell r="F18">
            <v>972.40447284345055</v>
          </cell>
          <cell r="G18">
            <v>322.75552715654953</v>
          </cell>
          <cell r="H18">
            <v>4627.8</v>
          </cell>
          <cell r="I18">
            <v>2166.54</v>
          </cell>
          <cell r="J18">
            <v>116.41</v>
          </cell>
          <cell r="L18">
            <v>8089.5</v>
          </cell>
          <cell r="M18">
            <v>7117.095527156549</v>
          </cell>
          <cell r="O18" t="str">
            <v>Страхование</v>
          </cell>
        </row>
        <row r="19">
          <cell r="C19" t="str">
            <v>Добровольное страхование сотрудников от несчастных случаев и болезней</v>
          </cell>
          <cell r="D19">
            <v>246.95</v>
          </cell>
          <cell r="E19">
            <v>38.979999999999997</v>
          </cell>
          <cell r="F19">
            <v>29.266134185303514</v>
          </cell>
          <cell r="G19">
            <v>9.7138658146964829</v>
          </cell>
          <cell r="H19">
            <v>139.33000000000001</v>
          </cell>
          <cell r="I19">
            <v>65.13</v>
          </cell>
          <cell r="J19">
            <v>3.51</v>
          </cell>
          <cell r="L19">
            <v>243.44</v>
          </cell>
          <cell r="M19">
            <v>214.17386581469648</v>
          </cell>
          <cell r="O19" t="str">
            <v>Страхование</v>
          </cell>
        </row>
        <row r="20">
          <cell r="C20" t="str">
            <v>Дополнительная заработная плата - вознаграждения (надбавки) за выслугу лет, стаж работы</v>
          </cell>
          <cell r="D20">
            <v>130533.09000000001</v>
          </cell>
          <cell r="E20">
            <v>19522.38</v>
          </cell>
          <cell r="F20">
            <v>14657.377955271566</v>
          </cell>
          <cell r="G20">
            <v>4865.0020447284351</v>
          </cell>
          <cell r="H20">
            <v>71056.28</v>
          </cell>
          <cell r="I20">
            <v>37690.300000000003</v>
          </cell>
          <cell r="J20">
            <v>2264.13</v>
          </cell>
          <cell r="L20">
            <v>128268.96</v>
          </cell>
          <cell r="M20">
            <v>113611.58204472843</v>
          </cell>
          <cell r="O20" t="str">
            <v>Оплата труда ППП (без соц. отчислений)</v>
          </cell>
        </row>
        <row r="21">
          <cell r="C21" t="str">
            <v>Дополнительная заработная плата - доплаты и надбавки к тарифным ставкам и окладам</v>
          </cell>
          <cell r="D21">
            <v>253969.34</v>
          </cell>
          <cell r="E21">
            <v>56354.55</v>
          </cell>
          <cell r="F21">
            <v>42310.924121405755</v>
          </cell>
          <cell r="G21">
            <v>14043.625878594248</v>
          </cell>
          <cell r="H21">
            <v>134136.66</v>
          </cell>
          <cell r="I21">
            <v>59988.52</v>
          </cell>
          <cell r="J21">
            <v>3489.61</v>
          </cell>
          <cell r="L21">
            <v>250479.73</v>
          </cell>
          <cell r="M21">
            <v>208168.80587859426</v>
          </cell>
          <cell r="O21" t="str">
            <v>Оплата труда ППП (без соц. отчислений)</v>
          </cell>
        </row>
        <row r="22">
          <cell r="C22" t="str">
            <v>Другие прочие затраты</v>
          </cell>
          <cell r="D22">
            <v>0.91999999999999993</v>
          </cell>
          <cell r="E22">
            <v>0.1</v>
          </cell>
          <cell r="F22">
            <v>7.5079872204472847E-2</v>
          </cell>
          <cell r="G22">
            <v>2.4920127795527158E-2</v>
          </cell>
          <cell r="H22">
            <v>0.39</v>
          </cell>
          <cell r="I22">
            <v>0.41</v>
          </cell>
          <cell r="J22">
            <v>0.02</v>
          </cell>
          <cell r="L22">
            <v>0.89999999999999991</v>
          </cell>
          <cell r="M22">
            <v>0.82492012779552704</v>
          </cell>
          <cell r="O22" t="str">
            <v>прочие</v>
          </cell>
        </row>
        <row r="23">
          <cell r="C23" t="str">
            <v>Затраты на охрану труда - мероприятия по предупреждению заболеваний на производстве</v>
          </cell>
          <cell r="D23">
            <v>1827.16</v>
          </cell>
          <cell r="E23">
            <v>284.72000000000003</v>
          </cell>
          <cell r="F23">
            <v>213.76741214057509</v>
          </cell>
          <cell r="G23">
            <v>70.952587859424938</v>
          </cell>
          <cell r="H23">
            <v>762.07</v>
          </cell>
          <cell r="I23">
            <v>710.11</v>
          </cell>
          <cell r="J23">
            <v>70.260000000000005</v>
          </cell>
          <cell r="L23">
            <v>1756.9</v>
          </cell>
          <cell r="M23">
            <v>1543.132587859425</v>
          </cell>
          <cell r="O23" t="str">
            <v xml:space="preserve">Затраты на охрану труда - мероприятия по предупреждению заболеваний на производстве </v>
          </cell>
        </row>
        <row r="24">
          <cell r="C24" t="str">
            <v>Затраты на охрану труда - мероприятия по предупреждению несчастных случаев</v>
          </cell>
          <cell r="D24">
            <v>2172.6299999999997</v>
          </cell>
          <cell r="E24">
            <v>270.27999999999997</v>
          </cell>
          <cell r="F24">
            <v>202.92587859424918</v>
          </cell>
          <cell r="G24">
            <v>67.354121405750789</v>
          </cell>
          <cell r="H24">
            <v>893.11</v>
          </cell>
          <cell r="I24">
            <v>920.05</v>
          </cell>
          <cell r="J24">
            <v>89.19</v>
          </cell>
          <cell r="L24">
            <v>2083.4399999999996</v>
          </cell>
          <cell r="M24">
            <v>1880.5141214057503</v>
          </cell>
          <cell r="O24" t="str">
            <v>прочие</v>
          </cell>
        </row>
        <row r="25">
          <cell r="C25" t="str">
            <v>Затраты на экологию (кроме налогов и сборов)</v>
          </cell>
          <cell r="D25">
            <v>1168.8899999999999</v>
          </cell>
          <cell r="E25">
            <v>151.38</v>
          </cell>
          <cell r="F25">
            <v>113.65591054313099</v>
          </cell>
          <cell r="G25">
            <v>37.724089456869009</v>
          </cell>
          <cell r="H25">
            <v>570.88</v>
          </cell>
          <cell r="I25">
            <v>407.61</v>
          </cell>
          <cell r="J25">
            <v>39.020000000000003</v>
          </cell>
          <cell r="L25">
            <v>1129.8699999999999</v>
          </cell>
          <cell r="M25">
            <v>1016.2140894568688</v>
          </cell>
          <cell r="O25" t="str">
            <v>Затраты на экологию (кроме налогов и сборов)</v>
          </cell>
        </row>
        <row r="26">
          <cell r="C26" t="str">
            <v>Земельный налог</v>
          </cell>
          <cell r="D26">
            <v>366.46999999999997</v>
          </cell>
          <cell r="E26">
            <v>50.29</v>
          </cell>
          <cell r="F26">
            <v>37.757667731629397</v>
          </cell>
          <cell r="G26">
            <v>12.532332268370602</v>
          </cell>
          <cell r="H26">
            <v>170.42</v>
          </cell>
          <cell r="I26">
            <v>133.61000000000001</v>
          </cell>
          <cell r="J26">
            <v>12.15</v>
          </cell>
          <cell r="L26">
            <v>354.32</v>
          </cell>
          <cell r="M26">
            <v>316.5623322683706</v>
          </cell>
          <cell r="O26" t="str">
            <v xml:space="preserve"> - налоги и сборы, уменьшающие налогооблагаемую базу на прибыль организаций, всего</v>
          </cell>
        </row>
        <row r="27">
          <cell r="C27" t="str">
            <v>Иные выплаты в составе заработной платы</v>
          </cell>
          <cell r="D27">
            <v>583.39</v>
          </cell>
          <cell r="E27">
            <v>89.58</v>
          </cell>
          <cell r="F27">
            <v>67.256549520766768</v>
          </cell>
          <cell r="G27">
            <v>22.32345047923323</v>
          </cell>
          <cell r="H27">
            <v>317.77</v>
          </cell>
          <cell r="I27">
            <v>167.41</v>
          </cell>
          <cell r="J27">
            <v>8.6300000000000008</v>
          </cell>
          <cell r="L27">
            <v>574.76</v>
          </cell>
          <cell r="M27">
            <v>507.50345047923327</v>
          </cell>
          <cell r="O27" t="str">
            <v>Оплата труда ППП (без соц. отчислений)</v>
          </cell>
        </row>
        <row r="28">
          <cell r="C28" t="str">
            <v>Канцелярские затраты</v>
          </cell>
          <cell r="D28">
            <v>6363.4100000000008</v>
          </cell>
          <cell r="E28">
            <v>896.19</v>
          </cell>
          <cell r="F28">
            <v>672.85830670926521</v>
          </cell>
          <cell r="G28">
            <v>223.33169329073485</v>
          </cell>
          <cell r="H28">
            <v>3945.16</v>
          </cell>
          <cell r="I28">
            <v>1474.84</v>
          </cell>
          <cell r="J28">
            <v>47.22</v>
          </cell>
          <cell r="L28">
            <v>6316.1900000000005</v>
          </cell>
          <cell r="M28">
            <v>5643.3316932907355</v>
          </cell>
          <cell r="O28" t="str">
            <v>Канцелярские расходы</v>
          </cell>
        </row>
        <row r="29">
          <cell r="C29" t="str">
            <v>Командировочные расходы по повышению квалификации - проезд воздушным транспортом</v>
          </cell>
          <cell r="D29">
            <v>65.900000000000006</v>
          </cell>
          <cell r="E29">
            <v>9.92</v>
          </cell>
          <cell r="F29">
            <v>7.4479233226837067</v>
          </cell>
          <cell r="G29">
            <v>2.4720766773162932</v>
          </cell>
          <cell r="H29">
            <v>42.07</v>
          </cell>
          <cell r="I29">
            <v>13.91</v>
          </cell>
          <cell r="L29">
            <v>65.900000000000006</v>
          </cell>
          <cell r="M29">
            <v>58.452076677316299</v>
          </cell>
          <cell r="O29" t="str">
            <v>Командировочные расходы</v>
          </cell>
        </row>
        <row r="30">
          <cell r="C30" t="str">
            <v>Командировочные расходы по повышению квалификации - проезд железнодорожным транспортом</v>
          </cell>
          <cell r="D30">
            <v>1.33</v>
          </cell>
          <cell r="E30">
            <v>0.16</v>
          </cell>
          <cell r="F30">
            <v>0.12012779552715655</v>
          </cell>
          <cell r="G30">
            <v>3.9872204472843453E-2</v>
          </cell>
          <cell r="H30">
            <v>0.56000000000000005</v>
          </cell>
          <cell r="I30">
            <v>0.61</v>
          </cell>
          <cell r="L30">
            <v>1.33</v>
          </cell>
          <cell r="M30">
            <v>1.2098722044728436</v>
          </cell>
          <cell r="O30" t="str">
            <v>Командировочные расходы</v>
          </cell>
        </row>
        <row r="31">
          <cell r="C31" t="str">
            <v>Командировочные расходы по повышению квалификации - проезд прочим транспортом</v>
          </cell>
          <cell r="D31">
            <v>645.98</v>
          </cell>
          <cell r="E31">
            <v>100.37</v>
          </cell>
          <cell r="F31">
            <v>75.357667731629391</v>
          </cell>
          <cell r="G31">
            <v>25.012332268370614</v>
          </cell>
          <cell r="H31">
            <v>387.9</v>
          </cell>
          <cell r="I31">
            <v>148.83000000000001</v>
          </cell>
          <cell r="J31">
            <v>8.8800000000000008</v>
          </cell>
          <cell r="L31">
            <v>637.1</v>
          </cell>
          <cell r="M31">
            <v>561.74233226837066</v>
          </cell>
          <cell r="O31" t="str">
            <v>Командировочные расходы</v>
          </cell>
        </row>
        <row r="32">
          <cell r="C32" t="str">
            <v>Командировочные расходы по повышению квалификации - проживание</v>
          </cell>
          <cell r="D32">
            <v>2652.54</v>
          </cell>
          <cell r="E32">
            <v>408.12</v>
          </cell>
          <cell r="F32">
            <v>306.41597444089456</v>
          </cell>
          <cell r="G32">
            <v>101.70402555910545</v>
          </cell>
          <cell r="H32">
            <v>1674.53</v>
          </cell>
          <cell r="I32">
            <v>531.67999999999995</v>
          </cell>
          <cell r="J32">
            <v>38.21</v>
          </cell>
          <cell r="L32">
            <v>2614.33</v>
          </cell>
          <cell r="M32">
            <v>2307.9140255591055</v>
          </cell>
          <cell r="O32" t="str">
            <v>Командировочные расходы</v>
          </cell>
        </row>
        <row r="33">
          <cell r="C33" t="str">
            <v>Командировочные расходы по повышению квалификации - суточные</v>
          </cell>
          <cell r="D33">
            <v>2198.39</v>
          </cell>
          <cell r="E33">
            <v>329.74</v>
          </cell>
          <cell r="F33">
            <v>247.56837060702873</v>
          </cell>
          <cell r="G33">
            <v>82.171629392971283</v>
          </cell>
          <cell r="H33">
            <v>1294.81</v>
          </cell>
          <cell r="I33">
            <v>537.79999999999995</v>
          </cell>
          <cell r="J33">
            <v>36.04</v>
          </cell>
          <cell r="L33">
            <v>2162.35</v>
          </cell>
          <cell r="M33">
            <v>1914.7816293929711</v>
          </cell>
          <cell r="O33" t="str">
            <v>Командировочные расходы</v>
          </cell>
        </row>
        <row r="34">
          <cell r="C34" t="str">
            <v>Командировочные расходы производственные - проезд воздушным транспортом</v>
          </cell>
          <cell r="D34">
            <v>193.61</v>
          </cell>
          <cell r="E34">
            <v>25.88</v>
          </cell>
          <cell r="F34">
            <v>19.430670926517571</v>
          </cell>
          <cell r="G34">
            <v>6.4493290734824278</v>
          </cell>
          <cell r="H34">
            <v>86.59</v>
          </cell>
          <cell r="I34">
            <v>79.400000000000006</v>
          </cell>
          <cell r="J34">
            <v>1.74</v>
          </cell>
          <cell r="L34">
            <v>191.87</v>
          </cell>
          <cell r="M34">
            <v>172.43932907348244</v>
          </cell>
          <cell r="O34" t="str">
            <v>Командировочные расходы</v>
          </cell>
        </row>
        <row r="35">
          <cell r="C35" t="str">
            <v>Командировочные расходы производственные - проезд железнодорожным транспортом</v>
          </cell>
          <cell r="D35">
            <v>8.52</v>
          </cell>
          <cell r="E35">
            <v>1.1499999999999999</v>
          </cell>
          <cell r="F35">
            <v>0.86341853035143756</v>
          </cell>
          <cell r="G35">
            <v>0.28658146964856235</v>
          </cell>
          <cell r="H35">
            <v>3.85</v>
          </cell>
          <cell r="I35">
            <v>3.23</v>
          </cell>
          <cell r="J35">
            <v>0.28999999999999998</v>
          </cell>
          <cell r="L35">
            <v>8.23</v>
          </cell>
          <cell r="M35">
            <v>7.3665814696485619</v>
          </cell>
          <cell r="O35" t="str">
            <v>Командировочные расходы</v>
          </cell>
        </row>
        <row r="36">
          <cell r="C36" t="str">
            <v>Командировочные расходы производственные - проезд прочим транспортом</v>
          </cell>
          <cell r="D36">
            <v>52.640000000000008</v>
          </cell>
          <cell r="E36">
            <v>7.29</v>
          </cell>
          <cell r="F36">
            <v>5.47332268370607</v>
          </cell>
          <cell r="G36">
            <v>1.81667731629393</v>
          </cell>
          <cell r="H36">
            <v>26.56</v>
          </cell>
          <cell r="I36">
            <v>17.16</v>
          </cell>
          <cell r="J36">
            <v>1.63</v>
          </cell>
          <cell r="L36">
            <v>51.010000000000005</v>
          </cell>
          <cell r="M36">
            <v>45.536677316293932</v>
          </cell>
          <cell r="O36" t="str">
            <v>Командировочные расходы</v>
          </cell>
        </row>
        <row r="37">
          <cell r="C37" t="str">
            <v>Командировочные расходы производственные - проживание</v>
          </cell>
          <cell r="D37">
            <v>1929.5</v>
          </cell>
          <cell r="E37">
            <v>346.38</v>
          </cell>
          <cell r="F37">
            <v>260.06166134185304</v>
          </cell>
          <cell r="G37">
            <v>86.318338658146956</v>
          </cell>
          <cell r="H37">
            <v>1024.33</v>
          </cell>
          <cell r="I37">
            <v>527.97</v>
          </cell>
          <cell r="J37">
            <v>30.82</v>
          </cell>
          <cell r="L37">
            <v>1898.68</v>
          </cell>
          <cell r="M37">
            <v>1638.618338658147</v>
          </cell>
          <cell r="O37" t="str">
            <v>Командировочные расходы</v>
          </cell>
        </row>
        <row r="38">
          <cell r="C38" t="str">
            <v>Командировочные расходы производственные - суточные</v>
          </cell>
          <cell r="D38">
            <v>1479.3100000000002</v>
          </cell>
          <cell r="E38">
            <v>336.05</v>
          </cell>
          <cell r="F38">
            <v>252.30591054313101</v>
          </cell>
          <cell r="G38">
            <v>83.744089456869006</v>
          </cell>
          <cell r="H38">
            <v>674.07</v>
          </cell>
          <cell r="I38">
            <v>443.46</v>
          </cell>
          <cell r="J38">
            <v>25.73</v>
          </cell>
          <cell r="L38">
            <v>1453.5800000000002</v>
          </cell>
          <cell r="M38">
            <v>1201.2740894568692</v>
          </cell>
          <cell r="O38" t="str">
            <v>Командировочные расходы</v>
          </cell>
        </row>
        <row r="39">
          <cell r="C39" t="str">
            <v>Материалы для автотранспортных средств административно-хозяйственного назначения (ремонт)</v>
          </cell>
          <cell r="D39">
            <v>3055.2400000000002</v>
          </cell>
          <cell r="E39">
            <v>565.55999999999995</v>
          </cell>
          <cell r="F39">
            <v>424.62172523961658</v>
          </cell>
          <cell r="G39">
            <v>140.93827476038336</v>
          </cell>
          <cell r="H39">
            <v>2119.3200000000002</v>
          </cell>
          <cell r="I39">
            <v>346.77</v>
          </cell>
          <cell r="J39">
            <v>23.59</v>
          </cell>
          <cell r="L39">
            <v>3031.65</v>
          </cell>
          <cell r="M39">
            <v>2607.0282747603833</v>
          </cell>
          <cell r="O39" t="str">
            <v>Вспомогательные материалы</v>
          </cell>
        </row>
        <row r="40">
          <cell r="C40" t="str">
            <v>Материалы для автотранспортных средств административно-хозяйственного назначения (техобслуживание)</v>
          </cell>
          <cell r="D40">
            <v>4265.87</v>
          </cell>
          <cell r="E40">
            <v>834.68</v>
          </cell>
          <cell r="F40">
            <v>626.67667731629388</v>
          </cell>
          <cell r="G40">
            <v>208.00332268370607</v>
          </cell>
          <cell r="H40">
            <v>3140.75</v>
          </cell>
          <cell r="I40">
            <v>271.02999999999997</v>
          </cell>
          <cell r="J40">
            <v>19.41</v>
          </cell>
          <cell r="L40">
            <v>4246.46</v>
          </cell>
          <cell r="M40">
            <v>3619.783322683706</v>
          </cell>
          <cell r="O40" t="str">
            <v>Вспомогательные материалы</v>
          </cell>
        </row>
        <row r="41">
          <cell r="C41" t="str">
            <v>Материалы для автотранспортных средств производственного назначения (ремонт)</v>
          </cell>
          <cell r="D41">
            <v>3568.68</v>
          </cell>
          <cell r="E41">
            <v>794.82</v>
          </cell>
          <cell r="F41">
            <v>596.74984025559115</v>
          </cell>
          <cell r="G41">
            <v>198.0701597444089</v>
          </cell>
          <cell r="H41">
            <v>1479.41</v>
          </cell>
          <cell r="I41">
            <v>1192.93</v>
          </cell>
          <cell r="J41">
            <v>101.52</v>
          </cell>
          <cell r="L41">
            <v>3467.16</v>
          </cell>
          <cell r="M41">
            <v>2870.4101597444087</v>
          </cell>
          <cell r="O41" t="str">
            <v>Вспомогательные материалы</v>
          </cell>
        </row>
        <row r="42">
          <cell r="C42" t="str">
            <v>Материалы для автотранспортных средств производственного назначения (техобслуживание)</v>
          </cell>
          <cell r="D42">
            <v>3316.1800000000003</v>
          </cell>
          <cell r="E42">
            <v>1304.1500000000001</v>
          </cell>
          <cell r="F42">
            <v>979.15415335463263</v>
          </cell>
          <cell r="G42">
            <v>324.99584664536746</v>
          </cell>
          <cell r="H42">
            <v>1161.48</v>
          </cell>
          <cell r="I42">
            <v>803.77</v>
          </cell>
          <cell r="J42">
            <v>46.78</v>
          </cell>
          <cell r="L42">
            <v>3269.4</v>
          </cell>
          <cell r="M42">
            <v>2290.2458466453677</v>
          </cell>
          <cell r="O42" t="str">
            <v>Вспомогательные материалы</v>
          </cell>
        </row>
        <row r="43">
          <cell r="C43" t="str">
            <v>Материалы для административных зданий и сооружений (ремонт)</v>
          </cell>
          <cell r="D43">
            <v>3501.4399999999996</v>
          </cell>
          <cell r="E43">
            <v>483.01</v>
          </cell>
          <cell r="F43">
            <v>362.64329073482429</v>
          </cell>
          <cell r="G43">
            <v>120.3667092651757</v>
          </cell>
          <cell r="H43">
            <v>1591.31</v>
          </cell>
          <cell r="I43">
            <v>1319.23</v>
          </cell>
          <cell r="J43">
            <v>107.89</v>
          </cell>
          <cell r="L43">
            <v>3393.5499999999997</v>
          </cell>
          <cell r="M43">
            <v>3030.9067092651753</v>
          </cell>
          <cell r="O43" t="str">
            <v>Вспомогательные материалы</v>
          </cell>
        </row>
        <row r="44">
          <cell r="C44" t="str">
            <v>Материалы для административных зданий и сооружений (техобслуживание)</v>
          </cell>
          <cell r="D44">
            <v>1567.81</v>
          </cell>
          <cell r="E44">
            <v>226.06</v>
          </cell>
          <cell r="F44">
            <v>169.7255591054313</v>
          </cell>
          <cell r="G44">
            <v>56.334440894568701</v>
          </cell>
          <cell r="H44">
            <v>924.17</v>
          </cell>
          <cell r="I44">
            <v>395.07</v>
          </cell>
          <cell r="J44">
            <v>22.51</v>
          </cell>
          <cell r="L44">
            <v>1545.3</v>
          </cell>
          <cell r="M44">
            <v>1375.5744408945686</v>
          </cell>
          <cell r="O44" t="str">
            <v>Вспомогательные материалы</v>
          </cell>
        </row>
        <row r="45">
          <cell r="C45" t="str">
            <v>Материалы для оргтехники (техобслуживание)</v>
          </cell>
          <cell r="D45">
            <v>688.47</v>
          </cell>
          <cell r="E45">
            <v>117.65</v>
          </cell>
          <cell r="F45">
            <v>88.331469648562305</v>
          </cell>
          <cell r="G45">
            <v>29.318530351437701</v>
          </cell>
          <cell r="H45">
            <v>430.34</v>
          </cell>
          <cell r="I45">
            <v>133.36000000000001</v>
          </cell>
          <cell r="J45">
            <v>7.12</v>
          </cell>
          <cell r="L45">
            <v>681.35</v>
          </cell>
          <cell r="M45">
            <v>593.01853035143768</v>
          </cell>
          <cell r="O45" t="str">
            <v>Вспомогательные материалы</v>
          </cell>
        </row>
        <row r="46">
          <cell r="C46" t="str">
            <v>Материалы для производственных зданий и сооружений (ремонт)</v>
          </cell>
          <cell r="D46">
            <v>322.27</v>
          </cell>
          <cell r="E46">
            <v>45.59</v>
          </cell>
          <cell r="F46">
            <v>34.228913738019173</v>
          </cell>
          <cell r="G46">
            <v>11.36108626198083</v>
          </cell>
          <cell r="H46">
            <v>147.88999999999999</v>
          </cell>
          <cell r="I46">
            <v>118.04</v>
          </cell>
          <cell r="J46">
            <v>10.75</v>
          </cell>
          <cell r="L46">
            <v>311.52</v>
          </cell>
          <cell r="M46">
            <v>277.29108626198081</v>
          </cell>
          <cell r="O46" t="str">
            <v>Вспомогательные материалы</v>
          </cell>
        </row>
        <row r="47">
          <cell r="C47" t="str">
            <v>Материалы для производственных зданий и сооружений (техобслуживание)</v>
          </cell>
          <cell r="D47">
            <v>157.09</v>
          </cell>
          <cell r="E47">
            <v>22.36</v>
          </cell>
          <cell r="F47">
            <v>16.787859424920129</v>
          </cell>
          <cell r="G47">
            <v>5.5721405750798709</v>
          </cell>
          <cell r="H47">
            <v>74.91</v>
          </cell>
          <cell r="I47">
            <v>57.7</v>
          </cell>
          <cell r="J47">
            <v>2.12</v>
          </cell>
          <cell r="L47">
            <v>154.97</v>
          </cell>
          <cell r="M47">
            <v>138.18214057507987</v>
          </cell>
          <cell r="O47" t="str">
            <v>Вспомогательные материалы</v>
          </cell>
        </row>
        <row r="48">
          <cell r="C48" t="str">
            <v>Материалы для прочих технических средств (техобслуживание)</v>
          </cell>
          <cell r="D48">
            <v>76.52</v>
          </cell>
          <cell r="E48">
            <v>13.27</v>
          </cell>
          <cell r="F48">
            <v>9.9630990415335461</v>
          </cell>
          <cell r="G48">
            <v>3.3069009584664535</v>
          </cell>
          <cell r="H48">
            <v>47.06</v>
          </cell>
          <cell r="I48">
            <v>14.72</v>
          </cell>
          <cell r="J48">
            <v>1.47</v>
          </cell>
          <cell r="L48">
            <v>75.05</v>
          </cell>
          <cell r="M48">
            <v>65.086900958466458</v>
          </cell>
          <cell r="O48" t="str">
            <v>Вспомогательные материалы</v>
          </cell>
        </row>
        <row r="49">
          <cell r="C49" t="str">
            <v>Материалы для средств измерений (техобслуживание)</v>
          </cell>
          <cell r="D49">
            <v>68.36999999999999</v>
          </cell>
          <cell r="E49">
            <v>8.7899999999999991</v>
          </cell>
          <cell r="F49">
            <v>6.5995207667731624</v>
          </cell>
          <cell r="G49">
            <v>2.1904792332268368</v>
          </cell>
          <cell r="H49">
            <v>28.06</v>
          </cell>
          <cell r="I49">
            <v>30.57</v>
          </cell>
          <cell r="J49">
            <v>0.95</v>
          </cell>
          <cell r="L49">
            <v>67.419999999999987</v>
          </cell>
          <cell r="M49">
            <v>60.820479233226827</v>
          </cell>
          <cell r="O49" t="str">
            <v>Вспомогательные материалы</v>
          </cell>
        </row>
        <row r="50">
          <cell r="C50" t="str">
            <v>Материалы для средств связи (техобслуживание)</v>
          </cell>
          <cell r="D50">
            <v>61.789999999999992</v>
          </cell>
          <cell r="E50">
            <v>8.7200000000000006</v>
          </cell>
          <cell r="F50">
            <v>6.5469648562300327</v>
          </cell>
          <cell r="G50">
            <v>2.173035143769968</v>
          </cell>
          <cell r="H50">
            <v>41.87</v>
          </cell>
          <cell r="I50">
            <v>10.79</v>
          </cell>
          <cell r="J50">
            <v>0.41</v>
          </cell>
          <cell r="L50">
            <v>61.379999999999995</v>
          </cell>
          <cell r="M50">
            <v>54.833035143769962</v>
          </cell>
          <cell r="O50" t="str">
            <v>Вспомогательные материалы</v>
          </cell>
        </row>
        <row r="51">
          <cell r="C51" t="str">
            <v>Материалы для устройств РЗА (техобслуживание)</v>
          </cell>
          <cell r="D51">
            <v>5.6000000000000005</v>
          </cell>
          <cell r="E51">
            <v>0.7</v>
          </cell>
          <cell r="F51">
            <v>0.52555910543130979</v>
          </cell>
          <cell r="G51">
            <v>0.17444089456869016</v>
          </cell>
          <cell r="H51">
            <v>2.2999999999999998</v>
          </cell>
          <cell r="I51">
            <v>2.37</v>
          </cell>
          <cell r="J51">
            <v>0.23</v>
          </cell>
          <cell r="L51">
            <v>5.37</v>
          </cell>
          <cell r="M51">
            <v>4.8444408945686899</v>
          </cell>
          <cell r="O51" t="str">
            <v>Вспомогательные материалы</v>
          </cell>
        </row>
        <row r="52">
          <cell r="C52" t="str">
            <v>Налог на имущество организаций</v>
          </cell>
          <cell r="D52">
            <v>46250.78</v>
          </cell>
          <cell r="E52">
            <v>6660.59</v>
          </cell>
          <cell r="F52">
            <v>5000.7624600638974</v>
          </cell>
          <cell r="G52">
            <v>1659.8275399361028</v>
          </cell>
          <cell r="H52">
            <v>27402.720000000001</v>
          </cell>
          <cell r="I52">
            <v>11324.46</v>
          </cell>
          <cell r="J52">
            <v>863.01</v>
          </cell>
          <cell r="L52">
            <v>45387.77</v>
          </cell>
          <cell r="M52">
            <v>40387.007539936101</v>
          </cell>
          <cell r="O52" t="str">
            <v xml:space="preserve"> - налоги и сборы, уменьшающие налогооблагаемую базу на прибыль организаций, всего</v>
          </cell>
        </row>
        <row r="53">
          <cell r="C53" t="str">
            <v>Оплата дней нетрудоспособности</v>
          </cell>
          <cell r="D53">
            <v>18221.13</v>
          </cell>
          <cell r="E53">
            <v>3101.65</v>
          </cell>
          <cell r="F53">
            <v>2328.7148562300322</v>
          </cell>
          <cell r="G53">
            <v>772.93514376996791</v>
          </cell>
          <cell r="H53">
            <v>10977.9</v>
          </cell>
          <cell r="I53">
            <v>3964.56</v>
          </cell>
          <cell r="J53">
            <v>177.02</v>
          </cell>
          <cell r="L53">
            <v>18044.11</v>
          </cell>
          <cell r="M53">
            <v>15715.395143769969</v>
          </cell>
          <cell r="O53" t="str">
            <v>Оплата дней нетрудоспособности</v>
          </cell>
        </row>
        <row r="54">
          <cell r="C54" t="str">
            <v>Оплата учебных отпусков</v>
          </cell>
          <cell r="D54">
            <v>29093.21</v>
          </cell>
          <cell r="E54">
            <v>9806.01</v>
          </cell>
          <cell r="F54">
            <v>7362.3397763578278</v>
          </cell>
          <cell r="G54">
            <v>2443.6702236421725</v>
          </cell>
          <cell r="H54">
            <v>12548.01</v>
          </cell>
          <cell r="I54">
            <v>6095.01</v>
          </cell>
          <cell r="J54">
            <v>644.17999999999995</v>
          </cell>
          <cell r="L54">
            <v>28449.03</v>
          </cell>
          <cell r="M54">
            <v>21086.69022364217</v>
          </cell>
          <cell r="O54" t="str">
            <v>Оплата труда ППП (без соц. отчислений)</v>
          </cell>
        </row>
        <row r="55">
          <cell r="C55" t="str">
            <v>Основная заработная плата</v>
          </cell>
          <cell r="D55">
            <v>1649945.25</v>
          </cell>
          <cell r="E55">
            <v>306251.84000000003</v>
          </cell>
          <cell r="F55">
            <v>229933.49009584665</v>
          </cell>
          <cell r="G55">
            <v>76318.34990415338</v>
          </cell>
          <cell r="H55">
            <v>890070.43</v>
          </cell>
          <cell r="I55">
            <v>428201.01</v>
          </cell>
          <cell r="J55">
            <v>25421.97</v>
          </cell>
          <cell r="L55">
            <v>1624523.28</v>
          </cell>
          <cell r="M55">
            <v>1394589.7899041534</v>
          </cell>
          <cell r="O55" t="str">
            <v>Оплата труда ППП (без соц. отчислений)</v>
          </cell>
        </row>
        <row r="56">
          <cell r="C56" t="str">
            <v>Повышение квалификации кадров</v>
          </cell>
          <cell r="D56">
            <v>3504.15</v>
          </cell>
          <cell r="E56">
            <v>513.6</v>
          </cell>
          <cell r="F56">
            <v>385.61022364217257</v>
          </cell>
          <cell r="G56">
            <v>127.98977635782745</v>
          </cell>
          <cell r="H56">
            <v>2108.8200000000002</v>
          </cell>
          <cell r="I56">
            <v>824.9</v>
          </cell>
          <cell r="J56">
            <v>56.83</v>
          </cell>
          <cell r="L56">
            <v>3447.32</v>
          </cell>
          <cell r="M56">
            <v>3061.7097763578276</v>
          </cell>
          <cell r="O56" t="str">
            <v>Повышение квалификации</v>
          </cell>
        </row>
        <row r="57">
          <cell r="C57" t="str">
            <v>Профессиональная подготовка кадров</v>
          </cell>
          <cell r="D57">
            <v>6013.66</v>
          </cell>
          <cell r="E57">
            <v>881.73</v>
          </cell>
          <cell r="F57">
            <v>662.00175718849846</v>
          </cell>
          <cell r="G57">
            <v>219.72824281150156</v>
          </cell>
          <cell r="H57">
            <v>3073.19</v>
          </cell>
          <cell r="I57">
            <v>1964.51</v>
          </cell>
          <cell r="J57">
            <v>94.23</v>
          </cell>
          <cell r="L57">
            <v>5919.43</v>
          </cell>
          <cell r="M57">
            <v>5257.4282428115021</v>
          </cell>
          <cell r="O57" t="str">
            <v>Повышение квалификации</v>
          </cell>
        </row>
        <row r="58">
          <cell r="C58" t="str">
            <v>Прочие материалы бытовая техника</v>
          </cell>
          <cell r="D58">
            <v>1541.26</v>
          </cell>
          <cell r="E58">
            <v>254.69</v>
          </cell>
          <cell r="F58">
            <v>191.22092651757188</v>
          </cell>
          <cell r="G58">
            <v>63.469073482428115</v>
          </cell>
          <cell r="H58">
            <v>916.99</v>
          </cell>
          <cell r="I58">
            <v>369.58</v>
          </cell>
          <cell r="L58">
            <v>1541.26</v>
          </cell>
          <cell r="M58">
            <v>1350.0390734824282</v>
          </cell>
          <cell r="O58" t="str">
            <v>Вспомогательные материалы</v>
          </cell>
        </row>
        <row r="59">
          <cell r="C59" t="str">
            <v>Прочие материалы другие</v>
          </cell>
          <cell r="D59">
            <v>1496.43</v>
          </cell>
          <cell r="E59">
            <v>223.83</v>
          </cell>
          <cell r="F59">
            <v>168.05127795527159</v>
          </cell>
          <cell r="G59">
            <v>55.778722044728426</v>
          </cell>
          <cell r="H59">
            <v>910.08</v>
          </cell>
          <cell r="I59">
            <v>336.75</v>
          </cell>
          <cell r="J59">
            <v>25.77</v>
          </cell>
          <cell r="L59">
            <v>1470.66</v>
          </cell>
          <cell r="M59">
            <v>1302.6087220447284</v>
          </cell>
          <cell r="O59" t="str">
            <v>Вспомогательные материалы</v>
          </cell>
        </row>
        <row r="60">
          <cell r="C60" t="str">
            <v>Прочие материалы инструмент и инвентарь</v>
          </cell>
          <cell r="D60">
            <v>1892.6100000000001</v>
          </cell>
          <cell r="E60">
            <v>334.48</v>
          </cell>
          <cell r="F60">
            <v>251.12715654952078</v>
          </cell>
          <cell r="G60">
            <v>83.352843450479241</v>
          </cell>
          <cell r="H60">
            <v>1029.1099999999999</v>
          </cell>
          <cell r="I60">
            <v>518.89</v>
          </cell>
          <cell r="J60">
            <v>10.130000000000001</v>
          </cell>
          <cell r="L60">
            <v>1882.48</v>
          </cell>
          <cell r="M60">
            <v>1631.3528434504792</v>
          </cell>
          <cell r="O60" t="str">
            <v>Вспомогательные материалы</v>
          </cell>
        </row>
        <row r="61">
          <cell r="C61" t="str">
            <v>Прочие материалы мебель</v>
          </cell>
          <cell r="D61">
            <v>1453.48</v>
          </cell>
          <cell r="E61">
            <v>235.36</v>
          </cell>
          <cell r="F61">
            <v>176.70798722044731</v>
          </cell>
          <cell r="G61">
            <v>58.652012779552706</v>
          </cell>
          <cell r="H61">
            <v>844.32</v>
          </cell>
          <cell r="I61">
            <v>372.46</v>
          </cell>
          <cell r="J61">
            <v>1.34</v>
          </cell>
          <cell r="L61">
            <v>1452.14</v>
          </cell>
          <cell r="M61">
            <v>1275.4320127795529</v>
          </cell>
          <cell r="O61" t="str">
            <v>Вспомогательные материалы</v>
          </cell>
        </row>
        <row r="62">
          <cell r="C62" t="str">
            <v>Прочие материалы моющие и чистящие средства</v>
          </cell>
          <cell r="D62">
            <v>586.85</v>
          </cell>
          <cell r="E62">
            <v>81.99</v>
          </cell>
          <cell r="F62">
            <v>61.557987220447288</v>
          </cell>
          <cell r="G62">
            <v>20.432012779552707</v>
          </cell>
          <cell r="H62">
            <v>311.76</v>
          </cell>
          <cell r="I62">
            <v>185.71</v>
          </cell>
          <cell r="J62">
            <v>7.39</v>
          </cell>
          <cell r="L62">
            <v>579.46</v>
          </cell>
          <cell r="M62">
            <v>517.90201277955271</v>
          </cell>
          <cell r="O62" t="str">
            <v>Вспомогательные материалы</v>
          </cell>
        </row>
        <row r="63">
          <cell r="C63" t="str">
            <v>Прочие материалы по охране труда и технике безопасности</v>
          </cell>
          <cell r="D63">
            <v>913.40000000000009</v>
          </cell>
          <cell r="E63">
            <v>146.01</v>
          </cell>
          <cell r="F63">
            <v>109.62412140575078</v>
          </cell>
          <cell r="G63">
            <v>36.385878594249206</v>
          </cell>
          <cell r="H63">
            <v>554.34</v>
          </cell>
          <cell r="I63">
            <v>204.86</v>
          </cell>
          <cell r="J63">
            <v>8.19</v>
          </cell>
          <cell r="L63">
            <v>905.21</v>
          </cell>
          <cell r="M63">
            <v>795.58587859424927</v>
          </cell>
          <cell r="O63" t="str">
            <v>Вспомогательные материалы</v>
          </cell>
        </row>
        <row r="64">
          <cell r="C64" t="str">
            <v>Прочие материалы по пожарной безопасности</v>
          </cell>
          <cell r="D64">
            <v>743.05000000000007</v>
          </cell>
          <cell r="E64">
            <v>118.2</v>
          </cell>
          <cell r="F64">
            <v>88.744408945686899</v>
          </cell>
          <cell r="G64">
            <v>29.455591054313103</v>
          </cell>
          <cell r="H64">
            <v>430.48</v>
          </cell>
          <cell r="I64">
            <v>192.3</v>
          </cell>
          <cell r="J64">
            <v>2.0699999999999998</v>
          </cell>
          <cell r="L64">
            <v>740.98</v>
          </cell>
          <cell r="M64">
            <v>652.23559105431309</v>
          </cell>
          <cell r="O64" t="str">
            <v>Вспомогательные материалы</v>
          </cell>
        </row>
        <row r="65">
          <cell r="C65" t="str">
            <v>Прочие материалы смывающие и обезвреживающие средства</v>
          </cell>
          <cell r="D65">
            <v>1091.53</v>
          </cell>
          <cell r="E65">
            <v>177.98</v>
          </cell>
          <cell r="F65">
            <v>133.62715654952075</v>
          </cell>
          <cell r="G65">
            <v>44.352843450479241</v>
          </cell>
          <cell r="H65">
            <v>658.17</v>
          </cell>
          <cell r="I65">
            <v>249.28</v>
          </cell>
          <cell r="J65">
            <v>6.1</v>
          </cell>
          <cell r="L65">
            <v>1085.43</v>
          </cell>
          <cell r="M65">
            <v>951.80284345047914</v>
          </cell>
          <cell r="O65" t="str">
            <v>Вспомогательные материалы</v>
          </cell>
        </row>
        <row r="66">
          <cell r="C66" t="str">
            <v>Прочие материалы специальная одежда и обувь</v>
          </cell>
          <cell r="D66">
            <v>1566.1399999999999</v>
          </cell>
          <cell r="E66">
            <v>264.88</v>
          </cell>
          <cell r="F66">
            <v>198.87156549520768</v>
          </cell>
          <cell r="G66">
            <v>66.008434504792319</v>
          </cell>
          <cell r="H66">
            <v>821.99</v>
          </cell>
          <cell r="I66">
            <v>453.99</v>
          </cell>
          <cell r="J66">
            <v>25.28</v>
          </cell>
          <cell r="L66">
            <v>1540.86</v>
          </cell>
          <cell r="M66">
            <v>1341.9884345047922</v>
          </cell>
          <cell r="O66" t="str">
            <v>Вспомогательные материалы</v>
          </cell>
        </row>
        <row r="67">
          <cell r="C67" t="str">
            <v>Прочие материалы средства защиты</v>
          </cell>
          <cell r="D67">
            <v>45.88</v>
          </cell>
          <cell r="E67">
            <v>6.7</v>
          </cell>
          <cell r="F67">
            <v>5.0303514376996805</v>
          </cell>
          <cell r="G67">
            <v>1.6696485623003197</v>
          </cell>
          <cell r="H67">
            <v>29.85</v>
          </cell>
          <cell r="I67">
            <v>9.1</v>
          </cell>
          <cell r="J67">
            <v>0.23</v>
          </cell>
          <cell r="L67">
            <v>45.650000000000006</v>
          </cell>
          <cell r="M67">
            <v>40.619648562300327</v>
          </cell>
          <cell r="O67" t="str">
            <v>Вспомогательные материалы</v>
          </cell>
        </row>
        <row r="68">
          <cell r="C68" t="str">
            <v>Расходы по управлению собственностью - межевание земельных участков</v>
          </cell>
          <cell r="D68">
            <v>38235.68</v>
          </cell>
          <cell r="E68">
            <v>5248.52</v>
          </cell>
          <cell r="F68">
            <v>3940.5821086261985</v>
          </cell>
          <cell r="G68">
            <v>1307.9378913738019</v>
          </cell>
          <cell r="H68">
            <v>17778.97</v>
          </cell>
          <cell r="I68">
            <v>13939.18</v>
          </cell>
          <cell r="J68">
            <v>1269.01</v>
          </cell>
          <cell r="L68">
            <v>36966.67</v>
          </cell>
          <cell r="M68">
            <v>33026.087891373798</v>
          </cell>
          <cell r="O68" t="str">
            <v>Расходы по управлению собственностью - межевание земельных участков</v>
          </cell>
        </row>
        <row r="69">
          <cell r="C69" t="str">
            <v>Расходы по управлению собственностью - оценка имущества</v>
          </cell>
          <cell r="D69">
            <v>54.7</v>
          </cell>
          <cell r="E69">
            <v>17.34</v>
          </cell>
          <cell r="F69">
            <v>13.018849840255591</v>
          </cell>
          <cell r="G69">
            <v>4.3211501597444091</v>
          </cell>
          <cell r="H69">
            <v>37.36</v>
          </cell>
          <cell r="L69">
            <v>54.7</v>
          </cell>
          <cell r="M69">
            <v>41.681150159744412</v>
          </cell>
          <cell r="O69" t="str">
            <v>Расходы по управлению собственностью - межевание земельных участков</v>
          </cell>
        </row>
        <row r="70">
          <cell r="C70" t="str">
            <v>Расходы по управлению собственностью - установление охранных зон</v>
          </cell>
          <cell r="D70">
            <v>3355.29</v>
          </cell>
          <cell r="E70">
            <v>444.27</v>
          </cell>
          <cell r="F70">
            <v>333.55734824281149</v>
          </cell>
          <cell r="G70">
            <v>110.7126517571885</v>
          </cell>
          <cell r="H70">
            <v>1355.67</v>
          </cell>
          <cell r="I70">
            <v>1419.97</v>
          </cell>
          <cell r="J70">
            <v>135.38</v>
          </cell>
          <cell r="L70">
            <v>3219.91</v>
          </cell>
          <cell r="M70">
            <v>2886.3526517571881</v>
          </cell>
          <cell r="O70" t="str">
            <v>Расходы по управлению собственностью - межевание земельных участков</v>
          </cell>
        </row>
        <row r="71">
          <cell r="C71" t="str">
            <v>РЕЗЕРВ на выплату вознаграждений работникам по итогам года (без страховых взносов)</v>
          </cell>
          <cell r="D71">
            <v>71101.739999999991</v>
          </cell>
          <cell r="E71">
            <v>9759.91</v>
          </cell>
          <cell r="F71">
            <v>7327.7279552715654</v>
          </cell>
          <cell r="G71">
            <v>2432.1820447284344</v>
          </cell>
          <cell r="H71">
            <v>33061.15</v>
          </cell>
          <cell r="I71">
            <v>25920.87</v>
          </cell>
          <cell r="J71">
            <v>2359.81</v>
          </cell>
          <cell r="L71">
            <v>68741.929999999993</v>
          </cell>
          <cell r="M71">
            <v>61414.20204472843</v>
          </cell>
          <cell r="O71" t="str">
            <v>Оплата труда ППП (без соц. отчислений)</v>
          </cell>
        </row>
        <row r="72">
          <cell r="C72" t="str">
            <v>РЕЗЕРВ на выплату вознаграждений работникам по итогам квартала (без страховых взносов)</v>
          </cell>
          <cell r="D72">
            <v>63496.39</v>
          </cell>
          <cell r="E72">
            <v>9057.7000000000007</v>
          </cell>
          <cell r="F72">
            <v>6800.5095846645372</v>
          </cell>
          <cell r="G72">
            <v>2257.1904153354635</v>
          </cell>
          <cell r="H72">
            <v>34286.03</v>
          </cell>
          <cell r="I72">
            <v>18627.52</v>
          </cell>
          <cell r="J72">
            <v>1525.14</v>
          </cell>
          <cell r="L72">
            <v>61971.25</v>
          </cell>
          <cell r="M72">
            <v>55170.740415335466</v>
          </cell>
          <cell r="O72" t="str">
            <v>Оплата труда ППП (без соц. отчислений)</v>
          </cell>
        </row>
        <row r="73">
          <cell r="C73" t="str">
            <v>РЕЗЕРВ на выплату вознаграждений работникам по итогам месяца (без страховых взносов)</v>
          </cell>
          <cell r="D73">
            <v>46661.270000000004</v>
          </cell>
          <cell r="E73">
            <v>6405.06</v>
          </cell>
          <cell r="F73">
            <v>4808.9108626198085</v>
          </cell>
          <cell r="G73">
            <v>1596.1491373801919</v>
          </cell>
          <cell r="H73">
            <v>21696.720000000001</v>
          </cell>
          <cell r="I73">
            <v>17010.84</v>
          </cell>
          <cell r="J73">
            <v>1548.65</v>
          </cell>
          <cell r="L73">
            <v>45112.62</v>
          </cell>
          <cell r="M73">
            <v>40303.709137380196</v>
          </cell>
          <cell r="O73" t="str">
            <v>Оплата труда ППП (без соц. отчислений)</v>
          </cell>
        </row>
        <row r="74">
          <cell r="C74" t="str">
            <v>РЕЗЕРВ на оплату отпусков (без страховых взносов)</v>
          </cell>
          <cell r="D74">
            <v>410110.02</v>
          </cell>
          <cell r="E74">
            <v>68252.31</v>
          </cell>
          <cell r="F74">
            <v>51243.747124600639</v>
          </cell>
          <cell r="G74">
            <v>17008.562875399359</v>
          </cell>
          <cell r="H74">
            <v>210430.68</v>
          </cell>
          <cell r="I74">
            <v>122665.4</v>
          </cell>
          <cell r="J74">
            <v>8761.6299999999992</v>
          </cell>
          <cell r="L74">
            <v>401348.39</v>
          </cell>
          <cell r="M74">
            <v>350104.64287539938</v>
          </cell>
          <cell r="O74" t="str">
            <v>Оплата труда ППП (без соц. отчислений)</v>
          </cell>
        </row>
        <row r="75">
          <cell r="C75" t="str">
            <v>Стимулирующие выплаты - Единовременные премии</v>
          </cell>
          <cell r="D75">
            <v>15634.05</v>
          </cell>
          <cell r="E75">
            <v>3247.4</v>
          </cell>
          <cell r="F75">
            <v>2438.1437699680514</v>
          </cell>
          <cell r="G75">
            <v>809.25623003194869</v>
          </cell>
          <cell r="H75">
            <v>12357.98</v>
          </cell>
          <cell r="I75">
            <v>28.07</v>
          </cell>
          <cell r="J75">
            <v>0.6</v>
          </cell>
          <cell r="L75">
            <v>15633.449999999999</v>
          </cell>
          <cell r="M75">
            <v>13195.306230031947</v>
          </cell>
          <cell r="O75" t="str">
            <v>Оплата труда ППП (без соц. отчислений)</v>
          </cell>
        </row>
        <row r="76">
          <cell r="C76" t="str">
            <v>Стимулирующие выплаты - Премии и вознаграждения, носящие систематический характер</v>
          </cell>
          <cell r="D76">
            <v>629563.67000000004</v>
          </cell>
          <cell r="E76">
            <v>100619.52</v>
          </cell>
          <cell r="F76">
            <v>75545.007028753986</v>
          </cell>
          <cell r="G76">
            <v>25074.512971246018</v>
          </cell>
          <cell r="H76">
            <v>346880.65</v>
          </cell>
          <cell r="I76">
            <v>171760.22</v>
          </cell>
          <cell r="J76">
            <v>10303.280000000001</v>
          </cell>
          <cell r="L76">
            <v>619260.39</v>
          </cell>
          <cell r="M76">
            <v>543715.38297124603</v>
          </cell>
          <cell r="O76" t="str">
            <v>Оплата труда ППП (без соц. отчислений)</v>
          </cell>
        </row>
        <row r="77">
          <cell r="C77" t="str">
            <v>Страхование гражданской ответственности владельцев автотранспортных средств (ОСАГО)</v>
          </cell>
          <cell r="D77">
            <v>1974.0700000000002</v>
          </cell>
          <cell r="E77">
            <v>537.75</v>
          </cell>
          <cell r="F77">
            <v>403.74201277955274</v>
          </cell>
          <cell r="G77">
            <v>134.00798722044726</v>
          </cell>
          <cell r="H77">
            <v>930.53</v>
          </cell>
          <cell r="I77">
            <v>482.39</v>
          </cell>
          <cell r="J77">
            <v>23.4</v>
          </cell>
          <cell r="L77">
            <v>1950.67</v>
          </cell>
          <cell r="M77">
            <v>1546.9279872204474</v>
          </cell>
          <cell r="O77" t="str">
            <v>Страхование</v>
          </cell>
        </row>
        <row r="78">
          <cell r="C78" t="str">
            <v>Страхование гражданской ответственности организаций, эксплуатирующих опасные объекты</v>
          </cell>
          <cell r="D78">
            <v>297.11</v>
          </cell>
          <cell r="E78">
            <v>134.30000000000001</v>
          </cell>
          <cell r="F78">
            <v>100.83226837060704</v>
          </cell>
          <cell r="G78">
            <v>33.467731629392972</v>
          </cell>
          <cell r="H78">
            <v>94.04</v>
          </cell>
          <cell r="I78">
            <v>66.14</v>
          </cell>
          <cell r="J78">
            <v>2.63</v>
          </cell>
          <cell r="L78">
            <v>294.48</v>
          </cell>
          <cell r="M78">
            <v>193.64773162939298</v>
          </cell>
          <cell r="O78" t="str">
            <v>Страхование</v>
          </cell>
        </row>
        <row r="79">
          <cell r="C79" t="str">
            <v>Страхование имущества кроме транспортных средств</v>
          </cell>
          <cell r="D79">
            <v>7294.09</v>
          </cell>
          <cell r="E79">
            <v>1152.21</v>
          </cell>
          <cell r="F79">
            <v>865.07779552715658</v>
          </cell>
          <cell r="G79">
            <v>287.13220447284345</v>
          </cell>
          <cell r="H79">
            <v>4101.99</v>
          </cell>
          <cell r="I79">
            <v>1936.01</v>
          </cell>
          <cell r="J79">
            <v>103.88</v>
          </cell>
          <cell r="L79">
            <v>7190.21</v>
          </cell>
          <cell r="M79">
            <v>6325.1322044728431</v>
          </cell>
          <cell r="O79" t="str">
            <v>Страхование</v>
          </cell>
        </row>
        <row r="80">
          <cell r="C80" t="str">
            <v>Страхование средств автотранспорта (КАСКО)</v>
          </cell>
          <cell r="D80">
            <v>987.7700000000001</v>
          </cell>
          <cell r="E80">
            <v>164.05</v>
          </cell>
          <cell r="F80">
            <v>123.16853035143772</v>
          </cell>
          <cell r="G80">
            <v>40.881469648562287</v>
          </cell>
          <cell r="H80">
            <v>596.63</v>
          </cell>
          <cell r="I80">
            <v>212.74</v>
          </cell>
          <cell r="J80">
            <v>14.35</v>
          </cell>
          <cell r="L80">
            <v>973.42000000000007</v>
          </cell>
          <cell r="M80">
            <v>850.25146964856231</v>
          </cell>
          <cell r="O80" t="str">
            <v>Страхование</v>
          </cell>
        </row>
        <row r="81">
          <cell r="C81" t="str">
            <v>Страховые взносы на обязательное медицинское страхование ФФОМС</v>
          </cell>
          <cell r="D81">
            <v>138647.90000000002</v>
          </cell>
          <cell r="E81">
            <v>25389.7</v>
          </cell>
          <cell r="F81">
            <v>19062.554313099041</v>
          </cell>
          <cell r="G81">
            <v>6327.1456869009598</v>
          </cell>
          <cell r="H81">
            <v>75100.92</v>
          </cell>
          <cell r="I81">
            <v>35998.080000000002</v>
          </cell>
          <cell r="J81">
            <v>2159.1999999999998</v>
          </cell>
          <cell r="L81">
            <v>136488.70000000001</v>
          </cell>
          <cell r="M81">
            <v>117426.14568690099</v>
          </cell>
          <cell r="O81" t="str">
            <v>Отчисления на страховые взносы</v>
          </cell>
        </row>
        <row r="82">
          <cell r="C82" t="str">
            <v>Страховые взносы на обязательное пенсионное страхование ПФ РФ(страховая часть)</v>
          </cell>
          <cell r="D82">
            <v>596112.32999999996</v>
          </cell>
          <cell r="E82">
            <v>109243.33</v>
          </cell>
          <cell r="F82">
            <v>82019.752555910542</v>
          </cell>
          <cell r="G82">
            <v>27223.57744408946</v>
          </cell>
          <cell r="H82">
            <v>323016.95</v>
          </cell>
          <cell r="I82">
            <v>154589.97</v>
          </cell>
          <cell r="J82">
            <v>9262.08</v>
          </cell>
          <cell r="L82">
            <v>586850.25</v>
          </cell>
          <cell r="M82">
            <v>504830.49744408939</v>
          </cell>
          <cell r="O82" t="str">
            <v>Отчисления на страховые взносы</v>
          </cell>
        </row>
        <row r="83">
          <cell r="C83" t="str">
            <v>Страховые взносы на обязательное пенсионное страхование ПФ РФ(страховая часть) (резерв на выплату вознаграждений по итогам года)</v>
          </cell>
          <cell r="D83">
            <v>15613.47</v>
          </cell>
          <cell r="E83">
            <v>2143.1799999999998</v>
          </cell>
          <cell r="F83">
            <v>1609.0968051118209</v>
          </cell>
          <cell r="G83">
            <v>534.08319488817892</v>
          </cell>
          <cell r="H83">
            <v>7260.05</v>
          </cell>
          <cell r="I83">
            <v>5692.09</v>
          </cell>
          <cell r="J83">
            <v>518.15</v>
          </cell>
          <cell r="L83">
            <v>15095.32</v>
          </cell>
          <cell r="M83">
            <v>13486.223194888178</v>
          </cell>
          <cell r="O83" t="str">
            <v>Отчисления на страховые взносы</v>
          </cell>
        </row>
        <row r="84">
          <cell r="C84" t="str">
            <v>Страховые взносы на обязательное пенсионное страхование ПФ РФ(страховая часть) (резерв на выплату вознаграждений по итогам квартала)</v>
          </cell>
          <cell r="D84">
            <v>11070.67</v>
          </cell>
          <cell r="E84">
            <v>1594.82</v>
          </cell>
          <cell r="F84">
            <v>1197.3888178913737</v>
          </cell>
          <cell r="G84">
            <v>397.43118210862622</v>
          </cell>
          <cell r="H84">
            <v>6195.15</v>
          </cell>
          <cell r="I84">
            <v>3041.33</v>
          </cell>
          <cell r="J84">
            <v>239.37</v>
          </cell>
          <cell r="L84">
            <v>10831.3</v>
          </cell>
          <cell r="M84">
            <v>9633.9111821086262</v>
          </cell>
          <cell r="O84" t="str">
            <v>Отчисления на страховые взносы</v>
          </cell>
        </row>
        <row r="85">
          <cell r="C85" t="str">
            <v>Страховые взносы на обязательное пенсионное страхование ПФ РФ(страховая часть) (резерв на выплату вознаграждений по итогам месяца)</v>
          </cell>
          <cell r="D85">
            <v>10265.35</v>
          </cell>
          <cell r="E85">
            <v>1409.07</v>
          </cell>
          <cell r="F85">
            <v>1057.9279552715655</v>
          </cell>
          <cell r="G85">
            <v>351.14204472843448</v>
          </cell>
          <cell r="H85">
            <v>4773.29</v>
          </cell>
          <cell r="I85">
            <v>3742.38</v>
          </cell>
          <cell r="J85">
            <v>340.61</v>
          </cell>
          <cell r="L85">
            <v>9924.74</v>
          </cell>
          <cell r="M85">
            <v>8866.8120447284346</v>
          </cell>
          <cell r="O85" t="str">
            <v>Отчисления на страховые взносы</v>
          </cell>
        </row>
        <row r="86">
          <cell r="C86" t="str">
            <v>Страховые взносы на обязательное пенсионное страхование ПФ РФ(страховая часть) (резерв на оплату отпусков)</v>
          </cell>
          <cell r="D86">
            <v>79817.52</v>
          </cell>
          <cell r="E86">
            <v>13588.3</v>
          </cell>
          <cell r="F86">
            <v>10202.078274760383</v>
          </cell>
          <cell r="G86">
            <v>3386.2217252396167</v>
          </cell>
          <cell r="H86">
            <v>41463.440000000002</v>
          </cell>
          <cell r="I86">
            <v>23181.82</v>
          </cell>
          <cell r="J86">
            <v>1583.96</v>
          </cell>
          <cell r="L86">
            <v>78233.56</v>
          </cell>
          <cell r="M86">
            <v>68031.481725239617</v>
          </cell>
          <cell r="O86" t="str">
            <v>Отчисления на страховые взносы</v>
          </cell>
        </row>
        <row r="87">
          <cell r="C87" t="str">
            <v>Страховые взносы на обязательное страхование от НС и ПЗ ФСС</v>
          </cell>
          <cell r="D87">
            <v>10490.5</v>
          </cell>
          <cell r="E87">
            <v>2063.7800000000002</v>
          </cell>
          <cell r="F87">
            <v>1549.4833865814699</v>
          </cell>
          <cell r="G87">
            <v>514.29661341853034</v>
          </cell>
          <cell r="H87">
            <v>5361.67</v>
          </cell>
          <cell r="I87">
            <v>2891.71</v>
          </cell>
          <cell r="J87">
            <v>173.34</v>
          </cell>
          <cell r="L87">
            <v>10317.16</v>
          </cell>
          <cell r="M87">
            <v>8767.6766134185309</v>
          </cell>
          <cell r="O87" t="str">
            <v>Отчисления на страховые взносы</v>
          </cell>
        </row>
        <row r="88">
          <cell r="C88" t="str">
            <v>Страховые взносы на обязательное страхование от НС и ПЗ ФСС (резерв на выплату вознаграждений по итогам года)</v>
          </cell>
          <cell r="D88">
            <v>397.31</v>
          </cell>
          <cell r="E88">
            <v>54.48</v>
          </cell>
          <cell r="F88">
            <v>40.903514376996803</v>
          </cell>
          <cell r="G88">
            <v>13.576485623003194</v>
          </cell>
          <cell r="H88">
            <v>184.83</v>
          </cell>
          <cell r="I88">
            <v>144.88999999999999</v>
          </cell>
          <cell r="J88">
            <v>13.11</v>
          </cell>
          <cell r="L88">
            <v>384.2</v>
          </cell>
          <cell r="M88">
            <v>343.29648562300321</v>
          </cell>
          <cell r="O88" t="str">
            <v>Отчисления на страховые взносы</v>
          </cell>
        </row>
        <row r="89">
          <cell r="C89" t="str">
            <v>Страховые взносы на обязательное страхование от НС и ПЗ ФСС (резерв на выплату вознаграждений по итогам квартала)</v>
          </cell>
          <cell r="D89">
            <v>168.34</v>
          </cell>
          <cell r="E89">
            <v>24.09</v>
          </cell>
          <cell r="F89">
            <v>18.086741214057508</v>
          </cell>
          <cell r="G89">
            <v>6.0032587859424922</v>
          </cell>
          <cell r="H89">
            <v>94.72</v>
          </cell>
          <cell r="I89">
            <v>45.86</v>
          </cell>
          <cell r="J89">
            <v>3.67</v>
          </cell>
          <cell r="L89">
            <v>164.67000000000002</v>
          </cell>
          <cell r="M89">
            <v>146.58325878594252</v>
          </cell>
          <cell r="O89" t="str">
            <v>Отчисления на страховые взносы</v>
          </cell>
        </row>
        <row r="90">
          <cell r="C90" t="str">
            <v>Страховые взносы на обязательное страхование от НС и ПЗ ФСС (резерв на выплату вознаграждений по итогам месяца)</v>
          </cell>
          <cell r="D90">
            <v>261.14</v>
          </cell>
          <cell r="E90">
            <v>35.81</v>
          </cell>
          <cell r="F90">
            <v>26.886102236421728</v>
          </cell>
          <cell r="G90">
            <v>8.9238977635782746</v>
          </cell>
          <cell r="H90">
            <v>121.49</v>
          </cell>
          <cell r="I90">
            <v>95.27</v>
          </cell>
          <cell r="J90">
            <v>8.57</v>
          </cell>
          <cell r="L90">
            <v>252.57</v>
          </cell>
          <cell r="M90">
            <v>225.68389776357827</v>
          </cell>
          <cell r="O90" t="str">
            <v>Отчисления на страховые взносы</v>
          </cell>
        </row>
        <row r="91">
          <cell r="C91" t="str">
            <v>Страховые взносы на обязательное страхование от НС и ПЗ ФСС (резерв на оплату отпусков)</v>
          </cell>
          <cell r="D91">
            <v>1785.56</v>
          </cell>
          <cell r="E91">
            <v>315.77999999999997</v>
          </cell>
          <cell r="F91">
            <v>237.0872204472843</v>
          </cell>
          <cell r="G91">
            <v>78.692779552715677</v>
          </cell>
          <cell r="H91">
            <v>921.99</v>
          </cell>
          <cell r="I91">
            <v>511.98</v>
          </cell>
          <cell r="J91">
            <v>35.81</v>
          </cell>
          <cell r="L91">
            <v>1749.75</v>
          </cell>
          <cell r="M91">
            <v>1512.6627795527156</v>
          </cell>
          <cell r="O91" t="str">
            <v>Отчисления на страховые взносы</v>
          </cell>
        </row>
        <row r="92">
          <cell r="C92" t="str">
            <v>Страховые взносы на случай временной нетрудоспособности и в связи с материнством ФСС</v>
          </cell>
          <cell r="D92">
            <v>78223.55</v>
          </cell>
          <cell r="E92">
            <v>14349.78</v>
          </cell>
          <cell r="F92">
            <v>10773.796485623003</v>
          </cell>
          <cell r="G92">
            <v>3575.9835143769978</v>
          </cell>
          <cell r="H92">
            <v>42403.23</v>
          </cell>
          <cell r="I92">
            <v>20259.27</v>
          </cell>
          <cell r="J92">
            <v>1211.27</v>
          </cell>
          <cell r="L92">
            <v>77012.28</v>
          </cell>
          <cell r="M92">
            <v>66238.483514376989</v>
          </cell>
          <cell r="O92" t="str">
            <v>Отчисления на страховые взносы</v>
          </cell>
        </row>
        <row r="93">
          <cell r="C93" t="str">
            <v>Страховые взносы на случай временной нетрудоспособности и в связи с материнством ФСС (резерв на выплату вознаграждений по итогам года)</v>
          </cell>
          <cell r="D93">
            <v>2058.1799999999998</v>
          </cell>
          <cell r="E93">
            <v>282.52999999999997</v>
          </cell>
          <cell r="F93">
            <v>212.12316293929712</v>
          </cell>
          <cell r="G93">
            <v>70.406837060702856</v>
          </cell>
          <cell r="H93">
            <v>956.98</v>
          </cell>
          <cell r="I93">
            <v>750.32</v>
          </cell>
          <cell r="J93">
            <v>68.349999999999994</v>
          </cell>
          <cell r="L93">
            <v>1989.83</v>
          </cell>
          <cell r="M93">
            <v>1777.7068370607028</v>
          </cell>
          <cell r="O93" t="str">
            <v>Отчисления на страховые взносы</v>
          </cell>
        </row>
        <row r="94">
          <cell r="C94" t="str">
            <v>Страховые взносы на случай временной нетрудоспособности и в связи с материнством ФСС (резерв на выплату вознаграждений по итогам квартала)</v>
          </cell>
          <cell r="D94">
            <v>1185.47</v>
          </cell>
          <cell r="E94">
            <v>165.57</v>
          </cell>
          <cell r="F94">
            <v>124.30974440894569</v>
          </cell>
          <cell r="G94">
            <v>41.260255591054303</v>
          </cell>
          <cell r="H94">
            <v>644.34</v>
          </cell>
          <cell r="I94">
            <v>345.19</v>
          </cell>
          <cell r="J94">
            <v>30.37</v>
          </cell>
          <cell r="L94">
            <v>1155.1000000000001</v>
          </cell>
          <cell r="M94">
            <v>1030.7902555910543</v>
          </cell>
          <cell r="O94" t="str">
            <v>Отчисления на страховые взносы</v>
          </cell>
        </row>
        <row r="95">
          <cell r="C95" t="str">
            <v>Страховые взносы на случай временной нетрудоспособности и в связи с материнством ФСС (резерв на выплату вознаграждений по итогам месяца)</v>
          </cell>
          <cell r="D95">
            <v>1353.19</v>
          </cell>
          <cell r="E95">
            <v>185.77</v>
          </cell>
          <cell r="F95">
            <v>139.4758785942492</v>
          </cell>
          <cell r="G95">
            <v>46.294121405750815</v>
          </cell>
          <cell r="H95">
            <v>629.21</v>
          </cell>
          <cell r="I95">
            <v>493.3</v>
          </cell>
          <cell r="J95">
            <v>44.91</v>
          </cell>
          <cell r="L95">
            <v>1308.28</v>
          </cell>
          <cell r="M95">
            <v>1168.8041214057507</v>
          </cell>
          <cell r="O95" t="str">
            <v>Отчисления на страховые взносы</v>
          </cell>
        </row>
        <row r="96">
          <cell r="C96" t="str">
            <v>Страховые взносы на случай временной нетрудоспособности и в связи с материнством ФСС (резерв на оплату отпусков)</v>
          </cell>
          <cell r="D96">
            <v>10697.37</v>
          </cell>
          <cell r="E96">
            <v>1814.52</v>
          </cell>
          <cell r="F96">
            <v>1362.3392971246005</v>
          </cell>
          <cell r="G96">
            <v>452.18070287539945</v>
          </cell>
          <cell r="H96">
            <v>5545.81</v>
          </cell>
          <cell r="I96">
            <v>3122.6</v>
          </cell>
          <cell r="J96">
            <v>214.44</v>
          </cell>
          <cell r="L96">
            <v>10482.93</v>
          </cell>
          <cell r="M96">
            <v>9120.5907028753991</v>
          </cell>
          <cell r="O96" t="str">
            <v>Отчисления на страховые взносы</v>
          </cell>
        </row>
        <row r="97">
          <cell r="C97" t="str">
            <v>Страховые взносы ОМС ФФОМС (резерв на выплату вознаграждений по итогам года)</v>
          </cell>
          <cell r="D97">
            <v>3619.53</v>
          </cell>
          <cell r="E97">
            <v>496.75</v>
          </cell>
          <cell r="F97">
            <v>372.95926517571883</v>
          </cell>
          <cell r="G97">
            <v>123.79073482428117</v>
          </cell>
          <cell r="H97">
            <v>1682.96</v>
          </cell>
          <cell r="I97">
            <v>1319.65</v>
          </cell>
          <cell r="J97">
            <v>120.17</v>
          </cell>
          <cell r="L97">
            <v>3499.36</v>
          </cell>
          <cell r="M97">
            <v>3126.4007348242812</v>
          </cell>
          <cell r="O97" t="str">
            <v>Отчисления на страховые взносы</v>
          </cell>
        </row>
        <row r="98">
          <cell r="C98" t="str">
            <v>Страховые взносы ОМС ФФОМС (резерв на выплату вознаграждений по итогам квартала)</v>
          </cell>
          <cell r="D98">
            <v>3166.3599999999997</v>
          </cell>
          <cell r="E98">
            <v>452.06</v>
          </cell>
          <cell r="F98">
            <v>339.40607028753993</v>
          </cell>
          <cell r="G98">
            <v>112.65392971246007</v>
          </cell>
          <cell r="H98">
            <v>1714.73</v>
          </cell>
          <cell r="I98">
            <v>924.18</v>
          </cell>
          <cell r="J98">
            <v>75.39</v>
          </cell>
          <cell r="L98">
            <v>3090.97</v>
          </cell>
          <cell r="M98">
            <v>2751.5639297124599</v>
          </cell>
          <cell r="O98" t="str">
            <v>Отчисления на страховые взносы</v>
          </cell>
        </row>
        <row r="99">
          <cell r="C99" t="str">
            <v>Страховые взносы ОМС ФФОМС (резерв на выплату вознаграждений по итогам месяца)</v>
          </cell>
          <cell r="D99">
            <v>2379.67</v>
          </cell>
          <cell r="E99">
            <v>326.60000000000002</v>
          </cell>
          <cell r="F99">
            <v>245.21086261980832</v>
          </cell>
          <cell r="G99">
            <v>81.389137380191698</v>
          </cell>
          <cell r="H99">
            <v>1106.48</v>
          </cell>
          <cell r="I99">
            <v>867.61</v>
          </cell>
          <cell r="J99">
            <v>78.98</v>
          </cell>
          <cell r="L99">
            <v>2300.69</v>
          </cell>
          <cell r="M99">
            <v>2055.4791373801918</v>
          </cell>
          <cell r="O99" t="str">
            <v>Отчисления на страховые взносы</v>
          </cell>
        </row>
        <row r="100">
          <cell r="C100" t="str">
            <v>Страховые взносы ОМС ФФОМС (резерв на оплату отпусков)</v>
          </cell>
          <cell r="D100">
            <v>20828.599999999999</v>
          </cell>
          <cell r="E100">
            <v>3468.68</v>
          </cell>
          <cell r="F100">
            <v>2604.2805111821085</v>
          </cell>
          <cell r="G100">
            <v>864.39948881789132</v>
          </cell>
          <cell r="H100">
            <v>10691.51</v>
          </cell>
          <cell r="I100">
            <v>6223.98</v>
          </cell>
          <cell r="J100">
            <v>444.43</v>
          </cell>
          <cell r="L100">
            <v>20384.169999999998</v>
          </cell>
          <cell r="M100">
            <v>17779.889488817891</v>
          </cell>
          <cell r="O100" t="str">
            <v>Отчисления на страховые взносы</v>
          </cell>
        </row>
        <row r="101">
          <cell r="C101" t="str">
            <v>Тепловая энергия на производственные и хозяйственные нужды</v>
          </cell>
          <cell r="D101">
            <v>986.52</v>
          </cell>
          <cell r="E101">
            <v>180.49</v>
          </cell>
          <cell r="F101">
            <v>135.51166134185303</v>
          </cell>
          <cell r="G101">
            <v>44.978338658146981</v>
          </cell>
          <cell r="H101">
            <v>596.38</v>
          </cell>
          <cell r="I101">
            <v>191.7</v>
          </cell>
          <cell r="J101">
            <v>17.95</v>
          </cell>
          <cell r="L101">
            <v>968.56999999999994</v>
          </cell>
          <cell r="M101">
            <v>833.05833865814691</v>
          </cell>
          <cell r="O101" t="str">
            <v>Энергия на хозяйственные нужды</v>
          </cell>
        </row>
        <row r="102">
          <cell r="C102" t="str">
            <v>Транспортный налог</v>
          </cell>
          <cell r="D102">
            <v>1721.28</v>
          </cell>
          <cell r="E102">
            <v>236.28</v>
          </cell>
          <cell r="F102">
            <v>177.39872204472843</v>
          </cell>
          <cell r="G102">
            <v>58.881277955271571</v>
          </cell>
          <cell r="H102">
            <v>800.39</v>
          </cell>
          <cell r="I102">
            <v>627.5</v>
          </cell>
          <cell r="J102">
            <v>57.11</v>
          </cell>
          <cell r="L102">
            <v>1664.17</v>
          </cell>
          <cell r="M102">
            <v>1486.7712779552717</v>
          </cell>
          <cell r="O102" t="str">
            <v xml:space="preserve"> - налоги и сборы, уменьшающие налогооблагаемую базу на прибыль организаций, всего</v>
          </cell>
        </row>
        <row r="103">
          <cell r="C103" t="str">
            <v>Услуги автотранспорта производственного назначения</v>
          </cell>
          <cell r="D103">
            <v>317.51</v>
          </cell>
          <cell r="E103">
            <v>123.66</v>
          </cell>
          <cell r="F103">
            <v>92.84376996805112</v>
          </cell>
          <cell r="G103">
            <v>30.816230031948876</v>
          </cell>
          <cell r="H103">
            <v>118.42</v>
          </cell>
          <cell r="I103">
            <v>70.23</v>
          </cell>
          <cell r="J103">
            <v>5.2</v>
          </cell>
          <cell r="L103">
            <v>312.31</v>
          </cell>
          <cell r="M103">
            <v>219.4662300319489</v>
          </cell>
          <cell r="O103" t="str">
            <v xml:space="preserve"> - работы и услуги производственного характера</v>
          </cell>
        </row>
        <row r="104">
          <cell r="C104" t="str">
            <v>Услуги информационные по предоставлению метеоданных</v>
          </cell>
          <cell r="D104">
            <v>153.17000000000002</v>
          </cell>
          <cell r="E104">
            <v>23.73</v>
          </cell>
          <cell r="F104">
            <v>17.816453674121405</v>
          </cell>
          <cell r="G104">
            <v>5.9135463258785954</v>
          </cell>
          <cell r="H104">
            <v>95.1</v>
          </cell>
          <cell r="I104">
            <v>33.26</v>
          </cell>
          <cell r="J104">
            <v>1.08</v>
          </cell>
          <cell r="L104">
            <v>152.09</v>
          </cell>
          <cell r="M104">
            <v>134.27354632587858</v>
          </cell>
          <cell r="O104" t="str">
            <v>прочие</v>
          </cell>
        </row>
        <row r="105">
          <cell r="C105" t="str">
            <v>Услуги ИТ - внедрение SAP</v>
          </cell>
          <cell r="D105">
            <v>6215</v>
          </cell>
          <cell r="E105">
            <v>934.75</v>
          </cell>
          <cell r="F105">
            <v>701.80910543130994</v>
          </cell>
          <cell r="G105">
            <v>232.94089456869006</v>
          </cell>
          <cell r="H105">
            <v>3630.98</v>
          </cell>
          <cell r="I105">
            <v>1565.69</v>
          </cell>
          <cell r="J105">
            <v>83.58</v>
          </cell>
          <cell r="L105">
            <v>6131.42</v>
          </cell>
          <cell r="M105">
            <v>5429.6108945686901</v>
          </cell>
          <cell r="O105" t="str">
            <v>расходы на информационное обслуживание, консультационные и юридические услуги</v>
          </cell>
        </row>
        <row r="106">
          <cell r="C106" t="str">
            <v>Услуги ИТ - информационные системы (Консультант+, Гарант и другие)</v>
          </cell>
          <cell r="D106">
            <v>820.51</v>
          </cell>
          <cell r="E106">
            <v>126.77</v>
          </cell>
          <cell r="F106">
            <v>95.178753993610215</v>
          </cell>
          <cell r="G106">
            <v>31.591246006389781</v>
          </cell>
          <cell r="H106">
            <v>448.27</v>
          </cell>
          <cell r="I106">
            <v>233.02</v>
          </cell>
          <cell r="J106">
            <v>12.45</v>
          </cell>
          <cell r="L106">
            <v>808.06</v>
          </cell>
          <cell r="M106">
            <v>712.88124600638969</v>
          </cell>
          <cell r="O106" t="str">
            <v>расходы на информационное обслуживание, консультационные и юридические услуги</v>
          </cell>
        </row>
        <row r="107">
          <cell r="C107" t="str">
            <v>Услуги ИТ - приобретение программных продуктов (в т.ч. лиценз. соглашения)</v>
          </cell>
          <cell r="D107">
            <v>13634.61</v>
          </cell>
          <cell r="E107">
            <v>2162.0700000000002</v>
          </cell>
          <cell r="F107">
            <v>1623.2793929712461</v>
          </cell>
          <cell r="G107">
            <v>538.79060702875404</v>
          </cell>
          <cell r="H107">
            <v>7682.19</v>
          </cell>
          <cell r="I107">
            <v>3598.58</v>
          </cell>
          <cell r="J107">
            <v>191.77</v>
          </cell>
          <cell r="L107">
            <v>13442.84</v>
          </cell>
          <cell r="M107">
            <v>11819.560607028754</v>
          </cell>
          <cell r="O107" t="str">
            <v>расходы на информационное обслуживание, консультационные и юридические услуги</v>
          </cell>
        </row>
        <row r="108">
          <cell r="C108" t="str">
            <v>Услуги ИТ - разработка системного проекта и внедрение прочих программных продуктов</v>
          </cell>
          <cell r="D108">
            <v>194.23</v>
          </cell>
          <cell r="E108">
            <v>28.5</v>
          </cell>
          <cell r="F108">
            <v>21.397763578274763</v>
          </cell>
          <cell r="G108">
            <v>7.1022364217252374</v>
          </cell>
          <cell r="H108">
            <v>97.29</v>
          </cell>
          <cell r="I108">
            <v>63.55</v>
          </cell>
          <cell r="J108">
            <v>4.8899999999999997</v>
          </cell>
          <cell r="L108">
            <v>189.34</v>
          </cell>
          <cell r="M108">
            <v>167.94223642172523</v>
          </cell>
          <cell r="O108" t="str">
            <v>расходы на информационное обслуживание, консультационные и юридические услуги</v>
          </cell>
        </row>
        <row r="109">
          <cell r="C109" t="str">
            <v>Услуги ИТ - сопровождение и обновление программных продуктов</v>
          </cell>
          <cell r="D109">
            <v>1133.0600000000002</v>
          </cell>
          <cell r="E109">
            <v>195.37</v>
          </cell>
          <cell r="F109">
            <v>146.68354632587861</v>
          </cell>
          <cell r="G109">
            <v>48.686453674121395</v>
          </cell>
          <cell r="H109">
            <v>594.33000000000004</v>
          </cell>
          <cell r="I109">
            <v>324.23</v>
          </cell>
          <cell r="J109">
            <v>19.13</v>
          </cell>
          <cell r="L109">
            <v>1113.93</v>
          </cell>
          <cell r="M109">
            <v>967.24645367412154</v>
          </cell>
          <cell r="O109" t="str">
            <v>расходы на информационное обслуживание, консультационные и юридические услуги</v>
          </cell>
        </row>
        <row r="110">
          <cell r="C110" t="str">
            <v>Услуги коммунального хозяйства - вывоз ТБО</v>
          </cell>
          <cell r="D110">
            <v>535.71</v>
          </cell>
          <cell r="E110">
            <v>82.37</v>
          </cell>
          <cell r="F110">
            <v>61.843290734824294</v>
          </cell>
          <cell r="G110">
            <v>20.526709265175711</v>
          </cell>
          <cell r="H110">
            <v>299.99</v>
          </cell>
          <cell r="I110">
            <v>145.9</v>
          </cell>
          <cell r="J110">
            <v>7.45</v>
          </cell>
          <cell r="L110">
            <v>528.26</v>
          </cell>
          <cell r="M110">
            <v>466.41670926517577</v>
          </cell>
          <cell r="O110" t="str">
            <v>Услуги коммунального хозяйства</v>
          </cell>
        </row>
        <row r="111">
          <cell r="C111" t="str">
            <v>Услуги коммунального хозяйства - газоснабжение</v>
          </cell>
          <cell r="D111">
            <v>2097.15</v>
          </cell>
          <cell r="E111">
            <v>369.29</v>
          </cell>
          <cell r="F111">
            <v>277.26246006389778</v>
          </cell>
          <cell r="G111">
            <v>92.027539936102244</v>
          </cell>
          <cell r="H111">
            <v>1259.5899999999999</v>
          </cell>
          <cell r="I111">
            <v>429.99</v>
          </cell>
          <cell r="J111">
            <v>38.28</v>
          </cell>
          <cell r="L111">
            <v>2058.87</v>
          </cell>
          <cell r="M111">
            <v>1781.6075399361023</v>
          </cell>
          <cell r="O111" t="str">
            <v>Услуги коммунального хозяйства</v>
          </cell>
        </row>
        <row r="112">
          <cell r="C112" t="str">
            <v>Услуги коммунального хозяйства - холодное водоснабжение и канализация</v>
          </cell>
          <cell r="D112">
            <v>501.11999999999995</v>
          </cell>
          <cell r="E112">
            <v>70.27</v>
          </cell>
          <cell r="F112">
            <v>52.758626198083064</v>
          </cell>
          <cell r="G112">
            <v>17.511373801916932</v>
          </cell>
          <cell r="H112">
            <v>273.52</v>
          </cell>
          <cell r="I112">
            <v>147.77000000000001</v>
          </cell>
          <cell r="J112">
            <v>9.56</v>
          </cell>
          <cell r="L112">
            <v>491.55999999999995</v>
          </cell>
          <cell r="M112">
            <v>438.8013738019169</v>
          </cell>
          <cell r="O112" t="str">
            <v>Услуги коммунального хозяйства</v>
          </cell>
        </row>
        <row r="113">
          <cell r="C113" t="str">
            <v>Услуги нотариальные</v>
          </cell>
          <cell r="D113">
            <v>119.66</v>
          </cell>
          <cell r="E113">
            <v>18.23</v>
          </cell>
          <cell r="F113">
            <v>13.687060702875399</v>
          </cell>
          <cell r="G113">
            <v>4.542939297124601</v>
          </cell>
          <cell r="H113">
            <v>66.63</v>
          </cell>
          <cell r="I113">
            <v>32.56</v>
          </cell>
          <cell r="J113">
            <v>2.2400000000000002</v>
          </cell>
          <cell r="L113">
            <v>117.42</v>
          </cell>
          <cell r="M113">
            <v>103.7329392971246</v>
          </cell>
          <cell r="O113" t="str">
            <v>прочие</v>
          </cell>
        </row>
        <row r="114">
          <cell r="C114" t="str">
            <v>Услуги по аккредитации (аттестации) и экспертизе в области метрологического обеспечения и качества э/э</v>
          </cell>
          <cell r="D114">
            <v>8.4499999999999993</v>
          </cell>
          <cell r="E114">
            <v>4.57</v>
          </cell>
          <cell r="F114">
            <v>3.4311501597444094</v>
          </cell>
          <cell r="G114">
            <v>1.1388498402555909</v>
          </cell>
          <cell r="H114">
            <v>3.88</v>
          </cell>
          <cell r="L114">
            <v>8.4499999999999993</v>
          </cell>
          <cell r="M114">
            <v>5.0188498402555899</v>
          </cell>
          <cell r="O114" t="str">
            <v>Услуги по аккредитации (аттестации) и экспертизе в области метрологического обеспечения и качества э/э</v>
          </cell>
        </row>
        <row r="115">
          <cell r="C115" t="str">
            <v>Услуги по аттестации объекта информатизации, технической защите информации, составляющей гос.тайну</v>
          </cell>
          <cell r="D115">
            <v>84.74</v>
          </cell>
          <cell r="E115">
            <v>12.03</v>
          </cell>
          <cell r="F115">
            <v>9.0321086261980827</v>
          </cell>
          <cell r="G115">
            <v>2.9978913738019166</v>
          </cell>
          <cell r="H115">
            <v>72.709999999999994</v>
          </cell>
          <cell r="L115">
            <v>84.74</v>
          </cell>
          <cell r="M115">
            <v>75.707891373801914</v>
          </cell>
          <cell r="O115" t="str">
            <v>Услуги по аккредитации (аттестации) и экспертизе в области метрологического обеспечения и качества э/э</v>
          </cell>
        </row>
        <row r="116">
          <cell r="C116" t="str">
            <v>Услуги по диагностике и экспертизе промышленной безопасности</v>
          </cell>
          <cell r="D116">
            <v>1923.6399999999999</v>
          </cell>
          <cell r="E116">
            <v>249.98</v>
          </cell>
          <cell r="F116">
            <v>187.6846645367412</v>
          </cell>
          <cell r="G116">
            <v>62.295335463258795</v>
          </cell>
          <cell r="H116">
            <v>796.31</v>
          </cell>
          <cell r="I116">
            <v>798.41</v>
          </cell>
          <cell r="J116">
            <v>78.94</v>
          </cell>
          <cell r="L116">
            <v>1844.6999999999998</v>
          </cell>
          <cell r="M116">
            <v>1657.0153354632587</v>
          </cell>
          <cell r="O116" t="str">
            <v>Услуги по аккредитации (аттестации) и экспертизе в области метрологического обеспечения и качества э/э</v>
          </cell>
        </row>
        <row r="117">
          <cell r="C117" t="str">
            <v>Услуги по испытанию и поверке приборов (метрологические)</v>
          </cell>
          <cell r="D117">
            <v>218.57999999999998</v>
          </cell>
          <cell r="E117">
            <v>49.1</v>
          </cell>
          <cell r="F117">
            <v>36.864217252396166</v>
          </cell>
          <cell r="G117">
            <v>12.235782747603835</v>
          </cell>
          <cell r="H117">
            <v>156.13999999999999</v>
          </cell>
          <cell r="J117">
            <v>13.34</v>
          </cell>
          <cell r="L117">
            <v>205.23999999999998</v>
          </cell>
          <cell r="M117">
            <v>168.37578274760381</v>
          </cell>
          <cell r="O117" t="str">
            <v>Услуги по аккредитации (аттестации) и экспертизе в области метрологического обеспечения и качества э/э</v>
          </cell>
        </row>
        <row r="118">
          <cell r="C118" t="str">
            <v>Услуги по организации функционирования и развитию ЕЭС России</v>
          </cell>
          <cell r="D118">
            <v>180633.12</v>
          </cell>
          <cell r="F118">
            <v>0</v>
          </cell>
          <cell r="G118">
            <v>0</v>
          </cell>
          <cell r="H118">
            <v>180633.12</v>
          </cell>
          <cell r="L118">
            <v>180633.12</v>
          </cell>
          <cell r="M118">
            <v>180633.12</v>
          </cell>
          <cell r="O118" t="str">
            <v>Услуги по организации функционирования и развитию ЕЭС России</v>
          </cell>
        </row>
        <row r="119">
          <cell r="C119" t="str">
            <v>Услуги по испытанию и поверке приборов (метрологические)</v>
          </cell>
          <cell r="D119">
            <v>142.93</v>
          </cell>
          <cell r="F119">
            <v>0</v>
          </cell>
          <cell r="G119">
            <v>0</v>
          </cell>
          <cell r="I119">
            <v>142.93</v>
          </cell>
          <cell r="L119">
            <v>142.93</v>
          </cell>
          <cell r="M119">
            <v>142.93</v>
          </cell>
          <cell r="O119" t="str">
            <v>Услуги по аккредитации (аттестации) и экспертизе в области метрологического обеспечения и качества э/э</v>
          </cell>
        </row>
        <row r="120">
          <cell r="C120" t="str">
            <v>Услуги по предрейсовому и послерейсовому медосвидетельствованию водителей транспорта административно-хозяйственного назначения</v>
          </cell>
          <cell r="D120">
            <v>453.35</v>
          </cell>
          <cell r="E120">
            <v>76.3</v>
          </cell>
          <cell r="F120">
            <v>57.285942492012779</v>
          </cell>
          <cell r="G120">
            <v>19.014057507987218</v>
          </cell>
          <cell r="H120">
            <v>278.36</v>
          </cell>
          <cell r="I120">
            <v>92.67</v>
          </cell>
          <cell r="J120">
            <v>6.02</v>
          </cell>
          <cell r="L120">
            <v>447.33000000000004</v>
          </cell>
          <cell r="M120">
            <v>390.04405750798725</v>
          </cell>
          <cell r="O120" t="str">
            <v>прочие</v>
          </cell>
        </row>
        <row r="121">
          <cell r="C121" t="str">
            <v>Услуги по предрейсовому и послерейсовому медосвидетельствованию водителей транспорта производственного назначения</v>
          </cell>
          <cell r="D121">
            <v>1792.03</v>
          </cell>
          <cell r="E121">
            <v>268.2</v>
          </cell>
          <cell r="F121">
            <v>201.36421725239614</v>
          </cell>
          <cell r="G121">
            <v>66.835782747603844</v>
          </cell>
          <cell r="H121">
            <v>800.65</v>
          </cell>
          <cell r="I121">
            <v>704.63</v>
          </cell>
          <cell r="J121">
            <v>18.55</v>
          </cell>
          <cell r="L121">
            <v>1773.48</v>
          </cell>
          <cell r="M121">
            <v>1572.1157827476038</v>
          </cell>
          <cell r="O121" t="str">
            <v>прочие</v>
          </cell>
        </row>
        <row r="122">
          <cell r="C122" t="str">
            <v>Услуги по сертификации и контролю качества электроэнергии</v>
          </cell>
          <cell r="D122">
            <v>779.98</v>
          </cell>
          <cell r="E122">
            <v>138.54</v>
          </cell>
          <cell r="F122">
            <v>104.01565495207666</v>
          </cell>
          <cell r="G122">
            <v>34.524345047923333</v>
          </cell>
          <cell r="H122">
            <v>514.61</v>
          </cell>
          <cell r="I122">
            <v>116.25</v>
          </cell>
          <cell r="J122">
            <v>10.58</v>
          </cell>
          <cell r="L122">
            <v>769.4</v>
          </cell>
          <cell r="M122">
            <v>665.38434504792338</v>
          </cell>
          <cell r="O122" t="str">
            <v>прочие</v>
          </cell>
        </row>
        <row r="123">
          <cell r="C123" t="str">
            <v>Услуги по техническому надзору над объектами электросетевого хозяйства</v>
          </cell>
          <cell r="D123">
            <v>3334.73</v>
          </cell>
          <cell r="E123">
            <v>527.9</v>
          </cell>
          <cell r="F123">
            <v>396.34664536741212</v>
          </cell>
          <cell r="G123">
            <v>131.55335463258785</v>
          </cell>
          <cell r="H123">
            <v>1877.94</v>
          </cell>
          <cell r="I123">
            <v>881.43</v>
          </cell>
          <cell r="J123">
            <v>47.46</v>
          </cell>
          <cell r="L123">
            <v>3287.27</v>
          </cell>
          <cell r="M123">
            <v>2890.9233546325877</v>
          </cell>
          <cell r="O123" t="str">
            <v>прочие</v>
          </cell>
        </row>
        <row r="124">
          <cell r="C124" t="str">
            <v>Услуги по техосмотру, инструментальному контролю и перерегистрации транспорта административно-хозяйственного назначения</v>
          </cell>
          <cell r="D124">
            <v>40.349999999999994</v>
          </cell>
          <cell r="E124">
            <v>5.2</v>
          </cell>
          <cell r="F124">
            <v>3.9041533546325877</v>
          </cell>
          <cell r="G124">
            <v>1.2958466453674125</v>
          </cell>
          <cell r="H124">
            <v>17.690000000000001</v>
          </cell>
          <cell r="I124">
            <v>16.55</v>
          </cell>
          <cell r="J124">
            <v>0.91</v>
          </cell>
          <cell r="L124">
            <v>39.44</v>
          </cell>
          <cell r="M124">
            <v>35.535846645367407</v>
          </cell>
          <cell r="O124" t="str">
            <v>прочие</v>
          </cell>
        </row>
        <row r="125">
          <cell r="C125" t="str">
            <v>Услуги по техосмотру, инструментальному контролю и перерегистрации транспорта производственного назначения</v>
          </cell>
          <cell r="D125">
            <v>335.27000000000004</v>
          </cell>
          <cell r="E125">
            <v>100.1</v>
          </cell>
          <cell r="F125">
            <v>75.154952076677304</v>
          </cell>
          <cell r="G125">
            <v>24.94504792332269</v>
          </cell>
          <cell r="H125">
            <v>188.13</v>
          </cell>
          <cell r="I125">
            <v>44.38</v>
          </cell>
          <cell r="J125">
            <v>2.66</v>
          </cell>
          <cell r="L125">
            <v>332.61</v>
          </cell>
          <cell r="M125">
            <v>257.4550479233227</v>
          </cell>
          <cell r="O125" t="str">
            <v>прочие</v>
          </cell>
        </row>
        <row r="126">
          <cell r="C126" t="str">
            <v>Услуги подрядчиков по ремонту транспорта административно-хозяйственного назначения</v>
          </cell>
          <cell r="D126">
            <v>1079.19</v>
          </cell>
          <cell r="E126">
            <v>165.88</v>
          </cell>
          <cell r="F126">
            <v>124.54249201277956</v>
          </cell>
          <cell r="G126">
            <v>41.337507987220434</v>
          </cell>
          <cell r="H126">
            <v>689.19</v>
          </cell>
          <cell r="I126">
            <v>216.77</v>
          </cell>
          <cell r="J126">
            <v>7.35</v>
          </cell>
          <cell r="L126">
            <v>1071.8400000000001</v>
          </cell>
          <cell r="M126">
            <v>947.29750798722046</v>
          </cell>
          <cell r="O126" t="str">
            <v xml:space="preserve"> - работы и услуги производственного характера</v>
          </cell>
        </row>
        <row r="127">
          <cell r="C127" t="str">
            <v>Услуги подрядчиков по ремонту транспорта производственного назначения</v>
          </cell>
          <cell r="D127">
            <v>7844.2599999999993</v>
          </cell>
          <cell r="E127">
            <v>1206.43</v>
          </cell>
          <cell r="F127">
            <v>905.7861022364217</v>
          </cell>
          <cell r="G127">
            <v>300.64389776357837</v>
          </cell>
          <cell r="H127">
            <v>3161.15</v>
          </cell>
          <cell r="I127">
            <v>3251.45</v>
          </cell>
          <cell r="J127">
            <v>225.23</v>
          </cell>
          <cell r="L127">
            <v>7619.03</v>
          </cell>
          <cell r="M127">
            <v>6713.2438977635784</v>
          </cell>
          <cell r="O127" t="str">
            <v xml:space="preserve"> - работы и услуги производственного характера</v>
          </cell>
        </row>
        <row r="128">
          <cell r="C128" t="str">
            <v>Услуги подрядчиков по техобслуживанию административных зданий и сооружений</v>
          </cell>
          <cell r="D128">
            <v>457.53</v>
          </cell>
          <cell r="E128">
            <v>55.66</v>
          </cell>
          <cell r="F128">
            <v>41.789456869009584</v>
          </cell>
          <cell r="G128">
            <v>13.870543130990413</v>
          </cell>
          <cell r="H128">
            <v>192.83</v>
          </cell>
          <cell r="I128">
            <v>209.04</v>
          </cell>
          <cell r="L128">
            <v>457.53</v>
          </cell>
          <cell r="M128">
            <v>415.74054313099037</v>
          </cell>
          <cell r="O128" t="str">
            <v xml:space="preserve"> - работы и услуги производственного характера</v>
          </cell>
        </row>
        <row r="129">
          <cell r="C129" t="str">
            <v>Услуги подрядчиков по техобслуживанию оргтехники</v>
          </cell>
          <cell r="D129">
            <v>48.56</v>
          </cell>
          <cell r="E129">
            <v>7.6</v>
          </cell>
          <cell r="F129">
            <v>5.7060702875399354</v>
          </cell>
          <cell r="G129">
            <v>1.8939297124600643</v>
          </cell>
          <cell r="H129">
            <v>26.04</v>
          </cell>
          <cell r="I129">
            <v>13.83</v>
          </cell>
          <cell r="J129">
            <v>1.0900000000000001</v>
          </cell>
          <cell r="L129">
            <v>47.47</v>
          </cell>
          <cell r="M129">
            <v>41.763929712460062</v>
          </cell>
          <cell r="O129" t="str">
            <v xml:space="preserve"> - работы и услуги производственного характера</v>
          </cell>
        </row>
        <row r="130">
          <cell r="C130" t="str">
            <v>Услуги подрядчиков по техобслуживанию прочих технических средств</v>
          </cell>
          <cell r="D130">
            <v>33.239999999999995</v>
          </cell>
          <cell r="E130">
            <v>4.7300000000000004</v>
          </cell>
          <cell r="F130">
            <v>3.5512779552715661</v>
          </cell>
          <cell r="G130">
            <v>1.1787220447284343</v>
          </cell>
          <cell r="H130">
            <v>26.2</v>
          </cell>
          <cell r="I130">
            <v>2.23</v>
          </cell>
          <cell r="J130">
            <v>0.08</v>
          </cell>
          <cell r="L130">
            <v>33.159999999999997</v>
          </cell>
          <cell r="M130">
            <v>29.608722044728431</v>
          </cell>
          <cell r="O130" t="str">
            <v xml:space="preserve"> - работы и услуги производственного характера</v>
          </cell>
        </row>
        <row r="131">
          <cell r="C131" t="str">
            <v>Услуги подрядчиков по техобслуживанию средств измерений</v>
          </cell>
          <cell r="D131">
            <v>226.87</v>
          </cell>
          <cell r="E131">
            <v>71.930000000000007</v>
          </cell>
          <cell r="F131">
            <v>54.00495207667732</v>
          </cell>
          <cell r="G131">
            <v>17.925047923322687</v>
          </cell>
          <cell r="H131">
            <v>154.94</v>
          </cell>
          <cell r="L131">
            <v>226.87</v>
          </cell>
          <cell r="M131">
            <v>172.86504792332269</v>
          </cell>
          <cell r="O131" t="str">
            <v xml:space="preserve"> - работы и услуги производственного характера</v>
          </cell>
        </row>
        <row r="132">
          <cell r="C132" t="str">
            <v>Услуги подрядчиков по техобслуживанию транспорта административно-хозяйственного назначен</v>
          </cell>
          <cell r="D132">
            <v>895.81</v>
          </cell>
          <cell r="E132">
            <v>133.55000000000001</v>
          </cell>
          <cell r="F132">
            <v>100.26916932907349</v>
          </cell>
          <cell r="G132">
            <v>33.28083067092652</v>
          </cell>
          <cell r="H132">
            <v>523.03</v>
          </cell>
          <cell r="I132">
            <v>230.23</v>
          </cell>
          <cell r="J132">
            <v>9</v>
          </cell>
          <cell r="L132">
            <v>886.81</v>
          </cell>
          <cell r="M132">
            <v>786.54083067092643</v>
          </cell>
          <cell r="O132" t="str">
            <v xml:space="preserve"> - работы и услуги производственного характера</v>
          </cell>
        </row>
        <row r="133">
          <cell r="C133" t="str">
            <v>Услуги пожарной охраны - прочие</v>
          </cell>
          <cell r="D133">
            <v>617.32000000000005</v>
          </cell>
          <cell r="E133">
            <v>76.8</v>
          </cell>
          <cell r="F133">
            <v>57.66134185303514</v>
          </cell>
          <cell r="G133">
            <v>19.138658146964858</v>
          </cell>
          <cell r="H133">
            <v>253.76</v>
          </cell>
          <cell r="I133">
            <v>261.42</v>
          </cell>
          <cell r="J133">
            <v>25.34</v>
          </cell>
          <cell r="L133">
            <v>591.98</v>
          </cell>
          <cell r="M133">
            <v>534.31865814696482</v>
          </cell>
          <cell r="O133" t="str">
            <v>расходы на охрану и пожарную безопасность</v>
          </cell>
        </row>
        <row r="134">
          <cell r="C134" t="str">
            <v>Услуги пожарной охраны - техобслуживание автоматических установок пожаротушения и пожарной сигнализации</v>
          </cell>
          <cell r="D134">
            <v>324.7</v>
          </cell>
          <cell r="E134">
            <v>46.43</v>
          </cell>
          <cell r="F134">
            <v>34.859584664536747</v>
          </cell>
          <cell r="G134">
            <v>11.570415335463252</v>
          </cell>
          <cell r="H134">
            <v>155.84</v>
          </cell>
          <cell r="I134">
            <v>118.59</v>
          </cell>
          <cell r="J134">
            <v>3.84</v>
          </cell>
          <cell r="L134">
            <v>320.86</v>
          </cell>
          <cell r="M134">
            <v>286.00041533546329</v>
          </cell>
          <cell r="O134" t="str">
            <v>расходы на охрану и пожарную безопасность</v>
          </cell>
        </row>
        <row r="135">
          <cell r="C135" t="str">
            <v>Услуги почты и телеграфа</v>
          </cell>
          <cell r="D135">
            <v>225.39</v>
          </cell>
          <cell r="E135">
            <v>35.42</v>
          </cell>
          <cell r="F135">
            <v>26.593290734824283</v>
          </cell>
          <cell r="G135">
            <v>8.8267092651757189</v>
          </cell>
          <cell r="H135">
            <v>124.02</v>
          </cell>
          <cell r="I135">
            <v>62.45</v>
          </cell>
          <cell r="J135">
            <v>3.5</v>
          </cell>
          <cell r="L135">
            <v>221.89</v>
          </cell>
          <cell r="M135">
            <v>195.29670926517571</v>
          </cell>
          <cell r="O135" t="str">
            <v>прочие</v>
          </cell>
        </row>
        <row r="136">
          <cell r="C136" t="str">
            <v>Услуги связи и передачи данных - аренда каналов связи</v>
          </cell>
          <cell r="D136">
            <v>918.03</v>
          </cell>
          <cell r="E136">
            <v>126.37</v>
          </cell>
          <cell r="F136">
            <v>94.878434504792338</v>
          </cell>
          <cell r="G136">
            <v>31.491565495207666</v>
          </cell>
          <cell r="H136">
            <v>422.76</v>
          </cell>
          <cell r="I136">
            <v>347.46</v>
          </cell>
          <cell r="J136">
            <v>21.44</v>
          </cell>
          <cell r="L136">
            <v>896.58999999999992</v>
          </cell>
          <cell r="M136">
            <v>801.71156549520754</v>
          </cell>
          <cell r="O136" t="str">
            <v>услуги связи</v>
          </cell>
        </row>
        <row r="137">
          <cell r="C137" t="str">
            <v>Услуги связи и передачи данных - городская и междугородняя телефонная связь</v>
          </cell>
          <cell r="D137">
            <v>1668.1299999999999</v>
          </cell>
          <cell r="E137">
            <v>266.92</v>
          </cell>
          <cell r="F137">
            <v>200.40319488817892</v>
          </cell>
          <cell r="G137">
            <v>66.5168051118211</v>
          </cell>
          <cell r="H137">
            <v>955.6</v>
          </cell>
          <cell r="I137">
            <v>423.62</v>
          </cell>
          <cell r="J137">
            <v>21.99</v>
          </cell>
          <cell r="L137">
            <v>1646.1399999999999</v>
          </cell>
          <cell r="M137">
            <v>1445.736805111821</v>
          </cell>
          <cell r="O137" t="str">
            <v>услуги связи</v>
          </cell>
        </row>
        <row r="138">
          <cell r="C138" t="str">
            <v>Услуги связи и передачи данных - интернет-обслуживание</v>
          </cell>
          <cell r="D138">
            <v>4491.7500000000009</v>
          </cell>
          <cell r="E138">
            <v>711.15</v>
          </cell>
          <cell r="F138">
            <v>533.9305111821086</v>
          </cell>
          <cell r="G138">
            <v>177.21948881789137</v>
          </cell>
          <cell r="H138">
            <v>2530.52</v>
          </cell>
          <cell r="I138">
            <v>1186.19</v>
          </cell>
          <cell r="J138">
            <v>63.89</v>
          </cell>
          <cell r="L138">
            <v>4427.8600000000006</v>
          </cell>
          <cell r="M138">
            <v>3893.9294888178924</v>
          </cell>
          <cell r="O138" t="str">
            <v>услуги связи</v>
          </cell>
        </row>
        <row r="139">
          <cell r="C139" t="str">
            <v>Услуги связи и передачи данных - мобильная связь</v>
          </cell>
          <cell r="D139">
            <v>1137.9699999999998</v>
          </cell>
          <cell r="E139">
            <v>180.94</v>
          </cell>
          <cell r="F139">
            <v>135.84952076677317</v>
          </cell>
          <cell r="G139">
            <v>45.09047923322683</v>
          </cell>
          <cell r="H139">
            <v>636.41999999999996</v>
          </cell>
          <cell r="I139">
            <v>304.08999999999997</v>
          </cell>
          <cell r="J139">
            <v>16.52</v>
          </cell>
          <cell r="L139">
            <v>1121.4499999999998</v>
          </cell>
          <cell r="M139">
            <v>985.60047923322668</v>
          </cell>
          <cell r="O139" t="str">
            <v>услуги связи</v>
          </cell>
        </row>
        <row r="140">
          <cell r="C140" t="str">
            <v>Услуги связи и передачи данных - прочие услуги связи</v>
          </cell>
          <cell r="D140">
            <v>1952.1999999999998</v>
          </cell>
          <cell r="E140">
            <v>309.05</v>
          </cell>
          <cell r="F140">
            <v>232.03434504792332</v>
          </cell>
          <cell r="G140">
            <v>77.015654952076687</v>
          </cell>
          <cell r="H140">
            <v>1099.3699999999999</v>
          </cell>
          <cell r="I140">
            <v>516</v>
          </cell>
          <cell r="J140">
            <v>27.78</v>
          </cell>
          <cell r="L140">
            <v>1924.4199999999998</v>
          </cell>
          <cell r="M140">
            <v>1692.3856549520765</v>
          </cell>
          <cell r="O140" t="str">
            <v>услуги связи</v>
          </cell>
        </row>
        <row r="141">
          <cell r="C141" t="str">
            <v>Услуги связи и передачи данных - услуги радиочастотных центров</v>
          </cell>
          <cell r="D141">
            <v>126.84</v>
          </cell>
          <cell r="E141">
            <v>19.62</v>
          </cell>
          <cell r="F141">
            <v>14.730670926517574</v>
          </cell>
          <cell r="G141">
            <v>4.8893290734824273</v>
          </cell>
          <cell r="H141">
            <v>71.44</v>
          </cell>
          <cell r="I141">
            <v>34.36</v>
          </cell>
          <cell r="J141">
            <v>1.42</v>
          </cell>
          <cell r="L141">
            <v>125.42</v>
          </cell>
          <cell r="M141">
            <v>110.68932907348243</v>
          </cell>
          <cell r="O141" t="str">
            <v>услуги связи</v>
          </cell>
        </row>
        <row r="142">
          <cell r="C142" t="str">
            <v>Услуги связи и передачи данных - услуги специальной связи</v>
          </cell>
          <cell r="D142">
            <v>5.89</v>
          </cell>
          <cell r="E142">
            <v>1.02</v>
          </cell>
          <cell r="F142">
            <v>0.76581469648562306</v>
          </cell>
          <cell r="G142">
            <v>0.25418530351437696</v>
          </cell>
          <cell r="H142">
            <v>3.76</v>
          </cell>
          <cell r="I142">
            <v>1.04</v>
          </cell>
          <cell r="J142">
            <v>7.0000000000000007E-2</v>
          </cell>
          <cell r="L142">
            <v>5.8199999999999994</v>
          </cell>
          <cell r="M142">
            <v>5.0541853035143767</v>
          </cell>
          <cell r="O142" t="str">
            <v>услуги связи</v>
          </cell>
        </row>
        <row r="143">
          <cell r="C143" t="str">
            <v>Услуги СМИ</v>
          </cell>
          <cell r="D143">
            <v>553.39</v>
          </cell>
          <cell r="E143">
            <v>86.91</v>
          </cell>
          <cell r="F143">
            <v>65.251916932907349</v>
          </cell>
          <cell r="G143">
            <v>21.658083067092647</v>
          </cell>
          <cell r="H143">
            <v>323.77999999999997</v>
          </cell>
          <cell r="I143">
            <v>137.09</v>
          </cell>
          <cell r="J143">
            <v>5.61</v>
          </cell>
          <cell r="L143">
            <v>547.78</v>
          </cell>
          <cell r="M143">
            <v>482.52808306709261</v>
          </cell>
          <cell r="O143" t="str">
            <v xml:space="preserve">Услуги PR, СМИ, рекламы </v>
          </cell>
        </row>
        <row r="144">
          <cell r="C144" t="str">
            <v>Услуги типографии и типографская продукция</v>
          </cell>
          <cell r="D144">
            <v>7.49</v>
          </cell>
          <cell r="E144">
            <v>1.06</v>
          </cell>
          <cell r="F144">
            <v>0.79584664536741212</v>
          </cell>
          <cell r="G144">
            <v>0.26415335463258793</v>
          </cell>
          <cell r="H144">
            <v>6.43</v>
          </cell>
          <cell r="L144">
            <v>7.49</v>
          </cell>
          <cell r="M144">
            <v>6.6941533546325882</v>
          </cell>
          <cell r="O144" t="str">
            <v>прочие</v>
          </cell>
        </row>
        <row r="145">
          <cell r="C145" t="str">
            <v>Услуги физической охраны и инженерно-технического обслуживания</v>
          </cell>
          <cell r="D145">
            <v>16428.63</v>
          </cell>
          <cell r="E145">
            <v>2598.23</v>
          </cell>
          <cell r="F145">
            <v>1950.747763578275</v>
          </cell>
          <cell r="G145">
            <v>647.48223642172502</v>
          </cell>
          <cell r="H145">
            <v>9253.4500000000007</v>
          </cell>
          <cell r="I145">
            <v>4343.04</v>
          </cell>
          <cell r="J145">
            <v>233.91</v>
          </cell>
          <cell r="L145">
            <v>16194.720000000001</v>
          </cell>
          <cell r="M145">
            <v>14243.972236421727</v>
          </cell>
          <cell r="O145" t="str">
            <v>расходы на охрану и пожарную безопасность</v>
          </cell>
        </row>
        <row r="146">
          <cell r="C146" t="str">
            <v>Экологические платежи за загрязнение окружающей среды (в пределах лимитов выбросов)</v>
          </cell>
          <cell r="D146">
            <v>202.15</v>
          </cell>
          <cell r="E146">
            <v>29.44</v>
          </cell>
          <cell r="F146">
            <v>22.103514376996806</v>
          </cell>
          <cell r="G146">
            <v>7.3364856230031954</v>
          </cell>
          <cell r="H146">
            <v>115.27</v>
          </cell>
          <cell r="I146">
            <v>53.54</v>
          </cell>
          <cell r="J146">
            <v>3.9</v>
          </cell>
          <cell r="L146">
            <v>198.25</v>
          </cell>
          <cell r="M146">
            <v>176.1464856230032</v>
          </cell>
          <cell r="O146" t="str">
            <v xml:space="preserve"> - налоги и сборы, уменьшающие налогооблагаемую базу на прибыль организаций, всего</v>
          </cell>
        </row>
        <row r="147">
          <cell r="C147" t="str">
            <v>Электрическая энергия на производственные и хозяйственные нужды</v>
          </cell>
          <cell r="D147">
            <v>17963.18</v>
          </cell>
          <cell r="E147">
            <v>3029.81</v>
          </cell>
          <cell r="F147">
            <v>2274.7774760383386</v>
          </cell>
          <cell r="G147">
            <v>755.03252396166135</v>
          </cell>
          <cell r="H147">
            <v>10416.450000000001</v>
          </cell>
          <cell r="I147">
            <v>4250.57</v>
          </cell>
          <cell r="J147">
            <v>266.35000000000002</v>
          </cell>
          <cell r="L147">
            <v>17696.830000000002</v>
          </cell>
          <cell r="M147">
            <v>15422.052523961662</v>
          </cell>
          <cell r="O147" t="str">
            <v>Энергия на хозяйственные нужды</v>
          </cell>
        </row>
        <row r="148">
          <cell r="D148">
            <v>-17637.739999999758</v>
          </cell>
          <cell r="E148">
            <v>-101120.35234493203</v>
          </cell>
        </row>
        <row r="149">
          <cell r="C149">
            <v>186040.81027820148</v>
          </cell>
          <cell r="D149">
            <v>3300.6914200000001</v>
          </cell>
          <cell r="E149">
            <v>0</v>
          </cell>
          <cell r="G149">
            <v>1627.889614504473</v>
          </cell>
          <cell r="H149">
            <v>945.28791876940045</v>
          </cell>
          <cell r="I149">
            <v>682.60169573507255</v>
          </cell>
          <cell r="J149">
            <v>5319.7202783055764</v>
          </cell>
          <cell r="K149">
            <v>3262.572176911749</v>
          </cell>
          <cell r="L149">
            <v>183.21920027820192</v>
          </cell>
        </row>
        <row r="150">
          <cell r="C150">
            <v>10210182.069721799</v>
          </cell>
          <cell r="D150">
            <v>3318329.1599999997</v>
          </cell>
          <cell r="E150" t="str">
            <v>Факт без индивидуальных проектов</v>
          </cell>
          <cell r="F150" t="str">
            <v>Факт без индивидуальных и льготников</v>
          </cell>
          <cell r="G150" t="str">
            <v>до 15 кВт включительно</v>
          </cell>
          <cell r="H150" t="str">
            <v>в том числе:</v>
          </cell>
          <cell r="J150" t="str">
            <v>свыше 15 кВт и до 150 кВт включительно</v>
          </cell>
          <cell r="K150" t="str">
            <v>свыше 150 кВт и менее 670 кВт</v>
          </cell>
          <cell r="L150" t="str">
            <v>не менее 670 кВт (инд проект)</v>
          </cell>
          <cell r="N150" t="str">
            <v>Согласованно ДЭ</v>
          </cell>
        </row>
        <row r="151">
          <cell r="D151">
            <v>10396222.880000001</v>
          </cell>
          <cell r="E151">
            <v>10109061.717376867</v>
          </cell>
          <cell r="H151" t="str">
            <v>льготники</v>
          </cell>
          <cell r="I151" t="str">
            <v>нельготники</v>
          </cell>
        </row>
        <row r="152">
          <cell r="C152" t="str">
            <v>Расходы по выполнению мероприятий по технологическому присоединению, всего</v>
          </cell>
          <cell r="D152">
            <v>10396222.880000001</v>
          </cell>
          <cell r="E152">
            <v>10210182.069721799</v>
          </cell>
          <cell r="F152">
            <v>9362044.4318805244</v>
          </cell>
          <cell r="G152">
            <v>1627889.6145044733</v>
          </cell>
          <cell r="H152">
            <v>945287.91876940045</v>
          </cell>
          <cell r="I152">
            <v>682601.69573507272</v>
          </cell>
          <cell r="J152">
            <v>5319720.2783055762</v>
          </cell>
          <cell r="K152">
            <v>3262572.1769117489</v>
          </cell>
          <cell r="L152">
            <v>186040.81027820191</v>
          </cell>
          <cell r="M152">
            <v>10210182.069721799</v>
          </cell>
          <cell r="N152">
            <v>10109061.717376869</v>
          </cell>
          <cell r="O152">
            <v>101120.35234492946</v>
          </cell>
        </row>
        <row r="153">
          <cell r="C153" t="str">
            <v>Вспомогательные материалы</v>
          </cell>
          <cell r="D153">
            <v>82690.939999999988</v>
          </cell>
          <cell r="E153">
            <v>81691.09</v>
          </cell>
          <cell r="F153">
            <v>66063.116996805096</v>
          </cell>
          <cell r="G153">
            <v>20815.130000000008</v>
          </cell>
          <cell r="H153">
            <v>15627.973003194887</v>
          </cell>
          <cell r="I153">
            <v>5187.1569968051126</v>
          </cell>
          <cell r="J153">
            <v>42093.259999999995</v>
          </cell>
          <cell r="K153">
            <v>18782.7</v>
          </cell>
          <cell r="L153">
            <v>999.85000000000014</v>
          </cell>
          <cell r="M153">
            <v>82690.94</v>
          </cell>
          <cell r="N153">
            <v>81691.090000000011</v>
          </cell>
          <cell r="O153">
            <v>0</v>
          </cell>
        </row>
        <row r="154">
          <cell r="C154" t="str">
            <v>в т.ч.  ГСМ</v>
          </cell>
          <cell r="D154">
            <v>50704.98</v>
          </cell>
          <cell r="E154">
            <v>50136.380000000005</v>
          </cell>
          <cell r="F154">
            <v>39215.524568690103</v>
          </cell>
          <cell r="G154">
            <v>14545.65</v>
          </cell>
          <cell r="H154">
            <v>10920.855431309903</v>
          </cell>
          <cell r="I154">
            <v>3624.7945686900962</v>
          </cell>
          <cell r="J154">
            <v>24397.3</v>
          </cell>
          <cell r="K154">
            <v>11193.43</v>
          </cell>
          <cell r="L154">
            <v>568.6</v>
          </cell>
        </row>
        <row r="155">
          <cell r="C155" t="str">
            <v>техническая поддержка</v>
          </cell>
          <cell r="D155">
            <v>14205.970000000001</v>
          </cell>
          <cell r="E155">
            <v>14014.67</v>
          </cell>
          <cell r="F155">
            <v>11387.467603833866</v>
          </cell>
          <cell r="G155">
            <v>3499.21</v>
          </cell>
          <cell r="H155">
            <v>2627.2023961661343</v>
          </cell>
          <cell r="I155">
            <v>872.0076038338658</v>
          </cell>
          <cell r="J155">
            <v>7900.9599999999991</v>
          </cell>
          <cell r="K155">
            <v>2614.5</v>
          </cell>
          <cell r="L155">
            <v>191.29999999999998</v>
          </cell>
        </row>
        <row r="156">
          <cell r="C156" t="str">
            <v>прочие материалы</v>
          </cell>
          <cell r="D156">
            <v>17779.989999999983</v>
          </cell>
          <cell r="E156">
            <v>17540.039999999994</v>
          </cell>
          <cell r="F156">
            <v>15460.124824281127</v>
          </cell>
          <cell r="G156">
            <v>2770.2700000000086</v>
          </cell>
          <cell r="H156">
            <v>2079.9151757188502</v>
          </cell>
          <cell r="I156">
            <v>690.35482428115063</v>
          </cell>
          <cell r="J156">
            <v>9794.9999999999964</v>
          </cell>
          <cell r="K156">
            <v>4974.7700000000004</v>
          </cell>
          <cell r="L156">
            <v>239.95000000000013</v>
          </cell>
        </row>
        <row r="157">
          <cell r="C157" t="str">
            <v>Энергия на хозяйственные нужды</v>
          </cell>
          <cell r="D157">
            <v>18949.7</v>
          </cell>
          <cell r="E157">
            <v>18665.400000000001</v>
          </cell>
          <cell r="F157">
            <v>16255.110862619809</v>
          </cell>
          <cell r="G157">
            <v>3210.3</v>
          </cell>
          <cell r="H157">
            <v>2410.2891373801917</v>
          </cell>
          <cell r="I157">
            <v>800.01086261980834</v>
          </cell>
          <cell r="J157">
            <v>11012.83</v>
          </cell>
          <cell r="K157">
            <v>4442.2699999999995</v>
          </cell>
          <cell r="L157">
            <v>284.3</v>
          </cell>
          <cell r="N157">
            <v>18665.400000000001</v>
          </cell>
          <cell r="O157">
            <v>0</v>
          </cell>
        </row>
        <row r="158">
          <cell r="C158" t="str">
            <v>Оплата труда ППП (без соц. отчислений)</v>
          </cell>
          <cell r="D158">
            <v>3300691.42</v>
          </cell>
          <cell r="E158">
            <v>3244363.79</v>
          </cell>
          <cell r="F158">
            <v>2801868.3551757187</v>
          </cell>
          <cell r="G158">
            <v>589366.26</v>
          </cell>
          <cell r="H158">
            <v>442495.43482428114</v>
          </cell>
          <cell r="I158">
            <v>146870.82517571893</v>
          </cell>
          <cell r="J158">
            <v>1766842.3599999999</v>
          </cell>
          <cell r="K158">
            <v>888155.16999999993</v>
          </cell>
          <cell r="L158">
            <v>56327.63</v>
          </cell>
          <cell r="N158">
            <v>3244363.7900000005</v>
          </cell>
          <cell r="O158">
            <v>0</v>
          </cell>
        </row>
        <row r="159">
          <cell r="C159" t="str">
            <v>Отчисления на страховые взносы</v>
          </cell>
          <cell r="D159">
            <v>988142.01000000013</v>
          </cell>
          <cell r="E159">
            <v>971515.82999999984</v>
          </cell>
          <cell r="F159">
            <v>838320.68303514365</v>
          </cell>
          <cell r="G159">
            <v>177404.59999999998</v>
          </cell>
          <cell r="H159">
            <v>133195.14696485625</v>
          </cell>
          <cell r="I159">
            <v>44209.453035143772</v>
          </cell>
          <cell r="J159">
            <v>529869.74999999988</v>
          </cell>
          <cell r="K159">
            <v>264241.47999999992</v>
          </cell>
          <cell r="L159">
            <v>16626.18</v>
          </cell>
          <cell r="N159">
            <v>971515.82999999984</v>
          </cell>
          <cell r="O159">
            <v>0</v>
          </cell>
        </row>
        <row r="160">
          <cell r="C160" t="str">
            <v>Прочие расходы, всего, в том числе:</v>
          </cell>
          <cell r="D160">
            <v>3364934.1300000008</v>
          </cell>
          <cell r="E160">
            <v>3262933.2990718731</v>
          </cell>
          <cell r="F160">
            <v>3162675.2386115543</v>
          </cell>
          <cell r="G160">
            <v>454075.47306799347</v>
          </cell>
          <cell r="H160">
            <v>197408.3413884461</v>
          </cell>
          <cell r="I160">
            <v>256667.1316795474</v>
          </cell>
          <cell r="J160">
            <v>1692690.3821424346</v>
          </cell>
          <cell r="K160">
            <v>1116167.4438614456</v>
          </cell>
          <cell r="L160">
            <v>102000.83092812654</v>
          </cell>
          <cell r="N160">
            <v>3262933.2990718735</v>
          </cell>
          <cell r="O160">
            <v>0</v>
          </cell>
        </row>
        <row r="161">
          <cell r="C161" t="str">
            <v xml:space="preserve"> - работы и услуги производственного характера</v>
          </cell>
          <cell r="D161">
            <v>10902.97</v>
          </cell>
          <cell r="E161">
            <v>10655.02</v>
          </cell>
          <cell r="F161">
            <v>9326.5267092651757</v>
          </cell>
          <cell r="G161">
            <v>1769.44</v>
          </cell>
          <cell r="H161">
            <v>1328.4932907348243</v>
          </cell>
          <cell r="I161">
            <v>440.94670926517574</v>
          </cell>
          <cell r="J161">
            <v>4891.7999999999993</v>
          </cell>
          <cell r="K161">
            <v>3993.7799999999997</v>
          </cell>
          <cell r="L161">
            <v>247.95000000000002</v>
          </cell>
          <cell r="N161">
            <v>10655.02</v>
          </cell>
          <cell r="O161">
            <v>0</v>
          </cell>
        </row>
        <row r="162">
          <cell r="C162" t="str">
            <v xml:space="preserve"> - налоги и сборы, уменьшающие налогооблагаемую базу на прибыль организаций, всего</v>
          </cell>
          <cell r="D162">
            <v>48544.27</v>
          </cell>
          <cell r="E162">
            <v>47607.99</v>
          </cell>
          <cell r="F162">
            <v>42369.60725239617</v>
          </cell>
          <cell r="G162">
            <v>6977.08</v>
          </cell>
          <cell r="H162">
            <v>5238.3827476038341</v>
          </cell>
          <cell r="I162">
            <v>1738.6972523961667</v>
          </cell>
          <cell r="J162">
            <v>28490.49</v>
          </cell>
          <cell r="K162">
            <v>12140.42</v>
          </cell>
          <cell r="L162">
            <v>936.28</v>
          </cell>
          <cell r="N162">
            <v>47607.99</v>
          </cell>
          <cell r="O162">
            <v>0</v>
          </cell>
        </row>
        <row r="163">
          <cell r="C163" t="str">
            <v xml:space="preserve"> - работы и услуги непроизводственного характера, в.ч. :</v>
          </cell>
          <cell r="D163">
            <v>3305486.8900000006</v>
          </cell>
          <cell r="E163">
            <v>3204670.2890718733</v>
          </cell>
          <cell r="F163">
            <v>3110979.104649893</v>
          </cell>
          <cell r="G163">
            <v>445328.95306799345</v>
          </cell>
          <cell r="H163">
            <v>190841.46535010744</v>
          </cell>
          <cell r="I163">
            <v>254487.48771788605</v>
          </cell>
          <cell r="J163">
            <v>1659308.0921424346</v>
          </cell>
          <cell r="K163">
            <v>1100033.2438614457</v>
          </cell>
          <cell r="L163">
            <v>100816.60092812654</v>
          </cell>
          <cell r="N163">
            <v>3204670.2890718738</v>
          </cell>
          <cell r="O163">
            <v>0</v>
          </cell>
        </row>
        <row r="164">
          <cell r="C164" t="str">
            <v>услуги связи</v>
          </cell>
          <cell r="D164">
            <v>10300.810000000001</v>
          </cell>
          <cell r="E164">
            <v>10147.700000000001</v>
          </cell>
          <cell r="F164">
            <v>8935.1075079872207</v>
          </cell>
          <cell r="G164">
            <v>1615.07</v>
          </cell>
          <cell r="H164">
            <v>1212.5924920127795</v>
          </cell>
          <cell r="I164">
            <v>402.47750798722052</v>
          </cell>
          <cell r="J164">
            <v>5719.87</v>
          </cell>
          <cell r="K164">
            <v>2812.76</v>
          </cell>
          <cell r="L164">
            <v>153.10999999999999</v>
          </cell>
          <cell r="N164">
            <v>10147.699999999999</v>
          </cell>
          <cell r="O164">
            <v>0</v>
          </cell>
        </row>
        <row r="165">
          <cell r="C165" t="str">
            <v>расходы на охрану и пожарную безопасность</v>
          </cell>
          <cell r="D165">
            <v>17370.650000000001</v>
          </cell>
          <cell r="E165">
            <v>17107.560000000001</v>
          </cell>
          <cell r="F165">
            <v>15064.291309904154</v>
          </cell>
          <cell r="G165">
            <v>2721.46</v>
          </cell>
          <cell r="H165">
            <v>2043.268690095847</v>
          </cell>
          <cell r="I165">
            <v>678.19130990415317</v>
          </cell>
          <cell r="J165">
            <v>9663.0500000000011</v>
          </cell>
          <cell r="K165">
            <v>4723.05</v>
          </cell>
          <cell r="L165">
            <v>263.08999999999997</v>
          </cell>
          <cell r="N165">
            <v>17107.560000000001</v>
          </cell>
          <cell r="O165">
            <v>0</v>
          </cell>
        </row>
        <row r="166">
          <cell r="C166" t="str">
            <v>расходы на информационное обслуживание, консультационные и юридические услуги</v>
          </cell>
          <cell r="D166">
            <v>21997.410000000003</v>
          </cell>
          <cell r="E166">
            <v>21685.59</v>
          </cell>
          <cell r="F166">
            <v>19097.241437699678</v>
          </cell>
          <cell r="G166">
            <v>3447.46</v>
          </cell>
          <cell r="H166">
            <v>2588.3485623003198</v>
          </cell>
          <cell r="I166">
            <v>859.11143769968055</v>
          </cell>
          <cell r="J166">
            <v>12453.06</v>
          </cell>
          <cell r="K166">
            <v>5785.07</v>
          </cell>
          <cell r="L166">
            <v>311.82</v>
          </cell>
          <cell r="N166">
            <v>21685.59</v>
          </cell>
          <cell r="O166">
            <v>0</v>
          </cell>
        </row>
        <row r="167">
          <cell r="C167" t="str">
            <v>плата за аренду имущества</v>
          </cell>
          <cell r="D167">
            <v>617.76</v>
          </cell>
          <cell r="E167">
            <v>609.07999999999993</v>
          </cell>
          <cell r="F167">
            <v>537.33367412140581</v>
          </cell>
          <cell r="G167">
            <v>95.56</v>
          </cell>
          <cell r="H167">
            <v>71.746325878594263</v>
          </cell>
          <cell r="I167">
            <v>23.813674121405747</v>
          </cell>
          <cell r="J167">
            <v>327.91999999999996</v>
          </cell>
          <cell r="K167">
            <v>185.6</v>
          </cell>
          <cell r="L167">
            <v>8.68</v>
          </cell>
          <cell r="N167">
            <v>609.08000000000004</v>
          </cell>
          <cell r="O167">
            <v>0</v>
          </cell>
        </row>
        <row r="168">
          <cell r="C168" t="str">
            <v xml:space="preserve">другие прочие расходы, связанные с производством и реализацией </v>
          </cell>
          <cell r="D168">
            <v>3255200.2600000007</v>
          </cell>
          <cell r="E168">
            <v>3155120.3590718731</v>
          </cell>
          <cell r="F168">
            <v>3067345.1307201805</v>
          </cell>
          <cell r="G168">
            <v>437449.40306799347</v>
          </cell>
          <cell r="H168">
            <v>184925.5092798199</v>
          </cell>
          <cell r="I168">
            <v>252523.89378817359</v>
          </cell>
          <cell r="J168">
            <v>1631144.1921424347</v>
          </cell>
          <cell r="K168">
            <v>1086526.7638614457</v>
          </cell>
          <cell r="L168">
            <v>100079.90092812655</v>
          </cell>
          <cell r="N168">
            <v>3155120.3590718736</v>
          </cell>
          <cell r="O168">
            <v>0</v>
          </cell>
        </row>
        <row r="169">
          <cell r="C169" t="str">
            <v>Внереализационные расходы, всего</v>
          </cell>
          <cell r="D169">
            <v>2640814.6800000002</v>
          </cell>
          <cell r="E169">
            <v>2631012.660649925</v>
          </cell>
          <cell r="F169">
            <v>2476861.9271986829</v>
          </cell>
          <cell r="G169">
            <v>383017.85143647972</v>
          </cell>
          <cell r="H169">
            <v>154150.73345124198</v>
          </cell>
          <cell r="I169">
            <v>228867.11798523768</v>
          </cell>
          <cell r="J169">
            <v>1277211.6961631419</v>
          </cell>
          <cell r="K169">
            <v>970783.11305030319</v>
          </cell>
          <cell r="L169">
            <v>9802.0193500753558</v>
          </cell>
          <cell r="N169">
            <v>2529892.3083049958</v>
          </cell>
          <cell r="O169">
            <v>101120.35234492946</v>
          </cell>
        </row>
        <row r="170">
          <cell r="C170" t="str">
            <v xml:space="preserve"> - расходы на услуги банков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N170">
            <v>0</v>
          </cell>
          <cell r="O170">
            <v>0</v>
          </cell>
        </row>
        <row r="171">
          <cell r="C171" t="str">
            <v xml:space="preserve"> - % за пользование кредитом</v>
          </cell>
          <cell r="D171">
            <v>2345475.1700000004</v>
          </cell>
          <cell r="E171">
            <v>2345475.1700000004</v>
          </cell>
          <cell r="F171">
            <v>2208054.0457482212</v>
          </cell>
          <cell r="G171">
            <v>341449.84311443614</v>
          </cell>
          <cell r="H171">
            <v>137421.12425177882</v>
          </cell>
          <cell r="I171">
            <v>204028.71886265729</v>
          </cell>
          <cell r="J171">
            <v>1138598.9755914859</v>
          </cell>
          <cell r="K171">
            <v>865426.35129407828</v>
          </cell>
          <cell r="L171">
            <v>0</v>
          </cell>
          <cell r="N171">
            <v>2345475.1700000004</v>
          </cell>
          <cell r="O171">
            <v>0</v>
          </cell>
        </row>
        <row r="172">
          <cell r="C172" t="str">
            <v xml:space="preserve"> - прочие обоснованные расходы*</v>
          </cell>
          <cell r="D172">
            <v>256101.05900000001</v>
          </cell>
          <cell r="E172">
            <v>247601.3241155858</v>
          </cell>
          <cell r="F172">
            <v>233094.39061170525</v>
          </cell>
          <cell r="G172">
            <v>36045.332884164964</v>
          </cell>
          <cell r="H172">
            <v>14506.933503880526</v>
          </cell>
          <cell r="I172">
            <v>21538.399380284438</v>
          </cell>
          <cell r="J172">
            <v>120196.8017393684</v>
          </cell>
          <cell r="K172">
            <v>91359.189492052436</v>
          </cell>
          <cell r="L172">
            <v>8499.7348844141798</v>
          </cell>
          <cell r="N172">
            <v>184417.13830499517</v>
          </cell>
          <cell r="O172">
            <v>101120.35234492946</v>
          </cell>
        </row>
        <row r="173">
          <cell r="C173" t="str">
            <v xml:space="preserve"> - денежные выплаты социального характера (по Коллективному договору)</v>
          </cell>
          <cell r="D173">
            <v>39238.451000000001</v>
          </cell>
          <cell r="E173">
            <v>37936.166534338823</v>
          </cell>
          <cell r="F173">
            <v>35713.490838756188</v>
          </cell>
          <cell r="G173">
            <v>5522.6754378785899</v>
          </cell>
          <cell r="H173">
            <v>2222.6756955826349</v>
          </cell>
          <cell r="I173">
            <v>3299.9997422959555</v>
          </cell>
          <cell r="J173">
            <v>18415.918832287698</v>
          </cell>
          <cell r="K173">
            <v>13997.572264172535</v>
          </cell>
          <cell r="L173">
            <v>1302.2844656611765</v>
          </cell>
          <cell r="N173">
            <v>0</v>
          </cell>
          <cell r="O173">
            <v>0</v>
          </cell>
        </row>
        <row r="174">
          <cell r="D174">
            <v>5567998.9000000004</v>
          </cell>
        </row>
        <row r="175">
          <cell r="C175" t="str">
            <v xml:space="preserve">Наименование </v>
          </cell>
          <cell r="E175" t="str">
            <v>Факт без индивидуальных проектов</v>
          </cell>
          <cell r="F175" t="str">
            <v>Факт без индивидуальных и льготников</v>
          </cell>
          <cell r="G175" t="str">
            <v>до 15 кВт включительно</v>
          </cell>
          <cell r="H175" t="str">
            <v>в том числе:</v>
          </cell>
          <cell r="J175" t="str">
            <v>свыше 15 кВт и до 150 кВт включительно</v>
          </cell>
          <cell r="K175" t="str">
            <v>свыше 150 кВт и менее 670 кВт</v>
          </cell>
          <cell r="L175" t="str">
            <v>не менее 670 кВт (инд проект)</v>
          </cell>
        </row>
        <row r="176">
          <cell r="H176" t="str">
            <v>льготники</v>
          </cell>
          <cell r="I176" t="str">
            <v>нельготники</v>
          </cell>
        </row>
        <row r="177">
          <cell r="C177">
            <v>2</v>
          </cell>
        </row>
        <row r="178">
          <cell r="D178">
            <v>3255200.2600000007</v>
          </cell>
          <cell r="E178">
            <v>3155120.3590718731</v>
          </cell>
          <cell r="F178">
            <v>3067345.1307201805</v>
          </cell>
          <cell r="G178">
            <v>437449.40306799347</v>
          </cell>
          <cell r="H178">
            <v>184925.5092798199</v>
          </cell>
          <cell r="I178">
            <v>252523.89378817359</v>
          </cell>
          <cell r="J178">
            <v>1631144.1921424347</v>
          </cell>
          <cell r="K178">
            <v>1086526.7638614457</v>
          </cell>
          <cell r="L178">
            <v>100079.90092812655</v>
          </cell>
          <cell r="N178">
            <v>3155120.3590718736</v>
          </cell>
          <cell r="O178">
            <v>0</v>
          </cell>
        </row>
        <row r="179">
          <cell r="C179" t="str">
            <v>Затраты по исполнительному аппарату ПАО "МРСК Юга"</v>
          </cell>
          <cell r="D179">
            <v>2927184.22</v>
          </cell>
          <cell r="E179">
            <v>2830033.9390718732</v>
          </cell>
          <cell r="F179">
            <v>2761372.8524134709</v>
          </cell>
          <cell r="G179">
            <v>411990.99306799343</v>
          </cell>
          <cell r="H179">
            <v>165811.36758652914</v>
          </cell>
          <cell r="I179">
            <v>246179.62548146429</v>
          </cell>
          <cell r="J179">
            <v>1373825.5621424345</v>
          </cell>
          <cell r="K179">
            <v>1044217.3838614454</v>
          </cell>
          <cell r="L179">
            <v>97150.280928126551</v>
          </cell>
          <cell r="N179">
            <v>2830033.9390718737</v>
          </cell>
          <cell r="O179">
            <v>0</v>
          </cell>
        </row>
        <row r="180">
          <cell r="C180" t="str">
            <v>Амортизация прочих ОС</v>
          </cell>
          <cell r="D180">
            <v>24686.91</v>
          </cell>
          <cell r="E180">
            <v>24390.7</v>
          </cell>
          <cell r="F180">
            <v>19430.345527156551</v>
          </cell>
          <cell r="G180">
            <v>6606.77</v>
          </cell>
          <cell r="H180">
            <v>4960.3544728434508</v>
          </cell>
          <cell r="I180">
            <v>1646.4155271565494</v>
          </cell>
          <cell r="J180">
            <v>12175.59</v>
          </cell>
          <cell r="K180">
            <v>5608.34</v>
          </cell>
          <cell r="L180">
            <v>296.20999999999998</v>
          </cell>
          <cell r="N180">
            <v>24390.7</v>
          </cell>
          <cell r="O180">
            <v>0</v>
          </cell>
        </row>
        <row r="181">
          <cell r="C181" t="str">
            <v>Страхование</v>
          </cell>
          <cell r="D181">
            <v>19005.900000000001</v>
          </cell>
          <cell r="E181">
            <v>18741.719999999998</v>
          </cell>
          <cell r="F181">
            <v>16247.228785942494</v>
          </cell>
          <cell r="G181">
            <v>3322.4500000000003</v>
          </cell>
          <cell r="H181">
            <v>2494.4912140575079</v>
          </cell>
          <cell r="I181">
            <v>827.958785942492</v>
          </cell>
          <cell r="J181">
            <v>10490.319999999998</v>
          </cell>
          <cell r="K181">
            <v>4928.95</v>
          </cell>
          <cell r="L181">
            <v>264.18</v>
          </cell>
          <cell r="N181">
            <v>18741.72</v>
          </cell>
          <cell r="O181">
            <v>0</v>
          </cell>
        </row>
        <row r="182">
          <cell r="C182" t="str">
            <v xml:space="preserve">Затраты на охрану труда - мероприятия по предупреждению заболеваний на производстве </v>
          </cell>
          <cell r="D182">
            <v>1827.16</v>
          </cell>
          <cell r="E182">
            <v>1756.9</v>
          </cell>
          <cell r="F182">
            <v>1543.132587859425</v>
          </cell>
          <cell r="G182">
            <v>284.72000000000003</v>
          </cell>
          <cell r="H182">
            <v>213.76741214057509</v>
          </cell>
          <cell r="I182">
            <v>70.952587859424938</v>
          </cell>
          <cell r="J182">
            <v>762.07</v>
          </cell>
          <cell r="K182">
            <v>710.11</v>
          </cell>
          <cell r="L182">
            <v>70.260000000000005</v>
          </cell>
          <cell r="N182">
            <v>1756.9</v>
          </cell>
          <cell r="O182">
            <v>0</v>
          </cell>
        </row>
        <row r="183">
          <cell r="C183" t="str">
            <v>Затраты на экологию (кроме налогов и сборов)</v>
          </cell>
          <cell r="D183">
            <v>1168.8899999999999</v>
          </cell>
          <cell r="E183">
            <v>1129.8699999999999</v>
          </cell>
          <cell r="F183">
            <v>1016.2140894568688</v>
          </cell>
          <cell r="G183">
            <v>151.38</v>
          </cell>
          <cell r="H183">
            <v>113.65591054313099</v>
          </cell>
          <cell r="I183">
            <v>37.724089456869009</v>
          </cell>
          <cell r="J183">
            <v>570.88</v>
          </cell>
          <cell r="K183">
            <v>407.61</v>
          </cell>
          <cell r="L183">
            <v>39.020000000000003</v>
          </cell>
          <cell r="N183">
            <v>1129.8699999999999</v>
          </cell>
          <cell r="O183">
            <v>0</v>
          </cell>
        </row>
        <row r="184">
          <cell r="C184" t="str">
            <v>Канцелярские расходы</v>
          </cell>
          <cell r="D184">
            <v>6363.4100000000008</v>
          </cell>
          <cell r="E184">
            <v>6316.1900000000005</v>
          </cell>
          <cell r="F184">
            <v>5643.3316932907355</v>
          </cell>
          <cell r="G184">
            <v>896.19</v>
          </cell>
          <cell r="H184">
            <v>672.85830670926521</v>
          </cell>
          <cell r="I184">
            <v>223.33169329073485</v>
          </cell>
          <cell r="J184">
            <v>3945.16</v>
          </cell>
          <cell r="K184">
            <v>1474.84</v>
          </cell>
          <cell r="L184">
            <v>47.22</v>
          </cell>
          <cell r="N184">
            <v>6316.1900000000005</v>
          </cell>
          <cell r="O184">
            <v>0</v>
          </cell>
        </row>
        <row r="185">
          <cell r="C185" t="str">
            <v>Командировочные расходы</v>
          </cell>
          <cell r="D185">
            <v>9227.7199999999993</v>
          </cell>
          <cell r="E185">
            <v>9084.380000000001</v>
          </cell>
          <cell r="F185">
            <v>7909.3349520766787</v>
          </cell>
          <cell r="G185">
            <v>1565.06</v>
          </cell>
          <cell r="H185">
            <v>1175.0450479233227</v>
          </cell>
          <cell r="I185">
            <v>390.01495207667733</v>
          </cell>
          <cell r="J185">
            <v>5215.2699999999995</v>
          </cell>
          <cell r="K185">
            <v>2304.0500000000002</v>
          </cell>
          <cell r="L185">
            <v>143.33999999999997</v>
          </cell>
          <cell r="N185">
            <v>9084.380000000001</v>
          </cell>
          <cell r="O185">
            <v>0</v>
          </cell>
        </row>
        <row r="186">
          <cell r="C186" t="str">
            <v>Оплата дней нетрудоспособности</v>
          </cell>
          <cell r="D186">
            <v>18221.13</v>
          </cell>
          <cell r="E186">
            <v>18044.11</v>
          </cell>
          <cell r="F186">
            <v>15715.395143769969</v>
          </cell>
          <cell r="G186">
            <v>3101.65</v>
          </cell>
          <cell r="H186">
            <v>2328.7148562300322</v>
          </cell>
          <cell r="I186">
            <v>772.93514376996791</v>
          </cell>
          <cell r="J186">
            <v>10977.9</v>
          </cell>
          <cell r="K186">
            <v>3964.56</v>
          </cell>
          <cell r="L186">
            <v>177.02</v>
          </cell>
          <cell r="N186">
            <v>18044.11</v>
          </cell>
          <cell r="O186">
            <v>0</v>
          </cell>
        </row>
        <row r="187">
          <cell r="C187" t="str">
            <v>Повышение квалификации</v>
          </cell>
          <cell r="D187">
            <v>9517.81</v>
          </cell>
          <cell r="E187">
            <v>9366.75</v>
          </cell>
          <cell r="F187">
            <v>8319.1380191693297</v>
          </cell>
          <cell r="G187">
            <v>1395.33</v>
          </cell>
          <cell r="H187">
            <v>1047.611980830671</v>
          </cell>
          <cell r="I187">
            <v>347.71801916932901</v>
          </cell>
          <cell r="J187">
            <v>5182.01</v>
          </cell>
          <cell r="K187">
            <v>2789.41</v>
          </cell>
          <cell r="L187">
            <v>151.06</v>
          </cell>
          <cell r="N187">
            <v>9366.75</v>
          </cell>
          <cell r="O187">
            <v>0</v>
          </cell>
        </row>
        <row r="188">
          <cell r="C188" t="str">
            <v>Расходы по управлению собственностью - межевание земельных участков</v>
          </cell>
          <cell r="D188">
            <v>41645.67</v>
          </cell>
          <cell r="E188">
            <v>40241.279999999999</v>
          </cell>
          <cell r="F188">
            <v>35954.121693290734</v>
          </cell>
          <cell r="G188">
            <v>5710.130000000001</v>
          </cell>
          <cell r="H188">
            <v>4287.1583067092652</v>
          </cell>
          <cell r="I188">
            <v>1422.9716932907347</v>
          </cell>
          <cell r="J188">
            <v>19172</v>
          </cell>
          <cell r="K188">
            <v>15359.15</v>
          </cell>
          <cell r="L188">
            <v>1404.3899999999999</v>
          </cell>
          <cell r="N188">
            <v>40241.279999999999</v>
          </cell>
          <cell r="O188">
            <v>0</v>
          </cell>
        </row>
        <row r="189">
          <cell r="C189" t="str">
            <v xml:space="preserve">Услуги PR, СМИ, рекламы </v>
          </cell>
          <cell r="D189">
            <v>553.39</v>
          </cell>
          <cell r="E189">
            <v>547.78</v>
          </cell>
          <cell r="F189">
            <v>482.52808306709261</v>
          </cell>
          <cell r="G189">
            <v>86.91</v>
          </cell>
          <cell r="H189">
            <v>65.251916932907349</v>
          </cell>
          <cell r="I189">
            <v>21.658083067092647</v>
          </cell>
          <cell r="J189">
            <v>323.77999999999997</v>
          </cell>
          <cell r="K189">
            <v>137.09</v>
          </cell>
          <cell r="L189">
            <v>5.61</v>
          </cell>
          <cell r="N189">
            <v>547.78</v>
          </cell>
          <cell r="O189">
            <v>0</v>
          </cell>
        </row>
        <row r="190">
          <cell r="C190" t="str">
            <v>Услуги коммунального хозяйства</v>
          </cell>
          <cell r="D190">
            <v>3133.98</v>
          </cell>
          <cell r="E190">
            <v>3078.6899999999996</v>
          </cell>
          <cell r="F190">
            <v>2686.8256230031948</v>
          </cell>
          <cell r="G190">
            <v>521.93000000000006</v>
          </cell>
          <cell r="H190">
            <v>391.86437699680511</v>
          </cell>
          <cell r="I190">
            <v>130.0656230031949</v>
          </cell>
          <cell r="J190">
            <v>1833.1</v>
          </cell>
          <cell r="K190">
            <v>723.66</v>
          </cell>
          <cell r="L190">
            <v>55.290000000000006</v>
          </cell>
          <cell r="N190">
            <v>3078.69</v>
          </cell>
          <cell r="O190">
            <v>0</v>
          </cell>
        </row>
        <row r="191">
          <cell r="C191" t="str">
            <v>Услуги по организации функционирования и развитию ЕЭС России</v>
          </cell>
          <cell r="D191">
            <v>180633.12</v>
          </cell>
          <cell r="E191">
            <v>180633.12</v>
          </cell>
          <cell r="F191">
            <v>180633.12</v>
          </cell>
          <cell r="G191">
            <v>0</v>
          </cell>
          <cell r="H191">
            <v>0</v>
          </cell>
          <cell r="I191">
            <v>0</v>
          </cell>
          <cell r="J191">
            <v>180633.12</v>
          </cell>
          <cell r="K191">
            <v>0</v>
          </cell>
          <cell r="L191">
            <v>0</v>
          </cell>
          <cell r="N191">
            <v>180633.12</v>
          </cell>
          <cell r="O191">
            <v>0</v>
          </cell>
        </row>
        <row r="192">
          <cell r="C192" t="str">
            <v>Услуги по аккредитации (аттестации) и экспертизе в области метрологического обеспечения и качества э/э</v>
          </cell>
          <cell r="D192">
            <v>2378.3399999999997</v>
          </cell>
          <cell r="E192">
            <v>2286.06</v>
          </cell>
          <cell r="F192">
            <v>2049.0478594249198</v>
          </cell>
          <cell r="G192">
            <v>315.68</v>
          </cell>
          <cell r="H192">
            <v>237.01214057507985</v>
          </cell>
          <cell r="I192">
            <v>78.667859424920138</v>
          </cell>
          <cell r="J192">
            <v>1029.04</v>
          </cell>
          <cell r="K192">
            <v>941.33999999999992</v>
          </cell>
          <cell r="L192">
            <v>92.28</v>
          </cell>
          <cell r="N192">
            <v>2286.0599999999995</v>
          </cell>
          <cell r="O192">
            <v>0</v>
          </cell>
        </row>
        <row r="193">
          <cell r="C193" t="str">
            <v>прочие</v>
          </cell>
          <cell r="D193">
            <v>9652.6099999999988</v>
          </cell>
          <cell r="E193">
            <v>9468.8700000000008</v>
          </cell>
          <cell r="F193">
            <v>8342.5142492012783</v>
          </cell>
          <cell r="G193">
            <v>1500.2099999999998</v>
          </cell>
          <cell r="H193">
            <v>1126.3557507987218</v>
          </cell>
          <cell r="I193">
            <v>373.85424920127804</v>
          </cell>
          <cell r="J193">
            <v>5008.3900000000012</v>
          </cell>
          <cell r="K193">
            <v>2960.27</v>
          </cell>
          <cell r="L193">
            <v>183.73999999999998</v>
          </cell>
          <cell r="N193">
            <v>9468.8700000000008</v>
          </cell>
          <cell r="O193">
            <v>0</v>
          </cell>
        </row>
        <row r="194">
          <cell r="D194">
            <v>295339.51</v>
          </cell>
          <cell r="E194">
            <v>285537.49064992461</v>
          </cell>
          <cell r="F194">
            <v>268807.88145046146</v>
          </cell>
          <cell r="G194">
            <v>41568.008322043555</v>
          </cell>
          <cell r="H194">
            <v>16729.609199463161</v>
          </cell>
          <cell r="I194">
            <v>24838.399122580395</v>
          </cell>
          <cell r="J194">
            <v>138612.7205716561</v>
          </cell>
          <cell r="K194">
            <v>105356.76175622497</v>
          </cell>
          <cell r="L194">
            <v>9802.0193500753558</v>
          </cell>
          <cell r="N194">
            <v>184417.13830499517</v>
          </cell>
          <cell r="O194">
            <v>101120.35234492946</v>
          </cell>
        </row>
        <row r="195">
          <cell r="C195" t="str">
            <v>прочие обоснованные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</row>
        <row r="196">
          <cell r="C196" t="str">
            <v xml:space="preserve">Прочие расходы РСК </v>
          </cell>
          <cell r="D196">
            <v>206599.81</v>
          </cell>
          <cell r="E196">
            <v>199742.97145732789</v>
          </cell>
          <cell r="F196">
            <v>188040.0534089322</v>
          </cell>
          <cell r="G196">
            <v>29078.204339854892</v>
          </cell>
          <cell r="H196">
            <v>11702.918048395697</v>
          </cell>
          <cell r="I196">
            <v>17375.286291459197</v>
          </cell>
          <cell r="J196">
            <v>96964.208187679469</v>
          </cell>
          <cell r="K196">
            <v>73700.558929793522</v>
          </cell>
          <cell r="L196">
            <v>6856.8385426720997</v>
          </cell>
          <cell r="N196">
            <v>0</v>
          </cell>
          <cell r="O196">
            <v>199742.97145732789</v>
          </cell>
        </row>
        <row r="197">
          <cell r="C197" t="str">
            <v>Прочие расходы ИА</v>
          </cell>
          <cell r="D197">
            <v>88739.7</v>
          </cell>
          <cell r="E197">
            <v>85794.519192596737</v>
          </cell>
          <cell r="F197">
            <v>80767.828041529268</v>
          </cell>
          <cell r="G197">
            <v>12489.803982188663</v>
          </cell>
          <cell r="H197">
            <v>5026.6911510674645</v>
          </cell>
          <cell r="I197">
            <v>7463.1128311211987</v>
          </cell>
          <cell r="J197">
            <v>41648.512383976638</v>
          </cell>
          <cell r="K197">
            <v>31656.202826431436</v>
          </cell>
          <cell r="L197">
            <v>2945.1808074032565</v>
          </cell>
          <cell r="N197">
            <v>184417.13830499517</v>
          </cell>
          <cell r="O197">
            <v>-98622.619112398432</v>
          </cell>
        </row>
        <row r="198">
          <cell r="C198" t="str">
            <v>Прочие доходы ИА и РСК</v>
          </cell>
        </row>
        <row r="200">
          <cell r="C200" t="str">
            <v>в т.ч. денежные выплаты социального характера (по Коллективному договору)</v>
          </cell>
          <cell r="D200">
            <v>39238.451000000001</v>
          </cell>
          <cell r="L200" t="e">
            <v>#REF!</v>
          </cell>
        </row>
        <row r="201">
          <cell r="C201" t="str">
            <v xml:space="preserve"> - </v>
          </cell>
        </row>
        <row r="202">
          <cell r="D202">
            <v>97986.42</v>
          </cell>
        </row>
        <row r="209">
          <cell r="E209">
            <v>9802.0193500753958</v>
          </cell>
        </row>
        <row r="210">
          <cell r="E210">
            <v>4.0017766878008842E-11</v>
          </cell>
        </row>
        <row r="211">
          <cell r="E211">
            <v>199742.97145732789</v>
          </cell>
        </row>
        <row r="212">
          <cell r="E212">
            <v>85794.519192596737</v>
          </cell>
        </row>
        <row r="213">
          <cell r="E213">
            <v>-199742.97145732789</v>
          </cell>
        </row>
      </sheetData>
      <sheetData sheetId="55" refreshError="1">
        <row r="10">
          <cell r="C10" t="str">
            <v>Амортизация НМА</v>
          </cell>
        </row>
        <row r="11">
          <cell r="C11" t="str">
            <v>Амортизация прочих ОС</v>
          </cell>
        </row>
        <row r="183">
          <cell r="D183">
            <v>7342245.9518100005</v>
          </cell>
          <cell r="J183">
            <v>1515030.9320351193</v>
          </cell>
          <cell r="L183">
            <v>0</v>
          </cell>
        </row>
        <row r="199">
          <cell r="I199">
            <v>114431.0549528384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3"/>
      <sheetName val="Реестр 2016_ТП"/>
      <sheetName val="Реестр 2016 ИП (освоение)"/>
      <sheetName val="ИПР 2016г"/>
      <sheetName val="ТП2016г"/>
      <sheetName val="Затраты 2016"/>
      <sheetName val="Реестр 2015 ТП"/>
      <sheetName val="Реестр 2015 ИП"/>
      <sheetName val="УО 2016"/>
      <sheetName val="СС 2016"/>
      <sheetName val="Об.сч.20 2016"/>
      <sheetName val="Об.сч.62 2016"/>
      <sheetName val="Стр.2016"/>
      <sheetName val="Реестр 2016 ИП (ввод)"/>
    </sheetNames>
    <sheetDataSet>
      <sheetData sheetId="0">
        <row r="23">
          <cell r="D23">
            <v>6498.1</v>
          </cell>
        </row>
      </sheetData>
      <sheetData sheetId="1">
        <row r="427">
          <cell r="L427">
            <v>1544.2099400000066</v>
          </cell>
        </row>
        <row r="430">
          <cell r="L430">
            <v>89.491209999999725</v>
          </cell>
        </row>
        <row r="433">
          <cell r="L433">
            <v>1454.7187299999998</v>
          </cell>
        </row>
        <row r="439">
          <cell r="L439">
            <v>128.07918999999998</v>
          </cell>
        </row>
        <row r="442">
          <cell r="L442">
            <v>6.3979200000000001</v>
          </cell>
        </row>
        <row r="445">
          <cell r="L44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3.1"/>
      <sheetName val="3.1.1 -реестр исполненных"/>
      <sheetName val="3.1.1-реестр исполн.(0)"/>
      <sheetName val="3.1.2 - реестр инв.сост."/>
      <sheetName val="3.1.2 - реестр инв.сост.0"/>
      <sheetName val="3.2"/>
      <sheetName val="3.3"/>
      <sheetName val="3.3.1 - реестр 2016г"/>
      <sheetName val="3.3.1 - реестр 2016г0"/>
      <sheetName val="3.2.2 - реестр до 150 не льгот"/>
      <sheetName val="3.2.2-реестр до 150 (0)"/>
      <sheetName val="Затраты 2016"/>
      <sheetName val="Стр.2016"/>
      <sheetName val="Огнеборцы"/>
      <sheetName val="стр.2015"/>
      <sheetName val="стр.2014"/>
    </sheetNames>
    <sheetDataSet>
      <sheetData sheetId="0" refreshError="1"/>
      <sheetData sheetId="1">
        <row r="15">
          <cell r="F15">
            <v>9267.2584399999978</v>
          </cell>
        </row>
        <row r="34">
          <cell r="F34">
            <v>89.025423728813564</v>
          </cell>
        </row>
        <row r="37">
          <cell r="F37">
            <v>10807.548712866141</v>
          </cell>
          <cell r="I37">
            <v>10443.26095424201</v>
          </cell>
        </row>
      </sheetData>
      <sheetData sheetId="2">
        <row r="6">
          <cell r="E6">
            <v>191</v>
          </cell>
          <cell r="G6">
            <v>1244.6130000000003</v>
          </cell>
        </row>
        <row r="7">
          <cell r="G7">
            <v>1058.4930000000002</v>
          </cell>
        </row>
        <row r="8">
          <cell r="G8">
            <v>186.12</v>
          </cell>
        </row>
        <row r="196">
          <cell r="G196">
            <v>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G6">
            <v>593.2639999999999</v>
          </cell>
        </row>
        <row r="7">
          <cell r="G7">
            <v>388.2639999999999</v>
          </cell>
        </row>
        <row r="8">
          <cell r="G8">
            <v>205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4 (пр-во)"/>
      <sheetName val="Прил. 5 (НВВ)"/>
      <sheetName val="Прил. 5 (НВВ) без льг.и инд.пр."/>
      <sheetName val="Прил. 6 (кальк) (2)"/>
      <sheetName val="Прил. 6 (кальк)"/>
      <sheetName val="Прил. 6 (кальк) без льгот"/>
      <sheetName val="Прил. 7 "/>
      <sheetName val="Табл. 7.1"/>
      <sheetName val="Табл. 7.2"/>
      <sheetName val="Табл. 7.3 Подг ТУ"/>
      <sheetName val="Табл. 7.4 разраб. ПСД"/>
      <sheetName val="Табл. 7.5 Проверка вып.ТУ"/>
      <sheetName val="Табл. 7.6 Ростехнадз."/>
      <sheetName val="Табл. 7.7 факт присоед"/>
      <sheetName val="Табл. 7.8 прям"/>
      <sheetName val="Табл. 7.9 косв"/>
      <sheetName val="Прил. 8 инвест за 3 года "/>
      <sheetName val="Прил. 9 СТС"/>
      <sheetName val="Расч. Удельных прил.9.1."/>
      <sheetName val="для ПЗ"/>
      <sheetName val="Тариф. ставки"/>
      <sheetName val="Ст-ть маш. час"/>
      <sheetName val="Стр.14"/>
      <sheetName val="Стр.15"/>
      <sheetName val="Стр.16"/>
      <sheetName val="Прил. 9 СТС (2)"/>
      <sheetName val="Затраты 2016"/>
      <sheetName val="СС 2016"/>
      <sheetName val="Об.сч.20 2016"/>
      <sheetName val="Об.сч.62 2016"/>
      <sheetName val="УО 2016"/>
      <sheetName val="Затраты 2015"/>
      <sheetName val="СС 2015"/>
      <sheetName val="УО 6 мес.2016"/>
      <sheetName val="СС 2016 (1-е полуг.)"/>
      <sheetName val="Об.сч.62 1-е полуг.2016"/>
      <sheetName val="СС 6мес.2017"/>
      <sheetName val="Об.сч.20 6мес.2017"/>
      <sheetName val="Об.сч.62 6мес.2017"/>
      <sheetName val="УО 6мес.2017"/>
    </sheetNames>
    <sheetDataSet>
      <sheetData sheetId="0">
        <row r="19">
          <cell r="H19">
            <v>163</v>
          </cell>
        </row>
      </sheetData>
      <sheetData sheetId="1">
        <row r="24">
          <cell r="I24">
            <v>162.83834415191205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4">
          <cell r="L24">
            <v>0</v>
          </cell>
        </row>
      </sheetData>
      <sheetData sheetId="27" refreshError="1"/>
      <sheetData sheetId="28" refreshError="1"/>
      <sheetData sheetId="29">
        <row r="3">
          <cell r="Q3">
            <v>1822168.1200000006</v>
          </cell>
        </row>
      </sheetData>
      <sheetData sheetId="30">
        <row r="56">
          <cell r="F56">
            <v>15.77765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 1"/>
      <sheetName val="калькул 2"/>
      <sheetName val="калькул 3"/>
      <sheetName val="калькул4"/>
      <sheetName val="Тарифные ставки"/>
      <sheetName val="прямые"/>
      <sheetName val="стоим маш-час"/>
      <sheetName val="косвен"/>
      <sheetName val="свод калкул"/>
      <sheetName val="НВВ орг м-я"/>
      <sheetName val="НВВ"/>
      <sheetName val="НВВ (150)"/>
      <sheetName val="План V2015"/>
      <sheetName val="План V (КЭ)"/>
      <sheetName val="Приложение 6 (кальк) "/>
      <sheetName val="Приложение 6 (кальк)  (2)"/>
      <sheetName val="Приложение 6 (кальк)  (150)"/>
      <sheetName val="Приложение 8 СТС"/>
      <sheetName val="Лист4"/>
      <sheetName val="факт V 3-летка"/>
      <sheetName val="Приложение 8 СТС (2)"/>
      <sheetName val="строит 2013 (2)"/>
      <sheetName val="факт V 3-летка (2)"/>
      <sheetName val="факт V 3-летка (3)"/>
      <sheetName val="ВД население"/>
      <sheetName val="Выпад"/>
      <sheetName val="ВД рассрочка"/>
      <sheetName val="Лист3"/>
      <sheetName val="реестр присоед З"/>
      <sheetName val="Приложение 7 "/>
      <sheetName val="Искл_Таблица 7.7 Разработка ПСД"/>
      <sheetName val="Искл_Приложение 8 инвест.сост."/>
      <sheetName val="удел стоим"/>
      <sheetName val="ожид  НВВ 2012"/>
      <sheetName val="OPEX"/>
      <sheetName val="косвенные 2012"/>
      <sheetName val="косвенные 2013"/>
      <sheetName val="НВВ до 15 кВ"/>
      <sheetName val="Лист1"/>
      <sheetName val="Лист2"/>
      <sheetName val="НВВ без до 15 кВ"/>
      <sheetName val="С2 НВВ"/>
    </sheetNames>
    <sheetDataSet>
      <sheetData sheetId="0">
        <row r="70">
          <cell r="M70">
            <v>724.34046704577474</v>
          </cell>
          <cell r="N70">
            <v>2385.0651014210339</v>
          </cell>
          <cell r="O70">
            <v>2816.6012929115554</v>
          </cell>
          <cell r="P70">
            <v>2816.6012929115554</v>
          </cell>
          <cell r="Q70">
            <v>2816.6012929115554</v>
          </cell>
          <cell r="R70">
            <v>18314.58763165343</v>
          </cell>
          <cell r="S70">
            <v>18314.58763165343</v>
          </cell>
        </row>
        <row r="73">
          <cell r="M73">
            <v>76.906469502645493</v>
          </cell>
          <cell r="N73">
            <v>76.906469502645507</v>
          </cell>
          <cell r="O73">
            <v>76.906469502645493</v>
          </cell>
          <cell r="P73">
            <v>76.906469502645493</v>
          </cell>
          <cell r="Q73">
            <v>76.906469502645493</v>
          </cell>
          <cell r="R73">
            <v>57.679852126984123</v>
          </cell>
          <cell r="S73">
            <v>57.679852126984123</v>
          </cell>
        </row>
      </sheetData>
      <sheetData sheetId="1">
        <row r="50">
          <cell r="M50">
            <v>823.98438071009866</v>
          </cell>
          <cell r="N50">
            <v>2329.2354696484545</v>
          </cell>
          <cell r="O50">
            <v>2581.8845185022597</v>
          </cell>
          <cell r="P50">
            <v>2717.0662796993238</v>
          </cell>
          <cell r="Q50">
            <v>2919.1855187823676</v>
          </cell>
          <cell r="R50">
            <v>12797.618128363347</v>
          </cell>
          <cell r="S50">
            <v>12797.618128363347</v>
          </cell>
        </row>
        <row r="53">
          <cell r="M53">
            <v>76.906469502645493</v>
          </cell>
          <cell r="N53">
            <v>76.906469502645507</v>
          </cell>
          <cell r="O53">
            <v>76.906469502645493</v>
          </cell>
          <cell r="P53">
            <v>76.906469502645493</v>
          </cell>
          <cell r="Q53">
            <v>76.906469502645493</v>
          </cell>
          <cell r="R53">
            <v>57.679852126984123</v>
          </cell>
          <cell r="S53">
            <v>57.679852126984123</v>
          </cell>
        </row>
      </sheetData>
      <sheetData sheetId="2">
        <row r="18">
          <cell r="J18">
            <v>0</v>
          </cell>
          <cell r="L18">
            <v>2466.9582413943358</v>
          </cell>
          <cell r="M18">
            <v>2466.9582413943358</v>
          </cell>
        </row>
        <row r="21">
          <cell r="J21">
            <v>0</v>
          </cell>
          <cell r="L21">
            <v>57.679852126984123</v>
          </cell>
          <cell r="M21">
            <v>57.679852126984123</v>
          </cell>
        </row>
      </sheetData>
      <sheetData sheetId="3">
        <row r="40">
          <cell r="M40">
            <v>2099.716876819024</v>
          </cell>
          <cell r="N40">
            <v>3898.4619441758828</v>
          </cell>
          <cell r="O40">
            <v>3898.4619441758828</v>
          </cell>
          <cell r="P40">
            <v>4700.3322730811342</v>
          </cell>
          <cell r="Q40">
            <v>5172.9602351610974</v>
          </cell>
          <cell r="R40">
            <v>8307.4056475789621</v>
          </cell>
          <cell r="S40">
            <v>8307.4056475789621</v>
          </cell>
        </row>
        <row r="43">
          <cell r="N43">
            <v>76.906469502645507</v>
          </cell>
          <cell r="O43">
            <v>76.906469502645493</v>
          </cell>
          <cell r="P43">
            <v>76.906469502645493</v>
          </cell>
          <cell r="Q43">
            <v>76.906469502645493</v>
          </cell>
          <cell r="R43">
            <v>57.679852126984123</v>
          </cell>
          <cell r="S43">
            <v>57.679852126984123</v>
          </cell>
        </row>
      </sheetData>
      <sheetData sheetId="4"/>
      <sheetData sheetId="5">
        <row r="11">
          <cell r="E11">
            <v>118.01462790697674</v>
          </cell>
          <cell r="F11">
            <v>118.01462790697674</v>
          </cell>
          <cell r="G11">
            <v>118.01462790697674</v>
          </cell>
          <cell r="H11">
            <v>118.01462790697674</v>
          </cell>
          <cell r="I11">
            <v>118.01462790697674</v>
          </cell>
          <cell r="J11">
            <v>118.01462790697674</v>
          </cell>
          <cell r="K11">
            <v>118.01462790697674</v>
          </cell>
        </row>
        <row r="12">
          <cell r="E12">
            <v>34.722742497098324</v>
          </cell>
          <cell r="F12">
            <v>34.722742497098324</v>
          </cell>
          <cell r="G12">
            <v>34.722742497098324</v>
          </cell>
          <cell r="H12">
            <v>34.722742497098324</v>
          </cell>
          <cell r="I12">
            <v>34.722742497098324</v>
          </cell>
          <cell r="J12">
            <v>34.722742497098324</v>
          </cell>
          <cell r="K12">
            <v>34.722742497098324</v>
          </cell>
        </row>
        <row r="13">
          <cell r="E13">
            <v>37.858571165644165</v>
          </cell>
          <cell r="F13">
            <v>37.858571165644165</v>
          </cell>
          <cell r="G13">
            <v>37.858571165644165</v>
          </cell>
          <cell r="H13">
            <v>37.858571165644165</v>
          </cell>
          <cell r="I13">
            <v>37.858571165644165</v>
          </cell>
          <cell r="J13">
            <v>37.858571165644165</v>
          </cell>
          <cell r="K13">
            <v>37.858571165644165</v>
          </cell>
        </row>
        <row r="15">
          <cell r="E15">
            <v>88.51097093023256</v>
          </cell>
          <cell r="F15">
            <v>147.51828488372092</v>
          </cell>
          <cell r="G15">
            <v>147.51828488372092</v>
          </cell>
          <cell r="H15">
            <v>147.51828488372092</v>
          </cell>
          <cell r="I15">
            <v>147.51828488372092</v>
          </cell>
          <cell r="J15">
            <v>649.08045348837209</v>
          </cell>
          <cell r="K15">
            <v>649.08045348837209</v>
          </cell>
        </row>
        <row r="16">
          <cell r="E16">
            <v>26.042056872823743</v>
          </cell>
          <cell r="F16">
            <v>43.403428121372905</v>
          </cell>
          <cell r="G16">
            <v>43.403428121372905</v>
          </cell>
          <cell r="H16">
            <v>43.403428121372905</v>
          </cell>
          <cell r="I16">
            <v>43.403428121372905</v>
          </cell>
          <cell r="J16">
            <v>190.97508373404077</v>
          </cell>
          <cell r="K16">
            <v>190.97508373404077</v>
          </cell>
        </row>
        <row r="17">
          <cell r="E17">
            <v>28.393928374233123</v>
          </cell>
          <cell r="F17">
            <v>47.323213957055202</v>
          </cell>
          <cell r="G17">
            <v>47.323213957055202</v>
          </cell>
          <cell r="H17">
            <v>47.323213957055202</v>
          </cell>
          <cell r="I17">
            <v>47.323213957055202</v>
          </cell>
          <cell r="J17">
            <v>208.22214141104291</v>
          </cell>
          <cell r="K17">
            <v>208.22214141104291</v>
          </cell>
        </row>
        <row r="19">
          <cell r="G19">
            <v>0</v>
          </cell>
          <cell r="I19">
            <v>0</v>
          </cell>
          <cell r="J19">
            <v>157.1871205550737</v>
          </cell>
          <cell r="K19">
            <v>157.1871205550737</v>
          </cell>
        </row>
        <row r="20">
          <cell r="G20">
            <v>0</v>
          </cell>
          <cell r="I20">
            <v>0</v>
          </cell>
          <cell r="J20">
            <v>43.828266533166797</v>
          </cell>
          <cell r="K20">
            <v>43.828266533166797</v>
          </cell>
        </row>
        <row r="21">
          <cell r="G21">
            <v>0</v>
          </cell>
          <cell r="I21">
            <v>0</v>
          </cell>
          <cell r="J21">
            <v>47.786419743526203</v>
          </cell>
          <cell r="K21">
            <v>47.786419743526203</v>
          </cell>
        </row>
        <row r="23">
          <cell r="E23">
            <v>342.24242093023253</v>
          </cell>
          <cell r="F23">
            <v>531.0658255813953</v>
          </cell>
          <cell r="G23">
            <v>531.0658255813953</v>
          </cell>
          <cell r="H23">
            <v>678.58411046511628</v>
          </cell>
          <cell r="I23">
            <v>737.59142441860467</v>
          </cell>
          <cell r="J23">
            <v>1357.1682209302326</v>
          </cell>
          <cell r="K23">
            <v>1357.1682209302326</v>
          </cell>
        </row>
        <row r="24">
          <cell r="E24">
            <v>100.69595324158513</v>
          </cell>
          <cell r="F24">
            <v>156.25234123694247</v>
          </cell>
          <cell r="G24">
            <v>156.25234123694247</v>
          </cell>
          <cell r="H24">
            <v>199.65576935831535</v>
          </cell>
          <cell r="I24">
            <v>217.01714060686453</v>
          </cell>
          <cell r="J24">
            <v>399.31153871663071</v>
          </cell>
          <cell r="K24">
            <v>399.31153871663071</v>
          </cell>
        </row>
        <row r="25">
          <cell r="E25">
            <v>109.78985638036808</v>
          </cell>
          <cell r="F25">
            <v>170.36357024539873</v>
          </cell>
          <cell r="G25">
            <v>170.36357024539873</v>
          </cell>
          <cell r="H25">
            <v>217.68678420245394</v>
          </cell>
          <cell r="I25">
            <v>236.61606978527604</v>
          </cell>
          <cell r="J25">
            <v>435.37356840490787</v>
          </cell>
          <cell r="K25">
            <v>435.37356840490787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4 (пр-во)"/>
      <sheetName val="Прил. 6 (кальк)"/>
      <sheetName val="Прил. 6 (кальк) без льг."/>
      <sheetName val="Пр. 6 (кальк) без льг."/>
      <sheetName val="Прил. 6 (кальк) без льг.0 "/>
      <sheetName val="Прил. 7 "/>
      <sheetName val="Табл. 7.1"/>
      <sheetName val="Табл. 7.2"/>
      <sheetName val="Табл. 7.3 Подг. ТУ"/>
      <sheetName val="Табл. 7.4 Разр. ПСД"/>
      <sheetName val="Табл. 7.5 Пров. вып. ТУ"/>
      <sheetName val="Табл. 7.6 Ростехнадзор"/>
      <sheetName val="Табл. 7.7 Факт. присоед."/>
      <sheetName val="Табл. 7.8 Прям."/>
      <sheetName val="Табл. 7.9 Косв."/>
      <sheetName val="Прил. 8 инвест. за 3 года "/>
      <sheetName val="Прил. 9 СТС"/>
      <sheetName val="9.1."/>
      <sheetName val="Расч. удельных прил.9.1."/>
      <sheetName val="Тариф ставки"/>
      <sheetName val="Ст-ть маш час"/>
      <sheetName val="стр.2014"/>
      <sheetName val="стр.2015"/>
      <sheetName val="стр.2016"/>
      <sheetName val="Затраты 2015"/>
      <sheetName val="Прил. 5 (НВВ)"/>
      <sheetName val="Прил. 5 (НВВ) без льг.и инд.пр."/>
      <sheetName val="С1 2015"/>
      <sheetName val="С1 2014"/>
      <sheetName val="С1 2013"/>
      <sheetName val="СС 2015 (0)"/>
      <sheetName val="СС 2015"/>
      <sheetName val="СС 2014"/>
      <sheetName val="СС 2013 "/>
      <sheetName val="УО 6 мес.2016"/>
      <sheetName val="СС 2016 (1-е полуг.)"/>
      <sheetName val="Об.сч.62 1-е полуг.2016"/>
      <sheetName val="для П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8">
          <cell r="J18">
            <v>90.727320000000006</v>
          </cell>
        </row>
      </sheetData>
      <sheetData sheetId="26"/>
      <sheetData sheetId="27"/>
      <sheetData sheetId="28"/>
      <sheetData sheetId="29"/>
      <sheetData sheetId="30"/>
      <sheetData sheetId="31">
        <row r="18">
          <cell r="C18" t="str">
            <v>Добровольное медицинское страхование сотрудников (ДМС)</v>
          </cell>
        </row>
        <row r="158">
          <cell r="C158" t="str">
            <v>Оплата труда ППП (без соц. отчислений)</v>
          </cell>
        </row>
        <row r="161">
          <cell r="C161" t="str">
            <v xml:space="preserve"> - работы и услуги производственного характера</v>
          </cell>
        </row>
        <row r="162">
          <cell r="C162" t="str">
            <v xml:space="preserve"> - налоги и сборы, уменьшающие налогооблагаемую базу на прибыль организаций, всего</v>
          </cell>
        </row>
        <row r="163">
          <cell r="C163" t="str">
            <v xml:space="preserve"> - работы и услуги непроизводственного характера, в.ч. :</v>
          </cell>
        </row>
        <row r="166">
          <cell r="C166" t="str">
            <v>расходы на информационное обслуживание, консультационные и юридические услуги</v>
          </cell>
        </row>
        <row r="168">
          <cell r="C168" t="str">
            <v xml:space="preserve">другие прочие расходы, связанные с производством и реализацией </v>
          </cell>
        </row>
        <row r="170">
          <cell r="C170" t="str">
            <v xml:space="preserve"> - расходы на услуги банков</v>
          </cell>
        </row>
        <row r="171">
          <cell r="C171" t="str">
            <v xml:space="preserve"> - % за пользование кредитом</v>
          </cell>
        </row>
        <row r="172">
          <cell r="C172" t="str">
            <v xml:space="preserve"> - прочие обоснованные расходы*</v>
          </cell>
        </row>
        <row r="173">
          <cell r="C173" t="str">
            <v xml:space="preserve"> - денежные выплаты социального характера (по Коллективному договору)</v>
          </cell>
        </row>
      </sheetData>
      <sheetData sheetId="32">
        <row r="170">
          <cell r="I170">
            <v>24616614.593705088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4 (пр-во)"/>
      <sheetName val="форма 2"/>
      <sheetName val="Прил. 5 (НВВ)"/>
      <sheetName val="Прил. 5 (НВВ) без льг.и инд.пр."/>
      <sheetName val="Прил.2_МУ"/>
      <sheetName val="Прил. 6 (кальк)"/>
      <sheetName val="Прил. 6 (кальк) без льг."/>
      <sheetName val="Пр. 6 (кальк) без льг."/>
      <sheetName val="Прил. 6 (кальк) без льг.0 "/>
      <sheetName val="Прил. 7 "/>
      <sheetName val="Табл. 7.1"/>
      <sheetName val="Табл. 7.2"/>
      <sheetName val="Тариф ставки"/>
      <sheetName val="Табл. 7.3 Подг. ТУ"/>
      <sheetName val="Табл. 7.4 Разр. ПСД"/>
      <sheetName val="Табл. 7.5 Пров. вып. ТУ"/>
      <sheetName val="Табл. 7.6 Ростехнадзор"/>
      <sheetName val="Табл. 7.7 Факт. присоед."/>
      <sheetName val="Табл. 7.8 Прям."/>
      <sheetName val="Табл. 7.9 Косв."/>
      <sheetName val="Прил. 8 инвест. за 3 года "/>
      <sheetName val="Прил. 9 СТС"/>
      <sheetName val="Расч. удельных прил.9.1."/>
      <sheetName val="Ст-ть маш час"/>
      <sheetName val="стр.2014"/>
      <sheetName val="стр.2015"/>
      <sheetName val="стр.2016"/>
      <sheetName val="Затраты 2015"/>
      <sheetName val="С1_2015"/>
      <sheetName val="C1 2014"/>
      <sheetName val="C1 2013"/>
      <sheetName val="СС 2015"/>
      <sheetName val="СС 2014"/>
      <sheetName val="СС 2013 "/>
      <sheetName val="УО 6 мес.2016"/>
      <sheetName val="СС 2016 (1-е полуг.)"/>
      <sheetName val="Об.сч.62 1-е полуг.2016"/>
      <sheetName val="для ПЗ"/>
    </sheetNames>
    <sheetDataSet>
      <sheetData sheetId="0"/>
      <sheetData sheetId="1"/>
      <sheetData sheetId="2">
        <row r="17">
          <cell r="D17">
            <v>115267.07731999998</v>
          </cell>
          <cell r="N17">
            <v>10396.222880000001</v>
          </cell>
          <cell r="P17">
            <v>10109.061717376868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7">
          <cell r="G67">
            <v>33.4</v>
          </cell>
          <cell r="H67">
            <v>28.41</v>
          </cell>
          <cell r="I67">
            <v>33.4</v>
          </cell>
          <cell r="J67">
            <v>71.899999999999991</v>
          </cell>
          <cell r="O67">
            <v>4565.3903335043615</v>
          </cell>
          <cell r="P67">
            <v>4565.3903335043615</v>
          </cell>
          <cell r="Q67">
            <v>6143.7825346331456</v>
          </cell>
          <cell r="R67">
            <v>5037.8798973832736</v>
          </cell>
          <cell r="T67">
            <v>14242.890754232945</v>
          </cell>
          <cell r="U67">
            <v>0</v>
          </cell>
          <cell r="V67">
            <v>0</v>
          </cell>
          <cell r="W67">
            <v>0</v>
          </cell>
          <cell r="AA67">
            <v>1209.8284383786558</v>
          </cell>
        </row>
      </sheetData>
      <sheetData sheetId="14"/>
      <sheetData sheetId="15">
        <row r="44">
          <cell r="G44">
            <v>25.5</v>
          </cell>
          <cell r="H44">
            <v>26.5</v>
          </cell>
          <cell r="I44">
            <v>26.7</v>
          </cell>
          <cell r="J44">
            <v>27.5</v>
          </cell>
          <cell r="O44" t="str">
            <v/>
          </cell>
          <cell r="P44">
            <v>3512.6114315033356</v>
          </cell>
          <cell r="Q44">
            <v>3581.5304669061061</v>
          </cell>
          <cell r="R44">
            <v>0</v>
          </cell>
          <cell r="T44">
            <v>4079.7305695228329</v>
          </cell>
          <cell r="U44">
            <v>12125.32900974859</v>
          </cell>
          <cell r="V44">
            <v>0</v>
          </cell>
          <cell r="W44">
            <v>12125.32900974859</v>
          </cell>
          <cell r="Y44">
            <v>0</v>
          </cell>
          <cell r="AA44">
            <v>1096.9557436223706</v>
          </cell>
        </row>
      </sheetData>
      <sheetData sheetId="16"/>
      <sheetData sheetId="17">
        <row r="34">
          <cell r="G34">
            <v>45.97</v>
          </cell>
          <cell r="H34">
            <v>45.97</v>
          </cell>
          <cell r="I34">
            <v>62.97</v>
          </cell>
          <cell r="J34">
            <v>67.97</v>
          </cell>
          <cell r="O34" t="str">
            <v/>
          </cell>
          <cell r="P34">
            <v>3812.3076449461264</v>
          </cell>
          <cell r="Q34">
            <v>4708.1900872242186</v>
          </cell>
          <cell r="R34">
            <v>4708.1900872242186</v>
          </cell>
          <cell r="T34">
            <v>6891.4118419702418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1199.167955833761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0">
          <cell r="E20">
            <v>79.088510000000014</v>
          </cell>
        </row>
      </sheetData>
      <sheetData sheetId="28"/>
      <sheetData sheetId="29"/>
      <sheetData sheetId="30"/>
      <sheetData sheetId="31">
        <row r="16">
          <cell r="F16">
            <v>9558.9741214057503</v>
          </cell>
        </row>
        <row r="155">
          <cell r="J155">
            <v>1766842.3599999999</v>
          </cell>
          <cell r="K155">
            <v>888155.16999999993</v>
          </cell>
          <cell r="R155">
            <v>0</v>
          </cell>
          <cell r="S155">
            <v>0</v>
          </cell>
          <cell r="W155">
            <v>0</v>
          </cell>
          <cell r="X155">
            <v>0</v>
          </cell>
          <cell r="AB155">
            <v>0</v>
          </cell>
        </row>
        <row r="156">
          <cell r="J156">
            <v>529869.74999999988</v>
          </cell>
          <cell r="K156">
            <v>264241.47999999992</v>
          </cell>
          <cell r="R156">
            <v>0</v>
          </cell>
          <cell r="S156">
            <v>0</v>
          </cell>
          <cell r="W156">
            <v>0</v>
          </cell>
          <cell r="X156">
            <v>0</v>
          </cell>
          <cell r="AB156">
            <v>0</v>
          </cell>
        </row>
      </sheetData>
      <sheetData sheetId="32"/>
      <sheetData sheetId="33">
        <row r="16">
          <cell r="E16">
            <v>113024.98591093115</v>
          </cell>
        </row>
      </sheetData>
      <sheetData sheetId="34"/>
      <sheetData sheetId="35"/>
      <sheetData sheetId="36"/>
      <sheetData sheetId="3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 1"/>
      <sheetName val="калькул 2"/>
      <sheetName val="калькул 3"/>
      <sheetName val="калькул4"/>
      <sheetName val="Тарифные ставки"/>
      <sheetName val="прямые"/>
      <sheetName val="стоим маш-час"/>
      <sheetName val="косвен"/>
      <sheetName val="свод калкул"/>
      <sheetName val="НВВ орг м-я"/>
      <sheetName val="НВВ"/>
      <sheetName val="План V2016"/>
      <sheetName val="План V (КЭ)"/>
      <sheetName val="факт V 3-летка (3)"/>
      <sheetName val="Приложение 6 (кальк)  (2)"/>
      <sheetName val="Лист4"/>
      <sheetName val="факт V 3-летка"/>
      <sheetName val="Приложение 8 СТС (2)"/>
      <sheetName val="строит 2013 (2)"/>
      <sheetName val="строит.2011"/>
      <sheetName val="факт V 3-летка (2)"/>
      <sheetName val="Искл_Таблица 7.7 Разработка ПСД"/>
      <sheetName val="Искл_Приложение 8 инвест.сост."/>
      <sheetName val="удел стоим"/>
      <sheetName val="ожид  НВВ 2012"/>
      <sheetName val="OPEX"/>
      <sheetName val="косвенные 2012"/>
      <sheetName val="косвенные 2013"/>
      <sheetName val="Лист2"/>
      <sheetName val="Лист1"/>
      <sheetName val="НВВ без до 15 кВ"/>
    </sheetNames>
    <sheetDataSet>
      <sheetData sheetId="0">
        <row r="69">
          <cell r="M69">
            <v>399.30715958094737</v>
          </cell>
          <cell r="N69">
            <v>2592.1612060418574</v>
          </cell>
          <cell r="O69">
            <v>2817.8080190722139</v>
          </cell>
          <cell r="P69">
            <v>3534.3731804184745</v>
          </cell>
          <cell r="Q69">
            <v>2923.4791166760197</v>
          </cell>
          <cell r="R69">
            <v>19667.794501921588</v>
          </cell>
          <cell r="S69">
            <v>19667.794501921588</v>
          </cell>
        </row>
        <row r="72">
          <cell r="M72">
            <v>107.88841990697095</v>
          </cell>
          <cell r="N72">
            <v>107.88841990697098</v>
          </cell>
          <cell r="O72">
            <v>107.88841990697095</v>
          </cell>
          <cell r="P72">
            <v>107.88841990697095</v>
          </cell>
          <cell r="Q72">
            <v>107.88841990697097</v>
          </cell>
          <cell r="S72">
            <v>80.916314930228225</v>
          </cell>
        </row>
      </sheetData>
      <sheetData sheetId="1">
        <row r="50">
          <cell r="N50">
            <v>2446.6093924799566</v>
          </cell>
          <cell r="O50">
            <v>2549.7826121342378</v>
          </cell>
          <cell r="P50">
            <v>2652.9558317885194</v>
          </cell>
          <cell r="Q50">
            <v>2502.2298424740316</v>
          </cell>
          <cell r="R50">
            <v>11273.148150368146</v>
          </cell>
          <cell r="S50">
            <v>11273.148150368146</v>
          </cell>
        </row>
        <row r="53">
          <cell r="M53">
            <v>107.88841990697095</v>
          </cell>
          <cell r="N53">
            <v>107.88841990697098</v>
          </cell>
          <cell r="O53">
            <v>107.88841990697095</v>
          </cell>
          <cell r="P53">
            <v>107.88841990697095</v>
          </cell>
          <cell r="Q53">
            <v>107.88841990697097</v>
          </cell>
          <cell r="S53">
            <v>80.916314930228225</v>
          </cell>
        </row>
      </sheetData>
      <sheetData sheetId="2">
        <row r="18">
          <cell r="L18">
            <v>3909.7220079517115</v>
          </cell>
          <cell r="M18">
            <v>3909.7220079517115</v>
          </cell>
        </row>
        <row r="21">
          <cell r="M21">
            <v>80.916314930228225</v>
          </cell>
        </row>
      </sheetData>
      <sheetData sheetId="3">
        <row r="39">
          <cell r="N39">
            <v>4902.6983093522085</v>
          </cell>
          <cell r="O39">
            <v>4881.7223404841516</v>
          </cell>
          <cell r="P39">
            <v>6120.4603540551216</v>
          </cell>
          <cell r="R39">
            <v>11271.976785242749</v>
          </cell>
          <cell r="S39">
            <v>11271.976785242749</v>
          </cell>
        </row>
        <row r="42">
          <cell r="M42">
            <v>107.88841990697095</v>
          </cell>
          <cell r="N42">
            <v>107.88841990697098</v>
          </cell>
          <cell r="O42">
            <v>107.88841990697095</v>
          </cell>
          <cell r="P42">
            <v>107.88841990697095</v>
          </cell>
          <cell r="Q42">
            <v>107.88841990697097</v>
          </cell>
          <cell r="S42">
            <v>80.916314930228225</v>
          </cell>
        </row>
      </sheetData>
      <sheetData sheetId="4"/>
      <sheetData sheetId="5">
        <row r="11">
          <cell r="E11">
            <v>84.555906095663744</v>
          </cell>
          <cell r="F11">
            <v>84.555906095663744</v>
          </cell>
          <cell r="G11">
            <v>84.555906095663744</v>
          </cell>
          <cell r="H11">
            <v>84.555906095663744</v>
          </cell>
          <cell r="I11">
            <v>84.555906095663744</v>
          </cell>
          <cell r="J11">
            <v>84.555906095663744</v>
          </cell>
          <cell r="K11">
            <v>84.555906095663744</v>
          </cell>
        </row>
        <row r="12">
          <cell r="E12">
            <v>24.990201578907094</v>
          </cell>
          <cell r="F12">
            <v>24.990201578907094</v>
          </cell>
          <cell r="G12">
            <v>24.990201578907094</v>
          </cell>
          <cell r="H12">
            <v>24.990201578907094</v>
          </cell>
          <cell r="I12">
            <v>24.990201578907094</v>
          </cell>
          <cell r="J12">
            <v>24.990201578907094</v>
          </cell>
          <cell r="K12">
            <v>24.990201578907094</v>
          </cell>
        </row>
        <row r="13">
          <cell r="E13">
            <v>27.552784073862387</v>
          </cell>
          <cell r="F13">
            <v>27.552784073862387</v>
          </cell>
          <cell r="G13">
            <v>27.552784073862387</v>
          </cell>
          <cell r="H13">
            <v>27.552784073862387</v>
          </cell>
          <cell r="I13">
            <v>27.552784073862387</v>
          </cell>
          <cell r="J13">
            <v>27.552784073862387</v>
          </cell>
          <cell r="K13">
            <v>27.552784073862387</v>
          </cell>
        </row>
        <row r="15">
          <cell r="F15">
            <v>126.83385914349562</v>
          </cell>
          <cell r="G15">
            <v>126.83385914349562</v>
          </cell>
          <cell r="H15">
            <v>126.83385914349562</v>
          </cell>
          <cell r="I15">
            <v>126.83385914349562</v>
          </cell>
          <cell r="J15">
            <v>190.25078871524343</v>
          </cell>
          <cell r="K15">
            <v>190.25078871524343</v>
          </cell>
        </row>
        <row r="16">
          <cell r="F16">
            <v>37.485302368360642</v>
          </cell>
          <cell r="G16">
            <v>37.485302368360642</v>
          </cell>
          <cell r="H16">
            <v>37.485302368360642</v>
          </cell>
          <cell r="I16">
            <v>37.485302368360642</v>
          </cell>
          <cell r="J16">
            <v>56.22795355254096</v>
          </cell>
          <cell r="K16">
            <v>56.22795355254096</v>
          </cell>
        </row>
        <row r="17">
          <cell r="F17">
            <v>41.329176110793583</v>
          </cell>
          <cell r="G17">
            <v>41.329176110793583</v>
          </cell>
          <cell r="H17">
            <v>41.329176110793583</v>
          </cell>
          <cell r="I17">
            <v>41.329176110793583</v>
          </cell>
          <cell r="J17">
            <v>61.993764166190374</v>
          </cell>
          <cell r="K17">
            <v>61.993764166190374</v>
          </cell>
        </row>
        <row r="19">
          <cell r="J19">
            <v>253.66771828699123</v>
          </cell>
          <cell r="K19">
            <v>253.66771828699123</v>
          </cell>
        </row>
        <row r="20">
          <cell r="J20">
            <v>74.970604736721285</v>
          </cell>
          <cell r="K20">
            <v>74.970604736721285</v>
          </cell>
        </row>
        <row r="21">
          <cell r="J21">
            <v>82.658352221587165</v>
          </cell>
          <cell r="K21">
            <v>82.658352221587165</v>
          </cell>
        </row>
        <row r="23">
          <cell r="F23">
            <v>380.50157743048686</v>
          </cell>
          <cell r="G23">
            <v>380.50157743048686</v>
          </cell>
          <cell r="H23">
            <v>496.9773380772636</v>
          </cell>
          <cell r="I23">
            <v>528.47441309789838</v>
          </cell>
          <cell r="J23">
            <v>972.3929201001331</v>
          </cell>
          <cell r="K23">
            <v>930.11496705230115</v>
          </cell>
        </row>
        <row r="24">
          <cell r="F24">
            <v>112.45590710508192</v>
          </cell>
          <cell r="G24">
            <v>112.45590710508192</v>
          </cell>
          <cell r="H24">
            <v>146.87990978002642</v>
          </cell>
          <cell r="I24">
            <v>156.18875986816934</v>
          </cell>
          <cell r="J24">
            <v>287.38731815743159</v>
          </cell>
          <cell r="K24">
            <v>287.38731815743159</v>
          </cell>
        </row>
        <row r="25">
          <cell r="F25">
            <v>123.98752833238075</v>
          </cell>
          <cell r="G25">
            <v>123.98752833238075</v>
          </cell>
          <cell r="H25">
            <v>161.94148839412617</v>
          </cell>
          <cell r="I25">
            <v>172.20490046163991</v>
          </cell>
          <cell r="J25">
            <v>316.85701684941745</v>
          </cell>
          <cell r="K25">
            <v>316.85701684941745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Э1"/>
      <sheetName val="К 1"/>
      <sheetName val="КЭ2"/>
      <sheetName val="К 2"/>
      <sheetName val="КЭ3"/>
      <sheetName val="К 3"/>
      <sheetName val="КЭ4"/>
      <sheetName val="К 4"/>
      <sheetName val="ТС"/>
      <sheetName val="прямые"/>
      <sheetName val="стоим маш-час"/>
      <sheetName val="косвен"/>
      <sheetName val="свод калкул"/>
      <sheetName val="НВВ орг м-я"/>
      <sheetName val="НВВ"/>
      <sheetName val="Для справки"/>
      <sheetName val="Прил.1"/>
      <sheetName val="Прил.2"/>
      <sheetName val="План V2017"/>
      <sheetName val="План КЭ"/>
      <sheetName val="факт V 3-летка (3)"/>
      <sheetName val="Приложение 6 (кальк)  (2)"/>
      <sheetName val="Лист4"/>
      <sheetName val="факт V 3-летка"/>
      <sheetName val="Приложение 8 СТС (2)"/>
      <sheetName val="строит 2013 (2)"/>
      <sheetName val="строит.2011"/>
      <sheetName val="факт V 3-летка (2)"/>
      <sheetName val="Искл_Таблица 7.7 Разработка ПСД"/>
      <sheetName val="Искл_Приложение 8 инвест.сост."/>
      <sheetName val="удел стоим"/>
      <sheetName val="ожид  НВВ 2012"/>
      <sheetName val="OPEX"/>
      <sheetName val="косвенные 2012"/>
      <sheetName val="косвенные 2013"/>
      <sheetName val="Лист2"/>
      <sheetName val="Лист1"/>
      <sheetName val="НВВ без до 15 кВ"/>
    </sheetNames>
    <sheetDataSet>
      <sheetData sheetId="0"/>
      <sheetData sheetId="1">
        <row r="69">
          <cell r="M69">
            <v>508.74192656935412</v>
          </cell>
          <cell r="N69">
            <v>2411.3760418553161</v>
          </cell>
          <cell r="O69">
            <v>2585.4462356708073</v>
          </cell>
          <cell r="P69">
            <v>2892.385521213831</v>
          </cell>
          <cell r="Q69">
            <v>2293.2413340174512</v>
          </cell>
          <cell r="R69">
            <v>18585.924252025343</v>
          </cell>
          <cell r="S69">
            <v>18585.924252025343</v>
          </cell>
        </row>
        <row r="72">
          <cell r="M72">
            <v>96.039958800843181</v>
          </cell>
          <cell r="N72">
            <v>96.039958800843166</v>
          </cell>
          <cell r="O72">
            <v>96.039958800843181</v>
          </cell>
          <cell r="P72">
            <v>96.039958800843166</v>
          </cell>
          <cell r="Q72">
            <v>96.039958800843166</v>
          </cell>
          <cell r="S72">
            <v>72.029969100632385</v>
          </cell>
        </row>
      </sheetData>
      <sheetData sheetId="2"/>
      <sheetData sheetId="3">
        <row r="50">
          <cell r="M50">
            <v>531.60618527039128</v>
          </cell>
          <cell r="N50">
            <v>1693.8293964530328</v>
          </cell>
          <cell r="O50">
            <v>2295.0263364710454</v>
          </cell>
          <cell r="P50">
            <v>2605.3733539709306</v>
          </cell>
          <cell r="Q50">
            <v>2216.4132056852577</v>
          </cell>
          <cell r="R50">
            <v>11126.366543865486</v>
          </cell>
          <cell r="S50">
            <v>11126.366543865486</v>
          </cell>
        </row>
        <row r="53">
          <cell r="M53">
            <v>96.039958800843181</v>
          </cell>
          <cell r="N53">
            <v>96.039958800843166</v>
          </cell>
          <cell r="P53">
            <v>96.039958800843166</v>
          </cell>
          <cell r="Q53">
            <v>96.039958800843166</v>
          </cell>
          <cell r="S53">
            <v>72.029969100632385</v>
          </cell>
        </row>
      </sheetData>
      <sheetData sheetId="4"/>
      <sheetData sheetId="5">
        <row r="18">
          <cell r="L18">
            <v>4089.27834823378</v>
          </cell>
          <cell r="M18">
            <v>4089.27834823378</v>
          </cell>
        </row>
        <row r="20">
          <cell r="M20">
            <v>323.4381094153901</v>
          </cell>
        </row>
      </sheetData>
      <sheetData sheetId="6"/>
      <sheetData sheetId="7">
        <row r="39">
          <cell r="M39">
            <v>2165.6298858805048</v>
          </cell>
          <cell r="N39">
            <v>4189.8875774363569</v>
          </cell>
          <cell r="O39">
            <v>4232.0785445213087</v>
          </cell>
          <cell r="P39">
            <v>5668.0318819626063</v>
          </cell>
          <cell r="Q39">
            <v>5668.0318819626063</v>
          </cell>
          <cell r="R39">
            <v>11358.003066809388</v>
          </cell>
          <cell r="S39">
            <v>11864.294671828808</v>
          </cell>
        </row>
        <row r="42">
          <cell r="N42">
            <v>96.039958800843166</v>
          </cell>
          <cell r="O42">
            <v>96.039958800843181</v>
          </cell>
          <cell r="P42">
            <v>96.039958800843166</v>
          </cell>
          <cell r="Q42">
            <v>96.039958800843166</v>
          </cell>
          <cell r="S42">
            <v>72.029969100632385</v>
          </cell>
        </row>
      </sheetData>
      <sheetData sheetId="8"/>
      <sheetData sheetId="9">
        <row r="11">
          <cell r="E11">
            <v>18.225752849802454</v>
          </cell>
          <cell r="F11">
            <v>72.903011399209817</v>
          </cell>
          <cell r="G11">
            <v>76.548161969170309</v>
          </cell>
          <cell r="H11">
            <v>76.548161969170309</v>
          </cell>
          <cell r="I11">
            <v>72.903011399209817</v>
          </cell>
          <cell r="J11">
            <v>72.903011399209817</v>
          </cell>
          <cell r="K11">
            <v>72.903011399209817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8.7274229348133883</v>
          </cell>
          <cell r="F13">
            <v>34.909691739253553</v>
          </cell>
          <cell r="G13">
            <v>36.655176326216235</v>
          </cell>
          <cell r="H13">
            <v>36.655176326216235</v>
          </cell>
          <cell r="I13">
            <v>34.909691739253553</v>
          </cell>
          <cell r="J13">
            <v>34.909691739253553</v>
          </cell>
          <cell r="K13">
            <v>34.909691739253553</v>
          </cell>
        </row>
        <row r="15">
          <cell r="E15">
            <v>41.91923155454564</v>
          </cell>
          <cell r="F15">
            <v>76.548161969170309</v>
          </cell>
          <cell r="G15">
            <v>76.548161969170309</v>
          </cell>
          <cell r="H15">
            <v>107.53194181383449</v>
          </cell>
          <cell r="I15">
            <v>92.95133953399251</v>
          </cell>
          <cell r="J15">
            <v>164.03177564822209</v>
          </cell>
          <cell r="K15">
            <v>164.03177564822209</v>
          </cell>
        </row>
        <row r="16">
          <cell r="E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20.073072750070793</v>
          </cell>
          <cell r="F17">
            <v>36.655176326216235</v>
          </cell>
          <cell r="G17">
            <v>36.655176326216235</v>
          </cell>
          <cell r="H17">
            <v>51.491795315398996</v>
          </cell>
          <cell r="I17">
            <v>44.509856967548274</v>
          </cell>
          <cell r="J17">
            <v>78.546806413320496</v>
          </cell>
          <cell r="K17">
            <v>78.546806413320496</v>
          </cell>
        </row>
        <row r="19">
          <cell r="J19">
            <v>218.70903419762945</v>
          </cell>
          <cell r="K19">
            <v>218.70903419762945</v>
          </cell>
        </row>
        <row r="20">
          <cell r="J20">
            <v>0</v>
          </cell>
          <cell r="K20">
            <v>0</v>
          </cell>
        </row>
        <row r="21">
          <cell r="J21">
            <v>104.72907521776065</v>
          </cell>
          <cell r="K21">
            <v>104.72907521776065</v>
          </cell>
        </row>
        <row r="23">
          <cell r="E23">
            <v>167.67692621818259</v>
          </cell>
          <cell r="F23">
            <v>291.61204559683927</v>
          </cell>
          <cell r="G23">
            <v>291.61204559683927</v>
          </cell>
          <cell r="H23">
            <v>400.96656269565398</v>
          </cell>
          <cell r="I23">
            <v>400.96656269565398</v>
          </cell>
          <cell r="J23">
            <v>838.38463109091288</v>
          </cell>
          <cell r="K23">
            <v>801.93312539130795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80.292291000283186</v>
          </cell>
          <cell r="G25">
            <v>139.63876695701421</v>
          </cell>
          <cell r="H25">
            <v>192.00330456589455</v>
          </cell>
          <cell r="I25">
            <v>192.00330456589455</v>
          </cell>
          <cell r="J25">
            <v>401.46145500141586</v>
          </cell>
          <cell r="K25">
            <v>401.46145500141586</v>
          </cell>
        </row>
      </sheetData>
      <sheetData sheetId="10"/>
      <sheetData sheetId="11"/>
      <sheetData sheetId="12">
        <row r="19">
          <cell r="D19">
            <v>784.35763912561947</v>
          </cell>
        </row>
      </sheetData>
      <sheetData sheetId="13"/>
      <sheetData sheetId="14"/>
      <sheetData sheetId="15"/>
      <sheetData sheetId="16"/>
      <sheetData sheetId="17"/>
      <sheetData sheetId="18">
        <row r="96">
          <cell r="C96">
            <v>207</v>
          </cell>
        </row>
      </sheetData>
      <sheetData sheetId="19"/>
      <sheetData sheetId="20"/>
      <sheetData sheetId="21">
        <row r="58">
          <cell r="D58">
            <v>17821022.918343306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4 (пр-во)"/>
      <sheetName val="Прил. 6 (кальк)"/>
      <sheetName val="Прил. 6 (кальк) без льг."/>
      <sheetName val="Пр. 6 (кальк) без льг."/>
      <sheetName val="Прил. 6 (кальк) без льг.0 "/>
      <sheetName val="Прил. 7 "/>
      <sheetName val="Табл. 7.1"/>
      <sheetName val="Табл. 7.2"/>
      <sheetName val="Табл. 7.3 Подг. ТУ"/>
      <sheetName val="Табл. 7.4 Разр. ПСД"/>
      <sheetName val="Табл. 7.5 Пров. вып. ТУ"/>
      <sheetName val="Табл. 7.6 Ростехнадзор"/>
      <sheetName val="Табл. 7.7 Факт. присоед."/>
      <sheetName val="Табл. 7.8 Прям."/>
      <sheetName val="Табл. 7.9 Косв."/>
      <sheetName val="Прил. 8 инвест. за 3 года "/>
      <sheetName val="Прил. 9 СТС"/>
      <sheetName val="9.1."/>
      <sheetName val="Расч. удельных прил.9.1."/>
      <sheetName val="Тариф ставки"/>
      <sheetName val="Ст-ть маш час"/>
      <sheetName val="стр.2014"/>
      <sheetName val="стр.2015"/>
      <sheetName val="стр.2016"/>
      <sheetName val="Затраты 2015"/>
      <sheetName val="Прил. 5 (НВВ)"/>
      <sheetName val="Прил. 5 (НВВ) без льг.и инд.пр."/>
      <sheetName val="С1 2015"/>
      <sheetName val="С1 2014"/>
      <sheetName val="С1 2013"/>
      <sheetName val="СС 2015 (0)"/>
      <sheetName val="СС 2015"/>
      <sheetName val="СС 2014"/>
      <sheetName val="СС 2013 "/>
      <sheetName val="УО 6 мес.2016"/>
      <sheetName val="СС 2016 (1-е полуг.)"/>
      <sheetName val="Об.сч.62 1-е полуг.2016"/>
      <sheetName val="для П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9">
          <cell r="A19" t="str">
            <v xml:space="preserve">Выручка  </v>
          </cell>
        </row>
        <row r="22">
          <cell r="A22" t="str">
            <v xml:space="preserve">Прочие расходы РСК </v>
          </cell>
        </row>
        <row r="24">
          <cell r="E24">
            <v>0.19459765507054522</v>
          </cell>
        </row>
      </sheetData>
      <sheetData sheetId="25" refreshError="1">
        <row r="18">
          <cell r="B18" t="str">
            <v>Вспомогательные материалы</v>
          </cell>
        </row>
        <row r="19">
          <cell r="B19" t="str">
            <v>Энергия на хозяйственные нужды</v>
          </cell>
        </row>
        <row r="20">
          <cell r="B20" t="str">
            <v>Оплата труда ППП (без соц. отчислений)</v>
          </cell>
        </row>
        <row r="21">
          <cell r="B21" t="str">
            <v>Отчисления на страховые взносы</v>
          </cell>
        </row>
        <row r="22">
          <cell r="B22" t="str">
            <v>Прочие расходы, всего, в том числе:</v>
          </cell>
        </row>
        <row r="23">
          <cell r="B23" t="str">
            <v xml:space="preserve"> - работы и услуги производственного характера</v>
          </cell>
        </row>
        <row r="24">
          <cell r="B24" t="str">
            <v xml:space="preserve"> - налоги и сборы, уменьшающие налогооблагаемую базу на прибыль организаций, всего</v>
          </cell>
        </row>
        <row r="25">
          <cell r="B25" t="str">
            <v xml:space="preserve"> - работы и услуги непроизводственного характера, в.ч. :</v>
          </cell>
        </row>
        <row r="26">
          <cell r="B26" t="str">
            <v>услуги связи</v>
          </cell>
        </row>
        <row r="27">
          <cell r="B27" t="str">
            <v>расходы на охрану и пожарную безопасность</v>
          </cell>
        </row>
        <row r="28">
          <cell r="B28" t="str">
            <v>расходы на информационное обслуживание, консультационные и юридические услуги</v>
          </cell>
        </row>
        <row r="29">
          <cell r="B29" t="str">
            <v>плата за аренду имущества</v>
          </cell>
        </row>
        <row r="30">
          <cell r="B30" t="str">
            <v xml:space="preserve">другие прочие расходы, связанные с производством и реализацией </v>
          </cell>
        </row>
        <row r="31">
          <cell r="B31" t="str">
            <v>Внереализационные расходы, всего</v>
          </cell>
        </row>
        <row r="32">
          <cell r="B32" t="str">
            <v xml:space="preserve"> - расходы на услуги банков</v>
          </cell>
        </row>
        <row r="33">
          <cell r="B33" t="str">
            <v xml:space="preserve"> - % за пользование кредитом</v>
          </cell>
        </row>
        <row r="34">
          <cell r="B34" t="str">
            <v xml:space="preserve"> - прочие обоснованные расходы*</v>
          </cell>
        </row>
        <row r="35">
          <cell r="B35" t="str">
            <v xml:space="preserve"> - денежные выплаты социального характера (по Коллективному договору)</v>
          </cell>
        </row>
        <row r="51">
          <cell r="B51" t="str">
            <v>Затраты по исполнительному аппарату ПАО "МРСК Юга"</v>
          </cell>
        </row>
        <row r="52">
          <cell r="B52" t="str">
            <v>Амортизация прочих ОС</v>
          </cell>
        </row>
        <row r="53">
          <cell r="B53" t="str">
            <v>Страхование</v>
          </cell>
        </row>
        <row r="54">
          <cell r="B54" t="str">
            <v xml:space="preserve">Затраты на охрану труда - мероприятия по предупреждению заболеваний на производстве </v>
          </cell>
        </row>
        <row r="55">
          <cell r="B55" t="str">
            <v>Затраты на экологию (кроме налогов и сборов)</v>
          </cell>
        </row>
        <row r="56">
          <cell r="B56" t="str">
            <v>Канцелярские расходы</v>
          </cell>
        </row>
        <row r="57">
          <cell r="B57" t="str">
            <v>Командировочные расходы</v>
          </cell>
        </row>
        <row r="58">
          <cell r="B58" t="str">
            <v>Оплата дней нетрудоспособности</v>
          </cell>
        </row>
        <row r="59">
          <cell r="B59" t="str">
            <v>Повышение квалификации</v>
          </cell>
        </row>
        <row r="60">
          <cell r="B60" t="str">
            <v>Расходы по управлению собственностью - межевание земельных участков</v>
          </cell>
        </row>
        <row r="61">
          <cell r="B61" t="str">
            <v xml:space="preserve">Услуги PR, СМИ, рекламы </v>
          </cell>
        </row>
        <row r="62">
          <cell r="B62" t="str">
            <v>Услуги коммунального хозяйства</v>
          </cell>
        </row>
        <row r="63">
          <cell r="B63" t="str">
            <v>Услуги по организации функционирования и развитию ЕЭС России</v>
          </cell>
        </row>
        <row r="64">
          <cell r="B64" t="str">
            <v>Услуги по аккредитации (аттестации) и экспертизе в области метрологического обеспечения и качества э/э</v>
          </cell>
        </row>
        <row r="65">
          <cell r="B65" t="str">
            <v>прочие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>
        <row r="8">
          <cell r="O8" t="str">
            <v>Амортизация прочих ОС</v>
          </cell>
        </row>
        <row r="9">
          <cell r="O9" t="str">
            <v>Амортизация прочих ОС</v>
          </cell>
        </row>
        <row r="10">
          <cell r="O10" t="str">
            <v>плата за аренду имущества</v>
          </cell>
        </row>
        <row r="11">
          <cell r="O11" t="str">
            <v>плата за аренду имущества</v>
          </cell>
        </row>
        <row r="12">
          <cell r="O12" t="str">
            <v>плата за аренду имущества</v>
          </cell>
        </row>
        <row r="13">
          <cell r="O13" t="str">
            <v xml:space="preserve"> - налоги и сборы, уменьшающие налогооблагаемую базу на прибыль организаций, всего</v>
          </cell>
        </row>
        <row r="14">
          <cell r="O14" t="str">
            <v>прочие</v>
          </cell>
        </row>
        <row r="15">
          <cell r="O15" t="str">
            <v>прочие</v>
          </cell>
        </row>
        <row r="16">
          <cell r="O16" t="str">
            <v>Вспомогательные материалы</v>
          </cell>
        </row>
        <row r="17">
          <cell r="O17" t="str">
            <v>Вспомогательные материалы</v>
          </cell>
        </row>
        <row r="18">
          <cell r="O18" t="str">
            <v>Страхование</v>
          </cell>
        </row>
        <row r="19">
          <cell r="O19" t="str">
            <v>Страхование</v>
          </cell>
        </row>
        <row r="20">
          <cell r="O20" t="str">
            <v>Оплата труда ППП (без соц. отчислений)</v>
          </cell>
        </row>
        <row r="21">
          <cell r="O21" t="str">
            <v>Оплата труда ППП (без соц. отчислений)</v>
          </cell>
        </row>
        <row r="22">
          <cell r="O22" t="str">
            <v>прочие</v>
          </cell>
        </row>
        <row r="23">
          <cell r="O23" t="str">
            <v xml:space="preserve">Затраты на охрану труда - мероприятия по предупреждению заболеваний на производстве </v>
          </cell>
        </row>
        <row r="24">
          <cell r="O24" t="str">
            <v>прочие</v>
          </cell>
        </row>
        <row r="25">
          <cell r="O25" t="str">
            <v>Затраты на экологию (кроме налогов и сборов)</v>
          </cell>
        </row>
        <row r="26">
          <cell r="O26" t="str">
            <v xml:space="preserve"> - налоги и сборы, уменьшающие налогооблагаемую базу на прибыль организаций, всего</v>
          </cell>
        </row>
        <row r="27">
          <cell r="O27" t="str">
            <v>Оплата труда ППП (без соц. отчислений)</v>
          </cell>
        </row>
        <row r="28">
          <cell r="O28" t="str">
            <v>Канцелярские расходы</v>
          </cell>
        </row>
        <row r="29">
          <cell r="O29" t="str">
            <v>Командировочные расходы</v>
          </cell>
        </row>
        <row r="30">
          <cell r="O30" t="str">
            <v>Командировочные расходы</v>
          </cell>
        </row>
        <row r="31">
          <cell r="O31" t="str">
            <v>Командировочные расходы</v>
          </cell>
        </row>
        <row r="32">
          <cell r="O32" t="str">
            <v>Командировочные расходы</v>
          </cell>
        </row>
        <row r="33">
          <cell r="O33" t="str">
            <v>Командировочные расходы</v>
          </cell>
        </row>
        <row r="34">
          <cell r="O34" t="str">
            <v>Командировочные расходы</v>
          </cell>
        </row>
        <row r="35">
          <cell r="O35" t="str">
            <v>Командировочные расходы</v>
          </cell>
        </row>
        <row r="36">
          <cell r="O36" t="str">
            <v>Командировочные расходы</v>
          </cell>
        </row>
        <row r="37">
          <cell r="O37" t="str">
            <v>Командировочные расходы</v>
          </cell>
        </row>
        <row r="38">
          <cell r="O38" t="str">
            <v>Командировочные расходы</v>
          </cell>
        </row>
        <row r="39">
          <cell r="O39" t="str">
            <v>Вспомогательные материалы</v>
          </cell>
        </row>
        <row r="40">
          <cell r="O40" t="str">
            <v>Вспомогательные материалы</v>
          </cell>
        </row>
        <row r="41">
          <cell r="O41" t="str">
            <v>Вспомогательные материалы</v>
          </cell>
        </row>
        <row r="42">
          <cell r="O42" t="str">
            <v>Вспомогательные материалы</v>
          </cell>
        </row>
        <row r="43">
          <cell r="O43" t="str">
            <v>Вспомогательные материалы</v>
          </cell>
        </row>
        <row r="44">
          <cell r="O44" t="str">
            <v>Вспомогательные материалы</v>
          </cell>
        </row>
        <row r="45">
          <cell r="O45" t="str">
            <v>Вспомогательные материалы</v>
          </cell>
        </row>
        <row r="46">
          <cell r="O46" t="str">
            <v>Вспомогательные материалы</v>
          </cell>
        </row>
        <row r="47">
          <cell r="O47" t="str">
            <v>Вспомогательные материалы</v>
          </cell>
        </row>
        <row r="48">
          <cell r="O48" t="str">
            <v>Вспомогательные материалы</v>
          </cell>
        </row>
        <row r="49">
          <cell r="O49" t="str">
            <v>Вспомогательные материалы</v>
          </cell>
        </row>
        <row r="50">
          <cell r="O50" t="str">
            <v>Вспомогательные материалы</v>
          </cell>
        </row>
        <row r="51">
          <cell r="O51" t="str">
            <v>Вспомогательные материалы</v>
          </cell>
        </row>
        <row r="52">
          <cell r="O52" t="str">
            <v xml:space="preserve"> - налоги и сборы, уменьшающие налогооблагаемую базу на прибыль организаций, всего</v>
          </cell>
        </row>
        <row r="53">
          <cell r="O53" t="str">
            <v>Оплата дней нетрудоспособности</v>
          </cell>
        </row>
        <row r="54">
          <cell r="O54" t="str">
            <v>Оплата труда ППП (без соц. отчислений)</v>
          </cell>
        </row>
        <row r="55">
          <cell r="O55" t="str">
            <v>Оплата труда ППП (без соц. отчислений)</v>
          </cell>
        </row>
        <row r="56">
          <cell r="O56" t="str">
            <v>Повышение квалификации</v>
          </cell>
        </row>
        <row r="57">
          <cell r="O57" t="str">
            <v>Повышение квалификации</v>
          </cell>
        </row>
        <row r="58">
          <cell r="O58" t="str">
            <v>Вспомогательные материалы</v>
          </cell>
        </row>
        <row r="59">
          <cell r="O59" t="str">
            <v>Вспомогательные материалы</v>
          </cell>
        </row>
        <row r="60">
          <cell r="O60" t="str">
            <v>Вспомогательные материалы</v>
          </cell>
        </row>
        <row r="61">
          <cell r="O61" t="str">
            <v>Вспомогательные материалы</v>
          </cell>
        </row>
        <row r="62">
          <cell r="O62" t="str">
            <v>Вспомогательные материалы</v>
          </cell>
        </row>
        <row r="63">
          <cell r="O63" t="str">
            <v>Вспомогательные материалы</v>
          </cell>
        </row>
        <row r="64">
          <cell r="O64" t="str">
            <v>Вспомогательные материалы</v>
          </cell>
        </row>
        <row r="65">
          <cell r="O65" t="str">
            <v>Вспомогательные материалы</v>
          </cell>
        </row>
        <row r="66">
          <cell r="O66" t="str">
            <v>Вспомогательные материалы</v>
          </cell>
        </row>
        <row r="67">
          <cell r="O67" t="str">
            <v>Вспомогательные материалы</v>
          </cell>
        </row>
        <row r="68">
          <cell r="O68" t="str">
            <v>Расходы по управлению собственностью - межевание земельных участков</v>
          </cell>
        </row>
        <row r="69">
          <cell r="O69" t="str">
            <v>Расходы по управлению собственностью - межевание земельных участков</v>
          </cell>
        </row>
        <row r="70">
          <cell r="O70" t="str">
            <v>Расходы по управлению собственностью - межевание земельных участков</v>
          </cell>
        </row>
        <row r="71">
          <cell r="O71" t="str">
            <v>Оплата труда ППП (без соц. отчислений)</v>
          </cell>
        </row>
        <row r="72">
          <cell r="O72" t="str">
            <v>Оплата труда ППП (без соц. отчислений)</v>
          </cell>
        </row>
        <row r="73">
          <cell r="O73" t="str">
            <v>Оплата труда ППП (без соц. отчислений)</v>
          </cell>
        </row>
        <row r="74">
          <cell r="O74" t="str">
            <v>Оплата труда ППП (без соц. отчислений)</v>
          </cell>
        </row>
        <row r="75">
          <cell r="O75" t="str">
            <v>Оплата труда ППП (без соц. отчислений)</v>
          </cell>
        </row>
        <row r="76">
          <cell r="O76" t="str">
            <v>Оплата труда ППП (без соц. отчислений)</v>
          </cell>
        </row>
        <row r="77">
          <cell r="O77" t="str">
            <v>Страхование</v>
          </cell>
        </row>
        <row r="78">
          <cell r="O78" t="str">
            <v>Страхование</v>
          </cell>
        </row>
        <row r="79">
          <cell r="O79" t="str">
            <v>Страхование</v>
          </cell>
        </row>
        <row r="80">
          <cell r="O80" t="str">
            <v>Страхование</v>
          </cell>
        </row>
        <row r="81">
          <cell r="O81" t="str">
            <v>Отчисления на страховые взносы</v>
          </cell>
        </row>
        <row r="82">
          <cell r="O82" t="str">
            <v>Отчисления на страховые взносы</v>
          </cell>
        </row>
        <row r="83">
          <cell r="O83" t="str">
            <v>Отчисления на страховые взносы</v>
          </cell>
        </row>
        <row r="84">
          <cell r="O84" t="str">
            <v>Отчисления на страховые взносы</v>
          </cell>
        </row>
        <row r="85">
          <cell r="O85" t="str">
            <v>Отчисления на страховые взносы</v>
          </cell>
        </row>
        <row r="86">
          <cell r="O86" t="str">
            <v>Отчисления на страховые взносы</v>
          </cell>
        </row>
        <row r="87">
          <cell r="O87" t="str">
            <v>Отчисления на страховые взносы</v>
          </cell>
        </row>
        <row r="88">
          <cell r="O88" t="str">
            <v>Отчисления на страховые взносы</v>
          </cell>
        </row>
        <row r="89">
          <cell r="O89" t="str">
            <v>Отчисления на страховые взносы</v>
          </cell>
        </row>
        <row r="90">
          <cell r="O90" t="str">
            <v>Отчисления на страховые взносы</v>
          </cell>
        </row>
        <row r="91">
          <cell r="O91" t="str">
            <v>Отчисления на страховые взносы</v>
          </cell>
        </row>
        <row r="92">
          <cell r="O92" t="str">
            <v>Отчисления на страховые взносы</v>
          </cell>
        </row>
        <row r="93">
          <cell r="O93" t="str">
            <v>Отчисления на страховые взносы</v>
          </cell>
        </row>
        <row r="94">
          <cell r="O94" t="str">
            <v>Отчисления на страховые взносы</v>
          </cell>
        </row>
        <row r="95">
          <cell r="O95" t="str">
            <v>Отчисления на страховые взносы</v>
          </cell>
        </row>
        <row r="96">
          <cell r="O96" t="str">
            <v>Отчисления на страховые взносы</v>
          </cell>
        </row>
        <row r="97">
          <cell r="O97" t="str">
            <v>Отчисления на страховые взносы</v>
          </cell>
        </row>
        <row r="98">
          <cell r="O98" t="str">
            <v>Отчисления на страховые взносы</v>
          </cell>
        </row>
        <row r="99">
          <cell r="O99" t="str">
            <v>Отчисления на страховые взносы</v>
          </cell>
        </row>
        <row r="100">
          <cell r="O100" t="str">
            <v>Отчисления на страховые взносы</v>
          </cell>
        </row>
        <row r="101">
          <cell r="O101" t="str">
            <v>Энергия на хозяйственные нужды</v>
          </cell>
        </row>
        <row r="102">
          <cell r="O102" t="str">
            <v xml:space="preserve"> - налоги и сборы, уменьшающие налогооблагаемую базу на прибыль организаций, всего</v>
          </cell>
        </row>
        <row r="103">
          <cell r="O103" t="str">
            <v xml:space="preserve"> - работы и услуги производственного характера</v>
          </cell>
        </row>
        <row r="104">
          <cell r="O104" t="str">
            <v>прочие</v>
          </cell>
        </row>
        <row r="105">
          <cell r="O105" t="str">
            <v>расходы на информационное обслуживание, консультационные и юридические услуги</v>
          </cell>
        </row>
        <row r="106">
          <cell r="O106" t="str">
            <v>расходы на информационное обслуживание, консультационные и юридические услуги</v>
          </cell>
        </row>
        <row r="107">
          <cell r="O107" t="str">
            <v>расходы на информационное обслуживание, консультационные и юридические услуги</v>
          </cell>
        </row>
        <row r="108">
          <cell r="O108" t="str">
            <v>расходы на информационное обслуживание, консультационные и юридические услуги</v>
          </cell>
        </row>
        <row r="109">
          <cell r="O109" t="str">
            <v>расходы на информационное обслуживание, консультационные и юридические услуги</v>
          </cell>
        </row>
        <row r="110">
          <cell r="O110" t="str">
            <v>Услуги коммунального хозяйства</v>
          </cell>
        </row>
        <row r="111">
          <cell r="O111" t="str">
            <v>Услуги коммунального хозяйства</v>
          </cell>
        </row>
        <row r="112">
          <cell r="O112" t="str">
            <v>Услуги коммунального хозяйства</v>
          </cell>
        </row>
        <row r="113">
          <cell r="O113" t="str">
            <v>прочие</v>
          </cell>
        </row>
        <row r="114">
          <cell r="O114" t="str">
            <v>Услуги по аккредитации (аттестации) и экспертизе в области метрологического обеспечения и качества э/э</v>
          </cell>
        </row>
        <row r="115">
          <cell r="O115" t="str">
            <v>Услуги по аккредитации (аттестации) и экспертизе в области метрологического обеспечения и качества э/э</v>
          </cell>
        </row>
        <row r="116">
          <cell r="O116" t="str">
            <v xml:space="preserve"> - работы и услуги производственного характера</v>
          </cell>
        </row>
        <row r="117">
          <cell r="O117" t="str">
            <v>Услуги по аккредитации (аттестации) и экспертизе в области метрологического обеспечения и качества э/э</v>
          </cell>
        </row>
        <row r="118">
          <cell r="O118" t="str">
            <v>Услуги по организации функционирования и развитию ЕЭС России</v>
          </cell>
        </row>
        <row r="119">
          <cell r="O119" t="str">
            <v>Услуги по аккредитации (аттестации) и экспертизе в области метрологического обеспечения и качества э/э</v>
          </cell>
        </row>
        <row r="120">
          <cell r="O120" t="str">
            <v>прочие</v>
          </cell>
        </row>
        <row r="121">
          <cell r="O121" t="str">
            <v>прочие</v>
          </cell>
        </row>
        <row r="122">
          <cell r="O122" t="str">
            <v>прочие</v>
          </cell>
        </row>
        <row r="123">
          <cell r="O123" t="str">
            <v>прочие</v>
          </cell>
        </row>
        <row r="124">
          <cell r="O124" t="str">
            <v>прочие</v>
          </cell>
        </row>
        <row r="125">
          <cell r="O125" t="str">
            <v>прочие</v>
          </cell>
        </row>
        <row r="126">
          <cell r="O126" t="str">
            <v xml:space="preserve"> - работы и услуги производственного характера</v>
          </cell>
        </row>
        <row r="127">
          <cell r="O127" t="str">
            <v xml:space="preserve"> - работы и услуги производственного характера</v>
          </cell>
        </row>
        <row r="128">
          <cell r="O128" t="str">
            <v xml:space="preserve"> - работы и услуги производственного характера</v>
          </cell>
        </row>
        <row r="129">
          <cell r="O129" t="str">
            <v xml:space="preserve"> - работы и услуги производственного характера</v>
          </cell>
        </row>
        <row r="130">
          <cell r="O130" t="str">
            <v xml:space="preserve"> - работы и услуги производственного характера</v>
          </cell>
        </row>
        <row r="131">
          <cell r="O131" t="str">
            <v xml:space="preserve"> - работы и услуги производственного характера</v>
          </cell>
        </row>
        <row r="132">
          <cell r="O132" t="str">
            <v xml:space="preserve"> - работы и услуги производственного характера</v>
          </cell>
        </row>
        <row r="133">
          <cell r="O133" t="str">
            <v>расходы на охрану и пожарную безопасность</v>
          </cell>
        </row>
        <row r="134">
          <cell r="O134" t="str">
            <v>расходы на охрану и пожарную безопасность</v>
          </cell>
        </row>
        <row r="135">
          <cell r="O135" t="str">
            <v>прочие</v>
          </cell>
        </row>
        <row r="136">
          <cell r="O136" t="str">
            <v>услуги связи</v>
          </cell>
        </row>
        <row r="137">
          <cell r="O137" t="str">
            <v>услуги связи</v>
          </cell>
        </row>
        <row r="138">
          <cell r="O138" t="str">
            <v>услуги связи</v>
          </cell>
        </row>
        <row r="139">
          <cell r="O139" t="str">
            <v>услуги связи</v>
          </cell>
        </row>
        <row r="140">
          <cell r="O140" t="str">
            <v>услуги связи</v>
          </cell>
        </row>
        <row r="141">
          <cell r="O141" t="str">
            <v>услуги связи</v>
          </cell>
        </row>
        <row r="142">
          <cell r="O142" t="str">
            <v>услуги связи</v>
          </cell>
        </row>
        <row r="143">
          <cell r="O143" t="str">
            <v xml:space="preserve">Услуги PR, СМИ, рекламы </v>
          </cell>
        </row>
        <row r="144">
          <cell r="O144" t="str">
            <v>прочие</v>
          </cell>
        </row>
        <row r="145">
          <cell r="O145" t="str">
            <v>расходы на охрану и пожарную безопасность</v>
          </cell>
        </row>
        <row r="146">
          <cell r="O146" t="str">
            <v xml:space="preserve"> - налоги и сборы, уменьшающие налогооблагаемую базу на прибыль организаций, всего</v>
          </cell>
        </row>
        <row r="147">
          <cell r="O147" t="str">
            <v>Энергия на хозяйственные нужды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Лист1"/>
      <sheetName val="TEHSHEET"/>
    </sheetNames>
    <sheetDataSet>
      <sheetData sheetId="0"/>
      <sheetData sheetId="1"/>
      <sheetData sheetId="2">
        <row r="13">
          <cell r="E13" t="str">
            <v>Ставропольский край</v>
          </cell>
        </row>
        <row r="21">
          <cell r="D21" t="str">
            <v>МУП "Горэлектросеть" г. Ставрополь</v>
          </cell>
          <cell r="I21">
            <v>2633005874</v>
          </cell>
        </row>
        <row r="27">
          <cell r="F27" t="str">
            <v>Предложение организации</v>
          </cell>
        </row>
      </sheetData>
      <sheetData sheetId="3"/>
      <sheetData sheetId="4"/>
      <sheetData sheetId="5">
        <row r="17">
          <cell r="I17">
            <v>469.84445770120851</v>
          </cell>
          <cell r="N17">
            <v>516.92380467986629</v>
          </cell>
          <cell r="S17">
            <v>537.0990038570327</v>
          </cell>
          <cell r="X17">
            <v>536.54096811519685</v>
          </cell>
          <cell r="AC17">
            <v>434.53</v>
          </cell>
        </row>
        <row r="19">
          <cell r="Z19">
            <v>35.96</v>
          </cell>
          <cell r="AB19">
            <v>966.54</v>
          </cell>
        </row>
        <row r="20">
          <cell r="F20">
            <v>32.333868927680797</v>
          </cell>
          <cell r="H20">
            <v>869.07613107231919</v>
          </cell>
          <cell r="K20">
            <v>33.96397787531172</v>
          </cell>
          <cell r="M20">
            <v>912.89052212468835</v>
          </cell>
          <cell r="R20">
            <v>952.02266222443893</v>
          </cell>
          <cell r="U20">
            <v>35.673815792518702</v>
          </cell>
          <cell r="W20">
            <v>958.84788420748134</v>
          </cell>
        </row>
        <row r="23">
          <cell r="I23">
            <v>1.17</v>
          </cell>
          <cell r="N23">
            <v>1.3432999999999999</v>
          </cell>
          <cell r="S23">
            <v>1.17</v>
          </cell>
          <cell r="X23">
            <v>1.171</v>
          </cell>
          <cell r="AC23">
            <v>1.33</v>
          </cell>
        </row>
        <row r="25">
          <cell r="F25">
            <v>32.377000000000002</v>
          </cell>
          <cell r="H25">
            <v>370.17500000000001</v>
          </cell>
          <cell r="I25">
            <v>427.255</v>
          </cell>
          <cell r="K25">
            <v>33.922699999999999</v>
          </cell>
          <cell r="M25">
            <v>344.02740000000006</v>
          </cell>
          <cell r="N25">
            <v>441.37350000000004</v>
          </cell>
          <cell r="R25">
            <v>374.3</v>
          </cell>
          <cell r="S25">
            <v>477.93600000000004</v>
          </cell>
          <cell r="U25">
            <v>35.636399999999995</v>
          </cell>
          <cell r="W25">
            <v>374.64159999999993</v>
          </cell>
          <cell r="X25">
            <v>467.27100000000007</v>
          </cell>
          <cell r="Z25">
            <v>35.96</v>
          </cell>
          <cell r="AB25">
            <v>483.98</v>
          </cell>
          <cell r="AC25">
            <v>364.54</v>
          </cell>
        </row>
      </sheetData>
      <sheetData sheetId="6">
        <row r="17">
          <cell r="I17">
            <v>80.323653935612967</v>
          </cell>
          <cell r="N17">
            <v>64.144877084103342</v>
          </cell>
          <cell r="S17">
            <v>86.392115509858144</v>
          </cell>
          <cell r="X17">
            <v>66.487928993761386</v>
          </cell>
          <cell r="AC17">
            <v>67.329423226021603</v>
          </cell>
        </row>
        <row r="19">
          <cell r="Z19">
            <v>5.5750000000000002</v>
          </cell>
          <cell r="AB19">
            <v>149.815</v>
          </cell>
        </row>
        <row r="20">
          <cell r="F20">
            <v>7.67</v>
          </cell>
          <cell r="H20">
            <v>140</v>
          </cell>
          <cell r="K20">
            <v>5.2</v>
          </cell>
          <cell r="M20">
            <v>142</v>
          </cell>
          <cell r="R20">
            <v>156.80000000000001</v>
          </cell>
          <cell r="U20">
            <v>5.5192500000000004</v>
          </cell>
          <cell r="W20">
            <v>148.1</v>
          </cell>
        </row>
        <row r="21">
          <cell r="H21">
            <v>4.4676887713281834</v>
          </cell>
          <cell r="I21">
            <v>6.3836539356129656</v>
          </cell>
          <cell r="K21">
            <v>0</v>
          </cell>
          <cell r="L21">
            <v>0</v>
          </cell>
          <cell r="M21">
            <v>8.0418397883907318</v>
          </cell>
          <cell r="N21">
            <v>11.490577084103339</v>
          </cell>
          <cell r="R21">
            <v>6.2547642798594563</v>
          </cell>
          <cell r="S21">
            <v>8.9371155098581507</v>
          </cell>
          <cell r="U21">
            <v>0</v>
          </cell>
          <cell r="V21">
            <v>0</v>
          </cell>
          <cell r="W21">
            <v>7.3716864726915032</v>
          </cell>
          <cell r="X21">
            <v>10.533028993761393</v>
          </cell>
          <cell r="AB21">
            <v>7.4461479522136393</v>
          </cell>
          <cell r="AC21">
            <v>10.639423226021609</v>
          </cell>
        </row>
        <row r="23">
          <cell r="I23">
            <v>0.1</v>
          </cell>
          <cell r="N23">
            <v>0.1</v>
          </cell>
          <cell r="S23">
            <v>1.7999999999999999E-2</v>
          </cell>
          <cell r="X23">
            <v>0.01</v>
          </cell>
          <cell r="AC23">
            <v>0.18</v>
          </cell>
        </row>
        <row r="25">
          <cell r="F25">
            <v>7.67</v>
          </cell>
          <cell r="H25">
            <v>55.25</v>
          </cell>
          <cell r="I25">
            <v>73.84</v>
          </cell>
          <cell r="K25">
            <v>5.1847500000000002</v>
          </cell>
          <cell r="L25">
            <v>0</v>
          </cell>
          <cell r="M25">
            <v>69.777900000000002</v>
          </cell>
          <cell r="N25">
            <v>52.554299999999998</v>
          </cell>
          <cell r="R25">
            <v>64.153999999999996</v>
          </cell>
          <cell r="S25">
            <v>77.436999999999998</v>
          </cell>
          <cell r="X25">
            <v>0.01</v>
          </cell>
          <cell r="Z25">
            <v>5.5750000000000002</v>
          </cell>
          <cell r="AA25">
            <v>0</v>
          </cell>
          <cell r="AB25">
            <v>75.03</v>
          </cell>
          <cell r="AC25">
            <v>56.51</v>
          </cell>
        </row>
      </sheetData>
      <sheetData sheetId="7">
        <row r="10">
          <cell r="E10">
            <v>147.66999999999999</v>
          </cell>
          <cell r="F10">
            <v>147.19999999999999</v>
          </cell>
          <cell r="G10">
            <v>156.80000000000001</v>
          </cell>
          <cell r="H10">
            <v>153.61924999999999</v>
          </cell>
          <cell r="I10">
            <v>155.38999999999999</v>
          </cell>
          <cell r="J10">
            <v>99.100765306122426</v>
          </cell>
          <cell r="K10">
            <v>101.15268757007992</v>
          </cell>
          <cell r="L10">
            <v>105.22787295997833</v>
          </cell>
          <cell r="M10">
            <v>105.56385869565217</v>
          </cell>
        </row>
        <row r="11">
          <cell r="E11">
            <v>217.04231122867182</v>
          </cell>
          <cell r="F11">
            <v>191.71246021160925</v>
          </cell>
          <cell r="G11">
            <v>227.98223572014058</v>
          </cell>
          <cell r="H11">
            <v>202.19246352730849</v>
          </cell>
          <cell r="I11">
            <v>204.45385204778634</v>
          </cell>
          <cell r="J11">
            <v>89.679729388549163</v>
          </cell>
          <cell r="K11">
            <v>101.1184336354715</v>
          </cell>
          <cell r="L11">
            <v>94.199997636579482</v>
          </cell>
          <cell r="M11">
            <v>106.64609479327183</v>
          </cell>
        </row>
        <row r="12">
          <cell r="E12">
            <v>136.76</v>
          </cell>
          <cell r="F12">
            <v>127.51694999999999</v>
          </cell>
          <cell r="G12">
            <v>141.59100000000001</v>
          </cell>
          <cell r="H12">
            <v>0.01</v>
          </cell>
          <cell r="I12">
            <v>137.11500000000001</v>
          </cell>
          <cell r="J12">
            <v>96.838782125982576</v>
          </cell>
          <cell r="K12">
            <v>1371150</v>
          </cell>
          <cell r="L12">
            <v>100.25957882421761</v>
          </cell>
          <cell r="M12">
            <v>107.52688172043013</v>
          </cell>
        </row>
        <row r="13">
          <cell r="E13">
            <v>83675.862068224087</v>
          </cell>
          <cell r="F13">
            <v>114126.09082645236</v>
          </cell>
          <cell r="G13">
            <v>120974.44770220658</v>
          </cell>
          <cell r="H13">
            <v>204233.65902357714</v>
          </cell>
          <cell r="I13">
            <v>250167.36160335306</v>
          </cell>
          <cell r="J13">
            <v>206.793555461539</v>
          </cell>
          <cell r="K13">
            <v>122.49076023970819</v>
          </cell>
          <cell r="L13">
            <v>298.971956093362</v>
          </cell>
          <cell r="M13">
            <v>219.20260283318913</v>
          </cell>
        </row>
        <row r="14">
          <cell r="E14">
            <v>14895.575221238938</v>
          </cell>
          <cell r="F14">
            <v>31073.79</v>
          </cell>
          <cell r="G14">
            <v>22086.6</v>
          </cell>
          <cell r="H14">
            <v>21534</v>
          </cell>
          <cell r="I14">
            <v>30571.744516899995</v>
          </cell>
          <cell r="J14">
            <v>138.41761301830067</v>
          </cell>
          <cell r="K14">
            <v>141.96965039890404</v>
          </cell>
          <cell r="L14">
            <v>205.24044263365607</v>
          </cell>
          <cell r="M14">
            <v>98.38434422354014</v>
          </cell>
        </row>
        <row r="15">
          <cell r="E15">
            <v>4389.3805309734516</v>
          </cell>
          <cell r="F15">
            <v>4929.42</v>
          </cell>
          <cell r="G15">
            <v>5624.6</v>
          </cell>
          <cell r="H15">
            <v>5448</v>
          </cell>
          <cell r="I15">
            <v>7042.0529999999999</v>
          </cell>
          <cell r="J15">
            <v>125.20095651246311</v>
          </cell>
          <cell r="K15">
            <v>129.25941629955946</v>
          </cell>
          <cell r="L15">
            <v>160.43386874999999</v>
          </cell>
          <cell r="M15">
            <v>142.85763842399308</v>
          </cell>
        </row>
        <row r="16">
          <cell r="E16">
            <v>10506.194690265487</v>
          </cell>
          <cell r="F16">
            <v>26144.37</v>
          </cell>
          <cell r="G16">
            <v>16462</v>
          </cell>
          <cell r="H16">
            <v>16086</v>
          </cell>
          <cell r="I16">
            <v>23529.691516899995</v>
          </cell>
          <cell r="J16">
            <v>142.93337089600288</v>
          </cell>
          <cell r="K16">
            <v>146.2743473635459</v>
          </cell>
          <cell r="L16">
            <v>223.96017026698951</v>
          </cell>
          <cell r="M16">
            <v>89.99907634760369</v>
          </cell>
        </row>
        <row r="17">
          <cell r="E17">
            <v>1413.4769999999999</v>
          </cell>
          <cell r="F17">
            <v>1623.4855139999997</v>
          </cell>
          <cell r="G17">
            <v>1524.8142</v>
          </cell>
          <cell r="H17">
            <v>1526.1174599999999</v>
          </cell>
          <cell r="I17">
            <v>1794.2848177999258</v>
          </cell>
          <cell r="J17">
            <v>117.6723575764133</v>
          </cell>
          <cell r="K17">
            <v>117.57186879966146</v>
          </cell>
          <cell r="L17">
            <v>126.94121077314495</v>
          </cell>
          <cell r="M17">
            <v>110.52053143234428</v>
          </cell>
        </row>
        <row r="18">
          <cell r="E18">
            <v>1413.4769999999999</v>
          </cell>
          <cell r="F18">
            <v>1623.4855139999997</v>
          </cell>
          <cell r="G18">
            <v>1524.8142</v>
          </cell>
          <cell r="H18">
            <v>1526.1174599999999</v>
          </cell>
          <cell r="I18">
            <v>1794.2848177999258</v>
          </cell>
          <cell r="J18">
            <v>117.6723575764133</v>
          </cell>
          <cell r="K18">
            <v>117.57186879966146</v>
          </cell>
          <cell r="L18">
            <v>126.94121077314495</v>
          </cell>
          <cell r="M18">
            <v>110.52053143234428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14240.077600000002</v>
          </cell>
          <cell r="F20">
            <v>15361.0034</v>
          </cell>
          <cell r="G20">
            <v>15550.872815561321</v>
          </cell>
          <cell r="H20">
            <v>16644.115938288003</v>
          </cell>
          <cell r="I20">
            <v>17507.496841422879</v>
          </cell>
          <cell r="J20">
            <v>112.58208493547461</v>
          </cell>
          <cell r="K20">
            <v>105.18730406791244</v>
          </cell>
          <cell r="L20">
            <v>122.9452348028137</v>
          </cell>
          <cell r="M20">
            <v>113.97365383971518</v>
          </cell>
        </row>
        <row r="21">
          <cell r="E21">
            <v>7.760000000052969E-2</v>
          </cell>
          <cell r="F21">
            <v>530.0033999999996</v>
          </cell>
          <cell r="G21">
            <v>710.87281556132075</v>
          </cell>
          <cell r="H21">
            <v>13141.115938288003</v>
          </cell>
          <cell r="I21">
            <v>4437.0568414228801</v>
          </cell>
          <cell r="J21">
            <v>624.17027973130223</v>
          </cell>
          <cell r="K21">
            <v>33.764688343514685</v>
          </cell>
          <cell r="L21">
            <v>5717856.7543718982</v>
          </cell>
          <cell r="M21">
            <v>837.17516555985935</v>
          </cell>
        </row>
        <row r="22">
          <cell r="E22">
            <v>14240.000000000002</v>
          </cell>
          <cell r="F22">
            <v>14831</v>
          </cell>
          <cell r="G22">
            <v>14840</v>
          </cell>
          <cell r="H22">
            <v>3503</v>
          </cell>
          <cell r="I22">
            <v>13070.439999999999</v>
          </cell>
          <cell r="J22">
            <v>88.075741239892167</v>
          </cell>
          <cell r="K22">
            <v>373.12132457893227</v>
          </cell>
          <cell r="L22">
            <v>91.786797752808965</v>
          </cell>
          <cell r="M22">
            <v>88.129188861169155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9368.6833910663063</v>
          </cell>
          <cell r="F25">
            <v>9757.5100683219353</v>
          </cell>
          <cell r="G25">
            <v>9763.4312867573008</v>
          </cell>
          <cell r="H25">
            <v>2304.6697976759315</v>
          </cell>
          <cell r="I25">
            <v>9203.24</v>
          </cell>
          <cell r="J25">
            <v>94.262352340031114</v>
          </cell>
          <cell r="K25">
            <v>399.33009098660051</v>
          </cell>
          <cell r="L25">
            <v>98.234080668964978</v>
          </cell>
          <cell r="M25">
            <v>94.319554226017246</v>
          </cell>
        </row>
        <row r="26">
          <cell r="E26">
            <v>4871.3166089336955</v>
          </cell>
          <cell r="F26">
            <v>5073.4899316780638</v>
          </cell>
          <cell r="G26">
            <v>5076.5687132426992</v>
          </cell>
          <cell r="H26">
            <v>1198.3302023240683</v>
          </cell>
          <cell r="I26">
            <v>3867.2</v>
          </cell>
          <cell r="J26">
            <v>76.177438314033864</v>
          </cell>
          <cell r="K26">
            <v>322.71572497295534</v>
          </cell>
          <cell r="L26">
            <v>79.387161838501569</v>
          </cell>
          <cell r="M26">
            <v>76.223665604494812</v>
          </cell>
        </row>
        <row r="27">
          <cell r="E27">
            <v>35401.953485923201</v>
          </cell>
          <cell r="F27">
            <v>36773.579169089513</v>
          </cell>
          <cell r="G27">
            <v>45029.914686645279</v>
          </cell>
          <cell r="H27">
            <v>50489.425625289128</v>
          </cell>
          <cell r="I27">
            <v>67974.964403809645</v>
          </cell>
          <cell r="J27">
            <v>150.95512589094307</v>
          </cell>
          <cell r="K27">
            <v>134.63208099908027</v>
          </cell>
          <cell r="L27">
            <v>192.00907777825981</v>
          </cell>
          <cell r="M27">
            <v>184.84728965666426</v>
          </cell>
        </row>
        <row r="28">
          <cell r="E28">
            <v>9357.5221238938066</v>
          </cell>
          <cell r="F28">
            <v>9583.1858407079653</v>
          </cell>
          <cell r="G28">
            <v>11887.92</v>
          </cell>
          <cell r="H28">
            <v>13361</v>
          </cell>
          <cell r="I28">
            <v>15856.486800000002</v>
          </cell>
          <cell r="J28">
            <v>133.38318898512105</v>
          </cell>
          <cell r="K28">
            <v>118.67739540453562</v>
          </cell>
          <cell r="L28">
            <v>169.45176928314734</v>
          </cell>
          <cell r="M28">
            <v>165.46153923723338</v>
          </cell>
        </row>
        <row r="29">
          <cell r="E29">
            <v>2853.9823008849562</v>
          </cell>
          <cell r="F29">
            <v>3925.6637168141597</v>
          </cell>
          <cell r="G29">
            <v>4318.2259999999997</v>
          </cell>
          <cell r="H29">
            <v>6029</v>
          </cell>
          <cell r="I29">
            <v>8686.6</v>
          </cell>
          <cell r="J29">
            <v>201.16131022322597</v>
          </cell>
          <cell r="K29">
            <v>144.08027865317632</v>
          </cell>
          <cell r="L29">
            <v>304.36768992248057</v>
          </cell>
          <cell r="M29">
            <v>221.27723174030658</v>
          </cell>
        </row>
        <row r="30">
          <cell r="E30">
            <v>5513.2743362831861</v>
          </cell>
          <cell r="F30">
            <v>15785.38318584071</v>
          </cell>
          <cell r="G30">
            <v>20576.099999999999</v>
          </cell>
          <cell r="H30">
            <v>94650</v>
          </cell>
          <cell r="I30">
            <v>107775.78422342062</v>
          </cell>
          <cell r="J30">
            <v>523.791117964146</v>
          </cell>
          <cell r="K30">
            <v>113.86770652236726</v>
          </cell>
          <cell r="L30">
            <v>1954.8416721101971</v>
          </cell>
          <cell r="M30">
            <v>682.75684507991002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E36">
            <v>176.9911504424779</v>
          </cell>
          <cell r="F36">
            <v>2484.4982300884958</v>
          </cell>
          <cell r="G36">
            <v>6065.8</v>
          </cell>
          <cell r="H36">
            <v>1185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1124.7787610619471</v>
          </cell>
          <cell r="F37">
            <v>736.72566371681432</v>
          </cell>
          <cell r="G37">
            <v>1221.3200000000002</v>
          </cell>
          <cell r="H37">
            <v>1121</v>
          </cell>
          <cell r="I37">
            <v>54.882629999999999</v>
          </cell>
          <cell r="J37">
            <v>4.4937141781023797</v>
          </cell>
          <cell r="K37">
            <v>4.8958635147190011</v>
          </cell>
          <cell r="L37">
            <v>4.8794155704169935</v>
          </cell>
          <cell r="M37">
            <v>7.4495341621621609</v>
          </cell>
        </row>
        <row r="38">
          <cell r="E38">
            <v>1039.8230088495577</v>
          </cell>
          <cell r="F38">
            <v>573.45132743362842</v>
          </cell>
          <cell r="G38">
            <v>1067.42</v>
          </cell>
          <cell r="H38">
            <v>970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52.212389380530979</v>
          </cell>
          <cell r="F39">
            <v>125.6637168141593</v>
          </cell>
          <cell r="G39">
            <v>113.97</v>
          </cell>
          <cell r="H39">
            <v>111</v>
          </cell>
          <cell r="I39">
            <v>14.882630000000001</v>
          </cell>
          <cell r="J39">
            <v>13.058375010967799</v>
          </cell>
          <cell r="K39">
            <v>13.407774774774776</v>
          </cell>
          <cell r="L39">
            <v>28.504020169491522</v>
          </cell>
          <cell r="M39">
            <v>11.843219647887324</v>
          </cell>
        </row>
        <row r="40">
          <cell r="E40">
            <v>32.743362831858413</v>
          </cell>
          <cell r="F40">
            <v>37.610619469026553</v>
          </cell>
          <cell r="G40">
            <v>39.93</v>
          </cell>
          <cell r="H40">
            <v>40</v>
          </cell>
          <cell r="I40">
            <v>40</v>
          </cell>
          <cell r="J40">
            <v>100.17530678687703</v>
          </cell>
          <cell r="K40">
            <v>100</v>
          </cell>
          <cell r="L40">
            <v>122.16216216216213</v>
          </cell>
          <cell r="M40">
            <v>106.35294117647058</v>
          </cell>
        </row>
        <row r="41">
          <cell r="E41">
            <v>4211.5044247787609</v>
          </cell>
          <cell r="F41">
            <v>12564.1592920354</v>
          </cell>
          <cell r="G41">
            <v>13288.98</v>
          </cell>
          <cell r="H41">
            <v>92344</v>
          </cell>
          <cell r="I41">
            <v>107720.90159342063</v>
          </cell>
          <cell r="J41">
            <v>810.60323360724919</v>
          </cell>
          <cell r="K41">
            <v>116.65176036712795</v>
          </cell>
          <cell r="L41">
            <v>2557.7772389276174</v>
          </cell>
          <cell r="M41">
            <v>857.36657017478637</v>
          </cell>
        </row>
        <row r="42">
          <cell r="E42">
            <v>918.58407079646031</v>
          </cell>
          <cell r="F42">
            <v>1096.4601769911505</v>
          </cell>
          <cell r="G42">
            <v>295.7</v>
          </cell>
          <cell r="H42">
            <v>725</v>
          </cell>
          <cell r="I42">
            <v>1523.413</v>
          </cell>
          <cell r="J42">
            <v>515.18870476834627</v>
          </cell>
          <cell r="K42">
            <v>210.12593103448273</v>
          </cell>
          <cell r="L42">
            <v>165.84361175337185</v>
          </cell>
          <cell r="M42">
            <v>138.9392001614205</v>
          </cell>
        </row>
        <row r="43">
          <cell r="E43">
            <v>870.79646017699122</v>
          </cell>
          <cell r="F43">
            <v>1518.5840707964603</v>
          </cell>
          <cell r="G43">
            <v>1057</v>
          </cell>
          <cell r="H43">
            <v>1976</v>
          </cell>
          <cell r="I43">
            <v>2038.47199</v>
          </cell>
          <cell r="J43">
            <v>192.85449290444654</v>
          </cell>
          <cell r="K43">
            <v>103.16153795546559</v>
          </cell>
          <cell r="L43">
            <v>234.09281998983738</v>
          </cell>
          <cell r="M43">
            <v>134.2350436305361</v>
          </cell>
        </row>
        <row r="44">
          <cell r="F44">
            <v>710.6194690265487</v>
          </cell>
          <cell r="G44">
            <v>679</v>
          </cell>
          <cell r="H44">
            <v>264</v>
          </cell>
          <cell r="I44">
            <v>542.11282499999993</v>
          </cell>
          <cell r="J44">
            <v>79.839885861561115</v>
          </cell>
          <cell r="K44">
            <v>205.34576704545452</v>
          </cell>
          <cell r="L44">
            <v>0</v>
          </cell>
          <cell r="M44">
            <v>76.287358935242821</v>
          </cell>
        </row>
        <row r="45">
          <cell r="G45">
            <v>371.5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359.2920353982301</v>
          </cell>
          <cell r="F46">
            <v>579.64601769911508</v>
          </cell>
          <cell r="G46">
            <v>142.88</v>
          </cell>
          <cell r="H46">
            <v>935</v>
          </cell>
          <cell r="I46">
            <v>2206.6385432881357</v>
          </cell>
          <cell r="J46">
            <v>1544.3998763214836</v>
          </cell>
          <cell r="K46">
            <v>236.00412227680593</v>
          </cell>
          <cell r="L46">
            <v>614.16294431418555</v>
          </cell>
          <cell r="M46">
            <v>380.68726013978522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203.53982300884957</v>
          </cell>
          <cell r="F48">
            <v>666.37168141592929</v>
          </cell>
          <cell r="G48">
            <v>247.3</v>
          </cell>
          <cell r="H48">
            <v>228</v>
          </cell>
          <cell r="I48">
            <v>1169.5153500000001</v>
          </cell>
          <cell r="J48">
            <v>472.91360695511526</v>
          </cell>
          <cell r="K48">
            <v>512.94532894736847</v>
          </cell>
          <cell r="L48">
            <v>574.58797630434788</v>
          </cell>
          <cell r="M48">
            <v>175.50495956175297</v>
          </cell>
        </row>
        <row r="49">
          <cell r="E49">
            <v>200</v>
          </cell>
          <cell r="F49">
            <v>158.40707964601771</v>
          </cell>
          <cell r="G49">
            <v>296.7</v>
          </cell>
          <cell r="H49">
            <v>250</v>
          </cell>
          <cell r="I49">
            <v>317.68299999999999</v>
          </cell>
          <cell r="J49">
            <v>107.07212672733402</v>
          </cell>
          <cell r="K49">
            <v>127.0732</v>
          </cell>
          <cell r="L49">
            <v>158.8415</v>
          </cell>
          <cell r="M49">
            <v>200.54848603351957</v>
          </cell>
        </row>
        <row r="50">
          <cell r="E50">
            <v>468.14159292035401</v>
          </cell>
          <cell r="F50">
            <v>2860.4424778761068</v>
          </cell>
          <cell r="G50">
            <v>681.6</v>
          </cell>
          <cell r="H50">
            <v>3497</v>
          </cell>
          <cell r="I50">
            <v>3470.0727090999999</v>
          </cell>
          <cell r="J50">
            <v>509.10691154636146</v>
          </cell>
          <cell r="K50">
            <v>99.229988821847286</v>
          </cell>
          <cell r="L50">
            <v>741.24426489281655</v>
          </cell>
          <cell r="M50">
            <v>121.31244504789156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2162.8318584070798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1191.1504424778761</v>
          </cell>
          <cell r="F53">
            <v>2810.7964601769913</v>
          </cell>
          <cell r="G53">
            <v>9517.2999999999993</v>
          </cell>
          <cell r="H53">
            <v>84469</v>
          </cell>
          <cell r="I53">
            <v>96452.994176032487</v>
          </cell>
          <cell r="J53">
            <v>1013.4491313296049</v>
          </cell>
          <cell r="K53">
            <v>114.1874464904669</v>
          </cell>
          <cell r="L53">
            <v>8097.4653357293246</v>
          </cell>
          <cell r="M53">
            <v>3431.5182740040518</v>
          </cell>
        </row>
        <row r="54">
          <cell r="E54">
            <v>3886.4955752212391</v>
          </cell>
          <cell r="F54">
            <v>10135.265486725664</v>
          </cell>
          <cell r="G54">
            <v>924.82</v>
          </cell>
          <cell r="H54">
            <v>4591</v>
          </cell>
          <cell r="I54">
            <v>236.64614999999998</v>
          </cell>
          <cell r="J54">
            <v>25.588346921563108</v>
          </cell>
          <cell r="K54">
            <v>5.1545665432367676</v>
          </cell>
          <cell r="L54">
            <v>6.0889339874400576</v>
          </cell>
          <cell r="M54">
            <v>2.3348786502922847</v>
          </cell>
        </row>
        <row r="55">
          <cell r="E55">
            <v>88.495575221238951</v>
          </cell>
          <cell r="F55">
            <v>395.13274336283189</v>
          </cell>
          <cell r="G55">
            <v>263.60000000000002</v>
          </cell>
          <cell r="H55">
            <v>66</v>
          </cell>
          <cell r="I55">
            <v>121.64615000000002</v>
          </cell>
          <cell r="J55">
            <v>46.148008345978759</v>
          </cell>
          <cell r="K55">
            <v>184.31234848484851</v>
          </cell>
          <cell r="L55">
            <v>137.4601495</v>
          </cell>
          <cell r="M55">
            <v>30.786147704367306</v>
          </cell>
        </row>
        <row r="56">
          <cell r="F56">
            <v>7845.132743362833</v>
          </cell>
          <cell r="H56">
            <v>3913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624.99999999999989</v>
          </cell>
          <cell r="F57">
            <v>618.99999999999989</v>
          </cell>
          <cell r="G57">
            <v>656.25</v>
          </cell>
          <cell r="H57">
            <v>611.99999999999989</v>
          </cell>
          <cell r="I57">
            <v>114.99999999999997</v>
          </cell>
          <cell r="J57">
            <v>17.523809523809518</v>
          </cell>
          <cell r="K57">
            <v>18.790849673202615</v>
          </cell>
          <cell r="L57">
            <v>18.399999999999999</v>
          </cell>
          <cell r="M57">
            <v>18.578352180936992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510.95964151743789</v>
          </cell>
          <cell r="F60">
            <v>506.05442895887046</v>
          </cell>
          <cell r="G60">
            <v>538.125</v>
          </cell>
          <cell r="H60">
            <v>500.33168097387511</v>
          </cell>
          <cell r="I60">
            <v>94.016574039208564</v>
          </cell>
          <cell r="J60">
            <v>17.471140355718202</v>
          </cell>
          <cell r="K60">
            <v>18.790849673202615</v>
          </cell>
          <cell r="L60">
            <v>18.399999999999999</v>
          </cell>
          <cell r="M60">
            <v>18.578352180936992</v>
          </cell>
        </row>
        <row r="61">
          <cell r="E61">
            <v>114.04035848256204</v>
          </cell>
          <cell r="F61">
            <v>112.94557104112944</v>
          </cell>
          <cell r="G61">
            <v>118.125</v>
          </cell>
          <cell r="H61">
            <v>111.66831902612475</v>
          </cell>
          <cell r="I61">
            <v>20.983425960791415</v>
          </cell>
          <cell r="J61">
            <v>17.763746845114426</v>
          </cell>
          <cell r="K61">
            <v>18.790849673202615</v>
          </cell>
          <cell r="L61">
            <v>18.399999999999999</v>
          </cell>
          <cell r="M61">
            <v>18.578352180936996</v>
          </cell>
        </row>
        <row r="62">
          <cell r="E62">
            <v>3173</v>
          </cell>
          <cell r="F62">
            <v>1276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G63">
            <v>4.97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87562.357643445328</v>
          </cell>
          <cell r="F64">
            <v>124261.35631317802</v>
          </cell>
          <cell r="G64">
            <v>121899.26770220659</v>
          </cell>
          <cell r="H64">
            <v>208824.65902357714</v>
          </cell>
          <cell r="I64">
            <v>250404.00775335304</v>
          </cell>
          <cell r="J64">
            <v>205.41879575936147</v>
          </cell>
          <cell r="K64">
            <v>119.91112971245481</v>
          </cell>
          <cell r="L64">
            <v>285.9722082552874</v>
          </cell>
          <cell r="M64">
            <v>201.51398245022816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69312.244873050324</v>
          </cell>
          <cell r="F67">
            <v>98787.40652534581</v>
          </cell>
          <cell r="G67">
            <v>96708.629026740295</v>
          </cell>
          <cell r="H67">
            <v>159419.07204005332</v>
          </cell>
          <cell r="I67">
            <v>199520.20476163572</v>
          </cell>
          <cell r="J67">
            <v>206.31065373335781</v>
          </cell>
          <cell r="K67">
            <v>125.15453904505678</v>
          </cell>
          <cell r="L67">
            <v>287.85708084779156</v>
          </cell>
          <cell r="M67">
            <v>201.96927096212914</v>
          </cell>
        </row>
        <row r="68">
          <cell r="E68">
            <v>18250.035170394989</v>
          </cell>
          <cell r="F68">
            <v>24943.946387832206</v>
          </cell>
          <cell r="G68">
            <v>24479.765859904961</v>
          </cell>
          <cell r="H68">
            <v>36264.471045235798</v>
          </cell>
          <cell r="I68">
            <v>46446.746150294442</v>
          </cell>
          <cell r="J68">
            <v>189.73525488807419</v>
          </cell>
          <cell r="K68">
            <v>128.07782606937081</v>
          </cell>
          <cell r="L68">
            <v>254.50222816907146</v>
          </cell>
          <cell r="M68">
            <v>186.20448195379149</v>
          </cell>
        </row>
        <row r="70">
          <cell r="E70">
            <v>0</v>
          </cell>
          <cell r="F70">
            <v>0</v>
          </cell>
          <cell r="G70">
            <v>4671.32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G77">
            <v>4671.32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18736.944210526319</v>
          </cell>
          <cell r="F83">
            <v>20211.846578947367</v>
          </cell>
          <cell r="G83">
            <v>26608.148441528057</v>
          </cell>
          <cell r="H83">
            <v>21900.152550378953</v>
          </cell>
          <cell r="I83">
            <v>23036.180054503788</v>
          </cell>
          <cell r="J83">
            <v>86.575659727418682</v>
          </cell>
          <cell r="K83">
            <v>105.18730406791244</v>
          </cell>
          <cell r="L83">
            <v>122.9452348028137</v>
          </cell>
          <cell r="M83">
            <v>113.97365383971518</v>
          </cell>
        </row>
        <row r="84">
          <cell r="E84">
            <v>4496.8666105263164</v>
          </cell>
          <cell r="F84">
            <v>4850.843178947368</v>
          </cell>
          <cell r="G84">
            <v>6385.9556259667334</v>
          </cell>
          <cell r="H84">
            <v>5256.0366120909484</v>
          </cell>
          <cell r="I84">
            <v>5528.6832130809089</v>
          </cell>
          <cell r="J84">
            <v>86.575659727418682</v>
          </cell>
          <cell r="K84">
            <v>105.18730406791244</v>
          </cell>
          <cell r="L84">
            <v>122.94523480281367</v>
          </cell>
          <cell r="M84">
            <v>113.97365383971518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0.81753542642790067</v>
          </cell>
          <cell r="F87">
            <v>0.81753542642790067</v>
          </cell>
          <cell r="G87">
            <v>0.81753542642790067</v>
          </cell>
          <cell r="H87">
            <v>0.81753542642790067</v>
          </cell>
          <cell r="I87">
            <v>18824.562431016675</v>
          </cell>
          <cell r="J87">
            <v>2302598.9850088577</v>
          </cell>
          <cell r="K87">
            <v>2302598.9850088577</v>
          </cell>
          <cell r="L87">
            <v>2302598.9850088577</v>
          </cell>
          <cell r="M87">
            <v>2302598.9850088577</v>
          </cell>
        </row>
        <row r="88">
          <cell r="E88">
            <v>0.18246457357209925</v>
          </cell>
          <cell r="F88">
            <v>0.18246457357209925</v>
          </cell>
          <cell r="G88">
            <v>0.18246457357209925</v>
          </cell>
          <cell r="H88">
            <v>0.18246457357209925</v>
          </cell>
          <cell r="I88">
            <v>4211.6176234871145</v>
          </cell>
          <cell r="J88">
            <v>2308183.7427597591</v>
          </cell>
          <cell r="K88">
            <v>2308183.7427597591</v>
          </cell>
          <cell r="L88">
            <v>2308183.7427597591</v>
          </cell>
          <cell r="M88">
            <v>2308183.7427597591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4496.8666105263164</v>
          </cell>
          <cell r="F92">
            <v>4850.843178947368</v>
          </cell>
          <cell r="G92">
            <v>11057.275625966733</v>
          </cell>
          <cell r="H92">
            <v>5256.0366120909484</v>
          </cell>
          <cell r="I92">
            <v>5528.6832130809089</v>
          </cell>
          <cell r="J92">
            <v>50.000410590267244</v>
          </cell>
          <cell r="K92">
            <v>105.18730406791244</v>
          </cell>
          <cell r="L92">
            <v>122.94523480281367</v>
          </cell>
          <cell r="M92">
            <v>113.97365383971518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0.81753542642790067</v>
          </cell>
          <cell r="F95">
            <v>0.81753542642790067</v>
          </cell>
          <cell r="G95">
            <v>3819.7871236076085</v>
          </cell>
          <cell r="H95">
            <v>0.81753542642790067</v>
          </cell>
          <cell r="I95">
            <v>18824.562431016675</v>
          </cell>
          <cell r="J95">
            <v>492.81705555459763</v>
          </cell>
          <cell r="K95">
            <v>2302598.9850088577</v>
          </cell>
          <cell r="L95">
            <v>2302598.9850088577</v>
          </cell>
          <cell r="M95">
            <v>2302598.9850088577</v>
          </cell>
        </row>
        <row r="96">
          <cell r="E96">
            <v>0.18246457357209925</v>
          </cell>
          <cell r="F96">
            <v>0.18246457357209925</v>
          </cell>
          <cell r="G96">
            <v>852.53287639239079</v>
          </cell>
          <cell r="H96">
            <v>0.18246457357209925</v>
          </cell>
          <cell r="I96">
            <v>4211.6176234871145</v>
          </cell>
          <cell r="J96">
            <v>494.01234135499254</v>
          </cell>
          <cell r="K96">
            <v>2308183.7427597591</v>
          </cell>
          <cell r="L96">
            <v>2308183.7427597591</v>
          </cell>
          <cell r="M96">
            <v>2308183.7427597591</v>
          </cell>
        </row>
        <row r="98">
          <cell r="E98">
            <v>92059.224253971639</v>
          </cell>
          <cell r="F98">
            <v>129112.19949212539</v>
          </cell>
          <cell r="G98">
            <v>132956.54332817331</v>
          </cell>
          <cell r="H98">
            <v>214080.69563566809</v>
          </cell>
          <cell r="I98">
            <v>255932.69096643396</v>
          </cell>
          <cell r="J98">
            <v>192.49349039913116</v>
          </cell>
          <cell r="K98">
            <v>119.54963534030712</v>
          </cell>
          <cell r="L98">
            <v>278.008741699116</v>
          </cell>
          <cell r="M98">
            <v>198.22502596436939</v>
          </cell>
        </row>
        <row r="101">
          <cell r="E101">
            <v>5.1356161843398462</v>
          </cell>
          <cell r="F101">
            <v>3.9037423402346465</v>
          </cell>
          <cell r="G101">
            <v>9.0708302308911879</v>
          </cell>
          <cell r="H101">
            <v>2.516961663755199</v>
          </cell>
          <cell r="I101">
            <v>2.2079052418867993</v>
          </cell>
          <cell r="J101">
            <v>24.340718387250398</v>
          </cell>
          <cell r="K101">
            <v>87.721051682316812</v>
          </cell>
          <cell r="L101">
            <v>42.99202204049859</v>
          </cell>
          <cell r="M101">
            <v>56.558682655118218</v>
          </cell>
        </row>
        <row r="102">
          <cell r="E102">
            <v>10.969826675512943</v>
          </cell>
          <cell r="F102">
            <v>15.385079133574838</v>
          </cell>
          <cell r="G102">
            <v>15.843173212731744</v>
          </cell>
          <cell r="H102">
            <v>25.509970833750561</v>
          </cell>
          <cell r="I102">
            <v>30.557521869470015</v>
          </cell>
          <cell r="J102">
            <v>192.87500969132662</v>
          </cell>
          <cell r="K102">
            <v>119.78658097500204</v>
          </cell>
          <cell r="L102">
            <v>278.55975097292196</v>
          </cell>
          <cell r="M102">
            <v>198.61790507651259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E121">
            <v>26.4</v>
          </cell>
          <cell r="F121">
            <v>26.4</v>
          </cell>
          <cell r="G121">
            <v>26.4</v>
          </cell>
          <cell r="H121">
            <v>26.4</v>
          </cell>
          <cell r="I121">
            <v>26.4</v>
          </cell>
          <cell r="J121">
            <v>100</v>
          </cell>
          <cell r="K121">
            <v>100</v>
          </cell>
          <cell r="L121">
            <v>100</v>
          </cell>
          <cell r="M121">
            <v>100</v>
          </cell>
        </row>
        <row r="123">
          <cell r="E123">
            <v>8392.0400000000009</v>
          </cell>
          <cell r="F123">
            <v>8392.0400000000009</v>
          </cell>
          <cell r="G123">
            <v>8392.0400000000009</v>
          </cell>
          <cell r="H123">
            <v>8392.0400000000009</v>
          </cell>
          <cell r="I123">
            <v>8375.44</v>
          </cell>
          <cell r="J123">
            <v>99.802193507180618</v>
          </cell>
          <cell r="K123">
            <v>99.802193507180618</v>
          </cell>
          <cell r="L123">
            <v>99.802193507180618</v>
          </cell>
          <cell r="M123">
            <v>99.802193507180618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6860.79</v>
          </cell>
          <cell r="F126">
            <v>6860.79</v>
          </cell>
          <cell r="G126">
            <v>6860.79</v>
          </cell>
          <cell r="H126">
            <v>6860.79</v>
          </cell>
          <cell r="I126">
            <v>6844.1900000000005</v>
          </cell>
          <cell r="J126">
            <v>99.758045356292797</v>
          </cell>
          <cell r="K126">
            <v>99.758045356292797</v>
          </cell>
          <cell r="L126">
            <v>99.758045356292797</v>
          </cell>
          <cell r="M126">
            <v>99.758045356292797</v>
          </cell>
        </row>
        <row r="127">
          <cell r="E127">
            <v>1531.25</v>
          </cell>
          <cell r="F127">
            <v>1531.25</v>
          </cell>
          <cell r="G127">
            <v>1531.25</v>
          </cell>
          <cell r="H127">
            <v>1531.25</v>
          </cell>
          <cell r="I127">
            <v>1531.25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</row>
      </sheetData>
      <sheetData sheetId="8">
        <row r="9">
          <cell r="E9">
            <v>407</v>
          </cell>
          <cell r="F9">
            <v>407</v>
          </cell>
          <cell r="G9">
            <v>414</v>
          </cell>
          <cell r="H9">
            <v>414</v>
          </cell>
          <cell r="I9">
            <v>468</v>
          </cell>
        </row>
        <row r="11">
          <cell r="E11">
            <v>407</v>
          </cell>
          <cell r="F11">
            <v>407</v>
          </cell>
          <cell r="G11">
            <v>414</v>
          </cell>
          <cell r="H11">
            <v>414</v>
          </cell>
          <cell r="I11">
            <v>468</v>
          </cell>
        </row>
        <row r="13">
          <cell r="E13">
            <v>407</v>
          </cell>
          <cell r="F13">
            <v>407</v>
          </cell>
          <cell r="G13">
            <v>414</v>
          </cell>
          <cell r="H13">
            <v>414</v>
          </cell>
          <cell r="I13">
            <v>468</v>
          </cell>
        </row>
        <row r="16">
          <cell r="E16">
            <v>407</v>
          </cell>
          <cell r="F16">
            <v>444</v>
          </cell>
          <cell r="G16">
            <v>414</v>
          </cell>
          <cell r="H16">
            <v>444</v>
          </cell>
          <cell r="I16">
            <v>468</v>
          </cell>
        </row>
        <row r="18">
          <cell r="E18">
            <v>3115.89</v>
          </cell>
          <cell r="F18">
            <v>3115.89</v>
          </cell>
          <cell r="G18">
            <v>3412.26</v>
          </cell>
          <cell r="H18">
            <v>3412.26</v>
          </cell>
          <cell r="I18">
            <v>3527.5</v>
          </cell>
        </row>
        <row r="19">
          <cell r="E19">
            <v>5.25</v>
          </cell>
          <cell r="F19">
            <v>5.25</v>
          </cell>
          <cell r="G19">
            <v>5.25</v>
          </cell>
          <cell r="H19">
            <v>5.25</v>
          </cell>
          <cell r="I19">
            <v>5.3201280081399034</v>
          </cell>
        </row>
        <row r="20">
          <cell r="E20">
            <v>1.35</v>
          </cell>
          <cell r="F20">
            <v>1.4961</v>
          </cell>
          <cell r="G20">
            <v>1.38</v>
          </cell>
          <cell r="H20">
            <v>1.51</v>
          </cell>
          <cell r="I20">
            <v>1.696632612396378</v>
          </cell>
        </row>
        <row r="23">
          <cell r="E23">
            <v>3.6</v>
          </cell>
          <cell r="F23">
            <v>6.6</v>
          </cell>
          <cell r="G23">
            <v>6.6</v>
          </cell>
          <cell r="H23">
            <v>6.6</v>
          </cell>
          <cell r="I23">
            <v>6.6</v>
          </cell>
        </row>
        <row r="26">
          <cell r="E26">
            <v>20</v>
          </cell>
          <cell r="F26">
            <v>14.5</v>
          </cell>
          <cell r="G26">
            <v>35.54</v>
          </cell>
          <cell r="H26">
            <v>27.5</v>
          </cell>
          <cell r="I26">
            <v>40</v>
          </cell>
        </row>
        <row r="29">
          <cell r="E29">
            <v>15</v>
          </cell>
          <cell r="F29">
            <v>11</v>
          </cell>
          <cell r="G29">
            <v>15</v>
          </cell>
          <cell r="H29">
            <v>15</v>
          </cell>
          <cell r="I29">
            <v>20</v>
          </cell>
        </row>
        <row r="32">
          <cell r="E32">
            <v>33</v>
          </cell>
          <cell r="F32">
            <v>15</v>
          </cell>
          <cell r="G32">
            <v>33</v>
          </cell>
          <cell r="H32">
            <v>33</v>
          </cell>
          <cell r="I32">
            <v>33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/>
      <sheetData sheetId="10">
        <row r="11">
          <cell r="D11">
            <v>20114.53</v>
          </cell>
          <cell r="I11">
            <v>460.2</v>
          </cell>
        </row>
        <row r="12">
          <cell r="D12">
            <v>134612.63</v>
          </cell>
          <cell r="I12">
            <v>2511.1</v>
          </cell>
        </row>
        <row r="16">
          <cell r="D16">
            <v>162031.72</v>
          </cell>
          <cell r="I16">
            <v>5065.5</v>
          </cell>
        </row>
        <row r="17">
          <cell r="D17">
            <v>43071.72</v>
          </cell>
          <cell r="E17">
            <v>2297.29</v>
          </cell>
          <cell r="I17">
            <v>1356.1</v>
          </cell>
        </row>
        <row r="20">
          <cell r="D20">
            <v>0</v>
          </cell>
          <cell r="I20">
            <v>0</v>
          </cell>
        </row>
        <row r="21">
          <cell r="D21">
            <v>129457.68</v>
          </cell>
          <cell r="E21">
            <v>866.7</v>
          </cell>
          <cell r="I21">
            <v>3677.54</v>
          </cell>
        </row>
        <row r="22">
          <cell r="D22">
            <v>0</v>
          </cell>
          <cell r="I22">
            <v>0</v>
          </cell>
        </row>
      </sheetData>
      <sheetData sheetId="11">
        <row r="8">
          <cell r="E8">
            <v>87562.280043445309</v>
          </cell>
          <cell r="F8">
            <v>123731.35291317801</v>
          </cell>
          <cell r="G8">
            <v>121188.39488664526</v>
          </cell>
          <cell r="H8">
            <v>195683.54308528913</v>
          </cell>
          <cell r="I8">
            <v>245966.95091193015</v>
          </cell>
          <cell r="J8">
            <v>2.0296246281832326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69312.244873050324</v>
          </cell>
          <cell r="F10">
            <v>98787.40652534581</v>
          </cell>
          <cell r="G10">
            <v>96708.629026740295</v>
          </cell>
          <cell r="H10">
            <v>159419.07204005332</v>
          </cell>
          <cell r="I10">
            <v>199520.20476163572</v>
          </cell>
          <cell r="J10">
            <v>2.063106537333578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69312.244873050324</v>
          </cell>
          <cell r="F13">
            <v>98787.40652534581</v>
          </cell>
          <cell r="G13">
            <v>96708.629026740295</v>
          </cell>
          <cell r="H13">
            <v>159419.07204005332</v>
          </cell>
          <cell r="I13">
            <v>199520.20476163572</v>
          </cell>
          <cell r="J13">
            <v>2.063106537333578</v>
          </cell>
        </row>
        <row r="14">
          <cell r="E14">
            <v>18250.035170394989</v>
          </cell>
          <cell r="F14">
            <v>24943.946387832206</v>
          </cell>
          <cell r="G14">
            <v>24479.765859904961</v>
          </cell>
          <cell r="H14">
            <v>36264.471045235798</v>
          </cell>
          <cell r="I14">
            <v>46446.746150294442</v>
          </cell>
          <cell r="J14">
            <v>1.8973525488807419</v>
          </cell>
        </row>
        <row r="15">
          <cell r="E15">
            <v>0.99999999999999989</v>
          </cell>
          <cell r="F15">
            <v>0.99999999999999989</v>
          </cell>
          <cell r="G15">
            <v>4672.32</v>
          </cell>
          <cell r="H15">
            <v>0.99999999999999989</v>
          </cell>
          <cell r="I15">
            <v>23036.180054503791</v>
          </cell>
          <cell r="J15">
            <v>4.9303515286846347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0.81753542642790067</v>
          </cell>
          <cell r="F17">
            <v>0.81753542642790067</v>
          </cell>
          <cell r="G17">
            <v>3819.7871236076085</v>
          </cell>
          <cell r="H17">
            <v>0.81753542642790067</v>
          </cell>
          <cell r="I17">
            <v>18824.562431016675</v>
          </cell>
          <cell r="J17">
            <v>4.9281705555459761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0.81753542642790067</v>
          </cell>
          <cell r="F20">
            <v>0.81753542642790067</v>
          </cell>
          <cell r="G20">
            <v>3819.7871236076085</v>
          </cell>
          <cell r="H20">
            <v>0.81753542642790067</v>
          </cell>
          <cell r="I20">
            <v>18824.562431016675</v>
          </cell>
          <cell r="J20">
            <v>4.9281705555459761</v>
          </cell>
        </row>
        <row r="21">
          <cell r="E21">
            <v>0.18246457357209925</v>
          </cell>
          <cell r="F21">
            <v>0.18246457357209925</v>
          </cell>
          <cell r="G21">
            <v>852.53287639239079</v>
          </cell>
          <cell r="H21">
            <v>0.18246457357209925</v>
          </cell>
          <cell r="I21">
            <v>4211.6176234871145</v>
          </cell>
          <cell r="J21">
            <v>4.9401234135499257</v>
          </cell>
        </row>
        <row r="22">
          <cell r="E22">
            <v>1.1420442678101064E-3</v>
          </cell>
          <cell r="F22">
            <v>8.0820259090005865E-4</v>
          </cell>
          <cell r="G22">
            <v>3.8554186680748592</v>
          </cell>
          <cell r="H22">
            <v>5.1102917712612527E-4</v>
          </cell>
          <cell r="I22">
            <v>9.3655590594982101</v>
          </cell>
          <cell r="J22">
            <v>2.4291937830385488</v>
          </cell>
        </row>
        <row r="23">
          <cell r="E23">
            <v>87563.280043445309</v>
          </cell>
          <cell r="F23">
            <v>123732.35291317801</v>
          </cell>
          <cell r="G23">
            <v>125860.71488664526</v>
          </cell>
          <cell r="H23">
            <v>195684.54308528913</v>
          </cell>
          <cell r="I23">
            <v>269003.13096643396</v>
          </cell>
          <cell r="J23">
            <v>2.1373081442347437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69313.062408476748</v>
          </cell>
          <cell r="F25">
            <v>98788.224060772234</v>
          </cell>
          <cell r="G25">
            <v>100528.4161503479</v>
          </cell>
          <cell r="H25">
            <v>159419.88957547976</v>
          </cell>
          <cell r="I25">
            <v>218344.76719265239</v>
          </cell>
          <cell r="J25">
            <v>2.1719706283455333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69313.062408476748</v>
          </cell>
          <cell r="F28">
            <v>98788.224060772234</v>
          </cell>
          <cell r="G28">
            <v>100528.4161503479</v>
          </cell>
          <cell r="H28">
            <v>159419.88957547976</v>
          </cell>
          <cell r="I28">
            <v>218344.76719265239</v>
          </cell>
          <cell r="J28">
            <v>2.1719706283455333</v>
          </cell>
        </row>
        <row r="29">
          <cell r="E29">
            <v>18250.217634968561</v>
          </cell>
          <cell r="F29">
            <v>24944.128852405778</v>
          </cell>
          <cell r="G29">
            <v>25332.298736297351</v>
          </cell>
          <cell r="H29">
            <v>36264.653509809366</v>
          </cell>
          <cell r="I29">
            <v>50658.363773781559</v>
          </cell>
          <cell r="J29">
            <v>1.9997539228919556</v>
          </cell>
        </row>
        <row r="30">
          <cell r="E30">
            <v>217.04231122867182</v>
          </cell>
          <cell r="F30">
            <v>191.71246021160925</v>
          </cell>
          <cell r="G30">
            <v>227.98223572014058</v>
          </cell>
          <cell r="H30">
            <v>202.19246352730849</v>
          </cell>
          <cell r="I30">
            <v>204.45385204778634</v>
          </cell>
          <cell r="J30">
            <v>0.89679729388549168</v>
          </cell>
        </row>
        <row r="31">
          <cell r="E31">
            <v>209.37231122867183</v>
          </cell>
          <cell r="F31">
            <v>186.51246021160927</v>
          </cell>
          <cell r="G31">
            <v>227.98223572014058</v>
          </cell>
          <cell r="H31">
            <v>196.67321352730849</v>
          </cell>
          <cell r="I31">
            <v>198.87885204778635</v>
          </cell>
          <cell r="J31">
            <v>0.87234363422911576</v>
          </cell>
        </row>
        <row r="32">
          <cell r="E32">
            <v>209.37231122867183</v>
          </cell>
          <cell r="F32">
            <v>186.51246021160927</v>
          </cell>
          <cell r="G32">
            <v>227.98223572014058</v>
          </cell>
          <cell r="H32">
            <v>196.67321352730849</v>
          </cell>
          <cell r="I32">
            <v>198.87885204778635</v>
          </cell>
          <cell r="J32">
            <v>0.87234363422911576</v>
          </cell>
        </row>
        <row r="33">
          <cell r="E33">
            <v>73.84</v>
          </cell>
          <cell r="F33">
            <v>52.554300000000005</v>
          </cell>
          <cell r="G33">
            <v>77.436999999999998</v>
          </cell>
          <cell r="H33">
            <v>55.944899999999997</v>
          </cell>
          <cell r="I33">
            <v>56.51</v>
          </cell>
          <cell r="J33">
            <v>0.72975451011790227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42617.797052794587</v>
          </cell>
          <cell r="F39">
            <v>61454.65115421098</v>
          </cell>
          <cell r="G39">
            <v>55646.849084631875</v>
          </cell>
          <cell r="H39">
            <v>94401.69120891708</v>
          </cell>
          <cell r="I39">
            <v>127804.6216172836</v>
          </cell>
          <cell r="J39">
            <v>2.2967090449795067</v>
          </cell>
        </row>
        <row r="40">
          <cell r="E40">
            <v>66932.647839294979</v>
          </cell>
          <cell r="F40">
            <v>114602.47604207619</v>
          </cell>
          <cell r="G40">
            <v>89342.626277425064</v>
          </cell>
          <cell r="H40">
            <v>291484.03620539908</v>
          </cell>
          <cell r="I40">
            <v>226999.5898175787</v>
          </cell>
          <cell r="J40">
            <v>2.5407758790602797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76.330382781124641</v>
          </cell>
          <cell r="F46">
            <v>149.57563854879297</v>
          </cell>
          <cell r="G46">
            <v>114.45261948732481</v>
          </cell>
          <cell r="H46">
            <v>0</v>
          </cell>
          <cell r="I46">
            <v>237.75810801962365</v>
          </cell>
          <cell r="J46">
            <v>2.077349641140843</v>
          </cell>
        </row>
        <row r="47">
          <cell r="E47">
            <v>138.81096908741264</v>
          </cell>
          <cell r="F47">
            <v>163.74846899484677</v>
          </cell>
          <cell r="G47">
            <v>173.7075663112625</v>
          </cell>
          <cell r="H47">
            <v>7.4856099232881737E-2</v>
          </cell>
          <cell r="I47">
            <v>422.26631329098717</v>
          </cell>
          <cell r="J47">
            <v>2.430903398498705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41057.462962473932</v>
          </cell>
          <cell r="F66">
            <v>47330.106027491223</v>
          </cell>
          <cell r="G66">
            <v>57688.800676242216</v>
          </cell>
          <cell r="H66">
            <v>159419.88957547976</v>
          </cell>
          <cell r="I66">
            <v>103274.59807331492</v>
          </cell>
          <cell r="J66">
            <v>1.7902018565597628</v>
          </cell>
        </row>
      </sheetData>
      <sheetData sheetId="12">
        <row r="8">
          <cell r="E8">
            <v>1208.0999999999999</v>
          </cell>
          <cell r="F8">
            <v>1208.58</v>
          </cell>
          <cell r="G8">
            <v>1321.55</v>
          </cell>
          <cell r="H8">
            <v>1303.26</v>
          </cell>
          <cell r="I8">
            <v>1394.4882</v>
          </cell>
        </row>
      </sheetData>
      <sheetData sheetId="13"/>
      <sheetData sheetId="14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4 (производство)"/>
      <sheetName val="Приложение 5 (НВВ)"/>
      <sheetName val="Прил. 5 (НВВ) без льг.и инд.пр."/>
      <sheetName val="Приложение 6 (кальк)"/>
      <sheetName val="Приложение 6 (кальк) без льг."/>
      <sheetName val="Прил. 6 (кальк) без льг.0 "/>
      <sheetName val="Приложение 7 "/>
      <sheetName val="Таблица 7.1"/>
      <sheetName val="Таблица 7.2"/>
      <sheetName val="Таблица 7.3 Подг ТУ"/>
      <sheetName val="Таблица 7.4 разраб_ ПСД"/>
      <sheetName val="Таблица 7.5 Проверка вып.ТУ"/>
      <sheetName val="Таблица 7.6 Ростехнадзор"/>
      <sheetName val="Таблица 7.7 факт присоед"/>
      <sheetName val="Таблица 7.8 прям"/>
      <sheetName val="Таблица 7.9 косв"/>
      <sheetName val="Приложение 8 инвест за 3 года "/>
      <sheetName val="Приложение 9 СТС"/>
      <sheetName val="Расчет Удельных прил.9.1."/>
      <sheetName val="Тариф ставки"/>
      <sheetName val="Ст-ть маш час"/>
      <sheetName val="стр.2014"/>
      <sheetName val="стр.2015"/>
      <sheetName val="стр.2016"/>
      <sheetName val="Затраты 2015"/>
      <sheetName val="СС 2015"/>
      <sheetName val="УО 6 мес.2016"/>
      <sheetName val="СС 2016 (1-е полуг.)"/>
      <sheetName val="Об.сч.62 1-е полуг.2016"/>
      <sheetName val="для ПЗ"/>
    </sheetNames>
    <sheetDataSet>
      <sheetData sheetId="0"/>
      <sheetData sheetId="1">
        <row r="18">
          <cell r="P18">
            <v>81.691090000000017</v>
          </cell>
        </row>
        <row r="19">
          <cell r="P19">
            <v>18.665400000000002</v>
          </cell>
        </row>
        <row r="20">
          <cell r="P20">
            <v>3244.3637900000003</v>
          </cell>
        </row>
        <row r="21">
          <cell r="P21">
            <v>971.51582999999982</v>
          </cell>
        </row>
        <row r="23">
          <cell r="P23">
            <v>10.65502</v>
          </cell>
        </row>
        <row r="24">
          <cell r="P24">
            <v>47.607990000000001</v>
          </cell>
        </row>
        <row r="26">
          <cell r="P26">
            <v>10.147699999999999</v>
          </cell>
        </row>
        <row r="27">
          <cell r="P27">
            <v>17.107560000000003</v>
          </cell>
        </row>
        <row r="28">
          <cell r="P28">
            <v>21.685590000000001</v>
          </cell>
        </row>
        <row r="29">
          <cell r="P29">
            <v>0.60908000000000007</v>
          </cell>
        </row>
        <row r="32">
          <cell r="P32">
            <v>0</v>
          </cell>
        </row>
        <row r="33">
          <cell r="P33">
            <v>2345.4751700000002</v>
          </cell>
        </row>
        <row r="35">
          <cell r="P35">
            <v>0</v>
          </cell>
          <cell r="Q35">
            <v>0</v>
          </cell>
        </row>
        <row r="51">
          <cell r="P51">
            <v>2830.0339390718736</v>
          </cell>
        </row>
        <row r="52">
          <cell r="P52">
            <v>24.390700000000002</v>
          </cell>
        </row>
        <row r="53">
          <cell r="P53">
            <v>18.741720000000001</v>
          </cell>
        </row>
        <row r="54">
          <cell r="P54">
            <v>1.7569000000000001</v>
          </cell>
        </row>
        <row r="55">
          <cell r="P55">
            <v>1.1298699999999999</v>
          </cell>
        </row>
        <row r="56">
          <cell r="P56">
            <v>6.3161900000000006</v>
          </cell>
        </row>
        <row r="57">
          <cell r="P57">
            <v>9.0843800000000012</v>
          </cell>
        </row>
        <row r="58">
          <cell r="P58">
            <v>18.04411</v>
          </cell>
        </row>
        <row r="59">
          <cell r="P59">
            <v>9.3667499999999997</v>
          </cell>
        </row>
        <row r="60">
          <cell r="P60">
            <v>40.241279999999996</v>
          </cell>
        </row>
        <row r="61">
          <cell r="P61">
            <v>0.54777999999999993</v>
          </cell>
        </row>
        <row r="62">
          <cell r="P62">
            <v>3.0786899999999999</v>
          </cell>
        </row>
        <row r="63">
          <cell r="P63">
            <v>180.63311999999999</v>
          </cell>
        </row>
        <row r="64">
          <cell r="P64">
            <v>2.2860599999999995</v>
          </cell>
        </row>
        <row r="65">
          <cell r="P65">
            <v>9.4688700000000008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184.41713830499518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"/>
      <sheetName val="Прил. 3.1"/>
      <sheetName val="Прил.3.1.1 реестр исп.дог. "/>
      <sheetName val="Прил.3.1.2 дог.с инвест. "/>
      <sheetName val="Прил.3.2"/>
      <sheetName val="Прил.3.3"/>
      <sheetName val="Прил.3.3.1 реестр исп.дог.150"/>
      <sheetName val="Прил.3.3.2 дог.с инвест."/>
      <sheetName val="затраты17"/>
      <sheetName val="выручка2017"/>
      <sheetName val="СС2017"/>
      <sheetName val="об.счета20"/>
      <sheetName val="УО2017г"/>
      <sheetName val="Стр15"/>
      <sheetName val="Стр16"/>
      <sheetName val="Стр.17"/>
      <sheetName val=" (стр.15)"/>
      <sheetName val="(стр.16)"/>
      <sheetName val="(Стр.17)"/>
    </sheetNames>
    <sheetDataSet>
      <sheetData sheetId="0" refreshError="1"/>
      <sheetData sheetId="1" refreshError="1"/>
      <sheetData sheetId="2">
        <row r="6">
          <cell r="E6">
            <v>305</v>
          </cell>
        </row>
      </sheetData>
      <sheetData sheetId="3" refreshError="1"/>
      <sheetData sheetId="4" refreshError="1"/>
      <sheetData sheetId="5" refreshError="1"/>
      <sheetData sheetId="6">
        <row r="8">
          <cell r="E8">
            <v>7</v>
          </cell>
        </row>
      </sheetData>
      <sheetData sheetId="7" refreshError="1"/>
      <sheetData sheetId="8" refreshError="1"/>
      <sheetData sheetId="9">
        <row r="3">
          <cell r="AD3">
            <v>579119.34</v>
          </cell>
        </row>
      </sheetData>
      <sheetData sheetId="10">
        <row r="8">
          <cell r="C8">
            <v>2076287.5100000002</v>
          </cell>
        </row>
      </sheetData>
      <sheetData sheetId="11">
        <row r="13">
          <cell r="M13">
            <v>2076287.51</v>
          </cell>
        </row>
        <row r="187">
          <cell r="M187">
            <v>231993.94</v>
          </cell>
        </row>
        <row r="356">
          <cell r="M356">
            <v>3805877.04</v>
          </cell>
        </row>
        <row r="524">
          <cell r="N524">
            <v>6114158.4900000002</v>
          </cell>
        </row>
      </sheetData>
      <sheetData sheetId="12">
        <row r="60">
          <cell r="G60">
            <v>12.411060000000001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7."/>
      <sheetName val="17 СМУП"/>
      <sheetName val="17 СЭИ"/>
      <sheetName val="1.17.1."/>
      <sheetName val="СЭИ"/>
      <sheetName val="СМУП"/>
      <sheetName val="Лист1"/>
    </sheetNames>
    <sheetDataSet>
      <sheetData sheetId="0" refreshError="1"/>
      <sheetData sheetId="1">
        <row r="9">
          <cell r="E9">
            <v>30728</v>
          </cell>
          <cell r="F9">
            <v>30728</v>
          </cell>
          <cell r="G9">
            <v>27997.18</v>
          </cell>
          <cell r="H9">
            <v>4210.2479999999996</v>
          </cell>
          <cell r="J9">
            <v>37007.379999999997</v>
          </cell>
        </row>
        <row r="10">
          <cell r="E10">
            <v>5202</v>
          </cell>
          <cell r="F10">
            <v>5202</v>
          </cell>
          <cell r="G10">
            <v>9367.882223999999</v>
          </cell>
          <cell r="H10">
            <v>3307.8580000000002</v>
          </cell>
          <cell r="J10">
            <v>9367.8799999999992</v>
          </cell>
        </row>
        <row r="11">
          <cell r="E11">
            <v>380784</v>
          </cell>
          <cell r="F11">
            <v>380784</v>
          </cell>
          <cell r="G11">
            <v>380784</v>
          </cell>
          <cell r="H11">
            <v>48300.825870000008</v>
          </cell>
          <cell r="J11">
            <v>359830.36</v>
          </cell>
        </row>
        <row r="13">
          <cell r="E13">
            <v>8888</v>
          </cell>
          <cell r="F13">
            <v>8888</v>
          </cell>
          <cell r="G13">
            <v>58811.5</v>
          </cell>
          <cell r="H13">
            <v>61.353999999999999</v>
          </cell>
          <cell r="J13">
            <v>9981.19</v>
          </cell>
        </row>
        <row r="14">
          <cell r="E14">
            <v>27123</v>
          </cell>
          <cell r="F14">
            <v>27123</v>
          </cell>
          <cell r="G14">
            <v>29835.3</v>
          </cell>
          <cell r="H14">
            <v>380.524</v>
          </cell>
          <cell r="J14">
            <v>44183.43</v>
          </cell>
        </row>
        <row r="15">
          <cell r="E15">
            <v>1528</v>
          </cell>
          <cell r="F15">
            <v>1528</v>
          </cell>
          <cell r="G15">
            <v>1680.8</v>
          </cell>
          <cell r="H15">
            <v>158.85900000000001</v>
          </cell>
          <cell r="J15">
            <v>1381.63</v>
          </cell>
        </row>
        <row r="16">
          <cell r="E16">
            <v>1999</v>
          </cell>
          <cell r="F16">
            <v>1999</v>
          </cell>
          <cell r="G16">
            <v>2198.9</v>
          </cell>
          <cell r="H16">
            <v>184.1</v>
          </cell>
          <cell r="J16">
            <v>2195.37</v>
          </cell>
        </row>
        <row r="17">
          <cell r="E17">
            <v>119076</v>
          </cell>
          <cell r="F17">
            <v>119076</v>
          </cell>
          <cell r="G17">
            <v>122185.242552</v>
          </cell>
          <cell r="H17">
            <v>19222.266</v>
          </cell>
          <cell r="J17">
            <v>129475.68</v>
          </cell>
        </row>
        <row r="18">
          <cell r="E18">
            <v>13365</v>
          </cell>
          <cell r="F18">
            <v>13365</v>
          </cell>
          <cell r="G18">
            <v>14701.5</v>
          </cell>
          <cell r="H18">
            <v>601.69600000000003</v>
          </cell>
          <cell r="J18">
            <v>5475.23</v>
          </cell>
        </row>
        <row r="19">
          <cell r="E19">
            <v>299</v>
          </cell>
          <cell r="F19">
            <v>299</v>
          </cell>
          <cell r="G19">
            <v>328.9</v>
          </cell>
          <cell r="H19">
            <v>87.626999999999995</v>
          </cell>
          <cell r="J19">
            <v>309.41000000000003</v>
          </cell>
        </row>
        <row r="20">
          <cell r="E20">
            <v>443</v>
          </cell>
          <cell r="F20">
            <v>443</v>
          </cell>
          <cell r="G20">
            <v>487.3</v>
          </cell>
          <cell r="H20">
            <v>84.313999999999993</v>
          </cell>
          <cell r="J20">
            <v>451.02</v>
          </cell>
        </row>
        <row r="26">
          <cell r="E26">
            <v>16669</v>
          </cell>
          <cell r="F26">
            <v>16669</v>
          </cell>
          <cell r="G26">
            <v>16669</v>
          </cell>
          <cell r="J26">
            <v>2297.3000000000002</v>
          </cell>
        </row>
        <row r="28">
          <cell r="E28">
            <v>0</v>
          </cell>
          <cell r="F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E30">
            <v>12</v>
          </cell>
          <cell r="F30">
            <v>12</v>
          </cell>
          <cell r="G30">
            <v>12</v>
          </cell>
        </row>
        <row r="31">
          <cell r="J31">
            <v>2086.5</v>
          </cell>
        </row>
        <row r="32">
          <cell r="E32">
            <v>3061</v>
          </cell>
          <cell r="F32">
            <v>4452</v>
          </cell>
          <cell r="G32">
            <v>4452</v>
          </cell>
          <cell r="J32">
            <v>866.7</v>
          </cell>
        </row>
        <row r="33">
          <cell r="E33">
            <v>347</v>
          </cell>
          <cell r="F33">
            <v>347</v>
          </cell>
          <cell r="G33">
            <v>347</v>
          </cell>
        </row>
        <row r="34">
          <cell r="E34">
            <v>17</v>
          </cell>
          <cell r="F34">
            <v>17</v>
          </cell>
          <cell r="G34">
            <v>17</v>
          </cell>
        </row>
        <row r="39">
          <cell r="F39">
            <v>25829</v>
          </cell>
        </row>
        <row r="40">
          <cell r="F40">
            <v>1738</v>
          </cell>
        </row>
        <row r="41">
          <cell r="F41">
            <v>349309</v>
          </cell>
        </row>
        <row r="43">
          <cell r="F43">
            <v>8826</v>
          </cell>
        </row>
        <row r="44">
          <cell r="F44">
            <v>26742</v>
          </cell>
        </row>
        <row r="45">
          <cell r="F45">
            <v>1381</v>
          </cell>
        </row>
        <row r="46">
          <cell r="F46">
            <v>1815</v>
          </cell>
        </row>
        <row r="47">
          <cell r="F47">
            <v>104994</v>
          </cell>
        </row>
        <row r="48">
          <cell r="F48">
            <v>13111</v>
          </cell>
        </row>
        <row r="49">
          <cell r="F49">
            <v>228</v>
          </cell>
        </row>
        <row r="50">
          <cell r="F50">
            <v>359</v>
          </cell>
        </row>
        <row r="54">
          <cell r="E54">
            <v>16479</v>
          </cell>
          <cell r="F54">
            <v>16479</v>
          </cell>
          <cell r="G54">
            <v>37343.9</v>
          </cell>
          <cell r="H54">
            <v>4210.2479999999996</v>
          </cell>
        </row>
        <row r="55">
          <cell r="E55">
            <v>2495</v>
          </cell>
          <cell r="F55">
            <v>2495</v>
          </cell>
          <cell r="G55">
            <v>10400</v>
          </cell>
          <cell r="H55">
            <v>3307.8580000000002</v>
          </cell>
        </row>
        <row r="56">
          <cell r="E56">
            <v>194692</v>
          </cell>
          <cell r="F56">
            <v>194692</v>
          </cell>
          <cell r="G56">
            <v>214161.2</v>
          </cell>
          <cell r="H56">
            <v>48300.825870000008</v>
          </cell>
        </row>
        <row r="58">
          <cell r="E58">
            <v>2331</v>
          </cell>
          <cell r="F58">
            <v>2331</v>
          </cell>
          <cell r="G58">
            <v>2001.7</v>
          </cell>
          <cell r="H58">
            <v>61.353999999999999</v>
          </cell>
        </row>
        <row r="59">
          <cell r="E59">
            <v>3763</v>
          </cell>
          <cell r="F59">
            <v>3763</v>
          </cell>
          <cell r="G59">
            <v>30688.3</v>
          </cell>
          <cell r="H59">
            <v>380.524</v>
          </cell>
        </row>
        <row r="60">
          <cell r="E60">
            <v>519</v>
          </cell>
          <cell r="F60">
            <v>519</v>
          </cell>
          <cell r="G60">
            <v>570.9</v>
          </cell>
          <cell r="H60">
            <v>158.85900000000001</v>
          </cell>
        </row>
        <row r="61">
          <cell r="E61">
            <v>719</v>
          </cell>
          <cell r="F61">
            <v>719</v>
          </cell>
          <cell r="G61">
            <v>790.9</v>
          </cell>
          <cell r="H61">
            <v>184.1</v>
          </cell>
        </row>
        <row r="62">
          <cell r="E62">
            <v>40186</v>
          </cell>
          <cell r="F62">
            <v>40186</v>
          </cell>
          <cell r="G62">
            <v>205506.7</v>
          </cell>
          <cell r="H62">
            <v>19222.266</v>
          </cell>
        </row>
        <row r="63">
          <cell r="E63">
            <v>2419</v>
          </cell>
          <cell r="F63">
            <v>2419</v>
          </cell>
          <cell r="G63">
            <v>2660.9</v>
          </cell>
          <cell r="H63">
            <v>601.69600000000003</v>
          </cell>
        </row>
        <row r="64">
          <cell r="E64">
            <v>52</v>
          </cell>
          <cell r="F64">
            <v>52</v>
          </cell>
          <cell r="G64">
            <v>57.2</v>
          </cell>
          <cell r="H64">
            <v>87.626999999999995</v>
          </cell>
        </row>
        <row r="65">
          <cell r="E65">
            <v>242</v>
          </cell>
          <cell r="F65">
            <v>242</v>
          </cell>
          <cell r="G65">
            <v>266.2</v>
          </cell>
          <cell r="H65">
            <v>84.313999999999993</v>
          </cell>
        </row>
        <row r="69">
          <cell r="E69">
            <v>1.73</v>
          </cell>
          <cell r="F69">
            <v>1.73</v>
          </cell>
          <cell r="G69">
            <v>1.5543412672332899</v>
          </cell>
          <cell r="H69">
            <v>1.5543412672332899</v>
          </cell>
          <cell r="I69">
            <v>1.55</v>
          </cell>
          <cell r="J69">
            <v>1.55</v>
          </cell>
          <cell r="K69">
            <v>1.55</v>
          </cell>
          <cell r="L69">
            <v>1.55</v>
          </cell>
          <cell r="M69">
            <v>1.55</v>
          </cell>
        </row>
        <row r="70">
          <cell r="E70">
            <v>1.1499999999999999</v>
          </cell>
          <cell r="F70">
            <v>1.1299999999999999</v>
          </cell>
          <cell r="G70">
            <v>0.92850720074039461</v>
          </cell>
          <cell r="H70">
            <v>0.92850720074039461</v>
          </cell>
          <cell r="I70">
            <v>0.92850720074039461</v>
          </cell>
          <cell r="J70">
            <v>0.92850720074039461</v>
          </cell>
          <cell r="K70">
            <v>0.92850720074039461</v>
          </cell>
          <cell r="L70">
            <v>0.92850720074039461</v>
          </cell>
          <cell r="M70">
            <v>0.92850720074039461</v>
          </cell>
        </row>
        <row r="71">
          <cell r="E71">
            <v>4.7</v>
          </cell>
          <cell r="F71">
            <v>4.7</v>
          </cell>
          <cell r="G71">
            <v>4.7</v>
          </cell>
          <cell r="H71">
            <v>2.7490000000000001</v>
          </cell>
          <cell r="I71">
            <v>4.4000000000000004</v>
          </cell>
          <cell r="J71">
            <v>4.4000000000000004</v>
          </cell>
          <cell r="K71">
            <v>4.4000000000000004</v>
          </cell>
          <cell r="L71">
            <v>4.4000000000000004</v>
          </cell>
          <cell r="M71">
            <v>4.4000000000000004</v>
          </cell>
        </row>
        <row r="72">
          <cell r="E72">
            <v>8.24</v>
          </cell>
          <cell r="F72">
            <v>10.6</v>
          </cell>
          <cell r="G72">
            <v>1.9</v>
          </cell>
          <cell r="H72">
            <v>0.75</v>
          </cell>
          <cell r="I72">
            <v>0.2</v>
          </cell>
          <cell r="J72">
            <v>0.2</v>
          </cell>
          <cell r="K72">
            <v>0.2</v>
          </cell>
          <cell r="L72">
            <v>0.2</v>
          </cell>
          <cell r="M72">
            <v>0.2</v>
          </cell>
        </row>
        <row r="73">
          <cell r="E73">
            <v>17.29</v>
          </cell>
          <cell r="F73">
            <v>17.2</v>
          </cell>
          <cell r="G73">
            <v>8.4383888448943036</v>
          </cell>
          <cell r="H73">
            <v>8.4383888448943036</v>
          </cell>
          <cell r="I73">
            <v>8.4383888448943036</v>
          </cell>
          <cell r="J73">
            <v>8.4383888448943036</v>
          </cell>
          <cell r="K73">
            <v>8.4383888448943036</v>
          </cell>
          <cell r="L73">
            <v>8.4383888448943036</v>
          </cell>
          <cell r="M73">
            <v>8.4383888448943036</v>
          </cell>
        </row>
        <row r="74">
          <cell r="E74">
            <v>22.88</v>
          </cell>
          <cell r="F74">
            <v>22.88</v>
          </cell>
          <cell r="G74">
            <v>9.0567699201785992</v>
          </cell>
          <cell r="H74">
            <v>9.0567699201785992</v>
          </cell>
          <cell r="I74">
            <v>9.0567699201785992</v>
          </cell>
          <cell r="J74">
            <v>9.0567699201785992</v>
          </cell>
          <cell r="K74">
            <v>9.0567699201785992</v>
          </cell>
          <cell r="L74">
            <v>9.0567699201785992</v>
          </cell>
          <cell r="M74">
            <v>9.0567699201785992</v>
          </cell>
        </row>
        <row r="75">
          <cell r="E75">
            <v>21.96</v>
          </cell>
          <cell r="F75">
            <v>21.96</v>
          </cell>
          <cell r="G75">
            <v>11.468703314857429</v>
          </cell>
          <cell r="H75">
            <v>11.468703314857429</v>
          </cell>
          <cell r="I75">
            <v>11.468703314857429</v>
          </cell>
          <cell r="J75">
            <v>11.468703314857429</v>
          </cell>
          <cell r="K75">
            <v>11.468703314857429</v>
          </cell>
          <cell r="L75">
            <v>11.468703314857429</v>
          </cell>
          <cell r="M75">
            <v>11.468703314857429</v>
          </cell>
        </row>
        <row r="76">
          <cell r="E76">
            <v>47.71</v>
          </cell>
          <cell r="F76">
            <v>47.71</v>
          </cell>
          <cell r="G76">
            <v>18.566675786407121</v>
          </cell>
          <cell r="H76">
            <v>18.566675786407121</v>
          </cell>
          <cell r="I76">
            <v>18.566675786407121</v>
          </cell>
          <cell r="J76">
            <v>18.566675786407121</v>
          </cell>
          <cell r="K76">
            <v>18.566675786407121</v>
          </cell>
          <cell r="L76">
            <v>18.566675786407121</v>
          </cell>
          <cell r="M76">
            <v>18.566675786407121</v>
          </cell>
        </row>
        <row r="77">
          <cell r="E77">
            <v>8.26</v>
          </cell>
          <cell r="F77">
            <v>8.26</v>
          </cell>
          <cell r="G77">
            <v>2.8237898534648487</v>
          </cell>
          <cell r="H77">
            <v>2.8237898534648487</v>
          </cell>
          <cell r="I77">
            <v>2.8237898534648487</v>
          </cell>
          <cell r="J77">
            <v>2.8237898534648487</v>
          </cell>
          <cell r="K77">
            <v>2.8237898534648487</v>
          </cell>
          <cell r="L77">
            <v>2.8237898534648487</v>
          </cell>
          <cell r="M77">
            <v>2.8237898534648487</v>
          </cell>
        </row>
        <row r="78">
          <cell r="E78">
            <v>32</v>
          </cell>
          <cell r="F78">
            <v>32</v>
          </cell>
          <cell r="G78">
            <v>8.8405907785473712</v>
          </cell>
          <cell r="H78">
            <v>2.1</v>
          </cell>
          <cell r="I78">
            <v>8.8405907785473712</v>
          </cell>
          <cell r="J78">
            <v>8.8405907785473712</v>
          </cell>
          <cell r="K78">
            <v>8.8405907785473712</v>
          </cell>
          <cell r="L78">
            <v>8.8405907785473712</v>
          </cell>
          <cell r="M78">
            <v>8.8405907785473712</v>
          </cell>
        </row>
        <row r="79">
          <cell r="E79">
            <v>85</v>
          </cell>
          <cell r="F79">
            <v>85</v>
          </cell>
          <cell r="G79">
            <v>12.219676493091757</v>
          </cell>
          <cell r="H79">
            <v>11.558999999999999</v>
          </cell>
          <cell r="I79">
            <v>12.219676493091757</v>
          </cell>
          <cell r="J79">
            <v>12.219676493091757</v>
          </cell>
          <cell r="K79">
            <v>12.219676493091757</v>
          </cell>
          <cell r="L79">
            <v>12.219676493091757</v>
          </cell>
          <cell r="M79">
            <v>12.219676493091757</v>
          </cell>
        </row>
        <row r="80">
          <cell r="E80">
            <v>17.36</v>
          </cell>
          <cell r="F80">
            <v>17.36</v>
          </cell>
          <cell r="G80">
            <v>5.4243362920991869</v>
          </cell>
          <cell r="H80">
            <v>5.4243362920991869</v>
          </cell>
          <cell r="I80">
            <v>5.4243362920991869</v>
          </cell>
          <cell r="J80">
            <v>5.4243362920991869</v>
          </cell>
          <cell r="K80">
            <v>5.4243362920991869</v>
          </cell>
          <cell r="L80">
            <v>5.4243362920991869</v>
          </cell>
          <cell r="M80">
            <v>5.4243362920991869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анализ роста"/>
      <sheetName val="титул"/>
      <sheetName val="1.2.2.И"/>
      <sheetName val="1.3.И"/>
      <sheetName val="1.4."/>
      <sheetName val="1.5.И"/>
      <sheetName val="1.6.И"/>
      <sheetName val="1.12.а"/>
      <sheetName val="1.12.И"/>
      <sheetName val="1.13.И"/>
      <sheetName val="1.15."/>
      <sheetName val="анализ роста к факту И"/>
      <sheetName val="прочие"/>
      <sheetName val="1.18.2."/>
      <sheetName val="1.16."/>
      <sheetName val="1.16. жкх"/>
      <sheetName val="1.17."/>
      <sheetName val="1.17.1."/>
      <sheetName val="1.17.2."/>
      <sheetName val="1.20."/>
      <sheetName val="1.20.3"/>
      <sheetName val="1.21.3"/>
      <sheetName val="1.24."/>
      <sheetName val="1.25."/>
      <sheetName val="1.27."/>
      <sheetName val="Таб П2.1И"/>
      <sheetName val="ТабП.2.2И"/>
      <sheetName val="расчет"/>
      <sheetName val="расчет аморт"/>
      <sheetName val="тбо 2006И"/>
      <sheetName val="тепло 2006И"/>
      <sheetName val="вода 2006И"/>
      <sheetName val="мусор"/>
      <sheetName val="вода"/>
      <sheetName val="дезин"/>
      <sheetName val="9.8.6."/>
      <sheetName val="9.8.1."/>
      <sheetName val="9.8.23"/>
      <sheetName val="9.2."/>
      <sheetName val="несчас"/>
      <sheetName val="опасные"/>
      <sheetName val="автограж"/>
      <sheetName val="9.7.4."/>
      <sheetName val="9.6."/>
      <sheetName val="ЕСН"/>
      <sheetName val="ЕСНа"/>
      <sheetName val="9.8.2.а"/>
      <sheetName val="9.8.2."/>
      <sheetName val="9.8.3.-9.8.5."/>
      <sheetName val="сбор выр"/>
      <sheetName val="9.8.7."/>
      <sheetName val="9.8.8."/>
      <sheetName val="9.8.9."/>
      <sheetName val="9.8.10."/>
      <sheetName val="9.8.10.а"/>
      <sheetName val="9.8.12."/>
      <sheetName val="9.8.13."/>
      <sheetName val="9.3."/>
      <sheetName val="9.8.14. 9.8.15"/>
      <sheetName val="9.8.16"/>
      <sheetName val="9.8.17"/>
      <sheetName val="9.8.18"/>
      <sheetName val="9.8.19  9.8.20"/>
      <sheetName val="расчет конвертов"/>
      <sheetName val="9.8.21."/>
      <sheetName val="9.8.22"/>
      <sheetName val="9.8.23."/>
      <sheetName val="9.8.24."/>
      <sheetName val="9.8.25."/>
      <sheetName val="9.8.26."/>
      <sheetName val="9.8.27.  9.8.28."/>
      <sheetName val="услуги пр хар"/>
      <sheetName val="факт 2004"/>
      <sheetName val="расчет числ по ЖКХ"/>
      <sheetName val="приб на соц разв по ЖКХ"/>
      <sheetName val="выпадающие по 2006 (3)"/>
      <sheetName val="выпадающие по 2006"/>
      <sheetName val="выпдающ 05-06"/>
      <sheetName val="выпадающ 2004"/>
      <sheetName val="выпадающ 2005"/>
      <sheetName val="анализ роста к факту И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H12">
            <v>871.4</v>
          </cell>
          <cell r="M12">
            <v>858.17440000000011</v>
          </cell>
          <cell r="R12">
            <v>855.42</v>
          </cell>
          <cell r="W12">
            <v>947.59500000000014</v>
          </cell>
          <cell r="AB12">
            <v>966.53800000000001</v>
          </cell>
        </row>
        <row r="13">
          <cell r="I13">
            <v>871.25</v>
          </cell>
          <cell r="N13">
            <v>858.17440000000011</v>
          </cell>
          <cell r="S13">
            <v>855.42</v>
          </cell>
          <cell r="X13">
            <v>947.59400000000016</v>
          </cell>
          <cell r="AC13">
            <v>966.53700000000003</v>
          </cell>
        </row>
        <row r="14">
          <cell r="J14">
            <v>491.00635951974255</v>
          </cell>
          <cell r="O14">
            <v>490.52540000000016</v>
          </cell>
          <cell r="T14">
            <v>476.67999999999995</v>
          </cell>
          <cell r="Y14">
            <v>517.20900000000006</v>
          </cell>
          <cell r="AD14">
            <v>434.26902109198323</v>
          </cell>
        </row>
        <row r="17">
          <cell r="G17">
            <v>921.1</v>
          </cell>
          <cell r="L17">
            <v>899.5856</v>
          </cell>
          <cell r="Q17">
            <v>901.4</v>
          </cell>
          <cell r="V17">
            <v>982.74400000000014</v>
          </cell>
          <cell r="AA17">
            <v>1002.5</v>
          </cell>
        </row>
        <row r="20">
          <cell r="J20">
            <v>2</v>
          </cell>
          <cell r="O20">
            <v>1.3494999999999999</v>
          </cell>
          <cell r="T20">
            <v>1.17</v>
          </cell>
          <cell r="Y20">
            <v>1.246</v>
          </cell>
          <cell r="AD20">
            <v>1.329</v>
          </cell>
        </row>
        <row r="22">
          <cell r="G22">
            <v>49.7</v>
          </cell>
          <cell r="H22">
            <v>0.15</v>
          </cell>
          <cell r="I22">
            <v>336.5</v>
          </cell>
          <cell r="J22">
            <v>427.65</v>
          </cell>
          <cell r="L22">
            <v>39.611199999999997</v>
          </cell>
          <cell r="M22">
            <v>0</v>
          </cell>
          <cell r="N22">
            <v>324.04899999999992</v>
          </cell>
          <cell r="O22">
            <v>426.47199999999998</v>
          </cell>
          <cell r="Q22">
            <v>45.98</v>
          </cell>
          <cell r="R22">
            <v>0</v>
          </cell>
          <cell r="S22">
            <v>355.74</v>
          </cell>
          <cell r="T22">
            <v>428.08</v>
          </cell>
          <cell r="V22">
            <v>35.149000000000001</v>
          </cell>
          <cell r="W22">
            <v>1E-3</v>
          </cell>
          <cell r="X22">
            <v>380.02500000000009</v>
          </cell>
          <cell r="Y22">
            <v>444.62300000000005</v>
          </cell>
          <cell r="AA22">
            <v>35.962000000000003</v>
          </cell>
          <cell r="AB22">
            <v>1E-3</v>
          </cell>
          <cell r="AC22">
            <v>483.97700000000003</v>
          </cell>
          <cell r="AD22">
            <v>364.54100000000005</v>
          </cell>
        </row>
      </sheetData>
      <sheetData sheetId="5" refreshError="1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H21">
            <v>241.5</v>
          </cell>
          <cell r="N21">
            <v>34.9</v>
          </cell>
        </row>
        <row r="22">
          <cell r="E22">
            <v>49.7</v>
          </cell>
          <cell r="F22">
            <v>0.15</v>
          </cell>
          <cell r="G22">
            <v>336.5</v>
          </cell>
          <cell r="H22">
            <v>186.14999999999998</v>
          </cell>
          <cell r="K22">
            <v>9.3000000000000007</v>
          </cell>
          <cell r="M22">
            <v>50.2</v>
          </cell>
          <cell r="N22">
            <v>35.18</v>
          </cell>
        </row>
        <row r="23">
          <cell r="G23">
            <v>15.6</v>
          </cell>
          <cell r="H23">
            <v>61.9</v>
          </cell>
          <cell r="M23">
            <v>2</v>
          </cell>
          <cell r="N23">
            <v>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H39">
            <v>233.93</v>
          </cell>
          <cell r="N39">
            <v>34.380000000000003</v>
          </cell>
        </row>
        <row r="40">
          <cell r="E40">
            <v>45.98</v>
          </cell>
          <cell r="G40">
            <v>355.74</v>
          </cell>
          <cell r="H40">
            <v>194.14999999999998</v>
          </cell>
          <cell r="K40">
            <v>7.67</v>
          </cell>
          <cell r="M40">
            <v>55.25</v>
          </cell>
          <cell r="N40">
            <v>39.46</v>
          </cell>
        </row>
        <row r="41">
          <cell r="G41">
            <v>13.13</v>
          </cell>
          <cell r="H41">
            <v>62.39</v>
          </cell>
          <cell r="M41">
            <v>2.72</v>
          </cell>
          <cell r="N41">
            <v>12.94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282.38900000000001</v>
          </cell>
          <cell r="K57">
            <v>0</v>
          </cell>
          <cell r="L57">
            <v>0</v>
          </cell>
          <cell r="M57">
            <v>0</v>
          </cell>
          <cell r="N57">
            <v>43.769999999999996</v>
          </cell>
        </row>
        <row r="58">
          <cell r="E58">
            <v>35.962000000000003</v>
          </cell>
          <cell r="F58">
            <v>1E-3</v>
          </cell>
          <cell r="G58">
            <v>483.97700000000003</v>
          </cell>
          <cell r="H58">
            <v>82.152000000000044</v>
          </cell>
          <cell r="K58">
            <v>5.5750000000000002</v>
          </cell>
          <cell r="L58">
            <v>0</v>
          </cell>
          <cell r="M58">
            <v>75.03</v>
          </cell>
          <cell r="N58">
            <v>12.740000000000009</v>
          </cell>
        </row>
        <row r="59">
          <cell r="E59">
            <v>0</v>
          </cell>
          <cell r="F59">
            <v>0</v>
          </cell>
          <cell r="G59">
            <v>66.171999999999997</v>
          </cell>
          <cell r="H59">
            <v>11.417999999999999</v>
          </cell>
          <cell r="K59">
            <v>0</v>
          </cell>
          <cell r="L59">
            <v>0</v>
          </cell>
          <cell r="M59">
            <v>11.84</v>
          </cell>
          <cell r="N59">
            <v>1.7629999999999999</v>
          </cell>
        </row>
      </sheetData>
      <sheetData sheetId="7" refreshError="1">
        <row r="10">
          <cell r="E10">
            <v>10122</v>
          </cell>
          <cell r="F10">
            <v>20143</v>
          </cell>
          <cell r="G10">
            <v>16462</v>
          </cell>
          <cell r="H10">
            <v>24806</v>
          </cell>
          <cell r="I10">
            <v>24253.091516899996</v>
          </cell>
        </row>
        <row r="11">
          <cell r="H11">
            <v>17364.199999999997</v>
          </cell>
          <cell r="I11">
            <v>16977.164061829997</v>
          </cell>
        </row>
        <row r="12">
          <cell r="E12">
            <v>2820</v>
          </cell>
          <cell r="F12">
            <v>11126.392334408334</v>
          </cell>
          <cell r="G12">
            <v>6066</v>
          </cell>
          <cell r="H12">
            <v>7326.5</v>
          </cell>
          <cell r="I12">
            <v>10804.3</v>
          </cell>
        </row>
        <row r="13">
          <cell r="H13">
            <v>5128.5499999999993</v>
          </cell>
          <cell r="I13">
            <v>7563.0099999999993</v>
          </cell>
        </row>
        <row r="14">
          <cell r="E14">
            <v>4813</v>
          </cell>
          <cell r="F14">
            <v>5708.9213709677415</v>
          </cell>
          <cell r="G14">
            <v>5625</v>
          </cell>
          <cell r="H14">
            <v>6782.7070000000003</v>
          </cell>
          <cell r="I14">
            <v>7257.4970000000003</v>
          </cell>
        </row>
        <row r="15">
          <cell r="E15">
            <v>970692</v>
          </cell>
          <cell r="F15">
            <v>948021</v>
          </cell>
          <cell r="G15">
            <v>1144968.29874</v>
          </cell>
          <cell r="H15">
            <v>1280770.9454400002</v>
          </cell>
          <cell r="I15">
            <v>1397974.4205</v>
          </cell>
        </row>
        <row r="16">
          <cell r="E16">
            <v>-1136988.0000000005</v>
          </cell>
          <cell r="F16">
            <v>-473609.16000000015</v>
          </cell>
          <cell r="G16">
            <v>1143561.17484</v>
          </cell>
          <cell r="H16">
            <v>1279147.0834800003</v>
          </cell>
          <cell r="I16">
            <v>1396121.1456822001</v>
          </cell>
        </row>
        <row r="17">
          <cell r="E17">
            <v>2107680.0000000005</v>
          </cell>
          <cell r="F17">
            <v>1421630.1600000001</v>
          </cell>
          <cell r="G17">
            <v>1407.1238999999998</v>
          </cell>
          <cell r="H17">
            <v>1623.86196</v>
          </cell>
          <cell r="I17">
            <v>1853.2748177999999</v>
          </cell>
        </row>
        <row r="20">
          <cell r="E20">
            <v>10119</v>
          </cell>
          <cell r="F20">
            <v>11740.843152330885</v>
          </cell>
          <cell r="G20">
            <v>11888</v>
          </cell>
          <cell r="H20">
            <v>14771.53</v>
          </cell>
          <cell r="I20">
            <v>18032.37135466667</v>
          </cell>
        </row>
        <row r="25">
          <cell r="I25">
            <v>0</v>
          </cell>
        </row>
        <row r="26">
          <cell r="E26">
            <v>890</v>
          </cell>
          <cell r="F26">
            <v>4396</v>
          </cell>
          <cell r="G26">
            <v>529</v>
          </cell>
          <cell r="H26">
            <v>3707.4511299999999</v>
          </cell>
          <cell r="I26">
            <v>3710.0727090999999</v>
          </cell>
        </row>
        <row r="27">
          <cell r="E27">
            <v>135</v>
          </cell>
          <cell r="F27">
            <v>19</v>
          </cell>
          <cell r="G27">
            <v>37</v>
          </cell>
          <cell r="H27">
            <v>39.9303375</v>
          </cell>
          <cell r="I27">
            <v>0</v>
          </cell>
        </row>
        <row r="31">
          <cell r="E31">
            <v>1285</v>
          </cell>
          <cell r="F31">
            <v>1508</v>
          </cell>
          <cell r="G31">
            <v>1234</v>
          </cell>
          <cell r="H31">
            <v>13.909000000000001</v>
          </cell>
          <cell r="I31">
            <v>14.882630000000001</v>
          </cell>
        </row>
        <row r="32">
          <cell r="E32">
            <v>1150</v>
          </cell>
          <cell r="F32">
            <v>1346</v>
          </cell>
          <cell r="G32">
            <v>1175</v>
          </cell>
          <cell r="H32">
            <v>0</v>
          </cell>
          <cell r="I32">
            <v>0</v>
          </cell>
        </row>
        <row r="33">
          <cell r="E33">
            <v>135</v>
          </cell>
          <cell r="F33">
            <v>162</v>
          </cell>
          <cell r="G33">
            <v>59</v>
          </cell>
          <cell r="H33">
            <v>13.909000000000001</v>
          </cell>
          <cell r="I33">
            <v>14.882630000000001</v>
          </cell>
        </row>
        <row r="34">
          <cell r="E34">
            <v>49302.21</v>
          </cell>
          <cell r="F34">
            <v>20835.03</v>
          </cell>
          <cell r="G34">
            <v>14902.366271008925</v>
          </cell>
          <cell r="H34" t="e">
            <v>#REF!</v>
          </cell>
          <cell r="I34" t="e">
            <v>#REF!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  <row r="38">
          <cell r="B38" t="str">
            <v>Услуги банка</v>
          </cell>
          <cell r="E38">
            <v>135</v>
          </cell>
          <cell r="F38">
            <v>445</v>
          </cell>
          <cell r="G38">
            <v>100</v>
          </cell>
          <cell r="H38">
            <v>385.39795000000004</v>
          </cell>
          <cell r="I38">
            <v>385.39795000000004</v>
          </cell>
        </row>
        <row r="39">
          <cell r="B39" t="str">
            <v>Услуги связи</v>
          </cell>
          <cell r="E39">
            <v>844</v>
          </cell>
          <cell r="F39">
            <v>1225</v>
          </cell>
          <cell r="G39">
            <v>1038</v>
          </cell>
          <cell r="H39">
            <v>1332.6775</v>
          </cell>
          <cell r="I39">
            <v>1839.9010000000001</v>
          </cell>
        </row>
        <row r="40">
          <cell r="B40" t="str">
            <v>Командирововчные расходы</v>
          </cell>
          <cell r="E40">
            <v>230</v>
          </cell>
          <cell r="F40">
            <v>385</v>
          </cell>
          <cell r="G40">
            <v>230</v>
          </cell>
          <cell r="H40">
            <v>950</v>
          </cell>
          <cell r="I40">
            <v>1780.932182</v>
          </cell>
        </row>
        <row r="41">
          <cell r="B41" t="str">
            <v>Расходы на обучение</v>
          </cell>
          <cell r="E41">
            <v>206</v>
          </cell>
          <cell r="F41">
            <v>75</v>
          </cell>
          <cell r="G41">
            <v>226</v>
          </cell>
          <cell r="H41">
            <v>296.7</v>
          </cell>
          <cell r="I41">
            <v>341.76525423728816</v>
          </cell>
        </row>
        <row r="42">
          <cell r="B42" t="str">
            <v>Охрана труда</v>
          </cell>
          <cell r="G42">
            <v>94</v>
          </cell>
          <cell r="H42">
            <v>98</v>
          </cell>
          <cell r="I42">
            <v>1233.3322000000001</v>
          </cell>
        </row>
        <row r="43">
          <cell r="B43" t="str">
            <v>Канцелярские расходы</v>
          </cell>
          <cell r="F43">
            <v>341</v>
          </cell>
          <cell r="G43">
            <v>184</v>
          </cell>
          <cell r="H43">
            <v>441.3</v>
          </cell>
          <cell r="I43">
            <v>961.8</v>
          </cell>
        </row>
        <row r="44">
          <cell r="B44" t="str">
            <v>Коммунальные услуги</v>
          </cell>
          <cell r="E44">
            <v>744</v>
          </cell>
          <cell r="F44">
            <v>1344</v>
          </cell>
          <cell r="G44">
            <v>1022</v>
          </cell>
          <cell r="H44">
            <v>1534.2105381220663</v>
          </cell>
          <cell r="I44">
            <v>1633.9342231000005</v>
          </cell>
        </row>
        <row r="45">
          <cell r="B45" t="str">
            <v>Вневедомственная охрана</v>
          </cell>
          <cell r="F45">
            <v>1393</v>
          </cell>
          <cell r="G45">
            <v>984</v>
          </cell>
          <cell r="H45">
            <v>1251.7996116015133</v>
          </cell>
          <cell r="I45">
            <v>1985.3541840000003</v>
          </cell>
        </row>
        <row r="46">
          <cell r="B46" t="str">
            <v>Аттестация рабочих мест</v>
          </cell>
          <cell r="G46">
            <v>312</v>
          </cell>
          <cell r="H46">
            <v>312</v>
          </cell>
          <cell r="I46">
            <v>0</v>
          </cell>
        </row>
        <row r="47">
          <cell r="B47" t="str">
            <v>Аудиторские услуги</v>
          </cell>
          <cell r="F47">
            <v>3525.4</v>
          </cell>
          <cell r="G47">
            <v>200</v>
          </cell>
          <cell r="H47">
            <v>6500</v>
          </cell>
          <cell r="I47">
            <v>1627.8961780575</v>
          </cell>
        </row>
        <row r="48">
          <cell r="B48" t="str">
            <v>Дебитрская задолженность</v>
          </cell>
          <cell r="G48">
            <v>46.2</v>
          </cell>
          <cell r="H48" t="e">
            <v>#REF!</v>
          </cell>
          <cell r="I48" t="e">
            <v>#REF!</v>
          </cell>
        </row>
        <row r="49">
          <cell r="B49" t="str">
            <v>Создание резерва по сомнительным долгам</v>
          </cell>
          <cell r="G49">
            <v>3126.6</v>
          </cell>
          <cell r="H49">
            <v>0</v>
          </cell>
          <cell r="I49">
            <v>0</v>
          </cell>
        </row>
        <row r="50">
          <cell r="B50" t="str">
            <v xml:space="preserve">прочие затраты  </v>
          </cell>
          <cell r="E50">
            <v>9883.73</v>
          </cell>
          <cell r="F50">
            <v>9929.6299999999992</v>
          </cell>
          <cell r="G50">
            <v>7339.5662710089255</v>
          </cell>
          <cell r="H50" t="e">
            <v>#REF!</v>
          </cell>
          <cell r="I50" t="e">
            <v>#REF!</v>
          </cell>
        </row>
        <row r="51">
          <cell r="B51" t="str">
            <v>Создание аварийного запаса</v>
          </cell>
          <cell r="G51">
            <v>0</v>
          </cell>
          <cell r="H51">
            <v>0</v>
          </cell>
          <cell r="I51" t="e">
            <v>#REF!</v>
          </cell>
        </row>
        <row r="52">
          <cell r="B52" t="str">
            <v>Экономические обоснгванные расходы неучтеные в тарифах предыдущих периодах регулирования</v>
          </cell>
          <cell r="G52">
            <v>0</v>
          </cell>
          <cell r="H52">
            <v>0</v>
          </cell>
          <cell r="I52" t="e">
            <v>#REF!</v>
          </cell>
        </row>
        <row r="53">
          <cell r="B53" t="str">
            <v>Переоценка ОПФ</v>
          </cell>
          <cell r="G53">
            <v>0</v>
          </cell>
          <cell r="H53">
            <v>0</v>
          </cell>
          <cell r="I53">
            <v>402.58749999999998</v>
          </cell>
        </row>
        <row r="54">
          <cell r="B54" t="str">
            <v>Поверка и ремонт счетчиков</v>
          </cell>
          <cell r="E54">
            <v>3097.7</v>
          </cell>
          <cell r="F54">
            <v>882</v>
          </cell>
        </row>
        <row r="55">
          <cell r="B55" t="str">
            <v>Оформление кадастровых дел по земельным участкам</v>
          </cell>
          <cell r="E55">
            <v>2521</v>
          </cell>
        </row>
        <row r="56">
          <cell r="B56" t="str">
            <v>Консультационные услуги</v>
          </cell>
          <cell r="F56">
            <v>1268</v>
          </cell>
          <cell r="G56">
            <v>0</v>
          </cell>
          <cell r="H56">
            <v>1600</v>
          </cell>
          <cell r="I56">
            <v>3092.453</v>
          </cell>
        </row>
        <row r="57">
          <cell r="B57" t="str">
            <v>Информационно-програмные услуги</v>
          </cell>
          <cell r="G57">
            <v>0</v>
          </cell>
          <cell r="H57">
            <v>450</v>
          </cell>
          <cell r="I57">
            <v>923.99582500000008</v>
          </cell>
        </row>
        <row r="58">
          <cell r="B58" t="str">
            <v>Литература, тех. документация</v>
          </cell>
          <cell r="F58">
            <v>22</v>
          </cell>
          <cell r="G58">
            <v>0</v>
          </cell>
          <cell r="H58">
            <v>25</v>
          </cell>
          <cell r="I58">
            <v>19.584852000000005</v>
          </cell>
        </row>
        <row r="59">
          <cell r="B59" t="str">
            <v>выполнение предписаний энергонадзора</v>
          </cell>
          <cell r="E59">
            <v>31640.78</v>
          </cell>
        </row>
        <row r="60">
          <cell r="B60" t="str">
            <v>налог на имущество</v>
          </cell>
          <cell r="H60">
            <v>194.20170000000005</v>
          </cell>
          <cell r="I60">
            <v>207.3</v>
          </cell>
        </row>
        <row r="64">
          <cell r="G64">
            <v>45.64</v>
          </cell>
          <cell r="I64">
            <v>153350</v>
          </cell>
        </row>
        <row r="65">
          <cell r="E65">
            <v>23156</v>
          </cell>
          <cell r="G65">
            <v>23000</v>
          </cell>
          <cell r="I65">
            <v>0</v>
          </cell>
        </row>
      </sheetData>
      <sheetData sheetId="8" refreshError="1">
        <row r="7">
          <cell r="G7">
            <v>407</v>
          </cell>
          <cell r="H7">
            <v>445</v>
          </cell>
          <cell r="I7">
            <v>407</v>
          </cell>
          <cell r="J7">
            <v>485</v>
          </cell>
          <cell r="K7">
            <v>450.12977775114058</v>
          </cell>
        </row>
        <row r="8">
          <cell r="G8">
            <v>407</v>
          </cell>
          <cell r="H8">
            <v>445</v>
          </cell>
          <cell r="I8">
            <v>407</v>
          </cell>
          <cell r="J8">
            <v>485</v>
          </cell>
          <cell r="K8">
            <v>450.12977775114058</v>
          </cell>
        </row>
        <row r="10">
          <cell r="G10">
            <v>2604</v>
          </cell>
          <cell r="H10">
            <v>2604</v>
          </cell>
          <cell r="I10">
            <v>2890</v>
          </cell>
          <cell r="J10">
            <v>3160</v>
          </cell>
          <cell r="K10">
            <v>3570</v>
          </cell>
        </row>
        <row r="11">
          <cell r="G11">
            <v>1.085</v>
          </cell>
          <cell r="H11">
            <v>1.0620000000000001</v>
          </cell>
          <cell r="I11">
            <v>1.085</v>
          </cell>
          <cell r="J11">
            <v>1.0396000000000001</v>
          </cell>
          <cell r="K11">
            <v>1.0316677534735161</v>
          </cell>
        </row>
        <row r="12">
          <cell r="G12">
            <v>2825.3399999999997</v>
          </cell>
          <cell r="H12">
            <v>2765.4480000000003</v>
          </cell>
          <cell r="I12">
            <v>3135.65</v>
          </cell>
          <cell r="J12">
            <v>3285.1360000000004</v>
          </cell>
          <cell r="K12">
            <v>3683.0538799004526</v>
          </cell>
        </row>
        <row r="13">
          <cell r="G13">
            <v>4.93</v>
          </cell>
          <cell r="H13">
            <v>5.1269999999999998</v>
          </cell>
          <cell r="I13">
            <v>4.9000000000000004</v>
          </cell>
          <cell r="J13">
            <v>5.25</v>
          </cell>
          <cell r="K13">
            <v>5.1580775583560179</v>
          </cell>
        </row>
        <row r="14">
          <cell r="G14">
            <v>1.5598118000000001</v>
          </cell>
          <cell r="H14">
            <v>1.6105084999999999</v>
          </cell>
          <cell r="I14">
            <v>1.5461704000000001</v>
          </cell>
          <cell r="J14">
            <v>1.62</v>
          </cell>
          <cell r="K14" t="e">
            <v>#REF!</v>
          </cell>
        </row>
        <row r="17">
          <cell r="G17">
            <v>8.3940000000000001</v>
          </cell>
          <cell r="H17">
            <v>5.4</v>
          </cell>
          <cell r="I17">
            <v>5.3449999999999998</v>
          </cell>
          <cell r="J17">
            <v>6.6</v>
          </cell>
          <cell r="K17">
            <v>6.6</v>
          </cell>
        </row>
        <row r="20">
          <cell r="G20">
            <v>20</v>
          </cell>
          <cell r="H20">
            <v>21.8</v>
          </cell>
          <cell r="I20">
            <v>15</v>
          </cell>
          <cell r="J20">
            <v>20</v>
          </cell>
          <cell r="K20">
            <v>40</v>
          </cell>
        </row>
        <row r="23">
          <cell r="G23">
            <v>15</v>
          </cell>
          <cell r="H23">
            <v>22</v>
          </cell>
          <cell r="I23">
            <v>15</v>
          </cell>
          <cell r="J23">
            <v>19</v>
          </cell>
          <cell r="K23">
            <v>20</v>
          </cell>
        </row>
        <row r="26">
          <cell r="G26">
            <v>33</v>
          </cell>
          <cell r="H26">
            <v>22.000999999999902</v>
          </cell>
          <cell r="I26">
            <v>33</v>
          </cell>
          <cell r="J26">
            <v>33</v>
          </cell>
          <cell r="K26">
            <v>33</v>
          </cell>
        </row>
      </sheetData>
      <sheetData sheetId="9" refreshError="1"/>
      <sheetData sheetId="10" refreshError="1">
        <row r="9">
          <cell r="D9">
            <v>0</v>
          </cell>
          <cell r="E9">
            <v>0</v>
          </cell>
          <cell r="F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I10">
            <v>0</v>
          </cell>
        </row>
        <row r="11">
          <cell r="D11">
            <v>3424.8560000000002</v>
          </cell>
          <cell r="E11">
            <v>0</v>
          </cell>
          <cell r="F11">
            <v>0</v>
          </cell>
          <cell r="I11">
            <v>163.49332500000003</v>
          </cell>
        </row>
        <row r="12">
          <cell r="D12">
            <v>15051.796999999999</v>
          </cell>
          <cell r="E12">
            <v>0</v>
          </cell>
          <cell r="F12">
            <v>0</v>
          </cell>
          <cell r="I12">
            <v>801.05015000000014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I15">
            <v>0</v>
          </cell>
        </row>
        <row r="16">
          <cell r="D16">
            <v>17993.334000000003</v>
          </cell>
          <cell r="E16">
            <v>0</v>
          </cell>
          <cell r="F16">
            <v>0</v>
          </cell>
          <cell r="I16">
            <v>724.17600000000004</v>
          </cell>
        </row>
        <row r="17">
          <cell r="D17">
            <v>7117.4259999999995</v>
          </cell>
          <cell r="E17">
            <v>2297.29</v>
          </cell>
          <cell r="F17">
            <v>0</v>
          </cell>
          <cell r="I17">
            <v>416.4011999999999</v>
          </cell>
        </row>
        <row r="19">
          <cell r="D19">
            <v>0</v>
          </cell>
          <cell r="E19">
            <v>0</v>
          </cell>
          <cell r="F19">
            <v>0</v>
          </cell>
          <cell r="I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I20">
            <v>0</v>
          </cell>
        </row>
        <row r="21">
          <cell r="D21">
            <v>21218.421000000006</v>
          </cell>
          <cell r="E21">
            <v>866.7</v>
          </cell>
          <cell r="F21">
            <v>0</v>
          </cell>
          <cell r="I21">
            <v>1108.1428250000001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35645.040000000001</v>
          </cell>
          <cell r="G6">
            <v>38127.21</v>
          </cell>
          <cell r="H6">
            <v>37248.824999999997</v>
          </cell>
          <cell r="I6">
            <v>39009.326999999997</v>
          </cell>
          <cell r="J6" t="e">
            <v>#REF!</v>
          </cell>
        </row>
        <row r="7">
          <cell r="F7">
            <v>2682.96</v>
          </cell>
          <cell r="G7">
            <v>2869.7900000000004</v>
          </cell>
          <cell r="H7">
            <v>2803.6750000000002</v>
          </cell>
          <cell r="I7">
            <v>2730.6528900000003</v>
          </cell>
          <cell r="J7" t="e">
            <v>#REF!</v>
          </cell>
        </row>
        <row r="8">
          <cell r="F8">
            <v>10119</v>
          </cell>
          <cell r="G8">
            <v>10443</v>
          </cell>
          <cell r="H8">
            <v>10573.86</v>
          </cell>
          <cell r="I8">
            <v>11063.877336176</v>
          </cell>
          <cell r="J8" t="e">
            <v>#REF!</v>
          </cell>
        </row>
        <row r="12">
          <cell r="I12">
            <v>0</v>
          </cell>
          <cell r="J12">
            <v>0</v>
          </cell>
        </row>
        <row r="13">
          <cell r="I13">
            <v>0</v>
          </cell>
          <cell r="J13">
            <v>0</v>
          </cell>
        </row>
        <row r="14">
          <cell r="F14">
            <v>6311.6791661300622</v>
          </cell>
          <cell r="G14">
            <v>6020.9066362697258</v>
          </cell>
          <cell r="H14">
            <v>6198.5042293580746</v>
          </cell>
          <cell r="I14">
            <v>1824.7449999999999</v>
          </cell>
          <cell r="J14">
            <v>1995.8121500000002</v>
          </cell>
        </row>
        <row r="15">
          <cell r="F15">
            <v>8188.3208338699378</v>
          </cell>
          <cell r="G15">
            <v>7811.0933637302742</v>
          </cell>
          <cell r="H15">
            <v>8041.4957706419254</v>
          </cell>
          <cell r="I15">
            <v>1030.4549999999999</v>
          </cell>
          <cell r="J15">
            <v>1217.45135</v>
          </cell>
        </row>
        <row r="17">
          <cell r="I17">
            <v>13544.8</v>
          </cell>
          <cell r="J17">
            <v>15571.4365</v>
          </cell>
        </row>
        <row r="19">
          <cell r="I19">
            <v>1190</v>
          </cell>
          <cell r="J19">
            <v>1309</v>
          </cell>
        </row>
        <row r="23">
          <cell r="F23">
            <v>890</v>
          </cell>
          <cell r="G23">
            <v>4396</v>
          </cell>
          <cell r="H23">
            <v>529</v>
          </cell>
          <cell r="I23">
            <v>3707.4511299999999</v>
          </cell>
          <cell r="J23">
            <v>3710.0727090999999</v>
          </cell>
        </row>
        <row r="24">
          <cell r="F24">
            <v>135</v>
          </cell>
          <cell r="G24">
            <v>19</v>
          </cell>
          <cell r="H24">
            <v>37</v>
          </cell>
          <cell r="I24">
            <v>39.9303375</v>
          </cell>
          <cell r="J24">
            <v>0</v>
          </cell>
        </row>
        <row r="25">
          <cell r="I25">
            <v>0</v>
          </cell>
          <cell r="J25">
            <v>0</v>
          </cell>
        </row>
        <row r="28">
          <cell r="B28" t="str">
            <v>- налог на землю</v>
          </cell>
          <cell r="F28">
            <v>1150</v>
          </cell>
          <cell r="G28">
            <v>1346</v>
          </cell>
          <cell r="H28">
            <v>1175</v>
          </cell>
          <cell r="I28">
            <v>0</v>
          </cell>
          <cell r="J28">
            <v>0</v>
          </cell>
        </row>
        <row r="29">
          <cell r="B29" t="str">
            <v>ВН</v>
          </cell>
        </row>
        <row r="30">
          <cell r="B30" t="str">
            <v>СН1</v>
          </cell>
        </row>
        <row r="31">
          <cell r="B31" t="str">
            <v>СН2</v>
          </cell>
        </row>
        <row r="32">
          <cell r="B32" t="str">
            <v>НН</v>
          </cell>
        </row>
        <row r="33">
          <cell r="B33" t="str">
            <v>- налог на пользователей автодорог</v>
          </cell>
          <cell r="I33">
            <v>0</v>
          </cell>
          <cell r="J33">
            <v>0</v>
          </cell>
        </row>
        <row r="34">
          <cell r="B34" t="str">
            <v>- налог на транспорт</v>
          </cell>
          <cell r="F34">
            <v>135</v>
          </cell>
          <cell r="G34">
            <v>162</v>
          </cell>
          <cell r="H34">
            <v>59</v>
          </cell>
          <cell r="I34">
            <v>13.909000000000001</v>
          </cell>
          <cell r="J34">
            <v>14.882630000000001</v>
          </cell>
        </row>
        <row r="35">
          <cell r="B35" t="str">
            <v>УГЭН</v>
          </cell>
          <cell r="I35">
            <v>0</v>
          </cell>
          <cell r="J35">
            <v>0</v>
          </cell>
        </row>
        <row r="36">
          <cell r="B36" t="str">
            <v>РЭК</v>
          </cell>
          <cell r="I36">
            <v>0</v>
          </cell>
          <cell r="J36">
            <v>0</v>
          </cell>
        </row>
        <row r="37">
          <cell r="B37" t="str">
            <v>энергосбережение</v>
          </cell>
          <cell r="F37">
            <v>6901</v>
          </cell>
          <cell r="G37">
            <v>6916</v>
          </cell>
          <cell r="H37">
            <v>7522</v>
          </cell>
          <cell r="I37">
            <v>8461</v>
          </cell>
          <cell r="J37">
            <v>9307.1</v>
          </cell>
        </row>
        <row r="39">
          <cell r="F39">
            <v>37930.289999999994</v>
          </cell>
          <cell r="G39">
            <v>45011.000000000015</v>
          </cell>
          <cell r="H39">
            <v>30674.300000000003</v>
          </cell>
          <cell r="I39">
            <v>148789.73123808688</v>
          </cell>
          <cell r="J39" t="e">
            <v>#REF!</v>
          </cell>
        </row>
        <row r="41">
          <cell r="B41" t="str">
            <v>Арендная плата</v>
          </cell>
          <cell r="I41">
            <v>66177.510423013358</v>
          </cell>
          <cell r="J41">
            <v>70809.936152624301</v>
          </cell>
        </row>
        <row r="51">
          <cell r="H51">
            <v>45.6</v>
          </cell>
          <cell r="J51">
            <v>153350</v>
          </cell>
        </row>
        <row r="52">
          <cell r="H52">
            <v>23000</v>
          </cell>
          <cell r="J52">
            <v>0</v>
          </cell>
        </row>
        <row r="59">
          <cell r="F59">
            <v>814</v>
          </cell>
          <cell r="G59">
            <v>790.1321999999999</v>
          </cell>
          <cell r="H59">
            <v>829.8</v>
          </cell>
          <cell r="I59">
            <v>859.79800000000012</v>
          </cell>
          <cell r="J59">
            <v>884.48100000000011</v>
          </cell>
        </row>
        <row r="63">
          <cell r="F63">
            <v>76599.342336664922</v>
          </cell>
          <cell r="G63">
            <v>85668.187117584079</v>
          </cell>
          <cell r="H63">
            <v>56991.70046097145</v>
          </cell>
          <cell r="I63">
            <v>161012.02170558687</v>
          </cell>
          <cell r="J63" t="e">
            <v>#REF!</v>
          </cell>
        </row>
        <row r="67">
          <cell r="F67">
            <v>8392.0400000000009</v>
          </cell>
          <cell r="G67">
            <v>8392.0400000000009</v>
          </cell>
          <cell r="H67">
            <v>8392.0400000000009</v>
          </cell>
          <cell r="I67">
            <v>8392.0400000000009</v>
          </cell>
          <cell r="J67">
            <v>8392.0400000000009</v>
          </cell>
        </row>
        <row r="69">
          <cell r="I69">
            <v>0</v>
          </cell>
          <cell r="J69">
            <v>0</v>
          </cell>
        </row>
        <row r="70">
          <cell r="I70">
            <v>0</v>
          </cell>
          <cell r="J70">
            <v>0</v>
          </cell>
        </row>
        <row r="71">
          <cell r="F71">
            <v>6860.79</v>
          </cell>
          <cell r="G71">
            <v>6860.79</v>
          </cell>
          <cell r="H71">
            <v>6860.79</v>
          </cell>
          <cell r="I71">
            <v>6860.79</v>
          </cell>
          <cell r="J71">
            <v>6860.79</v>
          </cell>
        </row>
        <row r="72">
          <cell r="F72">
            <v>1531.25</v>
          </cell>
          <cell r="G72">
            <v>1531.25</v>
          </cell>
          <cell r="H72">
            <v>1531.25</v>
          </cell>
          <cell r="I72">
            <v>1531.25</v>
          </cell>
          <cell r="J72">
            <v>1531.25</v>
          </cell>
        </row>
      </sheetData>
      <sheetData sheetId="12" refreshError="1">
        <row r="9">
          <cell r="H9">
            <v>29996.920000000002</v>
          </cell>
          <cell r="I9">
            <v>55126.400000000001</v>
          </cell>
        </row>
        <row r="10">
          <cell r="H10">
            <v>0</v>
          </cell>
          <cell r="I10">
            <v>0</v>
          </cell>
        </row>
        <row r="13">
          <cell r="E13">
            <v>14500</v>
          </cell>
          <cell r="F13">
            <v>13832</v>
          </cell>
          <cell r="G13">
            <v>8007.2899291812919</v>
          </cell>
          <cell r="H13">
            <v>3590.3</v>
          </cell>
          <cell r="I13">
            <v>4027.0227332410809</v>
          </cell>
        </row>
        <row r="14">
          <cell r="H14" t="e">
            <v>#REF!</v>
          </cell>
          <cell r="I14" t="e">
            <v>#REF!</v>
          </cell>
        </row>
        <row r="15">
          <cell r="H15">
            <v>0</v>
          </cell>
          <cell r="I15">
            <v>9816.8799999999974</v>
          </cell>
        </row>
        <row r="16">
          <cell r="H16">
            <v>0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18">
          <cell r="H18">
            <v>0</v>
          </cell>
          <cell r="I18">
            <v>0</v>
          </cell>
        </row>
        <row r="19">
          <cell r="H19">
            <v>26406.620000000003</v>
          </cell>
          <cell r="I19">
            <v>36223.5</v>
          </cell>
        </row>
        <row r="20">
          <cell r="H20">
            <v>0</v>
          </cell>
          <cell r="I20">
            <v>0</v>
          </cell>
        </row>
      </sheetData>
      <sheetData sheetId="13" refreshError="1"/>
      <sheetData sheetId="14" refreshError="1">
        <row r="10">
          <cell r="H10">
            <v>0</v>
          </cell>
          <cell r="I10">
            <v>1223.4594000000002</v>
          </cell>
        </row>
        <row r="13">
          <cell r="H13">
            <v>0</v>
          </cell>
          <cell r="I13">
            <v>0</v>
          </cell>
        </row>
        <row r="14">
          <cell r="H14">
            <v>0</v>
          </cell>
          <cell r="I14">
            <v>0</v>
          </cell>
        </row>
        <row r="15">
          <cell r="H15">
            <v>0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 t="e">
            <v>#REF!</v>
          </cell>
          <cell r="I17" t="e">
            <v>#REF!</v>
          </cell>
        </row>
        <row r="21">
          <cell r="H21">
            <v>0</v>
          </cell>
          <cell r="I21">
            <v>0</v>
          </cell>
        </row>
        <row r="22">
          <cell r="E22">
            <v>19264.849999999999</v>
          </cell>
          <cell r="F22">
            <v>27540</v>
          </cell>
          <cell r="G22">
            <v>30354.35</v>
          </cell>
          <cell r="H22" t="e">
            <v>#REF!</v>
          </cell>
          <cell r="I22" t="e">
            <v>#REF!</v>
          </cell>
        </row>
        <row r="24">
          <cell r="H24">
            <v>0</v>
          </cell>
        </row>
        <row r="28">
          <cell r="B28" t="str">
            <v>Другие прочие платежи из прибыли</v>
          </cell>
          <cell r="G28">
            <v>30354.35</v>
          </cell>
        </row>
        <row r="29">
          <cell r="B29" t="str">
            <v>Резерв по сомнительным долгам</v>
          </cell>
          <cell r="H29">
            <v>0</v>
          </cell>
        </row>
        <row r="30">
          <cell r="B30" t="str">
            <v>- резервный фонд</v>
          </cell>
          <cell r="I30" t="e">
            <v>#REF!</v>
          </cell>
        </row>
        <row r="32">
          <cell r="H32" t="e">
            <v>#REF!</v>
          </cell>
          <cell r="I32" t="e">
            <v>#REF!</v>
          </cell>
        </row>
        <row r="35">
          <cell r="E35">
            <v>8863.2099999999991</v>
          </cell>
          <cell r="F35">
            <v>8183</v>
          </cell>
          <cell r="H35" t="e">
            <v>#REF!</v>
          </cell>
          <cell r="I35" t="e">
            <v>#REF!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E40">
            <v>810</v>
          </cell>
          <cell r="F40">
            <v>622.6</v>
          </cell>
          <cell r="G40">
            <v>625</v>
          </cell>
          <cell r="H40">
            <v>0</v>
          </cell>
          <cell r="I40">
            <v>0</v>
          </cell>
        </row>
        <row r="48">
          <cell r="B48" t="str">
            <v>налог на прибыль связанный с переоценкой основных фондов</v>
          </cell>
          <cell r="H48">
            <v>1175.0201736000006</v>
          </cell>
          <cell r="I48">
            <v>1257.2715857520006</v>
          </cell>
        </row>
        <row r="49">
          <cell r="B49" t="str">
            <v>налог на прибыль на отчисления в фонд Энергосбережения</v>
          </cell>
          <cell r="H49">
            <v>2030.6399999999999</v>
          </cell>
          <cell r="I49">
            <v>2233.7040000000002</v>
          </cell>
        </row>
        <row r="50">
          <cell r="B50" t="str">
            <v>отчисления собственнику имущества (20%)</v>
          </cell>
          <cell r="F50">
            <v>1467</v>
          </cell>
          <cell r="H50" t="e">
            <v>#REF!</v>
          </cell>
          <cell r="I50" t="e">
            <v>#REF!</v>
          </cell>
        </row>
        <row r="54">
          <cell r="H54">
            <v>0</v>
          </cell>
          <cell r="I54" t="e">
            <v>#REF!</v>
          </cell>
        </row>
        <row r="55">
          <cell r="H55" t="e">
            <v>#REF!</v>
          </cell>
          <cell r="I55" t="e">
            <v>#REF!</v>
          </cell>
        </row>
        <row r="56">
          <cell r="E56">
            <v>23657.889222096172</v>
          </cell>
          <cell r="F56">
            <v>30913.140065347634</v>
          </cell>
          <cell r="G56">
            <v>25326.716112709182</v>
          </cell>
          <cell r="H56" t="e">
            <v>#REF!</v>
          </cell>
          <cell r="I56" t="e">
            <v>#REF!</v>
          </cell>
        </row>
        <row r="57">
          <cell r="E57">
            <v>5280.1707779038215</v>
          </cell>
          <cell r="F57">
            <v>6899.4599346523601</v>
          </cell>
          <cell r="G57">
            <v>5652.6338872908127</v>
          </cell>
          <cell r="H57" t="e">
            <v>#REF!</v>
          </cell>
          <cell r="I57" t="e">
            <v>#REF!</v>
          </cell>
        </row>
      </sheetData>
      <sheetData sheetId="15" refreshError="1"/>
      <sheetData sheetId="16" refreshError="1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 refreshError="1">
        <row r="34">
          <cell r="F34">
            <v>140</v>
          </cell>
          <cell r="G34">
            <v>2.6</v>
          </cell>
        </row>
        <row r="35">
          <cell r="F35">
            <v>110</v>
          </cell>
          <cell r="G35">
            <v>53.2</v>
          </cell>
        </row>
        <row r="37">
          <cell r="F37">
            <v>350</v>
          </cell>
          <cell r="G37">
            <v>497.2</v>
          </cell>
        </row>
        <row r="41">
          <cell r="F41">
            <v>220</v>
          </cell>
          <cell r="G41">
            <v>91.9</v>
          </cell>
        </row>
        <row r="42">
          <cell r="F42">
            <v>150</v>
          </cell>
          <cell r="G42">
            <v>381.5</v>
          </cell>
        </row>
        <row r="43">
          <cell r="F43">
            <v>270</v>
          </cell>
          <cell r="G43">
            <v>250.9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0"/>
      <sheetName val="10.1"/>
      <sheetName val="10.1.1 реестр исп.дог."/>
      <sheetName val="10.1.2 дог.с инвест."/>
      <sheetName val="Затраты 2015"/>
      <sheetName val="10.2"/>
      <sheetName val="10.3"/>
      <sheetName val="3.3.1 - реестр IVкв. 2016"/>
      <sheetName val="10.3.1 реестр исп до 150"/>
      <sheetName val="11. АНАЛИЗ"/>
      <sheetName val="12. Анализ производства"/>
      <sheetName val="выручка по заявителям"/>
    </sheetNames>
    <sheetDataSet>
      <sheetData sheetId="0">
        <row r="8">
          <cell r="K8">
            <v>26812.524100295672</v>
          </cell>
        </row>
      </sheetData>
      <sheetData sheetId="1"/>
      <sheetData sheetId="2"/>
      <sheetData sheetId="3"/>
      <sheetData sheetId="4">
        <row r="562">
          <cell r="H562">
            <v>4.0225017819974491</v>
          </cell>
        </row>
        <row r="563">
          <cell r="H563">
            <v>4.0225017819974456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0"/>
      <sheetName val="10.1"/>
      <sheetName val="10.1.1 реестр исп.дог."/>
      <sheetName val="10.1.2 дог.с инвест."/>
      <sheetName val="Затраты 2015"/>
      <sheetName val="10.2"/>
      <sheetName val="10.3"/>
      <sheetName val="3.3.1 - реестр IVкв. 2015"/>
      <sheetName val="10.3.1 реестр исп до 150"/>
      <sheetName val="11. АНАЛИЗ"/>
      <sheetName val="12. Анализ производства"/>
      <sheetName val="выручка по заявителям"/>
    </sheetNames>
    <sheetDataSet>
      <sheetData sheetId="0"/>
      <sheetData sheetId="1"/>
      <sheetData sheetId="2"/>
      <sheetData sheetId="3"/>
      <sheetData sheetId="4">
        <row r="562">
          <cell r="H562">
            <v>4.0225017819974491</v>
          </cell>
        </row>
        <row r="563">
          <cell r="H563">
            <v>4.0225017819974456</v>
          </cell>
        </row>
        <row r="567">
          <cell r="H567">
            <v>58.991096828280426</v>
          </cell>
        </row>
        <row r="568">
          <cell r="H568">
            <v>58.991096828280405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0"/>
      <sheetName val="10.1"/>
      <sheetName val="10.1.1 реестр исп.дог."/>
      <sheetName val="10.1.2 дог.с инвест."/>
      <sheetName val="Затраты 2015"/>
      <sheetName val="10.2"/>
      <sheetName val="10.3"/>
      <sheetName val="3.3.1 - реестр IVкв. 2016"/>
      <sheetName val="10.3.1 реестр исп до 150"/>
      <sheetName val="11. АНАЛИЗ"/>
      <sheetName val="12. Анализ производства"/>
      <sheetName val="выручка по заявителям"/>
    </sheetNames>
    <sheetDataSet>
      <sheetData sheetId="0">
        <row r="8">
          <cell r="K8">
            <v>26812.524100295672</v>
          </cell>
        </row>
      </sheetData>
      <sheetData sheetId="1"/>
      <sheetData sheetId="2"/>
      <sheetData sheetId="3"/>
      <sheetData sheetId="4">
        <row r="562">
          <cell r="H562">
            <v>4.0225017819974491</v>
          </cell>
        </row>
        <row r="563">
          <cell r="H563">
            <v>4.0225017819974456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37"/>
  <sheetViews>
    <sheetView topLeftCell="A13" zoomScale="77" zoomScaleNormal="77" workbookViewId="0">
      <selection activeCell="C33" sqref="C33:D33"/>
    </sheetView>
  </sheetViews>
  <sheetFormatPr defaultRowHeight="15"/>
  <cols>
    <col min="1" max="1" width="9.140625" style="2521"/>
    <col min="2" max="2" width="52.85546875" style="2521" customWidth="1"/>
    <col min="3" max="3" width="21.85546875" style="2521" customWidth="1"/>
    <col min="4" max="4" width="21.28515625" style="2521" customWidth="1"/>
    <col min="5" max="5" width="19.85546875" style="2521" customWidth="1"/>
    <col min="6" max="6" width="20.5703125" style="2521" customWidth="1"/>
    <col min="7" max="7" width="22.140625" style="2521" customWidth="1"/>
    <col min="8" max="8" width="17.5703125" style="2521" customWidth="1"/>
    <col min="9" max="9" width="21.28515625" style="2521" customWidth="1"/>
    <col min="10" max="10" width="22.7109375" style="2521" customWidth="1"/>
    <col min="11" max="11" width="19.28515625" style="2521" customWidth="1"/>
    <col min="12" max="16384" width="9.140625" style="2521"/>
  </cols>
  <sheetData>
    <row r="1" spans="1:11">
      <c r="E1" s="2521">
        <f ca="1">E9*E11/1000</f>
        <v>9619.0242814502126</v>
      </c>
    </row>
    <row r="2" spans="1:11">
      <c r="E2" s="2521">
        <f ca="1">E13*1000/E10</f>
        <v>1691.3299819818444</v>
      </c>
    </row>
    <row r="5" spans="1:11" ht="15" customHeight="1">
      <c r="A5" s="2989" t="s">
        <v>3735</v>
      </c>
      <c r="B5" s="2989" t="s">
        <v>2</v>
      </c>
      <c r="C5" s="2989" t="s">
        <v>3982</v>
      </c>
      <c r="D5" s="2989" t="s">
        <v>3983</v>
      </c>
      <c r="E5" s="2989" t="s">
        <v>3984</v>
      </c>
      <c r="F5" s="2986" t="s">
        <v>3985</v>
      </c>
      <c r="G5" s="2987"/>
      <c r="H5" s="2987"/>
      <c r="I5" s="2987"/>
      <c r="J5" s="2987"/>
      <c r="K5" s="2988"/>
    </row>
    <row r="6" spans="1:11">
      <c r="A6" s="2989"/>
      <c r="B6" s="2989"/>
      <c r="C6" s="2989"/>
      <c r="D6" s="2989"/>
      <c r="E6" s="2989"/>
      <c r="F6" s="2989" t="s">
        <v>3986</v>
      </c>
      <c r="G6" s="2989"/>
      <c r="H6" s="2989"/>
      <c r="I6" s="2989" t="s">
        <v>3987</v>
      </c>
      <c r="J6" s="2989"/>
      <c r="K6" s="2989"/>
    </row>
    <row r="7" spans="1:11" ht="165">
      <c r="A7" s="2989"/>
      <c r="B7" s="2989"/>
      <c r="C7" s="2989"/>
      <c r="D7" s="2989"/>
      <c r="E7" s="2989"/>
      <c r="F7" s="2522" t="s">
        <v>3982</v>
      </c>
      <c r="G7" s="2522" t="s">
        <v>3983</v>
      </c>
      <c r="H7" s="2522" t="s">
        <v>3984</v>
      </c>
      <c r="I7" s="2522" t="s">
        <v>3982</v>
      </c>
      <c r="J7" s="2522" t="s">
        <v>3983</v>
      </c>
      <c r="K7" s="2522" t="s">
        <v>3984</v>
      </c>
    </row>
    <row r="8" spans="1:11">
      <c r="A8" s="2523">
        <v>1</v>
      </c>
      <c r="B8" s="2523">
        <f>A8+1</f>
        <v>2</v>
      </c>
      <c r="C8" s="2523">
        <f t="shared" ref="C8:K8" si="0">B8+1</f>
        <v>3</v>
      </c>
      <c r="D8" s="2523">
        <f t="shared" si="0"/>
        <v>4</v>
      </c>
      <c r="E8" s="2523">
        <f t="shared" si="0"/>
        <v>5</v>
      </c>
      <c r="F8" s="2523">
        <f t="shared" si="0"/>
        <v>6</v>
      </c>
      <c r="G8" s="2523">
        <f t="shared" si="0"/>
        <v>7</v>
      </c>
      <c r="H8" s="2523">
        <f t="shared" si="0"/>
        <v>8</v>
      </c>
      <c r="I8" s="2523">
        <f t="shared" si="0"/>
        <v>9</v>
      </c>
      <c r="J8" s="2523">
        <f t="shared" si="0"/>
        <v>10</v>
      </c>
      <c r="K8" s="2523">
        <f t="shared" si="0"/>
        <v>11</v>
      </c>
    </row>
    <row r="9" spans="1:11">
      <c r="A9" s="2522"/>
      <c r="B9" s="2524" t="s">
        <v>3988</v>
      </c>
      <c r="C9" s="2548">
        <f>'Приложение 2'!Q11</f>
        <v>471</v>
      </c>
      <c r="D9" s="2525">
        <f>C9</f>
        <v>471</v>
      </c>
      <c r="E9" s="2525">
        <f>D9</f>
        <v>471</v>
      </c>
      <c r="F9" s="2547">
        <v>240</v>
      </c>
      <c r="G9" s="2522">
        <f>F9</f>
        <v>240</v>
      </c>
      <c r="H9" s="2525">
        <f>G9</f>
        <v>240</v>
      </c>
      <c r="I9" s="2522">
        <f>C9-F9</f>
        <v>231</v>
      </c>
      <c r="J9" s="2522">
        <f t="shared" ref="J9:K10" si="1">D9-G9</f>
        <v>231</v>
      </c>
      <c r="K9" s="2525">
        <f t="shared" si="1"/>
        <v>231</v>
      </c>
    </row>
    <row r="10" spans="1:11">
      <c r="A10" s="2522"/>
      <c r="B10" s="2524" t="s">
        <v>3989</v>
      </c>
      <c r="C10" s="2525">
        <f>'Приложение 2'!R11</f>
        <v>5667.7573333333339</v>
      </c>
      <c r="D10" s="2525">
        <f>C10</f>
        <v>5667.7573333333339</v>
      </c>
      <c r="E10" s="2525">
        <f>D10</f>
        <v>5667.7573333333339</v>
      </c>
      <c r="F10" s="2526">
        <f>'[20]Прил. 3.1'!$K$11</f>
        <v>3803.58</v>
      </c>
      <c r="G10" s="2526">
        <f>F10</f>
        <v>3803.58</v>
      </c>
      <c r="H10" s="2525">
        <f>G10</f>
        <v>3803.58</v>
      </c>
      <c r="I10" s="2526">
        <f t="shared" ref="I10" si="2">C10-F10</f>
        <v>1864.177333333334</v>
      </c>
      <c r="J10" s="2526">
        <f t="shared" si="1"/>
        <v>1864.177333333334</v>
      </c>
      <c r="K10" s="2525">
        <f t="shared" si="1"/>
        <v>1864.177333333334</v>
      </c>
    </row>
    <row r="11" spans="1:11">
      <c r="A11" s="2522"/>
      <c r="B11" s="2524" t="s">
        <v>3990</v>
      </c>
      <c r="C11" s="2525">
        <f ca="1">'Приложение 2'!AA11</f>
        <v>5170.4361735028788</v>
      </c>
      <c r="D11" s="2525">
        <f ca="1">'Приложение 2'!AA12</f>
        <v>15252.120687325596</v>
      </c>
      <c r="E11" s="2525">
        <f ca="1">SUM(C11:D11)</f>
        <v>20422.556860828474</v>
      </c>
      <c r="F11" s="2525">
        <f ca="1">C11</f>
        <v>5170.4361735028788</v>
      </c>
      <c r="G11" s="2525">
        <f ca="1">D11</f>
        <v>15252.120687325596</v>
      </c>
      <c r="H11" s="2525">
        <f ca="1">SUM(F11:G11)</f>
        <v>20422.556860828474</v>
      </c>
      <c r="I11" s="2525">
        <f ca="1">C11</f>
        <v>5170.4361735028788</v>
      </c>
      <c r="J11" s="2525">
        <f ca="1">D11</f>
        <v>15252.120687325596</v>
      </c>
      <c r="K11" s="2525">
        <f ca="1">SUM(I11:J11)</f>
        <v>20422.556860828474</v>
      </c>
    </row>
    <row r="12" spans="1:11">
      <c r="A12" s="2522"/>
      <c r="B12" s="2524" t="s">
        <v>3991</v>
      </c>
      <c r="C12" s="2525">
        <f ca="1">'Приложение 2'!AB11</f>
        <v>429.67178982725011</v>
      </c>
      <c r="D12" s="2525">
        <f ca="1">'Приложение 2'!AB12</f>
        <v>1267.4764322532196</v>
      </c>
      <c r="E12" s="2525">
        <f ca="1">SUM(C12:D12)</f>
        <v>1697.1482220804696</v>
      </c>
      <c r="F12" s="2525">
        <f ca="1">C12</f>
        <v>429.67178982725011</v>
      </c>
      <c r="G12" s="2525">
        <f ca="1">D12</f>
        <v>1267.4764322532196</v>
      </c>
      <c r="H12" s="2525">
        <f ca="1">SUM(F12:G12)</f>
        <v>1697.1482220804696</v>
      </c>
      <c r="I12" s="2525">
        <f ca="1">C12</f>
        <v>429.67178982725011</v>
      </c>
      <c r="J12" s="2525">
        <f ca="1">D12</f>
        <v>1267.4764322532196</v>
      </c>
      <c r="K12" s="2525">
        <f ca="1">SUM(I12:J12)</f>
        <v>1697.1482220804696</v>
      </c>
    </row>
    <row r="13" spans="1:11" ht="42" customHeight="1">
      <c r="A13" s="2527" t="s">
        <v>3</v>
      </c>
      <c r="B13" s="2546" t="s">
        <v>3702</v>
      </c>
      <c r="C13" s="2528">
        <f t="shared" ref="C13:K13" ca="1" si="3">SUM(C14,C15,C16,C17,C18,C27)</f>
        <v>2446.5775109491342</v>
      </c>
      <c r="D13" s="2528">
        <f t="shared" ca="1" si="3"/>
        <v>7139.4703975149996</v>
      </c>
      <c r="E13" s="2529">
        <f t="shared" ca="1" si="3"/>
        <v>9586.0479084641338</v>
      </c>
      <c r="F13" s="2528">
        <f t="shared" ca="1" si="3"/>
        <v>1641.8757441089997</v>
      </c>
      <c r="G13" s="2528">
        <f t="shared" ca="1" si="3"/>
        <v>4791.2331487575038</v>
      </c>
      <c r="H13" s="2528">
        <f t="shared" ca="1" si="3"/>
        <v>6433.1088928665031</v>
      </c>
      <c r="I13" s="2528">
        <f t="shared" ca="1" si="3"/>
        <v>4615.9536822279479</v>
      </c>
      <c r="J13" s="2528">
        <f t="shared" ca="1" si="3"/>
        <v>8226.1661269466895</v>
      </c>
      <c r="K13" s="2528">
        <f t="shared" ca="1" si="3"/>
        <v>12842.119809174639</v>
      </c>
    </row>
    <row r="14" spans="1:11">
      <c r="A14" s="2530" t="s">
        <v>4</v>
      </c>
      <c r="B14" s="2531" t="s">
        <v>3703</v>
      </c>
      <c r="C14" s="2525">
        <f ca="1">'Приложение 3'!W12*$C$9/1000</f>
        <v>11.507509124668307</v>
      </c>
      <c r="D14" s="2525">
        <f ca="1">'Приложение 3'!AA12*$D$9/1000</f>
        <v>62.826024878625113</v>
      </c>
      <c r="E14" s="2525">
        <f ca="1">C14+D14</f>
        <v>74.333534003293423</v>
      </c>
      <c r="F14" s="2525">
        <f ca="1">C14/$C$10*$F$10</f>
        <v>7.7225839043930851</v>
      </c>
      <c r="G14" s="2525">
        <f ca="1">D14/$D$10*$G$10</f>
        <v>42.16196947996378</v>
      </c>
      <c r="H14" s="2525">
        <f ca="1">F14+G14</f>
        <v>49.884553384356863</v>
      </c>
      <c r="I14" s="2525">
        <f ca="1">C14-F14</f>
        <v>3.7849252202752215</v>
      </c>
      <c r="J14" s="2525">
        <f ca="1">D14-G14</f>
        <v>20.664055398661333</v>
      </c>
      <c r="K14" s="2525">
        <f ca="1">I14+J14</f>
        <v>24.448980618936552</v>
      </c>
    </row>
    <row r="15" spans="1:11">
      <c r="A15" s="2532" t="s">
        <v>5</v>
      </c>
      <c r="B15" s="2531" t="s">
        <v>3704</v>
      </c>
      <c r="C15" s="2525">
        <f ca="1">'Приложение 3'!W13*$C$9/1000</f>
        <v>3.5451753048969383</v>
      </c>
      <c r="D15" s="2525">
        <f ca="1">'Приложение 3'!AA13*$D$9/1000</f>
        <v>7.6998206697637697</v>
      </c>
      <c r="E15" s="2525">
        <f t="shared" ref="E15:E31" ca="1" si="4">C15+D15</f>
        <v>11.244995974660707</v>
      </c>
      <c r="F15" s="2525">
        <f t="shared" ref="F15:F17" ca="1" si="5">C15/$C$10*$F$10</f>
        <v>2.3791346547064403</v>
      </c>
      <c r="G15" s="2525">
        <f t="shared" ref="G15:G17" ca="1" si="6">D15/$D$10*$G$10</f>
        <v>5.1672790807145956</v>
      </c>
      <c r="H15" s="2525">
        <f t="shared" ref="H15:H17" ca="1" si="7">F15+G15</f>
        <v>7.5464137354210354</v>
      </c>
      <c r="I15" s="2525">
        <f t="shared" ref="I15:J31" ca="1" si="8">C15-F15</f>
        <v>1.1660406501904981</v>
      </c>
      <c r="J15" s="2525">
        <f t="shared" ca="1" si="8"/>
        <v>2.532541589049174</v>
      </c>
      <c r="K15" s="2525">
        <f t="shared" ref="K15:K31" ca="1" si="9">I15+J15</f>
        <v>3.6985822392396721</v>
      </c>
    </row>
    <row r="16" spans="1:11">
      <c r="A16" s="2532" t="s">
        <v>6</v>
      </c>
      <c r="B16" s="2531" t="s">
        <v>3992</v>
      </c>
      <c r="C16" s="2525">
        <f ca="1">'Приложение 3'!W14*$C$9/1000</f>
        <v>935.71533134373169</v>
      </c>
      <c r="D16" s="2525">
        <f ca="1">'Приложение 3'!AA14*$D$9/1000</f>
        <v>3460.8622029301155</v>
      </c>
      <c r="E16" s="2525">
        <f t="shared" ca="1" si="4"/>
        <v>4396.577534273847</v>
      </c>
      <c r="F16" s="2525">
        <f t="shared" ca="1" si="5"/>
        <v>627.94998280196728</v>
      </c>
      <c r="G16" s="2525">
        <f t="shared" ca="1" si="6"/>
        <v>2322.5529047269715</v>
      </c>
      <c r="H16" s="2525">
        <f t="shared" ca="1" si="7"/>
        <v>2950.502887528939</v>
      </c>
      <c r="I16" s="2525">
        <f t="shared" ca="1" si="8"/>
        <v>307.76534854176441</v>
      </c>
      <c r="J16" s="2525">
        <f t="shared" ca="1" si="8"/>
        <v>1138.309298203144</v>
      </c>
      <c r="K16" s="2525">
        <f t="shared" ca="1" si="9"/>
        <v>1446.0746467449085</v>
      </c>
    </row>
    <row r="17" spans="1:11">
      <c r="A17" s="2533" t="s">
        <v>7</v>
      </c>
      <c r="B17" s="2531" t="s">
        <v>3706</v>
      </c>
      <c r="C17" s="2525">
        <f ca="1">'Приложение 3'!W15*$C$9/1000</f>
        <v>282.10911919179637</v>
      </c>
      <c r="D17" s="2525">
        <f ca="1">'Приложение 3'!AA15*$D$9/1000</f>
        <v>1044.2818861640549</v>
      </c>
      <c r="E17" s="2525">
        <f t="shared" ca="1" si="4"/>
        <v>1326.3910053558511</v>
      </c>
      <c r="F17" s="2525">
        <f t="shared" ca="1" si="5"/>
        <v>189.32084428965192</v>
      </c>
      <c r="G17" s="2525">
        <f t="shared" ca="1" si="6"/>
        <v>700.80800270251666</v>
      </c>
      <c r="H17" s="2525">
        <f t="shared" ca="1" si="7"/>
        <v>890.12884699216852</v>
      </c>
      <c r="I17" s="2525">
        <f t="shared" ca="1" si="8"/>
        <v>92.788274902144451</v>
      </c>
      <c r="J17" s="2525">
        <f t="shared" ca="1" si="8"/>
        <v>343.47388346153821</v>
      </c>
      <c r="K17" s="2525">
        <f t="shared" ca="1" si="9"/>
        <v>436.26215836368266</v>
      </c>
    </row>
    <row r="18" spans="1:11">
      <c r="A18" s="2534" t="s">
        <v>3707</v>
      </c>
      <c r="B18" s="2535" t="s">
        <v>3708</v>
      </c>
      <c r="C18" s="2536">
        <f ca="1">SUM(C19:C21)</f>
        <v>774.81748755400633</v>
      </c>
      <c r="D18" s="2536">
        <f t="shared" ref="D18:H18" ca="1" si="10">SUM(D19:D21)</f>
        <v>1627.2069380075384</v>
      </c>
      <c r="E18" s="2536">
        <f t="shared" ca="1" si="10"/>
        <v>2402.0244255615448</v>
      </c>
      <c r="F18" s="2536">
        <f t="shared" ca="1" si="10"/>
        <v>519.97291450327918</v>
      </c>
      <c r="G18" s="2536">
        <f t="shared" ca="1" si="10"/>
        <v>1092.0036623421736</v>
      </c>
      <c r="H18" s="2536">
        <f t="shared" ca="1" si="10"/>
        <v>1611.9765768454527</v>
      </c>
      <c r="I18" s="2536">
        <f t="shared" ref="I18:K18" ca="1" si="11">SUM(I19:I21)</f>
        <v>2658.8401481082446</v>
      </c>
      <c r="J18" s="2536">
        <f t="shared" ca="1" si="11"/>
        <v>4246.507789108804</v>
      </c>
      <c r="K18" s="2536">
        <f t="shared" ca="1" si="11"/>
        <v>6905.3479372170486</v>
      </c>
    </row>
    <row r="19" spans="1:11">
      <c r="A19" s="2532" t="s">
        <v>3709</v>
      </c>
      <c r="B19" s="2537" t="s">
        <v>3778</v>
      </c>
      <c r="C19" s="2525">
        <f ca="1">'Приложение 3'!W17*$C$9/1000</f>
        <v>3.7984199868579962</v>
      </c>
      <c r="D19" s="2525">
        <f ca="1">'Приложение 3'!AA17*$D$9/1000</f>
        <v>8.1410310486388564</v>
      </c>
      <c r="E19" s="2525">
        <f t="shared" ca="1" si="4"/>
        <v>11.939451035496852</v>
      </c>
      <c r="F19" s="2525">
        <f t="shared" ref="F19:F20" ca="1" si="12">C19/$C$10*$F$10</f>
        <v>2.549084839720261</v>
      </c>
      <c r="G19" s="2525">
        <f t="shared" ref="G19:G20" ca="1" si="13">D19/$D$10*$G$10</f>
        <v>5.463371322175246</v>
      </c>
      <c r="H19" s="2525">
        <f t="shared" ref="H19:J31" ca="1" si="14">F19+G19</f>
        <v>8.012456161895507</v>
      </c>
      <c r="I19" s="2525">
        <f t="shared" ca="1" si="8"/>
        <v>1.2493351471377352</v>
      </c>
      <c r="J19" s="2525">
        <f t="shared" ca="1" si="8"/>
        <v>2.6776597264636104</v>
      </c>
      <c r="K19" s="2525">
        <f t="shared" ca="1" si="9"/>
        <v>3.9269948736013456</v>
      </c>
    </row>
    <row r="20" spans="1:11" ht="30">
      <c r="A20" s="2532" t="s">
        <v>3711</v>
      </c>
      <c r="B20" s="2537" t="s">
        <v>3779</v>
      </c>
      <c r="C20" s="2525">
        <f ca="1">'Приложение 3'!W18*$C$9/1000</f>
        <v>10.225732560063921</v>
      </c>
      <c r="D20" s="2525">
        <f ca="1">'Приложение 3'!AA18*$D$9/1000</f>
        <v>21.915468800879072</v>
      </c>
      <c r="E20" s="2525">
        <f t="shared" ca="1" si="4"/>
        <v>32.141201360942993</v>
      </c>
      <c r="F20" s="2525">
        <f t="shared" ca="1" si="12"/>
        <v>6.8623953996868234</v>
      </c>
      <c r="G20" s="2525">
        <f t="shared" ca="1" si="13"/>
        <v>14.707270251569394</v>
      </c>
      <c r="H20" s="2525">
        <f t="shared" ca="1" si="14"/>
        <v>21.569665651256216</v>
      </c>
      <c r="I20" s="2525">
        <f t="shared" ca="1" si="8"/>
        <v>3.3633371603770978</v>
      </c>
      <c r="J20" s="2525">
        <f t="shared" ca="1" si="8"/>
        <v>7.2081985493096781</v>
      </c>
      <c r="K20" s="2525">
        <f t="shared" ca="1" si="9"/>
        <v>10.571535709686776</v>
      </c>
    </row>
    <row r="21" spans="1:11" ht="30">
      <c r="A21" s="2532" t="s">
        <v>3713</v>
      </c>
      <c r="B21" s="2538" t="s">
        <v>3714</v>
      </c>
      <c r="C21" s="2536">
        <f ca="1">SUM(C22:C26)</f>
        <v>760.79333500708447</v>
      </c>
      <c r="D21" s="2536">
        <f ca="1">SUM(D22:D26)</f>
        <v>1597.1504381580205</v>
      </c>
      <c r="E21" s="2536">
        <f t="shared" ca="1" si="4"/>
        <v>2357.9437731651051</v>
      </c>
      <c r="F21" s="2536">
        <f ca="1">SUM(F22:F26)</f>
        <v>510.56143426387212</v>
      </c>
      <c r="G21" s="2536">
        <f ca="1">SUM(G22:G26)</f>
        <v>1071.8330207684289</v>
      </c>
      <c r="H21" s="2536">
        <f t="shared" ca="1" si="14"/>
        <v>1582.394455032301</v>
      </c>
      <c r="I21" s="2536">
        <f t="shared" ca="1" si="14"/>
        <v>2654.2274758007297</v>
      </c>
      <c r="J21" s="2536">
        <f t="shared" ca="1" si="14"/>
        <v>4236.621930833031</v>
      </c>
      <c r="K21" s="2536">
        <f t="shared" ca="1" si="9"/>
        <v>6890.8494066337607</v>
      </c>
    </row>
    <row r="22" spans="1:11">
      <c r="A22" s="2532" t="s">
        <v>3715</v>
      </c>
      <c r="B22" s="2539" t="s">
        <v>3716</v>
      </c>
      <c r="C22" s="2525">
        <f ca="1">'Приложение 3'!W20*$C$9/1000</f>
        <v>1.7399309894487358</v>
      </c>
      <c r="D22" s="2525">
        <f ca="1">'Приложение 3'!AA20*$D$9/1000</f>
        <v>3.77340734326236</v>
      </c>
      <c r="E22" s="2525">
        <f t="shared" ca="1" si="4"/>
        <v>5.5133383327110961</v>
      </c>
      <c r="F22" s="2525">
        <f t="shared" ref="F22:F26" ca="1" si="15">C22/$C$10*$F$10</f>
        <v>1.1676517401205053</v>
      </c>
      <c r="G22" s="2525">
        <f t="shared" ref="G22:G26" ca="1" si="16">D22/$D$10*$G$10</f>
        <v>2.5322990838503046</v>
      </c>
      <c r="H22" s="2525">
        <f t="shared" ca="1" si="14"/>
        <v>3.6999508239708101</v>
      </c>
      <c r="I22" s="2525">
        <f t="shared" ca="1" si="8"/>
        <v>0.57227924932823049</v>
      </c>
      <c r="J22" s="2525">
        <f t="shared" ca="1" si="8"/>
        <v>1.2411082594120555</v>
      </c>
      <c r="K22" s="2525">
        <f t="shared" ca="1" si="9"/>
        <v>1.813387508740286</v>
      </c>
    </row>
    <row r="23" spans="1:11">
      <c r="A23" s="2532" t="s">
        <v>3717</v>
      </c>
      <c r="B23" s="2539" t="s">
        <v>3718</v>
      </c>
      <c r="C23" s="2525">
        <f ca="1">'Приложение 3'!W21*$C$9/1000</f>
        <v>3.139228063600116</v>
      </c>
      <c r="D23" s="2525">
        <f ca="1">'Приложение 3'!AA21*$D$9/1000</f>
        <v>6.8053928433686277</v>
      </c>
      <c r="E23" s="2525">
        <f t="shared" ca="1" si="4"/>
        <v>9.9446209069687441</v>
      </c>
      <c r="F23" s="2525">
        <f t="shared" ca="1" si="15"/>
        <v>2.1067071816791723</v>
      </c>
      <c r="G23" s="2525">
        <f t="shared" ca="1" si="16"/>
        <v>4.5670367640734169</v>
      </c>
      <c r="H23" s="2525">
        <f t="shared" ca="1" si="14"/>
        <v>6.6737439457525891</v>
      </c>
      <c r="I23" s="2525">
        <f t="shared" ca="1" si="8"/>
        <v>1.0325208819209437</v>
      </c>
      <c r="J23" s="2525">
        <f t="shared" ca="1" si="8"/>
        <v>2.2383560792952109</v>
      </c>
      <c r="K23" s="2525">
        <f t="shared" ca="1" si="9"/>
        <v>3.2708769612161546</v>
      </c>
    </row>
    <row r="24" spans="1:11" ht="45">
      <c r="A24" s="2532" t="s">
        <v>3719</v>
      </c>
      <c r="B24" s="2539" t="s">
        <v>3720</v>
      </c>
      <c r="C24" s="2525">
        <f ca="1">'Приложение 3'!W22*$C$9/1000</f>
        <v>4.1343765689339635</v>
      </c>
      <c r="D24" s="2525">
        <f ca="1">'Приложение 3'!AA22*$D$9/1000</f>
        <v>8.9447500113218332</v>
      </c>
      <c r="E24" s="2525">
        <f t="shared" ca="1" si="4"/>
        <v>13.079126580255796</v>
      </c>
      <c r="F24" s="2525">
        <f t="shared" ca="1" si="15"/>
        <v>2.774542222826144</v>
      </c>
      <c r="G24" s="2525">
        <f t="shared" ca="1" si="16"/>
        <v>6.0027397517483978</v>
      </c>
      <c r="H24" s="2525">
        <f t="shared" ca="1" si="14"/>
        <v>8.7772819745745423</v>
      </c>
      <c r="I24" s="2525">
        <f t="shared" ca="1" si="8"/>
        <v>1.3598343461078195</v>
      </c>
      <c r="J24" s="2525">
        <f t="shared" ca="1" si="8"/>
        <v>2.9420102595734354</v>
      </c>
      <c r="K24" s="2525">
        <f t="shared" ca="1" si="9"/>
        <v>4.3018446056812554</v>
      </c>
    </row>
    <row r="25" spans="1:11">
      <c r="A25" s="2532" t="s">
        <v>3721</v>
      </c>
      <c r="B25" s="2539" t="s">
        <v>3722</v>
      </c>
      <c r="C25" s="2525">
        <f ca="1">'Приложение 3'!W23*$C$9/1000</f>
        <v>0.2151858799153811</v>
      </c>
      <c r="D25" s="2525">
        <f ca="1">'Приложение 3'!AA23*$D$9/1000</f>
        <v>0.46919045157537226</v>
      </c>
      <c r="E25" s="2525">
        <f t="shared" ca="1" si="4"/>
        <v>0.68437633149075339</v>
      </c>
      <c r="F25" s="2525">
        <f t="shared" ca="1" si="15"/>
        <v>0.14440927177931609</v>
      </c>
      <c r="G25" s="2525">
        <f t="shared" ca="1" si="16"/>
        <v>0.31486941180551381</v>
      </c>
      <c r="H25" s="2525">
        <f t="shared" ca="1" si="14"/>
        <v>0.45927868358482993</v>
      </c>
      <c r="I25" s="2525">
        <f t="shared" ca="1" si="8"/>
        <v>7.0776608136065011E-2</v>
      </c>
      <c r="J25" s="2525">
        <f t="shared" ca="1" si="8"/>
        <v>0.15432103976985845</v>
      </c>
      <c r="K25" s="2525">
        <f t="shared" ca="1" si="9"/>
        <v>0.22509764790592346</v>
      </c>
    </row>
    <row r="26" spans="1:11" ht="30">
      <c r="A26" s="2540" t="s">
        <v>3723</v>
      </c>
      <c r="B26" s="2539" t="s">
        <v>3724</v>
      </c>
      <c r="C26" s="2525">
        <f ca="1">'Приложение 3'!W24*$C$9/1000</f>
        <v>751.56461350518623</v>
      </c>
      <c r="D26" s="2525">
        <f ca="1">'Приложение 3'!AA24*$D$9/1000</f>
        <v>1577.1576975084922</v>
      </c>
      <c r="E26" s="2525">
        <f t="shared" ca="1" si="4"/>
        <v>2328.7223110136783</v>
      </c>
      <c r="F26" s="2525">
        <f t="shared" ca="1" si="15"/>
        <v>504.36812384746696</v>
      </c>
      <c r="G26" s="2525">
        <f t="shared" ca="1" si="16"/>
        <v>1058.4160757569514</v>
      </c>
      <c r="H26" s="2525">
        <f t="shared" ca="1" si="14"/>
        <v>1562.7841996044183</v>
      </c>
      <c r="I26" s="2525">
        <f t="shared" ca="1" si="8"/>
        <v>247.19648965771927</v>
      </c>
      <c r="J26" s="2525">
        <f t="shared" ca="1" si="8"/>
        <v>518.74162175154083</v>
      </c>
      <c r="K26" s="2525">
        <f t="shared" ca="1" si="9"/>
        <v>765.93811140926005</v>
      </c>
    </row>
    <row r="27" spans="1:11">
      <c r="A27" s="2530" t="s">
        <v>3725</v>
      </c>
      <c r="B27" s="2535" t="s">
        <v>3726</v>
      </c>
      <c r="C27" s="2536">
        <f>SUM(C28:C31)</f>
        <v>438.88288843003454</v>
      </c>
      <c r="D27" s="2536">
        <f>SUM(D28:D31)</f>
        <v>936.59352486490207</v>
      </c>
      <c r="E27" s="2536">
        <f t="shared" si="4"/>
        <v>1375.4764132949367</v>
      </c>
      <c r="F27" s="2536">
        <f>SUM(F28:F31)</f>
        <v>294.53028395500189</v>
      </c>
      <c r="G27" s="2536">
        <f>SUM(G28:G31)</f>
        <v>628.53933042516348</v>
      </c>
      <c r="H27" s="2536">
        <f t="shared" si="14"/>
        <v>923.06961438016538</v>
      </c>
      <c r="I27" s="2536">
        <f t="shared" si="14"/>
        <v>1551.608944805329</v>
      </c>
      <c r="J27" s="2536">
        <f t="shared" si="14"/>
        <v>2474.6785591854941</v>
      </c>
      <c r="K27" s="2536">
        <f t="shared" si="9"/>
        <v>4026.2875039908231</v>
      </c>
    </row>
    <row r="28" spans="1:11">
      <c r="A28" s="2532" t="s">
        <v>3727</v>
      </c>
      <c r="B28" s="2537" t="s">
        <v>3728</v>
      </c>
      <c r="C28" s="2525">
        <f>'Приложение 3'!W26*$C$9/1000</f>
        <v>0</v>
      </c>
      <c r="D28" s="2525">
        <f>'Приложение 3'!AA26*$D$9/1000</f>
        <v>0</v>
      </c>
      <c r="E28" s="2525">
        <f t="shared" si="4"/>
        <v>0</v>
      </c>
      <c r="F28" s="2525">
        <f t="shared" ref="F28:F31" si="17">C28/$C$10*$F$10</f>
        <v>0</v>
      </c>
      <c r="G28" s="2525">
        <f t="shared" ref="G28:G31" si="18">D28/$D$10*$G$10</f>
        <v>0</v>
      </c>
      <c r="H28" s="2525">
        <f t="shared" si="14"/>
        <v>0</v>
      </c>
      <c r="I28" s="2525">
        <f t="shared" si="8"/>
        <v>0</v>
      </c>
      <c r="J28" s="2525">
        <f t="shared" si="8"/>
        <v>0</v>
      </c>
      <c r="K28" s="2525">
        <f t="shared" si="9"/>
        <v>0</v>
      </c>
    </row>
    <row r="29" spans="1:11">
      <c r="A29" s="2532" t="s">
        <v>3729</v>
      </c>
      <c r="B29" s="2537" t="s">
        <v>3730</v>
      </c>
      <c r="C29" s="2525">
        <f>'Приложение 3'!W27*$C$9/1000</f>
        <v>259.14236668932006</v>
      </c>
      <c r="D29" s="2525">
        <f>'Приложение 3'!AA27*$D$9/1000</f>
        <v>559.23544565762779</v>
      </c>
      <c r="E29" s="2525">
        <f t="shared" si="4"/>
        <v>818.37781234694785</v>
      </c>
      <c r="F29" s="2525">
        <f t="shared" si="17"/>
        <v>173.90806718121615</v>
      </c>
      <c r="G29" s="2525">
        <f t="shared" si="18"/>
        <v>375.29778204943841</v>
      </c>
      <c r="H29" s="2525">
        <f t="shared" si="14"/>
        <v>549.20584923065462</v>
      </c>
      <c r="I29" s="2525">
        <f t="shared" si="8"/>
        <v>85.234299508103902</v>
      </c>
      <c r="J29" s="2525">
        <f t="shared" si="8"/>
        <v>183.93766360818938</v>
      </c>
      <c r="K29" s="2525">
        <f t="shared" si="9"/>
        <v>269.17196311629328</v>
      </c>
    </row>
    <row r="30" spans="1:11">
      <c r="A30" s="2532" t="s">
        <v>3731</v>
      </c>
      <c r="B30" s="2537" t="s">
        <v>3732</v>
      </c>
      <c r="C30" s="2525">
        <f>'Приложение 3'!W28*$C$9/1000</f>
        <v>137.00661651947905</v>
      </c>
      <c r="D30" s="2525">
        <f>'Приложение 3'!AA28*$D$9/1000</f>
        <v>287.02778155483776</v>
      </c>
      <c r="E30" s="2525">
        <f t="shared" si="4"/>
        <v>424.03439807431681</v>
      </c>
      <c r="F30" s="2525">
        <f t="shared" si="17"/>
        <v>91.943884646642147</v>
      </c>
      <c r="G30" s="2525">
        <f t="shared" si="18"/>
        <v>192.62171352072994</v>
      </c>
      <c r="H30" s="2525">
        <f t="shared" si="14"/>
        <v>284.56559816737206</v>
      </c>
      <c r="I30" s="2525">
        <f t="shared" si="8"/>
        <v>45.062731872836906</v>
      </c>
      <c r="J30" s="2525">
        <f t="shared" si="8"/>
        <v>94.406068034107818</v>
      </c>
      <c r="K30" s="2525">
        <f t="shared" si="9"/>
        <v>139.46879990694472</v>
      </c>
    </row>
    <row r="31" spans="1:11" ht="30">
      <c r="A31" s="2533" t="s">
        <v>3733</v>
      </c>
      <c r="B31" s="2537" t="s">
        <v>3734</v>
      </c>
      <c r="C31" s="2525">
        <f>'Приложение 3'!W29*$C$9/1000</f>
        <v>42.733905221235453</v>
      </c>
      <c r="D31" s="2525">
        <f>'Приложение 3'!AA29*$D$9/1000</f>
        <v>90.330297652436471</v>
      </c>
      <c r="E31" s="2525">
        <f t="shared" si="4"/>
        <v>133.06420287367192</v>
      </c>
      <c r="F31" s="2525">
        <f t="shared" si="17"/>
        <v>28.678332127143541</v>
      </c>
      <c r="G31" s="2525">
        <f t="shared" si="18"/>
        <v>60.619834854995126</v>
      </c>
      <c r="H31" s="2525">
        <f t="shared" si="14"/>
        <v>89.298166982138667</v>
      </c>
      <c r="I31" s="2525">
        <f t="shared" si="8"/>
        <v>14.055573094091912</v>
      </c>
      <c r="J31" s="2525">
        <f t="shared" si="8"/>
        <v>29.710462797441345</v>
      </c>
      <c r="K31" s="2525">
        <f t="shared" si="9"/>
        <v>43.766035891533257</v>
      </c>
    </row>
    <row r="32" spans="1:11">
      <c r="A32" s="2541" t="s">
        <v>8</v>
      </c>
      <c r="B32" s="2546" t="s">
        <v>3993</v>
      </c>
      <c r="C32" s="2985">
        <f>SUM(C33:C36)</f>
        <v>44372.674167550307</v>
      </c>
      <c r="D32" s="2985"/>
      <c r="E32" s="2529">
        <f>SUM(E33:E36)</f>
        <v>44372.674167550307</v>
      </c>
      <c r="F32" s="2983">
        <f>SUM(F33:F36)</f>
        <v>9541.7104171481096</v>
      </c>
      <c r="G32" s="2983"/>
      <c r="H32" s="2528">
        <f>SUM(H33:H36)</f>
        <v>9541.7104171481096</v>
      </c>
      <c r="I32" s="2983">
        <f>SUM(I33:I36)</f>
        <v>34830.963750402203</v>
      </c>
      <c r="J32" s="2983"/>
      <c r="K32" s="2528">
        <f>SUM(K33:K36)</f>
        <v>34830.963750402203</v>
      </c>
    </row>
    <row r="33" spans="1:11">
      <c r="A33" s="2542"/>
      <c r="B33" s="2537" t="s">
        <v>3994</v>
      </c>
      <c r="C33" s="2984">
        <f>'Приложение 1'!AO61</f>
        <v>12373.741114813711</v>
      </c>
      <c r="D33" s="2984"/>
      <c r="E33" s="2525">
        <f>C33</f>
        <v>12373.741114813711</v>
      </c>
      <c r="F33" s="2984">
        <f>'[21]10.1'!$L$19</f>
        <v>3967.7507694558481</v>
      </c>
      <c r="G33" s="2984"/>
      <c r="H33" s="2525">
        <f>F33</f>
        <v>3967.7507694558481</v>
      </c>
      <c r="I33" s="2984">
        <f>C33-F33</f>
        <v>8405.9903453578627</v>
      </c>
      <c r="J33" s="2984"/>
      <c r="K33" s="2525">
        <f>I33</f>
        <v>8405.9903453578627</v>
      </c>
    </row>
    <row r="34" spans="1:11">
      <c r="A34" s="2542"/>
      <c r="B34" s="2537" t="s">
        <v>3995</v>
      </c>
      <c r="C34" s="2984">
        <f>'Приложение 1'!AO119</f>
        <v>27232.988297022352</v>
      </c>
      <c r="D34" s="2984"/>
      <c r="E34" s="2525">
        <f t="shared" ref="E34:E36" si="19">C34</f>
        <v>27232.988297022352</v>
      </c>
      <c r="F34" s="2984">
        <f>'[21]10.1'!$L$34</f>
        <v>4157.6714689817618</v>
      </c>
      <c r="G34" s="2984"/>
      <c r="H34" s="2525">
        <f t="shared" ref="H34:H36" si="20">F34</f>
        <v>4157.6714689817618</v>
      </c>
      <c r="I34" s="2984">
        <f t="shared" ref="I34:I36" si="21">C34-F34</f>
        <v>23075.316828040588</v>
      </c>
      <c r="J34" s="2984"/>
      <c r="K34" s="2525">
        <f t="shared" ref="K34:K36" si="22">I34</f>
        <v>23075.316828040588</v>
      </c>
    </row>
    <row r="35" spans="1:11">
      <c r="A35" s="2542"/>
      <c r="B35" s="2537" t="s">
        <v>3999</v>
      </c>
      <c r="C35" s="2984">
        <f>'Приложение 1'!AO337</f>
        <v>0</v>
      </c>
      <c r="D35" s="2984"/>
      <c r="E35" s="2525">
        <f t="shared" si="19"/>
        <v>0</v>
      </c>
      <c r="F35" s="2544"/>
      <c r="G35" s="2544"/>
      <c r="H35" s="2525"/>
      <c r="I35" s="2544"/>
      <c r="J35" s="2544"/>
      <c r="K35" s="2525"/>
    </row>
    <row r="36" spans="1:11">
      <c r="A36" s="2542"/>
      <c r="B36" s="2537" t="s">
        <v>3996</v>
      </c>
      <c r="C36" s="2984">
        <f>'Приложение 1'!AO404</f>
        <v>4765.9447557142503</v>
      </c>
      <c r="D36" s="2984"/>
      <c r="E36" s="2525">
        <f t="shared" si="19"/>
        <v>4765.9447557142503</v>
      </c>
      <c r="F36" s="2984">
        <f>'[21]10.1'!$L$51</f>
        <v>1416.2881787104996</v>
      </c>
      <c r="G36" s="2984"/>
      <c r="H36" s="2525">
        <f t="shared" si="20"/>
        <v>1416.2881787104996</v>
      </c>
      <c r="I36" s="2984">
        <f t="shared" si="21"/>
        <v>3349.6565770037505</v>
      </c>
      <c r="J36" s="2984"/>
      <c r="K36" s="2525">
        <f t="shared" si="22"/>
        <v>3349.6565770037505</v>
      </c>
    </row>
    <row r="37" spans="1:11" ht="22.5" customHeight="1">
      <c r="A37" s="2541" t="s">
        <v>11</v>
      </c>
      <c r="B37" s="2546" t="s">
        <v>3997</v>
      </c>
      <c r="C37" s="2983">
        <f ca="1">C13+D13+C32</f>
        <v>53958.722076014441</v>
      </c>
      <c r="D37" s="2983"/>
      <c r="E37" s="2529">
        <f ca="1">E13+E32</f>
        <v>53958.722076014441</v>
      </c>
      <c r="F37" s="2983">
        <f ca="1">F13+G13+F32</f>
        <v>15974.819310014613</v>
      </c>
      <c r="G37" s="2983"/>
      <c r="H37" s="2528">
        <f ca="1">H13+H32</f>
        <v>15974.819310014613</v>
      </c>
      <c r="I37" s="2983">
        <f ca="1">I13+J13+I32</f>
        <v>47673.083559576844</v>
      </c>
      <c r="J37" s="2983"/>
      <c r="K37" s="2528">
        <f ca="1">K13+K32</f>
        <v>47673.083559576844</v>
      </c>
    </row>
  </sheetData>
  <mergeCells count="24">
    <mergeCell ref="F5:K5"/>
    <mergeCell ref="F6:H6"/>
    <mergeCell ref="I6:K6"/>
    <mergeCell ref="A5:A7"/>
    <mergeCell ref="B5:B7"/>
    <mergeCell ref="C5:C7"/>
    <mergeCell ref="D5:D7"/>
    <mergeCell ref="E5:E7"/>
    <mergeCell ref="C32:D32"/>
    <mergeCell ref="F32:G32"/>
    <mergeCell ref="I32:J32"/>
    <mergeCell ref="C33:D33"/>
    <mergeCell ref="F33:G33"/>
    <mergeCell ref="I33:J33"/>
    <mergeCell ref="C37:D37"/>
    <mergeCell ref="F37:G37"/>
    <mergeCell ref="I37:J37"/>
    <mergeCell ref="C35:D35"/>
    <mergeCell ref="C34:D34"/>
    <mergeCell ref="F34:G34"/>
    <mergeCell ref="I34:J34"/>
    <mergeCell ref="C36:D36"/>
    <mergeCell ref="F36:G36"/>
    <mergeCell ref="I36:J36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A3:L31"/>
  <sheetViews>
    <sheetView zoomScale="80" zoomScaleNormal="80" workbookViewId="0">
      <selection activeCell="E25" sqref="E25"/>
    </sheetView>
  </sheetViews>
  <sheetFormatPr defaultRowHeight="12.75"/>
  <cols>
    <col min="1" max="1" width="9.140625" style="1686"/>
    <col min="2" max="2" width="57.7109375" style="1686" customWidth="1"/>
    <col min="3" max="3" width="17.42578125" style="1686" customWidth="1"/>
    <col min="4" max="4" width="17.140625" style="1686" customWidth="1"/>
    <col min="5" max="5" width="17.28515625" style="1686" customWidth="1"/>
    <col min="6" max="6" width="18.5703125" style="1686" hidden="1" customWidth="1"/>
    <col min="7" max="7" width="9.140625" style="1686"/>
    <col min="8" max="8" width="16.7109375" style="1686" hidden="1" customWidth="1"/>
    <col min="9" max="9" width="0" style="1686" hidden="1" customWidth="1"/>
    <col min="10" max="10" width="17.42578125" style="1686" hidden="1" customWidth="1"/>
    <col min="11" max="11" width="0" style="1686" hidden="1" customWidth="1"/>
    <col min="12" max="12" width="18.140625" style="1686" hidden="1" customWidth="1"/>
    <col min="13" max="16384" width="9.140625" style="1686"/>
  </cols>
  <sheetData>
    <row r="3" spans="1:12">
      <c r="F3" s="1731" t="s">
        <v>2555</v>
      </c>
    </row>
    <row r="4" spans="1:12">
      <c r="A4" s="1732" t="s">
        <v>3698</v>
      </c>
      <c r="B4" s="1732" t="s">
        <v>2</v>
      </c>
      <c r="C4" s="3320" t="s">
        <v>3699</v>
      </c>
      <c r="D4" s="3320"/>
      <c r="E4" s="3320"/>
      <c r="F4" s="3320"/>
    </row>
    <row r="5" spans="1:12" ht="51">
      <c r="A5" s="1732"/>
      <c r="B5" s="1732"/>
      <c r="C5" s="1733" t="s">
        <v>3964</v>
      </c>
      <c r="D5" s="1733" t="s">
        <v>3700</v>
      </c>
      <c r="E5" s="1733" t="s">
        <v>3701</v>
      </c>
      <c r="F5" s="1733" t="s">
        <v>4244</v>
      </c>
      <c r="H5" s="2856"/>
      <c r="J5" s="2856" t="s">
        <v>4255</v>
      </c>
    </row>
    <row r="6" spans="1:12">
      <c r="A6" s="1732">
        <v>1</v>
      </c>
      <c r="B6" s="1732">
        <v>2</v>
      </c>
      <c r="C6" s="1732">
        <f>B6+1</f>
        <v>3</v>
      </c>
      <c r="D6" s="1732">
        <f t="shared" ref="D6:F6" si="0">C6+1</f>
        <v>4</v>
      </c>
      <c r="E6" s="1732">
        <f t="shared" si="0"/>
        <v>5</v>
      </c>
      <c r="F6" s="1732">
        <f t="shared" si="0"/>
        <v>6</v>
      </c>
    </row>
    <row r="7" spans="1:12" ht="25.5">
      <c r="A7" s="1734">
        <v>1</v>
      </c>
      <c r="B7" s="1735" t="s">
        <v>3702</v>
      </c>
      <c r="C7" s="1736">
        <f t="shared" ref="C7:E7" si="1">SUM(C8:C12,C21)</f>
        <v>10210182.069721799</v>
      </c>
      <c r="D7" s="1736">
        <f t="shared" si="1"/>
        <v>7342245.9518100005</v>
      </c>
      <c r="E7" s="1736">
        <f t="shared" ca="1" si="1"/>
        <v>7443128.54</v>
      </c>
      <c r="F7" s="1736">
        <f t="shared" ref="F7" ca="1" si="2">SUM(F8:F12,F21)</f>
        <v>7443128.54</v>
      </c>
      <c r="J7" s="2854">
        <f t="shared" ref="J7" ca="1" si="3">SUM(J8:J12,J21)</f>
        <v>8331852.1871772669</v>
      </c>
    </row>
    <row r="8" spans="1:12" ht="18.75">
      <c r="A8" s="1734" t="s">
        <v>4</v>
      </c>
      <c r="B8" s="1735" t="s">
        <v>3703</v>
      </c>
      <c r="C8" s="1737">
        <f>'СС 2015'!D153-'СС 2015'!L153</f>
        <v>81691.089999999982</v>
      </c>
      <c r="D8" s="1737">
        <f>'СС 2016'!D184</f>
        <v>72505.968799999988</v>
      </c>
      <c r="E8" s="1737">
        <f ca="1">'СС2017 '!C187</f>
        <v>44553.88</v>
      </c>
      <c r="F8" s="1737">
        <f ca="1">'СС2017 '!D187</f>
        <v>44553.88</v>
      </c>
      <c r="H8" s="1738"/>
      <c r="J8" s="2855">
        <f ca="1">AVERAGE(C8:E8)</f>
        <v>66250.31293333332</v>
      </c>
      <c r="L8" s="1686">
        <f ca="1">J8*'Приложение 2'!$W$11*'Приложение 2'!$V$11</f>
        <v>71218.20471104364</v>
      </c>
    </row>
    <row r="9" spans="1:12" ht="18.75">
      <c r="A9" s="1734" t="s">
        <v>5</v>
      </c>
      <c r="B9" s="1735" t="s">
        <v>3704</v>
      </c>
      <c r="C9" s="1737">
        <f>'СС 2015'!D157-'СС 2015'!L157</f>
        <v>18665.400000000001</v>
      </c>
      <c r="D9" s="1737">
        <f>'СС 2016'!D188</f>
        <v>4800.793819999999</v>
      </c>
      <c r="E9" s="1737">
        <f ca="1">'СС2017 '!C191</f>
        <v>6549.72</v>
      </c>
      <c r="F9" s="1737">
        <f ca="1">'СС2017 '!D191</f>
        <v>6549.72</v>
      </c>
      <c r="H9" s="1738"/>
      <c r="J9" s="2855">
        <f t="shared" ref="J9:J25" ca="1" si="4">AVERAGE(C9:E9)</f>
        <v>10005.304606666667</v>
      </c>
      <c r="L9" s="1686">
        <f ca="1">J9*'Приложение 2'!$W$11*'Приложение 2'!$V$11</f>
        <v>10755.569296570309</v>
      </c>
    </row>
    <row r="10" spans="1:12" ht="18.75">
      <c r="A10" s="1734" t="s">
        <v>6</v>
      </c>
      <c r="B10" s="1735" t="s">
        <v>3705</v>
      </c>
      <c r="C10" s="1737">
        <f>'СС 2015'!D158-'СС 2015'!L158</f>
        <v>3244363.79</v>
      </c>
      <c r="D10" s="1737">
        <f>'СС 2016'!D189</f>
        <v>3392731.2942200005</v>
      </c>
      <c r="E10" s="1737">
        <f ca="1">'СС2017 '!C192</f>
        <v>4459569.9800000004</v>
      </c>
      <c r="F10" s="1737">
        <f ca="1">'СС2017 '!D192</f>
        <v>4459569.9800000004</v>
      </c>
      <c r="H10" s="1738"/>
      <c r="J10" s="2855">
        <f t="shared" ca="1" si="4"/>
        <v>3698888.3547399999</v>
      </c>
      <c r="L10" s="1686">
        <f ca="1">J10*'Приложение 2'!$W$11*'Приложение 2'!$V$11</f>
        <v>3976255.7546898308</v>
      </c>
    </row>
    <row r="11" spans="1:12" ht="18.75">
      <c r="A11" s="1734" t="s">
        <v>7</v>
      </c>
      <c r="B11" s="1735" t="s">
        <v>3706</v>
      </c>
      <c r="C11" s="1737">
        <f>'СС 2015'!D159-'СС 2015'!L159</f>
        <v>971515.83000000007</v>
      </c>
      <c r="D11" s="1737">
        <f>'СС 2016'!D190</f>
        <v>1025829.6804200002</v>
      </c>
      <c r="E11" s="1737">
        <f ca="1">'СС2017 '!C193</f>
        <v>1349112.04</v>
      </c>
      <c r="F11" s="1737">
        <f ca="1">'СС2017 '!D193</f>
        <v>1349112.04</v>
      </c>
      <c r="H11" s="1738"/>
      <c r="J11" s="2855">
        <f t="shared" ca="1" si="4"/>
        <v>1115485.85014</v>
      </c>
      <c r="L11" s="1686">
        <f ca="1">J11*'Приложение 2'!$W$11*'Приложение 2'!$V$11</f>
        <v>1199132.4434570635</v>
      </c>
    </row>
    <row r="12" spans="1:12" ht="18.75">
      <c r="A12" s="1734" t="s">
        <v>3707</v>
      </c>
      <c r="B12" s="1735" t="s">
        <v>3708</v>
      </c>
      <c r="C12" s="1736">
        <f t="shared" ref="C12:E12" si="5">SUM(C13:C15)</f>
        <v>3262933.299071874</v>
      </c>
      <c r="D12" s="1736">
        <f t="shared" si="5"/>
        <v>2276995.07455</v>
      </c>
      <c r="E12" s="1736">
        <f t="shared" ca="1" si="5"/>
        <v>1026594.5399999999</v>
      </c>
      <c r="F12" s="1736">
        <f t="shared" ref="F12" ca="1" si="6">SUM(F13:F15)</f>
        <v>1026594.5399999999</v>
      </c>
      <c r="H12" s="1738"/>
      <c r="J12" s="2854">
        <f t="shared" ref="J12" ca="1" si="7">SUM(J13:J15)</f>
        <v>2188840.9712072918</v>
      </c>
      <c r="L12" s="1686">
        <f ca="1">J12*'Приложение 2'!$W$11*'Приложение 2'!$V$11</f>
        <v>2352974.9138577734</v>
      </c>
    </row>
    <row r="13" spans="1:12" ht="18.75">
      <c r="A13" s="1734" t="s">
        <v>3709</v>
      </c>
      <c r="B13" s="1735" t="s">
        <v>3710</v>
      </c>
      <c r="C13" s="1737">
        <f>'СС 2015'!D161-'СС 2015'!L161</f>
        <v>10655.019999999999</v>
      </c>
      <c r="D13" s="1737">
        <f>'СС 2016'!D192</f>
        <v>14162.520849999997</v>
      </c>
      <c r="E13" s="1737">
        <f ca="1">'СС2017 '!C195</f>
        <v>7154.44</v>
      </c>
      <c r="F13" s="1737">
        <f ca="1">'СС2017 '!D195</f>
        <v>7154.44</v>
      </c>
      <c r="H13" s="1738"/>
      <c r="J13" s="2855">
        <f t="shared" ca="1" si="4"/>
        <v>10657.326949999999</v>
      </c>
      <c r="L13" s="1686">
        <f ca="1">J13*'Приложение 2'!$W$11*'Приложение 2'!$V$11</f>
        <v>11456.484638214284</v>
      </c>
    </row>
    <row r="14" spans="1:12" ht="25.5">
      <c r="A14" s="1734" t="s">
        <v>3711</v>
      </c>
      <c r="B14" s="1735" t="s">
        <v>3712</v>
      </c>
      <c r="C14" s="1737">
        <f>'СС 2015'!D162-'СС 2015'!L162</f>
        <v>47607.99</v>
      </c>
      <c r="D14" s="1737">
        <f>'СС 2016'!D193</f>
        <v>15892.126740000003</v>
      </c>
      <c r="E14" s="1737">
        <f ca="1">'СС2017 '!C196</f>
        <v>21394.359999999997</v>
      </c>
      <c r="F14" s="1737">
        <f ca="1">'СС2017 '!D196</f>
        <v>21394.359999999997</v>
      </c>
      <c r="H14" s="1738"/>
      <c r="J14" s="2855">
        <f t="shared" ca="1" si="4"/>
        <v>28298.158913333333</v>
      </c>
      <c r="L14" s="1686">
        <f ca="1">J14*'Приложение 2'!$W$11*'Приложение 2'!$V$11</f>
        <v>30420.144225785436</v>
      </c>
    </row>
    <row r="15" spans="1:12" ht="25.5">
      <c r="A15" s="1734" t="s">
        <v>3713</v>
      </c>
      <c r="B15" s="1735" t="s">
        <v>3714</v>
      </c>
      <c r="C15" s="1736">
        <f t="shared" ref="C15:E15" si="8">SUM(C16:C20)</f>
        <v>3204670.2890718742</v>
      </c>
      <c r="D15" s="1736">
        <f t="shared" si="8"/>
        <v>2246940.4269599998</v>
      </c>
      <c r="E15" s="1736">
        <f t="shared" ca="1" si="8"/>
        <v>998045.73999999987</v>
      </c>
      <c r="F15" s="1736">
        <f t="shared" ref="F15" ca="1" si="9">SUM(F16:F20)</f>
        <v>998045.73999999987</v>
      </c>
      <c r="H15" s="1738"/>
      <c r="J15" s="2854">
        <f t="shared" ref="J15" ca="1" si="10">SUM(J16:J20)</f>
        <v>2149885.4853439583</v>
      </c>
      <c r="L15" s="1686">
        <f ca="1">J15*'Приложение 2'!$W$11*'Приложение 2'!$V$11</f>
        <v>2311098.2849937733</v>
      </c>
    </row>
    <row r="16" spans="1:12" ht="18.75">
      <c r="A16" s="1734" t="s">
        <v>3715</v>
      </c>
      <c r="B16" s="1735" t="s">
        <v>3716</v>
      </c>
      <c r="C16" s="1737">
        <f>'СС 2015'!D164-'СС 2015'!L164</f>
        <v>10147.700000000001</v>
      </c>
      <c r="D16" s="1737">
        <f>'СС 2016'!D195</f>
        <v>1707.5206199999998</v>
      </c>
      <c r="E16" s="1737">
        <f ca="1">'СС2017 '!C198</f>
        <v>2943.2999999999997</v>
      </c>
      <c r="F16" s="1737">
        <f ca="1">'СС2017 '!D198</f>
        <v>2943.2999999999997</v>
      </c>
      <c r="H16" s="1738"/>
      <c r="J16" s="2855">
        <f t="shared" ca="1" si="4"/>
        <v>4932.8402066666667</v>
      </c>
      <c r="L16" s="1686">
        <f ca="1">J16*'Приложение 2'!$W$11*'Приложение 2'!$V$11</f>
        <v>5302.7375734627767</v>
      </c>
    </row>
    <row r="17" spans="1:12" ht="18.75">
      <c r="A17" s="1734" t="s">
        <v>3717</v>
      </c>
      <c r="B17" s="1735" t="s">
        <v>3718</v>
      </c>
      <c r="C17" s="1737">
        <f>'СС 2015'!D165-'СС 2015'!L165</f>
        <v>17107.560000000001</v>
      </c>
      <c r="D17" s="1737">
        <f>'СС 2016'!D196</f>
        <v>3378.65013</v>
      </c>
      <c r="E17" s="1737">
        <f ca="1">'СС2017 '!C199</f>
        <v>5977.12</v>
      </c>
      <c r="F17" s="1737">
        <f ca="1">'СС2017 '!D199</f>
        <v>5977.12</v>
      </c>
      <c r="H17" s="1738"/>
      <c r="J17" s="2855">
        <f t="shared" ca="1" si="4"/>
        <v>8821.1100433333322</v>
      </c>
      <c r="L17" s="1686">
        <f ca="1">J17*'Приложение 2'!$W$11*'Приложение 2'!$V$11</f>
        <v>9482.5759008403202</v>
      </c>
    </row>
    <row r="18" spans="1:12" ht="38.25">
      <c r="A18" s="1734" t="s">
        <v>3719</v>
      </c>
      <c r="B18" s="1735" t="s">
        <v>3720</v>
      </c>
      <c r="C18" s="1737">
        <f>'СС 2015'!D166-'СС 2015'!L166</f>
        <v>21685.590000000004</v>
      </c>
      <c r="D18" s="1737">
        <f>'СС 2016'!D197</f>
        <v>5379.9366800000007</v>
      </c>
      <c r="E18" s="1737">
        <f ca="1">'СС2017 '!C200</f>
        <v>7783.9299999999994</v>
      </c>
      <c r="F18" s="1737">
        <f ca="1">'СС2017 '!D200</f>
        <v>7783.9299999999994</v>
      </c>
      <c r="H18" s="1738"/>
      <c r="J18" s="2855">
        <f t="shared" ca="1" si="4"/>
        <v>11616.485560000001</v>
      </c>
      <c r="L18" s="1686">
        <f ca="1">J18*'Приложение 2'!$W$11*'Приложение 2'!$V$11</f>
        <v>12487.567379001925</v>
      </c>
    </row>
    <row r="19" spans="1:12" ht="18.75">
      <c r="A19" s="1734" t="s">
        <v>3721</v>
      </c>
      <c r="B19" s="1735" t="s">
        <v>3722</v>
      </c>
      <c r="C19" s="1737">
        <f>'СС 2015'!D167-'СС 2015'!L167</f>
        <v>609.08000000000004</v>
      </c>
      <c r="D19" s="1737">
        <f>'СС 2016'!D198</f>
        <v>126.79901000000001</v>
      </c>
      <c r="E19" s="1737">
        <f ca="1">'СС2017 '!C201</f>
        <v>908.43</v>
      </c>
      <c r="F19" s="1737">
        <f ca="1">'СС2017 '!D201</f>
        <v>908.43</v>
      </c>
      <c r="H19" s="1738"/>
      <c r="J19" s="2855">
        <f t="shared" ca="1" si="4"/>
        <v>548.10300333333328</v>
      </c>
      <c r="L19" s="1686">
        <f ca="1">J19*'Приложение 2'!$W$11*'Приложение 2'!$V$11</f>
        <v>589.20343415451339</v>
      </c>
    </row>
    <row r="20" spans="1:12" ht="25.5">
      <c r="A20" s="1734" t="s">
        <v>3723</v>
      </c>
      <c r="B20" s="1735" t="s">
        <v>3724</v>
      </c>
      <c r="C20" s="1737">
        <f>'СС 2015'!D168-'СС 2015'!L168</f>
        <v>3155120.3590718741</v>
      </c>
      <c r="D20" s="1737">
        <f>'СС 2016'!D199</f>
        <v>2236347.5205199998</v>
      </c>
      <c r="E20" s="1737">
        <f ca="1">'СС2017 '!C202</f>
        <v>980432.95999999985</v>
      </c>
      <c r="F20" s="1737">
        <f ca="1">'СС2017 '!D202</f>
        <v>980432.95999999985</v>
      </c>
      <c r="H20" s="1738"/>
      <c r="J20" s="2855">
        <f t="shared" ca="1" si="4"/>
        <v>2123966.9465306248</v>
      </c>
      <c r="L20" s="1686">
        <f ca="1">J20*'Приложение 2'!$W$11*'Приложение 2'!$V$11</f>
        <v>2283236.2007063138</v>
      </c>
    </row>
    <row r="21" spans="1:12" ht="18.75">
      <c r="A21" s="1734" t="s">
        <v>3725</v>
      </c>
      <c r="B21" s="1735" t="s">
        <v>3726</v>
      </c>
      <c r="C21" s="1736">
        <f t="shared" ref="C21:E21" si="11">SUM(C22:C25)</f>
        <v>2631012.660649925</v>
      </c>
      <c r="D21" s="1736">
        <f t="shared" si="11"/>
        <v>569383.14</v>
      </c>
      <c r="E21" s="1736">
        <f t="shared" si="11"/>
        <v>556748.38</v>
      </c>
      <c r="F21" s="1736">
        <f t="shared" ref="F21" si="12">SUM(F22:F25)</f>
        <v>556748.38</v>
      </c>
      <c r="H21" s="1738"/>
      <c r="J21" s="2854">
        <f t="shared" ref="J21" si="13">SUM(J22:J25)</f>
        <v>1252381.393549975</v>
      </c>
      <c r="L21" s="1686">
        <f>J21*'Приложение 2'!$W$11*'Приложение 2'!$V$11</f>
        <v>1346293.3307484472</v>
      </c>
    </row>
    <row r="22" spans="1:12" ht="18.75">
      <c r="A22" s="1734" t="s">
        <v>3727</v>
      </c>
      <c r="B22" s="1735" t="s">
        <v>3728</v>
      </c>
      <c r="C22" s="1737">
        <f>'СС 2015'!D170-'СС 2015'!L170</f>
        <v>0</v>
      </c>
      <c r="D22" s="1737">
        <f>'СС 2016'!D201</f>
        <v>0</v>
      </c>
      <c r="E22" s="1737">
        <f>'СС2017 '!C204</f>
        <v>0</v>
      </c>
      <c r="F22" s="1737">
        <f>'СС2017 '!D204</f>
        <v>0</v>
      </c>
      <c r="H22" s="1738"/>
      <c r="J22" s="2855">
        <f t="shared" si="4"/>
        <v>0</v>
      </c>
      <c r="L22" s="1686">
        <f>J22*'Приложение 2'!$W$11*'Приложение 2'!$V$11</f>
        <v>0</v>
      </c>
    </row>
    <row r="23" spans="1:12" ht="18.75">
      <c r="A23" s="1734" t="s">
        <v>3729</v>
      </c>
      <c r="B23" s="1735" t="s">
        <v>3730</v>
      </c>
      <c r="C23" s="1737">
        <f>'СС 2015'!D171-'СС 2015'!L171</f>
        <v>2345475.1700000004</v>
      </c>
      <c r="D23" s="1737">
        <f>'СС 2016'!D202</f>
        <v>0</v>
      </c>
      <c r="E23" s="1737">
        <f>'СС2017 '!C205</f>
        <v>0</v>
      </c>
      <c r="F23" s="1737">
        <f>'СС2017 '!D205</f>
        <v>0</v>
      </c>
      <c r="H23" s="1738"/>
      <c r="J23" s="2855">
        <f t="shared" si="4"/>
        <v>781825.05666666676</v>
      </c>
      <c r="L23" s="1686">
        <f>J23*'Приложение 2'!$W$11*'Приложение 2'!$V$11</f>
        <v>840451.53099790018</v>
      </c>
    </row>
    <row r="24" spans="1:12" ht="18.75">
      <c r="A24" s="1734" t="s">
        <v>3731</v>
      </c>
      <c r="B24" s="1735" t="s">
        <v>3732</v>
      </c>
      <c r="C24" s="1737">
        <f>'СС 2015'!D172-'СС 2015'!L172</f>
        <v>247601.32411558583</v>
      </c>
      <c r="D24" s="1737">
        <f>'СС 2016'!D203</f>
        <v>471396.72000000003</v>
      </c>
      <c r="E24" s="1737">
        <f>'СС2017 '!C206</f>
        <v>373793.53</v>
      </c>
      <c r="F24" s="1737">
        <f>'СС2017 '!D206</f>
        <v>373793.53</v>
      </c>
      <c r="H24" s="1738"/>
      <c r="J24" s="2855">
        <f t="shared" si="4"/>
        <v>364263.85803852865</v>
      </c>
      <c r="L24" s="1686">
        <f>J24*'Приложение 2'!$W$11*'Приложение 2'!$V$11</f>
        <v>391578.7995858636</v>
      </c>
    </row>
    <row r="25" spans="1:12" ht="25.5">
      <c r="A25" s="1734" t="s">
        <v>3733</v>
      </c>
      <c r="B25" s="1735" t="s">
        <v>3734</v>
      </c>
      <c r="C25" s="1737">
        <f>'СС 2015'!D173-'СС 2015'!L173</f>
        <v>37936.166534338823</v>
      </c>
      <c r="D25" s="1737">
        <f>'СС 2016'!D204</f>
        <v>97986.42</v>
      </c>
      <c r="E25" s="1737">
        <f>'СС2017 '!C207</f>
        <v>182954.85</v>
      </c>
      <c r="F25" s="1737">
        <f>'СС2017 '!D207</f>
        <v>182954.85</v>
      </c>
      <c r="H25" s="1738"/>
      <c r="J25" s="2855">
        <f t="shared" si="4"/>
        <v>106292.47884477962</v>
      </c>
      <c r="L25" s="1686">
        <f>J25*'Приложение 2'!$W$11*'Приложение 2'!$V$11</f>
        <v>114263.00016468337</v>
      </c>
    </row>
    <row r="26" spans="1:12">
      <c r="J26" s="1738"/>
    </row>
    <row r="27" spans="1:12" ht="18.75">
      <c r="C27" s="1736">
        <f>'СС 2015'!D151</f>
        <v>10396222.880000001</v>
      </c>
      <c r="D27" s="1736">
        <f>'СС 2016'!D183</f>
        <v>7342245.9518100005</v>
      </c>
      <c r="E27" s="1736">
        <f ca="1">'СС2017 '!C186</f>
        <v>7443128.54</v>
      </c>
      <c r="F27" s="1736">
        <f ca="1">'СС2017 '!D186</f>
        <v>7443128.54</v>
      </c>
      <c r="J27" s="1736">
        <f ca="1">J8+J9+J10+J11+J12+J21</f>
        <v>8331852.1871772669</v>
      </c>
      <c r="L27" s="1736">
        <f ca="1">L8+L9+L10+L11+L12+L21</f>
        <v>8956630.2167607285</v>
      </c>
    </row>
    <row r="28" spans="1:12">
      <c r="C28" s="1738">
        <f>C27-C7</f>
        <v>186040.81027820148</v>
      </c>
      <c r="D28" s="1738">
        <f>D27-D7</f>
        <v>0</v>
      </c>
      <c r="E28" s="1738">
        <f ca="1">E27-E7</f>
        <v>0</v>
      </c>
      <c r="F28" s="1738">
        <f ca="1">F27-F7</f>
        <v>0</v>
      </c>
    </row>
    <row r="31" spans="1:12">
      <c r="E31" s="1738"/>
      <c r="J31" s="1738"/>
    </row>
  </sheetData>
  <mergeCells count="1">
    <mergeCell ref="C4:F4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6"/>
  <sheetViews>
    <sheetView topLeftCell="A101" workbookViewId="0">
      <selection activeCell="O30" sqref="O30"/>
    </sheetView>
  </sheetViews>
  <sheetFormatPr defaultRowHeight="12.75" outlineLevelRow="7"/>
  <cols>
    <col min="1" max="1" width="8.140625" style="3" customWidth="1"/>
    <col min="2" max="2" width="0.85546875" style="3" customWidth="1"/>
    <col min="3" max="3" width="59.140625" style="3" customWidth="1"/>
    <col min="4" max="4" width="11.85546875" style="3" customWidth="1"/>
    <col min="5" max="5" width="12" style="3" customWidth="1"/>
    <col min="6" max="10" width="30.5703125" style="3" hidden="1" customWidth="1"/>
    <col min="11" max="11" width="19" style="3" customWidth="1"/>
    <col min="12" max="256" width="9.140625" customWidth="1"/>
    <col min="257" max="257" width="8.140625" customWidth="1"/>
    <col min="258" max="258" width="0.85546875" customWidth="1"/>
    <col min="259" max="259" width="59.140625" customWidth="1"/>
    <col min="260" max="260" width="11.85546875" customWidth="1"/>
    <col min="261" max="261" width="12" customWidth="1"/>
    <col min="262" max="266" width="30.5703125" customWidth="1"/>
    <col min="267" max="267" width="12" customWidth="1"/>
    <col min="268" max="512" width="9.140625" customWidth="1"/>
    <col min="513" max="513" width="8.140625" customWidth="1"/>
    <col min="514" max="514" width="0.85546875" customWidth="1"/>
    <col min="515" max="515" width="59.140625" customWidth="1"/>
    <col min="516" max="516" width="11.85546875" customWidth="1"/>
    <col min="517" max="517" width="12" customWidth="1"/>
    <col min="518" max="522" width="30.5703125" customWidth="1"/>
    <col min="523" max="523" width="12" customWidth="1"/>
    <col min="524" max="768" width="9.140625" customWidth="1"/>
    <col min="769" max="769" width="8.140625" customWidth="1"/>
    <col min="770" max="770" width="0.85546875" customWidth="1"/>
    <col min="771" max="771" width="59.140625" customWidth="1"/>
    <col min="772" max="772" width="11.85546875" customWidth="1"/>
    <col min="773" max="773" width="12" customWidth="1"/>
    <col min="774" max="778" width="30.5703125" customWidth="1"/>
    <col min="779" max="779" width="12" customWidth="1"/>
    <col min="780" max="1024" width="9.140625" customWidth="1"/>
    <col min="1025" max="1025" width="8.140625" customWidth="1"/>
    <col min="1026" max="1026" width="0.85546875" customWidth="1"/>
    <col min="1027" max="1027" width="59.140625" customWidth="1"/>
    <col min="1028" max="1028" width="11.85546875" customWidth="1"/>
    <col min="1029" max="1029" width="12" customWidth="1"/>
    <col min="1030" max="1034" width="30.5703125" customWidth="1"/>
    <col min="1035" max="1035" width="12" customWidth="1"/>
    <col min="1036" max="1280" width="9.140625" customWidth="1"/>
    <col min="1281" max="1281" width="8.140625" customWidth="1"/>
    <col min="1282" max="1282" width="0.85546875" customWidth="1"/>
    <col min="1283" max="1283" width="59.140625" customWidth="1"/>
    <col min="1284" max="1284" width="11.85546875" customWidth="1"/>
    <col min="1285" max="1285" width="12" customWidth="1"/>
    <col min="1286" max="1290" width="30.5703125" customWidth="1"/>
    <col min="1291" max="1291" width="12" customWidth="1"/>
    <col min="1292" max="1536" width="9.140625" customWidth="1"/>
    <col min="1537" max="1537" width="8.140625" customWidth="1"/>
    <col min="1538" max="1538" width="0.85546875" customWidth="1"/>
    <col min="1539" max="1539" width="59.140625" customWidth="1"/>
    <col min="1540" max="1540" width="11.85546875" customWidth="1"/>
    <col min="1541" max="1541" width="12" customWidth="1"/>
    <col min="1542" max="1546" width="30.5703125" customWidth="1"/>
    <col min="1547" max="1547" width="12" customWidth="1"/>
    <col min="1548" max="1792" width="9.140625" customWidth="1"/>
    <col min="1793" max="1793" width="8.140625" customWidth="1"/>
    <col min="1794" max="1794" width="0.85546875" customWidth="1"/>
    <col min="1795" max="1795" width="59.140625" customWidth="1"/>
    <col min="1796" max="1796" width="11.85546875" customWidth="1"/>
    <col min="1797" max="1797" width="12" customWidth="1"/>
    <col min="1798" max="1802" width="30.5703125" customWidth="1"/>
    <col min="1803" max="1803" width="12" customWidth="1"/>
    <col min="1804" max="2048" width="9.140625" customWidth="1"/>
    <col min="2049" max="2049" width="8.140625" customWidth="1"/>
    <col min="2050" max="2050" width="0.85546875" customWidth="1"/>
    <col min="2051" max="2051" width="59.140625" customWidth="1"/>
    <col min="2052" max="2052" width="11.85546875" customWidth="1"/>
    <col min="2053" max="2053" width="12" customWidth="1"/>
    <col min="2054" max="2058" width="30.5703125" customWidth="1"/>
    <col min="2059" max="2059" width="12" customWidth="1"/>
    <col min="2060" max="2304" width="9.140625" customWidth="1"/>
    <col min="2305" max="2305" width="8.140625" customWidth="1"/>
    <col min="2306" max="2306" width="0.85546875" customWidth="1"/>
    <col min="2307" max="2307" width="59.140625" customWidth="1"/>
    <col min="2308" max="2308" width="11.85546875" customWidth="1"/>
    <col min="2309" max="2309" width="12" customWidth="1"/>
    <col min="2310" max="2314" width="30.5703125" customWidth="1"/>
    <col min="2315" max="2315" width="12" customWidth="1"/>
    <col min="2316" max="2560" width="9.140625" customWidth="1"/>
    <col min="2561" max="2561" width="8.140625" customWidth="1"/>
    <col min="2562" max="2562" width="0.85546875" customWidth="1"/>
    <col min="2563" max="2563" width="59.140625" customWidth="1"/>
    <col min="2564" max="2564" width="11.85546875" customWidth="1"/>
    <col min="2565" max="2565" width="12" customWidth="1"/>
    <col min="2566" max="2570" width="30.5703125" customWidth="1"/>
    <col min="2571" max="2571" width="12" customWidth="1"/>
    <col min="2572" max="2816" width="9.140625" customWidth="1"/>
    <col min="2817" max="2817" width="8.140625" customWidth="1"/>
    <col min="2818" max="2818" width="0.85546875" customWidth="1"/>
    <col min="2819" max="2819" width="59.140625" customWidth="1"/>
    <col min="2820" max="2820" width="11.85546875" customWidth="1"/>
    <col min="2821" max="2821" width="12" customWidth="1"/>
    <col min="2822" max="2826" width="30.5703125" customWidth="1"/>
    <col min="2827" max="2827" width="12" customWidth="1"/>
    <col min="2828" max="3072" width="9.140625" customWidth="1"/>
    <col min="3073" max="3073" width="8.140625" customWidth="1"/>
    <col min="3074" max="3074" width="0.85546875" customWidth="1"/>
    <col min="3075" max="3075" width="59.140625" customWidth="1"/>
    <col min="3076" max="3076" width="11.85546875" customWidth="1"/>
    <col min="3077" max="3077" width="12" customWidth="1"/>
    <col min="3078" max="3082" width="30.5703125" customWidth="1"/>
    <col min="3083" max="3083" width="12" customWidth="1"/>
    <col min="3084" max="3328" width="9.140625" customWidth="1"/>
    <col min="3329" max="3329" width="8.140625" customWidth="1"/>
    <col min="3330" max="3330" width="0.85546875" customWidth="1"/>
    <col min="3331" max="3331" width="59.140625" customWidth="1"/>
    <col min="3332" max="3332" width="11.85546875" customWidth="1"/>
    <col min="3333" max="3333" width="12" customWidth="1"/>
    <col min="3334" max="3338" width="30.5703125" customWidth="1"/>
    <col min="3339" max="3339" width="12" customWidth="1"/>
    <col min="3340" max="3584" width="9.140625" customWidth="1"/>
    <col min="3585" max="3585" width="8.140625" customWidth="1"/>
    <col min="3586" max="3586" width="0.85546875" customWidth="1"/>
    <col min="3587" max="3587" width="59.140625" customWidth="1"/>
    <col min="3588" max="3588" width="11.85546875" customWidth="1"/>
    <col min="3589" max="3589" width="12" customWidth="1"/>
    <col min="3590" max="3594" width="30.5703125" customWidth="1"/>
    <col min="3595" max="3595" width="12" customWidth="1"/>
    <col min="3596" max="3840" width="9.140625" customWidth="1"/>
    <col min="3841" max="3841" width="8.140625" customWidth="1"/>
    <col min="3842" max="3842" width="0.85546875" customWidth="1"/>
    <col min="3843" max="3843" width="59.140625" customWidth="1"/>
    <col min="3844" max="3844" width="11.85546875" customWidth="1"/>
    <col min="3845" max="3845" width="12" customWidth="1"/>
    <col min="3846" max="3850" width="30.5703125" customWidth="1"/>
    <col min="3851" max="3851" width="12" customWidth="1"/>
    <col min="3852" max="4096" width="9.140625" customWidth="1"/>
    <col min="4097" max="4097" width="8.140625" customWidth="1"/>
    <col min="4098" max="4098" width="0.85546875" customWidth="1"/>
    <col min="4099" max="4099" width="59.140625" customWidth="1"/>
    <col min="4100" max="4100" width="11.85546875" customWidth="1"/>
    <col min="4101" max="4101" width="12" customWidth="1"/>
    <col min="4102" max="4106" width="30.5703125" customWidth="1"/>
    <col min="4107" max="4107" width="12" customWidth="1"/>
    <col min="4108" max="4352" width="9.140625" customWidth="1"/>
    <col min="4353" max="4353" width="8.140625" customWidth="1"/>
    <col min="4354" max="4354" width="0.85546875" customWidth="1"/>
    <col min="4355" max="4355" width="59.140625" customWidth="1"/>
    <col min="4356" max="4356" width="11.85546875" customWidth="1"/>
    <col min="4357" max="4357" width="12" customWidth="1"/>
    <col min="4358" max="4362" width="30.5703125" customWidth="1"/>
    <col min="4363" max="4363" width="12" customWidth="1"/>
    <col min="4364" max="4608" width="9.140625" customWidth="1"/>
    <col min="4609" max="4609" width="8.140625" customWidth="1"/>
    <col min="4610" max="4610" width="0.85546875" customWidth="1"/>
    <col min="4611" max="4611" width="59.140625" customWidth="1"/>
    <col min="4612" max="4612" width="11.85546875" customWidth="1"/>
    <col min="4613" max="4613" width="12" customWidth="1"/>
    <col min="4614" max="4618" width="30.5703125" customWidth="1"/>
    <col min="4619" max="4619" width="12" customWidth="1"/>
    <col min="4620" max="4864" width="9.140625" customWidth="1"/>
    <col min="4865" max="4865" width="8.140625" customWidth="1"/>
    <col min="4866" max="4866" width="0.85546875" customWidth="1"/>
    <col min="4867" max="4867" width="59.140625" customWidth="1"/>
    <col min="4868" max="4868" width="11.85546875" customWidth="1"/>
    <col min="4869" max="4869" width="12" customWidth="1"/>
    <col min="4870" max="4874" width="30.5703125" customWidth="1"/>
    <col min="4875" max="4875" width="12" customWidth="1"/>
    <col min="4876" max="5120" width="9.140625" customWidth="1"/>
    <col min="5121" max="5121" width="8.140625" customWidth="1"/>
    <col min="5122" max="5122" width="0.85546875" customWidth="1"/>
    <col min="5123" max="5123" width="59.140625" customWidth="1"/>
    <col min="5124" max="5124" width="11.85546875" customWidth="1"/>
    <col min="5125" max="5125" width="12" customWidth="1"/>
    <col min="5126" max="5130" width="30.5703125" customWidth="1"/>
    <col min="5131" max="5131" width="12" customWidth="1"/>
    <col min="5132" max="5376" width="9.140625" customWidth="1"/>
    <col min="5377" max="5377" width="8.140625" customWidth="1"/>
    <col min="5378" max="5378" width="0.85546875" customWidth="1"/>
    <col min="5379" max="5379" width="59.140625" customWidth="1"/>
    <col min="5380" max="5380" width="11.85546875" customWidth="1"/>
    <col min="5381" max="5381" width="12" customWidth="1"/>
    <col min="5382" max="5386" width="30.5703125" customWidth="1"/>
    <col min="5387" max="5387" width="12" customWidth="1"/>
    <col min="5388" max="5632" width="9.140625" customWidth="1"/>
    <col min="5633" max="5633" width="8.140625" customWidth="1"/>
    <col min="5634" max="5634" width="0.85546875" customWidth="1"/>
    <col min="5635" max="5635" width="59.140625" customWidth="1"/>
    <col min="5636" max="5636" width="11.85546875" customWidth="1"/>
    <col min="5637" max="5637" width="12" customWidth="1"/>
    <col min="5638" max="5642" width="30.5703125" customWidth="1"/>
    <col min="5643" max="5643" width="12" customWidth="1"/>
    <col min="5644" max="5888" width="9.140625" customWidth="1"/>
    <col min="5889" max="5889" width="8.140625" customWidth="1"/>
    <col min="5890" max="5890" width="0.85546875" customWidth="1"/>
    <col min="5891" max="5891" width="59.140625" customWidth="1"/>
    <col min="5892" max="5892" width="11.85546875" customWidth="1"/>
    <col min="5893" max="5893" width="12" customWidth="1"/>
    <col min="5894" max="5898" width="30.5703125" customWidth="1"/>
    <col min="5899" max="5899" width="12" customWidth="1"/>
    <col min="5900" max="6144" width="9.140625" customWidth="1"/>
    <col min="6145" max="6145" width="8.140625" customWidth="1"/>
    <col min="6146" max="6146" width="0.85546875" customWidth="1"/>
    <col min="6147" max="6147" width="59.140625" customWidth="1"/>
    <col min="6148" max="6148" width="11.85546875" customWidth="1"/>
    <col min="6149" max="6149" width="12" customWidth="1"/>
    <col min="6150" max="6154" width="30.5703125" customWidth="1"/>
    <col min="6155" max="6155" width="12" customWidth="1"/>
    <col min="6156" max="6400" width="9.140625" customWidth="1"/>
    <col min="6401" max="6401" width="8.140625" customWidth="1"/>
    <col min="6402" max="6402" width="0.85546875" customWidth="1"/>
    <col min="6403" max="6403" width="59.140625" customWidth="1"/>
    <col min="6404" max="6404" width="11.85546875" customWidth="1"/>
    <col min="6405" max="6405" width="12" customWidth="1"/>
    <col min="6406" max="6410" width="30.5703125" customWidth="1"/>
    <col min="6411" max="6411" width="12" customWidth="1"/>
    <col min="6412" max="6656" width="9.140625" customWidth="1"/>
    <col min="6657" max="6657" width="8.140625" customWidth="1"/>
    <col min="6658" max="6658" width="0.85546875" customWidth="1"/>
    <col min="6659" max="6659" width="59.140625" customWidth="1"/>
    <col min="6660" max="6660" width="11.85546875" customWidth="1"/>
    <col min="6661" max="6661" width="12" customWidth="1"/>
    <col min="6662" max="6666" width="30.5703125" customWidth="1"/>
    <col min="6667" max="6667" width="12" customWidth="1"/>
    <col min="6668" max="6912" width="9.140625" customWidth="1"/>
    <col min="6913" max="6913" width="8.140625" customWidth="1"/>
    <col min="6914" max="6914" width="0.85546875" customWidth="1"/>
    <col min="6915" max="6915" width="59.140625" customWidth="1"/>
    <col min="6916" max="6916" width="11.85546875" customWidth="1"/>
    <col min="6917" max="6917" width="12" customWidth="1"/>
    <col min="6918" max="6922" width="30.5703125" customWidth="1"/>
    <col min="6923" max="6923" width="12" customWidth="1"/>
    <col min="6924" max="7168" width="9.140625" customWidth="1"/>
    <col min="7169" max="7169" width="8.140625" customWidth="1"/>
    <col min="7170" max="7170" width="0.85546875" customWidth="1"/>
    <col min="7171" max="7171" width="59.140625" customWidth="1"/>
    <col min="7172" max="7172" width="11.85546875" customWidth="1"/>
    <col min="7173" max="7173" width="12" customWidth="1"/>
    <col min="7174" max="7178" width="30.5703125" customWidth="1"/>
    <col min="7179" max="7179" width="12" customWidth="1"/>
    <col min="7180" max="7424" width="9.140625" customWidth="1"/>
    <col min="7425" max="7425" width="8.140625" customWidth="1"/>
    <col min="7426" max="7426" width="0.85546875" customWidth="1"/>
    <col min="7427" max="7427" width="59.140625" customWidth="1"/>
    <col min="7428" max="7428" width="11.85546875" customWidth="1"/>
    <col min="7429" max="7429" width="12" customWidth="1"/>
    <col min="7430" max="7434" width="30.5703125" customWidth="1"/>
    <col min="7435" max="7435" width="12" customWidth="1"/>
    <col min="7436" max="7680" width="9.140625" customWidth="1"/>
    <col min="7681" max="7681" width="8.140625" customWidth="1"/>
    <col min="7682" max="7682" width="0.85546875" customWidth="1"/>
    <col min="7683" max="7683" width="59.140625" customWidth="1"/>
    <col min="7684" max="7684" width="11.85546875" customWidth="1"/>
    <col min="7685" max="7685" width="12" customWidth="1"/>
    <col min="7686" max="7690" width="30.5703125" customWidth="1"/>
    <col min="7691" max="7691" width="12" customWidth="1"/>
    <col min="7692" max="7936" width="9.140625" customWidth="1"/>
    <col min="7937" max="7937" width="8.140625" customWidth="1"/>
    <col min="7938" max="7938" width="0.85546875" customWidth="1"/>
    <col min="7939" max="7939" width="59.140625" customWidth="1"/>
    <col min="7940" max="7940" width="11.85546875" customWidth="1"/>
    <col min="7941" max="7941" width="12" customWidth="1"/>
    <col min="7942" max="7946" width="30.5703125" customWidth="1"/>
    <col min="7947" max="7947" width="12" customWidth="1"/>
    <col min="7948" max="8192" width="9.140625" customWidth="1"/>
    <col min="8193" max="8193" width="8.140625" customWidth="1"/>
    <col min="8194" max="8194" width="0.85546875" customWidth="1"/>
    <col min="8195" max="8195" width="59.140625" customWidth="1"/>
    <col min="8196" max="8196" width="11.85546875" customWidth="1"/>
    <col min="8197" max="8197" width="12" customWidth="1"/>
    <col min="8198" max="8202" width="30.5703125" customWidth="1"/>
    <col min="8203" max="8203" width="12" customWidth="1"/>
    <col min="8204" max="8448" width="9.140625" customWidth="1"/>
    <col min="8449" max="8449" width="8.140625" customWidth="1"/>
    <col min="8450" max="8450" width="0.85546875" customWidth="1"/>
    <col min="8451" max="8451" width="59.140625" customWidth="1"/>
    <col min="8452" max="8452" width="11.85546875" customWidth="1"/>
    <col min="8453" max="8453" width="12" customWidth="1"/>
    <col min="8454" max="8458" width="30.5703125" customWidth="1"/>
    <col min="8459" max="8459" width="12" customWidth="1"/>
    <col min="8460" max="8704" width="9.140625" customWidth="1"/>
    <col min="8705" max="8705" width="8.140625" customWidth="1"/>
    <col min="8706" max="8706" width="0.85546875" customWidth="1"/>
    <col min="8707" max="8707" width="59.140625" customWidth="1"/>
    <col min="8708" max="8708" width="11.85546875" customWidth="1"/>
    <col min="8709" max="8709" width="12" customWidth="1"/>
    <col min="8710" max="8714" width="30.5703125" customWidth="1"/>
    <col min="8715" max="8715" width="12" customWidth="1"/>
    <col min="8716" max="8960" width="9.140625" customWidth="1"/>
    <col min="8961" max="8961" width="8.140625" customWidth="1"/>
    <col min="8962" max="8962" width="0.85546875" customWidth="1"/>
    <col min="8963" max="8963" width="59.140625" customWidth="1"/>
    <col min="8964" max="8964" width="11.85546875" customWidth="1"/>
    <col min="8965" max="8965" width="12" customWidth="1"/>
    <col min="8966" max="8970" width="30.5703125" customWidth="1"/>
    <col min="8971" max="8971" width="12" customWidth="1"/>
    <col min="8972" max="9216" width="9.140625" customWidth="1"/>
    <col min="9217" max="9217" width="8.140625" customWidth="1"/>
    <col min="9218" max="9218" width="0.85546875" customWidth="1"/>
    <col min="9219" max="9219" width="59.140625" customWidth="1"/>
    <col min="9220" max="9220" width="11.85546875" customWidth="1"/>
    <col min="9221" max="9221" width="12" customWidth="1"/>
    <col min="9222" max="9226" width="30.5703125" customWidth="1"/>
    <col min="9227" max="9227" width="12" customWidth="1"/>
    <col min="9228" max="9472" width="9.140625" customWidth="1"/>
    <col min="9473" max="9473" width="8.140625" customWidth="1"/>
    <col min="9474" max="9474" width="0.85546875" customWidth="1"/>
    <col min="9475" max="9475" width="59.140625" customWidth="1"/>
    <col min="9476" max="9476" width="11.85546875" customWidth="1"/>
    <col min="9477" max="9477" width="12" customWidth="1"/>
    <col min="9478" max="9482" width="30.5703125" customWidth="1"/>
    <col min="9483" max="9483" width="12" customWidth="1"/>
    <col min="9484" max="9728" width="9.140625" customWidth="1"/>
    <col min="9729" max="9729" width="8.140625" customWidth="1"/>
    <col min="9730" max="9730" width="0.85546875" customWidth="1"/>
    <col min="9731" max="9731" width="59.140625" customWidth="1"/>
    <col min="9732" max="9732" width="11.85546875" customWidth="1"/>
    <col min="9733" max="9733" width="12" customWidth="1"/>
    <col min="9734" max="9738" width="30.5703125" customWidth="1"/>
    <col min="9739" max="9739" width="12" customWidth="1"/>
    <col min="9740" max="9984" width="9.140625" customWidth="1"/>
    <col min="9985" max="9985" width="8.140625" customWidth="1"/>
    <col min="9986" max="9986" width="0.85546875" customWidth="1"/>
    <col min="9987" max="9987" width="59.140625" customWidth="1"/>
    <col min="9988" max="9988" width="11.85546875" customWidth="1"/>
    <col min="9989" max="9989" width="12" customWidth="1"/>
    <col min="9990" max="9994" width="30.5703125" customWidth="1"/>
    <col min="9995" max="9995" width="12" customWidth="1"/>
    <col min="9996" max="10240" width="9.140625" customWidth="1"/>
    <col min="10241" max="10241" width="8.140625" customWidth="1"/>
    <col min="10242" max="10242" width="0.85546875" customWidth="1"/>
    <col min="10243" max="10243" width="59.140625" customWidth="1"/>
    <col min="10244" max="10244" width="11.85546875" customWidth="1"/>
    <col min="10245" max="10245" width="12" customWidth="1"/>
    <col min="10246" max="10250" width="30.5703125" customWidth="1"/>
    <col min="10251" max="10251" width="12" customWidth="1"/>
    <col min="10252" max="10496" width="9.140625" customWidth="1"/>
    <col min="10497" max="10497" width="8.140625" customWidth="1"/>
    <col min="10498" max="10498" width="0.85546875" customWidth="1"/>
    <col min="10499" max="10499" width="59.140625" customWidth="1"/>
    <col min="10500" max="10500" width="11.85546875" customWidth="1"/>
    <col min="10501" max="10501" width="12" customWidth="1"/>
    <col min="10502" max="10506" width="30.5703125" customWidth="1"/>
    <col min="10507" max="10507" width="12" customWidth="1"/>
    <col min="10508" max="10752" width="9.140625" customWidth="1"/>
    <col min="10753" max="10753" width="8.140625" customWidth="1"/>
    <col min="10754" max="10754" width="0.85546875" customWidth="1"/>
    <col min="10755" max="10755" width="59.140625" customWidth="1"/>
    <col min="10756" max="10756" width="11.85546875" customWidth="1"/>
    <col min="10757" max="10757" width="12" customWidth="1"/>
    <col min="10758" max="10762" width="30.5703125" customWidth="1"/>
    <col min="10763" max="10763" width="12" customWidth="1"/>
    <col min="10764" max="11008" width="9.140625" customWidth="1"/>
    <col min="11009" max="11009" width="8.140625" customWidth="1"/>
    <col min="11010" max="11010" width="0.85546875" customWidth="1"/>
    <col min="11011" max="11011" width="59.140625" customWidth="1"/>
    <col min="11012" max="11012" width="11.85546875" customWidth="1"/>
    <col min="11013" max="11013" width="12" customWidth="1"/>
    <col min="11014" max="11018" width="30.5703125" customWidth="1"/>
    <col min="11019" max="11019" width="12" customWidth="1"/>
    <col min="11020" max="11264" width="9.140625" customWidth="1"/>
    <col min="11265" max="11265" width="8.140625" customWidth="1"/>
    <col min="11266" max="11266" width="0.85546875" customWidth="1"/>
    <col min="11267" max="11267" width="59.140625" customWidth="1"/>
    <col min="11268" max="11268" width="11.85546875" customWidth="1"/>
    <col min="11269" max="11269" width="12" customWidth="1"/>
    <col min="11270" max="11274" width="30.5703125" customWidth="1"/>
    <col min="11275" max="11275" width="12" customWidth="1"/>
    <col min="11276" max="11520" width="9.140625" customWidth="1"/>
    <col min="11521" max="11521" width="8.140625" customWidth="1"/>
    <col min="11522" max="11522" width="0.85546875" customWidth="1"/>
    <col min="11523" max="11523" width="59.140625" customWidth="1"/>
    <col min="11524" max="11524" width="11.85546875" customWidth="1"/>
    <col min="11525" max="11525" width="12" customWidth="1"/>
    <col min="11526" max="11530" width="30.5703125" customWidth="1"/>
    <col min="11531" max="11531" width="12" customWidth="1"/>
    <col min="11532" max="11776" width="9.140625" customWidth="1"/>
    <col min="11777" max="11777" width="8.140625" customWidth="1"/>
    <col min="11778" max="11778" width="0.85546875" customWidth="1"/>
    <col min="11779" max="11779" width="59.140625" customWidth="1"/>
    <col min="11780" max="11780" width="11.85546875" customWidth="1"/>
    <col min="11781" max="11781" width="12" customWidth="1"/>
    <col min="11782" max="11786" width="30.5703125" customWidth="1"/>
    <col min="11787" max="11787" width="12" customWidth="1"/>
    <col min="11788" max="12032" width="9.140625" customWidth="1"/>
    <col min="12033" max="12033" width="8.140625" customWidth="1"/>
    <col min="12034" max="12034" width="0.85546875" customWidth="1"/>
    <col min="12035" max="12035" width="59.140625" customWidth="1"/>
    <col min="12036" max="12036" width="11.85546875" customWidth="1"/>
    <col min="12037" max="12037" width="12" customWidth="1"/>
    <col min="12038" max="12042" width="30.5703125" customWidth="1"/>
    <col min="12043" max="12043" width="12" customWidth="1"/>
    <col min="12044" max="12288" width="9.140625" customWidth="1"/>
    <col min="12289" max="12289" width="8.140625" customWidth="1"/>
    <col min="12290" max="12290" width="0.85546875" customWidth="1"/>
    <col min="12291" max="12291" width="59.140625" customWidth="1"/>
    <col min="12292" max="12292" width="11.85546875" customWidth="1"/>
    <col min="12293" max="12293" width="12" customWidth="1"/>
    <col min="12294" max="12298" width="30.5703125" customWidth="1"/>
    <col min="12299" max="12299" width="12" customWidth="1"/>
    <col min="12300" max="12544" width="9.140625" customWidth="1"/>
    <col min="12545" max="12545" width="8.140625" customWidth="1"/>
    <col min="12546" max="12546" width="0.85546875" customWidth="1"/>
    <col min="12547" max="12547" width="59.140625" customWidth="1"/>
    <col min="12548" max="12548" width="11.85546875" customWidth="1"/>
    <col min="12549" max="12549" width="12" customWidth="1"/>
    <col min="12550" max="12554" width="30.5703125" customWidth="1"/>
    <col min="12555" max="12555" width="12" customWidth="1"/>
    <col min="12556" max="12800" width="9.140625" customWidth="1"/>
    <col min="12801" max="12801" width="8.140625" customWidth="1"/>
    <col min="12802" max="12802" width="0.85546875" customWidth="1"/>
    <col min="12803" max="12803" width="59.140625" customWidth="1"/>
    <col min="12804" max="12804" width="11.85546875" customWidth="1"/>
    <col min="12805" max="12805" width="12" customWidth="1"/>
    <col min="12806" max="12810" width="30.5703125" customWidth="1"/>
    <col min="12811" max="12811" width="12" customWidth="1"/>
    <col min="12812" max="13056" width="9.140625" customWidth="1"/>
    <col min="13057" max="13057" width="8.140625" customWidth="1"/>
    <col min="13058" max="13058" width="0.85546875" customWidth="1"/>
    <col min="13059" max="13059" width="59.140625" customWidth="1"/>
    <col min="13060" max="13060" width="11.85546875" customWidth="1"/>
    <col min="13061" max="13061" width="12" customWidth="1"/>
    <col min="13062" max="13066" width="30.5703125" customWidth="1"/>
    <col min="13067" max="13067" width="12" customWidth="1"/>
    <col min="13068" max="13312" width="9.140625" customWidth="1"/>
    <col min="13313" max="13313" width="8.140625" customWidth="1"/>
    <col min="13314" max="13314" width="0.85546875" customWidth="1"/>
    <col min="13315" max="13315" width="59.140625" customWidth="1"/>
    <col min="13316" max="13316" width="11.85546875" customWidth="1"/>
    <col min="13317" max="13317" width="12" customWidth="1"/>
    <col min="13318" max="13322" width="30.5703125" customWidth="1"/>
    <col min="13323" max="13323" width="12" customWidth="1"/>
    <col min="13324" max="13568" width="9.140625" customWidth="1"/>
    <col min="13569" max="13569" width="8.140625" customWidth="1"/>
    <col min="13570" max="13570" width="0.85546875" customWidth="1"/>
    <col min="13571" max="13571" width="59.140625" customWidth="1"/>
    <col min="13572" max="13572" width="11.85546875" customWidth="1"/>
    <col min="13573" max="13573" width="12" customWidth="1"/>
    <col min="13574" max="13578" width="30.5703125" customWidth="1"/>
    <col min="13579" max="13579" width="12" customWidth="1"/>
    <col min="13580" max="13824" width="9.140625" customWidth="1"/>
    <col min="13825" max="13825" width="8.140625" customWidth="1"/>
    <col min="13826" max="13826" width="0.85546875" customWidth="1"/>
    <col min="13827" max="13827" width="59.140625" customWidth="1"/>
    <col min="13828" max="13828" width="11.85546875" customWidth="1"/>
    <col min="13829" max="13829" width="12" customWidth="1"/>
    <col min="13830" max="13834" width="30.5703125" customWidth="1"/>
    <col min="13835" max="13835" width="12" customWidth="1"/>
    <col min="13836" max="14080" width="9.140625" customWidth="1"/>
    <col min="14081" max="14081" width="8.140625" customWidth="1"/>
    <col min="14082" max="14082" width="0.85546875" customWidth="1"/>
    <col min="14083" max="14083" width="59.140625" customWidth="1"/>
    <col min="14084" max="14084" width="11.85546875" customWidth="1"/>
    <col min="14085" max="14085" width="12" customWidth="1"/>
    <col min="14086" max="14090" width="30.5703125" customWidth="1"/>
    <col min="14091" max="14091" width="12" customWidth="1"/>
    <col min="14092" max="14336" width="9.140625" customWidth="1"/>
    <col min="14337" max="14337" width="8.140625" customWidth="1"/>
    <col min="14338" max="14338" width="0.85546875" customWidth="1"/>
    <col min="14339" max="14339" width="59.140625" customWidth="1"/>
    <col min="14340" max="14340" width="11.85546875" customWidth="1"/>
    <col min="14341" max="14341" width="12" customWidth="1"/>
    <col min="14342" max="14346" width="30.5703125" customWidth="1"/>
    <col min="14347" max="14347" width="12" customWidth="1"/>
    <col min="14348" max="14592" width="9.140625" customWidth="1"/>
    <col min="14593" max="14593" width="8.140625" customWidth="1"/>
    <col min="14594" max="14594" width="0.85546875" customWidth="1"/>
    <col min="14595" max="14595" width="59.140625" customWidth="1"/>
    <col min="14596" max="14596" width="11.85546875" customWidth="1"/>
    <col min="14597" max="14597" width="12" customWidth="1"/>
    <col min="14598" max="14602" width="30.5703125" customWidth="1"/>
    <col min="14603" max="14603" width="12" customWidth="1"/>
    <col min="14604" max="14848" width="9.140625" customWidth="1"/>
    <col min="14849" max="14849" width="8.140625" customWidth="1"/>
    <col min="14850" max="14850" width="0.85546875" customWidth="1"/>
    <col min="14851" max="14851" width="59.140625" customWidth="1"/>
    <col min="14852" max="14852" width="11.85546875" customWidth="1"/>
    <col min="14853" max="14853" width="12" customWidth="1"/>
    <col min="14854" max="14858" width="30.5703125" customWidth="1"/>
    <col min="14859" max="14859" width="12" customWidth="1"/>
    <col min="14860" max="15104" width="9.140625" customWidth="1"/>
    <col min="15105" max="15105" width="8.140625" customWidth="1"/>
    <col min="15106" max="15106" width="0.85546875" customWidth="1"/>
    <col min="15107" max="15107" width="59.140625" customWidth="1"/>
    <col min="15108" max="15108" width="11.85546875" customWidth="1"/>
    <col min="15109" max="15109" width="12" customWidth="1"/>
    <col min="15110" max="15114" width="30.5703125" customWidth="1"/>
    <col min="15115" max="15115" width="12" customWidth="1"/>
    <col min="15116" max="15360" width="9.140625" customWidth="1"/>
    <col min="15361" max="15361" width="8.140625" customWidth="1"/>
    <col min="15362" max="15362" width="0.85546875" customWidth="1"/>
    <col min="15363" max="15363" width="59.140625" customWidth="1"/>
    <col min="15364" max="15364" width="11.85546875" customWidth="1"/>
    <col min="15365" max="15365" width="12" customWidth="1"/>
    <col min="15366" max="15370" width="30.5703125" customWidth="1"/>
    <col min="15371" max="15371" width="12" customWidth="1"/>
    <col min="15372" max="15616" width="9.140625" customWidth="1"/>
    <col min="15617" max="15617" width="8.140625" customWidth="1"/>
    <col min="15618" max="15618" width="0.85546875" customWidth="1"/>
    <col min="15619" max="15619" width="59.140625" customWidth="1"/>
    <col min="15620" max="15620" width="11.85546875" customWidth="1"/>
    <col min="15621" max="15621" width="12" customWidth="1"/>
    <col min="15622" max="15626" width="30.5703125" customWidth="1"/>
    <col min="15627" max="15627" width="12" customWidth="1"/>
    <col min="15628" max="15872" width="9.140625" customWidth="1"/>
    <col min="15873" max="15873" width="8.140625" customWidth="1"/>
    <col min="15874" max="15874" width="0.85546875" customWidth="1"/>
    <col min="15875" max="15875" width="59.140625" customWidth="1"/>
    <col min="15876" max="15876" width="11.85546875" customWidth="1"/>
    <col min="15877" max="15877" width="12" customWidth="1"/>
    <col min="15878" max="15882" width="30.5703125" customWidth="1"/>
    <col min="15883" max="15883" width="12" customWidth="1"/>
    <col min="15884" max="16128" width="9.140625" customWidth="1"/>
    <col min="16129" max="16129" width="8.140625" customWidth="1"/>
    <col min="16130" max="16130" width="0.85546875" customWidth="1"/>
    <col min="16131" max="16131" width="59.140625" customWidth="1"/>
    <col min="16132" max="16132" width="11.85546875" customWidth="1"/>
    <col min="16133" max="16133" width="12" customWidth="1"/>
    <col min="16134" max="16138" width="30.5703125" customWidth="1"/>
    <col min="16139" max="16139" width="12" customWidth="1"/>
    <col min="16140" max="16384" width="9.140625" customWidth="1"/>
  </cols>
  <sheetData>
    <row r="1" spans="1:11" s="3" customFormat="1" ht="9.9499999999999993" customHeight="1"/>
    <row r="2" spans="1:11" ht="36.75" customHeight="1" outlineLevel="1">
      <c r="A2" s="465" t="s">
        <v>33</v>
      </c>
      <c r="B2" s="3321" t="s">
        <v>4003</v>
      </c>
      <c r="C2" s="3321"/>
    </row>
    <row r="3" spans="1:11" s="3" customFormat="1" ht="9.9499999999999993" customHeight="1"/>
    <row r="4" spans="1:11" ht="12.75" customHeight="1">
      <c r="A4" s="3322" t="s">
        <v>2803</v>
      </c>
      <c r="B4" s="3322"/>
      <c r="C4" s="3322"/>
      <c r="D4" s="3322"/>
      <c r="E4" s="3322" t="s">
        <v>4004</v>
      </c>
      <c r="F4" s="2549" t="s">
        <v>1461</v>
      </c>
      <c r="G4" s="2549" t="s">
        <v>1461</v>
      </c>
      <c r="H4" s="2549" t="s">
        <v>1461</v>
      </c>
      <c r="I4" s="2549" t="s">
        <v>1461</v>
      </c>
      <c r="J4" s="2549" t="s">
        <v>1461</v>
      </c>
      <c r="K4" s="3331" t="s">
        <v>21</v>
      </c>
    </row>
    <row r="5" spans="1:11" ht="12.75" customHeight="1">
      <c r="A5" s="3323"/>
      <c r="B5" s="3324"/>
      <c r="C5" s="3324"/>
      <c r="D5" s="3325"/>
      <c r="E5" s="3329"/>
      <c r="F5" s="2549" t="s">
        <v>4005</v>
      </c>
      <c r="G5" s="2549" t="s">
        <v>4006</v>
      </c>
      <c r="H5" s="2549" t="s">
        <v>4007</v>
      </c>
      <c r="I5" s="2549" t="s">
        <v>4008</v>
      </c>
      <c r="J5" s="2549" t="s">
        <v>4009</v>
      </c>
      <c r="K5" s="3332"/>
    </row>
    <row r="6" spans="1:11" ht="12.75" customHeight="1">
      <c r="A6" s="3326"/>
      <c r="B6" s="3327"/>
      <c r="C6" s="3327"/>
      <c r="D6" s="3328"/>
      <c r="E6" s="3330"/>
      <c r="F6" s="2549" t="s">
        <v>4010</v>
      </c>
      <c r="G6" s="2549" t="s">
        <v>4010</v>
      </c>
      <c r="H6" s="2549" t="s">
        <v>4010</v>
      </c>
      <c r="I6" s="2549" t="s">
        <v>4010</v>
      </c>
      <c r="J6" s="2549" t="s">
        <v>4010</v>
      </c>
      <c r="K6" s="2549" t="s">
        <v>4010</v>
      </c>
    </row>
    <row r="7" spans="1:11" ht="11.25" customHeight="1">
      <c r="A7" s="3333" t="s">
        <v>2808</v>
      </c>
      <c r="B7" s="3333"/>
      <c r="C7" s="3333"/>
      <c r="D7" s="3333"/>
      <c r="E7" s="2557">
        <v>12</v>
      </c>
      <c r="F7" s="2558">
        <v>-307.25799999999998</v>
      </c>
      <c r="G7" s="2558">
        <v>-408.14</v>
      </c>
      <c r="H7" s="2558">
        <v>-496.57499999999999</v>
      </c>
      <c r="I7" s="2558">
        <v>-142.517</v>
      </c>
      <c r="J7" s="2558">
        <v>-73.953999999999994</v>
      </c>
      <c r="K7" s="2559">
        <v>-1428.443</v>
      </c>
    </row>
    <row r="8" spans="1:11" ht="11.25" customHeight="1" outlineLevel="1">
      <c r="A8" s="3334" t="s">
        <v>4011</v>
      </c>
      <c r="B8" s="3334"/>
      <c r="C8" s="3334"/>
      <c r="D8" s="3334"/>
      <c r="E8" s="2557">
        <v>10</v>
      </c>
      <c r="F8" s="2558">
        <v>-307.25799999999998</v>
      </c>
      <c r="G8" s="2558">
        <v>-408.14</v>
      </c>
      <c r="H8" s="2558">
        <v>-496.57499999999999</v>
      </c>
      <c r="I8" s="2558">
        <v>-142.517</v>
      </c>
      <c r="J8" s="2558">
        <v>-73.953999999999994</v>
      </c>
      <c r="K8" s="2559">
        <v>-1428.443</v>
      </c>
    </row>
    <row r="9" spans="1:11" ht="11.25" customHeight="1" outlineLevel="2">
      <c r="A9" s="3339" t="s">
        <v>4012</v>
      </c>
      <c r="B9" s="3339"/>
      <c r="C9" s="3339"/>
      <c r="D9" s="3339"/>
      <c r="E9" s="2557">
        <v>5</v>
      </c>
      <c r="F9" s="2558">
        <v>-306.46899999999999</v>
      </c>
      <c r="G9" s="2558">
        <v>-404.03300000000002</v>
      </c>
      <c r="H9" s="2558">
        <v>-494.49200000000002</v>
      </c>
      <c r="I9" s="2558">
        <v>-311.452</v>
      </c>
      <c r="J9" s="2558">
        <v>-80.632999999999996</v>
      </c>
      <c r="K9" s="2559">
        <v>-1597.079</v>
      </c>
    </row>
    <row r="10" spans="1:11" ht="11.25" customHeight="1" outlineLevel="3">
      <c r="A10" s="3340" t="s">
        <v>2809</v>
      </c>
      <c r="B10" s="3340"/>
      <c r="C10" s="3340"/>
      <c r="D10" s="3340"/>
      <c r="E10" s="2557">
        <v>3</v>
      </c>
      <c r="F10" s="2558">
        <v>-306.46899999999999</v>
      </c>
      <c r="G10" s="2558">
        <v>-404.03300000000002</v>
      </c>
      <c r="H10" s="2558">
        <v>-494.49200000000002</v>
      </c>
      <c r="I10" s="2558">
        <v>-311.452</v>
      </c>
      <c r="J10" s="2558">
        <v>-80.632999999999996</v>
      </c>
      <c r="K10" s="2559">
        <v>-1597.079</v>
      </c>
    </row>
    <row r="11" spans="1:11" ht="11.25" customHeight="1" outlineLevel="4">
      <c r="A11" s="3335" t="s">
        <v>2805</v>
      </c>
      <c r="B11" s="3335"/>
      <c r="C11" s="3335"/>
      <c r="D11" s="3335"/>
      <c r="E11" s="2557">
        <v>1</v>
      </c>
      <c r="F11" s="2558">
        <v>36.659999999999997</v>
      </c>
      <c r="G11" s="2558">
        <v>95.337000000000003</v>
      </c>
      <c r="H11" s="2558">
        <v>100.179</v>
      </c>
      <c r="I11" s="2558">
        <v>193.11</v>
      </c>
      <c r="J11" s="2558">
        <v>435.202</v>
      </c>
      <c r="K11" s="2558">
        <v>860.48800000000006</v>
      </c>
    </row>
    <row r="12" spans="1:11" ht="11.25" customHeight="1" outlineLevel="5">
      <c r="A12" s="3336" t="s">
        <v>4013</v>
      </c>
      <c r="B12" s="3336"/>
      <c r="C12" s="3336"/>
      <c r="D12" s="3336"/>
      <c r="E12" s="2560" t="s">
        <v>28</v>
      </c>
      <c r="F12" s="2561">
        <v>36.659999999999997</v>
      </c>
      <c r="G12" s="2561">
        <v>95.337000000000003</v>
      </c>
      <c r="H12" s="2561">
        <v>100.179</v>
      </c>
      <c r="I12" s="2561">
        <v>193.11</v>
      </c>
      <c r="J12" s="2561">
        <v>435.202</v>
      </c>
      <c r="K12" s="2561">
        <v>860.48800000000006</v>
      </c>
    </row>
    <row r="13" spans="1:11" ht="11.25" customHeight="1" outlineLevel="6">
      <c r="A13" s="3341" t="s">
        <v>4014</v>
      </c>
      <c r="B13" s="3341"/>
      <c r="C13" s="3341"/>
      <c r="D13" s="3341"/>
      <c r="E13" s="2550" t="s">
        <v>4015</v>
      </c>
      <c r="F13" s="2551">
        <v>25.963999999999999</v>
      </c>
      <c r="G13" s="2551">
        <v>62.091999999999999</v>
      </c>
      <c r="H13" s="2551">
        <v>28.292999999999999</v>
      </c>
      <c r="I13" s="2551">
        <v>21.492999999999999</v>
      </c>
      <c r="J13" s="2551">
        <v>49.293999999999997</v>
      </c>
      <c r="K13" s="2551">
        <v>187.136</v>
      </c>
    </row>
    <row r="14" spans="1:11" ht="11.25" customHeight="1" outlineLevel="6">
      <c r="A14" s="3341" t="s">
        <v>4016</v>
      </c>
      <c r="B14" s="3341"/>
      <c r="C14" s="3341"/>
      <c r="D14" s="3341"/>
      <c r="E14" s="2550" t="s">
        <v>4017</v>
      </c>
      <c r="F14" s="2551">
        <v>10.696</v>
      </c>
      <c r="G14" s="2551">
        <v>33.244999999999997</v>
      </c>
      <c r="H14" s="2551">
        <v>71.885999999999996</v>
      </c>
      <c r="I14" s="2551">
        <v>171.61699999999999</v>
      </c>
      <c r="J14" s="2551">
        <v>385.90800000000002</v>
      </c>
      <c r="K14" s="2551">
        <v>673.35199999999998</v>
      </c>
    </row>
    <row r="15" spans="1:11" ht="11.25" customHeight="1" outlineLevel="4">
      <c r="A15" s="3335" t="s">
        <v>2819</v>
      </c>
      <c r="B15" s="3335"/>
      <c r="C15" s="3335"/>
      <c r="D15" s="3335"/>
      <c r="E15" s="2557">
        <v>2</v>
      </c>
      <c r="F15" s="2558">
        <v>-343.12900000000002</v>
      </c>
      <c r="G15" s="2558">
        <v>-499.36900000000003</v>
      </c>
      <c r="H15" s="2558">
        <v>-594.67100000000005</v>
      </c>
      <c r="I15" s="2558">
        <v>-504.56200000000001</v>
      </c>
      <c r="J15" s="2558">
        <v>-515.83500000000004</v>
      </c>
      <c r="K15" s="2559">
        <v>-2457.567</v>
      </c>
    </row>
    <row r="16" spans="1:11" ht="11.25" customHeight="1" outlineLevel="5">
      <c r="A16" s="3336" t="s">
        <v>4018</v>
      </c>
      <c r="B16" s="3336"/>
      <c r="C16" s="3336"/>
      <c r="D16" s="3336"/>
      <c r="E16" s="2560" t="s">
        <v>22</v>
      </c>
      <c r="F16" s="2561">
        <v>-1.532</v>
      </c>
      <c r="G16" s="2561">
        <v>-3.601</v>
      </c>
      <c r="H16" s="2561">
        <v>-11.06</v>
      </c>
      <c r="I16" s="2561">
        <v>-9.0890000000000004</v>
      </c>
      <c r="J16" s="2561">
        <v>-10.522</v>
      </c>
      <c r="K16" s="2561">
        <v>-35.804000000000002</v>
      </c>
    </row>
    <row r="17" spans="1:11" ht="11.25" customHeight="1" outlineLevel="6">
      <c r="A17" s="3337" t="s">
        <v>4019</v>
      </c>
      <c r="B17" s="3337"/>
      <c r="C17" s="3337"/>
      <c r="D17" s="3337"/>
      <c r="E17" s="2555" t="s">
        <v>4020</v>
      </c>
      <c r="F17" s="2553">
        <v>-0.77800000000000002</v>
      </c>
      <c r="G17" s="2553">
        <v>-1.268</v>
      </c>
      <c r="H17" s="2553">
        <v>-1.242</v>
      </c>
      <c r="I17" s="2553">
        <v>-1.2130000000000001</v>
      </c>
      <c r="J17" s="2553">
        <v>-0.77400000000000002</v>
      </c>
      <c r="K17" s="2553">
        <v>-5.2750000000000004</v>
      </c>
    </row>
    <row r="18" spans="1:11" ht="11.25" customHeight="1" outlineLevel="7">
      <c r="A18" s="3338" t="s">
        <v>1459</v>
      </c>
      <c r="B18" s="3338"/>
      <c r="C18" s="3338"/>
      <c r="D18" s="3338"/>
      <c r="E18" s="2555" t="s">
        <v>4021</v>
      </c>
      <c r="F18" s="2553">
        <v>-0.70899999999999996</v>
      </c>
      <c r="G18" s="2553">
        <v>-1.153</v>
      </c>
      <c r="H18" s="2553">
        <v>-1.135</v>
      </c>
      <c r="I18" s="2553">
        <v>-1.1719999999999999</v>
      </c>
      <c r="J18" s="2553">
        <v>-0.77400000000000002</v>
      </c>
      <c r="K18" s="2553">
        <v>-4.9429999999999996</v>
      </c>
    </row>
    <row r="19" spans="1:11" ht="11.25" customHeight="1" outlineLevel="7">
      <c r="A19" s="3338" t="s">
        <v>4022</v>
      </c>
      <c r="B19" s="3338"/>
      <c r="C19" s="3338"/>
      <c r="D19" s="3338"/>
      <c r="E19" s="2555" t="s">
        <v>4023</v>
      </c>
      <c r="F19" s="2553">
        <v>-6.9000000000000006E-2</v>
      </c>
      <c r="G19" s="2553">
        <v>-0.115</v>
      </c>
      <c r="H19" s="2553">
        <v>-0.107</v>
      </c>
      <c r="I19" s="2553">
        <v>-4.1000000000000002E-2</v>
      </c>
      <c r="J19" s="2556"/>
      <c r="K19" s="2553">
        <v>-0.33200000000000002</v>
      </c>
    </row>
    <row r="20" spans="1:11" ht="11.25" customHeight="1" outlineLevel="6">
      <c r="A20" s="3337" t="s">
        <v>4024</v>
      </c>
      <c r="B20" s="3337"/>
      <c r="C20" s="3337"/>
      <c r="D20" s="3337"/>
      <c r="E20" s="2555" t="s">
        <v>4025</v>
      </c>
      <c r="F20" s="2553">
        <v>-0.754</v>
      </c>
      <c r="G20" s="2553">
        <v>-2.3319999999999999</v>
      </c>
      <c r="H20" s="2553">
        <v>-9.8190000000000008</v>
      </c>
      <c r="I20" s="2553">
        <v>-7.8760000000000003</v>
      </c>
      <c r="J20" s="2553">
        <v>-9.7469999999999999</v>
      </c>
      <c r="K20" s="2553">
        <v>-30.529</v>
      </c>
    </row>
    <row r="21" spans="1:11" ht="11.25" customHeight="1" outlineLevel="7">
      <c r="A21" s="3338" t="s">
        <v>1479</v>
      </c>
      <c r="B21" s="3338"/>
      <c r="C21" s="3338"/>
      <c r="D21" s="3338"/>
      <c r="E21" s="2555" t="s">
        <v>4026</v>
      </c>
      <c r="F21" s="2553">
        <v>-0.56399999999999995</v>
      </c>
      <c r="G21" s="2553">
        <v>-1.4039999999999999</v>
      </c>
      <c r="H21" s="2553">
        <v>-5.5540000000000003</v>
      </c>
      <c r="I21" s="2553">
        <v>-3.9620000000000002</v>
      </c>
      <c r="J21" s="2553">
        <v>-7.5529999999999999</v>
      </c>
      <c r="K21" s="2553">
        <v>-19.036000000000001</v>
      </c>
    </row>
    <row r="22" spans="1:11" ht="11.25" customHeight="1" outlineLevel="7">
      <c r="A22" s="3343" t="s">
        <v>1328</v>
      </c>
      <c r="B22" s="3343"/>
      <c r="C22" s="3343"/>
      <c r="D22" s="3343"/>
      <c r="E22" s="2555" t="s">
        <v>4027</v>
      </c>
      <c r="F22" s="2553">
        <v>-6.9000000000000006E-2</v>
      </c>
      <c r="G22" s="2553">
        <v>-0.13600000000000001</v>
      </c>
      <c r="H22" s="2553">
        <v>-0.159</v>
      </c>
      <c r="I22" s="2553">
        <v>-0.19900000000000001</v>
      </c>
      <c r="J22" s="2553">
        <v>-4.76</v>
      </c>
      <c r="K22" s="2553">
        <v>-5.3239999999999998</v>
      </c>
    </row>
    <row r="23" spans="1:11" ht="11.25" customHeight="1" outlineLevel="7">
      <c r="A23" s="3343" t="s">
        <v>1327</v>
      </c>
      <c r="B23" s="3343"/>
      <c r="C23" s="3343"/>
      <c r="D23" s="3343"/>
      <c r="E23" s="2555" t="s">
        <v>4028</v>
      </c>
      <c r="F23" s="2553">
        <v>-0.495</v>
      </c>
      <c r="G23" s="2553">
        <v>-1.2669999999999999</v>
      </c>
      <c r="H23" s="2553">
        <v>-5.3949999999999996</v>
      </c>
      <c r="I23" s="2553">
        <v>-3.7629999999999999</v>
      </c>
      <c r="J23" s="2553">
        <v>-2.7930000000000001</v>
      </c>
      <c r="K23" s="2553">
        <v>-13.712999999999999</v>
      </c>
    </row>
    <row r="24" spans="1:11" ht="11.25" customHeight="1" outlineLevel="7">
      <c r="A24" s="3338" t="s">
        <v>4029</v>
      </c>
      <c r="B24" s="3338"/>
      <c r="C24" s="3338"/>
      <c r="D24" s="3338"/>
      <c r="E24" s="2555" t="s">
        <v>4030</v>
      </c>
      <c r="F24" s="2553">
        <v>-1.7000000000000001E-2</v>
      </c>
      <c r="G24" s="2553">
        <v>-0.40600000000000003</v>
      </c>
      <c r="H24" s="2553">
        <v>-1.6559999999999999</v>
      </c>
      <c r="I24" s="2553">
        <v>-1.327</v>
      </c>
      <c r="J24" s="2553">
        <v>-5.5E-2</v>
      </c>
      <c r="K24" s="2553">
        <v>-3.46</v>
      </c>
    </row>
    <row r="25" spans="1:11" ht="11.25" customHeight="1" outlineLevel="7">
      <c r="A25" s="3343" t="s">
        <v>1358</v>
      </c>
      <c r="B25" s="3343"/>
      <c r="C25" s="3343"/>
      <c r="D25" s="3343"/>
      <c r="E25" s="2555" t="s">
        <v>4031</v>
      </c>
      <c r="F25" s="2556"/>
      <c r="G25" s="2553">
        <v>0</v>
      </c>
      <c r="H25" s="2556"/>
      <c r="I25" s="2553">
        <v>-1.2999999999999999E-2</v>
      </c>
      <c r="J25" s="2553">
        <v>-1.0999999999999999E-2</v>
      </c>
      <c r="K25" s="2553">
        <v>-2.4E-2</v>
      </c>
    </row>
    <row r="26" spans="1:11" ht="11.25" customHeight="1" outlineLevel="7">
      <c r="A26" s="3343" t="s">
        <v>1355</v>
      </c>
      <c r="B26" s="3343"/>
      <c r="C26" s="3343"/>
      <c r="D26" s="3343"/>
      <c r="E26" s="2555" t="s">
        <v>4032</v>
      </c>
      <c r="F26" s="2556"/>
      <c r="G26" s="2556"/>
      <c r="H26" s="2553">
        <v>-3.5000000000000003E-2</v>
      </c>
      <c r="I26" s="2553">
        <v>-2.3E-2</v>
      </c>
      <c r="J26" s="2556"/>
      <c r="K26" s="2553">
        <v>-5.8000000000000003E-2</v>
      </c>
    </row>
    <row r="27" spans="1:11" ht="21.75" customHeight="1" outlineLevel="7">
      <c r="A27" s="3342" t="s">
        <v>1351</v>
      </c>
      <c r="B27" s="3342"/>
      <c r="C27" s="3342"/>
      <c r="D27" s="3342"/>
      <c r="E27" s="2550" t="s">
        <v>4033</v>
      </c>
      <c r="F27" s="2552"/>
      <c r="G27" s="2552"/>
      <c r="H27" s="2551">
        <v>-8.0000000000000002E-3</v>
      </c>
      <c r="I27" s="2551">
        <v>-0.28399999999999997</v>
      </c>
      <c r="J27" s="2552"/>
      <c r="K27" s="2551">
        <v>-0.29199999999999998</v>
      </c>
    </row>
    <row r="28" spans="1:11" ht="21.75" customHeight="1" outlineLevel="7">
      <c r="A28" s="3342" t="s">
        <v>1353</v>
      </c>
      <c r="B28" s="3342"/>
      <c r="C28" s="3342"/>
      <c r="D28" s="3342"/>
      <c r="E28" s="2550" t="s">
        <v>4034</v>
      </c>
      <c r="F28" s="2551">
        <v>-1.4E-2</v>
      </c>
      <c r="G28" s="2551">
        <v>-0.28299999999999997</v>
      </c>
      <c r="H28" s="2551">
        <v>-1.5549999999999999</v>
      </c>
      <c r="I28" s="2551">
        <v>-0.92500000000000004</v>
      </c>
      <c r="J28" s="2552"/>
      <c r="K28" s="2551">
        <v>-2.7759999999999998</v>
      </c>
    </row>
    <row r="29" spans="1:11" ht="11.25" customHeight="1" outlineLevel="7">
      <c r="A29" s="3343" t="s">
        <v>1359</v>
      </c>
      <c r="B29" s="3343"/>
      <c r="C29" s="3343"/>
      <c r="D29" s="3343"/>
      <c r="E29" s="2555" t="s">
        <v>4035</v>
      </c>
      <c r="F29" s="2556"/>
      <c r="G29" s="2553">
        <v>-7.4999999999999997E-2</v>
      </c>
      <c r="H29" s="2556"/>
      <c r="I29" s="2556"/>
      <c r="J29" s="2556"/>
      <c r="K29" s="2553">
        <v>-7.4999999999999997E-2</v>
      </c>
    </row>
    <row r="30" spans="1:11" ht="11.25" customHeight="1" outlineLevel="7">
      <c r="A30" s="3343" t="s">
        <v>1356</v>
      </c>
      <c r="B30" s="3343"/>
      <c r="C30" s="3343"/>
      <c r="D30" s="3343"/>
      <c r="E30" s="2555" t="s">
        <v>4036</v>
      </c>
      <c r="F30" s="2553">
        <v>-3.0000000000000001E-3</v>
      </c>
      <c r="G30" s="2553">
        <v>-4.8000000000000001E-2</v>
      </c>
      <c r="H30" s="2553">
        <v>-5.7000000000000002E-2</v>
      </c>
      <c r="I30" s="2553">
        <v>-8.2000000000000003E-2</v>
      </c>
      <c r="J30" s="2553">
        <v>-4.3999999999999997E-2</v>
      </c>
      <c r="K30" s="2553">
        <v>-0.23400000000000001</v>
      </c>
    </row>
    <row r="31" spans="1:11" ht="11.25" customHeight="1" outlineLevel="7">
      <c r="A31" s="3338" t="s">
        <v>4037</v>
      </c>
      <c r="B31" s="3338"/>
      <c r="C31" s="3338"/>
      <c r="D31" s="3338"/>
      <c r="E31" s="2555" t="s">
        <v>4038</v>
      </c>
      <c r="F31" s="2553">
        <v>-1.2E-2</v>
      </c>
      <c r="G31" s="2553">
        <v>-0.371</v>
      </c>
      <c r="H31" s="2553">
        <v>-8.1000000000000003E-2</v>
      </c>
      <c r="I31" s="2553">
        <v>-0.47599999999999998</v>
      </c>
      <c r="J31" s="2553">
        <v>-0.64300000000000002</v>
      </c>
      <c r="K31" s="2553">
        <v>-1.5820000000000001</v>
      </c>
    </row>
    <row r="32" spans="1:11" ht="11.25" customHeight="1" outlineLevel="7">
      <c r="A32" s="3343" t="s">
        <v>1357</v>
      </c>
      <c r="B32" s="3343"/>
      <c r="C32" s="3343"/>
      <c r="D32" s="3343"/>
      <c r="E32" s="2555" t="s">
        <v>4039</v>
      </c>
      <c r="F32" s="2556"/>
      <c r="G32" s="2553">
        <v>-2.4E-2</v>
      </c>
      <c r="H32" s="2553">
        <v>-1.9E-2</v>
      </c>
      <c r="I32" s="2553">
        <v>-3.1E-2</v>
      </c>
      <c r="J32" s="2556"/>
      <c r="K32" s="2553">
        <v>-7.2999999999999995E-2</v>
      </c>
    </row>
    <row r="33" spans="1:11" ht="11.25" customHeight="1" outlineLevel="7">
      <c r="A33" s="3343" t="s">
        <v>1354</v>
      </c>
      <c r="B33" s="3343"/>
      <c r="C33" s="3343"/>
      <c r="D33" s="3343"/>
      <c r="E33" s="2555" t="s">
        <v>4040</v>
      </c>
      <c r="F33" s="2556"/>
      <c r="G33" s="2556"/>
      <c r="H33" s="2553">
        <v>-3.3000000000000002E-2</v>
      </c>
      <c r="I33" s="2556"/>
      <c r="J33" s="2553">
        <v>-0.64300000000000002</v>
      </c>
      <c r="K33" s="2553">
        <v>-0.67600000000000005</v>
      </c>
    </row>
    <row r="34" spans="1:11" ht="11.25" customHeight="1" outlineLevel="7">
      <c r="A34" s="3343" t="s">
        <v>1352</v>
      </c>
      <c r="B34" s="3343"/>
      <c r="C34" s="3343"/>
      <c r="D34" s="3343"/>
      <c r="E34" s="2555" t="s">
        <v>4041</v>
      </c>
      <c r="F34" s="2553">
        <v>-1.2E-2</v>
      </c>
      <c r="G34" s="2553">
        <v>-0.34699999999999998</v>
      </c>
      <c r="H34" s="2553">
        <v>-2.9000000000000001E-2</v>
      </c>
      <c r="I34" s="2553">
        <v>-0.44400000000000001</v>
      </c>
      <c r="J34" s="2556"/>
      <c r="K34" s="2553">
        <v>-0.83299999999999996</v>
      </c>
    </row>
    <row r="35" spans="1:11" ht="11.25" customHeight="1" outlineLevel="7">
      <c r="A35" s="3338" t="s">
        <v>4042</v>
      </c>
      <c r="B35" s="3338"/>
      <c r="C35" s="3338"/>
      <c r="D35" s="3338"/>
      <c r="E35" s="2555" t="s">
        <v>4043</v>
      </c>
      <c r="F35" s="2553">
        <v>-0.16200000000000001</v>
      </c>
      <c r="G35" s="2553">
        <v>-0.151</v>
      </c>
      <c r="H35" s="2553">
        <v>-2.528</v>
      </c>
      <c r="I35" s="2553">
        <v>-2.1120000000000001</v>
      </c>
      <c r="J35" s="2553">
        <v>-1.496</v>
      </c>
      <c r="K35" s="2553">
        <v>-6.45</v>
      </c>
    </row>
    <row r="36" spans="1:11" ht="11.25" customHeight="1" outlineLevel="7">
      <c r="A36" s="3343" t="s">
        <v>1376</v>
      </c>
      <c r="B36" s="3343"/>
      <c r="C36" s="3343"/>
      <c r="D36" s="3343"/>
      <c r="E36" s="2555" t="s">
        <v>4044</v>
      </c>
      <c r="F36" s="2553">
        <v>-0.154</v>
      </c>
      <c r="G36" s="2553">
        <v>-0.14000000000000001</v>
      </c>
      <c r="H36" s="2553">
        <v>-0.26300000000000001</v>
      </c>
      <c r="I36" s="2553">
        <v>-0.61299999999999999</v>
      </c>
      <c r="J36" s="2553">
        <v>-0.73799999999999999</v>
      </c>
      <c r="K36" s="2553">
        <v>-1.9079999999999999</v>
      </c>
    </row>
    <row r="37" spans="1:11" ht="11.25" customHeight="1" outlineLevel="7">
      <c r="A37" s="3343" t="s">
        <v>1372</v>
      </c>
      <c r="B37" s="3343"/>
      <c r="C37" s="3343"/>
      <c r="D37" s="3343"/>
      <c r="E37" s="2555" t="s">
        <v>4045</v>
      </c>
      <c r="F37" s="2556"/>
      <c r="G37" s="2556"/>
      <c r="H37" s="2556"/>
      <c r="I37" s="2556"/>
      <c r="J37" s="2553">
        <v>-9.0999999999999998E-2</v>
      </c>
      <c r="K37" s="2553">
        <v>-9.0999999999999998E-2</v>
      </c>
    </row>
    <row r="38" spans="1:11" ht="11.25" customHeight="1" outlineLevel="7">
      <c r="A38" s="3343" t="s">
        <v>1375</v>
      </c>
      <c r="B38" s="3343"/>
      <c r="C38" s="3343"/>
      <c r="D38" s="3343"/>
      <c r="E38" s="2555" t="s">
        <v>4046</v>
      </c>
      <c r="F38" s="2556"/>
      <c r="G38" s="2553">
        <v>0</v>
      </c>
      <c r="H38" s="2553">
        <v>-1.0999999999999999E-2</v>
      </c>
      <c r="I38" s="2553">
        <v>-0.20599999999999999</v>
      </c>
      <c r="J38" s="2553">
        <v>-5.0999999999999997E-2</v>
      </c>
      <c r="K38" s="2553">
        <v>-0.26800000000000002</v>
      </c>
    </row>
    <row r="39" spans="1:11" ht="11.25" customHeight="1" outlineLevel="7">
      <c r="A39" s="3343" t="s">
        <v>4047</v>
      </c>
      <c r="B39" s="3343"/>
      <c r="C39" s="3343"/>
      <c r="D39" s="3343"/>
      <c r="E39" s="2555" t="s">
        <v>4048</v>
      </c>
      <c r="F39" s="2553">
        <v>-7.0000000000000001E-3</v>
      </c>
      <c r="G39" s="2556"/>
      <c r="H39" s="2556"/>
      <c r="I39" s="2553">
        <v>-2.1000000000000001E-2</v>
      </c>
      <c r="J39" s="2553">
        <v>0</v>
      </c>
      <c r="K39" s="2553">
        <v>-2.8000000000000001E-2</v>
      </c>
    </row>
    <row r="40" spans="1:11" ht="11.25" customHeight="1" outlineLevel="7">
      <c r="A40" s="3343" t="s">
        <v>1373</v>
      </c>
      <c r="B40" s="3343"/>
      <c r="C40" s="3343"/>
      <c r="D40" s="3343"/>
      <c r="E40" s="2555" t="s">
        <v>4049</v>
      </c>
      <c r="F40" s="2553">
        <v>0</v>
      </c>
      <c r="G40" s="2553">
        <v>-1.0999999999999999E-2</v>
      </c>
      <c r="H40" s="2553">
        <v>-2.9000000000000001E-2</v>
      </c>
      <c r="I40" s="2553">
        <v>-1.0999999999999999E-2</v>
      </c>
      <c r="J40" s="2553">
        <v>-8.9999999999999993E-3</v>
      </c>
      <c r="K40" s="2553">
        <v>-6.0999999999999999E-2</v>
      </c>
    </row>
    <row r="41" spans="1:11" ht="11.25" customHeight="1" outlineLevel="7">
      <c r="A41" s="3343" t="s">
        <v>1371</v>
      </c>
      <c r="B41" s="3343"/>
      <c r="C41" s="3343"/>
      <c r="D41" s="3343"/>
      <c r="E41" s="2555" t="s">
        <v>4050</v>
      </c>
      <c r="F41" s="2556"/>
      <c r="G41" s="2556"/>
      <c r="H41" s="2556"/>
      <c r="I41" s="2553">
        <v>-0.66900000000000004</v>
      </c>
      <c r="J41" s="2553">
        <v>-2.1999999999999999E-2</v>
      </c>
      <c r="K41" s="2553">
        <v>-0.69199999999999995</v>
      </c>
    </row>
    <row r="42" spans="1:11" ht="11.25" customHeight="1" outlineLevel="7">
      <c r="A42" s="3343" t="s">
        <v>1368</v>
      </c>
      <c r="B42" s="3343"/>
      <c r="C42" s="3343"/>
      <c r="D42" s="3343"/>
      <c r="E42" s="2555" t="s">
        <v>4051</v>
      </c>
      <c r="F42" s="2556"/>
      <c r="G42" s="2556"/>
      <c r="H42" s="2556"/>
      <c r="I42" s="2553">
        <v>-0.58199999999999996</v>
      </c>
      <c r="J42" s="2553">
        <v>-0.58399999999999996</v>
      </c>
      <c r="K42" s="2553">
        <v>-1.165</v>
      </c>
    </row>
    <row r="43" spans="1:11" ht="11.25" customHeight="1" outlineLevel="7">
      <c r="A43" s="3343" t="s">
        <v>1370</v>
      </c>
      <c r="B43" s="3343"/>
      <c r="C43" s="3343"/>
      <c r="D43" s="3343"/>
      <c r="E43" s="2555" t="s">
        <v>4052</v>
      </c>
      <c r="F43" s="2556"/>
      <c r="G43" s="2556"/>
      <c r="H43" s="2556"/>
      <c r="I43" s="2553">
        <v>-1.0999999999999999E-2</v>
      </c>
      <c r="J43" s="2553">
        <v>0</v>
      </c>
      <c r="K43" s="2553">
        <v>-1.2E-2</v>
      </c>
    </row>
    <row r="44" spans="1:11" ht="11.25" customHeight="1" outlineLevel="7">
      <c r="A44" s="3343" t="s">
        <v>1369</v>
      </c>
      <c r="B44" s="3343"/>
      <c r="C44" s="3343"/>
      <c r="D44" s="3343"/>
      <c r="E44" s="2555" t="s">
        <v>4053</v>
      </c>
      <c r="F44" s="2556"/>
      <c r="G44" s="2556"/>
      <c r="H44" s="2553">
        <v>-3.3000000000000002E-2</v>
      </c>
      <c r="I44" s="2556"/>
      <c r="J44" s="2556"/>
      <c r="K44" s="2553">
        <v>-3.3000000000000002E-2</v>
      </c>
    </row>
    <row r="45" spans="1:11" ht="11.25" customHeight="1" outlineLevel="7">
      <c r="A45" s="3343" t="s">
        <v>4054</v>
      </c>
      <c r="B45" s="3343"/>
      <c r="C45" s="3343"/>
      <c r="D45" s="3343"/>
      <c r="E45" s="2555" t="s">
        <v>4055</v>
      </c>
      <c r="F45" s="2556"/>
      <c r="G45" s="2556"/>
      <c r="H45" s="2553">
        <v>-2.1930000000000001</v>
      </c>
      <c r="I45" s="2556"/>
      <c r="J45" s="2556"/>
      <c r="K45" s="2553">
        <v>-2.1930000000000001</v>
      </c>
    </row>
    <row r="46" spans="1:11" ht="11.25" customHeight="1" outlineLevel="5">
      <c r="A46" s="3336" t="s">
        <v>4056</v>
      </c>
      <c r="B46" s="3336"/>
      <c r="C46" s="3336"/>
      <c r="D46" s="3336"/>
      <c r="E46" s="2560" t="s">
        <v>23</v>
      </c>
      <c r="F46" s="2561">
        <v>-1E-3</v>
      </c>
      <c r="G46" s="2561">
        <v>-2.5000000000000001E-2</v>
      </c>
      <c r="H46" s="2561">
        <v>-5.1989999999999998</v>
      </c>
      <c r="I46" s="2561">
        <v>-4.0000000000000001E-3</v>
      </c>
      <c r="J46" s="2561">
        <v>-9.9260000000000002</v>
      </c>
      <c r="K46" s="2561">
        <v>-15.156000000000001</v>
      </c>
    </row>
    <row r="47" spans="1:11" ht="11.25" customHeight="1" outlineLevel="6">
      <c r="A47" s="3344" t="s">
        <v>4057</v>
      </c>
      <c r="B47" s="3344"/>
      <c r="C47" s="3344"/>
      <c r="D47" s="3344"/>
      <c r="E47" s="2560" t="s">
        <v>4058</v>
      </c>
      <c r="F47" s="2561">
        <v>-1E-3</v>
      </c>
      <c r="G47" s="2561">
        <v>-2.5000000000000001E-2</v>
      </c>
      <c r="H47" s="2561">
        <v>-4.8140000000000001</v>
      </c>
      <c r="I47" s="2561">
        <v>-4.0000000000000001E-3</v>
      </c>
      <c r="J47" s="2561">
        <v>-9.9260000000000002</v>
      </c>
      <c r="K47" s="2561">
        <v>-14.771000000000001</v>
      </c>
    </row>
    <row r="48" spans="1:11" ht="11.25" customHeight="1" outlineLevel="7">
      <c r="A48" s="3338" t="s">
        <v>4059</v>
      </c>
      <c r="B48" s="3338"/>
      <c r="C48" s="3338"/>
      <c r="D48" s="3338"/>
      <c r="E48" s="2555" t="s">
        <v>4060</v>
      </c>
      <c r="F48" s="2553">
        <v>-1E-3</v>
      </c>
      <c r="G48" s="2553">
        <v>-2.5000000000000001E-2</v>
      </c>
      <c r="H48" s="2553">
        <v>-4.8140000000000001</v>
      </c>
      <c r="I48" s="2553">
        <v>-4.0000000000000001E-3</v>
      </c>
      <c r="J48" s="2553">
        <v>-1.827</v>
      </c>
      <c r="K48" s="2553">
        <v>-6.6710000000000003</v>
      </c>
    </row>
    <row r="49" spans="1:11" ht="11.25" customHeight="1" outlineLevel="7">
      <c r="A49" s="3343" t="s">
        <v>1439</v>
      </c>
      <c r="B49" s="3343"/>
      <c r="C49" s="3343"/>
      <c r="D49" s="3343"/>
      <c r="E49" s="2555" t="s">
        <v>4061</v>
      </c>
      <c r="F49" s="2556"/>
      <c r="G49" s="2556"/>
      <c r="H49" s="2556"/>
      <c r="I49" s="2556"/>
      <c r="J49" s="2553">
        <v>-0.49399999999999999</v>
      </c>
      <c r="K49" s="2553">
        <v>-0.49399999999999999</v>
      </c>
    </row>
    <row r="50" spans="1:11" ht="21.75" customHeight="1" outlineLevel="7">
      <c r="A50" s="3343" t="s">
        <v>4062</v>
      </c>
      <c r="B50" s="3343"/>
      <c r="C50" s="3343"/>
      <c r="D50" s="3343"/>
      <c r="E50" s="2555" t="s">
        <v>4063</v>
      </c>
      <c r="F50" s="2556"/>
      <c r="G50" s="2553">
        <v>-2.1999999999999999E-2</v>
      </c>
      <c r="H50" s="2556"/>
      <c r="I50" s="2556"/>
      <c r="J50" s="2553">
        <v>-1.331</v>
      </c>
      <c r="K50" s="2553">
        <v>-1.353</v>
      </c>
    </row>
    <row r="51" spans="1:11" ht="21.75" customHeight="1" outlineLevel="7">
      <c r="A51" s="3343" t="s">
        <v>1443</v>
      </c>
      <c r="B51" s="3343"/>
      <c r="C51" s="3343"/>
      <c r="D51" s="3343"/>
      <c r="E51" s="2555" t="s">
        <v>4064</v>
      </c>
      <c r="F51" s="2556"/>
      <c r="G51" s="2556"/>
      <c r="H51" s="2553">
        <v>-4.7960000000000003</v>
      </c>
      <c r="I51" s="2556"/>
      <c r="J51" s="2556"/>
      <c r="K51" s="2553">
        <v>-4.7960000000000003</v>
      </c>
    </row>
    <row r="52" spans="1:11" ht="11.25" customHeight="1" outlineLevel="7">
      <c r="A52" s="3343" t="s">
        <v>1440</v>
      </c>
      <c r="B52" s="3343"/>
      <c r="C52" s="3343"/>
      <c r="D52" s="3343"/>
      <c r="E52" s="2555" t="s">
        <v>4065</v>
      </c>
      <c r="F52" s="2553">
        <v>-1E-3</v>
      </c>
      <c r="G52" s="2553">
        <v>-3.0000000000000001E-3</v>
      </c>
      <c r="H52" s="2553">
        <v>-1.7999999999999999E-2</v>
      </c>
      <c r="I52" s="2553">
        <v>-4.0000000000000001E-3</v>
      </c>
      <c r="J52" s="2553">
        <v>-2E-3</v>
      </c>
      <c r="K52" s="2553">
        <v>-2.8000000000000001E-2</v>
      </c>
    </row>
    <row r="53" spans="1:11" ht="11.25" customHeight="1" outlineLevel="7">
      <c r="A53" s="3338" t="s">
        <v>4066</v>
      </c>
      <c r="B53" s="3338"/>
      <c r="C53" s="3338"/>
      <c r="D53" s="3338"/>
      <c r="E53" s="2555" t="s">
        <v>4067</v>
      </c>
      <c r="F53" s="2556"/>
      <c r="G53" s="2556"/>
      <c r="H53" s="2556"/>
      <c r="I53" s="2556"/>
      <c r="J53" s="2553">
        <v>-8.1</v>
      </c>
      <c r="K53" s="2553">
        <v>-8.1</v>
      </c>
    </row>
    <row r="54" spans="1:11" ht="21.75" customHeight="1" outlineLevel="7">
      <c r="A54" s="3343" t="s">
        <v>1437</v>
      </c>
      <c r="B54" s="3343"/>
      <c r="C54" s="3343"/>
      <c r="D54" s="3343"/>
      <c r="E54" s="2555" t="s">
        <v>4068</v>
      </c>
      <c r="F54" s="2556"/>
      <c r="G54" s="2556"/>
      <c r="H54" s="2556"/>
      <c r="I54" s="2556"/>
      <c r="J54" s="2553">
        <v>-8.1</v>
      </c>
      <c r="K54" s="2553">
        <v>-8.1</v>
      </c>
    </row>
    <row r="55" spans="1:11" ht="11.25" customHeight="1" outlineLevel="6">
      <c r="A55" s="3337" t="s">
        <v>4069</v>
      </c>
      <c r="B55" s="3337"/>
      <c r="C55" s="3337"/>
      <c r="D55" s="3337"/>
      <c r="E55" s="2555" t="s">
        <v>4070</v>
      </c>
      <c r="F55" s="2556"/>
      <c r="G55" s="2556"/>
      <c r="H55" s="2553">
        <v>-0.38500000000000001</v>
      </c>
      <c r="I55" s="2556"/>
      <c r="J55" s="2556"/>
      <c r="K55" s="2553">
        <v>-0.38500000000000001</v>
      </c>
    </row>
    <row r="56" spans="1:11" ht="11.25" customHeight="1" outlineLevel="7">
      <c r="A56" s="3338" t="s">
        <v>4071</v>
      </c>
      <c r="B56" s="3338"/>
      <c r="C56" s="3338"/>
      <c r="D56" s="3338"/>
      <c r="E56" s="2555" t="s">
        <v>4072</v>
      </c>
      <c r="F56" s="2556"/>
      <c r="G56" s="2556"/>
      <c r="H56" s="2553">
        <v>-0.38500000000000001</v>
      </c>
      <c r="I56" s="2556"/>
      <c r="J56" s="2556"/>
      <c r="K56" s="2553">
        <v>-0.38500000000000001</v>
      </c>
    </row>
    <row r="57" spans="1:11" ht="11.25" customHeight="1" outlineLevel="5">
      <c r="A57" s="3336" t="s">
        <v>4073</v>
      </c>
      <c r="B57" s="3336"/>
      <c r="C57" s="3336"/>
      <c r="D57" s="3336"/>
      <c r="E57" s="2560" t="s">
        <v>4074</v>
      </c>
      <c r="F57" s="2561">
        <v>-257.952</v>
      </c>
      <c r="G57" s="2561">
        <v>-365.464</v>
      </c>
      <c r="H57" s="2561">
        <v>-412.488</v>
      </c>
      <c r="I57" s="2561">
        <v>-362.67200000000003</v>
      </c>
      <c r="J57" s="2561">
        <v>-365.75299999999999</v>
      </c>
      <c r="K57" s="2562">
        <v>-1764.329</v>
      </c>
    </row>
    <row r="58" spans="1:11" ht="11.25" hidden="1" customHeight="1" outlineLevel="6">
      <c r="A58" s="3337" t="s">
        <v>1364</v>
      </c>
      <c r="B58" s="3337"/>
      <c r="C58" s="3337"/>
      <c r="D58" s="3337"/>
      <c r="E58" s="2555" t="s">
        <v>24</v>
      </c>
      <c r="F58" s="2553">
        <v>-192.108</v>
      </c>
      <c r="G58" s="2553">
        <v>-217.292</v>
      </c>
      <c r="H58" s="2553">
        <v>-227.24299999999999</v>
      </c>
      <c r="I58" s="2553">
        <v>-200.864</v>
      </c>
      <c r="J58" s="2553">
        <v>-205.36799999999999</v>
      </c>
      <c r="K58" s="2554">
        <v>-1042.875</v>
      </c>
    </row>
    <row r="59" spans="1:11" ht="11.25" hidden="1" customHeight="1" outlineLevel="6">
      <c r="A59" s="3337" t="s">
        <v>4075</v>
      </c>
      <c r="B59" s="3337"/>
      <c r="C59" s="3337"/>
      <c r="D59" s="3337"/>
      <c r="E59" s="2555" t="s">
        <v>4076</v>
      </c>
      <c r="F59" s="2553">
        <v>-20.14</v>
      </c>
      <c r="G59" s="2553">
        <v>-22.853999999999999</v>
      </c>
      <c r="H59" s="2553">
        <v>-26.992999999999999</v>
      </c>
      <c r="I59" s="2553">
        <v>-22.616</v>
      </c>
      <c r="J59" s="2553">
        <v>-26.736999999999998</v>
      </c>
      <c r="K59" s="2553">
        <v>-119.34</v>
      </c>
    </row>
    <row r="60" spans="1:11" ht="11.25" hidden="1" customHeight="1" outlineLevel="6">
      <c r="A60" s="3337" t="s">
        <v>4077</v>
      </c>
      <c r="B60" s="3337"/>
      <c r="C60" s="3337"/>
      <c r="D60" s="3337"/>
      <c r="E60" s="2555" t="s">
        <v>4078</v>
      </c>
      <c r="F60" s="2553">
        <v>-16.815999999999999</v>
      </c>
      <c r="G60" s="2553">
        <v>-19.372</v>
      </c>
      <c r="H60" s="2553">
        <v>-20.550999999999998</v>
      </c>
      <c r="I60" s="2553">
        <v>-19.242000000000001</v>
      </c>
      <c r="J60" s="2553">
        <v>-19.751999999999999</v>
      </c>
      <c r="K60" s="2553">
        <v>-95.733000000000004</v>
      </c>
    </row>
    <row r="61" spans="1:11" ht="11.25" hidden="1" customHeight="1" outlineLevel="6">
      <c r="A61" s="3337" t="s">
        <v>4079</v>
      </c>
      <c r="B61" s="3337"/>
      <c r="C61" s="3337"/>
      <c r="D61" s="3337"/>
      <c r="E61" s="2555" t="s">
        <v>4080</v>
      </c>
      <c r="F61" s="2556"/>
      <c r="G61" s="2553">
        <v>-1.363</v>
      </c>
      <c r="H61" s="2556"/>
      <c r="I61" s="2553">
        <v>-3.661</v>
      </c>
      <c r="J61" s="2556"/>
      <c r="K61" s="2553">
        <v>-5.024</v>
      </c>
    </row>
    <row r="62" spans="1:11" ht="11.25" hidden="1" customHeight="1" outlineLevel="6">
      <c r="A62" s="3337" t="s">
        <v>4081</v>
      </c>
      <c r="B62" s="3337"/>
      <c r="C62" s="3337"/>
      <c r="D62" s="3337"/>
      <c r="E62" s="2555" t="s">
        <v>4082</v>
      </c>
      <c r="F62" s="2556"/>
      <c r="G62" s="2553">
        <v>-76.578000000000003</v>
      </c>
      <c r="H62" s="2553">
        <v>-80.745000000000005</v>
      </c>
      <c r="I62" s="2553">
        <v>-87.113</v>
      </c>
      <c r="J62" s="2553">
        <v>-83.302999999999997</v>
      </c>
      <c r="K62" s="2553">
        <v>-327.74</v>
      </c>
    </row>
    <row r="63" spans="1:11" ht="11.25" hidden="1" customHeight="1" outlineLevel="6">
      <c r="A63" s="3337" t="s">
        <v>1338</v>
      </c>
      <c r="B63" s="3337"/>
      <c r="C63" s="3337"/>
      <c r="D63" s="3337"/>
      <c r="E63" s="2555" t="s">
        <v>4083</v>
      </c>
      <c r="F63" s="2553">
        <v>-2.9000000000000001E-2</v>
      </c>
      <c r="G63" s="2553">
        <v>-5.0999999999999997E-2</v>
      </c>
      <c r="H63" s="2553">
        <v>-7.0000000000000007E-2</v>
      </c>
      <c r="I63" s="2553">
        <v>-7.5999999999999998E-2</v>
      </c>
      <c r="J63" s="2553">
        <v>-0.113</v>
      </c>
      <c r="K63" s="2553">
        <v>-0.34</v>
      </c>
    </row>
    <row r="64" spans="1:11" ht="11.25" hidden="1" customHeight="1" outlineLevel="6">
      <c r="A64" s="3337" t="s">
        <v>1363</v>
      </c>
      <c r="B64" s="3337"/>
      <c r="C64" s="3337"/>
      <c r="D64" s="3337"/>
      <c r="E64" s="2555" t="s">
        <v>4084</v>
      </c>
      <c r="F64" s="2553">
        <v>-2.3E-2</v>
      </c>
      <c r="G64" s="2553">
        <v>-2.1000000000000001E-2</v>
      </c>
      <c r="H64" s="2553">
        <v>-6.3E-2</v>
      </c>
      <c r="I64" s="2553">
        <v>-0.159</v>
      </c>
      <c r="J64" s="2553">
        <v>-4.5999999999999999E-2</v>
      </c>
      <c r="K64" s="2553">
        <v>-0.313</v>
      </c>
    </row>
    <row r="65" spans="1:11" ht="11.25" hidden="1" customHeight="1" outlineLevel="6">
      <c r="A65" s="3337" t="s">
        <v>4085</v>
      </c>
      <c r="B65" s="3337"/>
      <c r="C65" s="3337"/>
      <c r="D65" s="3337"/>
      <c r="E65" s="2555" t="s">
        <v>4086</v>
      </c>
      <c r="F65" s="2553">
        <v>-28.837</v>
      </c>
      <c r="G65" s="2553">
        <v>-27.931999999999999</v>
      </c>
      <c r="H65" s="2553">
        <v>-56.822000000000003</v>
      </c>
      <c r="I65" s="2553">
        <v>-28.940999999999999</v>
      </c>
      <c r="J65" s="2553">
        <v>-30.433</v>
      </c>
      <c r="K65" s="2553">
        <v>-172.964</v>
      </c>
    </row>
    <row r="66" spans="1:11" ht="11.25" hidden="1" customHeight="1" outlineLevel="7">
      <c r="A66" s="3338" t="s">
        <v>4087</v>
      </c>
      <c r="B66" s="3338"/>
      <c r="C66" s="3338"/>
      <c r="D66" s="3338"/>
      <c r="E66" s="2555" t="s">
        <v>4088</v>
      </c>
      <c r="F66" s="2553">
        <v>-28.837</v>
      </c>
      <c r="G66" s="2553">
        <v>-27.931999999999999</v>
      </c>
      <c r="H66" s="2553">
        <v>-31.507000000000001</v>
      </c>
      <c r="I66" s="2553">
        <v>-28.940999999999999</v>
      </c>
      <c r="J66" s="2553">
        <v>-30.433</v>
      </c>
      <c r="K66" s="2553">
        <v>-147.65</v>
      </c>
    </row>
    <row r="67" spans="1:11" ht="21.75" hidden="1" customHeight="1" outlineLevel="7">
      <c r="A67" s="3338" t="s">
        <v>4089</v>
      </c>
      <c r="B67" s="3338"/>
      <c r="C67" s="3338"/>
      <c r="D67" s="3338"/>
      <c r="E67" s="2555" t="s">
        <v>4090</v>
      </c>
      <c r="F67" s="2556"/>
      <c r="G67" s="2556"/>
      <c r="H67" s="2553">
        <v>-25.315000000000001</v>
      </c>
      <c r="I67" s="2556"/>
      <c r="J67" s="2556"/>
      <c r="K67" s="2553">
        <v>-25.315000000000001</v>
      </c>
    </row>
    <row r="68" spans="1:11" ht="11.25" customHeight="1" outlineLevel="5" collapsed="1">
      <c r="A68" s="3345" t="s">
        <v>1362</v>
      </c>
      <c r="B68" s="3345"/>
      <c r="C68" s="3345"/>
      <c r="D68" s="3345"/>
      <c r="E68" s="2555" t="s">
        <v>4091</v>
      </c>
      <c r="F68" s="2553">
        <v>-1.3029999999999999</v>
      </c>
      <c r="G68" s="2553">
        <v>-6.7350000000000003</v>
      </c>
      <c r="H68" s="2553">
        <v>-1.6879999999999999</v>
      </c>
      <c r="I68" s="2553">
        <v>-5.1369999999999996</v>
      </c>
      <c r="J68" s="2553">
        <v>-8.5999999999999993E-2</v>
      </c>
      <c r="K68" s="2553">
        <v>-14.948</v>
      </c>
    </row>
    <row r="69" spans="1:11" ht="11.25" customHeight="1" outlineLevel="5">
      <c r="A69" s="3336" t="s">
        <v>4092</v>
      </c>
      <c r="B69" s="3336"/>
      <c r="C69" s="3336"/>
      <c r="D69" s="3336"/>
      <c r="E69" s="2560" t="s">
        <v>4093</v>
      </c>
      <c r="F69" s="2561">
        <v>-78.412000000000006</v>
      </c>
      <c r="G69" s="2561">
        <v>-111.10299999999999</v>
      </c>
      <c r="H69" s="2561">
        <v>-123.645</v>
      </c>
      <c r="I69" s="2561">
        <v>-109.511</v>
      </c>
      <c r="J69" s="2561">
        <v>-110.464</v>
      </c>
      <c r="K69" s="2561">
        <v>-533.13599999999997</v>
      </c>
    </row>
    <row r="70" spans="1:11" ht="28.5" hidden="1" customHeight="1" outlineLevel="6">
      <c r="A70" s="3337" t="s">
        <v>4094</v>
      </c>
      <c r="B70" s="3337"/>
      <c r="C70" s="3337"/>
      <c r="D70" s="3337"/>
      <c r="E70" s="2555" t="s">
        <v>4095</v>
      </c>
      <c r="F70" s="2553">
        <v>-56.747</v>
      </c>
      <c r="G70" s="2553">
        <v>-80.406000000000006</v>
      </c>
      <c r="H70" s="2553">
        <v>-90.751999999999995</v>
      </c>
      <c r="I70" s="2553">
        <v>-79.778999999999996</v>
      </c>
      <c r="J70" s="2553">
        <v>-80.474000000000004</v>
      </c>
      <c r="K70" s="2553">
        <v>-388.15800000000002</v>
      </c>
    </row>
    <row r="71" spans="1:11" hidden="1" outlineLevel="7">
      <c r="A71" s="3338" t="s">
        <v>4096</v>
      </c>
      <c r="B71" s="3338"/>
      <c r="C71" s="3338"/>
      <c r="D71" s="3338"/>
      <c r="E71" s="2555" t="s">
        <v>4097</v>
      </c>
      <c r="F71" s="2553">
        <v>-50.402000000000001</v>
      </c>
      <c r="G71" s="2553">
        <v>-74.260000000000005</v>
      </c>
      <c r="H71" s="2553">
        <v>-78.251000000000005</v>
      </c>
      <c r="I71" s="2553">
        <v>-73.412000000000006</v>
      </c>
      <c r="J71" s="2553">
        <v>-73.778999999999996</v>
      </c>
      <c r="K71" s="2553">
        <v>-350.10399999999998</v>
      </c>
    </row>
    <row r="72" spans="1:11" hidden="1" outlineLevel="7">
      <c r="A72" s="3338" t="s">
        <v>4098</v>
      </c>
      <c r="B72" s="3338"/>
      <c r="C72" s="3338"/>
      <c r="D72" s="3338"/>
      <c r="E72" s="2555" t="s">
        <v>4099</v>
      </c>
      <c r="F72" s="2556"/>
      <c r="G72" s="2556"/>
      <c r="H72" s="2553">
        <v>-5.569</v>
      </c>
      <c r="I72" s="2556"/>
      <c r="J72" s="2556"/>
      <c r="K72" s="2553">
        <v>-5.569</v>
      </c>
    </row>
    <row r="73" spans="1:11" hidden="1" outlineLevel="7">
      <c r="A73" s="3338" t="s">
        <v>4100</v>
      </c>
      <c r="B73" s="3338"/>
      <c r="C73" s="3338"/>
      <c r="D73" s="3338"/>
      <c r="E73" s="2555" t="s">
        <v>4101</v>
      </c>
      <c r="F73" s="2553">
        <v>-6.3440000000000003</v>
      </c>
      <c r="G73" s="2553">
        <v>-6.1459999999999999</v>
      </c>
      <c r="H73" s="2553">
        <v>-6.9320000000000004</v>
      </c>
      <c r="I73" s="2553">
        <v>-6.367</v>
      </c>
      <c r="J73" s="2553">
        <v>-6.6950000000000003</v>
      </c>
      <c r="K73" s="2553">
        <v>-32.484999999999999</v>
      </c>
    </row>
    <row r="74" spans="1:11" hidden="1" outlineLevel="6" collapsed="1">
      <c r="A74" s="3337" t="s">
        <v>4102</v>
      </c>
      <c r="B74" s="3337"/>
      <c r="C74" s="3337"/>
      <c r="D74" s="3337"/>
      <c r="E74" s="2555" t="s">
        <v>4103</v>
      </c>
      <c r="F74" s="2553">
        <v>-13.154999999999999</v>
      </c>
      <c r="G74" s="2553">
        <v>-18.638999999999999</v>
      </c>
      <c r="H74" s="2553">
        <v>-21.038</v>
      </c>
      <c r="I74" s="2553">
        <v>-18.494</v>
      </c>
      <c r="J74" s="2553">
        <v>-18.655000000000001</v>
      </c>
      <c r="K74" s="2553">
        <v>-89.981999999999999</v>
      </c>
    </row>
    <row r="75" spans="1:11" hidden="1" outlineLevel="7">
      <c r="A75" s="3338" t="s">
        <v>1391</v>
      </c>
      <c r="B75" s="3338"/>
      <c r="C75" s="3338"/>
      <c r="D75" s="3338"/>
      <c r="E75" s="2555" t="s">
        <v>4104</v>
      </c>
      <c r="F75" s="2553">
        <v>-11.683999999999999</v>
      </c>
      <c r="G75" s="2553">
        <v>-17.215</v>
      </c>
      <c r="H75" s="2553">
        <v>-18.14</v>
      </c>
      <c r="I75" s="2553">
        <v>-17.018000000000001</v>
      </c>
      <c r="J75" s="2553">
        <v>-17.103000000000002</v>
      </c>
      <c r="K75" s="2553">
        <v>-81.16</v>
      </c>
    </row>
    <row r="76" spans="1:11" hidden="1" outlineLevel="7">
      <c r="A76" s="3338" t="s">
        <v>3808</v>
      </c>
      <c r="B76" s="3338"/>
      <c r="C76" s="3338"/>
      <c r="D76" s="3338"/>
      <c r="E76" s="2555" t="s">
        <v>4105</v>
      </c>
      <c r="F76" s="2556"/>
      <c r="G76" s="2556"/>
      <c r="H76" s="2553">
        <v>-1.2909999999999999</v>
      </c>
      <c r="I76" s="2556"/>
      <c r="J76" s="2556"/>
      <c r="K76" s="2553">
        <v>-1.2909999999999999</v>
      </c>
    </row>
    <row r="77" spans="1:11" hidden="1" outlineLevel="7">
      <c r="A77" s="3338" t="s">
        <v>3810</v>
      </c>
      <c r="B77" s="3338"/>
      <c r="C77" s="3338"/>
      <c r="D77" s="3338"/>
      <c r="E77" s="2555" t="s">
        <v>4106</v>
      </c>
      <c r="F77" s="2553">
        <v>-1.4710000000000001</v>
      </c>
      <c r="G77" s="2553">
        <v>-1.425</v>
      </c>
      <c r="H77" s="2553">
        <v>-1.607</v>
      </c>
      <c r="I77" s="2553">
        <v>-1.476</v>
      </c>
      <c r="J77" s="2553">
        <v>-1.552</v>
      </c>
      <c r="K77" s="2553">
        <v>-7.53</v>
      </c>
    </row>
    <row r="78" spans="1:11" hidden="1" outlineLevel="6" collapsed="1">
      <c r="A78" s="3337" t="s">
        <v>4107</v>
      </c>
      <c r="B78" s="3337"/>
      <c r="C78" s="3337"/>
      <c r="D78" s="3337"/>
      <c r="E78" s="2555" t="s">
        <v>4108</v>
      </c>
      <c r="F78" s="2553">
        <v>-1.0309999999999999</v>
      </c>
      <c r="G78" s="2553">
        <v>-1.4610000000000001</v>
      </c>
      <c r="H78" s="2553">
        <v>0.105</v>
      </c>
      <c r="I78" s="2553">
        <v>-0.72499999999999998</v>
      </c>
      <c r="J78" s="2553">
        <v>-0.73099999999999998</v>
      </c>
      <c r="K78" s="2553">
        <v>-3.843</v>
      </c>
    </row>
    <row r="79" spans="1:11" hidden="1" outlineLevel="7">
      <c r="A79" s="3338" t="s">
        <v>4109</v>
      </c>
      <c r="B79" s="3338"/>
      <c r="C79" s="3338"/>
      <c r="D79" s="3338"/>
      <c r="E79" s="2555" t="s">
        <v>4110</v>
      </c>
      <c r="F79" s="2553">
        <v>-0.91600000000000004</v>
      </c>
      <c r="G79" s="2553">
        <v>-1.35</v>
      </c>
      <c r="H79" s="2553">
        <v>0.219</v>
      </c>
      <c r="I79" s="2553">
        <v>-0.66700000000000004</v>
      </c>
      <c r="J79" s="2553">
        <v>-0.67</v>
      </c>
      <c r="K79" s="2553">
        <v>-3.3839999999999999</v>
      </c>
    </row>
    <row r="80" spans="1:11" hidden="1" outlineLevel="7">
      <c r="A80" s="3338" t="s">
        <v>1403</v>
      </c>
      <c r="B80" s="3338"/>
      <c r="C80" s="3338"/>
      <c r="D80" s="3338"/>
      <c r="E80" s="2555" t="s">
        <v>4111</v>
      </c>
      <c r="F80" s="2556"/>
      <c r="G80" s="2556"/>
      <c r="H80" s="2553">
        <v>-5.0999999999999997E-2</v>
      </c>
      <c r="I80" s="2556"/>
      <c r="J80" s="2556"/>
      <c r="K80" s="2553">
        <v>-5.0999999999999997E-2</v>
      </c>
    </row>
    <row r="81" spans="1:11" hidden="1" outlineLevel="7">
      <c r="A81" s="3338" t="s">
        <v>1405</v>
      </c>
      <c r="B81" s="3338"/>
      <c r="C81" s="3338"/>
      <c r="D81" s="3338"/>
      <c r="E81" s="2555" t="s">
        <v>4112</v>
      </c>
      <c r="F81" s="2553">
        <v>-0.115</v>
      </c>
      <c r="G81" s="2553">
        <v>-0.112</v>
      </c>
      <c r="H81" s="2553">
        <v>-6.3E-2</v>
      </c>
      <c r="I81" s="2553">
        <v>-5.8000000000000003E-2</v>
      </c>
      <c r="J81" s="2553">
        <v>-6.0999999999999999E-2</v>
      </c>
      <c r="K81" s="2553">
        <v>-0.40799999999999997</v>
      </c>
    </row>
    <row r="82" spans="1:11" hidden="1" outlineLevel="6" collapsed="1">
      <c r="A82" s="3337" t="s">
        <v>4113</v>
      </c>
      <c r="B82" s="3337"/>
      <c r="C82" s="3337"/>
      <c r="D82" s="3337"/>
      <c r="E82" s="2555" t="s">
        <v>4114</v>
      </c>
      <c r="F82" s="2553">
        <v>-7.4790000000000001</v>
      </c>
      <c r="G82" s="2553">
        <v>-10.597</v>
      </c>
      <c r="H82" s="2553">
        <v>-11.96</v>
      </c>
      <c r="I82" s="2553">
        <v>-10.513999999999999</v>
      </c>
      <c r="J82" s="2553">
        <v>-10.603999999999999</v>
      </c>
      <c r="K82" s="2553">
        <v>-51.152999999999999</v>
      </c>
    </row>
    <row r="83" spans="1:11" hidden="1" outlineLevel="7">
      <c r="A83" s="3338" t="s">
        <v>1406</v>
      </c>
      <c r="B83" s="3338"/>
      <c r="C83" s="3338"/>
      <c r="D83" s="3338"/>
      <c r="E83" s="2555" t="s">
        <v>4115</v>
      </c>
      <c r="F83" s="2553">
        <v>-6.6429999999999998</v>
      </c>
      <c r="G83" s="2553">
        <v>-9.7870000000000008</v>
      </c>
      <c r="H83" s="2553">
        <v>-10.311999999999999</v>
      </c>
      <c r="I83" s="2553">
        <v>-9.6739999999999995</v>
      </c>
      <c r="J83" s="2553">
        <v>-9.7210000000000001</v>
      </c>
      <c r="K83" s="2553">
        <v>-46.137</v>
      </c>
    </row>
    <row r="84" spans="1:11" ht="21.75" hidden="1" customHeight="1" outlineLevel="7">
      <c r="A84" s="3338" t="s">
        <v>1408</v>
      </c>
      <c r="B84" s="3338"/>
      <c r="C84" s="3338"/>
      <c r="D84" s="3338"/>
      <c r="E84" s="2555" t="s">
        <v>4116</v>
      </c>
      <c r="F84" s="2556"/>
      <c r="G84" s="2556"/>
      <c r="H84" s="2553">
        <v>-0.73399999999999999</v>
      </c>
      <c r="I84" s="2556"/>
      <c r="J84" s="2556"/>
      <c r="K84" s="2553">
        <v>-0.73399999999999999</v>
      </c>
    </row>
    <row r="85" spans="1:11" ht="21.75" hidden="1" customHeight="1" outlineLevel="7">
      <c r="A85" s="3338" t="s">
        <v>1410</v>
      </c>
      <c r="B85" s="3338"/>
      <c r="C85" s="3338"/>
      <c r="D85" s="3338"/>
      <c r="E85" s="2555" t="s">
        <v>4117</v>
      </c>
      <c r="F85" s="2553">
        <v>-0.83599999999999997</v>
      </c>
      <c r="G85" s="2553">
        <v>-0.81</v>
      </c>
      <c r="H85" s="2553">
        <v>-0.91400000000000003</v>
      </c>
      <c r="I85" s="2553">
        <v>-0.83899999999999997</v>
      </c>
      <c r="J85" s="2553">
        <v>-0.88300000000000001</v>
      </c>
      <c r="K85" s="2553">
        <v>-4.282</v>
      </c>
    </row>
    <row r="86" spans="1:11" ht="11.25" customHeight="1" outlineLevel="5" collapsed="1">
      <c r="A86" s="3336" t="s">
        <v>4118</v>
      </c>
      <c r="B86" s="3336"/>
      <c r="C86" s="3336"/>
      <c r="D86" s="3336"/>
      <c r="E86" s="2560" t="s">
        <v>4119</v>
      </c>
      <c r="F86" s="2561">
        <v>-2.298</v>
      </c>
      <c r="G86" s="2561">
        <v>-3.22</v>
      </c>
      <c r="H86" s="2561">
        <v>-3.6560000000000001</v>
      </c>
      <c r="I86" s="2561">
        <v>-4.5419999999999998</v>
      </c>
      <c r="J86" s="2561">
        <v>-4.4550000000000001</v>
      </c>
      <c r="K86" s="2561">
        <v>-18.170999999999999</v>
      </c>
    </row>
    <row r="87" spans="1:11" ht="11.25" customHeight="1" outlineLevel="6">
      <c r="A87" s="3337" t="s">
        <v>1319</v>
      </c>
      <c r="B87" s="3337"/>
      <c r="C87" s="3337"/>
      <c r="D87" s="3337"/>
      <c r="E87" s="2555" t="s">
        <v>4120</v>
      </c>
      <c r="F87" s="2553">
        <v>-8.9999999999999993E-3</v>
      </c>
      <c r="G87" s="2553">
        <v>-1.4999999999999999E-2</v>
      </c>
      <c r="H87" s="2553">
        <v>-1.7999999999999999E-2</v>
      </c>
      <c r="I87" s="2553">
        <v>-2.5000000000000001E-2</v>
      </c>
      <c r="J87" s="2553">
        <v>-4.1000000000000002E-2</v>
      </c>
      <c r="K87" s="2553">
        <v>-0.108</v>
      </c>
    </row>
    <row r="88" spans="1:11" ht="11.25" customHeight="1" outlineLevel="6">
      <c r="A88" s="3337" t="s">
        <v>1320</v>
      </c>
      <c r="B88" s="3337"/>
      <c r="C88" s="3337"/>
      <c r="D88" s="3337"/>
      <c r="E88" s="2555" t="s">
        <v>4121</v>
      </c>
      <c r="F88" s="2553">
        <v>-2.2890000000000001</v>
      </c>
      <c r="G88" s="2553">
        <v>-3.2040000000000002</v>
      </c>
      <c r="H88" s="2553">
        <v>-3.6379999999999999</v>
      </c>
      <c r="I88" s="2553">
        <v>-4.5170000000000003</v>
      </c>
      <c r="J88" s="2553">
        <v>-4.4139999999999997</v>
      </c>
      <c r="K88" s="2553">
        <v>-18.062999999999999</v>
      </c>
    </row>
    <row r="89" spans="1:11" ht="11.25" customHeight="1" outlineLevel="5">
      <c r="A89" s="3336" t="s">
        <v>4122</v>
      </c>
      <c r="B89" s="3336"/>
      <c r="C89" s="3336"/>
      <c r="D89" s="3336"/>
      <c r="E89" s="2560" t="s">
        <v>4123</v>
      </c>
      <c r="F89" s="2561">
        <v>-1.631</v>
      </c>
      <c r="G89" s="2561">
        <v>-9.2219999999999995</v>
      </c>
      <c r="H89" s="2561">
        <v>-36.935000000000002</v>
      </c>
      <c r="I89" s="2561">
        <v>-13.606</v>
      </c>
      <c r="J89" s="2561">
        <v>-14.629</v>
      </c>
      <c r="K89" s="2561">
        <v>-76.022999999999996</v>
      </c>
    </row>
    <row r="90" spans="1:11" ht="11.25" customHeight="1" outlineLevel="6">
      <c r="A90" s="3337" t="s">
        <v>4124</v>
      </c>
      <c r="B90" s="3337"/>
      <c r="C90" s="3337"/>
      <c r="D90" s="3337"/>
      <c r="E90" s="2555" t="s">
        <v>4125</v>
      </c>
      <c r="F90" s="2556"/>
      <c r="G90" s="2556"/>
      <c r="H90" s="2553">
        <v>-22.364999999999998</v>
      </c>
      <c r="I90" s="2556"/>
      <c r="J90" s="2556"/>
      <c r="K90" s="2553">
        <v>-22.364999999999998</v>
      </c>
    </row>
    <row r="91" spans="1:11" ht="11.25" customHeight="1" outlineLevel="7">
      <c r="A91" s="3338" t="s">
        <v>1460</v>
      </c>
      <c r="B91" s="3338"/>
      <c r="C91" s="3338"/>
      <c r="D91" s="3338"/>
      <c r="E91" s="2555" t="s">
        <v>4126</v>
      </c>
      <c r="F91" s="2556"/>
      <c r="G91" s="2556"/>
      <c r="H91" s="2553">
        <v>-22.288</v>
      </c>
      <c r="I91" s="2556"/>
      <c r="J91" s="2556"/>
      <c r="K91" s="2553">
        <v>-22.288</v>
      </c>
    </row>
    <row r="92" spans="1:11" ht="11.25" customHeight="1" outlineLevel="7">
      <c r="A92" s="3338" t="s">
        <v>1428</v>
      </c>
      <c r="B92" s="3338"/>
      <c r="C92" s="3338"/>
      <c r="D92" s="3338"/>
      <c r="E92" s="2555" t="s">
        <v>4127</v>
      </c>
      <c r="F92" s="2556"/>
      <c r="G92" s="2556"/>
      <c r="H92" s="2553">
        <v>-7.6999999999999999E-2</v>
      </c>
      <c r="I92" s="2556"/>
      <c r="J92" s="2556"/>
      <c r="K92" s="2553">
        <v>-7.6999999999999999E-2</v>
      </c>
    </row>
    <row r="93" spans="1:11" ht="11.25" customHeight="1" outlineLevel="6">
      <c r="A93" s="3344" t="s">
        <v>4128</v>
      </c>
      <c r="B93" s="3344"/>
      <c r="C93" s="3344"/>
      <c r="D93" s="3344"/>
      <c r="E93" s="2560" t="s">
        <v>4129</v>
      </c>
      <c r="F93" s="2561">
        <v>-1.214</v>
      </c>
      <c r="G93" s="2561">
        <v>-2.4910000000000001</v>
      </c>
      <c r="H93" s="2561">
        <v>-2.99</v>
      </c>
      <c r="I93" s="2561">
        <v>-3.7650000000000001</v>
      </c>
      <c r="J93" s="2561">
        <v>-5.9109999999999996</v>
      </c>
      <c r="K93" s="2561">
        <v>-16.372</v>
      </c>
    </row>
    <row r="94" spans="1:11" ht="11.25" customHeight="1" outlineLevel="7">
      <c r="A94" s="3346" t="s">
        <v>4130</v>
      </c>
      <c r="B94" s="3346"/>
      <c r="C94" s="3346"/>
      <c r="D94" s="3346"/>
      <c r="E94" s="2560" t="s">
        <v>4131</v>
      </c>
      <c r="F94" s="2561">
        <v>-0.21199999999999999</v>
      </c>
      <c r="G94" s="2561">
        <v>-0.36099999999999999</v>
      </c>
      <c r="H94" s="2561">
        <v>-0.434</v>
      </c>
      <c r="I94" s="2561">
        <v>-0.61699999999999999</v>
      </c>
      <c r="J94" s="2561">
        <v>-0.98599999999999999</v>
      </c>
      <c r="K94" s="2561">
        <v>-2.6110000000000002</v>
      </c>
    </row>
    <row r="95" spans="1:11" ht="11.25" customHeight="1" outlineLevel="7">
      <c r="A95" s="3343" t="s">
        <v>4132</v>
      </c>
      <c r="B95" s="3343"/>
      <c r="C95" s="3343"/>
      <c r="D95" s="3343"/>
      <c r="E95" s="2555" t="s">
        <v>4133</v>
      </c>
      <c r="F95" s="2553">
        <v>-2.1999999999999999E-2</v>
      </c>
      <c r="G95" s="2553">
        <v>-2.8000000000000001E-2</v>
      </c>
      <c r="H95" s="2553">
        <v>-4.8000000000000001E-2</v>
      </c>
      <c r="I95" s="2553">
        <v>-6.0999999999999999E-2</v>
      </c>
      <c r="J95" s="2553">
        <v>-0.106</v>
      </c>
      <c r="K95" s="2553">
        <v>-0.26500000000000001</v>
      </c>
    </row>
    <row r="96" spans="1:11" ht="11.25" customHeight="1" outlineLevel="7">
      <c r="A96" s="3343" t="s">
        <v>4134</v>
      </c>
      <c r="B96" s="3343"/>
      <c r="C96" s="3343"/>
      <c r="D96" s="3343"/>
      <c r="E96" s="2555" t="s">
        <v>4135</v>
      </c>
      <c r="F96" s="2553">
        <v>-2.5999999999999999E-2</v>
      </c>
      <c r="G96" s="2553">
        <v>-4.5999999999999999E-2</v>
      </c>
      <c r="H96" s="2553">
        <v>-5.5E-2</v>
      </c>
      <c r="I96" s="2553">
        <v>-7.4999999999999997E-2</v>
      </c>
      <c r="J96" s="2553">
        <v>-0.122</v>
      </c>
      <c r="K96" s="2553">
        <v>-0.32400000000000001</v>
      </c>
    </row>
    <row r="97" spans="1:11" ht="11.25" customHeight="1" outlineLevel="7">
      <c r="A97" s="3343" t="s">
        <v>1452</v>
      </c>
      <c r="B97" s="3343"/>
      <c r="C97" s="3343"/>
      <c r="D97" s="3343"/>
      <c r="E97" s="2555" t="s">
        <v>4136</v>
      </c>
      <c r="F97" s="2553">
        <v>-7.0000000000000001E-3</v>
      </c>
      <c r="G97" s="2556"/>
      <c r="H97" s="2556"/>
      <c r="I97" s="2553">
        <v>-2.1000000000000001E-2</v>
      </c>
      <c r="J97" s="2556"/>
      <c r="K97" s="2553">
        <v>-2.8000000000000001E-2</v>
      </c>
    </row>
    <row r="98" spans="1:11" ht="11.25" customHeight="1" outlineLevel="7">
      <c r="A98" s="3343" t="s">
        <v>1449</v>
      </c>
      <c r="B98" s="3343"/>
      <c r="C98" s="3343"/>
      <c r="D98" s="3343"/>
      <c r="E98" s="2555" t="s">
        <v>4137</v>
      </c>
      <c r="F98" s="2553">
        <v>-2E-3</v>
      </c>
      <c r="G98" s="2553">
        <v>-4.0000000000000001E-3</v>
      </c>
      <c r="H98" s="2553">
        <v>-4.0000000000000001E-3</v>
      </c>
      <c r="I98" s="2553">
        <v>-6.0000000000000001E-3</v>
      </c>
      <c r="J98" s="2553">
        <v>-0.01</v>
      </c>
      <c r="K98" s="2553">
        <v>-2.5999999999999999E-2</v>
      </c>
    </row>
    <row r="99" spans="1:11" ht="11.25" customHeight="1" outlineLevel="7">
      <c r="A99" s="3343" t="s">
        <v>1453</v>
      </c>
      <c r="B99" s="3343"/>
      <c r="C99" s="3343"/>
      <c r="D99" s="3343"/>
      <c r="E99" s="2555" t="s">
        <v>4138</v>
      </c>
      <c r="F99" s="2556"/>
      <c r="G99" s="2553">
        <v>-1E-3</v>
      </c>
      <c r="H99" s="2553">
        <v>-1E-3</v>
      </c>
      <c r="I99" s="2556"/>
      <c r="J99" s="2553">
        <v>-2E-3</v>
      </c>
      <c r="K99" s="2553">
        <v>-3.0000000000000001E-3</v>
      </c>
    </row>
    <row r="100" spans="1:11" ht="11.25" customHeight="1" outlineLevel="7">
      <c r="A100" s="3343" t="s">
        <v>1447</v>
      </c>
      <c r="B100" s="3343"/>
      <c r="C100" s="3343"/>
      <c r="D100" s="3343"/>
      <c r="E100" s="2555" t="s">
        <v>4139</v>
      </c>
      <c r="F100" s="2553">
        <v>-0.11799999999999999</v>
      </c>
      <c r="G100" s="2553">
        <v>-0.216</v>
      </c>
      <c r="H100" s="2553">
        <v>-0.25</v>
      </c>
      <c r="I100" s="2553">
        <v>-0.34799999999999998</v>
      </c>
      <c r="J100" s="2553">
        <v>-0.57199999999999995</v>
      </c>
      <c r="K100" s="2553">
        <v>-1.504</v>
      </c>
    </row>
    <row r="101" spans="1:11" ht="11.25" customHeight="1" outlineLevel="7">
      <c r="A101" s="3343" t="s">
        <v>1451</v>
      </c>
      <c r="B101" s="3343"/>
      <c r="C101" s="3343"/>
      <c r="D101" s="3343"/>
      <c r="E101" s="2555" t="s">
        <v>4140</v>
      </c>
      <c r="F101" s="2553">
        <v>-3.6999999999999998E-2</v>
      </c>
      <c r="G101" s="2553">
        <v>-6.6000000000000003E-2</v>
      </c>
      <c r="H101" s="2553">
        <v>-7.5999999999999998E-2</v>
      </c>
      <c r="I101" s="2553">
        <v>-0.106</v>
      </c>
      <c r="J101" s="2553">
        <v>-0.17399999999999999</v>
      </c>
      <c r="K101" s="2553">
        <v>-0.46</v>
      </c>
    </row>
    <row r="102" spans="1:11" ht="11.25" customHeight="1" outlineLevel="7">
      <c r="A102" s="3346" t="s">
        <v>3843</v>
      </c>
      <c r="B102" s="3346"/>
      <c r="C102" s="3346"/>
      <c r="D102" s="3346"/>
      <c r="E102" s="2560" t="s">
        <v>4141</v>
      </c>
      <c r="F102" s="2561">
        <v>-0.13</v>
      </c>
      <c r="G102" s="2561">
        <v>-0.26500000000000001</v>
      </c>
      <c r="H102" s="2561">
        <v>-0.33900000000000002</v>
      </c>
      <c r="I102" s="2561">
        <v>-0.254</v>
      </c>
      <c r="J102" s="2561">
        <v>-9.4E-2</v>
      </c>
      <c r="K102" s="2561">
        <v>-1.0820000000000001</v>
      </c>
    </row>
    <row r="103" spans="1:11" ht="11.25" customHeight="1" outlineLevel="7">
      <c r="A103" s="3343" t="s">
        <v>1422</v>
      </c>
      <c r="B103" s="3343"/>
      <c r="C103" s="3343"/>
      <c r="D103" s="3343"/>
      <c r="E103" s="2555" t="s">
        <v>4142</v>
      </c>
      <c r="F103" s="2553">
        <v>-3.0000000000000001E-3</v>
      </c>
      <c r="G103" s="2553">
        <v>-5.0000000000000001E-3</v>
      </c>
      <c r="H103" s="2553">
        <v>-0.01</v>
      </c>
      <c r="I103" s="2553">
        <v>-8.9999999999999993E-3</v>
      </c>
      <c r="J103" s="2553">
        <v>-1.4E-2</v>
      </c>
      <c r="K103" s="2553">
        <v>-4.1000000000000002E-2</v>
      </c>
    </row>
    <row r="104" spans="1:11" ht="11.25" customHeight="1" outlineLevel="7">
      <c r="A104" s="3343" t="s">
        <v>1419</v>
      </c>
      <c r="B104" s="3343"/>
      <c r="C104" s="3343"/>
      <c r="D104" s="3343"/>
      <c r="E104" s="2555" t="s">
        <v>4143</v>
      </c>
      <c r="F104" s="2553">
        <v>-0.01</v>
      </c>
      <c r="G104" s="2553">
        <v>-1.2E-2</v>
      </c>
      <c r="H104" s="2553">
        <v>-3.5999999999999997E-2</v>
      </c>
      <c r="I104" s="2553">
        <v>-5.7000000000000002E-2</v>
      </c>
      <c r="J104" s="2553">
        <v>-6.0999999999999999E-2</v>
      </c>
      <c r="K104" s="2553">
        <v>-0.17599999999999999</v>
      </c>
    </row>
    <row r="105" spans="1:11" ht="11.25" customHeight="1" outlineLevel="7">
      <c r="A105" s="3343" t="s">
        <v>1420</v>
      </c>
      <c r="B105" s="3343"/>
      <c r="C105" s="3343"/>
      <c r="D105" s="3343"/>
      <c r="E105" s="2555" t="s">
        <v>4144</v>
      </c>
      <c r="F105" s="2553">
        <v>-0.11700000000000001</v>
      </c>
      <c r="G105" s="2553">
        <v>-0.23400000000000001</v>
      </c>
      <c r="H105" s="2553">
        <v>-0.28499999999999998</v>
      </c>
      <c r="I105" s="2553">
        <v>-0.17599999999999999</v>
      </c>
      <c r="J105" s="2553">
        <v>-2E-3</v>
      </c>
      <c r="K105" s="2553">
        <v>-0.81499999999999995</v>
      </c>
    </row>
    <row r="106" spans="1:11" ht="11.25" customHeight="1" outlineLevel="7">
      <c r="A106" s="3343" t="s">
        <v>4145</v>
      </c>
      <c r="B106" s="3343"/>
      <c r="C106" s="3343"/>
      <c r="D106" s="3343"/>
      <c r="E106" s="2555" t="s">
        <v>4146</v>
      </c>
      <c r="F106" s="2556"/>
      <c r="G106" s="2553">
        <v>-1.4E-2</v>
      </c>
      <c r="H106" s="2553">
        <v>-8.0000000000000002E-3</v>
      </c>
      <c r="I106" s="2553">
        <v>-1.0999999999999999E-2</v>
      </c>
      <c r="J106" s="2553">
        <v>-1.7999999999999999E-2</v>
      </c>
      <c r="K106" s="2553">
        <v>-0.05</v>
      </c>
    </row>
    <row r="107" spans="1:11" ht="11.25" customHeight="1" outlineLevel="7">
      <c r="A107" s="3346" t="s">
        <v>4147</v>
      </c>
      <c r="B107" s="3346"/>
      <c r="C107" s="3346"/>
      <c r="D107" s="3346"/>
      <c r="E107" s="2560" t="s">
        <v>4148</v>
      </c>
      <c r="F107" s="2563"/>
      <c r="G107" s="2561">
        <v>-0.27700000000000002</v>
      </c>
      <c r="H107" s="2561">
        <v>-5.8999999999999997E-2</v>
      </c>
      <c r="I107" s="2561">
        <v>-0.3</v>
      </c>
      <c r="J107" s="2561">
        <v>-0.28499999999999998</v>
      </c>
      <c r="K107" s="2561">
        <v>-0.92</v>
      </c>
    </row>
    <row r="108" spans="1:11" ht="11.25" customHeight="1" outlineLevel="7">
      <c r="A108" s="3343" t="s">
        <v>1367</v>
      </c>
      <c r="B108" s="3343"/>
      <c r="C108" s="3343"/>
      <c r="D108" s="3343"/>
      <c r="E108" s="2555" t="s">
        <v>4149</v>
      </c>
      <c r="F108" s="2556"/>
      <c r="G108" s="2556"/>
      <c r="H108" s="2556"/>
      <c r="I108" s="2553">
        <v>-1.0999999999999999E-2</v>
      </c>
      <c r="J108" s="2556"/>
      <c r="K108" s="2553">
        <v>-1.0999999999999999E-2</v>
      </c>
    </row>
    <row r="109" spans="1:11" ht="11.25" customHeight="1" outlineLevel="7">
      <c r="A109" s="3343" t="s">
        <v>1365</v>
      </c>
      <c r="B109" s="3343"/>
      <c r="C109" s="3343"/>
      <c r="D109" s="3343"/>
      <c r="E109" s="2555" t="s">
        <v>4150</v>
      </c>
      <c r="F109" s="2556"/>
      <c r="G109" s="2553">
        <v>-0.27700000000000002</v>
      </c>
      <c r="H109" s="2553">
        <v>-3.2000000000000001E-2</v>
      </c>
      <c r="I109" s="2553">
        <v>-0.215</v>
      </c>
      <c r="J109" s="2553">
        <v>-0.27</v>
      </c>
      <c r="K109" s="2553">
        <v>-0.79300000000000004</v>
      </c>
    </row>
    <row r="110" spans="1:11" ht="11.25" customHeight="1" outlineLevel="7">
      <c r="A110" s="3343" t="s">
        <v>1366</v>
      </c>
      <c r="B110" s="3343"/>
      <c r="C110" s="3343"/>
      <c r="D110" s="3343"/>
      <c r="E110" s="2555" t="s">
        <v>4151</v>
      </c>
      <c r="F110" s="2556"/>
      <c r="G110" s="2556"/>
      <c r="H110" s="2553">
        <v>-2.7E-2</v>
      </c>
      <c r="I110" s="2553">
        <v>-7.4999999999999997E-2</v>
      </c>
      <c r="J110" s="2553">
        <v>-1.4999999999999999E-2</v>
      </c>
      <c r="K110" s="2553">
        <v>-0.11600000000000001</v>
      </c>
    </row>
    <row r="111" spans="1:11" ht="11.25" customHeight="1" outlineLevel="7">
      <c r="A111" s="3346" t="s">
        <v>4152</v>
      </c>
      <c r="B111" s="3346"/>
      <c r="C111" s="3346"/>
      <c r="D111" s="3346"/>
      <c r="E111" s="2560" t="s">
        <v>4153</v>
      </c>
      <c r="F111" s="2561">
        <v>-0.44400000000000001</v>
      </c>
      <c r="G111" s="2561">
        <v>-0.82899999999999996</v>
      </c>
      <c r="H111" s="2561">
        <v>-0.91200000000000003</v>
      </c>
      <c r="I111" s="2561">
        <v>-1.3120000000000001</v>
      </c>
      <c r="J111" s="2561">
        <v>-2.2469999999999999</v>
      </c>
      <c r="K111" s="2561">
        <v>-5.7439999999999998</v>
      </c>
    </row>
    <row r="112" spans="1:11" ht="11.25" customHeight="1" outlineLevel="7">
      <c r="A112" s="3343" t="s">
        <v>1415</v>
      </c>
      <c r="B112" s="3343"/>
      <c r="C112" s="3343"/>
      <c r="D112" s="3343"/>
      <c r="E112" s="2555" t="s">
        <v>4154</v>
      </c>
      <c r="F112" s="2553">
        <v>-8.0000000000000002E-3</v>
      </c>
      <c r="G112" s="2553">
        <v>-1.4E-2</v>
      </c>
      <c r="H112" s="2553">
        <v>-1.6E-2</v>
      </c>
      <c r="I112" s="2553">
        <v>-2.5000000000000001E-2</v>
      </c>
      <c r="J112" s="2553">
        <v>-4.2000000000000003E-2</v>
      </c>
      <c r="K112" s="2553">
        <v>-0.106</v>
      </c>
    </row>
    <row r="113" spans="1:11" ht="11.25" customHeight="1" outlineLevel="7">
      <c r="A113" s="3343" t="s">
        <v>1418</v>
      </c>
      <c r="B113" s="3343"/>
      <c r="C113" s="3343"/>
      <c r="D113" s="3343"/>
      <c r="E113" s="2555" t="s">
        <v>4155</v>
      </c>
      <c r="F113" s="2553">
        <v>-1.7000000000000001E-2</v>
      </c>
      <c r="G113" s="2553">
        <v>-2.5999999999999999E-2</v>
      </c>
      <c r="H113" s="2553">
        <v>-3.2000000000000001E-2</v>
      </c>
      <c r="I113" s="2553">
        <v>-9.7000000000000003E-2</v>
      </c>
      <c r="J113" s="2553">
        <v>-0.1</v>
      </c>
      <c r="K113" s="2553">
        <v>-0.27100000000000002</v>
      </c>
    </row>
    <row r="114" spans="1:11" ht="11.25" customHeight="1" outlineLevel="7">
      <c r="A114" s="3343" t="s">
        <v>4156</v>
      </c>
      <c r="B114" s="3343"/>
      <c r="C114" s="3343"/>
      <c r="D114" s="3343"/>
      <c r="E114" s="2555" t="s">
        <v>4157</v>
      </c>
      <c r="F114" s="2553">
        <v>-8.4000000000000005E-2</v>
      </c>
      <c r="G114" s="2553">
        <v>-0.251</v>
      </c>
      <c r="H114" s="2553">
        <v>-0.17299999999999999</v>
      </c>
      <c r="I114" s="2553">
        <v>-0.253</v>
      </c>
      <c r="J114" s="2553">
        <v>-0.51200000000000001</v>
      </c>
      <c r="K114" s="2553">
        <v>-1.2729999999999999</v>
      </c>
    </row>
    <row r="115" spans="1:11" ht="21.75" customHeight="1" outlineLevel="7">
      <c r="A115" s="3343" t="s">
        <v>1417</v>
      </c>
      <c r="B115" s="3343"/>
      <c r="C115" s="3343"/>
      <c r="D115" s="3343"/>
      <c r="E115" s="2555" t="s">
        <v>4158</v>
      </c>
      <c r="F115" s="2553">
        <v>-2.4E-2</v>
      </c>
      <c r="G115" s="2553">
        <v>-3.7999999999999999E-2</v>
      </c>
      <c r="H115" s="2553">
        <v>-5.2999999999999999E-2</v>
      </c>
      <c r="I115" s="2553">
        <v>-0.08</v>
      </c>
      <c r="J115" s="2553">
        <v>-0.14000000000000001</v>
      </c>
      <c r="K115" s="2553">
        <v>-0.33400000000000002</v>
      </c>
    </row>
    <row r="116" spans="1:11" ht="11.25" customHeight="1" outlineLevel="7">
      <c r="A116" s="3343" t="s">
        <v>1416</v>
      </c>
      <c r="B116" s="3343"/>
      <c r="C116" s="3343"/>
      <c r="D116" s="3343"/>
      <c r="E116" s="2555" t="s">
        <v>4159</v>
      </c>
      <c r="F116" s="2553">
        <v>-0.312</v>
      </c>
      <c r="G116" s="2553">
        <v>-0.498</v>
      </c>
      <c r="H116" s="2553">
        <v>-0.63600000000000001</v>
      </c>
      <c r="I116" s="2553">
        <v>-0.85599999999999998</v>
      </c>
      <c r="J116" s="2553">
        <v>-1.452</v>
      </c>
      <c r="K116" s="2553">
        <v>-3.754</v>
      </c>
    </row>
    <row r="117" spans="1:11" ht="11.25" customHeight="1" outlineLevel="7">
      <c r="A117" s="3343" t="s">
        <v>4160</v>
      </c>
      <c r="B117" s="3343"/>
      <c r="C117" s="3343"/>
      <c r="D117" s="3343"/>
      <c r="E117" s="2555" t="s">
        <v>4161</v>
      </c>
      <c r="F117" s="2556"/>
      <c r="G117" s="2553">
        <v>-2E-3</v>
      </c>
      <c r="H117" s="2553">
        <v>-1E-3</v>
      </c>
      <c r="I117" s="2553">
        <v>-1E-3</v>
      </c>
      <c r="J117" s="2553">
        <v>-2E-3</v>
      </c>
      <c r="K117" s="2553">
        <v>-5.0000000000000001E-3</v>
      </c>
    </row>
    <row r="118" spans="1:11" ht="14.25" customHeight="1" outlineLevel="7">
      <c r="A118" s="3346" t="s">
        <v>3812</v>
      </c>
      <c r="B118" s="3346"/>
      <c r="C118" s="3346"/>
      <c r="D118" s="3346"/>
      <c r="E118" s="2560" t="s">
        <v>4162</v>
      </c>
      <c r="F118" s="2561">
        <v>-5.0000000000000001E-3</v>
      </c>
      <c r="G118" s="2563"/>
      <c r="H118" s="2563"/>
      <c r="I118" s="2561">
        <v>-4.1000000000000002E-2</v>
      </c>
      <c r="J118" s="2563"/>
      <c r="K118" s="2561">
        <v>-4.5999999999999999E-2</v>
      </c>
    </row>
    <row r="119" spans="1:11" ht="30.75" customHeight="1" outlineLevel="7">
      <c r="A119" s="3346" t="s">
        <v>1456</v>
      </c>
      <c r="B119" s="3346"/>
      <c r="C119" s="3346"/>
      <c r="D119" s="3346"/>
      <c r="E119" s="2560" t="s">
        <v>4163</v>
      </c>
      <c r="F119" s="2561">
        <v>-0.38200000000000001</v>
      </c>
      <c r="G119" s="2561">
        <v>-0.7</v>
      </c>
      <c r="H119" s="2561">
        <v>-0.81799999999999995</v>
      </c>
      <c r="I119" s="2561">
        <v>-1.127</v>
      </c>
      <c r="J119" s="2561">
        <v>-1.853</v>
      </c>
      <c r="K119" s="2561">
        <v>-4.88</v>
      </c>
    </row>
    <row r="120" spans="1:11" ht="42.75" customHeight="1" outlineLevel="7">
      <c r="A120" s="3346" t="s">
        <v>4164</v>
      </c>
      <c r="B120" s="3346"/>
      <c r="C120" s="3346"/>
      <c r="D120" s="3346"/>
      <c r="E120" s="2560" t="s">
        <v>4165</v>
      </c>
      <c r="F120" s="2561">
        <v>-1.6E-2</v>
      </c>
      <c r="G120" s="2563"/>
      <c r="H120" s="2563"/>
      <c r="I120" s="2563"/>
      <c r="J120" s="2563"/>
      <c r="K120" s="2561">
        <v>-1.6E-2</v>
      </c>
    </row>
    <row r="121" spans="1:11" ht="11.25" customHeight="1" outlineLevel="7">
      <c r="A121" s="3346" t="s">
        <v>1444</v>
      </c>
      <c r="B121" s="3346"/>
      <c r="C121" s="3346"/>
      <c r="D121" s="3346"/>
      <c r="E121" s="2560" t="s">
        <v>4166</v>
      </c>
      <c r="F121" s="2563"/>
      <c r="G121" s="2563"/>
      <c r="H121" s="2563"/>
      <c r="I121" s="2563"/>
      <c r="J121" s="2561">
        <v>-2.8000000000000001E-2</v>
      </c>
      <c r="K121" s="2561">
        <v>-2.8000000000000001E-2</v>
      </c>
    </row>
    <row r="122" spans="1:11" ht="11.25" customHeight="1" outlineLevel="7">
      <c r="A122" s="3346" t="s">
        <v>4167</v>
      </c>
      <c r="B122" s="3346"/>
      <c r="C122" s="3346"/>
      <c r="D122" s="3346"/>
      <c r="E122" s="2560" t="s">
        <v>4168</v>
      </c>
      <c r="F122" s="2561">
        <v>-8.0000000000000002E-3</v>
      </c>
      <c r="G122" s="2561">
        <v>-1.4E-2</v>
      </c>
      <c r="H122" s="2561">
        <v>-7.9000000000000001E-2</v>
      </c>
      <c r="I122" s="2561">
        <v>-1.7000000000000001E-2</v>
      </c>
      <c r="J122" s="2561">
        <v>-4.2000000000000003E-2</v>
      </c>
      <c r="K122" s="2561">
        <v>-0.159</v>
      </c>
    </row>
    <row r="123" spans="1:11" ht="11.25" customHeight="1" outlineLevel="7">
      <c r="A123" s="3343" t="s">
        <v>1454</v>
      </c>
      <c r="B123" s="3343"/>
      <c r="C123" s="3343"/>
      <c r="D123" s="3343"/>
      <c r="E123" s="2555" t="s">
        <v>4169</v>
      </c>
      <c r="F123" s="2553">
        <v>-8.0000000000000002E-3</v>
      </c>
      <c r="G123" s="2553">
        <v>-1.4E-2</v>
      </c>
      <c r="H123" s="2553">
        <v>-7.9000000000000001E-2</v>
      </c>
      <c r="I123" s="2553">
        <v>-1.7000000000000001E-2</v>
      </c>
      <c r="J123" s="2553">
        <v>-4.2000000000000003E-2</v>
      </c>
      <c r="K123" s="2553">
        <v>-0.159</v>
      </c>
    </row>
    <row r="124" spans="1:11" ht="11.25" customHeight="1" outlineLevel="7">
      <c r="A124" s="3346" t="s">
        <v>4170</v>
      </c>
      <c r="B124" s="3346"/>
      <c r="C124" s="3346"/>
      <c r="D124" s="3346"/>
      <c r="E124" s="2560" t="s">
        <v>4171</v>
      </c>
      <c r="F124" s="2561">
        <v>-1.7999999999999999E-2</v>
      </c>
      <c r="G124" s="2561">
        <v>-4.5999999999999999E-2</v>
      </c>
      <c r="H124" s="2561">
        <v>-0.35</v>
      </c>
      <c r="I124" s="2561">
        <v>-9.7000000000000003E-2</v>
      </c>
      <c r="J124" s="2561">
        <v>-0.376</v>
      </c>
      <c r="K124" s="2561">
        <v>-0.88600000000000001</v>
      </c>
    </row>
    <row r="125" spans="1:11" ht="11.25" customHeight="1" outlineLevel="7">
      <c r="A125" s="3343" t="s">
        <v>1455</v>
      </c>
      <c r="B125" s="3343"/>
      <c r="C125" s="3343"/>
      <c r="D125" s="3343"/>
      <c r="E125" s="2555" t="s">
        <v>4172</v>
      </c>
      <c r="F125" s="2553">
        <v>-2E-3</v>
      </c>
      <c r="G125" s="2556"/>
      <c r="H125" s="2553">
        <v>-3.0000000000000001E-3</v>
      </c>
      <c r="I125" s="2556"/>
      <c r="J125" s="2556"/>
      <c r="K125" s="2553">
        <v>-4.0000000000000001E-3</v>
      </c>
    </row>
    <row r="126" spans="1:11" ht="26.25" customHeight="1" outlineLevel="7">
      <c r="A126" s="3343" t="s">
        <v>4173</v>
      </c>
      <c r="B126" s="3343"/>
      <c r="C126" s="3343"/>
      <c r="D126" s="3343"/>
      <c r="E126" s="2555" t="s">
        <v>4174</v>
      </c>
      <c r="F126" s="2553">
        <v>-2E-3</v>
      </c>
      <c r="G126" s="2553">
        <v>-1E-3</v>
      </c>
      <c r="H126" s="2553">
        <v>-4.0000000000000001E-3</v>
      </c>
      <c r="I126" s="2553">
        <v>-5.0000000000000001E-3</v>
      </c>
      <c r="J126" s="2553">
        <v>-0.1</v>
      </c>
      <c r="K126" s="2553">
        <v>-0.112</v>
      </c>
    </row>
    <row r="127" spans="1:11" ht="25.5" customHeight="1" outlineLevel="7">
      <c r="A127" s="3343" t="s">
        <v>4175</v>
      </c>
      <c r="B127" s="3343"/>
      <c r="C127" s="3343"/>
      <c r="D127" s="3343"/>
      <c r="E127" s="2555" t="s">
        <v>4176</v>
      </c>
      <c r="F127" s="2553">
        <v>-1.2E-2</v>
      </c>
      <c r="G127" s="2553">
        <v>-3.6999999999999998E-2</v>
      </c>
      <c r="H127" s="2553">
        <v>-0.34100000000000003</v>
      </c>
      <c r="I127" s="2553">
        <v>-8.6999999999999994E-2</v>
      </c>
      <c r="J127" s="2553">
        <v>-7.1999999999999995E-2</v>
      </c>
      <c r="K127" s="2553">
        <v>-0.54900000000000004</v>
      </c>
    </row>
    <row r="128" spans="1:11" ht="30.75" customHeight="1" outlineLevel="7">
      <c r="A128" s="3343" t="s">
        <v>1434</v>
      </c>
      <c r="B128" s="3343"/>
      <c r="C128" s="3343"/>
      <c r="D128" s="3343"/>
      <c r="E128" s="2555" t="s">
        <v>4177</v>
      </c>
      <c r="F128" s="2556"/>
      <c r="G128" s="2553">
        <v>-1E-3</v>
      </c>
      <c r="H128" s="2556"/>
      <c r="I128" s="2556"/>
      <c r="J128" s="2556"/>
      <c r="K128" s="2553">
        <v>-1E-3</v>
      </c>
    </row>
    <row r="129" spans="1:11" ht="28.5" customHeight="1" outlineLevel="7">
      <c r="A129" s="3343" t="s">
        <v>1435</v>
      </c>
      <c r="B129" s="3343"/>
      <c r="C129" s="3343"/>
      <c r="D129" s="3343"/>
      <c r="E129" s="2555" t="s">
        <v>4178</v>
      </c>
      <c r="F129" s="2556"/>
      <c r="G129" s="2556"/>
      <c r="H129" s="2556"/>
      <c r="I129" s="2556"/>
      <c r="J129" s="2553">
        <v>-0.192</v>
      </c>
      <c r="K129" s="2553">
        <v>-0.192</v>
      </c>
    </row>
    <row r="130" spans="1:11" ht="14.25" customHeight="1" outlineLevel="7">
      <c r="A130" s="3343" t="s">
        <v>1413</v>
      </c>
      <c r="B130" s="3343"/>
      <c r="C130" s="3343"/>
      <c r="D130" s="3343"/>
      <c r="E130" s="2555" t="s">
        <v>4179</v>
      </c>
      <c r="F130" s="2553">
        <v>-2E-3</v>
      </c>
      <c r="G130" s="2553">
        <v>-6.0000000000000001E-3</v>
      </c>
      <c r="H130" s="2553">
        <v>-2E-3</v>
      </c>
      <c r="I130" s="2553">
        <v>-5.0000000000000001E-3</v>
      </c>
      <c r="J130" s="2553">
        <v>-1.0999999999999999E-2</v>
      </c>
      <c r="K130" s="2553">
        <v>-2.7E-2</v>
      </c>
    </row>
    <row r="131" spans="1:11" ht="11.25" customHeight="1" outlineLevel="7">
      <c r="A131" s="3343" t="s">
        <v>4180</v>
      </c>
      <c r="B131" s="3343"/>
      <c r="C131" s="3343"/>
      <c r="D131" s="3343"/>
      <c r="E131" s="2555" t="s">
        <v>4181</v>
      </c>
      <c r="F131" s="2556"/>
      <c r="G131" s="2556"/>
      <c r="H131" s="2556"/>
      <c r="I131" s="2556"/>
      <c r="J131" s="2553">
        <v>0</v>
      </c>
      <c r="K131" s="2553">
        <v>0</v>
      </c>
    </row>
    <row r="132" spans="1:11" ht="15" customHeight="1" outlineLevel="6">
      <c r="A132" s="3344" t="s">
        <v>4182</v>
      </c>
      <c r="B132" s="3344"/>
      <c r="C132" s="3344"/>
      <c r="D132" s="3344"/>
      <c r="E132" s="2560" t="s">
        <v>4183</v>
      </c>
      <c r="F132" s="2561">
        <v>-6.4000000000000001E-2</v>
      </c>
      <c r="G132" s="2561">
        <v>-0.26400000000000001</v>
      </c>
      <c r="H132" s="2561">
        <v>-0.1</v>
      </c>
      <c r="I132" s="2561">
        <v>-8.7530000000000001</v>
      </c>
      <c r="J132" s="2561">
        <v>-0.45800000000000002</v>
      </c>
      <c r="K132" s="2561">
        <v>-9.64</v>
      </c>
    </row>
    <row r="133" spans="1:11" ht="11.25" hidden="1" customHeight="1" outlineLevel="7">
      <c r="A133" s="3338" t="s">
        <v>4184</v>
      </c>
      <c r="B133" s="3338"/>
      <c r="C133" s="3338"/>
      <c r="D133" s="3338"/>
      <c r="E133" s="2555" t="s">
        <v>4185</v>
      </c>
      <c r="F133" s="2553">
        <v>-5.3999999999999999E-2</v>
      </c>
      <c r="G133" s="2553">
        <v>-0.22800000000000001</v>
      </c>
      <c r="H133" s="2553">
        <v>-6.0999999999999999E-2</v>
      </c>
      <c r="I133" s="2553">
        <v>-8.5869999999999997</v>
      </c>
      <c r="J133" s="2553">
        <v>-0.25600000000000001</v>
      </c>
      <c r="K133" s="2553">
        <v>-9.1859999999999999</v>
      </c>
    </row>
    <row r="134" spans="1:11" ht="11.25" hidden="1" customHeight="1" outlineLevel="7">
      <c r="A134" s="3343" t="s">
        <v>1344</v>
      </c>
      <c r="B134" s="3343"/>
      <c r="C134" s="3343"/>
      <c r="D134" s="3343"/>
      <c r="E134" s="2555" t="s">
        <v>4186</v>
      </c>
      <c r="F134" s="2553">
        <v>-1.7000000000000001E-2</v>
      </c>
      <c r="G134" s="2553">
        <v>-0.10299999999999999</v>
      </c>
      <c r="H134" s="2553">
        <v>-2.7E-2</v>
      </c>
      <c r="I134" s="2553">
        <v>-3.5910000000000002</v>
      </c>
      <c r="J134" s="2553">
        <v>-0.109</v>
      </c>
      <c r="K134" s="2553">
        <v>-3.847</v>
      </c>
    </row>
    <row r="135" spans="1:11" ht="11.25" hidden="1" customHeight="1" outlineLevel="7">
      <c r="A135" s="3343" t="s">
        <v>1343</v>
      </c>
      <c r="B135" s="3343"/>
      <c r="C135" s="3343"/>
      <c r="D135" s="3343"/>
      <c r="E135" s="2555" t="s">
        <v>4187</v>
      </c>
      <c r="F135" s="2553">
        <v>-2.5000000000000001E-2</v>
      </c>
      <c r="G135" s="2553">
        <v>-7.3999999999999996E-2</v>
      </c>
      <c r="H135" s="2553">
        <v>-1.7999999999999999E-2</v>
      </c>
      <c r="I135" s="2553">
        <v>-2.8519999999999999</v>
      </c>
      <c r="J135" s="2553">
        <v>-0.09</v>
      </c>
      <c r="K135" s="2553">
        <v>-3.0590000000000002</v>
      </c>
    </row>
    <row r="136" spans="1:11" ht="21.75" hidden="1" customHeight="1" outlineLevel="7">
      <c r="A136" s="3343" t="s">
        <v>1340</v>
      </c>
      <c r="B136" s="3343"/>
      <c r="C136" s="3343"/>
      <c r="D136" s="3343"/>
      <c r="E136" s="2555" t="s">
        <v>4188</v>
      </c>
      <c r="F136" s="2553">
        <v>-2E-3</v>
      </c>
      <c r="G136" s="2553">
        <v>3.0000000000000001E-3</v>
      </c>
      <c r="H136" s="2556"/>
      <c r="I136" s="2553">
        <v>-1.4999999999999999E-2</v>
      </c>
      <c r="J136" s="2556"/>
      <c r="K136" s="2553">
        <v>-1.4E-2</v>
      </c>
    </row>
    <row r="137" spans="1:11" ht="21.75" hidden="1" customHeight="1" outlineLevel="7">
      <c r="A137" s="3343" t="s">
        <v>1342</v>
      </c>
      <c r="B137" s="3343"/>
      <c r="C137" s="3343"/>
      <c r="D137" s="3343"/>
      <c r="E137" s="2555" t="s">
        <v>4189</v>
      </c>
      <c r="F137" s="2553">
        <v>-1.0999999999999999E-2</v>
      </c>
      <c r="G137" s="2553">
        <v>-5.3999999999999999E-2</v>
      </c>
      <c r="H137" s="2553">
        <v>-1.6E-2</v>
      </c>
      <c r="I137" s="2553">
        <v>-2.129</v>
      </c>
      <c r="J137" s="2553">
        <v>-5.7000000000000002E-2</v>
      </c>
      <c r="K137" s="2553">
        <v>-2.2669999999999999</v>
      </c>
    </row>
    <row r="138" spans="1:11" ht="11.25" hidden="1" customHeight="1" outlineLevel="7">
      <c r="A138" s="3338" t="s">
        <v>4190</v>
      </c>
      <c r="B138" s="3338"/>
      <c r="C138" s="3338"/>
      <c r="D138" s="3338"/>
      <c r="E138" s="2555" t="s">
        <v>4191</v>
      </c>
      <c r="F138" s="2553">
        <v>-0.01</v>
      </c>
      <c r="G138" s="2553">
        <v>-3.5999999999999997E-2</v>
      </c>
      <c r="H138" s="2553">
        <v>-3.9E-2</v>
      </c>
      <c r="I138" s="2553">
        <v>-0.16600000000000001</v>
      </c>
      <c r="J138" s="2553">
        <v>-0.20200000000000001</v>
      </c>
      <c r="K138" s="2553">
        <v>-0.45400000000000001</v>
      </c>
    </row>
    <row r="139" spans="1:11" ht="11.25" hidden="1" customHeight="1" outlineLevel="7">
      <c r="A139" s="3343" t="s">
        <v>1349</v>
      </c>
      <c r="B139" s="3343"/>
      <c r="C139" s="3343"/>
      <c r="D139" s="3343"/>
      <c r="E139" s="2555" t="s">
        <v>4192</v>
      </c>
      <c r="F139" s="2553">
        <v>-2E-3</v>
      </c>
      <c r="G139" s="2553">
        <v>-5.0000000000000001E-3</v>
      </c>
      <c r="H139" s="2553">
        <v>-8.9999999999999993E-3</v>
      </c>
      <c r="I139" s="2553">
        <v>-3.6999999999999998E-2</v>
      </c>
      <c r="J139" s="2553">
        <v>-5.1999999999999998E-2</v>
      </c>
      <c r="K139" s="2553">
        <v>-0.105</v>
      </c>
    </row>
    <row r="140" spans="1:11" ht="11.25" hidden="1" customHeight="1" outlineLevel="7">
      <c r="A140" s="3343" t="s">
        <v>1348</v>
      </c>
      <c r="B140" s="3343"/>
      <c r="C140" s="3343"/>
      <c r="D140" s="3343"/>
      <c r="E140" s="2555" t="s">
        <v>4193</v>
      </c>
      <c r="F140" s="2553">
        <v>-8.0000000000000002E-3</v>
      </c>
      <c r="G140" s="2553">
        <v>-1.7999999999999999E-2</v>
      </c>
      <c r="H140" s="2553">
        <v>-2.9000000000000001E-2</v>
      </c>
      <c r="I140" s="2553">
        <v>-0.11799999999999999</v>
      </c>
      <c r="J140" s="2553">
        <v>-0.15</v>
      </c>
      <c r="K140" s="2553">
        <v>-0.32200000000000001</v>
      </c>
    </row>
    <row r="141" spans="1:11" ht="21.75" hidden="1" customHeight="1" outlineLevel="7">
      <c r="A141" s="3343" t="s">
        <v>1346</v>
      </c>
      <c r="B141" s="3343"/>
      <c r="C141" s="3343"/>
      <c r="D141" s="3343"/>
      <c r="E141" s="2555" t="s">
        <v>4194</v>
      </c>
      <c r="F141" s="2556"/>
      <c r="G141" s="2553">
        <v>-1E-3</v>
      </c>
      <c r="H141" s="2556"/>
      <c r="I141" s="2556"/>
      <c r="J141" s="2556"/>
      <c r="K141" s="2553">
        <v>-1E-3</v>
      </c>
    </row>
    <row r="142" spans="1:11" ht="11.25" hidden="1" customHeight="1" outlineLevel="7">
      <c r="A142" s="3343" t="s">
        <v>1345</v>
      </c>
      <c r="B142" s="3343"/>
      <c r="C142" s="3343"/>
      <c r="D142" s="3343"/>
      <c r="E142" s="2555" t="s">
        <v>4195</v>
      </c>
      <c r="F142" s="2556"/>
      <c r="G142" s="2553">
        <v>-0.01</v>
      </c>
      <c r="H142" s="2556"/>
      <c r="I142" s="2556"/>
      <c r="J142" s="2556"/>
      <c r="K142" s="2553">
        <v>-0.01</v>
      </c>
    </row>
    <row r="143" spans="1:11" ht="11.25" hidden="1" customHeight="1" outlineLevel="7">
      <c r="A143" s="3343" t="s">
        <v>1347</v>
      </c>
      <c r="B143" s="3343"/>
      <c r="C143" s="3343"/>
      <c r="D143" s="3343"/>
      <c r="E143" s="2555" t="s">
        <v>4196</v>
      </c>
      <c r="F143" s="2556"/>
      <c r="G143" s="2553">
        <v>-1E-3</v>
      </c>
      <c r="H143" s="2553">
        <v>-2E-3</v>
      </c>
      <c r="I143" s="2553">
        <v>-1.2E-2</v>
      </c>
      <c r="J143" s="2556"/>
      <c r="K143" s="2553">
        <v>-1.4999999999999999E-2</v>
      </c>
    </row>
    <row r="144" spans="1:11" ht="11.25" customHeight="1" outlineLevel="6" collapsed="1">
      <c r="A144" s="3344" t="s">
        <v>4197</v>
      </c>
      <c r="B144" s="3344"/>
      <c r="C144" s="3344"/>
      <c r="D144" s="3344"/>
      <c r="E144" s="2560" t="s">
        <v>4198</v>
      </c>
      <c r="F144" s="2561">
        <v>-7.4999999999999997E-2</v>
      </c>
      <c r="G144" s="2561">
        <v>-0.13300000000000001</v>
      </c>
      <c r="H144" s="2561">
        <v>-0.20899999999999999</v>
      </c>
      <c r="I144" s="2561">
        <v>-0.22</v>
      </c>
      <c r="J144" s="2561">
        <v>-0.35299999999999998</v>
      </c>
      <c r="K144" s="2561">
        <v>-0.98899999999999999</v>
      </c>
    </row>
    <row r="145" spans="1:11" ht="21.75" customHeight="1" outlineLevel="7">
      <c r="A145" s="3338" t="s">
        <v>1322</v>
      </c>
      <c r="B145" s="3338"/>
      <c r="C145" s="3338"/>
      <c r="D145" s="3338"/>
      <c r="E145" s="2555" t="s">
        <v>4199</v>
      </c>
      <c r="F145" s="2553">
        <v>-8.9999999999999993E-3</v>
      </c>
      <c r="G145" s="2553">
        <v>-1.6E-2</v>
      </c>
      <c r="H145" s="2553">
        <v>-0.02</v>
      </c>
      <c r="I145" s="2553">
        <v>-2.7E-2</v>
      </c>
      <c r="J145" s="2553">
        <v>-4.3999999999999997E-2</v>
      </c>
      <c r="K145" s="2553">
        <v>-0.11600000000000001</v>
      </c>
    </row>
    <row r="146" spans="1:11" ht="11.25" customHeight="1" outlineLevel="7">
      <c r="A146" s="3338" t="s">
        <v>1323</v>
      </c>
      <c r="B146" s="3338"/>
      <c r="C146" s="3338"/>
      <c r="D146" s="3338"/>
      <c r="E146" s="2555" t="s">
        <v>4200</v>
      </c>
      <c r="F146" s="2553">
        <v>-6.6000000000000003E-2</v>
      </c>
      <c r="G146" s="2553">
        <v>-0.11700000000000001</v>
      </c>
      <c r="H146" s="2553">
        <v>-0.13500000000000001</v>
      </c>
      <c r="I146" s="2553">
        <v>-0.188</v>
      </c>
      <c r="J146" s="2553">
        <v>-0.309</v>
      </c>
      <c r="K146" s="2553">
        <v>-0.81399999999999995</v>
      </c>
    </row>
    <row r="147" spans="1:11" ht="11.25" customHeight="1" outlineLevel="7">
      <c r="A147" s="3338" t="s">
        <v>1321</v>
      </c>
      <c r="B147" s="3338"/>
      <c r="C147" s="3338"/>
      <c r="D147" s="3338"/>
      <c r="E147" s="2555" t="s">
        <v>4201</v>
      </c>
      <c r="F147" s="2553">
        <v>0</v>
      </c>
      <c r="G147" s="2553">
        <v>0</v>
      </c>
      <c r="H147" s="2553">
        <v>-5.3999999999999999E-2</v>
      </c>
      <c r="I147" s="2553">
        <v>-5.0000000000000001E-3</v>
      </c>
      <c r="J147" s="2553">
        <v>0</v>
      </c>
      <c r="K147" s="2553">
        <v>-5.8999999999999997E-2</v>
      </c>
    </row>
    <row r="148" spans="1:11" ht="11.25" customHeight="1" outlineLevel="6">
      <c r="A148" s="3344" t="s">
        <v>4202</v>
      </c>
      <c r="B148" s="3344"/>
      <c r="C148" s="3344"/>
      <c r="D148" s="3344"/>
      <c r="E148" s="2560" t="s">
        <v>4203</v>
      </c>
      <c r="F148" s="2561">
        <v>-0.26900000000000002</v>
      </c>
      <c r="G148" s="2561">
        <v>-0.45200000000000001</v>
      </c>
      <c r="H148" s="2561">
        <v>-0.74199999999999999</v>
      </c>
      <c r="I148" s="2561">
        <v>-0.81699999999999995</v>
      </c>
      <c r="J148" s="2561">
        <v>-1.5289999999999999</v>
      </c>
      <c r="K148" s="2561">
        <v>-3.8079999999999998</v>
      </c>
    </row>
    <row r="149" spans="1:11" ht="27.75" customHeight="1" outlineLevel="7">
      <c r="A149" s="3338" t="s">
        <v>1387</v>
      </c>
      <c r="B149" s="3338"/>
      <c r="C149" s="3338"/>
      <c r="D149" s="3338"/>
      <c r="E149" s="2555" t="s">
        <v>4204</v>
      </c>
      <c r="F149" s="2553">
        <v>-3.1E-2</v>
      </c>
      <c r="G149" s="2553">
        <v>-7.0999999999999994E-2</v>
      </c>
      <c r="H149" s="2553">
        <v>-0.23699999999999999</v>
      </c>
      <c r="I149" s="2553">
        <v>-0.158</v>
      </c>
      <c r="J149" s="2553">
        <v>-0.222</v>
      </c>
      <c r="K149" s="2553">
        <v>-0.71899999999999997</v>
      </c>
    </row>
    <row r="150" spans="1:11" ht="28.5" customHeight="1" outlineLevel="7">
      <c r="A150" s="3338" t="s">
        <v>1388</v>
      </c>
      <c r="B150" s="3338"/>
      <c r="C150" s="3338"/>
      <c r="D150" s="3338"/>
      <c r="E150" s="2555" t="s">
        <v>4205</v>
      </c>
      <c r="F150" s="2553">
        <v>-1E-3</v>
      </c>
      <c r="G150" s="2553">
        <v>-2E-3</v>
      </c>
      <c r="H150" s="2553">
        <v>-1.7999999999999999E-2</v>
      </c>
      <c r="I150" s="2553">
        <v>-4.0000000000000001E-3</v>
      </c>
      <c r="J150" s="2553">
        <v>-3.0000000000000001E-3</v>
      </c>
      <c r="K150" s="2553">
        <v>-2.9000000000000001E-2</v>
      </c>
    </row>
    <row r="151" spans="1:11" ht="11.25" customHeight="1" outlineLevel="7">
      <c r="A151" s="3338" t="s">
        <v>1389</v>
      </c>
      <c r="B151" s="3338"/>
      <c r="C151" s="3338"/>
      <c r="D151" s="3338"/>
      <c r="E151" s="2555" t="s">
        <v>4206</v>
      </c>
      <c r="F151" s="2553">
        <v>-0.14299999999999999</v>
      </c>
      <c r="G151" s="2553">
        <v>-0.22900000000000001</v>
      </c>
      <c r="H151" s="2553">
        <v>-0.29399999999999998</v>
      </c>
      <c r="I151" s="2553">
        <v>-0.39600000000000002</v>
      </c>
      <c r="J151" s="2553">
        <v>-0.67200000000000004</v>
      </c>
      <c r="K151" s="2553">
        <v>-1.7350000000000001</v>
      </c>
    </row>
    <row r="152" spans="1:11" ht="11.25" customHeight="1" outlineLevel="7">
      <c r="A152" s="3338" t="s">
        <v>1390</v>
      </c>
      <c r="B152" s="3338"/>
      <c r="C152" s="3338"/>
      <c r="D152" s="3338"/>
      <c r="E152" s="2555" t="s">
        <v>4207</v>
      </c>
      <c r="F152" s="2553">
        <v>-3.0000000000000001E-3</v>
      </c>
      <c r="G152" s="2553">
        <v>-6.0000000000000001E-3</v>
      </c>
      <c r="H152" s="2553">
        <v>-7.0000000000000001E-3</v>
      </c>
      <c r="I152" s="2553">
        <v>-0.01</v>
      </c>
      <c r="J152" s="2553">
        <v>-0.21199999999999999</v>
      </c>
      <c r="K152" s="2553">
        <v>-0.23799999999999999</v>
      </c>
    </row>
    <row r="153" spans="1:11" ht="26.25" customHeight="1" outlineLevel="7">
      <c r="A153" s="3338" t="s">
        <v>1330</v>
      </c>
      <c r="B153" s="3338"/>
      <c r="C153" s="3338"/>
      <c r="D153" s="3338"/>
      <c r="E153" s="2555" t="s">
        <v>4208</v>
      </c>
      <c r="F153" s="2553">
        <v>-6.0000000000000001E-3</v>
      </c>
      <c r="G153" s="2553">
        <v>-8.9999999999999993E-3</v>
      </c>
      <c r="H153" s="2553">
        <v>-1.2E-2</v>
      </c>
      <c r="I153" s="2553">
        <v>-1.6E-2</v>
      </c>
      <c r="J153" s="2553">
        <v>-2.8000000000000001E-2</v>
      </c>
      <c r="K153" s="2553">
        <v>-7.0999999999999994E-2</v>
      </c>
    </row>
    <row r="154" spans="1:11" ht="16.5" customHeight="1" outlineLevel="7">
      <c r="A154" s="3338" t="s">
        <v>1329</v>
      </c>
      <c r="B154" s="3338"/>
      <c r="C154" s="3338"/>
      <c r="D154" s="3338"/>
      <c r="E154" s="2555" t="s">
        <v>4209</v>
      </c>
      <c r="F154" s="2553">
        <v>-8.4000000000000005E-2</v>
      </c>
      <c r="G154" s="2553">
        <v>-0.13500000000000001</v>
      </c>
      <c r="H154" s="2553">
        <v>-0.17299999999999999</v>
      </c>
      <c r="I154" s="2553">
        <v>-0.23200000000000001</v>
      </c>
      <c r="J154" s="2553">
        <v>-0.39200000000000002</v>
      </c>
      <c r="K154" s="2553">
        <v>-1.016</v>
      </c>
    </row>
    <row r="155" spans="1:11" ht="11.25" customHeight="1" outlineLevel="6">
      <c r="A155" s="3344" t="s">
        <v>4210</v>
      </c>
      <c r="B155" s="3344"/>
      <c r="C155" s="3344"/>
      <c r="D155" s="3344"/>
      <c r="E155" s="2560" t="s">
        <v>4211</v>
      </c>
      <c r="F155" s="2561">
        <v>0</v>
      </c>
      <c r="G155" s="2561">
        <v>-1E-3</v>
      </c>
      <c r="H155" s="2561">
        <v>-10.327</v>
      </c>
      <c r="I155" s="2561">
        <v>-8.9999999999999993E-3</v>
      </c>
      <c r="J155" s="2561">
        <v>-7.0000000000000001E-3</v>
      </c>
      <c r="K155" s="2561">
        <v>-10.345000000000001</v>
      </c>
    </row>
    <row r="156" spans="1:11" ht="11.25" customHeight="1" outlineLevel="7">
      <c r="A156" s="3338" t="s">
        <v>1337</v>
      </c>
      <c r="B156" s="3338"/>
      <c r="C156" s="3338"/>
      <c r="D156" s="3338"/>
      <c r="E156" s="2555" t="s">
        <v>4212</v>
      </c>
      <c r="F156" s="2556"/>
      <c r="G156" s="2556"/>
      <c r="H156" s="2553">
        <v>-4.2000000000000003E-2</v>
      </c>
      <c r="I156" s="2556"/>
      <c r="J156" s="2556"/>
      <c r="K156" s="2553">
        <v>-4.2000000000000003E-2</v>
      </c>
    </row>
    <row r="157" spans="1:11" ht="11.25" customHeight="1" outlineLevel="7">
      <c r="A157" s="3338" t="s">
        <v>1412</v>
      </c>
      <c r="B157" s="3338"/>
      <c r="C157" s="3338"/>
      <c r="D157" s="3338"/>
      <c r="E157" s="2555" t="s">
        <v>4213</v>
      </c>
      <c r="F157" s="2556"/>
      <c r="G157" s="2556"/>
      <c r="H157" s="2553">
        <v>-0.62</v>
      </c>
      <c r="I157" s="2556"/>
      <c r="J157" s="2556"/>
      <c r="K157" s="2553">
        <v>-0.62</v>
      </c>
    </row>
    <row r="158" spans="1:11" ht="11.25" customHeight="1" outlineLevel="7">
      <c r="A158" s="3338" t="s">
        <v>1361</v>
      </c>
      <c r="B158" s="3338"/>
      <c r="C158" s="3338"/>
      <c r="D158" s="3338"/>
      <c r="E158" s="2555" t="s">
        <v>4214</v>
      </c>
      <c r="F158" s="2556"/>
      <c r="G158" s="2556"/>
      <c r="H158" s="2553">
        <v>-9.66</v>
      </c>
      <c r="I158" s="2556"/>
      <c r="J158" s="2556"/>
      <c r="K158" s="2553">
        <v>-9.66</v>
      </c>
    </row>
    <row r="159" spans="1:11" ht="21.75" customHeight="1" outlineLevel="7">
      <c r="A159" s="3338" t="s">
        <v>1457</v>
      </c>
      <c r="B159" s="3338"/>
      <c r="C159" s="3338"/>
      <c r="D159" s="3338"/>
      <c r="E159" s="2555" t="s">
        <v>4215</v>
      </c>
      <c r="F159" s="2556"/>
      <c r="G159" s="2556"/>
      <c r="H159" s="2553">
        <v>-4.0000000000000001E-3</v>
      </c>
      <c r="I159" s="2556"/>
      <c r="J159" s="2556"/>
      <c r="K159" s="2553">
        <v>-4.0000000000000001E-3</v>
      </c>
    </row>
    <row r="160" spans="1:11" ht="11.25" customHeight="1" outlineLevel="7">
      <c r="A160" s="3338" t="s">
        <v>4216</v>
      </c>
      <c r="B160" s="3338"/>
      <c r="C160" s="3338"/>
      <c r="D160" s="3338"/>
      <c r="E160" s="2555" t="s">
        <v>4217</v>
      </c>
      <c r="F160" s="2553">
        <v>0</v>
      </c>
      <c r="G160" s="2553">
        <v>-1E-3</v>
      </c>
      <c r="H160" s="2553">
        <v>-1E-3</v>
      </c>
      <c r="I160" s="2553">
        <v>-8.9999999999999993E-3</v>
      </c>
      <c r="J160" s="2553">
        <v>-7.0000000000000001E-3</v>
      </c>
      <c r="K160" s="2553">
        <v>-1.9E-2</v>
      </c>
    </row>
    <row r="161" spans="1:11" ht="11.25" customHeight="1" outlineLevel="6">
      <c r="A161" s="3344" t="s">
        <v>4218</v>
      </c>
      <c r="B161" s="3344"/>
      <c r="C161" s="3344"/>
      <c r="D161" s="3344"/>
      <c r="E161" s="2560" t="s">
        <v>4219</v>
      </c>
      <c r="F161" s="2563"/>
      <c r="G161" s="2561">
        <v>-1E-3</v>
      </c>
      <c r="H161" s="2563"/>
      <c r="I161" s="2563"/>
      <c r="J161" s="2563"/>
      <c r="K161" s="2561">
        <v>-1E-3</v>
      </c>
    </row>
    <row r="162" spans="1:11" ht="11.25" customHeight="1" outlineLevel="6">
      <c r="A162" s="3344" t="s">
        <v>4220</v>
      </c>
      <c r="B162" s="3344"/>
      <c r="C162" s="3344"/>
      <c r="D162" s="3344"/>
      <c r="E162" s="2560" t="s">
        <v>4221</v>
      </c>
      <c r="F162" s="2561">
        <v>-8.0000000000000002E-3</v>
      </c>
      <c r="G162" s="2561">
        <v>-5.88</v>
      </c>
      <c r="H162" s="2561">
        <v>-0.20100000000000001</v>
      </c>
      <c r="I162" s="2561">
        <v>-4.2000000000000003E-2</v>
      </c>
      <c r="J162" s="2561">
        <v>-6.3710000000000004</v>
      </c>
      <c r="K162" s="2561">
        <v>-12.502000000000001</v>
      </c>
    </row>
    <row r="163" spans="1:11" ht="11.25" customHeight="1" outlineLevel="7">
      <c r="A163" s="3338" t="s">
        <v>1446</v>
      </c>
      <c r="B163" s="3338"/>
      <c r="C163" s="3338"/>
      <c r="D163" s="3338"/>
      <c r="E163" s="2555" t="s">
        <v>4222</v>
      </c>
      <c r="F163" s="2553">
        <v>-2E-3</v>
      </c>
      <c r="G163" s="2553">
        <v>-8.9999999999999993E-3</v>
      </c>
      <c r="H163" s="2553">
        <v>-5.0000000000000001E-3</v>
      </c>
      <c r="I163" s="2553">
        <v>-1.0999999999999999E-2</v>
      </c>
      <c r="J163" s="2553">
        <v>-1.2E-2</v>
      </c>
      <c r="K163" s="2553">
        <v>-3.9E-2</v>
      </c>
    </row>
    <row r="164" spans="1:11" ht="11.25" customHeight="1" outlineLevel="7">
      <c r="A164" s="3338" t="s">
        <v>1339</v>
      </c>
      <c r="B164" s="3338"/>
      <c r="C164" s="3338"/>
      <c r="D164" s="3338"/>
      <c r="E164" s="2555" t="s">
        <v>4223</v>
      </c>
      <c r="F164" s="2556"/>
      <c r="G164" s="2553">
        <v>-5.8630000000000004</v>
      </c>
      <c r="H164" s="2553">
        <v>-9.9000000000000005E-2</v>
      </c>
      <c r="I164" s="2553">
        <v>-1E-3</v>
      </c>
      <c r="J164" s="2553">
        <v>-6.3330000000000002</v>
      </c>
      <c r="K164" s="2553">
        <v>-12.295999999999999</v>
      </c>
    </row>
    <row r="165" spans="1:11" ht="11.25" customHeight="1" outlineLevel="7">
      <c r="A165" s="3338" t="s">
        <v>4224</v>
      </c>
      <c r="B165" s="3338"/>
      <c r="C165" s="3338"/>
      <c r="D165" s="3338"/>
      <c r="E165" s="2555" t="s">
        <v>4225</v>
      </c>
      <c r="F165" s="2553">
        <v>-6.0000000000000001E-3</v>
      </c>
      <c r="G165" s="2553">
        <v>-8.9999999999999993E-3</v>
      </c>
      <c r="H165" s="2553">
        <v>-6.5000000000000002E-2</v>
      </c>
      <c r="I165" s="2553">
        <v>-0.03</v>
      </c>
      <c r="J165" s="2553">
        <v>-2.5999999999999999E-2</v>
      </c>
      <c r="K165" s="2553">
        <v>-0.13500000000000001</v>
      </c>
    </row>
    <row r="166" spans="1:11" ht="21.75" customHeight="1" outlineLevel="7">
      <c r="A166" s="3343" t="s">
        <v>1333</v>
      </c>
      <c r="B166" s="3343"/>
      <c r="C166" s="3343"/>
      <c r="D166" s="3343"/>
      <c r="E166" s="2555" t="s">
        <v>4226</v>
      </c>
      <c r="F166" s="2553">
        <v>-6.0000000000000001E-3</v>
      </c>
      <c r="G166" s="2553">
        <v>-8.9999999999999993E-3</v>
      </c>
      <c r="H166" s="2553">
        <v>-6.5000000000000002E-2</v>
      </c>
      <c r="I166" s="2553">
        <v>-0.03</v>
      </c>
      <c r="J166" s="2553">
        <v>-2.5999999999999999E-2</v>
      </c>
      <c r="K166" s="2553">
        <v>-0.13500000000000001</v>
      </c>
    </row>
    <row r="167" spans="1:11" ht="27" customHeight="1" outlineLevel="7">
      <c r="A167" s="3338" t="s">
        <v>4227</v>
      </c>
      <c r="B167" s="3338"/>
      <c r="C167" s="3338"/>
      <c r="D167" s="3338"/>
      <c r="E167" s="2555" t="s">
        <v>4228</v>
      </c>
      <c r="F167" s="2556"/>
      <c r="G167" s="2556"/>
      <c r="H167" s="2553">
        <v>-3.2000000000000001E-2</v>
      </c>
      <c r="I167" s="2556"/>
      <c r="J167" s="2556"/>
      <c r="K167" s="2553">
        <v>-3.2000000000000001E-2</v>
      </c>
    </row>
    <row r="168" spans="1:11" ht="14.25" customHeight="1" outlineLevel="2">
      <c r="A168" s="3349" t="s">
        <v>2827</v>
      </c>
      <c r="B168" s="3349"/>
      <c r="C168" s="3349"/>
      <c r="D168" s="3349"/>
      <c r="E168" s="2564">
        <v>8</v>
      </c>
      <c r="F168" s="2563"/>
      <c r="G168" s="2563"/>
      <c r="H168" s="2563"/>
      <c r="I168" s="2561">
        <v>170.45400000000001</v>
      </c>
      <c r="J168" s="2561">
        <v>7.14</v>
      </c>
      <c r="K168" s="2561">
        <v>177.59299999999999</v>
      </c>
    </row>
    <row r="169" spans="1:11" ht="11.25" customHeight="1" outlineLevel="3">
      <c r="A169" s="3347" t="s">
        <v>4229</v>
      </c>
      <c r="B169" s="3347"/>
      <c r="C169" s="3347"/>
      <c r="D169" s="3347"/>
      <c r="E169" s="2555" t="s">
        <v>4230</v>
      </c>
      <c r="F169" s="2556"/>
      <c r="G169" s="2556"/>
      <c r="H169" s="2556"/>
      <c r="I169" s="2553">
        <v>61.737000000000002</v>
      </c>
      <c r="J169" s="2556"/>
      <c r="K169" s="2553">
        <v>61.737000000000002</v>
      </c>
    </row>
    <row r="170" spans="1:11" ht="11.25" customHeight="1" outlineLevel="4">
      <c r="A170" s="3348" t="s">
        <v>4231</v>
      </c>
      <c r="B170" s="3348"/>
      <c r="C170" s="3348"/>
      <c r="D170" s="3348"/>
      <c r="E170" s="2555" t="s">
        <v>4232</v>
      </c>
      <c r="F170" s="2556"/>
      <c r="G170" s="2556"/>
      <c r="H170" s="2556"/>
      <c r="I170" s="2553">
        <v>61.737000000000002</v>
      </c>
      <c r="J170" s="2556"/>
      <c r="K170" s="2553">
        <v>61.737000000000002</v>
      </c>
    </row>
    <row r="171" spans="1:11" ht="11.25" customHeight="1" outlineLevel="3">
      <c r="A171" s="3347" t="s">
        <v>4233</v>
      </c>
      <c r="B171" s="3347"/>
      <c r="C171" s="3347"/>
      <c r="D171" s="3347"/>
      <c r="E171" s="2555" t="s">
        <v>4234</v>
      </c>
      <c r="F171" s="2556"/>
      <c r="G171" s="2556"/>
      <c r="H171" s="2556"/>
      <c r="I171" s="2553">
        <v>108.717</v>
      </c>
      <c r="J171" s="2553">
        <v>7.14</v>
      </c>
      <c r="K171" s="2553">
        <v>115.857</v>
      </c>
    </row>
    <row r="172" spans="1:11" ht="11.25" customHeight="1" outlineLevel="4">
      <c r="A172" s="3348" t="s">
        <v>4235</v>
      </c>
      <c r="B172" s="3348"/>
      <c r="C172" s="3348"/>
      <c r="D172" s="3348"/>
      <c r="E172" s="2555" t="s">
        <v>4236</v>
      </c>
      <c r="F172" s="2556"/>
      <c r="G172" s="2556"/>
      <c r="H172" s="2556"/>
      <c r="I172" s="2553">
        <v>12</v>
      </c>
      <c r="J172" s="2556"/>
      <c r="K172" s="2553">
        <v>12</v>
      </c>
    </row>
    <row r="173" spans="1:11" ht="11.25" customHeight="1" outlineLevel="4">
      <c r="A173" s="3348" t="s">
        <v>4237</v>
      </c>
      <c r="B173" s="3348"/>
      <c r="C173" s="3348"/>
      <c r="D173" s="3348"/>
      <c r="E173" s="2555" t="s">
        <v>4238</v>
      </c>
      <c r="F173" s="2556"/>
      <c r="G173" s="2556"/>
      <c r="H173" s="2556"/>
      <c r="I173" s="2553">
        <v>96.716999999999999</v>
      </c>
      <c r="J173" s="2553">
        <v>7.14</v>
      </c>
      <c r="K173" s="2553">
        <v>103.857</v>
      </c>
    </row>
    <row r="174" spans="1:11" ht="11.25" customHeight="1" outlineLevel="2">
      <c r="A174" s="3349" t="s">
        <v>4239</v>
      </c>
      <c r="B174" s="3349"/>
      <c r="C174" s="3349"/>
      <c r="D174" s="3349"/>
      <c r="E174" s="2564">
        <v>9</v>
      </c>
      <c r="F174" s="2561">
        <v>-0.78800000000000003</v>
      </c>
      <c r="G174" s="2561">
        <v>-4.1070000000000002</v>
      </c>
      <c r="H174" s="2561">
        <v>-2.0830000000000002</v>
      </c>
      <c r="I174" s="2561">
        <v>-1.5189999999999999</v>
      </c>
      <c r="J174" s="2561">
        <v>-0.46100000000000002</v>
      </c>
      <c r="K174" s="2561">
        <v>-8.9580000000000002</v>
      </c>
    </row>
    <row r="175" spans="1:11" ht="11.25" customHeight="1" outlineLevel="3">
      <c r="A175" s="3347" t="s">
        <v>4240</v>
      </c>
      <c r="B175" s="3347"/>
      <c r="C175" s="3347"/>
      <c r="D175" s="3347"/>
      <c r="E175" s="2555" t="s">
        <v>4241</v>
      </c>
      <c r="F175" s="2553">
        <v>-0.78800000000000003</v>
      </c>
      <c r="G175" s="2553">
        <v>-4.1070000000000002</v>
      </c>
      <c r="H175" s="2553">
        <v>-2.0830000000000002</v>
      </c>
      <c r="I175" s="2553">
        <v>-1.5189999999999999</v>
      </c>
      <c r="J175" s="2553">
        <v>-0.46100000000000002</v>
      </c>
      <c r="K175" s="2553">
        <v>-8.9580000000000002</v>
      </c>
    </row>
    <row r="176" spans="1:11" ht="11.25" customHeight="1" outlineLevel="4">
      <c r="A176" s="3348" t="s">
        <v>4242</v>
      </c>
      <c r="B176" s="3348"/>
      <c r="C176" s="3348"/>
      <c r="D176" s="3348"/>
      <c r="E176" s="2555" t="s">
        <v>4243</v>
      </c>
      <c r="F176" s="2553">
        <v>-0.78800000000000003</v>
      </c>
      <c r="G176" s="2553">
        <v>-4.1070000000000002</v>
      </c>
      <c r="H176" s="2553">
        <v>-2.0830000000000002</v>
      </c>
      <c r="I176" s="2553">
        <v>-1.5189999999999999</v>
      </c>
      <c r="J176" s="2553">
        <v>-0.46100000000000002</v>
      </c>
      <c r="K176" s="2553">
        <v>-8.9580000000000002</v>
      </c>
    </row>
  </sheetData>
  <mergeCells count="174">
    <mergeCell ref="A171:D171"/>
    <mergeCell ref="A172:D172"/>
    <mergeCell ref="A173:D173"/>
    <mergeCell ref="A174:D174"/>
    <mergeCell ref="A175:D175"/>
    <mergeCell ref="A176:D176"/>
    <mergeCell ref="A165:D165"/>
    <mergeCell ref="A166:D166"/>
    <mergeCell ref="A167:D167"/>
    <mergeCell ref="A168:D168"/>
    <mergeCell ref="A169:D169"/>
    <mergeCell ref="A170:D170"/>
    <mergeCell ref="A159:D159"/>
    <mergeCell ref="A160:D160"/>
    <mergeCell ref="A161:D161"/>
    <mergeCell ref="A162:D162"/>
    <mergeCell ref="A163:D163"/>
    <mergeCell ref="A164:D164"/>
    <mergeCell ref="A153:D153"/>
    <mergeCell ref="A154:D154"/>
    <mergeCell ref="A155:D155"/>
    <mergeCell ref="A156:D156"/>
    <mergeCell ref="A157:D157"/>
    <mergeCell ref="A158:D158"/>
    <mergeCell ref="A147:D147"/>
    <mergeCell ref="A148:D148"/>
    <mergeCell ref="A149:D149"/>
    <mergeCell ref="A150:D150"/>
    <mergeCell ref="A151:D151"/>
    <mergeCell ref="A152:D152"/>
    <mergeCell ref="A141:D141"/>
    <mergeCell ref="A142:D142"/>
    <mergeCell ref="A143:D143"/>
    <mergeCell ref="A144:D144"/>
    <mergeCell ref="A145:D145"/>
    <mergeCell ref="A146:D146"/>
    <mergeCell ref="A135:D135"/>
    <mergeCell ref="A136:D136"/>
    <mergeCell ref="A137:D137"/>
    <mergeCell ref="A138:D138"/>
    <mergeCell ref="A139:D139"/>
    <mergeCell ref="A140:D140"/>
    <mergeCell ref="A129:D129"/>
    <mergeCell ref="A130:D130"/>
    <mergeCell ref="A131:D131"/>
    <mergeCell ref="A132:D132"/>
    <mergeCell ref="A133:D133"/>
    <mergeCell ref="A134:D134"/>
    <mergeCell ref="A123:D123"/>
    <mergeCell ref="A124:D124"/>
    <mergeCell ref="A125:D125"/>
    <mergeCell ref="A126:D126"/>
    <mergeCell ref="A127:D127"/>
    <mergeCell ref="A128:D128"/>
    <mergeCell ref="A117:D117"/>
    <mergeCell ref="A118:D118"/>
    <mergeCell ref="A119:D119"/>
    <mergeCell ref="A120:D120"/>
    <mergeCell ref="A121:D121"/>
    <mergeCell ref="A122:D122"/>
    <mergeCell ref="A111:D111"/>
    <mergeCell ref="A112:D112"/>
    <mergeCell ref="A113:D113"/>
    <mergeCell ref="A114:D114"/>
    <mergeCell ref="A115:D115"/>
    <mergeCell ref="A116:D116"/>
    <mergeCell ref="A105:D105"/>
    <mergeCell ref="A106:D106"/>
    <mergeCell ref="A107:D107"/>
    <mergeCell ref="A108:D108"/>
    <mergeCell ref="A109:D109"/>
    <mergeCell ref="A110:D110"/>
    <mergeCell ref="A99:D99"/>
    <mergeCell ref="A100:D100"/>
    <mergeCell ref="A101:D101"/>
    <mergeCell ref="A102:D102"/>
    <mergeCell ref="A103:D103"/>
    <mergeCell ref="A104:D104"/>
    <mergeCell ref="A93:D93"/>
    <mergeCell ref="A94:D94"/>
    <mergeCell ref="A95:D95"/>
    <mergeCell ref="A96:D96"/>
    <mergeCell ref="A97:D97"/>
    <mergeCell ref="A98:D98"/>
    <mergeCell ref="A87:D87"/>
    <mergeCell ref="A88:D88"/>
    <mergeCell ref="A89:D89"/>
    <mergeCell ref="A90:D90"/>
    <mergeCell ref="A91:D91"/>
    <mergeCell ref="A92:D92"/>
    <mergeCell ref="A81:D81"/>
    <mergeCell ref="A82:D82"/>
    <mergeCell ref="A83:D83"/>
    <mergeCell ref="A84:D84"/>
    <mergeCell ref="A85:D85"/>
    <mergeCell ref="A86:D86"/>
    <mergeCell ref="A75:D75"/>
    <mergeCell ref="A76:D76"/>
    <mergeCell ref="A77:D77"/>
    <mergeCell ref="A78:D78"/>
    <mergeCell ref="A79:D79"/>
    <mergeCell ref="A80:D80"/>
    <mergeCell ref="A69:D69"/>
    <mergeCell ref="A70:D70"/>
    <mergeCell ref="A71:D71"/>
    <mergeCell ref="A72:D72"/>
    <mergeCell ref="A73:D73"/>
    <mergeCell ref="A74:D74"/>
    <mergeCell ref="A63:D63"/>
    <mergeCell ref="A64:D64"/>
    <mergeCell ref="A65:D65"/>
    <mergeCell ref="A66:D66"/>
    <mergeCell ref="A67:D67"/>
    <mergeCell ref="A68:D68"/>
    <mergeCell ref="A57:D57"/>
    <mergeCell ref="A58:D58"/>
    <mergeCell ref="A59:D59"/>
    <mergeCell ref="A60:D60"/>
    <mergeCell ref="A61:D61"/>
    <mergeCell ref="A62:D62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39:D39"/>
    <mergeCell ref="A40:D40"/>
    <mergeCell ref="A41:D41"/>
    <mergeCell ref="A42:D42"/>
    <mergeCell ref="A43:D43"/>
    <mergeCell ref="A44:D44"/>
    <mergeCell ref="A33:D33"/>
    <mergeCell ref="A34:D34"/>
    <mergeCell ref="A35:D35"/>
    <mergeCell ref="A36:D36"/>
    <mergeCell ref="A37:D37"/>
    <mergeCell ref="A38:D38"/>
    <mergeCell ref="A27:D27"/>
    <mergeCell ref="A28:D28"/>
    <mergeCell ref="A29:D29"/>
    <mergeCell ref="A30:D30"/>
    <mergeCell ref="A31:D31"/>
    <mergeCell ref="A32:D32"/>
    <mergeCell ref="A21:D21"/>
    <mergeCell ref="A22:D22"/>
    <mergeCell ref="A23:D23"/>
    <mergeCell ref="A24:D24"/>
    <mergeCell ref="A25:D25"/>
    <mergeCell ref="A26:D26"/>
    <mergeCell ref="A18:D18"/>
    <mergeCell ref="A19:D19"/>
    <mergeCell ref="A20:D20"/>
    <mergeCell ref="A9:D9"/>
    <mergeCell ref="A10:D10"/>
    <mergeCell ref="A11:D11"/>
    <mergeCell ref="A12:D12"/>
    <mergeCell ref="A13:D13"/>
    <mergeCell ref="A14:D14"/>
    <mergeCell ref="B2:C2"/>
    <mergeCell ref="A4:D6"/>
    <mergeCell ref="E4:E6"/>
    <mergeCell ref="K4:K5"/>
    <mergeCell ref="A7:D7"/>
    <mergeCell ref="A8:D8"/>
    <mergeCell ref="A15:D15"/>
    <mergeCell ref="A16:D16"/>
    <mergeCell ref="A17:D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outlinePr summaryBelow="0" summaryRight="0"/>
    <pageSetUpPr autoPageBreaks="0" fitToPage="1"/>
  </sheetPr>
  <dimension ref="A1:AO53"/>
  <sheetViews>
    <sheetView topLeftCell="A16" zoomScale="85" zoomScaleNormal="85" workbookViewId="0">
      <selection activeCell="G27" sqref="G27"/>
    </sheetView>
  </sheetViews>
  <sheetFormatPr defaultRowHeight="11.25" outlineLevelRow="2" outlineLevelCol="1"/>
  <cols>
    <col min="1" max="1" width="46" style="1451" customWidth="1"/>
    <col min="2" max="2" width="15.5703125" style="1451" customWidth="1" outlineLevel="1"/>
    <col min="3" max="3" width="11.42578125" style="536" customWidth="1"/>
    <col min="4" max="4" width="13.85546875" style="536" customWidth="1"/>
    <col min="5" max="5" width="16.42578125" style="536" customWidth="1"/>
    <col min="6" max="6" width="11.85546875" style="536" customWidth="1"/>
    <col min="7" max="7" width="13.5703125" style="536" customWidth="1"/>
    <col min="8" max="8" width="14.7109375" style="536" customWidth="1"/>
    <col min="9" max="9" width="16.5703125" style="536" customWidth="1"/>
    <col min="10" max="10" width="13.42578125" style="536" customWidth="1"/>
    <col min="11" max="11" width="12.28515625" style="536" customWidth="1"/>
    <col min="12" max="12" width="11.5703125" style="537" customWidth="1" collapsed="1"/>
    <col min="13" max="14" width="11.5703125" style="537" hidden="1" customWidth="1" outlineLevel="1"/>
    <col min="15" max="15" width="12" style="537" hidden="1" customWidth="1" outlineLevel="1"/>
    <col min="16" max="16" width="9.5703125" style="537" hidden="1" customWidth="1" outlineLevel="1"/>
    <col min="17" max="18" width="9.140625" style="537" hidden="1" customWidth="1" outlineLevel="1"/>
    <col min="19" max="19" width="11.42578125" style="537" hidden="1" customWidth="1" outlineLevel="1"/>
    <col min="20" max="20" width="12.42578125" style="537" hidden="1" customWidth="1" outlineLevel="1"/>
    <col min="21" max="21" width="9.140625" style="537" hidden="1" customWidth="1" outlineLevel="1"/>
    <col min="22" max="22" width="9.140625" style="537"/>
    <col min="23" max="23" width="12.5703125" style="537" customWidth="1"/>
    <col min="24" max="24" width="9.140625" style="537"/>
    <col min="25" max="26" width="10.7109375" style="537" customWidth="1"/>
    <col min="27" max="41" width="9.140625" style="537"/>
    <col min="42" max="258" width="9.140625" style="536"/>
    <col min="259" max="259" width="46" style="536" customWidth="1"/>
    <col min="260" max="260" width="15.5703125" style="536" customWidth="1"/>
    <col min="261" max="261" width="13.28515625" style="536" customWidth="1"/>
    <col min="262" max="262" width="13.85546875" style="536" customWidth="1"/>
    <col min="263" max="263" width="17.7109375" style="536" customWidth="1"/>
    <col min="264" max="264" width="11.85546875" style="536" customWidth="1"/>
    <col min="265" max="265" width="12.5703125" style="536" customWidth="1"/>
    <col min="266" max="266" width="14.7109375" style="536" customWidth="1"/>
    <col min="267" max="267" width="15.28515625" style="536" customWidth="1"/>
    <col min="268" max="268" width="13.42578125" style="536" customWidth="1"/>
    <col min="269" max="269" width="12.28515625" style="536" customWidth="1"/>
    <col min="270" max="270" width="11.5703125" style="536" customWidth="1"/>
    <col min="271" max="514" width="9.140625" style="536"/>
    <col min="515" max="515" width="46" style="536" customWidth="1"/>
    <col min="516" max="516" width="15.5703125" style="536" customWidth="1"/>
    <col min="517" max="517" width="13.28515625" style="536" customWidth="1"/>
    <col min="518" max="518" width="13.85546875" style="536" customWidth="1"/>
    <col min="519" max="519" width="17.7109375" style="536" customWidth="1"/>
    <col min="520" max="520" width="11.85546875" style="536" customWidth="1"/>
    <col min="521" max="521" width="12.5703125" style="536" customWidth="1"/>
    <col min="522" max="522" width="14.7109375" style="536" customWidth="1"/>
    <col min="523" max="523" width="15.28515625" style="536" customWidth="1"/>
    <col min="524" max="524" width="13.42578125" style="536" customWidth="1"/>
    <col min="525" max="525" width="12.28515625" style="536" customWidth="1"/>
    <col min="526" max="526" width="11.5703125" style="536" customWidth="1"/>
    <col min="527" max="770" width="9.140625" style="536"/>
    <col min="771" max="771" width="46" style="536" customWidth="1"/>
    <col min="772" max="772" width="15.5703125" style="536" customWidth="1"/>
    <col min="773" max="773" width="13.28515625" style="536" customWidth="1"/>
    <col min="774" max="774" width="13.85546875" style="536" customWidth="1"/>
    <col min="775" max="775" width="17.7109375" style="536" customWidth="1"/>
    <col min="776" max="776" width="11.85546875" style="536" customWidth="1"/>
    <col min="777" max="777" width="12.5703125" style="536" customWidth="1"/>
    <col min="778" max="778" width="14.7109375" style="536" customWidth="1"/>
    <col min="779" max="779" width="15.28515625" style="536" customWidth="1"/>
    <col min="780" max="780" width="13.42578125" style="536" customWidth="1"/>
    <col min="781" max="781" width="12.28515625" style="536" customWidth="1"/>
    <col min="782" max="782" width="11.5703125" style="536" customWidth="1"/>
    <col min="783" max="1026" width="9.140625" style="536"/>
    <col min="1027" max="1027" width="46" style="536" customWidth="1"/>
    <col min="1028" max="1028" width="15.5703125" style="536" customWidth="1"/>
    <col min="1029" max="1029" width="13.28515625" style="536" customWidth="1"/>
    <col min="1030" max="1030" width="13.85546875" style="536" customWidth="1"/>
    <col min="1031" max="1031" width="17.7109375" style="536" customWidth="1"/>
    <col min="1032" max="1032" width="11.85546875" style="536" customWidth="1"/>
    <col min="1033" max="1033" width="12.5703125" style="536" customWidth="1"/>
    <col min="1034" max="1034" width="14.7109375" style="536" customWidth="1"/>
    <col min="1035" max="1035" width="15.28515625" style="536" customWidth="1"/>
    <col min="1036" max="1036" width="13.42578125" style="536" customWidth="1"/>
    <col min="1037" max="1037" width="12.28515625" style="536" customWidth="1"/>
    <col min="1038" max="1038" width="11.5703125" style="536" customWidth="1"/>
    <col min="1039" max="1282" width="9.140625" style="536"/>
    <col min="1283" max="1283" width="46" style="536" customWidth="1"/>
    <col min="1284" max="1284" width="15.5703125" style="536" customWidth="1"/>
    <col min="1285" max="1285" width="13.28515625" style="536" customWidth="1"/>
    <col min="1286" max="1286" width="13.85546875" style="536" customWidth="1"/>
    <col min="1287" max="1287" width="17.7109375" style="536" customWidth="1"/>
    <col min="1288" max="1288" width="11.85546875" style="536" customWidth="1"/>
    <col min="1289" max="1289" width="12.5703125" style="536" customWidth="1"/>
    <col min="1290" max="1290" width="14.7109375" style="536" customWidth="1"/>
    <col min="1291" max="1291" width="15.28515625" style="536" customWidth="1"/>
    <col min="1292" max="1292" width="13.42578125" style="536" customWidth="1"/>
    <col min="1293" max="1293" width="12.28515625" style="536" customWidth="1"/>
    <col min="1294" max="1294" width="11.5703125" style="536" customWidth="1"/>
    <col min="1295" max="1538" width="9.140625" style="536"/>
    <col min="1539" max="1539" width="46" style="536" customWidth="1"/>
    <col min="1540" max="1540" width="15.5703125" style="536" customWidth="1"/>
    <col min="1541" max="1541" width="13.28515625" style="536" customWidth="1"/>
    <col min="1542" max="1542" width="13.85546875" style="536" customWidth="1"/>
    <col min="1543" max="1543" width="17.7109375" style="536" customWidth="1"/>
    <col min="1544" max="1544" width="11.85546875" style="536" customWidth="1"/>
    <col min="1545" max="1545" width="12.5703125" style="536" customWidth="1"/>
    <col min="1546" max="1546" width="14.7109375" style="536" customWidth="1"/>
    <col min="1547" max="1547" width="15.28515625" style="536" customWidth="1"/>
    <col min="1548" max="1548" width="13.42578125" style="536" customWidth="1"/>
    <col min="1549" max="1549" width="12.28515625" style="536" customWidth="1"/>
    <col min="1550" max="1550" width="11.5703125" style="536" customWidth="1"/>
    <col min="1551" max="1794" width="9.140625" style="536"/>
    <col min="1795" max="1795" width="46" style="536" customWidth="1"/>
    <col min="1796" max="1796" width="15.5703125" style="536" customWidth="1"/>
    <col min="1797" max="1797" width="13.28515625" style="536" customWidth="1"/>
    <col min="1798" max="1798" width="13.85546875" style="536" customWidth="1"/>
    <col min="1799" max="1799" width="17.7109375" style="536" customWidth="1"/>
    <col min="1800" max="1800" width="11.85546875" style="536" customWidth="1"/>
    <col min="1801" max="1801" width="12.5703125" style="536" customWidth="1"/>
    <col min="1802" max="1802" width="14.7109375" style="536" customWidth="1"/>
    <col min="1803" max="1803" width="15.28515625" style="536" customWidth="1"/>
    <col min="1804" max="1804" width="13.42578125" style="536" customWidth="1"/>
    <col min="1805" max="1805" width="12.28515625" style="536" customWidth="1"/>
    <col min="1806" max="1806" width="11.5703125" style="536" customWidth="1"/>
    <col min="1807" max="2050" width="9.140625" style="536"/>
    <col min="2051" max="2051" width="46" style="536" customWidth="1"/>
    <col min="2052" max="2052" width="15.5703125" style="536" customWidth="1"/>
    <col min="2053" max="2053" width="13.28515625" style="536" customWidth="1"/>
    <col min="2054" max="2054" width="13.85546875" style="536" customWidth="1"/>
    <col min="2055" max="2055" width="17.7109375" style="536" customWidth="1"/>
    <col min="2056" max="2056" width="11.85546875" style="536" customWidth="1"/>
    <col min="2057" max="2057" width="12.5703125" style="536" customWidth="1"/>
    <col min="2058" max="2058" width="14.7109375" style="536" customWidth="1"/>
    <col min="2059" max="2059" width="15.28515625" style="536" customWidth="1"/>
    <col min="2060" max="2060" width="13.42578125" style="536" customWidth="1"/>
    <col min="2061" max="2061" width="12.28515625" style="536" customWidth="1"/>
    <col min="2062" max="2062" width="11.5703125" style="536" customWidth="1"/>
    <col min="2063" max="2306" width="9.140625" style="536"/>
    <col min="2307" max="2307" width="46" style="536" customWidth="1"/>
    <col min="2308" max="2308" width="15.5703125" style="536" customWidth="1"/>
    <col min="2309" max="2309" width="13.28515625" style="536" customWidth="1"/>
    <col min="2310" max="2310" width="13.85546875" style="536" customWidth="1"/>
    <col min="2311" max="2311" width="17.7109375" style="536" customWidth="1"/>
    <col min="2312" max="2312" width="11.85546875" style="536" customWidth="1"/>
    <col min="2313" max="2313" width="12.5703125" style="536" customWidth="1"/>
    <col min="2314" max="2314" width="14.7109375" style="536" customWidth="1"/>
    <col min="2315" max="2315" width="15.28515625" style="536" customWidth="1"/>
    <col min="2316" max="2316" width="13.42578125" style="536" customWidth="1"/>
    <col min="2317" max="2317" width="12.28515625" style="536" customWidth="1"/>
    <col min="2318" max="2318" width="11.5703125" style="536" customWidth="1"/>
    <col min="2319" max="2562" width="9.140625" style="536"/>
    <col min="2563" max="2563" width="46" style="536" customWidth="1"/>
    <col min="2564" max="2564" width="15.5703125" style="536" customWidth="1"/>
    <col min="2565" max="2565" width="13.28515625" style="536" customWidth="1"/>
    <col min="2566" max="2566" width="13.85546875" style="536" customWidth="1"/>
    <col min="2567" max="2567" width="17.7109375" style="536" customWidth="1"/>
    <col min="2568" max="2568" width="11.85546875" style="536" customWidth="1"/>
    <col min="2569" max="2569" width="12.5703125" style="536" customWidth="1"/>
    <col min="2570" max="2570" width="14.7109375" style="536" customWidth="1"/>
    <col min="2571" max="2571" width="15.28515625" style="536" customWidth="1"/>
    <col min="2572" max="2572" width="13.42578125" style="536" customWidth="1"/>
    <col min="2573" max="2573" width="12.28515625" style="536" customWidth="1"/>
    <col min="2574" max="2574" width="11.5703125" style="536" customWidth="1"/>
    <col min="2575" max="2818" width="9.140625" style="536"/>
    <col min="2819" max="2819" width="46" style="536" customWidth="1"/>
    <col min="2820" max="2820" width="15.5703125" style="536" customWidth="1"/>
    <col min="2821" max="2821" width="13.28515625" style="536" customWidth="1"/>
    <col min="2822" max="2822" width="13.85546875" style="536" customWidth="1"/>
    <col min="2823" max="2823" width="17.7109375" style="536" customWidth="1"/>
    <col min="2824" max="2824" width="11.85546875" style="536" customWidth="1"/>
    <col min="2825" max="2825" width="12.5703125" style="536" customWidth="1"/>
    <col min="2826" max="2826" width="14.7109375" style="536" customWidth="1"/>
    <col min="2827" max="2827" width="15.28515625" style="536" customWidth="1"/>
    <col min="2828" max="2828" width="13.42578125" style="536" customWidth="1"/>
    <col min="2829" max="2829" width="12.28515625" style="536" customWidth="1"/>
    <col min="2830" max="2830" width="11.5703125" style="536" customWidth="1"/>
    <col min="2831" max="3074" width="9.140625" style="536"/>
    <col min="3075" max="3075" width="46" style="536" customWidth="1"/>
    <col min="3076" max="3076" width="15.5703125" style="536" customWidth="1"/>
    <col min="3077" max="3077" width="13.28515625" style="536" customWidth="1"/>
    <col min="3078" max="3078" width="13.85546875" style="536" customWidth="1"/>
    <col min="3079" max="3079" width="17.7109375" style="536" customWidth="1"/>
    <col min="3080" max="3080" width="11.85546875" style="536" customWidth="1"/>
    <col min="3081" max="3081" width="12.5703125" style="536" customWidth="1"/>
    <col min="3082" max="3082" width="14.7109375" style="536" customWidth="1"/>
    <col min="3083" max="3083" width="15.28515625" style="536" customWidth="1"/>
    <col min="3084" max="3084" width="13.42578125" style="536" customWidth="1"/>
    <col min="3085" max="3085" width="12.28515625" style="536" customWidth="1"/>
    <col min="3086" max="3086" width="11.5703125" style="536" customWidth="1"/>
    <col min="3087" max="3330" width="9.140625" style="536"/>
    <col min="3331" max="3331" width="46" style="536" customWidth="1"/>
    <col min="3332" max="3332" width="15.5703125" style="536" customWidth="1"/>
    <col min="3333" max="3333" width="13.28515625" style="536" customWidth="1"/>
    <col min="3334" max="3334" width="13.85546875" style="536" customWidth="1"/>
    <col min="3335" max="3335" width="17.7109375" style="536" customWidth="1"/>
    <col min="3336" max="3336" width="11.85546875" style="536" customWidth="1"/>
    <col min="3337" max="3337" width="12.5703125" style="536" customWidth="1"/>
    <col min="3338" max="3338" width="14.7109375" style="536" customWidth="1"/>
    <col min="3339" max="3339" width="15.28515625" style="536" customWidth="1"/>
    <col min="3340" max="3340" width="13.42578125" style="536" customWidth="1"/>
    <col min="3341" max="3341" width="12.28515625" style="536" customWidth="1"/>
    <col min="3342" max="3342" width="11.5703125" style="536" customWidth="1"/>
    <col min="3343" max="3586" width="9.140625" style="536"/>
    <col min="3587" max="3587" width="46" style="536" customWidth="1"/>
    <col min="3588" max="3588" width="15.5703125" style="536" customWidth="1"/>
    <col min="3589" max="3589" width="13.28515625" style="536" customWidth="1"/>
    <col min="3590" max="3590" width="13.85546875" style="536" customWidth="1"/>
    <col min="3591" max="3591" width="17.7109375" style="536" customWidth="1"/>
    <col min="3592" max="3592" width="11.85546875" style="536" customWidth="1"/>
    <col min="3593" max="3593" width="12.5703125" style="536" customWidth="1"/>
    <col min="3594" max="3594" width="14.7109375" style="536" customWidth="1"/>
    <col min="3595" max="3595" width="15.28515625" style="536" customWidth="1"/>
    <col min="3596" max="3596" width="13.42578125" style="536" customWidth="1"/>
    <col min="3597" max="3597" width="12.28515625" style="536" customWidth="1"/>
    <col min="3598" max="3598" width="11.5703125" style="536" customWidth="1"/>
    <col min="3599" max="3842" width="9.140625" style="536"/>
    <col min="3843" max="3843" width="46" style="536" customWidth="1"/>
    <col min="3844" max="3844" width="15.5703125" style="536" customWidth="1"/>
    <col min="3845" max="3845" width="13.28515625" style="536" customWidth="1"/>
    <col min="3846" max="3846" width="13.85546875" style="536" customWidth="1"/>
    <col min="3847" max="3847" width="17.7109375" style="536" customWidth="1"/>
    <col min="3848" max="3848" width="11.85546875" style="536" customWidth="1"/>
    <col min="3849" max="3849" width="12.5703125" style="536" customWidth="1"/>
    <col min="3850" max="3850" width="14.7109375" style="536" customWidth="1"/>
    <col min="3851" max="3851" width="15.28515625" style="536" customWidth="1"/>
    <col min="3852" max="3852" width="13.42578125" style="536" customWidth="1"/>
    <col min="3853" max="3853" width="12.28515625" style="536" customWidth="1"/>
    <col min="3854" max="3854" width="11.5703125" style="536" customWidth="1"/>
    <col min="3855" max="4098" width="9.140625" style="536"/>
    <col min="4099" max="4099" width="46" style="536" customWidth="1"/>
    <col min="4100" max="4100" width="15.5703125" style="536" customWidth="1"/>
    <col min="4101" max="4101" width="13.28515625" style="536" customWidth="1"/>
    <col min="4102" max="4102" width="13.85546875" style="536" customWidth="1"/>
    <col min="4103" max="4103" width="17.7109375" style="536" customWidth="1"/>
    <col min="4104" max="4104" width="11.85546875" style="536" customWidth="1"/>
    <col min="4105" max="4105" width="12.5703125" style="536" customWidth="1"/>
    <col min="4106" max="4106" width="14.7109375" style="536" customWidth="1"/>
    <col min="4107" max="4107" width="15.28515625" style="536" customWidth="1"/>
    <col min="4108" max="4108" width="13.42578125" style="536" customWidth="1"/>
    <col min="4109" max="4109" width="12.28515625" style="536" customWidth="1"/>
    <col min="4110" max="4110" width="11.5703125" style="536" customWidth="1"/>
    <col min="4111" max="4354" width="9.140625" style="536"/>
    <col min="4355" max="4355" width="46" style="536" customWidth="1"/>
    <col min="4356" max="4356" width="15.5703125" style="536" customWidth="1"/>
    <col min="4357" max="4357" width="13.28515625" style="536" customWidth="1"/>
    <col min="4358" max="4358" width="13.85546875" style="536" customWidth="1"/>
    <col min="4359" max="4359" width="17.7109375" style="536" customWidth="1"/>
    <col min="4360" max="4360" width="11.85546875" style="536" customWidth="1"/>
    <col min="4361" max="4361" width="12.5703125" style="536" customWidth="1"/>
    <col min="4362" max="4362" width="14.7109375" style="536" customWidth="1"/>
    <col min="4363" max="4363" width="15.28515625" style="536" customWidth="1"/>
    <col min="4364" max="4364" width="13.42578125" style="536" customWidth="1"/>
    <col min="4365" max="4365" width="12.28515625" style="536" customWidth="1"/>
    <col min="4366" max="4366" width="11.5703125" style="536" customWidth="1"/>
    <col min="4367" max="4610" width="9.140625" style="536"/>
    <col min="4611" max="4611" width="46" style="536" customWidth="1"/>
    <col min="4612" max="4612" width="15.5703125" style="536" customWidth="1"/>
    <col min="4613" max="4613" width="13.28515625" style="536" customWidth="1"/>
    <col min="4614" max="4614" width="13.85546875" style="536" customWidth="1"/>
    <col min="4615" max="4615" width="17.7109375" style="536" customWidth="1"/>
    <col min="4616" max="4616" width="11.85546875" style="536" customWidth="1"/>
    <col min="4617" max="4617" width="12.5703125" style="536" customWidth="1"/>
    <col min="4618" max="4618" width="14.7109375" style="536" customWidth="1"/>
    <col min="4619" max="4619" width="15.28515625" style="536" customWidth="1"/>
    <col min="4620" max="4620" width="13.42578125" style="536" customWidth="1"/>
    <col min="4621" max="4621" width="12.28515625" style="536" customWidth="1"/>
    <col min="4622" max="4622" width="11.5703125" style="536" customWidth="1"/>
    <col min="4623" max="4866" width="9.140625" style="536"/>
    <col min="4867" max="4867" width="46" style="536" customWidth="1"/>
    <col min="4868" max="4868" width="15.5703125" style="536" customWidth="1"/>
    <col min="4869" max="4869" width="13.28515625" style="536" customWidth="1"/>
    <col min="4870" max="4870" width="13.85546875" style="536" customWidth="1"/>
    <col min="4871" max="4871" width="17.7109375" style="536" customWidth="1"/>
    <col min="4872" max="4872" width="11.85546875" style="536" customWidth="1"/>
    <col min="4873" max="4873" width="12.5703125" style="536" customWidth="1"/>
    <col min="4874" max="4874" width="14.7109375" style="536" customWidth="1"/>
    <col min="4875" max="4875" width="15.28515625" style="536" customWidth="1"/>
    <col min="4876" max="4876" width="13.42578125" style="536" customWidth="1"/>
    <col min="4877" max="4877" width="12.28515625" style="536" customWidth="1"/>
    <col min="4878" max="4878" width="11.5703125" style="536" customWidth="1"/>
    <col min="4879" max="5122" width="9.140625" style="536"/>
    <col min="5123" max="5123" width="46" style="536" customWidth="1"/>
    <col min="5124" max="5124" width="15.5703125" style="536" customWidth="1"/>
    <col min="5125" max="5125" width="13.28515625" style="536" customWidth="1"/>
    <col min="5126" max="5126" width="13.85546875" style="536" customWidth="1"/>
    <col min="5127" max="5127" width="17.7109375" style="536" customWidth="1"/>
    <col min="5128" max="5128" width="11.85546875" style="536" customWidth="1"/>
    <col min="5129" max="5129" width="12.5703125" style="536" customWidth="1"/>
    <col min="5130" max="5130" width="14.7109375" style="536" customWidth="1"/>
    <col min="5131" max="5131" width="15.28515625" style="536" customWidth="1"/>
    <col min="5132" max="5132" width="13.42578125" style="536" customWidth="1"/>
    <col min="5133" max="5133" width="12.28515625" style="536" customWidth="1"/>
    <col min="5134" max="5134" width="11.5703125" style="536" customWidth="1"/>
    <col min="5135" max="5378" width="9.140625" style="536"/>
    <col min="5379" max="5379" width="46" style="536" customWidth="1"/>
    <col min="5380" max="5380" width="15.5703125" style="536" customWidth="1"/>
    <col min="5381" max="5381" width="13.28515625" style="536" customWidth="1"/>
    <col min="5382" max="5382" width="13.85546875" style="536" customWidth="1"/>
    <col min="5383" max="5383" width="17.7109375" style="536" customWidth="1"/>
    <col min="5384" max="5384" width="11.85546875" style="536" customWidth="1"/>
    <col min="5385" max="5385" width="12.5703125" style="536" customWidth="1"/>
    <col min="5386" max="5386" width="14.7109375" style="536" customWidth="1"/>
    <col min="5387" max="5387" width="15.28515625" style="536" customWidth="1"/>
    <col min="5388" max="5388" width="13.42578125" style="536" customWidth="1"/>
    <col min="5389" max="5389" width="12.28515625" style="536" customWidth="1"/>
    <col min="5390" max="5390" width="11.5703125" style="536" customWidth="1"/>
    <col min="5391" max="5634" width="9.140625" style="536"/>
    <col min="5635" max="5635" width="46" style="536" customWidth="1"/>
    <col min="5636" max="5636" width="15.5703125" style="536" customWidth="1"/>
    <col min="5637" max="5637" width="13.28515625" style="536" customWidth="1"/>
    <col min="5638" max="5638" width="13.85546875" style="536" customWidth="1"/>
    <col min="5639" max="5639" width="17.7109375" style="536" customWidth="1"/>
    <col min="5640" max="5640" width="11.85546875" style="536" customWidth="1"/>
    <col min="5641" max="5641" width="12.5703125" style="536" customWidth="1"/>
    <col min="5642" max="5642" width="14.7109375" style="536" customWidth="1"/>
    <col min="5643" max="5643" width="15.28515625" style="536" customWidth="1"/>
    <col min="5644" max="5644" width="13.42578125" style="536" customWidth="1"/>
    <col min="5645" max="5645" width="12.28515625" style="536" customWidth="1"/>
    <col min="5646" max="5646" width="11.5703125" style="536" customWidth="1"/>
    <col min="5647" max="5890" width="9.140625" style="536"/>
    <col min="5891" max="5891" width="46" style="536" customWidth="1"/>
    <col min="5892" max="5892" width="15.5703125" style="536" customWidth="1"/>
    <col min="5893" max="5893" width="13.28515625" style="536" customWidth="1"/>
    <col min="5894" max="5894" width="13.85546875" style="536" customWidth="1"/>
    <col min="5895" max="5895" width="17.7109375" style="536" customWidth="1"/>
    <col min="5896" max="5896" width="11.85546875" style="536" customWidth="1"/>
    <col min="5897" max="5897" width="12.5703125" style="536" customWidth="1"/>
    <col min="5898" max="5898" width="14.7109375" style="536" customWidth="1"/>
    <col min="5899" max="5899" width="15.28515625" style="536" customWidth="1"/>
    <col min="5900" max="5900" width="13.42578125" style="536" customWidth="1"/>
    <col min="5901" max="5901" width="12.28515625" style="536" customWidth="1"/>
    <col min="5902" max="5902" width="11.5703125" style="536" customWidth="1"/>
    <col min="5903" max="6146" width="9.140625" style="536"/>
    <col min="6147" max="6147" width="46" style="536" customWidth="1"/>
    <col min="6148" max="6148" width="15.5703125" style="536" customWidth="1"/>
    <col min="6149" max="6149" width="13.28515625" style="536" customWidth="1"/>
    <col min="6150" max="6150" width="13.85546875" style="536" customWidth="1"/>
    <col min="6151" max="6151" width="17.7109375" style="536" customWidth="1"/>
    <col min="6152" max="6152" width="11.85546875" style="536" customWidth="1"/>
    <col min="6153" max="6153" width="12.5703125" style="536" customWidth="1"/>
    <col min="6154" max="6154" width="14.7109375" style="536" customWidth="1"/>
    <col min="6155" max="6155" width="15.28515625" style="536" customWidth="1"/>
    <col min="6156" max="6156" width="13.42578125" style="536" customWidth="1"/>
    <col min="6157" max="6157" width="12.28515625" style="536" customWidth="1"/>
    <col min="6158" max="6158" width="11.5703125" style="536" customWidth="1"/>
    <col min="6159" max="6402" width="9.140625" style="536"/>
    <col min="6403" max="6403" width="46" style="536" customWidth="1"/>
    <col min="6404" max="6404" width="15.5703125" style="536" customWidth="1"/>
    <col min="6405" max="6405" width="13.28515625" style="536" customWidth="1"/>
    <col min="6406" max="6406" width="13.85546875" style="536" customWidth="1"/>
    <col min="6407" max="6407" width="17.7109375" style="536" customWidth="1"/>
    <col min="6408" max="6408" width="11.85546875" style="536" customWidth="1"/>
    <col min="6409" max="6409" width="12.5703125" style="536" customWidth="1"/>
    <col min="6410" max="6410" width="14.7109375" style="536" customWidth="1"/>
    <col min="6411" max="6411" width="15.28515625" style="536" customWidth="1"/>
    <col min="6412" max="6412" width="13.42578125" style="536" customWidth="1"/>
    <col min="6413" max="6413" width="12.28515625" style="536" customWidth="1"/>
    <col min="6414" max="6414" width="11.5703125" style="536" customWidth="1"/>
    <col min="6415" max="6658" width="9.140625" style="536"/>
    <col min="6659" max="6659" width="46" style="536" customWidth="1"/>
    <col min="6660" max="6660" width="15.5703125" style="536" customWidth="1"/>
    <col min="6661" max="6661" width="13.28515625" style="536" customWidth="1"/>
    <col min="6662" max="6662" width="13.85546875" style="536" customWidth="1"/>
    <col min="6663" max="6663" width="17.7109375" style="536" customWidth="1"/>
    <col min="6664" max="6664" width="11.85546875" style="536" customWidth="1"/>
    <col min="6665" max="6665" width="12.5703125" style="536" customWidth="1"/>
    <col min="6666" max="6666" width="14.7109375" style="536" customWidth="1"/>
    <col min="6667" max="6667" width="15.28515625" style="536" customWidth="1"/>
    <col min="6668" max="6668" width="13.42578125" style="536" customWidth="1"/>
    <col min="6669" max="6669" width="12.28515625" style="536" customWidth="1"/>
    <col min="6670" max="6670" width="11.5703125" style="536" customWidth="1"/>
    <col min="6671" max="6914" width="9.140625" style="536"/>
    <col min="6915" max="6915" width="46" style="536" customWidth="1"/>
    <col min="6916" max="6916" width="15.5703125" style="536" customWidth="1"/>
    <col min="6917" max="6917" width="13.28515625" style="536" customWidth="1"/>
    <col min="6918" max="6918" width="13.85546875" style="536" customWidth="1"/>
    <col min="6919" max="6919" width="17.7109375" style="536" customWidth="1"/>
    <col min="6920" max="6920" width="11.85546875" style="536" customWidth="1"/>
    <col min="6921" max="6921" width="12.5703125" style="536" customWidth="1"/>
    <col min="6922" max="6922" width="14.7109375" style="536" customWidth="1"/>
    <col min="6923" max="6923" width="15.28515625" style="536" customWidth="1"/>
    <col min="6924" max="6924" width="13.42578125" style="536" customWidth="1"/>
    <col min="6925" max="6925" width="12.28515625" style="536" customWidth="1"/>
    <col min="6926" max="6926" width="11.5703125" style="536" customWidth="1"/>
    <col min="6927" max="7170" width="9.140625" style="536"/>
    <col min="7171" max="7171" width="46" style="536" customWidth="1"/>
    <col min="7172" max="7172" width="15.5703125" style="536" customWidth="1"/>
    <col min="7173" max="7173" width="13.28515625" style="536" customWidth="1"/>
    <col min="7174" max="7174" width="13.85546875" style="536" customWidth="1"/>
    <col min="7175" max="7175" width="17.7109375" style="536" customWidth="1"/>
    <col min="7176" max="7176" width="11.85546875" style="536" customWidth="1"/>
    <col min="7177" max="7177" width="12.5703125" style="536" customWidth="1"/>
    <col min="7178" max="7178" width="14.7109375" style="536" customWidth="1"/>
    <col min="7179" max="7179" width="15.28515625" style="536" customWidth="1"/>
    <col min="7180" max="7180" width="13.42578125" style="536" customWidth="1"/>
    <col min="7181" max="7181" width="12.28515625" style="536" customWidth="1"/>
    <col min="7182" max="7182" width="11.5703125" style="536" customWidth="1"/>
    <col min="7183" max="7426" width="9.140625" style="536"/>
    <col min="7427" max="7427" width="46" style="536" customWidth="1"/>
    <col min="7428" max="7428" width="15.5703125" style="536" customWidth="1"/>
    <col min="7429" max="7429" width="13.28515625" style="536" customWidth="1"/>
    <col min="7430" max="7430" width="13.85546875" style="536" customWidth="1"/>
    <col min="7431" max="7431" width="17.7109375" style="536" customWidth="1"/>
    <col min="7432" max="7432" width="11.85546875" style="536" customWidth="1"/>
    <col min="7433" max="7433" width="12.5703125" style="536" customWidth="1"/>
    <col min="7434" max="7434" width="14.7109375" style="536" customWidth="1"/>
    <col min="7435" max="7435" width="15.28515625" style="536" customWidth="1"/>
    <col min="7436" max="7436" width="13.42578125" style="536" customWidth="1"/>
    <col min="7437" max="7437" width="12.28515625" style="536" customWidth="1"/>
    <col min="7438" max="7438" width="11.5703125" style="536" customWidth="1"/>
    <col min="7439" max="7682" width="9.140625" style="536"/>
    <col min="7683" max="7683" width="46" style="536" customWidth="1"/>
    <col min="7684" max="7684" width="15.5703125" style="536" customWidth="1"/>
    <col min="7685" max="7685" width="13.28515625" style="536" customWidth="1"/>
    <col min="7686" max="7686" width="13.85546875" style="536" customWidth="1"/>
    <col min="7687" max="7687" width="17.7109375" style="536" customWidth="1"/>
    <col min="7688" max="7688" width="11.85546875" style="536" customWidth="1"/>
    <col min="7689" max="7689" width="12.5703125" style="536" customWidth="1"/>
    <col min="7690" max="7690" width="14.7109375" style="536" customWidth="1"/>
    <col min="7691" max="7691" width="15.28515625" style="536" customWidth="1"/>
    <col min="7692" max="7692" width="13.42578125" style="536" customWidth="1"/>
    <col min="7693" max="7693" width="12.28515625" style="536" customWidth="1"/>
    <col min="7694" max="7694" width="11.5703125" style="536" customWidth="1"/>
    <col min="7695" max="7938" width="9.140625" style="536"/>
    <col min="7939" max="7939" width="46" style="536" customWidth="1"/>
    <col min="7940" max="7940" width="15.5703125" style="536" customWidth="1"/>
    <col min="7941" max="7941" width="13.28515625" style="536" customWidth="1"/>
    <col min="7942" max="7942" width="13.85546875" style="536" customWidth="1"/>
    <col min="7943" max="7943" width="17.7109375" style="536" customWidth="1"/>
    <col min="7944" max="7944" width="11.85546875" style="536" customWidth="1"/>
    <col min="7945" max="7945" width="12.5703125" style="536" customWidth="1"/>
    <col min="7946" max="7946" width="14.7109375" style="536" customWidth="1"/>
    <col min="7947" max="7947" width="15.28515625" style="536" customWidth="1"/>
    <col min="7948" max="7948" width="13.42578125" style="536" customWidth="1"/>
    <col min="7949" max="7949" width="12.28515625" style="536" customWidth="1"/>
    <col min="7950" max="7950" width="11.5703125" style="536" customWidth="1"/>
    <col min="7951" max="8194" width="9.140625" style="536"/>
    <col min="8195" max="8195" width="46" style="536" customWidth="1"/>
    <col min="8196" max="8196" width="15.5703125" style="536" customWidth="1"/>
    <col min="8197" max="8197" width="13.28515625" style="536" customWidth="1"/>
    <col min="8198" max="8198" width="13.85546875" style="536" customWidth="1"/>
    <col min="8199" max="8199" width="17.7109375" style="536" customWidth="1"/>
    <col min="8200" max="8200" width="11.85546875" style="536" customWidth="1"/>
    <col min="8201" max="8201" width="12.5703125" style="536" customWidth="1"/>
    <col min="8202" max="8202" width="14.7109375" style="536" customWidth="1"/>
    <col min="8203" max="8203" width="15.28515625" style="536" customWidth="1"/>
    <col min="8204" max="8204" width="13.42578125" style="536" customWidth="1"/>
    <col min="8205" max="8205" width="12.28515625" style="536" customWidth="1"/>
    <col min="8206" max="8206" width="11.5703125" style="536" customWidth="1"/>
    <col min="8207" max="8450" width="9.140625" style="536"/>
    <col min="8451" max="8451" width="46" style="536" customWidth="1"/>
    <col min="8452" max="8452" width="15.5703125" style="536" customWidth="1"/>
    <col min="8453" max="8453" width="13.28515625" style="536" customWidth="1"/>
    <col min="8454" max="8454" width="13.85546875" style="536" customWidth="1"/>
    <col min="8455" max="8455" width="17.7109375" style="536" customWidth="1"/>
    <col min="8456" max="8456" width="11.85546875" style="536" customWidth="1"/>
    <col min="8457" max="8457" width="12.5703125" style="536" customWidth="1"/>
    <col min="8458" max="8458" width="14.7109375" style="536" customWidth="1"/>
    <col min="8459" max="8459" width="15.28515625" style="536" customWidth="1"/>
    <col min="8460" max="8460" width="13.42578125" style="536" customWidth="1"/>
    <col min="8461" max="8461" width="12.28515625" style="536" customWidth="1"/>
    <col min="8462" max="8462" width="11.5703125" style="536" customWidth="1"/>
    <col min="8463" max="8706" width="9.140625" style="536"/>
    <col min="8707" max="8707" width="46" style="536" customWidth="1"/>
    <col min="8708" max="8708" width="15.5703125" style="536" customWidth="1"/>
    <col min="8709" max="8709" width="13.28515625" style="536" customWidth="1"/>
    <col min="8710" max="8710" width="13.85546875" style="536" customWidth="1"/>
    <col min="8711" max="8711" width="17.7109375" style="536" customWidth="1"/>
    <col min="8712" max="8712" width="11.85546875" style="536" customWidth="1"/>
    <col min="8713" max="8713" width="12.5703125" style="536" customWidth="1"/>
    <col min="8714" max="8714" width="14.7109375" style="536" customWidth="1"/>
    <col min="8715" max="8715" width="15.28515625" style="536" customWidth="1"/>
    <col min="8716" max="8716" width="13.42578125" style="536" customWidth="1"/>
    <col min="8717" max="8717" width="12.28515625" style="536" customWidth="1"/>
    <col min="8718" max="8718" width="11.5703125" style="536" customWidth="1"/>
    <col min="8719" max="8962" width="9.140625" style="536"/>
    <col min="8963" max="8963" width="46" style="536" customWidth="1"/>
    <col min="8964" max="8964" width="15.5703125" style="536" customWidth="1"/>
    <col min="8965" max="8965" width="13.28515625" style="536" customWidth="1"/>
    <col min="8966" max="8966" width="13.85546875" style="536" customWidth="1"/>
    <col min="8967" max="8967" width="17.7109375" style="536" customWidth="1"/>
    <col min="8968" max="8968" width="11.85546875" style="536" customWidth="1"/>
    <col min="8969" max="8969" width="12.5703125" style="536" customWidth="1"/>
    <col min="8970" max="8970" width="14.7109375" style="536" customWidth="1"/>
    <col min="8971" max="8971" width="15.28515625" style="536" customWidth="1"/>
    <col min="8972" max="8972" width="13.42578125" style="536" customWidth="1"/>
    <col min="8973" max="8973" width="12.28515625" style="536" customWidth="1"/>
    <col min="8974" max="8974" width="11.5703125" style="536" customWidth="1"/>
    <col min="8975" max="9218" width="9.140625" style="536"/>
    <col min="9219" max="9219" width="46" style="536" customWidth="1"/>
    <col min="9220" max="9220" width="15.5703125" style="536" customWidth="1"/>
    <col min="9221" max="9221" width="13.28515625" style="536" customWidth="1"/>
    <col min="9222" max="9222" width="13.85546875" style="536" customWidth="1"/>
    <col min="9223" max="9223" width="17.7109375" style="536" customWidth="1"/>
    <col min="9224" max="9224" width="11.85546875" style="536" customWidth="1"/>
    <col min="9225" max="9225" width="12.5703125" style="536" customWidth="1"/>
    <col min="9226" max="9226" width="14.7109375" style="536" customWidth="1"/>
    <col min="9227" max="9227" width="15.28515625" style="536" customWidth="1"/>
    <col min="9228" max="9228" width="13.42578125" style="536" customWidth="1"/>
    <col min="9229" max="9229" width="12.28515625" style="536" customWidth="1"/>
    <col min="9230" max="9230" width="11.5703125" style="536" customWidth="1"/>
    <col min="9231" max="9474" width="9.140625" style="536"/>
    <col min="9475" max="9475" width="46" style="536" customWidth="1"/>
    <col min="9476" max="9476" width="15.5703125" style="536" customWidth="1"/>
    <col min="9477" max="9477" width="13.28515625" style="536" customWidth="1"/>
    <col min="9478" max="9478" width="13.85546875" style="536" customWidth="1"/>
    <col min="9479" max="9479" width="17.7109375" style="536" customWidth="1"/>
    <col min="9480" max="9480" width="11.85546875" style="536" customWidth="1"/>
    <col min="9481" max="9481" width="12.5703125" style="536" customWidth="1"/>
    <col min="9482" max="9482" width="14.7109375" style="536" customWidth="1"/>
    <col min="9483" max="9483" width="15.28515625" style="536" customWidth="1"/>
    <col min="9484" max="9484" width="13.42578125" style="536" customWidth="1"/>
    <col min="9485" max="9485" width="12.28515625" style="536" customWidth="1"/>
    <col min="9486" max="9486" width="11.5703125" style="536" customWidth="1"/>
    <col min="9487" max="9730" width="9.140625" style="536"/>
    <col min="9731" max="9731" width="46" style="536" customWidth="1"/>
    <col min="9732" max="9732" width="15.5703125" style="536" customWidth="1"/>
    <col min="9733" max="9733" width="13.28515625" style="536" customWidth="1"/>
    <col min="9734" max="9734" width="13.85546875" style="536" customWidth="1"/>
    <col min="9735" max="9735" width="17.7109375" style="536" customWidth="1"/>
    <col min="9736" max="9736" width="11.85546875" style="536" customWidth="1"/>
    <col min="9737" max="9737" width="12.5703125" style="536" customWidth="1"/>
    <col min="9738" max="9738" width="14.7109375" style="536" customWidth="1"/>
    <col min="9739" max="9739" width="15.28515625" style="536" customWidth="1"/>
    <col min="9740" max="9740" width="13.42578125" style="536" customWidth="1"/>
    <col min="9741" max="9741" width="12.28515625" style="536" customWidth="1"/>
    <col min="9742" max="9742" width="11.5703125" style="536" customWidth="1"/>
    <col min="9743" max="9986" width="9.140625" style="536"/>
    <col min="9987" max="9987" width="46" style="536" customWidth="1"/>
    <col min="9988" max="9988" width="15.5703125" style="536" customWidth="1"/>
    <col min="9989" max="9989" width="13.28515625" style="536" customWidth="1"/>
    <col min="9990" max="9990" width="13.85546875" style="536" customWidth="1"/>
    <col min="9991" max="9991" width="17.7109375" style="536" customWidth="1"/>
    <col min="9992" max="9992" width="11.85546875" style="536" customWidth="1"/>
    <col min="9993" max="9993" width="12.5703125" style="536" customWidth="1"/>
    <col min="9994" max="9994" width="14.7109375" style="536" customWidth="1"/>
    <col min="9995" max="9995" width="15.28515625" style="536" customWidth="1"/>
    <col min="9996" max="9996" width="13.42578125" style="536" customWidth="1"/>
    <col min="9997" max="9997" width="12.28515625" style="536" customWidth="1"/>
    <col min="9998" max="9998" width="11.5703125" style="536" customWidth="1"/>
    <col min="9999" max="10242" width="9.140625" style="536"/>
    <col min="10243" max="10243" width="46" style="536" customWidth="1"/>
    <col min="10244" max="10244" width="15.5703125" style="536" customWidth="1"/>
    <col min="10245" max="10245" width="13.28515625" style="536" customWidth="1"/>
    <col min="10246" max="10246" width="13.85546875" style="536" customWidth="1"/>
    <col min="10247" max="10247" width="17.7109375" style="536" customWidth="1"/>
    <col min="10248" max="10248" width="11.85546875" style="536" customWidth="1"/>
    <col min="10249" max="10249" width="12.5703125" style="536" customWidth="1"/>
    <col min="10250" max="10250" width="14.7109375" style="536" customWidth="1"/>
    <col min="10251" max="10251" width="15.28515625" style="536" customWidth="1"/>
    <col min="10252" max="10252" width="13.42578125" style="536" customWidth="1"/>
    <col min="10253" max="10253" width="12.28515625" style="536" customWidth="1"/>
    <col min="10254" max="10254" width="11.5703125" style="536" customWidth="1"/>
    <col min="10255" max="10498" width="9.140625" style="536"/>
    <col min="10499" max="10499" width="46" style="536" customWidth="1"/>
    <col min="10500" max="10500" width="15.5703125" style="536" customWidth="1"/>
    <col min="10501" max="10501" width="13.28515625" style="536" customWidth="1"/>
    <col min="10502" max="10502" width="13.85546875" style="536" customWidth="1"/>
    <col min="10503" max="10503" width="17.7109375" style="536" customWidth="1"/>
    <col min="10504" max="10504" width="11.85546875" style="536" customWidth="1"/>
    <col min="10505" max="10505" width="12.5703125" style="536" customWidth="1"/>
    <col min="10506" max="10506" width="14.7109375" style="536" customWidth="1"/>
    <col min="10507" max="10507" width="15.28515625" style="536" customWidth="1"/>
    <col min="10508" max="10508" width="13.42578125" style="536" customWidth="1"/>
    <col min="10509" max="10509" width="12.28515625" style="536" customWidth="1"/>
    <col min="10510" max="10510" width="11.5703125" style="536" customWidth="1"/>
    <col min="10511" max="10754" width="9.140625" style="536"/>
    <col min="10755" max="10755" width="46" style="536" customWidth="1"/>
    <col min="10756" max="10756" width="15.5703125" style="536" customWidth="1"/>
    <col min="10757" max="10757" width="13.28515625" style="536" customWidth="1"/>
    <col min="10758" max="10758" width="13.85546875" style="536" customWidth="1"/>
    <col min="10759" max="10759" width="17.7109375" style="536" customWidth="1"/>
    <col min="10760" max="10760" width="11.85546875" style="536" customWidth="1"/>
    <col min="10761" max="10761" width="12.5703125" style="536" customWidth="1"/>
    <col min="10762" max="10762" width="14.7109375" style="536" customWidth="1"/>
    <col min="10763" max="10763" width="15.28515625" style="536" customWidth="1"/>
    <col min="10764" max="10764" width="13.42578125" style="536" customWidth="1"/>
    <col min="10765" max="10765" width="12.28515625" style="536" customWidth="1"/>
    <col min="10766" max="10766" width="11.5703125" style="536" customWidth="1"/>
    <col min="10767" max="11010" width="9.140625" style="536"/>
    <col min="11011" max="11011" width="46" style="536" customWidth="1"/>
    <col min="11012" max="11012" width="15.5703125" style="536" customWidth="1"/>
    <col min="11013" max="11013" width="13.28515625" style="536" customWidth="1"/>
    <col min="11014" max="11014" width="13.85546875" style="536" customWidth="1"/>
    <col min="11015" max="11015" width="17.7109375" style="536" customWidth="1"/>
    <col min="11016" max="11016" width="11.85546875" style="536" customWidth="1"/>
    <col min="11017" max="11017" width="12.5703125" style="536" customWidth="1"/>
    <col min="11018" max="11018" width="14.7109375" style="536" customWidth="1"/>
    <col min="11019" max="11019" width="15.28515625" style="536" customWidth="1"/>
    <col min="11020" max="11020" width="13.42578125" style="536" customWidth="1"/>
    <col min="11021" max="11021" width="12.28515625" style="536" customWidth="1"/>
    <col min="11022" max="11022" width="11.5703125" style="536" customWidth="1"/>
    <col min="11023" max="11266" width="9.140625" style="536"/>
    <col min="11267" max="11267" width="46" style="536" customWidth="1"/>
    <col min="11268" max="11268" width="15.5703125" style="536" customWidth="1"/>
    <col min="11269" max="11269" width="13.28515625" style="536" customWidth="1"/>
    <col min="11270" max="11270" width="13.85546875" style="536" customWidth="1"/>
    <col min="11271" max="11271" width="17.7109375" style="536" customWidth="1"/>
    <col min="11272" max="11272" width="11.85546875" style="536" customWidth="1"/>
    <col min="11273" max="11273" width="12.5703125" style="536" customWidth="1"/>
    <col min="11274" max="11274" width="14.7109375" style="536" customWidth="1"/>
    <col min="11275" max="11275" width="15.28515625" style="536" customWidth="1"/>
    <col min="11276" max="11276" width="13.42578125" style="536" customWidth="1"/>
    <col min="11277" max="11277" width="12.28515625" style="536" customWidth="1"/>
    <col min="11278" max="11278" width="11.5703125" style="536" customWidth="1"/>
    <col min="11279" max="11522" width="9.140625" style="536"/>
    <col min="11523" max="11523" width="46" style="536" customWidth="1"/>
    <col min="11524" max="11524" width="15.5703125" style="536" customWidth="1"/>
    <col min="11525" max="11525" width="13.28515625" style="536" customWidth="1"/>
    <col min="11526" max="11526" width="13.85546875" style="536" customWidth="1"/>
    <col min="11527" max="11527" width="17.7109375" style="536" customWidth="1"/>
    <col min="11528" max="11528" width="11.85546875" style="536" customWidth="1"/>
    <col min="11529" max="11529" width="12.5703125" style="536" customWidth="1"/>
    <col min="11530" max="11530" width="14.7109375" style="536" customWidth="1"/>
    <col min="11531" max="11531" width="15.28515625" style="536" customWidth="1"/>
    <col min="11532" max="11532" width="13.42578125" style="536" customWidth="1"/>
    <col min="11533" max="11533" width="12.28515625" style="536" customWidth="1"/>
    <col min="11534" max="11534" width="11.5703125" style="536" customWidth="1"/>
    <col min="11535" max="11778" width="9.140625" style="536"/>
    <col min="11779" max="11779" width="46" style="536" customWidth="1"/>
    <col min="11780" max="11780" width="15.5703125" style="536" customWidth="1"/>
    <col min="11781" max="11781" width="13.28515625" style="536" customWidth="1"/>
    <col min="11782" max="11782" width="13.85546875" style="536" customWidth="1"/>
    <col min="11783" max="11783" width="17.7109375" style="536" customWidth="1"/>
    <col min="11784" max="11784" width="11.85546875" style="536" customWidth="1"/>
    <col min="11785" max="11785" width="12.5703125" style="536" customWidth="1"/>
    <col min="11786" max="11786" width="14.7109375" style="536" customWidth="1"/>
    <col min="11787" max="11787" width="15.28515625" style="536" customWidth="1"/>
    <col min="11788" max="11788" width="13.42578125" style="536" customWidth="1"/>
    <col min="11789" max="11789" width="12.28515625" style="536" customWidth="1"/>
    <col min="11790" max="11790" width="11.5703125" style="536" customWidth="1"/>
    <col min="11791" max="12034" width="9.140625" style="536"/>
    <col min="12035" max="12035" width="46" style="536" customWidth="1"/>
    <col min="12036" max="12036" width="15.5703125" style="536" customWidth="1"/>
    <col min="12037" max="12037" width="13.28515625" style="536" customWidth="1"/>
    <col min="12038" max="12038" width="13.85546875" style="536" customWidth="1"/>
    <col min="12039" max="12039" width="17.7109375" style="536" customWidth="1"/>
    <col min="12040" max="12040" width="11.85546875" style="536" customWidth="1"/>
    <col min="12041" max="12041" width="12.5703125" style="536" customWidth="1"/>
    <col min="12042" max="12042" width="14.7109375" style="536" customWidth="1"/>
    <col min="12043" max="12043" width="15.28515625" style="536" customWidth="1"/>
    <col min="12044" max="12044" width="13.42578125" style="536" customWidth="1"/>
    <col min="12045" max="12045" width="12.28515625" style="536" customWidth="1"/>
    <col min="12046" max="12046" width="11.5703125" style="536" customWidth="1"/>
    <col min="12047" max="12290" width="9.140625" style="536"/>
    <col min="12291" max="12291" width="46" style="536" customWidth="1"/>
    <col min="12292" max="12292" width="15.5703125" style="536" customWidth="1"/>
    <col min="12293" max="12293" width="13.28515625" style="536" customWidth="1"/>
    <col min="12294" max="12294" width="13.85546875" style="536" customWidth="1"/>
    <col min="12295" max="12295" width="17.7109375" style="536" customWidth="1"/>
    <col min="12296" max="12296" width="11.85546875" style="536" customWidth="1"/>
    <col min="12297" max="12297" width="12.5703125" style="536" customWidth="1"/>
    <col min="12298" max="12298" width="14.7109375" style="536" customWidth="1"/>
    <col min="12299" max="12299" width="15.28515625" style="536" customWidth="1"/>
    <col min="12300" max="12300" width="13.42578125" style="536" customWidth="1"/>
    <col min="12301" max="12301" width="12.28515625" style="536" customWidth="1"/>
    <col min="12302" max="12302" width="11.5703125" style="536" customWidth="1"/>
    <col min="12303" max="12546" width="9.140625" style="536"/>
    <col min="12547" max="12547" width="46" style="536" customWidth="1"/>
    <col min="12548" max="12548" width="15.5703125" style="536" customWidth="1"/>
    <col min="12549" max="12549" width="13.28515625" style="536" customWidth="1"/>
    <col min="12550" max="12550" width="13.85546875" style="536" customWidth="1"/>
    <col min="12551" max="12551" width="17.7109375" style="536" customWidth="1"/>
    <col min="12552" max="12552" width="11.85546875" style="536" customWidth="1"/>
    <col min="12553" max="12553" width="12.5703125" style="536" customWidth="1"/>
    <col min="12554" max="12554" width="14.7109375" style="536" customWidth="1"/>
    <col min="12555" max="12555" width="15.28515625" style="536" customWidth="1"/>
    <col min="12556" max="12556" width="13.42578125" style="536" customWidth="1"/>
    <col min="12557" max="12557" width="12.28515625" style="536" customWidth="1"/>
    <col min="12558" max="12558" width="11.5703125" style="536" customWidth="1"/>
    <col min="12559" max="12802" width="9.140625" style="536"/>
    <col min="12803" max="12803" width="46" style="536" customWidth="1"/>
    <col min="12804" max="12804" width="15.5703125" style="536" customWidth="1"/>
    <col min="12805" max="12805" width="13.28515625" style="536" customWidth="1"/>
    <col min="12806" max="12806" width="13.85546875" style="536" customWidth="1"/>
    <col min="12807" max="12807" width="17.7109375" style="536" customWidth="1"/>
    <col min="12808" max="12808" width="11.85546875" style="536" customWidth="1"/>
    <col min="12809" max="12809" width="12.5703125" style="536" customWidth="1"/>
    <col min="12810" max="12810" width="14.7109375" style="536" customWidth="1"/>
    <col min="12811" max="12811" width="15.28515625" style="536" customWidth="1"/>
    <col min="12812" max="12812" width="13.42578125" style="536" customWidth="1"/>
    <col min="12813" max="12813" width="12.28515625" style="536" customWidth="1"/>
    <col min="12814" max="12814" width="11.5703125" style="536" customWidth="1"/>
    <col min="12815" max="13058" width="9.140625" style="536"/>
    <col min="13059" max="13059" width="46" style="536" customWidth="1"/>
    <col min="13060" max="13060" width="15.5703125" style="536" customWidth="1"/>
    <col min="13061" max="13061" width="13.28515625" style="536" customWidth="1"/>
    <col min="13062" max="13062" width="13.85546875" style="536" customWidth="1"/>
    <col min="13063" max="13063" width="17.7109375" style="536" customWidth="1"/>
    <col min="13064" max="13064" width="11.85546875" style="536" customWidth="1"/>
    <col min="13065" max="13065" width="12.5703125" style="536" customWidth="1"/>
    <col min="13066" max="13066" width="14.7109375" style="536" customWidth="1"/>
    <col min="13067" max="13067" width="15.28515625" style="536" customWidth="1"/>
    <col min="13068" max="13068" width="13.42578125" style="536" customWidth="1"/>
    <col min="13069" max="13069" width="12.28515625" style="536" customWidth="1"/>
    <col min="13070" max="13070" width="11.5703125" style="536" customWidth="1"/>
    <col min="13071" max="13314" width="9.140625" style="536"/>
    <col min="13315" max="13315" width="46" style="536" customWidth="1"/>
    <col min="13316" max="13316" width="15.5703125" style="536" customWidth="1"/>
    <col min="13317" max="13317" width="13.28515625" style="536" customWidth="1"/>
    <col min="13318" max="13318" width="13.85546875" style="536" customWidth="1"/>
    <col min="13319" max="13319" width="17.7109375" style="536" customWidth="1"/>
    <col min="13320" max="13320" width="11.85546875" style="536" customWidth="1"/>
    <col min="13321" max="13321" width="12.5703125" style="536" customWidth="1"/>
    <col min="13322" max="13322" width="14.7109375" style="536" customWidth="1"/>
    <col min="13323" max="13323" width="15.28515625" style="536" customWidth="1"/>
    <col min="13324" max="13324" width="13.42578125" style="536" customWidth="1"/>
    <col min="13325" max="13325" width="12.28515625" style="536" customWidth="1"/>
    <col min="13326" max="13326" width="11.5703125" style="536" customWidth="1"/>
    <col min="13327" max="13570" width="9.140625" style="536"/>
    <col min="13571" max="13571" width="46" style="536" customWidth="1"/>
    <col min="13572" max="13572" width="15.5703125" style="536" customWidth="1"/>
    <col min="13573" max="13573" width="13.28515625" style="536" customWidth="1"/>
    <col min="13574" max="13574" width="13.85546875" style="536" customWidth="1"/>
    <col min="13575" max="13575" width="17.7109375" style="536" customWidth="1"/>
    <col min="13576" max="13576" width="11.85546875" style="536" customWidth="1"/>
    <col min="13577" max="13577" width="12.5703125" style="536" customWidth="1"/>
    <col min="13578" max="13578" width="14.7109375" style="536" customWidth="1"/>
    <col min="13579" max="13579" width="15.28515625" style="536" customWidth="1"/>
    <col min="13580" max="13580" width="13.42578125" style="536" customWidth="1"/>
    <col min="13581" max="13581" width="12.28515625" style="536" customWidth="1"/>
    <col min="13582" max="13582" width="11.5703125" style="536" customWidth="1"/>
    <col min="13583" max="13826" width="9.140625" style="536"/>
    <col min="13827" max="13827" width="46" style="536" customWidth="1"/>
    <col min="13828" max="13828" width="15.5703125" style="536" customWidth="1"/>
    <col min="13829" max="13829" width="13.28515625" style="536" customWidth="1"/>
    <col min="13830" max="13830" width="13.85546875" style="536" customWidth="1"/>
    <col min="13831" max="13831" width="17.7109375" style="536" customWidth="1"/>
    <col min="13832" max="13832" width="11.85546875" style="536" customWidth="1"/>
    <col min="13833" max="13833" width="12.5703125" style="536" customWidth="1"/>
    <col min="13834" max="13834" width="14.7109375" style="536" customWidth="1"/>
    <col min="13835" max="13835" width="15.28515625" style="536" customWidth="1"/>
    <col min="13836" max="13836" width="13.42578125" style="536" customWidth="1"/>
    <col min="13837" max="13837" width="12.28515625" style="536" customWidth="1"/>
    <col min="13838" max="13838" width="11.5703125" style="536" customWidth="1"/>
    <col min="13839" max="14082" width="9.140625" style="536"/>
    <col min="14083" max="14083" width="46" style="536" customWidth="1"/>
    <col min="14084" max="14084" width="15.5703125" style="536" customWidth="1"/>
    <col min="14085" max="14085" width="13.28515625" style="536" customWidth="1"/>
    <col min="14086" max="14086" width="13.85546875" style="536" customWidth="1"/>
    <col min="14087" max="14087" width="17.7109375" style="536" customWidth="1"/>
    <col min="14088" max="14088" width="11.85546875" style="536" customWidth="1"/>
    <col min="14089" max="14089" width="12.5703125" style="536" customWidth="1"/>
    <col min="14090" max="14090" width="14.7109375" style="536" customWidth="1"/>
    <col min="14091" max="14091" width="15.28515625" style="536" customWidth="1"/>
    <col min="14092" max="14092" width="13.42578125" style="536" customWidth="1"/>
    <col min="14093" max="14093" width="12.28515625" style="536" customWidth="1"/>
    <col min="14094" max="14094" width="11.5703125" style="536" customWidth="1"/>
    <col min="14095" max="14338" width="9.140625" style="536"/>
    <col min="14339" max="14339" width="46" style="536" customWidth="1"/>
    <col min="14340" max="14340" width="15.5703125" style="536" customWidth="1"/>
    <col min="14341" max="14341" width="13.28515625" style="536" customWidth="1"/>
    <col min="14342" max="14342" width="13.85546875" style="536" customWidth="1"/>
    <col min="14343" max="14343" width="17.7109375" style="536" customWidth="1"/>
    <col min="14344" max="14344" width="11.85546875" style="536" customWidth="1"/>
    <col min="14345" max="14345" width="12.5703125" style="536" customWidth="1"/>
    <col min="14346" max="14346" width="14.7109375" style="536" customWidth="1"/>
    <col min="14347" max="14347" width="15.28515625" style="536" customWidth="1"/>
    <col min="14348" max="14348" width="13.42578125" style="536" customWidth="1"/>
    <col min="14349" max="14349" width="12.28515625" style="536" customWidth="1"/>
    <col min="14350" max="14350" width="11.5703125" style="536" customWidth="1"/>
    <col min="14351" max="14594" width="9.140625" style="536"/>
    <col min="14595" max="14595" width="46" style="536" customWidth="1"/>
    <col min="14596" max="14596" width="15.5703125" style="536" customWidth="1"/>
    <col min="14597" max="14597" width="13.28515625" style="536" customWidth="1"/>
    <col min="14598" max="14598" width="13.85546875" style="536" customWidth="1"/>
    <col min="14599" max="14599" width="17.7109375" style="536" customWidth="1"/>
    <col min="14600" max="14600" width="11.85546875" style="536" customWidth="1"/>
    <col min="14601" max="14601" width="12.5703125" style="536" customWidth="1"/>
    <col min="14602" max="14602" width="14.7109375" style="536" customWidth="1"/>
    <col min="14603" max="14603" width="15.28515625" style="536" customWidth="1"/>
    <col min="14604" max="14604" width="13.42578125" style="536" customWidth="1"/>
    <col min="14605" max="14605" width="12.28515625" style="536" customWidth="1"/>
    <col min="14606" max="14606" width="11.5703125" style="536" customWidth="1"/>
    <col min="14607" max="14850" width="9.140625" style="536"/>
    <col min="14851" max="14851" width="46" style="536" customWidth="1"/>
    <col min="14852" max="14852" width="15.5703125" style="536" customWidth="1"/>
    <col min="14853" max="14853" width="13.28515625" style="536" customWidth="1"/>
    <col min="14854" max="14854" width="13.85546875" style="536" customWidth="1"/>
    <col min="14855" max="14855" width="17.7109375" style="536" customWidth="1"/>
    <col min="14856" max="14856" width="11.85546875" style="536" customWidth="1"/>
    <col min="14857" max="14857" width="12.5703125" style="536" customWidth="1"/>
    <col min="14858" max="14858" width="14.7109375" style="536" customWidth="1"/>
    <col min="14859" max="14859" width="15.28515625" style="536" customWidth="1"/>
    <col min="14860" max="14860" width="13.42578125" style="536" customWidth="1"/>
    <col min="14861" max="14861" width="12.28515625" style="536" customWidth="1"/>
    <col min="14862" max="14862" width="11.5703125" style="536" customWidth="1"/>
    <col min="14863" max="15106" width="9.140625" style="536"/>
    <col min="15107" max="15107" width="46" style="536" customWidth="1"/>
    <col min="15108" max="15108" width="15.5703125" style="536" customWidth="1"/>
    <col min="15109" max="15109" width="13.28515625" style="536" customWidth="1"/>
    <col min="15110" max="15110" width="13.85546875" style="536" customWidth="1"/>
    <col min="15111" max="15111" width="17.7109375" style="536" customWidth="1"/>
    <col min="15112" max="15112" width="11.85546875" style="536" customWidth="1"/>
    <col min="15113" max="15113" width="12.5703125" style="536" customWidth="1"/>
    <col min="15114" max="15114" width="14.7109375" style="536" customWidth="1"/>
    <col min="15115" max="15115" width="15.28515625" style="536" customWidth="1"/>
    <col min="15116" max="15116" width="13.42578125" style="536" customWidth="1"/>
    <col min="15117" max="15117" width="12.28515625" style="536" customWidth="1"/>
    <col min="15118" max="15118" width="11.5703125" style="536" customWidth="1"/>
    <col min="15119" max="15362" width="9.140625" style="536"/>
    <col min="15363" max="15363" width="46" style="536" customWidth="1"/>
    <col min="15364" max="15364" width="15.5703125" style="536" customWidth="1"/>
    <col min="15365" max="15365" width="13.28515625" style="536" customWidth="1"/>
    <col min="15366" max="15366" width="13.85546875" style="536" customWidth="1"/>
    <col min="15367" max="15367" width="17.7109375" style="536" customWidth="1"/>
    <col min="15368" max="15368" width="11.85546875" style="536" customWidth="1"/>
    <col min="15369" max="15369" width="12.5703125" style="536" customWidth="1"/>
    <col min="15370" max="15370" width="14.7109375" style="536" customWidth="1"/>
    <col min="15371" max="15371" width="15.28515625" style="536" customWidth="1"/>
    <col min="15372" max="15372" width="13.42578125" style="536" customWidth="1"/>
    <col min="15373" max="15373" width="12.28515625" style="536" customWidth="1"/>
    <col min="15374" max="15374" width="11.5703125" style="536" customWidth="1"/>
    <col min="15375" max="15618" width="9.140625" style="536"/>
    <col min="15619" max="15619" width="46" style="536" customWidth="1"/>
    <col min="15620" max="15620" width="15.5703125" style="536" customWidth="1"/>
    <col min="15621" max="15621" width="13.28515625" style="536" customWidth="1"/>
    <col min="15622" max="15622" width="13.85546875" style="536" customWidth="1"/>
    <col min="15623" max="15623" width="17.7109375" style="536" customWidth="1"/>
    <col min="15624" max="15624" width="11.85546875" style="536" customWidth="1"/>
    <col min="15625" max="15625" width="12.5703125" style="536" customWidth="1"/>
    <col min="15626" max="15626" width="14.7109375" style="536" customWidth="1"/>
    <col min="15627" max="15627" width="15.28515625" style="536" customWidth="1"/>
    <col min="15628" max="15628" width="13.42578125" style="536" customWidth="1"/>
    <col min="15629" max="15629" width="12.28515625" style="536" customWidth="1"/>
    <col min="15630" max="15630" width="11.5703125" style="536" customWidth="1"/>
    <col min="15631" max="15874" width="9.140625" style="536"/>
    <col min="15875" max="15875" width="46" style="536" customWidth="1"/>
    <col min="15876" max="15876" width="15.5703125" style="536" customWidth="1"/>
    <col min="15877" max="15877" width="13.28515625" style="536" customWidth="1"/>
    <col min="15878" max="15878" width="13.85546875" style="536" customWidth="1"/>
    <col min="15879" max="15879" width="17.7109375" style="536" customWidth="1"/>
    <col min="15880" max="15880" width="11.85546875" style="536" customWidth="1"/>
    <col min="15881" max="15881" width="12.5703125" style="536" customWidth="1"/>
    <col min="15882" max="15882" width="14.7109375" style="536" customWidth="1"/>
    <col min="15883" max="15883" width="15.28515625" style="536" customWidth="1"/>
    <col min="15884" max="15884" width="13.42578125" style="536" customWidth="1"/>
    <col min="15885" max="15885" width="12.28515625" style="536" customWidth="1"/>
    <col min="15886" max="15886" width="11.5703125" style="536" customWidth="1"/>
    <col min="15887" max="16130" width="9.140625" style="536"/>
    <col min="16131" max="16131" width="46" style="536" customWidth="1"/>
    <col min="16132" max="16132" width="15.5703125" style="536" customWidth="1"/>
    <col min="16133" max="16133" width="13.28515625" style="536" customWidth="1"/>
    <col min="16134" max="16134" width="13.85546875" style="536" customWidth="1"/>
    <col min="16135" max="16135" width="17.7109375" style="536" customWidth="1"/>
    <col min="16136" max="16136" width="11.85546875" style="536" customWidth="1"/>
    <col min="16137" max="16137" width="12.5703125" style="536" customWidth="1"/>
    <col min="16138" max="16138" width="14.7109375" style="536" customWidth="1"/>
    <col min="16139" max="16139" width="15.28515625" style="536" customWidth="1"/>
    <col min="16140" max="16140" width="13.42578125" style="536" customWidth="1"/>
    <col min="16141" max="16141" width="12.28515625" style="536" customWidth="1"/>
    <col min="16142" max="16142" width="11.5703125" style="536" customWidth="1"/>
    <col min="16143" max="16384" width="9.140625" style="536"/>
  </cols>
  <sheetData>
    <row r="1" spans="1:41" ht="12.75">
      <c r="A1" s="3359" t="s">
        <v>29</v>
      </c>
      <c r="B1" s="3359"/>
      <c r="C1" s="1449"/>
      <c r="D1" s="1450"/>
      <c r="O1" s="537">
        <f>D1-D5</f>
        <v>-1859622.8559322183</v>
      </c>
    </row>
    <row r="2" spans="1:41" s="1451" customFormat="1"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  <c r="Y2" s="1453"/>
      <c r="Z2" s="1453"/>
      <c r="AA2" s="1453"/>
      <c r="AB2" s="1453"/>
      <c r="AC2" s="1453"/>
      <c r="AD2" s="1453"/>
      <c r="AE2" s="1453"/>
      <c r="AF2" s="1453"/>
      <c r="AG2" s="1453"/>
      <c r="AH2" s="1453"/>
      <c r="AI2" s="1453"/>
      <c r="AJ2" s="1453"/>
      <c r="AK2" s="1453"/>
      <c r="AL2" s="1453"/>
      <c r="AM2" s="1453"/>
      <c r="AN2" s="1453"/>
      <c r="AO2" s="1453"/>
    </row>
    <row r="3" spans="1:41" ht="12.75" customHeight="1">
      <c r="A3" s="1454" t="s">
        <v>35</v>
      </c>
      <c r="B3" s="3358" t="s">
        <v>3664</v>
      </c>
      <c r="C3" s="3358" t="s">
        <v>2933</v>
      </c>
      <c r="D3" s="3358" t="s">
        <v>2934</v>
      </c>
      <c r="E3" s="3360" t="s">
        <v>3665</v>
      </c>
      <c r="F3" s="3362">
        <v>23</v>
      </c>
      <c r="G3" s="3363">
        <v>25</v>
      </c>
      <c r="H3" s="3362">
        <v>26</v>
      </c>
      <c r="I3" s="3362">
        <v>69</v>
      </c>
      <c r="J3" s="3362">
        <v>70</v>
      </c>
      <c r="K3" s="3362">
        <v>79</v>
      </c>
      <c r="O3" s="1455" t="s">
        <v>3666</v>
      </c>
      <c r="P3" s="1455"/>
      <c r="T3" s="3358"/>
    </row>
    <row r="4" spans="1:41" ht="12.75" customHeight="1">
      <c r="A4" s="1454" t="s">
        <v>1315</v>
      </c>
      <c r="B4" s="3358"/>
      <c r="C4" s="3358"/>
      <c r="D4" s="3358"/>
      <c r="E4" s="3361"/>
      <c r="F4" s="3362"/>
      <c r="G4" s="3364"/>
      <c r="H4" s="3362"/>
      <c r="I4" s="3362"/>
      <c r="J4" s="3362"/>
      <c r="K4" s="3362"/>
      <c r="T4" s="3358"/>
    </row>
    <row r="5" spans="1:41" ht="25.5" customHeight="1" outlineLevel="1">
      <c r="A5" s="1456" t="s">
        <v>1512</v>
      </c>
      <c r="B5" s="1457">
        <f>SUM(B6,B8:B10)</f>
        <v>2194354.9700000174</v>
      </c>
      <c r="C5" s="1457">
        <f t="shared" ref="C5:K5" si="0">SUM(C6,C8:C10)</f>
        <v>334732.11406779918</v>
      </c>
      <c r="D5" s="1457">
        <f>SUM(D6,D8:D10)</f>
        <v>1859622.8559322183</v>
      </c>
      <c r="E5" s="1457">
        <f t="shared" si="0"/>
        <v>4828223.9800000004</v>
      </c>
      <c r="F5" s="1458">
        <f t="shared" si="0"/>
        <v>59104.28</v>
      </c>
      <c r="G5" s="1459">
        <f t="shared" si="0"/>
        <v>4353589.2200000007</v>
      </c>
      <c r="H5" s="1459">
        <f t="shared" si="0"/>
        <v>228260.31</v>
      </c>
      <c r="I5" s="1459">
        <f t="shared" si="0"/>
        <v>1624.83</v>
      </c>
      <c r="J5" s="1459">
        <f t="shared" si="0"/>
        <v>5012.2199999999993</v>
      </c>
      <c r="K5" s="1460">
        <f t="shared" si="0"/>
        <v>180633.12</v>
      </c>
      <c r="M5" s="537">
        <f t="shared" ref="M5:M10" si="1">B5/1.18</f>
        <v>1859622.8559322183</v>
      </c>
      <c r="N5" s="537">
        <f>M5-D5</f>
        <v>0</v>
      </c>
      <c r="S5" s="537">
        <f>SUM(S6,S8:S10)</f>
        <v>2194354.9700000174</v>
      </c>
      <c r="T5" s="1457">
        <f>SUM(T6,T8:T10)</f>
        <v>2194354.9700000002</v>
      </c>
    </row>
    <row r="6" spans="1:41" ht="25.5" customHeight="1" outlineLevel="2">
      <c r="A6" s="1461" t="s">
        <v>46</v>
      </c>
      <c r="B6" s="1462">
        <f>D6*1.18</f>
        <v>308847.82620001765</v>
      </c>
      <c r="C6" s="1462">
        <f>B6-D6</f>
        <v>47112.380267799308</v>
      </c>
      <c r="D6" s="1463">
        <f>SUM('[28]Реестр 2015 ТП'!J558,'[28]Реестр 2015 ТП'!J561)*1000</f>
        <v>261735.44593221834</v>
      </c>
      <c r="E6" s="1462">
        <f>SUM(F6:K6)</f>
        <v>832880.77</v>
      </c>
      <c r="F6" s="1464">
        <f>[28]Об.сч.20.01!F12</f>
        <v>53946.54</v>
      </c>
      <c r="G6" s="1465">
        <f>[28]Об.сч.20.01!H12</f>
        <v>737466.05</v>
      </c>
      <c r="H6" s="1465">
        <f>[28]Об.сч.20.01!J12</f>
        <v>35665.21</v>
      </c>
      <c r="I6" s="1465">
        <f>[28]Об.сч.20.01!L12</f>
        <v>1430.36</v>
      </c>
      <c r="J6" s="1465">
        <f>[28]Об.сч.20.01!S12</f>
        <v>4372.6099999999997</v>
      </c>
      <c r="K6" s="1466"/>
      <c r="M6" s="537">
        <f t="shared" si="1"/>
        <v>261735.44593221837</v>
      </c>
      <c r="N6" s="537">
        <f>B6-M6</f>
        <v>47112.380267799279</v>
      </c>
      <c r="O6" s="537">
        <f>D6*0.18</f>
        <v>47112.380267799301</v>
      </c>
      <c r="P6" s="537" t="str">
        <f>IF(ROUND(O6,2)=ROUND(C6,2),"ИСТИНА",O6-C6)</f>
        <v>ИСТИНА</v>
      </c>
      <c r="Q6" s="537">
        <f>N6-O6</f>
        <v>0</v>
      </c>
      <c r="S6" s="537">
        <f>D6*1.18</f>
        <v>308847.82620001765</v>
      </c>
      <c r="T6" s="1463">
        <f>[28]Об.сч.62!L133</f>
        <v>301213.46999999997</v>
      </c>
      <c r="V6" s="1467">
        <f>F51</f>
        <v>313</v>
      </c>
    </row>
    <row r="7" spans="1:41" ht="25.5" customHeight="1" outlineLevel="2">
      <c r="A7" s="1461" t="s">
        <v>3667</v>
      </c>
      <c r="B7" s="1462">
        <f>D7*1.18</f>
        <v>129249.52999999952</v>
      </c>
      <c r="C7" s="1462">
        <f>B7-D7</f>
        <v>19716.029999999926</v>
      </c>
      <c r="D7" s="1463">
        <f>'[28]Реестр 2015 ТП'!J558*1000</f>
        <v>109533.49999999959</v>
      </c>
      <c r="E7" s="1462">
        <f>SUM(F7:K7)</f>
        <v>625325.81773162948</v>
      </c>
      <c r="F7" s="1468">
        <f>F6/$V$6*$V$7</f>
        <v>40502.993290734827</v>
      </c>
      <c r="G7" s="1469">
        <f t="shared" ref="G7:K7" si="2">G6/$V$6*$V$7</f>
        <v>553688.56789137388</v>
      </c>
      <c r="H7" s="1469">
        <f t="shared" si="2"/>
        <v>26777.39408945687</v>
      </c>
      <c r="I7" s="1469">
        <f t="shared" si="2"/>
        <v>1073.9124600638977</v>
      </c>
      <c r="J7" s="1469">
        <f t="shared" si="2"/>
        <v>3282.95</v>
      </c>
      <c r="K7" s="1470">
        <f t="shared" si="2"/>
        <v>0</v>
      </c>
      <c r="M7" s="537">
        <f t="shared" si="1"/>
        <v>109533.49999999959</v>
      </c>
      <c r="N7" s="537">
        <f>B7-M7</f>
        <v>19716.029999999926</v>
      </c>
      <c r="O7" s="537">
        <f>D7*0.18</f>
        <v>19716.029999999926</v>
      </c>
      <c r="P7" s="537" t="str">
        <f>IF(ROUND(O7,2)=ROUND(C7,2),"ИСТИНА",O7-C7)</f>
        <v>ИСТИНА</v>
      </c>
      <c r="S7" s="537">
        <f>D7*1.18</f>
        <v>129249.52999999952</v>
      </c>
      <c r="T7" s="1463">
        <f>[28]Об.сч.62!$AE$7</f>
        <v>129250</v>
      </c>
      <c r="V7" s="1467">
        <f>F49</f>
        <v>235</v>
      </c>
    </row>
    <row r="8" spans="1:41" ht="25.5" customHeight="1" outlineLevel="2">
      <c r="A8" s="1461" t="s">
        <v>1262</v>
      </c>
      <c r="B8" s="1462">
        <f>D8*1.18</f>
        <v>72828.42</v>
      </c>
      <c r="C8" s="1462">
        <f>B8-D8</f>
        <v>11109.419999999998</v>
      </c>
      <c r="D8" s="1463">
        <f>'[28]Реестр 2015 ТП'!N549*1000</f>
        <v>61719</v>
      </c>
      <c r="E8" s="1462">
        <f>SUM(F8:K8)</f>
        <v>79088.510000000009</v>
      </c>
      <c r="F8" s="1464"/>
      <c r="G8" s="1465">
        <f>[28]Об.сч.20.01!H151</f>
        <v>75401.02</v>
      </c>
      <c r="H8" s="1465">
        <f>[28]Об.сч.20.01!J151</f>
        <v>3687.49</v>
      </c>
      <c r="I8" s="1465"/>
      <c r="J8" s="1465"/>
      <c r="K8" s="1466"/>
      <c r="M8" s="537">
        <f t="shared" si="1"/>
        <v>61719</v>
      </c>
      <c r="N8" s="537">
        <f>B8-M8</f>
        <v>11109.419999999998</v>
      </c>
      <c r="O8" s="537">
        <f>D8*0.18</f>
        <v>11109.42</v>
      </c>
      <c r="P8" s="537" t="str">
        <f>IF(ROUND(O8,2)=ROUND(C8,2),"ИСТИНА",O8-C8)</f>
        <v>ИСТИНА</v>
      </c>
      <c r="S8" s="537">
        <f>D8*1.18</f>
        <v>72828.42</v>
      </c>
      <c r="T8" s="1463">
        <f>[28]Об.сч.62!L1818</f>
        <v>72828.42</v>
      </c>
    </row>
    <row r="9" spans="1:41" ht="25.5" customHeight="1" outlineLevel="2">
      <c r="A9" s="1461" t="s">
        <v>715</v>
      </c>
      <c r="B9" s="1462">
        <f>D9*1.18</f>
        <v>1029884.2585999999</v>
      </c>
      <c r="C9" s="1462">
        <f>B9-D9</f>
        <v>157100.98859999992</v>
      </c>
      <c r="D9" s="1463">
        <f>SUM('[28]Реестр 2015 ТП'!J567)*1000</f>
        <v>872783.27</v>
      </c>
      <c r="E9" s="1462">
        <f>SUM(F9:K9)</f>
        <v>2668683.02</v>
      </c>
      <c r="F9" s="1464">
        <f>[28]Об.сч.20.01!F279</f>
        <v>5157.74</v>
      </c>
      <c r="G9" s="1465">
        <f>[28]Об.сч.20.01!H279</f>
        <v>2354132.5499999998</v>
      </c>
      <c r="H9" s="1465">
        <f>[28]Об.сч.20.01!J279</f>
        <v>127925.53</v>
      </c>
      <c r="I9" s="1465">
        <f>[28]Об.сч.20.01!L279</f>
        <v>194.47</v>
      </c>
      <c r="J9" s="1465">
        <f>[28]Об.сч.20.01!S279</f>
        <v>639.61</v>
      </c>
      <c r="K9" s="1466">
        <f>[28]Об.сч.20.01!T279</f>
        <v>180633.12</v>
      </c>
      <c r="M9" s="537">
        <f>B9/1.18</f>
        <v>872783.27</v>
      </c>
      <c r="N9" s="537">
        <f>B9-M9</f>
        <v>157100.98859999992</v>
      </c>
      <c r="O9" s="537">
        <f>D9*0.18</f>
        <v>157100.98860000001</v>
      </c>
      <c r="P9" s="537" t="str">
        <f>IF(ROUND(O9,2)=ROUND(C9,2),"ИСТИНА",O9-C9)</f>
        <v>ИСТИНА</v>
      </c>
      <c r="S9" s="537">
        <f>D9*1.18</f>
        <v>1029884.2585999999</v>
      </c>
      <c r="T9" s="1463">
        <f>[28]Об.сч.62!L1831</f>
        <v>1020339.41</v>
      </c>
    </row>
    <row r="10" spans="1:41" ht="25.5" customHeight="1" outlineLevel="2">
      <c r="A10" s="1471" t="s">
        <v>738</v>
      </c>
      <c r="B10" s="1472">
        <f>D10*1.18</f>
        <v>782794.46519999986</v>
      </c>
      <c r="C10" s="1472">
        <f>B10-D10</f>
        <v>119409.32519999996</v>
      </c>
      <c r="D10" s="1473">
        <f>'[28]Реестр 2015 ТП'!J570*1000</f>
        <v>663385.1399999999</v>
      </c>
      <c r="E10" s="1472">
        <f>SUM(F10:K10)</f>
        <v>1247571.6800000002</v>
      </c>
      <c r="F10" s="1474"/>
      <c r="G10" s="1475">
        <f>[28]Об.сч.20.01!H419</f>
        <v>1186589.6000000001</v>
      </c>
      <c r="H10" s="1475">
        <f>[28]Об.сч.20.01!J419</f>
        <v>60982.080000000002</v>
      </c>
      <c r="I10" s="1475"/>
      <c r="J10" s="1475"/>
      <c r="K10" s="1476"/>
      <c r="M10" s="537">
        <f t="shared" si="1"/>
        <v>663385.1399999999</v>
      </c>
      <c r="N10" s="537">
        <f>B10-M10</f>
        <v>119409.32519999996</v>
      </c>
      <c r="O10" s="537">
        <f>D10*0.18</f>
        <v>119409.32519999998</v>
      </c>
      <c r="P10" s="537" t="str">
        <f>IF(ROUND(O10,2)=ROUND(C10,2),"ИСТИНА",O10-C10)</f>
        <v>ИСТИНА</v>
      </c>
      <c r="S10" s="537">
        <f>D10*1.18</f>
        <v>782794.46519999986</v>
      </c>
      <c r="T10" s="1473">
        <f>[28]Об.сч.62!L1967</f>
        <v>799973.67</v>
      </c>
    </row>
    <row r="12" spans="1:41" s="1480" customFormat="1">
      <c r="A12" s="1477" t="s">
        <v>3668</v>
      </c>
      <c r="B12" s="1477"/>
      <c r="C12" s="1478"/>
      <c r="D12" s="1479">
        <f>D13+D14</f>
        <v>61719</v>
      </c>
      <c r="L12" s="1481"/>
      <c r="M12" s="1481"/>
      <c r="N12" s="1481"/>
      <c r="O12" s="1481"/>
      <c r="P12" s="1481"/>
      <c r="Q12" s="1481"/>
      <c r="R12" s="1481"/>
      <c r="S12" s="1481"/>
      <c r="T12" s="1481"/>
      <c r="U12" s="1481"/>
      <c r="V12" s="1481"/>
      <c r="W12" s="1481"/>
      <c r="X12" s="1481"/>
      <c r="Y12" s="1481"/>
      <c r="Z12" s="1481"/>
      <c r="AA12" s="1481"/>
      <c r="AB12" s="1481"/>
      <c r="AC12" s="1481"/>
      <c r="AD12" s="1481"/>
      <c r="AE12" s="1481"/>
      <c r="AF12" s="1481"/>
      <c r="AG12" s="1481"/>
      <c r="AH12" s="1481"/>
      <c r="AI12" s="1481"/>
      <c r="AJ12" s="1481"/>
      <c r="AK12" s="1481"/>
      <c r="AL12" s="1481"/>
      <c r="AM12" s="1481"/>
      <c r="AN12" s="1481"/>
      <c r="AO12" s="1481"/>
    </row>
    <row r="13" spans="1:41">
      <c r="A13" s="1482" t="s">
        <v>3669</v>
      </c>
      <c r="B13" s="1483">
        <f>'[29]Затраты 2015'!$B$13</f>
        <v>72828.42</v>
      </c>
      <c r="C13" s="1484">
        <f>B13-D13</f>
        <v>11109.419999999998</v>
      </c>
      <c r="D13" s="1484">
        <f>D8</f>
        <v>61719</v>
      </c>
      <c r="M13" s="537">
        <f>M7/466.1</f>
        <v>234.99999999999912</v>
      </c>
    </row>
    <row r="14" spans="1:41">
      <c r="A14" s="1482"/>
      <c r="B14" s="1485"/>
      <c r="C14" s="1484"/>
      <c r="D14" s="1484"/>
    </row>
    <row r="15" spans="1:41">
      <c r="A15" s="1486"/>
      <c r="C15" s="1451"/>
      <c r="D15" s="1487"/>
      <c r="E15" s="1451"/>
      <c r="F15" s="1451"/>
      <c r="G15" s="1451"/>
      <c r="H15" s="1451"/>
      <c r="I15" s="1451"/>
      <c r="J15" s="1451"/>
      <c r="K15" s="1451"/>
    </row>
    <row r="16" spans="1:41">
      <c r="B16" s="1452"/>
      <c r="C16" s="1452"/>
      <c r="D16" s="1452"/>
    </row>
    <row r="17" spans="1:28" ht="30" customHeight="1">
      <c r="A17" s="1488"/>
      <c r="B17" s="1489"/>
      <c r="C17" s="1489"/>
      <c r="D17" s="3350" t="s">
        <v>2908</v>
      </c>
      <c r="E17" s="3351"/>
      <c r="W17" s="1490" t="s">
        <v>3670</v>
      </c>
    </row>
    <row r="18" spans="1:28" ht="51">
      <c r="A18" s="1491" t="s">
        <v>2909</v>
      </c>
      <c r="B18" s="1492" t="s">
        <v>3671</v>
      </c>
      <c r="C18" s="1493"/>
      <c r="D18" s="1492" t="s">
        <v>2910</v>
      </c>
      <c r="E18" s="1492" t="s">
        <v>2911</v>
      </c>
      <c r="F18" s="1492" t="s">
        <v>2912</v>
      </c>
      <c r="G18" s="1494" t="s">
        <v>2913</v>
      </c>
      <c r="H18" s="1495" t="s">
        <v>2914</v>
      </c>
      <c r="I18" s="1495" t="s">
        <v>2915</v>
      </c>
      <c r="J18" s="1495" t="s">
        <v>1465</v>
      </c>
      <c r="K18" s="1495" t="s">
        <v>2916</v>
      </c>
      <c r="O18" s="1496" t="s">
        <v>3672</v>
      </c>
      <c r="W18" s="1492" t="s">
        <v>3670</v>
      </c>
      <c r="Y18" s="1494" t="s">
        <v>2913</v>
      </c>
      <c r="Z18" s="1494" t="s">
        <v>3673</v>
      </c>
    </row>
    <row r="19" spans="1:28" ht="12.75">
      <c r="A19" s="1497" t="s">
        <v>2917</v>
      </c>
      <c r="B19" s="1498">
        <f>D5/1000</f>
        <v>1859.6228559322183</v>
      </c>
      <c r="C19" s="1499"/>
      <c r="D19" s="1500">
        <f>B19-E19</f>
        <v>1797.9038559322182</v>
      </c>
      <c r="E19" s="1498">
        <f>D12/1000</f>
        <v>61.719000000000001</v>
      </c>
      <c r="F19" s="1499">
        <f>D19-G19</f>
        <v>1692.5648728813708</v>
      </c>
      <c r="G19" s="1498">
        <v>105.33898305084747</v>
      </c>
      <c r="H19" s="1499">
        <f>D6/1000-G19</f>
        <v>156.39646288137087</v>
      </c>
      <c r="I19" s="1498">
        <f>D9/1000</f>
        <v>872.78327000000002</v>
      </c>
      <c r="J19" s="1498">
        <f>D10/1000</f>
        <v>663.38513999999986</v>
      </c>
      <c r="K19" s="1499">
        <f>D8/1000-E19</f>
        <v>0</v>
      </c>
      <c r="O19" s="537">
        <f>G19+H19+I19+J19+K19-D19</f>
        <v>0</v>
      </c>
      <c r="W19" s="1501">
        <f>'[30]Об.сч.62 1-е полуг.2016'!R7/1000</f>
        <v>94.467703389830518</v>
      </c>
      <c r="Y19" s="1501">
        <f>'[30]Об.сч.62 1-е полуг.2016'!S7/1000</f>
        <v>37.288135593220346</v>
      </c>
      <c r="Z19" s="1501">
        <f>W19-Y19</f>
        <v>57.179567796610172</v>
      </c>
    </row>
    <row r="20" spans="1:28" ht="12.75">
      <c r="A20" s="1502" t="s">
        <v>2918</v>
      </c>
      <c r="B20" s="1503">
        <f>E5/1000</f>
        <v>4828.2239800000007</v>
      </c>
      <c r="C20" s="1504"/>
      <c r="D20" s="1505">
        <f>B20-E20</f>
        <v>4749.1354700000011</v>
      </c>
      <c r="E20" s="1505">
        <f>D12/D8*E8/1000</f>
        <v>79.088510000000014</v>
      </c>
      <c r="F20" s="1504">
        <f>D20-G20</f>
        <v>4123.8096522683718</v>
      </c>
      <c r="G20" s="1503">
        <f>D42</f>
        <v>625.3258177316294</v>
      </c>
      <c r="H20" s="1503">
        <f>D43</f>
        <v>207.55495226837058</v>
      </c>
      <c r="I20" s="1503">
        <f>E9/1000</f>
        <v>2668.6830199999999</v>
      </c>
      <c r="J20" s="1503">
        <f>E10/1000</f>
        <v>1247.5716800000002</v>
      </c>
      <c r="K20" s="1506">
        <f>E8/1000-E20</f>
        <v>0</v>
      </c>
      <c r="O20" s="537">
        <f>G20+H20+I20+J20+K20-D20</f>
        <v>0</v>
      </c>
      <c r="W20" s="1507">
        <f>'[30]СС 2016 (1-е полуг.)'!D4/1000</f>
        <v>2219.3844599999998</v>
      </c>
      <c r="Y20" s="1507">
        <f>'[30]СС 2016 (1-е полуг.)'!F7/1000</f>
        <v>1618.6188081818179</v>
      </c>
      <c r="Z20" s="1507">
        <f>W20-Y20</f>
        <v>600.76565181818182</v>
      </c>
      <c r="AA20" s="537">
        <f>Z20+Z23</f>
        <v>1256.5192012122218</v>
      </c>
      <c r="AB20" s="537">
        <f>AA20*2</f>
        <v>2513.0384024244436</v>
      </c>
    </row>
    <row r="21" spans="1:28" ht="51">
      <c r="A21" s="1502" t="s">
        <v>2919</v>
      </c>
      <c r="B21" s="1508">
        <f>[28]УО!C52</f>
        <v>95.451629999999994</v>
      </c>
      <c r="C21" s="1509" t="s">
        <v>2920</v>
      </c>
      <c r="D21" s="1505">
        <f t="shared" ref="D21:D26" si="3">B21-E21</f>
        <v>95.451629999999994</v>
      </c>
      <c r="E21" s="1504"/>
      <c r="F21" s="1504">
        <f>$F$19/($B$19-$E$19)*$B21</f>
        <v>89.859129821767525</v>
      </c>
      <c r="G21" s="1504">
        <f>$G$19/($B$19-$E$19)*$B21</f>
        <v>5.5925001782324637</v>
      </c>
      <c r="H21" s="1504">
        <f>$H$19/($B$19-$E$19)*$B21</f>
        <v>8.3031677467096703</v>
      </c>
      <c r="I21" s="1504">
        <f>$I$19/($B$19-$E$19)*$B21</f>
        <v>46.336507641024198</v>
      </c>
      <c r="J21" s="1504">
        <f>$J$19/($B$19-$E$19)*$B21</f>
        <v>35.219454434033665</v>
      </c>
      <c r="K21" s="1504">
        <f>$K$19/($B$19-$E$19)*$B21</f>
        <v>0</v>
      </c>
      <c r="O21" s="537">
        <f>G21+H21+I21+J21+K21-D21</f>
        <v>0</v>
      </c>
      <c r="W21" s="1510">
        <f>'[30]УО 6 мес.2016'!D53</f>
        <v>9.9888999999999992</v>
      </c>
      <c r="Y21" s="1510">
        <f>$Y$19/($W$19)*$W21</f>
        <v>3.9428020822110397</v>
      </c>
      <c r="Z21" s="1510">
        <f t="shared" ref="Z21:Z29" si="4">W21-Y21</f>
        <v>6.0460979177889591</v>
      </c>
    </row>
    <row r="22" spans="1:28" ht="25.5">
      <c r="A22" s="1502" t="s">
        <v>2921</v>
      </c>
      <c r="B22" s="1508">
        <f>[28]УО!$C$70</f>
        <v>206.59980999999999</v>
      </c>
      <c r="C22" s="1511" t="s">
        <v>2922</v>
      </c>
      <c r="D22" s="1505">
        <f>B22-E22</f>
        <v>199.74297145732788</v>
      </c>
      <c r="E22" s="1505">
        <f>$E$19/$B$19*$B22</f>
        <v>6.8568385426720999</v>
      </c>
      <c r="F22" s="1504">
        <f>D22-G22</f>
        <v>188.04005340893218</v>
      </c>
      <c r="G22" s="1512">
        <f>$G$19/$B$19*$B22</f>
        <v>11.702918048395697</v>
      </c>
      <c r="H22" s="1504">
        <f>$H$19/$B$19*$B22</f>
        <v>17.375286291459197</v>
      </c>
      <c r="I22" s="1504">
        <f>$I$19/$B$19*$B22</f>
        <v>96.964208187679475</v>
      </c>
      <c r="J22" s="1504">
        <f>$J$19/$B$19*$B22</f>
        <v>73.700558929793516</v>
      </c>
      <c r="K22" s="1504">
        <f>$K$19/$B$19*$B22</f>
        <v>0</v>
      </c>
      <c r="O22" s="537">
        <f t="shared" ref="O22:O31" si="5">G22+H22+I22+J22+K22-D22</f>
        <v>0</v>
      </c>
      <c r="W22" s="1510">
        <f>'[30]УО 6 мес.2016'!D71</f>
        <v>108.04815000000001</v>
      </c>
      <c r="Y22" s="1510">
        <f t="shared" ref="Y22:Y29" si="6">$Y$19/($W$19)*$W22</f>
        <v>42.648587011487834</v>
      </c>
      <c r="Z22" s="1510">
        <f t="shared" si="4"/>
        <v>65.399562988512173</v>
      </c>
      <c r="AA22" s="537">
        <f>Z22+Z25</f>
        <v>84.839418094634453</v>
      </c>
      <c r="AB22" s="537">
        <f>AA22*2</f>
        <v>169.67883618926891</v>
      </c>
    </row>
    <row r="23" spans="1:28" ht="25.5">
      <c r="A23" s="1502" t="s">
        <v>2837</v>
      </c>
      <c r="B23" s="1508">
        <f>[28]УО!$C$87</f>
        <v>2927.1842200000001</v>
      </c>
      <c r="C23" s="1511" t="s">
        <v>2922</v>
      </c>
      <c r="D23" s="1505">
        <f t="shared" si="3"/>
        <v>2830.0339390718736</v>
      </c>
      <c r="E23" s="1505">
        <f>$E$19/$B$19*$B23</f>
        <v>97.150280928126548</v>
      </c>
      <c r="F23" s="1504">
        <f>D23-G23</f>
        <v>2664.2225714853444</v>
      </c>
      <c r="G23" s="1504">
        <f>$G$19/$B$19*$B23</f>
        <v>165.81136758652914</v>
      </c>
      <c r="H23" s="1504">
        <f>$H$19/$B$19*$B23</f>
        <v>246.17962548146429</v>
      </c>
      <c r="I23" s="1504">
        <f>$I$19/$B$19*$B23</f>
        <v>1373.8255621424346</v>
      </c>
      <c r="J23" s="1504">
        <f>$J$19/$B$19*$B23</f>
        <v>1044.2173838614453</v>
      </c>
      <c r="K23" s="1504">
        <f>$K$19/$B$19*$B23</f>
        <v>0</v>
      </c>
      <c r="O23" s="537">
        <f t="shared" si="5"/>
        <v>0</v>
      </c>
      <c r="W23" s="1510">
        <f>'[30]УО 6 мес.2016'!D88</f>
        <v>1083.3858</v>
      </c>
      <c r="Y23" s="1510">
        <f t="shared" si="6"/>
        <v>427.63225060596</v>
      </c>
      <c r="Z23" s="1510">
        <f t="shared" si="4"/>
        <v>655.75354939403996</v>
      </c>
    </row>
    <row r="24" spans="1:28" ht="25.5">
      <c r="A24" s="1502" t="s">
        <v>2923</v>
      </c>
      <c r="B24" s="1508">
        <f>[28]УО!$C$54</f>
        <v>5.8633199999999999</v>
      </c>
      <c r="C24" s="1511" t="s">
        <v>2922</v>
      </c>
      <c r="D24" s="1505">
        <f t="shared" si="3"/>
        <v>5.6687223449294546</v>
      </c>
      <c r="E24" s="1505">
        <f>$E$19/$B$19*$B24</f>
        <v>0.19459765507054522</v>
      </c>
      <c r="F24" s="1504">
        <f>D24-G24</f>
        <v>5.3365925455287702</v>
      </c>
      <c r="G24" s="1504">
        <f>$G$19/$B$19*$B24</f>
        <v>0.3321297994006841</v>
      </c>
      <c r="H24" s="1504">
        <f>$H$19/$B$19*$B24</f>
        <v>0.49311208765602704</v>
      </c>
      <c r="I24" s="1504">
        <f>$I$19/$B$19*$B24</f>
        <v>2.7518523911081276</v>
      </c>
      <c r="J24" s="1504">
        <f>$J$19/$B$19*$B24</f>
        <v>2.0916280667646157</v>
      </c>
      <c r="K24" s="1504">
        <f>$K$19/$B$19*$B24</f>
        <v>0</v>
      </c>
      <c r="O24" s="537">
        <f t="shared" si="5"/>
        <v>0</v>
      </c>
      <c r="W24" s="1510">
        <f>'[30]УО 6 мес.2016'!D55</f>
        <v>8.3809999999999996E-2</v>
      </c>
      <c r="Y24" s="1510">
        <f t="shared" si="6"/>
        <v>3.3081344543453961E-2</v>
      </c>
      <c r="Z24" s="1510">
        <f t="shared" si="4"/>
        <v>5.0728655456546035E-2</v>
      </c>
    </row>
    <row r="25" spans="1:28" ht="25.5">
      <c r="A25" s="1502" t="s">
        <v>3674</v>
      </c>
      <c r="B25" s="1508">
        <f>[28]УО!$C$72</f>
        <v>88.739699999999999</v>
      </c>
      <c r="C25" s="1511" t="s">
        <v>2922</v>
      </c>
      <c r="D25" s="1505">
        <f t="shared" si="3"/>
        <v>85.794519192596738</v>
      </c>
      <c r="E25" s="1505">
        <f>$E$19/$B$19*$B25</f>
        <v>2.9451808074032564</v>
      </c>
      <c r="F25" s="1504">
        <f>D25-G25</f>
        <v>80.76782804152927</v>
      </c>
      <c r="G25" s="1504">
        <f>$G$19/$B$19*$B25</f>
        <v>5.0266911510674648</v>
      </c>
      <c r="H25" s="1504">
        <f>$H$19/$B$19*$B25</f>
        <v>7.4631128311211983</v>
      </c>
      <c r="I25" s="1504">
        <f>$I$19/$B$19*$B25</f>
        <v>41.648512383976637</v>
      </c>
      <c r="J25" s="1504">
        <f>$J$19/$B$19*$B25</f>
        <v>31.656202826431436</v>
      </c>
      <c r="K25" s="1504">
        <f>$K$19/$B$19*$B25</f>
        <v>0</v>
      </c>
      <c r="O25" s="537">
        <f t="shared" si="5"/>
        <v>0</v>
      </c>
      <c r="W25" s="1510">
        <f>'[30]УО 6 мес.2016'!D73</f>
        <v>32.117040000000003</v>
      </c>
      <c r="Y25" s="1510">
        <f t="shared" si="6"/>
        <v>12.677184893877731</v>
      </c>
      <c r="Z25" s="1510">
        <f t="shared" si="4"/>
        <v>19.439855106122273</v>
      </c>
    </row>
    <row r="26" spans="1:28" ht="12.75">
      <c r="A26" s="1502" t="s">
        <v>2925</v>
      </c>
      <c r="B26" s="1508">
        <f>[28]УО!$C$105</f>
        <v>2.8216100000000002</v>
      </c>
      <c r="C26" s="1513"/>
      <c r="D26" s="1505">
        <f t="shared" si="3"/>
        <v>0</v>
      </c>
      <c r="E26" s="1505">
        <f>B26</f>
        <v>2.8216100000000002</v>
      </c>
      <c r="F26" s="1504">
        <f>D26-G26</f>
        <v>0</v>
      </c>
      <c r="G26" s="1504"/>
      <c r="H26" s="1504"/>
      <c r="I26" s="1504"/>
      <c r="J26" s="1504"/>
      <c r="K26" s="1504"/>
      <c r="O26" s="537">
        <f t="shared" si="5"/>
        <v>0</v>
      </c>
      <c r="W26" s="1510">
        <f>'[30]УО 6 мес.2016'!D109</f>
        <v>0.13858000000000001</v>
      </c>
      <c r="Y26" s="1510">
        <f t="shared" si="6"/>
        <v>5.470006833112815E-2</v>
      </c>
      <c r="Z26" s="1510">
        <f t="shared" si="4"/>
        <v>8.3879931668871865E-2</v>
      </c>
    </row>
    <row r="27" spans="1:28" ht="51">
      <c r="A27" s="1502" t="s">
        <v>2926</v>
      </c>
      <c r="B27" s="1508">
        <f>[28]УО!$C$124</f>
        <v>2345.4751700000002</v>
      </c>
      <c r="C27" s="1509" t="s">
        <v>2920</v>
      </c>
      <c r="D27" s="1505">
        <f>B27-E27</f>
        <v>2345.4751700000002</v>
      </c>
      <c r="E27" s="1504"/>
      <c r="F27" s="1504">
        <f>$F$19/($B$19-$E$19)*$B27</f>
        <v>2208.0540457482211</v>
      </c>
      <c r="G27" s="1504">
        <f>$G$19/($B$19-$E$19)*$B27</f>
        <v>137.42112425177882</v>
      </c>
      <c r="H27" s="1504">
        <f>$H$19/($B$19-$E$19)*$B27</f>
        <v>204.02871886265729</v>
      </c>
      <c r="I27" s="1504">
        <f>$I$19/($B$19-$E$19)*$B27</f>
        <v>1138.5989755914859</v>
      </c>
      <c r="J27" s="1504">
        <f>$J$19/($B$19-$E$19)*$B27</f>
        <v>865.42635129407824</v>
      </c>
      <c r="K27" s="1504">
        <f>$K$19/($B$19-$E$19)*$B27</f>
        <v>0</v>
      </c>
      <c r="O27" s="537">
        <f t="shared" si="5"/>
        <v>0</v>
      </c>
      <c r="W27" s="1510" t="e">
        <f>'[30]УО 6 мес.2016'!D125</f>
        <v>#REF!</v>
      </c>
      <c r="Y27" s="1510" t="e">
        <f t="shared" si="6"/>
        <v>#REF!</v>
      </c>
      <c r="Z27" s="1510" t="e">
        <f t="shared" si="4"/>
        <v>#REF!</v>
      </c>
    </row>
    <row r="28" spans="1:28" ht="51">
      <c r="A28" s="1502" t="s">
        <v>2927</v>
      </c>
      <c r="B28" s="1508">
        <v>0</v>
      </c>
      <c r="C28" s="1509" t="s">
        <v>2920</v>
      </c>
      <c r="D28" s="1505">
        <f>B28-E28</f>
        <v>0</v>
      </c>
      <c r="E28" s="1504"/>
      <c r="F28" s="1504">
        <f>$F$19/($B$19-$E$19)*$B28</f>
        <v>0</v>
      </c>
      <c r="G28" s="1504">
        <f>$G$19/($B$19-$E$19)*$B28</f>
        <v>0</v>
      </c>
      <c r="H28" s="1504">
        <f>$H$19/($B$19-$E$19)*$B28</f>
        <v>0</v>
      </c>
      <c r="I28" s="1504">
        <f>$I$19/($B$19-$E$19)*$B28</f>
        <v>0</v>
      </c>
      <c r="J28" s="1504">
        <f>$J$19/($B$19-$E$19)*$B28</f>
        <v>0</v>
      </c>
      <c r="K28" s="1504">
        <f>$K$19/($B$19-$E$19)*$B28</f>
        <v>0</v>
      </c>
      <c r="O28" s="537">
        <f t="shared" si="5"/>
        <v>0</v>
      </c>
      <c r="W28" s="1510" t="e">
        <f>'[30]УО 6 мес.2016'!D126+'[30]УО 6 мес.2016'!D127</f>
        <v>#REF!</v>
      </c>
      <c r="Y28" s="1510" t="e">
        <f t="shared" si="6"/>
        <v>#REF!</v>
      </c>
      <c r="Z28" s="1510" t="e">
        <f t="shared" si="4"/>
        <v>#REF!</v>
      </c>
    </row>
    <row r="29" spans="1:28" ht="12.75">
      <c r="A29" s="1514" t="s">
        <v>2928</v>
      </c>
      <c r="B29" s="1515">
        <f>[28]УО!$C$145-[28]УО!$C$151</f>
        <v>-1485.2729400000001</v>
      </c>
      <c r="C29" s="1516"/>
      <c r="D29" s="1517">
        <f>B29-E29</f>
        <v>-1485.2729400000001</v>
      </c>
      <c r="E29" s="1518"/>
      <c r="F29" s="1518">
        <f>$F$19/($B$19-$E$19)*$B29</f>
        <v>-1398.2509668637231</v>
      </c>
      <c r="G29" s="1518">
        <f>$G$19/($B$19-$E$19)*$B29</f>
        <v>-87.02197313627704</v>
      </c>
      <c r="H29" s="1519">
        <f>$H$19/($B$19-$E$19)*$B29</f>
        <v>-129.2012548184735</v>
      </c>
      <c r="I29" s="1518">
        <f>$I$19/($B$19-$E$19)*$B29</f>
        <v>-721.01818411394845</v>
      </c>
      <c r="J29" s="1518">
        <f>$J$19/($B$19-$E$19)*$B29</f>
        <v>-548.03152793130118</v>
      </c>
      <c r="K29" s="1518">
        <f>$K$19/($B$19-$E$19)*$B29</f>
        <v>0</v>
      </c>
      <c r="O29" s="537">
        <f t="shared" si="5"/>
        <v>0</v>
      </c>
      <c r="W29" s="1520">
        <f>'[30]УО 6 мес.2016'!D146-'[30]УО 6 мес.2016'!D152</f>
        <v>-630.91591000000005</v>
      </c>
      <c r="Y29" s="1520">
        <f t="shared" si="6"/>
        <v>-249.03408419826741</v>
      </c>
      <c r="Z29" s="1520">
        <f t="shared" si="4"/>
        <v>-381.88182580173265</v>
      </c>
    </row>
    <row r="30" spans="1:28" ht="13.5">
      <c r="A30" s="1521" t="s">
        <v>2929</v>
      </c>
      <c r="B30" s="1522">
        <f>B20-B21+B22+B23-B24+B25-B26+B27+B29+B28</f>
        <v>8806.8133799999996</v>
      </c>
      <c r="C30" s="1523"/>
      <c r="D30" s="1522">
        <f t="shared" ref="D30:K30" si="7">D20-D21+D22+D23-D24+D25-D26+D27+D29+D28</f>
        <v>8623.7887773768689</v>
      </c>
      <c r="E30" s="1522">
        <f t="shared" si="7"/>
        <v>183.02460262313139</v>
      </c>
      <c r="F30" s="1522">
        <f t="shared" si="7"/>
        <v>7771.44746172138</v>
      </c>
      <c r="G30" s="1522">
        <f>G20-G21+G22+G23-G24+G25-G26+G27+G29+G28</f>
        <v>852.34131565549023</v>
      </c>
      <c r="H30" s="1524">
        <f t="shared" si="7"/>
        <v>544.6041610822333</v>
      </c>
      <c r="I30" s="1524">
        <f t="shared" si="7"/>
        <v>4549.6137341594967</v>
      </c>
      <c r="J30" s="1524">
        <f t="shared" si="7"/>
        <v>2677.2295664796493</v>
      </c>
      <c r="K30" s="1524">
        <f t="shared" si="7"/>
        <v>0</v>
      </c>
      <c r="O30" s="537">
        <f t="shared" si="5"/>
        <v>0</v>
      </c>
      <c r="W30" s="1522" t="e">
        <f>W20-W21+W22+W23-W24+W25-W26+W27+W29+W28</f>
        <v>#REF!</v>
      </c>
      <c r="Y30" s="1522" t="e">
        <f t="shared" ref="Y30:Z30" si="8">Y20-Y21+Y22+Y23-Y24+Y25-Y26+Y27+Y29+Y28</f>
        <v>#REF!</v>
      </c>
      <c r="Z30" s="1522" t="e">
        <f t="shared" si="8"/>
        <v>#REF!</v>
      </c>
    </row>
    <row r="31" spans="1:28" ht="13.5">
      <c r="A31" s="1521" t="s">
        <v>2808</v>
      </c>
      <c r="B31" s="1524">
        <f>B19-B20+B21-B22-B23+B24-B25+B26-B27-B29-B28</f>
        <v>-6947.1905240677834</v>
      </c>
      <c r="C31" s="1524"/>
      <c r="D31" s="1524">
        <f t="shared" ref="D31:K31" si="9">D19-D20+D21-D22-D23+D24-D25+D26-D27-D29-D28</f>
        <v>-6825.8849214446518</v>
      </c>
      <c r="E31" s="1524">
        <f t="shared" si="9"/>
        <v>-121.30560262313138</v>
      </c>
      <c r="F31" s="1524">
        <f t="shared" si="9"/>
        <v>-6078.8825888400088</v>
      </c>
      <c r="G31" s="1524">
        <f>G19-G20+G21-G22-G23+G24-G25+G26-G27-G29-G28</f>
        <v>-747.00233260464279</v>
      </c>
      <c r="H31" s="1524">
        <f t="shared" si="9"/>
        <v>-388.20769820086247</v>
      </c>
      <c r="I31" s="1524">
        <f t="shared" si="9"/>
        <v>-3676.8304641594959</v>
      </c>
      <c r="J31" s="1524">
        <f t="shared" si="9"/>
        <v>-2013.8444264796494</v>
      </c>
      <c r="K31" s="1524">
        <f t="shared" si="9"/>
        <v>0</v>
      </c>
      <c r="O31" s="537">
        <f t="shared" si="5"/>
        <v>0</v>
      </c>
      <c r="W31" s="1524" t="e">
        <f>W19-W20+W21-W22-W23+W24-W25+W26-W27-W29-W28</f>
        <v>#REF!</v>
      </c>
      <c r="Y31" s="1524" t="e">
        <f t="shared" ref="Y31:Z31" si="10">Y19-Y20+Y21-Y22-Y23+Y24-Y25+Y26-Y27-Y29-Y28</f>
        <v>#REF!</v>
      </c>
      <c r="Z31" s="1524" t="e">
        <f t="shared" si="10"/>
        <v>#REF!</v>
      </c>
    </row>
    <row r="32" spans="1:28">
      <c r="B32" s="1525">
        <f>B20+B22+B23+B25-B26+B27+B28</f>
        <v>10393.40127</v>
      </c>
      <c r="E32" s="1525">
        <f>E20+E22+E23+E25-E26+E27+E28</f>
        <v>183.21920027820192</v>
      </c>
      <c r="G32" s="1525">
        <f>G20+G22+G23+G25-G26+G27+G28</f>
        <v>945.28791876940045</v>
      </c>
      <c r="H32" s="1525">
        <f t="shared" ref="H32:K32" si="11">H20+H22+H23+H25-H26+H27+H28</f>
        <v>682.60169573507255</v>
      </c>
      <c r="I32" s="1525">
        <f t="shared" si="11"/>
        <v>5319.7202783055764</v>
      </c>
      <c r="J32" s="1525">
        <f t="shared" si="11"/>
        <v>3262.572176911749</v>
      </c>
      <c r="K32" s="1525">
        <f t="shared" si="11"/>
        <v>0</v>
      </c>
    </row>
    <row r="33" spans="1:41">
      <c r="B33" s="1526">
        <f>B32-E32</f>
        <v>10210.182069721799</v>
      </c>
    </row>
    <row r="34" spans="1:41" ht="12.75">
      <c r="A34" s="1527" t="s">
        <v>3675</v>
      </c>
      <c r="B34" s="1528">
        <v>39.238450999999998</v>
      </c>
      <c r="C34" s="1529"/>
      <c r="D34" s="1530">
        <f>B34</f>
        <v>39.238450999999998</v>
      </c>
      <c r="E34" s="1531">
        <f>$E$19/$B$19*$B34</f>
        <v>1.3022844656611765</v>
      </c>
      <c r="F34" s="1531">
        <f>D34-G34</f>
        <v>37.01577530441736</v>
      </c>
      <c r="G34" s="1532">
        <f>$G$19/$B$19*$B34</f>
        <v>2.2226756955826348</v>
      </c>
      <c r="H34" s="1531">
        <f>$H$19/$B$19*$B34</f>
        <v>3.2999997422959555</v>
      </c>
      <c r="I34" s="1531">
        <f>$I$19/$B$19*$B34</f>
        <v>18.415918832287698</v>
      </c>
      <c r="J34" s="1531">
        <f>$J$19/$B$19*$B34</f>
        <v>13.997572264172534</v>
      </c>
      <c r="K34" s="1531">
        <f>$K$19/$B$19*$B34</f>
        <v>0</v>
      </c>
    </row>
    <row r="35" spans="1:41">
      <c r="B35" s="1526"/>
    </row>
    <row r="36" spans="1:41">
      <c r="B36" s="1486"/>
    </row>
    <row r="37" spans="1:41">
      <c r="A37" s="1451" t="s">
        <v>3656</v>
      </c>
      <c r="B37" s="1533">
        <f>B20+B22+B23+B25+B27+B28</f>
        <v>10396.222880000001</v>
      </c>
      <c r="D37" s="1533">
        <f>D20+D22+D23+D25+D27+D28</f>
        <v>10210.182069721799</v>
      </c>
      <c r="E37" s="1533">
        <f>E20+E22+E23+E25+E27+E28</f>
        <v>186.04081027820192</v>
      </c>
      <c r="F37" s="1533">
        <f>F20+F22+F23+F25+F27+F28</f>
        <v>9264.8941509523975</v>
      </c>
      <c r="G37" s="1534">
        <f>G20+G22+G23+G25+G27+G28</f>
        <v>945.28791876940045</v>
      </c>
      <c r="H37" s="1533"/>
      <c r="W37" s="1534" t="e">
        <f>W20+W22+W23+W25+W27+W28</f>
        <v>#REF!</v>
      </c>
      <c r="Y37" s="1534" t="e">
        <f t="shared" ref="Y37:Z37" si="12">Y20+Y22+Y23+Y25+Y27+Y28</f>
        <v>#REF!</v>
      </c>
      <c r="Z37" s="1534" t="e">
        <f t="shared" si="12"/>
        <v>#REF!</v>
      </c>
    </row>
    <row r="38" spans="1:41">
      <c r="A38" s="1451" t="s">
        <v>3657</v>
      </c>
      <c r="B38" s="1533">
        <f>B20+B22+B23+B25+B27+B28+B29-B21-B24-B26</f>
        <v>8806.8133799999996</v>
      </c>
    </row>
    <row r="39" spans="1:41">
      <c r="W39" s="537" t="e">
        <f>W37*2</f>
        <v>#REF!</v>
      </c>
      <c r="Y39" s="537" t="e">
        <f t="shared" ref="Y39:Z39" si="13">Y37*2</f>
        <v>#REF!</v>
      </c>
      <c r="Z39" s="537" t="e">
        <f t="shared" si="13"/>
        <v>#REF!</v>
      </c>
    </row>
    <row r="40" spans="1:41" ht="22.5">
      <c r="A40" s="1535"/>
      <c r="B40" s="1535" t="s">
        <v>3581</v>
      </c>
      <c r="C40" s="1535" t="s">
        <v>3676</v>
      </c>
      <c r="D40" s="1535" t="s">
        <v>3677</v>
      </c>
      <c r="G40" s="536">
        <v>945.29</v>
      </c>
    </row>
    <row r="41" spans="1:41">
      <c r="A41" s="1536" t="s">
        <v>3678</v>
      </c>
      <c r="B41" s="1537">
        <f>F51</f>
        <v>313</v>
      </c>
      <c r="C41" s="1538">
        <f>D6/1000</f>
        <v>261.73544593221834</v>
      </c>
      <c r="D41" s="1539">
        <f>E6/1000</f>
        <v>832.88076999999998</v>
      </c>
      <c r="G41" s="1540"/>
    </row>
    <row r="42" spans="1:41">
      <c r="A42" s="1536" t="s">
        <v>3679</v>
      </c>
      <c r="B42" s="1541">
        <f>F49</f>
        <v>235</v>
      </c>
      <c r="C42" s="1538">
        <f>D7/1000</f>
        <v>109.53349999999959</v>
      </c>
      <c r="D42" s="1542">
        <f>D41/B41*B42</f>
        <v>625.3258177316294</v>
      </c>
    </row>
    <row r="43" spans="1:41">
      <c r="A43" s="1536" t="s">
        <v>3680</v>
      </c>
      <c r="B43" s="1541">
        <f>F50</f>
        <v>78</v>
      </c>
      <c r="C43" s="1543">
        <f>C41-C42</f>
        <v>152.20194593221873</v>
      </c>
      <c r="D43" s="1544">
        <f>D41-D42</f>
        <v>207.55495226837058</v>
      </c>
    </row>
    <row r="44" spans="1:41">
      <c r="J44" s="537"/>
      <c r="K44" s="537"/>
      <c r="AN44" s="536"/>
      <c r="AO44" s="536"/>
    </row>
    <row r="45" spans="1:41">
      <c r="A45" s="1545"/>
      <c r="J45" s="537"/>
      <c r="K45" s="537"/>
      <c r="AN45" s="536"/>
      <c r="AO45" s="536"/>
    </row>
    <row r="46" spans="1:41">
      <c r="A46" s="3352"/>
      <c r="B46" s="3353" t="s">
        <v>3681</v>
      </c>
      <c r="C46" s="3354"/>
      <c r="D46" s="3354"/>
      <c r="E46" s="3354"/>
      <c r="F46" s="3354"/>
      <c r="G46" s="3355"/>
      <c r="J46" s="537"/>
      <c r="K46" s="537"/>
      <c r="AN46" s="536"/>
      <c r="AO46" s="536"/>
    </row>
    <row r="47" spans="1:41">
      <c r="A47" s="3352"/>
      <c r="B47" s="3356" t="s">
        <v>2938</v>
      </c>
      <c r="C47" s="3356"/>
      <c r="D47" s="3356" t="s">
        <v>3682</v>
      </c>
      <c r="E47" s="3356"/>
      <c r="F47" s="3357" t="s">
        <v>1501</v>
      </c>
      <c r="G47" s="3357"/>
      <c r="J47" s="537"/>
      <c r="K47" s="537"/>
      <c r="AN47" s="536"/>
      <c r="AO47" s="536"/>
    </row>
    <row r="48" spans="1:41">
      <c r="A48" s="3352"/>
      <c r="B48" s="1546" t="s">
        <v>3581</v>
      </c>
      <c r="C48" s="1546" t="s">
        <v>2552</v>
      </c>
      <c r="D48" s="1546" t="s">
        <v>3581</v>
      </c>
      <c r="E48" s="1546" t="s">
        <v>2552</v>
      </c>
      <c r="F48" s="1546" t="s">
        <v>3581</v>
      </c>
      <c r="G48" s="1546" t="s">
        <v>2552</v>
      </c>
      <c r="J48" s="537"/>
      <c r="K48" s="537"/>
      <c r="AN48" s="536"/>
      <c r="AO48" s="536"/>
    </row>
    <row r="49" spans="1:41">
      <c r="A49" s="1547" t="s">
        <v>3679</v>
      </c>
      <c r="B49" s="1548">
        <v>213</v>
      </c>
      <c r="C49" s="1549">
        <v>1195.5639999999999</v>
      </c>
      <c r="D49" s="1548">
        <v>22</v>
      </c>
      <c r="E49" s="1549">
        <v>136.661</v>
      </c>
      <c r="F49" s="1550">
        <f t="shared" ref="F49:G51" si="14">SUM(B49,D49)</f>
        <v>235</v>
      </c>
      <c r="G49" s="1551">
        <f t="shared" si="14"/>
        <v>1332.2249999999999</v>
      </c>
      <c r="J49" s="537"/>
      <c r="K49" s="537"/>
      <c r="AN49" s="536"/>
      <c r="AO49" s="536"/>
    </row>
    <row r="50" spans="1:41">
      <c r="A50" s="1552" t="s">
        <v>3680</v>
      </c>
      <c r="B50" s="1553">
        <v>74</v>
      </c>
      <c r="C50" s="1554">
        <v>143.57</v>
      </c>
      <c r="D50" s="1553">
        <v>4</v>
      </c>
      <c r="E50" s="1554">
        <v>54.46</v>
      </c>
      <c r="F50" s="1555">
        <f t="shared" si="14"/>
        <v>78</v>
      </c>
      <c r="G50" s="1556">
        <f t="shared" si="14"/>
        <v>198.03</v>
      </c>
      <c r="J50" s="537"/>
      <c r="K50" s="537"/>
      <c r="AN50" s="536"/>
      <c r="AO50" s="536"/>
    </row>
    <row r="51" spans="1:41">
      <c r="A51" s="1536" t="s">
        <v>3678</v>
      </c>
      <c r="B51" s="1557">
        <f>B49+B50</f>
        <v>287</v>
      </c>
      <c r="C51" s="1558">
        <f>C49+C50</f>
        <v>1339.1339999999998</v>
      </c>
      <c r="D51" s="1557">
        <f>D49+D50</f>
        <v>26</v>
      </c>
      <c r="E51" s="1558">
        <f>E49+E50</f>
        <v>191.12100000000001</v>
      </c>
      <c r="F51" s="1557">
        <f t="shared" si="14"/>
        <v>313</v>
      </c>
      <c r="G51" s="1558">
        <f t="shared" si="14"/>
        <v>1530.2549999999999</v>
      </c>
      <c r="J51" s="537"/>
      <c r="K51" s="537"/>
      <c r="AN51" s="536"/>
      <c r="AO51" s="536"/>
    </row>
    <row r="52" spans="1:41">
      <c r="J52" s="537"/>
      <c r="K52" s="537"/>
      <c r="AN52" s="536"/>
      <c r="AO52" s="536"/>
    </row>
    <row r="53" spans="1:41">
      <c r="B53" s="1486"/>
    </row>
  </sheetData>
  <mergeCells count="18">
    <mergeCell ref="T3:T4"/>
    <mergeCell ref="A1:B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D17:E17"/>
    <mergeCell ref="A46:A48"/>
    <mergeCell ref="B46:G46"/>
    <mergeCell ref="B47:C47"/>
    <mergeCell ref="D47:E47"/>
    <mergeCell ref="F47:G47"/>
  </mergeCells>
  <printOptions horizontalCentered="1"/>
  <pageMargins left="0.15748031496062992" right="0.15748031496062992" top="0.39370078740157483" bottom="0.39370078740157483" header="0.51181102362204722" footer="0.51181102362204722"/>
  <pageSetup paperSize="9" scale="6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  <outlinePr summaryBelow="0" summaryRight="0"/>
    <pageSetUpPr autoPageBreaks="0"/>
  </sheetPr>
  <dimension ref="B1:BB158"/>
  <sheetViews>
    <sheetView topLeftCell="A19" zoomScale="85" zoomScaleNormal="85" workbookViewId="0">
      <selection activeCell="I32" sqref="I32"/>
    </sheetView>
  </sheetViews>
  <sheetFormatPr defaultColWidth="9.140625" defaultRowHeight="12" outlineLevelCol="1"/>
  <cols>
    <col min="1" max="1" width="0.85546875" style="572" customWidth="1"/>
    <col min="2" max="2" width="42.140625" style="568" customWidth="1"/>
    <col min="3" max="5" width="14.42578125" style="568" customWidth="1"/>
    <col min="6" max="6" width="17.42578125" style="568" customWidth="1"/>
    <col min="7" max="8" width="15.5703125" style="568" customWidth="1" outlineLevel="1"/>
    <col min="9" max="9" width="17.140625" style="568" customWidth="1" outlineLevel="1"/>
    <col min="10" max="14" width="15.5703125" style="568" customWidth="1" outlineLevel="1"/>
    <col min="15" max="15" width="13.5703125" style="572" customWidth="1"/>
    <col min="16" max="16" width="11" style="572" customWidth="1"/>
    <col min="17" max="17" width="12.85546875" style="572" customWidth="1"/>
    <col min="18" max="18" width="14.42578125" style="534" customWidth="1" outlineLevel="1"/>
    <col min="19" max="19" width="8.28515625" style="534" customWidth="1" outlineLevel="1"/>
    <col min="20" max="20" width="13.5703125" style="572" customWidth="1" outlineLevel="1"/>
    <col min="21" max="24" width="9.140625" style="572" customWidth="1" outlineLevel="1"/>
    <col min="25" max="25" width="11.42578125" style="572" customWidth="1" outlineLevel="1"/>
    <col min="26" max="26" width="14.5703125" style="572" customWidth="1" outlineLevel="1"/>
    <col min="27" max="27" width="14.5703125" style="572" customWidth="1"/>
    <col min="28" max="28" width="14.28515625" style="572" customWidth="1"/>
    <col min="29" max="29" width="9.140625" style="1561" customWidth="1"/>
    <col min="30" max="30" width="11.42578125" style="1561" bestFit="1" customWidth="1"/>
    <col min="31" max="31" width="11.42578125" style="1561" customWidth="1"/>
    <col min="32" max="32" width="11.42578125" style="1561" customWidth="1" outlineLevel="1"/>
    <col min="33" max="33" width="9.140625" style="1561" customWidth="1" outlineLevel="1"/>
    <col min="34" max="34" width="38.7109375" style="1561" bestFit="1" customWidth="1"/>
    <col min="35" max="54" width="9.140625" style="1561"/>
    <col min="55" max="16384" width="9.140625" style="572"/>
  </cols>
  <sheetData>
    <row r="1" spans="2:54">
      <c r="B1" s="567" t="s">
        <v>29</v>
      </c>
      <c r="C1" s="567"/>
      <c r="D1" s="567"/>
      <c r="E1" s="1559"/>
      <c r="F1" s="567"/>
      <c r="G1" s="1560">
        <f>SUM(H1:N1)</f>
        <v>832880.77</v>
      </c>
      <c r="H1" s="534"/>
      <c r="I1" s="534">
        <v>53946.54</v>
      </c>
      <c r="J1" s="534">
        <v>737466.05</v>
      </c>
      <c r="K1" s="534">
        <v>35665.21</v>
      </c>
      <c r="L1" s="534">
        <v>1430.36</v>
      </c>
      <c r="M1" s="534">
        <v>4372.6099999999997</v>
      </c>
      <c r="N1" s="572"/>
      <c r="O1" s="1560">
        <f>SUM(H1:N1)</f>
        <v>832880.77</v>
      </c>
    </row>
    <row r="2" spans="2:54">
      <c r="B2" s="567" t="s">
        <v>3683</v>
      </c>
      <c r="C2" s="567"/>
      <c r="D2" s="567"/>
      <c r="E2" s="567"/>
      <c r="F2" s="567"/>
      <c r="G2" s="1560">
        <f>SUM(H2:N2)</f>
        <v>3684876.1</v>
      </c>
      <c r="H2" s="534">
        <v>8857.5400000000009</v>
      </c>
      <c r="I2" s="534">
        <v>101313.87</v>
      </c>
      <c r="J2" s="534">
        <v>3448507.77</v>
      </c>
      <c r="K2" s="534">
        <v>47488.65</v>
      </c>
      <c r="L2" s="534">
        <v>18349.22</v>
      </c>
      <c r="M2" s="534">
        <v>60359.05</v>
      </c>
      <c r="N2" s="572"/>
      <c r="O2" s="1560">
        <f t="shared" ref="O2:O3" si="0">SUM(H2:N2)</f>
        <v>3684876.1</v>
      </c>
    </row>
    <row r="3" spans="2:54" s="568" customFormat="1">
      <c r="D3" s="569"/>
      <c r="G3" s="1562" t="s">
        <v>38</v>
      </c>
      <c r="J3" s="1563">
        <f>(883422.15-J11)</f>
        <v>68667.152988508577</v>
      </c>
      <c r="K3" s="1563">
        <f>(7999.79-K11)</f>
        <v>621.81235076111807</v>
      </c>
      <c r="L3" s="1563">
        <f>(829.51-L11)+2510.79</f>
        <v>2575.2666378967269</v>
      </c>
      <c r="M3" s="1563">
        <f>(2728.49-M11)+8259.15</f>
        <v>8471.2316647597254</v>
      </c>
      <c r="N3" s="1563">
        <f>(59943-N11)</f>
        <v>4659.2845239279704</v>
      </c>
      <c r="O3" s="1560">
        <f t="shared" si="0"/>
        <v>84994.748165854122</v>
      </c>
      <c r="Q3" s="571" t="s">
        <v>2887</v>
      </c>
      <c r="T3" s="1563"/>
      <c r="AC3" s="1564"/>
      <c r="AD3" s="1564"/>
      <c r="AE3" s="1564"/>
      <c r="AF3" s="1564"/>
      <c r="AG3" s="1564"/>
      <c r="AH3" s="1564"/>
      <c r="AI3" s="1564"/>
      <c r="AJ3" s="1564"/>
      <c r="AK3" s="1564"/>
      <c r="AL3" s="1564"/>
      <c r="AM3" s="1564"/>
      <c r="AN3" s="1564"/>
      <c r="AO3" s="1564"/>
      <c r="AP3" s="1564"/>
      <c r="AQ3" s="1564"/>
      <c r="AR3" s="1564"/>
      <c r="AS3" s="1564"/>
      <c r="AT3" s="1564"/>
      <c r="AU3" s="1564"/>
      <c r="AV3" s="1564"/>
      <c r="AW3" s="1564"/>
      <c r="AX3" s="1564"/>
      <c r="AY3" s="1564"/>
      <c r="AZ3" s="1564"/>
      <c r="BA3" s="1564"/>
      <c r="BB3" s="1564"/>
    </row>
    <row r="4" spans="2:54" ht="24">
      <c r="B4" s="1565" t="s">
        <v>35</v>
      </c>
      <c r="C4" s="1566" t="s">
        <v>2931</v>
      </c>
      <c r="D4" s="1567" t="s">
        <v>2932</v>
      </c>
      <c r="E4" s="1567" t="s">
        <v>2933</v>
      </c>
      <c r="F4" s="1567" t="s">
        <v>2934</v>
      </c>
      <c r="G4" s="1567" t="s">
        <v>3684</v>
      </c>
      <c r="H4" s="1568">
        <v>10</v>
      </c>
      <c r="I4" s="1568">
        <v>23</v>
      </c>
      <c r="J4" s="1568">
        <v>25</v>
      </c>
      <c r="K4" s="1568">
        <v>26</v>
      </c>
      <c r="L4" s="1568">
        <v>69</v>
      </c>
      <c r="M4" s="1568">
        <v>70</v>
      </c>
      <c r="N4" s="1568">
        <v>79</v>
      </c>
      <c r="O4" s="1565" t="s">
        <v>39</v>
      </c>
      <c r="P4" s="1569">
        <f>C16</f>
        <v>213</v>
      </c>
      <c r="Q4" s="571" t="s">
        <v>2941</v>
      </c>
      <c r="R4" s="572"/>
      <c r="S4" s="571" t="s">
        <v>3685</v>
      </c>
      <c r="T4" s="534"/>
      <c r="U4" s="1570" t="s">
        <v>3686</v>
      </c>
      <c r="V4" s="1571"/>
      <c r="W4" s="1571"/>
      <c r="X4" s="1571"/>
      <c r="Y4" s="1572"/>
      <c r="AA4" s="1567" t="s">
        <v>3687</v>
      </c>
      <c r="AB4" s="1567" t="s">
        <v>3688</v>
      </c>
      <c r="AD4" s="1573" t="s">
        <v>2552</v>
      </c>
      <c r="AE4" s="1573" t="s">
        <v>3689</v>
      </c>
      <c r="AF4" s="1573" t="s">
        <v>2552</v>
      </c>
      <c r="AG4" s="1573" t="s">
        <v>3689</v>
      </c>
    </row>
    <row r="5" spans="2:54" ht="24">
      <c r="B5" s="1574" t="s">
        <v>1512</v>
      </c>
      <c r="C5" s="1575"/>
      <c r="D5" s="1576">
        <f>SUM(D6,D11,D14,D15)</f>
        <v>1980851.1200000006</v>
      </c>
      <c r="E5" s="1577">
        <f t="shared" ref="E5" si="1">SUM(E6,E11,E14,E15)</f>
        <v>302164.06999999413</v>
      </c>
      <c r="F5" s="1577">
        <f>SUM(F6,F11,F14,F15)</f>
        <v>1678687.0500000063</v>
      </c>
      <c r="G5" s="1578">
        <f>SUM(H5:N5)</f>
        <v>4676399.2100000009</v>
      </c>
      <c r="H5" s="1576">
        <v>8857.5400000000009</v>
      </c>
      <c r="I5" s="1577">
        <v>101313.87</v>
      </c>
      <c r="J5" s="1577">
        <v>4357504.9400000004</v>
      </c>
      <c r="K5" s="1577">
        <v>55743.65</v>
      </c>
      <c r="L5" s="1577">
        <v>21689.52</v>
      </c>
      <c r="M5" s="1577">
        <v>71346.69</v>
      </c>
      <c r="N5" s="1579">
        <v>59943</v>
      </c>
      <c r="O5" s="1578">
        <v>4676399.21</v>
      </c>
      <c r="R5" s="572"/>
      <c r="S5" s="572"/>
      <c r="T5" s="534"/>
      <c r="AA5" s="1580">
        <v>4828223.9799999995</v>
      </c>
      <c r="AB5" s="1580">
        <f>G5-AA5</f>
        <v>-151824.76999999862</v>
      </c>
    </row>
    <row r="6" spans="2:54">
      <c r="B6" s="1581" t="s">
        <v>2936</v>
      </c>
      <c r="C6" s="1582">
        <f>SUM(C7,C10)</f>
        <v>202</v>
      </c>
      <c r="D6" s="1583">
        <f>'[30]Об.сч.62 2016'!Q3</f>
        <v>1822168.1200000006</v>
      </c>
      <c r="E6" s="1584">
        <f>D6-F6</f>
        <v>277958.17999999411</v>
      </c>
      <c r="F6" s="1585">
        <f>'[31]Реестр 2016_ТП'!L427*1000</f>
        <v>1544209.9400000065</v>
      </c>
      <c r="G6" s="1586">
        <f>SUM(H6:N6)</f>
        <v>3769870.8481658548</v>
      </c>
      <c r="H6" s="1587">
        <f>8857.54+(0-0)</f>
        <v>8857.5400000000009</v>
      </c>
      <c r="I6" s="1588">
        <f>101313.87+(0-0)</f>
        <v>101313.87</v>
      </c>
      <c r="J6" s="1588">
        <f>3448507.77+(883422.15-J11)</f>
        <v>3517174.9229885088</v>
      </c>
      <c r="K6" s="1588">
        <f>47488.65+(7999.79-K11)</f>
        <v>48110.462350761118</v>
      </c>
      <c r="L6" s="1588">
        <f>18349.22+(829.51-L11)+2510.79</f>
        <v>20924.486637896727</v>
      </c>
      <c r="M6" s="1588">
        <f>60359.05+(2728.49-M11)+8259.15</f>
        <v>68830.281664759721</v>
      </c>
      <c r="N6" s="1589">
        <f>0+(59943-N11)</f>
        <v>4659.2845239279704</v>
      </c>
      <c r="O6" s="1590">
        <f>3684876.1+(954922.94-O11)+10769.94</f>
        <v>3769870.8481658543</v>
      </c>
      <c r="Q6" s="1591">
        <f>'[30]Об.сч.62 2016'!S3</f>
        <v>211</v>
      </c>
      <c r="R6" s="1592">
        <f>C6/$C$6</f>
        <v>1</v>
      </c>
      <c r="S6" s="1592"/>
      <c r="T6" s="1593">
        <f>G6*R6</f>
        <v>3769870.8481658548</v>
      </c>
      <c r="U6" s="572">
        <v>202</v>
      </c>
      <c r="AA6" s="1594">
        <v>832880.77</v>
      </c>
      <c r="AB6" s="1594">
        <f>G6-AA6</f>
        <v>2936990.0781658548</v>
      </c>
      <c r="AD6" s="1595">
        <v>1305.3969999999999</v>
      </c>
      <c r="AE6" s="1596">
        <f>AD6/$AD$16</f>
        <v>0.52357223560724531</v>
      </c>
      <c r="AF6" s="1597">
        <v>1305.3969999999999</v>
      </c>
      <c r="AG6" s="1596">
        <f>AF6/$AF$16</f>
        <v>0.53420031616677854</v>
      </c>
      <c r="AH6" s="1598" t="s">
        <v>2936</v>
      </c>
    </row>
    <row r="7" spans="2:54">
      <c r="B7" s="1599" t="s">
        <v>2937</v>
      </c>
      <c r="C7" s="1600">
        <f>191-8</f>
        <v>183</v>
      </c>
      <c r="D7" s="1601">
        <f>'[30]Об.сч.62 2016'!Q4</f>
        <v>105600</v>
      </c>
      <c r="E7" s="1602">
        <f>D7-F7</f>
        <v>16108.79000000027</v>
      </c>
      <c r="F7" s="1603">
        <f>'[31]Реестр 2016_ТП'!L430*1000</f>
        <v>89491.20999999973</v>
      </c>
      <c r="G7" s="1604">
        <f>SUM(H7:N7)</f>
        <v>298544.15224608785</v>
      </c>
      <c r="H7" s="1605">
        <f>H6*$S$7</f>
        <v>513.32048548846296</v>
      </c>
      <c r="I7" s="1605">
        <f t="shared" ref="I7" si="2">I6*$S$7</f>
        <v>5871.4366443860272</v>
      </c>
      <c r="J7" s="1602">
        <f>3448507.77*$S$7+(883422.15-J11)</f>
        <v>268518.31738710415</v>
      </c>
      <c r="K7" s="1602">
        <f>47488.65*$S$7+(7999.79-K11)</f>
        <v>3373.9192419737678</v>
      </c>
      <c r="L7" s="1602">
        <f>18349.22*$S$7+(829.51-L11)+2510.79</f>
        <v>3638.6578863398172</v>
      </c>
      <c r="M7" s="1602">
        <f>60359.05*$S$7+(2728.49-M11)+8259.15</f>
        <v>11969.216076867648</v>
      </c>
      <c r="N7" s="1606">
        <f>0*$S$7+(59943-N11)</f>
        <v>4659.2845239279704</v>
      </c>
      <c r="O7" s="1604">
        <f>3684876.1*$S$7+(954922.94-O11)+10769.94</f>
        <v>298544.15224608796</v>
      </c>
      <c r="P7" s="1607">
        <f>H39/C7</f>
        <v>8.9033644622675236</v>
      </c>
      <c r="Q7" s="1591">
        <f>'[30]Об.сч.62 2016'!S4</f>
        <v>192</v>
      </c>
      <c r="R7" s="1592">
        <f>C7/$C$6</f>
        <v>0.90594059405940597</v>
      </c>
      <c r="S7" s="1608">
        <f>D7/$D$6</f>
        <v>5.7952940149122993E-2</v>
      </c>
      <c r="T7" s="1593">
        <f>G6*R7</f>
        <v>3415279.0357146109</v>
      </c>
      <c r="U7" s="572">
        <v>144</v>
      </c>
      <c r="AA7" s="1594">
        <v>625325.81773162948</v>
      </c>
      <c r="AB7" s="1594">
        <f t="shared" ref="AB7:AB16" si="3">G7-AA7</f>
        <v>-326781.66548554163</v>
      </c>
      <c r="AD7" s="1609">
        <f>'[32]3.1.1 -реестр исполненных'!G6</f>
        <v>1244.6130000000003</v>
      </c>
      <c r="AE7" s="1610">
        <f>AD7/$AD$16</f>
        <v>0.4991928209394082</v>
      </c>
      <c r="AF7" s="1611">
        <f>AD7</f>
        <v>1244.6130000000003</v>
      </c>
      <c r="AG7" s="1610">
        <f t="shared" ref="AG7:AG16" si="4">AF7/$AF$16</f>
        <v>0.50932601967469127</v>
      </c>
      <c r="AH7" s="1612" t="s">
        <v>2937</v>
      </c>
    </row>
    <row r="8" spans="2:54" s="1622" customFormat="1">
      <c r="B8" s="1613" t="s">
        <v>2938</v>
      </c>
      <c r="C8" s="1614">
        <v>162</v>
      </c>
      <c r="D8" s="1615">
        <f>$C$8/($C$8+$C$9)*D$7</f>
        <v>93481.967213114753</v>
      </c>
      <c r="E8" s="1616">
        <f>$C$8/($C$8+$C$9)*E$7</f>
        <v>14260.240327869091</v>
      </c>
      <c r="F8" s="1616">
        <f>$C$8/($C$8+$C$9)*F$7</f>
        <v>79221.726885245662</v>
      </c>
      <c r="G8" s="1617">
        <f>SUM(H8:N8)</f>
        <v>264284.98723424168</v>
      </c>
      <c r="H8" s="1618">
        <f>$C$8/($C$8+$C$9)*H$7</f>
        <v>454.41485600618034</v>
      </c>
      <c r="I8" s="1619">
        <f t="shared" ref="I8:M8" si="5">$C$8/($C$8+$C$9)*I$7</f>
        <v>5197.6652261777945</v>
      </c>
      <c r="J8" s="1619">
        <f t="shared" si="5"/>
        <v>237704.73998202663</v>
      </c>
      <c r="K8" s="1619">
        <f t="shared" si="5"/>
        <v>2986.7481814194011</v>
      </c>
      <c r="L8" s="1619">
        <f t="shared" si="5"/>
        <v>3221.1069813500021</v>
      </c>
      <c r="M8" s="1619">
        <f t="shared" si="5"/>
        <v>10595.699477882836</v>
      </c>
      <c r="N8" s="1620">
        <f>$C$8/($C$8+$C$9)*N$7</f>
        <v>4124.6125293788591</v>
      </c>
      <c r="O8" s="1621">
        <f>$C$8/($C$8+$C$9)*O$7</f>
        <v>264284.98723424179</v>
      </c>
      <c r="Q8" s="1623"/>
      <c r="R8" s="1592"/>
      <c r="S8" s="1592"/>
      <c r="T8" s="1624"/>
      <c r="AA8" s="1625"/>
      <c r="AB8" s="1625"/>
      <c r="AC8" s="1626"/>
      <c r="AD8" s="1627">
        <f>'[32]3.1.1 -реестр исполненных'!G7</f>
        <v>1058.4930000000002</v>
      </c>
      <c r="AE8" s="1628">
        <f t="shared" ref="AE8:AE16" si="6">AD8/$AD$16</f>
        <v>0.42454329708481026</v>
      </c>
      <c r="AF8" s="1626"/>
      <c r="AG8" s="1628">
        <f t="shared" si="4"/>
        <v>0</v>
      </c>
      <c r="AH8" s="1629" t="s">
        <v>2938</v>
      </c>
      <c r="AI8" s="1626"/>
      <c r="AJ8" s="1626"/>
      <c r="AK8" s="1626"/>
      <c r="AL8" s="1626"/>
      <c r="AM8" s="1626"/>
      <c r="AN8" s="1626"/>
      <c r="AO8" s="1626"/>
      <c r="AP8" s="1626"/>
      <c r="AQ8" s="1626"/>
      <c r="AR8" s="1626"/>
      <c r="AS8" s="1626"/>
      <c r="AT8" s="1626"/>
      <c r="AU8" s="1626"/>
      <c r="AV8" s="1626"/>
      <c r="AW8" s="1626"/>
      <c r="AX8" s="1626"/>
      <c r="AY8" s="1626"/>
      <c r="AZ8" s="1626"/>
      <c r="BA8" s="1626"/>
      <c r="BB8" s="1626"/>
    </row>
    <row r="9" spans="2:54" s="1622" customFormat="1">
      <c r="B9" s="1613" t="s">
        <v>3690</v>
      </c>
      <c r="C9" s="1630">
        <f>C7-C8</f>
        <v>21</v>
      </c>
      <c r="D9" s="1615">
        <f>D7-D8</f>
        <v>12118.032786885247</v>
      </c>
      <c r="E9" s="1616">
        <f t="shared" ref="E9:N9" si="7">E7-E8</f>
        <v>1848.5496721311792</v>
      </c>
      <c r="F9" s="1616">
        <f t="shared" si="7"/>
        <v>10269.483114754068</v>
      </c>
      <c r="G9" s="1617">
        <f t="shared" si="7"/>
        <v>34259.165011846169</v>
      </c>
      <c r="H9" s="1618">
        <f t="shared" si="7"/>
        <v>58.90562948228262</v>
      </c>
      <c r="I9" s="1619">
        <f t="shared" si="7"/>
        <v>673.77141820823272</v>
      </c>
      <c r="J9" s="1619">
        <f t="shared" si="7"/>
        <v>30813.577405077522</v>
      </c>
      <c r="K9" s="1619">
        <f t="shared" si="7"/>
        <v>387.1710605543667</v>
      </c>
      <c r="L9" s="1619">
        <f t="shared" si="7"/>
        <v>417.55090498981508</v>
      </c>
      <c r="M9" s="1619">
        <f t="shared" si="7"/>
        <v>1373.5165989848119</v>
      </c>
      <c r="N9" s="1620">
        <f t="shared" si="7"/>
        <v>534.67199454911133</v>
      </c>
      <c r="O9" s="1621">
        <f>O7-O8</f>
        <v>34259.165011846169</v>
      </c>
      <c r="Q9" s="1623"/>
      <c r="R9" s="1592"/>
      <c r="S9" s="1592"/>
      <c r="T9" s="1624"/>
      <c r="AA9" s="1625"/>
      <c r="AB9" s="1625"/>
      <c r="AC9" s="1626"/>
      <c r="AD9" s="1627">
        <f>'[32]3.1.1 -реестр исполненных'!G8</f>
        <v>186.12</v>
      </c>
      <c r="AE9" s="1628">
        <f t="shared" si="6"/>
        <v>7.4649523854597888E-2</v>
      </c>
      <c r="AF9" s="1626"/>
      <c r="AG9" s="1628">
        <f t="shared" si="4"/>
        <v>0</v>
      </c>
      <c r="AH9" s="1629" t="s">
        <v>3690</v>
      </c>
      <c r="AI9" s="1626"/>
      <c r="AJ9" s="1626"/>
      <c r="AK9" s="1626"/>
      <c r="AL9" s="1626"/>
      <c r="AM9" s="1626"/>
      <c r="AN9" s="1626"/>
      <c r="AO9" s="1626"/>
      <c r="AP9" s="1626"/>
      <c r="AQ9" s="1626"/>
      <c r="AR9" s="1626"/>
      <c r="AS9" s="1626"/>
      <c r="AT9" s="1626"/>
      <c r="AU9" s="1626"/>
      <c r="AV9" s="1626"/>
      <c r="AW9" s="1626"/>
      <c r="AX9" s="1626"/>
      <c r="AY9" s="1626"/>
      <c r="AZ9" s="1626"/>
      <c r="BA9" s="1626"/>
      <c r="BB9" s="1626"/>
    </row>
    <row r="10" spans="2:54">
      <c r="B10" s="564" t="s">
        <v>2939</v>
      </c>
      <c r="C10" s="1631">
        <f>Q10</f>
        <v>19</v>
      </c>
      <c r="D10" s="1632">
        <f>D6-D7</f>
        <v>1716568.1200000006</v>
      </c>
      <c r="E10" s="1633">
        <f t="shared" ref="E10" si="8">E6-E7</f>
        <v>261849.38999999384</v>
      </c>
      <c r="F10" s="1634">
        <f>'[31]Реестр 2016_ТП'!L433*1000</f>
        <v>1454718.7299999997</v>
      </c>
      <c r="G10" s="1635">
        <f t="shared" ref="G10:G15" si="9">SUM(H10:N10)</f>
        <v>3471326.695919767</v>
      </c>
      <c r="H10" s="1632">
        <f>H6-H7</f>
        <v>8344.2195145115384</v>
      </c>
      <c r="I10" s="1633">
        <f>I6-I7</f>
        <v>95442.433355613961</v>
      </c>
      <c r="J10" s="1633">
        <f>J6-J7</f>
        <v>3248656.6056014048</v>
      </c>
      <c r="K10" s="1633">
        <f t="shared" ref="K10:M10" si="10">K6-K7</f>
        <v>44736.543108787351</v>
      </c>
      <c r="L10" s="1633">
        <f t="shared" si="10"/>
        <v>17285.82875155691</v>
      </c>
      <c r="M10" s="1633">
        <f t="shared" si="10"/>
        <v>56861.065587892073</v>
      </c>
      <c r="N10" s="1636">
        <f>N6-N7</f>
        <v>0</v>
      </c>
      <c r="O10" s="1635">
        <f>O6-O7</f>
        <v>3471326.6959197666</v>
      </c>
      <c r="Q10" s="1591">
        <f>'[30]Об.сч.62 2016'!S5</f>
        <v>19</v>
      </c>
      <c r="R10" s="1592">
        <f>Q10/Q6</f>
        <v>9.004739336492891E-2</v>
      </c>
      <c r="S10" s="1592"/>
      <c r="T10" s="1593">
        <f>T6-T7</f>
        <v>354591.81245124387</v>
      </c>
      <c r="U10" s="572">
        <f>U6-U7</f>
        <v>58</v>
      </c>
      <c r="AA10" s="1604">
        <f>AA6-AA7</f>
        <v>207554.95226837054</v>
      </c>
      <c r="AB10" s="1604">
        <f t="shared" si="3"/>
        <v>3263771.7436513966</v>
      </c>
      <c r="AD10" s="1637">
        <f>AD6-AD7</f>
        <v>60.783999999999651</v>
      </c>
      <c r="AE10" s="1638">
        <f t="shared" si="6"/>
        <v>2.4379414667837156E-2</v>
      </c>
      <c r="AF10" s="1637">
        <f>AF6-AF7</f>
        <v>60.783999999999651</v>
      </c>
      <c r="AG10" s="1638">
        <f t="shared" si="4"/>
        <v>2.4874296492087299E-2</v>
      </c>
      <c r="AH10" s="1639" t="s">
        <v>2939</v>
      </c>
    </row>
    <row r="11" spans="2:54">
      <c r="B11" s="1581" t="s">
        <v>2915</v>
      </c>
      <c r="C11" s="1582">
        <f>SUM(C12:C13)</f>
        <v>10</v>
      </c>
      <c r="D11" s="1583">
        <f>'[30]Об.сч.62 2016'!F624-'[30]Об.сч.62 2016'!F667</f>
        <v>151133.46</v>
      </c>
      <c r="E11" s="1584">
        <f t="shared" ref="E11:E15" si="11">D11-F11</f>
        <v>23054.270000000004</v>
      </c>
      <c r="F11" s="1585">
        <f>'[31]Реестр 2016_ТП'!L439*1000</f>
        <v>128079.18999999999</v>
      </c>
      <c r="G11" s="1586">
        <f>SUM(H11:N11)</f>
        <v>880698.13183414598</v>
      </c>
      <c r="H11" s="1640"/>
      <c r="I11" s="1641"/>
      <c r="J11" s="1588">
        <f>883422.15*$U$14</f>
        <v>814754.99701149145</v>
      </c>
      <c r="K11" s="1588">
        <f>7999.79*$U$14</f>
        <v>7377.9776492388819</v>
      </c>
      <c r="L11" s="1588">
        <f>829.51*$U$14</f>
        <v>765.03336210327325</v>
      </c>
      <c r="M11" s="1588">
        <f>2728.49*$U$14</f>
        <v>2516.4083352402745</v>
      </c>
      <c r="N11" s="1642">
        <f>59943*$U$14</f>
        <v>55283.71547607203</v>
      </c>
      <c r="O11" s="1590">
        <f>954922.94*$U$14</f>
        <v>880698.13183414575</v>
      </c>
      <c r="P11" s="1607">
        <f>SUM(I39:J39)/SUM(C11,C10)</f>
        <v>174.18446243471746</v>
      </c>
      <c r="R11" s="1592">
        <f>U11/$U$11</f>
        <v>1</v>
      </c>
      <c r="S11" s="1592"/>
      <c r="T11" s="534"/>
      <c r="U11" s="1643">
        <f>SUM(U12:U13)</f>
        <v>593.2639999999999</v>
      </c>
      <c r="V11" s="1643">
        <f>SUM(V12:V13)</f>
        <v>50</v>
      </c>
      <c r="W11" s="1643">
        <f>SUM(W12:W13)</f>
        <v>643.2639999999999</v>
      </c>
      <c r="X11" s="1592">
        <f>W11/$W$11</f>
        <v>1</v>
      </c>
      <c r="Y11" s="1644">
        <f>G11/U11</f>
        <v>1484.4961633170833</v>
      </c>
      <c r="AA11" s="1594">
        <v>2668683.02</v>
      </c>
      <c r="AB11" s="1594">
        <f t="shared" si="3"/>
        <v>-1787984.8881658539</v>
      </c>
      <c r="AD11" s="1645">
        <f>'[32]3.2.2 - реестр до 150 не льгот'!G6</f>
        <v>593.2639999999999</v>
      </c>
      <c r="AE11" s="1646">
        <f t="shared" si="6"/>
        <v>0.23794796432449036</v>
      </c>
      <c r="AF11" s="1597">
        <v>543.66</v>
      </c>
      <c r="AG11" s="1646">
        <f t="shared" si="4"/>
        <v>0.22247894233496082</v>
      </c>
      <c r="AH11" s="1598" t="s">
        <v>2915</v>
      </c>
    </row>
    <row r="12" spans="2:54" s="1622" customFormat="1">
      <c r="B12" s="1613" t="s">
        <v>2938</v>
      </c>
      <c r="C12" s="1614">
        <v>6</v>
      </c>
      <c r="D12" s="1615">
        <f t="shared" ref="D12:F12" si="12">$R$12*D$11</f>
        <v>98909.897977022018</v>
      </c>
      <c r="E12" s="1616">
        <f t="shared" si="12"/>
        <v>15087.959301895953</v>
      </c>
      <c r="F12" s="1616">
        <f t="shared" si="12"/>
        <v>83821.938675126061</v>
      </c>
      <c r="G12" s="1617">
        <f>SUM(H12:N12)</f>
        <v>576376.41835414397</v>
      </c>
      <c r="H12" s="1618">
        <f>$R$12*H$11</f>
        <v>0</v>
      </c>
      <c r="I12" s="1619">
        <f t="shared" ref="I12:O12" si="13">$R$12*I$11</f>
        <v>0</v>
      </c>
      <c r="J12" s="1619">
        <f>$R$12*J$11</f>
        <v>533219.66975860612</v>
      </c>
      <c r="K12" s="1619">
        <f t="shared" si="13"/>
        <v>4828.5470111182967</v>
      </c>
      <c r="L12" s="1619">
        <f t="shared" si="13"/>
        <v>500.67914672669377</v>
      </c>
      <c r="M12" s="1619">
        <f t="shared" si="13"/>
        <v>1646.8735097254003</v>
      </c>
      <c r="N12" s="1620">
        <f t="shared" si="13"/>
        <v>36180.648927967362</v>
      </c>
      <c r="O12" s="1621">
        <f t="shared" si="13"/>
        <v>576376.41835414374</v>
      </c>
      <c r="Q12" s="1623"/>
      <c r="R12" s="1592">
        <f>U12/$U$11</f>
        <v>0.65445400361390538</v>
      </c>
      <c r="S12" s="1592"/>
      <c r="T12" s="1624"/>
      <c r="U12" s="1647">
        <f>'[32]3.2.2 - реестр до 150 не льгот'!G7</f>
        <v>388.2639999999999</v>
      </c>
      <c r="V12" s="1647"/>
      <c r="W12" s="1648">
        <f>SUM(U12:V12)</f>
        <v>388.2639999999999</v>
      </c>
      <c r="X12" s="1592">
        <f>W12/$W$11</f>
        <v>0.60358422047557447</v>
      </c>
      <c r="Y12" s="1644">
        <f>G12/U12</f>
        <v>1484.4961633170835</v>
      </c>
      <c r="AA12" s="1625"/>
      <c r="AB12" s="1625"/>
      <c r="AC12" s="1626"/>
      <c r="AD12" s="1627">
        <f>'[32]3.2.2 - реестр до 150 не льгот'!G7</f>
        <v>388.2639999999999</v>
      </c>
      <c r="AE12" s="1628">
        <f t="shared" si="6"/>
        <v>0.15572599790394145</v>
      </c>
      <c r="AF12" s="1626"/>
      <c r="AG12" s="1628">
        <f t="shared" si="4"/>
        <v>0</v>
      </c>
      <c r="AH12" s="1629" t="s">
        <v>2938</v>
      </c>
      <c r="AI12" s="1626"/>
      <c r="AJ12" s="1626"/>
      <c r="AK12" s="1626"/>
      <c r="AL12" s="1626"/>
      <c r="AM12" s="1626"/>
      <c r="AN12" s="1626"/>
      <c r="AO12" s="1626"/>
      <c r="AP12" s="1626"/>
      <c r="AQ12" s="1626"/>
      <c r="AR12" s="1626"/>
      <c r="AS12" s="1626"/>
      <c r="AT12" s="1626"/>
      <c r="AU12" s="1626"/>
      <c r="AV12" s="1626"/>
      <c r="AW12" s="1626"/>
      <c r="AX12" s="1626"/>
      <c r="AY12" s="1626"/>
      <c r="AZ12" s="1626"/>
      <c r="BA12" s="1626"/>
      <c r="BB12" s="1626"/>
    </row>
    <row r="13" spans="2:54" s="1622" customFormat="1">
      <c r="B13" s="1649" t="s">
        <v>3690</v>
      </c>
      <c r="C13" s="1650">
        <f>3+1</f>
        <v>4</v>
      </c>
      <c r="D13" s="1651">
        <f t="shared" ref="D13:F13" si="14">D11-D12</f>
        <v>52223.562022977974</v>
      </c>
      <c r="E13" s="1652">
        <f t="shared" si="14"/>
        <v>7966.310698104051</v>
      </c>
      <c r="F13" s="1652">
        <f t="shared" si="14"/>
        <v>44257.251324873927</v>
      </c>
      <c r="G13" s="1653">
        <f>SUM(H13:N13)</f>
        <v>304321.71348000207</v>
      </c>
      <c r="H13" s="1654">
        <f>H11-H12</f>
        <v>0</v>
      </c>
      <c r="I13" s="1655">
        <f t="shared" ref="I13:O13" si="15">I11-I12</f>
        <v>0</v>
      </c>
      <c r="J13" s="1655">
        <f t="shared" si="15"/>
        <v>281535.32725288533</v>
      </c>
      <c r="K13" s="1655">
        <f t="shared" si="15"/>
        <v>2549.4306381205852</v>
      </c>
      <c r="L13" s="1655">
        <f t="shared" si="15"/>
        <v>264.35421537657948</v>
      </c>
      <c r="M13" s="1655">
        <f t="shared" si="15"/>
        <v>869.53482551487423</v>
      </c>
      <c r="N13" s="1656">
        <f t="shared" si="15"/>
        <v>19103.066548104667</v>
      </c>
      <c r="O13" s="1657">
        <f t="shared" si="15"/>
        <v>304321.71348000201</v>
      </c>
      <c r="Q13" s="1623"/>
      <c r="R13" s="1592">
        <f>U13/$U$11</f>
        <v>0.34554599638609462</v>
      </c>
      <c r="S13" s="1592"/>
      <c r="T13" s="1624"/>
      <c r="U13" s="1647">
        <f>'[32]3.2.2 - реестр до 150 не льгот'!G8</f>
        <v>205</v>
      </c>
      <c r="V13" s="1647">
        <f>'[32]3.1.1 -реестр исполненных'!G196</f>
        <v>50</v>
      </c>
      <c r="W13" s="1648">
        <f>SUM(U13:V13)</f>
        <v>255</v>
      </c>
      <c r="X13" s="1592">
        <f>W13/$W$11</f>
        <v>0.39641577952442547</v>
      </c>
      <c r="Y13" s="1644">
        <f>G13/U13</f>
        <v>1484.4961633170833</v>
      </c>
      <c r="AA13" s="1625"/>
      <c r="AB13" s="1625"/>
      <c r="AC13" s="1626"/>
      <c r="AD13" s="1627">
        <f>'[32]3.2.2 - реестр до 150 не льгот'!G8</f>
        <v>205</v>
      </c>
      <c r="AE13" s="1628">
        <f t="shared" si="6"/>
        <v>8.2221966420548923E-2</v>
      </c>
      <c r="AF13" s="1626"/>
      <c r="AG13" s="1628">
        <f t="shared" si="4"/>
        <v>0</v>
      </c>
      <c r="AH13" s="1658" t="s">
        <v>3690</v>
      </c>
      <c r="AI13" s="1626"/>
      <c r="AJ13" s="1626"/>
      <c r="AK13" s="1626"/>
      <c r="AL13" s="1626"/>
      <c r="AM13" s="1626"/>
      <c r="AN13" s="1626"/>
      <c r="AO13" s="1626"/>
      <c r="AP13" s="1626"/>
      <c r="AQ13" s="1626"/>
      <c r="AR13" s="1626"/>
      <c r="AS13" s="1626"/>
      <c r="AT13" s="1626"/>
      <c r="AU13" s="1626"/>
      <c r="AV13" s="1626"/>
      <c r="AW13" s="1626"/>
      <c r="AX13" s="1626"/>
      <c r="AY13" s="1626"/>
      <c r="AZ13" s="1626"/>
      <c r="BA13" s="1626"/>
      <c r="BB13" s="1626"/>
    </row>
    <row r="14" spans="2:54">
      <c r="B14" s="1659" t="s">
        <v>1465</v>
      </c>
      <c r="C14" s="1660">
        <v>1</v>
      </c>
      <c r="D14" s="1661">
        <f>'[30]Об.сч.62 2016'!F671</f>
        <v>7549.54</v>
      </c>
      <c r="E14" s="1662">
        <f t="shared" si="11"/>
        <v>1151.6199999999999</v>
      </c>
      <c r="F14" s="1663">
        <f>'[31]Реестр 2016_ТП'!L442*1000</f>
        <v>6397.92</v>
      </c>
      <c r="G14" s="1664">
        <f t="shared" si="9"/>
        <v>25830.23</v>
      </c>
      <c r="H14" s="1665"/>
      <c r="I14" s="1666"/>
      <c r="J14" s="1667">
        <v>25575.02</v>
      </c>
      <c r="K14" s="1667">
        <v>255.21</v>
      </c>
      <c r="L14" s="1666"/>
      <c r="M14" s="1666"/>
      <c r="N14" s="1668"/>
      <c r="O14" s="1669">
        <v>25830.23</v>
      </c>
      <c r="R14" s="572"/>
      <c r="S14" s="572"/>
      <c r="T14" s="534"/>
      <c r="U14" s="1670">
        <f>U11/$W$11</f>
        <v>0.92227141577952443</v>
      </c>
      <c r="V14" s="1670">
        <f>V11/$W$11</f>
        <v>7.7728584220475586E-2</v>
      </c>
      <c r="W14" s="1670">
        <f>W11/$W$11</f>
        <v>1</v>
      </c>
      <c r="AA14" s="1594">
        <v>1247571.68</v>
      </c>
      <c r="AB14" s="1594">
        <f t="shared" si="3"/>
        <v>-1221741.45</v>
      </c>
      <c r="AD14" s="1595">
        <v>594.59</v>
      </c>
      <c r="AE14" s="1596">
        <f t="shared" si="6"/>
        <v>0.23847980006826433</v>
      </c>
      <c r="AF14" s="1597">
        <v>594.59</v>
      </c>
      <c r="AG14" s="1596">
        <f t="shared" si="4"/>
        <v>0.24332074149826061</v>
      </c>
      <c r="AH14" s="1671" t="s">
        <v>1465</v>
      </c>
    </row>
    <row r="15" spans="2:54">
      <c r="B15" s="1659" t="s">
        <v>2940</v>
      </c>
      <c r="C15" s="1660"/>
      <c r="D15" s="1661"/>
      <c r="E15" s="1662">
        <f t="shared" si="11"/>
        <v>0</v>
      </c>
      <c r="F15" s="1663">
        <f>'[31]Реестр 2016_ТП'!L445*1000</f>
        <v>0</v>
      </c>
      <c r="G15" s="1664">
        <f t="shared" si="9"/>
        <v>0</v>
      </c>
      <c r="H15" s="1665"/>
      <c r="I15" s="1666"/>
      <c r="J15" s="1666"/>
      <c r="K15" s="1666"/>
      <c r="L15" s="1672">
        <f>2510.79*0</f>
        <v>0</v>
      </c>
      <c r="M15" s="1672">
        <f>8259.15*0</f>
        <v>0</v>
      </c>
      <c r="N15" s="1668"/>
      <c r="O15" s="1669">
        <f>10769.94</f>
        <v>10769.94</v>
      </c>
      <c r="R15" s="572"/>
      <c r="S15" s="572"/>
      <c r="T15" s="534"/>
      <c r="AA15" s="1673">
        <v>79088.509999999995</v>
      </c>
      <c r="AB15" s="1673">
        <f t="shared" si="3"/>
        <v>-79088.509999999995</v>
      </c>
      <c r="AD15" s="1595"/>
      <c r="AE15" s="1596">
        <f t="shared" si="6"/>
        <v>0</v>
      </c>
      <c r="AF15" s="1597"/>
      <c r="AG15" s="1596">
        <f t="shared" si="4"/>
        <v>0</v>
      </c>
      <c r="AH15" s="1671" t="s">
        <v>2940</v>
      </c>
    </row>
    <row r="16" spans="2:54">
      <c r="B16" s="566" t="s">
        <v>21</v>
      </c>
      <c r="C16" s="1674">
        <f>SUM(C6,C11,C14,C15)</f>
        <v>213</v>
      </c>
      <c r="D16" s="1675">
        <f>SUM(D6,D11,D14,D15)</f>
        <v>1980851.1200000006</v>
      </c>
      <c r="E16" s="1675">
        <f t="shared" ref="E16" si="16">SUM(E6,E11,E14,E15)</f>
        <v>302164.06999999413</v>
      </c>
      <c r="F16" s="1675">
        <f>SUM(F6,F11,F14,F15)</f>
        <v>1678687.0500000063</v>
      </c>
      <c r="G16" s="1675">
        <f>SUM(G6,G11,G14,G15)</f>
        <v>4676399.2100000009</v>
      </c>
      <c r="H16" s="1675">
        <f>SUM(H6,H11,H14,H15)</f>
        <v>8857.5400000000009</v>
      </c>
      <c r="I16" s="1675">
        <f t="shared" ref="I16:L16" si="17">SUM(I6,I11,I14,I15)</f>
        <v>101313.87</v>
      </c>
      <c r="J16" s="1675">
        <f t="shared" si="17"/>
        <v>4357504.9399999995</v>
      </c>
      <c r="K16" s="1675">
        <f t="shared" si="17"/>
        <v>55743.65</v>
      </c>
      <c r="L16" s="1675">
        <f t="shared" si="17"/>
        <v>21689.52</v>
      </c>
      <c r="M16" s="1675">
        <f>SUM(M6,M11,M14,M15)</f>
        <v>71346.69</v>
      </c>
      <c r="N16" s="1675">
        <f>SUM(N6,N11,N14,N15)</f>
        <v>59943</v>
      </c>
      <c r="O16" s="1675">
        <f>SUM(O6,O11,O14,O15)</f>
        <v>4687169.1500000013</v>
      </c>
      <c r="Q16" s="572">
        <f>Q7-U7</f>
        <v>48</v>
      </c>
      <c r="R16" s="572"/>
      <c r="S16" s="572"/>
      <c r="T16" s="534"/>
      <c r="AA16" s="1664">
        <f>SUM(AA6,AA11:AA15)</f>
        <v>4828223.9799999995</v>
      </c>
      <c r="AB16" s="1664">
        <f t="shared" si="3"/>
        <v>-151824.76999999862</v>
      </c>
      <c r="AD16" s="1676">
        <f>SUM(AD6,AD11,AD14,AD15)</f>
        <v>2493.2509999999997</v>
      </c>
      <c r="AE16" s="1677">
        <f t="shared" si="6"/>
        <v>1</v>
      </c>
      <c r="AF16" s="1678">
        <f>SUM(AF6,AF11,AF14,AF15)</f>
        <v>2443.6469999999999</v>
      </c>
      <c r="AG16" s="1677">
        <f t="shared" si="4"/>
        <v>1</v>
      </c>
    </row>
    <row r="17" spans="2:54" s="534" customFormat="1">
      <c r="C17" s="1679"/>
      <c r="F17" s="1680"/>
      <c r="AC17" s="1561"/>
      <c r="AD17" s="1561"/>
      <c r="AE17" s="1561"/>
      <c r="AF17" s="1561"/>
      <c r="AG17" s="1561"/>
      <c r="AH17" s="1561"/>
      <c r="AI17" s="1561"/>
      <c r="AJ17" s="1561"/>
      <c r="AK17" s="1561"/>
      <c r="AL17" s="1561"/>
      <c r="AM17" s="1561"/>
      <c r="AN17" s="1561"/>
      <c r="AO17" s="1561"/>
      <c r="AP17" s="1561"/>
      <c r="AQ17" s="1561"/>
      <c r="AR17" s="1561"/>
      <c r="AS17" s="1561"/>
      <c r="AT17" s="1561"/>
      <c r="AU17" s="1561"/>
      <c r="AV17" s="1561"/>
      <c r="AW17" s="1561"/>
      <c r="AX17" s="1561"/>
      <c r="AY17" s="1561"/>
      <c r="AZ17" s="1561"/>
      <c r="BA17" s="1561"/>
      <c r="BB17" s="1561"/>
    </row>
    <row r="18" spans="2:54" s="534" customFormat="1">
      <c r="B18" s="533" t="s">
        <v>2907</v>
      </c>
      <c r="C18" s="1681"/>
      <c r="F18" s="1682"/>
      <c r="G18" s="1682"/>
      <c r="M18" s="534">
        <f>G6/C6</f>
        <v>18662.726971118092</v>
      </c>
      <c r="AC18" s="1561"/>
      <c r="AD18" s="1561"/>
      <c r="AE18" s="1561"/>
      <c r="AF18" s="1561"/>
      <c r="AG18" s="1561"/>
      <c r="AH18" s="1561"/>
      <c r="AI18" s="1561"/>
      <c r="AJ18" s="1561"/>
      <c r="AK18" s="1561"/>
      <c r="AL18" s="1561"/>
      <c r="AM18" s="1561"/>
      <c r="AN18" s="1561"/>
      <c r="AO18" s="1561"/>
      <c r="AP18" s="1561"/>
      <c r="AQ18" s="1561"/>
      <c r="AR18" s="1561"/>
      <c r="AS18" s="1561"/>
      <c r="AT18" s="1561"/>
      <c r="AU18" s="1561"/>
      <c r="AV18" s="1561"/>
      <c r="AW18" s="1561"/>
      <c r="AX18" s="1561"/>
      <c r="AY18" s="1561"/>
      <c r="AZ18" s="1561"/>
      <c r="BA18" s="1561"/>
      <c r="BB18" s="1561"/>
    </row>
    <row r="19" spans="2:54" s="534" customFormat="1">
      <c r="C19" s="1679"/>
      <c r="F19" s="1682"/>
      <c r="G19" s="1682"/>
      <c r="M19" s="534">
        <f>M18*C7</f>
        <v>3415279.0357146109</v>
      </c>
      <c r="AC19" s="1561"/>
      <c r="AD19" s="1561"/>
      <c r="AE19" s="1561"/>
      <c r="AF19" s="1561"/>
      <c r="AG19" s="1561"/>
      <c r="AH19" s="1561"/>
      <c r="AI19" s="1561"/>
      <c r="AJ19" s="1561"/>
      <c r="AK19" s="1561"/>
      <c r="AL19" s="1561"/>
      <c r="AM19" s="1561"/>
      <c r="AN19" s="1561"/>
      <c r="AO19" s="1561"/>
      <c r="AP19" s="1561"/>
      <c r="AQ19" s="1561"/>
      <c r="AR19" s="1561"/>
      <c r="AS19" s="1561"/>
      <c r="AT19" s="1561"/>
      <c r="AU19" s="1561"/>
      <c r="AV19" s="1561"/>
      <c r="AW19" s="1561"/>
      <c r="AX19" s="1561"/>
      <c r="AY19" s="1561"/>
      <c r="AZ19" s="1561"/>
      <c r="BA19" s="1561"/>
      <c r="BB19" s="1561"/>
    </row>
    <row r="20" spans="2:54" s="534" customFormat="1">
      <c r="C20" s="1679"/>
      <c r="L20" s="534">
        <f>'[33]Затраты 2016'!L$24</f>
        <v>0</v>
      </c>
      <c r="AA20" s="534" t="s">
        <v>3691</v>
      </c>
      <c r="AC20" s="1561"/>
      <c r="AD20" s="1561"/>
      <c r="AE20" s="1561"/>
      <c r="AF20" s="1561"/>
      <c r="AG20" s="1561"/>
      <c r="AH20" s="1561"/>
      <c r="AI20" s="1561"/>
      <c r="AJ20" s="1561"/>
      <c r="AK20" s="1561"/>
      <c r="AL20" s="1561"/>
      <c r="AM20" s="1561"/>
      <c r="AN20" s="1561"/>
      <c r="AO20" s="1561"/>
      <c r="AP20" s="1561"/>
      <c r="AQ20" s="1561"/>
      <c r="AR20" s="1561"/>
      <c r="AS20" s="1561"/>
      <c r="AT20" s="1561"/>
      <c r="AU20" s="1561"/>
      <c r="AV20" s="1561"/>
      <c r="AW20" s="1561"/>
      <c r="AX20" s="1561"/>
      <c r="AY20" s="1561"/>
      <c r="AZ20" s="1561"/>
      <c r="BA20" s="1561"/>
      <c r="BB20" s="1561"/>
    </row>
    <row r="21" spans="2:54" s="534" customFormat="1" ht="30" customHeight="1">
      <c r="B21" s="1683"/>
      <c r="C21" s="1684"/>
      <c r="D21" s="1684"/>
      <c r="E21" s="3365" t="s">
        <v>2908</v>
      </c>
      <c r="F21" s="3366"/>
      <c r="G21" s="536"/>
      <c r="H21" s="1685" t="s">
        <v>3692</v>
      </c>
      <c r="I21" s="536"/>
      <c r="J21" s="536"/>
      <c r="K21" s="536"/>
      <c r="L21" s="536"/>
      <c r="M21" s="537"/>
      <c r="O21" s="1490" t="s">
        <v>3693</v>
      </c>
      <c r="P21" s="1686"/>
      <c r="Q21" s="1686"/>
      <c r="R21" s="1686"/>
      <c r="AA21" s="536"/>
      <c r="AC21" s="1561"/>
      <c r="AD21" s="1608">
        <f>$AE$7</f>
        <v>0.4991928209394082</v>
      </c>
      <c r="AE21" s="1608">
        <v>0.22519555965779231</v>
      </c>
      <c r="AF21" s="1561"/>
      <c r="AG21" s="1561"/>
      <c r="AH21" s="1561"/>
      <c r="AI21" s="1561"/>
      <c r="AJ21" s="1561"/>
      <c r="AK21" s="1561"/>
      <c r="AL21" s="1561"/>
      <c r="AM21" s="1561"/>
      <c r="AN21" s="1561"/>
      <c r="AO21" s="1561"/>
      <c r="AP21" s="1561"/>
      <c r="AQ21" s="1561"/>
      <c r="AR21" s="1561"/>
      <c r="AS21" s="1561"/>
      <c r="AT21" s="1561"/>
      <c r="AU21" s="1561"/>
      <c r="AV21" s="1561"/>
      <c r="AW21" s="1561"/>
      <c r="AX21" s="1561"/>
      <c r="AY21" s="1561"/>
      <c r="AZ21" s="1561"/>
      <c r="BA21" s="1561"/>
      <c r="BB21" s="1561"/>
    </row>
    <row r="22" spans="2:54" s="534" customFormat="1" ht="38.25">
      <c r="B22" s="1687" t="s">
        <v>2909</v>
      </c>
      <c r="C22" s="1688" t="s">
        <v>3694</v>
      </c>
      <c r="D22" s="1689"/>
      <c r="E22" s="1688" t="s">
        <v>2910</v>
      </c>
      <c r="F22" s="1688" t="s">
        <v>2911</v>
      </c>
      <c r="G22" s="1688" t="s">
        <v>2912</v>
      </c>
      <c r="H22" s="1690" t="s">
        <v>2913</v>
      </c>
      <c r="I22" s="1691" t="s">
        <v>2914</v>
      </c>
      <c r="J22" s="1691" t="s">
        <v>2915</v>
      </c>
      <c r="K22" s="1691" t="s">
        <v>1465</v>
      </c>
      <c r="L22" s="1691" t="s">
        <v>2916</v>
      </c>
      <c r="M22" s="537"/>
      <c r="O22" s="1692" t="s">
        <v>3693</v>
      </c>
      <c r="P22" s="1686"/>
      <c r="Q22" s="1693" t="s">
        <v>2913</v>
      </c>
      <c r="R22" s="1693" t="s">
        <v>3673</v>
      </c>
      <c r="AA22" s="1690" t="s">
        <v>2913</v>
      </c>
      <c r="AC22" s="1561"/>
      <c r="AD22" s="1690" t="s">
        <v>2913</v>
      </c>
      <c r="AE22" s="1690" t="s">
        <v>3695</v>
      </c>
      <c r="AF22" s="1561"/>
      <c r="AG22" s="1561"/>
      <c r="AH22" s="1561"/>
      <c r="AI22" s="1561"/>
      <c r="AJ22" s="1561"/>
      <c r="AK22" s="1561"/>
      <c r="AL22" s="1561"/>
      <c r="AM22" s="1561"/>
      <c r="AN22" s="1561"/>
      <c r="AO22" s="1561"/>
      <c r="AP22" s="1561"/>
      <c r="AQ22" s="1561"/>
      <c r="AR22" s="1561"/>
      <c r="AS22" s="1561"/>
      <c r="AT22" s="1561"/>
      <c r="AU22" s="1561"/>
      <c r="AV22" s="1561"/>
      <c r="AW22" s="1561"/>
      <c r="AX22" s="1561"/>
      <c r="AY22" s="1561"/>
      <c r="AZ22" s="1561"/>
      <c r="BA22" s="1561"/>
      <c r="BB22" s="1561"/>
    </row>
    <row r="23" spans="2:54" s="534" customFormat="1" ht="12.75">
      <c r="B23" s="1694" t="s">
        <v>2917</v>
      </c>
      <c r="C23" s="1695">
        <f>F5/1000</f>
        <v>1678.6870500000064</v>
      </c>
      <c r="D23" s="1696"/>
      <c r="E23" s="1697">
        <f t="shared" ref="E23:E33" si="18">C23-F23</f>
        <v>1678.6870500000064</v>
      </c>
      <c r="F23" s="1698">
        <f>F18</f>
        <v>0</v>
      </c>
      <c r="G23" s="1697">
        <f>E23-H23</f>
        <v>1589.1958400000067</v>
      </c>
      <c r="H23" s="1695">
        <f>F7/1000</f>
        <v>89.491209999999725</v>
      </c>
      <c r="I23" s="1695">
        <f>F10/1000</f>
        <v>1454.7187299999998</v>
      </c>
      <c r="J23" s="1695">
        <f>F11/1000</f>
        <v>128.07918999999998</v>
      </c>
      <c r="K23" s="1695">
        <f>F14/1000</f>
        <v>6.3979200000000001</v>
      </c>
      <c r="L23" s="1697">
        <f>(F15-F18)/1000</f>
        <v>0</v>
      </c>
      <c r="M23" s="537"/>
      <c r="O23" s="1501">
        <f>'[30]Об.сч.62 6мес.2017'!P7/1000</f>
        <v>155.5772966101695</v>
      </c>
      <c r="P23" s="1686"/>
      <c r="Q23" s="1501">
        <f>'[30]Об.сч.62 6мес.2017'!Q7/1000</f>
        <v>40.550847457627121</v>
      </c>
      <c r="R23" s="1501">
        <f>O23-Q23</f>
        <v>115.02644915254237</v>
      </c>
      <c r="AA23" s="1695">
        <f>F7/1000</f>
        <v>89.491209999999725</v>
      </c>
      <c r="AC23" s="1561"/>
      <c r="AD23" s="1695">
        <f>$F$7/1000</f>
        <v>89.491209999999725</v>
      </c>
      <c r="AE23" s="1695">
        <f>$F$7/1000</f>
        <v>89.491209999999725</v>
      </c>
      <c r="AF23" s="1561"/>
      <c r="AG23" s="1561"/>
      <c r="AH23" s="1561"/>
      <c r="AI23" s="1561"/>
      <c r="AJ23" s="1561"/>
      <c r="AK23" s="1561"/>
      <c r="AL23" s="1561"/>
      <c r="AM23" s="1561"/>
      <c r="AN23" s="1561"/>
      <c r="AO23" s="1561"/>
      <c r="AP23" s="1561"/>
      <c r="AQ23" s="1561"/>
      <c r="AR23" s="1561"/>
      <c r="AS23" s="1561"/>
      <c r="AT23" s="1561"/>
      <c r="AU23" s="1561"/>
      <c r="AV23" s="1561"/>
      <c r="AW23" s="1561"/>
      <c r="AX23" s="1561"/>
      <c r="AY23" s="1561"/>
      <c r="AZ23" s="1561"/>
      <c r="BA23" s="1561"/>
      <c r="BB23" s="1561"/>
    </row>
    <row r="24" spans="2:54" s="534" customFormat="1" ht="12.75">
      <c r="B24" s="1699" t="s">
        <v>2918</v>
      </c>
      <c r="C24" s="1700">
        <f>G5/1000</f>
        <v>4676.3992100000005</v>
      </c>
      <c r="D24" s="1701"/>
      <c r="E24" s="1702">
        <f t="shared" si="18"/>
        <v>4676.3992100000005</v>
      </c>
      <c r="F24" s="1703">
        <f>IFERROR(F18/F19*G19/1000,0)</f>
        <v>0</v>
      </c>
      <c r="G24" s="1704">
        <f>E24-H24</f>
        <v>4377.8550577539127</v>
      </c>
      <c r="H24" s="1700">
        <f>G7/1000</f>
        <v>298.54415224608783</v>
      </c>
      <c r="I24" s="1700">
        <f>G10/1000</f>
        <v>3471.3266959197672</v>
      </c>
      <c r="J24" s="1700">
        <f>G11/1000</f>
        <v>880.69813183414601</v>
      </c>
      <c r="K24" s="1700">
        <f>G14/1000</f>
        <v>25.83023</v>
      </c>
      <c r="L24" s="1702">
        <f>G15/1000-G18/1000</f>
        <v>0</v>
      </c>
      <c r="M24" s="537"/>
      <c r="O24" s="1507">
        <f>'[30]СС 6мес.2017'!N11/1000</f>
        <v>2826.6843699999999</v>
      </c>
      <c r="P24" s="1686"/>
      <c r="Q24" s="1507">
        <f>'[30]СС 6мес.2017'!P11/1000</f>
        <v>1674.5631719387757</v>
      </c>
      <c r="R24" s="1507">
        <f>'[30]СС 6мес.2017'!W11/1000</f>
        <v>1152.1211980612243</v>
      </c>
      <c r="AA24" s="1700">
        <f>G7/1000</f>
        <v>298.54415224608783</v>
      </c>
      <c r="AC24" s="1561"/>
      <c r="AD24" s="1700">
        <f>$G$7/1000</f>
        <v>298.54415224608783</v>
      </c>
      <c r="AE24" s="1700">
        <f>$G$7/1000</f>
        <v>298.54415224608783</v>
      </c>
      <c r="AF24" s="1561"/>
      <c r="AG24" s="1561"/>
      <c r="AH24" s="1561"/>
      <c r="AI24" s="1561"/>
      <c r="AJ24" s="1561"/>
      <c r="AK24" s="1561"/>
      <c r="AL24" s="1561"/>
      <c r="AM24" s="1561"/>
      <c r="AN24" s="1561"/>
      <c r="AO24" s="1561"/>
      <c r="AP24" s="1561"/>
      <c r="AQ24" s="1561"/>
      <c r="AR24" s="1561"/>
      <c r="AS24" s="1561"/>
      <c r="AT24" s="1561"/>
      <c r="AU24" s="1561"/>
      <c r="AV24" s="1561"/>
      <c r="AW24" s="1561"/>
      <c r="AX24" s="1561"/>
      <c r="AY24" s="1561"/>
      <c r="AZ24" s="1561"/>
      <c r="BA24" s="1561"/>
      <c r="BB24" s="1561"/>
    </row>
    <row r="25" spans="2:54" s="534" customFormat="1" ht="38.25">
      <c r="B25" s="1699" t="s">
        <v>2919</v>
      </c>
      <c r="C25" s="1705">
        <f>'[30]УО 2016'!F56</f>
        <v>15.77765</v>
      </c>
      <c r="D25" s="1706" t="s">
        <v>2920</v>
      </c>
      <c r="E25" s="1702">
        <f>C25-F25</f>
        <v>15.77765</v>
      </c>
      <c r="F25" s="1703"/>
      <c r="G25" s="1702">
        <f t="shared" ref="G25:L33" si="19">$C25*G$43</f>
        <v>0</v>
      </c>
      <c r="H25" s="1702">
        <f>$C25*H$43</f>
        <v>7.8760896112946535</v>
      </c>
      <c r="I25" s="1702">
        <f t="shared" si="19"/>
        <v>0.3846498718340009</v>
      </c>
      <c r="J25" s="1702">
        <f t="shared" si="19"/>
        <v>3.7542596993242952</v>
      </c>
      <c r="K25" s="1702">
        <f t="shared" si="19"/>
        <v>3.7626508175470508</v>
      </c>
      <c r="L25" s="1702">
        <f t="shared" si="19"/>
        <v>0</v>
      </c>
      <c r="M25" s="537"/>
      <c r="O25" s="1510">
        <f>'[30]УО 6мес.2017'!F65</f>
        <v>5.7103700000000002</v>
      </c>
      <c r="P25" s="1686"/>
      <c r="Q25" s="1707">
        <f>O25/$O$23*$Q$23</f>
        <v>1.4883941798836602</v>
      </c>
      <c r="R25" s="1707">
        <f>O25-Q25</f>
        <v>4.2219758201163398</v>
      </c>
      <c r="AA25" s="1702">
        <f>$C25*AA$42</f>
        <v>0.84111310697595465</v>
      </c>
      <c r="AC25" s="1561"/>
      <c r="AD25" s="1702">
        <f t="shared" ref="AD25:AE29" si="20">$C25*AD$21</f>
        <v>7.8760896112946535</v>
      </c>
      <c r="AE25" s="1702">
        <f t="shared" si="20"/>
        <v>3.5530567218347668</v>
      </c>
      <c r="AF25" s="1561"/>
      <c r="AG25" s="1561"/>
      <c r="AH25" s="1561"/>
      <c r="AI25" s="1561"/>
      <c r="AJ25" s="1561"/>
      <c r="AK25" s="1561"/>
      <c r="AL25" s="1561"/>
      <c r="AM25" s="1561"/>
      <c r="AN25" s="1561"/>
      <c r="AO25" s="1561"/>
      <c r="AP25" s="1561"/>
      <c r="AQ25" s="1561"/>
      <c r="AR25" s="1561"/>
      <c r="AS25" s="1561"/>
      <c r="AT25" s="1561"/>
      <c r="AU25" s="1561"/>
      <c r="AV25" s="1561"/>
      <c r="AW25" s="1561"/>
      <c r="AX25" s="1561"/>
      <c r="AY25" s="1561"/>
      <c r="AZ25" s="1561"/>
      <c r="BA25" s="1561"/>
      <c r="BB25" s="1561"/>
    </row>
    <row r="26" spans="2:54" s="534" customFormat="1" ht="25.5">
      <c r="B26" s="1699" t="s">
        <v>2921</v>
      </c>
      <c r="C26" s="1705">
        <f>'[30]УО 2016'!F74</f>
        <v>437.73552000000001</v>
      </c>
      <c r="D26" s="1708" t="s">
        <v>2922</v>
      </c>
      <c r="E26" s="1702">
        <f t="shared" si="18"/>
        <v>437.73552000000001</v>
      </c>
      <c r="F26" s="1703">
        <f>$F$23/$C$23*$C26</f>
        <v>0</v>
      </c>
      <c r="G26" s="1702">
        <f>E26-H26</f>
        <v>219.22109094582126</v>
      </c>
      <c r="H26" s="1709">
        <f t="shared" si="19"/>
        <v>218.51442905417875</v>
      </c>
      <c r="I26" s="1702">
        <f t="shared" si="19"/>
        <v>10.671735756921326</v>
      </c>
      <c r="J26" s="1702">
        <f t="shared" si="19"/>
        <v>104.15827589652224</v>
      </c>
      <c r="K26" s="1702">
        <f t="shared" si="19"/>
        <v>104.39107929237773</v>
      </c>
      <c r="L26" s="1702">
        <f t="shared" si="19"/>
        <v>0</v>
      </c>
      <c r="M26" s="537"/>
      <c r="O26" s="1510">
        <f>'[30]УО 6мес.2017'!F87</f>
        <v>124.67064000000001</v>
      </c>
      <c r="P26" s="1686"/>
      <c r="Q26" s="1707">
        <f>O26/$O$23*$Q$23</f>
        <v>32.495101889784912</v>
      </c>
      <c r="R26" s="1707">
        <f t="shared" ref="R26:R33" si="21">O26-Q26</f>
        <v>92.175538110215086</v>
      </c>
      <c r="AA26" s="1702">
        <f>$C26*AA$42</f>
        <v>23.335863278811175</v>
      </c>
      <c r="AC26" s="1561"/>
      <c r="AD26" s="1702">
        <f t="shared" si="20"/>
        <v>218.51442905417875</v>
      </c>
      <c r="AE26" s="1702">
        <f t="shared" si="20"/>
        <v>98.576095408494737</v>
      </c>
      <c r="AF26" s="1561"/>
      <c r="AG26" s="1561"/>
      <c r="AH26" s="1561"/>
      <c r="AI26" s="1561"/>
      <c r="AJ26" s="1561"/>
      <c r="AK26" s="1561"/>
      <c r="AL26" s="1561"/>
      <c r="AM26" s="1561"/>
      <c r="AN26" s="1561"/>
      <c r="AO26" s="1561"/>
      <c r="AP26" s="1561"/>
      <c r="AQ26" s="1561"/>
      <c r="AR26" s="1561"/>
      <c r="AS26" s="1561"/>
      <c r="AT26" s="1561"/>
      <c r="AU26" s="1561"/>
      <c r="AV26" s="1561"/>
      <c r="AW26" s="1561"/>
      <c r="AX26" s="1561"/>
      <c r="AY26" s="1561"/>
      <c r="AZ26" s="1561"/>
      <c r="BA26" s="1561"/>
      <c r="BB26" s="1561"/>
    </row>
    <row r="27" spans="2:54" s="534" customFormat="1" ht="25.5">
      <c r="B27" s="1699" t="s">
        <v>2837</v>
      </c>
      <c r="C27" s="1705">
        <f>'[30]УО 2016'!F94</f>
        <v>2096.4635800000001</v>
      </c>
      <c r="D27" s="1708" t="s">
        <v>2922</v>
      </c>
      <c r="E27" s="1702">
        <f>C27-F27</f>
        <v>2096.4635800000001</v>
      </c>
      <c r="F27" s="1703">
        <f>$F$23/$C$23*$C27</f>
        <v>0</v>
      </c>
      <c r="G27" s="1702">
        <f>E27-H27</f>
        <v>1049.9240115030693</v>
      </c>
      <c r="H27" s="1702">
        <f>$C27*H$43</f>
        <v>1046.5395684969308</v>
      </c>
      <c r="I27" s="1702">
        <f t="shared" si="19"/>
        <v>51.110554952838399</v>
      </c>
      <c r="J27" s="1702">
        <f>$C27*J$43</f>
        <v>498.84924114143337</v>
      </c>
      <c r="K27" s="1702">
        <f t="shared" si="19"/>
        <v>499.96421540879771</v>
      </c>
      <c r="L27" s="1702">
        <f t="shared" si="19"/>
        <v>0</v>
      </c>
      <c r="M27" s="537"/>
      <c r="O27" s="1510">
        <f>'[30]УО 6мес.2017'!F108</f>
        <v>373.64393999999999</v>
      </c>
      <c r="P27" s="1686"/>
      <c r="Q27" s="1707">
        <f>O27/$O$23*$Q$23</f>
        <v>97.389392569097893</v>
      </c>
      <c r="R27" s="1707">
        <f t="shared" si="21"/>
        <v>276.25454743090211</v>
      </c>
      <c r="AA27" s="1702">
        <f>$C27*AA$42</f>
        <v>111.76334849839697</v>
      </c>
      <c r="AC27" s="1561"/>
      <c r="AD27" s="1702">
        <f t="shared" si="20"/>
        <v>1046.5395684969308</v>
      </c>
      <c r="AE27" s="1702">
        <f t="shared" si="20"/>
        <v>472.11428920027885</v>
      </c>
      <c r="AF27" s="1561"/>
      <c r="AG27" s="1561"/>
      <c r="AH27" s="1561"/>
      <c r="AI27" s="1561"/>
      <c r="AJ27" s="1561"/>
      <c r="AK27" s="1561"/>
      <c r="AL27" s="1561"/>
      <c r="AM27" s="1561"/>
      <c r="AN27" s="1561"/>
      <c r="AO27" s="1561"/>
      <c r="AP27" s="1561"/>
      <c r="AQ27" s="1561"/>
      <c r="AR27" s="1561"/>
      <c r="AS27" s="1561"/>
      <c r="AT27" s="1561"/>
      <c r="AU27" s="1561"/>
      <c r="AV27" s="1561"/>
      <c r="AW27" s="1561"/>
      <c r="AX27" s="1561"/>
      <c r="AY27" s="1561"/>
      <c r="AZ27" s="1561"/>
      <c r="BA27" s="1561"/>
      <c r="BB27" s="1561"/>
    </row>
    <row r="28" spans="2:54" s="534" customFormat="1" ht="25.5">
      <c r="B28" s="1699" t="s">
        <v>2923</v>
      </c>
      <c r="C28" s="1705">
        <f>'[30]УО 2016'!F58</f>
        <v>20.356929999999998</v>
      </c>
      <c r="D28" s="1708" t="s">
        <v>2922</v>
      </c>
      <c r="E28" s="1702">
        <f t="shared" si="18"/>
        <v>20.356929999999998</v>
      </c>
      <c r="F28" s="1703">
        <f t="shared" ref="F28:F30" si="22">$F$23/$C$23*$C28</f>
        <v>0</v>
      </c>
      <c r="G28" s="1702">
        <f>E28-H28</f>
        <v>10.194896687633932</v>
      </c>
      <c r="H28" s="1702">
        <f>$C28*H$43</f>
        <v>10.162033312366066</v>
      </c>
      <c r="I28" s="1702">
        <f t="shared" si="19"/>
        <v>0.49629003783413417</v>
      </c>
      <c r="J28" s="1702">
        <f t="shared" si="19"/>
        <v>4.8438900533961471</v>
      </c>
      <c r="K28" s="1702">
        <f t="shared" si="19"/>
        <v>4.8547165964036516</v>
      </c>
      <c r="L28" s="1702">
        <f t="shared" si="19"/>
        <v>0</v>
      </c>
      <c r="M28" s="537"/>
      <c r="O28" s="1510">
        <f>'[30]УО 6мес.2017'!F67</f>
        <v>0.91110000000000002</v>
      </c>
      <c r="P28" s="1686"/>
      <c r="Q28" s="1707">
        <f>O28/$O$23*$Q$23</f>
        <v>0.23747601946844127</v>
      </c>
      <c r="R28" s="1707">
        <f t="shared" si="21"/>
        <v>0.6736239805315587</v>
      </c>
      <c r="AA28" s="1702">
        <f>$C28*AA$42</f>
        <v>1.085236435134004</v>
      </c>
      <c r="AC28" s="1561"/>
      <c r="AD28" s="1702">
        <f t="shared" si="20"/>
        <v>10.162033312366066</v>
      </c>
      <c r="AE28" s="1702">
        <f t="shared" si="20"/>
        <v>4.5842902442645013</v>
      </c>
      <c r="AF28" s="1561"/>
      <c r="AG28" s="1561"/>
      <c r="AH28" s="1561"/>
      <c r="AI28" s="1561"/>
      <c r="AJ28" s="1561"/>
      <c r="AK28" s="1561"/>
      <c r="AL28" s="1561"/>
      <c r="AM28" s="1561"/>
      <c r="AN28" s="1561"/>
      <c r="AO28" s="1561"/>
      <c r="AP28" s="1561"/>
      <c r="AQ28" s="1561"/>
      <c r="AR28" s="1561"/>
      <c r="AS28" s="1561"/>
      <c r="AT28" s="1561"/>
      <c r="AU28" s="1561"/>
      <c r="AV28" s="1561"/>
      <c r="AW28" s="1561"/>
      <c r="AX28" s="1561"/>
      <c r="AY28" s="1561"/>
      <c r="AZ28" s="1561"/>
      <c r="BA28" s="1561"/>
      <c r="BB28" s="1561"/>
    </row>
    <row r="29" spans="2:54" s="534" customFormat="1" ht="25.5">
      <c r="B29" s="1699" t="s">
        <v>2924</v>
      </c>
      <c r="C29" s="1705">
        <f>'[30]УО 2016'!F76</f>
        <v>131.64761999999999</v>
      </c>
      <c r="D29" s="1708" t="s">
        <v>2922</v>
      </c>
      <c r="E29" s="1702">
        <f t="shared" si="18"/>
        <v>131.64761999999999</v>
      </c>
      <c r="F29" s="1703">
        <f>$F$23/$C$23*$C29</f>
        <v>0</v>
      </c>
      <c r="G29" s="1702">
        <f>E29-H29</f>
        <v>65.930073202240735</v>
      </c>
      <c r="H29" s="1709">
        <f t="shared" si="19"/>
        <v>65.717546797759255</v>
      </c>
      <c r="I29" s="1702">
        <f t="shared" si="19"/>
        <v>3.2094919180138519</v>
      </c>
      <c r="J29" s="1702">
        <f t="shared" si="19"/>
        <v>31.325283187164061</v>
      </c>
      <c r="K29" s="1702">
        <f t="shared" si="19"/>
        <v>31.395298097062835</v>
      </c>
      <c r="L29" s="1702">
        <f t="shared" si="19"/>
        <v>0</v>
      </c>
      <c r="M29" s="537"/>
      <c r="O29" s="1510">
        <f>'[30]УО 6мес.2017'!F89</f>
        <v>45.964919999999999</v>
      </c>
      <c r="P29" s="1686"/>
      <c r="Q29" s="1707">
        <f>O29/$O$23*$Q$23</f>
        <v>11.980645633613593</v>
      </c>
      <c r="R29" s="1707">
        <f t="shared" si="21"/>
        <v>33.984274366386408</v>
      </c>
      <c r="AA29" s="1702">
        <f>$C29*AA$42</f>
        <v>7.0181895709557391</v>
      </c>
      <c r="AC29" s="1561"/>
      <c r="AD29" s="1702">
        <f t="shared" si="20"/>
        <v>65.717546797759255</v>
      </c>
      <c r="AE29" s="1702">
        <f t="shared" si="20"/>
        <v>29.646459463516369</v>
      </c>
      <c r="AF29" s="1561"/>
      <c r="AG29" s="1561"/>
      <c r="AH29" s="1561"/>
      <c r="AI29" s="1561"/>
      <c r="AJ29" s="1561"/>
      <c r="AK29" s="1561"/>
      <c r="AL29" s="1561"/>
      <c r="AM29" s="1561"/>
      <c r="AN29" s="1561"/>
      <c r="AO29" s="1561"/>
      <c r="AP29" s="1561"/>
      <c r="AQ29" s="1561"/>
      <c r="AR29" s="1561"/>
      <c r="AS29" s="1561"/>
      <c r="AT29" s="1561"/>
      <c r="AU29" s="1561"/>
      <c r="AV29" s="1561"/>
      <c r="AW29" s="1561"/>
      <c r="AX29" s="1561"/>
      <c r="AY29" s="1561"/>
      <c r="AZ29" s="1561"/>
      <c r="BA29" s="1561"/>
      <c r="BB29" s="1561"/>
    </row>
    <row r="30" spans="2:54" s="534" customFormat="1" ht="12.75">
      <c r="B30" s="1699" t="s">
        <v>2925</v>
      </c>
      <c r="C30" s="1705">
        <f>'[30]УО 2016'!F112</f>
        <v>3.15585</v>
      </c>
      <c r="D30" s="1710"/>
      <c r="E30" s="1702">
        <f t="shared" si="18"/>
        <v>3.15585</v>
      </c>
      <c r="F30" s="1703">
        <f t="shared" si="22"/>
        <v>0</v>
      </c>
      <c r="G30" s="1702">
        <f>E30-H30</f>
        <v>3.15585</v>
      </c>
      <c r="H30" s="1701"/>
      <c r="I30" s="1701"/>
      <c r="J30" s="1701"/>
      <c r="K30" s="1711">
        <v>3.15585</v>
      </c>
      <c r="L30" s="1702">
        <f t="shared" si="19"/>
        <v>0</v>
      </c>
      <c r="M30" s="537"/>
      <c r="O30" s="1510" t="e">
        <f>'[30]УО 6мес.2017'!F155</f>
        <v>#REF!</v>
      </c>
      <c r="P30" s="1686"/>
      <c r="Q30" s="1712"/>
      <c r="R30" s="1707" t="e">
        <f t="shared" si="21"/>
        <v>#REF!</v>
      </c>
      <c r="AA30" s="1701"/>
      <c r="AC30" s="1561"/>
      <c r="AD30" s="1701"/>
      <c r="AE30" s="1701"/>
      <c r="AF30" s="1561"/>
      <c r="AG30" s="1561"/>
      <c r="AH30" s="1561"/>
      <c r="AI30" s="1561"/>
      <c r="AJ30" s="1561"/>
      <c r="AK30" s="1561"/>
      <c r="AL30" s="1561"/>
      <c r="AM30" s="1561"/>
      <c r="AN30" s="1561"/>
      <c r="AO30" s="1561"/>
      <c r="AP30" s="1561"/>
      <c r="AQ30" s="1561"/>
      <c r="AR30" s="1561"/>
      <c r="AS30" s="1561"/>
      <c r="AT30" s="1561"/>
      <c r="AU30" s="1561"/>
      <c r="AV30" s="1561"/>
      <c r="AW30" s="1561"/>
      <c r="AX30" s="1561"/>
      <c r="AY30" s="1561"/>
      <c r="AZ30" s="1561"/>
      <c r="BA30" s="1561"/>
      <c r="BB30" s="1561"/>
    </row>
    <row r="31" spans="2:54" s="534" customFormat="1" ht="38.25">
      <c r="B31" s="1699" t="s">
        <v>2926</v>
      </c>
      <c r="C31" s="1705"/>
      <c r="D31" s="1706" t="s">
        <v>2920</v>
      </c>
      <c r="E31" s="1702"/>
      <c r="F31" s="1703"/>
      <c r="G31" s="1702"/>
      <c r="H31" s="1702"/>
      <c r="I31" s="1702"/>
      <c r="J31" s="1702"/>
      <c r="K31" s="1702"/>
      <c r="L31" s="1702"/>
      <c r="M31" s="537"/>
      <c r="O31" s="1510" t="e">
        <f>'[30]УО 6мес.2017'!F175</f>
        <v>#REF!</v>
      </c>
      <c r="P31" s="1686"/>
      <c r="Q31" s="1707" t="e">
        <f>O31/$O$23*$Q$23</f>
        <v>#REF!</v>
      </c>
      <c r="R31" s="1707" t="e">
        <f t="shared" si="21"/>
        <v>#REF!</v>
      </c>
      <c r="AA31" s="1702">
        <f>$C31*AA$42</f>
        <v>0</v>
      </c>
      <c r="AC31" s="1561"/>
      <c r="AD31" s="1702">
        <f t="shared" ref="AD31:AE33" si="23">$C31*AD$21</f>
        <v>0</v>
      </c>
      <c r="AE31" s="1702">
        <f t="shared" si="23"/>
        <v>0</v>
      </c>
      <c r="AF31" s="1561"/>
      <c r="AG31" s="1561"/>
      <c r="AH31" s="1561"/>
      <c r="AI31" s="1561"/>
      <c r="AJ31" s="1561"/>
      <c r="AK31" s="1561"/>
      <c r="AL31" s="1561"/>
      <c r="AM31" s="1561"/>
      <c r="AN31" s="1561"/>
      <c r="AO31" s="1561"/>
      <c r="AP31" s="1561"/>
      <c r="AQ31" s="1561"/>
      <c r="AR31" s="1561"/>
      <c r="AS31" s="1561"/>
      <c r="AT31" s="1561"/>
      <c r="AU31" s="1561"/>
      <c r="AV31" s="1561"/>
      <c r="AW31" s="1561"/>
      <c r="AX31" s="1561"/>
      <c r="AY31" s="1561"/>
      <c r="AZ31" s="1561"/>
      <c r="BA31" s="1561"/>
      <c r="BB31" s="1561"/>
    </row>
    <row r="32" spans="2:54" s="534" customFormat="1" ht="38.25">
      <c r="B32" s="1699" t="s">
        <v>2927</v>
      </c>
      <c r="C32" s="1705"/>
      <c r="D32" s="1706" t="s">
        <v>2920</v>
      </c>
      <c r="E32" s="1702"/>
      <c r="F32" s="1703"/>
      <c r="G32" s="1702"/>
      <c r="H32" s="1702"/>
      <c r="I32" s="1702"/>
      <c r="J32" s="1702"/>
      <c r="K32" s="1702"/>
      <c r="L32" s="1702"/>
      <c r="M32" s="537"/>
      <c r="O32" s="1510" t="e">
        <f>'[30]УО 6мес.2017'!F177</f>
        <v>#REF!</v>
      </c>
      <c r="P32" s="1686"/>
      <c r="Q32" s="1707" t="e">
        <f>O32/$O$23*$Q$23</f>
        <v>#REF!</v>
      </c>
      <c r="R32" s="1707" t="e">
        <f t="shared" si="21"/>
        <v>#REF!</v>
      </c>
      <c r="AA32" s="1702">
        <f>$C32*AA$42</f>
        <v>0</v>
      </c>
      <c r="AC32" s="1561"/>
      <c r="AD32" s="1702">
        <f t="shared" si="23"/>
        <v>0</v>
      </c>
      <c r="AE32" s="1702">
        <f t="shared" si="23"/>
        <v>0</v>
      </c>
      <c r="AF32" s="1561"/>
      <c r="AG32" s="1561"/>
      <c r="AH32" s="1561"/>
      <c r="AI32" s="1561"/>
      <c r="AJ32" s="1561"/>
      <c r="AK32" s="1561"/>
      <c r="AL32" s="1561"/>
      <c r="AM32" s="1561"/>
      <c r="AN32" s="1561"/>
      <c r="AO32" s="1561"/>
      <c r="AP32" s="1561"/>
      <c r="AQ32" s="1561"/>
      <c r="AR32" s="1561"/>
      <c r="AS32" s="1561"/>
      <c r="AT32" s="1561"/>
      <c r="AU32" s="1561"/>
      <c r="AV32" s="1561"/>
      <c r="AW32" s="1561"/>
      <c r="AX32" s="1561"/>
      <c r="AY32" s="1561"/>
      <c r="AZ32" s="1561"/>
      <c r="BA32" s="1561"/>
      <c r="BB32" s="1561"/>
    </row>
    <row r="33" spans="2:54" s="534" customFormat="1" ht="38.25">
      <c r="B33" s="548" t="s">
        <v>2928</v>
      </c>
      <c r="C33" s="1713">
        <f>'[30]УО 2016'!F149+'[30]УО 2016'!F155</f>
        <v>-1081.24773</v>
      </c>
      <c r="D33" s="549" t="s">
        <v>2920</v>
      </c>
      <c r="E33" s="1714">
        <f t="shared" si="18"/>
        <v>-1081.24773</v>
      </c>
      <c r="F33" s="1715"/>
      <c r="G33" s="1714">
        <f t="shared" ref="G33:I33" si="24">$C33*G$43</f>
        <v>0</v>
      </c>
      <c r="H33" s="1702">
        <f t="shared" si="24"/>
        <v>-539.75110447303166</v>
      </c>
      <c r="I33" s="1714">
        <f t="shared" si="24"/>
        <v>-26.36018676832763</v>
      </c>
      <c r="J33" s="1714">
        <f>$C33*J$43</f>
        <v>-257.28069628397623</v>
      </c>
      <c r="K33" s="1702">
        <f t="shared" si="19"/>
        <v>-257.85574247466468</v>
      </c>
      <c r="L33" s="1702">
        <f t="shared" si="19"/>
        <v>0</v>
      </c>
      <c r="M33" s="537"/>
      <c r="O33" s="1520" t="e">
        <f>'[30]УО 6мес.2017'!F201+'[30]УО 6мес.2017'!F208</f>
        <v>#REF!</v>
      </c>
      <c r="P33" s="1686"/>
      <c r="Q33" s="1716" t="e">
        <f>O33/$O$23*$Q$23</f>
        <v>#REF!</v>
      </c>
      <c r="R33" s="1716" t="e">
        <f t="shared" si="21"/>
        <v>#REF!</v>
      </c>
      <c r="AA33" s="1702">
        <f>$C33*AA$42</f>
        <v>-57.641767791210867</v>
      </c>
      <c r="AC33" s="1561"/>
      <c r="AD33" s="1702">
        <f t="shared" si="23"/>
        <v>-539.75110447303166</v>
      </c>
      <c r="AE33" s="1702">
        <f t="shared" si="23"/>
        <v>-243.49218768606752</v>
      </c>
      <c r="AF33" s="1561"/>
      <c r="AG33" s="1561"/>
      <c r="AH33" s="1561"/>
      <c r="AI33" s="1561"/>
      <c r="AJ33" s="1561"/>
      <c r="AK33" s="1561"/>
      <c r="AL33" s="1561"/>
      <c r="AM33" s="1561"/>
      <c r="AN33" s="1561"/>
      <c r="AO33" s="1561"/>
      <c r="AP33" s="1561"/>
      <c r="AQ33" s="1561"/>
      <c r="AR33" s="1561"/>
      <c r="AS33" s="1561"/>
      <c r="AT33" s="1561"/>
      <c r="AU33" s="1561"/>
      <c r="AV33" s="1561"/>
      <c r="AW33" s="1561"/>
      <c r="AX33" s="1561"/>
      <c r="AY33" s="1561"/>
      <c r="AZ33" s="1561"/>
      <c r="BA33" s="1561"/>
      <c r="BB33" s="1561"/>
    </row>
    <row r="34" spans="2:54" s="534" customFormat="1" ht="13.5">
      <c r="B34" s="1717" t="s">
        <v>2929</v>
      </c>
      <c r="C34" s="1718">
        <f>C24-C25+C26+C27-C28+C29-C30+C31+C33+C32</f>
        <v>6221.7077700000009</v>
      </c>
      <c r="D34" s="1719"/>
      <c r="E34" s="1718">
        <f>E24-E25+E26+E27-E28+E29-E30+E31+E33+E32</f>
        <v>6221.7077700000009</v>
      </c>
      <c r="F34" s="1718">
        <f t="shared" ref="F34:L34" si="25">F24-F25+F26+F27-F28+F29-F30+F31+F33+F32</f>
        <v>0</v>
      </c>
      <c r="G34" s="1718">
        <f t="shared" si="25"/>
        <v>5699.5794867174091</v>
      </c>
      <c r="H34" s="1718">
        <f>H24-H25+H26+H27-H28+H29-H30+H31+H33+H32</f>
        <v>1071.5264691982643</v>
      </c>
      <c r="I34" s="1720">
        <f t="shared" si="25"/>
        <v>3509.0773518695451</v>
      </c>
      <c r="J34" s="1720">
        <f t="shared" si="25"/>
        <v>1249.1520860225692</v>
      </c>
      <c r="K34" s="1720">
        <f t="shared" si="25"/>
        <v>391.95186290962283</v>
      </c>
      <c r="L34" s="1720">
        <f t="shared" si="25"/>
        <v>0</v>
      </c>
      <c r="M34" s="537"/>
      <c r="O34" s="1721">
        <v>2801.80825</v>
      </c>
      <c r="P34" s="1686"/>
      <c r="Q34" s="1721">
        <v>1848.5121629997907</v>
      </c>
      <c r="R34" s="1721">
        <v>953.2960870002089</v>
      </c>
      <c r="AA34" s="1718">
        <f>AA24-AA25+AA26+AA27-AA28+AA29-AA30+AA31+AA33+AA32</f>
        <v>381.09343626093084</v>
      </c>
      <c r="AC34" s="1561"/>
      <c r="AD34" s="1718">
        <f>AD24-AD25+AD26+AD27-AD28+AD29-AD30+AD31+AD33+AD32</f>
        <v>1071.5264691982643</v>
      </c>
      <c r="AE34" s="1718">
        <f>AE24-AE25+AE26+AE27-AE28+AE29-AE30+AE31+AE33+AE32</f>
        <v>647.25146166621107</v>
      </c>
      <c r="AF34" s="1561"/>
      <c r="AG34" s="1561"/>
      <c r="AH34" s="1561"/>
      <c r="AI34" s="1561"/>
      <c r="AJ34" s="1561"/>
      <c r="AK34" s="1561"/>
      <c r="AL34" s="1561"/>
      <c r="AM34" s="1561"/>
      <c r="AN34" s="1561"/>
      <c r="AO34" s="1561"/>
      <c r="AP34" s="1561"/>
      <c r="AQ34" s="1561"/>
      <c r="AR34" s="1561"/>
      <c r="AS34" s="1561"/>
      <c r="AT34" s="1561"/>
      <c r="AU34" s="1561"/>
      <c r="AV34" s="1561"/>
      <c r="AW34" s="1561"/>
      <c r="AX34" s="1561"/>
      <c r="AY34" s="1561"/>
      <c r="AZ34" s="1561"/>
      <c r="BA34" s="1561"/>
      <c r="BB34" s="1561"/>
    </row>
    <row r="35" spans="2:54" s="534" customFormat="1" ht="13.5">
      <c r="B35" s="1717" t="s">
        <v>2808</v>
      </c>
      <c r="C35" s="1720">
        <f>C23-C24+C25-C26-C27+C28-C29+C30-C31-C33-C32</f>
        <v>-4543.0207199999941</v>
      </c>
      <c r="D35" s="1720"/>
      <c r="E35" s="1720">
        <f>E23-E24+E25-E26-E27+E28-E29+E30-E31-E33-E32</f>
        <v>-4543.0207199999941</v>
      </c>
      <c r="F35" s="1720">
        <f t="shared" ref="F35:L35" si="26">F23-F24+F25-F26-F27+F28-F29+F30-F31-F33-F32</f>
        <v>0</v>
      </c>
      <c r="G35" s="1720">
        <f t="shared" si="26"/>
        <v>-4110.3836467174033</v>
      </c>
      <c r="H35" s="1720">
        <f>H23-H24+H25-H26-H27+H28-H29+H30-H31-H33-H32</f>
        <v>-982.0352591982645</v>
      </c>
      <c r="I35" s="1720">
        <f t="shared" si="26"/>
        <v>-2054.3586218695455</v>
      </c>
      <c r="J35" s="1720">
        <f t="shared" si="26"/>
        <v>-1121.0728960225692</v>
      </c>
      <c r="K35" s="1720">
        <f t="shared" si="26"/>
        <v>-385.55394290962295</v>
      </c>
      <c r="L35" s="1720">
        <f t="shared" si="26"/>
        <v>0</v>
      </c>
      <c r="M35" s="537"/>
      <c r="O35" s="1722">
        <v>-2707.3405466101694</v>
      </c>
      <c r="P35" s="1686"/>
      <c r="Q35" s="1722">
        <v>-1811.2240274065703</v>
      </c>
      <c r="R35" s="1722">
        <v>-896.11651920359873</v>
      </c>
      <c r="AA35" s="1720">
        <f>AA23-AA24+AA25-AA26-AA27+AA28-AA29+AA30-AA31-AA33-AA32</f>
        <v>-291.60222626093116</v>
      </c>
      <c r="AC35" s="1561"/>
      <c r="AD35" s="1720">
        <f>AD23-AD24+AD25-AD26-AD27+AD28-AD29+AD30-AD31-AD33-AD32</f>
        <v>-982.0352591982645</v>
      </c>
      <c r="AE35" s="1720">
        <f>AE23-AE24+AE25-AE26-AE27+AE28-AE29+AE30-AE31-AE33-AE32</f>
        <v>-557.76025166621127</v>
      </c>
      <c r="AF35" s="1561"/>
      <c r="AG35" s="1561"/>
      <c r="AH35" s="1561"/>
      <c r="AI35" s="1561"/>
      <c r="AJ35" s="1561"/>
      <c r="AK35" s="1561"/>
      <c r="AL35" s="1561"/>
      <c r="AM35" s="1561"/>
      <c r="AN35" s="1561"/>
      <c r="AO35" s="1561"/>
      <c r="AP35" s="1561"/>
      <c r="AQ35" s="1561"/>
      <c r="AR35" s="1561"/>
      <c r="AS35" s="1561"/>
      <c r="AT35" s="1561"/>
      <c r="AU35" s="1561"/>
      <c r="AV35" s="1561"/>
      <c r="AW35" s="1561"/>
      <c r="AX35" s="1561"/>
      <c r="AY35" s="1561"/>
      <c r="AZ35" s="1561"/>
      <c r="BA35" s="1561"/>
      <c r="BB35" s="1561"/>
    </row>
    <row r="36" spans="2:54" s="534" customFormat="1" ht="12.75">
      <c r="B36" s="1451"/>
      <c r="C36" s="1723">
        <f>C24+C26+C27+C29+C31+C32</f>
        <v>7342.245930000001</v>
      </c>
      <c r="D36" s="1723"/>
      <c r="E36" s="1723">
        <f t="shared" ref="E36:G36" si="27">E24+E26+E27+E29+E31+E32</f>
        <v>7342.245930000001</v>
      </c>
      <c r="F36" s="1723">
        <f t="shared" si="27"/>
        <v>0</v>
      </c>
      <c r="G36" s="1723">
        <f t="shared" si="27"/>
        <v>5712.9302334050435</v>
      </c>
      <c r="H36" s="1723">
        <f>H24+H26+H27+H29+H31+H32</f>
        <v>1629.3156965949568</v>
      </c>
      <c r="I36" s="1724">
        <f t="shared" ref="I36:L36" si="28">I24+I26+I27+I29+I31+I32</f>
        <v>3536.318478547541</v>
      </c>
      <c r="J36" s="1724">
        <f t="shared" si="28"/>
        <v>1515.0309320592658</v>
      </c>
      <c r="K36" s="1724">
        <f t="shared" si="28"/>
        <v>661.58082279823816</v>
      </c>
      <c r="L36" s="1724">
        <f t="shared" si="28"/>
        <v>0</v>
      </c>
      <c r="M36" s="537"/>
      <c r="O36" s="1686"/>
      <c r="P36" s="1686"/>
      <c r="Q36" s="1686"/>
      <c r="R36" s="1686"/>
      <c r="AA36" s="1723"/>
      <c r="AC36" s="1561"/>
      <c r="AD36" s="1723"/>
      <c r="AE36" s="1723"/>
      <c r="AF36" s="1561"/>
      <c r="AG36" s="1561"/>
      <c r="AH36" s="1561"/>
      <c r="AI36" s="1561"/>
      <c r="AJ36" s="1561"/>
      <c r="AK36" s="1561"/>
      <c r="AL36" s="1561"/>
      <c r="AM36" s="1561"/>
      <c r="AN36" s="1561"/>
      <c r="AO36" s="1561"/>
      <c r="AP36" s="1561"/>
      <c r="AQ36" s="1561"/>
      <c r="AR36" s="1561"/>
      <c r="AS36" s="1561"/>
      <c r="AT36" s="1561"/>
      <c r="AU36" s="1561"/>
      <c r="AV36" s="1561"/>
      <c r="AW36" s="1561"/>
      <c r="AX36" s="1561"/>
      <c r="AY36" s="1561"/>
      <c r="AZ36" s="1561"/>
      <c r="BA36" s="1561"/>
      <c r="BB36" s="1561"/>
    </row>
    <row r="37" spans="2:54" s="534" customFormat="1" ht="12.75">
      <c r="B37" s="1527" t="s">
        <v>3675</v>
      </c>
      <c r="C37" s="1528">
        <v>97.986419999999995</v>
      </c>
      <c r="D37" s="1529"/>
      <c r="E37" s="1530">
        <f>C37</f>
        <v>97.986419999999995</v>
      </c>
      <c r="F37" s="1531"/>
      <c r="G37" s="1531">
        <f>E37-H37</f>
        <v>92.762740405064093</v>
      </c>
      <c r="H37" s="1532">
        <f>H$23/$C$23*$C37</f>
        <v>5.2236795949358994</v>
      </c>
      <c r="I37" s="1532">
        <f t="shared" ref="I37:L37" si="29">I$23/$C$23*$C37</f>
        <v>84.913194784963665</v>
      </c>
      <c r="J37" s="1532">
        <f t="shared" si="29"/>
        <v>7.476093477101494</v>
      </c>
      <c r="K37" s="1532">
        <f t="shared" si="29"/>
        <v>0.37345214299854018</v>
      </c>
      <c r="L37" s="1532">
        <f t="shared" si="29"/>
        <v>0</v>
      </c>
      <c r="M37" s="537"/>
      <c r="AA37" s="536"/>
      <c r="AC37" s="1561"/>
      <c r="AD37" s="536"/>
      <c r="AE37" s="536"/>
      <c r="AF37" s="1561"/>
      <c r="AG37" s="1561"/>
      <c r="AH37" s="1561"/>
      <c r="AI37" s="1561"/>
      <c r="AJ37" s="1561"/>
      <c r="AK37" s="1561"/>
      <c r="AL37" s="1561"/>
      <c r="AM37" s="1561"/>
      <c r="AN37" s="1561"/>
      <c r="AO37" s="1561"/>
      <c r="AP37" s="1561"/>
      <c r="AQ37" s="1561"/>
      <c r="AR37" s="1561"/>
      <c r="AS37" s="1561"/>
      <c r="AT37" s="1561"/>
      <c r="AU37" s="1561"/>
      <c r="AV37" s="1561"/>
      <c r="AW37" s="1561"/>
      <c r="AX37" s="1561"/>
      <c r="AY37" s="1561"/>
      <c r="AZ37" s="1561"/>
      <c r="BA37" s="1561"/>
      <c r="BB37" s="1561"/>
    </row>
    <row r="38" spans="2:54" s="534" customFormat="1" ht="12.75">
      <c r="B38" s="1451"/>
      <c r="C38" s="1486"/>
      <c r="D38" s="536"/>
      <c r="E38" s="536"/>
      <c r="F38" s="536"/>
      <c r="G38" s="536"/>
      <c r="H38" s="536"/>
      <c r="I38" s="536"/>
      <c r="J38" s="536"/>
      <c r="K38" s="536"/>
      <c r="L38" s="536"/>
      <c r="M38" s="537"/>
      <c r="O38" s="1686"/>
      <c r="P38" s="1686"/>
      <c r="Q38" s="1686"/>
      <c r="R38" s="1686"/>
      <c r="AA38" s="536"/>
      <c r="AC38" s="1561"/>
      <c r="AD38" s="536"/>
      <c r="AE38" s="536"/>
      <c r="AF38" s="1561"/>
      <c r="AG38" s="1561"/>
      <c r="AH38" s="1561"/>
      <c r="AI38" s="1561"/>
      <c r="AJ38" s="1561"/>
      <c r="AK38" s="1561"/>
      <c r="AL38" s="1561"/>
      <c r="AM38" s="1561"/>
      <c r="AN38" s="1561"/>
      <c r="AO38" s="1561"/>
      <c r="AP38" s="1561"/>
      <c r="AQ38" s="1561"/>
      <c r="AR38" s="1561"/>
      <c r="AS38" s="1561"/>
      <c r="AT38" s="1561"/>
      <c r="AU38" s="1561"/>
      <c r="AV38" s="1561"/>
      <c r="AW38" s="1561"/>
      <c r="AX38" s="1561"/>
      <c r="AY38" s="1561"/>
      <c r="AZ38" s="1561"/>
      <c r="BA38" s="1561"/>
      <c r="BB38" s="1561"/>
    </row>
    <row r="39" spans="2:54" s="534" customFormat="1" ht="12.75">
      <c r="B39" s="1438" t="s">
        <v>3656</v>
      </c>
      <c r="C39" s="1725">
        <f>C24+C26+C27+C29+C31+C32</f>
        <v>7342.245930000001</v>
      </c>
      <c r="D39" s="1725"/>
      <c r="E39" s="1725">
        <f t="shared" ref="E39:L39" si="30">E24+E26+E27+E29+E31+E32</f>
        <v>7342.245930000001</v>
      </c>
      <c r="F39" s="1725">
        <f t="shared" si="30"/>
        <v>0</v>
      </c>
      <c r="G39" s="1725">
        <f t="shared" si="30"/>
        <v>5712.9302334050435</v>
      </c>
      <c r="H39" s="1725">
        <f>H24+H26+H27+H29+H31+H32</f>
        <v>1629.3156965949568</v>
      </c>
      <c r="I39" s="1725">
        <f t="shared" si="30"/>
        <v>3536.318478547541</v>
      </c>
      <c r="J39" s="1725">
        <f t="shared" si="30"/>
        <v>1515.0309320592658</v>
      </c>
      <c r="K39" s="1725">
        <f t="shared" si="30"/>
        <v>661.58082279823816</v>
      </c>
      <c r="L39" s="1725">
        <f t="shared" si="30"/>
        <v>0</v>
      </c>
      <c r="M39" s="537"/>
      <c r="O39" s="1725" t="e">
        <f>O24+O26+O27+O29+O31+O32</f>
        <v>#REF!</v>
      </c>
      <c r="P39" s="1686"/>
      <c r="Q39" s="1725" t="e">
        <f>Q24+Q26+Q27+Q29+Q31+Q32</f>
        <v>#REF!</v>
      </c>
      <c r="R39" s="1725" t="e">
        <f t="shared" ref="R39" si="31">R24+R26+R27+R29+R31+R32</f>
        <v>#REF!</v>
      </c>
      <c r="AA39" s="1725">
        <f>AA24+AA26+AA27+AA29+AA31+AA32</f>
        <v>440.6615535942517</v>
      </c>
      <c r="AC39" s="1561"/>
      <c r="AD39" s="1725">
        <f>AD24+AD26+AD27+AD29+AD31+AD32</f>
        <v>1629.3156965949568</v>
      </c>
      <c r="AE39" s="1725">
        <f>AE24+AE26+AE27+AE29+AE31+AE32</f>
        <v>898.88099631837781</v>
      </c>
      <c r="AF39" s="1561"/>
      <c r="AG39" s="1561"/>
      <c r="AH39" s="1561"/>
      <c r="AI39" s="1561"/>
      <c r="AJ39" s="1561"/>
      <c r="AK39" s="1561"/>
      <c r="AL39" s="1561"/>
      <c r="AM39" s="1561"/>
      <c r="AN39" s="1561"/>
      <c r="AO39" s="1561"/>
      <c r="AP39" s="1561"/>
      <c r="AQ39" s="1561"/>
      <c r="AR39" s="1561"/>
      <c r="AS39" s="1561"/>
      <c r="AT39" s="1561"/>
      <c r="AU39" s="1561"/>
      <c r="AV39" s="1561"/>
      <c r="AW39" s="1561"/>
      <c r="AX39" s="1561"/>
      <c r="AY39" s="1561"/>
      <c r="AZ39" s="1561"/>
      <c r="BA39" s="1561"/>
      <c r="BB39" s="1561"/>
    </row>
    <row r="40" spans="2:54" s="534" customFormat="1" ht="12.75">
      <c r="B40" s="1440" t="s">
        <v>3657</v>
      </c>
      <c r="C40" s="1726">
        <f>C24+C26+C27+C29+C31+C32+C33-C25-C28-C30</f>
        <v>6221.7077700000009</v>
      </c>
      <c r="D40" s="1726"/>
      <c r="E40" s="1726"/>
      <c r="F40" s="1726"/>
      <c r="G40" s="1726"/>
      <c r="H40" s="1726">
        <f>H24+H26+H27+H29+H31+H32+H33-H25-H28-H30</f>
        <v>1071.5264691982645</v>
      </c>
      <c r="I40" s="1726"/>
      <c r="J40" s="1726"/>
      <c r="K40" s="1726"/>
      <c r="L40" s="1726"/>
      <c r="M40" s="537"/>
      <c r="O40" s="1686"/>
      <c r="P40" s="1686"/>
      <c r="Q40" s="1686"/>
      <c r="R40" s="1686"/>
      <c r="AA40" s="1726">
        <f>AA24+AA26+AA27+AA29+AA31+AA32+AA33-AA25-AA28-AA30</f>
        <v>381.09343626093084</v>
      </c>
      <c r="AC40" s="1561"/>
      <c r="AD40" s="1727">
        <f>AD24+AD26+AD27+AD29+AD31+AD32+AD33-AD25-AD28-AD30</f>
        <v>1071.5264691982645</v>
      </c>
      <c r="AE40" s="1727">
        <f>AE24+AE26+AE27+AE29+AE31+AE32+AE33-AE25-AE28-AE30</f>
        <v>647.25146166621107</v>
      </c>
      <c r="AF40" s="1561"/>
      <c r="AG40" s="1561"/>
      <c r="AH40" s="1561"/>
      <c r="AI40" s="1561"/>
      <c r="AJ40" s="1561"/>
      <c r="AK40" s="1561"/>
      <c r="AL40" s="1561"/>
      <c r="AM40" s="1561"/>
      <c r="AN40" s="1561"/>
      <c r="AO40" s="1561"/>
      <c r="AP40" s="1561"/>
      <c r="AQ40" s="1561"/>
      <c r="AR40" s="1561"/>
      <c r="AS40" s="1561"/>
      <c r="AT40" s="1561"/>
      <c r="AU40" s="1561"/>
      <c r="AV40" s="1561"/>
      <c r="AW40" s="1561"/>
      <c r="AX40" s="1561"/>
      <c r="AY40" s="1561"/>
      <c r="AZ40" s="1561"/>
      <c r="BA40" s="1561"/>
      <c r="BB40" s="1561"/>
    </row>
    <row r="41" spans="2:54" s="534" customFormat="1" ht="12.75">
      <c r="O41" s="537">
        <v>6885.8708999999999</v>
      </c>
      <c r="P41" s="1686"/>
      <c r="Q41" s="537">
        <v>4203.1536613862872</v>
      </c>
      <c r="R41" s="537">
        <v>2682.7172386137122</v>
      </c>
      <c r="AC41" s="1561"/>
      <c r="AF41" s="1561"/>
      <c r="AG41" s="1561"/>
      <c r="AH41" s="1561"/>
      <c r="AI41" s="1561"/>
      <c r="AJ41" s="1561"/>
      <c r="AK41" s="1561"/>
      <c r="AL41" s="1561"/>
      <c r="AM41" s="1561"/>
      <c r="AN41" s="1561"/>
      <c r="AO41" s="1561"/>
      <c r="AP41" s="1561"/>
      <c r="AQ41" s="1561"/>
      <c r="AR41" s="1561"/>
      <c r="AS41" s="1561"/>
      <c r="AT41" s="1561"/>
      <c r="AU41" s="1561"/>
      <c r="AV41" s="1561"/>
      <c r="AW41" s="1561"/>
      <c r="AX41" s="1561"/>
      <c r="AY41" s="1561"/>
      <c r="AZ41" s="1561"/>
      <c r="BA41" s="1561"/>
      <c r="BB41" s="1561"/>
    </row>
    <row r="42" spans="2:54" s="534" customFormat="1">
      <c r="B42" s="534" t="s">
        <v>3696</v>
      </c>
      <c r="C42" s="1677">
        <f>C16/$C$16</f>
        <v>1</v>
      </c>
      <c r="E42" s="1677">
        <f>(C16-0)/$C$16</f>
        <v>1</v>
      </c>
      <c r="F42" s="1677">
        <f>0/$C$16</f>
        <v>0</v>
      </c>
      <c r="G42" s="1677">
        <f>(C16-0-C7)/$C$16</f>
        <v>0.14084507042253522</v>
      </c>
      <c r="H42" s="1677">
        <f>C7/$C$16</f>
        <v>0.85915492957746475</v>
      </c>
      <c r="I42" s="1677">
        <f>C10/$C$16</f>
        <v>8.9201877934272297E-2</v>
      </c>
      <c r="J42" s="1677">
        <f>C11/$C$16</f>
        <v>4.6948356807511735E-2</v>
      </c>
      <c r="K42" s="1677">
        <f>C14/$C$16</f>
        <v>4.6948356807511738E-3</v>
      </c>
      <c r="L42" s="1677">
        <f>C15/$C$16</f>
        <v>0</v>
      </c>
      <c r="AA42" s="1677">
        <f>D7/$D$16</f>
        <v>5.3310417392701363E-2</v>
      </c>
      <c r="AC42" s="1561"/>
      <c r="AF42" s="1561"/>
      <c r="AG42" s="1561"/>
      <c r="AH42" s="1561"/>
      <c r="AI42" s="1561"/>
      <c r="AJ42" s="1561"/>
      <c r="AK42" s="1561"/>
      <c r="AL42" s="1561"/>
      <c r="AM42" s="1561"/>
      <c r="AN42" s="1561"/>
      <c r="AO42" s="1561"/>
      <c r="AP42" s="1561"/>
      <c r="AQ42" s="1561"/>
      <c r="AR42" s="1561"/>
      <c r="AS42" s="1561"/>
      <c r="AT42" s="1561"/>
      <c r="AU42" s="1561"/>
      <c r="AV42" s="1561"/>
      <c r="AW42" s="1561"/>
      <c r="AX42" s="1561"/>
      <c r="AY42" s="1561"/>
      <c r="AZ42" s="1561"/>
      <c r="BA42" s="1561"/>
      <c r="BB42" s="1561"/>
    </row>
    <row r="43" spans="2:54" s="534" customFormat="1" ht="15">
      <c r="B43" s="1728" t="s">
        <v>3697</v>
      </c>
      <c r="C43" s="1677">
        <f>AD16/$AD$16</f>
        <v>1</v>
      </c>
      <c r="E43" s="1677">
        <f>(AD16-0)/$AD$16</f>
        <v>1</v>
      </c>
      <c r="F43" s="1677">
        <f>0/$AD$16</f>
        <v>0</v>
      </c>
      <c r="G43" s="1677">
        <f>AC7/$AD$16</f>
        <v>0</v>
      </c>
      <c r="H43" s="1677">
        <f>AD7/$AD$16</f>
        <v>0.4991928209394082</v>
      </c>
      <c r="I43" s="1677">
        <f>AD10/$AD$16</f>
        <v>2.4379414667837156E-2</v>
      </c>
      <c r="J43" s="1677">
        <f>AD11/$AD$16</f>
        <v>0.23794796432449036</v>
      </c>
      <c r="K43" s="1677">
        <f>AD14/$AD$16</f>
        <v>0.23847980006826433</v>
      </c>
      <c r="L43" s="1677">
        <f>AD15/$AD$16</f>
        <v>0</v>
      </c>
      <c r="AC43" s="1561"/>
      <c r="AF43" s="1561"/>
      <c r="AG43" s="1561"/>
      <c r="AH43" s="1561"/>
      <c r="AI43" s="1561"/>
      <c r="AJ43" s="1561"/>
      <c r="AK43" s="1561"/>
      <c r="AL43" s="1561"/>
      <c r="AM43" s="1561"/>
      <c r="AN43" s="1561"/>
      <c r="AO43" s="1561"/>
      <c r="AP43" s="1561"/>
      <c r="AQ43" s="1561"/>
      <c r="AR43" s="1561"/>
      <c r="AS43" s="1561"/>
      <c r="AT43" s="1561"/>
      <c r="AU43" s="1561"/>
      <c r="AV43" s="1561"/>
      <c r="AW43" s="1561"/>
      <c r="AX43" s="1561"/>
      <c r="AY43" s="1561"/>
      <c r="AZ43" s="1561"/>
      <c r="BA43" s="1561"/>
      <c r="BB43" s="1561"/>
    </row>
    <row r="44" spans="2:54" s="534" customFormat="1">
      <c r="AC44" s="1561"/>
      <c r="AF44" s="1561"/>
      <c r="AG44" s="1561"/>
      <c r="AH44" s="1561"/>
      <c r="AI44" s="1561"/>
      <c r="AJ44" s="1561"/>
      <c r="AK44" s="1561"/>
      <c r="AL44" s="1561"/>
      <c r="AM44" s="1561"/>
      <c r="AN44" s="1561"/>
      <c r="AO44" s="1561"/>
      <c r="AP44" s="1561"/>
      <c r="AQ44" s="1561"/>
      <c r="AR44" s="1561"/>
      <c r="AS44" s="1561"/>
      <c r="AT44" s="1561"/>
      <c r="AU44" s="1561"/>
      <c r="AV44" s="1561"/>
      <c r="AW44" s="1561"/>
      <c r="AX44" s="1561"/>
      <c r="AY44" s="1561"/>
      <c r="AZ44" s="1561"/>
      <c r="BA44" s="1561"/>
      <c r="BB44" s="1561"/>
    </row>
    <row r="45" spans="2:54" s="534" customFormat="1">
      <c r="H45" s="1729">
        <f>H39</f>
        <v>1629.3156965949568</v>
      </c>
      <c r="AA45" s="1729">
        <f>AA39</f>
        <v>440.6615535942517</v>
      </c>
      <c r="AC45" s="1561"/>
      <c r="AD45" s="1729">
        <f>AD39</f>
        <v>1629.3156965949568</v>
      </c>
      <c r="AE45" s="1729">
        <f>AE39</f>
        <v>898.88099631837781</v>
      </c>
      <c r="AF45" s="1561"/>
      <c r="AG45" s="1561"/>
      <c r="AH45" s="1561"/>
      <c r="AI45" s="1561"/>
      <c r="AJ45" s="1561"/>
      <c r="AK45" s="1561"/>
      <c r="AL45" s="1561"/>
      <c r="AM45" s="1561"/>
      <c r="AN45" s="1561"/>
      <c r="AO45" s="1561"/>
      <c r="AP45" s="1561"/>
      <c r="AQ45" s="1561"/>
      <c r="AR45" s="1561"/>
      <c r="AS45" s="1561"/>
      <c r="AT45" s="1561"/>
      <c r="AU45" s="1561"/>
      <c r="AV45" s="1561"/>
      <c r="AW45" s="1561"/>
      <c r="AX45" s="1561"/>
      <c r="AY45" s="1561"/>
      <c r="AZ45" s="1561"/>
      <c r="BA45" s="1561"/>
      <c r="BB45" s="1561"/>
    </row>
    <row r="46" spans="2:54" s="534" customFormat="1">
      <c r="H46" s="1730">
        <f>'[32]3.1'!$F$15</f>
        <v>9267.2584399999978</v>
      </c>
      <c r="I46" s="534">
        <f>I45-I43</f>
        <v>-2.4379414667837156E-2</v>
      </c>
      <c r="AA46" s="1730">
        <f>'[32]3.1'!$F$15</f>
        <v>9267.2584399999978</v>
      </c>
      <c r="AC46" s="1561"/>
      <c r="AD46" s="1730">
        <f>'[32]3.1'!$F$15</f>
        <v>9267.2584399999978</v>
      </c>
      <c r="AE46" s="1730">
        <f>'[32]3.1'!$F$15</f>
        <v>9267.2584399999978</v>
      </c>
      <c r="AF46" s="1561"/>
      <c r="AG46" s="1561"/>
      <c r="AH46" s="1561"/>
      <c r="AI46" s="1561"/>
      <c r="AJ46" s="1561"/>
      <c r="AK46" s="1561"/>
      <c r="AL46" s="1561"/>
      <c r="AM46" s="1561"/>
      <c r="AN46" s="1561"/>
      <c r="AO46" s="1561"/>
      <c r="AP46" s="1561"/>
      <c r="AQ46" s="1561"/>
      <c r="AR46" s="1561"/>
      <c r="AS46" s="1561"/>
      <c r="AT46" s="1561"/>
      <c r="AU46" s="1561"/>
      <c r="AV46" s="1561"/>
      <c r="AW46" s="1561"/>
      <c r="AX46" s="1561"/>
      <c r="AY46" s="1561"/>
      <c r="AZ46" s="1561"/>
      <c r="BA46" s="1561"/>
      <c r="BB46" s="1561"/>
    </row>
    <row r="47" spans="2:54" s="534" customFormat="1">
      <c r="H47" s="1730">
        <f>'[32]3.1'!$F$34</f>
        <v>89.025423728813564</v>
      </c>
      <c r="AA47" s="1730">
        <f>'[32]3.1'!$F$34</f>
        <v>89.025423728813564</v>
      </c>
      <c r="AC47" s="1561"/>
      <c r="AD47" s="1730">
        <f>'[32]3.1'!$F$34</f>
        <v>89.025423728813564</v>
      </c>
      <c r="AE47" s="1730">
        <f>'[32]3.1'!$F$34</f>
        <v>89.025423728813564</v>
      </c>
      <c r="AF47" s="1561"/>
      <c r="AG47" s="1561"/>
      <c r="AH47" s="1561"/>
      <c r="AI47" s="1561"/>
      <c r="AJ47" s="1561"/>
      <c r="AK47" s="1561"/>
      <c r="AL47" s="1561"/>
      <c r="AM47" s="1561"/>
      <c r="AN47" s="1561"/>
      <c r="AO47" s="1561"/>
      <c r="AP47" s="1561"/>
      <c r="AQ47" s="1561"/>
      <c r="AR47" s="1561"/>
      <c r="AS47" s="1561"/>
      <c r="AT47" s="1561"/>
      <c r="AU47" s="1561"/>
      <c r="AV47" s="1561"/>
      <c r="AW47" s="1561"/>
      <c r="AX47" s="1561"/>
      <c r="AY47" s="1561"/>
      <c r="AZ47" s="1561"/>
      <c r="BA47" s="1561"/>
      <c r="BB47" s="1561"/>
    </row>
    <row r="48" spans="2:54" s="534" customFormat="1">
      <c r="H48" s="1730">
        <f>'[32]3.1'!$F$37</f>
        <v>10807.548712866141</v>
      </c>
      <c r="AA48" s="1730">
        <f>'[32]3.1'!$F$37</f>
        <v>10807.548712866141</v>
      </c>
      <c r="AC48" s="1561"/>
      <c r="AD48" s="1730">
        <f>'[32]3.1'!$F$37</f>
        <v>10807.548712866141</v>
      </c>
      <c r="AE48" s="1730">
        <f>'[32]3.1'!$F$37</f>
        <v>10807.548712866141</v>
      </c>
      <c r="AF48" s="1561"/>
      <c r="AG48" s="1561"/>
      <c r="AH48" s="1561"/>
      <c r="AI48" s="1561"/>
      <c r="AJ48" s="1561"/>
      <c r="AK48" s="1561"/>
      <c r="AL48" s="1561"/>
      <c r="AM48" s="1561"/>
      <c r="AN48" s="1561"/>
      <c r="AO48" s="1561"/>
      <c r="AP48" s="1561"/>
      <c r="AQ48" s="1561"/>
      <c r="AR48" s="1561"/>
      <c r="AS48" s="1561"/>
      <c r="AT48" s="1561"/>
      <c r="AU48" s="1561"/>
      <c r="AV48" s="1561"/>
      <c r="AW48" s="1561"/>
      <c r="AX48" s="1561"/>
      <c r="AY48" s="1561"/>
      <c r="AZ48" s="1561"/>
      <c r="BA48" s="1561"/>
      <c r="BB48" s="1561"/>
    </row>
    <row r="49" spans="8:54" s="534" customFormat="1">
      <c r="H49" s="1593">
        <f>H45+H46-H47</f>
        <v>10807.548712866141</v>
      </c>
      <c r="AA49" s="1593">
        <f>AA45+AA46-AA47</f>
        <v>9618.8945698654352</v>
      </c>
      <c r="AC49" s="1561"/>
      <c r="AD49" s="1593">
        <f>AD45+AD46-AD47</f>
        <v>10807.548712866141</v>
      </c>
      <c r="AE49" s="1593">
        <f>AE45+AE46-AE47</f>
        <v>10077.114012589562</v>
      </c>
      <c r="AF49" s="1561"/>
      <c r="AG49" s="1561"/>
      <c r="AH49" s="1561"/>
      <c r="AI49" s="1561"/>
      <c r="AJ49" s="1561"/>
      <c r="AK49" s="1561"/>
      <c r="AL49" s="1561"/>
      <c r="AM49" s="1561"/>
      <c r="AN49" s="1561"/>
      <c r="AO49" s="1561"/>
      <c r="AP49" s="1561"/>
      <c r="AQ49" s="1561"/>
      <c r="AR49" s="1561"/>
      <c r="AS49" s="1561"/>
      <c r="AT49" s="1561"/>
      <c r="AU49" s="1561"/>
      <c r="AV49" s="1561"/>
      <c r="AW49" s="1561"/>
      <c r="AX49" s="1561"/>
      <c r="AY49" s="1561"/>
      <c r="AZ49" s="1561"/>
      <c r="BA49" s="1561"/>
      <c r="BB49" s="1561"/>
    </row>
    <row r="50" spans="8:54" s="534" customFormat="1">
      <c r="AC50" s="1561"/>
      <c r="AF50" s="1561"/>
      <c r="AG50" s="1561"/>
      <c r="AH50" s="1561"/>
      <c r="AI50" s="1561"/>
      <c r="AJ50" s="1561"/>
      <c r="AK50" s="1561"/>
      <c r="AL50" s="1561"/>
      <c r="AM50" s="1561"/>
      <c r="AN50" s="1561"/>
      <c r="AO50" s="1561"/>
      <c r="AP50" s="1561"/>
      <c r="AQ50" s="1561"/>
      <c r="AR50" s="1561"/>
      <c r="AS50" s="1561"/>
      <c r="AT50" s="1561"/>
      <c r="AU50" s="1561"/>
      <c r="AV50" s="1561"/>
      <c r="AW50" s="1561"/>
      <c r="AX50" s="1561"/>
      <c r="AY50" s="1561"/>
      <c r="AZ50" s="1561"/>
      <c r="BA50" s="1561"/>
      <c r="BB50" s="1561"/>
    </row>
    <row r="51" spans="8:54" s="534" customFormat="1">
      <c r="H51" s="1730">
        <f>'[32]3.1'!$I$37</f>
        <v>10443.26095424201</v>
      </c>
      <c r="AA51" s="1730">
        <f>'[32]3.1'!$I$37</f>
        <v>10443.26095424201</v>
      </c>
      <c r="AC51" s="1561"/>
      <c r="AD51" s="1730">
        <f>'[32]3.1'!$I$37</f>
        <v>10443.26095424201</v>
      </c>
      <c r="AE51" s="1730">
        <f>'[32]3.1'!$I$37</f>
        <v>10443.26095424201</v>
      </c>
      <c r="AF51" s="1561"/>
      <c r="AG51" s="1561"/>
      <c r="AH51" s="1561"/>
      <c r="AI51" s="1561"/>
      <c r="AJ51" s="1561"/>
      <c r="AK51" s="1561"/>
      <c r="AL51" s="1561"/>
      <c r="AM51" s="1561"/>
      <c r="AN51" s="1561"/>
      <c r="AO51" s="1561"/>
      <c r="AP51" s="1561"/>
      <c r="AQ51" s="1561"/>
      <c r="AR51" s="1561"/>
      <c r="AS51" s="1561"/>
      <c r="AT51" s="1561"/>
      <c r="AU51" s="1561"/>
      <c r="AV51" s="1561"/>
      <c r="AW51" s="1561"/>
      <c r="AX51" s="1561"/>
      <c r="AY51" s="1561"/>
      <c r="AZ51" s="1561"/>
      <c r="BA51" s="1561"/>
      <c r="BB51" s="1561"/>
    </row>
    <row r="52" spans="8:54" s="534" customFormat="1">
      <c r="H52" s="534">
        <f>H49-H51</f>
        <v>364.28775862413022</v>
      </c>
      <c r="AA52" s="534">
        <f>AA49-AA51</f>
        <v>-824.3663843765753</v>
      </c>
      <c r="AC52" s="1561"/>
      <c r="AD52" s="534">
        <f>AD49-AD51</f>
        <v>364.28775862413022</v>
      </c>
      <c r="AE52" s="534">
        <f>AE49-AE51</f>
        <v>-366.14694165244873</v>
      </c>
      <c r="AF52" s="1561"/>
      <c r="AG52" s="1561"/>
      <c r="AH52" s="1561"/>
      <c r="AI52" s="1561"/>
      <c r="AJ52" s="1561"/>
      <c r="AK52" s="1561"/>
      <c r="AL52" s="1561"/>
      <c r="AM52" s="1561"/>
      <c r="AN52" s="1561"/>
      <c r="AO52" s="1561"/>
      <c r="AP52" s="1561"/>
      <c r="AQ52" s="1561"/>
      <c r="AR52" s="1561"/>
      <c r="AS52" s="1561"/>
      <c r="AT52" s="1561"/>
      <c r="AU52" s="1561"/>
      <c r="AV52" s="1561"/>
      <c r="AW52" s="1561"/>
      <c r="AX52" s="1561"/>
      <c r="AY52" s="1561"/>
      <c r="AZ52" s="1561"/>
      <c r="BA52" s="1561"/>
      <c r="BB52" s="1561"/>
    </row>
    <row r="53" spans="8:54" s="534" customFormat="1">
      <c r="AC53" s="1561"/>
      <c r="AD53" s="1561"/>
      <c r="AE53" s="1561"/>
      <c r="AF53" s="1561"/>
      <c r="AG53" s="1561"/>
      <c r="AH53" s="1561"/>
      <c r="AI53" s="1561"/>
      <c r="AJ53" s="1561"/>
      <c r="AK53" s="1561"/>
      <c r="AL53" s="1561"/>
      <c r="AM53" s="1561"/>
      <c r="AN53" s="1561"/>
      <c r="AO53" s="1561"/>
      <c r="AP53" s="1561"/>
      <c r="AQ53" s="1561"/>
      <c r="AR53" s="1561"/>
      <c r="AS53" s="1561"/>
      <c r="AT53" s="1561"/>
      <c r="AU53" s="1561"/>
      <c r="AV53" s="1561"/>
      <c r="AW53" s="1561"/>
      <c r="AX53" s="1561"/>
      <c r="AY53" s="1561"/>
      <c r="AZ53" s="1561"/>
      <c r="BA53" s="1561"/>
      <c r="BB53" s="1561"/>
    </row>
    <row r="54" spans="8:54" s="534" customFormat="1">
      <c r="AC54" s="1561"/>
      <c r="AD54" s="1561"/>
      <c r="AE54" s="1561"/>
      <c r="AF54" s="1561"/>
      <c r="AG54" s="1561"/>
      <c r="AH54" s="1561"/>
      <c r="AI54" s="1561"/>
      <c r="AJ54" s="1561"/>
      <c r="AK54" s="1561"/>
      <c r="AL54" s="1561"/>
      <c r="AM54" s="1561"/>
      <c r="AN54" s="1561"/>
      <c r="AO54" s="1561"/>
      <c r="AP54" s="1561"/>
      <c r="AQ54" s="1561"/>
      <c r="AR54" s="1561"/>
      <c r="AS54" s="1561"/>
      <c r="AT54" s="1561"/>
      <c r="AU54" s="1561"/>
      <c r="AV54" s="1561"/>
      <c r="AW54" s="1561"/>
      <c r="AX54" s="1561"/>
      <c r="AY54" s="1561"/>
      <c r="AZ54" s="1561"/>
      <c r="BA54" s="1561"/>
      <c r="BB54" s="1561"/>
    </row>
    <row r="55" spans="8:54" s="534" customFormat="1">
      <c r="AC55" s="1561"/>
      <c r="AD55" s="1561"/>
      <c r="AE55" s="1561"/>
      <c r="AF55" s="1561"/>
      <c r="AG55" s="1561"/>
      <c r="AH55" s="1561"/>
      <c r="AI55" s="1561"/>
      <c r="AJ55" s="1561"/>
      <c r="AK55" s="1561"/>
      <c r="AL55" s="1561"/>
      <c r="AM55" s="1561"/>
      <c r="AN55" s="1561"/>
      <c r="AO55" s="1561"/>
      <c r="AP55" s="1561"/>
      <c r="AQ55" s="1561"/>
      <c r="AR55" s="1561"/>
      <c r="AS55" s="1561"/>
      <c r="AT55" s="1561"/>
      <c r="AU55" s="1561"/>
      <c r="AV55" s="1561"/>
      <c r="AW55" s="1561"/>
      <c r="AX55" s="1561"/>
      <c r="AY55" s="1561"/>
      <c r="AZ55" s="1561"/>
      <c r="BA55" s="1561"/>
      <c r="BB55" s="1561"/>
    </row>
    <row r="56" spans="8:54" s="534" customFormat="1">
      <c r="AC56" s="1561"/>
      <c r="AD56" s="1561"/>
      <c r="AE56" s="1561"/>
      <c r="AF56" s="1561"/>
      <c r="AG56" s="1561"/>
      <c r="AH56" s="1561"/>
      <c r="AI56" s="1561"/>
      <c r="AJ56" s="1561"/>
      <c r="AK56" s="1561"/>
      <c r="AL56" s="1561"/>
      <c r="AM56" s="1561"/>
      <c r="AN56" s="1561"/>
      <c r="AO56" s="1561"/>
      <c r="AP56" s="1561"/>
      <c r="AQ56" s="1561"/>
      <c r="AR56" s="1561"/>
      <c r="AS56" s="1561"/>
      <c r="AT56" s="1561"/>
      <c r="AU56" s="1561"/>
      <c r="AV56" s="1561"/>
      <c r="AW56" s="1561"/>
      <c r="AX56" s="1561"/>
      <c r="AY56" s="1561"/>
      <c r="AZ56" s="1561"/>
      <c r="BA56" s="1561"/>
      <c r="BB56" s="1561"/>
    </row>
    <row r="57" spans="8:54" s="534" customFormat="1">
      <c r="AC57" s="1561"/>
      <c r="AD57" s="1561"/>
      <c r="AE57" s="1561"/>
      <c r="AF57" s="1561"/>
      <c r="AG57" s="1561"/>
      <c r="AH57" s="1561"/>
      <c r="AI57" s="1561"/>
      <c r="AJ57" s="1561"/>
      <c r="AK57" s="1561"/>
      <c r="AL57" s="1561"/>
      <c r="AM57" s="1561"/>
      <c r="AN57" s="1561"/>
      <c r="AO57" s="1561"/>
      <c r="AP57" s="1561"/>
      <c r="AQ57" s="1561"/>
      <c r="AR57" s="1561"/>
      <c r="AS57" s="1561"/>
      <c r="AT57" s="1561"/>
      <c r="AU57" s="1561"/>
      <c r="AV57" s="1561"/>
      <c r="AW57" s="1561"/>
      <c r="AX57" s="1561"/>
      <c r="AY57" s="1561"/>
      <c r="AZ57" s="1561"/>
      <c r="BA57" s="1561"/>
      <c r="BB57" s="1561"/>
    </row>
    <row r="58" spans="8:54" s="534" customFormat="1">
      <c r="AC58" s="1561"/>
      <c r="AD58" s="1561"/>
      <c r="AE58" s="1561"/>
      <c r="AF58" s="1561"/>
      <c r="AG58" s="1561"/>
      <c r="AH58" s="1561"/>
      <c r="AI58" s="1561"/>
      <c r="AJ58" s="1561"/>
      <c r="AK58" s="1561"/>
      <c r="AL58" s="1561"/>
      <c r="AM58" s="1561"/>
      <c r="AN58" s="1561"/>
      <c r="AO58" s="1561"/>
      <c r="AP58" s="1561"/>
      <c r="AQ58" s="1561"/>
      <c r="AR58" s="1561"/>
      <c r="AS58" s="1561"/>
      <c r="AT58" s="1561"/>
      <c r="AU58" s="1561"/>
      <c r="AV58" s="1561"/>
      <c r="AW58" s="1561"/>
      <c r="AX58" s="1561"/>
      <c r="AY58" s="1561"/>
      <c r="AZ58" s="1561"/>
      <c r="BA58" s="1561"/>
      <c r="BB58" s="1561"/>
    </row>
    <row r="59" spans="8:54" s="534" customFormat="1">
      <c r="AC59" s="1561"/>
      <c r="AD59" s="1561"/>
      <c r="AE59" s="1561"/>
      <c r="AF59" s="1561"/>
      <c r="AG59" s="1561"/>
      <c r="AH59" s="1561"/>
      <c r="AI59" s="1561"/>
      <c r="AJ59" s="1561"/>
      <c r="AK59" s="1561"/>
      <c r="AL59" s="1561"/>
      <c r="AM59" s="1561"/>
      <c r="AN59" s="1561"/>
      <c r="AO59" s="1561"/>
      <c r="AP59" s="1561"/>
      <c r="AQ59" s="1561"/>
      <c r="AR59" s="1561"/>
      <c r="AS59" s="1561"/>
      <c r="AT59" s="1561"/>
      <c r="AU59" s="1561"/>
      <c r="AV59" s="1561"/>
      <c r="AW59" s="1561"/>
      <c r="AX59" s="1561"/>
      <c r="AY59" s="1561"/>
      <c r="AZ59" s="1561"/>
      <c r="BA59" s="1561"/>
      <c r="BB59" s="1561"/>
    </row>
    <row r="60" spans="8:54" s="534" customFormat="1">
      <c r="AC60" s="1561"/>
      <c r="AD60" s="1561"/>
      <c r="AE60" s="1561"/>
      <c r="AF60" s="1561"/>
      <c r="AG60" s="1561"/>
      <c r="AH60" s="1561"/>
      <c r="AI60" s="1561"/>
      <c r="AJ60" s="1561"/>
      <c r="AK60" s="1561"/>
      <c r="AL60" s="1561"/>
      <c r="AM60" s="1561"/>
      <c r="AN60" s="1561"/>
      <c r="AO60" s="1561"/>
      <c r="AP60" s="1561"/>
      <c r="AQ60" s="1561"/>
      <c r="AR60" s="1561"/>
      <c r="AS60" s="1561"/>
      <c r="AT60" s="1561"/>
      <c r="AU60" s="1561"/>
      <c r="AV60" s="1561"/>
      <c r="AW60" s="1561"/>
      <c r="AX60" s="1561"/>
      <c r="AY60" s="1561"/>
      <c r="AZ60" s="1561"/>
      <c r="BA60" s="1561"/>
      <c r="BB60" s="1561"/>
    </row>
    <row r="61" spans="8:54" s="534" customFormat="1">
      <c r="AC61" s="1561"/>
      <c r="AD61" s="1561"/>
      <c r="AE61" s="1561"/>
      <c r="AF61" s="1561"/>
      <c r="AG61" s="1561"/>
      <c r="AH61" s="1561"/>
      <c r="AI61" s="1561"/>
      <c r="AJ61" s="1561"/>
      <c r="AK61" s="1561"/>
      <c r="AL61" s="1561"/>
      <c r="AM61" s="1561"/>
      <c r="AN61" s="1561"/>
      <c r="AO61" s="1561"/>
      <c r="AP61" s="1561"/>
      <c r="AQ61" s="1561"/>
      <c r="AR61" s="1561"/>
      <c r="AS61" s="1561"/>
      <c r="AT61" s="1561"/>
      <c r="AU61" s="1561"/>
      <c r="AV61" s="1561"/>
      <c r="AW61" s="1561"/>
      <c r="AX61" s="1561"/>
      <c r="AY61" s="1561"/>
      <c r="AZ61" s="1561"/>
      <c r="BA61" s="1561"/>
      <c r="BB61" s="1561"/>
    </row>
    <row r="62" spans="8:54" s="534" customFormat="1">
      <c r="AC62" s="1561"/>
      <c r="AD62" s="1561"/>
      <c r="AE62" s="1561"/>
      <c r="AF62" s="1561"/>
      <c r="AG62" s="1561"/>
      <c r="AH62" s="1561"/>
      <c r="AI62" s="1561"/>
      <c r="AJ62" s="1561"/>
      <c r="AK62" s="1561"/>
      <c r="AL62" s="1561"/>
      <c r="AM62" s="1561"/>
      <c r="AN62" s="1561"/>
      <c r="AO62" s="1561"/>
      <c r="AP62" s="1561"/>
      <c r="AQ62" s="1561"/>
      <c r="AR62" s="1561"/>
      <c r="AS62" s="1561"/>
      <c r="AT62" s="1561"/>
      <c r="AU62" s="1561"/>
      <c r="AV62" s="1561"/>
      <c r="AW62" s="1561"/>
      <c r="AX62" s="1561"/>
      <c r="AY62" s="1561"/>
      <c r="AZ62" s="1561"/>
      <c r="BA62" s="1561"/>
      <c r="BB62" s="1561"/>
    </row>
    <row r="63" spans="8:54" s="534" customFormat="1">
      <c r="AC63" s="1561"/>
      <c r="AD63" s="1561"/>
      <c r="AE63" s="1561"/>
      <c r="AF63" s="1561"/>
      <c r="AG63" s="1561"/>
      <c r="AH63" s="1561"/>
      <c r="AI63" s="1561"/>
      <c r="AJ63" s="1561"/>
      <c r="AK63" s="1561"/>
      <c r="AL63" s="1561"/>
      <c r="AM63" s="1561"/>
      <c r="AN63" s="1561"/>
      <c r="AO63" s="1561"/>
      <c r="AP63" s="1561"/>
      <c r="AQ63" s="1561"/>
      <c r="AR63" s="1561"/>
      <c r="AS63" s="1561"/>
      <c r="AT63" s="1561"/>
      <c r="AU63" s="1561"/>
      <c r="AV63" s="1561"/>
      <c r="AW63" s="1561"/>
      <c r="AX63" s="1561"/>
      <c r="AY63" s="1561"/>
      <c r="AZ63" s="1561"/>
      <c r="BA63" s="1561"/>
      <c r="BB63" s="1561"/>
    </row>
    <row r="64" spans="8:54" s="534" customFormat="1">
      <c r="AC64" s="1561"/>
      <c r="AD64" s="1561"/>
      <c r="AE64" s="1561"/>
      <c r="AF64" s="1561"/>
      <c r="AG64" s="1561"/>
      <c r="AH64" s="1561"/>
      <c r="AI64" s="1561"/>
      <c r="AJ64" s="1561"/>
      <c r="AK64" s="1561"/>
      <c r="AL64" s="1561"/>
      <c r="AM64" s="1561"/>
      <c r="AN64" s="1561"/>
      <c r="AO64" s="1561"/>
      <c r="AP64" s="1561"/>
      <c r="AQ64" s="1561"/>
      <c r="AR64" s="1561"/>
      <c r="AS64" s="1561"/>
      <c r="AT64" s="1561"/>
      <c r="AU64" s="1561"/>
      <c r="AV64" s="1561"/>
      <c r="AW64" s="1561"/>
      <c r="AX64" s="1561"/>
      <c r="AY64" s="1561"/>
      <c r="AZ64" s="1561"/>
      <c r="BA64" s="1561"/>
      <c r="BB64" s="1561"/>
    </row>
    <row r="65" spans="29:54" s="534" customFormat="1">
      <c r="AC65" s="1561"/>
      <c r="AD65" s="1561"/>
      <c r="AE65" s="1561"/>
      <c r="AF65" s="1561"/>
      <c r="AG65" s="1561"/>
      <c r="AH65" s="1561"/>
      <c r="AI65" s="1561"/>
      <c r="AJ65" s="1561"/>
      <c r="AK65" s="1561"/>
      <c r="AL65" s="1561"/>
      <c r="AM65" s="1561"/>
      <c r="AN65" s="1561"/>
      <c r="AO65" s="1561"/>
      <c r="AP65" s="1561"/>
      <c r="AQ65" s="1561"/>
      <c r="AR65" s="1561"/>
      <c r="AS65" s="1561"/>
      <c r="AT65" s="1561"/>
      <c r="AU65" s="1561"/>
      <c r="AV65" s="1561"/>
      <c r="AW65" s="1561"/>
      <c r="AX65" s="1561"/>
      <c r="AY65" s="1561"/>
      <c r="AZ65" s="1561"/>
      <c r="BA65" s="1561"/>
      <c r="BB65" s="1561"/>
    </row>
    <row r="66" spans="29:54" s="534" customFormat="1">
      <c r="AC66" s="1561"/>
      <c r="AD66" s="1561"/>
      <c r="AE66" s="1561"/>
      <c r="AF66" s="1561"/>
      <c r="AG66" s="1561"/>
      <c r="AH66" s="1561"/>
      <c r="AI66" s="1561"/>
      <c r="AJ66" s="1561"/>
      <c r="AK66" s="1561"/>
      <c r="AL66" s="1561"/>
      <c r="AM66" s="1561"/>
      <c r="AN66" s="1561"/>
      <c r="AO66" s="1561"/>
      <c r="AP66" s="1561"/>
      <c r="AQ66" s="1561"/>
      <c r="AR66" s="1561"/>
      <c r="AS66" s="1561"/>
      <c r="AT66" s="1561"/>
      <c r="AU66" s="1561"/>
      <c r="AV66" s="1561"/>
      <c r="AW66" s="1561"/>
      <c r="AX66" s="1561"/>
      <c r="AY66" s="1561"/>
      <c r="AZ66" s="1561"/>
      <c r="BA66" s="1561"/>
      <c r="BB66" s="1561"/>
    </row>
    <row r="67" spans="29:54" s="534" customFormat="1">
      <c r="AC67" s="1561"/>
      <c r="AD67" s="1561"/>
      <c r="AE67" s="1561"/>
      <c r="AF67" s="1561"/>
      <c r="AG67" s="1561"/>
      <c r="AH67" s="1561"/>
      <c r="AI67" s="1561"/>
      <c r="AJ67" s="1561"/>
      <c r="AK67" s="1561"/>
      <c r="AL67" s="1561"/>
      <c r="AM67" s="1561"/>
      <c r="AN67" s="1561"/>
      <c r="AO67" s="1561"/>
      <c r="AP67" s="1561"/>
      <c r="AQ67" s="1561"/>
      <c r="AR67" s="1561"/>
      <c r="AS67" s="1561"/>
      <c r="AT67" s="1561"/>
      <c r="AU67" s="1561"/>
      <c r="AV67" s="1561"/>
      <c r="AW67" s="1561"/>
      <c r="AX67" s="1561"/>
      <c r="AY67" s="1561"/>
      <c r="AZ67" s="1561"/>
      <c r="BA67" s="1561"/>
      <c r="BB67" s="1561"/>
    </row>
    <row r="68" spans="29:54" s="534" customFormat="1">
      <c r="AC68" s="1561"/>
      <c r="AD68" s="1561"/>
      <c r="AE68" s="1561"/>
      <c r="AF68" s="1561"/>
      <c r="AG68" s="1561"/>
      <c r="AH68" s="1561"/>
      <c r="AI68" s="1561"/>
      <c r="AJ68" s="1561"/>
      <c r="AK68" s="1561"/>
      <c r="AL68" s="1561"/>
      <c r="AM68" s="1561"/>
      <c r="AN68" s="1561"/>
      <c r="AO68" s="1561"/>
      <c r="AP68" s="1561"/>
      <c r="AQ68" s="1561"/>
      <c r="AR68" s="1561"/>
      <c r="AS68" s="1561"/>
      <c r="AT68" s="1561"/>
      <c r="AU68" s="1561"/>
      <c r="AV68" s="1561"/>
      <c r="AW68" s="1561"/>
      <c r="AX68" s="1561"/>
      <c r="AY68" s="1561"/>
      <c r="AZ68" s="1561"/>
      <c r="BA68" s="1561"/>
      <c r="BB68" s="1561"/>
    </row>
    <row r="69" spans="29:54" s="534" customFormat="1">
      <c r="AC69" s="1561"/>
      <c r="AD69" s="1561"/>
      <c r="AE69" s="1561"/>
      <c r="AF69" s="1561"/>
      <c r="AG69" s="1561"/>
      <c r="AH69" s="1561"/>
      <c r="AI69" s="1561"/>
      <c r="AJ69" s="1561"/>
      <c r="AK69" s="1561"/>
      <c r="AL69" s="1561"/>
      <c r="AM69" s="1561"/>
      <c r="AN69" s="1561"/>
      <c r="AO69" s="1561"/>
      <c r="AP69" s="1561"/>
      <c r="AQ69" s="1561"/>
      <c r="AR69" s="1561"/>
      <c r="AS69" s="1561"/>
      <c r="AT69" s="1561"/>
      <c r="AU69" s="1561"/>
      <c r="AV69" s="1561"/>
      <c r="AW69" s="1561"/>
      <c r="AX69" s="1561"/>
      <c r="AY69" s="1561"/>
      <c r="AZ69" s="1561"/>
      <c r="BA69" s="1561"/>
      <c r="BB69" s="1561"/>
    </row>
    <row r="70" spans="29:54" s="534" customFormat="1">
      <c r="AC70" s="1561"/>
      <c r="AD70" s="1561"/>
      <c r="AE70" s="1561"/>
      <c r="AF70" s="1561"/>
      <c r="AG70" s="1561"/>
      <c r="AH70" s="1561"/>
      <c r="AI70" s="1561"/>
      <c r="AJ70" s="1561"/>
      <c r="AK70" s="1561"/>
      <c r="AL70" s="1561"/>
      <c r="AM70" s="1561"/>
      <c r="AN70" s="1561"/>
      <c r="AO70" s="1561"/>
      <c r="AP70" s="1561"/>
      <c r="AQ70" s="1561"/>
      <c r="AR70" s="1561"/>
      <c r="AS70" s="1561"/>
      <c r="AT70" s="1561"/>
      <c r="AU70" s="1561"/>
      <c r="AV70" s="1561"/>
      <c r="AW70" s="1561"/>
      <c r="AX70" s="1561"/>
      <c r="AY70" s="1561"/>
      <c r="AZ70" s="1561"/>
      <c r="BA70" s="1561"/>
      <c r="BB70" s="1561"/>
    </row>
    <row r="71" spans="29:54" s="534" customFormat="1">
      <c r="AC71" s="1561"/>
      <c r="AD71" s="1561"/>
      <c r="AE71" s="1561"/>
      <c r="AF71" s="1561"/>
      <c r="AG71" s="1561"/>
      <c r="AH71" s="1561"/>
      <c r="AI71" s="1561"/>
      <c r="AJ71" s="1561"/>
      <c r="AK71" s="1561"/>
      <c r="AL71" s="1561"/>
      <c r="AM71" s="1561"/>
      <c r="AN71" s="1561"/>
      <c r="AO71" s="1561"/>
      <c r="AP71" s="1561"/>
      <c r="AQ71" s="1561"/>
      <c r="AR71" s="1561"/>
      <c r="AS71" s="1561"/>
      <c r="AT71" s="1561"/>
      <c r="AU71" s="1561"/>
      <c r="AV71" s="1561"/>
      <c r="AW71" s="1561"/>
      <c r="AX71" s="1561"/>
      <c r="AY71" s="1561"/>
      <c r="AZ71" s="1561"/>
      <c r="BA71" s="1561"/>
      <c r="BB71" s="1561"/>
    </row>
    <row r="72" spans="29:54" s="534" customFormat="1">
      <c r="AC72" s="1561"/>
      <c r="AD72" s="1561"/>
      <c r="AE72" s="1561"/>
      <c r="AF72" s="1561"/>
      <c r="AG72" s="1561"/>
      <c r="AH72" s="1561"/>
      <c r="AI72" s="1561"/>
      <c r="AJ72" s="1561"/>
      <c r="AK72" s="1561"/>
      <c r="AL72" s="1561"/>
      <c r="AM72" s="1561"/>
      <c r="AN72" s="1561"/>
      <c r="AO72" s="1561"/>
      <c r="AP72" s="1561"/>
      <c r="AQ72" s="1561"/>
      <c r="AR72" s="1561"/>
      <c r="AS72" s="1561"/>
      <c r="AT72" s="1561"/>
      <c r="AU72" s="1561"/>
      <c r="AV72" s="1561"/>
      <c r="AW72" s="1561"/>
      <c r="AX72" s="1561"/>
      <c r="AY72" s="1561"/>
      <c r="AZ72" s="1561"/>
      <c r="BA72" s="1561"/>
      <c r="BB72" s="1561"/>
    </row>
    <row r="73" spans="29:54" s="534" customFormat="1">
      <c r="AC73" s="1561"/>
      <c r="AD73" s="1561"/>
      <c r="AE73" s="1561"/>
      <c r="AF73" s="1561"/>
      <c r="AG73" s="1561"/>
      <c r="AH73" s="1561"/>
      <c r="AI73" s="1561"/>
      <c r="AJ73" s="1561"/>
      <c r="AK73" s="1561"/>
      <c r="AL73" s="1561"/>
      <c r="AM73" s="1561"/>
      <c r="AN73" s="1561"/>
      <c r="AO73" s="1561"/>
      <c r="AP73" s="1561"/>
      <c r="AQ73" s="1561"/>
      <c r="AR73" s="1561"/>
      <c r="AS73" s="1561"/>
      <c r="AT73" s="1561"/>
      <c r="AU73" s="1561"/>
      <c r="AV73" s="1561"/>
      <c r="AW73" s="1561"/>
      <c r="AX73" s="1561"/>
      <c r="AY73" s="1561"/>
      <c r="AZ73" s="1561"/>
      <c r="BA73" s="1561"/>
      <c r="BB73" s="1561"/>
    </row>
    <row r="74" spans="29:54" s="534" customFormat="1">
      <c r="AC74" s="1561"/>
      <c r="AD74" s="1561"/>
      <c r="AE74" s="1561"/>
      <c r="AF74" s="1561"/>
      <c r="AG74" s="1561"/>
      <c r="AH74" s="1561"/>
      <c r="AI74" s="1561"/>
      <c r="AJ74" s="1561"/>
      <c r="AK74" s="1561"/>
      <c r="AL74" s="1561"/>
      <c r="AM74" s="1561"/>
      <c r="AN74" s="1561"/>
      <c r="AO74" s="1561"/>
      <c r="AP74" s="1561"/>
      <c r="AQ74" s="1561"/>
      <c r="AR74" s="1561"/>
      <c r="AS74" s="1561"/>
      <c r="AT74" s="1561"/>
      <c r="AU74" s="1561"/>
      <c r="AV74" s="1561"/>
      <c r="AW74" s="1561"/>
      <c r="AX74" s="1561"/>
      <c r="AY74" s="1561"/>
      <c r="AZ74" s="1561"/>
      <c r="BA74" s="1561"/>
      <c r="BB74" s="1561"/>
    </row>
    <row r="75" spans="29:54" s="534" customFormat="1">
      <c r="AC75" s="1561"/>
      <c r="AD75" s="1561"/>
      <c r="AE75" s="1561"/>
      <c r="AF75" s="1561"/>
      <c r="AG75" s="1561"/>
      <c r="AH75" s="1561"/>
      <c r="AI75" s="1561"/>
      <c r="AJ75" s="1561"/>
      <c r="AK75" s="1561"/>
      <c r="AL75" s="1561"/>
      <c r="AM75" s="1561"/>
      <c r="AN75" s="1561"/>
      <c r="AO75" s="1561"/>
      <c r="AP75" s="1561"/>
      <c r="AQ75" s="1561"/>
      <c r="AR75" s="1561"/>
      <c r="AS75" s="1561"/>
      <c r="AT75" s="1561"/>
      <c r="AU75" s="1561"/>
      <c r="AV75" s="1561"/>
      <c r="AW75" s="1561"/>
      <c r="AX75" s="1561"/>
      <c r="AY75" s="1561"/>
      <c r="AZ75" s="1561"/>
      <c r="BA75" s="1561"/>
      <c r="BB75" s="1561"/>
    </row>
    <row r="76" spans="29:54" s="534" customFormat="1">
      <c r="AC76" s="1561"/>
      <c r="AD76" s="1561"/>
      <c r="AE76" s="1561"/>
      <c r="AF76" s="1561"/>
      <c r="AG76" s="1561"/>
      <c r="AH76" s="1561"/>
      <c r="AI76" s="1561"/>
      <c r="AJ76" s="1561"/>
      <c r="AK76" s="1561"/>
      <c r="AL76" s="1561"/>
      <c r="AM76" s="1561"/>
      <c r="AN76" s="1561"/>
      <c r="AO76" s="1561"/>
      <c r="AP76" s="1561"/>
      <c r="AQ76" s="1561"/>
      <c r="AR76" s="1561"/>
      <c r="AS76" s="1561"/>
      <c r="AT76" s="1561"/>
      <c r="AU76" s="1561"/>
      <c r="AV76" s="1561"/>
      <c r="AW76" s="1561"/>
      <c r="AX76" s="1561"/>
      <c r="AY76" s="1561"/>
      <c r="AZ76" s="1561"/>
      <c r="BA76" s="1561"/>
      <c r="BB76" s="1561"/>
    </row>
    <row r="77" spans="29:54" s="534" customFormat="1">
      <c r="AC77" s="1561"/>
      <c r="AD77" s="1561"/>
      <c r="AE77" s="1561"/>
      <c r="AF77" s="1561"/>
      <c r="AG77" s="1561"/>
      <c r="AH77" s="1561"/>
      <c r="AI77" s="1561"/>
      <c r="AJ77" s="1561"/>
      <c r="AK77" s="1561"/>
      <c r="AL77" s="1561"/>
      <c r="AM77" s="1561"/>
      <c r="AN77" s="1561"/>
      <c r="AO77" s="1561"/>
      <c r="AP77" s="1561"/>
      <c r="AQ77" s="1561"/>
      <c r="AR77" s="1561"/>
      <c r="AS77" s="1561"/>
      <c r="AT77" s="1561"/>
      <c r="AU77" s="1561"/>
      <c r="AV77" s="1561"/>
      <c r="AW77" s="1561"/>
      <c r="AX77" s="1561"/>
      <c r="AY77" s="1561"/>
      <c r="AZ77" s="1561"/>
      <c r="BA77" s="1561"/>
      <c r="BB77" s="1561"/>
    </row>
    <row r="78" spans="29:54" s="534" customFormat="1">
      <c r="AC78" s="1561"/>
      <c r="AD78" s="1561"/>
      <c r="AE78" s="1561"/>
      <c r="AF78" s="1561"/>
      <c r="AG78" s="1561"/>
      <c r="AH78" s="1561"/>
      <c r="AI78" s="1561"/>
      <c r="AJ78" s="1561"/>
      <c r="AK78" s="1561"/>
      <c r="AL78" s="1561"/>
      <c r="AM78" s="1561"/>
      <c r="AN78" s="1561"/>
      <c r="AO78" s="1561"/>
      <c r="AP78" s="1561"/>
      <c r="AQ78" s="1561"/>
      <c r="AR78" s="1561"/>
      <c r="AS78" s="1561"/>
      <c r="AT78" s="1561"/>
      <c r="AU78" s="1561"/>
      <c r="AV78" s="1561"/>
      <c r="AW78" s="1561"/>
      <c r="AX78" s="1561"/>
      <c r="AY78" s="1561"/>
      <c r="AZ78" s="1561"/>
      <c r="BA78" s="1561"/>
      <c r="BB78" s="1561"/>
    </row>
    <row r="79" spans="29:54" s="534" customFormat="1">
      <c r="AC79" s="1561"/>
      <c r="AD79" s="1561"/>
      <c r="AE79" s="1561"/>
      <c r="AF79" s="1561"/>
      <c r="AG79" s="1561"/>
      <c r="AH79" s="1561"/>
      <c r="AI79" s="1561"/>
      <c r="AJ79" s="1561"/>
      <c r="AK79" s="1561"/>
      <c r="AL79" s="1561"/>
      <c r="AM79" s="1561"/>
      <c r="AN79" s="1561"/>
      <c r="AO79" s="1561"/>
      <c r="AP79" s="1561"/>
      <c r="AQ79" s="1561"/>
      <c r="AR79" s="1561"/>
      <c r="AS79" s="1561"/>
      <c r="AT79" s="1561"/>
      <c r="AU79" s="1561"/>
      <c r="AV79" s="1561"/>
      <c r="AW79" s="1561"/>
      <c r="AX79" s="1561"/>
      <c r="AY79" s="1561"/>
      <c r="AZ79" s="1561"/>
      <c r="BA79" s="1561"/>
      <c r="BB79" s="1561"/>
    </row>
    <row r="80" spans="29:54" s="534" customFormat="1">
      <c r="AC80" s="1561"/>
      <c r="AD80" s="1561"/>
      <c r="AE80" s="1561"/>
      <c r="AF80" s="1561"/>
      <c r="AG80" s="1561"/>
      <c r="AH80" s="1561"/>
      <c r="AI80" s="1561"/>
      <c r="AJ80" s="1561"/>
      <c r="AK80" s="1561"/>
      <c r="AL80" s="1561"/>
      <c r="AM80" s="1561"/>
      <c r="AN80" s="1561"/>
      <c r="AO80" s="1561"/>
      <c r="AP80" s="1561"/>
      <c r="AQ80" s="1561"/>
      <c r="AR80" s="1561"/>
      <c r="AS80" s="1561"/>
      <c r="AT80" s="1561"/>
      <c r="AU80" s="1561"/>
      <c r="AV80" s="1561"/>
      <c r="AW80" s="1561"/>
      <c r="AX80" s="1561"/>
      <c r="AY80" s="1561"/>
      <c r="AZ80" s="1561"/>
      <c r="BA80" s="1561"/>
      <c r="BB80" s="1561"/>
    </row>
    <row r="81" spans="29:54" s="534" customFormat="1">
      <c r="AC81" s="1561"/>
      <c r="AD81" s="1561"/>
      <c r="AE81" s="1561"/>
      <c r="AF81" s="1561"/>
      <c r="AG81" s="1561"/>
      <c r="AH81" s="1561"/>
      <c r="AI81" s="1561"/>
      <c r="AJ81" s="1561"/>
      <c r="AK81" s="1561"/>
      <c r="AL81" s="1561"/>
      <c r="AM81" s="1561"/>
      <c r="AN81" s="1561"/>
      <c r="AO81" s="1561"/>
      <c r="AP81" s="1561"/>
      <c r="AQ81" s="1561"/>
      <c r="AR81" s="1561"/>
      <c r="AS81" s="1561"/>
      <c r="AT81" s="1561"/>
      <c r="AU81" s="1561"/>
      <c r="AV81" s="1561"/>
      <c r="AW81" s="1561"/>
      <c r="AX81" s="1561"/>
      <c r="AY81" s="1561"/>
      <c r="AZ81" s="1561"/>
      <c r="BA81" s="1561"/>
      <c r="BB81" s="1561"/>
    </row>
    <row r="82" spans="29:54" s="534" customFormat="1">
      <c r="AC82" s="1561"/>
      <c r="AD82" s="1561"/>
      <c r="AE82" s="1561"/>
      <c r="AF82" s="1561"/>
      <c r="AG82" s="1561"/>
      <c r="AH82" s="1561"/>
      <c r="AI82" s="1561"/>
      <c r="AJ82" s="1561"/>
      <c r="AK82" s="1561"/>
      <c r="AL82" s="1561"/>
      <c r="AM82" s="1561"/>
      <c r="AN82" s="1561"/>
      <c r="AO82" s="1561"/>
      <c r="AP82" s="1561"/>
      <c r="AQ82" s="1561"/>
      <c r="AR82" s="1561"/>
      <c r="AS82" s="1561"/>
      <c r="AT82" s="1561"/>
      <c r="AU82" s="1561"/>
      <c r="AV82" s="1561"/>
      <c r="AW82" s="1561"/>
      <c r="AX82" s="1561"/>
      <c r="AY82" s="1561"/>
      <c r="AZ82" s="1561"/>
      <c r="BA82" s="1561"/>
      <c r="BB82" s="1561"/>
    </row>
    <row r="83" spans="29:54" s="534" customFormat="1">
      <c r="AC83" s="1561"/>
      <c r="AD83" s="1561"/>
      <c r="AE83" s="1561"/>
      <c r="AF83" s="1561"/>
      <c r="AG83" s="1561"/>
      <c r="AH83" s="1561"/>
      <c r="AI83" s="1561"/>
      <c r="AJ83" s="1561"/>
      <c r="AK83" s="1561"/>
      <c r="AL83" s="1561"/>
      <c r="AM83" s="1561"/>
      <c r="AN83" s="1561"/>
      <c r="AO83" s="1561"/>
      <c r="AP83" s="1561"/>
      <c r="AQ83" s="1561"/>
      <c r="AR83" s="1561"/>
      <c r="AS83" s="1561"/>
      <c r="AT83" s="1561"/>
      <c r="AU83" s="1561"/>
      <c r="AV83" s="1561"/>
      <c r="AW83" s="1561"/>
      <c r="AX83" s="1561"/>
      <c r="AY83" s="1561"/>
      <c r="AZ83" s="1561"/>
      <c r="BA83" s="1561"/>
      <c r="BB83" s="1561"/>
    </row>
    <row r="84" spans="29:54" s="534" customFormat="1">
      <c r="AC84" s="1561"/>
      <c r="AD84" s="1561"/>
      <c r="AE84" s="1561"/>
      <c r="AF84" s="1561"/>
      <c r="AG84" s="1561"/>
      <c r="AH84" s="1561"/>
      <c r="AI84" s="1561"/>
      <c r="AJ84" s="1561"/>
      <c r="AK84" s="1561"/>
      <c r="AL84" s="1561"/>
      <c r="AM84" s="1561"/>
      <c r="AN84" s="1561"/>
      <c r="AO84" s="1561"/>
      <c r="AP84" s="1561"/>
      <c r="AQ84" s="1561"/>
      <c r="AR84" s="1561"/>
      <c r="AS84" s="1561"/>
      <c r="AT84" s="1561"/>
      <c r="AU84" s="1561"/>
      <c r="AV84" s="1561"/>
      <c r="AW84" s="1561"/>
      <c r="AX84" s="1561"/>
      <c r="AY84" s="1561"/>
      <c r="AZ84" s="1561"/>
      <c r="BA84" s="1561"/>
      <c r="BB84" s="1561"/>
    </row>
    <row r="85" spans="29:54" s="534" customFormat="1">
      <c r="AC85" s="1561"/>
      <c r="AD85" s="1561"/>
      <c r="AE85" s="1561"/>
      <c r="AF85" s="1561"/>
      <c r="AG85" s="1561"/>
      <c r="AH85" s="1561"/>
      <c r="AI85" s="1561"/>
      <c r="AJ85" s="1561"/>
      <c r="AK85" s="1561"/>
      <c r="AL85" s="1561"/>
      <c r="AM85" s="1561"/>
      <c r="AN85" s="1561"/>
      <c r="AO85" s="1561"/>
      <c r="AP85" s="1561"/>
      <c r="AQ85" s="1561"/>
      <c r="AR85" s="1561"/>
      <c r="AS85" s="1561"/>
      <c r="AT85" s="1561"/>
      <c r="AU85" s="1561"/>
      <c r="AV85" s="1561"/>
      <c r="AW85" s="1561"/>
      <c r="AX85" s="1561"/>
      <c r="AY85" s="1561"/>
      <c r="AZ85" s="1561"/>
      <c r="BA85" s="1561"/>
      <c r="BB85" s="1561"/>
    </row>
    <row r="86" spans="29:54" s="534" customFormat="1">
      <c r="AC86" s="1561"/>
      <c r="AD86" s="1561"/>
      <c r="AE86" s="1561"/>
      <c r="AF86" s="1561"/>
      <c r="AG86" s="1561"/>
      <c r="AH86" s="1561"/>
      <c r="AI86" s="1561"/>
      <c r="AJ86" s="1561"/>
      <c r="AK86" s="1561"/>
      <c r="AL86" s="1561"/>
      <c r="AM86" s="1561"/>
      <c r="AN86" s="1561"/>
      <c r="AO86" s="1561"/>
      <c r="AP86" s="1561"/>
      <c r="AQ86" s="1561"/>
      <c r="AR86" s="1561"/>
      <c r="AS86" s="1561"/>
      <c r="AT86" s="1561"/>
      <c r="AU86" s="1561"/>
      <c r="AV86" s="1561"/>
      <c r="AW86" s="1561"/>
      <c r="AX86" s="1561"/>
      <c r="AY86" s="1561"/>
      <c r="AZ86" s="1561"/>
      <c r="BA86" s="1561"/>
      <c r="BB86" s="1561"/>
    </row>
    <row r="87" spans="29:54" s="534" customFormat="1">
      <c r="AC87" s="1561"/>
      <c r="AD87" s="1561"/>
      <c r="AE87" s="1561"/>
      <c r="AF87" s="1561"/>
      <c r="AG87" s="1561"/>
      <c r="AH87" s="1561"/>
      <c r="AI87" s="1561"/>
      <c r="AJ87" s="1561"/>
      <c r="AK87" s="1561"/>
      <c r="AL87" s="1561"/>
      <c r="AM87" s="1561"/>
      <c r="AN87" s="1561"/>
      <c r="AO87" s="1561"/>
      <c r="AP87" s="1561"/>
      <c r="AQ87" s="1561"/>
      <c r="AR87" s="1561"/>
      <c r="AS87" s="1561"/>
      <c r="AT87" s="1561"/>
      <c r="AU87" s="1561"/>
      <c r="AV87" s="1561"/>
      <c r="AW87" s="1561"/>
      <c r="AX87" s="1561"/>
      <c r="AY87" s="1561"/>
      <c r="AZ87" s="1561"/>
      <c r="BA87" s="1561"/>
      <c r="BB87" s="1561"/>
    </row>
    <row r="88" spans="29:54" s="534" customFormat="1">
      <c r="AC88" s="1561"/>
      <c r="AD88" s="1561"/>
      <c r="AE88" s="1561"/>
      <c r="AF88" s="1561"/>
      <c r="AG88" s="1561"/>
      <c r="AH88" s="1561"/>
      <c r="AI88" s="1561"/>
      <c r="AJ88" s="1561"/>
      <c r="AK88" s="1561"/>
      <c r="AL88" s="1561"/>
      <c r="AM88" s="1561"/>
      <c r="AN88" s="1561"/>
      <c r="AO88" s="1561"/>
      <c r="AP88" s="1561"/>
      <c r="AQ88" s="1561"/>
      <c r="AR88" s="1561"/>
      <c r="AS88" s="1561"/>
      <c r="AT88" s="1561"/>
      <c r="AU88" s="1561"/>
      <c r="AV88" s="1561"/>
      <c r="AW88" s="1561"/>
      <c r="AX88" s="1561"/>
      <c r="AY88" s="1561"/>
      <c r="AZ88" s="1561"/>
      <c r="BA88" s="1561"/>
      <c r="BB88" s="1561"/>
    </row>
    <row r="89" spans="29:54" s="534" customFormat="1">
      <c r="AC89" s="1561"/>
      <c r="AD89" s="1561"/>
      <c r="AE89" s="1561"/>
      <c r="AF89" s="1561"/>
      <c r="AG89" s="1561"/>
      <c r="AH89" s="1561"/>
      <c r="AI89" s="1561"/>
      <c r="AJ89" s="1561"/>
      <c r="AK89" s="1561"/>
      <c r="AL89" s="1561"/>
      <c r="AM89" s="1561"/>
      <c r="AN89" s="1561"/>
      <c r="AO89" s="1561"/>
      <c r="AP89" s="1561"/>
      <c r="AQ89" s="1561"/>
      <c r="AR89" s="1561"/>
      <c r="AS89" s="1561"/>
      <c r="AT89" s="1561"/>
      <c r="AU89" s="1561"/>
      <c r="AV89" s="1561"/>
      <c r="AW89" s="1561"/>
      <c r="AX89" s="1561"/>
      <c r="AY89" s="1561"/>
      <c r="AZ89" s="1561"/>
      <c r="BA89" s="1561"/>
      <c r="BB89" s="1561"/>
    </row>
    <row r="90" spans="29:54" s="534" customFormat="1">
      <c r="AC90" s="1561"/>
      <c r="AD90" s="1561"/>
      <c r="AE90" s="1561"/>
      <c r="AF90" s="1561"/>
      <c r="AG90" s="1561"/>
      <c r="AH90" s="1561"/>
      <c r="AI90" s="1561"/>
      <c r="AJ90" s="1561"/>
      <c r="AK90" s="1561"/>
      <c r="AL90" s="1561"/>
      <c r="AM90" s="1561"/>
      <c r="AN90" s="1561"/>
      <c r="AO90" s="1561"/>
      <c r="AP90" s="1561"/>
      <c r="AQ90" s="1561"/>
      <c r="AR90" s="1561"/>
      <c r="AS90" s="1561"/>
      <c r="AT90" s="1561"/>
      <c r="AU90" s="1561"/>
      <c r="AV90" s="1561"/>
      <c r="AW90" s="1561"/>
      <c r="AX90" s="1561"/>
      <c r="AY90" s="1561"/>
      <c r="AZ90" s="1561"/>
      <c r="BA90" s="1561"/>
      <c r="BB90" s="1561"/>
    </row>
    <row r="91" spans="29:54" s="534" customFormat="1">
      <c r="AC91" s="1561"/>
      <c r="AD91" s="1561"/>
      <c r="AE91" s="1561"/>
      <c r="AF91" s="1561"/>
      <c r="AG91" s="1561"/>
      <c r="AH91" s="1561"/>
      <c r="AI91" s="1561"/>
      <c r="AJ91" s="1561"/>
      <c r="AK91" s="1561"/>
      <c r="AL91" s="1561"/>
      <c r="AM91" s="1561"/>
      <c r="AN91" s="1561"/>
      <c r="AO91" s="1561"/>
      <c r="AP91" s="1561"/>
      <c r="AQ91" s="1561"/>
      <c r="AR91" s="1561"/>
      <c r="AS91" s="1561"/>
      <c r="AT91" s="1561"/>
      <c r="AU91" s="1561"/>
      <c r="AV91" s="1561"/>
      <c r="AW91" s="1561"/>
      <c r="AX91" s="1561"/>
      <c r="AY91" s="1561"/>
      <c r="AZ91" s="1561"/>
      <c r="BA91" s="1561"/>
      <c r="BB91" s="1561"/>
    </row>
    <row r="92" spans="29:54" s="534" customFormat="1">
      <c r="AC92" s="1561"/>
      <c r="AD92" s="1561"/>
      <c r="AE92" s="1561"/>
      <c r="AF92" s="1561"/>
      <c r="AG92" s="1561"/>
      <c r="AH92" s="1561"/>
      <c r="AI92" s="1561"/>
      <c r="AJ92" s="1561"/>
      <c r="AK92" s="1561"/>
      <c r="AL92" s="1561"/>
      <c r="AM92" s="1561"/>
      <c r="AN92" s="1561"/>
      <c r="AO92" s="1561"/>
      <c r="AP92" s="1561"/>
      <c r="AQ92" s="1561"/>
      <c r="AR92" s="1561"/>
      <c r="AS92" s="1561"/>
      <c r="AT92" s="1561"/>
      <c r="AU92" s="1561"/>
      <c r="AV92" s="1561"/>
      <c r="AW92" s="1561"/>
      <c r="AX92" s="1561"/>
      <c r="AY92" s="1561"/>
      <c r="AZ92" s="1561"/>
      <c r="BA92" s="1561"/>
      <c r="BB92" s="1561"/>
    </row>
    <row r="93" spans="29:54" s="534" customFormat="1">
      <c r="AC93" s="1561"/>
      <c r="AD93" s="1561"/>
      <c r="AE93" s="1561"/>
      <c r="AF93" s="1561"/>
      <c r="AG93" s="1561"/>
      <c r="AH93" s="1561"/>
      <c r="AI93" s="1561"/>
      <c r="AJ93" s="1561"/>
      <c r="AK93" s="1561"/>
      <c r="AL93" s="1561"/>
      <c r="AM93" s="1561"/>
      <c r="AN93" s="1561"/>
      <c r="AO93" s="1561"/>
      <c r="AP93" s="1561"/>
      <c r="AQ93" s="1561"/>
      <c r="AR93" s="1561"/>
      <c r="AS93" s="1561"/>
      <c r="AT93" s="1561"/>
      <c r="AU93" s="1561"/>
      <c r="AV93" s="1561"/>
      <c r="AW93" s="1561"/>
      <c r="AX93" s="1561"/>
      <c r="AY93" s="1561"/>
      <c r="AZ93" s="1561"/>
      <c r="BA93" s="1561"/>
      <c r="BB93" s="1561"/>
    </row>
    <row r="94" spans="29:54" s="534" customFormat="1">
      <c r="AC94" s="1561"/>
      <c r="AD94" s="1561"/>
      <c r="AE94" s="1561"/>
      <c r="AF94" s="1561"/>
      <c r="AG94" s="1561"/>
      <c r="AH94" s="1561"/>
      <c r="AI94" s="1561"/>
      <c r="AJ94" s="1561"/>
      <c r="AK94" s="1561"/>
      <c r="AL94" s="1561"/>
      <c r="AM94" s="1561"/>
      <c r="AN94" s="1561"/>
      <c r="AO94" s="1561"/>
      <c r="AP94" s="1561"/>
      <c r="AQ94" s="1561"/>
      <c r="AR94" s="1561"/>
      <c r="AS94" s="1561"/>
      <c r="AT94" s="1561"/>
      <c r="AU94" s="1561"/>
      <c r="AV94" s="1561"/>
      <c r="AW94" s="1561"/>
      <c r="AX94" s="1561"/>
      <c r="AY94" s="1561"/>
      <c r="AZ94" s="1561"/>
      <c r="BA94" s="1561"/>
      <c r="BB94" s="1561"/>
    </row>
    <row r="95" spans="29:54" s="534" customFormat="1">
      <c r="AC95" s="1561"/>
      <c r="AD95" s="1561"/>
      <c r="AE95" s="1561"/>
      <c r="AF95" s="1561"/>
      <c r="AG95" s="1561"/>
      <c r="AH95" s="1561"/>
      <c r="AI95" s="1561"/>
      <c r="AJ95" s="1561"/>
      <c r="AK95" s="1561"/>
      <c r="AL95" s="1561"/>
      <c r="AM95" s="1561"/>
      <c r="AN95" s="1561"/>
      <c r="AO95" s="1561"/>
      <c r="AP95" s="1561"/>
      <c r="AQ95" s="1561"/>
      <c r="AR95" s="1561"/>
      <c r="AS95" s="1561"/>
      <c r="AT95" s="1561"/>
      <c r="AU95" s="1561"/>
      <c r="AV95" s="1561"/>
      <c r="AW95" s="1561"/>
      <c r="AX95" s="1561"/>
      <c r="AY95" s="1561"/>
      <c r="AZ95" s="1561"/>
      <c r="BA95" s="1561"/>
      <c r="BB95" s="1561"/>
    </row>
    <row r="96" spans="29:54" s="534" customFormat="1">
      <c r="AC96" s="1561"/>
      <c r="AD96" s="1561"/>
      <c r="AE96" s="1561"/>
      <c r="AF96" s="1561"/>
      <c r="AG96" s="1561"/>
      <c r="AH96" s="1561"/>
      <c r="AI96" s="1561"/>
      <c r="AJ96" s="1561"/>
      <c r="AK96" s="1561"/>
      <c r="AL96" s="1561"/>
      <c r="AM96" s="1561"/>
      <c r="AN96" s="1561"/>
      <c r="AO96" s="1561"/>
      <c r="AP96" s="1561"/>
      <c r="AQ96" s="1561"/>
      <c r="AR96" s="1561"/>
      <c r="AS96" s="1561"/>
      <c r="AT96" s="1561"/>
      <c r="AU96" s="1561"/>
      <c r="AV96" s="1561"/>
      <c r="AW96" s="1561"/>
      <c r="AX96" s="1561"/>
      <c r="AY96" s="1561"/>
      <c r="AZ96" s="1561"/>
      <c r="BA96" s="1561"/>
      <c r="BB96" s="1561"/>
    </row>
    <row r="97" spans="29:54" s="534" customFormat="1">
      <c r="AC97" s="1561"/>
      <c r="AD97" s="1561"/>
      <c r="AE97" s="1561"/>
      <c r="AF97" s="1561"/>
      <c r="AG97" s="1561"/>
      <c r="AH97" s="1561"/>
      <c r="AI97" s="1561"/>
      <c r="AJ97" s="1561"/>
      <c r="AK97" s="1561"/>
      <c r="AL97" s="1561"/>
      <c r="AM97" s="1561"/>
      <c r="AN97" s="1561"/>
      <c r="AO97" s="1561"/>
      <c r="AP97" s="1561"/>
      <c r="AQ97" s="1561"/>
      <c r="AR97" s="1561"/>
      <c r="AS97" s="1561"/>
      <c r="AT97" s="1561"/>
      <c r="AU97" s="1561"/>
      <c r="AV97" s="1561"/>
      <c r="AW97" s="1561"/>
      <c r="AX97" s="1561"/>
      <c r="AY97" s="1561"/>
      <c r="AZ97" s="1561"/>
      <c r="BA97" s="1561"/>
      <c r="BB97" s="1561"/>
    </row>
    <row r="98" spans="29:54" s="534" customFormat="1">
      <c r="AC98" s="1561"/>
      <c r="AD98" s="1561"/>
      <c r="AE98" s="1561"/>
      <c r="AF98" s="1561"/>
      <c r="AG98" s="1561"/>
      <c r="AH98" s="1561"/>
      <c r="AI98" s="1561"/>
      <c r="AJ98" s="1561"/>
      <c r="AK98" s="1561"/>
      <c r="AL98" s="1561"/>
      <c r="AM98" s="1561"/>
      <c r="AN98" s="1561"/>
      <c r="AO98" s="1561"/>
      <c r="AP98" s="1561"/>
      <c r="AQ98" s="1561"/>
      <c r="AR98" s="1561"/>
      <c r="AS98" s="1561"/>
      <c r="AT98" s="1561"/>
      <c r="AU98" s="1561"/>
      <c r="AV98" s="1561"/>
      <c r="AW98" s="1561"/>
      <c r="AX98" s="1561"/>
      <c r="AY98" s="1561"/>
      <c r="AZ98" s="1561"/>
      <c r="BA98" s="1561"/>
      <c r="BB98" s="1561"/>
    </row>
    <row r="99" spans="29:54" s="534" customFormat="1">
      <c r="AC99" s="1561"/>
      <c r="AD99" s="1561"/>
      <c r="AE99" s="1561"/>
      <c r="AF99" s="1561"/>
      <c r="AG99" s="1561"/>
      <c r="AH99" s="1561"/>
      <c r="AI99" s="1561"/>
      <c r="AJ99" s="1561"/>
      <c r="AK99" s="1561"/>
      <c r="AL99" s="1561"/>
      <c r="AM99" s="1561"/>
      <c r="AN99" s="1561"/>
      <c r="AO99" s="1561"/>
      <c r="AP99" s="1561"/>
      <c r="AQ99" s="1561"/>
      <c r="AR99" s="1561"/>
      <c r="AS99" s="1561"/>
      <c r="AT99" s="1561"/>
      <c r="AU99" s="1561"/>
      <c r="AV99" s="1561"/>
      <c r="AW99" s="1561"/>
      <c r="AX99" s="1561"/>
      <c r="AY99" s="1561"/>
      <c r="AZ99" s="1561"/>
      <c r="BA99" s="1561"/>
      <c r="BB99" s="1561"/>
    </row>
    <row r="100" spans="29:54" s="534" customFormat="1">
      <c r="AC100" s="1561"/>
      <c r="AD100" s="1561"/>
      <c r="AE100" s="1561"/>
      <c r="AF100" s="1561"/>
      <c r="AG100" s="1561"/>
      <c r="AH100" s="1561"/>
      <c r="AI100" s="1561"/>
      <c r="AJ100" s="1561"/>
      <c r="AK100" s="1561"/>
      <c r="AL100" s="1561"/>
      <c r="AM100" s="1561"/>
      <c r="AN100" s="1561"/>
      <c r="AO100" s="1561"/>
      <c r="AP100" s="1561"/>
      <c r="AQ100" s="1561"/>
      <c r="AR100" s="1561"/>
      <c r="AS100" s="1561"/>
      <c r="AT100" s="1561"/>
      <c r="AU100" s="1561"/>
      <c r="AV100" s="1561"/>
      <c r="AW100" s="1561"/>
      <c r="AX100" s="1561"/>
      <c r="AY100" s="1561"/>
      <c r="AZ100" s="1561"/>
      <c r="BA100" s="1561"/>
      <c r="BB100" s="1561"/>
    </row>
    <row r="101" spans="29:54" s="534" customFormat="1">
      <c r="AC101" s="1561"/>
      <c r="AD101" s="1561"/>
      <c r="AE101" s="1561"/>
      <c r="AF101" s="1561"/>
      <c r="AG101" s="1561"/>
      <c r="AH101" s="1561"/>
      <c r="AI101" s="1561"/>
      <c r="AJ101" s="1561"/>
      <c r="AK101" s="1561"/>
      <c r="AL101" s="1561"/>
      <c r="AM101" s="1561"/>
      <c r="AN101" s="1561"/>
      <c r="AO101" s="1561"/>
      <c r="AP101" s="1561"/>
      <c r="AQ101" s="1561"/>
      <c r="AR101" s="1561"/>
      <c r="AS101" s="1561"/>
      <c r="AT101" s="1561"/>
      <c r="AU101" s="1561"/>
      <c r="AV101" s="1561"/>
      <c r="AW101" s="1561"/>
      <c r="AX101" s="1561"/>
      <c r="AY101" s="1561"/>
      <c r="AZ101" s="1561"/>
      <c r="BA101" s="1561"/>
      <c r="BB101" s="1561"/>
    </row>
    <row r="102" spans="29:54" s="534" customFormat="1">
      <c r="AC102" s="1561"/>
      <c r="AD102" s="1561"/>
      <c r="AE102" s="1561"/>
      <c r="AF102" s="1561"/>
      <c r="AG102" s="1561"/>
      <c r="AH102" s="1561"/>
      <c r="AI102" s="1561"/>
      <c r="AJ102" s="1561"/>
      <c r="AK102" s="1561"/>
      <c r="AL102" s="1561"/>
      <c r="AM102" s="1561"/>
      <c r="AN102" s="1561"/>
      <c r="AO102" s="1561"/>
      <c r="AP102" s="1561"/>
      <c r="AQ102" s="1561"/>
      <c r="AR102" s="1561"/>
      <c r="AS102" s="1561"/>
      <c r="AT102" s="1561"/>
      <c r="AU102" s="1561"/>
      <c r="AV102" s="1561"/>
      <c r="AW102" s="1561"/>
      <c r="AX102" s="1561"/>
      <c r="AY102" s="1561"/>
      <c r="AZ102" s="1561"/>
      <c r="BA102" s="1561"/>
      <c r="BB102" s="1561"/>
    </row>
    <row r="103" spans="29:54" s="534" customFormat="1">
      <c r="AC103" s="1561"/>
      <c r="AD103" s="1561"/>
      <c r="AE103" s="1561"/>
      <c r="AF103" s="1561"/>
      <c r="AG103" s="1561"/>
      <c r="AH103" s="1561"/>
      <c r="AI103" s="1561"/>
      <c r="AJ103" s="1561"/>
      <c r="AK103" s="1561"/>
      <c r="AL103" s="1561"/>
      <c r="AM103" s="1561"/>
      <c r="AN103" s="1561"/>
      <c r="AO103" s="1561"/>
      <c r="AP103" s="1561"/>
      <c r="AQ103" s="1561"/>
      <c r="AR103" s="1561"/>
      <c r="AS103" s="1561"/>
      <c r="AT103" s="1561"/>
      <c r="AU103" s="1561"/>
      <c r="AV103" s="1561"/>
      <c r="AW103" s="1561"/>
      <c r="AX103" s="1561"/>
      <c r="AY103" s="1561"/>
      <c r="AZ103" s="1561"/>
      <c r="BA103" s="1561"/>
      <c r="BB103" s="1561"/>
    </row>
    <row r="104" spans="29:54" s="534" customFormat="1">
      <c r="AC104" s="1561"/>
      <c r="AD104" s="1561"/>
      <c r="AE104" s="1561"/>
      <c r="AF104" s="1561"/>
      <c r="AG104" s="1561"/>
      <c r="AH104" s="1561"/>
      <c r="AI104" s="1561"/>
      <c r="AJ104" s="1561"/>
      <c r="AK104" s="1561"/>
      <c r="AL104" s="1561"/>
      <c r="AM104" s="1561"/>
      <c r="AN104" s="1561"/>
      <c r="AO104" s="1561"/>
      <c r="AP104" s="1561"/>
      <c r="AQ104" s="1561"/>
      <c r="AR104" s="1561"/>
      <c r="AS104" s="1561"/>
      <c r="AT104" s="1561"/>
      <c r="AU104" s="1561"/>
      <c r="AV104" s="1561"/>
      <c r="AW104" s="1561"/>
      <c r="AX104" s="1561"/>
      <c r="AY104" s="1561"/>
      <c r="AZ104" s="1561"/>
      <c r="BA104" s="1561"/>
      <c r="BB104" s="1561"/>
    </row>
    <row r="105" spans="29:54" s="534" customFormat="1">
      <c r="AC105" s="1561"/>
      <c r="AD105" s="1561"/>
      <c r="AE105" s="1561"/>
      <c r="AF105" s="1561"/>
      <c r="AG105" s="1561"/>
      <c r="AH105" s="1561"/>
      <c r="AI105" s="1561"/>
      <c r="AJ105" s="1561"/>
      <c r="AK105" s="1561"/>
      <c r="AL105" s="1561"/>
      <c r="AM105" s="1561"/>
      <c r="AN105" s="1561"/>
      <c r="AO105" s="1561"/>
      <c r="AP105" s="1561"/>
      <c r="AQ105" s="1561"/>
      <c r="AR105" s="1561"/>
      <c r="AS105" s="1561"/>
      <c r="AT105" s="1561"/>
      <c r="AU105" s="1561"/>
      <c r="AV105" s="1561"/>
      <c r="AW105" s="1561"/>
      <c r="AX105" s="1561"/>
      <c r="AY105" s="1561"/>
      <c r="AZ105" s="1561"/>
      <c r="BA105" s="1561"/>
      <c r="BB105" s="1561"/>
    </row>
    <row r="106" spans="29:54" s="534" customFormat="1">
      <c r="AC106" s="1561"/>
      <c r="AD106" s="1561"/>
      <c r="AE106" s="1561"/>
      <c r="AF106" s="1561"/>
      <c r="AG106" s="1561"/>
      <c r="AH106" s="1561"/>
      <c r="AI106" s="1561"/>
      <c r="AJ106" s="1561"/>
      <c r="AK106" s="1561"/>
      <c r="AL106" s="1561"/>
      <c r="AM106" s="1561"/>
      <c r="AN106" s="1561"/>
      <c r="AO106" s="1561"/>
      <c r="AP106" s="1561"/>
      <c r="AQ106" s="1561"/>
      <c r="AR106" s="1561"/>
      <c r="AS106" s="1561"/>
      <c r="AT106" s="1561"/>
      <c r="AU106" s="1561"/>
      <c r="AV106" s="1561"/>
      <c r="AW106" s="1561"/>
      <c r="AX106" s="1561"/>
      <c r="AY106" s="1561"/>
      <c r="AZ106" s="1561"/>
      <c r="BA106" s="1561"/>
      <c r="BB106" s="1561"/>
    </row>
    <row r="107" spans="29:54" s="534" customFormat="1">
      <c r="AC107" s="1561"/>
      <c r="AD107" s="1561"/>
      <c r="AE107" s="1561"/>
      <c r="AF107" s="1561"/>
      <c r="AG107" s="1561"/>
      <c r="AH107" s="1561"/>
      <c r="AI107" s="1561"/>
      <c r="AJ107" s="1561"/>
      <c r="AK107" s="1561"/>
      <c r="AL107" s="1561"/>
      <c r="AM107" s="1561"/>
      <c r="AN107" s="1561"/>
      <c r="AO107" s="1561"/>
      <c r="AP107" s="1561"/>
      <c r="AQ107" s="1561"/>
      <c r="AR107" s="1561"/>
      <c r="AS107" s="1561"/>
      <c r="AT107" s="1561"/>
      <c r="AU107" s="1561"/>
      <c r="AV107" s="1561"/>
      <c r="AW107" s="1561"/>
      <c r="AX107" s="1561"/>
      <c r="AY107" s="1561"/>
      <c r="AZ107" s="1561"/>
      <c r="BA107" s="1561"/>
      <c r="BB107" s="1561"/>
    </row>
    <row r="108" spans="29:54" s="534" customFormat="1">
      <c r="AC108" s="1561"/>
      <c r="AD108" s="1561"/>
      <c r="AE108" s="1561"/>
      <c r="AF108" s="1561"/>
      <c r="AG108" s="1561"/>
      <c r="AH108" s="1561"/>
      <c r="AI108" s="1561"/>
      <c r="AJ108" s="1561"/>
      <c r="AK108" s="1561"/>
      <c r="AL108" s="1561"/>
      <c r="AM108" s="1561"/>
      <c r="AN108" s="1561"/>
      <c r="AO108" s="1561"/>
      <c r="AP108" s="1561"/>
      <c r="AQ108" s="1561"/>
      <c r="AR108" s="1561"/>
      <c r="AS108" s="1561"/>
      <c r="AT108" s="1561"/>
      <c r="AU108" s="1561"/>
      <c r="AV108" s="1561"/>
      <c r="AW108" s="1561"/>
      <c r="AX108" s="1561"/>
      <c r="AY108" s="1561"/>
      <c r="AZ108" s="1561"/>
      <c r="BA108" s="1561"/>
      <c r="BB108" s="1561"/>
    </row>
    <row r="109" spans="29:54" s="534" customFormat="1">
      <c r="AC109" s="1561"/>
      <c r="AD109" s="1561"/>
      <c r="AE109" s="1561"/>
      <c r="AF109" s="1561"/>
      <c r="AG109" s="1561"/>
      <c r="AH109" s="1561"/>
      <c r="AI109" s="1561"/>
      <c r="AJ109" s="1561"/>
      <c r="AK109" s="1561"/>
      <c r="AL109" s="1561"/>
      <c r="AM109" s="1561"/>
      <c r="AN109" s="1561"/>
      <c r="AO109" s="1561"/>
      <c r="AP109" s="1561"/>
      <c r="AQ109" s="1561"/>
      <c r="AR109" s="1561"/>
      <c r="AS109" s="1561"/>
      <c r="AT109" s="1561"/>
      <c r="AU109" s="1561"/>
      <c r="AV109" s="1561"/>
      <c r="AW109" s="1561"/>
      <c r="AX109" s="1561"/>
      <c r="AY109" s="1561"/>
      <c r="AZ109" s="1561"/>
      <c r="BA109" s="1561"/>
      <c r="BB109" s="1561"/>
    </row>
    <row r="110" spans="29:54" s="534" customFormat="1">
      <c r="AC110" s="1561"/>
      <c r="AD110" s="1561"/>
      <c r="AE110" s="1561"/>
      <c r="AF110" s="1561"/>
      <c r="AG110" s="1561"/>
      <c r="AH110" s="1561"/>
      <c r="AI110" s="1561"/>
      <c r="AJ110" s="1561"/>
      <c r="AK110" s="1561"/>
      <c r="AL110" s="1561"/>
      <c r="AM110" s="1561"/>
      <c r="AN110" s="1561"/>
      <c r="AO110" s="1561"/>
      <c r="AP110" s="1561"/>
      <c r="AQ110" s="1561"/>
      <c r="AR110" s="1561"/>
      <c r="AS110" s="1561"/>
      <c r="AT110" s="1561"/>
      <c r="AU110" s="1561"/>
      <c r="AV110" s="1561"/>
      <c r="AW110" s="1561"/>
      <c r="AX110" s="1561"/>
      <c r="AY110" s="1561"/>
      <c r="AZ110" s="1561"/>
      <c r="BA110" s="1561"/>
      <c r="BB110" s="1561"/>
    </row>
    <row r="111" spans="29:54" s="534" customFormat="1">
      <c r="AC111" s="1561"/>
      <c r="AD111" s="1561"/>
      <c r="AE111" s="1561"/>
      <c r="AF111" s="1561"/>
      <c r="AG111" s="1561"/>
      <c r="AH111" s="1561"/>
      <c r="AI111" s="1561"/>
      <c r="AJ111" s="1561"/>
      <c r="AK111" s="1561"/>
      <c r="AL111" s="1561"/>
      <c r="AM111" s="1561"/>
      <c r="AN111" s="1561"/>
      <c r="AO111" s="1561"/>
      <c r="AP111" s="1561"/>
      <c r="AQ111" s="1561"/>
      <c r="AR111" s="1561"/>
      <c r="AS111" s="1561"/>
      <c r="AT111" s="1561"/>
      <c r="AU111" s="1561"/>
      <c r="AV111" s="1561"/>
      <c r="AW111" s="1561"/>
      <c r="AX111" s="1561"/>
      <c r="AY111" s="1561"/>
      <c r="AZ111" s="1561"/>
      <c r="BA111" s="1561"/>
      <c r="BB111" s="1561"/>
    </row>
    <row r="112" spans="29:54" s="534" customFormat="1">
      <c r="AC112" s="1561"/>
      <c r="AD112" s="1561"/>
      <c r="AE112" s="1561"/>
      <c r="AF112" s="1561"/>
      <c r="AG112" s="1561"/>
      <c r="AH112" s="1561"/>
      <c r="AI112" s="1561"/>
      <c r="AJ112" s="1561"/>
      <c r="AK112" s="1561"/>
      <c r="AL112" s="1561"/>
      <c r="AM112" s="1561"/>
      <c r="AN112" s="1561"/>
      <c r="AO112" s="1561"/>
      <c r="AP112" s="1561"/>
      <c r="AQ112" s="1561"/>
      <c r="AR112" s="1561"/>
      <c r="AS112" s="1561"/>
      <c r="AT112" s="1561"/>
      <c r="AU112" s="1561"/>
      <c r="AV112" s="1561"/>
      <c r="AW112" s="1561"/>
      <c r="AX112" s="1561"/>
      <c r="AY112" s="1561"/>
      <c r="AZ112" s="1561"/>
      <c r="BA112" s="1561"/>
      <c r="BB112" s="1561"/>
    </row>
    <row r="113" spans="29:54" s="534" customFormat="1">
      <c r="AC113" s="1561"/>
      <c r="AD113" s="1561"/>
      <c r="AE113" s="1561"/>
      <c r="AF113" s="1561"/>
      <c r="AG113" s="1561"/>
      <c r="AH113" s="1561"/>
      <c r="AI113" s="1561"/>
      <c r="AJ113" s="1561"/>
      <c r="AK113" s="1561"/>
      <c r="AL113" s="1561"/>
      <c r="AM113" s="1561"/>
      <c r="AN113" s="1561"/>
      <c r="AO113" s="1561"/>
      <c r="AP113" s="1561"/>
      <c r="AQ113" s="1561"/>
      <c r="AR113" s="1561"/>
      <c r="AS113" s="1561"/>
      <c r="AT113" s="1561"/>
      <c r="AU113" s="1561"/>
      <c r="AV113" s="1561"/>
      <c r="AW113" s="1561"/>
      <c r="AX113" s="1561"/>
      <c r="AY113" s="1561"/>
      <c r="AZ113" s="1561"/>
      <c r="BA113" s="1561"/>
      <c r="BB113" s="1561"/>
    </row>
    <row r="114" spans="29:54" s="534" customFormat="1">
      <c r="AC114" s="1561"/>
      <c r="AD114" s="1561"/>
      <c r="AE114" s="1561"/>
      <c r="AF114" s="1561"/>
      <c r="AG114" s="1561"/>
      <c r="AH114" s="1561"/>
      <c r="AI114" s="1561"/>
      <c r="AJ114" s="1561"/>
      <c r="AK114" s="1561"/>
      <c r="AL114" s="1561"/>
      <c r="AM114" s="1561"/>
      <c r="AN114" s="1561"/>
      <c r="AO114" s="1561"/>
      <c r="AP114" s="1561"/>
      <c r="AQ114" s="1561"/>
      <c r="AR114" s="1561"/>
      <c r="AS114" s="1561"/>
      <c r="AT114" s="1561"/>
      <c r="AU114" s="1561"/>
      <c r="AV114" s="1561"/>
      <c r="AW114" s="1561"/>
      <c r="AX114" s="1561"/>
      <c r="AY114" s="1561"/>
      <c r="AZ114" s="1561"/>
      <c r="BA114" s="1561"/>
      <c r="BB114" s="1561"/>
    </row>
    <row r="115" spans="29:54" s="534" customFormat="1">
      <c r="AC115" s="1561"/>
      <c r="AD115" s="1561"/>
      <c r="AE115" s="1561"/>
      <c r="AF115" s="1561"/>
      <c r="AG115" s="1561"/>
      <c r="AH115" s="1561"/>
      <c r="AI115" s="1561"/>
      <c r="AJ115" s="1561"/>
      <c r="AK115" s="1561"/>
      <c r="AL115" s="1561"/>
      <c r="AM115" s="1561"/>
      <c r="AN115" s="1561"/>
      <c r="AO115" s="1561"/>
      <c r="AP115" s="1561"/>
      <c r="AQ115" s="1561"/>
      <c r="AR115" s="1561"/>
      <c r="AS115" s="1561"/>
      <c r="AT115" s="1561"/>
      <c r="AU115" s="1561"/>
      <c r="AV115" s="1561"/>
      <c r="AW115" s="1561"/>
      <c r="AX115" s="1561"/>
      <c r="AY115" s="1561"/>
      <c r="AZ115" s="1561"/>
      <c r="BA115" s="1561"/>
      <c r="BB115" s="1561"/>
    </row>
    <row r="116" spans="29:54" s="534" customFormat="1">
      <c r="AC116" s="1561"/>
      <c r="AD116" s="1561"/>
      <c r="AE116" s="1561"/>
      <c r="AF116" s="1561"/>
      <c r="AG116" s="1561"/>
      <c r="AH116" s="1561"/>
      <c r="AI116" s="1561"/>
      <c r="AJ116" s="1561"/>
      <c r="AK116" s="1561"/>
      <c r="AL116" s="1561"/>
      <c r="AM116" s="1561"/>
      <c r="AN116" s="1561"/>
      <c r="AO116" s="1561"/>
      <c r="AP116" s="1561"/>
      <c r="AQ116" s="1561"/>
      <c r="AR116" s="1561"/>
      <c r="AS116" s="1561"/>
      <c r="AT116" s="1561"/>
      <c r="AU116" s="1561"/>
      <c r="AV116" s="1561"/>
      <c r="AW116" s="1561"/>
      <c r="AX116" s="1561"/>
      <c r="AY116" s="1561"/>
      <c r="AZ116" s="1561"/>
      <c r="BA116" s="1561"/>
      <c r="BB116" s="1561"/>
    </row>
    <row r="117" spans="29:54" s="534" customFormat="1">
      <c r="AC117" s="1561"/>
      <c r="AD117" s="1561"/>
      <c r="AE117" s="1561"/>
      <c r="AF117" s="1561"/>
      <c r="AG117" s="1561"/>
      <c r="AH117" s="1561"/>
      <c r="AI117" s="1561"/>
      <c r="AJ117" s="1561"/>
      <c r="AK117" s="1561"/>
      <c r="AL117" s="1561"/>
      <c r="AM117" s="1561"/>
      <c r="AN117" s="1561"/>
      <c r="AO117" s="1561"/>
      <c r="AP117" s="1561"/>
      <c r="AQ117" s="1561"/>
      <c r="AR117" s="1561"/>
      <c r="AS117" s="1561"/>
      <c r="AT117" s="1561"/>
      <c r="AU117" s="1561"/>
      <c r="AV117" s="1561"/>
      <c r="AW117" s="1561"/>
      <c r="AX117" s="1561"/>
      <c r="AY117" s="1561"/>
      <c r="AZ117" s="1561"/>
      <c r="BA117" s="1561"/>
      <c r="BB117" s="1561"/>
    </row>
    <row r="118" spans="29:54" s="534" customFormat="1">
      <c r="AC118" s="1561"/>
      <c r="AD118" s="1561"/>
      <c r="AE118" s="1561"/>
      <c r="AF118" s="1561"/>
      <c r="AG118" s="1561"/>
      <c r="AH118" s="1561"/>
      <c r="AI118" s="1561"/>
      <c r="AJ118" s="1561"/>
      <c r="AK118" s="1561"/>
      <c r="AL118" s="1561"/>
      <c r="AM118" s="1561"/>
      <c r="AN118" s="1561"/>
      <c r="AO118" s="1561"/>
      <c r="AP118" s="1561"/>
      <c r="AQ118" s="1561"/>
      <c r="AR118" s="1561"/>
      <c r="AS118" s="1561"/>
      <c r="AT118" s="1561"/>
      <c r="AU118" s="1561"/>
      <c r="AV118" s="1561"/>
      <c r="AW118" s="1561"/>
      <c r="AX118" s="1561"/>
      <c r="AY118" s="1561"/>
      <c r="AZ118" s="1561"/>
      <c r="BA118" s="1561"/>
      <c r="BB118" s="1561"/>
    </row>
    <row r="119" spans="29:54" s="534" customFormat="1">
      <c r="AC119" s="1561"/>
      <c r="AD119" s="1561"/>
      <c r="AE119" s="1561"/>
      <c r="AF119" s="1561"/>
      <c r="AG119" s="1561"/>
      <c r="AH119" s="1561"/>
      <c r="AI119" s="1561"/>
      <c r="AJ119" s="1561"/>
      <c r="AK119" s="1561"/>
      <c r="AL119" s="1561"/>
      <c r="AM119" s="1561"/>
      <c r="AN119" s="1561"/>
      <c r="AO119" s="1561"/>
      <c r="AP119" s="1561"/>
      <c r="AQ119" s="1561"/>
      <c r="AR119" s="1561"/>
      <c r="AS119" s="1561"/>
      <c r="AT119" s="1561"/>
      <c r="AU119" s="1561"/>
      <c r="AV119" s="1561"/>
      <c r="AW119" s="1561"/>
      <c r="AX119" s="1561"/>
      <c r="AY119" s="1561"/>
      <c r="AZ119" s="1561"/>
      <c r="BA119" s="1561"/>
      <c r="BB119" s="1561"/>
    </row>
    <row r="120" spans="29:54" s="534" customFormat="1">
      <c r="AC120" s="1561"/>
      <c r="AD120" s="1561"/>
      <c r="AE120" s="1561"/>
      <c r="AF120" s="1561"/>
      <c r="AG120" s="1561"/>
      <c r="AH120" s="1561"/>
      <c r="AI120" s="1561"/>
      <c r="AJ120" s="1561"/>
      <c r="AK120" s="1561"/>
      <c r="AL120" s="1561"/>
      <c r="AM120" s="1561"/>
      <c r="AN120" s="1561"/>
      <c r="AO120" s="1561"/>
      <c r="AP120" s="1561"/>
      <c r="AQ120" s="1561"/>
      <c r="AR120" s="1561"/>
      <c r="AS120" s="1561"/>
      <c r="AT120" s="1561"/>
      <c r="AU120" s="1561"/>
      <c r="AV120" s="1561"/>
      <c r="AW120" s="1561"/>
      <c r="AX120" s="1561"/>
      <c r="AY120" s="1561"/>
      <c r="AZ120" s="1561"/>
      <c r="BA120" s="1561"/>
      <c r="BB120" s="1561"/>
    </row>
    <row r="121" spans="29:54" s="534" customFormat="1">
      <c r="AC121" s="1561"/>
      <c r="AD121" s="1561"/>
      <c r="AE121" s="1561"/>
      <c r="AF121" s="1561"/>
      <c r="AG121" s="1561"/>
      <c r="AH121" s="1561"/>
      <c r="AI121" s="1561"/>
      <c r="AJ121" s="1561"/>
      <c r="AK121" s="1561"/>
      <c r="AL121" s="1561"/>
      <c r="AM121" s="1561"/>
      <c r="AN121" s="1561"/>
      <c r="AO121" s="1561"/>
      <c r="AP121" s="1561"/>
      <c r="AQ121" s="1561"/>
      <c r="AR121" s="1561"/>
      <c r="AS121" s="1561"/>
      <c r="AT121" s="1561"/>
      <c r="AU121" s="1561"/>
      <c r="AV121" s="1561"/>
      <c r="AW121" s="1561"/>
      <c r="AX121" s="1561"/>
      <c r="AY121" s="1561"/>
      <c r="AZ121" s="1561"/>
      <c r="BA121" s="1561"/>
      <c r="BB121" s="1561"/>
    </row>
    <row r="122" spans="29:54" s="534" customFormat="1">
      <c r="AC122" s="1561"/>
      <c r="AD122" s="1561"/>
      <c r="AE122" s="1561"/>
      <c r="AF122" s="1561"/>
      <c r="AG122" s="1561"/>
      <c r="AH122" s="1561"/>
      <c r="AI122" s="1561"/>
      <c r="AJ122" s="1561"/>
      <c r="AK122" s="1561"/>
      <c r="AL122" s="1561"/>
      <c r="AM122" s="1561"/>
      <c r="AN122" s="1561"/>
      <c r="AO122" s="1561"/>
      <c r="AP122" s="1561"/>
      <c r="AQ122" s="1561"/>
      <c r="AR122" s="1561"/>
      <c r="AS122" s="1561"/>
      <c r="AT122" s="1561"/>
      <c r="AU122" s="1561"/>
      <c r="AV122" s="1561"/>
      <c r="AW122" s="1561"/>
      <c r="AX122" s="1561"/>
      <c r="AY122" s="1561"/>
      <c r="AZ122" s="1561"/>
      <c r="BA122" s="1561"/>
      <c r="BB122" s="1561"/>
    </row>
    <row r="123" spans="29:54" s="534" customFormat="1">
      <c r="AC123" s="1561"/>
      <c r="AD123" s="1561"/>
      <c r="AE123" s="1561"/>
      <c r="AF123" s="1561"/>
      <c r="AG123" s="1561"/>
      <c r="AH123" s="1561"/>
      <c r="AI123" s="1561"/>
      <c r="AJ123" s="1561"/>
      <c r="AK123" s="1561"/>
      <c r="AL123" s="1561"/>
      <c r="AM123" s="1561"/>
      <c r="AN123" s="1561"/>
      <c r="AO123" s="1561"/>
      <c r="AP123" s="1561"/>
      <c r="AQ123" s="1561"/>
      <c r="AR123" s="1561"/>
      <c r="AS123" s="1561"/>
      <c r="AT123" s="1561"/>
      <c r="AU123" s="1561"/>
      <c r="AV123" s="1561"/>
      <c r="AW123" s="1561"/>
      <c r="AX123" s="1561"/>
      <c r="AY123" s="1561"/>
      <c r="AZ123" s="1561"/>
      <c r="BA123" s="1561"/>
      <c r="BB123" s="1561"/>
    </row>
    <row r="124" spans="29:54" s="534" customFormat="1">
      <c r="AC124" s="1561"/>
      <c r="AD124" s="1561"/>
      <c r="AE124" s="1561"/>
      <c r="AF124" s="1561"/>
      <c r="AG124" s="1561"/>
      <c r="AH124" s="1561"/>
      <c r="AI124" s="1561"/>
      <c r="AJ124" s="1561"/>
      <c r="AK124" s="1561"/>
      <c r="AL124" s="1561"/>
      <c r="AM124" s="1561"/>
      <c r="AN124" s="1561"/>
      <c r="AO124" s="1561"/>
      <c r="AP124" s="1561"/>
      <c r="AQ124" s="1561"/>
      <c r="AR124" s="1561"/>
      <c r="AS124" s="1561"/>
      <c r="AT124" s="1561"/>
      <c r="AU124" s="1561"/>
      <c r="AV124" s="1561"/>
      <c r="AW124" s="1561"/>
      <c r="AX124" s="1561"/>
      <c r="AY124" s="1561"/>
      <c r="AZ124" s="1561"/>
      <c r="BA124" s="1561"/>
      <c r="BB124" s="1561"/>
    </row>
    <row r="125" spans="29:54" s="534" customFormat="1">
      <c r="AC125" s="1561"/>
      <c r="AD125" s="1561"/>
      <c r="AE125" s="1561"/>
      <c r="AF125" s="1561"/>
      <c r="AG125" s="1561"/>
      <c r="AH125" s="1561"/>
      <c r="AI125" s="1561"/>
      <c r="AJ125" s="1561"/>
      <c r="AK125" s="1561"/>
      <c r="AL125" s="1561"/>
      <c r="AM125" s="1561"/>
      <c r="AN125" s="1561"/>
      <c r="AO125" s="1561"/>
      <c r="AP125" s="1561"/>
      <c r="AQ125" s="1561"/>
      <c r="AR125" s="1561"/>
      <c r="AS125" s="1561"/>
      <c r="AT125" s="1561"/>
      <c r="AU125" s="1561"/>
      <c r="AV125" s="1561"/>
      <c r="AW125" s="1561"/>
      <c r="AX125" s="1561"/>
      <c r="AY125" s="1561"/>
      <c r="AZ125" s="1561"/>
      <c r="BA125" s="1561"/>
      <c r="BB125" s="1561"/>
    </row>
    <row r="126" spans="29:54" s="534" customFormat="1">
      <c r="AC126" s="1561"/>
      <c r="AD126" s="1561"/>
      <c r="AE126" s="1561"/>
      <c r="AF126" s="1561"/>
      <c r="AG126" s="1561"/>
      <c r="AH126" s="1561"/>
      <c r="AI126" s="1561"/>
      <c r="AJ126" s="1561"/>
      <c r="AK126" s="1561"/>
      <c r="AL126" s="1561"/>
      <c r="AM126" s="1561"/>
      <c r="AN126" s="1561"/>
      <c r="AO126" s="1561"/>
      <c r="AP126" s="1561"/>
      <c r="AQ126" s="1561"/>
      <c r="AR126" s="1561"/>
      <c r="AS126" s="1561"/>
      <c r="AT126" s="1561"/>
      <c r="AU126" s="1561"/>
      <c r="AV126" s="1561"/>
      <c r="AW126" s="1561"/>
      <c r="AX126" s="1561"/>
      <c r="AY126" s="1561"/>
      <c r="AZ126" s="1561"/>
      <c r="BA126" s="1561"/>
      <c r="BB126" s="1561"/>
    </row>
    <row r="127" spans="29:54" s="534" customFormat="1">
      <c r="AC127" s="1561"/>
      <c r="AD127" s="1561"/>
      <c r="AE127" s="1561"/>
      <c r="AF127" s="1561"/>
      <c r="AG127" s="1561"/>
      <c r="AH127" s="1561"/>
      <c r="AI127" s="1561"/>
      <c r="AJ127" s="1561"/>
      <c r="AK127" s="1561"/>
      <c r="AL127" s="1561"/>
      <c r="AM127" s="1561"/>
      <c r="AN127" s="1561"/>
      <c r="AO127" s="1561"/>
      <c r="AP127" s="1561"/>
      <c r="AQ127" s="1561"/>
      <c r="AR127" s="1561"/>
      <c r="AS127" s="1561"/>
      <c r="AT127" s="1561"/>
      <c r="AU127" s="1561"/>
      <c r="AV127" s="1561"/>
      <c r="AW127" s="1561"/>
      <c r="AX127" s="1561"/>
      <c r="AY127" s="1561"/>
      <c r="AZ127" s="1561"/>
      <c r="BA127" s="1561"/>
      <c r="BB127" s="1561"/>
    </row>
    <row r="128" spans="29:54" s="534" customFormat="1">
      <c r="AC128" s="1561"/>
      <c r="AD128" s="1561"/>
      <c r="AE128" s="1561"/>
      <c r="AF128" s="1561"/>
      <c r="AG128" s="1561"/>
      <c r="AH128" s="1561"/>
      <c r="AI128" s="1561"/>
      <c r="AJ128" s="1561"/>
      <c r="AK128" s="1561"/>
      <c r="AL128" s="1561"/>
      <c r="AM128" s="1561"/>
      <c r="AN128" s="1561"/>
      <c r="AO128" s="1561"/>
      <c r="AP128" s="1561"/>
      <c r="AQ128" s="1561"/>
      <c r="AR128" s="1561"/>
      <c r="AS128" s="1561"/>
      <c r="AT128" s="1561"/>
      <c r="AU128" s="1561"/>
      <c r="AV128" s="1561"/>
      <c r="AW128" s="1561"/>
      <c r="AX128" s="1561"/>
      <c r="AY128" s="1561"/>
      <c r="AZ128" s="1561"/>
      <c r="BA128" s="1561"/>
      <c r="BB128" s="1561"/>
    </row>
    <row r="129" spans="29:54" s="534" customFormat="1">
      <c r="AC129" s="1561"/>
      <c r="AD129" s="1561"/>
      <c r="AE129" s="1561"/>
      <c r="AF129" s="1561"/>
      <c r="AG129" s="1561"/>
      <c r="AH129" s="1561"/>
      <c r="AI129" s="1561"/>
      <c r="AJ129" s="1561"/>
      <c r="AK129" s="1561"/>
      <c r="AL129" s="1561"/>
      <c r="AM129" s="1561"/>
      <c r="AN129" s="1561"/>
      <c r="AO129" s="1561"/>
      <c r="AP129" s="1561"/>
      <c r="AQ129" s="1561"/>
      <c r="AR129" s="1561"/>
      <c r="AS129" s="1561"/>
      <c r="AT129" s="1561"/>
      <c r="AU129" s="1561"/>
      <c r="AV129" s="1561"/>
      <c r="AW129" s="1561"/>
      <c r="AX129" s="1561"/>
      <c r="AY129" s="1561"/>
      <c r="AZ129" s="1561"/>
      <c r="BA129" s="1561"/>
      <c r="BB129" s="1561"/>
    </row>
    <row r="130" spans="29:54" s="534" customFormat="1">
      <c r="AC130" s="1561"/>
      <c r="AD130" s="1561"/>
      <c r="AE130" s="1561"/>
      <c r="AF130" s="1561"/>
      <c r="AG130" s="1561"/>
      <c r="AH130" s="1561"/>
      <c r="AI130" s="1561"/>
      <c r="AJ130" s="1561"/>
      <c r="AK130" s="1561"/>
      <c r="AL130" s="1561"/>
      <c r="AM130" s="1561"/>
      <c r="AN130" s="1561"/>
      <c r="AO130" s="1561"/>
      <c r="AP130" s="1561"/>
      <c r="AQ130" s="1561"/>
      <c r="AR130" s="1561"/>
      <c r="AS130" s="1561"/>
      <c r="AT130" s="1561"/>
      <c r="AU130" s="1561"/>
      <c r="AV130" s="1561"/>
      <c r="AW130" s="1561"/>
      <c r="AX130" s="1561"/>
      <c r="AY130" s="1561"/>
      <c r="AZ130" s="1561"/>
      <c r="BA130" s="1561"/>
      <c r="BB130" s="1561"/>
    </row>
    <row r="131" spans="29:54" s="534" customFormat="1">
      <c r="AC131" s="1561"/>
      <c r="AD131" s="1561"/>
      <c r="AE131" s="1561"/>
      <c r="AF131" s="1561"/>
      <c r="AG131" s="1561"/>
      <c r="AH131" s="1561"/>
      <c r="AI131" s="1561"/>
      <c r="AJ131" s="1561"/>
      <c r="AK131" s="1561"/>
      <c r="AL131" s="1561"/>
      <c r="AM131" s="1561"/>
      <c r="AN131" s="1561"/>
      <c r="AO131" s="1561"/>
      <c r="AP131" s="1561"/>
      <c r="AQ131" s="1561"/>
      <c r="AR131" s="1561"/>
      <c r="AS131" s="1561"/>
      <c r="AT131" s="1561"/>
      <c r="AU131" s="1561"/>
      <c r="AV131" s="1561"/>
      <c r="AW131" s="1561"/>
      <c r="AX131" s="1561"/>
      <c r="AY131" s="1561"/>
      <c r="AZ131" s="1561"/>
      <c r="BA131" s="1561"/>
      <c r="BB131" s="1561"/>
    </row>
    <row r="132" spans="29:54" s="534" customFormat="1">
      <c r="AC132" s="1561"/>
      <c r="AD132" s="1561"/>
      <c r="AE132" s="1561"/>
      <c r="AF132" s="1561"/>
      <c r="AG132" s="1561"/>
      <c r="AH132" s="1561"/>
      <c r="AI132" s="1561"/>
      <c r="AJ132" s="1561"/>
      <c r="AK132" s="1561"/>
      <c r="AL132" s="1561"/>
      <c r="AM132" s="1561"/>
      <c r="AN132" s="1561"/>
      <c r="AO132" s="1561"/>
      <c r="AP132" s="1561"/>
      <c r="AQ132" s="1561"/>
      <c r="AR132" s="1561"/>
      <c r="AS132" s="1561"/>
      <c r="AT132" s="1561"/>
      <c r="AU132" s="1561"/>
      <c r="AV132" s="1561"/>
      <c r="AW132" s="1561"/>
      <c r="AX132" s="1561"/>
      <c r="AY132" s="1561"/>
      <c r="AZ132" s="1561"/>
      <c r="BA132" s="1561"/>
      <c r="BB132" s="1561"/>
    </row>
    <row r="133" spans="29:54" s="534" customFormat="1">
      <c r="AC133" s="1561"/>
      <c r="AD133" s="1561"/>
      <c r="AE133" s="1561"/>
      <c r="AF133" s="1561"/>
      <c r="AG133" s="1561"/>
      <c r="AH133" s="1561"/>
      <c r="AI133" s="1561"/>
      <c r="AJ133" s="1561"/>
      <c r="AK133" s="1561"/>
      <c r="AL133" s="1561"/>
      <c r="AM133" s="1561"/>
      <c r="AN133" s="1561"/>
      <c r="AO133" s="1561"/>
      <c r="AP133" s="1561"/>
      <c r="AQ133" s="1561"/>
      <c r="AR133" s="1561"/>
      <c r="AS133" s="1561"/>
      <c r="AT133" s="1561"/>
      <c r="AU133" s="1561"/>
      <c r="AV133" s="1561"/>
      <c r="AW133" s="1561"/>
      <c r="AX133" s="1561"/>
      <c r="AY133" s="1561"/>
      <c r="AZ133" s="1561"/>
      <c r="BA133" s="1561"/>
      <c r="BB133" s="1561"/>
    </row>
    <row r="134" spans="29:54" s="534" customFormat="1">
      <c r="AC134" s="1561"/>
      <c r="AD134" s="1561"/>
      <c r="AE134" s="1561"/>
      <c r="AF134" s="1561"/>
      <c r="AG134" s="1561"/>
      <c r="AH134" s="1561"/>
      <c r="AI134" s="1561"/>
      <c r="AJ134" s="1561"/>
      <c r="AK134" s="1561"/>
      <c r="AL134" s="1561"/>
      <c r="AM134" s="1561"/>
      <c r="AN134" s="1561"/>
      <c r="AO134" s="1561"/>
      <c r="AP134" s="1561"/>
      <c r="AQ134" s="1561"/>
      <c r="AR134" s="1561"/>
      <c r="AS134" s="1561"/>
      <c r="AT134" s="1561"/>
      <c r="AU134" s="1561"/>
      <c r="AV134" s="1561"/>
      <c r="AW134" s="1561"/>
      <c r="AX134" s="1561"/>
      <c r="AY134" s="1561"/>
      <c r="AZ134" s="1561"/>
      <c r="BA134" s="1561"/>
      <c r="BB134" s="1561"/>
    </row>
    <row r="135" spans="29:54" s="534" customFormat="1">
      <c r="AC135" s="1561"/>
      <c r="AD135" s="1561"/>
      <c r="AE135" s="1561"/>
      <c r="AF135" s="1561"/>
      <c r="AG135" s="1561"/>
      <c r="AH135" s="1561"/>
      <c r="AI135" s="1561"/>
      <c r="AJ135" s="1561"/>
      <c r="AK135" s="1561"/>
      <c r="AL135" s="1561"/>
      <c r="AM135" s="1561"/>
      <c r="AN135" s="1561"/>
      <c r="AO135" s="1561"/>
      <c r="AP135" s="1561"/>
      <c r="AQ135" s="1561"/>
      <c r="AR135" s="1561"/>
      <c r="AS135" s="1561"/>
      <c r="AT135" s="1561"/>
      <c r="AU135" s="1561"/>
      <c r="AV135" s="1561"/>
      <c r="AW135" s="1561"/>
      <c r="AX135" s="1561"/>
      <c r="AY135" s="1561"/>
      <c r="AZ135" s="1561"/>
      <c r="BA135" s="1561"/>
      <c r="BB135" s="1561"/>
    </row>
    <row r="136" spans="29:54" s="534" customFormat="1">
      <c r="AC136" s="1561"/>
      <c r="AD136" s="1561"/>
      <c r="AE136" s="1561"/>
      <c r="AF136" s="1561"/>
      <c r="AG136" s="1561"/>
      <c r="AH136" s="1561"/>
      <c r="AI136" s="1561"/>
      <c r="AJ136" s="1561"/>
      <c r="AK136" s="1561"/>
      <c r="AL136" s="1561"/>
      <c r="AM136" s="1561"/>
      <c r="AN136" s="1561"/>
      <c r="AO136" s="1561"/>
      <c r="AP136" s="1561"/>
      <c r="AQ136" s="1561"/>
      <c r="AR136" s="1561"/>
      <c r="AS136" s="1561"/>
      <c r="AT136" s="1561"/>
      <c r="AU136" s="1561"/>
      <c r="AV136" s="1561"/>
      <c r="AW136" s="1561"/>
      <c r="AX136" s="1561"/>
      <c r="AY136" s="1561"/>
      <c r="AZ136" s="1561"/>
      <c r="BA136" s="1561"/>
      <c r="BB136" s="1561"/>
    </row>
    <row r="137" spans="29:54" s="534" customFormat="1"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1"/>
      <c r="AS137" s="1561"/>
      <c r="AT137" s="1561"/>
      <c r="AU137" s="1561"/>
      <c r="AV137" s="1561"/>
      <c r="AW137" s="1561"/>
      <c r="AX137" s="1561"/>
      <c r="AY137" s="1561"/>
      <c r="AZ137" s="1561"/>
      <c r="BA137" s="1561"/>
      <c r="BB137" s="1561"/>
    </row>
    <row r="138" spans="29:54" s="534" customFormat="1">
      <c r="AC138" s="1561"/>
      <c r="AD138" s="1561"/>
      <c r="AE138" s="1561"/>
      <c r="AF138" s="1561"/>
      <c r="AG138" s="1561"/>
      <c r="AH138" s="1561"/>
      <c r="AI138" s="1561"/>
      <c r="AJ138" s="1561"/>
      <c r="AK138" s="1561"/>
      <c r="AL138" s="1561"/>
      <c r="AM138" s="1561"/>
      <c r="AN138" s="1561"/>
      <c r="AO138" s="1561"/>
      <c r="AP138" s="1561"/>
      <c r="AQ138" s="1561"/>
      <c r="AR138" s="1561"/>
      <c r="AS138" s="1561"/>
      <c r="AT138" s="1561"/>
      <c r="AU138" s="1561"/>
      <c r="AV138" s="1561"/>
      <c r="AW138" s="1561"/>
      <c r="AX138" s="1561"/>
      <c r="AY138" s="1561"/>
      <c r="AZ138" s="1561"/>
      <c r="BA138" s="1561"/>
      <c r="BB138" s="1561"/>
    </row>
    <row r="139" spans="29:54" s="534" customFormat="1">
      <c r="AC139" s="1561"/>
      <c r="AD139" s="1561"/>
      <c r="AE139" s="1561"/>
      <c r="AF139" s="1561"/>
      <c r="AG139" s="1561"/>
      <c r="AH139" s="1561"/>
      <c r="AI139" s="1561"/>
      <c r="AJ139" s="1561"/>
      <c r="AK139" s="1561"/>
      <c r="AL139" s="1561"/>
      <c r="AM139" s="1561"/>
      <c r="AN139" s="1561"/>
      <c r="AO139" s="1561"/>
      <c r="AP139" s="1561"/>
      <c r="AQ139" s="1561"/>
      <c r="AR139" s="1561"/>
      <c r="AS139" s="1561"/>
      <c r="AT139" s="1561"/>
      <c r="AU139" s="1561"/>
      <c r="AV139" s="1561"/>
      <c r="AW139" s="1561"/>
      <c r="AX139" s="1561"/>
      <c r="AY139" s="1561"/>
      <c r="AZ139" s="1561"/>
      <c r="BA139" s="1561"/>
      <c r="BB139" s="1561"/>
    </row>
    <row r="140" spans="29:54" s="534" customFormat="1">
      <c r="AC140" s="1561"/>
      <c r="AD140" s="1561"/>
      <c r="AE140" s="1561"/>
      <c r="AF140" s="1561"/>
      <c r="AG140" s="1561"/>
      <c r="AH140" s="1561"/>
      <c r="AI140" s="1561"/>
      <c r="AJ140" s="1561"/>
      <c r="AK140" s="1561"/>
      <c r="AL140" s="1561"/>
      <c r="AM140" s="1561"/>
      <c r="AN140" s="1561"/>
      <c r="AO140" s="1561"/>
      <c r="AP140" s="1561"/>
      <c r="AQ140" s="1561"/>
      <c r="AR140" s="1561"/>
      <c r="AS140" s="1561"/>
      <c r="AT140" s="1561"/>
      <c r="AU140" s="1561"/>
      <c r="AV140" s="1561"/>
      <c r="AW140" s="1561"/>
      <c r="AX140" s="1561"/>
      <c r="AY140" s="1561"/>
      <c r="AZ140" s="1561"/>
      <c r="BA140" s="1561"/>
      <c r="BB140" s="1561"/>
    </row>
    <row r="141" spans="29:54" s="534" customFormat="1">
      <c r="AC141" s="1561"/>
      <c r="AD141" s="1561"/>
      <c r="AE141" s="1561"/>
      <c r="AF141" s="1561"/>
      <c r="AG141" s="1561"/>
      <c r="AH141" s="1561"/>
      <c r="AI141" s="1561"/>
      <c r="AJ141" s="1561"/>
      <c r="AK141" s="1561"/>
      <c r="AL141" s="1561"/>
      <c r="AM141" s="1561"/>
      <c r="AN141" s="1561"/>
      <c r="AO141" s="1561"/>
      <c r="AP141" s="1561"/>
      <c r="AQ141" s="1561"/>
      <c r="AR141" s="1561"/>
      <c r="AS141" s="1561"/>
      <c r="AT141" s="1561"/>
      <c r="AU141" s="1561"/>
      <c r="AV141" s="1561"/>
      <c r="AW141" s="1561"/>
      <c r="AX141" s="1561"/>
      <c r="AY141" s="1561"/>
      <c r="AZ141" s="1561"/>
      <c r="BA141" s="1561"/>
      <c r="BB141" s="1561"/>
    </row>
    <row r="142" spans="29:54" s="534" customFormat="1">
      <c r="AC142" s="1561"/>
      <c r="AD142" s="1561"/>
      <c r="AE142" s="1561"/>
      <c r="AF142" s="1561"/>
      <c r="AG142" s="1561"/>
      <c r="AH142" s="1561"/>
      <c r="AI142" s="1561"/>
      <c r="AJ142" s="1561"/>
      <c r="AK142" s="1561"/>
      <c r="AL142" s="1561"/>
      <c r="AM142" s="1561"/>
      <c r="AN142" s="1561"/>
      <c r="AO142" s="1561"/>
      <c r="AP142" s="1561"/>
      <c r="AQ142" s="1561"/>
      <c r="AR142" s="1561"/>
      <c r="AS142" s="1561"/>
      <c r="AT142" s="1561"/>
      <c r="AU142" s="1561"/>
      <c r="AV142" s="1561"/>
      <c r="AW142" s="1561"/>
      <c r="AX142" s="1561"/>
      <c r="AY142" s="1561"/>
      <c r="AZ142" s="1561"/>
      <c r="BA142" s="1561"/>
      <c r="BB142" s="1561"/>
    </row>
    <row r="143" spans="29:54" s="534" customFormat="1">
      <c r="AC143" s="1561"/>
      <c r="AD143" s="1561"/>
      <c r="AE143" s="1561"/>
      <c r="AF143" s="1561"/>
      <c r="AG143" s="1561"/>
      <c r="AH143" s="1561"/>
      <c r="AI143" s="1561"/>
      <c r="AJ143" s="1561"/>
      <c r="AK143" s="1561"/>
      <c r="AL143" s="1561"/>
      <c r="AM143" s="1561"/>
      <c r="AN143" s="1561"/>
      <c r="AO143" s="1561"/>
      <c r="AP143" s="1561"/>
      <c r="AQ143" s="1561"/>
      <c r="AR143" s="1561"/>
      <c r="AS143" s="1561"/>
      <c r="AT143" s="1561"/>
      <c r="AU143" s="1561"/>
      <c r="AV143" s="1561"/>
      <c r="AW143" s="1561"/>
      <c r="AX143" s="1561"/>
      <c r="AY143" s="1561"/>
      <c r="AZ143" s="1561"/>
      <c r="BA143" s="1561"/>
      <c r="BB143" s="1561"/>
    </row>
    <row r="144" spans="29:54" s="534" customFormat="1">
      <c r="AC144" s="1561"/>
      <c r="AD144" s="1561"/>
      <c r="AE144" s="1561"/>
      <c r="AF144" s="1561"/>
      <c r="AG144" s="1561"/>
      <c r="AH144" s="1561"/>
      <c r="AI144" s="1561"/>
      <c r="AJ144" s="1561"/>
      <c r="AK144" s="1561"/>
      <c r="AL144" s="1561"/>
      <c r="AM144" s="1561"/>
      <c r="AN144" s="1561"/>
      <c r="AO144" s="1561"/>
      <c r="AP144" s="1561"/>
      <c r="AQ144" s="1561"/>
      <c r="AR144" s="1561"/>
      <c r="AS144" s="1561"/>
      <c r="AT144" s="1561"/>
      <c r="AU144" s="1561"/>
      <c r="AV144" s="1561"/>
      <c r="AW144" s="1561"/>
      <c r="AX144" s="1561"/>
      <c r="AY144" s="1561"/>
      <c r="AZ144" s="1561"/>
      <c r="BA144" s="1561"/>
      <c r="BB144" s="1561"/>
    </row>
    <row r="145" spans="2:54" s="534" customFormat="1">
      <c r="AC145" s="1561"/>
      <c r="AD145" s="1561"/>
      <c r="AE145" s="1561"/>
      <c r="AF145" s="1561"/>
      <c r="AG145" s="1561"/>
      <c r="AH145" s="1561"/>
      <c r="AI145" s="1561"/>
      <c r="AJ145" s="1561"/>
      <c r="AK145" s="1561"/>
      <c r="AL145" s="1561"/>
      <c r="AM145" s="1561"/>
      <c r="AN145" s="1561"/>
      <c r="AO145" s="1561"/>
      <c r="AP145" s="1561"/>
      <c r="AQ145" s="1561"/>
      <c r="AR145" s="1561"/>
      <c r="AS145" s="1561"/>
      <c r="AT145" s="1561"/>
      <c r="AU145" s="1561"/>
      <c r="AV145" s="1561"/>
      <c r="AW145" s="1561"/>
      <c r="AX145" s="1561"/>
      <c r="AY145" s="1561"/>
      <c r="AZ145" s="1561"/>
      <c r="BA145" s="1561"/>
      <c r="BB145" s="1561"/>
    </row>
    <row r="146" spans="2:54" s="534" customFormat="1">
      <c r="AC146" s="1561"/>
      <c r="AD146" s="1561"/>
      <c r="AE146" s="1561"/>
      <c r="AF146" s="1561"/>
      <c r="AG146" s="1561"/>
      <c r="AH146" s="1561"/>
      <c r="AI146" s="1561"/>
      <c r="AJ146" s="1561"/>
      <c r="AK146" s="1561"/>
      <c r="AL146" s="1561"/>
      <c r="AM146" s="1561"/>
      <c r="AN146" s="1561"/>
      <c r="AO146" s="1561"/>
      <c r="AP146" s="1561"/>
      <c r="AQ146" s="1561"/>
      <c r="AR146" s="1561"/>
      <c r="AS146" s="1561"/>
      <c r="AT146" s="1561"/>
      <c r="AU146" s="1561"/>
      <c r="AV146" s="1561"/>
      <c r="AW146" s="1561"/>
      <c r="AX146" s="1561"/>
      <c r="AY146" s="1561"/>
      <c r="AZ146" s="1561"/>
      <c r="BA146" s="1561"/>
      <c r="BB146" s="1561"/>
    </row>
    <row r="147" spans="2:54" s="534" customFormat="1">
      <c r="AC147" s="1561"/>
      <c r="AD147" s="1561"/>
      <c r="AE147" s="1561"/>
      <c r="AF147" s="1561"/>
      <c r="AG147" s="1561"/>
      <c r="AH147" s="1561"/>
      <c r="AI147" s="1561"/>
      <c r="AJ147" s="1561"/>
      <c r="AK147" s="1561"/>
      <c r="AL147" s="1561"/>
      <c r="AM147" s="1561"/>
      <c r="AN147" s="1561"/>
      <c r="AO147" s="1561"/>
      <c r="AP147" s="1561"/>
      <c r="AQ147" s="1561"/>
      <c r="AR147" s="1561"/>
      <c r="AS147" s="1561"/>
      <c r="AT147" s="1561"/>
      <c r="AU147" s="1561"/>
      <c r="AV147" s="1561"/>
      <c r="AW147" s="1561"/>
      <c r="AX147" s="1561"/>
      <c r="AY147" s="1561"/>
      <c r="AZ147" s="1561"/>
      <c r="BA147" s="1561"/>
      <c r="BB147" s="1561"/>
    </row>
    <row r="148" spans="2:54" s="534" customFormat="1">
      <c r="AC148" s="1561"/>
      <c r="AD148" s="1561"/>
      <c r="AE148" s="1561"/>
      <c r="AF148" s="1561"/>
      <c r="AG148" s="1561"/>
      <c r="AH148" s="1561"/>
      <c r="AI148" s="1561"/>
      <c r="AJ148" s="1561"/>
      <c r="AK148" s="1561"/>
      <c r="AL148" s="1561"/>
      <c r="AM148" s="1561"/>
      <c r="AN148" s="1561"/>
      <c r="AO148" s="1561"/>
      <c r="AP148" s="1561"/>
      <c r="AQ148" s="1561"/>
      <c r="AR148" s="1561"/>
      <c r="AS148" s="1561"/>
      <c r="AT148" s="1561"/>
      <c r="AU148" s="1561"/>
      <c r="AV148" s="1561"/>
      <c r="AW148" s="1561"/>
      <c r="AX148" s="1561"/>
      <c r="AY148" s="1561"/>
      <c r="AZ148" s="1561"/>
      <c r="BA148" s="1561"/>
      <c r="BB148" s="1561"/>
    </row>
    <row r="149" spans="2:54" s="534" customFormat="1">
      <c r="AC149" s="1561"/>
      <c r="AD149" s="1561"/>
      <c r="AE149" s="1561"/>
      <c r="AF149" s="1561"/>
      <c r="AG149" s="1561"/>
      <c r="AH149" s="1561"/>
      <c r="AI149" s="1561"/>
      <c r="AJ149" s="1561"/>
      <c r="AK149" s="1561"/>
      <c r="AL149" s="1561"/>
      <c r="AM149" s="1561"/>
      <c r="AN149" s="1561"/>
      <c r="AO149" s="1561"/>
      <c r="AP149" s="1561"/>
      <c r="AQ149" s="1561"/>
      <c r="AR149" s="1561"/>
      <c r="AS149" s="1561"/>
      <c r="AT149" s="1561"/>
      <c r="AU149" s="1561"/>
      <c r="AV149" s="1561"/>
      <c r="AW149" s="1561"/>
      <c r="AX149" s="1561"/>
      <c r="AY149" s="1561"/>
      <c r="AZ149" s="1561"/>
      <c r="BA149" s="1561"/>
      <c r="BB149" s="1561"/>
    </row>
    <row r="150" spans="2:54" s="534" customFormat="1">
      <c r="AC150" s="1561"/>
      <c r="AD150" s="1561"/>
      <c r="AE150" s="1561"/>
      <c r="AF150" s="1561"/>
      <c r="AG150" s="1561"/>
      <c r="AH150" s="1561"/>
      <c r="AI150" s="1561"/>
      <c r="AJ150" s="1561"/>
      <c r="AK150" s="1561"/>
      <c r="AL150" s="1561"/>
      <c r="AM150" s="1561"/>
      <c r="AN150" s="1561"/>
      <c r="AO150" s="1561"/>
      <c r="AP150" s="1561"/>
      <c r="AQ150" s="1561"/>
      <c r="AR150" s="1561"/>
      <c r="AS150" s="1561"/>
      <c r="AT150" s="1561"/>
      <c r="AU150" s="1561"/>
      <c r="AV150" s="1561"/>
      <c r="AW150" s="1561"/>
      <c r="AX150" s="1561"/>
      <c r="AY150" s="1561"/>
      <c r="AZ150" s="1561"/>
      <c r="BA150" s="1561"/>
      <c r="BB150" s="1561"/>
    </row>
    <row r="151" spans="2:54" s="534" customFormat="1">
      <c r="AC151" s="1561"/>
      <c r="AD151" s="1561"/>
      <c r="AE151" s="1561"/>
      <c r="AF151" s="1561"/>
      <c r="AG151" s="1561"/>
      <c r="AH151" s="1561"/>
      <c r="AI151" s="1561"/>
      <c r="AJ151" s="1561"/>
      <c r="AK151" s="1561"/>
      <c r="AL151" s="1561"/>
      <c r="AM151" s="1561"/>
      <c r="AN151" s="1561"/>
      <c r="AO151" s="1561"/>
      <c r="AP151" s="1561"/>
      <c r="AQ151" s="1561"/>
      <c r="AR151" s="1561"/>
      <c r="AS151" s="1561"/>
      <c r="AT151" s="1561"/>
      <c r="AU151" s="1561"/>
      <c r="AV151" s="1561"/>
      <c r="AW151" s="1561"/>
      <c r="AX151" s="1561"/>
      <c r="AY151" s="1561"/>
      <c r="AZ151" s="1561"/>
      <c r="BA151" s="1561"/>
      <c r="BB151" s="1561"/>
    </row>
    <row r="152" spans="2:54" s="534" customFormat="1">
      <c r="AC152" s="1561"/>
      <c r="AD152" s="1561"/>
      <c r="AE152" s="1561"/>
      <c r="AF152" s="1561"/>
      <c r="AG152" s="1561"/>
      <c r="AH152" s="1561"/>
      <c r="AI152" s="1561"/>
      <c r="AJ152" s="1561"/>
      <c r="AK152" s="1561"/>
      <c r="AL152" s="1561"/>
      <c r="AM152" s="1561"/>
      <c r="AN152" s="1561"/>
      <c r="AO152" s="1561"/>
      <c r="AP152" s="1561"/>
      <c r="AQ152" s="1561"/>
      <c r="AR152" s="1561"/>
      <c r="AS152" s="1561"/>
      <c r="AT152" s="1561"/>
      <c r="AU152" s="1561"/>
      <c r="AV152" s="1561"/>
      <c r="AW152" s="1561"/>
      <c r="AX152" s="1561"/>
      <c r="AY152" s="1561"/>
      <c r="AZ152" s="1561"/>
      <c r="BA152" s="1561"/>
      <c r="BB152" s="1561"/>
    </row>
    <row r="153" spans="2:54" s="534" customFormat="1">
      <c r="AC153" s="1561"/>
      <c r="AD153" s="1561"/>
      <c r="AE153" s="1561"/>
      <c r="AF153" s="1561"/>
      <c r="AG153" s="1561"/>
      <c r="AH153" s="1561"/>
      <c r="AI153" s="1561"/>
      <c r="AJ153" s="1561"/>
      <c r="AK153" s="1561"/>
      <c r="AL153" s="1561"/>
      <c r="AM153" s="1561"/>
      <c r="AN153" s="1561"/>
      <c r="AO153" s="1561"/>
      <c r="AP153" s="1561"/>
      <c r="AQ153" s="1561"/>
      <c r="AR153" s="1561"/>
      <c r="AS153" s="1561"/>
      <c r="AT153" s="1561"/>
      <c r="AU153" s="1561"/>
      <c r="AV153" s="1561"/>
      <c r="AW153" s="1561"/>
      <c r="AX153" s="1561"/>
      <c r="AY153" s="1561"/>
      <c r="AZ153" s="1561"/>
      <c r="BA153" s="1561"/>
      <c r="BB153" s="1561"/>
    </row>
    <row r="154" spans="2:54" s="534" customFormat="1">
      <c r="AC154" s="1561"/>
      <c r="AD154" s="1561"/>
      <c r="AE154" s="1561"/>
      <c r="AF154" s="1561"/>
      <c r="AG154" s="1561"/>
      <c r="AH154" s="1561"/>
      <c r="AI154" s="1561"/>
      <c r="AJ154" s="1561"/>
      <c r="AK154" s="1561"/>
      <c r="AL154" s="1561"/>
      <c r="AM154" s="1561"/>
      <c r="AN154" s="1561"/>
      <c r="AO154" s="1561"/>
      <c r="AP154" s="1561"/>
      <c r="AQ154" s="1561"/>
      <c r="AR154" s="1561"/>
      <c r="AS154" s="1561"/>
      <c r="AT154" s="1561"/>
      <c r="AU154" s="1561"/>
      <c r="AV154" s="1561"/>
      <c r="AW154" s="1561"/>
      <c r="AX154" s="1561"/>
      <c r="AY154" s="1561"/>
      <c r="AZ154" s="1561"/>
      <c r="BA154" s="1561"/>
      <c r="BB154" s="1561"/>
    </row>
    <row r="155" spans="2:54" s="534" customFormat="1">
      <c r="AC155" s="1561"/>
      <c r="AD155" s="1561"/>
      <c r="AE155" s="1561"/>
      <c r="AF155" s="1561"/>
      <c r="AG155" s="1561"/>
      <c r="AH155" s="1561"/>
      <c r="AI155" s="1561"/>
      <c r="AJ155" s="1561"/>
      <c r="AK155" s="1561"/>
      <c r="AL155" s="1561"/>
      <c r="AM155" s="1561"/>
      <c r="AN155" s="1561"/>
      <c r="AO155" s="1561"/>
      <c r="AP155" s="1561"/>
      <c r="AQ155" s="1561"/>
      <c r="AR155" s="1561"/>
      <c r="AS155" s="1561"/>
      <c r="AT155" s="1561"/>
      <c r="AU155" s="1561"/>
      <c r="AV155" s="1561"/>
      <c r="AW155" s="1561"/>
      <c r="AX155" s="1561"/>
      <c r="AY155" s="1561"/>
      <c r="AZ155" s="1561"/>
      <c r="BA155" s="1561"/>
      <c r="BB155" s="1561"/>
    </row>
    <row r="156" spans="2:54" s="534" customFormat="1">
      <c r="AC156" s="1561"/>
      <c r="AD156" s="1561"/>
      <c r="AE156" s="1561"/>
      <c r="AF156" s="1561"/>
      <c r="AG156" s="1561"/>
      <c r="AH156" s="1561"/>
      <c r="AI156" s="1561"/>
      <c r="AJ156" s="1561"/>
      <c r="AK156" s="1561"/>
      <c r="AL156" s="1561"/>
      <c r="AM156" s="1561"/>
      <c r="AN156" s="1561"/>
      <c r="AO156" s="1561"/>
      <c r="AP156" s="1561"/>
      <c r="AQ156" s="1561"/>
      <c r="AR156" s="1561"/>
      <c r="AS156" s="1561"/>
      <c r="AT156" s="1561"/>
      <c r="AU156" s="1561"/>
      <c r="AV156" s="1561"/>
      <c r="AW156" s="1561"/>
      <c r="AX156" s="1561"/>
      <c r="AY156" s="1561"/>
      <c r="AZ156" s="1561"/>
      <c r="BA156" s="1561"/>
      <c r="BB156" s="1561"/>
    </row>
    <row r="157" spans="2:54" s="534" customFormat="1">
      <c r="AC157" s="1561"/>
      <c r="AD157" s="1561"/>
      <c r="AE157" s="1561"/>
      <c r="AF157" s="1561"/>
      <c r="AG157" s="1561"/>
      <c r="AH157" s="1561"/>
      <c r="AI157" s="1561"/>
      <c r="AJ157" s="1561"/>
      <c r="AK157" s="1561"/>
      <c r="AL157" s="1561"/>
      <c r="AM157" s="1561"/>
      <c r="AN157" s="1561"/>
      <c r="AO157" s="1561"/>
      <c r="AP157" s="1561"/>
      <c r="AQ157" s="1561"/>
      <c r="AR157" s="1561"/>
      <c r="AS157" s="1561"/>
      <c r="AT157" s="1561"/>
      <c r="AU157" s="1561"/>
      <c r="AV157" s="1561"/>
      <c r="AW157" s="1561"/>
      <c r="AX157" s="1561"/>
      <c r="AY157" s="1561"/>
      <c r="AZ157" s="1561"/>
      <c r="BA157" s="1561"/>
      <c r="BB157" s="1561"/>
    </row>
    <row r="158" spans="2:54"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</row>
  </sheetData>
  <mergeCells count="1">
    <mergeCell ref="E21:F21"/>
  </mergeCells>
  <pageMargins left="0.75" right="0.75" top="1" bottom="1" header="0.5" footer="0.5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B1:AE37"/>
  <sheetViews>
    <sheetView topLeftCell="A7" zoomScale="82" zoomScaleNormal="82" workbookViewId="0">
      <selection activeCell="F34" sqref="F34"/>
    </sheetView>
  </sheetViews>
  <sheetFormatPr defaultRowHeight="12.75" outlineLevelCol="1"/>
  <cols>
    <col min="1" max="1" width="2.28515625" customWidth="1"/>
    <col min="2" max="2" width="46.5703125" customWidth="1"/>
    <col min="3" max="3" width="13.42578125" customWidth="1"/>
    <col min="4" max="4" width="27.5703125" customWidth="1"/>
    <col min="5" max="5" width="12.28515625" customWidth="1"/>
    <col min="6" max="6" width="13.5703125" customWidth="1"/>
    <col min="7" max="7" width="22.28515625" bestFit="1" customWidth="1"/>
    <col min="8" max="8" width="12.140625" customWidth="1"/>
    <col min="9" max="9" width="13.28515625" customWidth="1"/>
    <col min="10" max="10" width="13.85546875" customWidth="1"/>
    <col min="11" max="11" width="12.85546875" customWidth="1"/>
    <col min="12" max="12" width="12.42578125" customWidth="1"/>
    <col min="13" max="13" width="10.5703125" bestFit="1" customWidth="1"/>
    <col min="14" max="14" width="12.85546875" customWidth="1"/>
    <col min="15" max="15" width="13.140625" bestFit="1" customWidth="1"/>
    <col min="17" max="17" width="13.42578125" customWidth="1" outlineLevel="1"/>
    <col min="18" max="29" width="9.140625" customWidth="1" outlineLevel="1"/>
  </cols>
  <sheetData>
    <row r="1" spans="2:31">
      <c r="B1" s="567" t="s">
        <v>29</v>
      </c>
      <c r="D1" t="b">
        <f>D2=D5</f>
        <v>1</v>
      </c>
    </row>
    <row r="2" spans="2:31">
      <c r="B2" s="567" t="s">
        <v>1468</v>
      </c>
      <c r="D2" s="24">
        <f>выручка2017!E14</f>
        <v>1328694.5900000001</v>
      </c>
    </row>
    <row r="3" spans="2:31">
      <c r="B3" s="568"/>
      <c r="C3" s="568"/>
      <c r="D3" s="569"/>
      <c r="E3" s="568"/>
      <c r="F3" s="568"/>
      <c r="G3" s="570" t="s">
        <v>38</v>
      </c>
      <c r="Q3" s="573" t="s">
        <v>2887</v>
      </c>
      <c r="AD3" s="3369"/>
      <c r="AE3" s="3370"/>
    </row>
    <row r="4" spans="2:31" ht="24" customHeight="1">
      <c r="B4" s="556" t="s">
        <v>35</v>
      </c>
      <c r="C4" s="557" t="s">
        <v>2931</v>
      </c>
      <c r="D4" s="558" t="s">
        <v>2932</v>
      </c>
      <c r="E4" s="558" t="s">
        <v>2933</v>
      </c>
      <c r="F4" s="558" t="s">
        <v>2934</v>
      </c>
      <c r="G4" s="558" t="s">
        <v>2935</v>
      </c>
      <c r="H4" s="558">
        <v>23</v>
      </c>
      <c r="I4" s="558">
        <v>25</v>
      </c>
      <c r="J4" s="558">
        <v>26</v>
      </c>
      <c r="K4" s="558"/>
      <c r="L4" s="558">
        <v>69</v>
      </c>
      <c r="M4" s="558">
        <v>70</v>
      </c>
      <c r="N4" s="558">
        <v>79</v>
      </c>
      <c r="O4" s="558" t="s">
        <v>39</v>
      </c>
      <c r="Q4" s="573" t="s">
        <v>2941</v>
      </c>
      <c r="S4" s="571"/>
    </row>
    <row r="5" spans="2:31" ht="24">
      <c r="B5" s="559" t="s">
        <v>1512</v>
      </c>
      <c r="C5" s="560"/>
      <c r="D5" s="561">
        <f>D6+D9+D10</f>
        <v>1328694.5899999999</v>
      </c>
      <c r="E5" s="561">
        <f>E6+E9+E10</f>
        <v>0</v>
      </c>
      <c r="F5" s="561">
        <v>1126012.3644067796</v>
      </c>
      <c r="G5" s="561">
        <v>6114158.4900000002</v>
      </c>
      <c r="H5" s="561">
        <v>51758.76</v>
      </c>
      <c r="I5" s="561">
        <v>5737368.71</v>
      </c>
      <c r="J5" s="561">
        <v>71743.25</v>
      </c>
      <c r="K5" s="561">
        <v>0</v>
      </c>
      <c r="L5" s="561">
        <v>26585.85</v>
      </c>
      <c r="M5" s="561">
        <v>87455.360000000001</v>
      </c>
      <c r="N5" s="561">
        <v>139246.56</v>
      </c>
      <c r="O5" s="561">
        <v>6114158.4899999993</v>
      </c>
      <c r="Q5" s="573"/>
      <c r="S5" s="572"/>
    </row>
    <row r="6" spans="2:31">
      <c r="B6" s="562" t="s">
        <v>2936</v>
      </c>
      <c r="C6" s="591">
        <f>SUM(C7,C8)</f>
        <v>350</v>
      </c>
      <c r="D6" s="1369">
        <f>выручка2017!AD3</f>
        <v>579119.34</v>
      </c>
      <c r="E6" s="1374"/>
      <c r="F6" s="1369">
        <f>D6/1.18</f>
        <v>490779.10169491527</v>
      </c>
      <c r="G6" s="592">
        <f>O6</f>
        <v>2076287.51</v>
      </c>
      <c r="H6" s="1379">
        <v>51758.76</v>
      </c>
      <c r="I6" s="593">
        <v>1872216.73</v>
      </c>
      <c r="J6" s="593">
        <v>39856.620000000003</v>
      </c>
      <c r="K6" s="1385"/>
      <c r="L6" s="1380">
        <v>26216.16</v>
      </c>
      <c r="M6" s="1380">
        <v>86239.24</v>
      </c>
      <c r="N6" s="1386"/>
      <c r="O6" s="1380">
        <f>SUM(H6:N6)</f>
        <v>2076287.51</v>
      </c>
      <c r="Q6" s="574">
        <f>выручка2017!AH3</f>
        <v>349</v>
      </c>
      <c r="S6" s="576"/>
    </row>
    <row r="7" spans="2:31" ht="15.75" customHeight="1">
      <c r="B7" s="563" t="s">
        <v>2937</v>
      </c>
      <c r="C7" s="1368">
        <v>303</v>
      </c>
      <c r="D7" s="1370">
        <f>выручка2017!AD4</f>
        <v>166650</v>
      </c>
      <c r="E7" s="1375"/>
      <c r="F7" s="1370">
        <f>D7/1.18</f>
        <v>141228.81355932204</v>
      </c>
      <c r="G7" s="594">
        <f>ROUND(G6*выручка2017!AJ4,2)</f>
        <v>1859017.6</v>
      </c>
      <c r="H7" s="594">
        <f>ROUND(H6*выручка2017!$AJ$4,2)</f>
        <v>46342.54</v>
      </c>
      <c r="I7" s="594">
        <f>ROUND(I6*выручка2017!$AJ$4,2)</f>
        <v>1676301.49</v>
      </c>
      <c r="J7" s="594">
        <f>ROUND(J6*выручка2017!$AJ$4,2)</f>
        <v>35685.89</v>
      </c>
      <c r="K7" s="594">
        <f>ROUND(K6*выручка2017!$AJ$4,2)</f>
        <v>0</v>
      </c>
      <c r="L7" s="594">
        <f>ROUND(L6*выручка2017!$AJ$4,2)</f>
        <v>23472.81</v>
      </c>
      <c r="M7" s="594">
        <f>ROUND(M6*выручка2017!$AJ$4,2)</f>
        <v>77214.87</v>
      </c>
      <c r="N7" s="594">
        <f>ROUND(N6*выручка2017!$AJ$4,2)</f>
        <v>0</v>
      </c>
      <c r="O7" s="1418">
        <f>SUM(H7:N7)</f>
        <v>1859017.6</v>
      </c>
      <c r="P7" s="1421"/>
      <c r="Q7" s="574">
        <f>выручка2017!AH4</f>
        <v>303</v>
      </c>
      <c r="S7" s="577"/>
    </row>
    <row r="8" spans="2:31">
      <c r="B8" s="564" t="s">
        <v>2939</v>
      </c>
      <c r="C8" s="1368">
        <v>47</v>
      </c>
      <c r="D8" s="595">
        <f>D6-D7</f>
        <v>412469.33999999997</v>
      </c>
      <c r="E8" s="1376"/>
      <c r="F8" s="1371">
        <f>D8/1.18</f>
        <v>349550.28813559323</v>
      </c>
      <c r="G8" s="595">
        <f>G6-G7</f>
        <v>217269.90999999992</v>
      </c>
      <c r="H8" s="595">
        <f t="shared" ref="H8:N8" si="0">H6-H7</f>
        <v>5416.2200000000012</v>
      </c>
      <c r="I8" s="595">
        <f t="shared" si="0"/>
        <v>195915.24</v>
      </c>
      <c r="J8" s="595">
        <f t="shared" si="0"/>
        <v>4170.7300000000032</v>
      </c>
      <c r="K8" s="595">
        <f t="shared" si="0"/>
        <v>0</v>
      </c>
      <c r="L8" s="595">
        <f t="shared" si="0"/>
        <v>2743.3499999999985</v>
      </c>
      <c r="M8" s="595">
        <f t="shared" si="0"/>
        <v>9024.3700000000099</v>
      </c>
      <c r="N8" s="595">
        <f t="shared" si="0"/>
        <v>0</v>
      </c>
      <c r="O8" s="1419">
        <f t="shared" ref="O8" si="1">SUM(H8:N8)</f>
        <v>217269.91000000003</v>
      </c>
      <c r="Q8" s="574">
        <f>Q6-Q7</f>
        <v>46</v>
      </c>
      <c r="R8" s="576"/>
      <c r="S8" s="576"/>
    </row>
    <row r="9" spans="2:31">
      <c r="B9" s="562" t="s">
        <v>2915</v>
      </c>
      <c r="C9" s="1374">
        <v>7</v>
      </c>
      <c r="D9" s="1369">
        <f>выручка2017!E1034</f>
        <v>715066.32</v>
      </c>
      <c r="E9" s="1374"/>
      <c r="F9" s="1369">
        <f>D9/1.18</f>
        <v>605988.40677966096</v>
      </c>
      <c r="G9" s="592">
        <f>O9</f>
        <v>231993.94</v>
      </c>
      <c r="H9" s="1381"/>
      <c r="I9" s="596">
        <v>64304.83</v>
      </c>
      <c r="J9" s="593">
        <v>27101.919999999998</v>
      </c>
      <c r="K9" s="1385"/>
      <c r="L9" s="1380">
        <v>312.54000000000002</v>
      </c>
      <c r="M9" s="1380">
        <v>1028.0899999999999</v>
      </c>
      <c r="N9" s="1380">
        <v>139246.56</v>
      </c>
      <c r="O9" s="1380">
        <f>SUM(H9:N9)</f>
        <v>231993.94</v>
      </c>
      <c r="Q9" s="575"/>
      <c r="R9" s="576"/>
      <c r="S9" s="576"/>
    </row>
    <row r="10" spans="2:31">
      <c r="B10" s="565" t="s">
        <v>1465</v>
      </c>
      <c r="C10" s="1377">
        <v>2</v>
      </c>
      <c r="D10" s="1373">
        <f>выручка2017!E1074</f>
        <v>34508.93</v>
      </c>
      <c r="E10" s="1377"/>
      <c r="F10" s="1373">
        <f>D10/1.18</f>
        <v>29244.855932203391</v>
      </c>
      <c r="G10" s="592">
        <f>O10</f>
        <v>3805877.0399999996</v>
      </c>
      <c r="H10" s="1381"/>
      <c r="I10" s="596">
        <v>3800847.15</v>
      </c>
      <c r="J10" s="593">
        <v>4784.71</v>
      </c>
      <c r="K10" s="1385"/>
      <c r="L10" s="1380">
        <v>57.15</v>
      </c>
      <c r="M10" s="1380">
        <v>188.03</v>
      </c>
      <c r="N10" s="1380"/>
      <c r="O10" s="1380">
        <f>SUM(H10:N10)</f>
        <v>3805877.0399999996</v>
      </c>
      <c r="S10" s="572"/>
    </row>
    <row r="11" spans="2:31">
      <c r="B11" s="565" t="s">
        <v>2940</v>
      </c>
      <c r="C11" s="1377"/>
      <c r="D11" s="1373"/>
      <c r="E11" s="1377"/>
      <c r="F11" s="1373"/>
      <c r="G11" s="597"/>
      <c r="H11" s="1382"/>
      <c r="I11" s="1383"/>
      <c r="J11" s="1383"/>
      <c r="K11" s="1389"/>
      <c r="L11" s="1388"/>
      <c r="M11" s="1388"/>
      <c r="N11" s="1387"/>
      <c r="O11" s="1384"/>
      <c r="S11" s="572"/>
    </row>
    <row r="12" spans="2:31">
      <c r="B12" s="566" t="s">
        <v>21</v>
      </c>
      <c r="C12" s="598">
        <f>SUM(C6,C9,C10,C11)</f>
        <v>359</v>
      </c>
      <c r="D12" s="598">
        <f t="shared" ref="D12:O12" si="2">SUM(D6,D9,D10,D11)</f>
        <v>1328694.5899999999</v>
      </c>
      <c r="E12" s="1378">
        <f t="shared" si="2"/>
        <v>0</v>
      </c>
      <c r="F12" s="598">
        <f t="shared" si="2"/>
        <v>1126012.3644067796</v>
      </c>
      <c r="G12" s="598">
        <f t="shared" si="2"/>
        <v>6114158.4900000002</v>
      </c>
      <c r="H12" s="598">
        <f t="shared" si="2"/>
        <v>51758.76</v>
      </c>
      <c r="I12" s="598">
        <f t="shared" si="2"/>
        <v>5737368.71</v>
      </c>
      <c r="J12" s="598">
        <f t="shared" si="2"/>
        <v>71743.250000000015</v>
      </c>
      <c r="K12" s="1372">
        <f t="shared" si="2"/>
        <v>0</v>
      </c>
      <c r="L12" s="598">
        <f t="shared" si="2"/>
        <v>26585.850000000002</v>
      </c>
      <c r="M12" s="598">
        <f t="shared" si="2"/>
        <v>87455.360000000001</v>
      </c>
      <c r="N12" s="598">
        <f t="shared" si="2"/>
        <v>139246.56</v>
      </c>
      <c r="O12" s="598">
        <f t="shared" si="2"/>
        <v>6114158.4900000002</v>
      </c>
      <c r="S12" s="572"/>
    </row>
    <row r="13" spans="2:31">
      <c r="B13" s="534"/>
    </row>
    <row r="14" spans="2:31">
      <c r="B14" s="533" t="s">
        <v>2907</v>
      </c>
    </row>
    <row r="17" spans="2:14" ht="22.5" customHeight="1">
      <c r="C17" s="535"/>
      <c r="D17" s="535"/>
      <c r="E17" s="3367" t="s">
        <v>2908</v>
      </c>
      <c r="F17" s="3368"/>
      <c r="G17" s="536"/>
      <c r="H17" s="536"/>
      <c r="I17" s="536"/>
      <c r="J17" s="536"/>
      <c r="K17" s="536"/>
      <c r="L17" s="536"/>
      <c r="M17" s="537"/>
      <c r="N17" s="536"/>
    </row>
    <row r="18" spans="2:14" ht="38.25">
      <c r="B18" s="538" t="s">
        <v>2909</v>
      </c>
      <c r="C18" s="539" t="s">
        <v>2930</v>
      </c>
      <c r="D18" s="540"/>
      <c r="E18" s="539" t="s">
        <v>2910</v>
      </c>
      <c r="F18" s="539" t="s">
        <v>2911</v>
      </c>
      <c r="G18" s="539" t="s">
        <v>2912</v>
      </c>
      <c r="H18" s="541" t="s">
        <v>2913</v>
      </c>
      <c r="I18" s="542" t="s">
        <v>2914</v>
      </c>
      <c r="J18" s="542" t="s">
        <v>2915</v>
      </c>
      <c r="K18" s="542" t="s">
        <v>1465</v>
      </c>
      <c r="L18" s="542" t="s">
        <v>2916</v>
      </c>
      <c r="M18" s="537"/>
    </row>
    <row r="19" spans="2:14">
      <c r="B19" s="543" t="s">
        <v>2917</v>
      </c>
      <c r="C19" s="578">
        <f>F5/1000</f>
        <v>1126.0123644067796</v>
      </c>
      <c r="D19" s="554"/>
      <c r="E19" s="588">
        <f>C19-F19</f>
        <v>1126.0123644067796</v>
      </c>
      <c r="F19" s="586">
        <f>F14</f>
        <v>0</v>
      </c>
      <c r="G19" s="588">
        <f>E19-H19</f>
        <v>984.7835508474576</v>
      </c>
      <c r="H19" s="588">
        <f>F7/1000</f>
        <v>141.22881355932205</v>
      </c>
      <c r="I19" s="588">
        <f>F8/1000</f>
        <v>349.55028813559323</v>
      </c>
      <c r="J19" s="588">
        <f>F9/1000</f>
        <v>605.98840677966098</v>
      </c>
      <c r="K19" s="588">
        <f>F10/1000</f>
        <v>29.244855932203389</v>
      </c>
      <c r="L19" s="588"/>
    </row>
    <row r="20" spans="2:14">
      <c r="B20" s="544" t="s">
        <v>2918</v>
      </c>
      <c r="C20" s="579">
        <f>G5/1000</f>
        <v>6114.1584899999998</v>
      </c>
      <c r="D20" s="555"/>
      <c r="E20" s="589">
        <f t="shared" ref="E20:E29" si="3">C20-F20</f>
        <v>6114.1584899999998</v>
      </c>
      <c r="F20" s="585">
        <f>IFERROR(F14/F15*G15/1000,0)</f>
        <v>0</v>
      </c>
      <c r="G20" s="589">
        <f>E20-H20</f>
        <v>4255.1408899999997</v>
      </c>
      <c r="H20" s="589">
        <f>G7/1000</f>
        <v>1859.0176000000001</v>
      </c>
      <c r="I20" s="1422">
        <f>G8/1000</f>
        <v>217.26990999999992</v>
      </c>
      <c r="J20" s="589">
        <f>G9/1000</f>
        <v>231.99394000000001</v>
      </c>
      <c r="K20" s="589">
        <f>G10/1000</f>
        <v>3805.8770399999994</v>
      </c>
      <c r="L20" s="589"/>
    </row>
    <row r="21" spans="2:14" ht="25.5">
      <c r="B21" s="544" t="s">
        <v>2919</v>
      </c>
      <c r="C21" s="580">
        <f>УО2017г!G60</f>
        <v>12.411060000000001</v>
      </c>
      <c r="D21" s="545" t="s">
        <v>2920</v>
      </c>
      <c r="E21" s="587">
        <f>C21-F21</f>
        <v>12.411060000000001</v>
      </c>
      <c r="F21" s="585"/>
      <c r="G21" s="589">
        <f t="shared" ref="G21:G29" si="4">E21-H21</f>
        <v>10.854416987703248</v>
      </c>
      <c r="H21" s="1420">
        <f>$H$19/($C$19)*$C21</f>
        <v>1.5566430122967538</v>
      </c>
      <c r="I21" s="1420">
        <f>$I$19/($C$19)*$C21</f>
        <v>3.8527903744233662</v>
      </c>
      <c r="J21" s="1420">
        <f>$J$19/($C$19)*$C21</f>
        <v>6.6792858707275986</v>
      </c>
      <c r="K21" s="1420">
        <f>$K$19/($C$19)*$C21</f>
        <v>0.32234074255228212</v>
      </c>
      <c r="L21" s="589"/>
    </row>
    <row r="22" spans="2:14">
      <c r="B22" s="544" t="s">
        <v>2921</v>
      </c>
      <c r="C22" s="580">
        <f>УО2017г!G78</f>
        <v>408.21836000000002</v>
      </c>
      <c r="D22" s="546" t="s">
        <v>2922</v>
      </c>
      <c r="E22" s="587">
        <f>C22-F22</f>
        <v>408.21836000000002</v>
      </c>
      <c r="F22" s="585">
        <f>$F$19/$C$19*$C22</f>
        <v>0</v>
      </c>
      <c r="G22" s="589">
        <f>E22-H22</f>
        <v>357.01803886826423</v>
      </c>
      <c r="H22" s="1420">
        <f>$H$19/($C$19)*$C22</f>
        <v>51.200321131735784</v>
      </c>
      <c r="I22" s="1420">
        <f t="shared" ref="I22:I29" si="5">$I$19/($C$19)*$C22</f>
        <v>126.72404839481014</v>
      </c>
      <c r="J22" s="1420">
        <f t="shared" ref="J22:J29" si="6">$J$19/($C$19)*$C22</f>
        <v>219.6917204589771</v>
      </c>
      <c r="K22" s="1420">
        <f t="shared" ref="K22:K29" si="7">$K$19/($C$19)*$C22</f>
        <v>10.602270014476991</v>
      </c>
      <c r="L22" s="589"/>
    </row>
    <row r="23" spans="2:14">
      <c r="B23" s="544" t="s">
        <v>2837</v>
      </c>
      <c r="C23" s="580">
        <f>УО2017г!G95</f>
        <v>772.22167000000002</v>
      </c>
      <c r="D23" s="546" t="s">
        <v>2922</v>
      </c>
      <c r="E23" s="587">
        <f t="shared" si="3"/>
        <v>772.22167000000002</v>
      </c>
      <c r="F23" s="585">
        <f>$F$19/$C$19*$C23</f>
        <v>0</v>
      </c>
      <c r="G23" s="589">
        <f t="shared" si="4"/>
        <v>675.36664983656271</v>
      </c>
      <c r="H23" s="1420">
        <f t="shared" ref="H23:H29" si="8">$H$19/($C$19)*$C23</f>
        <v>96.855020163437274</v>
      </c>
      <c r="I23" s="1420">
        <f t="shared" si="5"/>
        <v>239.72232968796678</v>
      </c>
      <c r="J23" s="1420">
        <f t="shared" si="6"/>
        <v>415.58813586435565</v>
      </c>
      <c r="K23" s="1420">
        <f t="shared" si="7"/>
        <v>20.056184284240295</v>
      </c>
      <c r="L23" s="589"/>
    </row>
    <row r="24" spans="2:14">
      <c r="B24" s="544" t="s">
        <v>2923</v>
      </c>
      <c r="C24" s="580">
        <f>УО2017г!G61+УО2017г!G62</f>
        <v>14.15602</v>
      </c>
      <c r="D24" s="546" t="s">
        <v>2922</v>
      </c>
      <c r="E24" s="587">
        <f t="shared" si="3"/>
        <v>14.15602</v>
      </c>
      <c r="F24" s="585">
        <f t="shared" ref="F24:F26" si="9">$F$19/$C$19*$C24</f>
        <v>0</v>
      </c>
      <c r="G24" s="589">
        <f t="shared" si="4"/>
        <v>12.380517374524569</v>
      </c>
      <c r="H24" s="1420">
        <f t="shared" si="8"/>
        <v>1.77550262547543</v>
      </c>
      <c r="I24" s="1420">
        <f t="shared" si="5"/>
        <v>4.3944818247711845</v>
      </c>
      <c r="J24" s="1420">
        <f t="shared" si="6"/>
        <v>7.6183746087551985</v>
      </c>
      <c r="K24" s="1420">
        <f t="shared" si="7"/>
        <v>0.3676609409981868</v>
      </c>
      <c r="L24" s="589"/>
    </row>
    <row r="25" spans="2:14">
      <c r="B25" s="544" t="s">
        <v>2924</v>
      </c>
      <c r="C25" s="580">
        <f>УО2017г!G79+УО2017г!G80</f>
        <v>148.53002000000001</v>
      </c>
      <c r="D25" s="546" t="s">
        <v>2922</v>
      </c>
      <c r="E25" s="587">
        <f t="shared" si="3"/>
        <v>148.53002000000001</v>
      </c>
      <c r="F25" s="585">
        <f>$F$19/$C$19*$C25</f>
        <v>0</v>
      </c>
      <c r="G25" s="589">
        <f t="shared" si="4"/>
        <v>129.90081203957624</v>
      </c>
      <c r="H25" s="1420">
        <f>$H$19/($C$19)*$C25</f>
        <v>18.629207960423773</v>
      </c>
      <c r="I25" s="1420">
        <f t="shared" si="5"/>
        <v>46.108473520304472</v>
      </c>
      <c r="J25" s="1420">
        <f t="shared" si="6"/>
        <v>79.934708555505139</v>
      </c>
      <c r="K25" s="1420">
        <f t="shared" si="7"/>
        <v>3.8576299637666174</v>
      </c>
      <c r="L25" s="589"/>
    </row>
    <row r="26" spans="2:14">
      <c r="B26" s="544" t="s">
        <v>2925</v>
      </c>
      <c r="C26" s="580"/>
      <c r="D26" s="547"/>
      <c r="E26" s="587">
        <f t="shared" si="3"/>
        <v>0</v>
      </c>
      <c r="F26" s="585">
        <f t="shared" si="9"/>
        <v>0</v>
      </c>
      <c r="G26" s="589">
        <f t="shared" si="4"/>
        <v>0</v>
      </c>
      <c r="H26" s="1420">
        <f t="shared" si="8"/>
        <v>0</v>
      </c>
      <c r="I26" s="1420">
        <f t="shared" si="5"/>
        <v>0</v>
      </c>
      <c r="J26" s="1420">
        <f t="shared" si="6"/>
        <v>0</v>
      </c>
      <c r="K26" s="1420">
        <f t="shared" si="7"/>
        <v>0</v>
      </c>
      <c r="L26" s="589"/>
    </row>
    <row r="27" spans="2:14" ht="25.5">
      <c r="B27" s="544" t="s">
        <v>2926</v>
      </c>
      <c r="C27" s="580"/>
      <c r="D27" s="545" t="s">
        <v>2920</v>
      </c>
      <c r="E27" s="587">
        <f t="shared" si="3"/>
        <v>0</v>
      </c>
      <c r="F27" s="585"/>
      <c r="G27" s="589">
        <f t="shared" si="4"/>
        <v>0</v>
      </c>
      <c r="H27" s="1420">
        <f t="shared" si="8"/>
        <v>0</v>
      </c>
      <c r="I27" s="1420">
        <f t="shared" si="5"/>
        <v>0</v>
      </c>
      <c r="J27" s="1420">
        <f t="shared" si="6"/>
        <v>0</v>
      </c>
      <c r="K27" s="1420">
        <f t="shared" si="7"/>
        <v>0</v>
      </c>
      <c r="L27" s="589"/>
    </row>
    <row r="28" spans="2:14" ht="25.5">
      <c r="B28" s="544" t="s">
        <v>2927</v>
      </c>
      <c r="C28" s="580"/>
      <c r="D28" s="545" t="s">
        <v>2920</v>
      </c>
      <c r="E28" s="587">
        <f t="shared" si="3"/>
        <v>0</v>
      </c>
      <c r="F28" s="585"/>
      <c r="G28" s="589">
        <f t="shared" si="4"/>
        <v>0</v>
      </c>
      <c r="H28" s="1420">
        <f t="shared" si="8"/>
        <v>0</v>
      </c>
      <c r="I28" s="1420">
        <f t="shared" si="5"/>
        <v>0</v>
      </c>
      <c r="J28" s="1420">
        <f t="shared" si="6"/>
        <v>0</v>
      </c>
      <c r="K28" s="1420">
        <f t="shared" si="7"/>
        <v>0</v>
      </c>
      <c r="L28" s="589"/>
    </row>
    <row r="29" spans="2:14" ht="25.5">
      <c r="B29" s="548" t="s">
        <v>2928</v>
      </c>
      <c r="C29" s="580"/>
      <c r="D29" s="549" t="s">
        <v>2920</v>
      </c>
      <c r="E29" s="587">
        <f t="shared" si="3"/>
        <v>0</v>
      </c>
      <c r="F29" s="585"/>
      <c r="G29" s="589">
        <f t="shared" si="4"/>
        <v>0</v>
      </c>
      <c r="H29" s="1420">
        <f t="shared" si="8"/>
        <v>0</v>
      </c>
      <c r="I29" s="1420">
        <f t="shared" si="5"/>
        <v>0</v>
      </c>
      <c r="J29" s="1420">
        <f t="shared" si="6"/>
        <v>0</v>
      </c>
      <c r="K29" s="1420">
        <f t="shared" si="7"/>
        <v>0</v>
      </c>
      <c r="L29" s="590"/>
    </row>
    <row r="30" spans="2:14" ht="13.5">
      <c r="B30" s="550" t="s">
        <v>2929</v>
      </c>
      <c r="C30" s="551">
        <f>C20-C21+C22+C23-C24+C25-C26+C27+C29+C28</f>
        <v>7416.561459999999</v>
      </c>
      <c r="D30" s="552"/>
      <c r="E30" s="551">
        <f>E20-E21+E22+E23-E24+E25-E26+E27+E29+E28</f>
        <v>7416.561459999999</v>
      </c>
      <c r="F30" s="551">
        <f t="shared" ref="F30:L30" si="10">F20-F21+F22+F23-F24+F25-F26+F27+F29+F28</f>
        <v>0</v>
      </c>
      <c r="G30" s="551">
        <f t="shared" si="10"/>
        <v>5394.1914563821747</v>
      </c>
      <c r="H30" s="551">
        <f>H20-H21+H22+H23-H24+H25-H26+H27+H29+H28</f>
        <v>2022.370003617825</v>
      </c>
      <c r="I30" s="553">
        <f t="shared" si="10"/>
        <v>621.57748940388683</v>
      </c>
      <c r="J30" s="553">
        <f t="shared" si="10"/>
        <v>932.91084439935514</v>
      </c>
      <c r="K30" s="553">
        <f t="shared" si="10"/>
        <v>3839.7031225789333</v>
      </c>
      <c r="L30" s="553">
        <f t="shared" si="10"/>
        <v>0</v>
      </c>
      <c r="M30" s="537"/>
    </row>
    <row r="31" spans="2:14" ht="13.5">
      <c r="B31" s="550" t="s">
        <v>2808</v>
      </c>
      <c r="C31" s="553">
        <f>C19-C20+C21-C22-C23+C24-C25+C26-C27-C29-C28</f>
        <v>-6290.5490955932191</v>
      </c>
      <c r="D31" s="553"/>
      <c r="E31" s="553">
        <f t="shared" ref="E31:K31" si="11">E19-E20+E21-E22-E23+E24-E25+E26-E27-E29-E28</f>
        <v>-6290.5490955932191</v>
      </c>
      <c r="F31" s="553">
        <f t="shared" si="11"/>
        <v>0</v>
      </c>
      <c r="G31" s="553">
        <f t="shared" si="11"/>
        <v>-4409.4079055347174</v>
      </c>
      <c r="H31" s="553">
        <f t="shared" si="11"/>
        <v>-1881.1411900585028</v>
      </c>
      <c r="I31" s="553">
        <f t="shared" si="11"/>
        <v>-272.02720126829354</v>
      </c>
      <c r="J31" s="553">
        <f t="shared" si="11"/>
        <v>-326.92243761969411</v>
      </c>
      <c r="K31" s="553">
        <f t="shared" si="11"/>
        <v>-3810.45826664673</v>
      </c>
      <c r="L31" s="553">
        <f t="shared" ref="L31" si="12">L19-L20+L21-L22-L23+L24-L25+L26-L27-L29-L28</f>
        <v>0</v>
      </c>
      <c r="M31" s="537"/>
    </row>
    <row r="33" spans="2:14">
      <c r="H33" s="1421">
        <f>H20-H21+H22-H23+H24-H25</f>
        <v>1794.9525526210534</v>
      </c>
    </row>
    <row r="34" spans="2:14">
      <c r="C34" s="1421">
        <f>'СС2017 '!C207</f>
        <v>182954.85</v>
      </c>
      <c r="E34">
        <f>C34</f>
        <v>182954.85</v>
      </c>
      <c r="F34" s="1421">
        <f>E34-H34</f>
        <v>160007.94709095752</v>
      </c>
      <c r="H34" s="1421">
        <f>$H$19/($C$19)*$C34</f>
        <v>22946.902909042477</v>
      </c>
      <c r="I34" s="1421">
        <f>$I$19/($C$19)*$C34</f>
        <v>56795.042891910176</v>
      </c>
      <c r="J34" s="1421">
        <f>$J$19/($C$19)*$C34</f>
        <v>98461.190630460827</v>
      </c>
      <c r="K34" s="1421">
        <f>$K$19/($C$19)*$C34</f>
        <v>4751.7135685865178</v>
      </c>
      <c r="L34" s="1421">
        <f>$L$19/($C$19)*$C34</f>
        <v>0</v>
      </c>
    </row>
    <row r="35" spans="2:14">
      <c r="B35" s="1438" t="s">
        <v>3656</v>
      </c>
      <c r="C35" s="1439">
        <f>C20+C22+C23+C25+C27+C28</f>
        <v>7443.1285399999997</v>
      </c>
      <c r="D35" s="1439"/>
      <c r="E35" s="1439">
        <f t="shared" ref="E35:L35" si="13">E20+E22+E23+E25+E27+E28</f>
        <v>7443.1285399999997</v>
      </c>
      <c r="F35" s="1439">
        <f t="shared" si="13"/>
        <v>0</v>
      </c>
      <c r="G35" s="1439">
        <f>G20+G22+G23+G25+G27+G28</f>
        <v>5417.4263907444029</v>
      </c>
      <c r="H35" s="1439">
        <f>H20+H22+H23+H25+H27+H28</f>
        <v>2025.7021492555971</v>
      </c>
      <c r="I35" s="1439">
        <f t="shared" si="13"/>
        <v>629.82476160308124</v>
      </c>
      <c r="J35" s="1439">
        <f t="shared" si="13"/>
        <v>947.20850487883797</v>
      </c>
      <c r="K35" s="1439">
        <f t="shared" si="13"/>
        <v>3840.3931242624835</v>
      </c>
      <c r="L35" s="1439">
        <f t="shared" si="13"/>
        <v>0</v>
      </c>
      <c r="M35" s="537"/>
    </row>
    <row r="36" spans="2:14">
      <c r="B36" s="1440" t="s">
        <v>3657</v>
      </c>
      <c r="C36" s="1441">
        <f>C20+C22+C23+C25+C27+C28+C29-C21-C24-C26</f>
        <v>7416.561459999999</v>
      </c>
      <c r="D36" s="1441"/>
      <c r="E36" s="1441"/>
      <c r="F36" s="1441"/>
      <c r="G36" s="1441"/>
      <c r="H36" s="1441">
        <f>H20+H22+H23+H25+H27+H28+H29-H21-H24-H26</f>
        <v>2022.370003617825</v>
      </c>
      <c r="I36" s="1441"/>
      <c r="J36" s="1441"/>
      <c r="K36" s="1441"/>
      <c r="L36" s="1441"/>
      <c r="M36" s="537"/>
    </row>
    <row r="37" spans="2:14">
      <c r="B37" s="534"/>
      <c r="C37" s="534"/>
      <c r="D37" s="534"/>
      <c r="E37" s="534"/>
      <c r="F37" s="534"/>
      <c r="G37" s="534"/>
      <c r="H37" s="534"/>
      <c r="I37" s="534"/>
      <c r="J37" s="534"/>
      <c r="K37" s="534"/>
      <c r="L37" s="534"/>
      <c r="M37" s="534"/>
      <c r="N37" s="534"/>
    </row>
  </sheetData>
  <mergeCells count="2">
    <mergeCell ref="E17:F17"/>
    <mergeCell ref="AD3:AE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BK177"/>
  <sheetViews>
    <sheetView zoomScale="60" zoomScaleNormal="60" workbookViewId="0">
      <pane xSplit="3" ySplit="9" topLeftCell="D10" activePane="bottomRight" state="frozen"/>
      <selection pane="topRight" activeCell="D1" sqref="D1"/>
      <selection pane="bottomLeft" activeCell="A9" sqref="A9"/>
      <selection pane="bottomRight" activeCell="N28" sqref="N28"/>
    </sheetView>
  </sheetViews>
  <sheetFormatPr defaultRowHeight="12.75" outlineLevelRow="1" outlineLevelCol="1"/>
  <cols>
    <col min="1" max="1" width="0.85546875" style="1739" customWidth="1"/>
    <col min="2" max="2" width="9.140625" style="1739"/>
    <col min="3" max="3" width="43.5703125" style="1739" customWidth="1"/>
    <col min="4" max="4" width="14.7109375" style="1739" customWidth="1" outlineLevel="1"/>
    <col min="5" max="6" width="13.7109375" style="1739" customWidth="1" outlineLevel="1"/>
    <col min="7" max="7" width="20.140625" style="1739" customWidth="1"/>
    <col min="8" max="8" width="21.140625" style="1739" customWidth="1"/>
    <col min="9" max="9" width="24.28515625" style="1739" customWidth="1"/>
    <col min="10" max="10" width="20.7109375" style="1739" customWidth="1"/>
    <col min="11" max="11" width="17.28515625" style="1739" customWidth="1"/>
    <col min="12" max="12" width="20.140625" style="1739" customWidth="1"/>
    <col min="13" max="13" width="21.140625" style="1739" customWidth="1"/>
    <col min="14" max="14" width="24.28515625" style="1739" customWidth="1"/>
    <col min="15" max="15" width="20.7109375" style="1739" customWidth="1"/>
    <col min="16" max="16" width="17.28515625" style="1739" customWidth="1"/>
    <col min="17" max="18" width="20.140625" style="1739" customWidth="1"/>
    <col min="19" max="20" width="21.140625" style="1739" customWidth="1"/>
    <col min="21" max="22" width="24.28515625" style="1739" customWidth="1"/>
    <col min="23" max="26" width="20.7109375" style="1739" customWidth="1"/>
    <col min="27" max="27" width="17.28515625" style="1739" customWidth="1"/>
    <col min="28" max="29" width="21.5703125" style="1739" customWidth="1"/>
    <col min="30" max="31" width="15.42578125" style="1739" customWidth="1"/>
    <col min="32" max="33" width="25.5703125" style="1739" customWidth="1"/>
    <col min="34" max="37" width="17.5703125" style="1739" customWidth="1"/>
    <col min="38" max="38" width="17.28515625" style="1739" customWidth="1"/>
    <col min="39" max="40" width="16.28515625" style="1739" hidden="1" customWidth="1" outlineLevel="1"/>
    <col min="41" max="42" width="15.42578125" style="1739" hidden="1" customWidth="1" outlineLevel="1"/>
    <col min="43" max="44" width="16.5703125" style="1739" hidden="1" customWidth="1" outlineLevel="1"/>
    <col min="45" max="48" width="17.85546875" style="1739" hidden="1" customWidth="1" outlineLevel="1"/>
    <col min="49" max="49" width="17.5703125" style="1739" hidden="1" customWidth="1" outlineLevel="1"/>
    <col min="50" max="50" width="16.7109375" style="1739" customWidth="1" collapsed="1"/>
    <col min="51" max="51" width="13.140625" style="1739" customWidth="1"/>
    <col min="52" max="52" width="9.140625" style="1739" customWidth="1"/>
    <col min="53" max="57" width="22.7109375" style="1739" customWidth="1"/>
    <col min="58" max="58" width="21.28515625" style="1739" customWidth="1"/>
    <col min="59" max="59" width="10.5703125" style="1739" customWidth="1"/>
    <col min="60" max="60" width="9.140625" style="1739" customWidth="1"/>
    <col min="61" max="61" width="19" style="1739" customWidth="1" outlineLevel="1"/>
    <col min="62" max="62" width="24.85546875" style="1739" customWidth="1" outlineLevel="1"/>
    <col min="63" max="63" width="18" style="1739" customWidth="1" outlineLevel="1"/>
    <col min="64" max="16384" width="9.140625" style="1739"/>
  </cols>
  <sheetData>
    <row r="1" spans="2:63">
      <c r="AX1" s="1740">
        <f>(AW25+AX25)/1000</f>
        <v>10396.222880000001</v>
      </c>
      <c r="AY1" s="1740">
        <v>10396.200000000001</v>
      </c>
      <c r="BI1" s="1740"/>
      <c r="BJ1" s="1740"/>
      <c r="BK1" s="1740"/>
    </row>
    <row r="2" spans="2:63">
      <c r="L2" s="1740"/>
      <c r="AA2" s="1739">
        <v>5295150.7705650823</v>
      </c>
      <c r="AX2" s="1740"/>
      <c r="AY2" s="1740">
        <f>AX1-AY1</f>
        <v>2.2880000000441214E-2</v>
      </c>
      <c r="BI2" s="1740"/>
      <c r="BJ2" s="1740"/>
      <c r="BK2" s="1740"/>
    </row>
    <row r="3" spans="2:63">
      <c r="G3" s="1740"/>
      <c r="H3" s="1740"/>
      <c r="I3" s="1740"/>
      <c r="J3" s="1740"/>
      <c r="K3" s="1740"/>
      <c r="BI3" s="1740"/>
      <c r="BJ3" s="1740"/>
      <c r="BK3" s="1740"/>
    </row>
    <row r="4" spans="2:63">
      <c r="G4" s="1740"/>
      <c r="H4" s="1740"/>
      <c r="I4" s="1740"/>
      <c r="J4" s="1740"/>
      <c r="K4" s="1740"/>
      <c r="BI4" s="1740"/>
      <c r="BJ4" s="1740"/>
      <c r="BK4" s="1740"/>
    </row>
    <row r="5" spans="2:63" ht="61.5" customHeight="1">
      <c r="B5" s="3377" t="s">
        <v>3735</v>
      </c>
      <c r="C5" s="3377" t="s">
        <v>3736</v>
      </c>
      <c r="D5" s="3377" t="s">
        <v>3737</v>
      </c>
      <c r="E5" s="1741"/>
      <c r="F5" s="1741"/>
      <c r="G5" s="3378" t="s">
        <v>3738</v>
      </c>
      <c r="H5" s="3379"/>
      <c r="I5" s="3379"/>
      <c r="J5" s="3379"/>
      <c r="K5" s="3380"/>
      <c r="L5" s="3381" t="s">
        <v>3739</v>
      </c>
      <c r="M5" s="3382"/>
      <c r="N5" s="3382"/>
      <c r="O5" s="3382"/>
      <c r="P5" s="3383"/>
      <c r="Q5" s="3384" t="s">
        <v>3740</v>
      </c>
      <c r="R5" s="3385"/>
      <c r="S5" s="3385"/>
      <c r="T5" s="3385"/>
      <c r="U5" s="3385"/>
      <c r="V5" s="3385"/>
      <c r="W5" s="3385"/>
      <c r="X5" s="3385"/>
      <c r="Y5" s="3385"/>
      <c r="Z5" s="3385"/>
      <c r="AA5" s="3386"/>
      <c r="AB5" s="3387" t="s">
        <v>1465</v>
      </c>
      <c r="AC5" s="3387"/>
      <c r="AD5" s="3387"/>
      <c r="AE5" s="3387"/>
      <c r="AF5" s="3387"/>
      <c r="AG5" s="3387"/>
      <c r="AH5" s="3387"/>
      <c r="AI5" s="3387"/>
      <c r="AJ5" s="3387"/>
      <c r="AK5" s="3387"/>
      <c r="AL5" s="3387"/>
      <c r="AM5" s="3388" t="s">
        <v>3741</v>
      </c>
      <c r="AN5" s="3388"/>
      <c r="AO5" s="3388"/>
      <c r="AP5" s="3388"/>
      <c r="AQ5" s="3388"/>
      <c r="AR5" s="3388"/>
      <c r="AS5" s="3388"/>
      <c r="AT5" s="3388"/>
      <c r="AU5" s="3388"/>
      <c r="AV5" s="3388"/>
      <c r="AW5" s="3388"/>
      <c r="BI5" s="3389" t="s">
        <v>3742</v>
      </c>
      <c r="BJ5" s="3390"/>
      <c r="BK5" s="3390"/>
    </row>
    <row r="6" spans="2:63" ht="136.5" customHeight="1">
      <c r="B6" s="3377"/>
      <c r="C6" s="3377"/>
      <c r="D6" s="3377"/>
      <c r="E6" s="3373" t="s">
        <v>3743</v>
      </c>
      <c r="F6" s="3373" t="s">
        <v>3744</v>
      </c>
      <c r="G6" s="3373" t="s">
        <v>3745</v>
      </c>
      <c r="H6" s="3373" t="s">
        <v>3746</v>
      </c>
      <c r="I6" s="3373" t="s">
        <v>3747</v>
      </c>
      <c r="J6" s="3373" t="s">
        <v>3748</v>
      </c>
      <c r="K6" s="3373" t="s">
        <v>1501</v>
      </c>
      <c r="L6" s="3373" t="s">
        <v>3745</v>
      </c>
      <c r="M6" s="3373" t="s">
        <v>3746</v>
      </c>
      <c r="N6" s="3373" t="s">
        <v>3747</v>
      </c>
      <c r="O6" s="3373" t="s">
        <v>3748</v>
      </c>
      <c r="P6" s="3373" t="s">
        <v>1501</v>
      </c>
      <c r="Q6" s="3371" t="s">
        <v>3745</v>
      </c>
      <c r="R6" s="3372"/>
      <c r="S6" s="3371" t="s">
        <v>3746</v>
      </c>
      <c r="T6" s="3372"/>
      <c r="U6" s="3371" t="s">
        <v>3747</v>
      </c>
      <c r="V6" s="3372"/>
      <c r="W6" s="3371" t="s">
        <v>3748</v>
      </c>
      <c r="X6" s="3372"/>
      <c r="Y6" s="3371" t="s">
        <v>2559</v>
      </c>
      <c r="Z6" s="3372"/>
      <c r="AA6" s="3375" t="s">
        <v>1501</v>
      </c>
      <c r="AB6" s="3371" t="s">
        <v>3745</v>
      </c>
      <c r="AC6" s="3372"/>
      <c r="AD6" s="3371" t="s">
        <v>3746</v>
      </c>
      <c r="AE6" s="3372"/>
      <c r="AF6" s="3371" t="s">
        <v>3747</v>
      </c>
      <c r="AG6" s="3372"/>
      <c r="AH6" s="3371" t="s">
        <v>3748</v>
      </c>
      <c r="AI6" s="3372"/>
      <c r="AJ6" s="3371" t="s">
        <v>2559</v>
      </c>
      <c r="AK6" s="3372"/>
      <c r="AL6" s="3375" t="s">
        <v>1501</v>
      </c>
      <c r="AM6" s="3371" t="s">
        <v>3745</v>
      </c>
      <c r="AN6" s="3372"/>
      <c r="AO6" s="3371" t="s">
        <v>3746</v>
      </c>
      <c r="AP6" s="3372"/>
      <c r="AQ6" s="3371" t="s">
        <v>3747</v>
      </c>
      <c r="AR6" s="3372"/>
      <c r="AS6" s="3371" t="s">
        <v>3748</v>
      </c>
      <c r="AT6" s="3372"/>
      <c r="AU6" s="3371" t="s">
        <v>2559</v>
      </c>
      <c r="AV6" s="3372"/>
      <c r="AW6" s="3375" t="s">
        <v>1501</v>
      </c>
      <c r="BA6" s="3373" t="s">
        <v>3745</v>
      </c>
      <c r="BB6" s="3373" t="s">
        <v>3746</v>
      </c>
      <c r="BC6" s="3373" t="s">
        <v>3747</v>
      </c>
      <c r="BD6" s="3373" t="s">
        <v>3748</v>
      </c>
      <c r="BE6" s="3373" t="s">
        <v>1501</v>
      </c>
      <c r="BI6" s="1742" t="s">
        <v>3749</v>
      </c>
      <c r="BJ6" s="1742" t="s">
        <v>3750</v>
      </c>
      <c r="BK6" s="1741" t="s">
        <v>1501</v>
      </c>
    </row>
    <row r="7" spans="2:63" ht="15.75">
      <c r="B7" s="3377"/>
      <c r="C7" s="3377"/>
      <c r="D7" s="3377"/>
      <c r="E7" s="3374"/>
      <c r="F7" s="3374"/>
      <c r="G7" s="3374"/>
      <c r="H7" s="3374"/>
      <c r="I7" s="3374"/>
      <c r="J7" s="3374"/>
      <c r="K7" s="3374"/>
      <c r="L7" s="3374"/>
      <c r="M7" s="3374"/>
      <c r="N7" s="3374"/>
      <c r="O7" s="3374"/>
      <c r="P7" s="3374"/>
      <c r="Q7" s="1743" t="s">
        <v>2938</v>
      </c>
      <c r="R7" s="1744" t="s">
        <v>3682</v>
      </c>
      <c r="S7" s="1743" t="s">
        <v>2938</v>
      </c>
      <c r="T7" s="1744" t="s">
        <v>3682</v>
      </c>
      <c r="U7" s="1743" t="s">
        <v>2938</v>
      </c>
      <c r="V7" s="1744" t="s">
        <v>3682</v>
      </c>
      <c r="W7" s="1743" t="s">
        <v>2938</v>
      </c>
      <c r="X7" s="1744" t="s">
        <v>3682</v>
      </c>
      <c r="Y7" s="1743" t="s">
        <v>2938</v>
      </c>
      <c r="Z7" s="1744" t="s">
        <v>3682</v>
      </c>
      <c r="AA7" s="3376"/>
      <c r="AB7" s="1743" t="s">
        <v>2938</v>
      </c>
      <c r="AC7" s="1744" t="s">
        <v>3682</v>
      </c>
      <c r="AD7" s="1743" t="s">
        <v>2938</v>
      </c>
      <c r="AE7" s="1744" t="s">
        <v>3682</v>
      </c>
      <c r="AF7" s="1743" t="s">
        <v>2938</v>
      </c>
      <c r="AG7" s="1744" t="s">
        <v>3682</v>
      </c>
      <c r="AH7" s="1743" t="s">
        <v>2938</v>
      </c>
      <c r="AI7" s="1744" t="s">
        <v>3682</v>
      </c>
      <c r="AJ7" s="1743" t="s">
        <v>2938</v>
      </c>
      <c r="AK7" s="1744" t="s">
        <v>3682</v>
      </c>
      <c r="AL7" s="3376"/>
      <c r="AM7" s="1744" t="s">
        <v>3682</v>
      </c>
      <c r="AN7" s="1744" t="s">
        <v>3751</v>
      </c>
      <c r="AO7" s="1744" t="s">
        <v>3682</v>
      </c>
      <c r="AP7" s="1744" t="s">
        <v>3751</v>
      </c>
      <c r="AQ7" s="1744" t="s">
        <v>3682</v>
      </c>
      <c r="AR7" s="1744" t="s">
        <v>3751</v>
      </c>
      <c r="AS7" s="1744" t="s">
        <v>3682</v>
      </c>
      <c r="AT7" s="1744" t="s">
        <v>3751</v>
      </c>
      <c r="AU7" s="1744" t="s">
        <v>3682</v>
      </c>
      <c r="AV7" s="1744" t="s">
        <v>3751</v>
      </c>
      <c r="AW7" s="3376"/>
      <c r="BA7" s="3374"/>
      <c r="BB7" s="3374"/>
      <c r="BC7" s="3374"/>
      <c r="BD7" s="3374"/>
      <c r="BE7" s="3374"/>
      <c r="BI7" s="1743"/>
      <c r="BJ7" s="1743"/>
      <c r="BK7" s="1743"/>
    </row>
    <row r="8" spans="2:63" ht="22.5" customHeight="1">
      <c r="B8" s="3377"/>
      <c r="C8" s="3377"/>
      <c r="D8" s="3377"/>
      <c r="E8" s="1741" t="s">
        <v>3581</v>
      </c>
      <c r="F8" s="1741" t="s">
        <v>2552</v>
      </c>
      <c r="G8" s="1741" t="s">
        <v>2555</v>
      </c>
      <c r="H8" s="1741" t="s">
        <v>2555</v>
      </c>
      <c r="I8" s="1741" t="s">
        <v>2555</v>
      </c>
      <c r="J8" s="1741" t="s">
        <v>2555</v>
      </c>
      <c r="K8" s="1741" t="s">
        <v>2555</v>
      </c>
      <c r="L8" s="1741" t="s">
        <v>2555</v>
      </c>
      <c r="M8" s="1741" t="s">
        <v>2555</v>
      </c>
      <c r="N8" s="1741" t="s">
        <v>2555</v>
      </c>
      <c r="O8" s="1741" t="s">
        <v>2555</v>
      </c>
      <c r="P8" s="1741" t="s">
        <v>2555</v>
      </c>
      <c r="Q8" s="1741" t="s">
        <v>2555</v>
      </c>
      <c r="R8" s="1741" t="s">
        <v>2555</v>
      </c>
      <c r="S8" s="1741" t="s">
        <v>2555</v>
      </c>
      <c r="T8" s="1741" t="s">
        <v>2555</v>
      </c>
      <c r="U8" s="1741" t="s">
        <v>2555</v>
      </c>
      <c r="V8" s="1741" t="s">
        <v>2555</v>
      </c>
      <c r="W8" s="1741" t="s">
        <v>2555</v>
      </c>
      <c r="X8" s="1741" t="s">
        <v>2555</v>
      </c>
      <c r="Y8" s="1741" t="s">
        <v>2555</v>
      </c>
      <c r="Z8" s="1741" t="s">
        <v>2555</v>
      </c>
      <c r="AA8" s="1741" t="s">
        <v>2555</v>
      </c>
      <c r="AB8" s="1741" t="s">
        <v>2555</v>
      </c>
      <c r="AC8" s="1741" t="s">
        <v>2555</v>
      </c>
      <c r="AD8" s="1741" t="s">
        <v>2555</v>
      </c>
      <c r="AE8" s="1741" t="s">
        <v>2555</v>
      </c>
      <c r="AF8" s="1741" t="s">
        <v>2555</v>
      </c>
      <c r="AG8" s="1741" t="s">
        <v>2555</v>
      </c>
      <c r="AH8" s="1741" t="s">
        <v>2555</v>
      </c>
      <c r="AI8" s="1741" t="s">
        <v>2555</v>
      </c>
      <c r="AJ8" s="1741" t="s">
        <v>2555</v>
      </c>
      <c r="AK8" s="1741" t="s">
        <v>2555</v>
      </c>
      <c r="AL8" s="1741" t="s">
        <v>2555</v>
      </c>
      <c r="AM8" s="1741" t="s">
        <v>2555</v>
      </c>
      <c r="AN8" s="1741" t="s">
        <v>2555</v>
      </c>
      <c r="AO8" s="1741" t="s">
        <v>2555</v>
      </c>
      <c r="AP8" s="1741" t="s">
        <v>2555</v>
      </c>
      <c r="AQ8" s="1741" t="s">
        <v>2555</v>
      </c>
      <c r="AR8" s="1741" t="s">
        <v>2555</v>
      </c>
      <c r="AS8" s="1741" t="s">
        <v>2555</v>
      </c>
      <c r="AT8" s="1741" t="s">
        <v>2555</v>
      </c>
      <c r="AU8" s="1741" t="s">
        <v>2555</v>
      </c>
      <c r="AV8" s="1741" t="s">
        <v>2555</v>
      </c>
      <c r="AW8" s="1741" t="s">
        <v>2555</v>
      </c>
      <c r="BA8" s="1741" t="s">
        <v>2555</v>
      </c>
      <c r="BB8" s="1741" t="s">
        <v>2555</v>
      </c>
      <c r="BC8" s="1741" t="s">
        <v>2555</v>
      </c>
      <c r="BD8" s="1741" t="s">
        <v>2555</v>
      </c>
      <c r="BE8" s="1741" t="s">
        <v>2555</v>
      </c>
    </row>
    <row r="9" spans="2:63" ht="15.75">
      <c r="B9" s="1743">
        <v>1</v>
      </c>
      <c r="C9" s="1743">
        <f>B9+1</f>
        <v>2</v>
      </c>
      <c r="D9" s="1743">
        <f t="shared" ref="D9:AM9" si="0">C9+1</f>
        <v>3</v>
      </c>
      <c r="E9" s="1743">
        <f t="shared" si="0"/>
        <v>4</v>
      </c>
      <c r="F9" s="1743">
        <f t="shared" si="0"/>
        <v>5</v>
      </c>
      <c r="G9" s="1743">
        <f t="shared" si="0"/>
        <v>6</v>
      </c>
      <c r="H9" s="1743">
        <f t="shared" si="0"/>
        <v>7</v>
      </c>
      <c r="I9" s="1743">
        <f t="shared" si="0"/>
        <v>8</v>
      </c>
      <c r="J9" s="1743">
        <f t="shared" si="0"/>
        <v>9</v>
      </c>
      <c r="K9" s="1743">
        <f t="shared" si="0"/>
        <v>10</v>
      </c>
      <c r="L9" s="1743">
        <f t="shared" si="0"/>
        <v>11</v>
      </c>
      <c r="M9" s="1743">
        <f t="shared" si="0"/>
        <v>12</v>
      </c>
      <c r="N9" s="1743">
        <f t="shared" si="0"/>
        <v>13</v>
      </c>
      <c r="O9" s="1743">
        <f t="shared" si="0"/>
        <v>14</v>
      </c>
      <c r="P9" s="1743">
        <f t="shared" si="0"/>
        <v>15</v>
      </c>
      <c r="Q9" s="1743">
        <f t="shared" si="0"/>
        <v>16</v>
      </c>
      <c r="R9" s="1743"/>
      <c r="S9" s="1743">
        <f>Q9+1</f>
        <v>17</v>
      </c>
      <c r="T9" s="1743"/>
      <c r="U9" s="1743">
        <f>S9+1</f>
        <v>18</v>
      </c>
      <c r="V9" s="1743"/>
      <c r="W9" s="1743">
        <f>U9+1</f>
        <v>19</v>
      </c>
      <c r="X9" s="1743"/>
      <c r="Y9" s="1743"/>
      <c r="Z9" s="1743"/>
      <c r="AA9" s="1743">
        <f>W9+1</f>
        <v>20</v>
      </c>
      <c r="AB9" s="1743">
        <f t="shared" si="0"/>
        <v>21</v>
      </c>
      <c r="AC9" s="1743"/>
      <c r="AD9" s="1743">
        <f>AB9+1</f>
        <v>22</v>
      </c>
      <c r="AE9" s="1743"/>
      <c r="AF9" s="1743">
        <f>AD9+1</f>
        <v>23</v>
      </c>
      <c r="AG9" s="1743"/>
      <c r="AH9" s="1743">
        <f>AF9+1</f>
        <v>24</v>
      </c>
      <c r="AI9" s="1743"/>
      <c r="AJ9" s="1743"/>
      <c r="AK9" s="1743"/>
      <c r="AL9" s="1743">
        <f>AH9+1</f>
        <v>25</v>
      </c>
      <c r="AM9" s="1743">
        <f t="shared" si="0"/>
        <v>26</v>
      </c>
      <c r="AN9" s="1743"/>
      <c r="AO9" s="1743">
        <f>AM9+1</f>
        <v>27</v>
      </c>
      <c r="AP9" s="1743"/>
      <c r="AQ9" s="1743">
        <f>AO9+1</f>
        <v>28</v>
      </c>
      <c r="AR9" s="1743"/>
      <c r="AS9" s="1743">
        <f>AQ9+1</f>
        <v>29</v>
      </c>
      <c r="AT9" s="1743"/>
      <c r="AU9" s="1743"/>
      <c r="AV9" s="1743"/>
      <c r="AW9" s="1743">
        <f>AS9+1</f>
        <v>30</v>
      </c>
    </row>
    <row r="10" spans="2:63" ht="15.75">
      <c r="B10" s="1745"/>
      <c r="C10" s="1746" t="s">
        <v>2936</v>
      </c>
      <c r="D10" s="1747"/>
      <c r="E10" s="1748"/>
      <c r="F10" s="1749"/>
      <c r="G10" s="1750"/>
      <c r="H10" s="1751"/>
      <c r="I10" s="1751"/>
      <c r="J10" s="1751"/>
      <c r="K10" s="1752"/>
      <c r="L10" s="1750"/>
      <c r="M10" s="1751"/>
      <c r="N10" s="1751"/>
      <c r="O10" s="1751"/>
      <c r="P10" s="1752"/>
      <c r="Q10" s="1750"/>
      <c r="R10" s="1753"/>
      <c r="S10" s="1751"/>
      <c r="T10" s="1751"/>
      <c r="U10" s="1751"/>
      <c r="V10" s="1751"/>
      <c r="W10" s="1751"/>
      <c r="X10" s="1754"/>
      <c r="Y10" s="1754"/>
      <c r="Z10" s="1754"/>
      <c r="AA10" s="1752"/>
      <c r="AB10" s="1750"/>
      <c r="AC10" s="1753"/>
      <c r="AD10" s="1751"/>
      <c r="AE10" s="1751"/>
      <c r="AF10" s="1751"/>
      <c r="AG10" s="1751"/>
      <c r="AH10" s="1751"/>
      <c r="AI10" s="1754"/>
      <c r="AJ10" s="1754"/>
      <c r="AK10" s="1754"/>
      <c r="AL10" s="1752"/>
      <c r="AM10" s="1750"/>
      <c r="AN10" s="1753"/>
      <c r="AO10" s="1751"/>
      <c r="AP10" s="1751"/>
      <c r="AQ10" s="1751"/>
      <c r="AR10" s="1751"/>
      <c r="AS10" s="1751"/>
      <c r="AT10" s="1754"/>
      <c r="AU10" s="1754"/>
      <c r="AV10" s="1754"/>
      <c r="AW10" s="1752"/>
      <c r="AX10" s="1740"/>
      <c r="AY10" s="1740"/>
      <c r="AZ10" s="1740"/>
      <c r="BA10" s="1740"/>
      <c r="BB10" s="1740"/>
      <c r="BC10" s="1740"/>
      <c r="BD10" s="1740"/>
      <c r="BE10" s="1740"/>
      <c r="BF10" s="1740"/>
      <c r="BG10" s="1740"/>
      <c r="BH10" s="1740"/>
      <c r="BI10" s="1740"/>
      <c r="BJ10" s="1740"/>
      <c r="BK10" s="1740"/>
    </row>
    <row r="11" spans="2:63" ht="15.75">
      <c r="B11" s="1755">
        <v>1</v>
      </c>
      <c r="C11" s="1756" t="s">
        <v>3752</v>
      </c>
      <c r="D11" s="1757"/>
      <c r="E11" s="1758"/>
      <c r="F11" s="1757"/>
      <c r="G11" s="1759">
        <f>'[34]калькул 1'!$M$70</f>
        <v>724.34046704577474</v>
      </c>
      <c r="H11" s="1760">
        <f>'[34]калькул 2'!$M$50</f>
        <v>823.98438071009866</v>
      </c>
      <c r="I11" s="1761"/>
      <c r="J11" s="1760">
        <f>[34]калькул4!$M$40</f>
        <v>2099.716876819024</v>
      </c>
      <c r="K11" s="1762">
        <f>SUM(G11:J11)</f>
        <v>3648.0417245748977</v>
      </c>
      <c r="L11" s="1763">
        <f>G11</f>
        <v>724.34046704577474</v>
      </c>
      <c r="M11" s="1764">
        <f>H11</f>
        <v>823.98438071009866</v>
      </c>
      <c r="N11" s="1764">
        <f>I11</f>
        <v>0</v>
      </c>
      <c r="O11" s="1764">
        <f>J11</f>
        <v>2099.716876819024</v>
      </c>
      <c r="P11" s="1762">
        <f>SUM(L11:O11)</f>
        <v>3648.0417245748977</v>
      </c>
      <c r="Q11" s="1759">
        <f>'[34]калькул 1'!$N$70</f>
        <v>2385.0651014210339</v>
      </c>
      <c r="R11" s="1765">
        <f>'[34]калькул 1'!$P$70</f>
        <v>2816.6012929115554</v>
      </c>
      <c r="S11" s="1760">
        <f>'[34]калькул 2'!$N$50</f>
        <v>2329.2354696484545</v>
      </c>
      <c r="T11" s="1760">
        <f>'[34]калькул 2'!$P$50</f>
        <v>2717.0662796993238</v>
      </c>
      <c r="U11" s="1761"/>
      <c r="V11" s="1761"/>
      <c r="W11" s="1760">
        <f>[34]калькул4!$N$40</f>
        <v>3898.4619441758828</v>
      </c>
      <c r="X11" s="1760">
        <f>[34]калькул4!$P$40</f>
        <v>4700.3322730811342</v>
      </c>
      <c r="Y11" s="1766">
        <f>SUM(Q11,S11,U11,W11)</f>
        <v>8612.7625152453711</v>
      </c>
      <c r="Z11" s="1766">
        <f>SUM(R11,T11,V11,X11)</f>
        <v>10233.999845692013</v>
      </c>
      <c r="AA11" s="1762">
        <f>SUM(Q11:X11)</f>
        <v>18846.762360937384</v>
      </c>
      <c r="AB11" s="1759">
        <f>'[34]калькул 1'!$O$70</f>
        <v>2816.6012929115554</v>
      </c>
      <c r="AC11" s="1765">
        <f>'[34]калькул 1'!$Q$70</f>
        <v>2816.6012929115554</v>
      </c>
      <c r="AD11" s="1760">
        <f>'[34]калькул 2'!$O$50</f>
        <v>2581.8845185022597</v>
      </c>
      <c r="AE11" s="1760">
        <f>'[34]калькул 2'!$Q$50</f>
        <v>2919.1855187823676</v>
      </c>
      <c r="AF11" s="1761"/>
      <c r="AG11" s="1760">
        <f>'[34]калькул 3'!$J$18</f>
        <v>0</v>
      </c>
      <c r="AH11" s="1760">
        <f>[34]калькул4!$O$40</f>
        <v>3898.4619441758828</v>
      </c>
      <c r="AI11" s="1767">
        <f>[34]калькул4!$Q$40</f>
        <v>5172.9602351610974</v>
      </c>
      <c r="AJ11" s="1766">
        <f>SUM(AB11,AD11,AF11,AH11)</f>
        <v>9296.9477555896974</v>
      </c>
      <c r="AK11" s="1766">
        <f>SUM(AC11,AE11,AG11,AI11)</f>
        <v>10908.74704685502</v>
      </c>
      <c r="AL11" s="1762">
        <f>SUM(AB11:AI11)</f>
        <v>20205.694802444719</v>
      </c>
      <c r="AM11" s="1759">
        <f>'[34]калькул 1'!$R$70</f>
        <v>18314.58763165343</v>
      </c>
      <c r="AN11" s="1765">
        <f>'[34]калькул 1'!$S$70</f>
        <v>18314.58763165343</v>
      </c>
      <c r="AO11" s="1760">
        <f>'[34]калькул 2'!$R$50</f>
        <v>12797.618128363347</v>
      </c>
      <c r="AP11" s="1760">
        <f>'[34]калькул 2'!$S$50</f>
        <v>12797.618128363347</v>
      </c>
      <c r="AQ11" s="1760">
        <f>'[34]калькул 3'!$L$18</f>
        <v>2466.9582413943358</v>
      </c>
      <c r="AR11" s="1760">
        <f>'[34]калькул 3'!$M$18</f>
        <v>2466.9582413943358</v>
      </c>
      <c r="AS11" s="1760">
        <f>[34]калькул4!$R$40</f>
        <v>8307.4056475789621</v>
      </c>
      <c r="AT11" s="1767">
        <f>[34]калькул4!$S$40</f>
        <v>8307.4056475789621</v>
      </c>
      <c r="AU11" s="1766">
        <f>SUM(AM11,AO11,AQ11,AS11)</f>
        <v>41886.569648990073</v>
      </c>
      <c r="AV11" s="1766">
        <f>SUM(AN11,AP11,AR11,AT11)</f>
        <v>41886.569648990073</v>
      </c>
      <c r="AW11" s="1762">
        <f>SUM(AM11:AT11)</f>
        <v>83773.139297980175</v>
      </c>
      <c r="AX11" s="1740"/>
      <c r="AY11" s="1740"/>
      <c r="AZ11" s="1740"/>
      <c r="BA11" s="1740"/>
      <c r="BB11" s="1740"/>
      <c r="BC11" s="1740"/>
      <c r="BD11" s="1740"/>
      <c r="BE11" s="1740"/>
      <c r="BF11" s="1740"/>
      <c r="BG11" s="1740"/>
      <c r="BH11" s="1740"/>
      <c r="BI11" s="1768"/>
      <c r="BJ11" s="1768"/>
      <c r="BK11" s="1769">
        <f t="shared" ref="BK11:BK24" si="1">SUM(BI11:BJ11)</f>
        <v>0</v>
      </c>
    </row>
    <row r="12" spans="2:63" ht="15.75">
      <c r="B12" s="1755">
        <f>B11+1</f>
        <v>2</v>
      </c>
      <c r="C12" s="1772" t="s">
        <v>3753</v>
      </c>
      <c r="D12" s="1773"/>
      <c r="E12" s="1774"/>
      <c r="F12" s="1773"/>
      <c r="G12" s="1775">
        <f>SUM(G13:G15)</f>
        <v>190.59594156971923</v>
      </c>
      <c r="H12" s="1776">
        <f t="shared" ref="H12:I12" si="2">SUM(H13:H15)</f>
        <v>142.94695617728942</v>
      </c>
      <c r="I12" s="1776">
        <f t="shared" si="2"/>
        <v>0</v>
      </c>
      <c r="J12" s="1776">
        <f>SUM(J13:J15)</f>
        <v>552.72823055218578</v>
      </c>
      <c r="K12" s="1762">
        <f t="shared" ref="K12:K15" si="3">SUM(G12:J12)</f>
        <v>886.2711282991944</v>
      </c>
      <c r="L12" s="1775">
        <f>SUM(L13:L15)</f>
        <v>190.59594156971923</v>
      </c>
      <c r="M12" s="1776">
        <f t="shared" ref="M12:O12" si="4">SUM(M13:M15)</f>
        <v>142.94695617728942</v>
      </c>
      <c r="N12" s="1776">
        <f t="shared" si="4"/>
        <v>0</v>
      </c>
      <c r="O12" s="1776">
        <f t="shared" si="4"/>
        <v>552.72823055218578</v>
      </c>
      <c r="P12" s="1762">
        <f>SUM(L12:O12)</f>
        <v>886.2711282991944</v>
      </c>
      <c r="Q12" s="1776">
        <f t="shared" ref="Q12:X12" si="5">SUM(Q13:Q15)</f>
        <v>190.59594156971923</v>
      </c>
      <c r="R12" s="1776">
        <f t="shared" si="5"/>
        <v>190.59594156971923</v>
      </c>
      <c r="S12" s="1776">
        <f t="shared" si="5"/>
        <v>238.24492696214904</v>
      </c>
      <c r="T12" s="1776">
        <f t="shared" si="5"/>
        <v>238.24492696214904</v>
      </c>
      <c r="U12" s="1776">
        <f t="shared" si="5"/>
        <v>0</v>
      </c>
      <c r="V12" s="1776">
        <f t="shared" si="5"/>
        <v>0</v>
      </c>
      <c r="W12" s="1776">
        <f t="shared" si="5"/>
        <v>857.68173706373648</v>
      </c>
      <c r="X12" s="1776">
        <f t="shared" si="5"/>
        <v>1095.9266640258857</v>
      </c>
      <c r="Y12" s="1766">
        <f t="shared" ref="Y12:Z16" si="6">SUM(Q12,S12,U12,W12)</f>
        <v>1286.5226055956048</v>
      </c>
      <c r="Z12" s="1766">
        <f t="shared" si="6"/>
        <v>1524.7675325577538</v>
      </c>
      <c r="AA12" s="1762">
        <f>SUM(Q12:X12)</f>
        <v>2811.2901381533588</v>
      </c>
      <c r="AB12" s="1777">
        <f t="shared" ref="AB12:AI12" si="7">SUM(AB13:AB15)</f>
        <v>190.59594156971923</v>
      </c>
      <c r="AC12" s="1778">
        <f t="shared" si="7"/>
        <v>190.59594156971923</v>
      </c>
      <c r="AD12" s="1779">
        <f t="shared" si="7"/>
        <v>238.24492696214904</v>
      </c>
      <c r="AE12" s="1779">
        <f t="shared" si="7"/>
        <v>238.24492696214904</v>
      </c>
      <c r="AF12" s="1776">
        <f t="shared" si="7"/>
        <v>0</v>
      </c>
      <c r="AG12" s="1776">
        <f t="shared" si="7"/>
        <v>0</v>
      </c>
      <c r="AH12" s="1779">
        <f t="shared" si="7"/>
        <v>857.68173706373648</v>
      </c>
      <c r="AI12" s="1766">
        <f t="shared" si="7"/>
        <v>1191.2246348107453</v>
      </c>
      <c r="AJ12" s="1766">
        <f>SUM(AB12,AD12,AF12,AH12)</f>
        <v>1286.5226055956048</v>
      </c>
      <c r="AK12" s="1766">
        <f t="shared" ref="AK12:AK15" si="8">SUM(AC12,AE12,AG12,AI12)</f>
        <v>1620.0655033426137</v>
      </c>
      <c r="AL12" s="1762">
        <f>SUM(AB12:AI12)</f>
        <v>2906.5881089382183</v>
      </c>
      <c r="AM12" s="1777">
        <f t="shared" ref="AM12:AT12" si="9">SUM(AM13:AM15)</f>
        <v>190.59594156971923</v>
      </c>
      <c r="AN12" s="1778">
        <f t="shared" si="9"/>
        <v>190.59594156971923</v>
      </c>
      <c r="AO12" s="1779">
        <f t="shared" si="9"/>
        <v>1048.2776786334557</v>
      </c>
      <c r="AP12" s="1779">
        <f t="shared" si="9"/>
        <v>1048.2776786334557</v>
      </c>
      <c r="AQ12" s="1776">
        <f t="shared" si="9"/>
        <v>248.80180683176673</v>
      </c>
      <c r="AR12" s="1776">
        <f t="shared" si="9"/>
        <v>248.80180683176673</v>
      </c>
      <c r="AS12" s="1779">
        <f t="shared" si="9"/>
        <v>2191.8533280517713</v>
      </c>
      <c r="AT12" s="1766">
        <f t="shared" si="9"/>
        <v>2191.8533280517713</v>
      </c>
      <c r="AU12" s="1766">
        <f>SUM(AM12,AO12,AQ12,AS12)</f>
        <v>3679.5287550867133</v>
      </c>
      <c r="AV12" s="1766">
        <f t="shared" ref="AV12:AV15" si="10">SUM(AN12,AP12,AR12,AT12)</f>
        <v>3679.5287550867133</v>
      </c>
      <c r="AW12" s="1762">
        <f>SUM(AM12:AT12)</f>
        <v>7359.0575101734266</v>
      </c>
      <c r="AX12" s="1740"/>
      <c r="AY12" s="1740"/>
      <c r="AZ12" s="1740"/>
      <c r="BA12" s="1740"/>
      <c r="BB12" s="1740"/>
      <c r="BC12" s="1740"/>
      <c r="BD12" s="1740"/>
      <c r="BE12" s="1740"/>
      <c r="BF12" s="1740"/>
      <c r="BG12" s="1740"/>
      <c r="BH12" s="1740"/>
      <c r="BI12" s="1768"/>
      <c r="BJ12" s="1768"/>
      <c r="BK12" s="1769">
        <f t="shared" si="1"/>
        <v>0</v>
      </c>
    </row>
    <row r="13" spans="2:63" ht="15.75">
      <c r="B13" s="1755"/>
      <c r="C13" s="1782" t="s">
        <v>1479</v>
      </c>
      <c r="D13" s="1773"/>
      <c r="E13" s="1774"/>
      <c r="F13" s="1773"/>
      <c r="G13" s="1783">
        <f>[34]прямые!E11</f>
        <v>118.01462790697674</v>
      </c>
      <c r="H13" s="1784">
        <f>[34]прямые!E15</f>
        <v>88.51097093023256</v>
      </c>
      <c r="I13" s="1785"/>
      <c r="J13" s="1784">
        <f>[34]прямые!E23</f>
        <v>342.24242093023253</v>
      </c>
      <c r="K13" s="1762">
        <f>SUM(G13:J13)</f>
        <v>548.76801976744184</v>
      </c>
      <c r="L13" s="1763">
        <f t="shared" ref="L13:O16" si="11">G13</f>
        <v>118.01462790697674</v>
      </c>
      <c r="M13" s="1764">
        <f t="shared" si="11"/>
        <v>88.51097093023256</v>
      </c>
      <c r="N13" s="1764">
        <f t="shared" si="11"/>
        <v>0</v>
      </c>
      <c r="O13" s="1764">
        <f t="shared" si="11"/>
        <v>342.24242093023253</v>
      </c>
      <c r="P13" s="1762">
        <f t="shared" ref="P13:P16" si="12">SUM(L13:O13)</f>
        <v>548.76801976744184</v>
      </c>
      <c r="Q13" s="1759">
        <f>[34]прямые!F11</f>
        <v>118.01462790697674</v>
      </c>
      <c r="R13" s="1765">
        <f>[34]прямые!H11</f>
        <v>118.01462790697674</v>
      </c>
      <c r="S13" s="1760">
        <f>[34]прямые!F15</f>
        <v>147.51828488372092</v>
      </c>
      <c r="T13" s="1760">
        <f>[34]прямые!H15</f>
        <v>147.51828488372092</v>
      </c>
      <c r="U13" s="1784"/>
      <c r="V13" s="1784"/>
      <c r="W13" s="1760">
        <f>[34]прямые!F23</f>
        <v>531.0658255813953</v>
      </c>
      <c r="X13" s="1767">
        <f>[34]прямые!H23</f>
        <v>678.58411046511628</v>
      </c>
      <c r="Y13" s="1766">
        <f t="shared" si="6"/>
        <v>796.59873837209295</v>
      </c>
      <c r="Z13" s="1766">
        <f t="shared" si="6"/>
        <v>944.11702325581393</v>
      </c>
      <c r="AA13" s="1762">
        <f t="shared" ref="AA13:AA15" si="13">SUM(Q13:X13)</f>
        <v>1740.7157616279069</v>
      </c>
      <c r="AB13" s="1759">
        <f>[34]прямые!G11</f>
        <v>118.01462790697674</v>
      </c>
      <c r="AC13" s="1765">
        <f>[34]прямые!I11</f>
        <v>118.01462790697674</v>
      </c>
      <c r="AD13" s="1760">
        <f>[34]прямые!G15</f>
        <v>147.51828488372092</v>
      </c>
      <c r="AE13" s="1760">
        <f>[34]прямые!I15</f>
        <v>147.51828488372092</v>
      </c>
      <c r="AF13" s="1784">
        <f>[34]прямые!G19</f>
        <v>0</v>
      </c>
      <c r="AG13" s="1784">
        <f>[34]прямые!I19</f>
        <v>0</v>
      </c>
      <c r="AH13" s="1760">
        <f>[34]прямые!G23</f>
        <v>531.0658255813953</v>
      </c>
      <c r="AI13" s="1767">
        <f>[34]прямые!I23</f>
        <v>737.59142441860467</v>
      </c>
      <c r="AJ13" s="1766">
        <f t="shared" ref="AJ13:AJ14" si="14">SUM(AB13,AD13,AF13,AH13)</f>
        <v>796.59873837209295</v>
      </c>
      <c r="AK13" s="1766">
        <f t="shared" si="8"/>
        <v>1003.1243372093023</v>
      </c>
      <c r="AL13" s="1762">
        <f t="shared" ref="AL13:AL15" si="15">SUM(AB13:AI13)</f>
        <v>1799.7230755813953</v>
      </c>
      <c r="AM13" s="1759">
        <f>[34]прямые!J11</f>
        <v>118.01462790697674</v>
      </c>
      <c r="AN13" s="1765">
        <f>[34]прямые!K11</f>
        <v>118.01462790697674</v>
      </c>
      <c r="AO13" s="1760">
        <f>[34]прямые!J15</f>
        <v>649.08045348837209</v>
      </c>
      <c r="AP13" s="1760">
        <f>[34]прямые!K15</f>
        <v>649.08045348837209</v>
      </c>
      <c r="AQ13" s="1760">
        <f>[34]прямые!J19</f>
        <v>157.1871205550737</v>
      </c>
      <c r="AR13" s="1760">
        <f>[34]прямые!K19</f>
        <v>157.1871205550737</v>
      </c>
      <c r="AS13" s="1760">
        <f>[34]прямые!J23</f>
        <v>1357.1682209302326</v>
      </c>
      <c r="AT13" s="1767">
        <f>[34]прямые!K23</f>
        <v>1357.1682209302326</v>
      </c>
      <c r="AU13" s="1766">
        <f t="shared" ref="AU13:AU14" si="16">SUM(AM13,AO13,AQ13,AS13)</f>
        <v>2281.4504228806554</v>
      </c>
      <c r="AV13" s="1766">
        <f t="shared" si="10"/>
        <v>2281.4504228806554</v>
      </c>
      <c r="AW13" s="1762">
        <f t="shared" ref="AW13:AW15" si="17">SUM(AM13:AT13)</f>
        <v>4562.9008457613108</v>
      </c>
      <c r="AX13" s="1740"/>
      <c r="AY13" s="1740"/>
      <c r="AZ13" s="1740"/>
      <c r="BA13" s="1740"/>
      <c r="BB13" s="1740"/>
      <c r="BC13" s="1740"/>
      <c r="BD13" s="1740"/>
      <c r="BE13" s="1740"/>
      <c r="BF13" s="1740"/>
      <c r="BG13" s="1740"/>
      <c r="BH13" s="1740"/>
      <c r="BI13" s="1768"/>
      <c r="BJ13" s="1768"/>
      <c r="BK13" s="1769">
        <f t="shared" si="1"/>
        <v>0</v>
      </c>
    </row>
    <row r="14" spans="2:63" ht="15.75">
      <c r="B14" s="1755"/>
      <c r="C14" s="1782" t="s">
        <v>3754</v>
      </c>
      <c r="D14" s="1773"/>
      <c r="E14" s="1774"/>
      <c r="F14" s="1773"/>
      <c r="G14" s="1783">
        <f>[34]прямые!E12</f>
        <v>34.722742497098324</v>
      </c>
      <c r="H14" s="1784">
        <f>[34]прямые!E16</f>
        <v>26.042056872823743</v>
      </c>
      <c r="I14" s="1785"/>
      <c r="J14" s="1784">
        <f>[34]прямые!E24</f>
        <v>100.69595324158513</v>
      </c>
      <c r="K14" s="1762">
        <f t="shared" si="3"/>
        <v>161.46075261150719</v>
      </c>
      <c r="L14" s="1763">
        <f t="shared" si="11"/>
        <v>34.722742497098324</v>
      </c>
      <c r="M14" s="1764">
        <f t="shared" si="11"/>
        <v>26.042056872823743</v>
      </c>
      <c r="N14" s="1764">
        <f t="shared" si="11"/>
        <v>0</v>
      </c>
      <c r="O14" s="1764">
        <f t="shared" si="11"/>
        <v>100.69595324158513</v>
      </c>
      <c r="P14" s="1762">
        <f t="shared" si="12"/>
        <v>161.46075261150719</v>
      </c>
      <c r="Q14" s="1759">
        <f>[34]прямые!F12</f>
        <v>34.722742497098324</v>
      </c>
      <c r="R14" s="1765">
        <f>[34]прямые!H12</f>
        <v>34.722742497098324</v>
      </c>
      <c r="S14" s="1760">
        <f>[34]прямые!F16</f>
        <v>43.403428121372905</v>
      </c>
      <c r="T14" s="1760">
        <f>[34]прямые!H16</f>
        <v>43.403428121372905</v>
      </c>
      <c r="U14" s="1784"/>
      <c r="V14" s="1784"/>
      <c r="W14" s="1760">
        <f>[34]прямые!F24</f>
        <v>156.25234123694247</v>
      </c>
      <c r="X14" s="1767">
        <f>[34]прямые!H24</f>
        <v>199.65576935831535</v>
      </c>
      <c r="Y14" s="1766">
        <f t="shared" si="6"/>
        <v>234.37851185541371</v>
      </c>
      <c r="Z14" s="1766">
        <f t="shared" si="6"/>
        <v>277.78193997678659</v>
      </c>
      <c r="AA14" s="1762">
        <f t="shared" si="13"/>
        <v>512.16045183220035</v>
      </c>
      <c r="AB14" s="1759">
        <f>[34]прямые!G12</f>
        <v>34.722742497098324</v>
      </c>
      <c r="AC14" s="1765">
        <f>[34]прямые!I12</f>
        <v>34.722742497098324</v>
      </c>
      <c r="AD14" s="1760">
        <f>[34]прямые!G16</f>
        <v>43.403428121372905</v>
      </c>
      <c r="AE14" s="1760">
        <f>[34]прямые!I16</f>
        <v>43.403428121372905</v>
      </c>
      <c r="AF14" s="1784">
        <f>[34]прямые!G20</f>
        <v>0</v>
      </c>
      <c r="AG14" s="1784">
        <f>[34]прямые!I20</f>
        <v>0</v>
      </c>
      <c r="AH14" s="1760">
        <f>[34]прямые!G24</f>
        <v>156.25234123694247</v>
      </c>
      <c r="AI14" s="1767">
        <f>[34]прямые!I24</f>
        <v>217.01714060686453</v>
      </c>
      <c r="AJ14" s="1766">
        <f t="shared" si="14"/>
        <v>234.37851185541371</v>
      </c>
      <c r="AK14" s="1766">
        <f t="shared" si="8"/>
        <v>295.14331122533576</v>
      </c>
      <c r="AL14" s="1762">
        <f t="shared" si="15"/>
        <v>529.52182308074953</v>
      </c>
      <c r="AM14" s="1759">
        <f>[34]прямые!J12</f>
        <v>34.722742497098324</v>
      </c>
      <c r="AN14" s="1765">
        <f>[34]прямые!K12</f>
        <v>34.722742497098324</v>
      </c>
      <c r="AO14" s="1760">
        <f>[34]прямые!J16</f>
        <v>190.97508373404077</v>
      </c>
      <c r="AP14" s="1760">
        <f>[34]прямые!K16</f>
        <v>190.97508373404077</v>
      </c>
      <c r="AQ14" s="1760">
        <f>[34]прямые!J20</f>
        <v>43.828266533166797</v>
      </c>
      <c r="AR14" s="1760">
        <f>[34]прямые!K20</f>
        <v>43.828266533166797</v>
      </c>
      <c r="AS14" s="1760">
        <f>[34]прямые!J24</f>
        <v>399.31153871663071</v>
      </c>
      <c r="AT14" s="1767">
        <f>[34]прямые!K24</f>
        <v>399.31153871663071</v>
      </c>
      <c r="AU14" s="1766">
        <f t="shared" si="16"/>
        <v>668.83763148093658</v>
      </c>
      <c r="AV14" s="1766">
        <f t="shared" si="10"/>
        <v>668.83763148093658</v>
      </c>
      <c r="AW14" s="1762">
        <f t="shared" si="17"/>
        <v>1337.6752629618732</v>
      </c>
      <c r="AX14" s="1740"/>
      <c r="AY14" s="1740"/>
      <c r="AZ14" s="1740"/>
      <c r="BA14" s="1740"/>
      <c r="BB14" s="1740"/>
      <c r="BC14" s="1740"/>
      <c r="BD14" s="1740"/>
      <c r="BE14" s="1740"/>
      <c r="BF14" s="1740"/>
      <c r="BG14" s="1740"/>
      <c r="BH14" s="1740"/>
      <c r="BI14" s="1768"/>
      <c r="BJ14" s="1768"/>
      <c r="BK14" s="1769">
        <f t="shared" si="1"/>
        <v>0</v>
      </c>
    </row>
    <row r="15" spans="2:63" ht="15.75">
      <c r="B15" s="1755"/>
      <c r="C15" s="1782" t="s">
        <v>3755</v>
      </c>
      <c r="D15" s="1773"/>
      <c r="E15" s="1774"/>
      <c r="F15" s="1773"/>
      <c r="G15" s="1783">
        <f>[34]прямые!E13</f>
        <v>37.858571165644165</v>
      </c>
      <c r="H15" s="1784">
        <f>[34]прямые!E17</f>
        <v>28.393928374233123</v>
      </c>
      <c r="I15" s="1785"/>
      <c r="J15" s="1784">
        <f>[34]прямые!E25</f>
        <v>109.78985638036808</v>
      </c>
      <c r="K15" s="1762">
        <f t="shared" si="3"/>
        <v>176.04235592024537</v>
      </c>
      <c r="L15" s="1763">
        <f t="shared" si="11"/>
        <v>37.858571165644165</v>
      </c>
      <c r="M15" s="1764">
        <f t="shared" si="11"/>
        <v>28.393928374233123</v>
      </c>
      <c r="N15" s="1764">
        <f t="shared" si="11"/>
        <v>0</v>
      </c>
      <c r="O15" s="1764">
        <f t="shared" si="11"/>
        <v>109.78985638036808</v>
      </c>
      <c r="P15" s="1762">
        <f t="shared" si="12"/>
        <v>176.04235592024537</v>
      </c>
      <c r="Q15" s="1759">
        <f>[34]прямые!F13</f>
        <v>37.858571165644165</v>
      </c>
      <c r="R15" s="1765">
        <f>[34]прямые!H13</f>
        <v>37.858571165644165</v>
      </c>
      <c r="S15" s="1760">
        <f>[34]прямые!F17</f>
        <v>47.323213957055202</v>
      </c>
      <c r="T15" s="1760">
        <f>[34]прямые!H17</f>
        <v>47.323213957055202</v>
      </c>
      <c r="U15" s="1784"/>
      <c r="V15" s="1784"/>
      <c r="W15" s="1760">
        <f>[34]прямые!F25</f>
        <v>170.36357024539873</v>
      </c>
      <c r="X15" s="1767">
        <f>[34]прямые!H25</f>
        <v>217.68678420245394</v>
      </c>
      <c r="Y15" s="1766">
        <f>SUM(Q15,S15,U15,W15)</f>
        <v>255.54535536809811</v>
      </c>
      <c r="Z15" s="1766">
        <f t="shared" si="6"/>
        <v>302.86856932515332</v>
      </c>
      <c r="AA15" s="1762">
        <f t="shared" si="13"/>
        <v>558.41392469325137</v>
      </c>
      <c r="AB15" s="1759">
        <f>[34]прямые!G13</f>
        <v>37.858571165644165</v>
      </c>
      <c r="AC15" s="1765">
        <f>[34]прямые!I13</f>
        <v>37.858571165644165</v>
      </c>
      <c r="AD15" s="1760">
        <f>[34]прямые!G17</f>
        <v>47.323213957055202</v>
      </c>
      <c r="AE15" s="1760">
        <f>[34]прямые!I17</f>
        <v>47.323213957055202</v>
      </c>
      <c r="AF15" s="1784">
        <f>[34]прямые!G21</f>
        <v>0</v>
      </c>
      <c r="AG15" s="1784">
        <f>[34]прямые!I21</f>
        <v>0</v>
      </c>
      <c r="AH15" s="1760">
        <f>[34]прямые!G25</f>
        <v>170.36357024539873</v>
      </c>
      <c r="AI15" s="1767">
        <f>[34]прямые!I25</f>
        <v>236.61606978527604</v>
      </c>
      <c r="AJ15" s="1766">
        <f>SUM(AB15,AD15,AF15,AH15)</f>
        <v>255.54535536809811</v>
      </c>
      <c r="AK15" s="1766">
        <f t="shared" si="8"/>
        <v>321.79785490797542</v>
      </c>
      <c r="AL15" s="1762">
        <f t="shared" si="15"/>
        <v>577.34321027607348</v>
      </c>
      <c r="AM15" s="1759">
        <f>[34]прямые!J13</f>
        <v>37.858571165644165</v>
      </c>
      <c r="AN15" s="1765">
        <f>[34]прямые!K13</f>
        <v>37.858571165644165</v>
      </c>
      <c r="AO15" s="1760">
        <f>[34]прямые!J17</f>
        <v>208.22214141104291</v>
      </c>
      <c r="AP15" s="1760">
        <f>[34]прямые!K17</f>
        <v>208.22214141104291</v>
      </c>
      <c r="AQ15" s="1760">
        <f>[34]прямые!J21</f>
        <v>47.786419743526203</v>
      </c>
      <c r="AR15" s="1760">
        <f>[34]прямые!K21</f>
        <v>47.786419743526203</v>
      </c>
      <c r="AS15" s="1760">
        <f>[34]прямые!J25</f>
        <v>435.37356840490787</v>
      </c>
      <c r="AT15" s="1767">
        <f>[34]прямые!K25</f>
        <v>435.37356840490787</v>
      </c>
      <c r="AU15" s="1766">
        <f>SUM(AM15,AO15,AQ15,AS15)</f>
        <v>729.24070072512109</v>
      </c>
      <c r="AV15" s="1766">
        <f t="shared" si="10"/>
        <v>729.24070072512109</v>
      </c>
      <c r="AW15" s="1762">
        <f t="shared" si="17"/>
        <v>1458.4814014502422</v>
      </c>
      <c r="AX15" s="1740"/>
      <c r="AY15" s="1740"/>
      <c r="AZ15" s="1740"/>
      <c r="BA15" s="1740"/>
      <c r="BB15" s="1740"/>
      <c r="BC15" s="1740"/>
      <c r="BD15" s="1740"/>
      <c r="BE15" s="1740"/>
      <c r="BF15" s="1740"/>
      <c r="BG15" s="1740"/>
      <c r="BH15" s="1740"/>
      <c r="BI15" s="1768"/>
      <c r="BJ15" s="1768"/>
      <c r="BK15" s="1769">
        <f t="shared" si="1"/>
        <v>0</v>
      </c>
    </row>
    <row r="16" spans="2:63" ht="31.5">
      <c r="B16" s="1755">
        <f>B12+1</f>
        <v>3</v>
      </c>
      <c r="C16" s="1772" t="s">
        <v>3756</v>
      </c>
      <c r="D16" s="1773"/>
      <c r="E16" s="1774"/>
      <c r="F16" s="1773"/>
      <c r="G16" s="1783">
        <f>'[34]калькул 1'!$M$73*0.643509618875815</f>
        <v>49.490052878731895</v>
      </c>
      <c r="H16" s="1784">
        <f>'[34]калькул 2'!$M$53*0.64321424352381</f>
        <v>49.467336603231082</v>
      </c>
      <c r="I16" s="1785"/>
      <c r="J16" s="1779">
        <f>K16-G16-H16-I16</f>
        <v>131.7620190259735</v>
      </c>
      <c r="K16" s="1786">
        <v>230.71940850793646</v>
      </c>
      <c r="L16" s="1763">
        <f t="shared" si="11"/>
        <v>49.490052878731895</v>
      </c>
      <c r="M16" s="1764">
        <f t="shared" si="11"/>
        <v>49.467336603231082</v>
      </c>
      <c r="N16" s="1764">
        <f t="shared" si="11"/>
        <v>0</v>
      </c>
      <c r="O16" s="1764">
        <f t="shared" si="11"/>
        <v>131.7620190259735</v>
      </c>
      <c r="P16" s="1762">
        <f t="shared" si="12"/>
        <v>230.71940850793646</v>
      </c>
      <c r="Q16" s="1759">
        <f>'[34]калькул 1'!$N$73</f>
        <v>76.906469502645507</v>
      </c>
      <c r="R16" s="1765">
        <f>'[34]калькул 1'!$P$73</f>
        <v>76.906469502645493</v>
      </c>
      <c r="S16" s="1760">
        <f>'[34]калькул 2'!$N$53</f>
        <v>76.906469502645507</v>
      </c>
      <c r="T16" s="1760">
        <f>'[34]калькул 2'!$P$53</f>
        <v>76.906469502645493</v>
      </c>
      <c r="U16" s="1784"/>
      <c r="V16" s="1784"/>
      <c r="W16" s="1760">
        <f>[34]калькул4!$N$43</f>
        <v>76.906469502645507</v>
      </c>
      <c r="X16" s="1767">
        <f>[34]калькул4!$P$43</f>
        <v>76.906469502645493</v>
      </c>
      <c r="Y16" s="1766">
        <f t="shared" si="6"/>
        <v>230.71940850793652</v>
      </c>
      <c r="Z16" s="1766">
        <f>SUM(R16,T16,V16,X16)</f>
        <v>230.71940850793646</v>
      </c>
      <c r="AA16" s="1762">
        <f>SUM(Q16:X16)</f>
        <v>461.43881701587304</v>
      </c>
      <c r="AB16" s="1759">
        <f>'[34]калькул 1'!$O$73</f>
        <v>76.906469502645493</v>
      </c>
      <c r="AC16" s="1765">
        <f>'[34]калькул 1'!$Q$73</f>
        <v>76.906469502645493</v>
      </c>
      <c r="AD16" s="1760">
        <f>'[34]калькул 2'!$O$53</f>
        <v>76.906469502645493</v>
      </c>
      <c r="AE16" s="1760">
        <f>'[34]калькул 2'!$Q$53</f>
        <v>76.906469502645493</v>
      </c>
      <c r="AF16" s="1761"/>
      <c r="AG16" s="1760">
        <f>'[34]калькул 3'!$J$21</f>
        <v>0</v>
      </c>
      <c r="AH16" s="1760">
        <f>[34]калькул4!$O$43</f>
        <v>76.906469502645493</v>
      </c>
      <c r="AI16" s="1767">
        <f>[34]калькул4!$Q$43</f>
        <v>76.906469502645493</v>
      </c>
      <c r="AJ16" s="1766">
        <f t="shared" ref="AJ16" si="18">SUM(AB16,AD16,AF16,AH16)</f>
        <v>230.71940850793646</v>
      </c>
      <c r="AK16" s="1766">
        <f>SUM(AC16,AE16,AG16,AI16)</f>
        <v>230.71940850793646</v>
      </c>
      <c r="AL16" s="1762">
        <f>SUM(AB16:AI16)</f>
        <v>461.43881701587298</v>
      </c>
      <c r="AM16" s="1759">
        <f>'[34]калькул 1'!$R$73</f>
        <v>57.679852126984123</v>
      </c>
      <c r="AN16" s="1765">
        <f>'[34]калькул 1'!$S$73</f>
        <v>57.679852126984123</v>
      </c>
      <c r="AO16" s="1760">
        <f>'[34]калькул 2'!$R$53</f>
        <v>57.679852126984123</v>
      </c>
      <c r="AP16" s="1760">
        <f>'[34]калькул 2'!$S$53</f>
        <v>57.679852126984123</v>
      </c>
      <c r="AQ16" s="1760">
        <f>'[34]калькул 3'!$L$21</f>
        <v>57.679852126984123</v>
      </c>
      <c r="AR16" s="1760">
        <f>'[34]калькул 3'!$M$21</f>
        <v>57.679852126984123</v>
      </c>
      <c r="AS16" s="1760">
        <f>[34]калькул4!$R$43</f>
        <v>57.679852126984123</v>
      </c>
      <c r="AT16" s="1767">
        <f>[34]калькул4!$S$43</f>
        <v>57.679852126984123</v>
      </c>
      <c r="AU16" s="1766">
        <f>SUM(AM16,AO16,AQ16,AS16)</f>
        <v>230.71940850793649</v>
      </c>
      <c r="AV16" s="1766">
        <f>SUM(AN16,AP16,AR16,AT16)</f>
        <v>230.71940850793649</v>
      </c>
      <c r="AW16" s="1762">
        <f>SUM(AM16:AT16)</f>
        <v>461.43881701587304</v>
      </c>
      <c r="AX16" s="1740"/>
      <c r="AY16" s="1740"/>
      <c r="AZ16" s="1740"/>
      <c r="BA16" s="1740"/>
      <c r="BB16" s="1740"/>
      <c r="BC16" s="1740"/>
      <c r="BD16" s="1740"/>
      <c r="BE16" s="1740"/>
      <c r="BF16" s="1740"/>
      <c r="BG16" s="1740"/>
      <c r="BH16" s="1740"/>
      <c r="BI16" s="1768"/>
      <c r="BJ16" s="1768"/>
      <c r="BK16" s="1769">
        <f t="shared" si="1"/>
        <v>0</v>
      </c>
    </row>
    <row r="17" spans="1:63" ht="15.75">
      <c r="B17" s="1755">
        <f>B16+1</f>
        <v>4</v>
      </c>
      <c r="C17" s="1787" t="s">
        <v>3737</v>
      </c>
      <c r="D17" s="1788"/>
      <c r="E17" s="1789"/>
      <c r="F17" s="1788"/>
      <c r="G17" s="1790"/>
      <c r="H17" s="1791"/>
      <c r="I17" s="1791"/>
      <c r="J17" s="1791"/>
      <c r="K17" s="1792"/>
      <c r="L17" s="1790"/>
      <c r="M17" s="1791"/>
      <c r="N17" s="1791"/>
      <c r="O17" s="1791"/>
      <c r="P17" s="1793"/>
      <c r="Q17" s="1790"/>
      <c r="R17" s="1794"/>
      <c r="S17" s="1791"/>
      <c r="T17" s="1791"/>
      <c r="U17" s="1791"/>
      <c r="V17" s="1791"/>
      <c r="W17" s="1791"/>
      <c r="X17" s="1795"/>
      <c r="Y17" s="1795"/>
      <c r="Z17" s="1795"/>
      <c r="AA17" s="1793"/>
      <c r="AB17" s="1790"/>
      <c r="AC17" s="1794"/>
      <c r="AD17" s="1791"/>
      <c r="AE17" s="1791"/>
      <c r="AF17" s="1791"/>
      <c r="AG17" s="1791"/>
      <c r="AH17" s="1791"/>
      <c r="AI17" s="1795"/>
      <c r="AJ17" s="1795"/>
      <c r="AK17" s="1795"/>
      <c r="AL17" s="1793"/>
      <c r="AM17" s="1790"/>
      <c r="AN17" s="1794"/>
      <c r="AO17" s="1791"/>
      <c r="AP17" s="1791"/>
      <c r="AQ17" s="1791"/>
      <c r="AR17" s="1791"/>
      <c r="AS17" s="1791"/>
      <c r="AT17" s="1795"/>
      <c r="AU17" s="1795"/>
      <c r="AV17" s="1795"/>
      <c r="AW17" s="1793"/>
      <c r="AX17" s="1740"/>
      <c r="AY17" s="1740"/>
      <c r="AZ17" s="1740"/>
      <c r="BA17" s="1740"/>
      <c r="BB17" s="1740"/>
      <c r="BC17" s="1740"/>
      <c r="BD17" s="1740"/>
      <c r="BE17" s="1740"/>
      <c r="BF17" s="1740"/>
      <c r="BG17" s="1740"/>
      <c r="BH17" s="1740"/>
      <c r="BI17" s="1768"/>
      <c r="BJ17" s="1768"/>
      <c r="BK17" s="1769">
        <f t="shared" si="1"/>
        <v>0</v>
      </c>
    </row>
    <row r="18" spans="1:63" ht="15.75">
      <c r="B18" s="1745">
        <f>B17+1</f>
        <v>5</v>
      </c>
      <c r="C18" s="1796" t="s">
        <v>3757</v>
      </c>
      <c r="D18" s="1748"/>
      <c r="E18" s="1748"/>
      <c r="F18" s="1748"/>
      <c r="G18" s="1797"/>
      <c r="H18" s="1798"/>
      <c r="I18" s="1798"/>
      <c r="J18" s="1798"/>
      <c r="K18" s="1799">
        <f>SUM(K19:K20)</f>
        <v>411</v>
      </c>
      <c r="L18" s="1797"/>
      <c r="M18" s="1798"/>
      <c r="N18" s="1798"/>
      <c r="O18" s="1798"/>
      <c r="P18" s="1799">
        <f>SUM(P19:P20)</f>
        <v>81</v>
      </c>
      <c r="Q18" s="1797"/>
      <c r="R18" s="1800"/>
      <c r="S18" s="1798"/>
      <c r="T18" s="1798"/>
      <c r="U18" s="1798"/>
      <c r="V18" s="1798"/>
      <c r="W18" s="1798"/>
      <c r="X18" s="1801"/>
      <c r="Y18" s="1802">
        <f t="shared" ref="Y18:AA18" si="19">SUM(Y19:Y20)</f>
        <v>9</v>
      </c>
      <c r="Z18" s="1802">
        <f t="shared" si="19"/>
        <v>14</v>
      </c>
      <c r="AA18" s="1803">
        <f t="shared" si="19"/>
        <v>36</v>
      </c>
      <c r="AB18" s="1797"/>
      <c r="AC18" s="1800"/>
      <c r="AD18" s="1798"/>
      <c r="AE18" s="1798"/>
      <c r="AF18" s="1798"/>
      <c r="AG18" s="1798"/>
      <c r="AH18" s="1798"/>
      <c r="AI18" s="1801"/>
      <c r="AJ18" s="1802">
        <f t="shared" ref="AJ18:AK18" si="20">SUM(AJ19:AJ20)</f>
        <v>2</v>
      </c>
      <c r="AK18" s="1802">
        <f t="shared" si="20"/>
        <v>9</v>
      </c>
      <c r="AL18" s="1803">
        <f>SUM(AL19:AL20)</f>
        <v>12</v>
      </c>
      <c r="AM18" s="1797"/>
      <c r="AN18" s="1800"/>
      <c r="AO18" s="1798"/>
      <c r="AP18" s="1798"/>
      <c r="AQ18" s="1798"/>
      <c r="AR18" s="1798"/>
      <c r="AS18" s="1798"/>
      <c r="AT18" s="1801"/>
      <c r="AU18" s="1802">
        <f t="shared" ref="AU18:AW18" si="21">SUM(AU19:AU20)</f>
        <v>0</v>
      </c>
      <c r="AV18" s="1802">
        <f t="shared" si="21"/>
        <v>0</v>
      </c>
      <c r="AW18" s="1803">
        <f t="shared" si="21"/>
        <v>0</v>
      </c>
      <c r="AX18" s="1740"/>
      <c r="AY18" s="1740"/>
      <c r="AZ18" s="1740"/>
      <c r="BA18" s="1740"/>
      <c r="BB18" s="1740"/>
      <c r="BC18" s="1740"/>
      <c r="BD18" s="1740"/>
      <c r="BE18" s="1804">
        <f>SUM(BE19:BE20)</f>
        <v>540</v>
      </c>
      <c r="BF18" s="1740"/>
      <c r="BG18" s="1740"/>
      <c r="BH18" s="1740"/>
      <c r="BI18" s="1770"/>
      <c r="BJ18" s="1771"/>
      <c r="BK18" s="1805">
        <f t="shared" ref="BK18:BK23" si="22">K18+P18+AA18+AL18</f>
        <v>540</v>
      </c>
    </row>
    <row r="19" spans="1:63" ht="15.75">
      <c r="B19" s="1755" t="s">
        <v>2624</v>
      </c>
      <c r="C19" s="1806" t="s">
        <v>3758</v>
      </c>
      <c r="D19" s="1789"/>
      <c r="E19" s="1789"/>
      <c r="F19" s="1789"/>
      <c r="G19" s="1807"/>
      <c r="H19" s="1808"/>
      <c r="I19" s="1808"/>
      <c r="J19" s="1808"/>
      <c r="K19" s="1809">
        <v>235</v>
      </c>
      <c r="L19" s="1807"/>
      <c r="M19" s="1808"/>
      <c r="N19" s="1808"/>
      <c r="O19" s="1808"/>
      <c r="P19" s="1810">
        <v>78</v>
      </c>
      <c r="Q19" s="1807"/>
      <c r="R19" s="1811"/>
      <c r="S19" s="1808"/>
      <c r="T19" s="1808"/>
      <c r="U19" s="1808"/>
      <c r="V19" s="1808"/>
      <c r="W19" s="1808"/>
      <c r="X19" s="1812"/>
      <c r="Y19" s="1813">
        <v>9</v>
      </c>
      <c r="Z19" s="1813">
        <v>14</v>
      </c>
      <c r="AA19" s="1810">
        <v>23</v>
      </c>
      <c r="AB19" s="1807"/>
      <c r="AC19" s="1811"/>
      <c r="AD19" s="1808"/>
      <c r="AE19" s="1808"/>
      <c r="AF19" s="1808"/>
      <c r="AG19" s="1808"/>
      <c r="AH19" s="1808"/>
      <c r="AI19" s="1812"/>
      <c r="AJ19" s="1813">
        <v>2</v>
      </c>
      <c r="AK19" s="1813">
        <v>9</v>
      </c>
      <c r="AL19" s="1810">
        <v>11</v>
      </c>
      <c r="AM19" s="1807"/>
      <c r="AN19" s="1811"/>
      <c r="AO19" s="1808"/>
      <c r="AP19" s="1808"/>
      <c r="AQ19" s="1808"/>
      <c r="AR19" s="1808"/>
      <c r="AS19" s="1808"/>
      <c r="AT19" s="1812"/>
      <c r="AU19" s="1813">
        <v>0</v>
      </c>
      <c r="AV19" s="1813">
        <v>0</v>
      </c>
      <c r="AW19" s="1810">
        <v>0</v>
      </c>
      <c r="AX19" s="1740"/>
      <c r="AY19" s="1740"/>
      <c r="AZ19" s="1740"/>
      <c r="BA19" s="1740"/>
      <c r="BB19" s="1740"/>
      <c r="BC19" s="1740"/>
      <c r="BD19" s="1740"/>
      <c r="BE19" s="1814">
        <f>SUM(K19,P19,AA19,AL19)</f>
        <v>347</v>
      </c>
      <c r="BF19" s="1740"/>
      <c r="BG19" s="1740"/>
      <c r="BH19" s="1740"/>
      <c r="BI19" s="1780"/>
      <c r="BJ19" s="1781"/>
      <c r="BK19" s="1815">
        <f t="shared" si="22"/>
        <v>347</v>
      </c>
    </row>
    <row r="20" spans="1:63" ht="15.75">
      <c r="B20" s="1816" t="s">
        <v>2644</v>
      </c>
      <c r="C20" s="1817" t="s">
        <v>3759</v>
      </c>
      <c r="D20" s="1818"/>
      <c r="E20" s="1818"/>
      <c r="F20" s="1818"/>
      <c r="G20" s="1819"/>
      <c r="H20" s="1820"/>
      <c r="I20" s="1820"/>
      <c r="J20" s="1820"/>
      <c r="K20" s="1821">
        <v>176</v>
      </c>
      <c r="L20" s="1819"/>
      <c r="M20" s="1820"/>
      <c r="N20" s="1820"/>
      <c r="O20" s="1820"/>
      <c r="P20" s="1822">
        <v>3</v>
      </c>
      <c r="Q20" s="1819"/>
      <c r="R20" s="1823"/>
      <c r="S20" s="1820"/>
      <c r="T20" s="1820"/>
      <c r="U20" s="1820"/>
      <c r="V20" s="1820"/>
      <c r="W20" s="1820"/>
      <c r="X20" s="1824"/>
      <c r="Y20" s="1825"/>
      <c r="Z20" s="1825"/>
      <c r="AA20" s="1822">
        <v>13</v>
      </c>
      <c r="AB20" s="1819"/>
      <c r="AC20" s="1823"/>
      <c r="AD20" s="1820"/>
      <c r="AE20" s="1820"/>
      <c r="AF20" s="1820"/>
      <c r="AG20" s="1820"/>
      <c r="AH20" s="1820"/>
      <c r="AI20" s="1824"/>
      <c r="AJ20" s="1825"/>
      <c r="AK20" s="1825"/>
      <c r="AL20" s="1822">
        <v>1</v>
      </c>
      <c r="AM20" s="1819"/>
      <c r="AN20" s="1823"/>
      <c r="AO20" s="1820"/>
      <c r="AP20" s="1820"/>
      <c r="AQ20" s="1820"/>
      <c r="AR20" s="1820"/>
      <c r="AS20" s="1820"/>
      <c r="AT20" s="1824"/>
      <c r="AU20" s="1825"/>
      <c r="AV20" s="1825"/>
      <c r="AW20" s="1826"/>
      <c r="AX20" s="1740"/>
      <c r="AY20" s="1740"/>
      <c r="AZ20" s="1740"/>
      <c r="BA20" s="1740"/>
      <c r="BB20" s="1740"/>
      <c r="BC20" s="1740"/>
      <c r="BD20" s="1740"/>
      <c r="BE20" s="1814">
        <f>SUM(K20,P20,AA20,AL20)</f>
        <v>193</v>
      </c>
      <c r="BF20" s="1740"/>
      <c r="BG20" s="1740"/>
      <c r="BH20" s="1740"/>
      <c r="BI20" s="1827"/>
      <c r="BJ20" s="1828"/>
      <c r="BK20" s="1829">
        <f t="shared" si="22"/>
        <v>193</v>
      </c>
    </row>
    <row r="21" spans="1:63" ht="15.75">
      <c r="B21" s="1745">
        <f>B18+1</f>
        <v>6</v>
      </c>
      <c r="C21" s="1796" t="s">
        <v>3760</v>
      </c>
      <c r="D21" s="1748"/>
      <c r="E21" s="1748"/>
      <c r="F21" s="1748"/>
      <c r="G21" s="1830"/>
      <c r="H21" s="1831"/>
      <c r="I21" s="1831"/>
      <c r="J21" s="1831"/>
      <c r="K21" s="1832">
        <f>SUM(K22:K23)</f>
        <v>2773.0249999999996</v>
      </c>
      <c r="L21" s="1830"/>
      <c r="M21" s="1831"/>
      <c r="N21" s="1831"/>
      <c r="O21" s="1831"/>
      <c r="P21" s="1832">
        <f>SUM(P22:P23)</f>
        <v>225.03000000000014</v>
      </c>
      <c r="Q21" s="1830"/>
      <c r="R21" s="1833"/>
      <c r="S21" s="1831"/>
      <c r="T21" s="1831"/>
      <c r="U21" s="1831"/>
      <c r="V21" s="1831"/>
      <c r="W21" s="1831"/>
      <c r="X21" s="1834"/>
      <c r="Y21" s="1835">
        <f t="shared" ref="Y21:AA21" si="23">SUM(Y22:Y23)</f>
        <v>304.22000000000003</v>
      </c>
      <c r="Z21" s="1835">
        <f t="shared" si="23"/>
        <v>947.30000000000007</v>
      </c>
      <c r="AA21" s="1832">
        <f t="shared" si="23"/>
        <v>2125.7200000000003</v>
      </c>
      <c r="AB21" s="1830"/>
      <c r="AC21" s="1833"/>
      <c r="AD21" s="1831"/>
      <c r="AE21" s="1831"/>
      <c r="AF21" s="1831"/>
      <c r="AG21" s="1831"/>
      <c r="AH21" s="1831"/>
      <c r="AI21" s="1834"/>
      <c r="AJ21" s="1835">
        <f t="shared" ref="AJ21:AK21" si="24">SUM(AJ22:AJ23)</f>
        <v>301</v>
      </c>
      <c r="AK21" s="1835">
        <f t="shared" si="24"/>
        <v>2919.91</v>
      </c>
      <c r="AL21" s="1832">
        <f>SUM(AL22:AL23)</f>
        <v>3720.91</v>
      </c>
      <c r="AM21" s="1830"/>
      <c r="AN21" s="1833"/>
      <c r="AO21" s="1831"/>
      <c r="AP21" s="1831"/>
      <c r="AQ21" s="1831"/>
      <c r="AR21" s="1831"/>
      <c r="AS21" s="1831"/>
      <c r="AT21" s="1834"/>
      <c r="AU21" s="1835">
        <v>0</v>
      </c>
      <c r="AV21" s="1835">
        <v>0</v>
      </c>
      <c r="AW21" s="1832">
        <v>0</v>
      </c>
      <c r="AX21" s="1740"/>
      <c r="AY21" s="1740"/>
      <c r="AZ21" s="1740"/>
      <c r="BA21" s="1740"/>
      <c r="BB21" s="1740"/>
      <c r="BC21" s="1740"/>
      <c r="BD21" s="1740"/>
      <c r="BE21" s="1836">
        <f>SUM(BE22:BE23)</f>
        <v>8844.6849999999995</v>
      </c>
      <c r="BF21" s="1740"/>
      <c r="BG21" s="1740"/>
      <c r="BH21" s="1740"/>
      <c r="BI21" s="1770"/>
      <c r="BJ21" s="1771"/>
      <c r="BK21" s="1805">
        <f t="shared" si="22"/>
        <v>8844.6849999999995</v>
      </c>
    </row>
    <row r="22" spans="1:63" ht="15.75">
      <c r="B22" s="1755" t="s">
        <v>3761</v>
      </c>
      <c r="C22" s="1806" t="s">
        <v>3762</v>
      </c>
      <c r="D22" s="1789"/>
      <c r="E22" s="1789"/>
      <c r="F22" s="1789"/>
      <c r="G22" s="1790"/>
      <c r="H22" s="1791"/>
      <c r="I22" s="1791"/>
      <c r="J22" s="1791"/>
      <c r="K22" s="1837">
        <v>1342.2249999999999</v>
      </c>
      <c r="L22" s="1790"/>
      <c r="M22" s="1791"/>
      <c r="N22" s="1791"/>
      <c r="O22" s="1791"/>
      <c r="P22" s="1838">
        <v>198.03000000000014</v>
      </c>
      <c r="Q22" s="1790"/>
      <c r="R22" s="1839"/>
      <c r="S22" s="1791"/>
      <c r="T22" s="1791"/>
      <c r="U22" s="1791"/>
      <c r="V22" s="1791"/>
      <c r="W22" s="1791"/>
      <c r="X22" s="1795"/>
      <c r="Y22" s="1840">
        <v>304.22000000000003</v>
      </c>
      <c r="Z22" s="1840">
        <v>947.30000000000007</v>
      </c>
      <c r="AA22" s="1838">
        <v>1251.52</v>
      </c>
      <c r="AB22" s="1790"/>
      <c r="AC22" s="1839"/>
      <c r="AD22" s="1791"/>
      <c r="AE22" s="1791"/>
      <c r="AF22" s="1791"/>
      <c r="AG22" s="1791"/>
      <c r="AH22" s="1791"/>
      <c r="AI22" s="1795"/>
      <c r="AJ22" s="1840">
        <v>301</v>
      </c>
      <c r="AK22" s="1840">
        <v>2919.91</v>
      </c>
      <c r="AL22" s="1838">
        <v>3220.91</v>
      </c>
      <c r="AM22" s="1790"/>
      <c r="AN22" s="1839"/>
      <c r="AO22" s="1791"/>
      <c r="AP22" s="1791"/>
      <c r="AQ22" s="1791"/>
      <c r="AR22" s="1791"/>
      <c r="AS22" s="1791"/>
      <c r="AT22" s="1795"/>
      <c r="AU22" s="1840">
        <v>0</v>
      </c>
      <c r="AV22" s="1840">
        <v>0</v>
      </c>
      <c r="AW22" s="1838">
        <v>0</v>
      </c>
      <c r="AX22" s="1740"/>
      <c r="AY22" s="1740"/>
      <c r="AZ22" s="1740"/>
      <c r="BA22" s="1740"/>
      <c r="BB22" s="1740"/>
      <c r="BC22" s="1740"/>
      <c r="BD22" s="1740"/>
      <c r="BE22" s="1841">
        <f>SUM(K22,P22,AA22,AL22)</f>
        <v>6012.6849999999995</v>
      </c>
      <c r="BF22" s="1740"/>
      <c r="BG22" s="1740"/>
      <c r="BH22" s="1740"/>
      <c r="BI22" s="1780"/>
      <c r="BJ22" s="1781"/>
      <c r="BK22" s="1842">
        <f t="shared" si="22"/>
        <v>6012.6849999999995</v>
      </c>
    </row>
    <row r="23" spans="1:63" ht="15.75">
      <c r="B23" s="1816" t="s">
        <v>3763</v>
      </c>
      <c r="C23" s="1817" t="s">
        <v>3764</v>
      </c>
      <c r="D23" s="1845"/>
      <c r="E23" s="1818"/>
      <c r="F23" s="1845"/>
      <c r="G23" s="1846"/>
      <c r="H23" s="1847"/>
      <c r="I23" s="1847"/>
      <c r="J23" s="1847"/>
      <c r="K23" s="1848">
        <v>1430.8</v>
      </c>
      <c r="L23" s="1846"/>
      <c r="M23" s="1847"/>
      <c r="N23" s="1847"/>
      <c r="O23" s="1847"/>
      <c r="P23" s="1849">
        <v>27</v>
      </c>
      <c r="Q23" s="1846"/>
      <c r="R23" s="1850"/>
      <c r="S23" s="1847"/>
      <c r="T23" s="1847"/>
      <c r="U23" s="1847"/>
      <c r="V23" s="1847"/>
      <c r="W23" s="1847"/>
      <c r="X23" s="1851"/>
      <c r="Y23" s="1852"/>
      <c r="Z23" s="1852"/>
      <c r="AA23" s="1849">
        <v>874.2</v>
      </c>
      <c r="AB23" s="1846"/>
      <c r="AC23" s="1850"/>
      <c r="AD23" s="1847"/>
      <c r="AE23" s="1847"/>
      <c r="AF23" s="1847"/>
      <c r="AG23" s="1847"/>
      <c r="AH23" s="1847"/>
      <c r="AI23" s="1851"/>
      <c r="AJ23" s="1852"/>
      <c r="AK23" s="1852"/>
      <c r="AL23" s="1849">
        <v>500</v>
      </c>
      <c r="AM23" s="1846"/>
      <c r="AN23" s="1850"/>
      <c r="AO23" s="1847"/>
      <c r="AP23" s="1847"/>
      <c r="AQ23" s="1847"/>
      <c r="AR23" s="1847"/>
      <c r="AS23" s="1847"/>
      <c r="AT23" s="1851"/>
      <c r="AU23" s="1852"/>
      <c r="AV23" s="1852"/>
      <c r="AW23" s="1853"/>
      <c r="AX23" s="1740"/>
      <c r="AY23" s="1740"/>
      <c r="AZ23" s="1740"/>
      <c r="BA23" s="1740"/>
      <c r="BB23" s="1740"/>
      <c r="BC23" s="1740"/>
      <c r="BD23" s="1740"/>
      <c r="BE23" s="1841">
        <f>SUM(K23,P23,AA23,AL23)</f>
        <v>2832</v>
      </c>
      <c r="BF23" s="1740"/>
      <c r="BG23" s="1740"/>
      <c r="BH23" s="1740"/>
      <c r="BI23" s="1827"/>
      <c r="BJ23" s="1828"/>
      <c r="BK23" s="1829">
        <f t="shared" si="22"/>
        <v>2832</v>
      </c>
    </row>
    <row r="24" spans="1:63" ht="15.75">
      <c r="B24" s="1854">
        <f>B21+1</f>
        <v>7</v>
      </c>
      <c r="C24" s="1855" t="s">
        <v>3765</v>
      </c>
      <c r="D24" s="1856"/>
      <c r="E24" s="1857"/>
      <c r="F24" s="1856"/>
      <c r="G24" s="1858">
        <f>G25/$K$21</f>
        <v>70.337249156118261</v>
      </c>
      <c r="H24" s="1859">
        <f>H25/$K$21</f>
        <v>75.208570799179626</v>
      </c>
      <c r="I24" s="1859">
        <f t="shared" ref="I24:J24" si="25">I25/$K$21</f>
        <v>0</v>
      </c>
      <c r="J24" s="1859">
        <f t="shared" si="25"/>
        <v>195.34108830171411</v>
      </c>
      <c r="K24" s="1860">
        <f>K25/$K$21</f>
        <v>340.88690825701195</v>
      </c>
      <c r="L24" s="1858">
        <f>L25/$P$21</f>
        <v>637.1396078519399</v>
      </c>
      <c r="M24" s="1859">
        <f t="shared" ref="M24:O24" si="26">M25/$P$21</f>
        <v>659.04566335372363</v>
      </c>
      <c r="N24" s="1859">
        <f t="shared" si="26"/>
        <v>0</v>
      </c>
      <c r="O24" s="1859">
        <f t="shared" si="26"/>
        <v>1737.195592390623</v>
      </c>
      <c r="P24" s="1860">
        <f>P25/$P$21</f>
        <v>3033.3808635962864</v>
      </c>
      <c r="Q24" s="1858">
        <f>Q25/$AA$18</f>
        <v>21953.40949562929</v>
      </c>
      <c r="R24" s="1859">
        <f t="shared" ref="R24:AA24" si="27">R25/$AA$18</f>
        <v>23414.188537789549</v>
      </c>
      <c r="S24" s="1859">
        <f t="shared" si="27"/>
        <v>21784.240354855043</v>
      </c>
      <c r="T24" s="1859">
        <f t="shared" si="27"/>
        <v>23097.073740322765</v>
      </c>
      <c r="U24" s="1859">
        <f t="shared" si="27"/>
        <v>0</v>
      </c>
      <c r="V24" s="1859">
        <f t="shared" si="27"/>
        <v>0</v>
      </c>
      <c r="W24" s="1859">
        <f t="shared" si="27"/>
        <v>27353.810496720118</v>
      </c>
      <c r="X24" s="1859">
        <f>X25/$AA$18</f>
        <v>30167.285105393701</v>
      </c>
      <c r="Y24" s="1859">
        <f>Y25/$AA$18</f>
        <v>71091.46034720444</v>
      </c>
      <c r="Z24" s="1859">
        <f t="shared" ref="Z24" si="28">Z25/$AA$18</f>
        <v>76678.547383506011</v>
      </c>
      <c r="AA24" s="1860">
        <f t="shared" si="27"/>
        <v>147770.00773071044</v>
      </c>
      <c r="AB24" s="1858">
        <f>AB25/$AA$18</f>
        <v>14178.807726172781</v>
      </c>
      <c r="AC24" s="1859">
        <f t="shared" ref="AC24:AH24" si="29">AC25/$AA$18</f>
        <v>14178.807726172781</v>
      </c>
      <c r="AD24" s="1859">
        <f t="shared" si="29"/>
        <v>13815.509121649178</v>
      </c>
      <c r="AE24" s="1859">
        <f t="shared" si="29"/>
        <v>14349.880669655391</v>
      </c>
      <c r="AF24" s="1859">
        <f t="shared" si="29"/>
        <v>0</v>
      </c>
      <c r="AG24" s="1859">
        <f t="shared" si="29"/>
        <v>0</v>
      </c>
      <c r="AH24" s="1859">
        <f t="shared" si="29"/>
        <v>16012.497272662973</v>
      </c>
      <c r="AI24" s="1859">
        <f>AI25/$AA$18</f>
        <v>18091.502397902128</v>
      </c>
      <c r="AJ24" s="1859">
        <f>AJ25/$AA$18</f>
        <v>44006.814120484938</v>
      </c>
      <c r="AK24" s="1859">
        <f t="shared" ref="AK24:AL24" si="30">AK25/$AA$18</f>
        <v>46620.190793730297</v>
      </c>
      <c r="AL24" s="1860">
        <f t="shared" si="30"/>
        <v>90627.004914215242</v>
      </c>
      <c r="AM24" s="1858">
        <f>IF(ISERROR(AM25/$AW$21),0,AM25/$AW$21)</f>
        <v>0</v>
      </c>
      <c r="AN24" s="1861">
        <f t="shared" ref="AN24:AW24" si="31">IF(ISERROR(AN25/$AW$21),0,AN25/$AW$21)</f>
        <v>0</v>
      </c>
      <c r="AO24" s="1859">
        <f t="shared" si="31"/>
        <v>0</v>
      </c>
      <c r="AP24" s="1859">
        <f t="shared" si="31"/>
        <v>0</v>
      </c>
      <c r="AQ24" s="1859">
        <f t="shared" si="31"/>
        <v>0</v>
      </c>
      <c r="AR24" s="1859">
        <f t="shared" si="31"/>
        <v>0</v>
      </c>
      <c r="AS24" s="1859">
        <f t="shared" si="31"/>
        <v>0</v>
      </c>
      <c r="AT24" s="1862">
        <f t="shared" si="31"/>
        <v>0</v>
      </c>
      <c r="AU24" s="1859">
        <f t="shared" si="31"/>
        <v>0</v>
      </c>
      <c r="AV24" s="1859">
        <f t="shared" si="31"/>
        <v>0</v>
      </c>
      <c r="AW24" s="1860">
        <f t="shared" si="31"/>
        <v>0</v>
      </c>
      <c r="AX24" s="1740">
        <f>10396.2*1000</f>
        <v>10396200</v>
      </c>
      <c r="AY24" s="1740"/>
      <c r="AZ24" s="1740"/>
      <c r="BA24" s="1740"/>
      <c r="BB24" s="1740"/>
      <c r="BC24" s="1740"/>
      <c r="BD24" s="1740"/>
      <c r="BE24" s="1740"/>
      <c r="BF24" s="1740"/>
      <c r="BG24" s="1740"/>
      <c r="BH24" s="1740"/>
      <c r="BI24" s="1768"/>
      <c r="BJ24" s="1768"/>
      <c r="BK24" s="1769">
        <f t="shared" si="1"/>
        <v>0</v>
      </c>
    </row>
    <row r="25" spans="1:63" ht="47.25">
      <c r="B25" s="1745">
        <f>B24+1</f>
        <v>8</v>
      </c>
      <c r="C25" s="1864" t="s">
        <v>3702</v>
      </c>
      <c r="D25" s="1749"/>
      <c r="E25" s="1865">
        <f>BE19</f>
        <v>347</v>
      </c>
      <c r="F25" s="1866">
        <f>BE22</f>
        <v>6012.6849999999995</v>
      </c>
      <c r="G25" s="1867">
        <f>SUM(G26,G30:G33,G44)</f>
        <v>195046.95034114481</v>
      </c>
      <c r="H25" s="1868">
        <f t="shared" ref="H25:K25" si="32">SUM(H26,H30:H33,H44)</f>
        <v>208555.24704039504</v>
      </c>
      <c r="I25" s="1868">
        <f t="shared" si="32"/>
        <v>0</v>
      </c>
      <c r="J25" s="1868">
        <f>SUM(J26,J30:J33,J44)</f>
        <v>541685.72138786071</v>
      </c>
      <c r="K25" s="1832">
        <f t="shared" si="32"/>
        <v>945287.91876940045</v>
      </c>
      <c r="L25" s="1867">
        <f>SUM(L26,L30:L33,L44)</f>
        <v>143375.52595492214</v>
      </c>
      <c r="M25" s="1868">
        <f t="shared" ref="M25:N25" si="33">SUM(M26,M30:M33,M44)</f>
        <v>148305.04562448853</v>
      </c>
      <c r="N25" s="1868">
        <f t="shared" si="33"/>
        <v>0</v>
      </c>
      <c r="O25" s="1868">
        <f>SUM(O26,O30:O33,O44)</f>
        <v>390921.12415566214</v>
      </c>
      <c r="P25" s="1832">
        <f>SUM(P26,P30:P33,P44)</f>
        <v>682601.69573507272</v>
      </c>
      <c r="Q25" s="1867">
        <f>SUM(Q26,Q30:Q33,Q44)</f>
        <v>790322.74184265442</v>
      </c>
      <c r="R25" s="1869">
        <f t="shared" ref="R25:Z25" si="34">SUM(R26,R30:R33,R44)</f>
        <v>842910.78736042371</v>
      </c>
      <c r="S25" s="1868">
        <f t="shared" si="34"/>
        <v>784232.65277478157</v>
      </c>
      <c r="T25" s="1868">
        <f t="shared" si="34"/>
        <v>831494.65465161949</v>
      </c>
      <c r="U25" s="1868">
        <f t="shared" si="34"/>
        <v>0</v>
      </c>
      <c r="V25" s="1868">
        <f t="shared" si="34"/>
        <v>0</v>
      </c>
      <c r="W25" s="1868">
        <f t="shared" si="34"/>
        <v>984737.1778819242</v>
      </c>
      <c r="X25" s="1870">
        <f t="shared" si="34"/>
        <v>1086022.2637941733</v>
      </c>
      <c r="Y25" s="1870">
        <f t="shared" si="34"/>
        <v>2559292.57249936</v>
      </c>
      <c r="Z25" s="1870">
        <f t="shared" si="34"/>
        <v>2760427.7058062162</v>
      </c>
      <c r="AA25" s="1832">
        <f>SUM(AA26,AA30:AA33,AA44)</f>
        <v>5319720.2783055762</v>
      </c>
      <c r="AB25" s="1867">
        <f>SUM(AB26,AB30:AB33,AB44)</f>
        <v>510437.0781422201</v>
      </c>
      <c r="AC25" s="1869">
        <f t="shared" ref="AC25:AK25" si="35">SUM(AC26,AC30:AC33,AC44)</f>
        <v>510437.0781422201</v>
      </c>
      <c r="AD25" s="1868">
        <f t="shared" si="35"/>
        <v>497358.32837937039</v>
      </c>
      <c r="AE25" s="1868">
        <f t="shared" si="35"/>
        <v>516595.70410759409</v>
      </c>
      <c r="AF25" s="1868">
        <f t="shared" si="35"/>
        <v>0</v>
      </c>
      <c r="AG25" s="1868">
        <f t="shared" si="35"/>
        <v>0</v>
      </c>
      <c r="AH25" s="1868">
        <f t="shared" si="35"/>
        <v>576449.90181586705</v>
      </c>
      <c r="AI25" s="1870">
        <f t="shared" si="35"/>
        <v>651294.08632447664</v>
      </c>
      <c r="AJ25" s="1870">
        <f t="shared" si="35"/>
        <v>1584245.3083374577</v>
      </c>
      <c r="AK25" s="1870">
        <f t="shared" si="35"/>
        <v>1678326.8685742908</v>
      </c>
      <c r="AL25" s="1832">
        <f>SUM(AL26,AL30:AL33,AL44)</f>
        <v>3262572.1769117489</v>
      </c>
      <c r="AM25" s="1867">
        <f>SUM(AM26,AM30:AM33,AM44)</f>
        <v>29986.00629212135</v>
      </c>
      <c r="AN25" s="1869">
        <f t="shared" ref="AN25:AV25" si="36">SUM(AN26,AN30:AN33,AN44)</f>
        <v>29986.00629212135</v>
      </c>
      <c r="AO25" s="1868">
        <f t="shared" si="36"/>
        <v>25297.925573274384</v>
      </c>
      <c r="AP25" s="1868">
        <f t="shared" si="36"/>
        <v>25297.925573274384</v>
      </c>
      <c r="AQ25" s="1868">
        <f t="shared" si="36"/>
        <v>16193.687311934602</v>
      </c>
      <c r="AR25" s="1868">
        <f t="shared" si="36"/>
        <v>16193.687311934602</v>
      </c>
      <c r="AS25" s="1868">
        <f t="shared" si="36"/>
        <v>21542.785961770594</v>
      </c>
      <c r="AT25" s="1870">
        <f t="shared" si="36"/>
        <v>21542.785961770594</v>
      </c>
      <c r="AU25" s="1870">
        <f t="shared" si="36"/>
        <v>93020.405139100927</v>
      </c>
      <c r="AV25" s="1870">
        <f t="shared" si="36"/>
        <v>93020.405139100927</v>
      </c>
      <c r="AW25" s="1832">
        <f>SUM(AW26,AW30:AW33,AW44)</f>
        <v>186040.81027820191</v>
      </c>
      <c r="AX25" s="1740">
        <f>SUM(K25,P25,AA25,AL25)</f>
        <v>10210182.069721799</v>
      </c>
      <c r="AY25" s="1740" t="b">
        <f>AX25='[30]СС 2015'!D152-'[30]СС 2015'!L152</f>
        <v>1</v>
      </c>
      <c r="AZ25" s="1740"/>
      <c r="BA25" s="1836">
        <f t="shared" ref="BA25:BF25" si="37">SUM(BA26,BA30:BA33,BA44)</f>
        <v>2992530.1617835853</v>
      </c>
      <c r="BB25" s="1836">
        <f t="shared" si="37"/>
        <v>2986541.6325782491</v>
      </c>
      <c r="BC25" s="1836">
        <f t="shared" si="37"/>
        <v>0</v>
      </c>
      <c r="BD25" s="1836">
        <f t="shared" si="37"/>
        <v>4231110.275359964</v>
      </c>
      <c r="BE25" s="1836">
        <f t="shared" si="37"/>
        <v>10210182.069721799</v>
      </c>
      <c r="BF25" s="1836">
        <f t="shared" si="37"/>
        <v>10210182.069721799</v>
      </c>
      <c r="BG25" s="1740"/>
      <c r="BH25" s="1740"/>
      <c r="BI25" s="1871">
        <f>SUM(BI26,BI30:BI33,BI44)</f>
        <v>2992530.1617835853</v>
      </c>
      <c r="BJ25" s="1871">
        <f>SUM(BJ26,BJ30:BJ33,BJ44)</f>
        <v>7217651.9079382131</v>
      </c>
      <c r="BK25" s="1871">
        <f>SUM(BK26,BK30:BK33,BK44)</f>
        <v>10210182.069721799</v>
      </c>
    </row>
    <row r="26" spans="1:63" ht="15.75">
      <c r="A26" s="1739">
        <v>1</v>
      </c>
      <c r="B26" s="1872" t="str">
        <f>CONCATENATE($B$25,".",A26)</f>
        <v>8.1</v>
      </c>
      <c r="C26" s="1873" t="s">
        <v>3703</v>
      </c>
      <c r="D26" s="1874"/>
      <c r="E26" s="1875"/>
      <c r="F26" s="1874"/>
      <c r="G26" s="1876">
        <f>SUM(G27:G29)</f>
        <v>3359.70929712008</v>
      </c>
      <c r="H26" s="1779">
        <f t="shared" ref="H26:I26" si="38">SUM(H27:H29)</f>
        <v>2631.1143061160756</v>
      </c>
      <c r="I26" s="1779">
        <f t="shared" si="38"/>
        <v>0</v>
      </c>
      <c r="J26" s="1779">
        <f>SUM(J27:J29)</f>
        <v>9637.1493999587328</v>
      </c>
      <c r="K26" s="1877">
        <f>SUMIF('СС 2015'!$C$153:$C$173,'С1 2015'!$C26,'СС 2015'!$H$153:$H$173)</f>
        <v>15627.973003194887</v>
      </c>
      <c r="L26" s="1876">
        <f>SUM(L27:L29)</f>
        <v>1115.1375539377291</v>
      </c>
      <c r="M26" s="1779">
        <f t="shared" ref="M26:N26" si="39">SUM(M27:M29)</f>
        <v>873.30602500874011</v>
      </c>
      <c r="N26" s="1779">
        <f t="shared" si="39"/>
        <v>0</v>
      </c>
      <c r="O26" s="1779">
        <f>SUM(O27:O29)</f>
        <v>3198.7134178586434</v>
      </c>
      <c r="P26" s="1877">
        <f>SUMIF('СС 2015'!$C$153:$C$173,'С1 2015'!$C26,'СС 2015'!$I$153:$I$173)</f>
        <v>5187.1569968051126</v>
      </c>
      <c r="Q26" s="1878">
        <f t="shared" ref="Q26:X27" si="40">Q$13/$AA$13*$AA26</f>
        <v>2853.7803389830506</v>
      </c>
      <c r="R26" s="1879">
        <f t="shared" si="40"/>
        <v>2853.7803389830506</v>
      </c>
      <c r="S26" s="1880">
        <f t="shared" si="40"/>
        <v>3567.225423728813</v>
      </c>
      <c r="T26" s="1880">
        <f t="shared" si="40"/>
        <v>3567.225423728813</v>
      </c>
      <c r="U26" s="1880">
        <f t="shared" si="40"/>
        <v>0</v>
      </c>
      <c r="V26" s="1880">
        <f t="shared" si="40"/>
        <v>0</v>
      </c>
      <c r="W26" s="1880">
        <f t="shared" si="40"/>
        <v>12842.011525423726</v>
      </c>
      <c r="X26" s="1881">
        <f t="shared" si="40"/>
        <v>16409.236949152542</v>
      </c>
      <c r="Y26" s="1882">
        <f t="shared" ref="Y26:Z26" si="41">SUM(Y27:Y29)</f>
        <v>19263.01728813559</v>
      </c>
      <c r="Z26" s="1882">
        <f t="shared" si="41"/>
        <v>22830.242711864405</v>
      </c>
      <c r="AA26" s="1877">
        <f>SUMIF('СС 2015'!$C$153:$C$173,'С1 2015'!$C26,'СС 2015'!$J$153:$J$173)</f>
        <v>42093.259999999995</v>
      </c>
      <c r="AB26" s="1878">
        <f>AB$13/$AL$13*$AL26</f>
        <v>1231.6524590163935</v>
      </c>
      <c r="AC26" s="1879">
        <f>AC$13/$AL$13*$AL26</f>
        <v>1231.6524590163935</v>
      </c>
      <c r="AD26" s="1880">
        <f>AD$13/$AL$13*$AL26</f>
        <v>1539.5655737704917</v>
      </c>
      <c r="AE26" s="1880">
        <f>AE$13/$AL$13*$AL26</f>
        <v>1539.5655737704917</v>
      </c>
      <c r="AF26" s="1880">
        <f t="shared" ref="AC26:AH27" si="42">AF$13/$AL$13*$AL26</f>
        <v>0</v>
      </c>
      <c r="AG26" s="1880">
        <f t="shared" si="42"/>
        <v>0</v>
      </c>
      <c r="AH26" s="1880">
        <f>AH$13/$AL$13*$AL26</f>
        <v>5542.436065573771</v>
      </c>
      <c r="AI26" s="1881">
        <f>AI$13/$AL$13*$AL26</f>
        <v>7697.8278688524597</v>
      </c>
      <c r="AJ26" s="1882">
        <f t="shared" ref="AJ26" si="43">SUM(AJ27:AJ29)</f>
        <v>8313.6540983606556</v>
      </c>
      <c r="AK26" s="1882">
        <f t="shared" ref="AK26" si="44">SUM(AK27:AK29)</f>
        <v>10469.045901639345</v>
      </c>
      <c r="AL26" s="1877">
        <f>SUMIF('СС 2015'!$C$153:$C$173,'С1 2015'!$C26,'СС 2015'!$K$153:$K$173)</f>
        <v>18782.7</v>
      </c>
      <c r="AM26" s="1878">
        <f>AM$13/$AW$13*$AW26</f>
        <v>25.860067904478683</v>
      </c>
      <c r="AN26" s="1879">
        <f t="shared" ref="AN26:AT27" si="45">AN$13/$AW$13*$AW26</f>
        <v>25.860067904478683</v>
      </c>
      <c r="AO26" s="1880">
        <f t="shared" si="45"/>
        <v>142.23037347463276</v>
      </c>
      <c r="AP26" s="1880">
        <f t="shared" si="45"/>
        <v>142.23037347463276</v>
      </c>
      <c r="AQ26" s="1880">
        <f t="shared" si="45"/>
        <v>34.443777719383696</v>
      </c>
      <c r="AR26" s="1880">
        <f t="shared" si="45"/>
        <v>34.443777719383696</v>
      </c>
      <c r="AS26" s="1880">
        <f t="shared" si="45"/>
        <v>297.39078090150485</v>
      </c>
      <c r="AT26" s="1881">
        <f t="shared" si="45"/>
        <v>297.39078090150485</v>
      </c>
      <c r="AU26" s="1882">
        <f t="shared" ref="AU26:AV26" si="46">SUM(AU27:AU29)</f>
        <v>499.92499999999995</v>
      </c>
      <c r="AV26" s="1882">
        <f t="shared" si="46"/>
        <v>499.92499999999995</v>
      </c>
      <c r="AW26" s="1877">
        <f>SUMIF('СС 2015'!$C$153:$C$173,'С1 2015'!$C26,'СС 2015'!$L$153:$L$173)</f>
        <v>999.85000000000014</v>
      </c>
      <c r="AX26" s="1740">
        <f>'[30]СС 2015'!D152-'[30]СС 2015'!L152</f>
        <v>10210182.069721799</v>
      </c>
      <c r="AY26" s="1740"/>
      <c r="AZ26" s="1740"/>
      <c r="BA26" s="1883">
        <f>SUM(G26,L26,Q26:R26,AB26:AC26)</f>
        <v>12645.712447056698</v>
      </c>
      <c r="BB26" s="1883">
        <f>SUM(H26,M26,S26:T26,AD26:AE26)</f>
        <v>13718.002326123424</v>
      </c>
      <c r="BC26" s="1883">
        <f>SUM(I26,N26,U26:V26,AF26:AG26)</f>
        <v>0</v>
      </c>
      <c r="BD26" s="1883">
        <f>SUM(J26,O26,W26:X26,AH26:AI26)</f>
        <v>55327.375226819873</v>
      </c>
      <c r="BE26" s="1883">
        <f>SUM(K26,P26,Y26:Z26,AJ26:AK26)</f>
        <v>81691.09</v>
      </c>
      <c r="BF26" s="1883">
        <f>SUM(BA26:BD26)</f>
        <v>81691.09</v>
      </c>
      <c r="BG26" s="1740" t="b">
        <f>BE26=BF26</f>
        <v>1</v>
      </c>
      <c r="BH26" s="1740"/>
      <c r="BI26" s="1884">
        <f>SUM(BI27:BI29)</f>
        <v>12645.712447056698</v>
      </c>
      <c r="BJ26" s="1884">
        <f t="shared" ref="BJ26:BK26" si="47">SUM(BJ27:BJ29)</f>
        <v>69045.37755294329</v>
      </c>
      <c r="BK26" s="1884">
        <f t="shared" si="47"/>
        <v>81691.09</v>
      </c>
    </row>
    <row r="27" spans="1:63" ht="15.75">
      <c r="B27" s="1872"/>
      <c r="C27" s="1886" t="s">
        <v>3766</v>
      </c>
      <c r="D27" s="1874"/>
      <c r="E27" s="1875"/>
      <c r="F27" s="1874"/>
      <c r="G27" s="1878">
        <f>G$13/$K$13*$K27</f>
        <v>2348.5710604967535</v>
      </c>
      <c r="H27" s="1880">
        <f t="shared" ref="H27:I27" si="48">H$13/$K$13*$K27</f>
        <v>1761.4282953725649</v>
      </c>
      <c r="I27" s="1880">
        <f t="shared" si="48"/>
        <v>0</v>
      </c>
      <c r="J27" s="1880">
        <f>J$13/$K$13*$K27</f>
        <v>6810.8560754405844</v>
      </c>
      <c r="K27" s="1877">
        <f>SUMIF('СС 2015'!$C$153:$C$173,'С1 2015'!$C27,'СС 2015'!$H$153:$H$173)</f>
        <v>10920.855431309903</v>
      </c>
      <c r="L27" s="1878">
        <f>L$13/$P13*$P27</f>
        <v>779.52571369679492</v>
      </c>
      <c r="M27" s="1880">
        <f t="shared" ref="M27:N27" si="49">M$13/$P13*$P27</f>
        <v>584.64428527259611</v>
      </c>
      <c r="N27" s="1880">
        <f t="shared" si="49"/>
        <v>0</v>
      </c>
      <c r="O27" s="1880">
        <f>O$13/$P13*$P27</f>
        <v>2260.624569720705</v>
      </c>
      <c r="P27" s="1877">
        <f>SUMIF('СС 2015'!$C$153:$C$173,'С1 2015'!$C27,'СС 2015'!$I$153:$I$173)</f>
        <v>3624.7945686900962</v>
      </c>
      <c r="Q27" s="1878">
        <f t="shared" si="40"/>
        <v>1654.0542372881355</v>
      </c>
      <c r="R27" s="1879">
        <f t="shared" si="40"/>
        <v>1654.0542372881355</v>
      </c>
      <c r="S27" s="1880">
        <f t="shared" si="40"/>
        <v>2067.5677966101694</v>
      </c>
      <c r="T27" s="1880">
        <f t="shared" si="40"/>
        <v>2067.5677966101694</v>
      </c>
      <c r="U27" s="1880">
        <f t="shared" si="40"/>
        <v>0</v>
      </c>
      <c r="V27" s="1880">
        <f t="shared" si="40"/>
        <v>0</v>
      </c>
      <c r="W27" s="1880">
        <f t="shared" si="40"/>
        <v>7443.2440677966088</v>
      </c>
      <c r="X27" s="1881">
        <f t="shared" si="40"/>
        <v>9510.8118644067799</v>
      </c>
      <c r="Y27" s="1882">
        <f t="shared" ref="Y27:Z32" si="50">SUM(Q27,S27,U27,W27)</f>
        <v>11164.866101694914</v>
      </c>
      <c r="Z27" s="1882">
        <f t="shared" si="50"/>
        <v>13232.433898305084</v>
      </c>
      <c r="AA27" s="1877">
        <f>SUMIF('СС 2015'!$C$153:$C$173,'С1 2015'!$C27,'СС 2015'!$J$153:$J$173)</f>
        <v>24397.3</v>
      </c>
      <c r="AB27" s="1878">
        <f>AB$13/$AL$13*$AL27</f>
        <v>733.99540983606562</v>
      </c>
      <c r="AC27" s="1879">
        <f t="shared" si="42"/>
        <v>733.99540983606562</v>
      </c>
      <c r="AD27" s="1880">
        <f t="shared" si="42"/>
        <v>917.49426229508197</v>
      </c>
      <c r="AE27" s="1880">
        <f t="shared" si="42"/>
        <v>917.49426229508197</v>
      </c>
      <c r="AF27" s="1880">
        <f t="shared" si="42"/>
        <v>0</v>
      </c>
      <c r="AG27" s="1880">
        <f t="shared" si="42"/>
        <v>0</v>
      </c>
      <c r="AH27" s="1880">
        <f t="shared" si="42"/>
        <v>3302.9793442622949</v>
      </c>
      <c r="AI27" s="1881">
        <f>AI$13/$AL$13*$AL27</f>
        <v>4587.4713114754104</v>
      </c>
      <c r="AJ27" s="1882">
        <f t="shared" ref="AJ27:AK32" si="51">SUM(AB27,AD27,AF27,AH27)</f>
        <v>4954.4690163934429</v>
      </c>
      <c r="AK27" s="1882">
        <f t="shared" si="51"/>
        <v>6238.9609836065574</v>
      </c>
      <c r="AL27" s="1877">
        <f>SUMIF('СС 2015'!$C$153:$C$173,'С1 2015'!$C27,'СС 2015'!$K$153:$K$173)</f>
        <v>11193.43</v>
      </c>
      <c r="AM27" s="1878">
        <f>AM$13/$AW$13*$AW27</f>
        <v>14.706240546568564</v>
      </c>
      <c r="AN27" s="1879">
        <f t="shared" si="45"/>
        <v>14.706240546568564</v>
      </c>
      <c r="AO27" s="1880">
        <f t="shared" si="45"/>
        <v>80.884323006127104</v>
      </c>
      <c r="AP27" s="1880">
        <f t="shared" si="45"/>
        <v>80.884323006127104</v>
      </c>
      <c r="AQ27" s="1880">
        <f t="shared" si="45"/>
        <v>19.587670161765832</v>
      </c>
      <c r="AR27" s="1880">
        <f t="shared" si="45"/>
        <v>19.587670161765832</v>
      </c>
      <c r="AS27" s="1880">
        <f t="shared" si="45"/>
        <v>169.12176628553848</v>
      </c>
      <c r="AT27" s="1881">
        <f t="shared" si="45"/>
        <v>169.12176628553848</v>
      </c>
      <c r="AU27" s="1882">
        <f t="shared" ref="AU27:AV32" si="52">SUM(AM27,AO27,AQ27,AS27)</f>
        <v>284.29999999999995</v>
      </c>
      <c r="AV27" s="1882">
        <f t="shared" si="52"/>
        <v>284.29999999999995</v>
      </c>
      <c r="AW27" s="1877">
        <f>SUMIF('СС 2015'!$C$153:$C$173,'С1 2015'!$C27,'СС 2015'!$L$153:$L$173)</f>
        <v>568.6</v>
      </c>
      <c r="AX27" s="1740"/>
      <c r="AY27" s="1740"/>
      <c r="AZ27" s="1740"/>
      <c r="BA27" s="1883">
        <f>SUM(G27,L27,Q27:R27,AB27:AC27)</f>
        <v>7904.196068441951</v>
      </c>
      <c r="BB27" s="1883">
        <f t="shared" ref="BB27:BB49" si="53">SUM(H27,M27,S27:T27,AD27:AE27)</f>
        <v>8316.1966984556639</v>
      </c>
      <c r="BC27" s="1883">
        <f t="shared" ref="BC27:BC49" si="54">SUM(I27,N27,U27:V27,AF27:AG27)</f>
        <v>0</v>
      </c>
      <c r="BD27" s="1883">
        <f t="shared" ref="BD27:BD49" si="55">SUM(J27,O27,W27:X27,AH27:AI27)</f>
        <v>33915.98723310238</v>
      </c>
      <c r="BE27" s="1883">
        <f t="shared" ref="BE27:BE49" si="56">SUM(K27,P27,Y27:Z27,AJ27:AK27)</f>
        <v>50136.38</v>
      </c>
      <c r="BF27" s="1883">
        <f t="shared" ref="BF27:BF49" si="57">SUM(BA27:BD27)</f>
        <v>50136.37999999999</v>
      </c>
      <c r="BG27" s="1740" t="b">
        <f t="shared" ref="BG27:BG49" si="58">BE27=BF27</f>
        <v>1</v>
      </c>
      <c r="BH27" s="1740"/>
      <c r="BI27" s="1768">
        <f>BA27</f>
        <v>7904.196068441951</v>
      </c>
      <c r="BJ27" s="1768">
        <f>SUM(BB27:BD27)</f>
        <v>42232.183931558044</v>
      </c>
      <c r="BK27" s="1768">
        <f>SUM(BI27:BJ27)</f>
        <v>50136.38</v>
      </c>
    </row>
    <row r="28" spans="1:63" ht="15.75">
      <c r="B28" s="1872"/>
      <c r="C28" s="1886" t="s">
        <v>3755</v>
      </c>
      <c r="D28" s="1874"/>
      <c r="E28" s="1875"/>
      <c r="F28" s="1874"/>
      <c r="G28" s="1878">
        <f>G$15/$K$15*$K28</f>
        <v>564.98976261637301</v>
      </c>
      <c r="H28" s="1880">
        <f>H$15/$K$15*$K28</f>
        <v>423.74232196227973</v>
      </c>
      <c r="I28" s="1880">
        <f t="shared" ref="I28" si="59">I$15/$K$15*$K28</f>
        <v>0</v>
      </c>
      <c r="J28" s="1880">
        <f>J$15/$K$15*$K28</f>
        <v>1638.4703115874815</v>
      </c>
      <c r="K28" s="1877">
        <f>SUMIF('СС 2015'!$C$153:$C$173,'С1 2015'!$C28,'СС 2015'!$H$153:$H$173)</f>
        <v>2627.2023961661343</v>
      </c>
      <c r="L28" s="1878">
        <f>L$15/$P15*$P28</f>
        <v>187.52851695351953</v>
      </c>
      <c r="M28" s="1880">
        <f t="shared" ref="M28:N28" si="60">M$15/$P15*$P28</f>
        <v>140.64638771513964</v>
      </c>
      <c r="N28" s="1880">
        <f t="shared" si="60"/>
        <v>0</v>
      </c>
      <c r="O28" s="1880">
        <f>O$15/$P15*$P28</f>
        <v>543.83269916520658</v>
      </c>
      <c r="P28" s="1877">
        <f>SUMIF('СС 2015'!$C$153:$C$173,'С1 2015'!$C28,'СС 2015'!$I$153:$I$173)</f>
        <v>872.0076038338658</v>
      </c>
      <c r="Q28" s="1878">
        <f>Q$15/$AA$15*$AA28</f>
        <v>535.65830508474573</v>
      </c>
      <c r="R28" s="1879">
        <f>R$15/$AA$15*$AA28</f>
        <v>535.65830508474573</v>
      </c>
      <c r="S28" s="1880">
        <f>S$15/$AA$15*$AA28</f>
        <v>669.57288135593205</v>
      </c>
      <c r="T28" s="1880">
        <f>T$15/$AA$15*$AA28</f>
        <v>669.57288135593205</v>
      </c>
      <c r="U28" s="1880">
        <f t="shared" ref="U28:V28" si="61">U$15/$AA$15*$AA28</f>
        <v>0</v>
      </c>
      <c r="V28" s="1880">
        <f t="shared" si="61"/>
        <v>0</v>
      </c>
      <c r="W28" s="1880">
        <f>W$15/$AA$15*$AA28</f>
        <v>2410.4623728813558</v>
      </c>
      <c r="X28" s="1881">
        <f>X$15/$AA$15*$AA28</f>
        <v>3080.035254237288</v>
      </c>
      <c r="Y28" s="1882">
        <f t="shared" si="50"/>
        <v>3615.6935593220337</v>
      </c>
      <c r="Z28" s="1882">
        <f t="shared" si="50"/>
        <v>4285.2664406779659</v>
      </c>
      <c r="AA28" s="1877">
        <f>SUMIF('СС 2015'!$C$153:$C$173,'С1 2015'!$C28,'СС 2015'!$J$153:$J$173)</f>
        <v>7900.9599999999991</v>
      </c>
      <c r="AB28" s="1878">
        <f>AB$15/$AL$15*$AL28</f>
        <v>171.44262295081967</v>
      </c>
      <c r="AC28" s="1879">
        <f t="shared" ref="AC28:AH28" si="62">AC$15/$AL$15*$AL28</f>
        <v>171.44262295081967</v>
      </c>
      <c r="AD28" s="1880">
        <f t="shared" si="62"/>
        <v>214.30327868852459</v>
      </c>
      <c r="AE28" s="1880">
        <f t="shared" si="62"/>
        <v>214.30327868852459</v>
      </c>
      <c r="AF28" s="1880">
        <f t="shared" si="62"/>
        <v>0</v>
      </c>
      <c r="AG28" s="1880">
        <f t="shared" si="62"/>
        <v>0</v>
      </c>
      <c r="AH28" s="1880">
        <f t="shared" si="62"/>
        <v>771.49180327868851</v>
      </c>
      <c r="AI28" s="1881">
        <f>AI$15/$AL$15*$AL28</f>
        <v>1071.5163934426232</v>
      </c>
      <c r="AJ28" s="1882">
        <f t="shared" si="51"/>
        <v>1157.2377049180327</v>
      </c>
      <c r="AK28" s="1882">
        <f t="shared" si="51"/>
        <v>1457.2622950819675</v>
      </c>
      <c r="AL28" s="1877">
        <f>SUMIF('СС 2015'!$C$153:$C$173,'С1 2015'!$C28,'СС 2015'!$K$153:$K$173)</f>
        <v>2614.5</v>
      </c>
      <c r="AM28" s="1878">
        <f>AM$15/$AW$15*$AW28</f>
        <v>4.9656750211461702</v>
      </c>
      <c r="AN28" s="1879">
        <f t="shared" ref="AN28:AT28" si="63">AN$15/$AW$15*$AW28</f>
        <v>4.9656750211461702</v>
      </c>
      <c r="AO28" s="1880">
        <f>AO$15/$AW$15*$AW28</f>
        <v>27.311212616303941</v>
      </c>
      <c r="AP28" s="1880">
        <f t="shared" si="63"/>
        <v>27.311212616303941</v>
      </c>
      <c r="AQ28" s="1880">
        <f t="shared" si="63"/>
        <v>6.2678496193689286</v>
      </c>
      <c r="AR28" s="1880">
        <f t="shared" si="63"/>
        <v>6.2678496193689286</v>
      </c>
      <c r="AS28" s="1880">
        <f t="shared" si="63"/>
        <v>57.105262743180958</v>
      </c>
      <c r="AT28" s="1881">
        <f t="shared" si="63"/>
        <v>57.105262743180958</v>
      </c>
      <c r="AU28" s="1882">
        <f t="shared" si="52"/>
        <v>95.65</v>
      </c>
      <c r="AV28" s="1882">
        <f t="shared" si="52"/>
        <v>95.65</v>
      </c>
      <c r="AW28" s="1877">
        <f>SUMIF('СС 2015'!$C$153:$C$173,'С1 2015'!$C28,'СС 2015'!$L$153:$L$173)</f>
        <v>191.29999999999998</v>
      </c>
      <c r="AX28" s="1740"/>
      <c r="AY28" s="1740"/>
      <c r="AZ28" s="1740"/>
      <c r="BA28" s="1883">
        <f t="shared" ref="BA28:BA49" si="64">SUM(G28,L28,Q28:R28,AB28:AC28)</f>
        <v>2166.7201356410233</v>
      </c>
      <c r="BB28" s="1883">
        <f t="shared" si="53"/>
        <v>2332.1410297663328</v>
      </c>
      <c r="BC28" s="1883">
        <f t="shared" si="54"/>
        <v>0</v>
      </c>
      <c r="BD28" s="1883">
        <f t="shared" si="55"/>
        <v>9515.8088345926444</v>
      </c>
      <c r="BE28" s="1883">
        <f t="shared" si="56"/>
        <v>14014.67</v>
      </c>
      <c r="BF28" s="1883">
        <f t="shared" si="57"/>
        <v>14014.67</v>
      </c>
      <c r="BG28" s="1740" t="b">
        <f t="shared" si="58"/>
        <v>1</v>
      </c>
      <c r="BH28" s="1740"/>
      <c r="BI28" s="1768">
        <f t="shared" ref="BI28:BI32" si="65">BA28</f>
        <v>2166.7201356410233</v>
      </c>
      <c r="BJ28" s="1768">
        <f t="shared" ref="BJ28:BJ32" si="66">SUM(BB28:BD28)</f>
        <v>11847.949864358978</v>
      </c>
      <c r="BK28" s="1768">
        <f t="shared" ref="BK28:BK32" si="67">SUM(BI28:BJ28)</f>
        <v>14014.670000000002</v>
      </c>
    </row>
    <row r="29" spans="1:63" ht="15.75">
      <c r="B29" s="1872"/>
      <c r="C29" s="1887" t="s">
        <v>3767</v>
      </c>
      <c r="D29" s="1874"/>
      <c r="E29" s="1875"/>
      <c r="F29" s="1874"/>
      <c r="G29" s="1878">
        <f>G$16/$K$16*$K29</f>
        <v>446.14847400695373</v>
      </c>
      <c r="H29" s="1880">
        <f>H$16/$K$16*$K29</f>
        <v>445.94368878123083</v>
      </c>
      <c r="I29" s="1880">
        <f t="shared" ref="I29" si="68">I$16/$K$16*$K29</f>
        <v>0</v>
      </c>
      <c r="J29" s="1779">
        <f>K29-G29-H29-I29</f>
        <v>1187.8230129306658</v>
      </c>
      <c r="K29" s="1877">
        <f>SUMIF('СС 2015'!$C$153:$C$173,'С1 2015'!$C29,'СС 2015'!$H$153:$H$173)</f>
        <v>2079.9151757188502</v>
      </c>
      <c r="L29" s="1878">
        <f>L$16/$P16*$P29</f>
        <v>148.08332328741452</v>
      </c>
      <c r="M29" s="1880">
        <f t="shared" ref="M29:O29" si="69">M$16/$P16*$P29</f>
        <v>148.01535202100436</v>
      </c>
      <c r="N29" s="1880">
        <f t="shared" si="69"/>
        <v>0</v>
      </c>
      <c r="O29" s="1880">
        <f t="shared" si="69"/>
        <v>394.25614897273181</v>
      </c>
      <c r="P29" s="1877">
        <f>SUMIF('СС 2015'!$C$153:$C$173,'С1 2015'!$C29,'СС 2015'!$I$153:$I$173)</f>
        <v>690.35482428115063</v>
      </c>
      <c r="Q29" s="1876">
        <f>Q26-Q27-Q28</f>
        <v>664.06779661016935</v>
      </c>
      <c r="R29" s="1888">
        <f t="shared" ref="R29:X29" si="70">R26-R27-R28</f>
        <v>664.06779661016935</v>
      </c>
      <c r="S29" s="1779">
        <f t="shared" si="70"/>
        <v>830.08474576271158</v>
      </c>
      <c r="T29" s="1779">
        <f t="shared" si="70"/>
        <v>830.08474576271158</v>
      </c>
      <c r="U29" s="1779">
        <f t="shared" si="70"/>
        <v>0</v>
      </c>
      <c r="V29" s="1779">
        <f t="shared" si="70"/>
        <v>0</v>
      </c>
      <c r="W29" s="1779">
        <f t="shared" si="70"/>
        <v>2988.3050847457616</v>
      </c>
      <c r="X29" s="1882">
        <f t="shared" si="70"/>
        <v>3818.3898305084745</v>
      </c>
      <c r="Y29" s="1882">
        <f>SUM(Q29,S29,U29,W29)</f>
        <v>4482.4576271186424</v>
      </c>
      <c r="Z29" s="1882">
        <f t="shared" si="50"/>
        <v>5312.5423728813548</v>
      </c>
      <c r="AA29" s="1877">
        <f>SUMIF('СС 2015'!$C$153:$C$173,'С1 2015'!$C29,'СС 2015'!$J$153:$J$173)</f>
        <v>9794.9999999999964</v>
      </c>
      <c r="AB29" s="1876">
        <f>AB26-AB27-AB28</f>
        <v>326.21442622950826</v>
      </c>
      <c r="AC29" s="1888">
        <f t="shared" ref="AC29:AI29" si="71">AC26-AC27-AC28</f>
        <v>326.21442622950826</v>
      </c>
      <c r="AD29" s="1779">
        <f t="shared" si="71"/>
        <v>407.76803278688516</v>
      </c>
      <c r="AE29" s="1779">
        <f t="shared" si="71"/>
        <v>407.76803278688516</v>
      </c>
      <c r="AF29" s="1779">
        <f t="shared" si="71"/>
        <v>0</v>
      </c>
      <c r="AG29" s="1779">
        <f t="shared" si="71"/>
        <v>0</v>
      </c>
      <c r="AH29" s="1779">
        <f t="shared" si="71"/>
        <v>1467.9649180327874</v>
      </c>
      <c r="AI29" s="1882">
        <f t="shared" si="71"/>
        <v>2038.8401639344261</v>
      </c>
      <c r="AJ29" s="1882">
        <f t="shared" si="51"/>
        <v>2201.9473770491809</v>
      </c>
      <c r="AK29" s="1882">
        <f t="shared" si="51"/>
        <v>2772.8226229508196</v>
      </c>
      <c r="AL29" s="1877">
        <f>SUMIF('СС 2015'!$C$153:$C$173,'С1 2015'!$C29,'СС 2015'!$K$153:$K$173)</f>
        <v>4974.7700000000004</v>
      </c>
      <c r="AM29" s="1876">
        <f>AM26-AM27-AM28</f>
        <v>6.1881523367639488</v>
      </c>
      <c r="AN29" s="1888">
        <f t="shared" ref="AN29:AT29" si="72">AN26-AN27-AN28</f>
        <v>6.1881523367639488</v>
      </c>
      <c r="AO29" s="1779">
        <f t="shared" si="72"/>
        <v>34.034837852201711</v>
      </c>
      <c r="AP29" s="1779">
        <f t="shared" si="72"/>
        <v>34.034837852201711</v>
      </c>
      <c r="AQ29" s="1779">
        <f t="shared" si="72"/>
        <v>8.5882579382489368</v>
      </c>
      <c r="AR29" s="1779">
        <f t="shared" si="72"/>
        <v>8.5882579382489368</v>
      </c>
      <c r="AS29" s="1779">
        <f t="shared" si="72"/>
        <v>71.163751872785411</v>
      </c>
      <c r="AT29" s="1882">
        <f t="shared" si="72"/>
        <v>71.163751872785411</v>
      </c>
      <c r="AU29" s="1882">
        <f t="shared" si="52"/>
        <v>119.97500000000001</v>
      </c>
      <c r="AV29" s="1882">
        <f t="shared" si="52"/>
        <v>119.97500000000001</v>
      </c>
      <c r="AW29" s="1877">
        <f>SUMIF('СС 2015'!$C$153:$C$173,'С1 2015'!$C29,'СС 2015'!$L$153:$L$173)</f>
        <v>239.95000000000013</v>
      </c>
      <c r="AX29" s="1740"/>
      <c r="AY29" s="1740"/>
      <c r="AZ29" s="1740"/>
      <c r="BA29" s="1883">
        <f t="shared" si="64"/>
        <v>2574.7962429737236</v>
      </c>
      <c r="BB29" s="1883">
        <f t="shared" si="53"/>
        <v>3069.6645979014288</v>
      </c>
      <c r="BC29" s="1883">
        <f t="shared" si="54"/>
        <v>0</v>
      </c>
      <c r="BD29" s="1883">
        <f t="shared" si="55"/>
        <v>11895.579159124847</v>
      </c>
      <c r="BE29" s="1883">
        <f t="shared" si="56"/>
        <v>17540.039999999997</v>
      </c>
      <c r="BF29" s="1883">
        <f t="shared" si="57"/>
        <v>17540.04</v>
      </c>
      <c r="BG29" s="1740" t="b">
        <f t="shared" si="58"/>
        <v>1</v>
      </c>
      <c r="BH29" s="1740"/>
      <c r="BI29" s="1768">
        <f t="shared" si="65"/>
        <v>2574.7962429737236</v>
      </c>
      <c r="BJ29" s="1768">
        <f t="shared" si="66"/>
        <v>14965.243757026275</v>
      </c>
      <c r="BK29" s="1768">
        <f t="shared" si="67"/>
        <v>17540.04</v>
      </c>
    </row>
    <row r="30" spans="1:63" ht="15.75">
      <c r="A30" s="1739">
        <f>A26+1</f>
        <v>2</v>
      </c>
      <c r="B30" s="1872" t="str">
        <f>CONCATENATE($B$25,".",A30)</f>
        <v>8.2</v>
      </c>
      <c r="C30" s="1873" t="s">
        <v>3704</v>
      </c>
      <c r="D30" s="1874"/>
      <c r="E30" s="1875"/>
      <c r="F30" s="1874"/>
      <c r="G30" s="1878">
        <f>G$16/$K$16*$K30</f>
        <v>517.01474805868145</v>
      </c>
      <c r="H30" s="1880">
        <f>H$16/$K$16*$K30</f>
        <v>516.77743472455222</v>
      </c>
      <c r="I30" s="1880">
        <f>I$16/$K$16*$K30</f>
        <v>0</v>
      </c>
      <c r="J30" s="1779">
        <f>K30-G30-H30-I30</f>
        <v>1376.4969545969579</v>
      </c>
      <c r="K30" s="1877">
        <f>SUMIF('СС 2015'!$C$153:$C$173,'С1 2015'!$C30,'СС 2015'!$H$153:$H$173)</f>
        <v>2410.2891373801917</v>
      </c>
      <c r="L30" s="1878">
        <f>L$16/$P16*$P30</f>
        <v>171.60489510032832</v>
      </c>
      <c r="M30" s="1880">
        <f t="shared" ref="M30:O30" si="73">M$16/$P16*$P30</f>
        <v>171.5261272702769</v>
      </c>
      <c r="N30" s="1880">
        <f t="shared" si="73"/>
        <v>0</v>
      </c>
      <c r="O30" s="1880">
        <f t="shared" si="73"/>
        <v>456.8798402492032</v>
      </c>
      <c r="P30" s="1877">
        <f>SUMIF('СС 2015'!$C$153:$C$173,'С1 2015'!$C30,'СС 2015'!$I$153:$I$173)</f>
        <v>800.01086261980834</v>
      </c>
      <c r="Q30" s="1878">
        <f>Q$16/$AA$16*$AA30</f>
        <v>1835.4716666666666</v>
      </c>
      <c r="R30" s="1879">
        <f>R$16/$AA$16*$AA30</f>
        <v>1835.4716666666664</v>
      </c>
      <c r="S30" s="1880">
        <f t="shared" ref="S30:X30" si="74">S$16/$AA$16*$AA30</f>
        <v>1835.4716666666666</v>
      </c>
      <c r="T30" s="1880">
        <f t="shared" si="74"/>
        <v>1835.4716666666664</v>
      </c>
      <c r="U30" s="1880">
        <f t="shared" si="74"/>
        <v>0</v>
      </c>
      <c r="V30" s="1880">
        <f t="shared" si="74"/>
        <v>0</v>
      </c>
      <c r="W30" s="1880">
        <f t="shared" si="74"/>
        <v>1835.4716666666666</v>
      </c>
      <c r="X30" s="1881">
        <f t="shared" si="74"/>
        <v>1835.4716666666664</v>
      </c>
      <c r="Y30" s="1882">
        <f t="shared" si="50"/>
        <v>5506.415</v>
      </c>
      <c r="Z30" s="1882">
        <f t="shared" si="50"/>
        <v>5506.4149999999991</v>
      </c>
      <c r="AA30" s="1877">
        <f>SUMIF('СС 2015'!$C$153:$C$173,'С1 2015'!$C30,'СС 2015'!$J$153:$J$173)</f>
        <v>11012.83</v>
      </c>
      <c r="AB30" s="1878">
        <f>AB$16/$AL$16*$AL30</f>
        <v>740.37833333333322</v>
      </c>
      <c r="AC30" s="1879">
        <f t="shared" ref="AC30:AI30" si="75">AC$16/$AL$16*$AL30</f>
        <v>740.37833333333322</v>
      </c>
      <c r="AD30" s="1880">
        <f t="shared" si="75"/>
        <v>740.37833333333322</v>
      </c>
      <c r="AE30" s="1880">
        <f t="shared" si="75"/>
        <v>740.37833333333322</v>
      </c>
      <c r="AF30" s="1880">
        <f t="shared" si="75"/>
        <v>0</v>
      </c>
      <c r="AG30" s="1880">
        <f t="shared" si="75"/>
        <v>0</v>
      </c>
      <c r="AH30" s="1880">
        <f t="shared" si="75"/>
        <v>740.37833333333322</v>
      </c>
      <c r="AI30" s="1881">
        <f t="shared" si="75"/>
        <v>740.37833333333322</v>
      </c>
      <c r="AJ30" s="1882">
        <f t="shared" si="51"/>
        <v>2221.1349999999998</v>
      </c>
      <c r="AK30" s="1882">
        <f t="shared" si="51"/>
        <v>2221.1349999999998</v>
      </c>
      <c r="AL30" s="1877">
        <f>SUMIF('СС 2015'!$C$153:$C$173,'С1 2015'!$C30,'СС 2015'!$K$153:$K$173)</f>
        <v>4442.2699999999995</v>
      </c>
      <c r="AM30" s="1878">
        <f>AM$16/$AW$16*$AW30</f>
        <v>35.537499999999994</v>
      </c>
      <c r="AN30" s="1879">
        <f t="shared" ref="AN30:AT30" si="76">AN$16/$AW$16*$AW30</f>
        <v>35.537499999999994</v>
      </c>
      <c r="AO30" s="1880">
        <f t="shared" si="76"/>
        <v>35.537499999999994</v>
      </c>
      <c r="AP30" s="1880">
        <f t="shared" si="76"/>
        <v>35.537499999999994</v>
      </c>
      <c r="AQ30" s="1880">
        <f t="shared" si="76"/>
        <v>35.537499999999994</v>
      </c>
      <c r="AR30" s="1880">
        <f t="shared" si="76"/>
        <v>35.537499999999994</v>
      </c>
      <c r="AS30" s="1880">
        <f t="shared" si="76"/>
        <v>35.537499999999994</v>
      </c>
      <c r="AT30" s="1881">
        <f t="shared" si="76"/>
        <v>35.537499999999994</v>
      </c>
      <c r="AU30" s="1882">
        <f t="shared" si="52"/>
        <v>142.14999999999998</v>
      </c>
      <c r="AV30" s="1882">
        <f t="shared" si="52"/>
        <v>142.14999999999998</v>
      </c>
      <c r="AW30" s="1877">
        <f>SUMIF('СС 2015'!$C$153:$C$173,'С1 2015'!$C30,'СС 2015'!$L$153:$L$173)</f>
        <v>284.3</v>
      </c>
      <c r="AX30" s="1740"/>
      <c r="AY30" s="1740"/>
      <c r="AZ30" s="1740"/>
      <c r="BA30" s="1883">
        <f t="shared" si="64"/>
        <v>5840.3196431590095</v>
      </c>
      <c r="BB30" s="1883">
        <f t="shared" si="53"/>
        <v>5840.0035619948285</v>
      </c>
      <c r="BC30" s="1883">
        <f t="shared" si="54"/>
        <v>0</v>
      </c>
      <c r="BD30" s="1883">
        <f t="shared" si="55"/>
        <v>6985.0767948461598</v>
      </c>
      <c r="BE30" s="1883">
        <f t="shared" si="56"/>
        <v>18665.399999999998</v>
      </c>
      <c r="BF30" s="1883">
        <f t="shared" si="57"/>
        <v>18665.399999999998</v>
      </c>
      <c r="BG30" s="1740" t="b">
        <f t="shared" si="58"/>
        <v>1</v>
      </c>
      <c r="BH30" s="1740"/>
      <c r="BI30" s="1768">
        <f t="shared" si="65"/>
        <v>5840.3196431590095</v>
      </c>
      <c r="BJ30" s="1768">
        <f t="shared" si="66"/>
        <v>12825.080356840988</v>
      </c>
      <c r="BK30" s="1768">
        <f t="shared" si="67"/>
        <v>18665.399999999998</v>
      </c>
    </row>
    <row r="31" spans="1:63" ht="15.75">
      <c r="A31" s="1739">
        <f>A30+1</f>
        <v>3</v>
      </c>
      <c r="B31" s="1872" t="str">
        <f>CONCATENATE($B$25,".",A31)</f>
        <v>8.3</v>
      </c>
      <c r="C31" s="1873" t="str">
        <f>'[35]СС 2015'!C158</f>
        <v>Оплата труда ППП (без соц. отчислений)</v>
      </c>
      <c r="D31" s="1874"/>
      <c r="E31" s="1875"/>
      <c r="F31" s="1874"/>
      <c r="G31" s="1878">
        <f>G$11/$K$11*$K31</f>
        <v>87860.110745743325</v>
      </c>
      <c r="H31" s="1880">
        <f t="shared" ref="H31:I32" si="77">H$11/$K$11*$K31</f>
        <v>99946.588980754779</v>
      </c>
      <c r="I31" s="1880">
        <f t="shared" si="77"/>
        <v>0</v>
      </c>
      <c r="J31" s="1880">
        <f>J$11/$K$11*$K31</f>
        <v>254688.73509778304</v>
      </c>
      <c r="K31" s="1877">
        <f>SUMIF('СС 2015'!$C$153:$C$173,'С1 2015'!$C31,'СС 2015'!$H$153:$H$173)</f>
        <v>442495.43482428114</v>
      </c>
      <c r="L31" s="1878">
        <f>L$11/$P$11*$P31</f>
        <v>29162.079311353122</v>
      </c>
      <c r="M31" s="1880">
        <f t="shared" ref="M31:O32" si="78">M$11/$P$11*$P31</f>
        <v>33173.761448931393</v>
      </c>
      <c r="N31" s="1880">
        <f t="shared" si="78"/>
        <v>0</v>
      </c>
      <c r="O31" s="1880">
        <f t="shared" si="78"/>
        <v>84534.984415434417</v>
      </c>
      <c r="P31" s="1877">
        <f>SUMIF('СС 2015'!$C$153:$C$173,'С1 2015'!$C31,'СС 2015'!$I$153:$I$173)</f>
        <v>146870.82517571893</v>
      </c>
      <c r="Q31" s="1878">
        <f>Q$11/$AA$11*$AA31</f>
        <v>223594.58732724134</v>
      </c>
      <c r="R31" s="1879">
        <f>R$11/$AA$11*$AA31</f>
        <v>264050.15250053734</v>
      </c>
      <c r="S31" s="1880">
        <f t="shared" ref="S31:X32" si="79">S$11/$AA$11*$AA31</f>
        <v>218360.68261353593</v>
      </c>
      <c r="T31" s="1880">
        <f t="shared" si="79"/>
        <v>254718.96477298203</v>
      </c>
      <c r="U31" s="1880">
        <f t="shared" si="79"/>
        <v>0</v>
      </c>
      <c r="V31" s="1880">
        <f t="shared" si="79"/>
        <v>0</v>
      </c>
      <c r="W31" s="1880">
        <f t="shared" si="79"/>
        <v>365472.19994104689</v>
      </c>
      <c r="X31" s="1881">
        <f t="shared" si="79"/>
        <v>440645.77284465643</v>
      </c>
      <c r="Y31" s="1882">
        <f t="shared" si="50"/>
        <v>807427.46988182422</v>
      </c>
      <c r="Z31" s="1882">
        <f t="shared" si="50"/>
        <v>959414.89011817588</v>
      </c>
      <c r="AA31" s="1877">
        <f>SUMIF('СС 2015'!$C$153:$C$173,'С1 2015'!$C31,'СС 2015'!$J$153:$J$173)</f>
        <v>1766842.3599999999</v>
      </c>
      <c r="AB31" s="1878">
        <f>AB$11/$AL$11*$AL31</f>
        <v>123805.64116139238</v>
      </c>
      <c r="AC31" s="1879">
        <f t="shared" ref="AC31:AI32" si="80">AC$11/$AL$11*$AL31</f>
        <v>123805.64116139238</v>
      </c>
      <c r="AD31" s="1880">
        <f t="shared" si="80"/>
        <v>113488.50439794303</v>
      </c>
      <c r="AE31" s="1880">
        <f t="shared" si="80"/>
        <v>128314.80115110904</v>
      </c>
      <c r="AF31" s="1880">
        <f t="shared" si="80"/>
        <v>0</v>
      </c>
      <c r="AG31" s="1880">
        <f t="shared" si="80"/>
        <v>0</v>
      </c>
      <c r="AH31" s="1880">
        <f t="shared" si="80"/>
        <v>171359.56791493928</v>
      </c>
      <c r="AI31" s="1881">
        <f t="shared" si="80"/>
        <v>227381.01421322374</v>
      </c>
      <c r="AJ31" s="1882">
        <f t="shared" si="51"/>
        <v>408653.71347427473</v>
      </c>
      <c r="AK31" s="1882">
        <f t="shared" si="51"/>
        <v>479501.4565257252</v>
      </c>
      <c r="AL31" s="1877">
        <f>SUMIF('СС 2015'!$C$153:$C$173,'С1 2015'!$C31,'СС 2015'!$K$153:$K$173)</f>
        <v>888155.16999999993</v>
      </c>
      <c r="AM31" s="1878">
        <f>AM$11/$AW$11*$AW31</f>
        <v>12314.416343511955</v>
      </c>
      <c r="AN31" s="1879">
        <f t="shared" ref="AN31:AT32" si="81">AN$11/$AW$11*$AW31</f>
        <v>12314.416343511955</v>
      </c>
      <c r="AO31" s="1880">
        <f t="shared" si="81"/>
        <v>8604.9001488610029</v>
      </c>
      <c r="AP31" s="1880">
        <f t="shared" si="81"/>
        <v>8604.9001488610029</v>
      </c>
      <c r="AQ31" s="1880">
        <f t="shared" si="81"/>
        <v>1658.7406442110162</v>
      </c>
      <c r="AR31" s="1880">
        <f t="shared" si="81"/>
        <v>1658.7406442110162</v>
      </c>
      <c r="AS31" s="1880">
        <f t="shared" si="81"/>
        <v>5585.7578634160182</v>
      </c>
      <c r="AT31" s="1881">
        <f t="shared" si="81"/>
        <v>5585.7578634160182</v>
      </c>
      <c r="AU31" s="1882">
        <f t="shared" si="52"/>
        <v>28163.814999999988</v>
      </c>
      <c r="AV31" s="1882">
        <f t="shared" si="52"/>
        <v>28163.814999999988</v>
      </c>
      <c r="AW31" s="1877">
        <f>SUMIF('СС 2015'!$C$153:$C$173,'С1 2015'!$C31,'СС 2015'!$L$153:$L$173)</f>
        <v>56327.63</v>
      </c>
      <c r="AX31" s="1740"/>
      <c r="AY31" s="1740"/>
      <c r="AZ31" s="1740"/>
      <c r="BA31" s="1883">
        <f t="shared" si="64"/>
        <v>852278.21220766008</v>
      </c>
      <c r="BB31" s="1883">
        <f t="shared" si="53"/>
        <v>848003.30336525617</v>
      </c>
      <c r="BC31" s="1883">
        <f t="shared" si="54"/>
        <v>0</v>
      </c>
      <c r="BD31" s="1883">
        <f t="shared" si="55"/>
        <v>1544082.2744270838</v>
      </c>
      <c r="BE31" s="1883">
        <f t="shared" si="56"/>
        <v>3244363.79</v>
      </c>
      <c r="BF31" s="1883">
        <f t="shared" si="57"/>
        <v>3244363.79</v>
      </c>
      <c r="BG31" s="1740" t="b">
        <f t="shared" si="58"/>
        <v>1</v>
      </c>
      <c r="BH31" s="1740"/>
      <c r="BI31" s="1768">
        <f t="shared" si="65"/>
        <v>852278.21220766008</v>
      </c>
      <c r="BJ31" s="1768">
        <f t="shared" si="66"/>
        <v>2392085.57779234</v>
      </c>
      <c r="BK31" s="1768">
        <f t="shared" si="67"/>
        <v>3244363.79</v>
      </c>
    </row>
    <row r="32" spans="1:63" ht="15.75">
      <c r="A32" s="1739">
        <f>A31+1</f>
        <v>4</v>
      </c>
      <c r="B32" s="1872" t="str">
        <f>CONCATENATE($B$25,".",A32)</f>
        <v>8.4</v>
      </c>
      <c r="C32" s="1873" t="s">
        <v>3706</v>
      </c>
      <c r="D32" s="1874"/>
      <c r="E32" s="1875"/>
      <c r="F32" s="1874"/>
      <c r="G32" s="1878">
        <f>G$11/$K$11*$K32</f>
        <v>26446.69174445836</v>
      </c>
      <c r="H32" s="1880">
        <f t="shared" si="77"/>
        <v>30084.831526486112</v>
      </c>
      <c r="I32" s="1880">
        <f t="shared" si="77"/>
        <v>0</v>
      </c>
      <c r="J32" s="1880">
        <f>J$11/$K$11*$K32</f>
        <v>76663.623693911766</v>
      </c>
      <c r="K32" s="1877">
        <f>SUMIF('СС 2015'!$C$153:$C$173,'С1 2015'!$C32,'СС 2015'!$H$153:$H$173)</f>
        <v>133195.14696485625</v>
      </c>
      <c r="L32" s="1878">
        <f>L$11/$P$11*$P32</f>
        <v>8778.05087688405</v>
      </c>
      <c r="M32" s="1880">
        <f t="shared" si="78"/>
        <v>9985.6036555996452</v>
      </c>
      <c r="N32" s="1880">
        <f t="shared" si="78"/>
        <v>0</v>
      </c>
      <c r="O32" s="1880">
        <f t="shared" si="78"/>
        <v>25445.798502660076</v>
      </c>
      <c r="P32" s="1877">
        <f>SUMIF('СС 2015'!$C$153:$C$173,'С1 2015'!$C32,'СС 2015'!$I$153:$I$173)</f>
        <v>44209.453035143772</v>
      </c>
      <c r="Q32" s="1878">
        <f>Q$11/$AA$11*$AA32</f>
        <v>67055.222792167217</v>
      </c>
      <c r="R32" s="1879">
        <f>R$11/$AA$11*$AA32</f>
        <v>79187.703136640659</v>
      </c>
      <c r="S32" s="1880">
        <f t="shared" si="79"/>
        <v>65485.593353254</v>
      </c>
      <c r="T32" s="1880">
        <f t="shared" si="79"/>
        <v>76389.313070645861</v>
      </c>
      <c r="U32" s="1880">
        <f t="shared" si="79"/>
        <v>0</v>
      </c>
      <c r="V32" s="1880">
        <f t="shared" si="79"/>
        <v>0</v>
      </c>
      <c r="W32" s="1880">
        <f t="shared" si="79"/>
        <v>109603.81503119072</v>
      </c>
      <c r="X32" s="1881">
        <f t="shared" si="79"/>
        <v>132148.10261610145</v>
      </c>
      <c r="Y32" s="1882">
        <f t="shared" si="50"/>
        <v>242144.63117661193</v>
      </c>
      <c r="Z32" s="1882">
        <f t="shared" si="50"/>
        <v>287725.11882338795</v>
      </c>
      <c r="AA32" s="1877">
        <f>SUMIF('СС 2015'!$C$153:$C$173,'С1 2015'!$C32,'СС 2015'!$J$153:$J$173)</f>
        <v>529869.74999999988</v>
      </c>
      <c r="AB32" s="1878">
        <f>AB$11/$AL$11*$AL32</f>
        <v>36834.313369853189</v>
      </c>
      <c r="AC32" s="1879">
        <f t="shared" si="80"/>
        <v>36834.313369853189</v>
      </c>
      <c r="AD32" s="1880">
        <f t="shared" si="80"/>
        <v>33764.787255698764</v>
      </c>
      <c r="AE32" s="1880">
        <f t="shared" si="80"/>
        <v>38175.866230756445</v>
      </c>
      <c r="AF32" s="1880">
        <f t="shared" si="80"/>
        <v>0</v>
      </c>
      <c r="AG32" s="1880">
        <f t="shared" si="80"/>
        <v>0</v>
      </c>
      <c r="AH32" s="1880">
        <f t="shared" si="80"/>
        <v>50982.426683395941</v>
      </c>
      <c r="AI32" s="1881">
        <f t="shared" si="80"/>
        <v>67649.773090442366</v>
      </c>
      <c r="AJ32" s="1882">
        <f t="shared" si="51"/>
        <v>121581.52730894789</v>
      </c>
      <c r="AK32" s="1882">
        <f t="shared" si="51"/>
        <v>142659.95269105199</v>
      </c>
      <c r="AL32" s="1877">
        <f>SUMIF('СС 2015'!$C$153:$C$173,'С1 2015'!$C32,'СС 2015'!$K$153:$K$173)</f>
        <v>264241.47999999992</v>
      </c>
      <c r="AM32" s="1878">
        <f>AM$11/$AW$11*$AW32</f>
        <v>3634.8360959296815</v>
      </c>
      <c r="AN32" s="1879">
        <f t="shared" si="81"/>
        <v>3634.8360959296815</v>
      </c>
      <c r="AO32" s="1880">
        <f t="shared" si="81"/>
        <v>2539.901266163512</v>
      </c>
      <c r="AP32" s="1880">
        <f t="shared" si="81"/>
        <v>2539.901266163512</v>
      </c>
      <c r="AQ32" s="1880">
        <f t="shared" si="81"/>
        <v>489.60910522896694</v>
      </c>
      <c r="AR32" s="1880">
        <f t="shared" si="81"/>
        <v>489.60910522896694</v>
      </c>
      <c r="AS32" s="1880">
        <f t="shared" si="81"/>
        <v>1648.7435326778373</v>
      </c>
      <c r="AT32" s="1881">
        <f t="shared" si="81"/>
        <v>1648.7435326778373</v>
      </c>
      <c r="AU32" s="1882">
        <f t="shared" si="52"/>
        <v>8313.0899999999983</v>
      </c>
      <c r="AV32" s="1882">
        <f t="shared" si="52"/>
        <v>8313.0899999999983</v>
      </c>
      <c r="AW32" s="1877">
        <f>SUMIF('СС 2015'!$C$153:$C$173,'С1 2015'!$C32,'СС 2015'!$L$153:$L$173)</f>
        <v>16626.18</v>
      </c>
      <c r="AX32" s="1740"/>
      <c r="AY32" s="1740"/>
      <c r="AZ32" s="1740"/>
      <c r="BA32" s="1883">
        <f t="shared" si="64"/>
        <v>255136.29528985667</v>
      </c>
      <c r="BB32" s="1883">
        <f t="shared" si="53"/>
        <v>253885.9950924408</v>
      </c>
      <c r="BC32" s="1883">
        <f t="shared" si="54"/>
        <v>0</v>
      </c>
      <c r="BD32" s="1883">
        <f t="shared" si="55"/>
        <v>462493.53961770231</v>
      </c>
      <c r="BE32" s="1883">
        <f t="shared" si="56"/>
        <v>971515.82999999973</v>
      </c>
      <c r="BF32" s="1883">
        <f t="shared" si="57"/>
        <v>971515.82999999984</v>
      </c>
      <c r="BG32" s="1740" t="b">
        <f t="shared" si="58"/>
        <v>1</v>
      </c>
      <c r="BH32" s="1740"/>
      <c r="BI32" s="1768">
        <f t="shared" si="65"/>
        <v>255136.29528985667</v>
      </c>
      <c r="BJ32" s="1768">
        <f t="shared" si="66"/>
        <v>716379.53471014311</v>
      </c>
      <c r="BK32" s="1768">
        <f t="shared" si="67"/>
        <v>971515.82999999984</v>
      </c>
    </row>
    <row r="33" spans="1:63" ht="15.75">
      <c r="A33" s="1739">
        <f>A32+1</f>
        <v>5</v>
      </c>
      <c r="B33" s="1872" t="str">
        <f>CONCATENATE($B$25,".",A33)</f>
        <v>8.5</v>
      </c>
      <c r="C33" s="1873" t="s">
        <v>3708</v>
      </c>
      <c r="D33" s="1874"/>
      <c r="E33" s="1875"/>
      <c r="F33" s="1874"/>
      <c r="G33" s="1889">
        <f>SUM(G34:G36)</f>
        <v>42344.722176595249</v>
      </c>
      <c r="H33" s="1890">
        <f t="shared" ref="H33:J33" si="82">SUM(H34:H36)</f>
        <v>42325.28565715313</v>
      </c>
      <c r="I33" s="1890">
        <f t="shared" si="82"/>
        <v>0</v>
      </c>
      <c r="J33" s="1890">
        <f t="shared" si="82"/>
        <v>112738.3335546977</v>
      </c>
      <c r="K33" s="1877">
        <f>SUMIF('СС 2015'!$C$153:$C$173,'С1 2015'!$C33,'СС 2015'!$H$153:$H$173)</f>
        <v>197408.3413884461</v>
      </c>
      <c r="L33" s="1889">
        <f>SUM(L34:L36)</f>
        <v>55055.922695018067</v>
      </c>
      <c r="M33" s="1890">
        <f t="shared" ref="M33:O33" si="83">SUM(M34:M36)</f>
        <v>55030.6516468954</v>
      </c>
      <c r="N33" s="1890">
        <f t="shared" si="83"/>
        <v>0</v>
      </c>
      <c r="O33" s="1890">
        <f t="shared" si="83"/>
        <v>146580.55733763397</v>
      </c>
      <c r="P33" s="1877">
        <f>SUMIF('СС 2015'!$C$153:$C$173,'С1 2015'!$C33,'СС 2015'!$I$153:$I$173)</f>
        <v>256667.1316795474</v>
      </c>
      <c r="Q33" s="1889">
        <f>SUM(Q34:Q36)</f>
        <v>282115.0636904058</v>
      </c>
      <c r="R33" s="1891">
        <f t="shared" ref="R33:Z33" si="84">SUM(R34:R36)</f>
        <v>282115.06369040575</v>
      </c>
      <c r="S33" s="1890">
        <f t="shared" si="84"/>
        <v>282115.0636904058</v>
      </c>
      <c r="T33" s="1890">
        <f t="shared" si="84"/>
        <v>282115.06369040575</v>
      </c>
      <c r="U33" s="1890">
        <f t="shared" si="84"/>
        <v>0</v>
      </c>
      <c r="V33" s="1890">
        <f t="shared" si="84"/>
        <v>0</v>
      </c>
      <c r="W33" s="1890">
        <f t="shared" si="84"/>
        <v>282115.0636904058</v>
      </c>
      <c r="X33" s="1892">
        <f t="shared" si="84"/>
        <v>282115.06369040575</v>
      </c>
      <c r="Y33" s="1892">
        <f t="shared" si="84"/>
        <v>846345.1910712173</v>
      </c>
      <c r="Z33" s="1892">
        <f t="shared" si="84"/>
        <v>846345.19107121718</v>
      </c>
      <c r="AA33" s="1877">
        <f>SUMIF('СС 2015'!$C$153:$C$173,'С1 2015'!$C33,'СС 2015'!$J$153:$J$173)</f>
        <v>1692690.3821424346</v>
      </c>
      <c r="AB33" s="1889">
        <f>SUM(AB34:AB36)</f>
        <v>186027.90731024093</v>
      </c>
      <c r="AC33" s="1891">
        <f t="shared" ref="AC33:AK33" si="85">SUM(AC34:AC36)</f>
        <v>186027.90731024093</v>
      </c>
      <c r="AD33" s="1890">
        <f t="shared" si="85"/>
        <v>186027.90731024093</v>
      </c>
      <c r="AE33" s="1890">
        <f t="shared" si="85"/>
        <v>186027.90731024093</v>
      </c>
      <c r="AF33" s="1890">
        <f t="shared" si="85"/>
        <v>0</v>
      </c>
      <c r="AG33" s="1890">
        <f t="shared" si="85"/>
        <v>0</v>
      </c>
      <c r="AH33" s="1890">
        <f t="shared" si="85"/>
        <v>186027.90731024093</v>
      </c>
      <c r="AI33" s="1892">
        <f t="shared" si="85"/>
        <v>186027.90731024093</v>
      </c>
      <c r="AJ33" s="1892">
        <f t="shared" si="85"/>
        <v>558083.72193072282</v>
      </c>
      <c r="AK33" s="1892">
        <f t="shared" si="85"/>
        <v>558083.72193072282</v>
      </c>
      <c r="AL33" s="1877">
        <f>SUMIF('СС 2015'!$C$153:$C$173,'С1 2015'!$C33,'СС 2015'!$K$153:$K$173)</f>
        <v>1116167.4438614456</v>
      </c>
      <c r="AM33" s="1889">
        <f>SUM(AM34:AM36)</f>
        <v>12750.103866015816</v>
      </c>
      <c r="AN33" s="1891">
        <f t="shared" ref="AN33:AV33" si="86">SUM(AN34:AN36)</f>
        <v>12750.103866015816</v>
      </c>
      <c r="AO33" s="1890">
        <f t="shared" si="86"/>
        <v>12750.103866015816</v>
      </c>
      <c r="AP33" s="1890">
        <f t="shared" si="86"/>
        <v>12750.103866015816</v>
      </c>
      <c r="AQ33" s="1890">
        <f t="shared" si="86"/>
        <v>12750.103866015816</v>
      </c>
      <c r="AR33" s="1890">
        <f t="shared" si="86"/>
        <v>12750.103866015816</v>
      </c>
      <c r="AS33" s="1890">
        <f t="shared" si="86"/>
        <v>12750.103866015816</v>
      </c>
      <c r="AT33" s="1892">
        <f t="shared" si="86"/>
        <v>12750.103866015816</v>
      </c>
      <c r="AU33" s="1892">
        <f t="shared" si="86"/>
        <v>51000.415464063262</v>
      </c>
      <c r="AV33" s="1892">
        <f t="shared" si="86"/>
        <v>51000.415464063262</v>
      </c>
      <c r="AW33" s="1877">
        <f>SUMIF('СС 2015'!$C$153:$C$173,'С1 2015'!$C33,'СС 2015'!$L$153:$L$173)</f>
        <v>102000.83092812654</v>
      </c>
      <c r="AX33" s="1740"/>
      <c r="AY33" s="1740"/>
      <c r="AZ33" s="1740"/>
      <c r="BA33" s="1883">
        <f t="shared" si="64"/>
        <v>1033686.5868729067</v>
      </c>
      <c r="BB33" s="1883">
        <f t="shared" si="53"/>
        <v>1033641.879305342</v>
      </c>
      <c r="BC33" s="1883">
        <f t="shared" si="54"/>
        <v>0</v>
      </c>
      <c r="BD33" s="1883">
        <f t="shared" si="55"/>
        <v>1195604.8328936251</v>
      </c>
      <c r="BE33" s="1883">
        <f t="shared" si="56"/>
        <v>3262933.2990718735</v>
      </c>
      <c r="BF33" s="1883">
        <f t="shared" si="57"/>
        <v>3262933.2990718735</v>
      </c>
      <c r="BG33" s="1740" t="b">
        <f t="shared" si="58"/>
        <v>1</v>
      </c>
      <c r="BH33" s="1740"/>
      <c r="BI33" s="1871">
        <f>SUM(BI34:BI36)</f>
        <v>1033686.5868729067</v>
      </c>
      <c r="BJ33" s="1871">
        <f>SUM(BJ34:BJ36)</f>
        <v>2229246.7121989671</v>
      </c>
      <c r="BK33" s="1871">
        <f>SUM(BK34:BK36)</f>
        <v>3262933.299071874</v>
      </c>
    </row>
    <row r="34" spans="1:63" ht="31.5">
      <c r="B34" s="1872"/>
      <c r="C34" s="1887" t="str">
        <f>'[35]СС 2015'!C161</f>
        <v xml:space="preserve"> - работы и услуги производственного характера</v>
      </c>
      <c r="D34" s="1874"/>
      <c r="E34" s="1875"/>
      <c r="F34" s="1874"/>
      <c r="G34" s="1878">
        <f>G$16/$K$16*$K34</f>
        <v>284.96607039994808</v>
      </c>
      <c r="H34" s="1880">
        <f t="shared" ref="H34:I35" si="87">H$16/$K$16*$K34</f>
        <v>284.83526900881901</v>
      </c>
      <c r="I34" s="1880">
        <f t="shared" si="87"/>
        <v>0</v>
      </c>
      <c r="J34" s="1779">
        <f>K34-G34-H34-I34</f>
        <v>758.69195132605728</v>
      </c>
      <c r="K34" s="1877">
        <f>SUMIF('СС 2015'!$C$153:$C$173,'С1 2015'!$C34,'СС 2015'!$H$153:$H$173)</f>
        <v>1328.4932907348243</v>
      </c>
      <c r="L34" s="1878">
        <f>L$16/$P$16*$P34</f>
        <v>94.584482941259367</v>
      </c>
      <c r="M34" s="1880">
        <f t="shared" ref="M34:O35" si="88">M$16/$P$16*$P34</f>
        <v>94.541068011437801</v>
      </c>
      <c r="N34" s="1880">
        <f t="shared" si="88"/>
        <v>0</v>
      </c>
      <c r="O34" s="1880">
        <f t="shared" si="88"/>
        <v>251.82115831247862</v>
      </c>
      <c r="P34" s="1877">
        <f>SUMIF('СС 2015'!$C$153:$C$173,'С1 2015'!$C34,'СС 2015'!$I$153:$I$173)</f>
        <v>440.94670926517574</v>
      </c>
      <c r="Q34" s="1878">
        <f>Q$16/$AA$16*$AA34</f>
        <v>815.29999999999984</v>
      </c>
      <c r="R34" s="1879">
        <f t="shared" ref="R34:X35" si="89">R$16/$AA$16*$AA34</f>
        <v>815.29999999999973</v>
      </c>
      <c r="S34" s="1880">
        <f t="shared" si="89"/>
        <v>815.29999999999984</v>
      </c>
      <c r="T34" s="1880">
        <f t="shared" si="89"/>
        <v>815.29999999999973</v>
      </c>
      <c r="U34" s="1880">
        <f t="shared" si="89"/>
        <v>0</v>
      </c>
      <c r="V34" s="1880">
        <f t="shared" si="89"/>
        <v>0</v>
      </c>
      <c r="W34" s="1880">
        <f t="shared" si="89"/>
        <v>815.29999999999984</v>
      </c>
      <c r="X34" s="1881">
        <f t="shared" si="89"/>
        <v>815.29999999999973</v>
      </c>
      <c r="Y34" s="1882">
        <f t="shared" ref="Y34:Z35" si="90">SUM(Q34,S34,U34,W34)</f>
        <v>2445.8999999999996</v>
      </c>
      <c r="Z34" s="1882">
        <f t="shared" si="90"/>
        <v>2445.8999999999992</v>
      </c>
      <c r="AA34" s="1877">
        <f>SUMIF('СС 2015'!$C$153:$C$173,'С1 2015'!$C34,'СС 2015'!$J$153:$J$173)</f>
        <v>4891.7999999999993</v>
      </c>
      <c r="AB34" s="1878">
        <f>AB$16/$AL$16*$AL34</f>
        <v>665.62999999999988</v>
      </c>
      <c r="AC34" s="1879">
        <f t="shared" ref="AC34:AI35" si="91">AC$16/$AL$16*$AL34</f>
        <v>665.62999999999988</v>
      </c>
      <c r="AD34" s="1880">
        <f t="shared" si="91"/>
        <v>665.62999999999988</v>
      </c>
      <c r="AE34" s="1880">
        <f t="shared" si="91"/>
        <v>665.62999999999988</v>
      </c>
      <c r="AF34" s="1880">
        <f t="shared" si="91"/>
        <v>0</v>
      </c>
      <c r="AG34" s="1880">
        <f t="shared" si="91"/>
        <v>0</v>
      </c>
      <c r="AH34" s="1880">
        <f t="shared" si="91"/>
        <v>665.62999999999988</v>
      </c>
      <c r="AI34" s="1881">
        <f t="shared" si="91"/>
        <v>665.62999999999988</v>
      </c>
      <c r="AJ34" s="1882">
        <f t="shared" ref="AJ34:AK35" si="92">SUM(AB34,AD34,AF34,AH34)</f>
        <v>1996.8899999999996</v>
      </c>
      <c r="AK34" s="1882">
        <f t="shared" si="92"/>
        <v>1996.8899999999996</v>
      </c>
      <c r="AL34" s="1877">
        <f>SUMIF('СС 2015'!$C$153:$C$173,'С1 2015'!$C34,'СС 2015'!$K$153:$K$173)</f>
        <v>3993.7799999999997</v>
      </c>
      <c r="AM34" s="1878">
        <f>AM$16/$AW$16*$AW34</f>
        <v>30.993749999999999</v>
      </c>
      <c r="AN34" s="1879">
        <f t="shared" ref="AN34:AT35" si="93">AN$16/$AW$16*$AW34</f>
        <v>30.993749999999999</v>
      </c>
      <c r="AO34" s="1880">
        <f t="shared" si="93"/>
        <v>30.993749999999999</v>
      </c>
      <c r="AP34" s="1880">
        <f t="shared" si="93"/>
        <v>30.993749999999999</v>
      </c>
      <c r="AQ34" s="1880">
        <f t="shared" si="93"/>
        <v>30.993749999999999</v>
      </c>
      <c r="AR34" s="1880">
        <f t="shared" si="93"/>
        <v>30.993749999999999</v>
      </c>
      <c r="AS34" s="1880">
        <f t="shared" si="93"/>
        <v>30.993749999999999</v>
      </c>
      <c r="AT34" s="1881">
        <f t="shared" si="93"/>
        <v>30.993749999999999</v>
      </c>
      <c r="AU34" s="1882">
        <f t="shared" ref="AU34:AV35" si="94">SUM(AM34,AO34,AQ34,AS34)</f>
        <v>123.97499999999999</v>
      </c>
      <c r="AV34" s="1882">
        <f t="shared" si="94"/>
        <v>123.97499999999999</v>
      </c>
      <c r="AW34" s="1877">
        <f>SUMIF('СС 2015'!$C$153:$C$173,'С1 2015'!$C34,'СС 2015'!$L$153:$L$173)</f>
        <v>247.95000000000002</v>
      </c>
      <c r="AX34" s="1740"/>
      <c r="AY34" s="1740"/>
      <c r="AZ34" s="1740"/>
      <c r="BA34" s="1883">
        <f t="shared" si="64"/>
        <v>3341.4105533412067</v>
      </c>
      <c r="BB34" s="1883">
        <f t="shared" si="53"/>
        <v>3341.2363370202565</v>
      </c>
      <c r="BC34" s="1883">
        <f t="shared" si="54"/>
        <v>0</v>
      </c>
      <c r="BD34" s="1883">
        <f t="shared" si="55"/>
        <v>3972.3731096385354</v>
      </c>
      <c r="BE34" s="1883">
        <f t="shared" si="56"/>
        <v>10655.019999999999</v>
      </c>
      <c r="BF34" s="1883">
        <f t="shared" si="57"/>
        <v>10655.019999999999</v>
      </c>
      <c r="BG34" s="1740" t="b">
        <f t="shared" si="58"/>
        <v>1</v>
      </c>
      <c r="BH34" s="1740"/>
      <c r="BI34" s="1768">
        <f>BA34</f>
        <v>3341.4105533412067</v>
      </c>
      <c r="BJ34" s="1768">
        <f>SUM(BB34:BD34)</f>
        <v>7313.609446658792</v>
      </c>
      <c r="BK34" s="1768">
        <f>SUM(BI34:BJ34)</f>
        <v>10655.019999999999</v>
      </c>
    </row>
    <row r="35" spans="1:63" ht="47.25">
      <c r="B35" s="1872"/>
      <c r="C35" s="1887" t="str">
        <f>'[35]СС 2015'!C162</f>
        <v xml:space="preserve"> - налоги и сборы, уменьшающие налогооблагаемую базу на прибыль организаций, всего</v>
      </c>
      <c r="D35" s="1874"/>
      <c r="E35" s="1875"/>
      <c r="F35" s="1874"/>
      <c r="G35" s="1878">
        <f>G$16/$K$16*$K35</f>
        <v>1123.6498951453962</v>
      </c>
      <c r="H35" s="1880">
        <f t="shared" si="87"/>
        <v>1123.1341320960591</v>
      </c>
      <c r="I35" s="1880">
        <f t="shared" si="87"/>
        <v>0</v>
      </c>
      <c r="J35" s="1779">
        <f>K35-G35-H35-I35</f>
        <v>2991.598720362379</v>
      </c>
      <c r="K35" s="1877">
        <f>SUMIF('СС 2015'!$C$153:$C$173,'С1 2015'!$C35,'СС 2015'!$H$153:$H$173)</f>
        <v>5238.3827476038341</v>
      </c>
      <c r="L35" s="1878">
        <f>L$16/$P$16*$P35</f>
        <v>372.95613540996141</v>
      </c>
      <c r="M35" s="1880">
        <f t="shared" si="88"/>
        <v>372.78494597230912</v>
      </c>
      <c r="N35" s="1880">
        <f t="shared" si="88"/>
        <v>0</v>
      </c>
      <c r="O35" s="1880">
        <f t="shared" si="88"/>
        <v>992.95617101389644</v>
      </c>
      <c r="P35" s="1877">
        <f>SUMIF('СС 2015'!$C$153:$C$173,'С1 2015'!$C35,'СС 2015'!$I$153:$I$173)</f>
        <v>1738.6972523961667</v>
      </c>
      <c r="Q35" s="1878">
        <f>Q$16/$AA$16*$AA35</f>
        <v>4748.415</v>
      </c>
      <c r="R35" s="1879">
        <f t="shared" si="89"/>
        <v>4748.4149999999991</v>
      </c>
      <c r="S35" s="1880">
        <f t="shared" si="89"/>
        <v>4748.415</v>
      </c>
      <c r="T35" s="1880">
        <f t="shared" si="89"/>
        <v>4748.4149999999991</v>
      </c>
      <c r="U35" s="1880">
        <f t="shared" si="89"/>
        <v>0</v>
      </c>
      <c r="V35" s="1880">
        <f t="shared" si="89"/>
        <v>0</v>
      </c>
      <c r="W35" s="1880">
        <f t="shared" si="89"/>
        <v>4748.415</v>
      </c>
      <c r="X35" s="1881">
        <f t="shared" si="89"/>
        <v>4748.4149999999991</v>
      </c>
      <c r="Y35" s="1882">
        <f t="shared" si="90"/>
        <v>14245.244999999999</v>
      </c>
      <c r="Z35" s="1882">
        <f t="shared" si="90"/>
        <v>14245.244999999997</v>
      </c>
      <c r="AA35" s="1877">
        <f>SUMIF('СС 2015'!$C$153:$C$173,'С1 2015'!$C35,'СС 2015'!$J$153:$J$173)</f>
        <v>28490.49</v>
      </c>
      <c r="AB35" s="1878">
        <f>AB$16/$AL$16*$AL35</f>
        <v>2023.4033333333332</v>
      </c>
      <c r="AC35" s="1879">
        <f t="shared" si="91"/>
        <v>2023.4033333333332</v>
      </c>
      <c r="AD35" s="1880">
        <f t="shared" si="91"/>
        <v>2023.4033333333332</v>
      </c>
      <c r="AE35" s="1880">
        <f t="shared" si="91"/>
        <v>2023.4033333333332</v>
      </c>
      <c r="AF35" s="1880">
        <f t="shared" si="91"/>
        <v>0</v>
      </c>
      <c r="AG35" s="1880">
        <f t="shared" si="91"/>
        <v>0</v>
      </c>
      <c r="AH35" s="1880">
        <f t="shared" si="91"/>
        <v>2023.4033333333332</v>
      </c>
      <c r="AI35" s="1881">
        <f t="shared" si="91"/>
        <v>2023.4033333333332</v>
      </c>
      <c r="AJ35" s="1882">
        <f t="shared" si="92"/>
        <v>6070.2099999999991</v>
      </c>
      <c r="AK35" s="1882">
        <f t="shared" si="92"/>
        <v>6070.2099999999991</v>
      </c>
      <c r="AL35" s="1877">
        <f>SUMIF('СС 2015'!$C$153:$C$173,'С1 2015'!$C35,'СС 2015'!$K$153:$K$173)</f>
        <v>12140.42</v>
      </c>
      <c r="AM35" s="1878">
        <f>AM$16/$AW$16*$AW35</f>
        <v>117.03499999999998</v>
      </c>
      <c r="AN35" s="1879">
        <f t="shared" si="93"/>
        <v>117.03499999999998</v>
      </c>
      <c r="AO35" s="1880">
        <f t="shared" si="93"/>
        <v>117.03499999999998</v>
      </c>
      <c r="AP35" s="1880">
        <f t="shared" si="93"/>
        <v>117.03499999999998</v>
      </c>
      <c r="AQ35" s="1880">
        <f t="shared" si="93"/>
        <v>117.03499999999998</v>
      </c>
      <c r="AR35" s="1880">
        <f t="shared" si="93"/>
        <v>117.03499999999998</v>
      </c>
      <c r="AS35" s="1880">
        <f t="shared" si="93"/>
        <v>117.03499999999998</v>
      </c>
      <c r="AT35" s="1881">
        <f t="shared" si="93"/>
        <v>117.03499999999998</v>
      </c>
      <c r="AU35" s="1882">
        <f t="shared" si="94"/>
        <v>468.13999999999993</v>
      </c>
      <c r="AV35" s="1882">
        <f t="shared" si="94"/>
        <v>468.13999999999993</v>
      </c>
      <c r="AW35" s="1877">
        <f>SUMIF('СС 2015'!$C$153:$C$173,'С1 2015'!$C35,'СС 2015'!$L$153:$L$173)</f>
        <v>936.28</v>
      </c>
      <c r="AX35" s="1740"/>
      <c r="AY35" s="1740"/>
      <c r="AZ35" s="1740"/>
      <c r="BA35" s="1883">
        <f t="shared" si="64"/>
        <v>15040.242697222024</v>
      </c>
      <c r="BB35" s="1883">
        <f t="shared" si="53"/>
        <v>15039.555744735035</v>
      </c>
      <c r="BC35" s="1883">
        <f t="shared" si="54"/>
        <v>0</v>
      </c>
      <c r="BD35" s="1883">
        <f t="shared" si="55"/>
        <v>17528.191558042941</v>
      </c>
      <c r="BE35" s="1883">
        <f t="shared" si="56"/>
        <v>47607.99</v>
      </c>
      <c r="BF35" s="1883">
        <f t="shared" si="57"/>
        <v>47607.99</v>
      </c>
      <c r="BG35" s="1740" t="b">
        <f t="shared" si="58"/>
        <v>1</v>
      </c>
      <c r="BH35" s="1740"/>
      <c r="BI35" s="1768">
        <f>BA35</f>
        <v>15040.242697222024</v>
      </c>
      <c r="BJ35" s="1768">
        <f>SUM(BB35:BD35)</f>
        <v>32567.747302777978</v>
      </c>
      <c r="BK35" s="1768">
        <f t="shared" ref="BK35" si="95">SUM(BI35:BJ35)</f>
        <v>47607.990000000005</v>
      </c>
    </row>
    <row r="36" spans="1:63" ht="31.5">
      <c r="B36" s="1872"/>
      <c r="C36" s="1887" t="str">
        <f>'[35]СС 2015'!C163</f>
        <v xml:space="preserve"> - работы и услуги непроизводственного характера, в.ч. :</v>
      </c>
      <c r="D36" s="1874"/>
      <c r="E36" s="1875"/>
      <c r="F36" s="1874"/>
      <c r="G36" s="1889">
        <f>SUM(G37:G41)</f>
        <v>40936.106211049904</v>
      </c>
      <c r="H36" s="1890">
        <f t="shared" ref="H36:J36" si="96">SUM(H37:H41)</f>
        <v>40917.316256048252</v>
      </c>
      <c r="I36" s="1890">
        <f t="shared" si="96"/>
        <v>0</v>
      </c>
      <c r="J36" s="1890">
        <f t="shared" si="96"/>
        <v>108988.04288300927</v>
      </c>
      <c r="K36" s="1877">
        <f>SUMIF('СС 2015'!$C$153:$C$173,'С1 2015'!$C36,'СС 2015'!$H$153:$H$173)</f>
        <v>190841.46535010744</v>
      </c>
      <c r="L36" s="1889">
        <f>SUM(L37:L41)</f>
        <v>54588.382076666843</v>
      </c>
      <c r="M36" s="1890">
        <f t="shared" ref="M36:O36" si="97">SUM(M37:M41)</f>
        <v>54563.325632911656</v>
      </c>
      <c r="N36" s="1890">
        <f t="shared" si="97"/>
        <v>0</v>
      </c>
      <c r="O36" s="1890">
        <f t="shared" si="97"/>
        <v>145335.7800083076</v>
      </c>
      <c r="P36" s="1877">
        <f>SUMIF('СС 2015'!$C$153:$C$173,'С1 2015'!$C36,'СС 2015'!$I$153:$I$173)</f>
        <v>254487.48771788605</v>
      </c>
      <c r="Q36" s="1889">
        <f>SUM(Q37:Q41)</f>
        <v>276551.34869040578</v>
      </c>
      <c r="R36" s="1891">
        <f t="shared" ref="R36:Z36" si="98">SUM(R37:R41)</f>
        <v>276551.34869040572</v>
      </c>
      <c r="S36" s="1890">
        <f t="shared" si="98"/>
        <v>276551.34869040578</v>
      </c>
      <c r="T36" s="1890">
        <f t="shared" si="98"/>
        <v>276551.34869040572</v>
      </c>
      <c r="U36" s="1890">
        <f t="shared" si="98"/>
        <v>0</v>
      </c>
      <c r="V36" s="1890">
        <f t="shared" si="98"/>
        <v>0</v>
      </c>
      <c r="W36" s="1890">
        <f t="shared" si="98"/>
        <v>276551.34869040578</v>
      </c>
      <c r="X36" s="1892">
        <f t="shared" si="98"/>
        <v>276551.34869040572</v>
      </c>
      <c r="Y36" s="1892">
        <f t="shared" si="98"/>
        <v>829654.04607121728</v>
      </c>
      <c r="Z36" s="1892">
        <f t="shared" si="98"/>
        <v>829654.04607121716</v>
      </c>
      <c r="AA36" s="1877">
        <f>SUMIF('СС 2015'!$C$153:$C$173,'С1 2015'!$C36,'СС 2015'!$J$153:$J$173)</f>
        <v>1659308.0921424346</v>
      </c>
      <c r="AB36" s="1889">
        <f>SUM(AB37:AB41)</f>
        <v>183338.87397690761</v>
      </c>
      <c r="AC36" s="1891">
        <f t="shared" ref="AC36:AK36" si="99">SUM(AC37:AC41)</f>
        <v>183338.87397690761</v>
      </c>
      <c r="AD36" s="1890">
        <f t="shared" si="99"/>
        <v>183338.87397690761</v>
      </c>
      <c r="AE36" s="1890">
        <f t="shared" si="99"/>
        <v>183338.87397690761</v>
      </c>
      <c r="AF36" s="1890">
        <f t="shared" si="99"/>
        <v>0</v>
      </c>
      <c r="AG36" s="1890">
        <f t="shared" si="99"/>
        <v>0</v>
      </c>
      <c r="AH36" s="1890">
        <f t="shared" si="99"/>
        <v>183338.87397690761</v>
      </c>
      <c r="AI36" s="1892">
        <f t="shared" si="99"/>
        <v>183338.87397690761</v>
      </c>
      <c r="AJ36" s="1892">
        <f t="shared" si="99"/>
        <v>550016.62193072285</v>
      </c>
      <c r="AK36" s="1892">
        <f t="shared" si="99"/>
        <v>550016.62193072285</v>
      </c>
      <c r="AL36" s="1877">
        <f>SUMIF('СС 2015'!$C$153:$C$173,'С1 2015'!$C36,'СС 2015'!$K$153:$K$173)</f>
        <v>1100033.2438614457</v>
      </c>
      <c r="AM36" s="1889">
        <f>SUM(AM37:AM41)</f>
        <v>12602.075116015816</v>
      </c>
      <c r="AN36" s="1891">
        <f t="shared" ref="AN36:AV36" si="100">SUM(AN37:AN41)</f>
        <v>12602.075116015816</v>
      </c>
      <c r="AO36" s="1890">
        <f t="shared" si="100"/>
        <v>12602.075116015816</v>
      </c>
      <c r="AP36" s="1890">
        <f t="shared" si="100"/>
        <v>12602.075116015816</v>
      </c>
      <c r="AQ36" s="1890">
        <f t="shared" si="100"/>
        <v>12602.075116015816</v>
      </c>
      <c r="AR36" s="1890">
        <f t="shared" si="100"/>
        <v>12602.075116015816</v>
      </c>
      <c r="AS36" s="1890">
        <f t="shared" si="100"/>
        <v>12602.075116015816</v>
      </c>
      <c r="AT36" s="1892">
        <f t="shared" si="100"/>
        <v>12602.075116015816</v>
      </c>
      <c r="AU36" s="1892">
        <f t="shared" si="100"/>
        <v>50408.300464063264</v>
      </c>
      <c r="AV36" s="1892">
        <f t="shared" si="100"/>
        <v>50408.300464063264</v>
      </c>
      <c r="AW36" s="1877">
        <f>SUMIF('СС 2015'!$C$153:$C$173,'С1 2015'!$C36,'СС 2015'!$L$153:$L$173)</f>
        <v>100816.60092812654</v>
      </c>
      <c r="AX36" s="1740"/>
      <c r="AY36" s="1740"/>
      <c r="AZ36" s="1740"/>
      <c r="BA36" s="1883">
        <f t="shared" si="64"/>
        <v>1015304.9336223435</v>
      </c>
      <c r="BB36" s="1883">
        <f t="shared" si="53"/>
        <v>1015261.0872235866</v>
      </c>
      <c r="BC36" s="1883">
        <f t="shared" si="54"/>
        <v>0</v>
      </c>
      <c r="BD36" s="1883">
        <f t="shared" si="55"/>
        <v>1174104.2682259437</v>
      </c>
      <c r="BE36" s="1883">
        <f t="shared" si="56"/>
        <v>3204670.2890718738</v>
      </c>
      <c r="BF36" s="1883">
        <f t="shared" si="57"/>
        <v>3204670.2890718738</v>
      </c>
      <c r="BG36" s="1740" t="b">
        <f t="shared" si="58"/>
        <v>1</v>
      </c>
      <c r="BH36" s="1740"/>
      <c r="BI36" s="1871">
        <f>SUM(BI37:BI41)</f>
        <v>1015304.9336223435</v>
      </c>
      <c r="BJ36" s="1871">
        <f>SUM(BJ37:BJ41)</f>
        <v>2189365.3554495303</v>
      </c>
      <c r="BK36" s="1871">
        <f>SUM(BK37:BK41)</f>
        <v>3204670.2890718742</v>
      </c>
    </row>
    <row r="37" spans="1:63" ht="15.75">
      <c r="B37" s="1872"/>
      <c r="C37" s="1894" t="s">
        <v>3716</v>
      </c>
      <c r="D37" s="1895"/>
      <c r="E37" s="1896"/>
      <c r="F37" s="1895"/>
      <c r="G37" s="1897">
        <f>G$16/$K$16*$K37</f>
        <v>260.10497746227287</v>
      </c>
      <c r="H37" s="1898">
        <f t="shared" ref="H37:I40" si="101">H$16/$K$16*$K37</f>
        <v>259.98558748421721</v>
      </c>
      <c r="I37" s="1898">
        <f t="shared" si="101"/>
        <v>0</v>
      </c>
      <c r="J37" s="1779">
        <f>K37-G37-H37-I37</f>
        <v>692.50192706628945</v>
      </c>
      <c r="K37" s="1877">
        <f>SUMIF('СС 2015'!$C$153:$C$173,'С1 2015'!$C37,'СС 2015'!$H$153:$H$173)</f>
        <v>1212.5924920127795</v>
      </c>
      <c r="L37" s="1897">
        <f>L$16/$P$16*$P37</f>
        <v>86.332715923648038</v>
      </c>
      <c r="M37" s="1898">
        <f t="shared" ref="M37:O40" si="102">M$16/$P$16*$P37</f>
        <v>86.29308861178275</v>
      </c>
      <c r="N37" s="1898">
        <f t="shared" si="102"/>
        <v>0</v>
      </c>
      <c r="O37" s="1898">
        <f t="shared" si="102"/>
        <v>229.85170345178977</v>
      </c>
      <c r="P37" s="1877">
        <f>SUMIF('СС 2015'!$C$153:$C$173,'С1 2015'!$C37,'СС 2015'!$I$153:$I$173)</f>
        <v>402.47750798722052</v>
      </c>
      <c r="Q37" s="1897">
        <f>Q$16/$AA$16*$AA37</f>
        <v>953.31166666666661</v>
      </c>
      <c r="R37" s="1899">
        <f t="shared" ref="R37:X40" si="103">R$16/$AA$16*$AA37</f>
        <v>953.31166666666638</v>
      </c>
      <c r="S37" s="1898">
        <f t="shared" si="103"/>
        <v>953.31166666666661</v>
      </c>
      <c r="T37" s="1898">
        <f t="shared" si="103"/>
        <v>953.31166666666638</v>
      </c>
      <c r="U37" s="1898">
        <f t="shared" si="103"/>
        <v>0</v>
      </c>
      <c r="V37" s="1898">
        <f t="shared" si="103"/>
        <v>0</v>
      </c>
      <c r="W37" s="1898">
        <f t="shared" si="103"/>
        <v>953.31166666666661</v>
      </c>
      <c r="X37" s="1900">
        <f t="shared" si="103"/>
        <v>953.31166666666638</v>
      </c>
      <c r="Y37" s="1901">
        <f t="shared" ref="Y37:Z40" si="104">SUM(Q37,S37,U37,W37)</f>
        <v>2859.9349999999999</v>
      </c>
      <c r="Z37" s="1901">
        <f t="shared" si="104"/>
        <v>2859.934999999999</v>
      </c>
      <c r="AA37" s="1877">
        <f>SUMIF('СС 2015'!$C$153:$C$173,'С1 2015'!$C37,'СС 2015'!$J$153:$J$173)</f>
        <v>5719.87</v>
      </c>
      <c r="AB37" s="1897">
        <f>AB$16/$AL$16*$AL37</f>
        <v>468.79333333333335</v>
      </c>
      <c r="AC37" s="1899">
        <f t="shared" ref="AC37:AI40" si="105">AC$16/$AL$16*$AL37</f>
        <v>468.79333333333335</v>
      </c>
      <c r="AD37" s="1898">
        <f t="shared" si="105"/>
        <v>468.79333333333335</v>
      </c>
      <c r="AE37" s="1898">
        <f t="shared" si="105"/>
        <v>468.79333333333335</v>
      </c>
      <c r="AF37" s="1898">
        <f t="shared" si="105"/>
        <v>0</v>
      </c>
      <c r="AG37" s="1898">
        <f t="shared" si="105"/>
        <v>0</v>
      </c>
      <c r="AH37" s="1898">
        <f t="shared" si="105"/>
        <v>468.79333333333335</v>
      </c>
      <c r="AI37" s="1900">
        <f t="shared" si="105"/>
        <v>468.79333333333335</v>
      </c>
      <c r="AJ37" s="1901">
        <f t="shared" ref="AJ37:AK40" si="106">SUM(AB37,AD37,AF37,AH37)</f>
        <v>1406.38</v>
      </c>
      <c r="AK37" s="1901">
        <f t="shared" si="106"/>
        <v>1406.38</v>
      </c>
      <c r="AL37" s="1877">
        <f>SUMIF('СС 2015'!$C$153:$C$173,'С1 2015'!$C37,'СС 2015'!$K$153:$K$173)</f>
        <v>2812.76</v>
      </c>
      <c r="AM37" s="1897">
        <f>AM$16/$AW$16*$AW37</f>
        <v>19.138749999999995</v>
      </c>
      <c r="AN37" s="1899">
        <f t="shared" ref="AN37:AT40" si="107">AN$16/$AW$16*$AW37</f>
        <v>19.138749999999995</v>
      </c>
      <c r="AO37" s="1898">
        <f t="shared" si="107"/>
        <v>19.138749999999995</v>
      </c>
      <c r="AP37" s="1898">
        <f t="shared" si="107"/>
        <v>19.138749999999995</v>
      </c>
      <c r="AQ37" s="1898">
        <f t="shared" si="107"/>
        <v>19.138749999999995</v>
      </c>
      <c r="AR37" s="1898">
        <f t="shared" si="107"/>
        <v>19.138749999999995</v>
      </c>
      <c r="AS37" s="1898">
        <f t="shared" si="107"/>
        <v>19.138749999999995</v>
      </c>
      <c r="AT37" s="1900">
        <f t="shared" si="107"/>
        <v>19.138749999999995</v>
      </c>
      <c r="AU37" s="1901">
        <f t="shared" ref="AU37:AV40" si="108">SUM(AM37,AO37,AQ37,AS37)</f>
        <v>76.554999999999978</v>
      </c>
      <c r="AV37" s="1901">
        <f t="shared" si="108"/>
        <v>76.554999999999978</v>
      </c>
      <c r="AW37" s="1877">
        <f>SUMIF('СС 2015'!$C$153:$C$173,'С1 2015'!$C37,'СС 2015'!$L$153:$L$173)</f>
        <v>153.10999999999999</v>
      </c>
      <c r="AX37" s="1740"/>
      <c r="AY37" s="1740"/>
      <c r="AZ37" s="1740"/>
      <c r="BA37" s="1883">
        <f t="shared" si="64"/>
        <v>3190.6476933859208</v>
      </c>
      <c r="BB37" s="1883">
        <f t="shared" si="53"/>
        <v>3190.4886760959998</v>
      </c>
      <c r="BC37" s="1883">
        <f t="shared" si="54"/>
        <v>0</v>
      </c>
      <c r="BD37" s="1883">
        <f t="shared" si="55"/>
        <v>3766.5636305180792</v>
      </c>
      <c r="BE37" s="1883">
        <f t="shared" si="56"/>
        <v>10147.700000000001</v>
      </c>
      <c r="BF37" s="1883">
        <f t="shared" si="57"/>
        <v>10147.700000000001</v>
      </c>
      <c r="BG37" s="1740" t="b">
        <f t="shared" si="58"/>
        <v>1</v>
      </c>
      <c r="BH37" s="1740"/>
      <c r="BI37" s="1768">
        <f>BA37</f>
        <v>3190.6476933859208</v>
      </c>
      <c r="BJ37" s="1768">
        <f>SUM(BB37:BD37)</f>
        <v>6957.0523066140795</v>
      </c>
      <c r="BK37" s="1768">
        <f t="shared" ref="BK37:BK40" si="109">SUM(BI37:BJ37)</f>
        <v>10147.700000000001</v>
      </c>
    </row>
    <row r="38" spans="1:63" ht="31.5">
      <c r="B38" s="1872"/>
      <c r="C38" s="1894" t="s">
        <v>3718</v>
      </c>
      <c r="D38" s="1895"/>
      <c r="E38" s="1896"/>
      <c r="F38" s="1895"/>
      <c r="G38" s="1897">
        <f>G$16/$K$16*$K38</f>
        <v>438.28768534148816</v>
      </c>
      <c r="H38" s="1898">
        <f t="shared" si="101"/>
        <v>438.08650827196215</v>
      </c>
      <c r="I38" s="1898">
        <f t="shared" si="101"/>
        <v>0</v>
      </c>
      <c r="J38" s="1779">
        <f>K38-G38-H38-I38</f>
        <v>1166.8944964823966</v>
      </c>
      <c r="K38" s="1877">
        <f>SUMIF('СС 2015'!$C$153:$C$173,'С1 2015'!$C38,'СС 2015'!$H$153:$H$173)</f>
        <v>2043.268690095847</v>
      </c>
      <c r="L38" s="1897">
        <f>L$16/$P$16*$P38</f>
        <v>145.47421045377047</v>
      </c>
      <c r="M38" s="1898">
        <f t="shared" si="102"/>
        <v>145.40743678814056</v>
      </c>
      <c r="N38" s="1898">
        <f t="shared" si="102"/>
        <v>0</v>
      </c>
      <c r="O38" s="1898">
        <f t="shared" si="102"/>
        <v>387.3096626622422</v>
      </c>
      <c r="P38" s="1877">
        <f>SUMIF('СС 2015'!$C$153:$C$173,'С1 2015'!$C38,'СС 2015'!$I$153:$I$173)</f>
        <v>678.19130990415317</v>
      </c>
      <c r="Q38" s="1897">
        <f>Q$16/$AA$16*$AA38</f>
        <v>1610.5083333333334</v>
      </c>
      <c r="R38" s="1899">
        <f t="shared" si="103"/>
        <v>1610.5083333333332</v>
      </c>
      <c r="S38" s="1898">
        <f t="shared" si="103"/>
        <v>1610.5083333333334</v>
      </c>
      <c r="T38" s="1898">
        <f t="shared" si="103"/>
        <v>1610.5083333333332</v>
      </c>
      <c r="U38" s="1898">
        <f t="shared" si="103"/>
        <v>0</v>
      </c>
      <c r="V38" s="1898">
        <f t="shared" si="103"/>
        <v>0</v>
      </c>
      <c r="W38" s="1898">
        <f t="shared" si="103"/>
        <v>1610.5083333333334</v>
      </c>
      <c r="X38" s="1900">
        <f t="shared" si="103"/>
        <v>1610.5083333333332</v>
      </c>
      <c r="Y38" s="1901">
        <f t="shared" si="104"/>
        <v>4831.5250000000005</v>
      </c>
      <c r="Z38" s="1901">
        <f t="shared" si="104"/>
        <v>4831.5249999999996</v>
      </c>
      <c r="AA38" s="1877">
        <f>SUMIF('СС 2015'!$C$153:$C$173,'С1 2015'!$C38,'СС 2015'!$J$153:$J$173)</f>
        <v>9663.0500000000011</v>
      </c>
      <c r="AB38" s="1897">
        <f>AB$16/$AL$16*$AL38</f>
        <v>787.17499999999995</v>
      </c>
      <c r="AC38" s="1899">
        <f t="shared" si="105"/>
        <v>787.17499999999995</v>
      </c>
      <c r="AD38" s="1898">
        <f t="shared" si="105"/>
        <v>787.17499999999995</v>
      </c>
      <c r="AE38" s="1898">
        <f t="shared" si="105"/>
        <v>787.17499999999995</v>
      </c>
      <c r="AF38" s="1898">
        <f t="shared" si="105"/>
        <v>0</v>
      </c>
      <c r="AG38" s="1898">
        <f t="shared" si="105"/>
        <v>0</v>
      </c>
      <c r="AH38" s="1898">
        <f t="shared" si="105"/>
        <v>787.17499999999995</v>
      </c>
      <c r="AI38" s="1900">
        <f t="shared" si="105"/>
        <v>787.17499999999995</v>
      </c>
      <c r="AJ38" s="1901">
        <f t="shared" si="106"/>
        <v>2361.5249999999996</v>
      </c>
      <c r="AK38" s="1901">
        <f t="shared" si="106"/>
        <v>2361.5249999999996</v>
      </c>
      <c r="AL38" s="1877">
        <f>SUMIF('СС 2015'!$C$153:$C$173,'С1 2015'!$C38,'СС 2015'!$K$153:$K$173)</f>
        <v>4723.05</v>
      </c>
      <c r="AM38" s="1897">
        <f>AM$16/$AW$16*$AW38</f>
        <v>32.88624999999999</v>
      </c>
      <c r="AN38" s="1899">
        <f t="shared" si="107"/>
        <v>32.88624999999999</v>
      </c>
      <c r="AO38" s="1898">
        <f t="shared" si="107"/>
        <v>32.88624999999999</v>
      </c>
      <c r="AP38" s="1898">
        <f t="shared" si="107"/>
        <v>32.88624999999999</v>
      </c>
      <c r="AQ38" s="1898">
        <f t="shared" si="107"/>
        <v>32.88624999999999</v>
      </c>
      <c r="AR38" s="1898">
        <f t="shared" si="107"/>
        <v>32.88624999999999</v>
      </c>
      <c r="AS38" s="1898">
        <f t="shared" si="107"/>
        <v>32.88624999999999</v>
      </c>
      <c r="AT38" s="1900">
        <f t="shared" si="107"/>
        <v>32.88624999999999</v>
      </c>
      <c r="AU38" s="1901">
        <f t="shared" si="108"/>
        <v>131.54499999999996</v>
      </c>
      <c r="AV38" s="1901">
        <f t="shared" si="108"/>
        <v>131.54499999999996</v>
      </c>
      <c r="AW38" s="1877">
        <f>SUMIF('СС 2015'!$C$153:$C$173,'С1 2015'!$C38,'СС 2015'!$L$153:$L$173)</f>
        <v>263.08999999999997</v>
      </c>
      <c r="AX38" s="1740"/>
      <c r="AY38" s="1740"/>
      <c r="AZ38" s="1740"/>
      <c r="BA38" s="1883">
        <f t="shared" si="64"/>
        <v>5379.1285624619259</v>
      </c>
      <c r="BB38" s="1883">
        <f t="shared" si="53"/>
        <v>5378.86061172677</v>
      </c>
      <c r="BC38" s="1883">
        <f t="shared" si="54"/>
        <v>0</v>
      </c>
      <c r="BD38" s="1883">
        <f t="shared" si="55"/>
        <v>6349.5708258113054</v>
      </c>
      <c r="BE38" s="1883">
        <f t="shared" si="56"/>
        <v>17107.559999999998</v>
      </c>
      <c r="BF38" s="1883">
        <f t="shared" si="57"/>
        <v>17107.560000000001</v>
      </c>
      <c r="BG38" s="1740" t="b">
        <f t="shared" si="58"/>
        <v>1</v>
      </c>
      <c r="BH38" s="1740"/>
      <c r="BI38" s="1768">
        <f>BA38</f>
        <v>5379.1285624619259</v>
      </c>
      <c r="BJ38" s="1768">
        <f>SUM(BB38:BD38)</f>
        <v>11728.431437538075</v>
      </c>
      <c r="BK38" s="1768">
        <f t="shared" si="109"/>
        <v>17107.560000000001</v>
      </c>
    </row>
    <row r="39" spans="1:63" ht="47.25">
      <c r="B39" s="1872"/>
      <c r="C39" s="1894" t="str">
        <f>'[35]СС 2015'!C166</f>
        <v>расходы на информационное обслуживание, консультационные и юридические услуги</v>
      </c>
      <c r="D39" s="1895"/>
      <c r="E39" s="1896"/>
      <c r="F39" s="1895"/>
      <c r="G39" s="1897">
        <f>G$16/$K$16*$K39</f>
        <v>555.20906561454763</v>
      </c>
      <c r="H39" s="1898">
        <f t="shared" si="101"/>
        <v>554.95422082531377</v>
      </c>
      <c r="I39" s="1898">
        <f t="shared" si="101"/>
        <v>0</v>
      </c>
      <c r="J39" s="1779">
        <f>K39-G39-H39-I39</f>
        <v>1478.1852758604584</v>
      </c>
      <c r="K39" s="1877">
        <f>SUMIF('СС 2015'!$C$153:$C$173,'С1 2015'!$C39,'СС 2015'!$H$153:$H$173)</f>
        <v>2588.3485623003198</v>
      </c>
      <c r="L39" s="1897">
        <f>L$16/$P$16*$P39</f>
        <v>184.28215794865832</v>
      </c>
      <c r="M39" s="1898">
        <f t="shared" si="102"/>
        <v>184.19757116755096</v>
      </c>
      <c r="N39" s="1898">
        <f t="shared" si="102"/>
        <v>0</v>
      </c>
      <c r="O39" s="1898">
        <f t="shared" si="102"/>
        <v>490.63170858347138</v>
      </c>
      <c r="P39" s="1877">
        <f>SUMIF('СС 2015'!$C$153:$C$173,'С1 2015'!$C39,'СС 2015'!$I$153:$I$173)</f>
        <v>859.11143769968055</v>
      </c>
      <c r="Q39" s="1897">
        <f>Q$16/$AA$16*$AA39</f>
        <v>2075.5099999999998</v>
      </c>
      <c r="R39" s="1899">
        <f t="shared" si="103"/>
        <v>2075.5099999999993</v>
      </c>
      <c r="S39" s="1898">
        <f t="shared" si="103"/>
        <v>2075.5099999999998</v>
      </c>
      <c r="T39" s="1898">
        <f t="shared" si="103"/>
        <v>2075.5099999999993</v>
      </c>
      <c r="U39" s="1898">
        <f t="shared" si="103"/>
        <v>0</v>
      </c>
      <c r="V39" s="1898">
        <f t="shared" si="103"/>
        <v>0</v>
      </c>
      <c r="W39" s="1898">
        <f t="shared" si="103"/>
        <v>2075.5099999999998</v>
      </c>
      <c r="X39" s="1900">
        <f t="shared" si="103"/>
        <v>2075.5099999999993</v>
      </c>
      <c r="Y39" s="1901">
        <f t="shared" si="104"/>
        <v>6226.5299999999988</v>
      </c>
      <c r="Z39" s="1901">
        <f t="shared" si="104"/>
        <v>6226.5299999999979</v>
      </c>
      <c r="AA39" s="1877">
        <f>SUMIF('СС 2015'!$C$153:$C$173,'С1 2015'!$C39,'СС 2015'!$J$153:$J$173)</f>
        <v>12453.06</v>
      </c>
      <c r="AB39" s="1897">
        <f>AB$16/$AL$16*$AL39</f>
        <v>964.17833333333328</v>
      </c>
      <c r="AC39" s="1899">
        <f t="shared" si="105"/>
        <v>964.17833333333328</v>
      </c>
      <c r="AD39" s="1898">
        <f t="shared" si="105"/>
        <v>964.17833333333328</v>
      </c>
      <c r="AE39" s="1898">
        <f t="shared" si="105"/>
        <v>964.17833333333328</v>
      </c>
      <c r="AF39" s="1898">
        <f t="shared" si="105"/>
        <v>0</v>
      </c>
      <c r="AG39" s="1898">
        <f t="shared" si="105"/>
        <v>0</v>
      </c>
      <c r="AH39" s="1898">
        <f t="shared" si="105"/>
        <v>964.17833333333328</v>
      </c>
      <c r="AI39" s="1900">
        <f t="shared" si="105"/>
        <v>964.17833333333328</v>
      </c>
      <c r="AJ39" s="1901">
        <f t="shared" si="106"/>
        <v>2892.5349999999999</v>
      </c>
      <c r="AK39" s="1901">
        <f t="shared" si="106"/>
        <v>2892.5349999999999</v>
      </c>
      <c r="AL39" s="1877">
        <f>SUMIF('СС 2015'!$C$153:$C$173,'С1 2015'!$C39,'СС 2015'!$K$153:$K$173)</f>
        <v>5785.07</v>
      </c>
      <c r="AM39" s="1897">
        <f>AM$16/$AW$16*$AW39</f>
        <v>38.977499999999992</v>
      </c>
      <c r="AN39" s="1899">
        <f t="shared" si="107"/>
        <v>38.977499999999992</v>
      </c>
      <c r="AO39" s="1898">
        <f t="shared" si="107"/>
        <v>38.977499999999992</v>
      </c>
      <c r="AP39" s="1898">
        <f t="shared" si="107"/>
        <v>38.977499999999992</v>
      </c>
      <c r="AQ39" s="1898">
        <f t="shared" si="107"/>
        <v>38.977499999999992</v>
      </c>
      <c r="AR39" s="1898">
        <f t="shared" si="107"/>
        <v>38.977499999999992</v>
      </c>
      <c r="AS39" s="1898">
        <f t="shared" si="107"/>
        <v>38.977499999999992</v>
      </c>
      <c r="AT39" s="1900">
        <f t="shared" si="107"/>
        <v>38.977499999999992</v>
      </c>
      <c r="AU39" s="1901">
        <f t="shared" si="108"/>
        <v>155.90999999999997</v>
      </c>
      <c r="AV39" s="1901">
        <f t="shared" si="108"/>
        <v>155.90999999999997</v>
      </c>
      <c r="AW39" s="1877">
        <f>SUMIF('СС 2015'!$C$153:$C$173,'С1 2015'!$C39,'СС 2015'!$L$153:$L$173)</f>
        <v>311.82</v>
      </c>
      <c r="AX39" s="1740"/>
      <c r="AY39" s="1740"/>
      <c r="AZ39" s="1740"/>
      <c r="BA39" s="1883">
        <f t="shared" si="64"/>
        <v>6818.8678902298716</v>
      </c>
      <c r="BB39" s="1883">
        <f t="shared" si="53"/>
        <v>6818.5284586595299</v>
      </c>
      <c r="BC39" s="1883">
        <f t="shared" si="54"/>
        <v>0</v>
      </c>
      <c r="BD39" s="1883">
        <f t="shared" si="55"/>
        <v>8048.193651110596</v>
      </c>
      <c r="BE39" s="1883">
        <f t="shared" si="56"/>
        <v>21685.589999999997</v>
      </c>
      <c r="BF39" s="1883">
        <f t="shared" si="57"/>
        <v>21685.589999999997</v>
      </c>
      <c r="BG39" s="1740" t="b">
        <f t="shared" si="58"/>
        <v>1</v>
      </c>
      <c r="BH39" s="1740"/>
      <c r="BI39" s="1768">
        <f>BA39</f>
        <v>6818.8678902298716</v>
      </c>
      <c r="BJ39" s="1768">
        <f>SUM(BB39:BD39)</f>
        <v>14866.722109770126</v>
      </c>
      <c r="BK39" s="1768">
        <f t="shared" si="109"/>
        <v>21685.589999999997</v>
      </c>
    </row>
    <row r="40" spans="1:63" ht="15.75">
      <c r="B40" s="1872"/>
      <c r="C40" s="1894" t="s">
        <v>3722</v>
      </c>
      <c r="D40" s="1895"/>
      <c r="E40" s="1896"/>
      <c r="F40" s="1895"/>
      <c r="G40" s="1897">
        <f>G$16/$K$16*$K40</f>
        <v>15.38981694062474</v>
      </c>
      <c r="H40" s="1898">
        <f t="shared" si="101"/>
        <v>15.382752908537588</v>
      </c>
      <c r="I40" s="1898">
        <f t="shared" si="101"/>
        <v>0</v>
      </c>
      <c r="J40" s="1779">
        <f>K40-G40-H40-I40</f>
        <v>40.973756029431932</v>
      </c>
      <c r="K40" s="1877">
        <f>SUMIF('СС 2015'!$C$153:$C$173,'С1 2015'!$C40,'СС 2015'!$H$153:$H$173)</f>
        <v>71.746325878594263</v>
      </c>
      <c r="L40" s="1897">
        <f>L$16/$P$16*$P40</f>
        <v>5.108109452632891</v>
      </c>
      <c r="M40" s="1898">
        <f t="shared" si="102"/>
        <v>5.105764795174176</v>
      </c>
      <c r="N40" s="1898">
        <f t="shared" si="102"/>
        <v>0</v>
      </c>
      <c r="O40" s="1898">
        <f t="shared" si="102"/>
        <v>13.599799873598682</v>
      </c>
      <c r="P40" s="1877">
        <f>SUMIF('СС 2015'!$C$153:$C$173,'С1 2015'!$C40,'СС 2015'!$I$153:$I$173)</f>
        <v>23.813674121405747</v>
      </c>
      <c r="Q40" s="1897">
        <f>Q$16/$AA$16*$AA40</f>
        <v>54.653333333333322</v>
      </c>
      <c r="R40" s="1899">
        <f t="shared" si="103"/>
        <v>54.653333333333315</v>
      </c>
      <c r="S40" s="1898">
        <f t="shared" si="103"/>
        <v>54.653333333333322</v>
      </c>
      <c r="T40" s="1898">
        <f t="shared" si="103"/>
        <v>54.653333333333315</v>
      </c>
      <c r="U40" s="1898">
        <f t="shared" si="103"/>
        <v>0</v>
      </c>
      <c r="V40" s="1898">
        <f t="shared" si="103"/>
        <v>0</v>
      </c>
      <c r="W40" s="1898">
        <f t="shared" si="103"/>
        <v>54.653333333333322</v>
      </c>
      <c r="X40" s="1900">
        <f t="shared" si="103"/>
        <v>54.653333333333315</v>
      </c>
      <c r="Y40" s="1901">
        <f t="shared" si="104"/>
        <v>163.95999999999998</v>
      </c>
      <c r="Z40" s="1901">
        <f t="shared" si="104"/>
        <v>163.95999999999995</v>
      </c>
      <c r="AA40" s="1877">
        <f>SUMIF('СС 2015'!$C$153:$C$173,'С1 2015'!$C40,'СС 2015'!$J$153:$J$173)</f>
        <v>327.91999999999996</v>
      </c>
      <c r="AB40" s="1897">
        <f>AB$16/$AL$16*$AL40</f>
        <v>30.93333333333333</v>
      </c>
      <c r="AC40" s="1899">
        <f t="shared" si="105"/>
        <v>30.93333333333333</v>
      </c>
      <c r="AD40" s="1898">
        <f t="shared" si="105"/>
        <v>30.93333333333333</v>
      </c>
      <c r="AE40" s="1898">
        <f t="shared" si="105"/>
        <v>30.93333333333333</v>
      </c>
      <c r="AF40" s="1898">
        <f t="shared" si="105"/>
        <v>0</v>
      </c>
      <c r="AG40" s="1898">
        <f t="shared" si="105"/>
        <v>0</v>
      </c>
      <c r="AH40" s="1898">
        <f t="shared" si="105"/>
        <v>30.93333333333333</v>
      </c>
      <c r="AI40" s="1900">
        <f t="shared" si="105"/>
        <v>30.93333333333333</v>
      </c>
      <c r="AJ40" s="1901">
        <f t="shared" si="106"/>
        <v>92.799999999999983</v>
      </c>
      <c r="AK40" s="1901">
        <f t="shared" si="106"/>
        <v>92.799999999999983</v>
      </c>
      <c r="AL40" s="1877">
        <f>SUMIF('СС 2015'!$C$153:$C$173,'С1 2015'!$C40,'СС 2015'!$K$153:$K$173)</f>
        <v>185.6</v>
      </c>
      <c r="AM40" s="1897">
        <f>AM$16/$AW$16*$AW40</f>
        <v>1.0849999999999997</v>
      </c>
      <c r="AN40" s="1899">
        <f t="shared" si="107"/>
        <v>1.0849999999999997</v>
      </c>
      <c r="AO40" s="1898">
        <f t="shared" si="107"/>
        <v>1.0849999999999997</v>
      </c>
      <c r="AP40" s="1898">
        <f t="shared" si="107"/>
        <v>1.0849999999999997</v>
      </c>
      <c r="AQ40" s="1898">
        <f t="shared" si="107"/>
        <v>1.0849999999999997</v>
      </c>
      <c r="AR40" s="1898">
        <f t="shared" si="107"/>
        <v>1.0849999999999997</v>
      </c>
      <c r="AS40" s="1898">
        <f t="shared" si="107"/>
        <v>1.0849999999999997</v>
      </c>
      <c r="AT40" s="1900">
        <f t="shared" si="107"/>
        <v>1.0849999999999997</v>
      </c>
      <c r="AU40" s="1901">
        <f t="shared" si="108"/>
        <v>4.339999999999999</v>
      </c>
      <c r="AV40" s="1901">
        <f t="shared" si="108"/>
        <v>4.339999999999999</v>
      </c>
      <c r="AW40" s="1877">
        <f>SUMIF('СС 2015'!$C$153:$C$173,'С1 2015'!$C40,'СС 2015'!$L$153:$L$173)</f>
        <v>8.68</v>
      </c>
      <c r="AX40" s="1740"/>
      <c r="AY40" s="1740"/>
      <c r="AZ40" s="1740"/>
      <c r="BA40" s="1883">
        <f t="shared" si="64"/>
        <v>191.67125972659093</v>
      </c>
      <c r="BB40" s="1883">
        <f t="shared" si="53"/>
        <v>191.66185103704507</v>
      </c>
      <c r="BC40" s="1883">
        <f t="shared" si="54"/>
        <v>0</v>
      </c>
      <c r="BD40" s="1883">
        <f t="shared" si="55"/>
        <v>225.74688923636393</v>
      </c>
      <c r="BE40" s="1883">
        <f t="shared" si="56"/>
        <v>609.07999999999981</v>
      </c>
      <c r="BF40" s="1883">
        <f t="shared" si="57"/>
        <v>609.07999999999993</v>
      </c>
      <c r="BG40" s="1740" t="b">
        <f t="shared" si="58"/>
        <v>1</v>
      </c>
      <c r="BH40" s="1740"/>
      <c r="BI40" s="1768">
        <f>BA40</f>
        <v>191.67125972659093</v>
      </c>
      <c r="BJ40" s="1768">
        <f>SUM(BB40:BD40)</f>
        <v>417.40874027340897</v>
      </c>
      <c r="BK40" s="1768">
        <f t="shared" si="109"/>
        <v>609.07999999999993</v>
      </c>
    </row>
    <row r="41" spans="1:63" ht="31.5">
      <c r="B41" s="1872"/>
      <c r="C41" s="1894" t="str">
        <f>'[35]СС 2015'!C168</f>
        <v xml:space="preserve">другие прочие расходы, связанные с производством и реализацией </v>
      </c>
      <c r="D41" s="1895"/>
      <c r="E41" s="1896"/>
      <c r="F41" s="1895"/>
      <c r="G41" s="1902">
        <f>SUM(G42,G43)</f>
        <v>39667.11466569097</v>
      </c>
      <c r="H41" s="1903">
        <f t="shared" ref="H41:J41" si="110">SUM(H42,H43)</f>
        <v>39648.907186558223</v>
      </c>
      <c r="I41" s="1903">
        <f t="shared" si="110"/>
        <v>0</v>
      </c>
      <c r="J41" s="1903">
        <f t="shared" si="110"/>
        <v>105609.4874275707</v>
      </c>
      <c r="K41" s="1877">
        <f>SUMIF('СС 2015'!$C$153:$C$173,'С1 2015'!$C41,'СС 2015'!$H$153:$H$173)</f>
        <v>184925.5092798199</v>
      </c>
      <c r="L41" s="1902">
        <f>SUM(L42,L43)</f>
        <v>54167.184882888134</v>
      </c>
      <c r="M41" s="1903">
        <f t="shared" ref="M41:O41" si="111">SUM(M42,M43)</f>
        <v>54142.32177154901</v>
      </c>
      <c r="N41" s="1903">
        <f t="shared" si="111"/>
        <v>0</v>
      </c>
      <c r="O41" s="1903">
        <f t="shared" si="111"/>
        <v>144214.38713373648</v>
      </c>
      <c r="P41" s="1877">
        <f>SUMIF('СС 2015'!$C$153:$C$173,'С1 2015'!$C41,'СС 2015'!$I$153:$I$173)</f>
        <v>252523.89378817359</v>
      </c>
      <c r="Q41" s="1902">
        <f>SUM(Q42,Q43)</f>
        <v>271857.36535707244</v>
      </c>
      <c r="R41" s="1904">
        <f t="shared" ref="R41:Z41" si="112">SUM(R42,R43)</f>
        <v>271857.36535707238</v>
      </c>
      <c r="S41" s="1903">
        <f t="shared" si="112"/>
        <v>271857.36535707244</v>
      </c>
      <c r="T41" s="1903">
        <f t="shared" si="112"/>
        <v>271857.36535707238</v>
      </c>
      <c r="U41" s="1903">
        <f t="shared" si="112"/>
        <v>0</v>
      </c>
      <c r="V41" s="1903">
        <f t="shared" si="112"/>
        <v>0</v>
      </c>
      <c r="W41" s="1903">
        <f t="shared" si="112"/>
        <v>271857.36535707244</v>
      </c>
      <c r="X41" s="1901">
        <f t="shared" si="112"/>
        <v>271857.36535707238</v>
      </c>
      <c r="Y41" s="1901">
        <f t="shared" si="112"/>
        <v>815572.09607121733</v>
      </c>
      <c r="Z41" s="1901">
        <f t="shared" si="112"/>
        <v>815572.09607121721</v>
      </c>
      <c r="AA41" s="1877">
        <f>SUMIF('СС 2015'!$C$153:$C$173,'С1 2015'!$C41,'СС 2015'!$J$153:$J$173)</f>
        <v>1631144.1921424347</v>
      </c>
      <c r="AB41" s="1902">
        <f>SUM(AB42,AB43)</f>
        <v>181087.79397690762</v>
      </c>
      <c r="AC41" s="1904">
        <f t="shared" ref="AC41:AK41" si="113">SUM(AC42,AC43)</f>
        <v>181087.79397690762</v>
      </c>
      <c r="AD41" s="1903">
        <f t="shared" si="113"/>
        <v>181087.79397690762</v>
      </c>
      <c r="AE41" s="1903">
        <f t="shared" si="113"/>
        <v>181087.79397690762</v>
      </c>
      <c r="AF41" s="1903">
        <f t="shared" si="113"/>
        <v>0</v>
      </c>
      <c r="AG41" s="1903">
        <f t="shared" si="113"/>
        <v>0</v>
      </c>
      <c r="AH41" s="1903">
        <f t="shared" si="113"/>
        <v>181087.79397690762</v>
      </c>
      <c r="AI41" s="1901">
        <f t="shared" si="113"/>
        <v>181087.79397690762</v>
      </c>
      <c r="AJ41" s="1901">
        <f t="shared" si="113"/>
        <v>543263.38193072286</v>
      </c>
      <c r="AK41" s="1901">
        <f t="shared" si="113"/>
        <v>543263.38193072286</v>
      </c>
      <c r="AL41" s="1877">
        <f>SUMIF('СС 2015'!$C$153:$C$173,'С1 2015'!$C41,'СС 2015'!$K$153:$K$173)</f>
        <v>1086526.7638614457</v>
      </c>
      <c r="AM41" s="1902">
        <f>SUM(AM42,AM43)</f>
        <v>12509.987616015816</v>
      </c>
      <c r="AN41" s="1904">
        <f t="shared" ref="AN41:AV41" si="114">SUM(AN42,AN43)</f>
        <v>12509.987616015816</v>
      </c>
      <c r="AO41" s="1903">
        <f t="shared" si="114"/>
        <v>12509.987616015816</v>
      </c>
      <c r="AP41" s="1903">
        <f t="shared" si="114"/>
        <v>12509.987616015816</v>
      </c>
      <c r="AQ41" s="1903">
        <f t="shared" si="114"/>
        <v>12509.987616015816</v>
      </c>
      <c r="AR41" s="1903">
        <f t="shared" si="114"/>
        <v>12509.987616015816</v>
      </c>
      <c r="AS41" s="1903">
        <f t="shared" si="114"/>
        <v>12509.987616015816</v>
      </c>
      <c r="AT41" s="1901">
        <f t="shared" si="114"/>
        <v>12509.987616015816</v>
      </c>
      <c r="AU41" s="1901">
        <f t="shared" si="114"/>
        <v>50039.950464063266</v>
      </c>
      <c r="AV41" s="1901">
        <f t="shared" si="114"/>
        <v>50039.950464063266</v>
      </c>
      <c r="AW41" s="1877">
        <f>SUMIF('СС 2015'!$C$153:$C$173,'С1 2015'!$C41,'СС 2015'!$L$153:$L$173)</f>
        <v>100079.90092812655</v>
      </c>
      <c r="AX41" s="1740"/>
      <c r="AY41" s="1740"/>
      <c r="AZ41" s="1740"/>
      <c r="BA41" s="1883">
        <f t="shared" si="64"/>
        <v>999724.61821653915</v>
      </c>
      <c r="BB41" s="1883">
        <f t="shared" si="53"/>
        <v>999681.5476260673</v>
      </c>
      <c r="BC41" s="1883">
        <f t="shared" si="54"/>
        <v>0</v>
      </c>
      <c r="BD41" s="1883">
        <f t="shared" si="55"/>
        <v>1155714.1932292674</v>
      </c>
      <c r="BE41" s="1883">
        <f t="shared" si="56"/>
        <v>3155120.3590718736</v>
      </c>
      <c r="BF41" s="1883">
        <f t="shared" si="57"/>
        <v>3155120.3590718741</v>
      </c>
      <c r="BG41" s="1740" t="b">
        <f t="shared" si="58"/>
        <v>1</v>
      </c>
      <c r="BH41" s="1740"/>
      <c r="BI41" s="1905">
        <f>SUM(BI42,BI43)</f>
        <v>999724.61821653915</v>
      </c>
      <c r="BJ41" s="1905">
        <f>SUM(BJ42,BJ43)</f>
        <v>2155395.7408553348</v>
      </c>
      <c r="BK41" s="1905">
        <f>SUM(BK42,BK43)</f>
        <v>3155120.3590718741</v>
      </c>
    </row>
    <row r="42" spans="1:63" ht="31.5">
      <c r="B42" s="1907"/>
      <c r="C42" s="1908" t="s">
        <v>3768</v>
      </c>
      <c r="D42" s="1895"/>
      <c r="E42" s="1896"/>
      <c r="F42" s="1895"/>
      <c r="G42" s="1897">
        <f>G$14/$K$14*$K42</f>
        <v>0</v>
      </c>
      <c r="H42" s="1898">
        <f t="shared" ref="H42:I42" si="115">H$14/$K$14*$K42</f>
        <v>0</v>
      </c>
      <c r="I42" s="1898">
        <f t="shared" si="115"/>
        <v>0</v>
      </c>
      <c r="J42" s="1898">
        <f>J$14/$K$14*$K42</f>
        <v>0</v>
      </c>
      <c r="K42" s="1877">
        <f>SUMIF('СС 2015'!$C$153:$C$173,'С1 2015'!$C42,'СС 2015'!$H$153:$H$173)</f>
        <v>0</v>
      </c>
      <c r="L42" s="1897">
        <f>L$14/$P14*$P42</f>
        <v>0</v>
      </c>
      <c r="M42" s="1898">
        <f t="shared" ref="M42:O42" si="116">M$14/$P14*$P42</f>
        <v>0</v>
      </c>
      <c r="N42" s="1898">
        <f t="shared" si="116"/>
        <v>0</v>
      </c>
      <c r="O42" s="1898">
        <f t="shared" si="116"/>
        <v>0</v>
      </c>
      <c r="P42" s="1877">
        <f>SUMIF('СС 2015'!$C$153:$C$173,'С1 2015'!$C42,'СС 2015'!$I$153:$I$173)</f>
        <v>0</v>
      </c>
      <c r="Q42" s="1897">
        <f>Q$14/$AA$14*$AA42</f>
        <v>0</v>
      </c>
      <c r="R42" s="1899">
        <f t="shared" ref="R42:X42" si="117">R$14/$AA$14*$AA42</f>
        <v>0</v>
      </c>
      <c r="S42" s="1898">
        <f t="shared" si="117"/>
        <v>0</v>
      </c>
      <c r="T42" s="1898">
        <f t="shared" si="117"/>
        <v>0</v>
      </c>
      <c r="U42" s="1898">
        <f t="shared" si="117"/>
        <v>0</v>
      </c>
      <c r="V42" s="1898">
        <f t="shared" si="117"/>
        <v>0</v>
      </c>
      <c r="W42" s="1898">
        <f t="shared" si="117"/>
        <v>0</v>
      </c>
      <c r="X42" s="1900">
        <f t="shared" si="117"/>
        <v>0</v>
      </c>
      <c r="Y42" s="1901">
        <f t="shared" ref="Y42:Z43" si="118">SUM(Q42,S42,U42,W42)</f>
        <v>0</v>
      </c>
      <c r="Z42" s="1901">
        <f t="shared" si="118"/>
        <v>0</v>
      </c>
      <c r="AA42" s="1877">
        <f>SUMIF('СС 2015'!$C$153:$C$173,'С1 2015'!$C42,'СС 2015'!$J$153:$J$173)</f>
        <v>0</v>
      </c>
      <c r="AB42" s="1897">
        <f>AB$14/$AL$14*$AL42</f>
        <v>0</v>
      </c>
      <c r="AC42" s="1899">
        <f t="shared" ref="AC42:AI42" si="119">AC$14/$AL$14*$AL42</f>
        <v>0</v>
      </c>
      <c r="AD42" s="1898">
        <f t="shared" si="119"/>
        <v>0</v>
      </c>
      <c r="AE42" s="1898">
        <f t="shared" si="119"/>
        <v>0</v>
      </c>
      <c r="AF42" s="1898">
        <f t="shared" si="119"/>
        <v>0</v>
      </c>
      <c r="AG42" s="1898">
        <f t="shared" si="119"/>
        <v>0</v>
      </c>
      <c r="AH42" s="1898">
        <f t="shared" si="119"/>
        <v>0</v>
      </c>
      <c r="AI42" s="1900">
        <f t="shared" si="119"/>
        <v>0</v>
      </c>
      <c r="AJ42" s="1901">
        <f t="shared" ref="AJ42:AK43" si="120">SUM(AB42,AD42,AF42,AH42)</f>
        <v>0</v>
      </c>
      <c r="AK42" s="1901">
        <f t="shared" si="120"/>
        <v>0</v>
      </c>
      <c r="AL42" s="1877">
        <f>SUMIF('СС 2015'!$C$153:$C$173,'С1 2015'!$C42,'СС 2015'!$K$153:$K$173)</f>
        <v>0</v>
      </c>
      <c r="AM42" s="1897">
        <f>AM$14/$AW$14*$AW42</f>
        <v>0</v>
      </c>
      <c r="AN42" s="1899">
        <f t="shared" ref="AN42:AT42" si="121">AN$14/$AW$14*$AW42</f>
        <v>0</v>
      </c>
      <c r="AO42" s="1898">
        <f t="shared" si="121"/>
        <v>0</v>
      </c>
      <c r="AP42" s="1898">
        <f t="shared" si="121"/>
        <v>0</v>
      </c>
      <c r="AQ42" s="1898">
        <f t="shared" si="121"/>
        <v>0</v>
      </c>
      <c r="AR42" s="1898">
        <f t="shared" si="121"/>
        <v>0</v>
      </c>
      <c r="AS42" s="1898">
        <f t="shared" si="121"/>
        <v>0</v>
      </c>
      <c r="AT42" s="1900">
        <f t="shared" si="121"/>
        <v>0</v>
      </c>
      <c r="AU42" s="1901">
        <f t="shared" ref="AU42:AV43" si="122">SUM(AM42,AO42,AQ42,AS42)</f>
        <v>0</v>
      </c>
      <c r="AV42" s="1901">
        <f t="shared" si="122"/>
        <v>0</v>
      </c>
      <c r="AW42" s="1877">
        <f>SUMIF('СС 2015'!$C$153:$C$173,'С1 2015'!$C42,'СС 2015'!$L$153:$L$173)</f>
        <v>0</v>
      </c>
      <c r="AX42" s="1740"/>
      <c r="AY42" s="1740"/>
      <c r="AZ42" s="1740"/>
      <c r="BA42" s="1883">
        <f t="shared" si="64"/>
        <v>0</v>
      </c>
      <c r="BB42" s="1883">
        <f t="shared" si="53"/>
        <v>0</v>
      </c>
      <c r="BC42" s="1883">
        <f t="shared" si="54"/>
        <v>0</v>
      </c>
      <c r="BD42" s="1883">
        <f t="shared" si="55"/>
        <v>0</v>
      </c>
      <c r="BE42" s="1883">
        <f t="shared" si="56"/>
        <v>0</v>
      </c>
      <c r="BF42" s="1883">
        <f t="shared" si="57"/>
        <v>0</v>
      </c>
      <c r="BG42" s="1740" t="b">
        <f t="shared" si="58"/>
        <v>1</v>
      </c>
      <c r="BH42" s="1740"/>
      <c r="BI42" s="1768">
        <f>BA42</f>
        <v>0</v>
      </c>
      <c r="BJ42" s="1768">
        <f>SUM(BB42:BD42)</f>
        <v>0</v>
      </c>
      <c r="BK42" s="1768">
        <f t="shared" ref="BK42:BK43" si="123">SUM(BI42:BJ42)</f>
        <v>0</v>
      </c>
    </row>
    <row r="43" spans="1:63" ht="15.75">
      <c r="B43" s="1907"/>
      <c r="C43" s="1909" t="s">
        <v>3769</v>
      </c>
      <c r="D43" s="1895"/>
      <c r="E43" s="1896"/>
      <c r="F43" s="1895"/>
      <c r="G43" s="1897">
        <f>G$16/$K$16*$K43</f>
        <v>39667.11466569097</v>
      </c>
      <c r="H43" s="1898">
        <f>H$16/$K$16*$K43</f>
        <v>39648.907186558223</v>
      </c>
      <c r="I43" s="1898">
        <f>I$16/$K$16*$K43</f>
        <v>0</v>
      </c>
      <c r="J43" s="1779">
        <f>K43-G43-H43-I43</f>
        <v>105609.4874275707</v>
      </c>
      <c r="K43" s="1910">
        <f>K41</f>
        <v>184925.5092798199</v>
      </c>
      <c r="L43" s="1897">
        <f>L$16/$P$16*$P43</f>
        <v>54167.184882888134</v>
      </c>
      <c r="M43" s="1898">
        <f t="shared" ref="M43:O43" si="124">M$16/$P$16*$P43</f>
        <v>54142.32177154901</v>
      </c>
      <c r="N43" s="1898">
        <f t="shared" si="124"/>
        <v>0</v>
      </c>
      <c r="O43" s="1898">
        <f t="shared" si="124"/>
        <v>144214.38713373648</v>
      </c>
      <c r="P43" s="1910">
        <f>P41</f>
        <v>252523.89378817359</v>
      </c>
      <c r="Q43" s="1897">
        <f>Q$16/$AA$16*$AA43</f>
        <v>271857.36535707244</v>
      </c>
      <c r="R43" s="1899">
        <f t="shared" ref="R43:X43" si="125">R$16/$AA$16*$AA43</f>
        <v>271857.36535707238</v>
      </c>
      <c r="S43" s="1898">
        <f t="shared" si="125"/>
        <v>271857.36535707244</v>
      </c>
      <c r="T43" s="1898">
        <f t="shared" si="125"/>
        <v>271857.36535707238</v>
      </c>
      <c r="U43" s="1898">
        <f t="shared" si="125"/>
        <v>0</v>
      </c>
      <c r="V43" s="1898">
        <f t="shared" si="125"/>
        <v>0</v>
      </c>
      <c r="W43" s="1898">
        <f t="shared" si="125"/>
        <v>271857.36535707244</v>
      </c>
      <c r="X43" s="1900">
        <f t="shared" si="125"/>
        <v>271857.36535707238</v>
      </c>
      <c r="Y43" s="1901">
        <f t="shared" si="118"/>
        <v>815572.09607121733</v>
      </c>
      <c r="Z43" s="1901">
        <f t="shared" si="118"/>
        <v>815572.09607121721</v>
      </c>
      <c r="AA43" s="1910">
        <f>AA41</f>
        <v>1631144.1921424347</v>
      </c>
      <c r="AB43" s="1897">
        <f>AB$16/$AL$16*$AL43</f>
        <v>181087.79397690762</v>
      </c>
      <c r="AC43" s="1899">
        <f t="shared" ref="AC43:AI43" si="126">AC$16/$AL$16*$AL43</f>
        <v>181087.79397690762</v>
      </c>
      <c r="AD43" s="1898">
        <f t="shared" si="126"/>
        <v>181087.79397690762</v>
      </c>
      <c r="AE43" s="1898">
        <f t="shared" si="126"/>
        <v>181087.79397690762</v>
      </c>
      <c r="AF43" s="1898">
        <f t="shared" si="126"/>
        <v>0</v>
      </c>
      <c r="AG43" s="1898">
        <f t="shared" si="126"/>
        <v>0</v>
      </c>
      <c r="AH43" s="1898">
        <f t="shared" si="126"/>
        <v>181087.79397690762</v>
      </c>
      <c r="AI43" s="1900">
        <f t="shared" si="126"/>
        <v>181087.79397690762</v>
      </c>
      <c r="AJ43" s="1901">
        <f t="shared" si="120"/>
        <v>543263.38193072286</v>
      </c>
      <c r="AK43" s="1901">
        <f t="shared" si="120"/>
        <v>543263.38193072286</v>
      </c>
      <c r="AL43" s="1910">
        <f>AL41</f>
        <v>1086526.7638614457</v>
      </c>
      <c r="AM43" s="1897">
        <f>AM$16/$AW$16*$AW43</f>
        <v>12509.987616015816</v>
      </c>
      <c r="AN43" s="1899">
        <f t="shared" ref="AN43:AT43" si="127">AN$16/$AW$16*$AW43</f>
        <v>12509.987616015816</v>
      </c>
      <c r="AO43" s="1898">
        <f t="shared" si="127"/>
        <v>12509.987616015816</v>
      </c>
      <c r="AP43" s="1898">
        <f t="shared" si="127"/>
        <v>12509.987616015816</v>
      </c>
      <c r="AQ43" s="1898">
        <f t="shared" si="127"/>
        <v>12509.987616015816</v>
      </c>
      <c r="AR43" s="1898">
        <f t="shared" si="127"/>
        <v>12509.987616015816</v>
      </c>
      <c r="AS43" s="1898">
        <f t="shared" si="127"/>
        <v>12509.987616015816</v>
      </c>
      <c r="AT43" s="1900">
        <f t="shared" si="127"/>
        <v>12509.987616015816</v>
      </c>
      <c r="AU43" s="1901">
        <f t="shared" si="122"/>
        <v>50039.950464063266</v>
      </c>
      <c r="AV43" s="1901">
        <f t="shared" si="122"/>
        <v>50039.950464063266</v>
      </c>
      <c r="AW43" s="1910">
        <f>AW41</f>
        <v>100079.90092812655</v>
      </c>
      <c r="AX43" s="1740"/>
      <c r="AY43" s="1740"/>
      <c r="AZ43" s="1740"/>
      <c r="BA43" s="1883">
        <f t="shared" si="64"/>
        <v>999724.61821653915</v>
      </c>
      <c r="BB43" s="1883">
        <f t="shared" si="53"/>
        <v>999681.5476260673</v>
      </c>
      <c r="BC43" s="1883">
        <f t="shared" si="54"/>
        <v>0</v>
      </c>
      <c r="BD43" s="1883">
        <f t="shared" si="55"/>
        <v>1155714.1932292674</v>
      </c>
      <c r="BE43" s="1883">
        <f t="shared" si="56"/>
        <v>3155120.3590718736</v>
      </c>
      <c r="BF43" s="1883">
        <f t="shared" si="57"/>
        <v>3155120.3590718741</v>
      </c>
      <c r="BG43" s="1740" t="b">
        <f t="shared" si="58"/>
        <v>1</v>
      </c>
      <c r="BH43" s="1740"/>
      <c r="BI43" s="1768">
        <f>BA43</f>
        <v>999724.61821653915</v>
      </c>
      <c r="BJ43" s="1768">
        <f>SUM(BB43:BD43)</f>
        <v>2155395.7408553348</v>
      </c>
      <c r="BK43" s="1768">
        <f t="shared" si="123"/>
        <v>3155120.3590718741</v>
      </c>
    </row>
    <row r="44" spans="1:63" ht="15.75">
      <c r="A44" s="1739">
        <f>A33+1</f>
        <v>6</v>
      </c>
      <c r="B44" s="1872" t="str">
        <f>CONCATENATE($B$25,".",A44)</f>
        <v>8.6</v>
      </c>
      <c r="C44" s="1873" t="s">
        <v>3726</v>
      </c>
      <c r="D44" s="1874"/>
      <c r="E44" s="1875"/>
      <c r="F44" s="1874"/>
      <c r="G44" s="1889">
        <f>SUM(G45:G48)</f>
        <v>34518.701629169111</v>
      </c>
      <c r="H44" s="1890">
        <f t="shared" ref="H44:J44" si="128">SUM(H45:H48)</f>
        <v>33050.649135160362</v>
      </c>
      <c r="I44" s="1890">
        <f t="shared" si="128"/>
        <v>0</v>
      </c>
      <c r="J44" s="1890">
        <f t="shared" si="128"/>
        <v>86581.382686912504</v>
      </c>
      <c r="K44" s="1877">
        <f>SUMIF('СС 2015'!$C$153:$C$173,'С1 2015'!$C44,'СС 2015'!$H$153:$H$173)</f>
        <v>154150.73345124198</v>
      </c>
      <c r="L44" s="1889">
        <f t="shared" ref="L44:O44" si="129">SUM(L45:L48)</f>
        <v>49092.730622628842</v>
      </c>
      <c r="M44" s="1890">
        <f t="shared" si="129"/>
        <v>49070.196720783075</v>
      </c>
      <c r="N44" s="1890">
        <f t="shared" si="129"/>
        <v>0</v>
      </c>
      <c r="O44" s="1890">
        <f t="shared" si="129"/>
        <v>130704.19064182579</v>
      </c>
      <c r="P44" s="1877">
        <f>SUMIF('СС 2015'!$C$153:$C$173,'С1 2015'!$C44,'СС 2015'!$I$153:$I$173)</f>
        <v>228867.11798523768</v>
      </c>
      <c r="Q44" s="1889">
        <f t="shared" ref="Q44:Z44" si="130">SUM(Q45:Q48)</f>
        <v>212868.61602719035</v>
      </c>
      <c r="R44" s="1891">
        <f t="shared" si="130"/>
        <v>212868.61602719029</v>
      </c>
      <c r="S44" s="1890">
        <f t="shared" si="130"/>
        <v>212868.61602719035</v>
      </c>
      <c r="T44" s="1890">
        <f t="shared" si="130"/>
        <v>212868.61602719029</v>
      </c>
      <c r="U44" s="1890">
        <f t="shared" si="130"/>
        <v>0</v>
      </c>
      <c r="V44" s="1890">
        <f t="shared" si="130"/>
        <v>0</v>
      </c>
      <c r="W44" s="1890">
        <f t="shared" si="130"/>
        <v>212868.61602719035</v>
      </c>
      <c r="X44" s="1892">
        <f t="shared" si="130"/>
        <v>212868.61602719029</v>
      </c>
      <c r="Y44" s="1892">
        <f t="shared" si="130"/>
        <v>638605.84808157093</v>
      </c>
      <c r="Z44" s="1892">
        <f t="shared" si="130"/>
        <v>638605.84808157082</v>
      </c>
      <c r="AA44" s="1877">
        <f>SUMIF('СС 2015'!$C$153:$C$173,'С1 2015'!$C44,'СС 2015'!$J$153:$J$173)</f>
        <v>1277211.6961631419</v>
      </c>
      <c r="AB44" s="1889">
        <f t="shared" ref="AB44:AV44" si="131">SUM(AB45:AB48)</f>
        <v>161797.18550838385</v>
      </c>
      <c r="AC44" s="1891">
        <f t="shared" si="131"/>
        <v>161797.18550838385</v>
      </c>
      <c r="AD44" s="1890">
        <f t="shared" si="131"/>
        <v>161797.18550838385</v>
      </c>
      <c r="AE44" s="1890">
        <f t="shared" si="131"/>
        <v>161797.18550838385</v>
      </c>
      <c r="AF44" s="1890">
        <f t="shared" si="131"/>
        <v>0</v>
      </c>
      <c r="AG44" s="1890">
        <f t="shared" si="131"/>
        <v>0</v>
      </c>
      <c r="AH44" s="1890">
        <f t="shared" si="131"/>
        <v>161797.18550838385</v>
      </c>
      <c r="AI44" s="1892">
        <f t="shared" si="131"/>
        <v>161797.18550838385</v>
      </c>
      <c r="AJ44" s="1892">
        <f t="shared" si="131"/>
        <v>485391.55652515154</v>
      </c>
      <c r="AK44" s="1892">
        <f t="shared" si="131"/>
        <v>485391.55652515154</v>
      </c>
      <c r="AL44" s="1877">
        <f>SUMIF('СС 2015'!$C$153:$C$173,'С1 2015'!$C44,'СС 2015'!$K$153:$K$173)</f>
        <v>970783.11305030319</v>
      </c>
      <c r="AM44" s="1889">
        <f t="shared" si="131"/>
        <v>1225.2524187594192</v>
      </c>
      <c r="AN44" s="1891">
        <f t="shared" si="131"/>
        <v>1225.2524187594192</v>
      </c>
      <c r="AO44" s="1890">
        <f t="shared" si="131"/>
        <v>1225.2524187594192</v>
      </c>
      <c r="AP44" s="1890">
        <f t="shared" si="131"/>
        <v>1225.2524187594192</v>
      </c>
      <c r="AQ44" s="1890">
        <f t="shared" si="131"/>
        <v>1225.2524187594192</v>
      </c>
      <c r="AR44" s="1890">
        <f t="shared" si="131"/>
        <v>1225.2524187594192</v>
      </c>
      <c r="AS44" s="1890">
        <f t="shared" si="131"/>
        <v>1225.2524187594192</v>
      </c>
      <c r="AT44" s="1892">
        <f t="shared" si="131"/>
        <v>1225.2524187594192</v>
      </c>
      <c r="AU44" s="1892">
        <f t="shared" si="131"/>
        <v>4901.009675037677</v>
      </c>
      <c r="AV44" s="1892">
        <f t="shared" si="131"/>
        <v>4901.009675037677</v>
      </c>
      <c r="AW44" s="1877">
        <f>SUMIF('СС 2015'!$C$153:$C$173,'С1 2015'!$C44,'СС 2015'!$L$153:$L$173)</f>
        <v>9802.0193500753558</v>
      </c>
      <c r="AX44" s="1740"/>
      <c r="AY44" s="1740"/>
      <c r="AZ44" s="1740"/>
      <c r="BA44" s="1883">
        <f t="shared" si="64"/>
        <v>832943.03532294626</v>
      </c>
      <c r="BB44" s="1883">
        <f t="shared" si="53"/>
        <v>831452.4489270919</v>
      </c>
      <c r="BC44" s="1883">
        <f t="shared" si="54"/>
        <v>0</v>
      </c>
      <c r="BD44" s="1883">
        <f t="shared" si="55"/>
        <v>966617.17639988661</v>
      </c>
      <c r="BE44" s="1883">
        <f t="shared" si="56"/>
        <v>2631012.6606499245</v>
      </c>
      <c r="BF44" s="1883">
        <f t="shared" si="57"/>
        <v>2631012.6606499245</v>
      </c>
      <c r="BG44" s="1740" t="b">
        <f t="shared" si="58"/>
        <v>1</v>
      </c>
      <c r="BH44" s="1740"/>
      <c r="BI44" s="1871">
        <f>SUM(BI45:BI48)</f>
        <v>832943.03532294638</v>
      </c>
      <c r="BJ44" s="1871">
        <f>SUM(BJ45:BJ48)</f>
        <v>1798069.6253269787</v>
      </c>
      <c r="BK44" s="1871">
        <f>SUM(BK45:BK48)</f>
        <v>2631012.660649925</v>
      </c>
    </row>
    <row r="45" spans="1:63" ht="15.75">
      <c r="B45" s="1872"/>
      <c r="C45" s="1887" t="str">
        <f>'[35]СС 2015'!C170</f>
        <v xml:space="preserve"> - расходы на услуги банков</v>
      </c>
      <c r="D45" s="1874"/>
      <c r="E45" s="1875"/>
      <c r="F45" s="1874"/>
      <c r="G45" s="1878">
        <f>G$16/$K$16*$K45</f>
        <v>0</v>
      </c>
      <c r="H45" s="1880">
        <f t="shared" ref="H45:I48" si="132">H$16/$K$16*$K45</f>
        <v>0</v>
      </c>
      <c r="I45" s="1880">
        <f t="shared" si="132"/>
        <v>0</v>
      </c>
      <c r="J45" s="1779">
        <f>K45-G45-H45-I45</f>
        <v>0</v>
      </c>
      <c r="K45" s="1877">
        <f>SUMIF('СС 2015'!$C$153:$C$173,'С1 2015'!$C45,'СС 2015'!$H$153:$H$173)</f>
        <v>0</v>
      </c>
      <c r="L45" s="1878">
        <f t="shared" ref="L45:O48" si="133">L$16/$P$16*$P45</f>
        <v>0</v>
      </c>
      <c r="M45" s="1880">
        <f t="shared" si="133"/>
        <v>0</v>
      </c>
      <c r="N45" s="1880">
        <f t="shared" si="133"/>
        <v>0</v>
      </c>
      <c r="O45" s="1880">
        <f t="shared" si="133"/>
        <v>0</v>
      </c>
      <c r="P45" s="1877">
        <f>SUMIF('СС 2015'!$C$153:$C$173,'С1 2015'!$C45,'СС 2015'!$I$153:$I$173)</f>
        <v>0</v>
      </c>
      <c r="Q45" s="1878">
        <f>Q$16/$AA$16*$AA45</f>
        <v>0</v>
      </c>
      <c r="R45" s="1879">
        <f t="shared" ref="R45:X48" si="134">R$16/$AA$16*$AA45</f>
        <v>0</v>
      </c>
      <c r="S45" s="1880">
        <f t="shared" si="134"/>
        <v>0</v>
      </c>
      <c r="T45" s="1880">
        <f t="shared" si="134"/>
        <v>0</v>
      </c>
      <c r="U45" s="1880">
        <f t="shared" si="134"/>
        <v>0</v>
      </c>
      <c r="V45" s="1880">
        <f t="shared" si="134"/>
        <v>0</v>
      </c>
      <c r="W45" s="1880">
        <f t="shared" si="134"/>
        <v>0</v>
      </c>
      <c r="X45" s="1881">
        <f t="shared" si="134"/>
        <v>0</v>
      </c>
      <c r="Y45" s="1882">
        <f t="shared" ref="Y45:Z48" si="135">SUM(Q45,S45,U45,W45)</f>
        <v>0</v>
      </c>
      <c r="Z45" s="1882">
        <f t="shared" si="135"/>
        <v>0</v>
      </c>
      <c r="AA45" s="1877">
        <f>SUMIF('СС 2015'!$C$153:$C$173,'С1 2015'!$C45,'СС 2015'!$J$153:$J$173)</f>
        <v>0</v>
      </c>
      <c r="AB45" s="1878">
        <f>AB$16/$AL$16*$AL45</f>
        <v>0</v>
      </c>
      <c r="AC45" s="1879">
        <f t="shared" ref="AC45:AI48" si="136">AC$16/$AL$16*$AL45</f>
        <v>0</v>
      </c>
      <c r="AD45" s="1880">
        <f t="shared" si="136"/>
        <v>0</v>
      </c>
      <c r="AE45" s="1880">
        <f t="shared" si="136"/>
        <v>0</v>
      </c>
      <c r="AF45" s="1880">
        <f t="shared" si="136"/>
        <v>0</v>
      </c>
      <c r="AG45" s="1880">
        <f t="shared" si="136"/>
        <v>0</v>
      </c>
      <c r="AH45" s="1880">
        <f t="shared" si="136"/>
        <v>0</v>
      </c>
      <c r="AI45" s="1881">
        <f t="shared" si="136"/>
        <v>0</v>
      </c>
      <c r="AJ45" s="1882">
        <f t="shared" ref="AJ45:AK48" si="137">SUM(AB45,AD45,AF45,AH45)</f>
        <v>0</v>
      </c>
      <c r="AK45" s="1882">
        <f t="shared" si="137"/>
        <v>0</v>
      </c>
      <c r="AL45" s="1877">
        <f>SUMIF('СС 2015'!$C$153:$C$173,'С1 2015'!$C45,'СС 2015'!$K$153:$K$173)</f>
        <v>0</v>
      </c>
      <c r="AM45" s="1878">
        <f>AM$16/$AW$16*$AW45</f>
        <v>0</v>
      </c>
      <c r="AN45" s="1879">
        <f t="shared" ref="AN45:AT48" si="138">AN$16/$AW$16*$AW45</f>
        <v>0</v>
      </c>
      <c r="AO45" s="1880">
        <f t="shared" si="138"/>
        <v>0</v>
      </c>
      <c r="AP45" s="1880">
        <f t="shared" si="138"/>
        <v>0</v>
      </c>
      <c r="AQ45" s="1880">
        <f t="shared" si="138"/>
        <v>0</v>
      </c>
      <c r="AR45" s="1880">
        <f t="shared" si="138"/>
        <v>0</v>
      </c>
      <c r="AS45" s="1880">
        <f t="shared" si="138"/>
        <v>0</v>
      </c>
      <c r="AT45" s="1881">
        <f t="shared" si="138"/>
        <v>0</v>
      </c>
      <c r="AU45" s="1882">
        <f t="shared" ref="AU45:AV48" si="139">SUM(AM45,AO45,AQ45,AS45)</f>
        <v>0</v>
      </c>
      <c r="AV45" s="1882">
        <f t="shared" si="139"/>
        <v>0</v>
      </c>
      <c r="AW45" s="1877">
        <f>SUMIF('СС 2015'!$C$153:$C$173,'С1 2015'!$C45,'СС 2015'!$L$153:$L$173)</f>
        <v>0</v>
      </c>
      <c r="AX45" s="1740"/>
      <c r="AY45" s="1740"/>
      <c r="AZ45" s="1740"/>
      <c r="BA45" s="1883">
        <f t="shared" si="64"/>
        <v>0</v>
      </c>
      <c r="BB45" s="1883">
        <f t="shared" si="53"/>
        <v>0</v>
      </c>
      <c r="BC45" s="1883">
        <f t="shared" si="54"/>
        <v>0</v>
      </c>
      <c r="BD45" s="1883">
        <f t="shared" si="55"/>
        <v>0</v>
      </c>
      <c r="BE45" s="1883">
        <f t="shared" si="56"/>
        <v>0</v>
      </c>
      <c r="BF45" s="1883">
        <f t="shared" si="57"/>
        <v>0</v>
      </c>
      <c r="BG45" s="1740" t="b">
        <f t="shared" si="58"/>
        <v>1</v>
      </c>
      <c r="BH45" s="1740"/>
      <c r="BI45" s="1768">
        <f t="shared" ref="BI45:BI49" si="140">BA45</f>
        <v>0</v>
      </c>
      <c r="BJ45" s="1768">
        <f t="shared" ref="BJ45:BJ49" si="141">SUM(BB45:BD45)</f>
        <v>0</v>
      </c>
      <c r="BK45" s="1768">
        <f t="shared" ref="BK45:BK49" si="142">SUM(BI45:BJ45)</f>
        <v>0</v>
      </c>
    </row>
    <row r="46" spans="1:63" ht="15.75">
      <c r="B46" s="1872"/>
      <c r="C46" s="1887" t="str">
        <f>'[35]СС 2015'!C171</f>
        <v xml:space="preserve"> - % за пользование кредитом</v>
      </c>
      <c r="D46" s="1874"/>
      <c r="E46" s="1875"/>
      <c r="F46" s="1874"/>
      <c r="G46" s="1878">
        <f>G$16/$K$16*$K46*G51</f>
        <v>30930.146815873159</v>
      </c>
      <c r="H46" s="1880">
        <f>H$16/$K$16*$K46*H51</f>
        <v>29463.741493266472</v>
      </c>
      <c r="I46" s="1880">
        <f t="shared" si="132"/>
        <v>0</v>
      </c>
      <c r="J46" s="1779">
        <f>K46-G46-H46-I46</f>
        <v>77027.235942639192</v>
      </c>
      <c r="K46" s="1877">
        <f>SUMIF('СС 2015'!$C$153:$C$173,'С1 2015'!$C46,'СС 2015'!$H$153:$H$173)</f>
        <v>137421.12425177882</v>
      </c>
      <c r="L46" s="1878">
        <f t="shared" si="133"/>
        <v>43764.814371676475</v>
      </c>
      <c r="M46" s="1880">
        <f t="shared" si="133"/>
        <v>43744.726020125403</v>
      </c>
      <c r="N46" s="1880">
        <f t="shared" si="133"/>
        <v>0</v>
      </c>
      <c r="O46" s="1880">
        <f t="shared" si="133"/>
        <v>116519.17847085543</v>
      </c>
      <c r="P46" s="1877">
        <f>SUMIF('СС 2015'!$C$153:$C$173,'С1 2015'!$C46,'СС 2015'!$I$153:$I$173)</f>
        <v>204028.71886265729</v>
      </c>
      <c r="Q46" s="1878">
        <f>Q$16/$AA$16*$AA46</f>
        <v>189766.49593191431</v>
      </c>
      <c r="R46" s="1879">
        <f>R$16/$AA$16*$AA46</f>
        <v>189766.49593191428</v>
      </c>
      <c r="S46" s="1880">
        <f t="shared" si="134"/>
        <v>189766.49593191431</v>
      </c>
      <c r="T46" s="1880">
        <f t="shared" si="134"/>
        <v>189766.49593191428</v>
      </c>
      <c r="U46" s="1880">
        <f t="shared" si="134"/>
        <v>0</v>
      </c>
      <c r="V46" s="1880">
        <f t="shared" si="134"/>
        <v>0</v>
      </c>
      <c r="W46" s="1880">
        <f t="shared" si="134"/>
        <v>189766.49593191431</v>
      </c>
      <c r="X46" s="1881">
        <f t="shared" si="134"/>
        <v>189766.49593191428</v>
      </c>
      <c r="Y46" s="1882">
        <f t="shared" si="135"/>
        <v>569299.48779574293</v>
      </c>
      <c r="Z46" s="1882">
        <f t="shared" si="135"/>
        <v>569299.48779574281</v>
      </c>
      <c r="AA46" s="1877">
        <f>SUMIF('СС 2015'!$C$153:$C$173,'С1 2015'!$C46,'СС 2015'!$J$153:$J$173)</f>
        <v>1138598.9755914859</v>
      </c>
      <c r="AB46" s="1878">
        <f>AB$16/$AL$16*$AL46</f>
        <v>144237.7252156797</v>
      </c>
      <c r="AC46" s="1879">
        <f t="shared" si="136"/>
        <v>144237.7252156797</v>
      </c>
      <c r="AD46" s="1880">
        <f t="shared" si="136"/>
        <v>144237.7252156797</v>
      </c>
      <c r="AE46" s="1880">
        <f t="shared" si="136"/>
        <v>144237.7252156797</v>
      </c>
      <c r="AF46" s="1880">
        <f t="shared" si="136"/>
        <v>0</v>
      </c>
      <c r="AG46" s="1880">
        <f t="shared" si="136"/>
        <v>0</v>
      </c>
      <c r="AH46" s="1880">
        <f t="shared" si="136"/>
        <v>144237.7252156797</v>
      </c>
      <c r="AI46" s="1881">
        <f t="shared" si="136"/>
        <v>144237.7252156797</v>
      </c>
      <c r="AJ46" s="1882">
        <f t="shared" si="137"/>
        <v>432713.17564703908</v>
      </c>
      <c r="AK46" s="1882">
        <f t="shared" si="137"/>
        <v>432713.17564703908</v>
      </c>
      <c r="AL46" s="1877">
        <f>SUMIF('СС 2015'!$C$153:$C$173,'С1 2015'!$C46,'СС 2015'!$K$153:$K$173)</f>
        <v>865426.35129407828</v>
      </c>
      <c r="AM46" s="1878">
        <f>AM$16/$AW$16*$AW46</f>
        <v>0</v>
      </c>
      <c r="AN46" s="1879">
        <f t="shared" si="138"/>
        <v>0</v>
      </c>
      <c r="AO46" s="1880">
        <f t="shared" si="138"/>
        <v>0</v>
      </c>
      <c r="AP46" s="1880">
        <f t="shared" si="138"/>
        <v>0</v>
      </c>
      <c r="AQ46" s="1880">
        <f t="shared" si="138"/>
        <v>0</v>
      </c>
      <c r="AR46" s="1880">
        <f t="shared" si="138"/>
        <v>0</v>
      </c>
      <c r="AS46" s="1880">
        <f t="shared" si="138"/>
        <v>0</v>
      </c>
      <c r="AT46" s="1881">
        <f t="shared" si="138"/>
        <v>0</v>
      </c>
      <c r="AU46" s="1882">
        <f t="shared" si="139"/>
        <v>0</v>
      </c>
      <c r="AV46" s="1882">
        <f t="shared" si="139"/>
        <v>0</v>
      </c>
      <c r="AW46" s="1877">
        <f>SUMIF('СС 2015'!$C$153:$C$173,'С1 2015'!$C46,'СС 2015'!$L$153:$L$173)</f>
        <v>0</v>
      </c>
      <c r="AX46" s="1740"/>
      <c r="AY46" s="1740"/>
      <c r="AZ46" s="1740"/>
      <c r="BA46" s="1883">
        <f t="shared" si="64"/>
        <v>742703.40348273772</v>
      </c>
      <c r="BB46" s="1883">
        <f t="shared" si="53"/>
        <v>741216.90980857995</v>
      </c>
      <c r="BC46" s="1883">
        <f t="shared" si="54"/>
        <v>0</v>
      </c>
      <c r="BD46" s="1883">
        <f t="shared" si="55"/>
        <v>861554.85670868272</v>
      </c>
      <c r="BE46" s="1883">
        <f t="shared" si="56"/>
        <v>2345475.17</v>
      </c>
      <c r="BF46" s="1883">
        <f t="shared" si="57"/>
        <v>2345475.1700000004</v>
      </c>
      <c r="BG46" s="1740" t="b">
        <f t="shared" si="58"/>
        <v>1</v>
      </c>
      <c r="BH46" s="1740"/>
      <c r="BI46" s="1768">
        <f t="shared" si="140"/>
        <v>742703.40348273772</v>
      </c>
      <c r="BJ46" s="1768">
        <f t="shared" si="141"/>
        <v>1602771.7665172627</v>
      </c>
      <c r="BK46" s="1768">
        <f t="shared" si="142"/>
        <v>2345475.1700000004</v>
      </c>
    </row>
    <row r="47" spans="1:63" ht="15.75">
      <c r="B47" s="1872"/>
      <c r="C47" s="1887" t="str">
        <f>'[35]СС 2015'!C172</f>
        <v xml:space="preserve"> - прочие обоснованные расходы*</v>
      </c>
      <c r="D47" s="1874"/>
      <c r="E47" s="1875"/>
      <c r="F47" s="1874"/>
      <c r="G47" s="1878">
        <f>G$16/$K$16*$K47</f>
        <v>3111.7837500463165</v>
      </c>
      <c r="H47" s="1880">
        <f t="shared" si="132"/>
        <v>3110.3554198495758</v>
      </c>
      <c r="I47" s="1880">
        <f t="shared" si="132"/>
        <v>0</v>
      </c>
      <c r="J47" s="1779">
        <f>K47-G47-H47-I47</f>
        <v>8284.7943339846315</v>
      </c>
      <c r="K47" s="1877">
        <f>SUMIF('СС 2015'!$C$153:$C$173,'С1 2015'!$C47,'СС 2015'!$H$153:$H$173)</f>
        <v>14506.933503880526</v>
      </c>
      <c r="L47" s="1878">
        <f t="shared" si="133"/>
        <v>4620.0557254673104</v>
      </c>
      <c r="M47" s="1880">
        <f t="shared" si="133"/>
        <v>4617.9350880344509</v>
      </c>
      <c r="N47" s="1880">
        <f t="shared" si="133"/>
        <v>0</v>
      </c>
      <c r="O47" s="1880">
        <f t="shared" si="133"/>
        <v>12300.408566782678</v>
      </c>
      <c r="P47" s="1877">
        <f>SUMIF('СС 2015'!$C$153:$C$173,'С1 2015'!$C47,'СС 2015'!$I$153:$I$173)</f>
        <v>21538.399380284438</v>
      </c>
      <c r="Q47" s="1878">
        <f>Q$16/$AA$16*$AA47</f>
        <v>20032.800289894731</v>
      </c>
      <c r="R47" s="1879">
        <f t="shared" si="134"/>
        <v>20032.800289894727</v>
      </c>
      <c r="S47" s="1880">
        <f t="shared" si="134"/>
        <v>20032.800289894731</v>
      </c>
      <c r="T47" s="1880">
        <f t="shared" si="134"/>
        <v>20032.800289894727</v>
      </c>
      <c r="U47" s="1880">
        <f t="shared" si="134"/>
        <v>0</v>
      </c>
      <c r="V47" s="1880">
        <f t="shared" si="134"/>
        <v>0</v>
      </c>
      <c r="W47" s="1880">
        <f t="shared" si="134"/>
        <v>20032.800289894731</v>
      </c>
      <c r="X47" s="1881">
        <f t="shared" si="134"/>
        <v>20032.800289894727</v>
      </c>
      <c r="Y47" s="1882">
        <f t="shared" si="135"/>
        <v>60098.400869684192</v>
      </c>
      <c r="Z47" s="1882">
        <f t="shared" si="135"/>
        <v>60098.400869684177</v>
      </c>
      <c r="AA47" s="1877">
        <f>SUMIF('СС 2015'!$C$153:$C$173,'С1 2015'!$C47,'СС 2015'!$J$153:$J$173)</f>
        <v>120196.8017393684</v>
      </c>
      <c r="AB47" s="1878">
        <f>AB$16/$AL$16*$AL47</f>
        <v>15226.531582008738</v>
      </c>
      <c r="AC47" s="1879">
        <f t="shared" si="136"/>
        <v>15226.531582008738</v>
      </c>
      <c r="AD47" s="1880">
        <f t="shared" si="136"/>
        <v>15226.531582008738</v>
      </c>
      <c r="AE47" s="1880">
        <f t="shared" si="136"/>
        <v>15226.531582008738</v>
      </c>
      <c r="AF47" s="1880">
        <f t="shared" si="136"/>
        <v>0</v>
      </c>
      <c r="AG47" s="1880">
        <f t="shared" si="136"/>
        <v>0</v>
      </c>
      <c r="AH47" s="1880">
        <f t="shared" si="136"/>
        <v>15226.531582008738</v>
      </c>
      <c r="AI47" s="1881">
        <f t="shared" si="136"/>
        <v>15226.531582008738</v>
      </c>
      <c r="AJ47" s="1882">
        <f t="shared" si="137"/>
        <v>45679.59474602621</v>
      </c>
      <c r="AK47" s="1882">
        <f t="shared" si="137"/>
        <v>45679.59474602621</v>
      </c>
      <c r="AL47" s="1877">
        <f>SUMIF('СС 2015'!$C$153:$C$173,'С1 2015'!$C47,'СС 2015'!$K$153:$K$173)</f>
        <v>91359.189492052436</v>
      </c>
      <c r="AM47" s="1878">
        <f>AM$16/$AW$16*$AW47</f>
        <v>1062.4668605517722</v>
      </c>
      <c r="AN47" s="1879">
        <f t="shared" si="138"/>
        <v>1062.4668605517722</v>
      </c>
      <c r="AO47" s="1880">
        <f t="shared" si="138"/>
        <v>1062.4668605517722</v>
      </c>
      <c r="AP47" s="1880">
        <f t="shared" si="138"/>
        <v>1062.4668605517722</v>
      </c>
      <c r="AQ47" s="1880">
        <f t="shared" si="138"/>
        <v>1062.4668605517722</v>
      </c>
      <c r="AR47" s="1880">
        <f t="shared" si="138"/>
        <v>1062.4668605517722</v>
      </c>
      <c r="AS47" s="1880">
        <f t="shared" si="138"/>
        <v>1062.4668605517722</v>
      </c>
      <c r="AT47" s="1881">
        <f t="shared" si="138"/>
        <v>1062.4668605517722</v>
      </c>
      <c r="AU47" s="1882">
        <f t="shared" si="139"/>
        <v>4249.867442207089</v>
      </c>
      <c r="AV47" s="1882">
        <f t="shared" si="139"/>
        <v>4249.867442207089</v>
      </c>
      <c r="AW47" s="1877">
        <f>SUMIF('СС 2015'!$C$153:$C$173,'С1 2015'!$C47,'СС 2015'!$L$153:$L$173)</f>
        <v>8499.7348844141798</v>
      </c>
      <c r="AX47" s="1740"/>
      <c r="AY47" s="1740"/>
      <c r="AZ47" s="1740"/>
      <c r="BA47" s="1883">
        <f t="shared" si="64"/>
        <v>78250.50321932057</v>
      </c>
      <c r="BB47" s="1883">
        <f t="shared" si="53"/>
        <v>78246.954251690971</v>
      </c>
      <c r="BC47" s="1883">
        <f t="shared" si="54"/>
        <v>0</v>
      </c>
      <c r="BD47" s="1883">
        <f t="shared" si="55"/>
        <v>91103.866644574256</v>
      </c>
      <c r="BE47" s="1883">
        <f t="shared" si="56"/>
        <v>247601.32411558577</v>
      </c>
      <c r="BF47" s="1883">
        <f t="shared" si="57"/>
        <v>247601.32411558583</v>
      </c>
      <c r="BG47" s="1740" t="b">
        <f t="shared" si="58"/>
        <v>1</v>
      </c>
      <c r="BH47" s="1740"/>
      <c r="BI47" s="1768">
        <f t="shared" si="140"/>
        <v>78250.50321932057</v>
      </c>
      <c r="BJ47" s="1768">
        <f t="shared" si="141"/>
        <v>169350.82089626521</v>
      </c>
      <c r="BK47" s="1768">
        <f t="shared" si="142"/>
        <v>247601.32411558577</v>
      </c>
    </row>
    <row r="48" spans="1:63" ht="46.5" customHeight="1">
      <c r="B48" s="1872"/>
      <c r="C48" s="1887" t="str">
        <f>'[35]СС 2015'!C173</f>
        <v xml:space="preserve"> - денежные выплаты социального характера (по Коллективному договору)</v>
      </c>
      <c r="D48" s="1874"/>
      <c r="E48" s="1875"/>
      <c r="F48" s="1874"/>
      <c r="G48" s="1878">
        <f>G$16/$K$16*$K48</f>
        <v>476.77106324963955</v>
      </c>
      <c r="H48" s="1880">
        <f t="shared" si="132"/>
        <v>476.55222204431425</v>
      </c>
      <c r="I48" s="1880">
        <f t="shared" si="132"/>
        <v>0</v>
      </c>
      <c r="J48" s="1779">
        <f>K48-G48-H48-I48</f>
        <v>1269.3524102886811</v>
      </c>
      <c r="K48" s="1877">
        <f>SUMIF('СС 2015'!$C$153:$C$173,'С1 2015'!$C48,'СС 2015'!$H$153:$H$173)</f>
        <v>2222.6756955826349</v>
      </c>
      <c r="L48" s="1878">
        <f t="shared" si="133"/>
        <v>707.86052548505279</v>
      </c>
      <c r="M48" s="1880">
        <f t="shared" si="133"/>
        <v>707.53561262322035</v>
      </c>
      <c r="N48" s="1880">
        <f t="shared" si="133"/>
        <v>0</v>
      </c>
      <c r="O48" s="1880">
        <f t="shared" si="133"/>
        <v>1884.6036041876828</v>
      </c>
      <c r="P48" s="1877">
        <f>SUMIF('СС 2015'!$C$153:$C$173,'С1 2015'!$C48,'СС 2015'!$I$153:$I$173)</f>
        <v>3299.9997422959555</v>
      </c>
      <c r="Q48" s="1878">
        <f>Q$16/$AA$16*$AA48</f>
        <v>3069.319805381283</v>
      </c>
      <c r="R48" s="1879">
        <f t="shared" si="134"/>
        <v>3069.3198053812825</v>
      </c>
      <c r="S48" s="1880">
        <f t="shared" si="134"/>
        <v>3069.319805381283</v>
      </c>
      <c r="T48" s="1880">
        <f t="shared" si="134"/>
        <v>3069.3198053812825</v>
      </c>
      <c r="U48" s="1880">
        <f t="shared" si="134"/>
        <v>0</v>
      </c>
      <c r="V48" s="1880">
        <f t="shared" si="134"/>
        <v>0</v>
      </c>
      <c r="W48" s="1880">
        <f t="shared" si="134"/>
        <v>3069.319805381283</v>
      </c>
      <c r="X48" s="1881">
        <f t="shared" si="134"/>
        <v>3069.3198053812825</v>
      </c>
      <c r="Y48" s="1882">
        <f t="shared" si="135"/>
        <v>9207.959416143849</v>
      </c>
      <c r="Z48" s="1882">
        <f t="shared" si="135"/>
        <v>9207.9594161438472</v>
      </c>
      <c r="AA48" s="1877">
        <f>SUMIF('СС 2015'!$C$153:$C$173,'С1 2015'!$C48,'СС 2015'!$J$153:$J$173)</f>
        <v>18415.918832287698</v>
      </c>
      <c r="AB48" s="1878">
        <f>AB$16/$AL$16*$AL48</f>
        <v>2332.9287106954225</v>
      </c>
      <c r="AC48" s="1879">
        <f t="shared" si="136"/>
        <v>2332.9287106954225</v>
      </c>
      <c r="AD48" s="1880">
        <f t="shared" si="136"/>
        <v>2332.9287106954225</v>
      </c>
      <c r="AE48" s="1880">
        <f t="shared" si="136"/>
        <v>2332.9287106954225</v>
      </c>
      <c r="AF48" s="1880">
        <f t="shared" si="136"/>
        <v>0</v>
      </c>
      <c r="AG48" s="1880">
        <f t="shared" si="136"/>
        <v>0</v>
      </c>
      <c r="AH48" s="1880">
        <f t="shared" si="136"/>
        <v>2332.9287106954225</v>
      </c>
      <c r="AI48" s="1881">
        <f t="shared" si="136"/>
        <v>2332.9287106954225</v>
      </c>
      <c r="AJ48" s="1882">
        <f t="shared" si="137"/>
        <v>6998.7861320862676</v>
      </c>
      <c r="AK48" s="1882">
        <f t="shared" si="137"/>
        <v>6998.7861320862676</v>
      </c>
      <c r="AL48" s="1877">
        <f>SUMIF('СС 2015'!$C$153:$C$173,'С1 2015'!$C48,'СС 2015'!$K$153:$K$173)</f>
        <v>13997.572264172535</v>
      </c>
      <c r="AM48" s="1878">
        <f>AM$16/$AW$16*$AW48</f>
        <v>162.78555820764703</v>
      </c>
      <c r="AN48" s="1879">
        <f t="shared" si="138"/>
        <v>162.78555820764703</v>
      </c>
      <c r="AO48" s="1880">
        <f t="shared" si="138"/>
        <v>162.78555820764703</v>
      </c>
      <c r="AP48" s="1880">
        <f t="shared" si="138"/>
        <v>162.78555820764703</v>
      </c>
      <c r="AQ48" s="1880">
        <f t="shared" si="138"/>
        <v>162.78555820764703</v>
      </c>
      <c r="AR48" s="1880">
        <f t="shared" si="138"/>
        <v>162.78555820764703</v>
      </c>
      <c r="AS48" s="1880">
        <f t="shared" si="138"/>
        <v>162.78555820764703</v>
      </c>
      <c r="AT48" s="1881">
        <f t="shared" si="138"/>
        <v>162.78555820764703</v>
      </c>
      <c r="AU48" s="1882">
        <f t="shared" si="139"/>
        <v>651.14223283058811</v>
      </c>
      <c r="AV48" s="1882">
        <f t="shared" si="139"/>
        <v>651.14223283058811</v>
      </c>
      <c r="AW48" s="1877">
        <f>SUMIF('СС 2015'!$C$153:$C$173,'С1 2015'!$C48,'СС 2015'!$L$153:$L$173)</f>
        <v>1302.2844656611765</v>
      </c>
      <c r="AX48" s="1740"/>
      <c r="AY48" s="1740"/>
      <c r="AZ48" s="1740"/>
      <c r="BA48" s="1883">
        <f t="shared" si="64"/>
        <v>11989.128620888103</v>
      </c>
      <c r="BB48" s="1883">
        <f t="shared" si="53"/>
        <v>11988.584866820944</v>
      </c>
      <c r="BC48" s="1883">
        <f t="shared" si="54"/>
        <v>0</v>
      </c>
      <c r="BD48" s="1883">
        <f t="shared" si="55"/>
        <v>13958.453046629773</v>
      </c>
      <c r="BE48" s="1883">
        <f t="shared" si="56"/>
        <v>37936.166534338823</v>
      </c>
      <c r="BF48" s="1883">
        <f t="shared" si="57"/>
        <v>37936.166534338816</v>
      </c>
      <c r="BG48" s="1740" t="b">
        <f t="shared" si="58"/>
        <v>1</v>
      </c>
      <c r="BH48" s="1740"/>
      <c r="BI48" s="1768">
        <f t="shared" si="140"/>
        <v>11989.128620888103</v>
      </c>
      <c r="BJ48" s="1768">
        <f t="shared" si="141"/>
        <v>25947.037913450717</v>
      </c>
      <c r="BK48" s="1768">
        <f t="shared" si="142"/>
        <v>37936.166534338816</v>
      </c>
    </row>
    <row r="49" spans="2:63" ht="15.75">
      <c r="B49" s="1872"/>
      <c r="C49" s="1911"/>
      <c r="D49" s="1845"/>
      <c r="E49" s="1818"/>
      <c r="F49" s="1845"/>
      <c r="G49" s="1912"/>
      <c r="H49" s="1913"/>
      <c r="I49" s="1913"/>
      <c r="J49" s="1913"/>
      <c r="K49" s="1914"/>
      <c r="L49" s="1912"/>
      <c r="M49" s="1913"/>
      <c r="N49" s="1913"/>
      <c r="O49" s="1913"/>
      <c r="P49" s="1914"/>
      <c r="Q49" s="1912"/>
      <c r="R49" s="1915"/>
      <c r="S49" s="1913"/>
      <c r="T49" s="1913"/>
      <c r="U49" s="1913"/>
      <c r="V49" s="1913"/>
      <c r="W49" s="1913"/>
      <c r="X49" s="1916"/>
      <c r="Y49" s="1916"/>
      <c r="Z49" s="1916"/>
      <c r="AA49" s="1914"/>
      <c r="AB49" s="1912"/>
      <c r="AC49" s="1915"/>
      <c r="AD49" s="1913"/>
      <c r="AE49" s="1913"/>
      <c r="AF49" s="1913"/>
      <c r="AG49" s="1913"/>
      <c r="AH49" s="1913"/>
      <c r="AI49" s="1916"/>
      <c r="AJ49" s="1916"/>
      <c r="AK49" s="1916"/>
      <c r="AL49" s="1914"/>
      <c r="AM49" s="1917"/>
      <c r="AN49" s="1918"/>
      <c r="AO49" s="1919"/>
      <c r="AP49" s="1919"/>
      <c r="AQ49" s="1919"/>
      <c r="AR49" s="1919"/>
      <c r="AS49" s="1919"/>
      <c r="AT49" s="1920"/>
      <c r="AU49" s="1920"/>
      <c r="AV49" s="1920"/>
      <c r="AW49" s="1921"/>
      <c r="AX49" s="1740"/>
      <c r="AY49" s="1740"/>
      <c r="AZ49" s="1740"/>
      <c r="BA49" s="1883">
        <f t="shared" si="64"/>
        <v>0</v>
      </c>
      <c r="BB49" s="1883">
        <f t="shared" si="53"/>
        <v>0</v>
      </c>
      <c r="BC49" s="1883">
        <f t="shared" si="54"/>
        <v>0</v>
      </c>
      <c r="BD49" s="1883">
        <f t="shared" si="55"/>
        <v>0</v>
      </c>
      <c r="BE49" s="1883">
        <f t="shared" si="56"/>
        <v>0</v>
      </c>
      <c r="BF49" s="1883">
        <f t="shared" si="57"/>
        <v>0</v>
      </c>
      <c r="BG49" s="1740" t="b">
        <f t="shared" si="58"/>
        <v>1</v>
      </c>
      <c r="BH49" s="1740"/>
      <c r="BI49" s="1768">
        <f t="shared" si="140"/>
        <v>0</v>
      </c>
      <c r="BJ49" s="1768">
        <f t="shared" si="141"/>
        <v>0</v>
      </c>
      <c r="BK49" s="1768">
        <f t="shared" si="142"/>
        <v>0</v>
      </c>
    </row>
    <row r="50" spans="2:63">
      <c r="D50" s="1740"/>
      <c r="E50" s="1740"/>
      <c r="F50" s="1740"/>
      <c r="G50" s="1740"/>
      <c r="H50" s="1740"/>
      <c r="I50" s="1740"/>
      <c r="J50" s="1740"/>
      <c r="K50" s="1740"/>
      <c r="L50" s="1740"/>
      <c r="M50" s="1740"/>
      <c r="N50" s="1740"/>
      <c r="O50" s="1740"/>
      <c r="P50" s="1740"/>
      <c r="Q50" s="1740"/>
      <c r="R50" s="1740"/>
      <c r="S50" s="1740"/>
      <c r="T50" s="1740"/>
      <c r="U50" s="1740"/>
      <c r="V50" s="1740"/>
      <c r="W50" s="1740"/>
      <c r="X50" s="1740"/>
      <c r="Y50" s="1740"/>
      <c r="Z50" s="1740"/>
      <c r="AA50" s="1740"/>
      <c r="AB50" s="1740"/>
      <c r="AC50" s="1740"/>
      <c r="AD50" s="1740"/>
      <c r="AE50" s="1740"/>
      <c r="AF50" s="1740"/>
      <c r="AG50" s="1740"/>
      <c r="AH50" s="1740"/>
      <c r="AI50" s="1740"/>
      <c r="AJ50" s="1740"/>
      <c r="AK50" s="1740"/>
      <c r="AL50" s="1740"/>
      <c r="AM50" s="1740"/>
      <c r="AN50" s="1740"/>
      <c r="AO50" s="1740"/>
      <c r="AP50" s="1740"/>
      <c r="AQ50" s="1740"/>
      <c r="AR50" s="1740"/>
      <c r="AS50" s="1740"/>
      <c r="AT50" s="1740"/>
      <c r="AU50" s="1740"/>
      <c r="AV50" s="1740"/>
      <c r="AW50" s="1740"/>
      <c r="AX50" s="1740"/>
      <c r="AY50" s="1740"/>
      <c r="AZ50" s="1740"/>
      <c r="BA50" s="1740"/>
      <c r="BB50" s="1740"/>
      <c r="BC50" s="1740"/>
      <c r="BD50" s="1740"/>
      <c r="BE50" s="1740"/>
      <c r="BF50" s="1740"/>
      <c r="BG50" s="1740"/>
      <c r="BH50" s="1740"/>
      <c r="BI50" s="1740"/>
      <c r="BJ50" s="1740"/>
      <c r="BK50" s="1740"/>
    </row>
    <row r="51" spans="2:63">
      <c r="D51" s="1740"/>
      <c r="E51" s="1740"/>
      <c r="F51" s="1740"/>
      <c r="G51" s="1740">
        <v>1.0492879756051856</v>
      </c>
      <c r="H51" s="1740">
        <v>1</v>
      </c>
      <c r="I51" s="1740"/>
      <c r="J51" s="1740">
        <v>1</v>
      </c>
      <c r="K51" s="1740"/>
      <c r="L51" s="1740"/>
      <c r="M51" s="1740"/>
      <c r="N51" s="1740"/>
      <c r="O51" s="1740"/>
      <c r="P51" s="1740"/>
      <c r="Q51" s="1740"/>
      <c r="R51" s="1740"/>
      <c r="S51" s="1740"/>
      <c r="T51" s="1740"/>
      <c r="U51" s="1740"/>
      <c r="V51" s="1740"/>
      <c r="W51" s="1740"/>
      <c r="X51" s="1740"/>
      <c r="Y51" s="1740"/>
      <c r="Z51" s="1740"/>
      <c r="AA51" s="1740"/>
      <c r="AB51" s="1740"/>
      <c r="AC51" s="1740"/>
      <c r="AD51" s="1740"/>
      <c r="AE51" s="1740"/>
      <c r="AF51" s="1740"/>
      <c r="AG51" s="1740"/>
      <c r="AH51" s="1740"/>
      <c r="AI51" s="1740"/>
      <c r="AJ51" s="1740"/>
      <c r="AK51" s="1740"/>
      <c r="AL51" s="1740"/>
      <c r="AM51" s="1740"/>
      <c r="AN51" s="1740"/>
      <c r="AO51" s="1740"/>
      <c r="AP51" s="1740"/>
      <c r="AQ51" s="1740"/>
      <c r="AR51" s="1740"/>
      <c r="AS51" s="1740"/>
      <c r="AT51" s="1740"/>
      <c r="AU51" s="1740"/>
      <c r="AV51" s="1740"/>
      <c r="AW51" s="1740"/>
      <c r="AX51" s="1740"/>
      <c r="AY51" s="1740"/>
      <c r="AZ51" s="1740"/>
      <c r="BA51" s="1740"/>
      <c r="BB51" s="1740"/>
      <c r="BC51" s="1740"/>
      <c r="BD51" s="1740"/>
      <c r="BE51" s="1740"/>
      <c r="BF51" s="1740"/>
      <c r="BG51" s="1740"/>
      <c r="BH51" s="1740"/>
      <c r="BI51" s="1740"/>
      <c r="BJ51" s="1740"/>
      <c r="BK51" s="1740"/>
    </row>
    <row r="52" spans="2:63">
      <c r="D52" s="1740"/>
      <c r="E52" s="1740"/>
      <c r="F52" s="1740"/>
      <c r="G52" s="1740"/>
      <c r="H52" s="1740"/>
      <c r="I52" s="1740"/>
      <c r="J52" s="1740"/>
      <c r="K52" s="1740">
        <f>SUM(K29:K30,K34:K35,K37:K40,K43,K45:K48)</f>
        <v>356049.27915278712</v>
      </c>
      <c r="L52" s="1740"/>
      <c r="M52" s="1740"/>
      <c r="N52" s="1740"/>
      <c r="O52" s="1740"/>
      <c r="P52" s="1740"/>
      <c r="Q52" s="1740"/>
      <c r="R52" s="1740"/>
      <c r="S52" s="1740"/>
      <c r="T52" s="1740"/>
      <c r="U52" s="1740"/>
      <c r="V52" s="1740"/>
      <c r="W52" s="1740"/>
      <c r="X52" s="1740"/>
      <c r="Y52" s="1740"/>
      <c r="Z52" s="1740"/>
      <c r="AA52" s="1740"/>
      <c r="AB52" s="1740"/>
      <c r="AC52" s="1740"/>
      <c r="AD52" s="1740"/>
      <c r="AE52" s="1740"/>
      <c r="AF52" s="1740"/>
      <c r="AG52" s="1740"/>
      <c r="AH52" s="1740"/>
      <c r="AI52" s="1740"/>
      <c r="AJ52" s="1740"/>
      <c r="AK52" s="1740"/>
      <c r="AL52" s="1740"/>
      <c r="AM52" s="1740"/>
      <c r="AN52" s="1740"/>
      <c r="AO52" s="1740"/>
      <c r="AP52" s="1740"/>
      <c r="AQ52" s="1740"/>
      <c r="AR52" s="1740"/>
      <c r="AS52" s="1740"/>
      <c r="AT52" s="1740"/>
      <c r="AU52" s="1740"/>
      <c r="AV52" s="1740"/>
      <c r="AW52" s="1740"/>
      <c r="AX52" s="1740"/>
      <c r="AY52" s="1740"/>
      <c r="AZ52" s="1740"/>
      <c r="BA52" s="1740"/>
      <c r="BB52" s="1740"/>
      <c r="BC52" s="1740"/>
      <c r="BD52" s="1740"/>
      <c r="BE52" s="1740"/>
      <c r="BF52" s="1740"/>
      <c r="BG52" s="1740"/>
      <c r="BH52" s="1740"/>
      <c r="BI52" s="1740"/>
      <c r="BJ52" s="1740"/>
      <c r="BK52" s="1740"/>
    </row>
    <row r="53" spans="2:63">
      <c r="D53" s="1740"/>
      <c r="E53" s="1740"/>
      <c r="F53" s="1740"/>
      <c r="G53" s="1740"/>
      <c r="H53" s="1740"/>
      <c r="I53" s="1740"/>
      <c r="J53" s="1740"/>
      <c r="K53" s="1740">
        <f>SUM(K27:K28,K31:K32,K42)</f>
        <v>589238.63961661351</v>
      </c>
      <c r="L53" s="1740"/>
      <c r="M53" s="1740"/>
      <c r="N53" s="1740"/>
      <c r="O53" s="1740"/>
      <c r="P53" s="1740"/>
      <c r="Q53" s="1740"/>
      <c r="R53" s="1740"/>
      <c r="S53" s="1740"/>
      <c r="T53" s="1740"/>
      <c r="U53" s="1740"/>
      <c r="V53" s="1740"/>
      <c r="W53" s="1740"/>
      <c r="X53" s="1740"/>
      <c r="Y53" s="1740"/>
      <c r="Z53" s="1740"/>
      <c r="AA53" s="1740"/>
      <c r="AB53" s="1740"/>
      <c r="AC53" s="1740"/>
      <c r="AD53" s="1740"/>
      <c r="AE53" s="1740"/>
      <c r="AF53" s="1740"/>
      <c r="AG53" s="1740"/>
      <c r="AH53" s="1740"/>
      <c r="AI53" s="1740"/>
      <c r="AJ53" s="1740"/>
      <c r="AK53" s="1740"/>
      <c r="AL53" s="1740"/>
      <c r="AM53" s="1740"/>
      <c r="AN53" s="1740"/>
      <c r="AO53" s="1740"/>
      <c r="AP53" s="1740"/>
      <c r="AQ53" s="1740"/>
      <c r="AR53" s="1740"/>
      <c r="AS53" s="1740"/>
      <c r="AT53" s="1740"/>
      <c r="AU53" s="1740"/>
      <c r="AV53" s="1740"/>
      <c r="AW53" s="1740"/>
      <c r="AX53" s="1740"/>
      <c r="AY53" s="1740"/>
      <c r="AZ53" s="1740"/>
      <c r="BA53" s="1740"/>
      <c r="BB53" s="1740"/>
      <c r="BC53" s="1740"/>
      <c r="BD53" s="1740"/>
      <c r="BE53" s="1740"/>
      <c r="BF53" s="1740"/>
      <c r="BG53" s="1740"/>
      <c r="BH53" s="1740"/>
      <c r="BI53" s="1740"/>
      <c r="BJ53" s="1740"/>
      <c r="BK53" s="1740"/>
    </row>
    <row r="54" spans="2:63" ht="15.75" hidden="1" outlineLevel="1">
      <c r="B54" s="1816"/>
      <c r="D54" s="1740"/>
      <c r="E54" s="1740"/>
      <c r="F54" s="1740"/>
      <c r="G54" s="1740"/>
      <c r="H54" s="1740"/>
      <c r="I54" s="1740"/>
      <c r="J54" s="1740"/>
      <c r="K54" s="1740"/>
      <c r="L54" s="1740"/>
      <c r="M54" s="1740"/>
      <c r="N54" s="1740"/>
      <c r="O54" s="1740"/>
      <c r="P54" s="1740"/>
      <c r="Q54" s="1740"/>
      <c r="R54" s="1740"/>
      <c r="S54" s="1740"/>
      <c r="T54" s="1740"/>
      <c r="U54" s="1740"/>
      <c r="V54" s="1740"/>
      <c r="W54" s="1740"/>
      <c r="X54" s="1740"/>
      <c r="Y54" s="1740"/>
      <c r="Z54" s="1740"/>
      <c r="AA54" s="1740"/>
      <c r="AB54" s="1740"/>
      <c r="AC54" s="1740"/>
      <c r="AD54" s="1740"/>
      <c r="AE54" s="1740"/>
      <c r="AF54" s="1740"/>
      <c r="AG54" s="1740"/>
      <c r="AH54" s="1740"/>
      <c r="AI54" s="1740"/>
      <c r="AJ54" s="1740"/>
      <c r="AK54" s="1740"/>
      <c r="AL54" s="1740"/>
      <c r="AM54" s="1740"/>
      <c r="AN54" s="1740"/>
      <c r="AO54" s="1740"/>
      <c r="AP54" s="1740"/>
      <c r="AQ54" s="1740"/>
      <c r="AR54" s="1740"/>
      <c r="AS54" s="1740"/>
      <c r="AT54" s="1740"/>
      <c r="AU54" s="1740"/>
      <c r="AV54" s="1740"/>
      <c r="AW54" s="1740"/>
      <c r="AX54" s="1740"/>
      <c r="AY54" s="1740"/>
      <c r="AZ54" s="1740"/>
      <c r="BA54" s="1740"/>
      <c r="BB54" s="1740"/>
      <c r="BC54" s="1740"/>
      <c r="BD54" s="1740"/>
      <c r="BE54" s="1740"/>
      <c r="BF54" s="1740"/>
      <c r="BG54" s="1740"/>
      <c r="BH54" s="1740"/>
      <c r="BI54" s="1740"/>
      <c r="BJ54" s="1740"/>
      <c r="BK54" s="1740"/>
    </row>
    <row r="55" spans="2:63" ht="15.75" hidden="1" outlineLevel="1">
      <c r="B55" s="1742"/>
      <c r="C55" s="1922" t="s">
        <v>3770</v>
      </c>
      <c r="D55" s="1923"/>
      <c r="E55" s="1923">
        <f>E59+E64</f>
        <v>23</v>
      </c>
      <c r="F55" s="1923">
        <f>F59+F64</f>
        <v>1251.52</v>
      </c>
      <c r="G55" s="1923"/>
      <c r="H55" s="1923"/>
      <c r="I55" s="1923"/>
      <c r="J55" s="1923"/>
      <c r="K55" s="1924"/>
      <c r="L55" s="1923"/>
      <c r="M55" s="1923"/>
      <c r="N55" s="1923"/>
      <c r="O55" s="1923"/>
      <c r="P55" s="1924"/>
      <c r="Q55" s="1923"/>
      <c r="R55" s="1923"/>
      <c r="S55" s="1923"/>
      <c r="T55" s="1923"/>
      <c r="U55" s="1923"/>
      <c r="V55" s="1923"/>
      <c r="W55" s="1923"/>
      <c r="X55" s="1925"/>
      <c r="Y55" s="1925"/>
      <c r="Z55" s="1925"/>
      <c r="AA55" s="1924"/>
      <c r="AB55" s="1923"/>
      <c r="AC55" s="1923"/>
      <c r="AD55" s="1923"/>
      <c r="AE55" s="1923"/>
      <c r="AF55" s="1923"/>
      <c r="AG55" s="1923"/>
      <c r="AH55" s="1923"/>
      <c r="AI55" s="1925"/>
      <c r="AJ55" s="1925"/>
      <c r="AK55" s="1925"/>
      <c r="AL55" s="1924"/>
      <c r="AM55" s="1740"/>
      <c r="AN55" s="1740"/>
      <c r="AO55" s="1740"/>
      <c r="AP55" s="1740"/>
      <c r="AQ55" s="1740"/>
      <c r="AR55" s="1740"/>
      <c r="AS55" s="1740"/>
      <c r="AT55" s="1740"/>
      <c r="AU55" s="1740"/>
      <c r="AV55" s="1740"/>
      <c r="AW55" s="1740"/>
      <c r="AX55" s="1740"/>
      <c r="AY55" s="1740"/>
      <c r="AZ55" s="1740"/>
      <c r="BA55" s="1740"/>
      <c r="BB55" s="1740"/>
      <c r="BC55" s="1740"/>
      <c r="BD55" s="1740"/>
      <c r="BE55" s="1740"/>
      <c r="BF55" s="1740"/>
      <c r="BG55" s="1740"/>
      <c r="BH55" s="1740"/>
      <c r="BI55" s="1740"/>
      <c r="BJ55" s="1740"/>
      <c r="BK55" s="1740"/>
    </row>
    <row r="56" spans="2:63" ht="15.75" hidden="1" outlineLevel="1">
      <c r="B56" s="1926"/>
      <c r="C56" s="1927" t="s">
        <v>3771</v>
      </c>
      <c r="D56" s="1928"/>
      <c r="E56" s="1928"/>
      <c r="F56" s="1928"/>
      <c r="G56" s="1928"/>
      <c r="H56" s="1928"/>
      <c r="I56" s="1928"/>
      <c r="J56" s="1928"/>
      <c r="K56" s="1929">
        <f>'[36]СС 2015'!J155</f>
        <v>1766842.3599999999</v>
      </c>
      <c r="L56" s="1928"/>
      <c r="M56" s="1928"/>
      <c r="N56" s="1928"/>
      <c r="O56" s="1928"/>
      <c r="P56" s="1929">
        <f>'[36]СС 2015'!R155</f>
        <v>0</v>
      </c>
      <c r="Q56" s="1928"/>
      <c r="R56" s="1928"/>
      <c r="S56" s="1928"/>
      <c r="T56" s="1928"/>
      <c r="U56" s="1928"/>
      <c r="V56" s="1928"/>
      <c r="W56" s="1928"/>
      <c r="X56" s="1930"/>
      <c r="Y56" s="1930"/>
      <c r="Z56" s="1930"/>
      <c r="AA56" s="1929">
        <f>'[36]СС 2015'!W155</f>
        <v>0</v>
      </c>
      <c r="AB56" s="1928"/>
      <c r="AC56" s="1928"/>
      <c r="AD56" s="1928"/>
      <c r="AE56" s="1928"/>
      <c r="AF56" s="1928"/>
      <c r="AG56" s="1928"/>
      <c r="AH56" s="1928"/>
      <c r="AI56" s="1930"/>
      <c r="AJ56" s="1930"/>
      <c r="AK56" s="1930"/>
      <c r="AL56" s="1929">
        <f>'[36]СС 2015'!AB155</f>
        <v>0</v>
      </c>
      <c r="AM56" s="1740"/>
      <c r="AN56" s="1740"/>
      <c r="AO56" s="1740"/>
      <c r="AP56" s="1740"/>
      <c r="AQ56" s="1740"/>
      <c r="AR56" s="1740"/>
      <c r="AS56" s="1740"/>
      <c r="AT56" s="1740"/>
      <c r="AU56" s="1740"/>
      <c r="AV56" s="1740"/>
      <c r="AW56" s="1740"/>
      <c r="AX56" s="1740"/>
      <c r="AY56" s="1740"/>
      <c r="AZ56" s="1740"/>
      <c r="BA56" s="1740"/>
      <c r="BB56" s="1740"/>
      <c r="BC56" s="1740"/>
      <c r="BD56" s="1740"/>
      <c r="BE56" s="1740"/>
      <c r="BF56" s="1740"/>
      <c r="BG56" s="1740"/>
      <c r="BH56" s="1740"/>
      <c r="BI56" s="1740"/>
      <c r="BJ56" s="1740"/>
      <c r="BK56" s="1740"/>
    </row>
    <row r="57" spans="2:63" ht="15.75" hidden="1" outlineLevel="1">
      <c r="B57" s="1926"/>
      <c r="C57" s="1931" t="s">
        <v>3706</v>
      </c>
      <c r="D57" s="1928"/>
      <c r="E57" s="1928"/>
      <c r="F57" s="1928"/>
      <c r="G57" s="1928"/>
      <c r="H57" s="1928"/>
      <c r="I57" s="1928"/>
      <c r="J57" s="1928"/>
      <c r="K57" s="1929">
        <f>'[36]СС 2015'!J156</f>
        <v>529869.74999999988</v>
      </c>
      <c r="L57" s="1928"/>
      <c r="M57" s="1928"/>
      <c r="N57" s="1928"/>
      <c r="O57" s="1928"/>
      <c r="P57" s="1929">
        <f>'[36]СС 2015'!R156</f>
        <v>0</v>
      </c>
      <c r="Q57" s="1928"/>
      <c r="R57" s="1928"/>
      <c r="S57" s="1928"/>
      <c r="T57" s="1928"/>
      <c r="U57" s="1928"/>
      <c r="V57" s="1928"/>
      <c r="W57" s="1928"/>
      <c r="X57" s="1930"/>
      <c r="Y57" s="1930"/>
      <c r="Z57" s="1930"/>
      <c r="AA57" s="1929">
        <f>'[36]СС 2015'!W156</f>
        <v>0</v>
      </c>
      <c r="AB57" s="1928"/>
      <c r="AC57" s="1928"/>
      <c r="AD57" s="1928"/>
      <c r="AE57" s="1928"/>
      <c r="AF57" s="1928"/>
      <c r="AG57" s="1928"/>
      <c r="AH57" s="1928"/>
      <c r="AI57" s="1930"/>
      <c r="AJ57" s="1930"/>
      <c r="AK57" s="1930"/>
      <c r="AL57" s="1929">
        <f>'[36]СС 2015'!AB156</f>
        <v>0</v>
      </c>
      <c r="AM57" s="1740"/>
      <c r="AN57" s="1740"/>
      <c r="AO57" s="1740"/>
      <c r="AP57" s="1740"/>
      <c r="AQ57" s="1740"/>
      <c r="AR57" s="1740"/>
      <c r="AS57" s="1740"/>
      <c r="AT57" s="1740"/>
      <c r="AU57" s="1740"/>
      <c r="AV57" s="1740"/>
      <c r="AW57" s="1740"/>
      <c r="AX57" s="1740"/>
      <c r="AY57" s="1740"/>
      <c r="AZ57" s="1740"/>
      <c r="BA57" s="1740"/>
      <c r="BB57" s="1740"/>
      <c r="BC57" s="1740"/>
      <c r="BD57" s="1740"/>
      <c r="BE57" s="1740"/>
      <c r="BF57" s="1740"/>
      <c r="BG57" s="1740"/>
      <c r="BH57" s="1740"/>
      <c r="BI57" s="1740"/>
      <c r="BJ57" s="1740"/>
      <c r="BK57" s="1740"/>
    </row>
    <row r="58" spans="2:63" ht="15.75" hidden="1" outlineLevel="1">
      <c r="B58" s="1926"/>
      <c r="C58" s="1932" t="s">
        <v>3770</v>
      </c>
      <c r="D58" s="1933">
        <v>0.4</v>
      </c>
      <c r="E58" s="1768"/>
      <c r="F58" s="1768"/>
      <c r="G58" s="1768"/>
      <c r="H58" s="1768"/>
      <c r="I58" s="1768"/>
      <c r="J58" s="1768"/>
      <c r="K58" s="1934"/>
      <c r="L58" s="1768"/>
      <c r="M58" s="1768"/>
      <c r="N58" s="1768"/>
      <c r="O58" s="1768"/>
      <c r="P58" s="1934"/>
      <c r="Q58" s="1768"/>
      <c r="R58" s="1768"/>
      <c r="S58" s="1768"/>
      <c r="T58" s="1768"/>
      <c r="U58" s="1768"/>
      <c r="V58" s="1768"/>
      <c r="W58" s="1768"/>
      <c r="X58" s="1935"/>
      <c r="Y58" s="1935"/>
      <c r="Z58" s="1935"/>
      <c r="AA58" s="1934"/>
      <c r="AB58" s="1768"/>
      <c r="AC58" s="1768"/>
      <c r="AD58" s="1768"/>
      <c r="AE58" s="1768"/>
      <c r="AF58" s="1768"/>
      <c r="AG58" s="1768"/>
      <c r="AH58" s="1768"/>
      <c r="AI58" s="1935"/>
      <c r="AJ58" s="1935"/>
      <c r="AK58" s="1935"/>
      <c r="AL58" s="1934"/>
      <c r="AM58" s="1740"/>
      <c r="AN58" s="1740"/>
      <c r="AO58" s="1740"/>
      <c r="AP58" s="1740"/>
      <c r="AQ58" s="1740"/>
      <c r="AR58" s="1740"/>
      <c r="AS58" s="1740"/>
      <c r="AT58" s="1740"/>
      <c r="AU58" s="1740"/>
      <c r="AV58" s="1740"/>
      <c r="AW58" s="1740"/>
      <c r="AX58" s="1740"/>
      <c r="AY58" s="1740"/>
      <c r="AZ58" s="1740"/>
      <c r="BA58" s="1740"/>
      <c r="BB58" s="1740"/>
      <c r="BC58" s="1740"/>
      <c r="BD58" s="1740"/>
      <c r="BE58" s="1740"/>
      <c r="BF58" s="1740"/>
      <c r="BG58" s="1740"/>
      <c r="BH58" s="1740"/>
      <c r="BI58" s="1740"/>
      <c r="BJ58" s="1740"/>
      <c r="BK58" s="1740"/>
    </row>
    <row r="59" spans="2:63" ht="15.75" hidden="1" outlineLevel="1">
      <c r="B59" s="1926"/>
      <c r="C59" s="1927" t="s">
        <v>3771</v>
      </c>
      <c r="D59" s="1933"/>
      <c r="E59" s="1928">
        <v>9</v>
      </c>
      <c r="F59" s="1928">
        <v>304.22000000000003</v>
      </c>
      <c r="G59" s="1928" t="e">
        <f>ROUND($K59*G$62,3)</f>
        <v>#REF!</v>
      </c>
      <c r="H59" s="1928" t="e">
        <f>ROUND($K59*H$62,3)</f>
        <v>#REF!</v>
      </c>
      <c r="I59" s="1928" t="e">
        <f>ROUND($K59*I$62,3)</f>
        <v>#REF!</v>
      </c>
      <c r="J59" s="1928" t="e">
        <f>ROUND($K59*J$62,3)</f>
        <v>#REF!</v>
      </c>
      <c r="K59" s="1929" t="e">
        <f>#REF!*F59</f>
        <v>#REF!</v>
      </c>
      <c r="L59" s="1928" t="e">
        <f>ROUND($K59*L$62,3)</f>
        <v>#REF!</v>
      </c>
      <c r="M59" s="1928" t="e">
        <f>ROUND($K59*M$62,3)</f>
        <v>#REF!</v>
      </c>
      <c r="N59" s="1928" t="e">
        <f>ROUND($K59*N$62,3)</f>
        <v>#REF!</v>
      </c>
      <c r="O59" s="1928" t="e">
        <f>ROUND($K59*O$62,3)</f>
        <v>#REF!</v>
      </c>
      <c r="P59" s="1929" t="e">
        <f>#REF!*#REF!</f>
        <v>#REF!</v>
      </c>
      <c r="Q59" s="1928" t="e">
        <f>ROUND($K59*Q$62,3)</f>
        <v>#REF!</v>
      </c>
      <c r="R59" s="1928"/>
      <c r="S59" s="1928" t="e">
        <f>ROUND($K59*S$62,3)</f>
        <v>#REF!</v>
      </c>
      <c r="T59" s="1928"/>
      <c r="U59" s="1928" t="e">
        <f>ROUND($K59*U$62,3)</f>
        <v>#REF!</v>
      </c>
      <c r="V59" s="1928"/>
      <c r="W59" s="1928" t="e">
        <f>ROUND($K59*W$62,3)</f>
        <v>#REF!</v>
      </c>
      <c r="X59" s="1930"/>
      <c r="Y59" s="1930"/>
      <c r="Z59" s="1930"/>
      <c r="AA59" s="1929" t="e">
        <f>#REF!*#REF!</f>
        <v>#REF!</v>
      </c>
      <c r="AB59" s="1928" t="e">
        <f>ROUND($K59*AB$62,3)</f>
        <v>#REF!</v>
      </c>
      <c r="AC59" s="1928"/>
      <c r="AD59" s="1928" t="e">
        <f>ROUND($K59*AD$62,3)</f>
        <v>#REF!</v>
      </c>
      <c r="AE59" s="1928"/>
      <c r="AF59" s="1928" t="e">
        <f>ROUND($K59*AF$62,3)</f>
        <v>#REF!</v>
      </c>
      <c r="AG59" s="1928"/>
      <c r="AH59" s="1928" t="e">
        <f>ROUND($K59*AH$62,3)</f>
        <v>#REF!</v>
      </c>
      <c r="AI59" s="1930"/>
      <c r="AJ59" s="1930"/>
      <c r="AK59" s="1930"/>
      <c r="AL59" s="1929" t="e">
        <f>#REF!*#REF!</f>
        <v>#REF!</v>
      </c>
      <c r="AM59" s="1740"/>
      <c r="AN59" s="1740"/>
      <c r="AO59" s="1740"/>
      <c r="AP59" s="1740"/>
      <c r="AQ59" s="1740"/>
      <c r="AR59" s="1740"/>
      <c r="AS59" s="1740"/>
      <c r="AT59" s="1740"/>
      <c r="AU59" s="1740"/>
      <c r="AV59" s="1740"/>
      <c r="AW59" s="1740"/>
      <c r="AX59" s="1740"/>
      <c r="AY59" s="1740"/>
      <c r="AZ59" s="1740"/>
      <c r="BA59" s="1740"/>
      <c r="BB59" s="1740"/>
      <c r="BC59" s="1740"/>
      <c r="BD59" s="1740"/>
      <c r="BE59" s="1740"/>
      <c r="BF59" s="1740"/>
      <c r="BG59" s="1740"/>
      <c r="BH59" s="1740"/>
      <c r="BI59" s="1740"/>
      <c r="BJ59" s="1740"/>
      <c r="BK59" s="1740"/>
    </row>
    <row r="60" spans="2:63" ht="15.75" hidden="1" outlineLevel="1">
      <c r="B60" s="1926"/>
      <c r="C60" s="1931" t="s">
        <v>3706</v>
      </c>
      <c r="D60" s="1933"/>
      <c r="E60" s="1928"/>
      <c r="F60" s="1928"/>
      <c r="G60" s="1928" t="e">
        <f>ROUND(G59*#REF!,3)</f>
        <v>#REF!</v>
      </c>
      <c r="H60" s="1928" t="e">
        <f>ROUND(H59*#REF!,3)</f>
        <v>#REF!</v>
      </c>
      <c r="I60" s="1928" t="e">
        <f>ROUND(I59*#REF!,3)</f>
        <v>#REF!</v>
      </c>
      <c r="J60" s="1928" t="e">
        <f>ROUND(J59*#REF!,3)</f>
        <v>#REF!</v>
      </c>
      <c r="K60" s="1929" t="e">
        <f>K59*#REF!</f>
        <v>#REF!</v>
      </c>
      <c r="L60" s="1928" t="e">
        <f>ROUND(L59*#REF!,3)</f>
        <v>#REF!</v>
      </c>
      <c r="M60" s="1928" t="e">
        <f>ROUND(M59*#REF!,3)</f>
        <v>#REF!</v>
      </c>
      <c r="N60" s="1928" t="e">
        <f>ROUND(N59*#REF!,3)</f>
        <v>#REF!</v>
      </c>
      <c r="O60" s="1928" t="e">
        <f>ROUND(O59*#REF!,3)</f>
        <v>#REF!</v>
      </c>
      <c r="P60" s="1929" t="e">
        <f>P59*#REF!</f>
        <v>#REF!</v>
      </c>
      <c r="Q60" s="1928" t="e">
        <f>ROUND(Q59*#REF!,3)</f>
        <v>#REF!</v>
      </c>
      <c r="R60" s="1928"/>
      <c r="S60" s="1928" t="e">
        <f>ROUND(S59*#REF!,3)</f>
        <v>#REF!</v>
      </c>
      <c r="T60" s="1928"/>
      <c r="U60" s="1928" t="e">
        <f>ROUND(U59*#REF!,3)</f>
        <v>#REF!</v>
      </c>
      <c r="V60" s="1928"/>
      <c r="W60" s="1928" t="e">
        <f>ROUND(W59*#REF!,3)</f>
        <v>#REF!</v>
      </c>
      <c r="X60" s="1930"/>
      <c r="Y60" s="1930"/>
      <c r="Z60" s="1930"/>
      <c r="AA60" s="1929" t="e">
        <f>AA59*#REF!</f>
        <v>#REF!</v>
      </c>
      <c r="AB60" s="1928" t="e">
        <f>ROUND(AB59*#REF!,3)</f>
        <v>#REF!</v>
      </c>
      <c r="AC60" s="1928"/>
      <c r="AD60" s="1928" t="e">
        <f>ROUND(AD59*#REF!,3)</f>
        <v>#REF!</v>
      </c>
      <c r="AE60" s="1928"/>
      <c r="AF60" s="1928" t="e">
        <f>ROUND(AF59*#REF!,3)</f>
        <v>#REF!</v>
      </c>
      <c r="AG60" s="1928"/>
      <c r="AH60" s="1928" t="e">
        <f>ROUND(AH59*#REF!,3)</f>
        <v>#REF!</v>
      </c>
      <c r="AI60" s="1930"/>
      <c r="AJ60" s="1930"/>
      <c r="AK60" s="1930"/>
      <c r="AL60" s="1929" t="e">
        <f>AL59*#REF!</f>
        <v>#REF!</v>
      </c>
      <c r="AM60" s="1740"/>
      <c r="AN60" s="1740"/>
      <c r="AO60" s="1740"/>
      <c r="AP60" s="1740"/>
      <c r="AQ60" s="1740"/>
      <c r="AR60" s="1740"/>
      <c r="AS60" s="1740"/>
      <c r="AT60" s="1740"/>
      <c r="AU60" s="1740"/>
      <c r="AV60" s="1740"/>
      <c r="AW60" s="1740"/>
      <c r="AX60" s="1740"/>
      <c r="AY60" s="1740"/>
      <c r="AZ60" s="1740"/>
      <c r="BA60" s="1740"/>
      <c r="BB60" s="1740"/>
      <c r="BC60" s="1740"/>
      <c r="BD60" s="1740"/>
      <c r="BE60" s="1740"/>
      <c r="BF60" s="1740"/>
      <c r="BG60" s="1740"/>
      <c r="BH60" s="1740"/>
      <c r="BI60" s="1740"/>
      <c r="BJ60" s="1740"/>
      <c r="BK60" s="1740"/>
    </row>
    <row r="61" spans="2:63" ht="31.5" hidden="1" outlineLevel="1">
      <c r="B61" s="1926"/>
      <c r="C61" s="1927" t="s">
        <v>3772</v>
      </c>
      <c r="D61" s="1933"/>
      <c r="E61" s="1928"/>
      <c r="F61" s="1928"/>
      <c r="G61" s="1768">
        <f>'[36]Табл. 7.3 Подг. ТУ'!G67</f>
        <v>33.4</v>
      </c>
      <c r="H61" s="1768">
        <f>'[36]Табл. 7.5 Пров. вып. ТУ'!G44</f>
        <v>25.5</v>
      </c>
      <c r="I61" s="1768"/>
      <c r="J61" s="1768">
        <f>'[36]Табл. 7.7 Факт. присоед.'!G34</f>
        <v>45.97</v>
      </c>
      <c r="K61" s="1929">
        <f>SUM(G61:J61)</f>
        <v>104.87</v>
      </c>
      <c r="L61" s="1768">
        <f>'[36]Табл. 7.3 Подг. ТУ'!O67</f>
        <v>4565.3903335043615</v>
      </c>
      <c r="M61" s="1768" t="str">
        <f>'[36]Табл. 7.5 Пров. вып. ТУ'!O44</f>
        <v/>
      </c>
      <c r="N61" s="1768"/>
      <c r="O61" s="1768" t="str">
        <f>'[36]Табл. 7.7 Факт. присоед.'!O34</f>
        <v/>
      </c>
      <c r="P61" s="1929">
        <f>SUM(L61:O61)</f>
        <v>4565.3903335043615</v>
      </c>
      <c r="Q61" s="1768">
        <f>'[36]Табл. 7.3 Подг. ТУ'!T67</f>
        <v>14242.890754232945</v>
      </c>
      <c r="R61" s="1768"/>
      <c r="S61" s="1768">
        <f>'[36]Табл. 7.5 Пров. вып. ТУ'!T44</f>
        <v>4079.7305695228329</v>
      </c>
      <c r="T61" s="1768"/>
      <c r="U61" s="1768"/>
      <c r="V61" s="1768"/>
      <c r="W61" s="1768">
        <f>'[36]Табл. 7.7 Факт. присоед.'!T34</f>
        <v>6891.4118419702418</v>
      </c>
      <c r="X61" s="1935"/>
      <c r="Y61" s="1935"/>
      <c r="Z61" s="1935"/>
      <c r="AA61" s="1929">
        <f>SUM(Q61:W61)</f>
        <v>25214.033165726021</v>
      </c>
      <c r="AB61" s="1768">
        <f>'[36]Табл. 7.3 Подг. ТУ'!Y67</f>
        <v>0</v>
      </c>
      <c r="AC61" s="1768"/>
      <c r="AD61" s="1768">
        <f>'[36]Табл. 7.5 Пров. вып. ТУ'!Y44</f>
        <v>0</v>
      </c>
      <c r="AE61" s="1768"/>
      <c r="AF61" s="1768"/>
      <c r="AG61" s="1768"/>
      <c r="AH61" s="1768">
        <f>'[36]Табл. 7.7 Факт. присоед.'!Y34</f>
        <v>0</v>
      </c>
      <c r="AI61" s="1935"/>
      <c r="AJ61" s="1935"/>
      <c r="AK61" s="1935"/>
      <c r="AL61" s="1929">
        <f>SUM(AB61:AH61)</f>
        <v>0</v>
      </c>
      <c r="AM61" s="1740"/>
      <c r="AN61" s="1740"/>
      <c r="AO61" s="1740"/>
      <c r="AP61" s="1740"/>
      <c r="AQ61" s="1740"/>
      <c r="AR61" s="1740"/>
      <c r="AS61" s="1740"/>
      <c r="AT61" s="1740"/>
      <c r="AU61" s="1740"/>
      <c r="AV61" s="1740"/>
      <c r="AW61" s="1740"/>
      <c r="AX61" s="1740"/>
      <c r="AY61" s="1740"/>
      <c r="AZ61" s="1740"/>
      <c r="BA61" s="1740"/>
      <c r="BB61" s="1740"/>
      <c r="BC61" s="1740"/>
      <c r="BD61" s="1740"/>
      <c r="BE61" s="1740"/>
      <c r="BF61" s="1740"/>
      <c r="BG61" s="1740"/>
      <c r="BH61" s="1740"/>
      <c r="BI61" s="1740"/>
      <c r="BJ61" s="1740"/>
      <c r="BK61" s="1740"/>
    </row>
    <row r="62" spans="2:63" ht="15.75" hidden="1" outlineLevel="1">
      <c r="B62" s="1926"/>
      <c r="C62" s="1936" t="s">
        <v>3773</v>
      </c>
      <c r="D62" s="1933"/>
      <c r="E62" s="1928"/>
      <c r="F62" s="1928"/>
      <c r="G62" s="1937">
        <f t="shared" ref="G62:O62" si="143">G61/$K61</f>
        <v>0.31848955850100119</v>
      </c>
      <c r="H62" s="1937">
        <f t="shared" si="143"/>
        <v>0.24315819586154286</v>
      </c>
      <c r="I62" s="1937">
        <f t="shared" si="143"/>
        <v>0</v>
      </c>
      <c r="J62" s="1937">
        <f t="shared" si="143"/>
        <v>0.4383522456374559</v>
      </c>
      <c r="K62" s="1938">
        <f t="shared" si="143"/>
        <v>1</v>
      </c>
      <c r="L62" s="1937">
        <f t="shared" si="143"/>
        <v>43.533806937201881</v>
      </c>
      <c r="M62" s="1937" t="e">
        <f t="shared" si="143"/>
        <v>#VALUE!</v>
      </c>
      <c r="N62" s="1937">
        <f t="shared" si="143"/>
        <v>0</v>
      </c>
      <c r="O62" s="1937" t="e">
        <f t="shared" si="143"/>
        <v>#VALUE!</v>
      </c>
      <c r="P62" s="1938">
        <f>P61/$K61</f>
        <v>43.533806937201881</v>
      </c>
      <c r="Q62" s="1937">
        <f t="shared" ref="Q62:AL62" si="144">Q61/$K61</f>
        <v>135.81473018244441</v>
      </c>
      <c r="R62" s="1937"/>
      <c r="S62" s="1937">
        <f t="shared" si="144"/>
        <v>38.902742152406148</v>
      </c>
      <c r="T62" s="1937"/>
      <c r="U62" s="1937">
        <f t="shared" si="144"/>
        <v>0</v>
      </c>
      <c r="V62" s="1937"/>
      <c r="W62" s="1937">
        <f t="shared" si="144"/>
        <v>65.713853742445323</v>
      </c>
      <c r="X62" s="1939"/>
      <c r="Y62" s="1939"/>
      <c r="Z62" s="1939"/>
      <c r="AA62" s="1938">
        <f t="shared" si="144"/>
        <v>240.43132607729589</v>
      </c>
      <c r="AB62" s="1937">
        <f t="shared" si="144"/>
        <v>0</v>
      </c>
      <c r="AC62" s="1937"/>
      <c r="AD62" s="1937">
        <f t="shared" si="144"/>
        <v>0</v>
      </c>
      <c r="AE62" s="1937"/>
      <c r="AF62" s="1937">
        <f t="shared" si="144"/>
        <v>0</v>
      </c>
      <c r="AG62" s="1937"/>
      <c r="AH62" s="1937">
        <f t="shared" si="144"/>
        <v>0</v>
      </c>
      <c r="AI62" s="1939"/>
      <c r="AJ62" s="1939"/>
      <c r="AK62" s="1939"/>
      <c r="AL62" s="1938">
        <f t="shared" si="144"/>
        <v>0</v>
      </c>
      <c r="AM62" s="1740"/>
      <c r="AN62" s="1740"/>
      <c r="AO62" s="1740"/>
      <c r="AP62" s="1740"/>
      <c r="AQ62" s="1740"/>
      <c r="AR62" s="1740"/>
      <c r="AS62" s="1740"/>
      <c r="AT62" s="1740"/>
      <c r="AU62" s="1740"/>
      <c r="AV62" s="1740"/>
      <c r="AW62" s="1740"/>
      <c r="AX62" s="1740"/>
      <c r="AY62" s="1740"/>
      <c r="AZ62" s="1740"/>
      <c r="BA62" s="1740"/>
      <c r="BB62" s="1740"/>
      <c r="BC62" s="1740"/>
      <c r="BD62" s="1740"/>
      <c r="BE62" s="1740"/>
      <c r="BF62" s="1740"/>
      <c r="BG62" s="1740"/>
      <c r="BH62" s="1740"/>
      <c r="BI62" s="1740"/>
      <c r="BJ62" s="1740"/>
      <c r="BK62" s="1740"/>
    </row>
    <row r="63" spans="2:63" ht="15.75" hidden="1" outlineLevel="1">
      <c r="B63" s="1926"/>
      <c r="C63" s="1932" t="s">
        <v>3774</v>
      </c>
      <c r="D63" s="1933">
        <v>43983</v>
      </c>
      <c r="E63" s="1768"/>
      <c r="F63" s="1768"/>
      <c r="G63" s="1768"/>
      <c r="H63" s="1768"/>
      <c r="I63" s="1768"/>
      <c r="J63" s="1768"/>
      <c r="K63" s="1934"/>
      <c r="L63" s="1768"/>
      <c r="M63" s="1768"/>
      <c r="N63" s="1768"/>
      <c r="O63" s="1768"/>
      <c r="P63" s="1934"/>
      <c r="Q63" s="1768"/>
      <c r="R63" s="1768"/>
      <c r="S63" s="1768"/>
      <c r="T63" s="1768"/>
      <c r="U63" s="1768"/>
      <c r="V63" s="1768"/>
      <c r="W63" s="1768"/>
      <c r="X63" s="1935"/>
      <c r="Y63" s="1935"/>
      <c r="Z63" s="1935"/>
      <c r="AA63" s="1934"/>
      <c r="AB63" s="1768"/>
      <c r="AC63" s="1768"/>
      <c r="AD63" s="1768"/>
      <c r="AE63" s="1768"/>
      <c r="AF63" s="1768"/>
      <c r="AG63" s="1768"/>
      <c r="AH63" s="1768"/>
      <c r="AI63" s="1935"/>
      <c r="AJ63" s="1935"/>
      <c r="AK63" s="1935"/>
      <c r="AL63" s="1934"/>
      <c r="AM63" s="1740"/>
      <c r="AN63" s="1740"/>
      <c r="AO63" s="1740"/>
      <c r="AP63" s="1740"/>
      <c r="AQ63" s="1740"/>
      <c r="AR63" s="1740"/>
      <c r="AS63" s="1740"/>
      <c r="AT63" s="1740"/>
      <c r="AU63" s="1740"/>
      <c r="AV63" s="1740"/>
      <c r="AW63" s="1740"/>
      <c r="AX63" s="1740"/>
      <c r="AY63" s="1740"/>
      <c r="AZ63" s="1740"/>
      <c r="BA63" s="1740"/>
      <c r="BB63" s="1740"/>
      <c r="BC63" s="1740"/>
      <c r="BD63" s="1740"/>
      <c r="BE63" s="1740"/>
      <c r="BF63" s="1740"/>
      <c r="BG63" s="1740"/>
      <c r="BH63" s="1740"/>
      <c r="BI63" s="1740"/>
      <c r="BJ63" s="1740"/>
      <c r="BK63" s="1740"/>
    </row>
    <row r="64" spans="2:63" ht="15.75" hidden="1" outlineLevel="1">
      <c r="B64" s="1926"/>
      <c r="C64" s="1927" t="s">
        <v>3771</v>
      </c>
      <c r="D64" s="1933"/>
      <c r="E64" s="1928">
        <v>14</v>
      </c>
      <c r="F64" s="1928">
        <v>947.3</v>
      </c>
      <c r="G64" s="1928" t="e">
        <f>ROUND($K64*G$62,3)</f>
        <v>#REF!</v>
      </c>
      <c r="H64" s="1928" t="e">
        <f>ROUND($K64*H$62,3)</f>
        <v>#REF!</v>
      </c>
      <c r="I64" s="1928" t="e">
        <f>ROUND($K64*I$62,3)</f>
        <v>#REF!</v>
      </c>
      <c r="J64" s="1928" t="e">
        <f>ROUND($K64*J$62,3)</f>
        <v>#REF!</v>
      </c>
      <c r="K64" s="1929" t="e">
        <f>#REF!*F64</f>
        <v>#REF!</v>
      </c>
      <c r="L64" s="1928" t="e">
        <f>ROUND($K64*L$62,3)</f>
        <v>#REF!</v>
      </c>
      <c r="M64" s="1928" t="e">
        <f>ROUND($K64*M$62,3)</f>
        <v>#REF!</v>
      </c>
      <c r="N64" s="1928" t="e">
        <f>ROUND($K64*N$62,3)</f>
        <v>#REF!</v>
      </c>
      <c r="O64" s="1928" t="e">
        <f>ROUND($K64*O$62,3)</f>
        <v>#REF!</v>
      </c>
      <c r="P64" s="1929" t="e">
        <f>#REF!*#REF!</f>
        <v>#REF!</v>
      </c>
      <c r="Q64" s="1928" t="e">
        <f>ROUND($K64*Q$62,3)</f>
        <v>#REF!</v>
      </c>
      <c r="R64" s="1928"/>
      <c r="S64" s="1928" t="e">
        <f>ROUND($K64*S$62,3)</f>
        <v>#REF!</v>
      </c>
      <c r="T64" s="1928"/>
      <c r="U64" s="1928" t="e">
        <f>ROUND($K64*U$62,3)</f>
        <v>#REF!</v>
      </c>
      <c r="V64" s="1928"/>
      <c r="W64" s="1928" t="e">
        <f>ROUND($K64*W$62,3)</f>
        <v>#REF!</v>
      </c>
      <c r="X64" s="1930"/>
      <c r="Y64" s="1930"/>
      <c r="Z64" s="1930"/>
      <c r="AA64" s="1929" t="e">
        <f>#REF!*#REF!</f>
        <v>#REF!</v>
      </c>
      <c r="AB64" s="1928" t="e">
        <f>ROUND($K64*AB$62,3)</f>
        <v>#REF!</v>
      </c>
      <c r="AC64" s="1928"/>
      <c r="AD64" s="1928" t="e">
        <f>ROUND($K64*AD$62,3)</f>
        <v>#REF!</v>
      </c>
      <c r="AE64" s="1928"/>
      <c r="AF64" s="1928" t="e">
        <f>ROUND($K64*AF$62,3)</f>
        <v>#REF!</v>
      </c>
      <c r="AG64" s="1928"/>
      <c r="AH64" s="1928" t="e">
        <f>ROUND($K64*AH$62,3)</f>
        <v>#REF!</v>
      </c>
      <c r="AI64" s="1930"/>
      <c r="AJ64" s="1930"/>
      <c r="AK64" s="1930"/>
      <c r="AL64" s="1929" t="e">
        <f>#REF!*#REF!</f>
        <v>#REF!</v>
      </c>
      <c r="AM64" s="1740"/>
      <c r="AN64" s="1740"/>
      <c r="AO64" s="1740"/>
      <c r="AP64" s="1740"/>
      <c r="AQ64" s="1740"/>
      <c r="AR64" s="1740"/>
      <c r="AS64" s="1740"/>
      <c r="AT64" s="1740"/>
      <c r="AU64" s="1740"/>
      <c r="AV64" s="1740"/>
      <c r="AW64" s="1740"/>
      <c r="AX64" s="1740"/>
      <c r="AY64" s="1740"/>
      <c r="AZ64" s="1740"/>
      <c r="BA64" s="1740"/>
      <c r="BB64" s="1740"/>
      <c r="BC64" s="1740"/>
      <c r="BD64" s="1740"/>
      <c r="BE64" s="1740"/>
      <c r="BF64" s="1740"/>
      <c r="BG64" s="1740"/>
      <c r="BH64" s="1740"/>
      <c r="BI64" s="1740"/>
      <c r="BJ64" s="1740"/>
      <c r="BK64" s="1740"/>
    </row>
    <row r="65" spans="2:63" ht="15.75" hidden="1" outlineLevel="1">
      <c r="B65" s="1926"/>
      <c r="C65" s="1931" t="s">
        <v>3706</v>
      </c>
      <c r="D65" s="1933"/>
      <c r="E65" s="1928"/>
      <c r="F65" s="1928"/>
      <c r="G65" s="1928" t="e">
        <f>ROUND(G64*#REF!,3)</f>
        <v>#REF!</v>
      </c>
      <c r="H65" s="1928" t="e">
        <f>ROUND(H64*#REF!,3)</f>
        <v>#REF!</v>
      </c>
      <c r="I65" s="1928" t="e">
        <f>ROUND(I64*#REF!,3)</f>
        <v>#REF!</v>
      </c>
      <c r="J65" s="1928" t="e">
        <f>ROUND(J64*#REF!,3)</f>
        <v>#REF!</v>
      </c>
      <c r="K65" s="1929" t="e">
        <f>K64*#REF!</f>
        <v>#REF!</v>
      </c>
      <c r="L65" s="1928" t="e">
        <f>ROUND(L64*#REF!,3)</f>
        <v>#REF!</v>
      </c>
      <c r="M65" s="1928" t="e">
        <f>ROUND(M64*#REF!,3)</f>
        <v>#REF!</v>
      </c>
      <c r="N65" s="1928" t="e">
        <f>ROUND(N64*#REF!,3)</f>
        <v>#REF!</v>
      </c>
      <c r="O65" s="1928" t="e">
        <f>ROUND(O64*#REF!,3)</f>
        <v>#REF!</v>
      </c>
      <c r="P65" s="1929" t="e">
        <f>P64*#REF!</f>
        <v>#REF!</v>
      </c>
      <c r="Q65" s="1928" t="e">
        <f>ROUND(Q64*#REF!,3)</f>
        <v>#REF!</v>
      </c>
      <c r="R65" s="1928"/>
      <c r="S65" s="1928" t="e">
        <f>ROUND(S64*#REF!,3)</f>
        <v>#REF!</v>
      </c>
      <c r="T65" s="1928"/>
      <c r="U65" s="1928" t="e">
        <f>ROUND(U64*#REF!,3)</f>
        <v>#REF!</v>
      </c>
      <c r="V65" s="1928"/>
      <c r="W65" s="1928" t="e">
        <f>ROUND(W64*#REF!,3)</f>
        <v>#REF!</v>
      </c>
      <c r="X65" s="1930"/>
      <c r="Y65" s="1930"/>
      <c r="Z65" s="1930"/>
      <c r="AA65" s="1929" t="e">
        <f>AA64*#REF!</f>
        <v>#REF!</v>
      </c>
      <c r="AB65" s="1928" t="e">
        <f>ROUND(AB64*#REF!,3)</f>
        <v>#REF!</v>
      </c>
      <c r="AC65" s="1928"/>
      <c r="AD65" s="1928" t="e">
        <f>ROUND(AD64*#REF!,3)</f>
        <v>#REF!</v>
      </c>
      <c r="AE65" s="1928"/>
      <c r="AF65" s="1928" t="e">
        <f>ROUND(AF64*#REF!,3)</f>
        <v>#REF!</v>
      </c>
      <c r="AG65" s="1928"/>
      <c r="AH65" s="1928" t="e">
        <f>ROUND(AH64*#REF!,3)</f>
        <v>#REF!</v>
      </c>
      <c r="AI65" s="1930"/>
      <c r="AJ65" s="1930"/>
      <c r="AK65" s="1930"/>
      <c r="AL65" s="1929" t="e">
        <f>AL64*#REF!</f>
        <v>#REF!</v>
      </c>
      <c r="AM65" s="1740"/>
      <c r="AN65" s="1740"/>
      <c r="AO65" s="1740"/>
      <c r="AP65" s="1740"/>
      <c r="AQ65" s="1740"/>
      <c r="AR65" s="1740"/>
      <c r="AS65" s="1740"/>
      <c r="AT65" s="1740"/>
      <c r="AU65" s="1740"/>
      <c r="AV65" s="1740"/>
      <c r="AW65" s="1740"/>
      <c r="AX65" s="1740"/>
      <c r="AY65" s="1740"/>
      <c r="AZ65" s="1740"/>
      <c r="BA65" s="1740"/>
      <c r="BB65" s="1740"/>
      <c r="BC65" s="1740"/>
      <c r="BD65" s="1740"/>
      <c r="BE65" s="1740"/>
      <c r="BF65" s="1740"/>
      <c r="BG65" s="1740"/>
      <c r="BH65" s="1740"/>
      <c r="BI65" s="1740"/>
      <c r="BJ65" s="1740"/>
      <c r="BK65" s="1740"/>
    </row>
    <row r="66" spans="2:63" ht="31.5" hidden="1" outlineLevel="1">
      <c r="B66" s="1926"/>
      <c r="C66" s="1927" t="s">
        <v>3772</v>
      </c>
      <c r="D66" s="1933"/>
      <c r="E66" s="1928"/>
      <c r="F66" s="1928"/>
      <c r="G66" s="1768">
        <f>'[36]Табл. 7.3 Подг. ТУ'!I67</f>
        <v>33.4</v>
      </c>
      <c r="H66" s="1768">
        <f>'[36]Табл. 7.5 Пров. вып. ТУ'!I44</f>
        <v>26.7</v>
      </c>
      <c r="I66" s="1768"/>
      <c r="J66" s="1768">
        <f>'[36]Табл. 7.7 Факт. присоед.'!I34</f>
        <v>62.97</v>
      </c>
      <c r="K66" s="1929">
        <f>SUM(G66:J66)</f>
        <v>123.07</v>
      </c>
      <c r="L66" s="1768">
        <f>'[36]Табл. 7.3 Подг. ТУ'!Q67</f>
        <v>6143.7825346331456</v>
      </c>
      <c r="M66" s="1768">
        <f>'[36]Табл. 7.5 Пров. вып. ТУ'!Q44</f>
        <v>3581.5304669061061</v>
      </c>
      <c r="N66" s="1768"/>
      <c r="O66" s="1768">
        <f>'[36]Табл. 7.7 Факт. присоед.'!Q34</f>
        <v>4708.1900872242186</v>
      </c>
      <c r="P66" s="1929">
        <f>SUM(L66:O66)</f>
        <v>14433.503088763471</v>
      </c>
      <c r="Q66" s="1768">
        <f>'[36]Табл. 7.3 Подг. ТУ'!V67</f>
        <v>0</v>
      </c>
      <c r="R66" s="1768"/>
      <c r="S66" s="1768">
        <f>'[36]Табл. 7.5 Пров. вып. ТУ'!V44</f>
        <v>0</v>
      </c>
      <c r="T66" s="1768"/>
      <c r="U66" s="1768"/>
      <c r="V66" s="1768"/>
      <c r="W66" s="1768">
        <f>'[36]Табл. 7.7 Факт. присоед.'!V34</f>
        <v>0</v>
      </c>
      <c r="X66" s="1935"/>
      <c r="Y66" s="1935"/>
      <c r="Z66" s="1935"/>
      <c r="AA66" s="1929">
        <f>SUM(Q66:W66)</f>
        <v>0</v>
      </c>
      <c r="AB66" s="1768">
        <f>'[36]Табл. 7.3 Подг. ТУ'!AA67</f>
        <v>1209.8284383786558</v>
      </c>
      <c r="AC66" s="1768"/>
      <c r="AD66" s="1768">
        <f>'[36]Табл. 7.5 Пров. вып. ТУ'!AA44</f>
        <v>1096.9557436223706</v>
      </c>
      <c r="AE66" s="1768"/>
      <c r="AF66" s="1768"/>
      <c r="AG66" s="1768"/>
      <c r="AH66" s="1768">
        <f>'[36]Табл. 7.7 Факт. присоед.'!AA34</f>
        <v>1199.167955833761</v>
      </c>
      <c r="AI66" s="1935"/>
      <c r="AJ66" s="1935"/>
      <c r="AK66" s="1935"/>
      <c r="AL66" s="1929">
        <f>SUM(AB66:AH66)</f>
        <v>3505.9521378347872</v>
      </c>
      <c r="AM66" s="1740"/>
      <c r="AN66" s="1740"/>
      <c r="AO66" s="1740"/>
      <c r="AP66" s="1740"/>
      <c r="AQ66" s="1740"/>
      <c r="AR66" s="1740"/>
      <c r="AS66" s="1740"/>
      <c r="AT66" s="1740"/>
      <c r="AU66" s="1740"/>
      <c r="AV66" s="1740"/>
      <c r="AW66" s="1740"/>
      <c r="AX66" s="1740"/>
      <c r="AY66" s="1740"/>
      <c r="AZ66" s="1740"/>
      <c r="BA66" s="1740"/>
      <c r="BB66" s="1740"/>
      <c r="BC66" s="1740"/>
      <c r="BD66" s="1740"/>
      <c r="BE66" s="1740"/>
      <c r="BF66" s="1740"/>
      <c r="BG66" s="1740"/>
      <c r="BH66" s="1740"/>
      <c r="BI66" s="1740"/>
      <c r="BJ66" s="1740"/>
      <c r="BK66" s="1740"/>
    </row>
    <row r="67" spans="2:63" ht="16.5" hidden="1" outlineLevel="1" thickBot="1">
      <c r="B67" s="1926"/>
      <c r="C67" s="1940" t="s">
        <v>3773</v>
      </c>
      <c r="D67" s="1941"/>
      <c r="E67" s="1942"/>
      <c r="F67" s="1942"/>
      <c r="G67" s="1943">
        <f t="shared" ref="G67:AL67" si="145">G66/$K66</f>
        <v>0.27139026570244579</v>
      </c>
      <c r="H67" s="1943">
        <f t="shared" si="145"/>
        <v>0.21694970342081743</v>
      </c>
      <c r="I67" s="1943">
        <f t="shared" si="145"/>
        <v>0</v>
      </c>
      <c r="J67" s="1943">
        <f t="shared" si="145"/>
        <v>0.51166003087673684</v>
      </c>
      <c r="K67" s="1944">
        <f t="shared" si="145"/>
        <v>1</v>
      </c>
      <c r="L67" s="1943">
        <f t="shared" si="145"/>
        <v>49.921041152459139</v>
      </c>
      <c r="M67" s="1943">
        <f t="shared" si="145"/>
        <v>29.101572007037511</v>
      </c>
      <c r="N67" s="1943">
        <f t="shared" si="145"/>
        <v>0</v>
      </c>
      <c r="O67" s="1943">
        <f t="shared" si="145"/>
        <v>38.256196369742575</v>
      </c>
      <c r="P67" s="1944">
        <f t="shared" si="145"/>
        <v>117.27880952923923</v>
      </c>
      <c r="Q67" s="1943">
        <f t="shared" si="145"/>
        <v>0</v>
      </c>
      <c r="R67" s="1943"/>
      <c r="S67" s="1943">
        <f t="shared" si="145"/>
        <v>0</v>
      </c>
      <c r="T67" s="1943"/>
      <c r="U67" s="1943">
        <f t="shared" si="145"/>
        <v>0</v>
      </c>
      <c r="V67" s="1943"/>
      <c r="W67" s="1943">
        <f t="shared" si="145"/>
        <v>0</v>
      </c>
      <c r="X67" s="1945"/>
      <c r="Y67" s="1945"/>
      <c r="Z67" s="1945"/>
      <c r="AA67" s="1944">
        <f t="shared" si="145"/>
        <v>0</v>
      </c>
      <c r="AB67" s="1943">
        <f t="shared" si="145"/>
        <v>9.8304090223340861</v>
      </c>
      <c r="AC67" s="1943"/>
      <c r="AD67" s="1943">
        <f t="shared" si="145"/>
        <v>8.9132667881885972</v>
      </c>
      <c r="AE67" s="1943"/>
      <c r="AF67" s="1943">
        <f t="shared" si="145"/>
        <v>0</v>
      </c>
      <c r="AG67" s="1943"/>
      <c r="AH67" s="1943">
        <f t="shared" si="145"/>
        <v>9.7437877292090764</v>
      </c>
      <c r="AI67" s="1945"/>
      <c r="AJ67" s="1945"/>
      <c r="AK67" s="1945"/>
      <c r="AL67" s="1944">
        <f t="shared" si="145"/>
        <v>28.487463539731756</v>
      </c>
      <c r="AM67" s="1740"/>
      <c r="AN67" s="1740"/>
      <c r="AO67" s="1740"/>
      <c r="AP67" s="1740"/>
      <c r="AQ67" s="1740"/>
      <c r="AR67" s="1740"/>
      <c r="AS67" s="1740"/>
      <c r="AT67" s="1740"/>
      <c r="AU67" s="1740"/>
      <c r="AV67" s="1740"/>
      <c r="AW67" s="1740"/>
      <c r="AX67" s="1740"/>
      <c r="AY67" s="1740"/>
      <c r="AZ67" s="1740"/>
      <c r="BA67" s="1740"/>
      <c r="BB67" s="1740"/>
      <c r="BC67" s="1740"/>
      <c r="BD67" s="1740"/>
      <c r="BE67" s="1740"/>
      <c r="BF67" s="1740"/>
      <c r="BG67" s="1740"/>
      <c r="BH67" s="1740"/>
      <c r="BI67" s="1740"/>
      <c r="BJ67" s="1740"/>
      <c r="BK67" s="1740"/>
    </row>
    <row r="68" spans="2:63" ht="15.75" hidden="1" outlineLevel="1">
      <c r="B68" s="1926"/>
      <c r="C68" s="1946"/>
      <c r="D68" s="1947"/>
      <c r="E68" s="1948"/>
      <c r="F68" s="1948"/>
      <c r="G68" s="1949"/>
      <c r="H68" s="1949"/>
      <c r="I68" s="1949"/>
      <c r="J68" s="1949"/>
      <c r="K68" s="1949"/>
      <c r="L68" s="1949"/>
      <c r="M68" s="1949"/>
      <c r="N68" s="1949"/>
      <c r="O68" s="1949"/>
      <c r="P68" s="1949"/>
      <c r="Q68" s="1949"/>
      <c r="R68" s="1949"/>
      <c r="S68" s="1949"/>
      <c r="T68" s="1949"/>
      <c r="U68" s="1949"/>
      <c r="V68" s="1949"/>
      <c r="W68" s="1949"/>
      <c r="X68" s="1949"/>
      <c r="Y68" s="1949"/>
      <c r="Z68" s="1949"/>
      <c r="AA68" s="1949"/>
      <c r="AB68" s="1740"/>
      <c r="AC68" s="1740"/>
      <c r="AD68" s="1740"/>
      <c r="AE68" s="1740"/>
      <c r="AF68" s="1740"/>
      <c r="AG68" s="1740"/>
      <c r="AH68" s="1740"/>
      <c r="AI68" s="1740"/>
      <c r="AJ68" s="1740"/>
      <c r="AK68" s="1740"/>
      <c r="AL68" s="1740"/>
      <c r="AM68" s="1740"/>
      <c r="AN68" s="1740"/>
      <c r="AO68" s="1740"/>
      <c r="AP68" s="1740"/>
      <c r="AQ68" s="1740"/>
      <c r="AR68" s="1740"/>
      <c r="AS68" s="1740"/>
      <c r="AT68" s="1740"/>
      <c r="AU68" s="1740"/>
      <c r="AV68" s="1740"/>
      <c r="AW68" s="1740"/>
      <c r="AX68" s="1740"/>
      <c r="AY68" s="1740"/>
      <c r="AZ68" s="1740"/>
      <c r="BA68" s="1740"/>
      <c r="BB68" s="1740"/>
      <c r="BC68" s="1740"/>
      <c r="BD68" s="1740"/>
      <c r="BE68" s="1740"/>
      <c r="BF68" s="1740"/>
      <c r="BG68" s="1740"/>
      <c r="BH68" s="1740"/>
      <c r="BI68" s="1740"/>
      <c r="BJ68" s="1740"/>
      <c r="BK68" s="1740"/>
    </row>
    <row r="69" spans="2:63" ht="15.75" hidden="1" outlineLevel="1">
      <c r="B69" s="1926"/>
      <c r="C69" s="1946"/>
      <c r="D69" s="1947"/>
      <c r="E69" s="1948"/>
      <c r="F69" s="1948"/>
      <c r="G69" s="1949"/>
      <c r="H69" s="1949"/>
      <c r="I69" s="1949"/>
      <c r="J69" s="1949"/>
      <c r="K69" s="1949"/>
      <c r="L69" s="1949"/>
      <c r="M69" s="1949"/>
      <c r="N69" s="1949"/>
      <c r="O69" s="1949"/>
      <c r="P69" s="1949"/>
      <c r="Q69" s="1949"/>
      <c r="R69" s="1949"/>
      <c r="S69" s="1949"/>
      <c r="T69" s="1949"/>
      <c r="U69" s="1949"/>
      <c r="V69" s="1949"/>
      <c r="W69" s="1949"/>
      <c r="X69" s="1949"/>
      <c r="Y69" s="1949"/>
      <c r="Z69" s="1949"/>
      <c r="AA69" s="1949"/>
      <c r="AB69" s="1740"/>
      <c r="AC69" s="1740"/>
      <c r="AD69" s="1740"/>
      <c r="AE69" s="1740"/>
      <c r="AF69" s="1740"/>
      <c r="AG69" s="1740"/>
      <c r="AH69" s="1740"/>
      <c r="AI69" s="1740"/>
      <c r="AJ69" s="1740"/>
      <c r="AK69" s="1740"/>
      <c r="AL69" s="1740"/>
      <c r="AM69" s="1740"/>
      <c r="AN69" s="1740"/>
      <c r="AO69" s="1740"/>
      <c r="AP69" s="1740"/>
      <c r="AQ69" s="1740"/>
      <c r="AR69" s="1740"/>
      <c r="AS69" s="1740"/>
      <c r="AT69" s="1740"/>
      <c r="AU69" s="1740"/>
      <c r="AV69" s="1740"/>
      <c r="AW69" s="1740"/>
      <c r="AX69" s="1740"/>
      <c r="AY69" s="1740"/>
      <c r="AZ69" s="1740"/>
      <c r="BA69" s="1740"/>
      <c r="BB69" s="1740"/>
      <c r="BC69" s="1740"/>
      <c r="BD69" s="1740"/>
      <c r="BE69" s="1740"/>
      <c r="BF69" s="1740"/>
      <c r="BG69" s="1740"/>
      <c r="BH69" s="1740"/>
      <c r="BI69" s="1740"/>
      <c r="BJ69" s="1740"/>
      <c r="BK69" s="1740"/>
    </row>
    <row r="70" spans="2:63" ht="15.75" hidden="1" outlineLevel="1">
      <c r="B70" s="1926"/>
      <c r="C70" s="1946"/>
      <c r="D70" s="1947"/>
      <c r="E70" s="1948"/>
      <c r="F70" s="1948"/>
      <c r="G70" s="1949"/>
      <c r="H70" s="1949"/>
      <c r="I70" s="1949"/>
      <c r="J70" s="1949"/>
      <c r="K70" s="1949"/>
      <c r="L70" s="1949"/>
      <c r="M70" s="1949"/>
      <c r="N70" s="1949"/>
      <c r="O70" s="1949"/>
      <c r="P70" s="1949"/>
      <c r="Q70" s="1949"/>
      <c r="R70" s="1949"/>
      <c r="S70" s="1949"/>
      <c r="T70" s="1949"/>
      <c r="U70" s="1949"/>
      <c r="V70" s="1949"/>
      <c r="W70" s="1949"/>
      <c r="X70" s="1949"/>
      <c r="Y70" s="1949"/>
      <c r="Z70" s="1949"/>
      <c r="AA70" s="1949"/>
      <c r="AB70" s="1740"/>
      <c r="AC70" s="1740"/>
      <c r="AD70" s="1740"/>
      <c r="AE70" s="1740"/>
      <c r="AF70" s="1740"/>
      <c r="AG70" s="1740"/>
      <c r="AH70" s="1740"/>
      <c r="AI70" s="1740"/>
      <c r="AJ70" s="1740"/>
      <c r="AK70" s="1740"/>
      <c r="AL70" s="1740"/>
      <c r="AM70" s="1740"/>
      <c r="AN70" s="1740"/>
      <c r="AO70" s="1740"/>
      <c r="AP70" s="1740"/>
      <c r="AQ70" s="1740"/>
      <c r="AR70" s="1740"/>
      <c r="AS70" s="1740"/>
      <c r="AT70" s="1740"/>
      <c r="AU70" s="1740"/>
      <c r="AV70" s="1740"/>
      <c r="AW70" s="1740"/>
      <c r="AX70" s="1740"/>
      <c r="AY70" s="1740"/>
      <c r="AZ70" s="1740"/>
      <c r="BA70" s="1740"/>
      <c r="BB70" s="1740"/>
      <c r="BC70" s="1740"/>
      <c r="BD70" s="1740"/>
      <c r="BE70" s="1740"/>
      <c r="BF70" s="1740"/>
      <c r="BG70" s="1740"/>
      <c r="BH70" s="1740"/>
      <c r="BI70" s="1740"/>
      <c r="BJ70" s="1740"/>
      <c r="BK70" s="1740"/>
    </row>
    <row r="71" spans="2:63" ht="15.75" hidden="1" outlineLevel="1">
      <c r="B71" s="1926"/>
      <c r="C71" s="1946"/>
      <c r="D71" s="1947"/>
      <c r="E71" s="1948"/>
      <c r="F71" s="1948"/>
      <c r="G71" s="1949"/>
      <c r="H71" s="1949"/>
      <c r="I71" s="1949"/>
      <c r="J71" s="1949"/>
      <c r="K71" s="1949"/>
      <c r="L71" s="1949"/>
      <c r="M71" s="1949"/>
      <c r="N71" s="1949"/>
      <c r="O71" s="1949"/>
      <c r="P71" s="1949"/>
      <c r="Q71" s="1949"/>
      <c r="R71" s="1949"/>
      <c r="S71" s="1949"/>
      <c r="T71" s="1949"/>
      <c r="U71" s="1949"/>
      <c r="V71" s="1949"/>
      <c r="W71" s="1949"/>
      <c r="X71" s="1949"/>
      <c r="Y71" s="1949"/>
      <c r="Z71" s="1949"/>
      <c r="AA71" s="1949"/>
      <c r="AB71" s="1740"/>
      <c r="AC71" s="1740"/>
      <c r="AD71" s="1740"/>
      <c r="AE71" s="1740"/>
      <c r="AF71" s="1740"/>
      <c r="AG71" s="1740"/>
      <c r="AH71" s="1740"/>
      <c r="AI71" s="1740"/>
      <c r="AJ71" s="1740"/>
      <c r="AK71" s="1740"/>
      <c r="AL71" s="1740"/>
      <c r="AM71" s="1740"/>
      <c r="AN71" s="1740"/>
      <c r="AO71" s="1740"/>
      <c r="AP71" s="1740"/>
      <c r="AQ71" s="1740"/>
      <c r="AR71" s="1740"/>
      <c r="AS71" s="1740"/>
      <c r="AT71" s="1740"/>
      <c r="AU71" s="1740"/>
      <c r="AV71" s="1740"/>
      <c r="AW71" s="1740"/>
      <c r="AX71" s="1740"/>
      <c r="AY71" s="1740"/>
      <c r="AZ71" s="1740"/>
      <c r="BA71" s="1740"/>
      <c r="BB71" s="1740"/>
      <c r="BC71" s="1740"/>
      <c r="BD71" s="1740"/>
      <c r="BE71" s="1740"/>
      <c r="BF71" s="1740"/>
      <c r="BG71" s="1740"/>
      <c r="BH71" s="1740"/>
      <c r="BI71" s="1740"/>
      <c r="BJ71" s="1740"/>
      <c r="BK71" s="1740"/>
    </row>
    <row r="72" spans="2:63" ht="15.75" hidden="1" outlineLevel="1">
      <c r="B72" s="1926"/>
      <c r="C72" s="1950"/>
      <c r="D72" s="1947"/>
      <c r="E72" s="1948"/>
      <c r="F72" s="1948"/>
      <c r="G72" s="1949"/>
      <c r="H72" s="1949"/>
      <c r="I72" s="1949"/>
      <c r="J72" s="1949"/>
      <c r="K72" s="1949"/>
      <c r="L72" s="1949"/>
      <c r="M72" s="1949"/>
      <c r="N72" s="1949"/>
      <c r="O72" s="1949"/>
      <c r="P72" s="1949"/>
      <c r="Q72" s="1949"/>
      <c r="R72" s="1949"/>
      <c r="S72" s="1949"/>
      <c r="T72" s="1949"/>
      <c r="U72" s="1949"/>
      <c r="V72" s="1949"/>
      <c r="W72" s="1949"/>
      <c r="X72" s="1949"/>
      <c r="Y72" s="1949"/>
      <c r="Z72" s="1949"/>
      <c r="AA72" s="1949"/>
      <c r="AB72" s="1740"/>
      <c r="AC72" s="1740"/>
      <c r="AD72" s="1740"/>
      <c r="AE72" s="1740"/>
      <c r="AF72" s="1740"/>
      <c r="AG72" s="1740"/>
      <c r="AH72" s="1740"/>
      <c r="AI72" s="1740"/>
      <c r="AJ72" s="1740"/>
      <c r="AK72" s="1740"/>
      <c r="AL72" s="1740"/>
      <c r="AM72" s="1740"/>
      <c r="AN72" s="1740"/>
      <c r="AO72" s="1740"/>
      <c r="AP72" s="1740"/>
      <c r="AQ72" s="1740"/>
      <c r="AR72" s="1740"/>
      <c r="AS72" s="1740"/>
      <c r="AT72" s="1740"/>
      <c r="AU72" s="1740"/>
      <c r="AV72" s="1740"/>
      <c r="AW72" s="1740"/>
      <c r="AX72" s="1740"/>
      <c r="AY72" s="1740"/>
      <c r="AZ72" s="1740"/>
      <c r="BA72" s="1740"/>
      <c r="BB72" s="1740"/>
      <c r="BC72" s="1740"/>
      <c r="BD72" s="1740"/>
      <c r="BE72" s="1740"/>
      <c r="BF72" s="1740"/>
      <c r="BG72" s="1740"/>
      <c r="BH72" s="1740"/>
      <c r="BI72" s="1740"/>
      <c r="BJ72" s="1740"/>
      <c r="BK72" s="1740"/>
    </row>
    <row r="73" spans="2:63" ht="15.75" hidden="1" outlineLevel="1">
      <c r="B73" s="1926"/>
      <c r="C73" s="1922" t="s">
        <v>3775</v>
      </c>
      <c r="D73" s="1951"/>
      <c r="E73" s="1923"/>
      <c r="F73" s="1923"/>
      <c r="G73" s="1952"/>
      <c r="H73" s="1952"/>
      <c r="I73" s="1952"/>
      <c r="J73" s="1952"/>
      <c r="K73" s="1953"/>
      <c r="L73" s="1952"/>
      <c r="M73" s="1952"/>
      <c r="N73" s="1952"/>
      <c r="O73" s="1952"/>
      <c r="P73" s="1953"/>
      <c r="Q73" s="1952"/>
      <c r="R73" s="1952"/>
      <c r="S73" s="1952"/>
      <c r="T73" s="1952"/>
      <c r="U73" s="1952"/>
      <c r="V73" s="1952"/>
      <c r="W73" s="1952"/>
      <c r="X73" s="1954"/>
      <c r="Y73" s="1954"/>
      <c r="Z73" s="1954"/>
      <c r="AA73" s="1953"/>
      <c r="AB73" s="1740"/>
      <c r="AC73" s="1740"/>
      <c r="AD73" s="1740"/>
      <c r="AE73" s="1740"/>
      <c r="AF73" s="1740"/>
      <c r="AG73" s="1740"/>
      <c r="AH73" s="1740"/>
      <c r="AI73" s="1740"/>
      <c r="AJ73" s="1740"/>
      <c r="AK73" s="1740"/>
      <c r="AL73" s="1740"/>
      <c r="AM73" s="1740"/>
      <c r="AN73" s="1740"/>
      <c r="AO73" s="1740"/>
      <c r="AP73" s="1740"/>
      <c r="AQ73" s="1740"/>
      <c r="AR73" s="1740"/>
      <c r="AS73" s="1740"/>
      <c r="AT73" s="1740"/>
      <c r="AU73" s="1740"/>
      <c r="AV73" s="1740"/>
      <c r="AW73" s="1740"/>
      <c r="AX73" s="1740"/>
      <c r="AY73" s="1740"/>
      <c r="AZ73" s="1740"/>
      <c r="BA73" s="1740"/>
      <c r="BB73" s="1740"/>
      <c r="BC73" s="1740"/>
      <c r="BD73" s="1740"/>
      <c r="BE73" s="1740"/>
      <c r="BF73" s="1740"/>
      <c r="BG73" s="1740"/>
      <c r="BH73" s="1740"/>
      <c r="BI73" s="1740"/>
      <c r="BJ73" s="1740"/>
      <c r="BK73" s="1740"/>
    </row>
    <row r="74" spans="2:63" ht="15.75" hidden="1" outlineLevel="1">
      <c r="B74" s="1926"/>
      <c r="C74" s="1927" t="s">
        <v>3771</v>
      </c>
      <c r="D74" s="1933"/>
      <c r="E74" s="1928">
        <f>E77+E82</f>
        <v>11</v>
      </c>
      <c r="F74" s="1928">
        <f>F77+F82</f>
        <v>3220.91</v>
      </c>
      <c r="G74" s="1937"/>
      <c r="H74" s="1937"/>
      <c r="I74" s="1937"/>
      <c r="J74" s="1937"/>
      <c r="K74" s="1938">
        <f>'[36]СС 2015'!K155</f>
        <v>888155.16999999993</v>
      </c>
      <c r="L74" s="1937"/>
      <c r="M74" s="1937"/>
      <c r="N74" s="1937"/>
      <c r="O74" s="1937"/>
      <c r="P74" s="1938">
        <f>'[36]СС 2015'!S155</f>
        <v>0</v>
      </c>
      <c r="Q74" s="1937"/>
      <c r="R74" s="1937"/>
      <c r="S74" s="1937"/>
      <c r="T74" s="1937"/>
      <c r="U74" s="1937"/>
      <c r="V74" s="1937"/>
      <c r="W74" s="1937"/>
      <c r="X74" s="1939"/>
      <c r="Y74" s="1939"/>
      <c r="Z74" s="1939"/>
      <c r="AA74" s="1938">
        <f>'[36]СС 2015'!X155</f>
        <v>0</v>
      </c>
      <c r="AB74" s="1740"/>
      <c r="AC74" s="1740"/>
      <c r="AD74" s="1740"/>
      <c r="AE74" s="1740"/>
      <c r="AF74" s="1740"/>
      <c r="AG74" s="1740"/>
      <c r="AH74" s="1740"/>
      <c r="AI74" s="1740"/>
      <c r="AJ74" s="1740"/>
      <c r="AK74" s="1740"/>
      <c r="AL74" s="1740"/>
      <c r="AM74" s="1740"/>
      <c r="AN74" s="1740"/>
      <c r="AO74" s="1740"/>
      <c r="AP74" s="1740"/>
      <c r="AQ74" s="1740"/>
      <c r="AR74" s="1740"/>
      <c r="AS74" s="1740"/>
      <c r="AT74" s="1740"/>
      <c r="AU74" s="1740"/>
      <c r="AV74" s="1740"/>
      <c r="AW74" s="1740"/>
      <c r="AX74" s="1740"/>
      <c r="AY74" s="1740"/>
      <c r="AZ74" s="1740"/>
      <c r="BA74" s="1740"/>
      <c r="BB74" s="1740"/>
      <c r="BC74" s="1740"/>
      <c r="BD74" s="1740"/>
      <c r="BE74" s="1740"/>
      <c r="BF74" s="1740"/>
      <c r="BG74" s="1740"/>
      <c r="BH74" s="1740"/>
      <c r="BI74" s="1740"/>
      <c r="BJ74" s="1740"/>
      <c r="BK74" s="1740"/>
    </row>
    <row r="75" spans="2:63" ht="15.75" hidden="1" outlineLevel="1">
      <c r="B75" s="1926"/>
      <c r="C75" s="1931" t="s">
        <v>3706</v>
      </c>
      <c r="D75" s="1933"/>
      <c r="E75" s="1928"/>
      <c r="F75" s="1928"/>
      <c r="G75" s="1937"/>
      <c r="H75" s="1937"/>
      <c r="I75" s="1937"/>
      <c r="J75" s="1937"/>
      <c r="K75" s="1938">
        <f>'[36]СС 2015'!K156</f>
        <v>264241.47999999992</v>
      </c>
      <c r="L75" s="1937"/>
      <c r="M75" s="1937"/>
      <c r="N75" s="1937"/>
      <c r="O75" s="1937"/>
      <c r="P75" s="1938">
        <f>'[36]СС 2015'!S156</f>
        <v>0</v>
      </c>
      <c r="Q75" s="1937"/>
      <c r="R75" s="1937"/>
      <c r="S75" s="1937"/>
      <c r="T75" s="1937"/>
      <c r="U75" s="1937"/>
      <c r="V75" s="1937"/>
      <c r="W75" s="1937"/>
      <c r="X75" s="1939"/>
      <c r="Y75" s="1939"/>
      <c r="Z75" s="1939"/>
      <c r="AA75" s="1938">
        <f>'[36]СС 2015'!X156</f>
        <v>0</v>
      </c>
      <c r="AB75" s="1740"/>
      <c r="AC75" s="1740"/>
      <c r="AD75" s="1740"/>
      <c r="AE75" s="1740"/>
      <c r="AF75" s="1740"/>
      <c r="AG75" s="1740"/>
      <c r="AH75" s="1740"/>
      <c r="AI75" s="1740"/>
      <c r="AJ75" s="1740"/>
      <c r="AK75" s="1740"/>
      <c r="AL75" s="1740"/>
      <c r="AM75" s="1740"/>
      <c r="AN75" s="1740"/>
      <c r="AO75" s="1740"/>
      <c r="AP75" s="1740"/>
      <c r="AQ75" s="1740"/>
      <c r="AR75" s="1740"/>
      <c r="AS75" s="1740"/>
      <c r="AT75" s="1740"/>
      <c r="AU75" s="1740"/>
      <c r="AV75" s="1740"/>
      <c r="AW75" s="1740"/>
      <c r="AX75" s="1740"/>
      <c r="AY75" s="1740"/>
      <c r="AZ75" s="1740"/>
      <c r="BA75" s="1740"/>
      <c r="BB75" s="1740"/>
      <c r="BC75" s="1740"/>
      <c r="BD75" s="1740"/>
      <c r="BE75" s="1740"/>
      <c r="BF75" s="1740"/>
      <c r="BG75" s="1740"/>
      <c r="BH75" s="1740"/>
      <c r="BI75" s="1740"/>
      <c r="BJ75" s="1740"/>
      <c r="BK75" s="1740"/>
    </row>
    <row r="76" spans="2:63" ht="15.75" hidden="1" outlineLevel="1">
      <c r="B76" s="1926"/>
      <c r="C76" s="1932" t="s">
        <v>3775</v>
      </c>
      <c r="D76" s="1933">
        <v>0.4</v>
      </c>
      <c r="E76" s="1768"/>
      <c r="F76" s="1768"/>
      <c r="G76" s="1768"/>
      <c r="H76" s="1768"/>
      <c r="I76" s="1768"/>
      <c r="J76" s="1768"/>
      <c r="K76" s="1934"/>
      <c r="L76" s="1768"/>
      <c r="M76" s="1768"/>
      <c r="N76" s="1768"/>
      <c r="O76" s="1768"/>
      <c r="P76" s="1934"/>
      <c r="Q76" s="1768"/>
      <c r="R76" s="1768"/>
      <c r="S76" s="1768"/>
      <c r="T76" s="1768"/>
      <c r="U76" s="1768"/>
      <c r="V76" s="1768"/>
      <c r="W76" s="1768"/>
      <c r="X76" s="1935"/>
      <c r="Y76" s="1935"/>
      <c r="Z76" s="1935"/>
      <c r="AA76" s="1934"/>
      <c r="AB76" s="1740"/>
      <c r="AC76" s="1740"/>
      <c r="AD76" s="1740"/>
      <c r="AE76" s="1740"/>
      <c r="AF76" s="1740"/>
      <c r="AG76" s="1740"/>
      <c r="AH76" s="1740"/>
      <c r="AI76" s="1740"/>
      <c r="AJ76" s="1740"/>
      <c r="AK76" s="1740"/>
      <c r="AL76" s="1740"/>
      <c r="AM76" s="1740"/>
      <c r="AN76" s="1740"/>
      <c r="AO76" s="1740"/>
      <c r="AP76" s="1740"/>
      <c r="AQ76" s="1740"/>
      <c r="AR76" s="1740"/>
      <c r="AS76" s="1740"/>
      <c r="AT76" s="1740"/>
      <c r="AU76" s="1740"/>
      <c r="AV76" s="1740"/>
      <c r="AW76" s="1740"/>
      <c r="AX76" s="1740"/>
      <c r="AY76" s="1740"/>
      <c r="AZ76" s="1740"/>
      <c r="BA76" s="1740"/>
      <c r="BB76" s="1740"/>
      <c r="BC76" s="1740"/>
      <c r="BD76" s="1740"/>
      <c r="BE76" s="1740"/>
      <c r="BF76" s="1740"/>
      <c r="BG76" s="1740"/>
      <c r="BH76" s="1740"/>
      <c r="BI76" s="1740"/>
      <c r="BJ76" s="1740"/>
      <c r="BK76" s="1740"/>
    </row>
    <row r="77" spans="2:63" ht="15.75" hidden="1" outlineLevel="1">
      <c r="B77" s="1926"/>
      <c r="C77" s="1927" t="s">
        <v>3771</v>
      </c>
      <c r="D77" s="1933"/>
      <c r="E77" s="1928">
        <v>2</v>
      </c>
      <c r="F77" s="1928">
        <v>301</v>
      </c>
      <c r="G77" s="1928" t="e">
        <f>ROUND($K77*G$80,3)</f>
        <v>#REF!</v>
      </c>
      <c r="H77" s="1928" t="e">
        <f>ROUND($K77*H$80,3)</f>
        <v>#REF!</v>
      </c>
      <c r="I77" s="1928" t="e">
        <f>ROUND($K77*I$80,3)</f>
        <v>#REF!</v>
      </c>
      <c r="J77" s="1928" t="e">
        <f>ROUND($K77*J$80,3)</f>
        <v>#REF!</v>
      </c>
      <c r="K77" s="1934" t="e">
        <f>#REF!*F77</f>
        <v>#REF!</v>
      </c>
      <c r="L77" s="1928" t="e">
        <f>ROUND($K77*L$80,3)</f>
        <v>#REF!</v>
      </c>
      <c r="M77" s="1928" t="e">
        <f>ROUND($K77*M$80,3)</f>
        <v>#REF!</v>
      </c>
      <c r="N77" s="1928" t="e">
        <f>ROUND($K77*N$80,3)</f>
        <v>#REF!</v>
      </c>
      <c r="O77" s="1928" t="e">
        <f>ROUND($K77*O$80,3)</f>
        <v>#REF!</v>
      </c>
      <c r="P77" s="1934" t="e">
        <f>#REF!*#REF!</f>
        <v>#REF!</v>
      </c>
      <c r="Q77" s="1928" t="e">
        <f>ROUND($K77*Q$80,3)</f>
        <v>#REF!</v>
      </c>
      <c r="R77" s="1928"/>
      <c r="S77" s="1928" t="e">
        <f>ROUND($K77*S$80,3)</f>
        <v>#REF!</v>
      </c>
      <c r="T77" s="1928"/>
      <c r="U77" s="1928" t="e">
        <f>ROUND($K77*U$80,3)</f>
        <v>#REF!</v>
      </c>
      <c r="V77" s="1928"/>
      <c r="W77" s="1928" t="e">
        <f>ROUND($K77*W$80,3)</f>
        <v>#REF!</v>
      </c>
      <c r="X77" s="1930"/>
      <c r="Y77" s="1930"/>
      <c r="Z77" s="1930"/>
      <c r="AA77" s="1934" t="e">
        <f>#REF!*#REF!</f>
        <v>#REF!</v>
      </c>
      <c r="AB77" s="1740"/>
      <c r="AC77" s="1740"/>
      <c r="AD77" s="1740"/>
      <c r="AE77" s="1740"/>
      <c r="AF77" s="1740"/>
      <c r="AG77" s="1740"/>
      <c r="AH77" s="1740"/>
      <c r="AI77" s="1740"/>
      <c r="AJ77" s="1740"/>
      <c r="AK77" s="1740"/>
      <c r="AL77" s="1740"/>
      <c r="AM77" s="1740"/>
      <c r="AN77" s="1740"/>
      <c r="AO77" s="1740"/>
      <c r="AP77" s="1740"/>
      <c r="AQ77" s="1740"/>
      <c r="AR77" s="1740"/>
      <c r="AS77" s="1740"/>
      <c r="AT77" s="1740"/>
      <c r="AU77" s="1740"/>
      <c r="AV77" s="1740"/>
      <c r="AW77" s="1740"/>
      <c r="AX77" s="1740"/>
      <c r="AY77" s="1740"/>
      <c r="AZ77" s="1740"/>
      <c r="BA77" s="1740"/>
      <c r="BB77" s="1740"/>
      <c r="BC77" s="1740"/>
      <c r="BD77" s="1740"/>
      <c r="BE77" s="1740"/>
      <c r="BF77" s="1740"/>
      <c r="BG77" s="1740"/>
      <c r="BH77" s="1740"/>
      <c r="BI77" s="1740"/>
      <c r="BJ77" s="1740"/>
      <c r="BK77" s="1740"/>
    </row>
    <row r="78" spans="2:63" ht="15.75" hidden="1" outlineLevel="1">
      <c r="B78" s="1926"/>
      <c r="C78" s="1931" t="s">
        <v>3706</v>
      </c>
      <c r="D78" s="1933"/>
      <c r="E78" s="1928"/>
      <c r="F78" s="1928"/>
      <c r="G78" s="1928" t="e">
        <f>ROUND(G77*#REF!,3)</f>
        <v>#REF!</v>
      </c>
      <c r="H78" s="1928" t="e">
        <f>ROUND(H77*#REF!,3)</f>
        <v>#REF!</v>
      </c>
      <c r="I78" s="1928" t="e">
        <f>ROUND(I77*#REF!,3)</f>
        <v>#REF!</v>
      </c>
      <c r="J78" s="1928" t="e">
        <f>ROUND(J77*#REF!,3)</f>
        <v>#REF!</v>
      </c>
      <c r="K78" s="1934" t="e">
        <f>K77*#REF!</f>
        <v>#REF!</v>
      </c>
      <c r="L78" s="1928" t="e">
        <f>ROUND(L77*#REF!,3)</f>
        <v>#REF!</v>
      </c>
      <c r="M78" s="1928" t="e">
        <f>ROUND(M77*#REF!,3)</f>
        <v>#REF!</v>
      </c>
      <c r="N78" s="1928" t="e">
        <f>ROUND(N77*#REF!,3)</f>
        <v>#REF!</v>
      </c>
      <c r="O78" s="1928" t="e">
        <f>ROUND(O77*#REF!,3)</f>
        <v>#REF!</v>
      </c>
      <c r="P78" s="1934" t="e">
        <f>P77*#REF!</f>
        <v>#REF!</v>
      </c>
      <c r="Q78" s="1928" t="e">
        <f>ROUND(Q77*#REF!,3)</f>
        <v>#REF!</v>
      </c>
      <c r="R78" s="1928"/>
      <c r="S78" s="1928" t="e">
        <f>ROUND(S77*#REF!,3)</f>
        <v>#REF!</v>
      </c>
      <c r="T78" s="1928"/>
      <c r="U78" s="1928" t="e">
        <f>ROUND(U77*#REF!,3)</f>
        <v>#REF!</v>
      </c>
      <c r="V78" s="1928"/>
      <c r="W78" s="1928" t="e">
        <f>ROUND(W77*#REF!,3)</f>
        <v>#REF!</v>
      </c>
      <c r="X78" s="1930"/>
      <c r="Y78" s="1930"/>
      <c r="Z78" s="1930"/>
      <c r="AA78" s="1934" t="e">
        <f>AA77*#REF!</f>
        <v>#REF!</v>
      </c>
      <c r="AB78" s="1740"/>
      <c r="AC78" s="1740"/>
      <c r="AD78" s="1740"/>
      <c r="AE78" s="1740"/>
      <c r="AF78" s="1740"/>
      <c r="AG78" s="1740"/>
      <c r="AH78" s="1740"/>
      <c r="AI78" s="1740"/>
      <c r="AJ78" s="1740"/>
      <c r="AK78" s="1740"/>
      <c r="AL78" s="1740"/>
      <c r="AM78" s="1740"/>
      <c r="AN78" s="1740"/>
      <c r="AO78" s="1740"/>
      <c r="AP78" s="1740"/>
      <c r="AQ78" s="1740"/>
      <c r="AR78" s="1740"/>
      <c r="AS78" s="1740"/>
      <c r="AT78" s="1740"/>
      <c r="AU78" s="1740"/>
      <c r="AV78" s="1740"/>
      <c r="AW78" s="1740"/>
      <c r="AX78" s="1740"/>
      <c r="AY78" s="1740"/>
      <c r="AZ78" s="1740"/>
      <c r="BA78" s="1740"/>
      <c r="BB78" s="1740"/>
      <c r="BC78" s="1740"/>
      <c r="BD78" s="1740"/>
      <c r="BE78" s="1740"/>
      <c r="BF78" s="1740"/>
      <c r="BG78" s="1740"/>
      <c r="BH78" s="1740"/>
      <c r="BI78" s="1740"/>
      <c r="BJ78" s="1740"/>
      <c r="BK78" s="1740"/>
    </row>
    <row r="79" spans="2:63" ht="31.5" hidden="1" outlineLevel="1">
      <c r="B79" s="1926"/>
      <c r="C79" s="1927" t="s">
        <v>3772</v>
      </c>
      <c r="D79" s="1933"/>
      <c r="E79" s="1928"/>
      <c r="F79" s="1928"/>
      <c r="G79" s="1768">
        <f>'[36]Табл. 7.3 Подг. ТУ'!H67</f>
        <v>28.41</v>
      </c>
      <c r="H79" s="1768">
        <f>'[36]Табл. 7.5 Пров. вып. ТУ'!H44</f>
        <v>26.5</v>
      </c>
      <c r="I79" s="1768"/>
      <c r="J79" s="1768">
        <f>'[36]Табл. 7.7 Факт. присоед.'!H34</f>
        <v>45.97</v>
      </c>
      <c r="K79" s="1929">
        <f>SUM(G79:J79)</f>
        <v>100.88</v>
      </c>
      <c r="L79" s="1768">
        <f>'[36]Табл. 7.3 Подг. ТУ'!P67</f>
        <v>4565.3903335043615</v>
      </c>
      <c r="M79" s="1768">
        <f>'[36]Табл. 7.5 Пров. вып. ТУ'!P44</f>
        <v>3512.6114315033356</v>
      </c>
      <c r="N79" s="1768"/>
      <c r="O79" s="1768">
        <f>'[36]Табл. 7.7 Факт. присоед.'!P34</f>
        <v>3812.3076449461264</v>
      </c>
      <c r="P79" s="1929">
        <f>SUM(L79:O79)</f>
        <v>11890.309409953823</v>
      </c>
      <c r="Q79" s="1768">
        <f>'[36]Табл. 7.3 Подг. ТУ'!U67</f>
        <v>0</v>
      </c>
      <c r="R79" s="1768"/>
      <c r="S79" s="1768">
        <f>'[36]Табл. 7.5 Пров. вып. ТУ'!U44</f>
        <v>12125.32900974859</v>
      </c>
      <c r="T79" s="1768"/>
      <c r="U79" s="1768"/>
      <c r="V79" s="1768"/>
      <c r="W79" s="1768">
        <f>'[36]Табл. 7.7 Факт. присоед.'!U34</f>
        <v>0</v>
      </c>
      <c r="X79" s="1935"/>
      <c r="Y79" s="1935"/>
      <c r="Z79" s="1935"/>
      <c r="AA79" s="1929">
        <f>SUM(Q79:W79)</f>
        <v>12125.32900974859</v>
      </c>
      <c r="AB79" s="1740"/>
      <c r="AC79" s="1740"/>
      <c r="AD79" s="1740"/>
      <c r="AE79" s="1740"/>
      <c r="AF79" s="1740"/>
      <c r="AG79" s="1740"/>
      <c r="AH79" s="1740"/>
      <c r="AI79" s="1740"/>
      <c r="AJ79" s="1740"/>
      <c r="AK79" s="1740"/>
      <c r="AL79" s="1740"/>
      <c r="AM79" s="1740"/>
      <c r="AN79" s="1740"/>
      <c r="AO79" s="1740"/>
      <c r="AP79" s="1740"/>
      <c r="AQ79" s="1740"/>
      <c r="AR79" s="1740"/>
      <c r="AS79" s="1740"/>
      <c r="AT79" s="1740"/>
      <c r="AU79" s="1740"/>
      <c r="AV79" s="1740"/>
      <c r="AW79" s="1740"/>
      <c r="AX79" s="1740"/>
      <c r="AY79" s="1740"/>
      <c r="AZ79" s="1740"/>
      <c r="BA79" s="1740"/>
      <c r="BB79" s="1740"/>
      <c r="BC79" s="1740"/>
      <c r="BD79" s="1740"/>
      <c r="BE79" s="1740"/>
      <c r="BF79" s="1740"/>
      <c r="BG79" s="1740"/>
      <c r="BH79" s="1740"/>
      <c r="BI79" s="1740"/>
      <c r="BJ79" s="1740"/>
      <c r="BK79" s="1740"/>
    </row>
    <row r="80" spans="2:63" ht="15.75" hidden="1" outlineLevel="1">
      <c r="B80" s="1926"/>
      <c r="C80" s="1936" t="s">
        <v>3773</v>
      </c>
      <c r="D80" s="1933"/>
      <c r="E80" s="1928"/>
      <c r="F80" s="1928"/>
      <c r="G80" s="1937">
        <f t="shared" ref="G80:AA80" si="146">G79/$K79</f>
        <v>0.28162172878667724</v>
      </c>
      <c r="H80" s="1937">
        <f t="shared" si="146"/>
        <v>0.26268834258524981</v>
      </c>
      <c r="I80" s="1937">
        <f t="shared" si="146"/>
        <v>0</v>
      </c>
      <c r="J80" s="1937">
        <f t="shared" si="146"/>
        <v>0.45568992862807295</v>
      </c>
      <c r="K80" s="1938">
        <f t="shared" si="146"/>
        <v>1</v>
      </c>
      <c r="L80" s="1937">
        <f t="shared" si="146"/>
        <v>45.255653583508739</v>
      </c>
      <c r="M80" s="1937">
        <f t="shared" si="146"/>
        <v>34.819700946702376</v>
      </c>
      <c r="N80" s="1937">
        <f t="shared" si="146"/>
        <v>0</v>
      </c>
      <c r="O80" s="1937">
        <f t="shared" si="146"/>
        <v>37.790519874565092</v>
      </c>
      <c r="P80" s="1938">
        <f t="shared" si="146"/>
        <v>117.86587440477621</v>
      </c>
      <c r="Q80" s="1937">
        <f t="shared" si="146"/>
        <v>0</v>
      </c>
      <c r="R80" s="1937"/>
      <c r="S80" s="1937">
        <f t="shared" si="146"/>
        <v>120.19556908949832</v>
      </c>
      <c r="T80" s="1937"/>
      <c r="U80" s="1937">
        <f t="shared" si="146"/>
        <v>0</v>
      </c>
      <c r="V80" s="1937"/>
      <c r="W80" s="1937">
        <f t="shared" si="146"/>
        <v>0</v>
      </c>
      <c r="X80" s="1939"/>
      <c r="Y80" s="1939"/>
      <c r="Z80" s="1939"/>
      <c r="AA80" s="1938">
        <f t="shared" si="146"/>
        <v>120.19556908949832</v>
      </c>
      <c r="AB80" s="1740"/>
      <c r="AC80" s="1740"/>
      <c r="AD80" s="1740"/>
      <c r="AE80" s="1740"/>
      <c r="AF80" s="1740"/>
      <c r="AG80" s="1740"/>
      <c r="AH80" s="1740"/>
      <c r="AI80" s="1740"/>
      <c r="AJ80" s="1740"/>
      <c r="AK80" s="1740"/>
      <c r="AL80" s="1740"/>
      <c r="AM80" s="1740"/>
      <c r="AN80" s="1740"/>
      <c r="AO80" s="1740"/>
      <c r="AP80" s="1740"/>
      <c r="AQ80" s="1740"/>
      <c r="AR80" s="1740"/>
      <c r="AS80" s="1740"/>
      <c r="AT80" s="1740"/>
      <c r="AU80" s="1740"/>
      <c r="AV80" s="1740"/>
      <c r="AW80" s="1740"/>
      <c r="AX80" s="1740"/>
      <c r="AY80" s="1740"/>
      <c r="AZ80" s="1740"/>
      <c r="BA80" s="1740"/>
      <c r="BB80" s="1740"/>
      <c r="BC80" s="1740"/>
      <c r="BD80" s="1740"/>
      <c r="BE80" s="1740"/>
      <c r="BF80" s="1740"/>
      <c r="BG80" s="1740"/>
      <c r="BH80" s="1740"/>
      <c r="BI80" s="1740"/>
      <c r="BJ80" s="1740"/>
      <c r="BK80" s="1740"/>
    </row>
    <row r="81" spans="2:63" ht="15.75" hidden="1" outlineLevel="1">
      <c r="B81" s="1926"/>
      <c r="C81" s="1932" t="s">
        <v>3776</v>
      </c>
      <c r="D81" s="1928" t="s">
        <v>3569</v>
      </c>
      <c r="E81" s="1768"/>
      <c r="F81" s="1768"/>
      <c r="G81" s="1768"/>
      <c r="H81" s="1768"/>
      <c r="I81" s="1768"/>
      <c r="J81" s="1768"/>
      <c r="K81" s="1934"/>
      <c r="L81" s="1768"/>
      <c r="M81" s="1768"/>
      <c r="N81" s="1768"/>
      <c r="O81" s="1768"/>
      <c r="P81" s="1934"/>
      <c r="Q81" s="1768"/>
      <c r="R81" s="1768"/>
      <c r="S81" s="1768"/>
      <c r="T81" s="1768"/>
      <c r="U81" s="1768"/>
      <c r="V81" s="1768"/>
      <c r="W81" s="1768"/>
      <c r="X81" s="1935"/>
      <c r="Y81" s="1935"/>
      <c r="Z81" s="1935"/>
      <c r="AA81" s="1934"/>
      <c r="AB81" s="1740"/>
      <c r="AC81" s="1740"/>
      <c r="AD81" s="1740"/>
      <c r="AE81" s="1740"/>
      <c r="AF81" s="1740"/>
      <c r="AG81" s="1740"/>
      <c r="AH81" s="1740"/>
      <c r="AI81" s="1740"/>
      <c r="AJ81" s="1740"/>
      <c r="AK81" s="1740"/>
      <c r="AL81" s="1740"/>
      <c r="AM81" s="1740"/>
      <c r="AN81" s="1740"/>
      <c r="AO81" s="1740"/>
      <c r="AP81" s="1740"/>
      <c r="AQ81" s="1740"/>
      <c r="AR81" s="1740"/>
      <c r="AS81" s="1740"/>
      <c r="AT81" s="1740"/>
      <c r="AU81" s="1740"/>
      <c r="AV81" s="1740"/>
      <c r="AW81" s="1740"/>
      <c r="AX81" s="1740"/>
      <c r="AY81" s="1740"/>
      <c r="AZ81" s="1740"/>
      <c r="BA81" s="1740"/>
      <c r="BB81" s="1740"/>
      <c r="BC81" s="1740"/>
      <c r="BD81" s="1740"/>
      <c r="BE81" s="1740"/>
      <c r="BF81" s="1740"/>
      <c r="BG81" s="1740"/>
      <c r="BH81" s="1740"/>
      <c r="BI81" s="1740"/>
      <c r="BJ81" s="1740"/>
      <c r="BK81" s="1740"/>
    </row>
    <row r="82" spans="2:63" ht="15.75" hidden="1" outlineLevel="1">
      <c r="B82" s="1926"/>
      <c r="C82" s="1927" t="s">
        <v>3771</v>
      </c>
      <c r="D82" s="1928"/>
      <c r="E82" s="1768">
        <v>9</v>
      </c>
      <c r="F82" s="1768">
        <v>2919.91</v>
      </c>
      <c r="G82" s="1928" t="e">
        <f>ROUND($K82*G$85,3)</f>
        <v>#REF!</v>
      </c>
      <c r="H82" s="1928" t="e">
        <f>ROUND($K82*H$85,3)</f>
        <v>#REF!</v>
      </c>
      <c r="I82" s="1928" t="e">
        <f>ROUND($K82*I$85,3)</f>
        <v>#REF!</v>
      </c>
      <c r="J82" s="1928" t="e">
        <f>ROUND($K82*J$85,3)</f>
        <v>#REF!</v>
      </c>
      <c r="K82" s="1934" t="e">
        <f>#REF!*F82</f>
        <v>#REF!</v>
      </c>
      <c r="L82" s="1928" t="e">
        <f>ROUND($K82*L$85,3)</f>
        <v>#REF!</v>
      </c>
      <c r="M82" s="1928" t="e">
        <f>ROUND($K82*M$85,3)</f>
        <v>#REF!</v>
      </c>
      <c r="N82" s="1928" t="e">
        <f>ROUND($K82*N$85,3)</f>
        <v>#REF!</v>
      </c>
      <c r="O82" s="1928" t="e">
        <f>ROUND($K82*O$85,3)</f>
        <v>#REF!</v>
      </c>
      <c r="P82" s="1934" t="e">
        <f>#REF!*#REF!</f>
        <v>#REF!</v>
      </c>
      <c r="Q82" s="1928" t="e">
        <f>ROUND($K82*Q$85,3)</f>
        <v>#REF!</v>
      </c>
      <c r="R82" s="1928"/>
      <c r="S82" s="1928" t="e">
        <f>ROUND($K82*S$85,3)</f>
        <v>#REF!</v>
      </c>
      <c r="T82" s="1928"/>
      <c r="U82" s="1928" t="e">
        <f>ROUND($K82*U$85,3)</f>
        <v>#REF!</v>
      </c>
      <c r="V82" s="1928"/>
      <c r="W82" s="1928" t="e">
        <f>ROUND($K82*W$85,3)</f>
        <v>#REF!</v>
      </c>
      <c r="X82" s="1930"/>
      <c r="Y82" s="1930"/>
      <c r="Z82" s="1930"/>
      <c r="AA82" s="1934" t="e">
        <f>#REF!*#REF!</f>
        <v>#REF!</v>
      </c>
      <c r="AB82" s="1740"/>
      <c r="AC82" s="1740"/>
      <c r="AD82" s="1740"/>
      <c r="AE82" s="1740"/>
      <c r="AF82" s="1740"/>
      <c r="AG82" s="1740"/>
      <c r="AH82" s="1740"/>
      <c r="AI82" s="1740"/>
      <c r="AJ82" s="1740"/>
      <c r="AK82" s="1740"/>
      <c r="AL82" s="1740"/>
      <c r="AM82" s="1740"/>
      <c r="AN82" s="1740"/>
      <c r="AO82" s="1740"/>
      <c r="AP82" s="1740"/>
      <c r="AQ82" s="1740"/>
      <c r="AR82" s="1740"/>
      <c r="AS82" s="1740"/>
      <c r="AT82" s="1740"/>
      <c r="AU82" s="1740"/>
      <c r="AV82" s="1740"/>
      <c r="AW82" s="1740"/>
      <c r="AX82" s="1740"/>
      <c r="AY82" s="1740"/>
      <c r="AZ82" s="1740"/>
      <c r="BA82" s="1740"/>
      <c r="BB82" s="1740"/>
      <c r="BC82" s="1740"/>
      <c r="BD82" s="1740"/>
      <c r="BE82" s="1740"/>
      <c r="BF82" s="1740"/>
      <c r="BG82" s="1740"/>
      <c r="BH82" s="1740"/>
      <c r="BI82" s="1740"/>
      <c r="BJ82" s="1740"/>
      <c r="BK82" s="1740"/>
    </row>
    <row r="83" spans="2:63" ht="15.75" hidden="1" outlineLevel="1">
      <c r="B83" s="1926"/>
      <c r="C83" s="1931" t="s">
        <v>3706</v>
      </c>
      <c r="D83" s="1928"/>
      <c r="E83" s="1768"/>
      <c r="F83" s="1768"/>
      <c r="G83" s="1928" t="e">
        <f>ROUND(G82*#REF!,3)</f>
        <v>#REF!</v>
      </c>
      <c r="H83" s="1928" t="e">
        <f>ROUND(H82*#REF!,3)</f>
        <v>#REF!</v>
      </c>
      <c r="I83" s="1928" t="e">
        <f>ROUND(I82*#REF!,3)</f>
        <v>#REF!</v>
      </c>
      <c r="J83" s="1928" t="e">
        <f>ROUND(J82*#REF!,3)</f>
        <v>#REF!</v>
      </c>
      <c r="K83" s="1934" t="e">
        <f>K82*#REF!</f>
        <v>#REF!</v>
      </c>
      <c r="L83" s="1928" t="e">
        <f>ROUND(L82*#REF!,3)</f>
        <v>#REF!</v>
      </c>
      <c r="M83" s="1928" t="e">
        <f>ROUND(M82*#REF!,3)</f>
        <v>#REF!</v>
      </c>
      <c r="N83" s="1928" t="e">
        <f>ROUND(N82*#REF!,3)</f>
        <v>#REF!</v>
      </c>
      <c r="O83" s="1928" t="e">
        <f>ROUND(O82*#REF!,3)</f>
        <v>#REF!</v>
      </c>
      <c r="P83" s="1934" t="e">
        <f>P82*#REF!</f>
        <v>#REF!</v>
      </c>
      <c r="Q83" s="1928" t="e">
        <f>ROUND(Q82*#REF!,3)</f>
        <v>#REF!</v>
      </c>
      <c r="R83" s="1928"/>
      <c r="S83" s="1928" t="e">
        <f>ROUND(S82*#REF!,3)</f>
        <v>#REF!</v>
      </c>
      <c r="T83" s="1928"/>
      <c r="U83" s="1928" t="e">
        <f>ROUND(U82*#REF!,3)</f>
        <v>#REF!</v>
      </c>
      <c r="V83" s="1928"/>
      <c r="W83" s="1928" t="e">
        <f>ROUND(W82*#REF!,3)</f>
        <v>#REF!</v>
      </c>
      <c r="X83" s="1930"/>
      <c r="Y83" s="1930"/>
      <c r="Z83" s="1930"/>
      <c r="AA83" s="1934" t="e">
        <f>AA82*#REF!</f>
        <v>#REF!</v>
      </c>
      <c r="AB83" s="1740"/>
      <c r="AC83" s="1740"/>
      <c r="AD83" s="1740"/>
      <c r="AE83" s="1740"/>
      <c r="AF83" s="1740"/>
      <c r="AG83" s="1740"/>
      <c r="AH83" s="1740"/>
      <c r="AI83" s="1740"/>
      <c r="AJ83" s="1740"/>
      <c r="AK83" s="1740"/>
      <c r="AL83" s="1740"/>
      <c r="AM83" s="1740"/>
      <c r="AN83" s="1740"/>
      <c r="AO83" s="1740"/>
      <c r="AP83" s="1740"/>
      <c r="AQ83" s="1740"/>
      <c r="AR83" s="1740"/>
      <c r="AS83" s="1740"/>
      <c r="AT83" s="1740"/>
      <c r="AU83" s="1740"/>
      <c r="AV83" s="1740"/>
      <c r="AW83" s="1740"/>
      <c r="AX83" s="1740"/>
      <c r="AY83" s="1740"/>
      <c r="AZ83" s="1740"/>
      <c r="BA83" s="1740"/>
      <c r="BB83" s="1740"/>
      <c r="BC83" s="1740"/>
      <c r="BD83" s="1740"/>
      <c r="BE83" s="1740"/>
      <c r="BF83" s="1740"/>
      <c r="BG83" s="1740"/>
      <c r="BH83" s="1740"/>
      <c r="BI83" s="1740"/>
      <c r="BJ83" s="1740"/>
      <c r="BK83" s="1740"/>
    </row>
    <row r="84" spans="2:63" ht="31.5" hidden="1" outlineLevel="1">
      <c r="B84" s="1926"/>
      <c r="C84" s="1927" t="s">
        <v>3772</v>
      </c>
      <c r="D84" s="1928"/>
      <c r="E84" s="1768"/>
      <c r="F84" s="1768"/>
      <c r="G84" s="1768">
        <f>'[36]Табл. 7.3 Подг. ТУ'!J67</f>
        <v>71.899999999999991</v>
      </c>
      <c r="H84" s="1768">
        <f>'[36]Табл. 7.5 Пров. вып. ТУ'!J44</f>
        <v>27.5</v>
      </c>
      <c r="I84" s="1768"/>
      <c r="J84" s="1768">
        <f>'[36]Табл. 7.7 Факт. присоед.'!J34</f>
        <v>67.97</v>
      </c>
      <c r="K84" s="1929">
        <f>SUM(G84:J84)</f>
        <v>167.37</v>
      </c>
      <c r="L84" s="1768">
        <f>'[36]Табл. 7.3 Подг. ТУ'!R67</f>
        <v>5037.8798973832736</v>
      </c>
      <c r="M84" s="1768">
        <f>'[36]Табл. 7.5 Пров. вып. ТУ'!R44</f>
        <v>0</v>
      </c>
      <c r="N84" s="1768"/>
      <c r="O84" s="1768">
        <f>'[36]Табл. 7.7 Факт. присоед.'!R34</f>
        <v>4708.1900872242186</v>
      </c>
      <c r="P84" s="1929">
        <f>SUM(L84:O84)</f>
        <v>9746.0699846074931</v>
      </c>
      <c r="Q84" s="1768">
        <f>'[36]Табл. 7.3 Подг. ТУ'!W67</f>
        <v>0</v>
      </c>
      <c r="R84" s="1768"/>
      <c r="S84" s="1768">
        <f>'[36]Табл. 7.5 Пров. вып. ТУ'!W44</f>
        <v>12125.32900974859</v>
      </c>
      <c r="T84" s="1768"/>
      <c r="U84" s="1768"/>
      <c r="V84" s="1768"/>
      <c r="W84" s="1768">
        <f>'[36]Табл. 7.7 Факт. присоед.'!W34</f>
        <v>0</v>
      </c>
      <c r="X84" s="1935"/>
      <c r="Y84" s="1935"/>
      <c r="Z84" s="1935"/>
      <c r="AA84" s="1929">
        <f>SUM(Q84:W84)</f>
        <v>12125.32900974859</v>
      </c>
      <c r="AB84" s="1740"/>
      <c r="AC84" s="1740"/>
      <c r="AD84" s="1740"/>
      <c r="AE84" s="1740"/>
      <c r="AF84" s="1740"/>
      <c r="AG84" s="1740"/>
      <c r="AH84" s="1740"/>
      <c r="AI84" s="1740"/>
      <c r="AJ84" s="1740"/>
      <c r="AK84" s="1740"/>
      <c r="AL84" s="1740"/>
      <c r="AM84" s="1740"/>
      <c r="AN84" s="1740"/>
      <c r="AO84" s="1740"/>
      <c r="AP84" s="1740"/>
      <c r="AQ84" s="1740"/>
      <c r="AR84" s="1740"/>
      <c r="AS84" s="1740"/>
      <c r="AT84" s="1740"/>
      <c r="AU84" s="1740"/>
      <c r="AV84" s="1740"/>
      <c r="AW84" s="1740"/>
      <c r="AX84" s="1740"/>
      <c r="AY84" s="1740"/>
      <c r="AZ84" s="1740"/>
      <c r="BA84" s="1740"/>
      <c r="BB84" s="1740"/>
      <c r="BC84" s="1740"/>
      <c r="BD84" s="1740"/>
      <c r="BE84" s="1740"/>
      <c r="BF84" s="1740"/>
      <c r="BG84" s="1740"/>
      <c r="BH84" s="1740"/>
      <c r="BI84" s="1740"/>
      <c r="BJ84" s="1740"/>
      <c r="BK84" s="1740"/>
    </row>
    <row r="85" spans="2:63" ht="16.5" hidden="1" outlineLevel="1" thickBot="1">
      <c r="B85" s="1926"/>
      <c r="C85" s="1940" t="s">
        <v>3773</v>
      </c>
      <c r="D85" s="1942"/>
      <c r="E85" s="1955"/>
      <c r="F85" s="1955"/>
      <c r="G85" s="1943">
        <f t="shared" ref="G85:AA85" si="147">G84/$K84</f>
        <v>0.42958714225966416</v>
      </c>
      <c r="H85" s="1943">
        <f t="shared" si="147"/>
        <v>0.16430662603811913</v>
      </c>
      <c r="I85" s="1943">
        <f t="shared" si="147"/>
        <v>0</v>
      </c>
      <c r="J85" s="1943">
        <f t="shared" si="147"/>
        <v>0.4061062317022166</v>
      </c>
      <c r="K85" s="1944">
        <f t="shared" si="147"/>
        <v>1</v>
      </c>
      <c r="L85" s="1943">
        <f t="shared" si="147"/>
        <v>30.100256302702238</v>
      </c>
      <c r="M85" s="1943">
        <f t="shared" si="147"/>
        <v>0</v>
      </c>
      <c r="N85" s="1943">
        <f t="shared" si="147"/>
        <v>0</v>
      </c>
      <c r="O85" s="1943">
        <f t="shared" si="147"/>
        <v>28.130430108288333</v>
      </c>
      <c r="P85" s="1944">
        <f t="shared" si="147"/>
        <v>58.230686410990579</v>
      </c>
      <c r="Q85" s="1943">
        <f t="shared" si="147"/>
        <v>0</v>
      </c>
      <c r="R85" s="1943"/>
      <c r="S85" s="1943">
        <f t="shared" si="147"/>
        <v>72.446250879778873</v>
      </c>
      <c r="T85" s="1943"/>
      <c r="U85" s="1943">
        <f t="shared" si="147"/>
        <v>0</v>
      </c>
      <c r="V85" s="1943"/>
      <c r="W85" s="1943">
        <f t="shared" si="147"/>
        <v>0</v>
      </c>
      <c r="X85" s="1945"/>
      <c r="Y85" s="1945"/>
      <c r="Z85" s="1945"/>
      <c r="AA85" s="1944">
        <f t="shared" si="147"/>
        <v>72.446250879778873</v>
      </c>
      <c r="AB85" s="1740"/>
      <c r="AC85" s="1740"/>
      <c r="AD85" s="1740"/>
      <c r="AE85" s="1740"/>
      <c r="AF85" s="1740"/>
      <c r="AG85" s="1740"/>
      <c r="AH85" s="1740"/>
      <c r="AI85" s="1740"/>
      <c r="AJ85" s="1740"/>
      <c r="AK85" s="1740"/>
      <c r="AL85" s="1740"/>
      <c r="AM85" s="1740"/>
      <c r="AN85" s="1740"/>
      <c r="AO85" s="1740"/>
      <c r="AP85" s="1740"/>
      <c r="AQ85" s="1740"/>
      <c r="AR85" s="1740"/>
      <c r="AS85" s="1740"/>
      <c r="AT85" s="1740"/>
      <c r="AU85" s="1740"/>
      <c r="AV85" s="1740"/>
      <c r="AW85" s="1740"/>
      <c r="AX85" s="1740"/>
      <c r="AY85" s="1740"/>
      <c r="AZ85" s="1740"/>
      <c r="BA85" s="1740"/>
      <c r="BB85" s="1740"/>
      <c r="BC85" s="1740"/>
      <c r="BD85" s="1740"/>
      <c r="BE85" s="1740"/>
      <c r="BF85" s="1740"/>
      <c r="BG85" s="1740"/>
      <c r="BH85" s="1740"/>
      <c r="BI85" s="1740"/>
      <c r="BJ85" s="1740"/>
      <c r="BK85" s="1740"/>
    </row>
    <row r="86" spans="2:63" ht="15.75" hidden="1" outlineLevel="1">
      <c r="B86" s="1741"/>
      <c r="C86" s="1956"/>
      <c r="D86" s="1957"/>
      <c r="E86" s="1740"/>
      <c r="F86" s="1740"/>
      <c r="G86" s="1740"/>
      <c r="H86" s="1740"/>
      <c r="I86" s="1740"/>
      <c r="J86" s="1740"/>
      <c r="K86" s="1740"/>
      <c r="L86" s="1740"/>
      <c r="M86" s="1740"/>
      <c r="N86" s="1740"/>
      <c r="O86" s="1740"/>
      <c r="P86" s="1740"/>
      <c r="Q86" s="1740"/>
      <c r="R86" s="1740"/>
      <c r="S86" s="1740"/>
      <c r="T86" s="1740"/>
      <c r="U86" s="1740"/>
      <c r="V86" s="1740"/>
      <c r="W86" s="1740"/>
      <c r="X86" s="1740"/>
      <c r="Y86" s="1740"/>
      <c r="Z86" s="1740"/>
      <c r="AA86" s="1740"/>
      <c r="AB86" s="1740"/>
      <c r="AC86" s="1740"/>
      <c r="AD86" s="1740"/>
      <c r="AE86" s="1740"/>
      <c r="AF86" s="1740"/>
      <c r="AG86" s="1740"/>
      <c r="AH86" s="1740"/>
      <c r="AI86" s="1740"/>
      <c r="AJ86" s="1740"/>
      <c r="AK86" s="1740"/>
      <c r="AL86" s="1740"/>
      <c r="AM86" s="1740"/>
      <c r="AN86" s="1740"/>
      <c r="AO86" s="1740"/>
      <c r="AP86" s="1740"/>
      <c r="AQ86" s="1740"/>
      <c r="AR86" s="1740"/>
      <c r="AS86" s="1740"/>
      <c r="AT86" s="1740"/>
      <c r="AU86" s="1740"/>
      <c r="AV86" s="1740"/>
      <c r="AW86" s="1740"/>
      <c r="AX86" s="1740"/>
      <c r="AY86" s="1740"/>
      <c r="AZ86" s="1740"/>
      <c r="BA86" s="1740"/>
      <c r="BB86" s="1740"/>
      <c r="BC86" s="1740"/>
      <c r="BD86" s="1740"/>
      <c r="BE86" s="1740"/>
      <c r="BF86" s="1740"/>
      <c r="BG86" s="1740"/>
      <c r="BH86" s="1740"/>
      <c r="BI86" s="1740"/>
      <c r="BJ86" s="1740"/>
      <c r="BK86" s="1740"/>
    </row>
    <row r="87" spans="2:63" hidden="1" outlineLevel="1">
      <c r="D87" s="1740"/>
      <c r="E87" s="1740"/>
      <c r="F87" s="1740"/>
      <c r="G87" s="1740"/>
      <c r="H87" s="1740"/>
      <c r="I87" s="1740"/>
      <c r="J87" s="1740"/>
      <c r="K87" s="1740"/>
      <c r="L87" s="1740"/>
      <c r="M87" s="1740"/>
      <c r="N87" s="1740"/>
      <c r="O87" s="1740"/>
      <c r="P87" s="1740"/>
      <c r="Q87" s="1740"/>
      <c r="R87" s="1740"/>
      <c r="S87" s="1740"/>
      <c r="T87" s="1740"/>
      <c r="U87" s="1740"/>
      <c r="V87" s="1740"/>
      <c r="W87" s="1740"/>
      <c r="X87" s="1740"/>
      <c r="Y87" s="1740"/>
      <c r="Z87" s="1740"/>
      <c r="AA87" s="1740"/>
      <c r="AB87" s="1740"/>
      <c r="AC87" s="1740"/>
      <c r="AD87" s="1740"/>
      <c r="AE87" s="1740"/>
      <c r="AF87" s="1740"/>
      <c r="AG87" s="1740"/>
      <c r="AH87" s="1740"/>
      <c r="AI87" s="1740"/>
      <c r="AJ87" s="1740"/>
      <c r="AK87" s="1740"/>
      <c r="AL87" s="1740"/>
      <c r="AM87" s="1740"/>
      <c r="AN87" s="1740"/>
      <c r="AO87" s="1740"/>
      <c r="AP87" s="1740"/>
      <c r="AQ87" s="1740"/>
      <c r="AR87" s="1740"/>
      <c r="AS87" s="1740"/>
      <c r="AT87" s="1740"/>
      <c r="AU87" s="1740"/>
      <c r="AV87" s="1740"/>
      <c r="AW87" s="1740"/>
      <c r="AX87" s="1740"/>
      <c r="AY87" s="1740"/>
      <c r="AZ87" s="1740"/>
      <c r="BA87" s="1740"/>
      <c r="BB87" s="1740"/>
      <c r="BC87" s="1740"/>
      <c r="BD87" s="1740"/>
      <c r="BE87" s="1740"/>
      <c r="BF87" s="1740"/>
      <c r="BG87" s="1740"/>
      <c r="BH87" s="1740"/>
      <c r="BI87" s="1740"/>
      <c r="BJ87" s="1740"/>
      <c r="BK87" s="1740"/>
    </row>
    <row r="88" spans="2:63" hidden="1" outlineLevel="1">
      <c r="D88" s="1740"/>
      <c r="E88" s="1740"/>
      <c r="F88" s="1740"/>
      <c r="G88" s="1740"/>
      <c r="H88" s="1740"/>
      <c r="I88" s="1740"/>
      <c r="J88" s="1740"/>
      <c r="K88" s="1740"/>
      <c r="L88" s="1740"/>
      <c r="M88" s="1740"/>
      <c r="N88" s="1740"/>
      <c r="O88" s="1740"/>
      <c r="P88" s="1740"/>
      <c r="Q88" s="1740"/>
      <c r="R88" s="1740"/>
      <c r="S88" s="1740"/>
      <c r="T88" s="1740"/>
      <c r="U88" s="1740"/>
      <c r="V88" s="1740"/>
      <c r="W88" s="1740"/>
      <c r="X88" s="1740"/>
      <c r="Y88" s="1740"/>
      <c r="Z88" s="1740"/>
      <c r="AA88" s="1740"/>
      <c r="AB88" s="1740"/>
      <c r="AC88" s="1740"/>
      <c r="AD88" s="1740"/>
      <c r="AE88" s="1740"/>
      <c r="AF88" s="1740"/>
      <c r="AG88" s="1740"/>
      <c r="AH88" s="1740"/>
      <c r="AI88" s="1740"/>
      <c r="AJ88" s="1740"/>
      <c r="AK88" s="1740"/>
      <c r="AL88" s="1740"/>
      <c r="AM88" s="1740"/>
      <c r="AN88" s="1740"/>
      <c r="AO88" s="1740"/>
      <c r="AP88" s="1740"/>
      <c r="AQ88" s="1740"/>
      <c r="AR88" s="1740"/>
      <c r="AS88" s="1740"/>
      <c r="AT88" s="1740"/>
      <c r="AU88" s="1740"/>
      <c r="AV88" s="1740"/>
      <c r="AW88" s="1740"/>
      <c r="AX88" s="1740"/>
      <c r="AY88" s="1740"/>
      <c r="AZ88" s="1740"/>
      <c r="BA88" s="1740"/>
      <c r="BB88" s="1740"/>
      <c r="BC88" s="1740"/>
      <c r="BD88" s="1740"/>
      <c r="BE88" s="1740"/>
      <c r="BF88" s="1740"/>
      <c r="BG88" s="1740"/>
      <c r="BH88" s="1740"/>
      <c r="BI88" s="1740"/>
      <c r="BJ88" s="1740"/>
      <c r="BK88" s="1740"/>
    </row>
    <row r="89" spans="2:63" collapsed="1">
      <c r="D89" s="1740"/>
      <c r="E89" s="1740"/>
      <c r="F89" s="1740"/>
      <c r="G89" s="1740"/>
      <c r="H89" s="1740"/>
      <c r="I89" s="1740"/>
      <c r="J89" s="1740"/>
      <c r="K89" s="1958">
        <f>K52+K53</f>
        <v>945287.91876940057</v>
      </c>
      <c r="L89" s="1740"/>
      <c r="M89" s="1740"/>
      <c r="N89" s="1740"/>
      <c r="O89" s="1740"/>
      <c r="P89" s="1740"/>
      <c r="Q89" s="1740"/>
      <c r="R89" s="1740"/>
      <c r="S89" s="1740"/>
      <c r="T89" s="1740"/>
      <c r="U89" s="1740"/>
      <c r="V89" s="1740"/>
      <c r="W89" s="1740"/>
      <c r="X89" s="1740"/>
      <c r="Y89" s="1740"/>
      <c r="Z89" s="1740"/>
      <c r="AA89" s="1740"/>
      <c r="AB89" s="1740"/>
      <c r="AC89" s="1740"/>
      <c r="AD89" s="1740"/>
      <c r="AE89" s="1740"/>
      <c r="AF89" s="1740"/>
      <c r="AG89" s="1740"/>
      <c r="AH89" s="1740"/>
      <c r="AI89" s="1740"/>
      <c r="AJ89" s="1740"/>
      <c r="AK89" s="1740"/>
      <c r="AL89" s="1740"/>
      <c r="AM89" s="1740"/>
      <c r="AN89" s="1740"/>
      <c r="AO89" s="1740"/>
      <c r="AP89" s="1740"/>
      <c r="AQ89" s="1740"/>
      <c r="AR89" s="1740"/>
      <c r="AS89" s="1740"/>
      <c r="AT89" s="1740"/>
      <c r="AU89" s="1740"/>
      <c r="AV89" s="1740"/>
      <c r="AW89" s="1740"/>
      <c r="AX89" s="1740"/>
      <c r="AY89" s="1740"/>
      <c r="AZ89" s="1740"/>
      <c r="BA89" s="1740"/>
      <c r="BB89" s="1740"/>
      <c r="BC89" s="1740"/>
      <c r="BD89" s="1740"/>
      <c r="BE89" s="1740"/>
      <c r="BF89" s="1740"/>
      <c r="BG89" s="1740"/>
      <c r="BH89" s="1740"/>
      <c r="BI89" s="1740"/>
      <c r="BJ89" s="1740"/>
      <c r="BK89" s="1740"/>
    </row>
    <row r="90" spans="2:63">
      <c r="D90" s="1740"/>
      <c r="E90" s="1740"/>
      <c r="F90" s="1740"/>
      <c r="G90" s="1740"/>
      <c r="H90" s="1740"/>
      <c r="I90" s="1740"/>
      <c r="J90" s="1740"/>
      <c r="K90" s="1959">
        <f>K89-K25</f>
        <v>0</v>
      </c>
      <c r="L90" s="1740"/>
      <c r="M90" s="1740"/>
      <c r="N90" s="1740"/>
      <c r="O90" s="1740"/>
      <c r="P90" s="1740"/>
      <c r="Q90" s="1740"/>
      <c r="R90" s="1740"/>
      <c r="S90" s="1740"/>
      <c r="T90" s="1740"/>
      <c r="U90" s="1740"/>
      <c r="V90" s="1740"/>
      <c r="W90" s="1740"/>
      <c r="X90" s="1740"/>
      <c r="Y90" s="1740"/>
      <c r="Z90" s="1740"/>
      <c r="AA90" s="1740"/>
      <c r="AB90" s="1740"/>
      <c r="AC90" s="1740"/>
      <c r="AD90" s="1740"/>
      <c r="AE90" s="1740"/>
      <c r="AF90" s="1740"/>
      <c r="AG90" s="1740"/>
      <c r="AH90" s="1740"/>
      <c r="AI90" s="1740"/>
      <c r="AJ90" s="1740"/>
      <c r="AK90" s="1740"/>
      <c r="AL90" s="1740"/>
      <c r="AM90" s="1740"/>
      <c r="AN90" s="1740"/>
      <c r="AO90" s="1740"/>
      <c r="AP90" s="1740"/>
      <c r="AQ90" s="1740"/>
      <c r="AR90" s="1740"/>
      <c r="AS90" s="1740"/>
      <c r="AT90" s="1740"/>
      <c r="AU90" s="1740"/>
      <c r="AV90" s="1740"/>
      <c r="AW90" s="1740"/>
      <c r="AX90" s="1740"/>
      <c r="AY90" s="1740"/>
      <c r="AZ90" s="1740"/>
      <c r="BA90" s="1740"/>
      <c r="BB90" s="1740"/>
      <c r="BC90" s="1740"/>
      <c r="BD90" s="1740"/>
      <c r="BE90" s="1740"/>
      <c r="BF90" s="1740"/>
      <c r="BG90" s="1740"/>
      <c r="BH90" s="1740"/>
      <c r="BI90" s="1740"/>
      <c r="BJ90" s="1740"/>
      <c r="BK90" s="1740"/>
    </row>
    <row r="91" spans="2:63">
      <c r="D91" s="1740"/>
      <c r="E91" s="1740"/>
      <c r="F91" s="1740"/>
      <c r="G91" s="1740"/>
      <c r="H91" s="1740"/>
      <c r="I91" s="1740"/>
      <c r="J91" s="1740"/>
      <c r="K91" s="1740"/>
      <c r="L91" s="1740"/>
      <c r="M91" s="1740"/>
      <c r="N91" s="1740"/>
      <c r="O91" s="1740"/>
      <c r="P91" s="1740"/>
      <c r="Q91" s="1740"/>
      <c r="R91" s="1740"/>
      <c r="S91" s="1740"/>
      <c r="T91" s="1740"/>
      <c r="U91" s="1740"/>
      <c r="V91" s="1740"/>
      <c r="W91" s="1740"/>
      <c r="X91" s="1740"/>
      <c r="Y91" s="1740"/>
      <c r="Z91" s="1740"/>
      <c r="AA91" s="1740"/>
      <c r="AB91" s="1740"/>
      <c r="AC91" s="1740"/>
      <c r="AD91" s="1740"/>
      <c r="AE91" s="1740"/>
      <c r="AF91" s="1740"/>
      <c r="AG91" s="1740"/>
      <c r="AH91" s="1740"/>
      <c r="AI91" s="1740"/>
      <c r="AJ91" s="1740"/>
      <c r="AK91" s="1740"/>
      <c r="AL91" s="1740"/>
      <c r="AM91" s="1740"/>
      <c r="AN91" s="1740"/>
      <c r="AO91" s="1740"/>
      <c r="AP91" s="1740"/>
      <c r="AQ91" s="1740"/>
      <c r="AR91" s="1740"/>
      <c r="AS91" s="1740"/>
      <c r="AT91" s="1740"/>
      <c r="AU91" s="1740"/>
      <c r="AV91" s="1740"/>
      <c r="AW91" s="1740"/>
      <c r="AX91" s="1740"/>
      <c r="AY91" s="1740"/>
      <c r="AZ91" s="1740"/>
      <c r="BA91" s="1740"/>
      <c r="BB91" s="1740"/>
      <c r="BC91" s="1740"/>
      <c r="BD91" s="1740"/>
      <c r="BE91" s="1740"/>
      <c r="BF91" s="1740"/>
      <c r="BG91" s="1740"/>
      <c r="BH91" s="1740"/>
      <c r="BI91" s="1740"/>
      <c r="BJ91" s="1740"/>
      <c r="BK91" s="1740"/>
    </row>
    <row r="92" spans="2:63">
      <c r="D92" s="1740"/>
      <c r="E92" s="1740"/>
      <c r="F92" s="1740"/>
      <c r="G92" s="1740"/>
      <c r="H92" s="1740"/>
      <c r="I92" s="1740"/>
      <c r="J92" s="1740"/>
      <c r="K92" s="1740"/>
      <c r="L92" s="1740"/>
      <c r="M92" s="1740"/>
      <c r="N92" s="1740"/>
      <c r="O92" s="1740"/>
      <c r="P92" s="1740"/>
      <c r="Q92" s="1740"/>
      <c r="R92" s="1740"/>
      <c r="S92" s="1740"/>
      <c r="T92" s="1740"/>
      <c r="U92" s="1740"/>
      <c r="V92" s="1740"/>
      <c r="W92" s="1740"/>
      <c r="X92" s="1740"/>
      <c r="Y92" s="1740"/>
      <c r="Z92" s="1740"/>
      <c r="AA92" s="1740"/>
      <c r="AB92" s="1740"/>
      <c r="AC92" s="1740"/>
      <c r="AD92" s="1740"/>
      <c r="AE92" s="1740"/>
      <c r="AF92" s="1740"/>
      <c r="AG92" s="1740"/>
      <c r="AH92" s="1740"/>
      <c r="AI92" s="1740"/>
      <c r="AJ92" s="1740"/>
      <c r="AK92" s="1740"/>
      <c r="AL92" s="1740"/>
      <c r="AM92" s="1740"/>
      <c r="AN92" s="1740"/>
      <c r="AO92" s="1740"/>
      <c r="AP92" s="1740"/>
      <c r="AQ92" s="1740"/>
      <c r="AR92" s="1740"/>
      <c r="AS92" s="1740"/>
      <c r="AT92" s="1740"/>
      <c r="AU92" s="1740"/>
      <c r="AV92" s="1740"/>
      <c r="AW92" s="1740"/>
      <c r="AX92" s="1740"/>
      <c r="AY92" s="1740"/>
      <c r="AZ92" s="1740"/>
      <c r="BA92" s="1740"/>
      <c r="BB92" s="1740"/>
      <c r="BC92" s="1740"/>
      <c r="BD92" s="1740"/>
      <c r="BE92" s="1740"/>
      <c r="BF92" s="1740"/>
      <c r="BG92" s="1740"/>
      <c r="BH92" s="1740"/>
      <c r="BI92" s="1740"/>
      <c r="BJ92" s="1740"/>
      <c r="BK92" s="1740"/>
    </row>
    <row r="93" spans="2:63">
      <c r="D93" s="1740"/>
      <c r="E93" s="1740"/>
      <c r="F93" s="1740"/>
      <c r="G93" s="1740"/>
      <c r="H93" s="1740"/>
      <c r="I93" s="1740"/>
      <c r="J93" s="1740"/>
      <c r="K93" s="1740"/>
      <c r="L93" s="1740"/>
      <c r="M93" s="1740"/>
      <c r="N93" s="1740"/>
      <c r="O93" s="1740"/>
      <c r="P93" s="1740"/>
      <c r="Q93" s="1740"/>
      <c r="R93" s="1740"/>
      <c r="S93" s="1740"/>
      <c r="T93" s="1740"/>
      <c r="U93" s="1740"/>
      <c r="V93" s="1740"/>
      <c r="W93" s="1740"/>
      <c r="X93" s="1740"/>
      <c r="Y93" s="1740"/>
      <c r="Z93" s="1740"/>
      <c r="AA93" s="1740"/>
      <c r="AB93" s="1740"/>
      <c r="AC93" s="1740"/>
      <c r="AD93" s="1740"/>
      <c r="AE93" s="1740"/>
      <c r="AF93" s="1740"/>
      <c r="AG93" s="1740"/>
      <c r="AH93" s="1740"/>
      <c r="AI93" s="1740"/>
      <c r="AJ93" s="1740"/>
      <c r="AK93" s="1740"/>
      <c r="AL93" s="1740"/>
      <c r="AM93" s="1740"/>
      <c r="AN93" s="1740"/>
      <c r="AO93" s="1740"/>
      <c r="AP93" s="1740"/>
      <c r="AQ93" s="1740"/>
      <c r="AR93" s="1740"/>
      <c r="AS93" s="1740"/>
      <c r="AT93" s="1740"/>
      <c r="AU93" s="1740"/>
      <c r="AV93" s="1740"/>
      <c r="AW93" s="1740"/>
      <c r="AX93" s="1740"/>
      <c r="AY93" s="1740"/>
      <c r="AZ93" s="1740"/>
      <c r="BA93" s="1740"/>
      <c r="BB93" s="1740"/>
      <c r="BC93" s="1740"/>
      <c r="BD93" s="1740"/>
      <c r="BE93" s="1740"/>
      <c r="BF93" s="1740"/>
      <c r="BG93" s="1740"/>
      <c r="BH93" s="1740"/>
      <c r="BI93" s="1740"/>
      <c r="BJ93" s="1740"/>
      <c r="BK93" s="1740"/>
    </row>
    <row r="94" spans="2:63">
      <c r="D94" s="1740"/>
      <c r="E94" s="1740"/>
      <c r="F94" s="1740"/>
      <c r="G94" s="1740"/>
      <c r="H94" s="1740"/>
      <c r="I94" s="1740"/>
      <c r="J94" s="1740"/>
      <c r="K94" s="1740"/>
      <c r="L94" s="1740"/>
      <c r="M94" s="1740"/>
      <c r="N94" s="1740"/>
      <c r="O94" s="1740"/>
      <c r="P94" s="1740"/>
      <c r="Q94" s="1740"/>
      <c r="R94" s="1740"/>
      <c r="S94" s="1740"/>
      <c r="T94" s="1740"/>
      <c r="U94" s="1740"/>
      <c r="V94" s="1740"/>
      <c r="W94" s="1740"/>
      <c r="X94" s="1740"/>
      <c r="Y94" s="1740"/>
      <c r="Z94" s="1740"/>
      <c r="AA94" s="1740"/>
      <c r="AB94" s="1740"/>
      <c r="AC94" s="1740"/>
      <c r="AD94" s="1740"/>
      <c r="AE94" s="1740"/>
      <c r="AF94" s="1740"/>
      <c r="AG94" s="1740"/>
      <c r="AH94" s="1740"/>
      <c r="AI94" s="1740"/>
      <c r="AJ94" s="1740"/>
      <c r="AK94" s="1740"/>
      <c r="AL94" s="1740"/>
      <c r="AM94" s="1740"/>
      <c r="AN94" s="1740"/>
      <c r="AO94" s="1740"/>
      <c r="AP94" s="1740"/>
      <c r="AQ94" s="1740"/>
      <c r="AR94" s="1740"/>
      <c r="AS94" s="1740"/>
      <c r="AT94" s="1740"/>
      <c r="AU94" s="1740"/>
      <c r="AV94" s="1740"/>
      <c r="AW94" s="1740"/>
      <c r="AX94" s="1740"/>
      <c r="AY94" s="1740"/>
      <c r="AZ94" s="1740"/>
      <c r="BA94" s="1740"/>
      <c r="BB94" s="1740"/>
      <c r="BC94" s="1740"/>
      <c r="BD94" s="1740"/>
      <c r="BE94" s="1740"/>
      <c r="BF94" s="1740"/>
      <c r="BG94" s="1740"/>
      <c r="BH94" s="1740"/>
      <c r="BI94" s="1740"/>
      <c r="BJ94" s="1740"/>
      <c r="BK94" s="1740"/>
    </row>
    <row r="95" spans="2:63">
      <c r="C95" s="1739">
        <v>1</v>
      </c>
      <c r="D95" s="1740">
        <f>C95+1</f>
        <v>2</v>
      </c>
      <c r="E95" s="1740">
        <f t="shared" ref="E95:BG95" si="148">D95+1</f>
        <v>3</v>
      </c>
      <c r="F95" s="1740">
        <f t="shared" si="148"/>
        <v>4</v>
      </c>
      <c r="G95" s="1740">
        <f t="shared" si="148"/>
        <v>5</v>
      </c>
      <c r="H95" s="1740">
        <f t="shared" si="148"/>
        <v>6</v>
      </c>
      <c r="I95" s="1740">
        <f t="shared" si="148"/>
        <v>7</v>
      </c>
      <c r="J95" s="1740">
        <f t="shared" si="148"/>
        <v>8</v>
      </c>
      <c r="K95" s="1740">
        <f t="shared" si="148"/>
        <v>9</v>
      </c>
      <c r="L95" s="1740">
        <f t="shared" si="148"/>
        <v>10</v>
      </c>
      <c r="M95" s="1740">
        <f t="shared" si="148"/>
        <v>11</v>
      </c>
      <c r="N95" s="1740">
        <f t="shared" si="148"/>
        <v>12</v>
      </c>
      <c r="O95" s="1740">
        <f t="shared" si="148"/>
        <v>13</v>
      </c>
      <c r="P95" s="1740">
        <f t="shared" si="148"/>
        <v>14</v>
      </c>
      <c r="Q95" s="1740">
        <f t="shared" si="148"/>
        <v>15</v>
      </c>
      <c r="R95" s="1740">
        <f t="shared" si="148"/>
        <v>16</v>
      </c>
      <c r="S95" s="1740">
        <f t="shared" si="148"/>
        <v>17</v>
      </c>
      <c r="T95" s="1740">
        <f t="shared" si="148"/>
        <v>18</v>
      </c>
      <c r="U95" s="1740">
        <f t="shared" si="148"/>
        <v>19</v>
      </c>
      <c r="V95" s="1740">
        <f t="shared" si="148"/>
        <v>20</v>
      </c>
      <c r="W95" s="1740">
        <f t="shared" si="148"/>
        <v>21</v>
      </c>
      <c r="X95" s="1740">
        <f t="shared" si="148"/>
        <v>22</v>
      </c>
      <c r="Y95" s="1740">
        <f t="shared" si="148"/>
        <v>23</v>
      </c>
      <c r="Z95" s="1740">
        <f t="shared" si="148"/>
        <v>24</v>
      </c>
      <c r="AA95" s="1740">
        <f t="shared" si="148"/>
        <v>25</v>
      </c>
      <c r="AB95" s="1740">
        <f t="shared" si="148"/>
        <v>26</v>
      </c>
      <c r="AC95" s="1740">
        <f t="shared" si="148"/>
        <v>27</v>
      </c>
      <c r="AD95" s="1740">
        <f t="shared" si="148"/>
        <v>28</v>
      </c>
      <c r="AE95" s="1740">
        <f t="shared" si="148"/>
        <v>29</v>
      </c>
      <c r="AF95" s="1740">
        <f t="shared" si="148"/>
        <v>30</v>
      </c>
      <c r="AG95" s="1740">
        <f t="shared" si="148"/>
        <v>31</v>
      </c>
      <c r="AH95" s="1740">
        <f t="shared" si="148"/>
        <v>32</v>
      </c>
      <c r="AI95" s="1740">
        <f t="shared" si="148"/>
        <v>33</v>
      </c>
      <c r="AJ95" s="1740">
        <f t="shared" si="148"/>
        <v>34</v>
      </c>
      <c r="AK95" s="1740">
        <f t="shared" si="148"/>
        <v>35</v>
      </c>
      <c r="AL95" s="1740">
        <f t="shared" si="148"/>
        <v>36</v>
      </c>
      <c r="AM95" s="1740">
        <f t="shared" si="148"/>
        <v>37</v>
      </c>
      <c r="AN95" s="1740">
        <f t="shared" si="148"/>
        <v>38</v>
      </c>
      <c r="AO95" s="1740">
        <f t="shared" si="148"/>
        <v>39</v>
      </c>
      <c r="AP95" s="1740">
        <f t="shared" si="148"/>
        <v>40</v>
      </c>
      <c r="AQ95" s="1740">
        <f t="shared" si="148"/>
        <v>41</v>
      </c>
      <c r="AR95" s="1740">
        <f t="shared" si="148"/>
        <v>42</v>
      </c>
      <c r="AS95" s="1740">
        <f t="shared" si="148"/>
        <v>43</v>
      </c>
      <c r="AT95" s="1740">
        <f t="shared" si="148"/>
        <v>44</v>
      </c>
      <c r="AU95" s="1740">
        <f t="shared" si="148"/>
        <v>45</v>
      </c>
      <c r="AV95" s="1740">
        <f t="shared" si="148"/>
        <v>46</v>
      </c>
      <c r="AW95" s="1740">
        <f t="shared" si="148"/>
        <v>47</v>
      </c>
      <c r="AX95" s="1740">
        <f t="shared" si="148"/>
        <v>48</v>
      </c>
      <c r="AY95" s="1740">
        <f t="shared" si="148"/>
        <v>49</v>
      </c>
      <c r="AZ95" s="1740">
        <f t="shared" si="148"/>
        <v>50</v>
      </c>
      <c r="BA95" s="1740">
        <f t="shared" si="148"/>
        <v>51</v>
      </c>
      <c r="BB95" s="1740">
        <f t="shared" si="148"/>
        <v>52</v>
      </c>
      <c r="BC95" s="1740">
        <f t="shared" si="148"/>
        <v>53</v>
      </c>
      <c r="BD95" s="1740">
        <f t="shared" si="148"/>
        <v>54</v>
      </c>
      <c r="BE95" s="1740">
        <f t="shared" si="148"/>
        <v>55</v>
      </c>
      <c r="BF95" s="1740">
        <f t="shared" si="148"/>
        <v>56</v>
      </c>
      <c r="BG95" s="1740">
        <f t="shared" si="148"/>
        <v>57</v>
      </c>
      <c r="BH95" s="1740"/>
      <c r="BI95" s="1740"/>
      <c r="BJ95" s="1740"/>
      <c r="BK95" s="1740"/>
    </row>
    <row r="96" spans="2:63">
      <c r="D96" s="1740"/>
      <c r="E96" s="1740"/>
      <c r="F96" s="1740"/>
      <c r="G96" s="1740"/>
      <c r="H96" s="1740"/>
      <c r="I96" s="1740"/>
      <c r="J96" s="1740"/>
      <c r="K96" s="1740"/>
      <c r="L96" s="1740"/>
      <c r="M96" s="1740"/>
      <c r="N96" s="1740"/>
      <c r="O96" s="1740"/>
      <c r="P96" s="1740"/>
      <c r="Q96" s="1740"/>
      <c r="R96" s="1740"/>
      <c r="S96" s="1740"/>
      <c r="T96" s="1740"/>
      <c r="U96" s="1740"/>
      <c r="V96" s="1740"/>
      <c r="W96" s="1740"/>
      <c r="X96" s="1740"/>
      <c r="Y96" s="1740"/>
      <c r="Z96" s="1740"/>
      <c r="AA96" s="1740"/>
      <c r="AB96" s="1740"/>
      <c r="AC96" s="1740"/>
      <c r="AD96" s="1740"/>
      <c r="AE96" s="1740"/>
      <c r="AF96" s="1740"/>
      <c r="AG96" s="1740"/>
      <c r="AH96" s="1740"/>
      <c r="AI96" s="1740"/>
      <c r="AJ96" s="1740"/>
      <c r="AK96" s="1740"/>
      <c r="AL96" s="1740"/>
      <c r="AM96" s="1740"/>
      <c r="AN96" s="1740"/>
      <c r="AO96" s="1740"/>
      <c r="AP96" s="1740"/>
      <c r="AQ96" s="1740"/>
      <c r="AR96" s="1740"/>
      <c r="AS96" s="1740"/>
      <c r="AT96" s="1740"/>
      <c r="AU96" s="1740"/>
      <c r="AV96" s="1740"/>
      <c r="AW96" s="1740"/>
      <c r="AX96" s="1740"/>
      <c r="AY96" s="1740"/>
      <c r="AZ96" s="1740"/>
      <c r="BA96" s="1740"/>
      <c r="BB96" s="1740"/>
      <c r="BC96" s="1740"/>
      <c r="BD96" s="1740"/>
      <c r="BE96" s="1740"/>
      <c r="BF96" s="1740"/>
      <c r="BG96" s="1740"/>
      <c r="BH96" s="1740"/>
      <c r="BI96" s="1740"/>
      <c r="BJ96" s="1740"/>
      <c r="BK96" s="1740"/>
    </row>
    <row r="97" spans="1:63" ht="20.25">
      <c r="B97" s="1960" t="s">
        <v>3777</v>
      </c>
      <c r="D97" s="1740"/>
      <c r="E97" s="1740"/>
      <c r="F97" s="1961">
        <f>[30]Элиста!H19*1000</f>
        <v>963000</v>
      </c>
      <c r="G97" s="1740"/>
      <c r="H97" s="1740"/>
      <c r="I97" s="1740"/>
      <c r="J97" s="1740"/>
      <c r="K97" s="1740"/>
      <c r="L97" s="1740"/>
      <c r="M97" s="1740"/>
      <c r="N97" s="1740"/>
      <c r="O97" s="1740"/>
      <c r="P97" s="1740"/>
      <c r="Q97" s="1740"/>
      <c r="R97" s="1740"/>
      <c r="S97" s="1740"/>
      <c r="T97" s="1740"/>
      <c r="U97" s="1740"/>
      <c r="V97" s="1740"/>
      <c r="W97" s="1740"/>
      <c r="X97" s="1740"/>
      <c r="Y97" s="1740"/>
      <c r="Z97" s="1740"/>
      <c r="AA97" s="1740"/>
      <c r="AB97" s="1740"/>
      <c r="AC97" s="1740"/>
      <c r="AD97" s="1740"/>
      <c r="AE97" s="1740"/>
      <c r="AF97" s="1740"/>
      <c r="AG97" s="1740"/>
      <c r="AH97" s="1740"/>
      <c r="AI97" s="1740"/>
      <c r="AJ97" s="1740"/>
      <c r="AK97" s="1740"/>
      <c r="AL97" s="1740"/>
      <c r="AM97" s="1740"/>
      <c r="AN97" s="1740"/>
      <c r="AO97" s="1740"/>
      <c r="AP97" s="1740"/>
      <c r="AQ97" s="1740"/>
      <c r="AR97" s="1740"/>
      <c r="AS97" s="1740"/>
      <c r="AT97" s="1740"/>
      <c r="AU97" s="1740"/>
      <c r="AV97" s="1740"/>
      <c r="AW97" s="1740"/>
      <c r="AX97" s="1740"/>
      <c r="AY97" s="1740"/>
      <c r="AZ97" s="1740"/>
      <c r="BA97" s="1740"/>
      <c r="BB97" s="1740"/>
      <c r="BC97" s="1740"/>
      <c r="BD97" s="1740"/>
      <c r="BE97" s="1740"/>
      <c r="BF97" s="1740"/>
      <c r="BG97" s="1740"/>
      <c r="BH97" s="1740"/>
      <c r="BI97" s="1740"/>
      <c r="BJ97" s="1740"/>
      <c r="BK97" s="1740"/>
    </row>
    <row r="98" spans="1:63">
      <c r="D98" s="1740"/>
      <c r="E98" s="1740"/>
      <c r="F98" s="1740"/>
      <c r="G98" s="1740"/>
      <c r="H98" s="1740"/>
      <c r="I98" s="1740"/>
      <c r="J98" s="1740"/>
      <c r="K98" s="1961">
        <f>$F$97*(K$23/SUM($K$23,$P$23,$AA$23,$AL$23))</f>
        <v>486532.62711864413</v>
      </c>
      <c r="L98" s="1740"/>
      <c r="M98" s="1740"/>
      <c r="N98" s="1740"/>
      <c r="O98" s="1740"/>
      <c r="P98" s="1961">
        <f>$F$97*(P$23/SUM($K$23,$P$23,$AA$23,$AL$23))</f>
        <v>9181.1440677966111</v>
      </c>
      <c r="Q98" s="1740"/>
      <c r="R98" s="1740"/>
      <c r="S98" s="1740"/>
      <c r="T98" s="1740"/>
      <c r="U98" s="1740"/>
      <c r="V98" s="1740"/>
      <c r="W98" s="1740"/>
      <c r="X98" s="1740"/>
      <c r="Y98" s="1961">
        <f t="shared" ref="Y98:AA98" si="149">$F$97*(Y$23/SUM($K$23,$P$23,$AA$23,$AL$23))</f>
        <v>0</v>
      </c>
      <c r="Z98" s="1961">
        <f t="shared" si="149"/>
        <v>0</v>
      </c>
      <c r="AA98" s="1961">
        <f t="shared" si="149"/>
        <v>297265.04237288138</v>
      </c>
      <c r="AB98" s="1740"/>
      <c r="AC98" s="1740"/>
      <c r="AD98" s="1740"/>
      <c r="AE98" s="1740"/>
      <c r="AF98" s="1740"/>
      <c r="AG98" s="1740"/>
      <c r="AH98" s="1740"/>
      <c r="AI98" s="1740"/>
      <c r="AJ98" s="1961">
        <f t="shared" ref="AJ98:AL98" si="150">$F$97*(AJ$23/SUM($K$23,$P$23,$AA$23,$AL$23))</f>
        <v>0</v>
      </c>
      <c r="AK98" s="1961">
        <f t="shared" si="150"/>
        <v>0</v>
      </c>
      <c r="AL98" s="1961">
        <f t="shared" si="150"/>
        <v>170021.18644067796</v>
      </c>
      <c r="AM98" s="1740"/>
      <c r="AN98" s="1740"/>
      <c r="AO98" s="1740"/>
      <c r="AP98" s="1740"/>
      <c r="AQ98" s="1740"/>
      <c r="AR98" s="1740"/>
      <c r="AS98" s="1740"/>
      <c r="AT98" s="1740"/>
      <c r="AU98" s="1740"/>
      <c r="AV98" s="1740"/>
      <c r="AW98" s="1740"/>
      <c r="AX98" s="1740"/>
      <c r="AY98" s="1740"/>
      <c r="AZ98" s="1740"/>
      <c r="BA98" s="1740"/>
      <c r="BB98" s="1740"/>
      <c r="BC98" s="1740"/>
      <c r="BD98" s="1740"/>
      <c r="BE98" s="1740"/>
      <c r="BF98" s="1740"/>
      <c r="BG98" s="1740"/>
      <c r="BH98" s="1740"/>
      <c r="BI98" s="1740"/>
      <c r="BJ98" s="1740"/>
      <c r="BK98" s="1740"/>
    </row>
    <row r="99" spans="1:63" ht="47.25">
      <c r="B99" s="1745">
        <f>$B$25</f>
        <v>8</v>
      </c>
      <c r="C99" s="1864" t="s">
        <v>3702</v>
      </c>
      <c r="D99" s="1749"/>
      <c r="E99" s="1865">
        <f>BE20</f>
        <v>193</v>
      </c>
      <c r="F99" s="1866">
        <f>BE23</f>
        <v>2832</v>
      </c>
      <c r="G99" s="1867">
        <f t="shared" ref="G99:J99" si="151">SUM(G100,G104:G107,G118)</f>
        <v>84469.692236639545</v>
      </c>
      <c r="H99" s="1868">
        <f t="shared" si="151"/>
        <v>92177.059452860369</v>
      </c>
      <c r="I99" s="1868">
        <f t="shared" si="151"/>
        <v>0</v>
      </c>
      <c r="J99" s="1868">
        <f t="shared" si="151"/>
        <v>309885.87542914425</v>
      </c>
      <c r="K99" s="1832">
        <f>SUM(K100,K104:K107,K118)</f>
        <v>486532.62711864419</v>
      </c>
      <c r="L99" s="1867">
        <f t="shared" ref="L99:X99" si="152">SUM(L100,L104:L107,L118)</f>
        <v>1928.4325951911301</v>
      </c>
      <c r="M99" s="1868">
        <f t="shared" si="152"/>
        <v>1994.7357270967555</v>
      </c>
      <c r="N99" s="1868">
        <f t="shared" si="152"/>
        <v>0</v>
      </c>
      <c r="O99" s="1868">
        <f t="shared" si="152"/>
        <v>5257.9757455087256</v>
      </c>
      <c r="P99" s="1832">
        <f t="shared" si="152"/>
        <v>9181.1440677966111</v>
      </c>
      <c r="Q99" s="1867">
        <f t="shared" si="152"/>
        <v>44163.097127531568</v>
      </c>
      <c r="R99" s="1869">
        <f t="shared" si="152"/>
        <v>47101.707949400952</v>
      </c>
      <c r="S99" s="1868">
        <f t="shared" si="152"/>
        <v>43822.78401140801</v>
      </c>
      <c r="T99" s="1868">
        <f t="shared" si="152"/>
        <v>46463.776442502596</v>
      </c>
      <c r="U99" s="1868">
        <f t="shared" si="152"/>
        <v>0</v>
      </c>
      <c r="V99" s="1868">
        <f t="shared" si="152"/>
        <v>0</v>
      </c>
      <c r="W99" s="1868">
        <f t="shared" si="152"/>
        <v>55026.941943357357</v>
      </c>
      <c r="X99" s="1870">
        <f t="shared" si="152"/>
        <v>60686.734898680879</v>
      </c>
      <c r="Y99" s="1870">
        <f>SUM(Y100,Y104:Y107,Y118)</f>
        <v>143012.82308229693</v>
      </c>
      <c r="Z99" s="1870">
        <f t="shared" ref="Z99:AW99" si="153">SUM(Z100,Z104:Z107,Z118)</f>
        <v>154252.21929058441</v>
      </c>
      <c r="AA99" s="1832">
        <f t="shared" si="153"/>
        <v>297265.04237288138</v>
      </c>
      <c r="AB99" s="1867">
        <f t="shared" si="153"/>
        <v>26600.213856786293</v>
      </c>
      <c r="AC99" s="1869">
        <f t="shared" si="153"/>
        <v>26600.213856786293</v>
      </c>
      <c r="AD99" s="1868">
        <f t="shared" si="153"/>
        <v>25918.64593084839</v>
      </c>
      <c r="AE99" s="1868">
        <f t="shared" si="153"/>
        <v>26921.155995901936</v>
      </c>
      <c r="AF99" s="1868">
        <f t="shared" si="153"/>
        <v>0</v>
      </c>
      <c r="AG99" s="1868">
        <f t="shared" si="153"/>
        <v>0</v>
      </c>
      <c r="AH99" s="1868">
        <f t="shared" si="153"/>
        <v>30040.315099823507</v>
      </c>
      <c r="AI99" s="1870">
        <f t="shared" si="153"/>
        <v>33940.641700531538</v>
      </c>
      <c r="AJ99" s="1870">
        <f t="shared" si="153"/>
        <v>82559.174887458183</v>
      </c>
      <c r="AK99" s="1870">
        <f t="shared" si="153"/>
        <v>87462.011553219767</v>
      </c>
      <c r="AL99" s="1832">
        <f t="shared" si="153"/>
        <v>170021.18644067796</v>
      </c>
      <c r="AM99" s="1867">
        <f t="shared" si="153"/>
        <v>0</v>
      </c>
      <c r="AN99" s="1869">
        <f t="shared" si="153"/>
        <v>0</v>
      </c>
      <c r="AO99" s="1868">
        <f t="shared" si="153"/>
        <v>0</v>
      </c>
      <c r="AP99" s="1868">
        <f t="shared" si="153"/>
        <v>0</v>
      </c>
      <c r="AQ99" s="1868">
        <f t="shared" si="153"/>
        <v>0</v>
      </c>
      <c r="AR99" s="1868">
        <f t="shared" si="153"/>
        <v>0</v>
      </c>
      <c r="AS99" s="1868">
        <f t="shared" si="153"/>
        <v>0</v>
      </c>
      <c r="AT99" s="1870">
        <f t="shared" si="153"/>
        <v>0</v>
      </c>
      <c r="AU99" s="1870">
        <f t="shared" si="153"/>
        <v>0</v>
      </c>
      <c r="AV99" s="1870">
        <f t="shared" si="153"/>
        <v>0</v>
      </c>
      <c r="AW99" s="1832">
        <f t="shared" si="153"/>
        <v>0</v>
      </c>
      <c r="AX99" s="1740">
        <f>SUM(K99,P99,AA99,AL99)</f>
        <v>963000.00000000012</v>
      </c>
      <c r="AY99" s="1740" t="e">
        <f>AX99='[30]СС 2014'!D242-'[30]СС 2014'!K242</f>
        <v>#REF!</v>
      </c>
      <c r="AZ99" s="1740"/>
      <c r="BA99" s="1883">
        <f>SUM(G99,L99,Q99:R99,AB99:AC99)</f>
        <v>230863.35762233578</v>
      </c>
      <c r="BB99" s="1883">
        <f>SUM(H99,M99,S99:T99,AD99:AE99)</f>
        <v>237298.15756061804</v>
      </c>
      <c r="BC99" s="1883">
        <f>SUM(I99,N99,U99:V99,AF99:AG99)</f>
        <v>0</v>
      </c>
      <c r="BD99" s="1883">
        <f>SUM(J99,O99,W99:X99,AH99:AI99)</f>
        <v>494838.48481704626</v>
      </c>
      <c r="BE99" s="1836">
        <f>SUM(BE100,BE104:BE107,BE118)</f>
        <v>963000</v>
      </c>
      <c r="BF99" s="1740"/>
      <c r="BG99" s="1740"/>
      <c r="BH99" s="1740"/>
      <c r="BI99" s="1871" t="e">
        <f>SUM(BI100,BI104:BI107,BI118)</f>
        <v>#REF!</v>
      </c>
      <c r="BJ99" s="1871" t="e">
        <f>SUM(BJ100,BJ104:BJ107,BJ118)</f>
        <v>#REF!</v>
      </c>
      <c r="BK99" s="1962" t="e">
        <f>SUM(BK100,BK104:BK107,BK118)</f>
        <v>#REF!</v>
      </c>
    </row>
    <row r="100" spans="1:63" ht="15.75">
      <c r="A100" s="1739">
        <v>1</v>
      </c>
      <c r="B100" s="1872" t="str">
        <f>CONCATENATE($B$25,".",A100)</f>
        <v>8.1</v>
      </c>
      <c r="C100" s="1873" t="s">
        <v>3703</v>
      </c>
      <c r="D100" s="1874"/>
      <c r="E100" s="1875"/>
      <c r="F100" s="1874"/>
      <c r="G100" s="1876">
        <f>SUM(G101:G103)</f>
        <v>1729.2172662174082</v>
      </c>
      <c r="H100" s="1779">
        <f>SUM(H101:H103)</f>
        <v>1354.2148695506432</v>
      </c>
      <c r="I100" s="1779">
        <f>SUM(I101:I103)</f>
        <v>0</v>
      </c>
      <c r="J100" s="1779">
        <f>SUM(J101:J103)</f>
        <v>4960.1687722834413</v>
      </c>
      <c r="K100" s="1877">
        <f>K$98*(K26/K$25)</f>
        <v>8043.6009080514923</v>
      </c>
      <c r="L100" s="1876">
        <f>SUM(L101:L103)</f>
        <v>14.998847207795698</v>
      </c>
      <c r="M100" s="1779">
        <f>SUM(M101:M103)</f>
        <v>11.746159555384274</v>
      </c>
      <c r="N100" s="1779">
        <f>SUM(N101:N103)</f>
        <v>0</v>
      </c>
      <c r="O100" s="1779">
        <f>SUM(O101:O103)</f>
        <v>43.023404284586462</v>
      </c>
      <c r="P100" s="1877">
        <f>P$98*(P26/P$25)</f>
        <v>69.768411047766421</v>
      </c>
      <c r="Q100" s="1878">
        <f t="shared" ref="Q100:X101" si="154">Q$13/$AA$13*$AA100</f>
        <v>159.46874816901084</v>
      </c>
      <c r="R100" s="1879">
        <f>R$13/$AA$13*$AA100</f>
        <v>159.46874816901084</v>
      </c>
      <c r="S100" s="1880">
        <f t="shared" si="154"/>
        <v>199.33593521126355</v>
      </c>
      <c r="T100" s="1880">
        <f t="shared" si="154"/>
        <v>199.33593521126355</v>
      </c>
      <c r="U100" s="1880">
        <f t="shared" si="154"/>
        <v>0</v>
      </c>
      <c r="V100" s="1880">
        <f t="shared" si="154"/>
        <v>0</v>
      </c>
      <c r="W100" s="1880">
        <f t="shared" si="154"/>
        <v>717.60936676054871</v>
      </c>
      <c r="X100" s="1881">
        <f t="shared" si="154"/>
        <v>916.94530197181246</v>
      </c>
      <c r="Y100" s="1882">
        <f>SUM(Y101:Y103)</f>
        <v>1076.4140501408231</v>
      </c>
      <c r="Z100" s="1882">
        <f>SUM(Z101:Z103)</f>
        <v>1275.7499853520869</v>
      </c>
      <c r="AA100" s="1877">
        <f>AA$98*(AA26/AA$25)</f>
        <v>2352.16403549291</v>
      </c>
      <c r="AB100" s="1878">
        <f>AB$13/$AL$13*$AL100</f>
        <v>64.184637460730144</v>
      </c>
      <c r="AC100" s="1879">
        <f>AC$13/$AL$13*$AL100</f>
        <v>64.184637460730144</v>
      </c>
      <c r="AD100" s="1880">
        <f>AD$13/$AL$13*$AL100</f>
        <v>80.230796825912662</v>
      </c>
      <c r="AE100" s="1880">
        <f>AE$13/$AL$13*$AL100</f>
        <v>80.230796825912662</v>
      </c>
      <c r="AF100" s="1880">
        <f t="shared" ref="AC100:AH101" si="155">AF$13/$AL$13*$AL100</f>
        <v>0</v>
      </c>
      <c r="AG100" s="1880">
        <f t="shared" si="155"/>
        <v>0</v>
      </c>
      <c r="AH100" s="1880">
        <f>AH$13/$AL$13*$AL100</f>
        <v>288.83086857328561</v>
      </c>
      <c r="AI100" s="1881">
        <f>AI$13/$AL$13*$AL100</f>
        <v>401.15398412956336</v>
      </c>
      <c r="AJ100" s="1882">
        <f>SUM(AJ101:AJ103)</f>
        <v>433.24630285992845</v>
      </c>
      <c r="AK100" s="1882">
        <f>SUM(AK101:AK103)</f>
        <v>545.56941841620619</v>
      </c>
      <c r="AL100" s="1877">
        <f>AL$98*(AL26/AL$25)</f>
        <v>978.81572127613458</v>
      </c>
      <c r="AM100" s="1878">
        <f>AM$13/$AW$13*$AW100</f>
        <v>0</v>
      </c>
      <c r="AN100" s="1879">
        <f t="shared" ref="AN100:AT101" si="156">AN$13/$AW$13*$AW100</f>
        <v>0</v>
      </c>
      <c r="AO100" s="1880">
        <f t="shared" si="156"/>
        <v>0</v>
      </c>
      <c r="AP100" s="1880">
        <f t="shared" si="156"/>
        <v>0</v>
      </c>
      <c r="AQ100" s="1880">
        <f t="shared" si="156"/>
        <v>0</v>
      </c>
      <c r="AR100" s="1880">
        <f t="shared" si="156"/>
        <v>0</v>
      </c>
      <c r="AS100" s="1880">
        <f t="shared" si="156"/>
        <v>0</v>
      </c>
      <c r="AT100" s="1881">
        <f t="shared" si="156"/>
        <v>0</v>
      </c>
      <c r="AU100" s="1882">
        <f>SUM(AU101:AU103)</f>
        <v>0</v>
      </c>
      <c r="AV100" s="1882">
        <f>SUM(AV101:AV103)</f>
        <v>0</v>
      </c>
      <c r="AW100" s="1877"/>
      <c r="AX100" s="1740" t="e">
        <f>'[30]СС 2014'!D242-'[30]СС 2014'!K242</f>
        <v>#REF!</v>
      </c>
      <c r="AY100" s="1740"/>
      <c r="AZ100" s="1740"/>
      <c r="BA100" s="1883">
        <f>SUM(G100,L100,Q100:R100,AB100:AC100)</f>
        <v>2191.5228846846862</v>
      </c>
      <c r="BB100" s="1883">
        <f>SUM(H100,M100,S100:T100,AD100:AE100)</f>
        <v>1925.0944931803801</v>
      </c>
      <c r="BC100" s="1883">
        <f>SUM(I100,N100,U100:V100,AF100:AG100)</f>
        <v>0</v>
      </c>
      <c r="BD100" s="1883">
        <f>SUM(J100,O100,W100:X100,AH100:AI100)</f>
        <v>7327.7316980032374</v>
      </c>
      <c r="BE100" s="1883">
        <f>SUM(K100,P100,Y100:Z100,AJ100:AK100)</f>
        <v>11444.349075868304</v>
      </c>
      <c r="BF100" s="1740"/>
      <c r="BG100" s="1740"/>
      <c r="BH100" s="1740"/>
      <c r="BI100" s="1884" t="e">
        <f>SUM(BI101:BI103)</f>
        <v>#REF!</v>
      </c>
      <c r="BJ100" s="1884" t="e">
        <f>SUM(BJ101:BJ103)</f>
        <v>#REF!</v>
      </c>
      <c r="BK100" s="1963" t="e">
        <f>SUM(BK101:BK103)</f>
        <v>#REF!</v>
      </c>
    </row>
    <row r="101" spans="1:63" ht="15.75">
      <c r="B101" s="1872"/>
      <c r="C101" s="1886" t="s">
        <v>3766</v>
      </c>
      <c r="D101" s="1874"/>
      <c r="E101" s="1875"/>
      <c r="F101" s="1874"/>
      <c r="G101" s="1878">
        <f>G$13/$K$13*$K101</f>
        <v>1208.7919726360667</v>
      </c>
      <c r="H101" s="1880">
        <f>H$13/$K$13*$K101</f>
        <v>906.59397947704997</v>
      </c>
      <c r="I101" s="1880">
        <f t="shared" ref="I101" si="157">I$13/$K$13*$K101</f>
        <v>0</v>
      </c>
      <c r="J101" s="1880">
        <f>J$13/$K$13*$K101</f>
        <v>3505.4967206445931</v>
      </c>
      <c r="K101" s="1877">
        <f t="shared" ref="K101:K123" si="158">K$98*(K27/K$25)</f>
        <v>5620.8826727577098</v>
      </c>
      <c r="L101" s="1878">
        <f>L$13/$P13*$P101</f>
        <v>10.484793587122814</v>
      </c>
      <c r="M101" s="1880">
        <f>M$13/$P13*$P101</f>
        <v>7.8635951903421093</v>
      </c>
      <c r="N101" s="1880">
        <f>N$13/$P13*$P101</f>
        <v>0</v>
      </c>
      <c r="O101" s="1880">
        <f>O$13/$P13*$P101</f>
        <v>30.405901402656159</v>
      </c>
      <c r="P101" s="1877">
        <f t="shared" ref="P101:P123" si="159">P$98*(P27/P$25)</f>
        <v>48.754290180121082</v>
      </c>
      <c r="Q101" s="1878">
        <f t="shared" si="154"/>
        <v>92.42826261743113</v>
      </c>
      <c r="R101" s="1879">
        <f t="shared" si="154"/>
        <v>92.42826261743113</v>
      </c>
      <c r="S101" s="1880">
        <f t="shared" si="154"/>
        <v>115.5353282717889</v>
      </c>
      <c r="T101" s="1880">
        <f t="shared" si="154"/>
        <v>115.5353282717889</v>
      </c>
      <c r="U101" s="1880">
        <f t="shared" si="154"/>
        <v>0</v>
      </c>
      <c r="V101" s="1880">
        <f t="shared" si="154"/>
        <v>0</v>
      </c>
      <c r="W101" s="1880">
        <f t="shared" si="154"/>
        <v>415.92718177844</v>
      </c>
      <c r="X101" s="1881">
        <f t="shared" si="154"/>
        <v>531.46251005022896</v>
      </c>
      <c r="Y101" s="1882">
        <f>SUM(Q101,S101,U101,W101)</f>
        <v>623.89077266766003</v>
      </c>
      <c r="Z101" s="1882">
        <f t="shared" ref="Z101:Z106" si="160">SUM(R101,T101,V101,X101)</f>
        <v>739.42610093944904</v>
      </c>
      <c r="AA101" s="1877">
        <f t="shared" ref="AA101:AA123" si="161">AA$98*(AA27/AA$25)</f>
        <v>1363.3168736071091</v>
      </c>
      <c r="AB101" s="1878">
        <f>AB$13/$AL$13*$AL101</f>
        <v>38.250424406079027</v>
      </c>
      <c r="AC101" s="1879">
        <f t="shared" si="155"/>
        <v>38.250424406079027</v>
      </c>
      <c r="AD101" s="1880">
        <f t="shared" si="155"/>
        <v>47.813030507598775</v>
      </c>
      <c r="AE101" s="1880">
        <f t="shared" si="155"/>
        <v>47.813030507598775</v>
      </c>
      <c r="AF101" s="1880">
        <f t="shared" si="155"/>
        <v>0</v>
      </c>
      <c r="AG101" s="1880">
        <f t="shared" si="155"/>
        <v>0</v>
      </c>
      <c r="AH101" s="1880">
        <f t="shared" si="155"/>
        <v>172.1269098273556</v>
      </c>
      <c r="AI101" s="1881">
        <f>AI$13/$AL$13*$AL101</f>
        <v>239.06515253799392</v>
      </c>
      <c r="AJ101" s="1882">
        <f t="shared" ref="AJ101:AK106" si="162">SUM(AB101,AD101,AF101,AH101)</f>
        <v>258.19036474103342</v>
      </c>
      <c r="AK101" s="1882">
        <f t="shared" si="162"/>
        <v>325.12860745167171</v>
      </c>
      <c r="AL101" s="1877">
        <f>AL$98*(AL27/AL$25)</f>
        <v>583.31897219270513</v>
      </c>
      <c r="AM101" s="1878">
        <f>AM$13/$AW$13*$AW101</f>
        <v>0</v>
      </c>
      <c r="AN101" s="1879">
        <f t="shared" si="156"/>
        <v>0</v>
      </c>
      <c r="AO101" s="1880">
        <f t="shared" si="156"/>
        <v>0</v>
      </c>
      <c r="AP101" s="1880">
        <f t="shared" si="156"/>
        <v>0</v>
      </c>
      <c r="AQ101" s="1880">
        <f t="shared" si="156"/>
        <v>0</v>
      </c>
      <c r="AR101" s="1880">
        <f t="shared" si="156"/>
        <v>0</v>
      </c>
      <c r="AS101" s="1880">
        <f t="shared" si="156"/>
        <v>0</v>
      </c>
      <c r="AT101" s="1881">
        <f t="shared" si="156"/>
        <v>0</v>
      </c>
      <c r="AU101" s="1882">
        <f t="shared" ref="AU101:AV106" si="163">SUM(AM101,AO101,AQ101,AS101)</f>
        <v>0</v>
      </c>
      <c r="AV101" s="1882">
        <f t="shared" si="163"/>
        <v>0</v>
      </c>
      <c r="AW101" s="1877"/>
      <c r="AX101" s="1740"/>
      <c r="AY101" s="1740"/>
      <c r="AZ101" s="1740"/>
      <c r="BA101" s="1883">
        <f t="shared" ref="BA101:BA105" si="164">SUM(G101,L101,Q101:R101,AB101:AC101)</f>
        <v>1480.6341402702096</v>
      </c>
      <c r="BB101" s="1883">
        <f t="shared" ref="BB101:BB106" si="165">SUM(H101,M101,S101:T101,AD101:AE101)</f>
        <v>1241.1542922261674</v>
      </c>
      <c r="BC101" s="1883">
        <f t="shared" ref="BC101:BC106" si="166">SUM(I101,N101,U101:V101,AF101:AG101)</f>
        <v>0</v>
      </c>
      <c r="BD101" s="1883">
        <f t="shared" ref="BD101:BD106" si="167">SUM(J101,O101,W101:X101,AH101:AI101)</f>
        <v>4894.4843762412675</v>
      </c>
      <c r="BE101" s="1883">
        <f t="shared" ref="BE101:BE106" si="168">SUM(K101,P101,Y101:Z101,AJ101:AK101)</f>
        <v>7616.2728087376445</v>
      </c>
      <c r="BF101" s="1740"/>
      <c r="BG101" s="1740"/>
      <c r="BH101" s="1740"/>
      <c r="BI101" s="1768" t="e">
        <f>#REF!+#REF!+#REF!</f>
        <v>#REF!</v>
      </c>
      <c r="BJ101" s="1768" t="e">
        <f>#REF!+#REF!+#REF!</f>
        <v>#REF!</v>
      </c>
      <c r="BK101" s="1935" t="e">
        <f>SUM(BI101:BJ101)</f>
        <v>#REF!</v>
      </c>
    </row>
    <row r="102" spans="1:63" ht="15.75">
      <c r="B102" s="1872"/>
      <c r="C102" s="1886" t="s">
        <v>3755</v>
      </c>
      <c r="D102" s="1874"/>
      <c r="E102" s="1875"/>
      <c r="F102" s="1874"/>
      <c r="G102" s="1878">
        <f>G$15/$K$15*$K102</f>
        <v>290.79600833017787</v>
      </c>
      <c r="H102" s="1880">
        <f>H$15/$K$15*$K102</f>
        <v>218.09700624763337</v>
      </c>
      <c r="I102" s="1880">
        <f t="shared" ref="I102" si="169">I$15/$K$15*$K102</f>
        <v>0</v>
      </c>
      <c r="J102" s="1880">
        <f>J$15/$K$15*$K102</f>
        <v>843.30842415751579</v>
      </c>
      <c r="K102" s="1877">
        <f t="shared" si="158"/>
        <v>1352.201438735327</v>
      </c>
      <c r="L102" s="1878">
        <f>L$15/$P15*$P102</f>
        <v>2.5223001081420229</v>
      </c>
      <c r="M102" s="1880">
        <f>M$15/$P15*$P102</f>
        <v>1.8917250811065169</v>
      </c>
      <c r="N102" s="1880">
        <f>N$15/$P15*$P102</f>
        <v>0</v>
      </c>
      <c r="O102" s="1880">
        <f>O$15/$P15*$P102</f>
        <v>7.3146703136118658</v>
      </c>
      <c r="P102" s="1877">
        <f t="shared" si="159"/>
        <v>11.728695502860406</v>
      </c>
      <c r="Q102" s="1878">
        <f>Q$15/$AA$15*$AA102</f>
        <v>29.932492768044767</v>
      </c>
      <c r="R102" s="1879">
        <f>R$15/$AA$15*$AA102</f>
        <v>29.932492768044767</v>
      </c>
      <c r="S102" s="1880">
        <f>S$15/$AA$15*$AA102</f>
        <v>37.415615960055959</v>
      </c>
      <c r="T102" s="1880">
        <f>T$15/$AA$15*$AA102</f>
        <v>37.415615960055959</v>
      </c>
      <c r="U102" s="1880">
        <f t="shared" ref="U102:V102" si="170">U$15/$AA$15*$AA102</f>
        <v>0</v>
      </c>
      <c r="V102" s="1880">
        <f t="shared" si="170"/>
        <v>0</v>
      </c>
      <c r="W102" s="1880">
        <f>W$15/$AA$15*$AA102</f>
        <v>134.69621745620145</v>
      </c>
      <c r="X102" s="1881">
        <f>X$15/$AA$15*$AA102</f>
        <v>172.11183341625741</v>
      </c>
      <c r="Y102" s="1882">
        <f>SUM(Q102,S102,U102,W102)</f>
        <v>202.04432618430218</v>
      </c>
      <c r="Z102" s="1882">
        <f>SUM(R102,T102,V102,X102)</f>
        <v>239.45994214435814</v>
      </c>
      <c r="AA102" s="1877">
        <f t="shared" si="161"/>
        <v>441.50426832866032</v>
      </c>
      <c r="AB102" s="1878">
        <f>AB$15/$AL$15*$AL102</f>
        <v>8.9343243857953833</v>
      </c>
      <c r="AC102" s="1879">
        <f t="shared" ref="AC102:AH102" si="171">AC$15/$AL$15*$AL102</f>
        <v>8.9343243857953833</v>
      </c>
      <c r="AD102" s="1880">
        <f t="shared" si="171"/>
        <v>11.167905482244228</v>
      </c>
      <c r="AE102" s="1880">
        <f t="shared" si="171"/>
        <v>11.167905482244228</v>
      </c>
      <c r="AF102" s="1880">
        <f t="shared" si="171"/>
        <v>0</v>
      </c>
      <c r="AG102" s="1880">
        <f t="shared" si="171"/>
        <v>0</v>
      </c>
      <c r="AH102" s="1880">
        <f t="shared" si="171"/>
        <v>40.204459736079222</v>
      </c>
      <c r="AI102" s="1881">
        <f>AI$15/$AL$15*$AL102</f>
        <v>55.839527411221148</v>
      </c>
      <c r="AJ102" s="1882">
        <f t="shared" si="162"/>
        <v>60.30668960411883</v>
      </c>
      <c r="AK102" s="1882">
        <f t="shared" si="162"/>
        <v>75.941757279260756</v>
      </c>
      <c r="AL102" s="1877">
        <f t="shared" ref="AL102:AL123" si="172">AL$98*(AL28/AL$25)</f>
        <v>136.24844688337959</v>
      </c>
      <c r="AM102" s="1878">
        <f>AM$15/$AW$15*$AW102</f>
        <v>0</v>
      </c>
      <c r="AN102" s="1879">
        <f t="shared" ref="AN102:AT102" si="173">AN$15/$AW$15*$AW102</f>
        <v>0</v>
      </c>
      <c r="AO102" s="1880">
        <f>AO$15/$AW$15*$AW102</f>
        <v>0</v>
      </c>
      <c r="AP102" s="1880">
        <f t="shared" si="173"/>
        <v>0</v>
      </c>
      <c r="AQ102" s="1880">
        <f t="shared" si="173"/>
        <v>0</v>
      </c>
      <c r="AR102" s="1880">
        <f t="shared" si="173"/>
        <v>0</v>
      </c>
      <c r="AS102" s="1880">
        <f t="shared" si="173"/>
        <v>0</v>
      </c>
      <c r="AT102" s="1881">
        <f t="shared" si="173"/>
        <v>0</v>
      </c>
      <c r="AU102" s="1882">
        <f t="shared" si="163"/>
        <v>0</v>
      </c>
      <c r="AV102" s="1882">
        <f t="shared" si="163"/>
        <v>0</v>
      </c>
      <c r="AW102" s="1877"/>
      <c r="AX102" s="1740"/>
      <c r="AY102" s="1740"/>
      <c r="AZ102" s="1740"/>
      <c r="BA102" s="1883">
        <f t="shared" si="164"/>
        <v>371.05194274600018</v>
      </c>
      <c r="BB102" s="1883">
        <f t="shared" si="165"/>
        <v>317.15577421334029</v>
      </c>
      <c r="BC102" s="1883">
        <f t="shared" si="166"/>
        <v>0</v>
      </c>
      <c r="BD102" s="1883">
        <f t="shared" si="167"/>
        <v>1253.4751324908866</v>
      </c>
      <c r="BE102" s="1883">
        <f t="shared" si="168"/>
        <v>1941.6828494502274</v>
      </c>
      <c r="BF102" s="1740"/>
      <c r="BG102" s="1740"/>
      <c r="BH102" s="1740"/>
      <c r="BI102" s="1768" t="e">
        <f>#REF!+#REF!+#REF!</f>
        <v>#REF!</v>
      </c>
      <c r="BJ102" s="1768" t="e">
        <f>#REF!+#REF!+#REF!</f>
        <v>#REF!</v>
      </c>
      <c r="BK102" s="1935" t="e">
        <f t="shared" ref="BK102:BK106" si="174">SUM(BI102:BJ102)</f>
        <v>#REF!</v>
      </c>
    </row>
    <row r="103" spans="1:63" ht="15.75">
      <c r="B103" s="1872"/>
      <c r="C103" s="1887" t="s">
        <v>3767</v>
      </c>
      <c r="D103" s="1874"/>
      <c r="E103" s="1875"/>
      <c r="F103" s="1874"/>
      <c r="G103" s="1878">
        <f>G$16/$K$16*$K103</f>
        <v>229.62928525116351</v>
      </c>
      <c r="H103" s="1880">
        <f>H$16/$K$16*$K103</f>
        <v>229.5238838259599</v>
      </c>
      <c r="I103" s="1880">
        <f t="shared" ref="I103" si="175">I$16/$K$16*$K103</f>
        <v>0</v>
      </c>
      <c r="J103" s="1779">
        <f>K103-G103-H103-I103</f>
        <v>611.36362748133251</v>
      </c>
      <c r="K103" s="1877">
        <f t="shared" si="158"/>
        <v>1070.516796558456</v>
      </c>
      <c r="L103" s="1878">
        <f>L$16/$P16*$P103</f>
        <v>1.9917535125308614</v>
      </c>
      <c r="M103" s="1880">
        <f>M$16/$P16*$P103</f>
        <v>1.9908392839356479</v>
      </c>
      <c r="N103" s="1880">
        <f>N$16/$P16*$P103</f>
        <v>0</v>
      </c>
      <c r="O103" s="1880">
        <f>O$16/$P16*$P103</f>
        <v>5.3028325683184336</v>
      </c>
      <c r="P103" s="1877">
        <f t="shared" si="159"/>
        <v>9.2854253647849418</v>
      </c>
      <c r="Q103" s="1876">
        <f>Q100-Q101-Q102</f>
        <v>37.107992783534939</v>
      </c>
      <c r="R103" s="1888">
        <f>R100-R101-R102</f>
        <v>37.107992783534939</v>
      </c>
      <c r="S103" s="1779">
        <f t="shared" ref="S103:V103" si="176">S100-S101-S102</f>
        <v>46.384990979418689</v>
      </c>
      <c r="T103" s="1779">
        <f t="shared" si="176"/>
        <v>46.384990979418689</v>
      </c>
      <c r="U103" s="1779">
        <f t="shared" si="176"/>
        <v>0</v>
      </c>
      <c r="V103" s="1779">
        <f t="shared" si="176"/>
        <v>0</v>
      </c>
      <c r="W103" s="1779">
        <f>W100-W101-W102</f>
        <v>166.98596752590726</v>
      </c>
      <c r="X103" s="1882">
        <f t="shared" ref="X103" si="177">X100-X101-X102</f>
        <v>213.37095850532609</v>
      </c>
      <c r="Y103" s="1882">
        <f t="shared" ref="Y103:Y106" si="178">SUM(Q103,S103,U103,W103)</f>
        <v>250.47895128886088</v>
      </c>
      <c r="Z103" s="1882">
        <f t="shared" si="160"/>
        <v>296.86394226827974</v>
      </c>
      <c r="AA103" s="1877">
        <f t="shared" si="161"/>
        <v>547.34289355714077</v>
      </c>
      <c r="AB103" s="1876">
        <f>AB100-AB101-AB102</f>
        <v>16.999888668855732</v>
      </c>
      <c r="AC103" s="1888">
        <f t="shared" ref="AC103:AI103" si="179">AC100-AC101-AC102</f>
        <v>16.999888668855732</v>
      </c>
      <c r="AD103" s="1779">
        <f t="shared" si="179"/>
        <v>21.249860836069658</v>
      </c>
      <c r="AE103" s="1779">
        <f t="shared" si="179"/>
        <v>21.249860836069658</v>
      </c>
      <c r="AF103" s="1779">
        <f t="shared" si="179"/>
        <v>0</v>
      </c>
      <c r="AG103" s="1779">
        <f t="shared" si="179"/>
        <v>0</v>
      </c>
      <c r="AH103" s="1779">
        <f t="shared" si="179"/>
        <v>76.49949900985078</v>
      </c>
      <c r="AI103" s="1882">
        <f t="shared" si="179"/>
        <v>106.24930418034828</v>
      </c>
      <c r="AJ103" s="1882">
        <f t="shared" si="162"/>
        <v>114.74924851477617</v>
      </c>
      <c r="AK103" s="1882">
        <f t="shared" si="162"/>
        <v>144.49905368527368</v>
      </c>
      <c r="AL103" s="1877">
        <f t="shared" si="172"/>
        <v>259.24830220004986</v>
      </c>
      <c r="AM103" s="1876">
        <f>AM100-AM101-AM102</f>
        <v>0</v>
      </c>
      <c r="AN103" s="1888">
        <f t="shared" ref="AN103:AT103" si="180">AN100-AN101-AN102</f>
        <v>0</v>
      </c>
      <c r="AO103" s="1779">
        <f t="shared" si="180"/>
        <v>0</v>
      </c>
      <c r="AP103" s="1779">
        <f t="shared" si="180"/>
        <v>0</v>
      </c>
      <c r="AQ103" s="1779">
        <f t="shared" si="180"/>
        <v>0</v>
      </c>
      <c r="AR103" s="1779">
        <f t="shared" si="180"/>
        <v>0</v>
      </c>
      <c r="AS103" s="1779">
        <f t="shared" si="180"/>
        <v>0</v>
      </c>
      <c r="AT103" s="1882">
        <f t="shared" si="180"/>
        <v>0</v>
      </c>
      <c r="AU103" s="1882">
        <f t="shared" si="163"/>
        <v>0</v>
      </c>
      <c r="AV103" s="1882">
        <f t="shared" si="163"/>
        <v>0</v>
      </c>
      <c r="AW103" s="1877"/>
      <c r="AX103" s="1740"/>
      <c r="AY103" s="1740"/>
      <c r="AZ103" s="1740"/>
      <c r="BA103" s="1883">
        <f t="shared" si="164"/>
        <v>339.83680166847569</v>
      </c>
      <c r="BB103" s="1883">
        <f t="shared" si="165"/>
        <v>366.78442674087228</v>
      </c>
      <c r="BC103" s="1883">
        <f t="shared" si="166"/>
        <v>0</v>
      </c>
      <c r="BD103" s="1883">
        <f t="shared" si="167"/>
        <v>1179.7721892710833</v>
      </c>
      <c r="BE103" s="1883">
        <f t="shared" si="168"/>
        <v>1886.3934176804314</v>
      </c>
      <c r="BF103" s="1740"/>
      <c r="BG103" s="1740"/>
      <c r="BH103" s="1740"/>
      <c r="BI103" s="1768" t="e">
        <f>#REF!+#REF!+#REF!</f>
        <v>#REF!</v>
      </c>
      <c r="BJ103" s="1768" t="e">
        <f>#REF!+#REF!+#REF!</f>
        <v>#REF!</v>
      </c>
      <c r="BK103" s="1935" t="e">
        <f t="shared" si="174"/>
        <v>#REF!</v>
      </c>
    </row>
    <row r="104" spans="1:63" ht="15.75">
      <c r="A104" s="1739">
        <f>A100+1</f>
        <v>2</v>
      </c>
      <c r="B104" s="1872" t="str">
        <f>CONCATENATE($B$25,".",A104)</f>
        <v>8.2</v>
      </c>
      <c r="C104" s="1873" t="s">
        <v>3704</v>
      </c>
      <c r="D104" s="1874"/>
      <c r="E104" s="1875"/>
      <c r="F104" s="1874"/>
      <c r="G104" s="1878">
        <f>G$16/$K$16*$K104</f>
        <v>266.1036268817877</v>
      </c>
      <c r="H104" s="1880">
        <f>H$16/$K$16*$K104</f>
        <v>265.98148348228835</v>
      </c>
      <c r="I104" s="1880">
        <f>I$16/$K$16*$K104</f>
        <v>0</v>
      </c>
      <c r="J104" s="1779">
        <f>K104-G104-H104-I104</f>
        <v>708.47269518975475</v>
      </c>
      <c r="K104" s="1877">
        <f t="shared" si="158"/>
        <v>1240.5578055538308</v>
      </c>
      <c r="L104" s="1878">
        <f>L$16/$P16*$P104</f>
        <v>2.3081238656440779</v>
      </c>
      <c r="M104" s="1880">
        <f t="shared" ref="M104:N104" si="181">M$16/$P16*$P104</f>
        <v>2.3070644208754407</v>
      </c>
      <c r="N104" s="1880">
        <f t="shared" si="181"/>
        <v>0</v>
      </c>
      <c r="O104" s="1880">
        <f>O$16/$P16*$P104</f>
        <v>6.1451350929955044</v>
      </c>
      <c r="P104" s="1877">
        <f t="shared" si="159"/>
        <v>10.760323379515022</v>
      </c>
      <c r="Q104" s="1878">
        <f>Q$16/$AA$16*$AA104</f>
        <v>102.56583696533755</v>
      </c>
      <c r="R104" s="1879">
        <f>R$16/$AA$16*$AA104</f>
        <v>102.56583696533752</v>
      </c>
      <c r="S104" s="1880">
        <f t="shared" ref="S104:X104" si="182">S$16/$AA$16*$AA104</f>
        <v>102.56583696533755</v>
      </c>
      <c r="T104" s="1880">
        <f t="shared" si="182"/>
        <v>102.56583696533752</v>
      </c>
      <c r="U104" s="1880">
        <f t="shared" si="182"/>
        <v>0</v>
      </c>
      <c r="V104" s="1880">
        <f t="shared" si="182"/>
        <v>0</v>
      </c>
      <c r="W104" s="1880">
        <f t="shared" si="182"/>
        <v>102.56583696533755</v>
      </c>
      <c r="X104" s="1881">
        <f t="shared" si="182"/>
        <v>102.56583696533752</v>
      </c>
      <c r="Y104" s="1882">
        <f t="shared" si="178"/>
        <v>307.69751089601266</v>
      </c>
      <c r="Z104" s="1882">
        <f t="shared" si="160"/>
        <v>307.69751089601255</v>
      </c>
      <c r="AA104" s="1877">
        <f t="shared" si="161"/>
        <v>615.39502179202532</v>
      </c>
      <c r="AB104" s="1878">
        <f>AB$16/$AL$16*$AL104</f>
        <v>38.583055277403616</v>
      </c>
      <c r="AC104" s="1879">
        <f t="shared" ref="AC104:AI104" si="183">AC$16/$AL$16*$AL104</f>
        <v>38.583055277403616</v>
      </c>
      <c r="AD104" s="1880">
        <f t="shared" si="183"/>
        <v>38.583055277403616</v>
      </c>
      <c r="AE104" s="1880">
        <f t="shared" si="183"/>
        <v>38.583055277403616</v>
      </c>
      <c r="AF104" s="1880">
        <f t="shared" si="183"/>
        <v>0</v>
      </c>
      <c r="AG104" s="1880">
        <f t="shared" si="183"/>
        <v>0</v>
      </c>
      <c r="AH104" s="1880">
        <f t="shared" si="183"/>
        <v>38.583055277403616</v>
      </c>
      <c r="AI104" s="1881">
        <f t="shared" si="183"/>
        <v>38.583055277403616</v>
      </c>
      <c r="AJ104" s="1882">
        <f t="shared" si="162"/>
        <v>115.74916583221085</v>
      </c>
      <c r="AK104" s="1882">
        <f t="shared" si="162"/>
        <v>115.74916583221085</v>
      </c>
      <c r="AL104" s="1877">
        <f t="shared" si="172"/>
        <v>231.4983316644217</v>
      </c>
      <c r="AM104" s="1878">
        <f>AM$16/$AW$16*$AW104</f>
        <v>0</v>
      </c>
      <c r="AN104" s="1879">
        <f t="shared" ref="AN104:AT104" si="184">AN$16/$AW$16*$AW104</f>
        <v>0</v>
      </c>
      <c r="AO104" s="1880">
        <f t="shared" si="184"/>
        <v>0</v>
      </c>
      <c r="AP104" s="1880">
        <f t="shared" si="184"/>
        <v>0</v>
      </c>
      <c r="AQ104" s="1880">
        <f t="shared" si="184"/>
        <v>0</v>
      </c>
      <c r="AR104" s="1880">
        <f t="shared" si="184"/>
        <v>0</v>
      </c>
      <c r="AS104" s="1880">
        <f t="shared" si="184"/>
        <v>0</v>
      </c>
      <c r="AT104" s="1881">
        <f t="shared" si="184"/>
        <v>0</v>
      </c>
      <c r="AU104" s="1882">
        <f t="shared" si="163"/>
        <v>0</v>
      </c>
      <c r="AV104" s="1882">
        <f t="shared" si="163"/>
        <v>0</v>
      </c>
      <c r="AW104" s="1877"/>
      <c r="AX104" s="1740"/>
      <c r="AY104" s="1740"/>
      <c r="AZ104" s="1740"/>
      <c r="BA104" s="1883">
        <f t="shared" si="164"/>
        <v>550.70953523291405</v>
      </c>
      <c r="BB104" s="1883">
        <f t="shared" si="165"/>
        <v>550.58633238864627</v>
      </c>
      <c r="BC104" s="1883">
        <f t="shared" si="166"/>
        <v>0</v>
      </c>
      <c r="BD104" s="1883">
        <f t="shared" si="167"/>
        <v>996.91561476823267</v>
      </c>
      <c r="BE104" s="1883">
        <f t="shared" si="168"/>
        <v>2098.2114823897928</v>
      </c>
      <c r="BF104" s="1740"/>
      <c r="BG104" s="1740"/>
      <c r="BH104" s="1740"/>
      <c r="BI104" s="1768" t="e">
        <f>#REF!+#REF!+#REF!</f>
        <v>#REF!</v>
      </c>
      <c r="BJ104" s="1768" t="e">
        <f>#REF!+#REF!+#REF!</f>
        <v>#REF!</v>
      </c>
      <c r="BK104" s="1935" t="e">
        <f t="shared" si="174"/>
        <v>#REF!</v>
      </c>
    </row>
    <row r="105" spans="1:63" ht="15.75">
      <c r="A105" s="1739">
        <f>A104+1</f>
        <v>3</v>
      </c>
      <c r="B105" s="1872" t="str">
        <f>CONCATENATE($B$25,".",A105)</f>
        <v>8.3</v>
      </c>
      <c r="C105" s="1873" t="s">
        <v>3771</v>
      </c>
      <c r="D105" s="1874"/>
      <c r="E105" s="1875"/>
      <c r="F105" s="1874"/>
      <c r="G105" s="1878">
        <f t="shared" ref="G105:I106" si="185">G$11/$K$11*$K105</f>
        <v>45220.942372468257</v>
      </c>
      <c r="H105" s="1880">
        <f t="shared" si="185"/>
        <v>51441.762390931806</v>
      </c>
      <c r="I105" s="1880">
        <f t="shared" si="185"/>
        <v>0</v>
      </c>
      <c r="J105" s="1880">
        <f>J$11/$K$11*$K105</f>
        <v>131086.38852167246</v>
      </c>
      <c r="K105" s="1877">
        <f t="shared" si="158"/>
        <v>227749.09328507254</v>
      </c>
      <c r="L105" s="1878">
        <f>L$11/$P$11*$P105</f>
        <v>392.23642886752822</v>
      </c>
      <c r="M105" s="1880">
        <f t="shared" ref="M105:O106" si="186">M$11/$P$11*$P105</f>
        <v>446.19444258100032</v>
      </c>
      <c r="N105" s="1880">
        <f t="shared" si="186"/>
        <v>0</v>
      </c>
      <c r="O105" s="1880">
        <f t="shared" si="186"/>
        <v>1137.0142727982186</v>
      </c>
      <c r="P105" s="1877">
        <f t="shared" si="159"/>
        <v>1975.4451442467473</v>
      </c>
      <c r="Q105" s="1878">
        <f>Q$11/$AA$11*$AA105</f>
        <v>12494.426586156927</v>
      </c>
      <c r="R105" s="1879">
        <f>R$11/$AA$11*$AA105</f>
        <v>14755.076520045784</v>
      </c>
      <c r="S105" s="1880">
        <f t="shared" ref="S105:X106" si="187">S$11/$AA$11*$AA105</f>
        <v>12201.956902583484</v>
      </c>
      <c r="T105" s="1880">
        <f t="shared" si="187"/>
        <v>14233.651375469468</v>
      </c>
      <c r="U105" s="1880">
        <f t="shared" si="187"/>
        <v>0</v>
      </c>
      <c r="V105" s="1880">
        <f t="shared" si="187"/>
        <v>0</v>
      </c>
      <c r="W105" s="1880">
        <f t="shared" si="187"/>
        <v>20422.522861707665</v>
      </c>
      <c r="X105" s="1881">
        <f t="shared" si="187"/>
        <v>24623.209019144142</v>
      </c>
      <c r="Y105" s="1882">
        <f t="shared" si="178"/>
        <v>45118.906350448073</v>
      </c>
      <c r="Z105" s="1882">
        <f t="shared" si="160"/>
        <v>53611.936914659396</v>
      </c>
      <c r="AA105" s="1877">
        <f t="shared" si="161"/>
        <v>98730.843265107469</v>
      </c>
      <c r="AB105" s="1878">
        <f>AB$11/$AL$11*$AL105</f>
        <v>6451.836421358089</v>
      </c>
      <c r="AC105" s="1879">
        <f t="shared" ref="AC105:AI106" si="188">AC$11/$AL$11*$AL105</f>
        <v>6451.836421358089</v>
      </c>
      <c r="AD105" s="1880">
        <f t="shared" si="188"/>
        <v>5914.1833862449157</v>
      </c>
      <c r="AE105" s="1880">
        <f t="shared" si="188"/>
        <v>6686.8205656868595</v>
      </c>
      <c r="AF105" s="1880">
        <f t="shared" si="188"/>
        <v>0</v>
      </c>
      <c r="AG105" s="1880">
        <f t="shared" si="188"/>
        <v>0</v>
      </c>
      <c r="AH105" s="1880">
        <f t="shared" si="188"/>
        <v>8929.9961702113142</v>
      </c>
      <c r="AI105" s="1881">
        <f t="shared" si="188"/>
        <v>11849.420553574066</v>
      </c>
      <c r="AJ105" s="1882">
        <f t="shared" si="162"/>
        <v>21296.015977814321</v>
      </c>
      <c r="AK105" s="1882">
        <f t="shared" si="162"/>
        <v>24988.077540619015</v>
      </c>
      <c r="AL105" s="1877">
        <f t="shared" si="172"/>
        <v>46284.093518433336</v>
      </c>
      <c r="AM105" s="1878">
        <f>AM$11/$AW$11*$AW105</f>
        <v>0</v>
      </c>
      <c r="AN105" s="1879">
        <f t="shared" ref="AN105:AT106" si="189">AN$11/$AW$11*$AW105</f>
        <v>0</v>
      </c>
      <c r="AO105" s="1880">
        <f t="shared" si="189"/>
        <v>0</v>
      </c>
      <c r="AP105" s="1880">
        <f t="shared" si="189"/>
        <v>0</v>
      </c>
      <c r="AQ105" s="1880">
        <f t="shared" si="189"/>
        <v>0</v>
      </c>
      <c r="AR105" s="1880">
        <f t="shared" si="189"/>
        <v>0</v>
      </c>
      <c r="AS105" s="1880">
        <f t="shared" si="189"/>
        <v>0</v>
      </c>
      <c r="AT105" s="1881">
        <f t="shared" si="189"/>
        <v>0</v>
      </c>
      <c r="AU105" s="1882">
        <f t="shared" si="163"/>
        <v>0</v>
      </c>
      <c r="AV105" s="1882">
        <f t="shared" si="163"/>
        <v>0</v>
      </c>
      <c r="AW105" s="1877"/>
      <c r="AX105" s="1740"/>
      <c r="AY105" s="1740"/>
      <c r="AZ105" s="1740"/>
      <c r="BA105" s="1883">
        <f t="shared" si="164"/>
        <v>85766.354750254686</v>
      </c>
      <c r="BB105" s="1883">
        <f t="shared" si="165"/>
        <v>90924.569063497533</v>
      </c>
      <c r="BC105" s="1883">
        <f t="shared" si="166"/>
        <v>0</v>
      </c>
      <c r="BD105" s="1883">
        <f t="shared" si="167"/>
        <v>198048.55139910791</v>
      </c>
      <c r="BE105" s="1883">
        <f t="shared" si="168"/>
        <v>374739.4752128601</v>
      </c>
      <c r="BF105" s="1740"/>
      <c r="BG105" s="1740"/>
      <c r="BH105" s="1740"/>
      <c r="BI105" s="1768" t="e">
        <f>#REF!+#REF!+#REF!</f>
        <v>#REF!</v>
      </c>
      <c r="BJ105" s="1768" t="e">
        <f>#REF!+#REF!+#REF!</f>
        <v>#REF!</v>
      </c>
      <c r="BK105" s="1935" t="e">
        <f t="shared" si="174"/>
        <v>#REF!</v>
      </c>
    </row>
    <row r="106" spans="1:63" ht="15.75">
      <c r="A106" s="1739">
        <f>A105+1</f>
        <v>4</v>
      </c>
      <c r="B106" s="1872" t="str">
        <f>CONCATENATE($B$25,".",A106)</f>
        <v>8.4</v>
      </c>
      <c r="C106" s="1873" t="s">
        <v>3706</v>
      </c>
      <c r="D106" s="1874"/>
      <c r="E106" s="1875"/>
      <c r="F106" s="1874"/>
      <c r="G106" s="1878">
        <f t="shared" si="185"/>
        <v>13611.914589767634</v>
      </c>
      <c r="H106" s="1880">
        <f>H$11/$K$11*$K106</f>
        <v>15484.437945698322</v>
      </c>
      <c r="I106" s="1880">
        <f t="shared" si="185"/>
        <v>0</v>
      </c>
      <c r="J106" s="1880">
        <f>J$11/$K$11*$K106</f>
        <v>39458.194164579261</v>
      </c>
      <c r="K106" s="1877">
        <f t="shared" si="158"/>
        <v>68554.546700045219</v>
      </c>
      <c r="L106" s="1878">
        <f>L$11/$P$11*$P106</f>
        <v>118.06672945389214</v>
      </c>
      <c r="M106" s="1880">
        <f t="shared" si="186"/>
        <v>134.30858191357152</v>
      </c>
      <c r="N106" s="1880">
        <f t="shared" si="186"/>
        <v>0</v>
      </c>
      <c r="O106" s="1880">
        <f t="shared" si="186"/>
        <v>342.25162848660312</v>
      </c>
      <c r="P106" s="1877">
        <f t="shared" si="159"/>
        <v>594.62693985406679</v>
      </c>
      <c r="Q106" s="1878">
        <f>Q$11/$AA$11*$AA106</f>
        <v>3747.0341675531959</v>
      </c>
      <c r="R106" s="1879">
        <f>R$11/$AA$11*$AA106</f>
        <v>4424.99505553372</v>
      </c>
      <c r="S106" s="1880">
        <f t="shared" si="187"/>
        <v>3659.3235479608293</v>
      </c>
      <c r="T106" s="1880">
        <f t="shared" si="187"/>
        <v>4268.6215061694365</v>
      </c>
      <c r="U106" s="1880">
        <f t="shared" si="187"/>
        <v>0</v>
      </c>
      <c r="V106" s="1880">
        <f t="shared" si="187"/>
        <v>0</v>
      </c>
      <c r="W106" s="1880">
        <f t="shared" si="187"/>
        <v>6124.6420892367114</v>
      </c>
      <c r="X106" s="1881">
        <f t="shared" si="187"/>
        <v>7384.4129519125008</v>
      </c>
      <c r="Y106" s="1882">
        <f t="shared" si="178"/>
        <v>13530.999804750736</v>
      </c>
      <c r="Z106" s="1882">
        <f t="shared" si="160"/>
        <v>16078.029513615656</v>
      </c>
      <c r="AA106" s="1877">
        <f t="shared" si="161"/>
        <v>29609.029318366393</v>
      </c>
      <c r="AB106" s="1878">
        <f>AB$11/$AL$11*$AL106</f>
        <v>1919.5326022789066</v>
      </c>
      <c r="AC106" s="1879">
        <f t="shared" si="188"/>
        <v>1919.5326022789066</v>
      </c>
      <c r="AD106" s="1880">
        <f t="shared" si="188"/>
        <v>1759.5715520889978</v>
      </c>
      <c r="AE106" s="1880">
        <f t="shared" si="188"/>
        <v>1989.4444377006018</v>
      </c>
      <c r="AF106" s="1880">
        <f t="shared" si="188"/>
        <v>0</v>
      </c>
      <c r="AG106" s="1880">
        <f t="shared" si="188"/>
        <v>0</v>
      </c>
      <c r="AH106" s="1880">
        <f t="shared" si="188"/>
        <v>2656.8278653503407</v>
      </c>
      <c r="AI106" s="1881">
        <f t="shared" si="188"/>
        <v>3525.4069671393454</v>
      </c>
      <c r="AJ106" s="1882">
        <f t="shared" si="162"/>
        <v>6335.9320197182451</v>
      </c>
      <c r="AK106" s="1882">
        <f t="shared" si="162"/>
        <v>7434.3840071188533</v>
      </c>
      <c r="AL106" s="1877">
        <f t="shared" si="172"/>
        <v>13770.316026837099</v>
      </c>
      <c r="AM106" s="1878">
        <f>AM$11/$AW$11*$AW106</f>
        <v>0</v>
      </c>
      <c r="AN106" s="1879">
        <f t="shared" si="189"/>
        <v>0</v>
      </c>
      <c r="AO106" s="1880">
        <f t="shared" si="189"/>
        <v>0</v>
      </c>
      <c r="AP106" s="1880">
        <f t="shared" si="189"/>
        <v>0</v>
      </c>
      <c r="AQ106" s="1880">
        <f t="shared" si="189"/>
        <v>0</v>
      </c>
      <c r="AR106" s="1880">
        <f t="shared" si="189"/>
        <v>0</v>
      </c>
      <c r="AS106" s="1880">
        <f t="shared" si="189"/>
        <v>0</v>
      </c>
      <c r="AT106" s="1881">
        <f t="shared" si="189"/>
        <v>0</v>
      </c>
      <c r="AU106" s="1882">
        <f t="shared" si="163"/>
        <v>0</v>
      </c>
      <c r="AV106" s="1882">
        <f t="shared" si="163"/>
        <v>0</v>
      </c>
      <c r="AW106" s="1877"/>
      <c r="AX106" s="1740"/>
      <c r="AY106" s="1740"/>
      <c r="AZ106" s="1740"/>
      <c r="BA106" s="1883">
        <f>SUM(G106,L106,Q106:R106,AB106:AC106)</f>
        <v>25741.075746866252</v>
      </c>
      <c r="BB106" s="1883">
        <f t="shared" si="165"/>
        <v>27295.707571531759</v>
      </c>
      <c r="BC106" s="1883">
        <f t="shared" si="166"/>
        <v>0</v>
      </c>
      <c r="BD106" s="1883">
        <f t="shared" si="167"/>
        <v>59491.735666704757</v>
      </c>
      <c r="BE106" s="1883">
        <f t="shared" si="168"/>
        <v>112528.51898510277</v>
      </c>
      <c r="BF106" s="1740"/>
      <c r="BG106" s="1740"/>
      <c r="BH106" s="1740"/>
      <c r="BI106" s="1768" t="e">
        <f>#REF!+#REF!+#REF!</f>
        <v>#REF!</v>
      </c>
      <c r="BJ106" s="1768" t="e">
        <f>#REF!+#REF!+#REF!</f>
        <v>#REF!</v>
      </c>
      <c r="BK106" s="1935" t="e">
        <f t="shared" si="174"/>
        <v>#REF!</v>
      </c>
    </row>
    <row r="107" spans="1:63" ht="15.75">
      <c r="A107" s="1739">
        <f>A106+1</f>
        <v>5</v>
      </c>
      <c r="B107" s="1872" t="str">
        <f>CONCATENATE($B$25,".",A107)</f>
        <v>8.5</v>
      </c>
      <c r="C107" s="1873" t="s">
        <v>3708</v>
      </c>
      <c r="D107" s="1874"/>
      <c r="E107" s="1875"/>
      <c r="F107" s="1874"/>
      <c r="G107" s="1889">
        <f>SUM(G108:G110)</f>
        <v>21794.512038203462</v>
      </c>
      <c r="H107" s="1890">
        <f>SUM(H108:H110)</f>
        <v>21784.508206906721</v>
      </c>
      <c r="I107" s="1890">
        <f>SUM(I108:I110)</f>
        <v>0</v>
      </c>
      <c r="J107" s="1890">
        <f>SUM(J108:J110)</f>
        <v>58025.577723188631</v>
      </c>
      <c r="K107" s="1877">
        <f t="shared" si="158"/>
        <v>101604.59796829883</v>
      </c>
      <c r="L107" s="1889">
        <f>SUM(L108:L110)</f>
        <v>740.51436028752028</v>
      </c>
      <c r="M107" s="1890">
        <f t="shared" ref="M107:O107" si="190">SUM(M108:M110)</f>
        <v>740.17445909036803</v>
      </c>
      <c r="N107" s="1890">
        <f t="shared" si="190"/>
        <v>0</v>
      </c>
      <c r="O107" s="1890">
        <f t="shared" si="190"/>
        <v>1971.5409775030121</v>
      </c>
      <c r="P107" s="1877">
        <f t="shared" si="159"/>
        <v>3452.2297968809007</v>
      </c>
      <c r="Q107" s="1889">
        <f>SUM(Q108:Q110)</f>
        <v>15764.540610144337</v>
      </c>
      <c r="R107" s="1891">
        <f t="shared" ref="R107:Z107" si="191">SUM(R108:R110)</f>
        <v>15764.540610144333</v>
      </c>
      <c r="S107" s="1890">
        <f t="shared" si="191"/>
        <v>15764.540610144337</v>
      </c>
      <c r="T107" s="1890">
        <f t="shared" si="191"/>
        <v>15764.540610144333</v>
      </c>
      <c r="U107" s="1890">
        <f t="shared" si="191"/>
        <v>0</v>
      </c>
      <c r="V107" s="1890">
        <f t="shared" si="191"/>
        <v>0</v>
      </c>
      <c r="W107" s="1890">
        <f t="shared" si="191"/>
        <v>15764.540610144337</v>
      </c>
      <c r="X107" s="1892">
        <f t="shared" si="191"/>
        <v>15764.540610144333</v>
      </c>
      <c r="Y107" s="1892">
        <f t="shared" si="191"/>
        <v>47293.62183043301</v>
      </c>
      <c r="Z107" s="1892">
        <f t="shared" si="191"/>
        <v>47293.621830432996</v>
      </c>
      <c r="AA107" s="1877">
        <f t="shared" si="161"/>
        <v>94587.243660866035</v>
      </c>
      <c r="AB107" s="1889">
        <f>SUM(AB108:AB110)</f>
        <v>9694.4017777722802</v>
      </c>
      <c r="AC107" s="1891">
        <f t="shared" ref="AC107:AK107" si="192">SUM(AC108:AC110)</f>
        <v>9694.4017777722802</v>
      </c>
      <c r="AD107" s="1890">
        <f t="shared" si="192"/>
        <v>9694.4017777722802</v>
      </c>
      <c r="AE107" s="1890">
        <f t="shared" si="192"/>
        <v>9694.4017777722802</v>
      </c>
      <c r="AF107" s="1890">
        <f t="shared" si="192"/>
        <v>0</v>
      </c>
      <c r="AG107" s="1890">
        <f t="shared" si="192"/>
        <v>0</v>
      </c>
      <c r="AH107" s="1890">
        <f t="shared" si="192"/>
        <v>9694.4017777722802</v>
      </c>
      <c r="AI107" s="1892">
        <f t="shared" si="192"/>
        <v>9694.4017777722802</v>
      </c>
      <c r="AJ107" s="1892">
        <f t="shared" si="192"/>
        <v>29083.205333316837</v>
      </c>
      <c r="AK107" s="1892">
        <f t="shared" si="192"/>
        <v>29083.205333316837</v>
      </c>
      <c r="AL107" s="1877">
        <f t="shared" si="172"/>
        <v>58166.410666633674</v>
      </c>
      <c r="AM107" s="1889">
        <f>SUM(AM108:AM110)</f>
        <v>0</v>
      </c>
      <c r="AN107" s="1891">
        <f t="shared" ref="AN107:AV107" si="193">SUM(AN108:AN110)</f>
        <v>0</v>
      </c>
      <c r="AO107" s="1890">
        <f t="shared" si="193"/>
        <v>0</v>
      </c>
      <c r="AP107" s="1890">
        <f t="shared" si="193"/>
        <v>0</v>
      </c>
      <c r="AQ107" s="1890">
        <f t="shared" si="193"/>
        <v>0</v>
      </c>
      <c r="AR107" s="1890">
        <f t="shared" si="193"/>
        <v>0</v>
      </c>
      <c r="AS107" s="1890">
        <f t="shared" si="193"/>
        <v>0</v>
      </c>
      <c r="AT107" s="1892">
        <f t="shared" si="193"/>
        <v>0</v>
      </c>
      <c r="AU107" s="1892">
        <f t="shared" si="193"/>
        <v>0</v>
      </c>
      <c r="AV107" s="1892">
        <f t="shared" si="193"/>
        <v>0</v>
      </c>
      <c r="AW107" s="1877"/>
      <c r="AX107" s="1740"/>
      <c r="AY107" s="1740"/>
      <c r="AZ107" s="1740"/>
      <c r="BA107" s="1890">
        <f t="shared" ref="BA107:BE107" si="194">SUM(BA108:BA110)</f>
        <v>73452.911174324225</v>
      </c>
      <c r="BB107" s="1890">
        <f t="shared" si="194"/>
        <v>73442.56744183031</v>
      </c>
      <c r="BC107" s="1890">
        <f t="shared" si="194"/>
        <v>0</v>
      </c>
      <c r="BD107" s="1890">
        <f t="shared" si="194"/>
        <v>110915.00347652486</v>
      </c>
      <c r="BE107" s="1890">
        <f t="shared" si="194"/>
        <v>257810.48209267942</v>
      </c>
      <c r="BF107" s="1740"/>
      <c r="BG107" s="1740"/>
      <c r="BH107" s="1740"/>
      <c r="BI107" s="1871" t="e">
        <f>SUM(BI108:BI110)</f>
        <v>#REF!</v>
      </c>
      <c r="BJ107" s="1871" t="e">
        <f t="shared" ref="BJ107" si="195">SUM(BJ108:BJ110)</f>
        <v>#REF!</v>
      </c>
      <c r="BK107" s="1962" t="e">
        <f>SUM(BK108:BK110)</f>
        <v>#REF!</v>
      </c>
    </row>
    <row r="108" spans="1:63" ht="31.5">
      <c r="B108" s="1872"/>
      <c r="C108" s="1887" t="s">
        <v>3778</v>
      </c>
      <c r="D108" s="1874"/>
      <c r="E108" s="1875"/>
      <c r="F108" s="1874"/>
      <c r="G108" s="1878">
        <f t="shared" ref="G108:I109" si="196">G$16/$K$16*$K108</f>
        <v>146.669906722023</v>
      </c>
      <c r="H108" s="1880">
        <f t="shared" si="196"/>
        <v>146.60258422356176</v>
      </c>
      <c r="I108" s="1880">
        <f>I$16/$K$16*$K108</f>
        <v>0</v>
      </c>
      <c r="J108" s="1779">
        <f>K108-G108-H108-I108</f>
        <v>390.49307721289586</v>
      </c>
      <c r="K108" s="1877">
        <f t="shared" si="158"/>
        <v>683.76556815848062</v>
      </c>
      <c r="L108" s="1878">
        <f>L$16/$P$16*$P108</f>
        <v>1.2721822548750144</v>
      </c>
      <c r="M108" s="1880">
        <f t="shared" ref="M108:O109" si="197">M$16/$P$16*$P108</f>
        <v>1.2715983144484442</v>
      </c>
      <c r="N108" s="1880">
        <f t="shared" si="197"/>
        <v>0</v>
      </c>
      <c r="O108" s="1880">
        <f t="shared" si="197"/>
        <v>3.3870503812571933</v>
      </c>
      <c r="P108" s="1877">
        <f t="shared" si="159"/>
        <v>5.9308309505806509</v>
      </c>
      <c r="Q108" s="1878">
        <f>Q$16/$AA$16*$AA108</f>
        <v>45.558821961933326</v>
      </c>
      <c r="R108" s="1879">
        <f t="shared" ref="R108:X109" si="198">R$16/$AA$16*$AA108</f>
        <v>45.558821961933319</v>
      </c>
      <c r="S108" s="1880">
        <f t="shared" si="198"/>
        <v>45.558821961933326</v>
      </c>
      <c r="T108" s="1880">
        <f t="shared" si="198"/>
        <v>45.558821961933319</v>
      </c>
      <c r="U108" s="1880">
        <f t="shared" si="198"/>
        <v>0</v>
      </c>
      <c r="V108" s="1880">
        <f t="shared" si="198"/>
        <v>0</v>
      </c>
      <c r="W108" s="1880">
        <f t="shared" si="198"/>
        <v>45.558821961933326</v>
      </c>
      <c r="X108" s="1881">
        <f t="shared" si="198"/>
        <v>45.558821961933319</v>
      </c>
      <c r="Y108" s="1882">
        <f t="shared" ref="Y108:Z109" si="199">SUM(Q108,S108,U108,W108)</f>
        <v>136.67646588579998</v>
      </c>
      <c r="Z108" s="1882">
        <f t="shared" si="199"/>
        <v>136.67646588579996</v>
      </c>
      <c r="AA108" s="1877">
        <f t="shared" si="161"/>
        <v>273.35293177159997</v>
      </c>
      <c r="AB108" s="1878">
        <f>AB$16/$AL$16*$AL108</f>
        <v>34.687723732638723</v>
      </c>
      <c r="AC108" s="1879">
        <f t="shared" ref="AC108:AI109" si="200">AC$16/$AL$16*$AL108</f>
        <v>34.687723732638723</v>
      </c>
      <c r="AD108" s="1880">
        <f t="shared" si="200"/>
        <v>34.687723732638723</v>
      </c>
      <c r="AE108" s="1880">
        <f t="shared" si="200"/>
        <v>34.687723732638723</v>
      </c>
      <c r="AF108" s="1880">
        <f t="shared" si="200"/>
        <v>0</v>
      </c>
      <c r="AG108" s="1880">
        <f t="shared" si="200"/>
        <v>0</v>
      </c>
      <c r="AH108" s="1880">
        <f t="shared" si="200"/>
        <v>34.687723732638723</v>
      </c>
      <c r="AI108" s="1881">
        <f t="shared" si="200"/>
        <v>34.687723732638723</v>
      </c>
      <c r="AJ108" s="1882">
        <f t="shared" ref="AJ108:AK109" si="201">SUM(AB108,AD108,AF108,AH108)</f>
        <v>104.06317119791618</v>
      </c>
      <c r="AK108" s="1882">
        <f t="shared" si="201"/>
        <v>104.06317119791618</v>
      </c>
      <c r="AL108" s="1877">
        <f t="shared" si="172"/>
        <v>208.12634239583235</v>
      </c>
      <c r="AM108" s="1878">
        <f>AM$16/$AW$16*$AW108</f>
        <v>0</v>
      </c>
      <c r="AN108" s="1879">
        <f t="shared" ref="AN108:AT109" si="202">AN$16/$AW$16*$AW108</f>
        <v>0</v>
      </c>
      <c r="AO108" s="1880">
        <f t="shared" si="202"/>
        <v>0</v>
      </c>
      <c r="AP108" s="1880">
        <f t="shared" si="202"/>
        <v>0</v>
      </c>
      <c r="AQ108" s="1880">
        <f t="shared" si="202"/>
        <v>0</v>
      </c>
      <c r="AR108" s="1880">
        <f t="shared" si="202"/>
        <v>0</v>
      </c>
      <c r="AS108" s="1880">
        <f t="shared" si="202"/>
        <v>0</v>
      </c>
      <c r="AT108" s="1881">
        <f t="shared" si="202"/>
        <v>0</v>
      </c>
      <c r="AU108" s="1882">
        <f t="shared" ref="AU108:AV109" si="203">SUM(AM108,AO108,AQ108,AS108)</f>
        <v>0</v>
      </c>
      <c r="AV108" s="1882">
        <f t="shared" si="203"/>
        <v>0</v>
      </c>
      <c r="AW108" s="1877"/>
      <c r="AX108" s="1740"/>
      <c r="AY108" s="1740"/>
      <c r="AZ108" s="1740"/>
      <c r="BA108" s="1883">
        <f t="shared" ref="BA108:BA109" si="204">SUM(G108,L108,Q108:R108,AB108:AC108)</f>
        <v>308.43518036604212</v>
      </c>
      <c r="BB108" s="1883">
        <f t="shared" ref="BB108:BB109" si="205">SUM(H108,M108,S108:T108,AD108:AE108)</f>
        <v>308.36727392715432</v>
      </c>
      <c r="BC108" s="1883">
        <f t="shared" ref="BC108:BC109" si="206">SUM(I108,N108,U108:V108,AF108:AG108)</f>
        <v>0</v>
      </c>
      <c r="BD108" s="1883">
        <f t="shared" ref="BD108:BD109" si="207">SUM(J108,O108,W108:X108,AH108:AI108)</f>
        <v>554.37321898329708</v>
      </c>
      <c r="BE108" s="1883">
        <f t="shared" ref="BE108:BE109" si="208">SUM(K108,P108,Y108:Z108,AJ108:AK108)</f>
        <v>1171.1756732764939</v>
      </c>
      <c r="BF108" s="1740"/>
      <c r="BG108" s="1740"/>
      <c r="BH108" s="1740"/>
      <c r="BI108" s="1768" t="e">
        <f>#REF!+#REF!+#REF!</f>
        <v>#REF!</v>
      </c>
      <c r="BJ108" s="1768" t="e">
        <f>#REF!+#REF!+#REF!</f>
        <v>#REF!</v>
      </c>
      <c r="BK108" s="1935" t="e">
        <f t="shared" ref="BK108:BK109" si="209">SUM(BI108:BJ108)</f>
        <v>#REF!</v>
      </c>
    </row>
    <row r="109" spans="1:63" ht="47.25">
      <c r="B109" s="1872"/>
      <c r="C109" s="1887" t="s">
        <v>3779</v>
      </c>
      <c r="D109" s="1874"/>
      <c r="E109" s="1875"/>
      <c r="F109" s="1874"/>
      <c r="G109" s="1878">
        <f t="shared" si="196"/>
        <v>578.33420335930703</v>
      </c>
      <c r="H109" s="1880">
        <f t="shared" si="196"/>
        <v>578.06874397240267</v>
      </c>
      <c r="I109" s="1880">
        <f t="shared" si="196"/>
        <v>0</v>
      </c>
      <c r="J109" s="1779">
        <f>K109-G109-H109-I109</f>
        <v>1539.753503459033</v>
      </c>
      <c r="K109" s="1877">
        <f t="shared" si="158"/>
        <v>2696.1564507907428</v>
      </c>
      <c r="L109" s="1878">
        <f>L$16/$P$16*$P109</f>
        <v>5.0163426659527115</v>
      </c>
      <c r="M109" s="1880">
        <f t="shared" si="197"/>
        <v>5.0140401300818072</v>
      </c>
      <c r="N109" s="1880">
        <f t="shared" si="197"/>
        <v>0</v>
      </c>
      <c r="O109" s="1880">
        <f t="shared" si="197"/>
        <v>13.355480532858952</v>
      </c>
      <c r="P109" s="1877">
        <f t="shared" si="159"/>
        <v>23.385863328893468</v>
      </c>
      <c r="Q109" s="1878">
        <f>Q$16/$AA$16*$AA109</f>
        <v>265.34060295151926</v>
      </c>
      <c r="R109" s="1879">
        <f t="shared" si="198"/>
        <v>265.34060295151926</v>
      </c>
      <c r="S109" s="1880">
        <f t="shared" si="198"/>
        <v>265.34060295151926</v>
      </c>
      <c r="T109" s="1880">
        <f t="shared" si="198"/>
        <v>265.34060295151926</v>
      </c>
      <c r="U109" s="1880">
        <f t="shared" si="198"/>
        <v>0</v>
      </c>
      <c r="V109" s="1880">
        <f t="shared" si="198"/>
        <v>0</v>
      </c>
      <c r="W109" s="1880">
        <f t="shared" si="198"/>
        <v>265.34060295151926</v>
      </c>
      <c r="X109" s="1881">
        <f t="shared" si="198"/>
        <v>265.34060295151926</v>
      </c>
      <c r="Y109" s="1882">
        <f t="shared" si="199"/>
        <v>796.02180885455778</v>
      </c>
      <c r="Z109" s="1882">
        <f t="shared" si="199"/>
        <v>796.02180885455778</v>
      </c>
      <c r="AA109" s="1877">
        <f t="shared" si="161"/>
        <v>1592.0436177091158</v>
      </c>
      <c r="AB109" s="1878">
        <f>AB$16/$AL$16*$AL109</f>
        <v>105.44485048205004</v>
      </c>
      <c r="AC109" s="1879">
        <f t="shared" si="200"/>
        <v>105.44485048205004</v>
      </c>
      <c r="AD109" s="1880">
        <f t="shared" si="200"/>
        <v>105.44485048205004</v>
      </c>
      <c r="AE109" s="1880">
        <f t="shared" si="200"/>
        <v>105.44485048205004</v>
      </c>
      <c r="AF109" s="1880">
        <f t="shared" si="200"/>
        <v>0</v>
      </c>
      <c r="AG109" s="1880">
        <f t="shared" si="200"/>
        <v>0</v>
      </c>
      <c r="AH109" s="1880">
        <f t="shared" si="200"/>
        <v>105.44485048205004</v>
      </c>
      <c r="AI109" s="1881">
        <f t="shared" si="200"/>
        <v>105.44485048205004</v>
      </c>
      <c r="AJ109" s="1882">
        <f t="shared" si="201"/>
        <v>316.33455144615016</v>
      </c>
      <c r="AK109" s="1882">
        <f t="shared" si="201"/>
        <v>316.33455144615016</v>
      </c>
      <c r="AL109" s="1877">
        <f t="shared" si="172"/>
        <v>632.66910289230032</v>
      </c>
      <c r="AM109" s="1878">
        <f>AM$16/$AW$16*$AW109</f>
        <v>0</v>
      </c>
      <c r="AN109" s="1879">
        <f t="shared" si="202"/>
        <v>0</v>
      </c>
      <c r="AO109" s="1880">
        <f t="shared" si="202"/>
        <v>0</v>
      </c>
      <c r="AP109" s="1880">
        <f t="shared" si="202"/>
        <v>0</v>
      </c>
      <c r="AQ109" s="1880">
        <f t="shared" si="202"/>
        <v>0</v>
      </c>
      <c r="AR109" s="1880">
        <f t="shared" si="202"/>
        <v>0</v>
      </c>
      <c r="AS109" s="1880">
        <f t="shared" si="202"/>
        <v>0</v>
      </c>
      <c r="AT109" s="1881">
        <f t="shared" si="202"/>
        <v>0</v>
      </c>
      <c r="AU109" s="1882">
        <f t="shared" si="203"/>
        <v>0</v>
      </c>
      <c r="AV109" s="1882">
        <f t="shared" si="203"/>
        <v>0</v>
      </c>
      <c r="AW109" s="1877"/>
      <c r="AX109" s="1740"/>
      <c r="AY109" s="1740"/>
      <c r="AZ109" s="1740"/>
      <c r="BA109" s="1883">
        <f t="shared" si="204"/>
        <v>1324.9214528923983</v>
      </c>
      <c r="BB109" s="1883">
        <f t="shared" si="205"/>
        <v>1324.6536909696229</v>
      </c>
      <c r="BC109" s="1883">
        <f t="shared" si="206"/>
        <v>0</v>
      </c>
      <c r="BD109" s="1883">
        <f t="shared" si="207"/>
        <v>2294.6798908590308</v>
      </c>
      <c r="BE109" s="1883">
        <f t="shared" si="208"/>
        <v>4944.2550347210517</v>
      </c>
      <c r="BF109" s="1740"/>
      <c r="BG109" s="1740"/>
      <c r="BH109" s="1740"/>
      <c r="BI109" s="1768" t="e">
        <f>#REF!+#REF!+#REF!</f>
        <v>#REF!</v>
      </c>
      <c r="BJ109" s="1768" t="e">
        <f>#REF!+#REF!+#REF!</f>
        <v>#REF!</v>
      </c>
      <c r="BK109" s="1935" t="e">
        <f t="shared" si="209"/>
        <v>#REF!</v>
      </c>
    </row>
    <row r="110" spans="1:63" ht="31.5">
      <c r="B110" s="1872"/>
      <c r="C110" s="1887" t="s">
        <v>3780</v>
      </c>
      <c r="D110" s="1874"/>
      <c r="E110" s="1875"/>
      <c r="F110" s="1874"/>
      <c r="G110" s="1889">
        <f>SUM(G111:G115)</f>
        <v>21069.507928122133</v>
      </c>
      <c r="H110" s="1890">
        <f>SUM(H111:H115)</f>
        <v>21059.836878710757</v>
      </c>
      <c r="I110" s="1890">
        <f>SUM(I111:I115)</f>
        <v>0</v>
      </c>
      <c r="J110" s="1890">
        <f>SUM(J111:J115)</f>
        <v>56095.331142516705</v>
      </c>
      <c r="K110" s="1877">
        <f t="shared" si="158"/>
        <v>98224.675949349592</v>
      </c>
      <c r="L110" s="1889">
        <f>SUM(L111:L115)</f>
        <v>734.22583536669254</v>
      </c>
      <c r="M110" s="1890">
        <f t="shared" ref="M110:O110" si="210">SUM(M111:M115)</f>
        <v>733.88882064583777</v>
      </c>
      <c r="N110" s="1890">
        <f t="shared" si="210"/>
        <v>0</v>
      </c>
      <c r="O110" s="1890">
        <f t="shared" si="210"/>
        <v>1954.798446588896</v>
      </c>
      <c r="P110" s="1877">
        <f t="shared" si="159"/>
        <v>3422.9131026014261</v>
      </c>
      <c r="Q110" s="1889">
        <f>SUM(Q111:Q115)</f>
        <v>15453.641185230885</v>
      </c>
      <c r="R110" s="1891">
        <f t="shared" ref="R110:X110" si="211">SUM(R111:R115)</f>
        <v>15453.641185230881</v>
      </c>
      <c r="S110" s="1890">
        <f t="shared" si="211"/>
        <v>15453.641185230885</v>
      </c>
      <c r="T110" s="1890">
        <f t="shared" si="211"/>
        <v>15453.641185230881</v>
      </c>
      <c r="U110" s="1890">
        <f t="shared" si="211"/>
        <v>0</v>
      </c>
      <c r="V110" s="1890">
        <f t="shared" si="211"/>
        <v>0</v>
      </c>
      <c r="W110" s="1890">
        <f t="shared" si="211"/>
        <v>15453.641185230885</v>
      </c>
      <c r="X110" s="1892">
        <f t="shared" si="211"/>
        <v>15453.641185230881</v>
      </c>
      <c r="Y110" s="1892">
        <f>SUM(Y111:Y115)</f>
        <v>46360.923555692651</v>
      </c>
      <c r="Z110" s="1892">
        <f t="shared" ref="Z110" si="212">SUM(Z111:Z115)</f>
        <v>46360.923555692636</v>
      </c>
      <c r="AA110" s="1877">
        <f t="shared" si="161"/>
        <v>92721.847111385316</v>
      </c>
      <c r="AB110" s="1889">
        <f>SUM(AB111:AB115)</f>
        <v>9554.269203557591</v>
      </c>
      <c r="AC110" s="1891">
        <f t="shared" ref="AC110:AK110" si="213">SUM(AC111:AC115)</f>
        <v>9554.269203557591</v>
      </c>
      <c r="AD110" s="1890">
        <f t="shared" si="213"/>
        <v>9554.269203557591</v>
      </c>
      <c r="AE110" s="1890">
        <f t="shared" si="213"/>
        <v>9554.269203557591</v>
      </c>
      <c r="AF110" s="1890">
        <f t="shared" si="213"/>
        <v>0</v>
      </c>
      <c r="AG110" s="1890">
        <f t="shared" si="213"/>
        <v>0</v>
      </c>
      <c r="AH110" s="1890">
        <f t="shared" si="213"/>
        <v>9554.269203557591</v>
      </c>
      <c r="AI110" s="1892">
        <f t="shared" si="213"/>
        <v>9554.269203557591</v>
      </c>
      <c r="AJ110" s="1892">
        <f t="shared" si="213"/>
        <v>28662.807610672771</v>
      </c>
      <c r="AK110" s="1892">
        <f t="shared" si="213"/>
        <v>28662.807610672771</v>
      </c>
      <c r="AL110" s="1877">
        <f t="shared" si="172"/>
        <v>57325.615221345543</v>
      </c>
      <c r="AM110" s="1889">
        <f>SUM(AM111:AM115)</f>
        <v>0</v>
      </c>
      <c r="AN110" s="1891">
        <f t="shared" ref="AN110:AV110" si="214">SUM(AN111:AN115)</f>
        <v>0</v>
      </c>
      <c r="AO110" s="1890">
        <f t="shared" si="214"/>
        <v>0</v>
      </c>
      <c r="AP110" s="1890">
        <f t="shared" si="214"/>
        <v>0</v>
      </c>
      <c r="AQ110" s="1890">
        <f t="shared" si="214"/>
        <v>0</v>
      </c>
      <c r="AR110" s="1890">
        <f t="shared" si="214"/>
        <v>0</v>
      </c>
      <c r="AS110" s="1890">
        <f t="shared" si="214"/>
        <v>0</v>
      </c>
      <c r="AT110" s="1892">
        <f t="shared" si="214"/>
        <v>0</v>
      </c>
      <c r="AU110" s="1892">
        <f t="shared" si="214"/>
        <v>0</v>
      </c>
      <c r="AV110" s="1892">
        <f t="shared" si="214"/>
        <v>0</v>
      </c>
      <c r="AW110" s="1877"/>
      <c r="AX110" s="1740"/>
      <c r="AY110" s="1740"/>
      <c r="AZ110" s="1740"/>
      <c r="BA110" s="1889">
        <f t="shared" ref="BA110:BE110" si="215">SUM(BA111:BA115)</f>
        <v>71819.55454106578</v>
      </c>
      <c r="BB110" s="1889">
        <f t="shared" si="215"/>
        <v>71809.546476933538</v>
      </c>
      <c r="BC110" s="1889">
        <f t="shared" si="215"/>
        <v>0</v>
      </c>
      <c r="BD110" s="1889">
        <f t="shared" si="215"/>
        <v>108065.95036668253</v>
      </c>
      <c r="BE110" s="1889">
        <f t="shared" si="215"/>
        <v>251695.05138468186</v>
      </c>
      <c r="BF110" s="1740"/>
      <c r="BG110" s="1740"/>
      <c r="BH110" s="1740"/>
      <c r="BI110" s="1871" t="e">
        <f>SUM(BI111:BI115)</f>
        <v>#REF!</v>
      </c>
      <c r="BJ110" s="1871" t="e">
        <f t="shared" ref="BJ110" si="216">SUM(BJ111:BJ115)</f>
        <v>#REF!</v>
      </c>
      <c r="BK110" s="1962" t="e">
        <f>SUM(BK111:BK115)</f>
        <v>#REF!</v>
      </c>
    </row>
    <row r="111" spans="1:63" ht="15.75">
      <c r="B111" s="1872"/>
      <c r="C111" s="1894" t="s">
        <v>3716</v>
      </c>
      <c r="D111" s="1895"/>
      <c r="E111" s="1896"/>
      <c r="F111" s="1895"/>
      <c r="G111" s="1897">
        <f t="shared" ref="G111:I114" si="217">G$16/$K$16*$K111</f>
        <v>133.8740879880288</v>
      </c>
      <c r="H111" s="1898">
        <f t="shared" si="217"/>
        <v>133.81263885859246</v>
      </c>
      <c r="I111" s="1898">
        <f t="shared" si="217"/>
        <v>0</v>
      </c>
      <c r="J111" s="1779">
        <f>K111-G111-H111-I111</f>
        <v>356.42556640193038</v>
      </c>
      <c r="K111" s="1877">
        <f t="shared" si="158"/>
        <v>624.11229324855162</v>
      </c>
      <c r="L111" s="1897">
        <f>L$16/$P$16*$P111</f>
        <v>1.1611941599494695</v>
      </c>
      <c r="M111" s="1898">
        <f t="shared" ref="M111:O114" si="218">M$16/$P$16*$P111</f>
        <v>1.160661163823723</v>
      </c>
      <c r="N111" s="1898">
        <f t="shared" si="218"/>
        <v>0</v>
      </c>
      <c r="O111" s="1898">
        <f t="shared" si="218"/>
        <v>3.0915563450905679</v>
      </c>
      <c r="P111" s="1877">
        <f t="shared" si="159"/>
        <v>5.4134116688637599</v>
      </c>
      <c r="Q111" s="1897">
        <f>Q$16/$AA$16*$AA111</f>
        <v>53.27088985146645</v>
      </c>
      <c r="R111" s="1899">
        <f t="shared" ref="R111:X114" si="219">R$16/$AA$16*$AA111</f>
        <v>53.270889851466436</v>
      </c>
      <c r="S111" s="1898">
        <f t="shared" si="219"/>
        <v>53.27088985146645</v>
      </c>
      <c r="T111" s="1898">
        <f t="shared" si="219"/>
        <v>53.270889851466436</v>
      </c>
      <c r="U111" s="1898">
        <f t="shared" si="219"/>
        <v>0</v>
      </c>
      <c r="V111" s="1898">
        <f t="shared" si="219"/>
        <v>0</v>
      </c>
      <c r="W111" s="1898">
        <f t="shared" si="219"/>
        <v>53.27088985146645</v>
      </c>
      <c r="X111" s="1900">
        <f t="shared" si="219"/>
        <v>53.270889851466436</v>
      </c>
      <c r="Y111" s="1901">
        <f t="shared" ref="Y111:Z114" si="220">SUM(Q111,S111,U111,W111)</f>
        <v>159.81266955439935</v>
      </c>
      <c r="Z111" s="1901">
        <f t="shared" si="220"/>
        <v>159.81266955439929</v>
      </c>
      <c r="AA111" s="1877">
        <f t="shared" si="161"/>
        <v>319.6253391087987</v>
      </c>
      <c r="AB111" s="1897">
        <f>AB$16/$AL$16*$AL111</f>
        <v>24.430049178026056</v>
      </c>
      <c r="AC111" s="1899">
        <f t="shared" ref="AC111:AI114" si="221">AC$16/$AL$16*$AL111</f>
        <v>24.430049178026056</v>
      </c>
      <c r="AD111" s="1898">
        <f t="shared" si="221"/>
        <v>24.430049178026056</v>
      </c>
      <c r="AE111" s="1898">
        <f t="shared" si="221"/>
        <v>24.430049178026056</v>
      </c>
      <c r="AF111" s="1898">
        <f t="shared" si="221"/>
        <v>0</v>
      </c>
      <c r="AG111" s="1898">
        <f t="shared" si="221"/>
        <v>0</v>
      </c>
      <c r="AH111" s="1898">
        <f t="shared" si="221"/>
        <v>24.430049178026056</v>
      </c>
      <c r="AI111" s="1900">
        <f t="shared" si="221"/>
        <v>24.430049178026056</v>
      </c>
      <c r="AJ111" s="1901">
        <f t="shared" ref="AJ111:AK114" si="222">SUM(AB111,AD111,AF111,AH111)</f>
        <v>73.290147534078173</v>
      </c>
      <c r="AK111" s="1901">
        <f t="shared" si="222"/>
        <v>73.290147534078173</v>
      </c>
      <c r="AL111" s="1877">
        <f t="shared" si="172"/>
        <v>146.58029506815635</v>
      </c>
      <c r="AM111" s="1897">
        <f>AM$16/$AW$16*$AW111</f>
        <v>0</v>
      </c>
      <c r="AN111" s="1899">
        <f t="shared" ref="AN111:AT114" si="223">AN$16/$AW$16*$AW111</f>
        <v>0</v>
      </c>
      <c r="AO111" s="1898">
        <f t="shared" si="223"/>
        <v>0</v>
      </c>
      <c r="AP111" s="1898">
        <f t="shared" si="223"/>
        <v>0</v>
      </c>
      <c r="AQ111" s="1898">
        <f t="shared" si="223"/>
        <v>0</v>
      </c>
      <c r="AR111" s="1898">
        <f t="shared" si="223"/>
        <v>0</v>
      </c>
      <c r="AS111" s="1898">
        <f t="shared" si="223"/>
        <v>0</v>
      </c>
      <c r="AT111" s="1900">
        <f t="shared" si="223"/>
        <v>0</v>
      </c>
      <c r="AU111" s="1901">
        <f t="shared" ref="AU111:AV114" si="224">SUM(AM111,AO111,AQ111,AS111)</f>
        <v>0</v>
      </c>
      <c r="AV111" s="1901">
        <f t="shared" si="224"/>
        <v>0</v>
      </c>
      <c r="AW111" s="1877"/>
      <c r="AX111" s="1740"/>
      <c r="AY111" s="1740"/>
      <c r="AZ111" s="1740"/>
      <c r="BA111" s="1883">
        <f t="shared" ref="BA111:BA114" si="225">SUM(G111,L111,Q111:R111,AB111:AC111)</f>
        <v>290.43716020696331</v>
      </c>
      <c r="BB111" s="1883">
        <f t="shared" ref="BB111:BB114" si="226">SUM(H111,M111,S111:T111,AD111:AE111)</f>
        <v>290.37517808140126</v>
      </c>
      <c r="BC111" s="1883">
        <f t="shared" ref="BC111:BC114" si="227">SUM(I111,N111,U111:V111,AF111:AG111)</f>
        <v>0</v>
      </c>
      <c r="BD111" s="1883">
        <f t="shared" ref="BD111:BD114" si="228">SUM(J111,O111,W111:X111,AH111:AI111)</f>
        <v>514.91900080600601</v>
      </c>
      <c r="BE111" s="1883">
        <f t="shared" ref="BE111:BE114" si="229">SUM(K111,P111,Y111:Z111,AJ111:AK111)</f>
        <v>1095.7313390943705</v>
      </c>
      <c r="BF111" s="1740"/>
      <c r="BG111" s="1740"/>
      <c r="BH111" s="1740"/>
      <c r="BI111" s="1768" t="e">
        <f>#REF!+#REF!+#REF!</f>
        <v>#REF!</v>
      </c>
      <c r="BJ111" s="1768" t="e">
        <f>#REF!+#REF!+#REF!</f>
        <v>#REF!</v>
      </c>
      <c r="BK111" s="1935" t="e">
        <f t="shared" ref="BK111:BK114" si="230">SUM(BI111:BJ111)</f>
        <v>#REF!</v>
      </c>
    </row>
    <row r="112" spans="1:63" ht="31.5">
      <c r="B112" s="1872"/>
      <c r="C112" s="1894" t="s">
        <v>3718</v>
      </c>
      <c r="D112" s="1895"/>
      <c r="E112" s="1896"/>
      <c r="F112" s="1895"/>
      <c r="G112" s="1897">
        <f t="shared" si="217"/>
        <v>225.58339607317387</v>
      </c>
      <c r="H112" s="1898">
        <f t="shared" si="217"/>
        <v>225.479851738999</v>
      </c>
      <c r="I112" s="1898">
        <f t="shared" si="217"/>
        <v>0</v>
      </c>
      <c r="J112" s="1779">
        <f>K112-G112-H112-I112</f>
        <v>600.5918764760645</v>
      </c>
      <c r="K112" s="1877">
        <f t="shared" si="158"/>
        <v>1051.6551242882374</v>
      </c>
      <c r="L112" s="1897">
        <f>L$16/$P$16*$P112</f>
        <v>1.956660366755671</v>
      </c>
      <c r="M112" s="1898">
        <f t="shared" si="218"/>
        <v>1.9557622461563324</v>
      </c>
      <c r="N112" s="1898">
        <f t="shared" si="218"/>
        <v>0</v>
      </c>
      <c r="O112" s="1898">
        <f t="shared" si="218"/>
        <v>5.2094007881455129</v>
      </c>
      <c r="P112" s="1877">
        <f t="shared" si="159"/>
        <v>9.1218234010575152</v>
      </c>
      <c r="Q112" s="1897">
        <f>Q$16/$AA$16*$AA112</f>
        <v>89.994925090817276</v>
      </c>
      <c r="R112" s="1899">
        <f t="shared" si="219"/>
        <v>89.994925090817262</v>
      </c>
      <c r="S112" s="1898">
        <f t="shared" si="219"/>
        <v>89.994925090817276</v>
      </c>
      <c r="T112" s="1898">
        <f t="shared" si="219"/>
        <v>89.994925090817262</v>
      </c>
      <c r="U112" s="1898">
        <f t="shared" si="219"/>
        <v>0</v>
      </c>
      <c r="V112" s="1898">
        <f t="shared" si="219"/>
        <v>0</v>
      </c>
      <c r="W112" s="1898">
        <f t="shared" si="219"/>
        <v>89.994925090817276</v>
      </c>
      <c r="X112" s="1900">
        <f t="shared" si="219"/>
        <v>89.994925090817262</v>
      </c>
      <c r="Y112" s="1901">
        <f t="shared" si="220"/>
        <v>269.98477527245183</v>
      </c>
      <c r="Z112" s="1901">
        <f t="shared" si="220"/>
        <v>269.98477527245177</v>
      </c>
      <c r="AA112" s="1877">
        <f t="shared" si="161"/>
        <v>539.96955054490365</v>
      </c>
      <c r="AB112" s="1897">
        <f>AB$16/$AL$16*$AL112</f>
        <v>41.021752218559698</v>
      </c>
      <c r="AC112" s="1899">
        <f t="shared" si="221"/>
        <v>41.021752218559698</v>
      </c>
      <c r="AD112" s="1898">
        <f t="shared" si="221"/>
        <v>41.021752218559698</v>
      </c>
      <c r="AE112" s="1898">
        <f t="shared" si="221"/>
        <v>41.021752218559698</v>
      </c>
      <c r="AF112" s="1898">
        <f t="shared" si="221"/>
        <v>0</v>
      </c>
      <c r="AG112" s="1898">
        <f t="shared" si="221"/>
        <v>0</v>
      </c>
      <c r="AH112" s="1898">
        <f t="shared" si="221"/>
        <v>41.021752218559698</v>
      </c>
      <c r="AI112" s="1900">
        <f t="shared" si="221"/>
        <v>41.021752218559698</v>
      </c>
      <c r="AJ112" s="1901">
        <f t="shared" si="222"/>
        <v>123.06525665567909</v>
      </c>
      <c r="AK112" s="1901">
        <f t="shared" si="222"/>
        <v>123.06525665567909</v>
      </c>
      <c r="AL112" s="1877">
        <f t="shared" si="172"/>
        <v>246.13051331135819</v>
      </c>
      <c r="AM112" s="1897">
        <f>AM$16/$AW$16*$AW112</f>
        <v>0</v>
      </c>
      <c r="AN112" s="1899">
        <f t="shared" si="223"/>
        <v>0</v>
      </c>
      <c r="AO112" s="1898">
        <f t="shared" si="223"/>
        <v>0</v>
      </c>
      <c r="AP112" s="1898">
        <f t="shared" si="223"/>
        <v>0</v>
      </c>
      <c r="AQ112" s="1898">
        <f t="shared" si="223"/>
        <v>0</v>
      </c>
      <c r="AR112" s="1898">
        <f t="shared" si="223"/>
        <v>0</v>
      </c>
      <c r="AS112" s="1898">
        <f t="shared" si="223"/>
        <v>0</v>
      </c>
      <c r="AT112" s="1900">
        <f t="shared" si="223"/>
        <v>0</v>
      </c>
      <c r="AU112" s="1901">
        <f t="shared" si="224"/>
        <v>0</v>
      </c>
      <c r="AV112" s="1901">
        <f t="shared" si="224"/>
        <v>0</v>
      </c>
      <c r="AW112" s="1877"/>
      <c r="AX112" s="1740"/>
      <c r="AY112" s="1740"/>
      <c r="AZ112" s="1740"/>
      <c r="BA112" s="1883">
        <f t="shared" si="225"/>
        <v>489.57341105868346</v>
      </c>
      <c r="BB112" s="1883">
        <f t="shared" si="226"/>
        <v>489.46896860390927</v>
      </c>
      <c r="BC112" s="1883">
        <f t="shared" si="227"/>
        <v>0</v>
      </c>
      <c r="BD112" s="1883">
        <f t="shared" si="228"/>
        <v>867.834631882964</v>
      </c>
      <c r="BE112" s="1883">
        <f t="shared" si="229"/>
        <v>1846.8770115455568</v>
      </c>
      <c r="BF112" s="1740"/>
      <c r="BG112" s="1740"/>
      <c r="BH112" s="1740"/>
      <c r="BI112" s="1768" t="e">
        <f>#REF!+#REF!+#REF!</f>
        <v>#REF!</v>
      </c>
      <c r="BJ112" s="1768" t="e">
        <f>#REF!+#REF!+#REF!</f>
        <v>#REF!</v>
      </c>
      <c r="BK112" s="1935" t="e">
        <f t="shared" si="230"/>
        <v>#REF!</v>
      </c>
    </row>
    <row r="113" spans="1:63" ht="47.25">
      <c r="B113" s="1872"/>
      <c r="C113" s="1894" t="s">
        <v>3781</v>
      </c>
      <c r="D113" s="1895"/>
      <c r="E113" s="1896"/>
      <c r="F113" s="1895"/>
      <c r="G113" s="1897">
        <f t="shared" si="217"/>
        <v>285.76195668002617</v>
      </c>
      <c r="H113" s="1898">
        <f t="shared" si="217"/>
        <v>285.63078997160699</v>
      </c>
      <c r="I113" s="1898">
        <f t="shared" si="217"/>
        <v>0</v>
      </c>
      <c r="J113" s="1779">
        <f>K113-G113-H113-I113</f>
        <v>760.81091416966376</v>
      </c>
      <c r="K113" s="1877">
        <f t="shared" si="158"/>
        <v>1332.203660821297</v>
      </c>
      <c r="L113" s="1897">
        <f>L$16/$P$16*$P113</f>
        <v>2.4786358601542955</v>
      </c>
      <c r="M113" s="1898">
        <f t="shared" si="218"/>
        <v>2.4774981492045125</v>
      </c>
      <c r="N113" s="1898">
        <f t="shared" si="218"/>
        <v>0</v>
      </c>
      <c r="O113" s="1898">
        <f t="shared" si="218"/>
        <v>6.5991052012890643</v>
      </c>
      <c r="P113" s="1877">
        <f t="shared" si="159"/>
        <v>11.555239210647871</v>
      </c>
      <c r="Q113" s="1897">
        <f>Q$16/$AA$16*$AA113</f>
        <v>115.97913721355604</v>
      </c>
      <c r="R113" s="1899">
        <f t="shared" si="219"/>
        <v>115.97913721355602</v>
      </c>
      <c r="S113" s="1898">
        <f t="shared" si="219"/>
        <v>115.97913721355604</v>
      </c>
      <c r="T113" s="1898">
        <f t="shared" si="219"/>
        <v>115.97913721355602</v>
      </c>
      <c r="U113" s="1898">
        <f t="shared" si="219"/>
        <v>0</v>
      </c>
      <c r="V113" s="1898">
        <f t="shared" si="219"/>
        <v>0</v>
      </c>
      <c r="W113" s="1898">
        <f t="shared" si="219"/>
        <v>115.97913721355604</v>
      </c>
      <c r="X113" s="1900">
        <f t="shared" si="219"/>
        <v>115.97913721355602</v>
      </c>
      <c r="Y113" s="1901">
        <f t="shared" si="220"/>
        <v>347.93741164066813</v>
      </c>
      <c r="Z113" s="1901">
        <f t="shared" si="220"/>
        <v>347.93741164066807</v>
      </c>
      <c r="AA113" s="1877">
        <f t="shared" si="161"/>
        <v>695.87482328133626</v>
      </c>
      <c r="AB113" s="1897">
        <f>AB$16/$AL$16*$AL113</f>
        <v>50.245859795476044</v>
      </c>
      <c r="AC113" s="1899">
        <f t="shared" si="221"/>
        <v>50.245859795476044</v>
      </c>
      <c r="AD113" s="1898">
        <f t="shared" si="221"/>
        <v>50.245859795476044</v>
      </c>
      <c r="AE113" s="1898">
        <f t="shared" si="221"/>
        <v>50.245859795476044</v>
      </c>
      <c r="AF113" s="1898">
        <f t="shared" si="221"/>
        <v>0</v>
      </c>
      <c r="AG113" s="1898">
        <f t="shared" si="221"/>
        <v>0</v>
      </c>
      <c r="AH113" s="1898">
        <f t="shared" si="221"/>
        <v>50.245859795476044</v>
      </c>
      <c r="AI113" s="1900">
        <f t="shared" si="221"/>
        <v>50.245859795476044</v>
      </c>
      <c r="AJ113" s="1901">
        <f t="shared" si="222"/>
        <v>150.73757938642814</v>
      </c>
      <c r="AK113" s="1901">
        <f t="shared" si="222"/>
        <v>150.73757938642814</v>
      </c>
      <c r="AL113" s="1877">
        <f t="shared" si="172"/>
        <v>301.47515877285628</v>
      </c>
      <c r="AM113" s="1897">
        <f>AM$16/$AW$16*$AW113</f>
        <v>0</v>
      </c>
      <c r="AN113" s="1899">
        <f t="shared" si="223"/>
        <v>0</v>
      </c>
      <c r="AO113" s="1898">
        <f t="shared" si="223"/>
        <v>0</v>
      </c>
      <c r="AP113" s="1898">
        <f t="shared" si="223"/>
        <v>0</v>
      </c>
      <c r="AQ113" s="1898">
        <f t="shared" si="223"/>
        <v>0</v>
      </c>
      <c r="AR113" s="1898">
        <f t="shared" si="223"/>
        <v>0</v>
      </c>
      <c r="AS113" s="1898">
        <f t="shared" si="223"/>
        <v>0</v>
      </c>
      <c r="AT113" s="1900">
        <f t="shared" si="223"/>
        <v>0</v>
      </c>
      <c r="AU113" s="1901">
        <f t="shared" si="224"/>
        <v>0</v>
      </c>
      <c r="AV113" s="1901">
        <f t="shared" si="224"/>
        <v>0</v>
      </c>
      <c r="AW113" s="1877"/>
      <c r="AX113" s="1740"/>
      <c r="AY113" s="1740"/>
      <c r="AZ113" s="1740"/>
      <c r="BA113" s="1883">
        <f t="shared" si="225"/>
        <v>620.69058655824449</v>
      </c>
      <c r="BB113" s="1883">
        <f t="shared" si="226"/>
        <v>620.5582821388756</v>
      </c>
      <c r="BC113" s="1883">
        <f t="shared" si="227"/>
        <v>0</v>
      </c>
      <c r="BD113" s="1883">
        <f t="shared" si="228"/>
        <v>1099.8600133890168</v>
      </c>
      <c r="BE113" s="1883">
        <f t="shared" si="229"/>
        <v>2341.1088820861373</v>
      </c>
      <c r="BF113" s="1740"/>
      <c r="BG113" s="1740"/>
      <c r="BH113" s="1740"/>
      <c r="BI113" s="1768" t="e">
        <f>#REF!+#REF!+#REF!</f>
        <v>#REF!</v>
      </c>
      <c r="BJ113" s="1768" t="e">
        <f>#REF!+#REF!+#REF!</f>
        <v>#REF!</v>
      </c>
      <c r="BK113" s="1935" t="e">
        <f t="shared" si="230"/>
        <v>#REF!</v>
      </c>
    </row>
    <row r="114" spans="1:63" ht="15.75">
      <c r="B114" s="1872"/>
      <c r="C114" s="1894" t="s">
        <v>3722</v>
      </c>
      <c r="D114" s="1895"/>
      <c r="E114" s="1896"/>
      <c r="F114" s="1895"/>
      <c r="G114" s="1897">
        <f t="shared" si="217"/>
        <v>7.921023762521771</v>
      </c>
      <c r="H114" s="1898">
        <f t="shared" si="217"/>
        <v>7.9173879580000248</v>
      </c>
      <c r="I114" s="1898">
        <f t="shared" si="217"/>
        <v>0</v>
      </c>
      <c r="J114" s="1779">
        <f>K114-G114-H114-I114</f>
        <v>21.088886008264954</v>
      </c>
      <c r="K114" s="1877">
        <f t="shared" si="158"/>
        <v>36.927297728786748</v>
      </c>
      <c r="L114" s="1897">
        <f>L$16/$P$16*$P114</f>
        <v>6.8705204062220998E-2</v>
      </c>
      <c r="M114" s="1898">
        <f t="shared" si="218"/>
        <v>6.867366789984021E-2</v>
      </c>
      <c r="N114" s="1898">
        <f t="shared" si="218"/>
        <v>0</v>
      </c>
      <c r="O114" s="1898">
        <f t="shared" si="218"/>
        <v>0.18292032192837127</v>
      </c>
      <c r="P114" s="1877">
        <f t="shared" si="159"/>
        <v>0.32029919389043243</v>
      </c>
      <c r="Q114" s="1897">
        <f>Q$16/$AA$16*$AA114</f>
        <v>3.0540187451975092</v>
      </c>
      <c r="R114" s="1899">
        <f t="shared" si="219"/>
        <v>3.0540187451975087</v>
      </c>
      <c r="S114" s="1898">
        <f t="shared" si="219"/>
        <v>3.0540187451975092</v>
      </c>
      <c r="T114" s="1898">
        <f t="shared" si="219"/>
        <v>3.0540187451975087</v>
      </c>
      <c r="U114" s="1898">
        <f t="shared" si="219"/>
        <v>0</v>
      </c>
      <c r="V114" s="1898">
        <f t="shared" si="219"/>
        <v>0</v>
      </c>
      <c r="W114" s="1898">
        <f t="shared" si="219"/>
        <v>3.0540187451975092</v>
      </c>
      <c r="X114" s="1900">
        <f t="shared" si="219"/>
        <v>3.0540187451975087</v>
      </c>
      <c r="Y114" s="1901">
        <f t="shared" si="220"/>
        <v>9.1620562355925266</v>
      </c>
      <c r="Z114" s="1901">
        <f t="shared" si="220"/>
        <v>9.1620562355925266</v>
      </c>
      <c r="AA114" s="1877">
        <f t="shared" si="161"/>
        <v>18.324112471185057</v>
      </c>
      <c r="AB114" s="1897">
        <f>AB$16/$AL$16*$AL114</f>
        <v>1.6120170677347645</v>
      </c>
      <c r="AC114" s="1899">
        <f t="shared" si="221"/>
        <v>1.6120170677347645</v>
      </c>
      <c r="AD114" s="1898">
        <f t="shared" si="221"/>
        <v>1.6120170677347645</v>
      </c>
      <c r="AE114" s="1898">
        <f t="shared" si="221"/>
        <v>1.6120170677347645</v>
      </c>
      <c r="AF114" s="1898">
        <f t="shared" si="221"/>
        <v>0</v>
      </c>
      <c r="AG114" s="1898">
        <f t="shared" si="221"/>
        <v>0</v>
      </c>
      <c r="AH114" s="1898">
        <f t="shared" si="221"/>
        <v>1.6120170677347645</v>
      </c>
      <c r="AI114" s="1900">
        <f t="shared" si="221"/>
        <v>1.6120170677347645</v>
      </c>
      <c r="AJ114" s="1901">
        <f t="shared" si="222"/>
        <v>4.8360512032042937</v>
      </c>
      <c r="AK114" s="1901">
        <f t="shared" si="222"/>
        <v>4.8360512032042937</v>
      </c>
      <c r="AL114" s="1877">
        <f t="shared" si="172"/>
        <v>9.6721024064085874</v>
      </c>
      <c r="AM114" s="1897">
        <f>AM$16/$AW$16*$AW114</f>
        <v>0</v>
      </c>
      <c r="AN114" s="1899">
        <f t="shared" si="223"/>
        <v>0</v>
      </c>
      <c r="AO114" s="1898">
        <f t="shared" si="223"/>
        <v>0</v>
      </c>
      <c r="AP114" s="1898">
        <f t="shared" si="223"/>
        <v>0</v>
      </c>
      <c r="AQ114" s="1898">
        <f t="shared" si="223"/>
        <v>0</v>
      </c>
      <c r="AR114" s="1898">
        <f t="shared" si="223"/>
        <v>0</v>
      </c>
      <c r="AS114" s="1898">
        <f t="shared" si="223"/>
        <v>0</v>
      </c>
      <c r="AT114" s="1900">
        <f t="shared" si="223"/>
        <v>0</v>
      </c>
      <c r="AU114" s="1901">
        <f t="shared" si="224"/>
        <v>0</v>
      </c>
      <c r="AV114" s="1901">
        <f t="shared" si="224"/>
        <v>0</v>
      </c>
      <c r="AW114" s="1877"/>
      <c r="AX114" s="1740"/>
      <c r="AY114" s="1740"/>
      <c r="AZ114" s="1740"/>
      <c r="BA114" s="1883">
        <f t="shared" si="225"/>
        <v>17.32180059244854</v>
      </c>
      <c r="BB114" s="1883">
        <f t="shared" si="226"/>
        <v>17.318133251764412</v>
      </c>
      <c r="BC114" s="1883">
        <f t="shared" si="227"/>
        <v>0</v>
      </c>
      <c r="BD114" s="1883">
        <f t="shared" si="228"/>
        <v>30.603877956057875</v>
      </c>
      <c r="BE114" s="1883">
        <f t="shared" si="229"/>
        <v>65.243811800270819</v>
      </c>
      <c r="BF114" s="1740"/>
      <c r="BG114" s="1740"/>
      <c r="BH114" s="1740"/>
      <c r="BI114" s="1768" t="e">
        <f>#REF!+#REF!+#REF!</f>
        <v>#REF!</v>
      </c>
      <c r="BJ114" s="1768" t="e">
        <f>#REF!+#REF!+#REF!</f>
        <v>#REF!</v>
      </c>
      <c r="BK114" s="1935" t="e">
        <f t="shared" si="230"/>
        <v>#REF!</v>
      </c>
    </row>
    <row r="115" spans="1:63" ht="31.5">
      <c r="B115" s="1872"/>
      <c r="C115" s="1894" t="s">
        <v>3782</v>
      </c>
      <c r="D115" s="1895"/>
      <c r="E115" s="1896"/>
      <c r="F115" s="1895"/>
      <c r="G115" s="1902">
        <f>SUM(G116,G117)</f>
        <v>20416.367463618382</v>
      </c>
      <c r="H115" s="1903">
        <f t="shared" ref="H115:J115" si="231">SUM(H116,H117)</f>
        <v>20406.996210183559</v>
      </c>
      <c r="I115" s="1903">
        <f t="shared" si="231"/>
        <v>0</v>
      </c>
      <c r="J115" s="1903">
        <f t="shared" si="231"/>
        <v>54356.413899460778</v>
      </c>
      <c r="K115" s="1877">
        <f t="shared" si="158"/>
        <v>95179.77757326272</v>
      </c>
      <c r="L115" s="1902">
        <f>SUM(L116,L117)</f>
        <v>728.56063977577082</v>
      </c>
      <c r="M115" s="1903">
        <f t="shared" ref="M115:O115" si="232">SUM(M116,M117)</f>
        <v>728.22622541875342</v>
      </c>
      <c r="N115" s="1903">
        <f t="shared" si="232"/>
        <v>0</v>
      </c>
      <c r="O115" s="1903">
        <f t="shared" si="232"/>
        <v>1939.7154639324424</v>
      </c>
      <c r="P115" s="1877">
        <f t="shared" si="159"/>
        <v>3396.5023291269663</v>
      </c>
      <c r="Q115" s="1902">
        <f>SUM(Q116,Q117)</f>
        <v>15191.342214329847</v>
      </c>
      <c r="R115" s="1904">
        <f t="shared" ref="R115:Z115" si="233">SUM(R116,R117)</f>
        <v>15191.342214329843</v>
      </c>
      <c r="S115" s="1903">
        <f t="shared" si="233"/>
        <v>15191.342214329847</v>
      </c>
      <c r="T115" s="1903">
        <f t="shared" si="233"/>
        <v>15191.342214329843</v>
      </c>
      <c r="U115" s="1903">
        <f t="shared" si="233"/>
        <v>0</v>
      </c>
      <c r="V115" s="1903">
        <f t="shared" si="233"/>
        <v>0</v>
      </c>
      <c r="W115" s="1903">
        <f t="shared" si="233"/>
        <v>15191.342214329847</v>
      </c>
      <c r="X115" s="1901">
        <f t="shared" si="233"/>
        <v>15191.342214329843</v>
      </c>
      <c r="Y115" s="1901">
        <f t="shared" si="233"/>
        <v>45574.026642989542</v>
      </c>
      <c r="Z115" s="1901">
        <f t="shared" si="233"/>
        <v>45574.026642989527</v>
      </c>
      <c r="AA115" s="1877">
        <f t="shared" si="161"/>
        <v>91148.053285979084</v>
      </c>
      <c r="AB115" s="1902">
        <f>SUM(AB116,AB117)</f>
        <v>9436.9595252977942</v>
      </c>
      <c r="AC115" s="1904">
        <f t="shared" ref="AC115:AK115" si="234">SUM(AC116,AC117)</f>
        <v>9436.9595252977942</v>
      </c>
      <c r="AD115" s="1903">
        <f t="shared" si="234"/>
        <v>9436.9595252977942</v>
      </c>
      <c r="AE115" s="1903">
        <f t="shared" si="234"/>
        <v>9436.9595252977942</v>
      </c>
      <c r="AF115" s="1903">
        <f t="shared" si="234"/>
        <v>0</v>
      </c>
      <c r="AG115" s="1903">
        <f t="shared" si="234"/>
        <v>0</v>
      </c>
      <c r="AH115" s="1903">
        <f t="shared" si="234"/>
        <v>9436.9595252977942</v>
      </c>
      <c r="AI115" s="1901">
        <f t="shared" si="234"/>
        <v>9436.9595252977942</v>
      </c>
      <c r="AJ115" s="1901">
        <f t="shared" si="234"/>
        <v>28310.878575893381</v>
      </c>
      <c r="AK115" s="1901">
        <f t="shared" si="234"/>
        <v>28310.878575893381</v>
      </c>
      <c r="AL115" s="1877">
        <f t="shared" si="172"/>
        <v>56621.757151786769</v>
      </c>
      <c r="AM115" s="1902">
        <f>SUM(AM116,AM117)</f>
        <v>0</v>
      </c>
      <c r="AN115" s="1904">
        <f t="shared" ref="AN115:AV115" si="235">SUM(AN116,AN117)</f>
        <v>0</v>
      </c>
      <c r="AO115" s="1903">
        <f t="shared" si="235"/>
        <v>0</v>
      </c>
      <c r="AP115" s="1903">
        <f t="shared" si="235"/>
        <v>0</v>
      </c>
      <c r="AQ115" s="1903">
        <f t="shared" si="235"/>
        <v>0</v>
      </c>
      <c r="AR115" s="1903">
        <f t="shared" si="235"/>
        <v>0</v>
      </c>
      <c r="AS115" s="1903">
        <f t="shared" si="235"/>
        <v>0</v>
      </c>
      <c r="AT115" s="1901">
        <f t="shared" si="235"/>
        <v>0</v>
      </c>
      <c r="AU115" s="1901">
        <f t="shared" si="235"/>
        <v>0</v>
      </c>
      <c r="AV115" s="1901">
        <f t="shared" si="235"/>
        <v>0</v>
      </c>
      <c r="AW115" s="1877"/>
      <c r="AX115" s="1740"/>
      <c r="AY115" s="1740"/>
      <c r="AZ115" s="1740"/>
      <c r="BA115" s="1902">
        <f>SUM(BA116,BA117)</f>
        <v>70401.531582649433</v>
      </c>
      <c r="BB115" s="1902">
        <f t="shared" ref="BB115:BE115" si="236">SUM(BB116,BB117)</f>
        <v>70391.825914857589</v>
      </c>
      <c r="BC115" s="1902">
        <f t="shared" si="236"/>
        <v>0</v>
      </c>
      <c r="BD115" s="1902">
        <f t="shared" si="236"/>
        <v>105552.73284264849</v>
      </c>
      <c r="BE115" s="1902">
        <f t="shared" si="236"/>
        <v>246346.09034015553</v>
      </c>
      <c r="BF115" s="1740"/>
      <c r="BG115" s="1740"/>
      <c r="BH115" s="1740"/>
      <c r="BI115" s="1905" t="e">
        <f>SUM(BI116,BI117)</f>
        <v>#REF!</v>
      </c>
      <c r="BJ115" s="1905" t="e">
        <f t="shared" ref="BJ115:BK115" si="237">SUM(BJ116,BJ117)</f>
        <v>#REF!</v>
      </c>
      <c r="BK115" s="1964" t="e">
        <f t="shared" si="237"/>
        <v>#REF!</v>
      </c>
    </row>
    <row r="116" spans="1:63" ht="31.5">
      <c r="B116" s="1907"/>
      <c r="C116" s="1908" t="s">
        <v>3768</v>
      </c>
      <c r="D116" s="1895"/>
      <c r="E116" s="1896"/>
      <c r="F116" s="1895"/>
      <c r="G116" s="1897">
        <f>G$14/$K$14*$K116</f>
        <v>0</v>
      </c>
      <c r="H116" s="1898">
        <f t="shared" ref="H116:I116" si="238">H$14/$K$14*$K116</f>
        <v>0</v>
      </c>
      <c r="I116" s="1898">
        <f t="shared" si="238"/>
        <v>0</v>
      </c>
      <c r="J116" s="1898">
        <f>J$14/$K$14*$K116</f>
        <v>0</v>
      </c>
      <c r="K116" s="1877">
        <f t="shared" si="158"/>
        <v>0</v>
      </c>
      <c r="L116" s="1897">
        <f>L$14/$P14*$P116</f>
        <v>0</v>
      </c>
      <c r="M116" s="1898">
        <f>M$14/$P14*$P116</f>
        <v>0</v>
      </c>
      <c r="N116" s="1898">
        <f>N$14/$P14*$P116</f>
        <v>0</v>
      </c>
      <c r="O116" s="1898">
        <f>O$14/$P14*$P116</f>
        <v>0</v>
      </c>
      <c r="P116" s="1877">
        <f t="shared" si="159"/>
        <v>0</v>
      </c>
      <c r="Q116" s="1897">
        <f>Q$14/$AA$14*$AA116</f>
        <v>0</v>
      </c>
      <c r="R116" s="1899">
        <f t="shared" ref="R116:X116" si="239">R$14/$AA$14*$AA116</f>
        <v>0</v>
      </c>
      <c r="S116" s="1898">
        <f t="shared" si="239"/>
        <v>0</v>
      </c>
      <c r="T116" s="1898">
        <f t="shared" si="239"/>
        <v>0</v>
      </c>
      <c r="U116" s="1898">
        <f t="shared" si="239"/>
        <v>0</v>
      </c>
      <c r="V116" s="1898">
        <f t="shared" si="239"/>
        <v>0</v>
      </c>
      <c r="W116" s="1898">
        <f t="shared" si="239"/>
        <v>0</v>
      </c>
      <c r="X116" s="1900">
        <f t="shared" si="239"/>
        <v>0</v>
      </c>
      <c r="Y116" s="1901">
        <f t="shared" ref="Y116:Z117" si="240">SUM(Q116,S116,U116,W116)</f>
        <v>0</v>
      </c>
      <c r="Z116" s="1901">
        <f t="shared" si="240"/>
        <v>0</v>
      </c>
      <c r="AA116" s="1877">
        <f t="shared" si="161"/>
        <v>0</v>
      </c>
      <c r="AB116" s="1897">
        <f>AB$14/$AL$14*$AL116</f>
        <v>0</v>
      </c>
      <c r="AC116" s="1899">
        <f t="shared" ref="AC116:AI116" si="241">AC$14/$AL$14*$AL116</f>
        <v>0</v>
      </c>
      <c r="AD116" s="1898">
        <f t="shared" si="241"/>
        <v>0</v>
      </c>
      <c r="AE116" s="1898">
        <f t="shared" si="241"/>
        <v>0</v>
      </c>
      <c r="AF116" s="1898">
        <f t="shared" si="241"/>
        <v>0</v>
      </c>
      <c r="AG116" s="1898">
        <f t="shared" si="241"/>
        <v>0</v>
      </c>
      <c r="AH116" s="1898">
        <f t="shared" si="241"/>
        <v>0</v>
      </c>
      <c r="AI116" s="1900">
        <f t="shared" si="241"/>
        <v>0</v>
      </c>
      <c r="AJ116" s="1901">
        <f t="shared" ref="AJ116:AK117" si="242">SUM(AB116,AD116,AF116,AH116)</f>
        <v>0</v>
      </c>
      <c r="AK116" s="1901">
        <f t="shared" si="242"/>
        <v>0</v>
      </c>
      <c r="AL116" s="1877">
        <f t="shared" si="172"/>
        <v>0</v>
      </c>
      <c r="AM116" s="1897">
        <f>AM$14/$AW$14*$AW116</f>
        <v>0</v>
      </c>
      <c r="AN116" s="1899">
        <f t="shared" ref="AN116:AT116" si="243">AN$14/$AW$14*$AW116</f>
        <v>0</v>
      </c>
      <c r="AO116" s="1898">
        <f t="shared" si="243"/>
        <v>0</v>
      </c>
      <c r="AP116" s="1898">
        <f t="shared" si="243"/>
        <v>0</v>
      </c>
      <c r="AQ116" s="1898">
        <f t="shared" si="243"/>
        <v>0</v>
      </c>
      <c r="AR116" s="1898">
        <f t="shared" si="243"/>
        <v>0</v>
      </c>
      <c r="AS116" s="1898">
        <f t="shared" si="243"/>
        <v>0</v>
      </c>
      <c r="AT116" s="1900">
        <f t="shared" si="243"/>
        <v>0</v>
      </c>
      <c r="AU116" s="1901">
        <f t="shared" ref="AU116:AV117" si="244">SUM(AM116,AO116,AQ116,AS116)</f>
        <v>0</v>
      </c>
      <c r="AV116" s="1901">
        <f t="shared" si="244"/>
        <v>0</v>
      </c>
      <c r="AW116" s="1877"/>
      <c r="AX116" s="1740"/>
      <c r="AY116" s="1740"/>
      <c r="AZ116" s="1740"/>
      <c r="BA116" s="1883">
        <f t="shared" ref="BA116:BA123" si="245">SUM(G116,L116,Q116:R116,AB116:AC116)</f>
        <v>0</v>
      </c>
      <c r="BB116" s="1883">
        <f t="shared" ref="BB116:BB123" si="246">SUM(H116,M116,S116:T116,AD116:AE116)</f>
        <v>0</v>
      </c>
      <c r="BC116" s="1883">
        <f t="shared" ref="BC116:BC123" si="247">SUM(I116,N116,U116:V116,AF116:AG116)</f>
        <v>0</v>
      </c>
      <c r="BD116" s="1883">
        <f t="shared" ref="BD116:BD123" si="248">SUM(J116,O116,W116:X116,AH116:AI116)</f>
        <v>0</v>
      </c>
      <c r="BE116" s="1883">
        <f t="shared" ref="BE116:BE123" si="249">SUM(K116,P116,Y116:Z116,AJ116:AK116)</f>
        <v>0</v>
      </c>
      <c r="BF116" s="1740"/>
      <c r="BG116" s="1740"/>
      <c r="BH116" s="1740"/>
      <c r="BI116" s="1768" t="e">
        <f>#REF!+#REF!+#REF!</f>
        <v>#REF!</v>
      </c>
      <c r="BJ116" s="1768" t="e">
        <f>#REF!+#REF!+#REF!</f>
        <v>#REF!</v>
      </c>
      <c r="BK116" s="1935" t="e">
        <f t="shared" ref="BK116" si="250">SUM(BI116:BJ116)</f>
        <v>#REF!</v>
      </c>
    </row>
    <row r="117" spans="1:63" ht="15.75">
      <c r="B117" s="1907"/>
      <c r="C117" s="1909" t="s">
        <v>3769</v>
      </c>
      <c r="D117" s="1895"/>
      <c r="E117" s="1896"/>
      <c r="F117" s="1895"/>
      <c r="G117" s="1897">
        <f>G$16/$K$16*$K117</f>
        <v>20416.367463618382</v>
      </c>
      <c r="H117" s="1898">
        <f>H$16/$K$16*$K117</f>
        <v>20406.996210183559</v>
      </c>
      <c r="I117" s="1898">
        <f>I$16/$K$16*$K117</f>
        <v>0</v>
      </c>
      <c r="J117" s="1779">
        <f>K117-G117-H117-I117</f>
        <v>54356.413899460778</v>
      </c>
      <c r="K117" s="1910">
        <f t="shared" si="158"/>
        <v>95179.77757326272</v>
      </c>
      <c r="L117" s="1897">
        <f>L$16/$P$16*$P117</f>
        <v>728.56063977577082</v>
      </c>
      <c r="M117" s="1898">
        <f t="shared" ref="M117:O117" si="251">M$16/$P$16*$P117</f>
        <v>728.22622541875342</v>
      </c>
      <c r="N117" s="1898">
        <f t="shared" si="251"/>
        <v>0</v>
      </c>
      <c r="O117" s="1898">
        <f t="shared" si="251"/>
        <v>1939.7154639324424</v>
      </c>
      <c r="P117" s="1910">
        <f t="shared" si="159"/>
        <v>3396.5023291269663</v>
      </c>
      <c r="Q117" s="1897">
        <f>Q$16/$AA$16*$AA117</f>
        <v>15191.342214329847</v>
      </c>
      <c r="R117" s="1899">
        <f t="shared" ref="R117:X117" si="252">R$16/$AA$16*$AA117</f>
        <v>15191.342214329843</v>
      </c>
      <c r="S117" s="1898">
        <f t="shared" si="252"/>
        <v>15191.342214329847</v>
      </c>
      <c r="T117" s="1898">
        <f t="shared" si="252"/>
        <v>15191.342214329843</v>
      </c>
      <c r="U117" s="1898">
        <f t="shared" si="252"/>
        <v>0</v>
      </c>
      <c r="V117" s="1898">
        <f t="shared" si="252"/>
        <v>0</v>
      </c>
      <c r="W117" s="1898">
        <f t="shared" si="252"/>
        <v>15191.342214329847</v>
      </c>
      <c r="X117" s="1900">
        <f t="shared" si="252"/>
        <v>15191.342214329843</v>
      </c>
      <c r="Y117" s="1901">
        <f t="shared" si="240"/>
        <v>45574.026642989542</v>
      </c>
      <c r="Z117" s="1901">
        <f t="shared" si="240"/>
        <v>45574.026642989527</v>
      </c>
      <c r="AA117" s="1910">
        <f t="shared" si="161"/>
        <v>91148.053285979084</v>
      </c>
      <c r="AB117" s="1897">
        <f>AB$16/$AL$16*$AL117</f>
        <v>9436.9595252977942</v>
      </c>
      <c r="AC117" s="1899">
        <f t="shared" ref="AC117:AI117" si="253">AC$16/$AL$16*$AL117</f>
        <v>9436.9595252977942</v>
      </c>
      <c r="AD117" s="1898">
        <f t="shared" si="253"/>
        <v>9436.9595252977942</v>
      </c>
      <c r="AE117" s="1898">
        <f t="shared" si="253"/>
        <v>9436.9595252977942</v>
      </c>
      <c r="AF117" s="1898">
        <f t="shared" si="253"/>
        <v>0</v>
      </c>
      <c r="AG117" s="1898">
        <f t="shared" si="253"/>
        <v>0</v>
      </c>
      <c r="AH117" s="1898">
        <f t="shared" si="253"/>
        <v>9436.9595252977942</v>
      </c>
      <c r="AI117" s="1900">
        <f t="shared" si="253"/>
        <v>9436.9595252977942</v>
      </c>
      <c r="AJ117" s="1901">
        <f t="shared" si="242"/>
        <v>28310.878575893381</v>
      </c>
      <c r="AK117" s="1901">
        <f t="shared" si="242"/>
        <v>28310.878575893381</v>
      </c>
      <c r="AL117" s="1910">
        <f t="shared" si="172"/>
        <v>56621.757151786769</v>
      </c>
      <c r="AM117" s="1897">
        <f>AM$16/$AW$16*$AW117</f>
        <v>0</v>
      </c>
      <c r="AN117" s="1899">
        <f t="shared" ref="AN117:AT117" si="254">AN$16/$AW$16*$AW117</f>
        <v>0</v>
      </c>
      <c r="AO117" s="1898">
        <f t="shared" si="254"/>
        <v>0</v>
      </c>
      <c r="AP117" s="1898">
        <f t="shared" si="254"/>
        <v>0</v>
      </c>
      <c r="AQ117" s="1898">
        <f t="shared" si="254"/>
        <v>0</v>
      </c>
      <c r="AR117" s="1898">
        <f t="shared" si="254"/>
        <v>0</v>
      </c>
      <c r="AS117" s="1898">
        <f t="shared" si="254"/>
        <v>0</v>
      </c>
      <c r="AT117" s="1900">
        <f t="shared" si="254"/>
        <v>0</v>
      </c>
      <c r="AU117" s="1901">
        <f t="shared" si="244"/>
        <v>0</v>
      </c>
      <c r="AV117" s="1901">
        <f t="shared" si="244"/>
        <v>0</v>
      </c>
      <c r="AW117" s="1910"/>
      <c r="AX117" s="1740"/>
      <c r="AY117" s="1740"/>
      <c r="AZ117" s="1740"/>
      <c r="BA117" s="1883">
        <f t="shared" si="245"/>
        <v>70401.531582649433</v>
      </c>
      <c r="BB117" s="1883">
        <f t="shared" si="246"/>
        <v>70391.825914857589</v>
      </c>
      <c r="BC117" s="1883">
        <f t="shared" si="247"/>
        <v>0</v>
      </c>
      <c r="BD117" s="1883">
        <f t="shared" si="248"/>
        <v>105552.73284264849</v>
      </c>
      <c r="BE117" s="1883">
        <f t="shared" si="249"/>
        <v>246346.09034015553</v>
      </c>
      <c r="BF117" s="1740"/>
      <c r="BG117" s="1740"/>
      <c r="BH117" s="1740"/>
      <c r="BI117" s="1768" t="e">
        <f>#REF!+#REF!+#REF!</f>
        <v>#REF!</v>
      </c>
      <c r="BJ117" s="1768" t="e">
        <f>#REF!+#REF!+#REF!</f>
        <v>#REF!</v>
      </c>
      <c r="BK117" s="1935" t="e">
        <f>SUM(BI117:BJ117)</f>
        <v>#REF!</v>
      </c>
    </row>
    <row r="118" spans="1:63" ht="15.75">
      <c r="A118" s="1739">
        <f>A107+1</f>
        <v>6</v>
      </c>
      <c r="B118" s="1872" t="str">
        <f>CONCATENATE($B$25,".",A118)</f>
        <v>8.6</v>
      </c>
      <c r="C118" s="1873" t="s">
        <v>3726</v>
      </c>
      <c r="D118" s="1874"/>
      <c r="E118" s="1875"/>
      <c r="F118" s="1874"/>
      <c r="G118" s="1889">
        <f>SUM(G119:G123)</f>
        <v>1847.0023431009859</v>
      </c>
      <c r="H118" s="1890">
        <f t="shared" ref="H118:I118" si="255">SUM(H119:H123)</f>
        <v>1846.1545562905869</v>
      </c>
      <c r="I118" s="1890">
        <f t="shared" si="255"/>
        <v>0</v>
      </c>
      <c r="J118" s="1890">
        <f>SUM(J119:J123)</f>
        <v>75647.073552230693</v>
      </c>
      <c r="K118" s="1877">
        <f t="shared" si="158"/>
        <v>79340.23045162225</v>
      </c>
      <c r="L118" s="1889">
        <f>SUM(L119:L123)</f>
        <v>660.30810550874969</v>
      </c>
      <c r="M118" s="1890">
        <f t="shared" ref="M118:N118" si="256">SUM(M119:M123)</f>
        <v>660.00501953555602</v>
      </c>
      <c r="N118" s="1890">
        <f t="shared" si="256"/>
        <v>0</v>
      </c>
      <c r="O118" s="1890">
        <f>SUM(O119:O123)</f>
        <v>1758.0003273433099</v>
      </c>
      <c r="P118" s="1877">
        <f t="shared" si="159"/>
        <v>3078.3134523876147</v>
      </c>
      <c r="Q118" s="1889">
        <f t="shared" ref="Q118:Z118" si="257">SUM(Q119:Q123)</f>
        <v>11895.061178542759</v>
      </c>
      <c r="R118" s="1891">
        <f t="shared" si="257"/>
        <v>11895.061178542757</v>
      </c>
      <c r="S118" s="1889">
        <f t="shared" si="257"/>
        <v>11895.061178542759</v>
      </c>
      <c r="T118" s="1891">
        <f t="shared" si="257"/>
        <v>11895.061178542757</v>
      </c>
      <c r="U118" s="1889">
        <f t="shared" si="257"/>
        <v>0</v>
      </c>
      <c r="V118" s="1891">
        <f t="shared" si="257"/>
        <v>0</v>
      </c>
      <c r="W118" s="1889">
        <f t="shared" si="257"/>
        <v>11895.061178542759</v>
      </c>
      <c r="X118" s="1891">
        <f t="shared" si="257"/>
        <v>11895.061178542757</v>
      </c>
      <c r="Y118" s="1889">
        <f t="shared" si="257"/>
        <v>35685.183535628275</v>
      </c>
      <c r="Z118" s="1891">
        <f t="shared" si="257"/>
        <v>35685.183535628275</v>
      </c>
      <c r="AA118" s="1877">
        <f t="shared" si="161"/>
        <v>71370.367071256551</v>
      </c>
      <c r="AB118" s="1889">
        <f t="shared" ref="AB118:AK118" si="258">SUM(AB119:AB122)</f>
        <v>8431.67536263888</v>
      </c>
      <c r="AC118" s="1891">
        <f t="shared" si="258"/>
        <v>8431.67536263888</v>
      </c>
      <c r="AD118" s="1890">
        <f t="shared" si="258"/>
        <v>8431.67536263888</v>
      </c>
      <c r="AE118" s="1890">
        <f t="shared" si="258"/>
        <v>8431.67536263888</v>
      </c>
      <c r="AF118" s="1890">
        <f t="shared" si="258"/>
        <v>0</v>
      </c>
      <c r="AG118" s="1890">
        <f t="shared" si="258"/>
        <v>0</v>
      </c>
      <c r="AH118" s="1890">
        <f t="shared" si="258"/>
        <v>8431.67536263888</v>
      </c>
      <c r="AI118" s="1892">
        <f t="shared" si="258"/>
        <v>8431.67536263888</v>
      </c>
      <c r="AJ118" s="1892">
        <f t="shared" si="258"/>
        <v>25295.026087916642</v>
      </c>
      <c r="AK118" s="1892">
        <f t="shared" si="258"/>
        <v>25295.026087916642</v>
      </c>
      <c r="AL118" s="1877">
        <f t="shared" si="172"/>
        <v>50590.052175833283</v>
      </c>
      <c r="AM118" s="1889">
        <f t="shared" ref="AM118:AV118" si="259">SUM(AM119:AM122)</f>
        <v>0</v>
      </c>
      <c r="AN118" s="1891">
        <f t="shared" si="259"/>
        <v>0</v>
      </c>
      <c r="AO118" s="1890">
        <f t="shared" si="259"/>
        <v>0</v>
      </c>
      <c r="AP118" s="1890">
        <f t="shared" si="259"/>
        <v>0</v>
      </c>
      <c r="AQ118" s="1890">
        <f t="shared" si="259"/>
        <v>0</v>
      </c>
      <c r="AR118" s="1890">
        <f t="shared" si="259"/>
        <v>0</v>
      </c>
      <c r="AS118" s="1890">
        <f t="shared" si="259"/>
        <v>0</v>
      </c>
      <c r="AT118" s="1892">
        <f t="shared" si="259"/>
        <v>0</v>
      </c>
      <c r="AU118" s="1892">
        <f t="shared" si="259"/>
        <v>0</v>
      </c>
      <c r="AV118" s="1892">
        <f t="shared" si="259"/>
        <v>0</v>
      </c>
      <c r="AW118" s="1877"/>
      <c r="AX118" s="1740"/>
      <c r="AY118" s="1740"/>
      <c r="AZ118" s="1740"/>
      <c r="BA118" s="1883">
        <f t="shared" si="245"/>
        <v>43160.783530973014</v>
      </c>
      <c r="BB118" s="1883">
        <f t="shared" si="246"/>
        <v>43159.632658189425</v>
      </c>
      <c r="BC118" s="1883">
        <f t="shared" si="247"/>
        <v>0</v>
      </c>
      <c r="BD118" s="1883">
        <f t="shared" si="248"/>
        <v>118058.54696193729</v>
      </c>
      <c r="BE118" s="1883">
        <f t="shared" si="249"/>
        <v>204378.96315109968</v>
      </c>
      <c r="BF118" s="1740"/>
      <c r="BG118" s="1740"/>
      <c r="BH118" s="1740"/>
      <c r="BI118" s="1871" t="e">
        <f>SUM(BI119:BI122)</f>
        <v>#REF!</v>
      </c>
      <c r="BJ118" s="1871" t="e">
        <f>SUM(BJ119:BJ122)</f>
        <v>#REF!</v>
      </c>
      <c r="BK118" s="1962" t="e">
        <f>SUM(BK119:BK122)</f>
        <v>#REF!</v>
      </c>
    </row>
    <row r="119" spans="1:63" ht="15.75">
      <c r="B119" s="1872"/>
      <c r="C119" s="1887" t="s">
        <v>3783</v>
      </c>
      <c r="D119" s="1874"/>
      <c r="E119" s="1875"/>
      <c r="F119" s="1874"/>
      <c r="G119" s="1878">
        <f t="shared" ref="G119:I122" si="260">G$16/$K$16*$K119</f>
        <v>0</v>
      </c>
      <c r="H119" s="1880">
        <f t="shared" si="260"/>
        <v>0</v>
      </c>
      <c r="I119" s="1880">
        <f t="shared" si="260"/>
        <v>0</v>
      </c>
      <c r="J119" s="1779">
        <f>K119-G119-H119-I119</f>
        <v>0</v>
      </c>
      <c r="K119" s="1877">
        <f t="shared" si="158"/>
        <v>0</v>
      </c>
      <c r="L119" s="1878">
        <f t="shared" ref="L119:O122" si="261">L$16/$P$16*$P119</f>
        <v>0</v>
      </c>
      <c r="M119" s="1880">
        <f t="shared" si="261"/>
        <v>0</v>
      </c>
      <c r="N119" s="1880">
        <f t="shared" si="261"/>
        <v>0</v>
      </c>
      <c r="O119" s="1880">
        <f t="shared" si="261"/>
        <v>0</v>
      </c>
      <c r="P119" s="1877">
        <f t="shared" si="159"/>
        <v>0</v>
      </c>
      <c r="Q119" s="1878">
        <f>Q$16/$AA$16*$AA119</f>
        <v>0</v>
      </c>
      <c r="R119" s="1879">
        <f t="shared" ref="R119:X122" si="262">R$16/$AA$16*$AA119</f>
        <v>0</v>
      </c>
      <c r="S119" s="1880">
        <f t="shared" si="262"/>
        <v>0</v>
      </c>
      <c r="T119" s="1880">
        <f t="shared" si="262"/>
        <v>0</v>
      </c>
      <c r="U119" s="1880">
        <f t="shared" si="262"/>
        <v>0</v>
      </c>
      <c r="V119" s="1880">
        <f t="shared" si="262"/>
        <v>0</v>
      </c>
      <c r="W119" s="1880">
        <f t="shared" si="262"/>
        <v>0</v>
      </c>
      <c r="X119" s="1881">
        <f t="shared" si="262"/>
        <v>0</v>
      </c>
      <c r="Y119" s="1882">
        <f t="shared" ref="Y119:Z123" si="263">SUM(Q119,S119,U119,W119)</f>
        <v>0</v>
      </c>
      <c r="Z119" s="1882">
        <f t="shared" si="263"/>
        <v>0</v>
      </c>
      <c r="AA119" s="1877">
        <f t="shared" si="161"/>
        <v>0</v>
      </c>
      <c r="AB119" s="1878">
        <f>AB$16/$AL$16*$AL119</f>
        <v>0</v>
      </c>
      <c r="AC119" s="1879">
        <f t="shared" ref="AC119:AI122" si="264">AC$16/$AL$16*$AL119</f>
        <v>0</v>
      </c>
      <c r="AD119" s="1880">
        <f t="shared" si="264"/>
        <v>0</v>
      </c>
      <c r="AE119" s="1880">
        <f t="shared" si="264"/>
        <v>0</v>
      </c>
      <c r="AF119" s="1880">
        <f t="shared" si="264"/>
        <v>0</v>
      </c>
      <c r="AG119" s="1880">
        <f t="shared" si="264"/>
        <v>0</v>
      </c>
      <c r="AH119" s="1880">
        <f t="shared" si="264"/>
        <v>0</v>
      </c>
      <c r="AI119" s="1881">
        <f t="shared" si="264"/>
        <v>0</v>
      </c>
      <c r="AJ119" s="1882">
        <f t="shared" ref="AJ119:AK123" si="265">SUM(AB119,AD119,AF119,AH119)</f>
        <v>0</v>
      </c>
      <c r="AK119" s="1882">
        <f t="shared" si="265"/>
        <v>0</v>
      </c>
      <c r="AL119" s="1877">
        <f t="shared" si="172"/>
        <v>0</v>
      </c>
      <c r="AM119" s="1878">
        <f>AM$16/$AW$16*$AW119</f>
        <v>0</v>
      </c>
      <c r="AN119" s="1879">
        <f t="shared" ref="AN119:AT122" si="266">AN$16/$AW$16*$AW119</f>
        <v>0</v>
      </c>
      <c r="AO119" s="1880">
        <f t="shared" si="266"/>
        <v>0</v>
      </c>
      <c r="AP119" s="1880">
        <f t="shared" si="266"/>
        <v>0</v>
      </c>
      <c r="AQ119" s="1880">
        <f t="shared" si="266"/>
        <v>0</v>
      </c>
      <c r="AR119" s="1880">
        <f t="shared" si="266"/>
        <v>0</v>
      </c>
      <c r="AS119" s="1880">
        <f t="shared" si="266"/>
        <v>0</v>
      </c>
      <c r="AT119" s="1881">
        <f t="shared" si="266"/>
        <v>0</v>
      </c>
      <c r="AU119" s="1882">
        <f t="shared" ref="AU119:AV123" si="267">SUM(AM119,AO119,AQ119,AS119)</f>
        <v>0</v>
      </c>
      <c r="AV119" s="1882">
        <f t="shared" si="267"/>
        <v>0</v>
      </c>
      <c r="AW119" s="1877"/>
      <c r="AX119" s="1740"/>
      <c r="AY119" s="1740"/>
      <c r="AZ119" s="1740"/>
      <c r="BA119" s="1883">
        <f t="shared" si="245"/>
        <v>0</v>
      </c>
      <c r="BB119" s="1883">
        <f t="shared" si="246"/>
        <v>0</v>
      </c>
      <c r="BC119" s="1883">
        <f t="shared" si="247"/>
        <v>0</v>
      </c>
      <c r="BD119" s="1883">
        <f t="shared" si="248"/>
        <v>0</v>
      </c>
      <c r="BE119" s="1883">
        <f t="shared" si="249"/>
        <v>0</v>
      </c>
      <c r="BF119" s="1740"/>
      <c r="BG119" s="1740"/>
      <c r="BH119" s="1740"/>
      <c r="BI119" s="1768" t="e">
        <f>#REF!+#REF!+#REF!</f>
        <v>#REF!</v>
      </c>
      <c r="BJ119" s="1768" t="e">
        <f>#REF!+#REF!+#REF!</f>
        <v>#REF!</v>
      </c>
      <c r="BK119" s="1935" t="e">
        <f t="shared" ref="BK119:BK123" si="268">SUM(BI119:BJ119)</f>
        <v>#REF!</v>
      </c>
    </row>
    <row r="120" spans="1:63" ht="15.75">
      <c r="B120" s="1872"/>
      <c r="C120" s="1887" t="s">
        <v>3784</v>
      </c>
      <c r="D120" s="1874"/>
      <c r="E120" s="1875"/>
      <c r="F120" s="1874"/>
      <c r="G120" s="1878">
        <f>G$16/$K$16*$K120*G125</f>
        <v>0</v>
      </c>
      <c r="H120" s="1880">
        <f>H$16/$K$16*$K120*H125</f>
        <v>0</v>
      </c>
      <c r="I120" s="1880">
        <f t="shared" si="260"/>
        <v>0</v>
      </c>
      <c r="J120" s="1779">
        <f>K120-G120-H120-I120</f>
        <v>70729.625626502675</v>
      </c>
      <c r="K120" s="1877">
        <f t="shared" si="158"/>
        <v>70729.625626502675</v>
      </c>
      <c r="L120" s="1878">
        <f t="shared" si="261"/>
        <v>588.64645130135432</v>
      </c>
      <c r="M120" s="1880">
        <f t="shared" si="261"/>
        <v>588.37625852154258</v>
      </c>
      <c r="N120" s="1880">
        <f t="shared" si="261"/>
        <v>0</v>
      </c>
      <c r="O120" s="1880">
        <f t="shared" si="261"/>
        <v>1567.2087703359962</v>
      </c>
      <c r="P120" s="1877">
        <f t="shared" si="159"/>
        <v>2744.2314801588927</v>
      </c>
      <c r="Q120" s="1878">
        <f>Q$16/$AA$16*$AA120</f>
        <v>10604.118732370942</v>
      </c>
      <c r="R120" s="1879">
        <f>R$16/$AA$16*$AA120</f>
        <v>10604.11873237094</v>
      </c>
      <c r="S120" s="1880">
        <f t="shared" si="262"/>
        <v>10604.118732370942</v>
      </c>
      <c r="T120" s="1880">
        <f t="shared" si="262"/>
        <v>10604.11873237094</v>
      </c>
      <c r="U120" s="1880">
        <f t="shared" si="262"/>
        <v>0</v>
      </c>
      <c r="V120" s="1880">
        <f t="shared" si="262"/>
        <v>0</v>
      </c>
      <c r="W120" s="1880">
        <f t="shared" si="262"/>
        <v>10604.118732370942</v>
      </c>
      <c r="X120" s="1881">
        <f t="shared" si="262"/>
        <v>10604.11873237094</v>
      </c>
      <c r="Y120" s="1882">
        <f t="shared" si="263"/>
        <v>31812.356197112826</v>
      </c>
      <c r="Z120" s="1882">
        <f t="shared" si="263"/>
        <v>31812.356197112822</v>
      </c>
      <c r="AA120" s="1877">
        <f t="shared" si="161"/>
        <v>63624.712394225658</v>
      </c>
      <c r="AB120" s="1878">
        <f>AB$16/$AL$16*$AL120</f>
        <v>7516.6058682838166</v>
      </c>
      <c r="AC120" s="1879">
        <f t="shared" si="264"/>
        <v>7516.6058682838166</v>
      </c>
      <c r="AD120" s="1880">
        <f t="shared" si="264"/>
        <v>7516.6058682838166</v>
      </c>
      <c r="AE120" s="1880">
        <f t="shared" si="264"/>
        <v>7516.6058682838166</v>
      </c>
      <c r="AF120" s="1880">
        <f t="shared" si="264"/>
        <v>0</v>
      </c>
      <c r="AG120" s="1880">
        <f t="shared" si="264"/>
        <v>0</v>
      </c>
      <c r="AH120" s="1880">
        <f t="shared" si="264"/>
        <v>7516.6058682838166</v>
      </c>
      <c r="AI120" s="1881">
        <f t="shared" si="264"/>
        <v>7516.6058682838166</v>
      </c>
      <c r="AJ120" s="1882">
        <f t="shared" si="265"/>
        <v>22549.817604851451</v>
      </c>
      <c r="AK120" s="1882">
        <f t="shared" si="265"/>
        <v>22549.817604851451</v>
      </c>
      <c r="AL120" s="1877">
        <f t="shared" si="172"/>
        <v>45099.635209702901</v>
      </c>
      <c r="AM120" s="1878">
        <f>AM$16/$AW$16*$AW120</f>
        <v>0</v>
      </c>
      <c r="AN120" s="1879">
        <f t="shared" si="266"/>
        <v>0</v>
      </c>
      <c r="AO120" s="1880">
        <f t="shared" si="266"/>
        <v>0</v>
      </c>
      <c r="AP120" s="1880">
        <f t="shared" si="266"/>
        <v>0</v>
      </c>
      <c r="AQ120" s="1880">
        <f t="shared" si="266"/>
        <v>0</v>
      </c>
      <c r="AR120" s="1880">
        <f t="shared" si="266"/>
        <v>0</v>
      </c>
      <c r="AS120" s="1880">
        <f t="shared" si="266"/>
        <v>0</v>
      </c>
      <c r="AT120" s="1881">
        <f t="shared" si="266"/>
        <v>0</v>
      </c>
      <c r="AU120" s="1882">
        <f t="shared" si="267"/>
        <v>0</v>
      </c>
      <c r="AV120" s="1882">
        <f t="shared" si="267"/>
        <v>0</v>
      </c>
      <c r="AW120" s="1877"/>
      <c r="AX120" s="1740"/>
      <c r="AY120" s="1740"/>
      <c r="AZ120" s="1740"/>
      <c r="BA120" s="1883">
        <f t="shared" si="245"/>
        <v>36830.095652610871</v>
      </c>
      <c r="BB120" s="1883">
        <f t="shared" si="246"/>
        <v>36829.82545983106</v>
      </c>
      <c r="BC120" s="1883">
        <f t="shared" si="247"/>
        <v>0</v>
      </c>
      <c r="BD120" s="1883">
        <f t="shared" si="248"/>
        <v>108538.28359814821</v>
      </c>
      <c r="BE120" s="1883">
        <f t="shared" si="249"/>
        <v>182198.2047105901</v>
      </c>
      <c r="BF120" s="1740"/>
      <c r="BG120" s="1740"/>
      <c r="BH120" s="1740"/>
      <c r="BI120" s="1768" t="e">
        <f>#REF!+#REF!+#REF!</f>
        <v>#REF!</v>
      </c>
      <c r="BJ120" s="1768" t="e">
        <f>#REF!+#REF!+#REF!</f>
        <v>#REF!</v>
      </c>
      <c r="BK120" s="1935" t="e">
        <f t="shared" si="268"/>
        <v>#REF!</v>
      </c>
    </row>
    <row r="121" spans="1:63" ht="15.75">
      <c r="B121" s="1872"/>
      <c r="C121" s="1887" t="s">
        <v>3785</v>
      </c>
      <c r="D121" s="1874"/>
      <c r="E121" s="1875"/>
      <c r="F121" s="1874"/>
      <c r="G121" s="1878">
        <f t="shared" si="260"/>
        <v>1601.6118400265641</v>
      </c>
      <c r="H121" s="1880">
        <f t="shared" si="260"/>
        <v>1600.8766891490218</v>
      </c>
      <c r="I121" s="1880">
        <f t="shared" si="260"/>
        <v>0</v>
      </c>
      <c r="J121" s="1779">
        <f>K121-G121-H121-I121</f>
        <v>4264.121726741867</v>
      </c>
      <c r="K121" s="1877">
        <f t="shared" si="158"/>
        <v>7466.6102559174524</v>
      </c>
      <c r="L121" s="1878">
        <f t="shared" si="261"/>
        <v>62.140773282266714</v>
      </c>
      <c r="M121" s="1880">
        <f t="shared" si="261"/>
        <v>62.112250238875092</v>
      </c>
      <c r="N121" s="1880">
        <f t="shared" si="261"/>
        <v>0</v>
      </c>
      <c r="O121" s="1880">
        <f t="shared" si="261"/>
        <v>165.4432209149123</v>
      </c>
      <c r="P121" s="1877">
        <f t="shared" si="159"/>
        <v>289.69624443605409</v>
      </c>
      <c r="Q121" s="1878">
        <f>Q$16/$AA$16*$AA121</f>
        <v>1119.4293901708334</v>
      </c>
      <c r="R121" s="1879">
        <f t="shared" si="262"/>
        <v>1119.4293901708334</v>
      </c>
      <c r="S121" s="1880">
        <f t="shared" si="262"/>
        <v>1119.4293901708334</v>
      </c>
      <c r="T121" s="1880">
        <f t="shared" si="262"/>
        <v>1119.4293901708334</v>
      </c>
      <c r="U121" s="1880">
        <f t="shared" si="262"/>
        <v>0</v>
      </c>
      <c r="V121" s="1880">
        <f t="shared" si="262"/>
        <v>0</v>
      </c>
      <c r="W121" s="1880">
        <f t="shared" si="262"/>
        <v>1119.4293901708334</v>
      </c>
      <c r="X121" s="1881">
        <f t="shared" si="262"/>
        <v>1119.4293901708334</v>
      </c>
      <c r="Y121" s="1882">
        <f t="shared" si="263"/>
        <v>3358.2881705125001</v>
      </c>
      <c r="Z121" s="1882">
        <f t="shared" si="263"/>
        <v>3358.2881705125001</v>
      </c>
      <c r="AA121" s="1877">
        <f t="shared" si="161"/>
        <v>6716.5763410250011</v>
      </c>
      <c r="AB121" s="1878">
        <f>AB$16/$AL$16*$AL121</f>
        <v>793.49446527803377</v>
      </c>
      <c r="AC121" s="1879">
        <f t="shared" si="264"/>
        <v>793.49446527803377</v>
      </c>
      <c r="AD121" s="1880">
        <f t="shared" si="264"/>
        <v>793.49446527803377</v>
      </c>
      <c r="AE121" s="1880">
        <f t="shared" si="264"/>
        <v>793.49446527803377</v>
      </c>
      <c r="AF121" s="1880">
        <f t="shared" si="264"/>
        <v>0</v>
      </c>
      <c r="AG121" s="1880">
        <f t="shared" si="264"/>
        <v>0</v>
      </c>
      <c r="AH121" s="1880">
        <f t="shared" si="264"/>
        <v>793.49446527803377</v>
      </c>
      <c r="AI121" s="1881">
        <f t="shared" si="264"/>
        <v>793.49446527803377</v>
      </c>
      <c r="AJ121" s="1882">
        <f t="shared" si="265"/>
        <v>2380.4833958341014</v>
      </c>
      <c r="AK121" s="1882">
        <f t="shared" si="265"/>
        <v>2380.4833958341014</v>
      </c>
      <c r="AL121" s="1877">
        <f t="shared" si="172"/>
        <v>4760.9667916682029</v>
      </c>
      <c r="AM121" s="1878">
        <f>AM$16/$AW$16*$AW121</f>
        <v>0</v>
      </c>
      <c r="AN121" s="1879">
        <f t="shared" si="266"/>
        <v>0</v>
      </c>
      <c r="AO121" s="1880">
        <f t="shared" si="266"/>
        <v>0</v>
      </c>
      <c r="AP121" s="1880">
        <f t="shared" si="266"/>
        <v>0</v>
      </c>
      <c r="AQ121" s="1880">
        <f t="shared" si="266"/>
        <v>0</v>
      </c>
      <c r="AR121" s="1880">
        <f t="shared" si="266"/>
        <v>0</v>
      </c>
      <c r="AS121" s="1880">
        <f t="shared" si="266"/>
        <v>0</v>
      </c>
      <c r="AT121" s="1881">
        <f t="shared" si="266"/>
        <v>0</v>
      </c>
      <c r="AU121" s="1882">
        <f t="shared" si="267"/>
        <v>0</v>
      </c>
      <c r="AV121" s="1882">
        <f t="shared" si="267"/>
        <v>0</v>
      </c>
      <c r="AW121" s="1877"/>
      <c r="AX121" s="1740"/>
      <c r="AY121" s="1740"/>
      <c r="AZ121" s="1740"/>
      <c r="BA121" s="1883">
        <f t="shared" si="245"/>
        <v>5489.6003242065653</v>
      </c>
      <c r="BB121" s="1883">
        <f t="shared" si="246"/>
        <v>5488.8366502856315</v>
      </c>
      <c r="BC121" s="1883">
        <f t="shared" si="247"/>
        <v>0</v>
      </c>
      <c r="BD121" s="1883">
        <f t="shared" si="248"/>
        <v>8255.4126585545146</v>
      </c>
      <c r="BE121" s="1883">
        <f t="shared" si="249"/>
        <v>19233.84963304671</v>
      </c>
      <c r="BF121" s="1740"/>
      <c r="BG121" s="1740"/>
      <c r="BH121" s="1740"/>
      <c r="BI121" s="1768" t="e">
        <f>#REF!+#REF!+#REF!</f>
        <v>#REF!</v>
      </c>
      <c r="BJ121" s="1768" t="e">
        <f>#REF!+#REF!+#REF!</f>
        <v>#REF!</v>
      </c>
      <c r="BK121" s="1935" t="e">
        <f t="shared" si="268"/>
        <v>#REF!</v>
      </c>
    </row>
    <row r="122" spans="1:63" ht="46.5" customHeight="1">
      <c r="B122" s="1872"/>
      <c r="C122" s="1887" t="s">
        <v>3786</v>
      </c>
      <c r="D122" s="1874"/>
      <c r="E122" s="1875"/>
      <c r="F122" s="1874"/>
      <c r="G122" s="1878">
        <f t="shared" si="260"/>
        <v>245.39050307442182</v>
      </c>
      <c r="H122" s="1880">
        <f t="shared" si="260"/>
        <v>245.27786714156517</v>
      </c>
      <c r="I122" s="1880">
        <f t="shared" si="260"/>
        <v>0</v>
      </c>
      <c r="J122" s="1779">
        <f>K122-G122-H122-I122</f>
        <v>653.32619898614394</v>
      </c>
      <c r="K122" s="1877">
        <f t="shared" si="158"/>
        <v>1143.9945692021308</v>
      </c>
      <c r="L122" s="1878">
        <f t="shared" si="261"/>
        <v>9.5208809251285906</v>
      </c>
      <c r="M122" s="1880">
        <f t="shared" si="261"/>
        <v>9.5165107751383378</v>
      </c>
      <c r="N122" s="1880">
        <f t="shared" si="261"/>
        <v>0</v>
      </c>
      <c r="O122" s="1880">
        <f t="shared" si="261"/>
        <v>25.348336092401567</v>
      </c>
      <c r="P122" s="1877">
        <f t="shared" si="159"/>
        <v>44.38572779266849</v>
      </c>
      <c r="Q122" s="1878">
        <f>Q$16/$AA$16*$AA122</f>
        <v>171.51305600098334</v>
      </c>
      <c r="R122" s="1879">
        <f t="shared" si="262"/>
        <v>171.51305600098331</v>
      </c>
      <c r="S122" s="1880">
        <f t="shared" si="262"/>
        <v>171.51305600098334</v>
      </c>
      <c r="T122" s="1880">
        <f t="shared" si="262"/>
        <v>171.51305600098331</v>
      </c>
      <c r="U122" s="1880">
        <f t="shared" si="262"/>
        <v>0</v>
      </c>
      <c r="V122" s="1880">
        <f t="shared" si="262"/>
        <v>0</v>
      </c>
      <c r="W122" s="1880">
        <f t="shared" si="262"/>
        <v>171.51305600098334</v>
      </c>
      <c r="X122" s="1881">
        <f t="shared" si="262"/>
        <v>171.51305600098331</v>
      </c>
      <c r="Y122" s="1882">
        <f t="shared" si="263"/>
        <v>514.53916800294996</v>
      </c>
      <c r="Z122" s="1882">
        <f t="shared" si="263"/>
        <v>514.53916800294996</v>
      </c>
      <c r="AA122" s="1877">
        <f t="shared" si="161"/>
        <v>1029.0783360059002</v>
      </c>
      <c r="AB122" s="1878">
        <f>AB$16/$AL$16*$AL122</f>
        <v>121.57502907703061</v>
      </c>
      <c r="AC122" s="1879">
        <f t="shared" si="264"/>
        <v>121.57502907703061</v>
      </c>
      <c r="AD122" s="1880">
        <f t="shared" si="264"/>
        <v>121.57502907703061</v>
      </c>
      <c r="AE122" s="1880">
        <f t="shared" si="264"/>
        <v>121.57502907703061</v>
      </c>
      <c r="AF122" s="1880">
        <f t="shared" si="264"/>
        <v>0</v>
      </c>
      <c r="AG122" s="1880">
        <f t="shared" si="264"/>
        <v>0</v>
      </c>
      <c r="AH122" s="1880">
        <f t="shared" si="264"/>
        <v>121.57502907703061</v>
      </c>
      <c r="AI122" s="1881">
        <f t="shared" si="264"/>
        <v>121.57502907703061</v>
      </c>
      <c r="AJ122" s="1882">
        <f t="shared" si="265"/>
        <v>364.72508723109183</v>
      </c>
      <c r="AK122" s="1882">
        <f t="shared" si="265"/>
        <v>364.72508723109183</v>
      </c>
      <c r="AL122" s="1877">
        <f t="shared" si="172"/>
        <v>729.45017446218367</v>
      </c>
      <c r="AM122" s="1878">
        <f>AM$16/$AW$16*$AW122</f>
        <v>0</v>
      </c>
      <c r="AN122" s="1879">
        <f t="shared" si="266"/>
        <v>0</v>
      </c>
      <c r="AO122" s="1880">
        <f t="shared" si="266"/>
        <v>0</v>
      </c>
      <c r="AP122" s="1880">
        <f t="shared" si="266"/>
        <v>0</v>
      </c>
      <c r="AQ122" s="1880">
        <f t="shared" si="266"/>
        <v>0</v>
      </c>
      <c r="AR122" s="1880">
        <f t="shared" si="266"/>
        <v>0</v>
      </c>
      <c r="AS122" s="1880">
        <f t="shared" si="266"/>
        <v>0</v>
      </c>
      <c r="AT122" s="1881">
        <f t="shared" si="266"/>
        <v>0</v>
      </c>
      <c r="AU122" s="1882">
        <f t="shared" si="267"/>
        <v>0</v>
      </c>
      <c r="AV122" s="1882">
        <f t="shared" si="267"/>
        <v>0</v>
      </c>
      <c r="AW122" s="1877"/>
      <c r="AX122" s="1740"/>
      <c r="AY122" s="1740"/>
      <c r="AZ122" s="1740"/>
      <c r="BA122" s="1883">
        <f t="shared" si="245"/>
        <v>841.08755415557835</v>
      </c>
      <c r="BB122" s="1883">
        <f t="shared" si="246"/>
        <v>840.97054807273139</v>
      </c>
      <c r="BC122" s="1883">
        <f t="shared" si="247"/>
        <v>0</v>
      </c>
      <c r="BD122" s="1883">
        <f t="shared" si="248"/>
        <v>1264.8507052345733</v>
      </c>
      <c r="BE122" s="1883">
        <f t="shared" si="249"/>
        <v>2946.908807462883</v>
      </c>
      <c r="BF122" s="1740"/>
      <c r="BG122" s="1740"/>
      <c r="BH122" s="1740"/>
      <c r="BI122" s="1768" t="e">
        <f>#REF!+#REF!+#REF!</f>
        <v>#REF!</v>
      </c>
      <c r="BJ122" s="1768" t="e">
        <f>#REF!+#REF!+#REF!</f>
        <v>#REF!</v>
      </c>
      <c r="BK122" s="1935" t="e">
        <f t="shared" si="268"/>
        <v>#REF!</v>
      </c>
    </row>
    <row r="123" spans="1:63" ht="15.75">
      <c r="B123" s="1872"/>
      <c r="C123" s="1911"/>
      <c r="D123" s="1845"/>
      <c r="E123" s="1818"/>
      <c r="F123" s="1845"/>
      <c r="G123" s="1912"/>
      <c r="H123" s="1913"/>
      <c r="I123" s="1913"/>
      <c r="J123" s="1913"/>
      <c r="K123" s="1914">
        <f t="shared" si="158"/>
        <v>0</v>
      </c>
      <c r="L123" s="1912"/>
      <c r="M123" s="1913"/>
      <c r="N123" s="1913"/>
      <c r="O123" s="1913"/>
      <c r="P123" s="1914">
        <f t="shared" si="159"/>
        <v>0</v>
      </c>
      <c r="Q123" s="1912"/>
      <c r="R123" s="1915"/>
      <c r="S123" s="1913"/>
      <c r="T123" s="1913"/>
      <c r="U123" s="1913"/>
      <c r="V123" s="1913"/>
      <c r="W123" s="1913"/>
      <c r="X123" s="1916"/>
      <c r="Y123" s="1965">
        <f t="shared" si="263"/>
        <v>0</v>
      </c>
      <c r="Z123" s="1965">
        <f t="shared" si="263"/>
        <v>0</v>
      </c>
      <c r="AA123" s="1914">
        <f t="shared" si="161"/>
        <v>0</v>
      </c>
      <c r="AB123" s="1912"/>
      <c r="AC123" s="1915"/>
      <c r="AD123" s="1913"/>
      <c r="AE123" s="1913"/>
      <c r="AF123" s="1913"/>
      <c r="AG123" s="1913"/>
      <c r="AH123" s="1913"/>
      <c r="AI123" s="1916"/>
      <c r="AJ123" s="1965">
        <f t="shared" si="265"/>
        <v>0</v>
      </c>
      <c r="AK123" s="1965">
        <f t="shared" si="265"/>
        <v>0</v>
      </c>
      <c r="AL123" s="1914">
        <f t="shared" si="172"/>
        <v>0</v>
      </c>
      <c r="AM123" s="1917"/>
      <c r="AN123" s="1918"/>
      <c r="AO123" s="1919"/>
      <c r="AP123" s="1919"/>
      <c r="AQ123" s="1919"/>
      <c r="AR123" s="1919"/>
      <c r="AS123" s="1919"/>
      <c r="AT123" s="1920"/>
      <c r="AU123" s="1966">
        <f t="shared" si="267"/>
        <v>0</v>
      </c>
      <c r="AV123" s="1966">
        <f t="shared" si="267"/>
        <v>0</v>
      </c>
      <c r="AW123" s="1921"/>
      <c r="AX123" s="1740"/>
      <c r="AY123" s="1740"/>
      <c r="AZ123" s="1740"/>
      <c r="BA123" s="1883">
        <f t="shared" si="245"/>
        <v>0</v>
      </c>
      <c r="BB123" s="1883">
        <f t="shared" si="246"/>
        <v>0</v>
      </c>
      <c r="BC123" s="1883">
        <f t="shared" si="247"/>
        <v>0</v>
      </c>
      <c r="BD123" s="1883">
        <f t="shared" si="248"/>
        <v>0</v>
      </c>
      <c r="BE123" s="1883">
        <f t="shared" si="249"/>
        <v>0</v>
      </c>
      <c r="BF123" s="1740"/>
      <c r="BG123" s="1740"/>
      <c r="BH123" s="1740"/>
      <c r="BI123" s="1768" t="e">
        <f>#REF!+#REF!+#REF!</f>
        <v>#REF!</v>
      </c>
      <c r="BJ123" s="1768" t="e">
        <f>#REF!+#REF!+#REF!</f>
        <v>#REF!</v>
      </c>
      <c r="BK123" s="1935" t="e">
        <f t="shared" si="268"/>
        <v>#REF!</v>
      </c>
    </row>
    <row r="124" spans="1:63">
      <c r="D124" s="1740"/>
      <c r="E124" s="1740"/>
      <c r="F124" s="1740"/>
      <c r="G124" s="1740"/>
      <c r="H124" s="1740"/>
      <c r="I124" s="1740"/>
      <c r="J124" s="1740"/>
      <c r="K124" s="1740"/>
      <c r="L124" s="1740"/>
      <c r="M124" s="1740"/>
      <c r="N124" s="1740"/>
      <c r="O124" s="1740"/>
      <c r="P124" s="1740"/>
      <c r="Q124" s="1740"/>
      <c r="R124" s="1740"/>
      <c r="S124" s="1740"/>
      <c r="T124" s="1740"/>
      <c r="U124" s="1740"/>
      <c r="V124" s="1740"/>
      <c r="W124" s="1740"/>
      <c r="X124" s="1740"/>
      <c r="Y124" s="1740"/>
      <c r="Z124" s="1740"/>
      <c r="AA124" s="1740"/>
      <c r="AB124" s="1740"/>
      <c r="AC124" s="1740"/>
      <c r="AD124" s="1740"/>
      <c r="AE124" s="1740"/>
      <c r="AF124" s="1740"/>
      <c r="AG124" s="1740"/>
      <c r="AH124" s="1740"/>
      <c r="AI124" s="1740"/>
      <c r="AJ124" s="1740"/>
      <c r="AK124" s="1740"/>
      <c r="AL124" s="1740"/>
      <c r="AM124" s="1740"/>
      <c r="AN124" s="1740"/>
      <c r="AO124" s="1740"/>
      <c r="AP124" s="1740"/>
      <c r="AQ124" s="1740"/>
      <c r="AR124" s="1740"/>
      <c r="AS124" s="1740"/>
      <c r="AT124" s="1740"/>
      <c r="AU124" s="1740"/>
      <c r="AV124" s="1740"/>
      <c r="AW124" s="1740"/>
      <c r="AX124" s="1740"/>
      <c r="AY124" s="1740"/>
      <c r="AZ124" s="1740"/>
      <c r="BA124" s="1740"/>
      <c r="BB124" s="1740"/>
      <c r="BC124" s="1740"/>
      <c r="BD124" s="1740"/>
      <c r="BE124" s="1740"/>
      <c r="BF124" s="1740"/>
      <c r="BG124" s="1740"/>
      <c r="BH124" s="1740"/>
      <c r="BI124" s="1740"/>
      <c r="BJ124" s="1740"/>
      <c r="BK124" s="1740"/>
    </row>
    <row r="125" spans="1:63">
      <c r="D125" s="1740"/>
      <c r="E125" s="1740"/>
      <c r="F125" s="1740"/>
      <c r="G125" s="1740"/>
      <c r="H125" s="1740"/>
      <c r="I125" s="1740"/>
      <c r="J125" s="1740"/>
      <c r="K125" s="1740"/>
      <c r="L125" s="1740"/>
      <c r="M125" s="1740"/>
      <c r="N125" s="1740"/>
      <c r="O125" s="1740"/>
      <c r="P125" s="1740"/>
      <c r="Q125" s="1740"/>
      <c r="R125" s="1740"/>
      <c r="S125" s="1740"/>
      <c r="T125" s="1740"/>
      <c r="U125" s="1740"/>
      <c r="V125" s="1740"/>
      <c r="W125" s="1740"/>
      <c r="X125" s="1740"/>
      <c r="Y125" s="1740"/>
      <c r="Z125" s="1740"/>
      <c r="AA125" s="1740"/>
      <c r="AB125" s="1740"/>
      <c r="AC125" s="1740"/>
      <c r="AD125" s="1740"/>
      <c r="AE125" s="1740"/>
      <c r="AF125" s="1740"/>
      <c r="AG125" s="1740"/>
      <c r="AH125" s="1740"/>
      <c r="AI125" s="1740"/>
      <c r="AJ125" s="1740"/>
      <c r="AK125" s="1740"/>
      <c r="AL125" s="1740"/>
      <c r="AM125" s="1740"/>
      <c r="AN125" s="1740"/>
      <c r="AO125" s="1740"/>
      <c r="AP125" s="1740"/>
      <c r="AQ125" s="1740"/>
      <c r="AR125" s="1740"/>
      <c r="AS125" s="1740"/>
      <c r="AT125" s="1740"/>
      <c r="AU125" s="1740"/>
      <c r="AV125" s="1740"/>
      <c r="AW125" s="1740"/>
      <c r="AX125" s="1740"/>
      <c r="AY125" s="1740"/>
      <c r="AZ125" s="1740"/>
      <c r="BA125" s="1740"/>
      <c r="BB125" s="1740"/>
      <c r="BC125" s="1740"/>
      <c r="BD125" s="1740"/>
      <c r="BE125" s="1740"/>
      <c r="BF125" s="1740"/>
      <c r="BG125" s="1740"/>
      <c r="BH125" s="1740"/>
      <c r="BI125" s="1740"/>
      <c r="BJ125" s="1740"/>
      <c r="BK125" s="1740"/>
    </row>
    <row r="126" spans="1:63" ht="20.25">
      <c r="B126" s="1960" t="s">
        <v>3787</v>
      </c>
      <c r="D126" s="1740"/>
      <c r="E126" s="1740"/>
      <c r="F126" s="1740"/>
      <c r="G126" s="1740"/>
      <c r="H126" s="1740"/>
      <c r="I126" s="1740"/>
      <c r="J126" s="1740"/>
      <c r="K126" s="1740"/>
      <c r="L126" s="1740"/>
      <c r="M126" s="1740"/>
      <c r="N126" s="1740"/>
      <c r="O126" s="1740"/>
      <c r="P126" s="1740"/>
      <c r="Q126" s="1740"/>
      <c r="R126" s="1740"/>
      <c r="S126" s="1740"/>
      <c r="T126" s="1740"/>
      <c r="U126" s="1740"/>
      <c r="V126" s="1740"/>
      <c r="W126" s="1740"/>
      <c r="X126" s="1740"/>
      <c r="Y126" s="1740"/>
      <c r="Z126" s="1740"/>
      <c r="AA126" s="1740"/>
      <c r="AB126" s="1740"/>
      <c r="AC126" s="1740"/>
      <c r="AD126" s="1740"/>
      <c r="AE126" s="1740"/>
      <c r="AF126" s="1740"/>
      <c r="AG126" s="1740"/>
      <c r="AH126" s="1740"/>
      <c r="AI126" s="1740"/>
      <c r="AJ126" s="1740"/>
      <c r="AK126" s="1740"/>
      <c r="AL126" s="1740"/>
      <c r="AM126" s="1740"/>
      <c r="AN126" s="1740"/>
      <c r="AO126" s="1740"/>
      <c r="AP126" s="1740"/>
      <c r="AQ126" s="1740"/>
      <c r="AR126" s="1740"/>
      <c r="AS126" s="1740"/>
      <c r="AT126" s="1740"/>
      <c r="AU126" s="1740"/>
      <c r="AV126" s="1740"/>
      <c r="AW126" s="1740"/>
      <c r="AX126" s="1740"/>
      <c r="AY126" s="1740"/>
      <c r="AZ126" s="1740"/>
      <c r="BA126" s="1740"/>
      <c r="BB126" s="1740"/>
      <c r="BC126" s="1740"/>
      <c r="BD126" s="1740"/>
      <c r="BE126" s="1740"/>
      <c r="BF126" s="1740"/>
      <c r="BG126" s="1740"/>
      <c r="BH126" s="1740"/>
      <c r="BI126" s="1740"/>
      <c r="BJ126" s="1740"/>
      <c r="BK126" s="1740"/>
    </row>
    <row r="127" spans="1:63" ht="47.25">
      <c r="B127" s="1745">
        <f>$B$25</f>
        <v>8</v>
      </c>
      <c r="C127" s="1864" t="s">
        <v>3702</v>
      </c>
      <c r="D127" s="1749"/>
      <c r="E127" s="1967">
        <f t="shared" ref="E127:F127" si="269">SUM(E25,E99)</f>
        <v>540</v>
      </c>
      <c r="F127" s="1968">
        <f t="shared" si="269"/>
        <v>8844.6849999999995</v>
      </c>
      <c r="G127" s="1867">
        <f>SUM(G128,G132:G135,G146)</f>
        <v>279516.64257778437</v>
      </c>
      <c r="H127" s="1868">
        <f t="shared" ref="H127:J127" si="270">SUM(H128,H132:H135,H146)</f>
        <v>300732.30649325537</v>
      </c>
      <c r="I127" s="1868">
        <f t="shared" si="270"/>
        <v>0</v>
      </c>
      <c r="J127" s="1868">
        <f t="shared" si="270"/>
        <v>851571.59681700496</v>
      </c>
      <c r="K127" s="1832">
        <f>SUM(K128,K132:K135,K146)</f>
        <v>1431820.5458880446</v>
      </c>
      <c r="L127" s="1867">
        <f>SUM(L128,L132:L135,L146)</f>
        <v>145303.95855011325</v>
      </c>
      <c r="M127" s="1868">
        <f t="shared" ref="M127:O127" si="271">SUM(M128,M132:M135,M146)</f>
        <v>150299.78135158529</v>
      </c>
      <c r="N127" s="1868">
        <f t="shared" si="271"/>
        <v>0</v>
      </c>
      <c r="O127" s="1868">
        <f t="shared" si="271"/>
        <v>396179.09990117082</v>
      </c>
      <c r="P127" s="1832">
        <f>SUM(P128,P132:P135,P146)</f>
        <v>691782.83980286936</v>
      </c>
      <c r="Q127" s="1867">
        <f t="shared" ref="Q127:X127" si="272">SUM(Q128,Q132:Q135,Q146)</f>
        <v>834485.83897018596</v>
      </c>
      <c r="R127" s="1869">
        <f t="shared" si="272"/>
        <v>890012.49530982471</v>
      </c>
      <c r="S127" s="1868">
        <f t="shared" si="272"/>
        <v>828055.43678618956</v>
      </c>
      <c r="T127" s="1868">
        <f t="shared" si="272"/>
        <v>877958.431094122</v>
      </c>
      <c r="U127" s="1868">
        <f t="shared" si="272"/>
        <v>0</v>
      </c>
      <c r="V127" s="1868">
        <f t="shared" si="272"/>
        <v>0</v>
      </c>
      <c r="W127" s="1868">
        <f t="shared" si="272"/>
        <v>1039764.1198252814</v>
      </c>
      <c r="X127" s="1870">
        <f t="shared" si="272"/>
        <v>1146708.9986928538</v>
      </c>
      <c r="Y127" s="1870">
        <f>SUM(Y128,Y132:Y135,Y146)</f>
        <v>2702305.3955816571</v>
      </c>
      <c r="Z127" s="1870">
        <f t="shared" ref="Z127:AW127" si="273">SUM(Z128,Z132:Z135,Z146)</f>
        <v>2914679.9250968006</v>
      </c>
      <c r="AA127" s="1832">
        <f t="shared" si="273"/>
        <v>5616985.3206784576</v>
      </c>
      <c r="AB127" s="1867">
        <f t="shared" si="273"/>
        <v>537037.29199900641</v>
      </c>
      <c r="AC127" s="1869">
        <f t="shared" si="273"/>
        <v>537037.29199900641</v>
      </c>
      <c r="AD127" s="1868">
        <f t="shared" si="273"/>
        <v>523276.97431021882</v>
      </c>
      <c r="AE127" s="1868">
        <f t="shared" si="273"/>
        <v>543516.86010349612</v>
      </c>
      <c r="AF127" s="1868">
        <f t="shared" si="273"/>
        <v>0</v>
      </c>
      <c r="AG127" s="1868">
        <f t="shared" si="273"/>
        <v>0</v>
      </c>
      <c r="AH127" s="1868">
        <f t="shared" si="273"/>
        <v>606490.21691569057</v>
      </c>
      <c r="AI127" s="1870">
        <f t="shared" si="273"/>
        <v>685234.72802500823</v>
      </c>
      <c r="AJ127" s="1870">
        <f t="shared" si="273"/>
        <v>1666804.4832249158</v>
      </c>
      <c r="AK127" s="1870">
        <f t="shared" si="273"/>
        <v>1765788.8801275105</v>
      </c>
      <c r="AL127" s="1832">
        <f t="shared" si="273"/>
        <v>3432593.3633524263</v>
      </c>
      <c r="AM127" s="1867">
        <f t="shared" si="273"/>
        <v>29986.00629212135</v>
      </c>
      <c r="AN127" s="1869">
        <f t="shared" si="273"/>
        <v>29986.00629212135</v>
      </c>
      <c r="AO127" s="1868">
        <f t="shared" si="273"/>
        <v>25297.925573274384</v>
      </c>
      <c r="AP127" s="1868">
        <f t="shared" si="273"/>
        <v>25297.925573274384</v>
      </c>
      <c r="AQ127" s="1868">
        <f t="shared" si="273"/>
        <v>16193.687311934602</v>
      </c>
      <c r="AR127" s="1868">
        <f t="shared" si="273"/>
        <v>16193.687311934602</v>
      </c>
      <c r="AS127" s="1868">
        <f t="shared" si="273"/>
        <v>21542.785961770594</v>
      </c>
      <c r="AT127" s="1870">
        <f t="shared" si="273"/>
        <v>21542.785961770594</v>
      </c>
      <c r="AU127" s="1870">
        <f t="shared" si="273"/>
        <v>93020.405139100927</v>
      </c>
      <c r="AV127" s="1870">
        <f t="shared" si="273"/>
        <v>93020.405139100927</v>
      </c>
      <c r="AW127" s="1832">
        <f t="shared" si="273"/>
        <v>186040.81027820191</v>
      </c>
      <c r="AX127" s="1740">
        <f>SUM(K127,P127,AA127,AL127)</f>
        <v>11173182.069721799</v>
      </c>
      <c r="AY127" s="1740" t="e">
        <f>AX127='[30]СС 2014'!D270-'[30]СС 2014'!K270</f>
        <v>#REF!</v>
      </c>
      <c r="AZ127" s="1740"/>
      <c r="BA127" s="1883">
        <f>SUM(G127,L127,Q127:R127,AB127:AC127)</f>
        <v>3223393.519405921</v>
      </c>
      <c r="BB127" s="1883">
        <f>SUM(H127,M127,S127:T127,AD127:AE127)</f>
        <v>3223839.7901388668</v>
      </c>
      <c r="BC127" s="1883">
        <f>SUM(I127,N127,U127:V127,AF127:AG127)</f>
        <v>0</v>
      </c>
      <c r="BD127" s="1883">
        <f>SUM(J127,O127,W127:X127,AH127:AI127)</f>
        <v>4725948.7601770097</v>
      </c>
      <c r="BE127" s="1836">
        <f>SUM(BE128,BE132:BE135,BE146)</f>
        <v>11173182.069721797</v>
      </c>
      <c r="BF127" s="1740" t="b">
        <f>BE127-BE99=BF25</f>
        <v>1</v>
      </c>
      <c r="BG127" s="1740"/>
      <c r="BH127" s="1740"/>
      <c r="BI127" s="1871" t="e">
        <f>SUM(BI128,BI132:BI135,BI146)</f>
        <v>#REF!</v>
      </c>
      <c r="BJ127" s="1871" t="e">
        <f>SUM(BJ128,BJ132:BJ135,BJ146)</f>
        <v>#REF!</v>
      </c>
      <c r="BK127" s="1962" t="e">
        <f>SUM(BK128,BK132:BK135,BK146)</f>
        <v>#REF!</v>
      </c>
    </row>
    <row r="128" spans="1:63" ht="15.75">
      <c r="A128" s="1739">
        <v>1</v>
      </c>
      <c r="B128" s="1872" t="str">
        <f>CONCATENATE($B$25,".",A128)</f>
        <v>8.1</v>
      </c>
      <c r="C128" s="1873" t="s">
        <v>3703</v>
      </c>
      <c r="D128" s="1874"/>
      <c r="E128" s="1875"/>
      <c r="F128" s="1874"/>
      <c r="G128" s="1876">
        <f>SUM(G129:G131)</f>
        <v>5088.926563337488</v>
      </c>
      <c r="H128" s="1779">
        <f>SUM(H129:H131)</f>
        <v>3985.3291756667186</v>
      </c>
      <c r="I128" s="1779">
        <f>SUM(I129:I131)</f>
        <v>0</v>
      </c>
      <c r="J128" s="1779">
        <f>SUM(J129:J131)</f>
        <v>14597.318172242172</v>
      </c>
      <c r="K128" s="1969">
        <f t="shared" ref="K128:O143" si="274">SUM(K26,K100)</f>
        <v>23671.573911246378</v>
      </c>
      <c r="L128" s="1876">
        <f>SUM(L129:L131)</f>
        <v>1130.1364011455246</v>
      </c>
      <c r="M128" s="1779">
        <f>SUM(M129:M131)</f>
        <v>885.05218456412445</v>
      </c>
      <c r="N128" s="1779">
        <f>SUM(N129:N131)</f>
        <v>0</v>
      </c>
      <c r="O128" s="1779">
        <f>SUM(O129:O131)</f>
        <v>3241.7368221432298</v>
      </c>
      <c r="P128" s="1969">
        <f t="shared" ref="P128:X143" si="275">SUM(P26,P100)</f>
        <v>5256.9254078528793</v>
      </c>
      <c r="Q128" s="1970">
        <f t="shared" si="275"/>
        <v>3013.2490871520613</v>
      </c>
      <c r="R128" s="1971">
        <f t="shared" si="275"/>
        <v>3013.2490871520613</v>
      </c>
      <c r="S128" s="1972">
        <f t="shared" si="275"/>
        <v>3766.5613589400764</v>
      </c>
      <c r="T128" s="1972">
        <f t="shared" si="275"/>
        <v>3766.5613589400764</v>
      </c>
      <c r="U128" s="1972">
        <f t="shared" si="275"/>
        <v>0</v>
      </c>
      <c r="V128" s="1972">
        <f t="shared" si="275"/>
        <v>0</v>
      </c>
      <c r="W128" s="1972">
        <f t="shared" si="275"/>
        <v>13559.620892184275</v>
      </c>
      <c r="X128" s="1973">
        <f t="shared" si="275"/>
        <v>17326.182251124355</v>
      </c>
      <c r="Y128" s="1882">
        <f>SUM(Y129:Y131)</f>
        <v>20339.431338276416</v>
      </c>
      <c r="Z128" s="1882">
        <f>SUM(Z129:Z131)</f>
        <v>24105.992697216498</v>
      </c>
      <c r="AA128" s="1969">
        <f t="shared" ref="AA128:AI143" si="276">SUM(AA26,AA100)</f>
        <v>44445.424035492906</v>
      </c>
      <c r="AB128" s="1970">
        <f t="shared" si="276"/>
        <v>1295.8370964771236</v>
      </c>
      <c r="AC128" s="1971">
        <f t="shared" si="276"/>
        <v>1295.8370964771236</v>
      </c>
      <c r="AD128" s="1972">
        <f t="shared" si="276"/>
        <v>1619.7963705964044</v>
      </c>
      <c r="AE128" s="1972">
        <f t="shared" si="276"/>
        <v>1619.7963705964044</v>
      </c>
      <c r="AF128" s="1972">
        <f t="shared" si="276"/>
        <v>0</v>
      </c>
      <c r="AG128" s="1972">
        <f t="shared" si="276"/>
        <v>0</v>
      </c>
      <c r="AH128" s="1972">
        <f t="shared" si="276"/>
        <v>5831.2669341470564</v>
      </c>
      <c r="AI128" s="1973">
        <f t="shared" si="276"/>
        <v>8098.9818529820232</v>
      </c>
      <c r="AJ128" s="1882">
        <f>SUM(AJ129:AJ131)</f>
        <v>8746.9004012205842</v>
      </c>
      <c r="AK128" s="1882">
        <f>SUM(AK129:AK131)</f>
        <v>11014.615320055551</v>
      </c>
      <c r="AL128" s="1969">
        <f t="shared" ref="AL128:AT143" si="277">SUM(AL26,AL100)</f>
        <v>19761.515721276137</v>
      </c>
      <c r="AM128" s="1970">
        <f t="shared" si="277"/>
        <v>25.860067904478683</v>
      </c>
      <c r="AN128" s="1971">
        <f t="shared" si="277"/>
        <v>25.860067904478683</v>
      </c>
      <c r="AO128" s="1972">
        <f t="shared" si="277"/>
        <v>142.23037347463276</v>
      </c>
      <c r="AP128" s="1972">
        <f t="shared" si="277"/>
        <v>142.23037347463276</v>
      </c>
      <c r="AQ128" s="1972">
        <f t="shared" si="277"/>
        <v>34.443777719383696</v>
      </c>
      <c r="AR128" s="1972">
        <f t="shared" si="277"/>
        <v>34.443777719383696</v>
      </c>
      <c r="AS128" s="1972">
        <f t="shared" si="277"/>
        <v>297.39078090150485</v>
      </c>
      <c r="AT128" s="1973">
        <f t="shared" si="277"/>
        <v>297.39078090150485</v>
      </c>
      <c r="AU128" s="1882">
        <f>SUM(AU129:AU131)</f>
        <v>499.92499999999995</v>
      </c>
      <c r="AV128" s="1882">
        <f>SUM(AV129:AV131)</f>
        <v>499.92499999999995</v>
      </c>
      <c r="AW128" s="1969">
        <f t="shared" ref="AW128:AW151" si="278">SUM(AW26,AW100)</f>
        <v>999.85000000000014</v>
      </c>
      <c r="AX128" s="1740" t="e">
        <f>'[30]СС 2014'!D270-'[30]СС 2014'!K270</f>
        <v>#REF!</v>
      </c>
      <c r="AY128" s="1740"/>
      <c r="AZ128" s="1740"/>
      <c r="BA128" s="1883">
        <f>SUM(G128,L128,Q128:R128,AB128:AC128)</f>
        <v>14837.235331741384</v>
      </c>
      <c r="BB128" s="1883">
        <f>SUM(H128,M128,S128:T128,AD128:AE128)</f>
        <v>15643.096819303804</v>
      </c>
      <c r="BC128" s="1883">
        <f>SUM(I128,N128,U128:V128,AF128:AG128)</f>
        <v>0</v>
      </c>
      <c r="BD128" s="1883">
        <f>SUM(J128,O128,W128:X128,AH128:AI128)</f>
        <v>62655.106924823107</v>
      </c>
      <c r="BE128" s="1883">
        <f>SUM(K128,P128,Y128:Z128,AJ128:AK128)</f>
        <v>93135.439075868315</v>
      </c>
      <c r="BF128" s="1740"/>
      <c r="BG128" s="1740"/>
      <c r="BH128" s="1740"/>
      <c r="BI128" s="1884" t="e">
        <f>SUM(BI129:BI131)</f>
        <v>#REF!</v>
      </c>
      <c r="BJ128" s="1884" t="e">
        <f>SUM(BJ129:BJ131)</f>
        <v>#REF!</v>
      </c>
      <c r="BK128" s="1963" t="e">
        <f>SUM(BK129:BK131)</f>
        <v>#REF!</v>
      </c>
    </row>
    <row r="129" spans="1:63" ht="15.75">
      <c r="B129" s="1872"/>
      <c r="C129" s="1886" t="s">
        <v>3766</v>
      </c>
      <c r="D129" s="1874"/>
      <c r="E129" s="1875"/>
      <c r="F129" s="1874"/>
      <c r="G129" s="1970">
        <f>SUM(G27,G101)</f>
        <v>3557.3630331328204</v>
      </c>
      <c r="H129" s="1972">
        <f t="shared" ref="H129:J129" si="279">SUM(H27,H101)</f>
        <v>2668.0222748496149</v>
      </c>
      <c r="I129" s="1972">
        <f t="shared" si="279"/>
        <v>0</v>
      </c>
      <c r="J129" s="1972">
        <f t="shared" si="279"/>
        <v>10316.352796085177</v>
      </c>
      <c r="K129" s="1969">
        <f t="shared" si="274"/>
        <v>16541.738104067612</v>
      </c>
      <c r="L129" s="1970">
        <f>SUM(L27,L101)</f>
        <v>790.01050728391772</v>
      </c>
      <c r="M129" s="1972">
        <f t="shared" ref="M129:O129" si="280">SUM(M27,M101)</f>
        <v>592.50788046293826</v>
      </c>
      <c r="N129" s="1972">
        <f t="shared" si="280"/>
        <v>0</v>
      </c>
      <c r="O129" s="1972">
        <f t="shared" si="280"/>
        <v>2291.0304711233612</v>
      </c>
      <c r="P129" s="1969">
        <f t="shared" si="275"/>
        <v>3673.5488588702174</v>
      </c>
      <c r="Q129" s="1970">
        <f t="shared" si="275"/>
        <v>1746.4824999055666</v>
      </c>
      <c r="R129" s="1971">
        <f t="shared" si="275"/>
        <v>1746.4824999055666</v>
      </c>
      <c r="S129" s="1972">
        <f t="shared" si="275"/>
        <v>2183.1031248819581</v>
      </c>
      <c r="T129" s="1972">
        <f t="shared" si="275"/>
        <v>2183.1031248819581</v>
      </c>
      <c r="U129" s="1972">
        <f t="shared" si="275"/>
        <v>0</v>
      </c>
      <c r="V129" s="1972">
        <f t="shared" si="275"/>
        <v>0</v>
      </c>
      <c r="W129" s="1972">
        <f t="shared" si="275"/>
        <v>7859.1712495750489</v>
      </c>
      <c r="X129" s="1973">
        <f t="shared" si="275"/>
        <v>10042.274374457009</v>
      </c>
      <c r="Y129" s="1882">
        <f>SUM(Q129,S129,U129,W129)</f>
        <v>11788.756874362574</v>
      </c>
      <c r="Z129" s="1882">
        <f t="shared" ref="Z129" si="281">SUM(R129,T129,V129,X129)</f>
        <v>13971.859999244534</v>
      </c>
      <c r="AA129" s="1969">
        <f t="shared" si="276"/>
        <v>25760.616873607109</v>
      </c>
      <c r="AB129" s="1970">
        <f t="shared" si="276"/>
        <v>772.24583424214461</v>
      </c>
      <c r="AC129" s="1971">
        <f t="shared" si="276"/>
        <v>772.24583424214461</v>
      </c>
      <c r="AD129" s="1972">
        <f t="shared" si="276"/>
        <v>965.30729280268076</v>
      </c>
      <c r="AE129" s="1972">
        <f t="shared" si="276"/>
        <v>965.30729280268076</v>
      </c>
      <c r="AF129" s="1972">
        <f t="shared" si="276"/>
        <v>0</v>
      </c>
      <c r="AG129" s="1972">
        <f t="shared" si="276"/>
        <v>0</v>
      </c>
      <c r="AH129" s="1972">
        <f t="shared" si="276"/>
        <v>3475.1062540896505</v>
      </c>
      <c r="AI129" s="1973">
        <f t="shared" si="276"/>
        <v>4826.5364640134039</v>
      </c>
      <c r="AJ129" s="1882">
        <f t="shared" ref="AJ129:AK134" si="282">SUM(AB129,AD129,AF129,AH129)</f>
        <v>5212.6593811344756</v>
      </c>
      <c r="AK129" s="1882">
        <f t="shared" si="282"/>
        <v>6564.0895910582294</v>
      </c>
      <c r="AL129" s="1969">
        <f t="shared" si="277"/>
        <v>11776.748972192705</v>
      </c>
      <c r="AM129" s="1970">
        <f t="shared" si="277"/>
        <v>14.706240546568564</v>
      </c>
      <c r="AN129" s="1971">
        <f t="shared" si="277"/>
        <v>14.706240546568564</v>
      </c>
      <c r="AO129" s="1972">
        <f t="shared" si="277"/>
        <v>80.884323006127104</v>
      </c>
      <c r="AP129" s="1972">
        <f t="shared" si="277"/>
        <v>80.884323006127104</v>
      </c>
      <c r="AQ129" s="1972">
        <f t="shared" si="277"/>
        <v>19.587670161765832</v>
      </c>
      <c r="AR129" s="1972">
        <f t="shared" si="277"/>
        <v>19.587670161765832</v>
      </c>
      <c r="AS129" s="1972">
        <f t="shared" si="277"/>
        <v>169.12176628553848</v>
      </c>
      <c r="AT129" s="1973">
        <f t="shared" si="277"/>
        <v>169.12176628553848</v>
      </c>
      <c r="AU129" s="1882">
        <f t="shared" ref="AU129:AV134" si="283">SUM(AM129,AO129,AQ129,AS129)</f>
        <v>284.29999999999995</v>
      </c>
      <c r="AV129" s="1882">
        <f t="shared" si="283"/>
        <v>284.29999999999995</v>
      </c>
      <c r="AW129" s="1969">
        <f t="shared" si="278"/>
        <v>568.6</v>
      </c>
      <c r="AX129" s="1740"/>
      <c r="AY129" s="1740"/>
      <c r="AZ129" s="1740"/>
      <c r="BA129" s="1883">
        <f t="shared" ref="BA129:BA133" si="284">SUM(G129,L129,Q129:R129,AB129:AC129)</f>
        <v>9384.830208712161</v>
      </c>
      <c r="BB129" s="1883">
        <f t="shared" ref="BB129:BB134" si="285">SUM(H129,M129,S129:T129,AD129:AE129)</f>
        <v>9557.3509906818326</v>
      </c>
      <c r="BC129" s="1883">
        <f t="shared" ref="BC129:BC134" si="286">SUM(I129,N129,U129:V129,AF129:AG129)</f>
        <v>0</v>
      </c>
      <c r="BD129" s="1883">
        <f t="shared" ref="BD129:BD134" si="287">SUM(J129,O129,W129:X129,AH129:AI129)</f>
        <v>38810.471609343658</v>
      </c>
      <c r="BE129" s="1883">
        <f t="shared" ref="BE129:BE134" si="288">SUM(K129,P129,Y129:Z129,AJ129:AK129)</f>
        <v>57752.65280873765</v>
      </c>
      <c r="BF129" s="1740"/>
      <c r="BG129" s="1740"/>
      <c r="BH129" s="1740"/>
      <c r="BI129" s="1768" t="e">
        <f>#REF!+#REF!+#REF!</f>
        <v>#REF!</v>
      </c>
      <c r="BJ129" s="1768" t="e">
        <f>#REF!+#REF!+#REF!</f>
        <v>#REF!</v>
      </c>
      <c r="BK129" s="1935" t="e">
        <f>SUM(BI129:BJ129)</f>
        <v>#REF!</v>
      </c>
    </row>
    <row r="130" spans="1:63" ht="15.75">
      <c r="B130" s="1872"/>
      <c r="C130" s="1886" t="s">
        <v>3755</v>
      </c>
      <c r="D130" s="1874"/>
      <c r="E130" s="1875"/>
      <c r="F130" s="1874"/>
      <c r="G130" s="1970">
        <f t="shared" ref="G130:J134" si="289">SUM(G28,G102)</f>
        <v>855.78577094655088</v>
      </c>
      <c r="H130" s="1972">
        <f t="shared" si="289"/>
        <v>641.83932820991311</v>
      </c>
      <c r="I130" s="1972">
        <f t="shared" si="289"/>
        <v>0</v>
      </c>
      <c r="J130" s="1972">
        <f t="shared" si="289"/>
        <v>2481.7787357449974</v>
      </c>
      <c r="K130" s="1969">
        <f t="shared" si="274"/>
        <v>3979.4038349014613</v>
      </c>
      <c r="L130" s="1970">
        <f t="shared" si="274"/>
        <v>190.05081706166155</v>
      </c>
      <c r="M130" s="1972">
        <f t="shared" si="274"/>
        <v>142.53811279624617</v>
      </c>
      <c r="N130" s="1972">
        <f t="shared" si="274"/>
        <v>0</v>
      </c>
      <c r="O130" s="1972">
        <f t="shared" si="274"/>
        <v>551.1473694788184</v>
      </c>
      <c r="P130" s="1969">
        <f t="shared" si="275"/>
        <v>883.73629933672623</v>
      </c>
      <c r="Q130" s="1970">
        <f t="shared" si="275"/>
        <v>565.5907978527905</v>
      </c>
      <c r="R130" s="1971">
        <f t="shared" si="275"/>
        <v>565.5907978527905</v>
      </c>
      <c r="S130" s="1972">
        <f t="shared" si="275"/>
        <v>706.98849731598807</v>
      </c>
      <c r="T130" s="1972">
        <f t="shared" si="275"/>
        <v>706.98849731598807</v>
      </c>
      <c r="U130" s="1972">
        <f t="shared" si="275"/>
        <v>0</v>
      </c>
      <c r="V130" s="1972">
        <f t="shared" si="275"/>
        <v>0</v>
      </c>
      <c r="W130" s="1972">
        <f t="shared" si="275"/>
        <v>2545.1585903375571</v>
      </c>
      <c r="X130" s="1973">
        <f t="shared" si="275"/>
        <v>3252.1470876535454</v>
      </c>
      <c r="Y130" s="1882">
        <f>SUM(Q130,S130,U130,W130)</f>
        <v>3817.7378855063357</v>
      </c>
      <c r="Z130" s="1882">
        <f>SUM(R130,T130,V130,X130)</f>
        <v>4524.726382822324</v>
      </c>
      <c r="AA130" s="1969">
        <f t="shared" si="276"/>
        <v>8342.4642683286602</v>
      </c>
      <c r="AB130" s="1970">
        <f t="shared" si="276"/>
        <v>180.37694733661505</v>
      </c>
      <c r="AC130" s="1971">
        <f t="shared" si="276"/>
        <v>180.37694733661505</v>
      </c>
      <c r="AD130" s="1972">
        <f t="shared" si="276"/>
        <v>225.47118417076882</v>
      </c>
      <c r="AE130" s="1972">
        <f t="shared" si="276"/>
        <v>225.47118417076882</v>
      </c>
      <c r="AF130" s="1972">
        <f t="shared" si="276"/>
        <v>0</v>
      </c>
      <c r="AG130" s="1972">
        <f t="shared" si="276"/>
        <v>0</v>
      </c>
      <c r="AH130" s="1972">
        <f t="shared" si="276"/>
        <v>811.69626301476774</v>
      </c>
      <c r="AI130" s="1973">
        <f t="shared" si="276"/>
        <v>1127.3559208538443</v>
      </c>
      <c r="AJ130" s="1882">
        <f t="shared" si="282"/>
        <v>1217.5443945221516</v>
      </c>
      <c r="AK130" s="1882">
        <f t="shared" si="282"/>
        <v>1533.2040523612282</v>
      </c>
      <c r="AL130" s="1969">
        <f t="shared" si="277"/>
        <v>2750.7484468833795</v>
      </c>
      <c r="AM130" s="1970">
        <f t="shared" si="277"/>
        <v>4.9656750211461702</v>
      </c>
      <c r="AN130" s="1971">
        <f t="shared" si="277"/>
        <v>4.9656750211461702</v>
      </c>
      <c r="AO130" s="1972">
        <f t="shared" si="277"/>
        <v>27.311212616303941</v>
      </c>
      <c r="AP130" s="1972">
        <f t="shared" si="277"/>
        <v>27.311212616303941</v>
      </c>
      <c r="AQ130" s="1972">
        <f t="shared" si="277"/>
        <v>6.2678496193689286</v>
      </c>
      <c r="AR130" s="1972">
        <f t="shared" si="277"/>
        <v>6.2678496193689286</v>
      </c>
      <c r="AS130" s="1972">
        <f t="shared" si="277"/>
        <v>57.105262743180958</v>
      </c>
      <c r="AT130" s="1973">
        <f t="shared" si="277"/>
        <v>57.105262743180958</v>
      </c>
      <c r="AU130" s="1882">
        <f t="shared" si="283"/>
        <v>95.65</v>
      </c>
      <c r="AV130" s="1882">
        <f t="shared" si="283"/>
        <v>95.65</v>
      </c>
      <c r="AW130" s="1969">
        <f t="shared" si="278"/>
        <v>191.29999999999998</v>
      </c>
      <c r="AX130" s="1740"/>
      <c r="AY130" s="1740"/>
      <c r="AZ130" s="1740"/>
      <c r="BA130" s="1883">
        <f t="shared" si="284"/>
        <v>2537.7720783870236</v>
      </c>
      <c r="BB130" s="1883">
        <f t="shared" si="285"/>
        <v>2649.2968039796733</v>
      </c>
      <c r="BC130" s="1883">
        <f t="shared" si="286"/>
        <v>0</v>
      </c>
      <c r="BD130" s="1883">
        <f t="shared" si="287"/>
        <v>10769.283967083531</v>
      </c>
      <c r="BE130" s="1883">
        <f t="shared" si="288"/>
        <v>15956.352849450228</v>
      </c>
      <c r="BF130" s="1740"/>
      <c r="BG130" s="1740"/>
      <c r="BH130" s="1740"/>
      <c r="BI130" s="1768" t="e">
        <f>#REF!+#REF!+#REF!</f>
        <v>#REF!</v>
      </c>
      <c r="BJ130" s="1768" t="e">
        <f>#REF!+#REF!+#REF!</f>
        <v>#REF!</v>
      </c>
      <c r="BK130" s="1935" t="e">
        <f t="shared" ref="BK130:BK134" si="290">SUM(BI130:BJ130)</f>
        <v>#REF!</v>
      </c>
    </row>
    <row r="131" spans="1:63" ht="15.75">
      <c r="B131" s="1872"/>
      <c r="C131" s="1887" t="s">
        <v>3767</v>
      </c>
      <c r="D131" s="1874"/>
      <c r="E131" s="1875"/>
      <c r="F131" s="1874"/>
      <c r="G131" s="1970">
        <f t="shared" si="289"/>
        <v>675.77775925811727</v>
      </c>
      <c r="H131" s="1972">
        <f t="shared" si="289"/>
        <v>675.46757260719073</v>
      </c>
      <c r="I131" s="1972">
        <f t="shared" si="289"/>
        <v>0</v>
      </c>
      <c r="J131" s="1972">
        <f t="shared" si="289"/>
        <v>1799.1866404119983</v>
      </c>
      <c r="K131" s="1969">
        <f t="shared" si="274"/>
        <v>3150.4319722773062</v>
      </c>
      <c r="L131" s="1970">
        <f t="shared" si="274"/>
        <v>150.07507679994538</v>
      </c>
      <c r="M131" s="1972">
        <f t="shared" si="274"/>
        <v>150.00619130494002</v>
      </c>
      <c r="N131" s="1972">
        <f t="shared" si="274"/>
        <v>0</v>
      </c>
      <c r="O131" s="1972">
        <f t="shared" si="274"/>
        <v>399.55898154105023</v>
      </c>
      <c r="P131" s="1969">
        <f t="shared" si="275"/>
        <v>699.64024964593557</v>
      </c>
      <c r="Q131" s="1876">
        <f>Q128-Q129-Q130</f>
        <v>701.17578939370424</v>
      </c>
      <c r="R131" s="1888">
        <f>R128-R129-R130</f>
        <v>701.17578939370424</v>
      </c>
      <c r="S131" s="1779">
        <f t="shared" ref="S131:V131" si="291">S128-S129-S130</f>
        <v>876.46973674213018</v>
      </c>
      <c r="T131" s="1779">
        <f t="shared" si="291"/>
        <v>876.46973674213018</v>
      </c>
      <c r="U131" s="1779">
        <f t="shared" si="291"/>
        <v>0</v>
      </c>
      <c r="V131" s="1779">
        <f t="shared" si="291"/>
        <v>0</v>
      </c>
      <c r="W131" s="1779">
        <f>W128-W129-W130</f>
        <v>3155.2910522716693</v>
      </c>
      <c r="X131" s="1882">
        <f t="shared" ref="X131" si="292">X128-X129-X130</f>
        <v>4031.7607890138011</v>
      </c>
      <c r="Y131" s="1882">
        <f t="shared" ref="Y131:Z134" si="293">SUM(Q131,S131,U131,W131)</f>
        <v>4732.9365784075035</v>
      </c>
      <c r="Z131" s="1882">
        <f t="shared" si="293"/>
        <v>5609.4063151496357</v>
      </c>
      <c r="AA131" s="1969">
        <f t="shared" si="276"/>
        <v>10342.342893557137</v>
      </c>
      <c r="AB131" s="1876">
        <f>AB128-AB129-AB130</f>
        <v>343.21431489836397</v>
      </c>
      <c r="AC131" s="1888">
        <f t="shared" ref="AC131:AI131" si="294">AC128-AC129-AC130</f>
        <v>343.21431489836397</v>
      </c>
      <c r="AD131" s="1779">
        <f t="shared" si="294"/>
        <v>429.01789362295477</v>
      </c>
      <c r="AE131" s="1779">
        <f t="shared" si="294"/>
        <v>429.01789362295477</v>
      </c>
      <c r="AF131" s="1779">
        <f t="shared" si="294"/>
        <v>0</v>
      </c>
      <c r="AG131" s="1779">
        <f t="shared" si="294"/>
        <v>0</v>
      </c>
      <c r="AH131" s="1779">
        <f t="shared" si="294"/>
        <v>1544.4644170426382</v>
      </c>
      <c r="AI131" s="1882">
        <f t="shared" si="294"/>
        <v>2145.0894681147747</v>
      </c>
      <c r="AJ131" s="1882">
        <f t="shared" si="282"/>
        <v>2316.6966255639568</v>
      </c>
      <c r="AK131" s="1882">
        <f t="shared" si="282"/>
        <v>2917.3216766360933</v>
      </c>
      <c r="AL131" s="1969">
        <f t="shared" si="277"/>
        <v>5234.0183022000501</v>
      </c>
      <c r="AM131" s="1876">
        <f>AM128-AM129-AM130</f>
        <v>6.1881523367639488</v>
      </c>
      <c r="AN131" s="1888">
        <f t="shared" ref="AN131:AT131" si="295">AN128-AN129-AN130</f>
        <v>6.1881523367639488</v>
      </c>
      <c r="AO131" s="1779">
        <f t="shared" si="295"/>
        <v>34.034837852201711</v>
      </c>
      <c r="AP131" s="1779">
        <f t="shared" si="295"/>
        <v>34.034837852201711</v>
      </c>
      <c r="AQ131" s="1779">
        <f t="shared" si="295"/>
        <v>8.5882579382489368</v>
      </c>
      <c r="AR131" s="1779">
        <f t="shared" si="295"/>
        <v>8.5882579382489368</v>
      </c>
      <c r="AS131" s="1779">
        <f t="shared" si="295"/>
        <v>71.163751872785411</v>
      </c>
      <c r="AT131" s="1882">
        <f t="shared" si="295"/>
        <v>71.163751872785411</v>
      </c>
      <c r="AU131" s="1882">
        <f t="shared" si="283"/>
        <v>119.97500000000001</v>
      </c>
      <c r="AV131" s="1882">
        <f t="shared" si="283"/>
        <v>119.97500000000001</v>
      </c>
      <c r="AW131" s="1969">
        <f t="shared" si="278"/>
        <v>239.95000000000013</v>
      </c>
      <c r="AX131" s="1740"/>
      <c r="AY131" s="1740"/>
      <c r="AZ131" s="1740"/>
      <c r="BA131" s="1883">
        <f t="shared" si="284"/>
        <v>2914.6330446421994</v>
      </c>
      <c r="BB131" s="1883">
        <f t="shared" si="285"/>
        <v>3436.4490246423011</v>
      </c>
      <c r="BC131" s="1883">
        <f t="shared" si="286"/>
        <v>0</v>
      </c>
      <c r="BD131" s="1883">
        <f t="shared" si="287"/>
        <v>13075.351348395932</v>
      </c>
      <c r="BE131" s="1883">
        <f t="shared" si="288"/>
        <v>19426.43341768043</v>
      </c>
      <c r="BF131" s="1740"/>
      <c r="BG131" s="1740"/>
      <c r="BH131" s="1740"/>
      <c r="BI131" s="1768" t="e">
        <f>#REF!+#REF!+#REF!</f>
        <v>#REF!</v>
      </c>
      <c r="BJ131" s="1768" t="e">
        <f>#REF!+#REF!+#REF!</f>
        <v>#REF!</v>
      </c>
      <c r="BK131" s="1935" t="e">
        <f t="shared" si="290"/>
        <v>#REF!</v>
      </c>
    </row>
    <row r="132" spans="1:63" ht="15.75">
      <c r="A132" s="1739">
        <f>A128+1</f>
        <v>2</v>
      </c>
      <c r="B132" s="1872" t="str">
        <f>CONCATENATE($B$25,".",A132)</f>
        <v>8.2</v>
      </c>
      <c r="C132" s="1873" t="s">
        <v>3704</v>
      </c>
      <c r="D132" s="1874"/>
      <c r="E132" s="1875"/>
      <c r="F132" s="1874"/>
      <c r="G132" s="1970">
        <f t="shared" si="289"/>
        <v>783.11837494046915</v>
      </c>
      <c r="H132" s="1972">
        <f t="shared" si="289"/>
        <v>782.75891820684058</v>
      </c>
      <c r="I132" s="1972">
        <f t="shared" si="289"/>
        <v>0</v>
      </c>
      <c r="J132" s="1972">
        <f t="shared" si="289"/>
        <v>2084.9696497867126</v>
      </c>
      <c r="K132" s="1969">
        <f t="shared" si="274"/>
        <v>3650.8469429340225</v>
      </c>
      <c r="L132" s="1970">
        <f t="shared" si="274"/>
        <v>173.91301896597241</v>
      </c>
      <c r="M132" s="1972">
        <f t="shared" si="274"/>
        <v>173.83319169115234</v>
      </c>
      <c r="N132" s="1972">
        <f t="shared" si="274"/>
        <v>0</v>
      </c>
      <c r="O132" s="1972">
        <f t="shared" si="274"/>
        <v>463.02497534219873</v>
      </c>
      <c r="P132" s="1969">
        <f t="shared" si="275"/>
        <v>810.77118599932339</v>
      </c>
      <c r="Q132" s="1970">
        <f t="shared" si="275"/>
        <v>1938.0375036320042</v>
      </c>
      <c r="R132" s="1971">
        <f t="shared" si="275"/>
        <v>1938.0375036320038</v>
      </c>
      <c r="S132" s="1972">
        <f t="shared" si="275"/>
        <v>1938.0375036320042</v>
      </c>
      <c r="T132" s="1972">
        <f t="shared" si="275"/>
        <v>1938.0375036320038</v>
      </c>
      <c r="U132" s="1972">
        <f t="shared" si="275"/>
        <v>0</v>
      </c>
      <c r="V132" s="1972">
        <f t="shared" si="275"/>
        <v>0</v>
      </c>
      <c r="W132" s="1972">
        <f t="shared" si="275"/>
        <v>1938.0375036320042</v>
      </c>
      <c r="X132" s="1973">
        <f t="shared" si="275"/>
        <v>1938.0375036320038</v>
      </c>
      <c r="Y132" s="1882">
        <f t="shared" si="293"/>
        <v>5814.1125108960132</v>
      </c>
      <c r="Z132" s="1882">
        <f t="shared" si="293"/>
        <v>5814.1125108960114</v>
      </c>
      <c r="AA132" s="1969">
        <f t="shared" si="276"/>
        <v>11628.225021792025</v>
      </c>
      <c r="AB132" s="1970">
        <f t="shared" si="276"/>
        <v>778.96138861073678</v>
      </c>
      <c r="AC132" s="1971">
        <f t="shared" si="276"/>
        <v>778.96138861073678</v>
      </c>
      <c r="AD132" s="1972">
        <f t="shared" si="276"/>
        <v>778.96138861073678</v>
      </c>
      <c r="AE132" s="1972">
        <f t="shared" si="276"/>
        <v>778.96138861073678</v>
      </c>
      <c r="AF132" s="1972">
        <f t="shared" si="276"/>
        <v>0</v>
      </c>
      <c r="AG132" s="1972">
        <f t="shared" si="276"/>
        <v>0</v>
      </c>
      <c r="AH132" s="1972">
        <f t="shared" si="276"/>
        <v>778.96138861073678</v>
      </c>
      <c r="AI132" s="1973">
        <f t="shared" si="276"/>
        <v>778.96138861073678</v>
      </c>
      <c r="AJ132" s="1882">
        <f t="shared" si="282"/>
        <v>2336.8841658322103</v>
      </c>
      <c r="AK132" s="1882">
        <f t="shared" si="282"/>
        <v>2336.8841658322103</v>
      </c>
      <c r="AL132" s="1969">
        <f t="shared" si="277"/>
        <v>4673.7683316644216</v>
      </c>
      <c r="AM132" s="1970">
        <f t="shared" si="277"/>
        <v>35.537499999999994</v>
      </c>
      <c r="AN132" s="1971">
        <f t="shared" si="277"/>
        <v>35.537499999999994</v>
      </c>
      <c r="AO132" s="1972">
        <f t="shared" si="277"/>
        <v>35.537499999999994</v>
      </c>
      <c r="AP132" s="1972">
        <f t="shared" si="277"/>
        <v>35.537499999999994</v>
      </c>
      <c r="AQ132" s="1972">
        <f t="shared" si="277"/>
        <v>35.537499999999994</v>
      </c>
      <c r="AR132" s="1972">
        <f t="shared" si="277"/>
        <v>35.537499999999994</v>
      </c>
      <c r="AS132" s="1972">
        <f t="shared" si="277"/>
        <v>35.537499999999994</v>
      </c>
      <c r="AT132" s="1973">
        <f t="shared" si="277"/>
        <v>35.537499999999994</v>
      </c>
      <c r="AU132" s="1882">
        <f t="shared" si="283"/>
        <v>142.14999999999998</v>
      </c>
      <c r="AV132" s="1882">
        <f t="shared" si="283"/>
        <v>142.14999999999998</v>
      </c>
      <c r="AW132" s="1969">
        <f t="shared" si="278"/>
        <v>284.3</v>
      </c>
      <c r="AX132" s="1740"/>
      <c r="AY132" s="1740"/>
      <c r="AZ132" s="1740"/>
      <c r="BA132" s="1883">
        <f t="shared" si="284"/>
        <v>6391.029178391922</v>
      </c>
      <c r="BB132" s="1883">
        <f t="shared" si="285"/>
        <v>6390.5898943834745</v>
      </c>
      <c r="BC132" s="1883">
        <f t="shared" si="286"/>
        <v>0</v>
      </c>
      <c r="BD132" s="1883">
        <f t="shared" si="287"/>
        <v>7981.9924096143914</v>
      </c>
      <c r="BE132" s="1883">
        <f t="shared" si="288"/>
        <v>20763.611482389788</v>
      </c>
      <c r="BF132" s="1740"/>
      <c r="BG132" s="1740"/>
      <c r="BH132" s="1740"/>
      <c r="BI132" s="1768" t="e">
        <f>#REF!+#REF!+#REF!</f>
        <v>#REF!</v>
      </c>
      <c r="BJ132" s="1768" t="e">
        <f>#REF!+#REF!+#REF!</f>
        <v>#REF!</v>
      </c>
      <c r="BK132" s="1935" t="e">
        <f t="shared" si="290"/>
        <v>#REF!</v>
      </c>
    </row>
    <row r="133" spans="1:63" ht="15.75">
      <c r="A133" s="1739">
        <f>A132+1</f>
        <v>3</v>
      </c>
      <c r="B133" s="1872" t="str">
        <f>CONCATENATE($B$25,".",A133)</f>
        <v>8.3</v>
      </c>
      <c r="C133" s="1873" t="s">
        <v>3771</v>
      </c>
      <c r="D133" s="1874"/>
      <c r="E133" s="1875"/>
      <c r="F133" s="1874"/>
      <c r="G133" s="1970">
        <f t="shared" si="289"/>
        <v>133081.05311821157</v>
      </c>
      <c r="H133" s="1972">
        <f t="shared" si="289"/>
        <v>151388.35137168659</v>
      </c>
      <c r="I133" s="1972">
        <f t="shared" si="289"/>
        <v>0</v>
      </c>
      <c r="J133" s="1972">
        <f t="shared" si="289"/>
        <v>385775.12361945549</v>
      </c>
      <c r="K133" s="1969">
        <f t="shared" si="274"/>
        <v>670244.52810935373</v>
      </c>
      <c r="L133" s="1970">
        <f t="shared" si="274"/>
        <v>29554.315740220649</v>
      </c>
      <c r="M133" s="1972">
        <f t="shared" si="274"/>
        <v>33619.955891512393</v>
      </c>
      <c r="N133" s="1972">
        <f t="shared" si="274"/>
        <v>0</v>
      </c>
      <c r="O133" s="1972">
        <f t="shared" si="274"/>
        <v>85671.998688232634</v>
      </c>
      <c r="P133" s="1969">
        <f t="shared" si="275"/>
        <v>148846.27031996567</v>
      </c>
      <c r="Q133" s="1970">
        <f t="shared" si="275"/>
        <v>236089.01391339826</v>
      </c>
      <c r="R133" s="1971">
        <f t="shared" si="275"/>
        <v>278805.22902058315</v>
      </c>
      <c r="S133" s="1972">
        <f t="shared" si="275"/>
        <v>230562.63951611941</v>
      </c>
      <c r="T133" s="1972">
        <f t="shared" si="275"/>
        <v>268952.61614845152</v>
      </c>
      <c r="U133" s="1972">
        <f t="shared" si="275"/>
        <v>0</v>
      </c>
      <c r="V133" s="1972">
        <f t="shared" si="275"/>
        <v>0</v>
      </c>
      <c r="W133" s="1972">
        <f t="shared" si="275"/>
        <v>385894.72280275455</v>
      </c>
      <c r="X133" s="1973">
        <f t="shared" si="275"/>
        <v>465268.98186380055</v>
      </c>
      <c r="Y133" s="1882">
        <f t="shared" si="293"/>
        <v>852546.37623227225</v>
      </c>
      <c r="Z133" s="1882">
        <f t="shared" si="293"/>
        <v>1013026.8270328352</v>
      </c>
      <c r="AA133" s="1969">
        <f t="shared" si="276"/>
        <v>1865573.2032651072</v>
      </c>
      <c r="AB133" s="1970">
        <f t="shared" si="276"/>
        <v>130257.47758275048</v>
      </c>
      <c r="AC133" s="1971">
        <f t="shared" si="276"/>
        <v>130257.47758275048</v>
      </c>
      <c r="AD133" s="1972">
        <f t="shared" si="276"/>
        <v>119402.68778418795</v>
      </c>
      <c r="AE133" s="1972">
        <f t="shared" si="276"/>
        <v>135001.6217167959</v>
      </c>
      <c r="AF133" s="1972">
        <f t="shared" si="276"/>
        <v>0</v>
      </c>
      <c r="AG133" s="1972">
        <f t="shared" si="276"/>
        <v>0</v>
      </c>
      <c r="AH133" s="1972">
        <f t="shared" si="276"/>
        <v>180289.5640851506</v>
      </c>
      <c r="AI133" s="1973">
        <f t="shared" si="276"/>
        <v>239230.43476679781</v>
      </c>
      <c r="AJ133" s="1882">
        <f t="shared" si="282"/>
        <v>429949.72945208906</v>
      </c>
      <c r="AK133" s="1882">
        <f t="shared" si="282"/>
        <v>504489.5340663442</v>
      </c>
      <c r="AL133" s="1969">
        <f t="shared" si="277"/>
        <v>934439.26351843332</v>
      </c>
      <c r="AM133" s="1970">
        <f t="shared" si="277"/>
        <v>12314.416343511955</v>
      </c>
      <c r="AN133" s="1971">
        <f t="shared" si="277"/>
        <v>12314.416343511955</v>
      </c>
      <c r="AO133" s="1972">
        <f t="shared" si="277"/>
        <v>8604.9001488610029</v>
      </c>
      <c r="AP133" s="1972">
        <f t="shared" si="277"/>
        <v>8604.9001488610029</v>
      </c>
      <c r="AQ133" s="1972">
        <f t="shared" si="277"/>
        <v>1658.7406442110162</v>
      </c>
      <c r="AR133" s="1972">
        <f t="shared" si="277"/>
        <v>1658.7406442110162</v>
      </c>
      <c r="AS133" s="1972">
        <f t="shared" si="277"/>
        <v>5585.7578634160182</v>
      </c>
      <c r="AT133" s="1973">
        <f t="shared" si="277"/>
        <v>5585.7578634160182</v>
      </c>
      <c r="AU133" s="1882">
        <f t="shared" si="283"/>
        <v>28163.814999999988</v>
      </c>
      <c r="AV133" s="1882">
        <f t="shared" si="283"/>
        <v>28163.814999999988</v>
      </c>
      <c r="AW133" s="1969">
        <f t="shared" si="278"/>
        <v>56327.63</v>
      </c>
      <c r="AX133" s="1740"/>
      <c r="AY133" s="1740"/>
      <c r="AZ133" s="1740"/>
      <c r="BA133" s="1883">
        <f t="shared" si="284"/>
        <v>938044.56695791462</v>
      </c>
      <c r="BB133" s="1883">
        <f t="shared" si="285"/>
        <v>938927.87242875388</v>
      </c>
      <c r="BC133" s="1883">
        <f t="shared" si="286"/>
        <v>0</v>
      </c>
      <c r="BD133" s="1883">
        <f t="shared" si="287"/>
        <v>1742130.8258261918</v>
      </c>
      <c r="BE133" s="1883">
        <f t="shared" si="288"/>
        <v>3619103.26521286</v>
      </c>
      <c r="BF133" s="1740"/>
      <c r="BG133" s="1740"/>
      <c r="BH133" s="1740"/>
      <c r="BI133" s="1768" t="e">
        <f>#REF!+#REF!+#REF!</f>
        <v>#REF!</v>
      </c>
      <c r="BJ133" s="1768" t="e">
        <f>#REF!+#REF!+#REF!</f>
        <v>#REF!</v>
      </c>
      <c r="BK133" s="1935" t="e">
        <f t="shared" si="290"/>
        <v>#REF!</v>
      </c>
    </row>
    <row r="134" spans="1:63" ht="15.75">
      <c r="A134" s="1739">
        <f>A133+1</f>
        <v>4</v>
      </c>
      <c r="B134" s="1872" t="str">
        <f>CONCATENATE($B$25,".",A134)</f>
        <v>8.4</v>
      </c>
      <c r="C134" s="1873" t="s">
        <v>3706</v>
      </c>
      <c r="D134" s="1874"/>
      <c r="E134" s="1875"/>
      <c r="F134" s="1874"/>
      <c r="G134" s="1970">
        <f t="shared" si="289"/>
        <v>40058.606334225995</v>
      </c>
      <c r="H134" s="1972">
        <f t="shared" si="289"/>
        <v>45569.269472184431</v>
      </c>
      <c r="I134" s="1972">
        <f t="shared" si="289"/>
        <v>0</v>
      </c>
      <c r="J134" s="1972">
        <f t="shared" si="289"/>
        <v>116121.81785849103</v>
      </c>
      <c r="K134" s="1969">
        <f t="shared" si="274"/>
        <v>201749.69366490148</v>
      </c>
      <c r="L134" s="1970">
        <f t="shared" si="274"/>
        <v>8896.1176063379426</v>
      </c>
      <c r="M134" s="1972">
        <f t="shared" si="274"/>
        <v>10119.912237513217</v>
      </c>
      <c r="N134" s="1972">
        <f t="shared" si="274"/>
        <v>0</v>
      </c>
      <c r="O134" s="1972">
        <f t="shared" si="274"/>
        <v>25788.05013114668</v>
      </c>
      <c r="P134" s="1969">
        <f t="shared" si="275"/>
        <v>44804.07997499784</v>
      </c>
      <c r="Q134" s="1970">
        <f t="shared" si="275"/>
        <v>70802.256959720413</v>
      </c>
      <c r="R134" s="1971">
        <f t="shared" si="275"/>
        <v>83612.698192174372</v>
      </c>
      <c r="S134" s="1972">
        <f t="shared" si="275"/>
        <v>69144.916901214834</v>
      </c>
      <c r="T134" s="1972">
        <f t="shared" si="275"/>
        <v>80657.9345768153</v>
      </c>
      <c r="U134" s="1972">
        <f t="shared" si="275"/>
        <v>0</v>
      </c>
      <c r="V134" s="1972">
        <f t="shared" si="275"/>
        <v>0</v>
      </c>
      <c r="W134" s="1972">
        <f t="shared" si="275"/>
        <v>115728.45712042744</v>
      </c>
      <c r="X134" s="1973">
        <f t="shared" si="275"/>
        <v>139532.51556801394</v>
      </c>
      <c r="Y134" s="1882">
        <f t="shared" si="293"/>
        <v>255675.63098136272</v>
      </c>
      <c r="Z134" s="1882">
        <f t="shared" si="293"/>
        <v>303803.1483370036</v>
      </c>
      <c r="AA134" s="1969">
        <f t="shared" si="276"/>
        <v>559478.77931836632</v>
      </c>
      <c r="AB134" s="1970">
        <f t="shared" si="276"/>
        <v>38753.845972132098</v>
      </c>
      <c r="AC134" s="1971">
        <f t="shared" si="276"/>
        <v>38753.845972132098</v>
      </c>
      <c r="AD134" s="1972">
        <f t="shared" si="276"/>
        <v>35524.358807787765</v>
      </c>
      <c r="AE134" s="1972">
        <f t="shared" si="276"/>
        <v>40165.310668457045</v>
      </c>
      <c r="AF134" s="1972">
        <f t="shared" si="276"/>
        <v>0</v>
      </c>
      <c r="AG134" s="1972">
        <f t="shared" si="276"/>
        <v>0</v>
      </c>
      <c r="AH134" s="1972">
        <f t="shared" si="276"/>
        <v>53639.254548746285</v>
      </c>
      <c r="AI134" s="1973">
        <f t="shared" si="276"/>
        <v>71175.180057581718</v>
      </c>
      <c r="AJ134" s="1882">
        <f t="shared" si="282"/>
        <v>127917.45932866615</v>
      </c>
      <c r="AK134" s="1882">
        <f t="shared" si="282"/>
        <v>150094.33669817087</v>
      </c>
      <c r="AL134" s="1969">
        <f t="shared" si="277"/>
        <v>278011.79602683702</v>
      </c>
      <c r="AM134" s="1970">
        <f t="shared" si="277"/>
        <v>3634.8360959296815</v>
      </c>
      <c r="AN134" s="1971">
        <f t="shared" si="277"/>
        <v>3634.8360959296815</v>
      </c>
      <c r="AO134" s="1972">
        <f t="shared" si="277"/>
        <v>2539.901266163512</v>
      </c>
      <c r="AP134" s="1972">
        <f t="shared" si="277"/>
        <v>2539.901266163512</v>
      </c>
      <c r="AQ134" s="1972">
        <f t="shared" si="277"/>
        <v>489.60910522896694</v>
      </c>
      <c r="AR134" s="1972">
        <f t="shared" si="277"/>
        <v>489.60910522896694</v>
      </c>
      <c r="AS134" s="1972">
        <f t="shared" si="277"/>
        <v>1648.7435326778373</v>
      </c>
      <c r="AT134" s="1973">
        <f t="shared" si="277"/>
        <v>1648.7435326778373</v>
      </c>
      <c r="AU134" s="1882">
        <f t="shared" si="283"/>
        <v>8313.0899999999983</v>
      </c>
      <c r="AV134" s="1882">
        <f t="shared" si="283"/>
        <v>8313.0899999999983</v>
      </c>
      <c r="AW134" s="1969">
        <f t="shared" si="278"/>
        <v>16626.18</v>
      </c>
      <c r="AX134" s="1740"/>
      <c r="AY134" s="1740"/>
      <c r="AZ134" s="1740"/>
      <c r="BA134" s="1883">
        <f>SUM(G134,L134,Q134:R134,AB134:AC134)</f>
        <v>280877.37103672297</v>
      </c>
      <c r="BB134" s="1883">
        <f t="shared" si="285"/>
        <v>281181.70266397262</v>
      </c>
      <c r="BC134" s="1883">
        <f t="shared" si="286"/>
        <v>0</v>
      </c>
      <c r="BD134" s="1883">
        <f t="shared" si="287"/>
        <v>521985.27528440708</v>
      </c>
      <c r="BE134" s="1883">
        <f t="shared" si="288"/>
        <v>1084044.3489851025</v>
      </c>
      <c r="BF134" s="1740"/>
      <c r="BG134" s="1740"/>
      <c r="BH134" s="1740"/>
      <c r="BI134" s="1768" t="e">
        <f>#REF!+#REF!+#REF!</f>
        <v>#REF!</v>
      </c>
      <c r="BJ134" s="1768" t="e">
        <f>#REF!+#REF!+#REF!</f>
        <v>#REF!</v>
      </c>
      <c r="BK134" s="1935" t="e">
        <f t="shared" si="290"/>
        <v>#REF!</v>
      </c>
    </row>
    <row r="135" spans="1:63" ht="15.75">
      <c r="A135" s="1739">
        <f>A134+1</f>
        <v>5</v>
      </c>
      <c r="B135" s="1872" t="str">
        <f>CONCATENATE($B$25,".",A135)</f>
        <v>8.5</v>
      </c>
      <c r="C135" s="1873" t="s">
        <v>3708</v>
      </c>
      <c r="D135" s="1874"/>
      <c r="E135" s="1875"/>
      <c r="F135" s="1874"/>
      <c r="G135" s="1889">
        <f>SUM(G136:G138)</f>
        <v>64139.234214798715</v>
      </c>
      <c r="H135" s="1890">
        <f>SUM(H136:H138)</f>
        <v>64109.793864059851</v>
      </c>
      <c r="I135" s="1890">
        <f>SUM(I136:I138)</f>
        <v>0</v>
      </c>
      <c r="J135" s="1890">
        <f>SUM(J136:J138)</f>
        <v>170763.91127788636</v>
      </c>
      <c r="K135" s="1969">
        <f t="shared" si="274"/>
        <v>299012.93935674493</v>
      </c>
      <c r="L135" s="1889">
        <f>SUM(L136:L138)</f>
        <v>55796.437055305592</v>
      </c>
      <c r="M135" s="1890">
        <f>SUM(M136:M138)</f>
        <v>55770.826105985769</v>
      </c>
      <c r="N135" s="1890">
        <f>SUM(N136:N138)</f>
        <v>0</v>
      </c>
      <c r="O135" s="1890">
        <f>SUM(O136:O138)</f>
        <v>148552.09831513694</v>
      </c>
      <c r="P135" s="1969">
        <f t="shared" si="275"/>
        <v>260119.36147642831</v>
      </c>
      <c r="Q135" s="1889">
        <f>SUM(Q136:Q138)</f>
        <v>297879.60430055019</v>
      </c>
      <c r="R135" s="1891">
        <f t="shared" ref="R135:Z135" si="296">SUM(R136:R138)</f>
        <v>297879.60430055007</v>
      </c>
      <c r="S135" s="1890">
        <f t="shared" si="296"/>
        <v>297879.60430055019</v>
      </c>
      <c r="T135" s="1890">
        <f t="shared" si="296"/>
        <v>297879.60430055007</v>
      </c>
      <c r="U135" s="1890">
        <f t="shared" si="296"/>
        <v>0</v>
      </c>
      <c r="V135" s="1890">
        <f t="shared" si="296"/>
        <v>0</v>
      </c>
      <c r="W135" s="1890">
        <f t="shared" si="296"/>
        <v>297879.60430055019</v>
      </c>
      <c r="X135" s="1892">
        <f t="shared" si="296"/>
        <v>297879.60430055007</v>
      </c>
      <c r="Y135" s="1892">
        <f t="shared" si="296"/>
        <v>893638.81290165044</v>
      </c>
      <c r="Z135" s="1892">
        <f t="shared" si="296"/>
        <v>893638.81290165032</v>
      </c>
      <c r="AA135" s="1969">
        <f t="shared" si="276"/>
        <v>1787277.6258033006</v>
      </c>
      <c r="AB135" s="1889">
        <f>SUM(AB136:AB138)</f>
        <v>195722.30908801322</v>
      </c>
      <c r="AC135" s="1891">
        <f t="shared" ref="AC135:AK135" si="297">SUM(AC136:AC138)</f>
        <v>195722.30908801322</v>
      </c>
      <c r="AD135" s="1890">
        <f t="shared" si="297"/>
        <v>195722.30908801322</v>
      </c>
      <c r="AE135" s="1890">
        <f t="shared" si="297"/>
        <v>195722.30908801322</v>
      </c>
      <c r="AF135" s="1890">
        <f t="shared" si="297"/>
        <v>0</v>
      </c>
      <c r="AG135" s="1890">
        <f t="shared" si="297"/>
        <v>0</v>
      </c>
      <c r="AH135" s="1890">
        <f t="shared" si="297"/>
        <v>195722.30908801322</v>
      </c>
      <c r="AI135" s="1892">
        <f t="shared" si="297"/>
        <v>195722.30908801322</v>
      </c>
      <c r="AJ135" s="1892">
        <f t="shared" si="297"/>
        <v>587166.92726403964</v>
      </c>
      <c r="AK135" s="1892">
        <f t="shared" si="297"/>
        <v>587166.92726403964</v>
      </c>
      <c r="AL135" s="1969">
        <f t="shared" si="277"/>
        <v>1174333.8545280793</v>
      </c>
      <c r="AM135" s="1889">
        <f>SUM(AM136:AM138)</f>
        <v>12750.103866015816</v>
      </c>
      <c r="AN135" s="1891">
        <f t="shared" ref="AN135:AV135" si="298">SUM(AN136:AN138)</f>
        <v>12750.103866015816</v>
      </c>
      <c r="AO135" s="1890">
        <f t="shared" si="298"/>
        <v>12750.103866015816</v>
      </c>
      <c r="AP135" s="1890">
        <f t="shared" si="298"/>
        <v>12750.103866015816</v>
      </c>
      <c r="AQ135" s="1890">
        <f t="shared" si="298"/>
        <v>12750.103866015816</v>
      </c>
      <c r="AR135" s="1890">
        <f t="shared" si="298"/>
        <v>12750.103866015816</v>
      </c>
      <c r="AS135" s="1890">
        <f t="shared" si="298"/>
        <v>12750.103866015816</v>
      </c>
      <c r="AT135" s="1892">
        <f t="shared" si="298"/>
        <v>12750.103866015816</v>
      </c>
      <c r="AU135" s="1892">
        <f t="shared" si="298"/>
        <v>51000.415464063262</v>
      </c>
      <c r="AV135" s="1892">
        <f t="shared" si="298"/>
        <v>51000.415464063262</v>
      </c>
      <c r="AW135" s="1969">
        <f t="shared" si="278"/>
        <v>102000.83092812654</v>
      </c>
      <c r="AX135" s="1740"/>
      <c r="AY135" s="1740"/>
      <c r="AZ135" s="1740"/>
      <c r="BA135" s="1890">
        <f t="shared" ref="BA135:BE135" si="299">SUM(BA136:BA138)</f>
        <v>1107139.4980472312</v>
      </c>
      <c r="BB135" s="1890">
        <f t="shared" si="299"/>
        <v>1107084.4467471726</v>
      </c>
      <c r="BC135" s="1890">
        <f t="shared" si="299"/>
        <v>0</v>
      </c>
      <c r="BD135" s="1890">
        <f t="shared" si="299"/>
        <v>1306519.8363701503</v>
      </c>
      <c r="BE135" s="1890">
        <f t="shared" si="299"/>
        <v>3520743.781164553</v>
      </c>
      <c r="BF135" s="1740"/>
      <c r="BG135" s="1740"/>
      <c r="BH135" s="1740"/>
      <c r="BI135" s="1871" t="e">
        <f>SUM(BI136:BI138)</f>
        <v>#REF!</v>
      </c>
      <c r="BJ135" s="1871" t="e">
        <f t="shared" ref="BJ135" si="300">SUM(BJ136:BJ138)</f>
        <v>#REF!</v>
      </c>
      <c r="BK135" s="1962" t="e">
        <f>SUM(BK136:BK138)</f>
        <v>#REF!</v>
      </c>
    </row>
    <row r="136" spans="1:63" ht="31.5">
      <c r="B136" s="1872"/>
      <c r="C136" s="1887" t="s">
        <v>3778</v>
      </c>
      <c r="D136" s="1874"/>
      <c r="E136" s="1875"/>
      <c r="F136" s="1874"/>
      <c r="G136" s="1970">
        <f t="shared" ref="G136:J137" si="301">SUM(G34,G108)</f>
        <v>431.63597712197111</v>
      </c>
      <c r="H136" s="1972">
        <f t="shared" si="301"/>
        <v>431.4378532323808</v>
      </c>
      <c r="I136" s="1972">
        <f t="shared" si="301"/>
        <v>0</v>
      </c>
      <c r="J136" s="1972">
        <f t="shared" si="301"/>
        <v>1149.1850285389532</v>
      </c>
      <c r="K136" s="1969">
        <f t="shared" si="274"/>
        <v>2012.2588588933049</v>
      </c>
      <c r="L136" s="1970">
        <f t="shared" si="274"/>
        <v>95.856665196134387</v>
      </c>
      <c r="M136" s="1972">
        <f t="shared" si="274"/>
        <v>95.812666325886241</v>
      </c>
      <c r="N136" s="1972">
        <f t="shared" si="274"/>
        <v>0</v>
      </c>
      <c r="O136" s="1972">
        <f t="shared" si="274"/>
        <v>255.2082086937358</v>
      </c>
      <c r="P136" s="1969">
        <f t="shared" si="275"/>
        <v>446.87754021575637</v>
      </c>
      <c r="Q136" s="1970">
        <f t="shared" si="275"/>
        <v>860.85882196193313</v>
      </c>
      <c r="R136" s="1971">
        <f t="shared" si="275"/>
        <v>860.85882196193302</v>
      </c>
      <c r="S136" s="1972">
        <f t="shared" si="275"/>
        <v>860.85882196193313</v>
      </c>
      <c r="T136" s="1972">
        <f t="shared" si="275"/>
        <v>860.85882196193302</v>
      </c>
      <c r="U136" s="1972">
        <f t="shared" si="275"/>
        <v>0</v>
      </c>
      <c r="V136" s="1972">
        <f t="shared" si="275"/>
        <v>0</v>
      </c>
      <c r="W136" s="1972">
        <f t="shared" si="275"/>
        <v>860.85882196193313</v>
      </c>
      <c r="X136" s="1973">
        <f t="shared" si="275"/>
        <v>860.85882196193302</v>
      </c>
      <c r="Y136" s="1882">
        <f t="shared" ref="Y136:Z137" si="302">SUM(Q136,S136,U136,W136)</f>
        <v>2582.5764658857993</v>
      </c>
      <c r="Z136" s="1882">
        <f t="shared" si="302"/>
        <v>2582.5764658857988</v>
      </c>
      <c r="AA136" s="1969">
        <f t="shared" si="276"/>
        <v>5165.1529317715995</v>
      </c>
      <c r="AB136" s="1970">
        <f t="shared" si="276"/>
        <v>700.31772373263857</v>
      </c>
      <c r="AC136" s="1971">
        <f t="shared" si="276"/>
        <v>700.31772373263857</v>
      </c>
      <c r="AD136" s="1972">
        <f t="shared" si="276"/>
        <v>700.31772373263857</v>
      </c>
      <c r="AE136" s="1972">
        <f t="shared" si="276"/>
        <v>700.31772373263857</v>
      </c>
      <c r="AF136" s="1972">
        <f t="shared" si="276"/>
        <v>0</v>
      </c>
      <c r="AG136" s="1972">
        <f t="shared" si="276"/>
        <v>0</v>
      </c>
      <c r="AH136" s="1972">
        <f t="shared" si="276"/>
        <v>700.31772373263857</v>
      </c>
      <c r="AI136" s="1973">
        <f t="shared" si="276"/>
        <v>700.31772373263857</v>
      </c>
      <c r="AJ136" s="1882">
        <f t="shared" ref="AJ136:AK137" si="303">SUM(AB136,AD136,AF136,AH136)</f>
        <v>2100.9531711979157</v>
      </c>
      <c r="AK136" s="1882">
        <f t="shared" si="303"/>
        <v>2100.9531711979157</v>
      </c>
      <c r="AL136" s="1969">
        <f t="shared" si="277"/>
        <v>4201.9063423958323</v>
      </c>
      <c r="AM136" s="1970">
        <f t="shared" si="277"/>
        <v>30.993749999999999</v>
      </c>
      <c r="AN136" s="1971">
        <f t="shared" si="277"/>
        <v>30.993749999999999</v>
      </c>
      <c r="AO136" s="1972">
        <f t="shared" si="277"/>
        <v>30.993749999999999</v>
      </c>
      <c r="AP136" s="1972">
        <f t="shared" si="277"/>
        <v>30.993749999999999</v>
      </c>
      <c r="AQ136" s="1972">
        <f t="shared" si="277"/>
        <v>30.993749999999999</v>
      </c>
      <c r="AR136" s="1972">
        <f t="shared" si="277"/>
        <v>30.993749999999999</v>
      </c>
      <c r="AS136" s="1972">
        <f t="shared" si="277"/>
        <v>30.993749999999999</v>
      </c>
      <c r="AT136" s="1973">
        <f t="shared" si="277"/>
        <v>30.993749999999999</v>
      </c>
      <c r="AU136" s="1882">
        <f t="shared" ref="AU136:AV137" si="304">SUM(AM136,AO136,AQ136,AS136)</f>
        <v>123.97499999999999</v>
      </c>
      <c r="AV136" s="1882">
        <f t="shared" si="304"/>
        <v>123.97499999999999</v>
      </c>
      <c r="AW136" s="1969">
        <f t="shared" si="278"/>
        <v>247.95000000000002</v>
      </c>
      <c r="AX136" s="1740"/>
      <c r="AY136" s="1740"/>
      <c r="AZ136" s="1740"/>
      <c r="BA136" s="1883">
        <f t="shared" ref="BA136:BA137" si="305">SUM(G136,L136,Q136:R136,AB136:AC136)</f>
        <v>3649.8457337072487</v>
      </c>
      <c r="BB136" s="1883">
        <f t="shared" ref="BB136:BB137" si="306">SUM(H136,M136,S136:T136,AD136:AE136)</f>
        <v>3649.6036109474103</v>
      </c>
      <c r="BC136" s="1883">
        <f t="shared" ref="BC136:BC137" si="307">SUM(I136,N136,U136:V136,AF136:AG136)</f>
        <v>0</v>
      </c>
      <c r="BD136" s="1883">
        <f t="shared" ref="BD136:BD137" si="308">SUM(J136,O136,W136:X136,AH136:AI136)</f>
        <v>4526.7463286218326</v>
      </c>
      <c r="BE136" s="1883">
        <f t="shared" ref="BE136:BE137" si="309">SUM(K136,P136,Y136:Z136,AJ136:AK136)</f>
        <v>11826.195673276492</v>
      </c>
      <c r="BF136" s="1740"/>
      <c r="BG136" s="1740"/>
      <c r="BH136" s="1740"/>
      <c r="BI136" s="1768" t="e">
        <f>#REF!+#REF!+#REF!</f>
        <v>#REF!</v>
      </c>
      <c r="BJ136" s="1768" t="e">
        <f>#REF!+#REF!+#REF!</f>
        <v>#REF!</v>
      </c>
      <c r="BK136" s="1935" t="e">
        <f t="shared" ref="BK136:BK137" si="310">SUM(BI136:BJ136)</f>
        <v>#REF!</v>
      </c>
    </row>
    <row r="137" spans="1:63" ht="47.25">
      <c r="B137" s="1872"/>
      <c r="C137" s="1887" t="s">
        <v>3779</v>
      </c>
      <c r="D137" s="1874"/>
      <c r="E137" s="1875"/>
      <c r="F137" s="1874"/>
      <c r="G137" s="1970">
        <f t="shared" si="301"/>
        <v>1701.9840985047031</v>
      </c>
      <c r="H137" s="1972">
        <f t="shared" si="301"/>
        <v>1701.2028760684618</v>
      </c>
      <c r="I137" s="1972">
        <f t="shared" si="301"/>
        <v>0</v>
      </c>
      <c r="J137" s="1972">
        <f t="shared" si="301"/>
        <v>4531.3522238214118</v>
      </c>
      <c r="K137" s="1969">
        <f t="shared" si="274"/>
        <v>7934.5391983945774</v>
      </c>
      <c r="L137" s="1970">
        <f t="shared" si="274"/>
        <v>377.97247807591413</v>
      </c>
      <c r="M137" s="1972">
        <f t="shared" si="274"/>
        <v>377.79898610239093</v>
      </c>
      <c r="N137" s="1972">
        <f t="shared" si="274"/>
        <v>0</v>
      </c>
      <c r="O137" s="1972">
        <f t="shared" si="274"/>
        <v>1006.3116515467553</v>
      </c>
      <c r="P137" s="1969">
        <f t="shared" si="275"/>
        <v>1762.0831157250602</v>
      </c>
      <c r="Q137" s="1970">
        <f t="shared" si="275"/>
        <v>5013.755602951519</v>
      </c>
      <c r="R137" s="1971">
        <f t="shared" si="275"/>
        <v>5013.7556029515181</v>
      </c>
      <c r="S137" s="1972">
        <f t="shared" si="275"/>
        <v>5013.755602951519</v>
      </c>
      <c r="T137" s="1972">
        <f t="shared" si="275"/>
        <v>5013.7556029515181</v>
      </c>
      <c r="U137" s="1972">
        <f t="shared" si="275"/>
        <v>0</v>
      </c>
      <c r="V137" s="1972">
        <f t="shared" si="275"/>
        <v>0</v>
      </c>
      <c r="W137" s="1972">
        <f t="shared" si="275"/>
        <v>5013.755602951519</v>
      </c>
      <c r="X137" s="1973">
        <f t="shared" si="275"/>
        <v>5013.7556029515181</v>
      </c>
      <c r="Y137" s="1882">
        <f t="shared" si="302"/>
        <v>15041.266808854558</v>
      </c>
      <c r="Z137" s="1882">
        <f t="shared" si="302"/>
        <v>15041.266808854554</v>
      </c>
      <c r="AA137" s="1969">
        <f t="shared" si="276"/>
        <v>30082.533617709116</v>
      </c>
      <c r="AB137" s="1970">
        <f t="shared" si="276"/>
        <v>2128.8481838153834</v>
      </c>
      <c r="AC137" s="1971">
        <f t="shared" si="276"/>
        <v>2128.8481838153834</v>
      </c>
      <c r="AD137" s="1972">
        <f t="shared" si="276"/>
        <v>2128.8481838153834</v>
      </c>
      <c r="AE137" s="1972">
        <f t="shared" si="276"/>
        <v>2128.8481838153834</v>
      </c>
      <c r="AF137" s="1972">
        <f t="shared" si="276"/>
        <v>0</v>
      </c>
      <c r="AG137" s="1972">
        <f t="shared" si="276"/>
        <v>0</v>
      </c>
      <c r="AH137" s="1972">
        <f t="shared" si="276"/>
        <v>2128.8481838153834</v>
      </c>
      <c r="AI137" s="1973">
        <f t="shared" si="276"/>
        <v>2128.8481838153834</v>
      </c>
      <c r="AJ137" s="1882">
        <f t="shared" si="303"/>
        <v>6386.5445514461499</v>
      </c>
      <c r="AK137" s="1882">
        <f t="shared" si="303"/>
        <v>6386.5445514461499</v>
      </c>
      <c r="AL137" s="1969">
        <f t="shared" si="277"/>
        <v>12773.0891028923</v>
      </c>
      <c r="AM137" s="1970">
        <f t="shared" si="277"/>
        <v>117.03499999999998</v>
      </c>
      <c r="AN137" s="1971">
        <f t="shared" si="277"/>
        <v>117.03499999999998</v>
      </c>
      <c r="AO137" s="1972">
        <f t="shared" si="277"/>
        <v>117.03499999999998</v>
      </c>
      <c r="AP137" s="1972">
        <f t="shared" si="277"/>
        <v>117.03499999999998</v>
      </c>
      <c r="AQ137" s="1972">
        <f t="shared" si="277"/>
        <v>117.03499999999998</v>
      </c>
      <c r="AR137" s="1972">
        <f t="shared" si="277"/>
        <v>117.03499999999998</v>
      </c>
      <c r="AS137" s="1972">
        <f t="shared" si="277"/>
        <v>117.03499999999998</v>
      </c>
      <c r="AT137" s="1973">
        <f t="shared" si="277"/>
        <v>117.03499999999998</v>
      </c>
      <c r="AU137" s="1882">
        <f t="shared" si="304"/>
        <v>468.13999999999993</v>
      </c>
      <c r="AV137" s="1882">
        <f t="shared" si="304"/>
        <v>468.13999999999993</v>
      </c>
      <c r="AW137" s="1969">
        <f t="shared" si="278"/>
        <v>936.28</v>
      </c>
      <c r="AX137" s="1740"/>
      <c r="AY137" s="1740"/>
      <c r="AZ137" s="1740"/>
      <c r="BA137" s="1883">
        <f t="shared" si="305"/>
        <v>16365.164150114422</v>
      </c>
      <c r="BB137" s="1883">
        <f t="shared" si="306"/>
        <v>16364.209435704657</v>
      </c>
      <c r="BC137" s="1883">
        <f t="shared" si="307"/>
        <v>0</v>
      </c>
      <c r="BD137" s="1883">
        <f t="shared" si="308"/>
        <v>19822.871448901969</v>
      </c>
      <c r="BE137" s="1883">
        <f t="shared" si="309"/>
        <v>52552.24503472104</v>
      </c>
      <c r="BF137" s="1740"/>
      <c r="BG137" s="1740"/>
      <c r="BH137" s="1740"/>
      <c r="BI137" s="1768" t="e">
        <f>#REF!+#REF!+#REF!</f>
        <v>#REF!</v>
      </c>
      <c r="BJ137" s="1768" t="e">
        <f>#REF!+#REF!+#REF!</f>
        <v>#REF!</v>
      </c>
      <c r="BK137" s="1935" t="e">
        <f t="shared" si="310"/>
        <v>#REF!</v>
      </c>
    </row>
    <row r="138" spans="1:63" ht="31.5">
      <c r="B138" s="1872"/>
      <c r="C138" s="1887" t="s">
        <v>3780</v>
      </c>
      <c r="D138" s="1874"/>
      <c r="E138" s="1875"/>
      <c r="F138" s="1874"/>
      <c r="G138" s="1889">
        <f>SUM(G139:G143)</f>
        <v>62005.614139172038</v>
      </c>
      <c r="H138" s="1890">
        <f>SUM(H139:H143)</f>
        <v>61977.153134759006</v>
      </c>
      <c r="I138" s="1890">
        <f>SUM(I139:I143)</f>
        <v>0</v>
      </c>
      <c r="J138" s="1890">
        <f>SUM(J139:J143)</f>
        <v>165083.37402552599</v>
      </c>
      <c r="K138" s="1969">
        <f t="shared" si="274"/>
        <v>289066.14129945706</v>
      </c>
      <c r="L138" s="1889">
        <f>SUM(L139:L143)</f>
        <v>55322.607912033542</v>
      </c>
      <c r="M138" s="1890">
        <f>SUM(M139:M143)</f>
        <v>55297.214453557492</v>
      </c>
      <c r="N138" s="1890">
        <f>SUM(N139:N143)</f>
        <v>0</v>
      </c>
      <c r="O138" s="1890">
        <f>SUM(O139:O143)</f>
        <v>147290.57845489646</v>
      </c>
      <c r="P138" s="1969">
        <f t="shared" si="275"/>
        <v>257910.40082048747</v>
      </c>
      <c r="Q138" s="1889">
        <f>SUM(Q139:Q143)</f>
        <v>292004.9898756367</v>
      </c>
      <c r="R138" s="1891">
        <f t="shared" ref="R138:X138" si="311">SUM(R139:R143)</f>
        <v>292004.98987563665</v>
      </c>
      <c r="S138" s="1890">
        <f t="shared" si="311"/>
        <v>292004.9898756367</v>
      </c>
      <c r="T138" s="1890">
        <f t="shared" si="311"/>
        <v>292004.98987563665</v>
      </c>
      <c r="U138" s="1890">
        <f t="shared" si="311"/>
        <v>0</v>
      </c>
      <c r="V138" s="1890">
        <f t="shared" si="311"/>
        <v>0</v>
      </c>
      <c r="W138" s="1890">
        <f t="shared" si="311"/>
        <v>292004.9898756367</v>
      </c>
      <c r="X138" s="1892">
        <f t="shared" si="311"/>
        <v>292004.98987563665</v>
      </c>
      <c r="Y138" s="1892">
        <f>SUM(Y139:Y143)</f>
        <v>876014.96962691005</v>
      </c>
      <c r="Z138" s="1892">
        <f t="shared" ref="Z138" si="312">SUM(Z139:Z143)</f>
        <v>876014.96962690994</v>
      </c>
      <c r="AA138" s="1969">
        <f t="shared" si="276"/>
        <v>1752029.9392538199</v>
      </c>
      <c r="AB138" s="1889">
        <f>SUM(AB139:AB143)</f>
        <v>192893.14318046521</v>
      </c>
      <c r="AC138" s="1891">
        <f t="shared" ref="AC138:AK138" si="313">SUM(AC139:AC143)</f>
        <v>192893.14318046521</v>
      </c>
      <c r="AD138" s="1890">
        <f t="shared" si="313"/>
        <v>192893.14318046521</v>
      </c>
      <c r="AE138" s="1890">
        <f t="shared" si="313"/>
        <v>192893.14318046521</v>
      </c>
      <c r="AF138" s="1890">
        <f t="shared" si="313"/>
        <v>0</v>
      </c>
      <c r="AG138" s="1890">
        <f t="shared" si="313"/>
        <v>0</v>
      </c>
      <c r="AH138" s="1890">
        <f t="shared" si="313"/>
        <v>192893.14318046521</v>
      </c>
      <c r="AI138" s="1892">
        <f t="shared" si="313"/>
        <v>192893.14318046521</v>
      </c>
      <c r="AJ138" s="1892">
        <f t="shared" si="313"/>
        <v>578679.42954139563</v>
      </c>
      <c r="AK138" s="1892">
        <f t="shared" si="313"/>
        <v>578679.42954139563</v>
      </c>
      <c r="AL138" s="1969">
        <f t="shared" si="277"/>
        <v>1157358.8590827913</v>
      </c>
      <c r="AM138" s="1889">
        <f>SUM(AM139:AM143)</f>
        <v>12602.075116015816</v>
      </c>
      <c r="AN138" s="1891">
        <f t="shared" ref="AN138:AV138" si="314">SUM(AN139:AN143)</f>
        <v>12602.075116015816</v>
      </c>
      <c r="AO138" s="1890">
        <f t="shared" si="314"/>
        <v>12602.075116015816</v>
      </c>
      <c r="AP138" s="1890">
        <f t="shared" si="314"/>
        <v>12602.075116015816</v>
      </c>
      <c r="AQ138" s="1890">
        <f t="shared" si="314"/>
        <v>12602.075116015816</v>
      </c>
      <c r="AR138" s="1890">
        <f t="shared" si="314"/>
        <v>12602.075116015816</v>
      </c>
      <c r="AS138" s="1890">
        <f t="shared" si="314"/>
        <v>12602.075116015816</v>
      </c>
      <c r="AT138" s="1892">
        <f t="shared" si="314"/>
        <v>12602.075116015816</v>
      </c>
      <c r="AU138" s="1892">
        <f t="shared" si="314"/>
        <v>50408.300464063264</v>
      </c>
      <c r="AV138" s="1892">
        <f t="shared" si="314"/>
        <v>50408.300464063264</v>
      </c>
      <c r="AW138" s="1969">
        <f t="shared" si="278"/>
        <v>100816.60092812654</v>
      </c>
      <c r="AX138" s="1740"/>
      <c r="AY138" s="1740"/>
      <c r="AZ138" s="1740"/>
      <c r="BA138" s="1889">
        <f t="shared" ref="BA138:BE138" si="315">SUM(BA139:BA143)</f>
        <v>1087124.4881634095</v>
      </c>
      <c r="BB138" s="1889">
        <f t="shared" si="315"/>
        <v>1087070.6337005205</v>
      </c>
      <c r="BC138" s="1889">
        <f t="shared" si="315"/>
        <v>0</v>
      </c>
      <c r="BD138" s="1889">
        <f t="shared" si="315"/>
        <v>1282170.2185926265</v>
      </c>
      <c r="BE138" s="1889">
        <f t="shared" si="315"/>
        <v>3456365.3404565556</v>
      </c>
      <c r="BF138" s="1740"/>
      <c r="BG138" s="1740"/>
      <c r="BH138" s="1740"/>
      <c r="BI138" s="1871" t="e">
        <f>SUM(BI139:BI143)</f>
        <v>#REF!</v>
      </c>
      <c r="BJ138" s="1871" t="e">
        <f t="shared" ref="BJ138" si="316">SUM(BJ139:BJ143)</f>
        <v>#REF!</v>
      </c>
      <c r="BK138" s="1962" t="e">
        <f>SUM(BK139:BK143)</f>
        <v>#REF!</v>
      </c>
    </row>
    <row r="139" spans="1:63" ht="15.75">
      <c r="B139" s="1872"/>
      <c r="C139" s="1894" t="s">
        <v>3716</v>
      </c>
      <c r="D139" s="1895"/>
      <c r="E139" s="1896"/>
      <c r="F139" s="1895"/>
      <c r="G139" s="1974">
        <f t="shared" ref="G139:J142" si="317">SUM(G37,G111)</f>
        <v>393.97906545030168</v>
      </c>
      <c r="H139" s="1975">
        <f t="shared" si="317"/>
        <v>393.7982263428097</v>
      </c>
      <c r="I139" s="1975">
        <f t="shared" si="317"/>
        <v>0</v>
      </c>
      <c r="J139" s="1972">
        <f t="shared" si="317"/>
        <v>1048.9274934682198</v>
      </c>
      <c r="K139" s="1969">
        <f t="shared" si="274"/>
        <v>1836.7047852613312</v>
      </c>
      <c r="L139" s="1974">
        <f t="shared" si="274"/>
        <v>87.493910083597513</v>
      </c>
      <c r="M139" s="1975">
        <f t="shared" si="274"/>
        <v>87.453749775606468</v>
      </c>
      <c r="N139" s="1975">
        <f t="shared" si="274"/>
        <v>0</v>
      </c>
      <c r="O139" s="1972">
        <f t="shared" si="274"/>
        <v>232.94325979688034</v>
      </c>
      <c r="P139" s="1969">
        <f t="shared" si="275"/>
        <v>407.89091965608429</v>
      </c>
      <c r="Q139" s="1974">
        <f t="shared" si="275"/>
        <v>1006.5825565181331</v>
      </c>
      <c r="R139" s="1976">
        <f t="shared" si="275"/>
        <v>1006.5825565181328</v>
      </c>
      <c r="S139" s="1975">
        <f t="shared" si="275"/>
        <v>1006.5825565181331</v>
      </c>
      <c r="T139" s="1975">
        <f t="shared" si="275"/>
        <v>1006.5825565181328</v>
      </c>
      <c r="U139" s="1975">
        <f t="shared" si="275"/>
        <v>0</v>
      </c>
      <c r="V139" s="1975">
        <f t="shared" si="275"/>
        <v>0</v>
      </c>
      <c r="W139" s="1975">
        <f t="shared" si="275"/>
        <v>1006.5825565181331</v>
      </c>
      <c r="X139" s="1977">
        <f t="shared" si="275"/>
        <v>1006.5825565181328</v>
      </c>
      <c r="Y139" s="1901">
        <f t="shared" ref="Y139:Z142" si="318">SUM(Q139,S139,U139,W139)</f>
        <v>3019.7476695543992</v>
      </c>
      <c r="Z139" s="1901">
        <f t="shared" si="318"/>
        <v>3019.7476695543983</v>
      </c>
      <c r="AA139" s="1969">
        <f t="shared" si="276"/>
        <v>6039.4953391087984</v>
      </c>
      <c r="AB139" s="1974">
        <f t="shared" si="276"/>
        <v>493.22338251135943</v>
      </c>
      <c r="AC139" s="1976">
        <f t="shared" si="276"/>
        <v>493.22338251135943</v>
      </c>
      <c r="AD139" s="1975">
        <f t="shared" si="276"/>
        <v>493.22338251135943</v>
      </c>
      <c r="AE139" s="1975">
        <f t="shared" si="276"/>
        <v>493.22338251135943</v>
      </c>
      <c r="AF139" s="1975">
        <f t="shared" si="276"/>
        <v>0</v>
      </c>
      <c r="AG139" s="1975">
        <f t="shared" si="276"/>
        <v>0</v>
      </c>
      <c r="AH139" s="1975">
        <f t="shared" si="276"/>
        <v>493.22338251135943</v>
      </c>
      <c r="AI139" s="1977">
        <f t="shared" si="276"/>
        <v>493.22338251135943</v>
      </c>
      <c r="AJ139" s="1901">
        <f t="shared" ref="AJ139:AK142" si="319">SUM(AB139,AD139,AF139,AH139)</f>
        <v>1479.6701475340783</v>
      </c>
      <c r="AK139" s="1901">
        <f t="shared" si="319"/>
        <v>1479.6701475340783</v>
      </c>
      <c r="AL139" s="1969">
        <f t="shared" si="277"/>
        <v>2959.3402950681566</v>
      </c>
      <c r="AM139" s="1974">
        <f t="shared" si="277"/>
        <v>19.138749999999995</v>
      </c>
      <c r="AN139" s="1976">
        <f t="shared" si="277"/>
        <v>19.138749999999995</v>
      </c>
      <c r="AO139" s="1975">
        <f t="shared" si="277"/>
        <v>19.138749999999995</v>
      </c>
      <c r="AP139" s="1975">
        <f t="shared" si="277"/>
        <v>19.138749999999995</v>
      </c>
      <c r="AQ139" s="1975">
        <f t="shared" si="277"/>
        <v>19.138749999999995</v>
      </c>
      <c r="AR139" s="1975">
        <f t="shared" si="277"/>
        <v>19.138749999999995</v>
      </c>
      <c r="AS139" s="1975">
        <f t="shared" si="277"/>
        <v>19.138749999999995</v>
      </c>
      <c r="AT139" s="1977">
        <f t="shared" si="277"/>
        <v>19.138749999999995</v>
      </c>
      <c r="AU139" s="1901">
        <f t="shared" ref="AU139:AV142" si="320">SUM(AM139,AO139,AQ139,AS139)</f>
        <v>76.554999999999978</v>
      </c>
      <c r="AV139" s="1901">
        <f t="shared" si="320"/>
        <v>76.554999999999978</v>
      </c>
      <c r="AW139" s="1969">
        <f t="shared" si="278"/>
        <v>153.10999999999999</v>
      </c>
      <c r="AX139" s="1740"/>
      <c r="AY139" s="1740"/>
      <c r="AZ139" s="1740"/>
      <c r="BA139" s="1883">
        <f t="shared" ref="BA139:BA142" si="321">SUM(G139,L139,Q139:R139,AB139:AC139)</f>
        <v>3481.084853592884</v>
      </c>
      <c r="BB139" s="1883">
        <f t="shared" ref="BB139:BB142" si="322">SUM(H139,M139,S139:T139,AD139:AE139)</f>
        <v>3480.8638541774008</v>
      </c>
      <c r="BC139" s="1883">
        <f t="shared" ref="BC139:BC142" si="323">SUM(I139,N139,U139:V139,AF139:AG139)</f>
        <v>0</v>
      </c>
      <c r="BD139" s="1883">
        <f t="shared" ref="BD139:BD142" si="324">SUM(J139,O139,W139:X139,AH139:AI139)</f>
        <v>4281.4826313240847</v>
      </c>
      <c r="BE139" s="1883">
        <f t="shared" ref="BE139:BE142" si="325">SUM(K139,P139,Y139:Z139,AJ139:AK139)</f>
        <v>11243.431339094368</v>
      </c>
      <c r="BF139" s="1740"/>
      <c r="BG139" s="1740"/>
      <c r="BH139" s="1740"/>
      <c r="BI139" s="1768" t="e">
        <f>#REF!+#REF!+#REF!</f>
        <v>#REF!</v>
      </c>
      <c r="BJ139" s="1768" t="e">
        <f>#REF!+#REF!+#REF!</f>
        <v>#REF!</v>
      </c>
      <c r="BK139" s="1935" t="e">
        <f t="shared" ref="BK139:BK142" si="326">SUM(BI139:BJ139)</f>
        <v>#REF!</v>
      </c>
    </row>
    <row r="140" spans="1:63" ht="31.5">
      <c r="B140" s="1872"/>
      <c r="C140" s="1894" t="s">
        <v>3718</v>
      </c>
      <c r="D140" s="1895"/>
      <c r="E140" s="1896"/>
      <c r="F140" s="1895"/>
      <c r="G140" s="1974">
        <f t="shared" si="317"/>
        <v>663.87108141466206</v>
      </c>
      <c r="H140" s="1975">
        <f t="shared" si="317"/>
        <v>663.56636001096115</v>
      </c>
      <c r="I140" s="1975">
        <f t="shared" si="317"/>
        <v>0</v>
      </c>
      <c r="J140" s="1972">
        <f t="shared" si="317"/>
        <v>1767.4863729584611</v>
      </c>
      <c r="K140" s="1969">
        <f t="shared" si="274"/>
        <v>3094.9238143840844</v>
      </c>
      <c r="L140" s="1974">
        <f t="shared" si="274"/>
        <v>147.43087082052614</v>
      </c>
      <c r="M140" s="1975">
        <f t="shared" si="274"/>
        <v>147.36319903429688</v>
      </c>
      <c r="N140" s="1975">
        <f t="shared" si="274"/>
        <v>0</v>
      </c>
      <c r="O140" s="1972">
        <f t="shared" si="274"/>
        <v>392.5190634503877</v>
      </c>
      <c r="P140" s="1969">
        <f t="shared" si="275"/>
        <v>687.31313330521073</v>
      </c>
      <c r="Q140" s="1974">
        <f t="shared" si="275"/>
        <v>1700.5032584241508</v>
      </c>
      <c r="R140" s="1976">
        <f t="shared" si="275"/>
        <v>1700.5032584241505</v>
      </c>
      <c r="S140" s="1975">
        <f t="shared" si="275"/>
        <v>1700.5032584241508</v>
      </c>
      <c r="T140" s="1975">
        <f t="shared" si="275"/>
        <v>1700.5032584241505</v>
      </c>
      <c r="U140" s="1975">
        <f t="shared" si="275"/>
        <v>0</v>
      </c>
      <c r="V140" s="1975">
        <f t="shared" si="275"/>
        <v>0</v>
      </c>
      <c r="W140" s="1975">
        <f t="shared" si="275"/>
        <v>1700.5032584241508</v>
      </c>
      <c r="X140" s="1977">
        <f t="shared" si="275"/>
        <v>1700.5032584241505</v>
      </c>
      <c r="Y140" s="1901">
        <f t="shared" si="318"/>
        <v>5101.5097752724523</v>
      </c>
      <c r="Z140" s="1901">
        <f t="shared" si="318"/>
        <v>5101.5097752724514</v>
      </c>
      <c r="AA140" s="1969">
        <f t="shared" si="276"/>
        <v>10203.019550544905</v>
      </c>
      <c r="AB140" s="1974">
        <f t="shared" si="276"/>
        <v>828.1967522185596</v>
      </c>
      <c r="AC140" s="1976">
        <f t="shared" si="276"/>
        <v>828.1967522185596</v>
      </c>
      <c r="AD140" s="1975">
        <f t="shared" si="276"/>
        <v>828.1967522185596</v>
      </c>
      <c r="AE140" s="1975">
        <f t="shared" si="276"/>
        <v>828.1967522185596</v>
      </c>
      <c r="AF140" s="1975">
        <f t="shared" si="276"/>
        <v>0</v>
      </c>
      <c r="AG140" s="1975">
        <f t="shared" si="276"/>
        <v>0</v>
      </c>
      <c r="AH140" s="1975">
        <f t="shared" si="276"/>
        <v>828.1967522185596</v>
      </c>
      <c r="AI140" s="1977">
        <f t="shared" si="276"/>
        <v>828.1967522185596</v>
      </c>
      <c r="AJ140" s="1901">
        <f t="shared" si="319"/>
        <v>2484.5902566556788</v>
      </c>
      <c r="AK140" s="1901">
        <f t="shared" si="319"/>
        <v>2484.5902566556788</v>
      </c>
      <c r="AL140" s="1969">
        <f t="shared" si="277"/>
        <v>4969.1805133113585</v>
      </c>
      <c r="AM140" s="1974">
        <f t="shared" si="277"/>
        <v>32.88624999999999</v>
      </c>
      <c r="AN140" s="1976">
        <f t="shared" si="277"/>
        <v>32.88624999999999</v>
      </c>
      <c r="AO140" s="1975">
        <f t="shared" si="277"/>
        <v>32.88624999999999</v>
      </c>
      <c r="AP140" s="1975">
        <f t="shared" si="277"/>
        <v>32.88624999999999</v>
      </c>
      <c r="AQ140" s="1975">
        <f t="shared" si="277"/>
        <v>32.88624999999999</v>
      </c>
      <c r="AR140" s="1975">
        <f t="shared" si="277"/>
        <v>32.88624999999999</v>
      </c>
      <c r="AS140" s="1975">
        <f t="shared" si="277"/>
        <v>32.88624999999999</v>
      </c>
      <c r="AT140" s="1977">
        <f t="shared" si="277"/>
        <v>32.88624999999999</v>
      </c>
      <c r="AU140" s="1901">
        <f t="shared" si="320"/>
        <v>131.54499999999996</v>
      </c>
      <c r="AV140" s="1901">
        <f t="shared" si="320"/>
        <v>131.54499999999996</v>
      </c>
      <c r="AW140" s="1969">
        <f t="shared" si="278"/>
        <v>263.08999999999997</v>
      </c>
      <c r="AX140" s="1740"/>
      <c r="AY140" s="1740"/>
      <c r="AZ140" s="1740"/>
      <c r="BA140" s="1883">
        <f t="shared" si="321"/>
        <v>5868.7019735206086</v>
      </c>
      <c r="BB140" s="1883">
        <f t="shared" si="322"/>
        <v>5868.3295803306783</v>
      </c>
      <c r="BC140" s="1883">
        <f t="shared" si="323"/>
        <v>0</v>
      </c>
      <c r="BD140" s="1883">
        <f t="shared" si="324"/>
        <v>7217.405457694269</v>
      </c>
      <c r="BE140" s="1883">
        <f t="shared" si="325"/>
        <v>18954.437011545557</v>
      </c>
      <c r="BF140" s="1740"/>
      <c r="BG140" s="1740"/>
      <c r="BH140" s="1740"/>
      <c r="BI140" s="1768" t="e">
        <f>#REF!+#REF!+#REF!</f>
        <v>#REF!</v>
      </c>
      <c r="BJ140" s="1768" t="e">
        <f>#REF!+#REF!+#REF!</f>
        <v>#REF!</v>
      </c>
      <c r="BK140" s="1935" t="e">
        <f t="shared" si="326"/>
        <v>#REF!</v>
      </c>
    </row>
    <row r="141" spans="1:63" ht="47.25">
      <c r="B141" s="1872"/>
      <c r="C141" s="1894" t="s">
        <v>3781</v>
      </c>
      <c r="D141" s="1895"/>
      <c r="E141" s="1896"/>
      <c r="F141" s="1895"/>
      <c r="G141" s="1974">
        <f t="shared" si="317"/>
        <v>840.9710222945738</v>
      </c>
      <c r="H141" s="1975">
        <f t="shared" si="317"/>
        <v>840.58501079692076</v>
      </c>
      <c r="I141" s="1975">
        <f t="shared" si="317"/>
        <v>0</v>
      </c>
      <c r="J141" s="1972">
        <f t="shared" si="317"/>
        <v>2238.9961900301223</v>
      </c>
      <c r="K141" s="1969">
        <f t="shared" si="274"/>
        <v>3920.5522231216169</v>
      </c>
      <c r="L141" s="1974">
        <f t="shared" si="274"/>
        <v>186.76079380881262</v>
      </c>
      <c r="M141" s="1975">
        <f t="shared" si="274"/>
        <v>186.67506931675547</v>
      </c>
      <c r="N141" s="1975">
        <f t="shared" si="274"/>
        <v>0</v>
      </c>
      <c r="O141" s="1972">
        <f t="shared" si="274"/>
        <v>497.23081378476047</v>
      </c>
      <c r="P141" s="1969">
        <f t="shared" si="275"/>
        <v>870.66667691032842</v>
      </c>
      <c r="Q141" s="1974">
        <f t="shared" si="275"/>
        <v>2191.4891372135558</v>
      </c>
      <c r="R141" s="1976">
        <f t="shared" si="275"/>
        <v>2191.4891372135553</v>
      </c>
      <c r="S141" s="1975">
        <f t="shared" si="275"/>
        <v>2191.4891372135558</v>
      </c>
      <c r="T141" s="1975">
        <f t="shared" si="275"/>
        <v>2191.4891372135553</v>
      </c>
      <c r="U141" s="1975">
        <f t="shared" si="275"/>
        <v>0</v>
      </c>
      <c r="V141" s="1975">
        <f t="shared" si="275"/>
        <v>0</v>
      </c>
      <c r="W141" s="1975">
        <f t="shared" si="275"/>
        <v>2191.4891372135558</v>
      </c>
      <c r="X141" s="1977">
        <f t="shared" si="275"/>
        <v>2191.4891372135553</v>
      </c>
      <c r="Y141" s="1901">
        <f t="shared" si="318"/>
        <v>6574.4674116406677</v>
      </c>
      <c r="Z141" s="1901">
        <f t="shared" si="318"/>
        <v>6574.4674116406659</v>
      </c>
      <c r="AA141" s="1969">
        <f t="shared" si="276"/>
        <v>13148.934823281335</v>
      </c>
      <c r="AB141" s="1974">
        <f t="shared" si="276"/>
        <v>1014.4241931288093</v>
      </c>
      <c r="AC141" s="1976">
        <f t="shared" si="276"/>
        <v>1014.4241931288093</v>
      </c>
      <c r="AD141" s="1975">
        <f t="shared" si="276"/>
        <v>1014.4241931288093</v>
      </c>
      <c r="AE141" s="1975">
        <f t="shared" si="276"/>
        <v>1014.4241931288093</v>
      </c>
      <c r="AF141" s="1975">
        <f t="shared" si="276"/>
        <v>0</v>
      </c>
      <c r="AG141" s="1975">
        <f t="shared" si="276"/>
        <v>0</v>
      </c>
      <c r="AH141" s="1975">
        <f t="shared" si="276"/>
        <v>1014.4241931288093</v>
      </c>
      <c r="AI141" s="1977">
        <f t="shared" si="276"/>
        <v>1014.4241931288093</v>
      </c>
      <c r="AJ141" s="1901">
        <f t="shared" si="319"/>
        <v>3043.2725793864279</v>
      </c>
      <c r="AK141" s="1901">
        <f t="shared" si="319"/>
        <v>3043.2725793864279</v>
      </c>
      <c r="AL141" s="1969">
        <f t="shared" si="277"/>
        <v>6086.5451587728558</v>
      </c>
      <c r="AM141" s="1974">
        <f t="shared" si="277"/>
        <v>38.977499999999992</v>
      </c>
      <c r="AN141" s="1976">
        <f t="shared" si="277"/>
        <v>38.977499999999992</v>
      </c>
      <c r="AO141" s="1975">
        <f t="shared" si="277"/>
        <v>38.977499999999992</v>
      </c>
      <c r="AP141" s="1975">
        <f t="shared" si="277"/>
        <v>38.977499999999992</v>
      </c>
      <c r="AQ141" s="1975">
        <f t="shared" si="277"/>
        <v>38.977499999999992</v>
      </c>
      <c r="AR141" s="1975">
        <f t="shared" si="277"/>
        <v>38.977499999999992</v>
      </c>
      <c r="AS141" s="1975">
        <f t="shared" si="277"/>
        <v>38.977499999999992</v>
      </c>
      <c r="AT141" s="1977">
        <f t="shared" si="277"/>
        <v>38.977499999999992</v>
      </c>
      <c r="AU141" s="1901">
        <f t="shared" si="320"/>
        <v>155.90999999999997</v>
      </c>
      <c r="AV141" s="1901">
        <f t="shared" si="320"/>
        <v>155.90999999999997</v>
      </c>
      <c r="AW141" s="1969">
        <f t="shared" si="278"/>
        <v>311.82</v>
      </c>
      <c r="AX141" s="1740"/>
      <c r="AY141" s="1740"/>
      <c r="AZ141" s="1740"/>
      <c r="BA141" s="1883">
        <f t="shared" si="321"/>
        <v>7439.5584767881155</v>
      </c>
      <c r="BB141" s="1883">
        <f t="shared" si="322"/>
        <v>7439.086740798406</v>
      </c>
      <c r="BC141" s="1883">
        <f t="shared" si="323"/>
        <v>0</v>
      </c>
      <c r="BD141" s="1883">
        <f t="shared" si="324"/>
        <v>9148.0536644996118</v>
      </c>
      <c r="BE141" s="1883">
        <f t="shared" si="325"/>
        <v>24026.69888208613</v>
      </c>
      <c r="BF141" s="1740"/>
      <c r="BG141" s="1740"/>
      <c r="BH141" s="1740"/>
      <c r="BI141" s="1768" t="e">
        <f>#REF!+#REF!+#REF!</f>
        <v>#REF!</v>
      </c>
      <c r="BJ141" s="1768" t="e">
        <f>#REF!+#REF!+#REF!</f>
        <v>#REF!</v>
      </c>
      <c r="BK141" s="1935" t="e">
        <f t="shared" si="326"/>
        <v>#REF!</v>
      </c>
    </row>
    <row r="142" spans="1:63" ht="15.75">
      <c r="B142" s="1872"/>
      <c r="C142" s="1894" t="s">
        <v>3722</v>
      </c>
      <c r="D142" s="1895"/>
      <c r="E142" s="1896"/>
      <c r="F142" s="1895"/>
      <c r="G142" s="1974">
        <f t="shared" si="317"/>
        <v>23.310840703146511</v>
      </c>
      <c r="H142" s="1975">
        <f t="shared" si="317"/>
        <v>23.300140866537614</v>
      </c>
      <c r="I142" s="1975">
        <f t="shared" si="317"/>
        <v>0</v>
      </c>
      <c r="J142" s="1972">
        <f t="shared" si="317"/>
        <v>62.062642037696889</v>
      </c>
      <c r="K142" s="1969">
        <f t="shared" si="274"/>
        <v>108.67362360738102</v>
      </c>
      <c r="L142" s="1974">
        <f t="shared" si="274"/>
        <v>5.1768146566951119</v>
      </c>
      <c r="M142" s="1975">
        <f t="shared" si="274"/>
        <v>5.1744384630740159</v>
      </c>
      <c r="N142" s="1975">
        <f t="shared" si="274"/>
        <v>0</v>
      </c>
      <c r="O142" s="1972">
        <f t="shared" si="274"/>
        <v>13.782720195527054</v>
      </c>
      <c r="P142" s="1969">
        <f t="shared" si="275"/>
        <v>24.133973315296178</v>
      </c>
      <c r="Q142" s="1974">
        <f t="shared" si="275"/>
        <v>57.707352078530832</v>
      </c>
      <c r="R142" s="1976">
        <f t="shared" si="275"/>
        <v>57.707352078530825</v>
      </c>
      <c r="S142" s="1975">
        <f t="shared" si="275"/>
        <v>57.707352078530832</v>
      </c>
      <c r="T142" s="1975">
        <f t="shared" si="275"/>
        <v>57.707352078530825</v>
      </c>
      <c r="U142" s="1975">
        <f t="shared" si="275"/>
        <v>0</v>
      </c>
      <c r="V142" s="1975">
        <f t="shared" si="275"/>
        <v>0</v>
      </c>
      <c r="W142" s="1975">
        <f t="shared" si="275"/>
        <v>57.707352078530832</v>
      </c>
      <c r="X142" s="1977">
        <f t="shared" si="275"/>
        <v>57.707352078530825</v>
      </c>
      <c r="Y142" s="1901">
        <f t="shared" si="318"/>
        <v>173.12205623559248</v>
      </c>
      <c r="Z142" s="1901">
        <f t="shared" si="318"/>
        <v>173.12205623559248</v>
      </c>
      <c r="AA142" s="1969">
        <f t="shared" si="276"/>
        <v>346.24411247118502</v>
      </c>
      <c r="AB142" s="1974">
        <f t="shared" si="276"/>
        <v>32.545350401068092</v>
      </c>
      <c r="AC142" s="1976">
        <f t="shared" si="276"/>
        <v>32.545350401068092</v>
      </c>
      <c r="AD142" s="1975">
        <f t="shared" si="276"/>
        <v>32.545350401068092</v>
      </c>
      <c r="AE142" s="1975">
        <f t="shared" si="276"/>
        <v>32.545350401068092</v>
      </c>
      <c r="AF142" s="1975">
        <f t="shared" si="276"/>
        <v>0</v>
      </c>
      <c r="AG142" s="1975">
        <f t="shared" si="276"/>
        <v>0</v>
      </c>
      <c r="AH142" s="1975">
        <f t="shared" si="276"/>
        <v>32.545350401068092</v>
      </c>
      <c r="AI142" s="1977">
        <f t="shared" si="276"/>
        <v>32.545350401068092</v>
      </c>
      <c r="AJ142" s="1901">
        <f t="shared" si="319"/>
        <v>97.636051203204275</v>
      </c>
      <c r="AK142" s="1901">
        <f t="shared" si="319"/>
        <v>97.636051203204275</v>
      </c>
      <c r="AL142" s="1969">
        <f t="shared" si="277"/>
        <v>195.27210240640858</v>
      </c>
      <c r="AM142" s="1974">
        <f t="shared" si="277"/>
        <v>1.0849999999999997</v>
      </c>
      <c r="AN142" s="1976">
        <f t="shared" si="277"/>
        <v>1.0849999999999997</v>
      </c>
      <c r="AO142" s="1975">
        <f t="shared" si="277"/>
        <v>1.0849999999999997</v>
      </c>
      <c r="AP142" s="1975">
        <f t="shared" si="277"/>
        <v>1.0849999999999997</v>
      </c>
      <c r="AQ142" s="1975">
        <f t="shared" si="277"/>
        <v>1.0849999999999997</v>
      </c>
      <c r="AR142" s="1975">
        <f t="shared" si="277"/>
        <v>1.0849999999999997</v>
      </c>
      <c r="AS142" s="1975">
        <f t="shared" si="277"/>
        <v>1.0849999999999997</v>
      </c>
      <c r="AT142" s="1977">
        <f t="shared" si="277"/>
        <v>1.0849999999999997</v>
      </c>
      <c r="AU142" s="1901">
        <f t="shared" si="320"/>
        <v>4.339999999999999</v>
      </c>
      <c r="AV142" s="1901">
        <f t="shared" si="320"/>
        <v>4.339999999999999</v>
      </c>
      <c r="AW142" s="1969">
        <f t="shared" si="278"/>
        <v>8.68</v>
      </c>
      <c r="AX142" s="1740"/>
      <c r="AY142" s="1740"/>
      <c r="AZ142" s="1740"/>
      <c r="BA142" s="1883">
        <f t="shared" si="321"/>
        <v>208.9930603190395</v>
      </c>
      <c r="BB142" s="1883">
        <f t="shared" si="322"/>
        <v>208.97998428880948</v>
      </c>
      <c r="BC142" s="1883">
        <f t="shared" si="323"/>
        <v>0</v>
      </c>
      <c r="BD142" s="1883">
        <f t="shared" si="324"/>
        <v>256.35076719242176</v>
      </c>
      <c r="BE142" s="1883">
        <f t="shared" si="325"/>
        <v>674.32381180027073</v>
      </c>
      <c r="BF142" s="1740"/>
      <c r="BG142" s="1740"/>
      <c r="BH142" s="1740"/>
      <c r="BI142" s="1768" t="e">
        <f>#REF!+#REF!+#REF!</f>
        <v>#REF!</v>
      </c>
      <c r="BJ142" s="1768" t="e">
        <f>#REF!+#REF!+#REF!</f>
        <v>#REF!</v>
      </c>
      <c r="BK142" s="1935" t="e">
        <f t="shared" si="326"/>
        <v>#REF!</v>
      </c>
    </row>
    <row r="143" spans="1:63" ht="31.5">
      <c r="B143" s="1872"/>
      <c r="C143" s="1894" t="s">
        <v>3782</v>
      </c>
      <c r="D143" s="1895"/>
      <c r="E143" s="1896"/>
      <c r="F143" s="1895"/>
      <c r="G143" s="1902">
        <f>SUM(G144,G145)</f>
        <v>60083.482129309356</v>
      </c>
      <c r="H143" s="1903">
        <f t="shared" ref="H143:J143" si="327">SUM(H144,H145)</f>
        <v>60055.903396741778</v>
      </c>
      <c r="I143" s="1903">
        <f t="shared" si="327"/>
        <v>0</v>
      </c>
      <c r="J143" s="1903">
        <f t="shared" si="327"/>
        <v>159965.90132703149</v>
      </c>
      <c r="K143" s="1969">
        <f t="shared" si="274"/>
        <v>280105.28685308259</v>
      </c>
      <c r="L143" s="1902">
        <f>SUM(L144,L145)</f>
        <v>54895.745522663907</v>
      </c>
      <c r="M143" s="1903">
        <f t="shared" ref="M143:O143" si="328">SUM(M144,M145)</f>
        <v>54870.547996967762</v>
      </c>
      <c r="N143" s="1903">
        <f t="shared" si="328"/>
        <v>0</v>
      </c>
      <c r="O143" s="1903">
        <f t="shared" si="328"/>
        <v>146154.10259766891</v>
      </c>
      <c r="P143" s="1969">
        <f t="shared" si="275"/>
        <v>255920.39611730055</v>
      </c>
      <c r="Q143" s="1902">
        <f>SUM(Q144,Q145)</f>
        <v>287048.70757140231</v>
      </c>
      <c r="R143" s="1904">
        <f t="shared" ref="R143:Z143" si="329">SUM(R144,R145)</f>
        <v>287048.70757140225</v>
      </c>
      <c r="S143" s="1903">
        <f t="shared" si="329"/>
        <v>287048.70757140231</v>
      </c>
      <c r="T143" s="1903">
        <f t="shared" si="329"/>
        <v>287048.70757140225</v>
      </c>
      <c r="U143" s="1903">
        <f t="shared" si="329"/>
        <v>0</v>
      </c>
      <c r="V143" s="1903">
        <f t="shared" si="329"/>
        <v>0</v>
      </c>
      <c r="W143" s="1903">
        <f t="shared" si="329"/>
        <v>287048.70757140231</v>
      </c>
      <c r="X143" s="1901">
        <f t="shared" si="329"/>
        <v>287048.70757140225</v>
      </c>
      <c r="Y143" s="1901">
        <f t="shared" si="329"/>
        <v>861146.12271420693</v>
      </c>
      <c r="Z143" s="1901">
        <f t="shared" si="329"/>
        <v>861146.12271420681</v>
      </c>
      <c r="AA143" s="1969">
        <f t="shared" si="276"/>
        <v>1722292.2454284136</v>
      </c>
      <c r="AB143" s="1902">
        <f>SUM(AB144,AB145)</f>
        <v>190524.75350220542</v>
      </c>
      <c r="AC143" s="1904">
        <f t="shared" ref="AC143:AK143" si="330">SUM(AC144,AC145)</f>
        <v>190524.75350220542</v>
      </c>
      <c r="AD143" s="1903">
        <f t="shared" si="330"/>
        <v>190524.75350220542</v>
      </c>
      <c r="AE143" s="1903">
        <f t="shared" si="330"/>
        <v>190524.75350220542</v>
      </c>
      <c r="AF143" s="1903">
        <f t="shared" si="330"/>
        <v>0</v>
      </c>
      <c r="AG143" s="1903">
        <f t="shared" si="330"/>
        <v>0</v>
      </c>
      <c r="AH143" s="1903">
        <f t="shared" si="330"/>
        <v>190524.75350220542</v>
      </c>
      <c r="AI143" s="1901">
        <f t="shared" si="330"/>
        <v>190524.75350220542</v>
      </c>
      <c r="AJ143" s="1901">
        <f t="shared" si="330"/>
        <v>571574.26050661621</v>
      </c>
      <c r="AK143" s="1901">
        <f t="shared" si="330"/>
        <v>571574.26050661621</v>
      </c>
      <c r="AL143" s="1969">
        <f t="shared" si="277"/>
        <v>1143148.5210132324</v>
      </c>
      <c r="AM143" s="1902">
        <f>SUM(AM144,AM145)</f>
        <v>12509.987616015816</v>
      </c>
      <c r="AN143" s="1904">
        <f t="shared" ref="AN143:AV143" si="331">SUM(AN144,AN145)</f>
        <v>12509.987616015816</v>
      </c>
      <c r="AO143" s="1903">
        <f t="shared" si="331"/>
        <v>12509.987616015816</v>
      </c>
      <c r="AP143" s="1903">
        <f t="shared" si="331"/>
        <v>12509.987616015816</v>
      </c>
      <c r="AQ143" s="1903">
        <f t="shared" si="331"/>
        <v>12509.987616015816</v>
      </c>
      <c r="AR143" s="1903">
        <f t="shared" si="331"/>
        <v>12509.987616015816</v>
      </c>
      <c r="AS143" s="1903">
        <f t="shared" si="331"/>
        <v>12509.987616015816</v>
      </c>
      <c r="AT143" s="1901">
        <f t="shared" si="331"/>
        <v>12509.987616015816</v>
      </c>
      <c r="AU143" s="1901">
        <f t="shared" si="331"/>
        <v>50039.950464063266</v>
      </c>
      <c r="AV143" s="1901">
        <f t="shared" si="331"/>
        <v>50039.950464063266</v>
      </c>
      <c r="AW143" s="1969">
        <f t="shared" si="278"/>
        <v>100079.90092812655</v>
      </c>
      <c r="AX143" s="1740"/>
      <c r="AY143" s="1740"/>
      <c r="AZ143" s="1740"/>
      <c r="BA143" s="1902">
        <f>SUM(BA144,BA145)</f>
        <v>1070126.1497991888</v>
      </c>
      <c r="BB143" s="1902">
        <f t="shared" ref="BB143:BE143" si="332">SUM(BB144,BB145)</f>
        <v>1070073.3735409251</v>
      </c>
      <c r="BC143" s="1902">
        <f t="shared" si="332"/>
        <v>0</v>
      </c>
      <c r="BD143" s="1902">
        <f t="shared" si="332"/>
        <v>1261266.926071916</v>
      </c>
      <c r="BE143" s="1902">
        <f t="shared" si="332"/>
        <v>3401466.4494120292</v>
      </c>
      <c r="BF143" s="1740"/>
      <c r="BG143" s="1740"/>
      <c r="BH143" s="1740"/>
      <c r="BI143" s="1905" t="e">
        <f>SUM(BI144,BI145)</f>
        <v>#REF!</v>
      </c>
      <c r="BJ143" s="1905" t="e">
        <f t="shared" ref="BJ143:BK143" si="333">SUM(BJ144,BJ145)</f>
        <v>#REF!</v>
      </c>
      <c r="BK143" s="1964" t="e">
        <f t="shared" si="333"/>
        <v>#REF!</v>
      </c>
    </row>
    <row r="144" spans="1:63" ht="31.5">
      <c r="B144" s="1907"/>
      <c r="C144" s="1908" t="s">
        <v>3768</v>
      </c>
      <c r="D144" s="1895"/>
      <c r="E144" s="1896"/>
      <c r="F144" s="1895"/>
      <c r="G144" s="1974">
        <f t="shared" ref="G144:X151" si="334">SUM(G42,G116)</f>
        <v>0</v>
      </c>
      <c r="H144" s="1975">
        <f t="shared" si="334"/>
        <v>0</v>
      </c>
      <c r="I144" s="1975">
        <f t="shared" si="334"/>
        <v>0</v>
      </c>
      <c r="J144" s="1975">
        <f t="shared" si="334"/>
        <v>0</v>
      </c>
      <c r="K144" s="1969">
        <f t="shared" si="334"/>
        <v>0</v>
      </c>
      <c r="L144" s="1974">
        <f t="shared" si="334"/>
        <v>0</v>
      </c>
      <c r="M144" s="1975">
        <f t="shared" si="334"/>
        <v>0</v>
      </c>
      <c r="N144" s="1975">
        <f t="shared" si="334"/>
        <v>0</v>
      </c>
      <c r="O144" s="1975">
        <f t="shared" si="334"/>
        <v>0</v>
      </c>
      <c r="P144" s="1969">
        <f t="shared" si="334"/>
        <v>0</v>
      </c>
      <c r="Q144" s="1974">
        <f t="shared" si="334"/>
        <v>0</v>
      </c>
      <c r="R144" s="1976">
        <f t="shared" si="334"/>
        <v>0</v>
      </c>
      <c r="S144" s="1975">
        <f t="shared" si="334"/>
        <v>0</v>
      </c>
      <c r="T144" s="1975">
        <f t="shared" si="334"/>
        <v>0</v>
      </c>
      <c r="U144" s="1975">
        <f t="shared" si="334"/>
        <v>0</v>
      </c>
      <c r="V144" s="1975">
        <f t="shared" si="334"/>
        <v>0</v>
      </c>
      <c r="W144" s="1975">
        <f t="shared" si="334"/>
        <v>0</v>
      </c>
      <c r="X144" s="1977">
        <f t="shared" si="334"/>
        <v>0</v>
      </c>
      <c r="Y144" s="1901">
        <f t="shared" ref="Y144:Z145" si="335">SUM(Q144,S144,U144,W144)</f>
        <v>0</v>
      </c>
      <c r="Z144" s="1901">
        <f t="shared" si="335"/>
        <v>0</v>
      </c>
      <c r="AA144" s="1969">
        <f t="shared" ref="AA144:AI151" si="336">SUM(AA42,AA116)</f>
        <v>0</v>
      </c>
      <c r="AB144" s="1974">
        <f t="shared" si="336"/>
        <v>0</v>
      </c>
      <c r="AC144" s="1976">
        <f t="shared" si="336"/>
        <v>0</v>
      </c>
      <c r="AD144" s="1975">
        <f t="shared" si="336"/>
        <v>0</v>
      </c>
      <c r="AE144" s="1975">
        <f t="shared" si="336"/>
        <v>0</v>
      </c>
      <c r="AF144" s="1975">
        <f t="shared" si="336"/>
        <v>0</v>
      </c>
      <c r="AG144" s="1975">
        <f t="shared" si="336"/>
        <v>0</v>
      </c>
      <c r="AH144" s="1975">
        <f t="shared" si="336"/>
        <v>0</v>
      </c>
      <c r="AI144" s="1977">
        <f t="shared" si="336"/>
        <v>0</v>
      </c>
      <c r="AJ144" s="1901">
        <f t="shared" ref="AJ144:AK145" si="337">SUM(AB144,AD144,AF144,AH144)</f>
        <v>0</v>
      </c>
      <c r="AK144" s="1901">
        <f t="shared" si="337"/>
        <v>0</v>
      </c>
      <c r="AL144" s="1969">
        <f t="shared" ref="AL144:AT151" si="338">SUM(AL42,AL116)</f>
        <v>0</v>
      </c>
      <c r="AM144" s="1974">
        <f t="shared" si="338"/>
        <v>0</v>
      </c>
      <c r="AN144" s="1976">
        <f t="shared" si="338"/>
        <v>0</v>
      </c>
      <c r="AO144" s="1975">
        <f t="shared" si="338"/>
        <v>0</v>
      </c>
      <c r="AP144" s="1975">
        <f t="shared" si="338"/>
        <v>0</v>
      </c>
      <c r="AQ144" s="1975">
        <f t="shared" si="338"/>
        <v>0</v>
      </c>
      <c r="AR144" s="1975">
        <f t="shared" si="338"/>
        <v>0</v>
      </c>
      <c r="AS144" s="1975">
        <f t="shared" si="338"/>
        <v>0</v>
      </c>
      <c r="AT144" s="1977">
        <f t="shared" si="338"/>
        <v>0</v>
      </c>
      <c r="AU144" s="1901">
        <f t="shared" ref="AU144:AV145" si="339">SUM(AM144,AO144,AQ144,AS144)</f>
        <v>0</v>
      </c>
      <c r="AV144" s="1901">
        <f t="shared" si="339"/>
        <v>0</v>
      </c>
      <c r="AW144" s="1969">
        <f t="shared" si="278"/>
        <v>0</v>
      </c>
      <c r="AX144" s="1740"/>
      <c r="AY144" s="1740"/>
      <c r="AZ144" s="1740"/>
      <c r="BA144" s="1883">
        <f t="shared" ref="BA144:BA151" si="340">SUM(G144,L144,Q144:R144,AB144:AC144)</f>
        <v>0</v>
      </c>
      <c r="BB144" s="1883">
        <f t="shared" ref="BB144:BB151" si="341">SUM(H144,M144,S144:T144,AD144:AE144)</f>
        <v>0</v>
      </c>
      <c r="BC144" s="1883">
        <f t="shared" ref="BC144:BC151" si="342">SUM(I144,N144,U144:V144,AF144:AG144)</f>
        <v>0</v>
      </c>
      <c r="BD144" s="1883">
        <f t="shared" ref="BD144:BD151" si="343">SUM(J144,O144,W144:X144,AH144:AI144)</f>
        <v>0</v>
      </c>
      <c r="BE144" s="1883">
        <f t="shared" ref="BE144:BE151" si="344">SUM(K144,P144,Y144:Z144,AJ144:AK144)</f>
        <v>0</v>
      </c>
      <c r="BF144" s="1740"/>
      <c r="BG144" s="1740"/>
      <c r="BH144" s="1740"/>
      <c r="BI144" s="1768" t="e">
        <f>#REF!+#REF!+#REF!</f>
        <v>#REF!</v>
      </c>
      <c r="BJ144" s="1768" t="e">
        <f>#REF!+#REF!+#REF!</f>
        <v>#REF!</v>
      </c>
      <c r="BK144" s="1935" t="e">
        <f t="shared" ref="BK144" si="345">SUM(BI144:BJ144)</f>
        <v>#REF!</v>
      </c>
    </row>
    <row r="145" spans="1:63" ht="15.75">
      <c r="B145" s="1907"/>
      <c r="C145" s="1909" t="s">
        <v>3769</v>
      </c>
      <c r="D145" s="1895"/>
      <c r="E145" s="1896"/>
      <c r="F145" s="1895"/>
      <c r="G145" s="1974">
        <f t="shared" si="334"/>
        <v>60083.482129309356</v>
      </c>
      <c r="H145" s="1975">
        <f t="shared" si="334"/>
        <v>60055.903396741778</v>
      </c>
      <c r="I145" s="1975">
        <f t="shared" si="334"/>
        <v>0</v>
      </c>
      <c r="J145" s="1972">
        <f t="shared" si="334"/>
        <v>159965.90132703149</v>
      </c>
      <c r="K145" s="1969">
        <f t="shared" si="334"/>
        <v>280105.28685308259</v>
      </c>
      <c r="L145" s="1974">
        <f t="shared" si="334"/>
        <v>54895.745522663907</v>
      </c>
      <c r="M145" s="1975">
        <f t="shared" si="334"/>
        <v>54870.547996967762</v>
      </c>
      <c r="N145" s="1975">
        <f t="shared" si="334"/>
        <v>0</v>
      </c>
      <c r="O145" s="1972">
        <f t="shared" si="334"/>
        <v>146154.10259766891</v>
      </c>
      <c r="P145" s="1969">
        <f t="shared" si="334"/>
        <v>255920.39611730055</v>
      </c>
      <c r="Q145" s="1974">
        <f t="shared" si="334"/>
        <v>287048.70757140231</v>
      </c>
      <c r="R145" s="1976">
        <f t="shared" si="334"/>
        <v>287048.70757140225</v>
      </c>
      <c r="S145" s="1975">
        <f t="shared" si="334"/>
        <v>287048.70757140231</v>
      </c>
      <c r="T145" s="1975">
        <f t="shared" si="334"/>
        <v>287048.70757140225</v>
      </c>
      <c r="U145" s="1975">
        <f t="shared" si="334"/>
        <v>0</v>
      </c>
      <c r="V145" s="1975">
        <f t="shared" si="334"/>
        <v>0</v>
      </c>
      <c r="W145" s="1975">
        <f t="shared" si="334"/>
        <v>287048.70757140231</v>
      </c>
      <c r="X145" s="1977">
        <f t="shared" si="334"/>
        <v>287048.70757140225</v>
      </c>
      <c r="Y145" s="1901">
        <f t="shared" si="335"/>
        <v>861146.12271420693</v>
      </c>
      <c r="Z145" s="1901">
        <f t="shared" si="335"/>
        <v>861146.12271420681</v>
      </c>
      <c r="AA145" s="1969">
        <f t="shared" si="336"/>
        <v>1722292.2454284136</v>
      </c>
      <c r="AB145" s="1974">
        <f t="shared" si="336"/>
        <v>190524.75350220542</v>
      </c>
      <c r="AC145" s="1976">
        <f t="shared" si="336"/>
        <v>190524.75350220542</v>
      </c>
      <c r="AD145" s="1975">
        <f t="shared" si="336"/>
        <v>190524.75350220542</v>
      </c>
      <c r="AE145" s="1975">
        <f t="shared" si="336"/>
        <v>190524.75350220542</v>
      </c>
      <c r="AF145" s="1975">
        <f t="shared" si="336"/>
        <v>0</v>
      </c>
      <c r="AG145" s="1975">
        <f t="shared" si="336"/>
        <v>0</v>
      </c>
      <c r="AH145" s="1975">
        <f t="shared" si="336"/>
        <v>190524.75350220542</v>
      </c>
      <c r="AI145" s="1977">
        <f t="shared" si="336"/>
        <v>190524.75350220542</v>
      </c>
      <c r="AJ145" s="1901">
        <f t="shared" si="337"/>
        <v>571574.26050661621</v>
      </c>
      <c r="AK145" s="1901">
        <f t="shared" si="337"/>
        <v>571574.26050661621</v>
      </c>
      <c r="AL145" s="1969">
        <f t="shared" si="338"/>
        <v>1143148.5210132324</v>
      </c>
      <c r="AM145" s="1974">
        <f t="shared" si="338"/>
        <v>12509.987616015816</v>
      </c>
      <c r="AN145" s="1976">
        <f t="shared" si="338"/>
        <v>12509.987616015816</v>
      </c>
      <c r="AO145" s="1975">
        <f t="shared" si="338"/>
        <v>12509.987616015816</v>
      </c>
      <c r="AP145" s="1975">
        <f t="shared" si="338"/>
        <v>12509.987616015816</v>
      </c>
      <c r="AQ145" s="1975">
        <f t="shared" si="338"/>
        <v>12509.987616015816</v>
      </c>
      <c r="AR145" s="1975">
        <f t="shared" si="338"/>
        <v>12509.987616015816</v>
      </c>
      <c r="AS145" s="1975">
        <f t="shared" si="338"/>
        <v>12509.987616015816</v>
      </c>
      <c r="AT145" s="1977">
        <f t="shared" si="338"/>
        <v>12509.987616015816</v>
      </c>
      <c r="AU145" s="1901">
        <f t="shared" si="339"/>
        <v>50039.950464063266</v>
      </c>
      <c r="AV145" s="1901">
        <f t="shared" si="339"/>
        <v>50039.950464063266</v>
      </c>
      <c r="AW145" s="1969">
        <f t="shared" si="278"/>
        <v>100079.90092812655</v>
      </c>
      <c r="AX145" s="1740"/>
      <c r="AY145" s="1740"/>
      <c r="AZ145" s="1740"/>
      <c r="BA145" s="1883">
        <f t="shared" si="340"/>
        <v>1070126.1497991888</v>
      </c>
      <c r="BB145" s="1883">
        <f t="shared" si="341"/>
        <v>1070073.3735409251</v>
      </c>
      <c r="BC145" s="1883">
        <f t="shared" si="342"/>
        <v>0</v>
      </c>
      <c r="BD145" s="1883">
        <f t="shared" si="343"/>
        <v>1261266.926071916</v>
      </c>
      <c r="BE145" s="1883">
        <f t="shared" si="344"/>
        <v>3401466.4494120292</v>
      </c>
      <c r="BF145" s="1740"/>
      <c r="BG145" s="1740"/>
      <c r="BH145" s="1740"/>
      <c r="BI145" s="1768" t="e">
        <f>#REF!+#REF!+#REF!</f>
        <v>#REF!</v>
      </c>
      <c r="BJ145" s="1768" t="e">
        <f>#REF!+#REF!+#REF!</f>
        <v>#REF!</v>
      </c>
      <c r="BK145" s="1935" t="e">
        <f>SUM(BI145:BJ145)</f>
        <v>#REF!</v>
      </c>
    </row>
    <row r="146" spans="1:63" ht="15.75">
      <c r="A146" s="1739">
        <f>A135+1</f>
        <v>6</v>
      </c>
      <c r="B146" s="1872" t="str">
        <f>CONCATENATE($B$25,".",A146)</f>
        <v>8.6</v>
      </c>
      <c r="C146" s="1873" t="s">
        <v>3726</v>
      </c>
      <c r="D146" s="1874"/>
      <c r="E146" s="1875"/>
      <c r="F146" s="1874"/>
      <c r="G146" s="1889">
        <f>SUM(G147:G151)</f>
        <v>36365.703972270101</v>
      </c>
      <c r="H146" s="1890">
        <f t="shared" ref="H146:I146" si="346">SUM(H147:H151)</f>
        <v>34896.80369145095</v>
      </c>
      <c r="I146" s="1890">
        <f t="shared" si="346"/>
        <v>0</v>
      </c>
      <c r="J146" s="1890">
        <f>SUM(J147:J151)</f>
        <v>162228.45623914318</v>
      </c>
      <c r="K146" s="1969">
        <f t="shared" si="334"/>
        <v>233490.96390286423</v>
      </c>
      <c r="L146" s="1889">
        <f>SUM(L147:L151)</f>
        <v>49753.038728137588</v>
      </c>
      <c r="M146" s="1890">
        <f t="shared" ref="M146:N146" si="347">SUM(M147:M151)</f>
        <v>49730.201740318633</v>
      </c>
      <c r="N146" s="1890">
        <f t="shared" si="347"/>
        <v>0</v>
      </c>
      <c r="O146" s="1890">
        <f>SUM(O147:O151)</f>
        <v>132462.19096916911</v>
      </c>
      <c r="P146" s="1969">
        <f t="shared" si="334"/>
        <v>231945.43143762529</v>
      </c>
      <c r="Q146" s="1889">
        <f t="shared" ref="Q146:Z146" si="348">SUM(Q147:Q151)</f>
        <v>224763.67720573305</v>
      </c>
      <c r="R146" s="1891">
        <f t="shared" si="348"/>
        <v>224763.67720573302</v>
      </c>
      <c r="S146" s="1889">
        <f t="shared" si="348"/>
        <v>224763.67720573305</v>
      </c>
      <c r="T146" s="1891">
        <f t="shared" si="348"/>
        <v>224763.67720573302</v>
      </c>
      <c r="U146" s="1889">
        <f t="shared" si="348"/>
        <v>0</v>
      </c>
      <c r="V146" s="1891">
        <f t="shared" si="348"/>
        <v>0</v>
      </c>
      <c r="W146" s="1889">
        <f t="shared" si="348"/>
        <v>224763.67720573305</v>
      </c>
      <c r="X146" s="1891">
        <f t="shared" si="348"/>
        <v>224763.67720573302</v>
      </c>
      <c r="Y146" s="1889">
        <f t="shared" si="348"/>
        <v>674291.0316171993</v>
      </c>
      <c r="Z146" s="1891">
        <f t="shared" si="348"/>
        <v>674291.03161719919</v>
      </c>
      <c r="AA146" s="1969">
        <f t="shared" si="336"/>
        <v>1348582.0632343984</v>
      </c>
      <c r="AB146" s="1889">
        <f t="shared" ref="AB146:AK146" si="349">SUM(AB147:AB150)</f>
        <v>170228.86087102274</v>
      </c>
      <c r="AC146" s="1891">
        <f t="shared" si="349"/>
        <v>170228.86087102274</v>
      </c>
      <c r="AD146" s="1890">
        <f t="shared" si="349"/>
        <v>170228.86087102274</v>
      </c>
      <c r="AE146" s="1890">
        <f t="shared" si="349"/>
        <v>170228.86087102274</v>
      </c>
      <c r="AF146" s="1890">
        <f t="shared" si="349"/>
        <v>0</v>
      </c>
      <c r="AG146" s="1890">
        <f t="shared" si="349"/>
        <v>0</v>
      </c>
      <c r="AH146" s="1890">
        <f t="shared" si="349"/>
        <v>170228.86087102274</v>
      </c>
      <c r="AI146" s="1892">
        <f t="shared" si="349"/>
        <v>170228.86087102274</v>
      </c>
      <c r="AJ146" s="1892">
        <f t="shared" si="349"/>
        <v>510686.58261306823</v>
      </c>
      <c r="AK146" s="1892">
        <f t="shared" si="349"/>
        <v>510686.58261306823</v>
      </c>
      <c r="AL146" s="1969">
        <f t="shared" si="338"/>
        <v>1021373.1652261365</v>
      </c>
      <c r="AM146" s="1889">
        <f t="shared" ref="AM146:AV146" si="350">SUM(AM147:AM150)</f>
        <v>1225.2524187594192</v>
      </c>
      <c r="AN146" s="1891">
        <f t="shared" si="350"/>
        <v>1225.2524187594192</v>
      </c>
      <c r="AO146" s="1890">
        <f t="shared" si="350"/>
        <v>1225.2524187594192</v>
      </c>
      <c r="AP146" s="1890">
        <f t="shared" si="350"/>
        <v>1225.2524187594192</v>
      </c>
      <c r="AQ146" s="1890">
        <f t="shared" si="350"/>
        <v>1225.2524187594192</v>
      </c>
      <c r="AR146" s="1890">
        <f t="shared" si="350"/>
        <v>1225.2524187594192</v>
      </c>
      <c r="AS146" s="1890">
        <f t="shared" si="350"/>
        <v>1225.2524187594192</v>
      </c>
      <c r="AT146" s="1892">
        <f t="shared" si="350"/>
        <v>1225.2524187594192</v>
      </c>
      <c r="AU146" s="1892">
        <f t="shared" si="350"/>
        <v>4901.009675037677</v>
      </c>
      <c r="AV146" s="1892">
        <f t="shared" si="350"/>
        <v>4901.009675037677</v>
      </c>
      <c r="AW146" s="1969">
        <f t="shared" si="278"/>
        <v>9802.0193500753558</v>
      </c>
      <c r="AX146" s="1740"/>
      <c r="AY146" s="1740"/>
      <c r="AZ146" s="1740"/>
      <c r="BA146" s="1883">
        <f t="shared" si="340"/>
        <v>876103.81885391939</v>
      </c>
      <c r="BB146" s="1883">
        <f t="shared" si="341"/>
        <v>874612.0815852813</v>
      </c>
      <c r="BC146" s="1883">
        <f t="shared" si="342"/>
        <v>0</v>
      </c>
      <c r="BD146" s="1883">
        <f t="shared" si="343"/>
        <v>1084675.7233618239</v>
      </c>
      <c r="BE146" s="1883">
        <f t="shared" si="344"/>
        <v>2835391.6238010242</v>
      </c>
      <c r="BF146" s="1740"/>
      <c r="BG146" s="1740"/>
      <c r="BH146" s="1740"/>
      <c r="BI146" s="1871" t="e">
        <f>SUM(BI147:BI150)</f>
        <v>#REF!</v>
      </c>
      <c r="BJ146" s="1871" t="e">
        <f>SUM(BJ147:BJ150)</f>
        <v>#REF!</v>
      </c>
      <c r="BK146" s="1962" t="e">
        <f>SUM(BK147:BK150)</f>
        <v>#REF!</v>
      </c>
    </row>
    <row r="147" spans="1:63" ht="15.75">
      <c r="B147" s="1872"/>
      <c r="C147" s="1887" t="s">
        <v>3783</v>
      </c>
      <c r="D147" s="1874"/>
      <c r="E147" s="1875"/>
      <c r="F147" s="1874"/>
      <c r="G147" s="1970">
        <f t="shared" ref="G147:J151" si="351">SUM(G45,G119)</f>
        <v>0</v>
      </c>
      <c r="H147" s="1972">
        <f t="shared" si="351"/>
        <v>0</v>
      </c>
      <c r="I147" s="1972">
        <f t="shared" si="351"/>
        <v>0</v>
      </c>
      <c r="J147" s="1972">
        <f t="shared" si="351"/>
        <v>0</v>
      </c>
      <c r="K147" s="1969">
        <f t="shared" si="334"/>
        <v>0</v>
      </c>
      <c r="L147" s="1970">
        <f t="shared" si="334"/>
        <v>0</v>
      </c>
      <c r="M147" s="1972">
        <f t="shared" si="334"/>
        <v>0</v>
      </c>
      <c r="N147" s="1972">
        <f t="shared" si="334"/>
        <v>0</v>
      </c>
      <c r="O147" s="1972">
        <f t="shared" si="334"/>
        <v>0</v>
      </c>
      <c r="P147" s="1969">
        <f t="shared" si="334"/>
        <v>0</v>
      </c>
      <c r="Q147" s="1970">
        <f t="shared" si="334"/>
        <v>0</v>
      </c>
      <c r="R147" s="1971">
        <f t="shared" si="334"/>
        <v>0</v>
      </c>
      <c r="S147" s="1972">
        <f t="shared" si="334"/>
        <v>0</v>
      </c>
      <c r="T147" s="1972">
        <f t="shared" si="334"/>
        <v>0</v>
      </c>
      <c r="U147" s="1972">
        <f t="shared" si="334"/>
        <v>0</v>
      </c>
      <c r="V147" s="1972">
        <f t="shared" si="334"/>
        <v>0</v>
      </c>
      <c r="W147" s="1972">
        <f t="shared" si="334"/>
        <v>0</v>
      </c>
      <c r="X147" s="1973">
        <f t="shared" si="334"/>
        <v>0</v>
      </c>
      <c r="Y147" s="1882">
        <f t="shared" ref="Y147:Z151" si="352">SUM(Q147,S147,U147,W147)</f>
        <v>0</v>
      </c>
      <c r="Z147" s="1882">
        <f t="shared" si="352"/>
        <v>0</v>
      </c>
      <c r="AA147" s="1969">
        <f t="shared" si="336"/>
        <v>0</v>
      </c>
      <c r="AB147" s="1970">
        <f t="shared" si="336"/>
        <v>0</v>
      </c>
      <c r="AC147" s="1971">
        <f t="shared" si="336"/>
        <v>0</v>
      </c>
      <c r="AD147" s="1972">
        <f t="shared" si="336"/>
        <v>0</v>
      </c>
      <c r="AE147" s="1972">
        <f t="shared" si="336"/>
        <v>0</v>
      </c>
      <c r="AF147" s="1972">
        <f t="shared" si="336"/>
        <v>0</v>
      </c>
      <c r="AG147" s="1972">
        <f t="shared" si="336"/>
        <v>0</v>
      </c>
      <c r="AH147" s="1972">
        <f t="shared" si="336"/>
        <v>0</v>
      </c>
      <c r="AI147" s="1973">
        <f t="shared" si="336"/>
        <v>0</v>
      </c>
      <c r="AJ147" s="1882">
        <f t="shared" ref="AJ147:AK151" si="353">SUM(AB147,AD147,AF147,AH147)</f>
        <v>0</v>
      </c>
      <c r="AK147" s="1882">
        <f t="shared" si="353"/>
        <v>0</v>
      </c>
      <c r="AL147" s="1969">
        <f t="shared" si="338"/>
        <v>0</v>
      </c>
      <c r="AM147" s="1970">
        <f t="shared" si="338"/>
        <v>0</v>
      </c>
      <c r="AN147" s="1971">
        <f t="shared" si="338"/>
        <v>0</v>
      </c>
      <c r="AO147" s="1972">
        <f t="shared" si="338"/>
        <v>0</v>
      </c>
      <c r="AP147" s="1972">
        <f t="shared" si="338"/>
        <v>0</v>
      </c>
      <c r="AQ147" s="1972">
        <f t="shared" si="338"/>
        <v>0</v>
      </c>
      <c r="AR147" s="1972">
        <f t="shared" si="338"/>
        <v>0</v>
      </c>
      <c r="AS147" s="1972">
        <f t="shared" si="338"/>
        <v>0</v>
      </c>
      <c r="AT147" s="1973">
        <f t="shared" si="338"/>
        <v>0</v>
      </c>
      <c r="AU147" s="1882">
        <f t="shared" ref="AU147:AV151" si="354">SUM(AM147,AO147,AQ147,AS147)</f>
        <v>0</v>
      </c>
      <c r="AV147" s="1882">
        <f t="shared" si="354"/>
        <v>0</v>
      </c>
      <c r="AW147" s="1969">
        <f t="shared" si="278"/>
        <v>0</v>
      </c>
      <c r="AX147" s="1740"/>
      <c r="AY147" s="1740"/>
      <c r="AZ147" s="1740"/>
      <c r="BA147" s="1883">
        <f t="shared" si="340"/>
        <v>0</v>
      </c>
      <c r="BB147" s="1883">
        <f t="shared" si="341"/>
        <v>0</v>
      </c>
      <c r="BC147" s="1883">
        <f t="shared" si="342"/>
        <v>0</v>
      </c>
      <c r="BD147" s="1883">
        <f t="shared" si="343"/>
        <v>0</v>
      </c>
      <c r="BE147" s="1883">
        <f t="shared" si="344"/>
        <v>0</v>
      </c>
      <c r="BF147" s="1740"/>
      <c r="BG147" s="1740"/>
      <c r="BH147" s="1740"/>
      <c r="BI147" s="1768" t="e">
        <f>#REF!+#REF!+#REF!</f>
        <v>#REF!</v>
      </c>
      <c r="BJ147" s="1768" t="e">
        <f>#REF!+#REF!+#REF!</f>
        <v>#REF!</v>
      </c>
      <c r="BK147" s="1935" t="e">
        <f t="shared" ref="BK147:BK151" si="355">SUM(BI147:BJ147)</f>
        <v>#REF!</v>
      </c>
    </row>
    <row r="148" spans="1:63" ht="15.75">
      <c r="B148" s="1872"/>
      <c r="C148" s="1887" t="s">
        <v>3784</v>
      </c>
      <c r="D148" s="1874"/>
      <c r="E148" s="1875"/>
      <c r="F148" s="1874"/>
      <c r="G148" s="1970">
        <f t="shared" si="351"/>
        <v>30930.146815873159</v>
      </c>
      <c r="H148" s="1972">
        <f t="shared" si="351"/>
        <v>29463.741493266472</v>
      </c>
      <c r="I148" s="1972">
        <f t="shared" si="351"/>
        <v>0</v>
      </c>
      <c r="J148" s="1972">
        <f t="shared" si="351"/>
        <v>147756.86156914185</v>
      </c>
      <c r="K148" s="1969">
        <f t="shared" si="334"/>
        <v>208150.74987828149</v>
      </c>
      <c r="L148" s="1970">
        <f t="shared" si="334"/>
        <v>44353.460822977831</v>
      </c>
      <c r="M148" s="1972">
        <f t="shared" si="334"/>
        <v>44333.102278646948</v>
      </c>
      <c r="N148" s="1972">
        <f t="shared" si="334"/>
        <v>0</v>
      </c>
      <c r="O148" s="1972">
        <f t="shared" si="334"/>
        <v>118086.38724119143</v>
      </c>
      <c r="P148" s="1969">
        <f t="shared" si="334"/>
        <v>206772.95034281618</v>
      </c>
      <c r="Q148" s="1970">
        <f t="shared" si="334"/>
        <v>200370.61466428524</v>
      </c>
      <c r="R148" s="1971">
        <f t="shared" si="334"/>
        <v>200370.61466428521</v>
      </c>
      <c r="S148" s="1972">
        <f t="shared" si="334"/>
        <v>200370.61466428524</v>
      </c>
      <c r="T148" s="1972">
        <f t="shared" si="334"/>
        <v>200370.61466428521</v>
      </c>
      <c r="U148" s="1972">
        <f t="shared" si="334"/>
        <v>0</v>
      </c>
      <c r="V148" s="1972">
        <f t="shared" si="334"/>
        <v>0</v>
      </c>
      <c r="W148" s="1972">
        <f t="shared" si="334"/>
        <v>200370.61466428524</v>
      </c>
      <c r="X148" s="1973">
        <f t="shared" si="334"/>
        <v>200370.61466428521</v>
      </c>
      <c r="Y148" s="1882">
        <f t="shared" si="352"/>
        <v>601111.84399285575</v>
      </c>
      <c r="Z148" s="1882">
        <f t="shared" si="352"/>
        <v>601111.84399285563</v>
      </c>
      <c r="AA148" s="1969">
        <f t="shared" si="336"/>
        <v>1202223.6879857115</v>
      </c>
      <c r="AB148" s="1970">
        <f t="shared" si="336"/>
        <v>151754.33108396351</v>
      </c>
      <c r="AC148" s="1971">
        <f t="shared" si="336"/>
        <v>151754.33108396351</v>
      </c>
      <c r="AD148" s="1972">
        <f t="shared" si="336"/>
        <v>151754.33108396351</v>
      </c>
      <c r="AE148" s="1972">
        <f t="shared" si="336"/>
        <v>151754.33108396351</v>
      </c>
      <c r="AF148" s="1972">
        <f t="shared" si="336"/>
        <v>0</v>
      </c>
      <c r="AG148" s="1972">
        <f t="shared" si="336"/>
        <v>0</v>
      </c>
      <c r="AH148" s="1972">
        <f t="shared" si="336"/>
        <v>151754.33108396351</v>
      </c>
      <c r="AI148" s="1973">
        <f t="shared" si="336"/>
        <v>151754.33108396351</v>
      </c>
      <c r="AJ148" s="1882">
        <f t="shared" si="353"/>
        <v>455262.99325189053</v>
      </c>
      <c r="AK148" s="1882">
        <f t="shared" si="353"/>
        <v>455262.99325189053</v>
      </c>
      <c r="AL148" s="1969">
        <f t="shared" si="338"/>
        <v>910525.98650378117</v>
      </c>
      <c r="AM148" s="1970">
        <f t="shared" si="338"/>
        <v>0</v>
      </c>
      <c r="AN148" s="1971">
        <f t="shared" si="338"/>
        <v>0</v>
      </c>
      <c r="AO148" s="1972">
        <f t="shared" si="338"/>
        <v>0</v>
      </c>
      <c r="AP148" s="1972">
        <f t="shared" si="338"/>
        <v>0</v>
      </c>
      <c r="AQ148" s="1972">
        <f t="shared" si="338"/>
        <v>0</v>
      </c>
      <c r="AR148" s="1972">
        <f t="shared" si="338"/>
        <v>0</v>
      </c>
      <c r="AS148" s="1972">
        <f t="shared" si="338"/>
        <v>0</v>
      </c>
      <c r="AT148" s="1973">
        <f t="shared" si="338"/>
        <v>0</v>
      </c>
      <c r="AU148" s="1882">
        <f t="shared" si="354"/>
        <v>0</v>
      </c>
      <c r="AV148" s="1882">
        <f t="shared" si="354"/>
        <v>0</v>
      </c>
      <c r="AW148" s="1969">
        <f t="shared" si="278"/>
        <v>0</v>
      </c>
      <c r="AX148" s="1740"/>
      <c r="AY148" s="1740"/>
      <c r="AZ148" s="1740"/>
      <c r="BA148" s="1883">
        <f t="shared" si="340"/>
        <v>779533.49913534848</v>
      </c>
      <c r="BB148" s="1883">
        <f t="shared" si="341"/>
        <v>778046.73526841088</v>
      </c>
      <c r="BC148" s="1883">
        <f t="shared" si="342"/>
        <v>0</v>
      </c>
      <c r="BD148" s="1883">
        <f t="shared" si="343"/>
        <v>970093.14030683076</v>
      </c>
      <c r="BE148" s="1883">
        <f t="shared" si="344"/>
        <v>2527673.3747105901</v>
      </c>
      <c r="BF148" s="1740"/>
      <c r="BG148" s="1740"/>
      <c r="BH148" s="1740"/>
      <c r="BI148" s="1768" t="e">
        <f>#REF!+#REF!+#REF!</f>
        <v>#REF!</v>
      </c>
      <c r="BJ148" s="1768" t="e">
        <f>#REF!+#REF!+#REF!</f>
        <v>#REF!</v>
      </c>
      <c r="BK148" s="1935" t="e">
        <f t="shared" si="355"/>
        <v>#REF!</v>
      </c>
    </row>
    <row r="149" spans="1:63" ht="15.75">
      <c r="B149" s="1872"/>
      <c r="C149" s="1887" t="s">
        <v>3785</v>
      </c>
      <c r="D149" s="1874"/>
      <c r="E149" s="1875"/>
      <c r="F149" s="1874"/>
      <c r="G149" s="1970">
        <f t="shared" si="351"/>
        <v>4713.3955900728806</v>
      </c>
      <c r="H149" s="1972">
        <f t="shared" si="351"/>
        <v>4711.2321089985981</v>
      </c>
      <c r="I149" s="1972">
        <f t="shared" si="351"/>
        <v>0</v>
      </c>
      <c r="J149" s="1972">
        <f t="shared" si="351"/>
        <v>12548.916060726498</v>
      </c>
      <c r="K149" s="1969">
        <f t="shared" si="334"/>
        <v>21973.543759797976</v>
      </c>
      <c r="L149" s="1970">
        <f t="shared" si="334"/>
        <v>4682.1964987495767</v>
      </c>
      <c r="M149" s="1972">
        <f t="shared" si="334"/>
        <v>4680.0473382733262</v>
      </c>
      <c r="N149" s="1972">
        <f t="shared" si="334"/>
        <v>0</v>
      </c>
      <c r="O149" s="1972">
        <f t="shared" si="334"/>
        <v>12465.851787697591</v>
      </c>
      <c r="P149" s="1969">
        <f t="shared" si="334"/>
        <v>21828.095624720492</v>
      </c>
      <c r="Q149" s="1970">
        <f t="shared" si="334"/>
        <v>21152.229680065564</v>
      </c>
      <c r="R149" s="1971">
        <f t="shared" si="334"/>
        <v>21152.22968006556</v>
      </c>
      <c r="S149" s="1972">
        <f t="shared" si="334"/>
        <v>21152.229680065564</v>
      </c>
      <c r="T149" s="1972">
        <f t="shared" si="334"/>
        <v>21152.22968006556</v>
      </c>
      <c r="U149" s="1972">
        <f t="shared" si="334"/>
        <v>0</v>
      </c>
      <c r="V149" s="1972">
        <f t="shared" si="334"/>
        <v>0</v>
      </c>
      <c r="W149" s="1972">
        <f t="shared" si="334"/>
        <v>21152.229680065564</v>
      </c>
      <c r="X149" s="1973">
        <f t="shared" si="334"/>
        <v>21152.22968006556</v>
      </c>
      <c r="Y149" s="1882">
        <f t="shared" si="352"/>
        <v>63456.689040196696</v>
      </c>
      <c r="Z149" s="1882">
        <f t="shared" si="352"/>
        <v>63456.689040196681</v>
      </c>
      <c r="AA149" s="1969">
        <f t="shared" si="336"/>
        <v>126913.37808039341</v>
      </c>
      <c r="AB149" s="1970">
        <f t="shared" si="336"/>
        <v>16020.026047286772</v>
      </c>
      <c r="AC149" s="1971">
        <f t="shared" si="336"/>
        <v>16020.026047286772</v>
      </c>
      <c r="AD149" s="1972">
        <f t="shared" si="336"/>
        <v>16020.026047286772</v>
      </c>
      <c r="AE149" s="1972">
        <f t="shared" si="336"/>
        <v>16020.026047286772</v>
      </c>
      <c r="AF149" s="1972">
        <f t="shared" si="336"/>
        <v>0</v>
      </c>
      <c r="AG149" s="1972">
        <f t="shared" si="336"/>
        <v>0</v>
      </c>
      <c r="AH149" s="1972">
        <f t="shared" si="336"/>
        <v>16020.026047286772</v>
      </c>
      <c r="AI149" s="1973">
        <f t="shared" si="336"/>
        <v>16020.026047286772</v>
      </c>
      <c r="AJ149" s="1882">
        <f t="shared" si="353"/>
        <v>48060.078141860315</v>
      </c>
      <c r="AK149" s="1882">
        <f t="shared" si="353"/>
        <v>48060.078141860315</v>
      </c>
      <c r="AL149" s="1969">
        <f t="shared" si="338"/>
        <v>96120.156283720644</v>
      </c>
      <c r="AM149" s="1970">
        <f t="shared" si="338"/>
        <v>1062.4668605517722</v>
      </c>
      <c r="AN149" s="1971">
        <f t="shared" si="338"/>
        <v>1062.4668605517722</v>
      </c>
      <c r="AO149" s="1972">
        <f t="shared" si="338"/>
        <v>1062.4668605517722</v>
      </c>
      <c r="AP149" s="1972">
        <f t="shared" si="338"/>
        <v>1062.4668605517722</v>
      </c>
      <c r="AQ149" s="1972">
        <f t="shared" si="338"/>
        <v>1062.4668605517722</v>
      </c>
      <c r="AR149" s="1972">
        <f t="shared" si="338"/>
        <v>1062.4668605517722</v>
      </c>
      <c r="AS149" s="1972">
        <f t="shared" si="338"/>
        <v>1062.4668605517722</v>
      </c>
      <c r="AT149" s="1973">
        <f t="shared" si="338"/>
        <v>1062.4668605517722</v>
      </c>
      <c r="AU149" s="1882">
        <f t="shared" si="354"/>
        <v>4249.867442207089</v>
      </c>
      <c r="AV149" s="1882">
        <f t="shared" si="354"/>
        <v>4249.867442207089</v>
      </c>
      <c r="AW149" s="1969">
        <f t="shared" si="278"/>
        <v>8499.7348844141798</v>
      </c>
      <c r="AX149" s="1740"/>
      <c r="AY149" s="1740"/>
      <c r="AZ149" s="1740"/>
      <c r="BA149" s="1883">
        <f t="shared" si="340"/>
        <v>83740.103543527119</v>
      </c>
      <c r="BB149" s="1883">
        <f t="shared" si="341"/>
        <v>83735.790901976579</v>
      </c>
      <c r="BC149" s="1883">
        <f t="shared" si="342"/>
        <v>0</v>
      </c>
      <c r="BD149" s="1883">
        <f t="shared" si="343"/>
        <v>99359.279303128744</v>
      </c>
      <c r="BE149" s="1883">
        <f t="shared" si="344"/>
        <v>266835.17374863249</v>
      </c>
      <c r="BF149" s="1740"/>
      <c r="BG149" s="1740"/>
      <c r="BH149" s="1740"/>
      <c r="BI149" s="1768" t="e">
        <f>#REF!+#REF!+#REF!</f>
        <v>#REF!</v>
      </c>
      <c r="BJ149" s="1768" t="e">
        <f>#REF!+#REF!+#REF!</f>
        <v>#REF!</v>
      </c>
      <c r="BK149" s="1935" t="e">
        <f t="shared" si="355"/>
        <v>#REF!</v>
      </c>
    </row>
    <row r="150" spans="1:63" ht="46.5" customHeight="1">
      <c r="B150" s="1872"/>
      <c r="C150" s="1887" t="s">
        <v>3786</v>
      </c>
      <c r="D150" s="1874"/>
      <c r="E150" s="1875"/>
      <c r="F150" s="1874"/>
      <c r="G150" s="1970">
        <f t="shared" si="351"/>
        <v>722.16156632406137</v>
      </c>
      <c r="H150" s="1972">
        <f t="shared" si="351"/>
        <v>721.83008918587939</v>
      </c>
      <c r="I150" s="1972">
        <f t="shared" si="351"/>
        <v>0</v>
      </c>
      <c r="J150" s="1972">
        <f t="shared" si="351"/>
        <v>1922.678609274825</v>
      </c>
      <c r="K150" s="1969">
        <f t="shared" si="334"/>
        <v>3366.670264784766</v>
      </c>
      <c r="L150" s="1970">
        <f t="shared" si="334"/>
        <v>717.3814064101814</v>
      </c>
      <c r="M150" s="1972">
        <f t="shared" si="334"/>
        <v>717.05212339835873</v>
      </c>
      <c r="N150" s="1972">
        <f t="shared" si="334"/>
        <v>0</v>
      </c>
      <c r="O150" s="1972">
        <f t="shared" si="334"/>
        <v>1909.9519402800843</v>
      </c>
      <c r="P150" s="1969">
        <f t="shared" si="334"/>
        <v>3344.3854700886241</v>
      </c>
      <c r="Q150" s="1970">
        <f t="shared" si="334"/>
        <v>3240.8328613822664</v>
      </c>
      <c r="R150" s="1971">
        <f t="shared" si="334"/>
        <v>3240.8328613822659</v>
      </c>
      <c r="S150" s="1972">
        <f t="shared" si="334"/>
        <v>3240.8328613822664</v>
      </c>
      <c r="T150" s="1972">
        <f t="shared" si="334"/>
        <v>3240.8328613822659</v>
      </c>
      <c r="U150" s="1972">
        <f t="shared" si="334"/>
        <v>0</v>
      </c>
      <c r="V150" s="1972">
        <f t="shared" si="334"/>
        <v>0</v>
      </c>
      <c r="W150" s="1972">
        <f t="shared" si="334"/>
        <v>3240.8328613822664</v>
      </c>
      <c r="X150" s="1973">
        <f t="shared" si="334"/>
        <v>3240.8328613822659</v>
      </c>
      <c r="Y150" s="1882">
        <f t="shared" si="352"/>
        <v>9722.4985841467987</v>
      </c>
      <c r="Z150" s="1882">
        <f t="shared" si="352"/>
        <v>9722.4985841467969</v>
      </c>
      <c r="AA150" s="1969">
        <f t="shared" si="336"/>
        <v>19444.997168293597</v>
      </c>
      <c r="AB150" s="1970">
        <f t="shared" si="336"/>
        <v>2454.5037397724532</v>
      </c>
      <c r="AC150" s="1971">
        <f t="shared" si="336"/>
        <v>2454.5037397724532</v>
      </c>
      <c r="AD150" s="1972">
        <f t="shared" si="336"/>
        <v>2454.5037397724532</v>
      </c>
      <c r="AE150" s="1972">
        <f t="shared" si="336"/>
        <v>2454.5037397724532</v>
      </c>
      <c r="AF150" s="1972">
        <f t="shared" si="336"/>
        <v>0</v>
      </c>
      <c r="AG150" s="1972">
        <f t="shared" si="336"/>
        <v>0</v>
      </c>
      <c r="AH150" s="1972">
        <f t="shared" si="336"/>
        <v>2454.5037397724532</v>
      </c>
      <c r="AI150" s="1973">
        <f t="shared" si="336"/>
        <v>2454.5037397724532</v>
      </c>
      <c r="AJ150" s="1882">
        <f t="shared" si="353"/>
        <v>7363.5112193173591</v>
      </c>
      <c r="AK150" s="1882">
        <f t="shared" si="353"/>
        <v>7363.5112193173591</v>
      </c>
      <c r="AL150" s="1969">
        <f t="shared" si="338"/>
        <v>14727.022438634718</v>
      </c>
      <c r="AM150" s="1970">
        <f t="shared" si="338"/>
        <v>162.78555820764703</v>
      </c>
      <c r="AN150" s="1971">
        <f t="shared" si="338"/>
        <v>162.78555820764703</v>
      </c>
      <c r="AO150" s="1972">
        <f t="shared" si="338"/>
        <v>162.78555820764703</v>
      </c>
      <c r="AP150" s="1972">
        <f t="shared" si="338"/>
        <v>162.78555820764703</v>
      </c>
      <c r="AQ150" s="1972">
        <f t="shared" si="338"/>
        <v>162.78555820764703</v>
      </c>
      <c r="AR150" s="1972">
        <f t="shared" si="338"/>
        <v>162.78555820764703</v>
      </c>
      <c r="AS150" s="1972">
        <f t="shared" si="338"/>
        <v>162.78555820764703</v>
      </c>
      <c r="AT150" s="1973">
        <f t="shared" si="338"/>
        <v>162.78555820764703</v>
      </c>
      <c r="AU150" s="1882">
        <f t="shared" si="354"/>
        <v>651.14223283058811</v>
      </c>
      <c r="AV150" s="1882">
        <f t="shared" si="354"/>
        <v>651.14223283058811</v>
      </c>
      <c r="AW150" s="1969">
        <f t="shared" si="278"/>
        <v>1302.2844656611765</v>
      </c>
      <c r="AX150" s="1740"/>
      <c r="AY150" s="1740"/>
      <c r="AZ150" s="1740"/>
      <c r="BA150" s="1883">
        <f t="shared" si="340"/>
        <v>12830.216175043683</v>
      </c>
      <c r="BB150" s="1883">
        <f t="shared" si="341"/>
        <v>12829.555414893677</v>
      </c>
      <c r="BC150" s="1883">
        <f t="shared" si="342"/>
        <v>0</v>
      </c>
      <c r="BD150" s="1883">
        <f t="shared" si="343"/>
        <v>15223.30375186435</v>
      </c>
      <c r="BE150" s="1883">
        <f t="shared" si="344"/>
        <v>40883.075341801698</v>
      </c>
      <c r="BF150" s="1740"/>
      <c r="BG150" s="1740"/>
      <c r="BH150" s="1740"/>
      <c r="BI150" s="1768" t="e">
        <f>#REF!+#REF!+#REF!</f>
        <v>#REF!</v>
      </c>
      <c r="BJ150" s="1768" t="e">
        <f>#REF!+#REF!+#REF!</f>
        <v>#REF!</v>
      </c>
      <c r="BK150" s="1935" t="e">
        <f t="shared" si="355"/>
        <v>#REF!</v>
      </c>
    </row>
    <row r="151" spans="1:63" ht="15.75">
      <c r="B151" s="1872"/>
      <c r="C151" s="1911"/>
      <c r="D151" s="1845"/>
      <c r="E151" s="1818"/>
      <c r="F151" s="1845"/>
      <c r="G151" s="1978">
        <f t="shared" si="351"/>
        <v>0</v>
      </c>
      <c r="H151" s="1979">
        <f t="shared" si="351"/>
        <v>0</v>
      </c>
      <c r="I151" s="1979">
        <f t="shared" si="351"/>
        <v>0</v>
      </c>
      <c r="J151" s="1979">
        <f t="shared" si="351"/>
        <v>0</v>
      </c>
      <c r="K151" s="1853">
        <f t="shared" si="334"/>
        <v>0</v>
      </c>
      <c r="L151" s="1978">
        <f t="shared" si="334"/>
        <v>0</v>
      </c>
      <c r="M151" s="1979">
        <f t="shared" si="334"/>
        <v>0</v>
      </c>
      <c r="N151" s="1979">
        <f t="shared" si="334"/>
        <v>0</v>
      </c>
      <c r="O151" s="1979">
        <f t="shared" si="334"/>
        <v>0</v>
      </c>
      <c r="P151" s="1853">
        <f t="shared" si="334"/>
        <v>0</v>
      </c>
      <c r="Q151" s="1978">
        <f t="shared" si="334"/>
        <v>0</v>
      </c>
      <c r="R151" s="1980">
        <f t="shared" si="334"/>
        <v>0</v>
      </c>
      <c r="S151" s="1979">
        <f t="shared" si="334"/>
        <v>0</v>
      </c>
      <c r="T151" s="1979">
        <f t="shared" si="334"/>
        <v>0</v>
      </c>
      <c r="U151" s="1979">
        <f t="shared" si="334"/>
        <v>0</v>
      </c>
      <c r="V151" s="1979">
        <f t="shared" si="334"/>
        <v>0</v>
      </c>
      <c r="W151" s="1979">
        <f t="shared" si="334"/>
        <v>0</v>
      </c>
      <c r="X151" s="1981">
        <f t="shared" si="334"/>
        <v>0</v>
      </c>
      <c r="Y151" s="1965">
        <f t="shared" si="352"/>
        <v>0</v>
      </c>
      <c r="Z151" s="1965">
        <f t="shared" si="352"/>
        <v>0</v>
      </c>
      <c r="AA151" s="1853">
        <f t="shared" si="336"/>
        <v>0</v>
      </c>
      <c r="AB151" s="1978">
        <f t="shared" si="336"/>
        <v>0</v>
      </c>
      <c r="AC151" s="1980">
        <f t="shared" si="336"/>
        <v>0</v>
      </c>
      <c r="AD151" s="1979">
        <f t="shared" si="336"/>
        <v>0</v>
      </c>
      <c r="AE151" s="1979">
        <f t="shared" si="336"/>
        <v>0</v>
      </c>
      <c r="AF151" s="1979">
        <f t="shared" si="336"/>
        <v>0</v>
      </c>
      <c r="AG151" s="1979">
        <f t="shared" si="336"/>
        <v>0</v>
      </c>
      <c r="AH151" s="1979">
        <f t="shared" si="336"/>
        <v>0</v>
      </c>
      <c r="AI151" s="1981">
        <f t="shared" si="336"/>
        <v>0</v>
      </c>
      <c r="AJ151" s="1965">
        <f t="shared" si="353"/>
        <v>0</v>
      </c>
      <c r="AK151" s="1965">
        <f t="shared" si="353"/>
        <v>0</v>
      </c>
      <c r="AL151" s="1853">
        <f t="shared" si="338"/>
        <v>0</v>
      </c>
      <c r="AM151" s="1827">
        <f t="shared" si="338"/>
        <v>0</v>
      </c>
      <c r="AN151" s="1982">
        <f t="shared" si="338"/>
        <v>0</v>
      </c>
      <c r="AO151" s="1983">
        <f t="shared" si="338"/>
        <v>0</v>
      </c>
      <c r="AP151" s="1983">
        <f t="shared" si="338"/>
        <v>0</v>
      </c>
      <c r="AQ151" s="1983">
        <f t="shared" si="338"/>
        <v>0</v>
      </c>
      <c r="AR151" s="1983">
        <f t="shared" si="338"/>
        <v>0</v>
      </c>
      <c r="AS151" s="1983">
        <f t="shared" si="338"/>
        <v>0</v>
      </c>
      <c r="AT151" s="1984">
        <f t="shared" si="338"/>
        <v>0</v>
      </c>
      <c r="AU151" s="1966">
        <f t="shared" si="354"/>
        <v>0</v>
      </c>
      <c r="AV151" s="1966">
        <f t="shared" si="354"/>
        <v>0</v>
      </c>
      <c r="AW151" s="1985">
        <f t="shared" si="278"/>
        <v>0</v>
      </c>
      <c r="AX151" s="1740"/>
      <c r="AY151" s="1740"/>
      <c r="AZ151" s="1740"/>
      <c r="BA151" s="1883">
        <f t="shared" si="340"/>
        <v>0</v>
      </c>
      <c r="BB151" s="1883">
        <f t="shared" si="341"/>
        <v>0</v>
      </c>
      <c r="BC151" s="1883">
        <f t="shared" si="342"/>
        <v>0</v>
      </c>
      <c r="BD151" s="1883">
        <f t="shared" si="343"/>
        <v>0</v>
      </c>
      <c r="BE151" s="1883">
        <f t="shared" si="344"/>
        <v>0</v>
      </c>
      <c r="BF151" s="1740"/>
      <c r="BG151" s="1740"/>
      <c r="BH151" s="1740"/>
      <c r="BI151" s="1768" t="e">
        <f>#REF!+#REF!+#REF!</f>
        <v>#REF!</v>
      </c>
      <c r="BJ151" s="1768" t="e">
        <f>#REF!+#REF!+#REF!</f>
        <v>#REF!</v>
      </c>
      <c r="BK151" s="1935" t="e">
        <f t="shared" si="355"/>
        <v>#REF!</v>
      </c>
    </row>
    <row r="152" spans="1:63">
      <c r="D152" s="1740"/>
      <c r="E152" s="1740"/>
      <c r="F152" s="1740"/>
      <c r="G152" s="1740"/>
      <c r="H152" s="1740"/>
      <c r="I152" s="1740"/>
      <c r="J152" s="1740"/>
      <c r="K152" s="1740"/>
      <c r="L152" s="1740"/>
      <c r="M152" s="1740"/>
      <c r="N152" s="1740"/>
      <c r="O152" s="1740"/>
      <c r="P152" s="1740"/>
      <c r="Q152" s="1740"/>
      <c r="R152" s="1740"/>
      <c r="S152" s="1740"/>
      <c r="T152" s="1740"/>
      <c r="U152" s="1740"/>
      <c r="V152" s="1740"/>
      <c r="W152" s="1740"/>
      <c r="X152" s="1740"/>
      <c r="Y152" s="1740"/>
      <c r="Z152" s="1740"/>
      <c r="AA152" s="1740"/>
      <c r="AB152" s="1740"/>
      <c r="AC152" s="1740"/>
      <c r="AD152" s="1740"/>
      <c r="AE152" s="1740"/>
      <c r="AF152" s="1740"/>
      <c r="AG152" s="1740"/>
      <c r="AH152" s="1740"/>
      <c r="AI152" s="1740"/>
      <c r="AJ152" s="1740"/>
      <c r="AK152" s="1740"/>
      <c r="AL152" s="1740"/>
      <c r="AM152" s="1740"/>
      <c r="AN152" s="1740"/>
      <c r="AO152" s="1740"/>
      <c r="AP152" s="1740"/>
      <c r="AQ152" s="1740"/>
      <c r="AR152" s="1740"/>
      <c r="AS152" s="1740"/>
      <c r="AT152" s="1740"/>
      <c r="AU152" s="1740"/>
      <c r="AV152" s="1740"/>
      <c r="AW152" s="1740"/>
      <c r="AX152" s="1740"/>
      <c r="AY152" s="1740"/>
      <c r="AZ152" s="1740"/>
      <c r="BA152" s="1740"/>
      <c r="BB152" s="1740"/>
      <c r="BC152" s="1740"/>
      <c r="BD152" s="1740"/>
      <c r="BE152" s="1740"/>
      <c r="BF152" s="1740"/>
      <c r="BG152" s="1740"/>
      <c r="BH152" s="1740"/>
      <c r="BI152" s="1740"/>
      <c r="BJ152" s="1740"/>
      <c r="BK152" s="1740"/>
    </row>
    <row r="153" spans="1:63">
      <c r="D153" s="1740"/>
      <c r="E153" s="1740"/>
      <c r="F153" s="1740"/>
      <c r="G153" s="1740"/>
      <c r="H153" s="1740"/>
      <c r="I153" s="1740"/>
      <c r="J153" s="1740"/>
      <c r="K153" s="1740"/>
      <c r="L153" s="1740"/>
      <c r="M153" s="1740"/>
      <c r="N153" s="1740"/>
      <c r="O153" s="1740"/>
      <c r="P153" s="1740"/>
      <c r="Q153" s="1740"/>
      <c r="R153" s="1740"/>
      <c r="S153" s="1740"/>
      <c r="T153" s="1740"/>
      <c r="U153" s="1740"/>
      <c r="V153" s="1740"/>
      <c r="W153" s="1740"/>
      <c r="X153" s="1740"/>
      <c r="Y153" s="1740"/>
      <c r="Z153" s="1740"/>
      <c r="AA153" s="1740"/>
      <c r="AB153" s="1740"/>
      <c r="AC153" s="1740"/>
      <c r="AD153" s="1740"/>
      <c r="AE153" s="1740"/>
      <c r="AF153" s="1740"/>
      <c r="AG153" s="1740"/>
      <c r="AH153" s="1740"/>
      <c r="AI153" s="1740"/>
      <c r="AJ153" s="1740"/>
      <c r="AK153" s="1740"/>
      <c r="AL153" s="1740"/>
      <c r="AM153" s="1740"/>
      <c r="AN153" s="1740"/>
      <c r="AO153" s="1740"/>
      <c r="AP153" s="1740"/>
      <c r="AQ153" s="1740"/>
      <c r="AR153" s="1740"/>
      <c r="AS153" s="1740"/>
      <c r="AT153" s="1740"/>
      <c r="AU153" s="1740"/>
      <c r="AV153" s="1740"/>
      <c r="AW153" s="1740"/>
      <c r="AX153" s="1740"/>
      <c r="AY153" s="1740"/>
      <c r="AZ153" s="1740"/>
      <c r="BA153" s="1740"/>
      <c r="BB153" s="1740"/>
      <c r="BC153" s="1740"/>
      <c r="BD153" s="1740"/>
      <c r="BE153" s="1740"/>
      <c r="BF153" s="1740"/>
      <c r="BG153" s="1740"/>
      <c r="BH153" s="1740"/>
      <c r="BI153" s="1740"/>
      <c r="BJ153" s="1740"/>
      <c r="BK153" s="1740"/>
    </row>
    <row r="154" spans="1:63">
      <c r="D154" s="1740"/>
      <c r="E154" s="1740"/>
      <c r="F154" s="1740"/>
      <c r="G154" s="1740"/>
      <c r="H154" s="1740"/>
      <c r="I154" s="1740"/>
      <c r="J154" s="1740"/>
      <c r="K154" s="1740"/>
      <c r="L154" s="1740"/>
      <c r="M154" s="1740"/>
      <c r="N154" s="1740"/>
      <c r="O154" s="1740"/>
      <c r="P154" s="1740"/>
      <c r="Q154" s="1740"/>
      <c r="R154" s="1740"/>
      <c r="S154" s="1740"/>
      <c r="T154" s="1740"/>
      <c r="U154" s="1740"/>
      <c r="V154" s="1740"/>
      <c r="W154" s="1740"/>
      <c r="X154" s="1740"/>
      <c r="Y154" s="1740"/>
      <c r="Z154" s="1740"/>
      <c r="AA154" s="1740"/>
      <c r="AB154" s="1740"/>
      <c r="AC154" s="1740"/>
      <c r="AD154" s="1740"/>
      <c r="AE154" s="1740"/>
      <c r="AF154" s="1740"/>
      <c r="AG154" s="1740"/>
      <c r="AH154" s="1740"/>
      <c r="AI154" s="1740"/>
      <c r="AJ154" s="1740"/>
      <c r="AK154" s="1740"/>
      <c r="AL154" s="1740"/>
      <c r="AM154" s="1740"/>
      <c r="AN154" s="1740"/>
      <c r="AO154" s="1740"/>
      <c r="AP154" s="1740"/>
      <c r="AQ154" s="1740"/>
      <c r="AR154" s="1740"/>
      <c r="AS154" s="1740"/>
      <c r="AT154" s="1740"/>
      <c r="AU154" s="1740"/>
      <c r="AV154" s="1740"/>
      <c r="AW154" s="1740"/>
      <c r="AX154" s="1740"/>
      <c r="AY154" s="1740"/>
      <c r="AZ154" s="1740"/>
      <c r="BA154" s="1740"/>
      <c r="BB154" s="1740"/>
      <c r="BC154" s="1740"/>
      <c r="BD154" s="1740"/>
      <c r="BE154" s="1740"/>
      <c r="BF154" s="1740"/>
      <c r="BG154" s="1740"/>
      <c r="BH154" s="1740"/>
      <c r="BI154" s="1740"/>
      <c r="BJ154" s="1740"/>
      <c r="BK154" s="1740"/>
    </row>
    <row r="155" spans="1:63">
      <c r="D155" s="1740"/>
      <c r="E155" s="1740"/>
      <c r="F155" s="1740"/>
      <c r="G155" s="1740"/>
      <c r="H155" s="1740"/>
      <c r="I155" s="1740"/>
      <c r="J155" s="1740"/>
      <c r="K155" s="1740"/>
      <c r="L155" s="1740"/>
      <c r="M155" s="1740"/>
      <c r="N155" s="1740"/>
      <c r="O155" s="1740"/>
      <c r="P155" s="1740"/>
      <c r="Q155" s="1740"/>
      <c r="R155" s="1740"/>
      <c r="S155" s="1740"/>
      <c r="T155" s="1740"/>
      <c r="U155" s="1740"/>
      <c r="V155" s="1740"/>
      <c r="W155" s="1740"/>
      <c r="X155" s="1740"/>
      <c r="Y155" s="1740"/>
      <c r="Z155" s="1740"/>
      <c r="AA155" s="1740"/>
      <c r="AB155" s="1740"/>
      <c r="AC155" s="1740"/>
      <c r="AD155" s="1740"/>
      <c r="AE155" s="1740"/>
      <c r="AF155" s="1740"/>
      <c r="AG155" s="1740"/>
      <c r="AH155" s="1740"/>
      <c r="AI155" s="1740"/>
      <c r="AJ155" s="1740"/>
      <c r="AK155" s="1740"/>
      <c r="AL155" s="1740"/>
      <c r="AM155" s="1740"/>
      <c r="AN155" s="1740"/>
      <c r="AO155" s="1740"/>
      <c r="AP155" s="1740"/>
      <c r="AQ155" s="1740"/>
      <c r="AR155" s="1740"/>
      <c r="AS155" s="1740"/>
      <c r="AT155" s="1740"/>
      <c r="AU155" s="1740"/>
      <c r="AV155" s="1740"/>
      <c r="AW155" s="1740"/>
      <c r="AX155" s="1740"/>
      <c r="AY155" s="1740"/>
      <c r="AZ155" s="1740"/>
      <c r="BA155" s="1740"/>
      <c r="BB155" s="1740"/>
      <c r="BC155" s="1740"/>
      <c r="BD155" s="1740"/>
      <c r="BE155" s="1740"/>
      <c r="BF155" s="1740"/>
      <c r="BG155" s="1740"/>
      <c r="BH155" s="1740"/>
      <c r="BI155" s="1740"/>
      <c r="BJ155" s="1740"/>
      <c r="BK155" s="1740"/>
    </row>
    <row r="156" spans="1:63">
      <c r="D156" s="1740"/>
      <c r="E156" s="1740"/>
      <c r="F156" s="1740"/>
      <c r="G156" s="1740"/>
      <c r="H156" s="1740"/>
      <c r="I156" s="1740"/>
      <c r="J156" s="1740"/>
      <c r="K156" s="1740"/>
      <c r="L156" s="1740"/>
      <c r="M156" s="1740"/>
      <c r="N156" s="1740"/>
      <c r="O156" s="1740"/>
      <c r="P156" s="1740"/>
      <c r="Q156" s="1740"/>
      <c r="R156" s="1740"/>
      <c r="S156" s="1740"/>
      <c r="T156" s="1740"/>
      <c r="U156" s="1740"/>
      <c r="V156" s="1740"/>
      <c r="W156" s="1740"/>
      <c r="X156" s="1740"/>
      <c r="Y156" s="1740"/>
      <c r="Z156" s="1740"/>
      <c r="AA156" s="1740"/>
      <c r="AB156" s="1740"/>
      <c r="AC156" s="1740"/>
      <c r="AD156" s="1740"/>
      <c r="AE156" s="1740"/>
      <c r="AF156" s="1740"/>
      <c r="AG156" s="1740"/>
      <c r="AH156" s="1740"/>
      <c r="AI156" s="1740"/>
      <c r="AJ156" s="1740"/>
      <c r="AK156" s="1740"/>
      <c r="AL156" s="1740"/>
      <c r="AM156" s="1740"/>
      <c r="AN156" s="1740"/>
      <c r="AO156" s="1740"/>
      <c r="AP156" s="1740"/>
      <c r="AQ156" s="1740"/>
      <c r="AR156" s="1740"/>
      <c r="AS156" s="1740"/>
      <c r="AT156" s="1740"/>
      <c r="AU156" s="1740"/>
      <c r="AV156" s="1740"/>
      <c r="AW156" s="1740"/>
      <c r="AX156" s="1740"/>
      <c r="AY156" s="1740"/>
      <c r="AZ156" s="1740"/>
      <c r="BA156" s="1740"/>
      <c r="BB156" s="1740"/>
      <c r="BC156" s="1740"/>
      <c r="BD156" s="1740"/>
      <c r="BE156" s="1740"/>
      <c r="BF156" s="1740"/>
      <c r="BG156" s="1740"/>
      <c r="BH156" s="1740"/>
      <c r="BI156" s="1740"/>
      <c r="BJ156" s="1740"/>
      <c r="BK156" s="1740"/>
    </row>
    <row r="157" spans="1:63">
      <c r="D157" s="1740"/>
      <c r="E157" s="1740"/>
      <c r="F157" s="1740"/>
      <c r="G157" s="1740"/>
      <c r="H157" s="1740"/>
      <c r="I157" s="1740"/>
      <c r="J157" s="1740"/>
      <c r="K157" s="1740"/>
      <c r="L157" s="1740"/>
      <c r="M157" s="1740"/>
      <c r="N157" s="1740"/>
      <c r="O157" s="1740"/>
      <c r="P157" s="1740"/>
      <c r="Q157" s="1740"/>
      <c r="R157" s="1740"/>
      <c r="S157" s="1740"/>
      <c r="T157" s="1740"/>
      <c r="U157" s="1740"/>
      <c r="V157" s="1740"/>
      <c r="W157" s="1740"/>
      <c r="X157" s="1740"/>
      <c r="Y157" s="1740"/>
      <c r="Z157" s="1740"/>
      <c r="AA157" s="1740"/>
      <c r="AB157" s="1740"/>
      <c r="AC157" s="1740"/>
      <c r="AD157" s="1740"/>
      <c r="AE157" s="1740"/>
      <c r="AF157" s="1740"/>
      <c r="AG157" s="1740"/>
      <c r="AH157" s="1740"/>
      <c r="AI157" s="1740"/>
      <c r="AJ157" s="1740"/>
      <c r="AK157" s="1740"/>
      <c r="AL157" s="1740"/>
      <c r="AM157" s="1740"/>
      <c r="AN157" s="1740"/>
      <c r="AO157" s="1740"/>
      <c r="AP157" s="1740"/>
      <c r="AQ157" s="1740"/>
      <c r="AR157" s="1740"/>
      <c r="AS157" s="1740"/>
      <c r="AT157" s="1740"/>
      <c r="AU157" s="1740"/>
      <c r="AV157" s="1740"/>
      <c r="AW157" s="1740"/>
      <c r="AX157" s="1740"/>
      <c r="AY157" s="1740"/>
      <c r="AZ157" s="1740"/>
      <c r="BA157" s="1740"/>
      <c r="BB157" s="1740"/>
      <c r="BC157" s="1740"/>
      <c r="BD157" s="1740"/>
      <c r="BE157" s="1740"/>
      <c r="BF157" s="1740"/>
      <c r="BG157" s="1740"/>
      <c r="BH157" s="1740"/>
      <c r="BI157" s="1740"/>
      <c r="BJ157" s="1740"/>
      <c r="BK157" s="1740"/>
    </row>
    <row r="158" spans="1:63">
      <c r="D158" s="1740"/>
      <c r="E158" s="1740"/>
      <c r="F158" s="1740"/>
      <c r="G158" s="1740"/>
      <c r="H158" s="1740"/>
      <c r="I158" s="1740"/>
      <c r="J158" s="1740"/>
      <c r="K158" s="1740"/>
      <c r="L158" s="1740"/>
      <c r="M158" s="1740"/>
      <c r="N158" s="1740"/>
      <c r="O158" s="1740"/>
      <c r="P158" s="1740"/>
      <c r="Q158" s="1740"/>
      <c r="R158" s="1740"/>
      <c r="S158" s="1740"/>
      <c r="T158" s="1740"/>
      <c r="U158" s="1740"/>
      <c r="V158" s="1740"/>
      <c r="W158" s="1740"/>
      <c r="X158" s="1740"/>
      <c r="Y158" s="1740"/>
      <c r="Z158" s="1740"/>
      <c r="AA158" s="1740"/>
      <c r="AB158" s="1740"/>
      <c r="AC158" s="1740"/>
      <c r="AD158" s="1740"/>
      <c r="AE158" s="1740"/>
      <c r="AF158" s="1740"/>
      <c r="AG158" s="1740"/>
      <c r="AH158" s="1740"/>
      <c r="AI158" s="1740"/>
      <c r="AJ158" s="1740"/>
      <c r="AK158" s="1740"/>
      <c r="AL158" s="1740"/>
      <c r="AM158" s="1740"/>
      <c r="AN158" s="1740"/>
      <c r="AO158" s="1740"/>
      <c r="AP158" s="1740"/>
      <c r="AQ158" s="1740"/>
      <c r="AR158" s="1740"/>
      <c r="AS158" s="1740"/>
      <c r="AT158" s="1740"/>
      <c r="AU158" s="1740"/>
      <c r="AV158" s="1740"/>
      <c r="AW158" s="1740"/>
      <c r="AX158" s="1740"/>
      <c r="AY158" s="1740"/>
      <c r="AZ158" s="1740"/>
      <c r="BA158" s="1740"/>
      <c r="BB158" s="1740"/>
      <c r="BC158" s="1740"/>
      <c r="BD158" s="1740"/>
      <c r="BE158" s="1740"/>
      <c r="BF158" s="1740"/>
      <c r="BG158" s="1740"/>
      <c r="BH158" s="1740"/>
      <c r="BI158" s="1740"/>
      <c r="BJ158" s="1740"/>
      <c r="BK158" s="1740"/>
    </row>
    <row r="159" spans="1:63">
      <c r="D159" s="1740"/>
      <c r="E159" s="1740"/>
      <c r="F159" s="1740"/>
      <c r="G159" s="1740"/>
      <c r="H159" s="1740"/>
      <c r="I159" s="1740"/>
      <c r="J159" s="1740"/>
      <c r="K159" s="1740"/>
      <c r="L159" s="1740"/>
      <c r="M159" s="1740"/>
      <c r="N159" s="1740"/>
      <c r="O159" s="1740"/>
      <c r="P159" s="1740"/>
      <c r="Q159" s="1740"/>
      <c r="R159" s="1740"/>
      <c r="S159" s="1740"/>
      <c r="T159" s="1740"/>
      <c r="U159" s="1740"/>
      <c r="V159" s="1740"/>
      <c r="W159" s="1740"/>
      <c r="X159" s="1740"/>
      <c r="Y159" s="1740"/>
      <c r="Z159" s="1740"/>
      <c r="AA159" s="1740"/>
      <c r="AB159" s="1740"/>
      <c r="AC159" s="1740"/>
      <c r="AD159" s="1740"/>
      <c r="AE159" s="1740"/>
      <c r="AF159" s="1740"/>
      <c r="AG159" s="1740"/>
      <c r="AH159" s="1740"/>
      <c r="AI159" s="1740"/>
      <c r="AJ159" s="1740"/>
      <c r="AK159" s="1740"/>
      <c r="AL159" s="1740"/>
      <c r="AM159" s="1740"/>
      <c r="AN159" s="1740"/>
      <c r="AO159" s="1740"/>
      <c r="AP159" s="1740"/>
      <c r="AQ159" s="1740"/>
      <c r="AR159" s="1740"/>
      <c r="AS159" s="1740"/>
      <c r="AT159" s="1740"/>
      <c r="AU159" s="1740"/>
      <c r="AV159" s="1740"/>
      <c r="AW159" s="1740"/>
      <c r="AX159" s="1740"/>
      <c r="AY159" s="1740"/>
      <c r="AZ159" s="1740"/>
      <c r="BA159" s="1740"/>
      <c r="BB159" s="1740"/>
      <c r="BC159" s="1740"/>
      <c r="BD159" s="1740"/>
      <c r="BE159" s="1740"/>
      <c r="BF159" s="1740"/>
      <c r="BG159" s="1740"/>
      <c r="BH159" s="1740"/>
      <c r="BI159" s="1740"/>
      <c r="BJ159" s="1740"/>
      <c r="BK159" s="1740"/>
    </row>
    <row r="160" spans="1:63">
      <c r="D160" s="1740"/>
      <c r="E160" s="1740"/>
      <c r="F160" s="1740"/>
      <c r="G160" s="1740"/>
      <c r="H160" s="1740"/>
      <c r="I160" s="1740"/>
      <c r="J160" s="1740"/>
      <c r="K160" s="1740"/>
      <c r="L160" s="1740"/>
      <c r="M160" s="1740"/>
      <c r="N160" s="1740"/>
      <c r="O160" s="1740"/>
      <c r="P160" s="1740"/>
      <c r="Q160" s="1740"/>
      <c r="R160" s="1740"/>
      <c r="S160" s="1740"/>
      <c r="T160" s="1740"/>
      <c r="U160" s="1740"/>
      <c r="V160" s="1740"/>
      <c r="W160" s="1740"/>
      <c r="X160" s="1740"/>
      <c r="Y160" s="1740"/>
      <c r="Z160" s="1740"/>
      <c r="AA160" s="1740"/>
      <c r="AB160" s="1740"/>
      <c r="AC160" s="1740"/>
      <c r="AD160" s="1740"/>
      <c r="AE160" s="1740"/>
      <c r="AF160" s="1740"/>
      <c r="AG160" s="1740"/>
      <c r="AH160" s="1740"/>
      <c r="AI160" s="1740"/>
      <c r="AJ160" s="1740"/>
      <c r="AK160" s="1740"/>
      <c r="AL160" s="1740"/>
      <c r="AM160" s="1740"/>
      <c r="AN160" s="1740"/>
      <c r="AO160" s="1740"/>
      <c r="AP160" s="1740"/>
      <c r="AQ160" s="1740"/>
      <c r="AR160" s="1740"/>
      <c r="AS160" s="1740"/>
      <c r="AT160" s="1740"/>
      <c r="AU160" s="1740"/>
      <c r="AV160" s="1740"/>
      <c r="AW160" s="1740"/>
      <c r="AX160" s="1740"/>
      <c r="AY160" s="1740"/>
      <c r="AZ160" s="1740"/>
      <c r="BA160" s="1740"/>
      <c r="BB160" s="1740"/>
      <c r="BC160" s="1740"/>
      <c r="BD160" s="1740"/>
      <c r="BE160" s="1740"/>
      <c r="BF160" s="1740"/>
      <c r="BG160" s="1740"/>
      <c r="BH160" s="1740"/>
      <c r="BI160" s="1740"/>
      <c r="BJ160" s="1740"/>
      <c r="BK160" s="1740"/>
    </row>
    <row r="161" spans="4:63">
      <c r="D161" s="1740"/>
      <c r="E161" s="1740"/>
      <c r="F161" s="1740"/>
      <c r="G161" s="1740"/>
      <c r="H161" s="1740"/>
      <c r="I161" s="1740"/>
      <c r="J161" s="1740"/>
      <c r="K161" s="1740"/>
      <c r="L161" s="1740"/>
      <c r="M161" s="1740"/>
      <c r="N161" s="1740"/>
      <c r="O161" s="1740"/>
      <c r="P161" s="1740"/>
      <c r="Q161" s="1740"/>
      <c r="R161" s="1740"/>
      <c r="S161" s="1740"/>
      <c r="T161" s="1740"/>
      <c r="U161" s="1740"/>
      <c r="V161" s="1740"/>
      <c r="W161" s="1740"/>
      <c r="X161" s="1740"/>
      <c r="Y161" s="1740"/>
      <c r="Z161" s="1740"/>
      <c r="AA161" s="1740"/>
      <c r="AB161" s="1740"/>
      <c r="AC161" s="1740"/>
      <c r="AD161" s="1740"/>
      <c r="AE161" s="1740"/>
      <c r="AF161" s="1740"/>
      <c r="AG161" s="1740"/>
      <c r="AH161" s="1740"/>
      <c r="AI161" s="1740"/>
      <c r="AJ161" s="1740"/>
      <c r="AK161" s="1740"/>
      <c r="AL161" s="1740"/>
      <c r="AM161" s="1740"/>
      <c r="AN161" s="1740"/>
      <c r="AO161" s="1740"/>
      <c r="AP161" s="1740"/>
      <c r="AQ161" s="1740"/>
      <c r="AR161" s="1740"/>
      <c r="AS161" s="1740"/>
      <c r="AT161" s="1740"/>
      <c r="AU161" s="1740"/>
      <c r="AV161" s="1740"/>
      <c r="AW161" s="1740"/>
      <c r="AX161" s="1740"/>
      <c r="AY161" s="1740"/>
      <c r="AZ161" s="1740"/>
      <c r="BA161" s="1740"/>
      <c r="BB161" s="1740"/>
      <c r="BC161" s="1740"/>
      <c r="BD161" s="1740"/>
      <c r="BE161" s="1740"/>
      <c r="BF161" s="1740"/>
      <c r="BG161" s="1740"/>
      <c r="BH161" s="1740"/>
      <c r="BI161" s="1740"/>
      <c r="BJ161" s="1740"/>
      <c r="BK161" s="1740"/>
    </row>
    <row r="162" spans="4:63">
      <c r="D162" s="1740"/>
      <c r="E162" s="1740"/>
      <c r="F162" s="1740"/>
      <c r="G162" s="1740"/>
      <c r="H162" s="1740"/>
      <c r="I162" s="1740"/>
      <c r="J162" s="1740"/>
      <c r="K162" s="1740"/>
      <c r="L162" s="1740"/>
      <c r="M162" s="1740"/>
      <c r="N162" s="1740"/>
      <c r="O162" s="1740"/>
      <c r="P162" s="1740"/>
      <c r="Q162" s="1740"/>
      <c r="R162" s="1740"/>
      <c r="S162" s="1740"/>
      <c r="T162" s="1740"/>
      <c r="U162" s="1740"/>
      <c r="V162" s="1740"/>
      <c r="W162" s="1740"/>
      <c r="X162" s="1740"/>
      <c r="Y162" s="1740"/>
      <c r="Z162" s="1740"/>
      <c r="AA162" s="1740"/>
      <c r="AB162" s="1740"/>
      <c r="AC162" s="1740"/>
      <c r="AD162" s="1740"/>
      <c r="AE162" s="1740"/>
      <c r="AF162" s="1740"/>
      <c r="AG162" s="1740"/>
      <c r="AH162" s="1740"/>
      <c r="AI162" s="1740"/>
      <c r="AJ162" s="1740"/>
      <c r="AK162" s="1740"/>
      <c r="AL162" s="1740"/>
      <c r="AM162" s="1740"/>
      <c r="AN162" s="1740"/>
      <c r="AO162" s="1740"/>
      <c r="AP162" s="1740"/>
      <c r="AQ162" s="1740"/>
      <c r="AR162" s="1740"/>
      <c r="AS162" s="1740"/>
      <c r="AT162" s="1740"/>
      <c r="AU162" s="1740"/>
      <c r="AV162" s="1740"/>
      <c r="AW162" s="1740"/>
      <c r="AX162" s="1740"/>
      <c r="AY162" s="1740"/>
      <c r="AZ162" s="1740"/>
      <c r="BA162" s="1740"/>
      <c r="BB162" s="1740"/>
      <c r="BC162" s="1740"/>
      <c r="BD162" s="1740"/>
      <c r="BE162" s="1740"/>
      <c r="BF162" s="1740"/>
      <c r="BG162" s="1740"/>
      <c r="BH162" s="1740"/>
      <c r="BI162" s="1740"/>
      <c r="BJ162" s="1740"/>
      <c r="BK162" s="1740"/>
    </row>
    <row r="163" spans="4:63">
      <c r="D163" s="1740"/>
      <c r="E163" s="1740"/>
      <c r="F163" s="1740"/>
      <c r="G163" s="1740"/>
      <c r="H163" s="1740"/>
      <c r="I163" s="1740"/>
      <c r="J163" s="1740"/>
      <c r="K163" s="1740"/>
      <c r="L163" s="1740"/>
      <c r="M163" s="1740"/>
      <c r="N163" s="1740"/>
      <c r="O163" s="1740"/>
      <c r="P163" s="1740"/>
      <c r="Q163" s="1740"/>
      <c r="R163" s="1740"/>
      <c r="S163" s="1740"/>
      <c r="T163" s="1740"/>
      <c r="U163" s="1740"/>
      <c r="V163" s="1740"/>
      <c r="W163" s="1740"/>
      <c r="X163" s="1740"/>
      <c r="Y163" s="1740"/>
      <c r="Z163" s="1740"/>
      <c r="AA163" s="1740"/>
      <c r="AB163" s="1740"/>
      <c r="AC163" s="1740"/>
      <c r="AD163" s="1740"/>
      <c r="AE163" s="1740"/>
      <c r="AF163" s="1740"/>
      <c r="AG163" s="1740"/>
      <c r="AH163" s="1740"/>
      <c r="AI163" s="1740"/>
      <c r="AJ163" s="1740"/>
      <c r="AK163" s="1740"/>
      <c r="AL163" s="1740"/>
      <c r="AM163" s="1740"/>
      <c r="AN163" s="1740"/>
      <c r="AO163" s="1740"/>
      <c r="AP163" s="1740"/>
      <c r="AQ163" s="1740"/>
      <c r="AR163" s="1740"/>
      <c r="AS163" s="1740"/>
      <c r="AT163" s="1740"/>
      <c r="AU163" s="1740"/>
      <c r="AV163" s="1740"/>
      <c r="AW163" s="1740"/>
      <c r="AX163" s="1740"/>
      <c r="AY163" s="1740"/>
      <c r="AZ163" s="1740"/>
      <c r="BA163" s="1740"/>
      <c r="BB163" s="1740"/>
      <c r="BC163" s="1740"/>
      <c r="BD163" s="1740"/>
      <c r="BE163" s="1740"/>
      <c r="BF163" s="1740"/>
      <c r="BG163" s="1740"/>
      <c r="BH163" s="1740"/>
      <c r="BI163" s="1740"/>
      <c r="BJ163" s="1740"/>
      <c r="BK163" s="1740"/>
    </row>
    <row r="164" spans="4:63">
      <c r="D164" s="1740"/>
      <c r="E164" s="1740"/>
      <c r="F164" s="1740"/>
      <c r="G164" s="1740"/>
      <c r="H164" s="1740"/>
      <c r="I164" s="1740"/>
      <c r="J164" s="1740"/>
      <c r="K164" s="1740"/>
      <c r="L164" s="1740"/>
      <c r="M164" s="1740"/>
      <c r="N164" s="1740"/>
      <c r="O164" s="1740"/>
      <c r="P164" s="1740"/>
      <c r="Q164" s="1740"/>
      <c r="R164" s="1740"/>
      <c r="S164" s="1740"/>
      <c r="T164" s="1740"/>
      <c r="U164" s="1740"/>
      <c r="V164" s="1740"/>
      <c r="W164" s="1740"/>
      <c r="X164" s="1740"/>
      <c r="Y164" s="1740"/>
      <c r="Z164" s="1740"/>
      <c r="AA164" s="1740"/>
      <c r="AB164" s="1740"/>
      <c r="AC164" s="1740"/>
      <c r="AD164" s="1740"/>
      <c r="AE164" s="1740"/>
      <c r="AF164" s="1740"/>
      <c r="AG164" s="1740"/>
      <c r="AH164" s="1740"/>
      <c r="AI164" s="1740"/>
      <c r="AJ164" s="1740"/>
      <c r="AK164" s="1740"/>
      <c r="AL164" s="1740"/>
      <c r="AM164" s="1740"/>
      <c r="AN164" s="1740"/>
      <c r="AO164" s="1740"/>
      <c r="AP164" s="1740"/>
      <c r="AQ164" s="1740"/>
      <c r="AR164" s="1740"/>
      <c r="AS164" s="1740"/>
      <c r="AT164" s="1740"/>
      <c r="AU164" s="1740"/>
      <c r="AV164" s="1740"/>
      <c r="AW164" s="1740"/>
      <c r="AX164" s="1740"/>
      <c r="AY164" s="1740"/>
      <c r="AZ164" s="1740"/>
      <c r="BA164" s="1740"/>
      <c r="BB164" s="1740"/>
      <c r="BC164" s="1740"/>
      <c r="BD164" s="1740"/>
      <c r="BE164" s="1740"/>
      <c r="BF164" s="1740"/>
      <c r="BG164" s="1740"/>
      <c r="BH164" s="1740"/>
      <c r="BI164" s="1740"/>
      <c r="BJ164" s="1740"/>
      <c r="BK164" s="1740"/>
    </row>
    <row r="165" spans="4:63">
      <c r="D165" s="1740"/>
      <c r="E165" s="1740"/>
      <c r="F165" s="1740"/>
      <c r="G165" s="1740"/>
      <c r="H165" s="1740"/>
      <c r="I165" s="1740"/>
      <c r="J165" s="1740"/>
      <c r="K165" s="1740"/>
      <c r="L165" s="1740"/>
      <c r="M165" s="1740"/>
      <c r="N165" s="1740"/>
      <c r="O165" s="1740"/>
      <c r="P165" s="1740"/>
      <c r="Q165" s="1740"/>
      <c r="R165" s="1740"/>
      <c r="S165" s="1740"/>
      <c r="T165" s="1740"/>
      <c r="U165" s="1740"/>
      <c r="V165" s="1740"/>
      <c r="W165" s="1740"/>
      <c r="X165" s="1740"/>
      <c r="Y165" s="1740"/>
      <c r="Z165" s="1740"/>
      <c r="AA165" s="1740"/>
      <c r="AB165" s="1740"/>
      <c r="AC165" s="1740"/>
      <c r="AD165" s="1740"/>
      <c r="AE165" s="1740"/>
      <c r="AF165" s="1740"/>
      <c r="AG165" s="1740"/>
      <c r="AH165" s="1740"/>
      <c r="AI165" s="1740"/>
      <c r="AJ165" s="1740"/>
      <c r="AK165" s="1740"/>
      <c r="AL165" s="1740"/>
      <c r="AM165" s="1740"/>
      <c r="AN165" s="1740"/>
      <c r="AO165" s="1740"/>
      <c r="AP165" s="1740"/>
      <c r="AQ165" s="1740"/>
      <c r="AR165" s="1740"/>
      <c r="AS165" s="1740"/>
      <c r="AT165" s="1740"/>
      <c r="AU165" s="1740"/>
      <c r="AV165" s="1740"/>
      <c r="AW165" s="1740"/>
      <c r="AX165" s="1740"/>
      <c r="AY165" s="1740"/>
      <c r="AZ165" s="1740"/>
      <c r="BA165" s="1740"/>
      <c r="BB165" s="1740"/>
      <c r="BC165" s="1740"/>
      <c r="BD165" s="1740"/>
      <c r="BE165" s="1740"/>
      <c r="BF165" s="1740"/>
      <c r="BG165" s="1740"/>
      <c r="BH165" s="1740"/>
      <c r="BI165" s="1740"/>
      <c r="BJ165" s="1740"/>
      <c r="BK165" s="1740"/>
    </row>
    <row r="166" spans="4:63">
      <c r="D166" s="1740"/>
      <c r="E166" s="1740"/>
      <c r="F166" s="1740"/>
      <c r="G166" s="1740"/>
      <c r="H166" s="1740"/>
      <c r="I166" s="1740"/>
      <c r="J166" s="1740"/>
      <c r="K166" s="1740"/>
      <c r="L166" s="1740"/>
      <c r="M166" s="1740"/>
      <c r="N166" s="1740"/>
      <c r="O166" s="1740"/>
      <c r="P166" s="1740"/>
      <c r="Q166" s="1740"/>
      <c r="R166" s="1740"/>
      <c r="S166" s="1740"/>
      <c r="T166" s="1740"/>
      <c r="U166" s="1740"/>
      <c r="V166" s="1740"/>
      <c r="W166" s="1740"/>
      <c r="X166" s="1740"/>
      <c r="Y166" s="1740"/>
      <c r="Z166" s="1740"/>
      <c r="AA166" s="1740"/>
      <c r="AB166" s="1740"/>
      <c r="AC166" s="1740"/>
      <c r="AD166" s="1740"/>
      <c r="AE166" s="1740"/>
      <c r="AF166" s="1740"/>
      <c r="AG166" s="1740"/>
      <c r="AH166" s="1740"/>
      <c r="AI166" s="1740"/>
      <c r="AJ166" s="1740"/>
      <c r="AK166" s="1740"/>
      <c r="AL166" s="1740"/>
      <c r="AM166" s="1740"/>
      <c r="AN166" s="1740"/>
      <c r="AO166" s="1740"/>
      <c r="AP166" s="1740"/>
      <c r="AQ166" s="1740"/>
      <c r="AR166" s="1740"/>
      <c r="AS166" s="1740"/>
      <c r="AT166" s="1740"/>
      <c r="AU166" s="1740"/>
      <c r="AV166" s="1740"/>
      <c r="AW166" s="1740"/>
      <c r="AX166" s="1740"/>
      <c r="AY166" s="1740"/>
      <c r="AZ166" s="1740"/>
      <c r="BA166" s="1740"/>
      <c r="BB166" s="1740"/>
      <c r="BC166" s="1740"/>
      <c r="BD166" s="1740"/>
      <c r="BE166" s="1740"/>
      <c r="BF166" s="1740"/>
      <c r="BG166" s="1740"/>
      <c r="BH166" s="1740"/>
      <c r="BI166" s="1740"/>
      <c r="BJ166" s="1740"/>
      <c r="BK166" s="1740"/>
    </row>
    <row r="167" spans="4:63">
      <c r="D167" s="1740"/>
      <c r="E167" s="1740"/>
      <c r="F167" s="1740"/>
      <c r="G167" s="1740"/>
      <c r="H167" s="1740"/>
      <c r="I167" s="1740"/>
      <c r="J167" s="1740"/>
      <c r="K167" s="1740"/>
      <c r="L167" s="1740"/>
      <c r="M167" s="1740"/>
      <c r="N167" s="1740"/>
      <c r="O167" s="1740"/>
      <c r="P167" s="1740"/>
      <c r="Q167" s="1740"/>
      <c r="R167" s="1740"/>
      <c r="S167" s="1740"/>
      <c r="T167" s="1740"/>
      <c r="U167" s="1740"/>
      <c r="V167" s="1740"/>
      <c r="W167" s="1740"/>
      <c r="X167" s="1740"/>
      <c r="Y167" s="1740"/>
      <c r="Z167" s="1740"/>
      <c r="AA167" s="1740"/>
      <c r="AB167" s="1740"/>
      <c r="AC167" s="1740"/>
      <c r="AD167" s="1740"/>
      <c r="AE167" s="1740"/>
      <c r="AF167" s="1740"/>
      <c r="AG167" s="1740"/>
      <c r="AH167" s="1740"/>
      <c r="AI167" s="1740"/>
      <c r="AJ167" s="1740"/>
      <c r="AK167" s="1740"/>
      <c r="AL167" s="1740"/>
      <c r="AM167" s="1740"/>
      <c r="AN167" s="1740"/>
      <c r="AO167" s="1740"/>
      <c r="AP167" s="1740"/>
      <c r="AQ167" s="1740"/>
      <c r="AR167" s="1740"/>
      <c r="AS167" s="1740"/>
      <c r="AT167" s="1740"/>
      <c r="AU167" s="1740"/>
      <c r="AV167" s="1740"/>
      <c r="AW167" s="1740"/>
      <c r="AX167" s="1740"/>
      <c r="AY167" s="1740"/>
      <c r="AZ167" s="1740"/>
      <c r="BA167" s="1740"/>
      <c r="BB167" s="1740"/>
      <c r="BC167" s="1740"/>
      <c r="BD167" s="1740"/>
      <c r="BE167" s="1740"/>
      <c r="BF167" s="1740"/>
      <c r="BG167" s="1740"/>
      <c r="BH167" s="1740"/>
      <c r="BI167" s="1740"/>
      <c r="BJ167" s="1740"/>
      <c r="BK167" s="1740"/>
    </row>
    <row r="168" spans="4:63">
      <c r="D168" s="1740"/>
      <c r="E168" s="1740"/>
      <c r="F168" s="1740"/>
      <c r="G168" s="1740"/>
      <c r="H168" s="1740"/>
      <c r="I168" s="1740"/>
      <c r="J168" s="1740"/>
      <c r="K168" s="1740"/>
      <c r="L168" s="1740"/>
      <c r="M168" s="1740"/>
      <c r="N168" s="1740"/>
      <c r="O168" s="1740"/>
      <c r="P168" s="1740"/>
      <c r="Q168" s="1740"/>
      <c r="R168" s="1740"/>
      <c r="S168" s="1740"/>
      <c r="T168" s="1740"/>
      <c r="U168" s="1740"/>
      <c r="V168" s="1740"/>
      <c r="W168" s="1740"/>
      <c r="X168" s="1740"/>
      <c r="Y168" s="1740"/>
      <c r="Z168" s="1740"/>
      <c r="AA168" s="1740"/>
      <c r="AB168" s="1740"/>
      <c r="AC168" s="1740"/>
      <c r="AD168" s="1740"/>
      <c r="AE168" s="1740"/>
      <c r="AF168" s="1740"/>
      <c r="AG168" s="1740"/>
      <c r="AH168" s="1740"/>
      <c r="AI168" s="1740"/>
      <c r="AJ168" s="1740"/>
      <c r="AK168" s="1740"/>
      <c r="AL168" s="1740"/>
      <c r="AM168" s="1740"/>
      <c r="AN168" s="1740"/>
      <c r="AO168" s="1740"/>
      <c r="AP168" s="1740"/>
      <c r="AQ168" s="1740"/>
      <c r="AR168" s="1740"/>
      <c r="AS168" s="1740"/>
      <c r="AT168" s="1740"/>
      <c r="AU168" s="1740"/>
      <c r="AV168" s="1740"/>
      <c r="AW168" s="1740"/>
      <c r="AX168" s="1740"/>
      <c r="AY168" s="1740"/>
      <c r="AZ168" s="1740"/>
      <c r="BA168" s="1740"/>
      <c r="BB168" s="1740"/>
      <c r="BC168" s="1740"/>
      <c r="BD168" s="1740"/>
      <c r="BE168" s="1740"/>
      <c r="BF168" s="1740"/>
      <c r="BG168" s="1740"/>
      <c r="BH168" s="1740"/>
      <c r="BI168" s="1740"/>
      <c r="BJ168" s="1740"/>
      <c r="BK168" s="1740"/>
    </row>
    <row r="169" spans="4:63">
      <c r="D169" s="1740"/>
      <c r="E169" s="1740"/>
      <c r="F169" s="1740"/>
      <c r="G169" s="1740"/>
      <c r="H169" s="1740"/>
      <c r="I169" s="1740"/>
      <c r="J169" s="1740"/>
      <c r="K169" s="1740"/>
      <c r="L169" s="1740"/>
      <c r="M169" s="1740"/>
      <c r="N169" s="1740"/>
      <c r="O169" s="1740"/>
      <c r="P169" s="1740"/>
      <c r="Q169" s="1740"/>
      <c r="R169" s="1740"/>
      <c r="S169" s="1740"/>
      <c r="T169" s="1740"/>
      <c r="U169" s="1740"/>
      <c r="V169" s="1740"/>
      <c r="W169" s="1740"/>
      <c r="X169" s="1740"/>
      <c r="Y169" s="1740"/>
      <c r="Z169" s="1740"/>
      <c r="AA169" s="1740"/>
      <c r="AB169" s="1740"/>
      <c r="AC169" s="1740"/>
      <c r="AD169" s="1740"/>
      <c r="AE169" s="1740"/>
      <c r="AF169" s="1740"/>
      <c r="AG169" s="1740"/>
      <c r="AH169" s="1740"/>
      <c r="AI169" s="1740"/>
      <c r="AJ169" s="1740"/>
      <c r="AK169" s="1740"/>
      <c r="AL169" s="1740"/>
      <c r="AM169" s="1740"/>
      <c r="AN169" s="1740"/>
      <c r="AO169" s="1740"/>
      <c r="AP169" s="1740"/>
      <c r="AQ169" s="1740"/>
      <c r="AR169" s="1740"/>
      <c r="AS169" s="1740"/>
      <c r="AT169" s="1740"/>
      <c r="AU169" s="1740"/>
      <c r="AV169" s="1740"/>
      <c r="AW169" s="1740"/>
      <c r="AX169" s="1740"/>
      <c r="AY169" s="1740"/>
      <c r="AZ169" s="1740"/>
      <c r="BA169" s="1740"/>
      <c r="BB169" s="1740"/>
      <c r="BC169" s="1740"/>
      <c r="BD169" s="1740"/>
      <c r="BE169" s="1740"/>
      <c r="BF169" s="1740"/>
      <c r="BG169" s="1740"/>
      <c r="BH169" s="1740"/>
      <c r="BI169" s="1740"/>
      <c r="BJ169" s="1740"/>
      <c r="BK169" s="1740"/>
    </row>
    <row r="170" spans="4:63">
      <c r="D170" s="1740"/>
      <c r="E170" s="1740"/>
      <c r="F170" s="1740"/>
      <c r="G170" s="1740"/>
      <c r="H170" s="1740"/>
      <c r="I170" s="1740"/>
      <c r="J170" s="1740"/>
      <c r="K170" s="1740"/>
      <c r="L170" s="1740"/>
      <c r="M170" s="1740"/>
      <c r="N170" s="1740"/>
      <c r="O170" s="1740"/>
      <c r="P170" s="1740"/>
      <c r="Q170" s="1740"/>
      <c r="R170" s="1740"/>
      <c r="S170" s="1740"/>
      <c r="T170" s="1740"/>
      <c r="U170" s="1740"/>
      <c r="V170" s="1740"/>
      <c r="W170" s="1740"/>
      <c r="X170" s="1740"/>
      <c r="Y170" s="1740"/>
      <c r="Z170" s="1740"/>
      <c r="AA170" s="1740"/>
      <c r="AB170" s="1740"/>
      <c r="AC170" s="1740"/>
      <c r="AD170" s="1740"/>
      <c r="AE170" s="1740"/>
      <c r="AF170" s="1740"/>
      <c r="AG170" s="1740"/>
      <c r="AH170" s="1740"/>
      <c r="AI170" s="1740"/>
      <c r="AJ170" s="1740"/>
      <c r="AK170" s="1740"/>
      <c r="AL170" s="1740"/>
      <c r="AM170" s="1740"/>
      <c r="AN170" s="1740"/>
      <c r="AO170" s="1740"/>
      <c r="AP170" s="1740"/>
      <c r="AQ170" s="1740"/>
      <c r="AR170" s="1740"/>
      <c r="AS170" s="1740"/>
      <c r="AT170" s="1740"/>
      <c r="AU170" s="1740"/>
      <c r="AV170" s="1740"/>
      <c r="AW170" s="1740"/>
      <c r="AX170" s="1740"/>
      <c r="AY170" s="1740"/>
      <c r="AZ170" s="1740"/>
      <c r="BA170" s="1740"/>
      <c r="BB170" s="1740"/>
      <c r="BC170" s="1740"/>
      <c r="BD170" s="1740"/>
      <c r="BE170" s="1740"/>
      <c r="BF170" s="1740"/>
      <c r="BG170" s="1740"/>
      <c r="BH170" s="1740"/>
      <c r="BI170" s="1740"/>
      <c r="BJ170" s="1740"/>
      <c r="BK170" s="1740"/>
    </row>
    <row r="171" spans="4:63">
      <c r="D171" s="1740"/>
      <c r="E171" s="1740"/>
      <c r="F171" s="1740"/>
      <c r="G171" s="1740"/>
      <c r="H171" s="1740"/>
      <c r="I171" s="1740"/>
      <c r="J171" s="1740"/>
      <c r="K171" s="1740"/>
      <c r="L171" s="1740"/>
      <c r="M171" s="1740"/>
      <c r="N171" s="1740"/>
      <c r="O171" s="1740"/>
      <c r="P171" s="1740"/>
      <c r="Q171" s="1740"/>
      <c r="R171" s="1740"/>
      <c r="S171" s="1740"/>
      <c r="T171" s="1740"/>
      <c r="U171" s="1740"/>
      <c r="V171" s="1740"/>
      <c r="W171" s="1740"/>
      <c r="X171" s="1740"/>
      <c r="Y171" s="1740"/>
      <c r="Z171" s="1740"/>
      <c r="AA171" s="1740"/>
      <c r="AB171" s="1740"/>
      <c r="AC171" s="1740"/>
      <c r="AD171" s="1740"/>
      <c r="AE171" s="1740"/>
      <c r="AF171" s="1740"/>
      <c r="AG171" s="1740"/>
      <c r="AH171" s="1740"/>
      <c r="AI171" s="1740"/>
      <c r="AJ171" s="1740"/>
      <c r="AK171" s="1740"/>
      <c r="AL171" s="1740"/>
      <c r="AM171" s="1740"/>
      <c r="AN171" s="1740"/>
      <c r="AO171" s="1740"/>
      <c r="AP171" s="1740"/>
      <c r="AQ171" s="1740"/>
      <c r="AR171" s="1740"/>
      <c r="AS171" s="1740"/>
      <c r="AT171" s="1740"/>
      <c r="AU171" s="1740"/>
      <c r="AV171" s="1740"/>
      <c r="AW171" s="1740"/>
      <c r="AX171" s="1740"/>
      <c r="AY171" s="1740"/>
      <c r="AZ171" s="1740"/>
      <c r="BA171" s="1740"/>
      <c r="BB171" s="1740"/>
      <c r="BC171" s="1740"/>
      <c r="BD171" s="1740"/>
      <c r="BE171" s="1740"/>
      <c r="BF171" s="1740"/>
      <c r="BG171" s="1740"/>
      <c r="BH171" s="1740"/>
      <c r="BI171" s="1740"/>
      <c r="BJ171" s="1740"/>
      <c r="BK171" s="1740"/>
    </row>
    <row r="172" spans="4:63">
      <c r="D172" s="1740"/>
      <c r="E172" s="1740"/>
      <c r="F172" s="1740"/>
      <c r="G172" s="1740"/>
      <c r="H172" s="1740"/>
      <c r="I172" s="1740"/>
      <c r="J172" s="1740"/>
      <c r="K172" s="1740"/>
      <c r="L172" s="1740"/>
      <c r="M172" s="1740"/>
      <c r="N172" s="1740"/>
      <c r="O172" s="1740"/>
      <c r="P172" s="1740"/>
      <c r="Q172" s="1740"/>
      <c r="R172" s="1740"/>
      <c r="S172" s="1740"/>
      <c r="T172" s="1740"/>
      <c r="U172" s="1740"/>
      <c r="V172" s="1740"/>
      <c r="W172" s="1740"/>
      <c r="X172" s="1740"/>
      <c r="Y172" s="1740"/>
      <c r="Z172" s="1740"/>
      <c r="AA172" s="1740"/>
      <c r="AB172" s="1740"/>
      <c r="AC172" s="1740"/>
      <c r="AD172" s="1740"/>
      <c r="AE172" s="1740"/>
      <c r="AF172" s="1740"/>
      <c r="AG172" s="1740"/>
      <c r="AH172" s="1740"/>
      <c r="AI172" s="1740"/>
      <c r="AJ172" s="1740"/>
      <c r="AK172" s="1740"/>
      <c r="AL172" s="1740"/>
      <c r="AM172" s="1740"/>
      <c r="AN172" s="1740"/>
      <c r="AO172" s="1740"/>
      <c r="AP172" s="1740"/>
      <c r="AQ172" s="1740"/>
      <c r="AR172" s="1740"/>
      <c r="AS172" s="1740"/>
      <c r="AT172" s="1740"/>
      <c r="AU172" s="1740"/>
      <c r="AV172" s="1740"/>
      <c r="AW172" s="1740"/>
      <c r="AX172" s="1740"/>
      <c r="AY172" s="1740"/>
      <c r="AZ172" s="1740"/>
      <c r="BA172" s="1740"/>
      <c r="BB172" s="1740"/>
      <c r="BC172" s="1740"/>
      <c r="BD172" s="1740"/>
      <c r="BE172" s="1740"/>
      <c r="BF172" s="1740"/>
      <c r="BG172" s="1740"/>
      <c r="BH172" s="1740"/>
      <c r="BI172" s="1740"/>
      <c r="BJ172" s="1740"/>
      <c r="BK172" s="1740"/>
    </row>
    <row r="173" spans="4:63">
      <c r="D173" s="1740"/>
      <c r="E173" s="1740"/>
      <c r="F173" s="1740"/>
      <c r="G173" s="1740"/>
      <c r="H173" s="1740"/>
      <c r="I173" s="1740"/>
      <c r="J173" s="1740"/>
      <c r="K173" s="1740"/>
      <c r="L173" s="1740"/>
      <c r="M173" s="1740"/>
      <c r="N173" s="1740"/>
      <c r="O173" s="1740"/>
      <c r="P173" s="1740"/>
      <c r="Q173" s="1740"/>
      <c r="R173" s="1740"/>
      <c r="S173" s="1740"/>
      <c r="T173" s="1740"/>
      <c r="U173" s="1740"/>
      <c r="V173" s="1740"/>
      <c r="W173" s="1740"/>
      <c r="X173" s="1740"/>
      <c r="Y173" s="1740"/>
      <c r="Z173" s="1740"/>
      <c r="AA173" s="1740"/>
      <c r="AB173" s="1740"/>
      <c r="AC173" s="1740"/>
      <c r="AD173" s="1740"/>
      <c r="AE173" s="1740"/>
      <c r="AF173" s="1740"/>
      <c r="AG173" s="1740"/>
      <c r="AH173" s="1740"/>
      <c r="AI173" s="1740"/>
      <c r="AJ173" s="1740"/>
      <c r="AK173" s="1740"/>
      <c r="AL173" s="1740"/>
      <c r="AM173" s="1740"/>
      <c r="AN173" s="1740"/>
      <c r="AO173" s="1740"/>
      <c r="AP173" s="1740"/>
      <c r="AQ173" s="1740"/>
      <c r="AR173" s="1740"/>
      <c r="AS173" s="1740"/>
      <c r="AT173" s="1740"/>
      <c r="AU173" s="1740"/>
      <c r="AV173" s="1740"/>
      <c r="AW173" s="1740"/>
      <c r="AX173" s="1740"/>
      <c r="AY173" s="1740"/>
      <c r="AZ173" s="1740"/>
      <c r="BA173" s="1740"/>
      <c r="BB173" s="1740"/>
      <c r="BC173" s="1740"/>
      <c r="BD173" s="1740"/>
      <c r="BE173" s="1740"/>
      <c r="BF173" s="1740"/>
      <c r="BG173" s="1740"/>
      <c r="BH173" s="1740"/>
      <c r="BI173" s="1740"/>
      <c r="BJ173" s="1740"/>
      <c r="BK173" s="1740"/>
    </row>
    <row r="174" spans="4:63">
      <c r="D174" s="1740"/>
      <c r="E174" s="1740"/>
      <c r="F174" s="1740"/>
      <c r="G174" s="1740"/>
      <c r="H174" s="1740"/>
      <c r="I174" s="1740"/>
      <c r="J174" s="1740"/>
      <c r="K174" s="1740"/>
      <c r="L174" s="1740"/>
      <c r="M174" s="1740"/>
      <c r="N174" s="1740"/>
      <c r="O174" s="1740"/>
      <c r="P174" s="1740"/>
      <c r="Q174" s="1740"/>
      <c r="R174" s="1740"/>
      <c r="S174" s="1740"/>
      <c r="T174" s="1740"/>
      <c r="U174" s="1740"/>
      <c r="V174" s="1740"/>
      <c r="W174" s="1740"/>
      <c r="X174" s="1740"/>
      <c r="Y174" s="1740"/>
      <c r="Z174" s="1740"/>
      <c r="AA174" s="1740"/>
      <c r="AB174" s="1740"/>
      <c r="AC174" s="1740"/>
      <c r="AD174" s="1740"/>
      <c r="AE174" s="1740"/>
      <c r="AF174" s="1740"/>
      <c r="AG174" s="1740"/>
      <c r="AH174" s="1740"/>
      <c r="AI174" s="1740"/>
      <c r="AJ174" s="1740"/>
      <c r="AK174" s="1740"/>
      <c r="AL174" s="1740"/>
      <c r="AM174" s="1740"/>
      <c r="AN174" s="1740"/>
      <c r="AO174" s="1740"/>
      <c r="AP174" s="1740"/>
      <c r="AQ174" s="1740"/>
      <c r="AR174" s="1740"/>
      <c r="AS174" s="1740"/>
      <c r="AT174" s="1740"/>
      <c r="AU174" s="1740"/>
      <c r="AV174" s="1740"/>
      <c r="AW174" s="1740"/>
      <c r="AX174" s="1740"/>
      <c r="AY174" s="1740"/>
      <c r="AZ174" s="1740"/>
      <c r="BA174" s="1740"/>
      <c r="BB174" s="1740"/>
      <c r="BC174" s="1740"/>
      <c r="BD174" s="1740"/>
      <c r="BE174" s="1740"/>
      <c r="BF174" s="1740"/>
      <c r="BG174" s="1740"/>
      <c r="BH174" s="1740"/>
      <c r="BI174" s="1740"/>
      <c r="BJ174" s="1740"/>
      <c r="BK174" s="1740"/>
    </row>
    <row r="175" spans="4:63">
      <c r="D175" s="1740"/>
      <c r="E175" s="1740"/>
      <c r="F175" s="1740"/>
      <c r="G175" s="1740"/>
      <c r="H175" s="1740"/>
      <c r="I175" s="1740"/>
      <c r="J175" s="1740"/>
      <c r="K175" s="1740"/>
      <c r="L175" s="1740"/>
      <c r="M175" s="1740"/>
      <c r="N175" s="1740"/>
      <c r="O175" s="1740"/>
      <c r="P175" s="1740"/>
      <c r="Q175" s="1740"/>
      <c r="R175" s="1740"/>
      <c r="S175" s="1740"/>
      <c r="T175" s="1740"/>
      <c r="U175" s="1740"/>
      <c r="V175" s="1740"/>
      <c r="W175" s="1740"/>
      <c r="X175" s="1740"/>
      <c r="Y175" s="1740"/>
      <c r="Z175" s="1740"/>
      <c r="AA175" s="1740"/>
      <c r="AB175" s="1740"/>
      <c r="AC175" s="1740"/>
      <c r="AD175" s="1740"/>
      <c r="AE175" s="1740"/>
      <c r="AF175" s="1740"/>
      <c r="AG175" s="1740"/>
      <c r="AH175" s="1740"/>
      <c r="AI175" s="1740"/>
      <c r="AJ175" s="1740"/>
      <c r="AK175" s="1740"/>
      <c r="AL175" s="1740"/>
      <c r="AM175" s="1740"/>
      <c r="AN175" s="1740"/>
      <c r="AO175" s="1740"/>
      <c r="AP175" s="1740"/>
      <c r="AQ175" s="1740"/>
      <c r="AR175" s="1740"/>
      <c r="AS175" s="1740"/>
      <c r="AT175" s="1740"/>
      <c r="AU175" s="1740"/>
      <c r="AV175" s="1740"/>
      <c r="AW175" s="1740"/>
      <c r="AX175" s="1740"/>
      <c r="AY175" s="1740"/>
      <c r="AZ175" s="1740"/>
      <c r="BA175" s="1740"/>
      <c r="BB175" s="1740"/>
      <c r="BC175" s="1740"/>
      <c r="BD175" s="1740"/>
      <c r="BE175" s="1740"/>
      <c r="BF175" s="1740"/>
      <c r="BG175" s="1740"/>
      <c r="BH175" s="1740"/>
      <c r="BI175" s="1740"/>
      <c r="BJ175" s="1740"/>
      <c r="BK175" s="1740"/>
    </row>
    <row r="176" spans="4:63">
      <c r="D176" s="1740"/>
      <c r="E176" s="1740"/>
      <c r="F176" s="1740"/>
      <c r="G176" s="1740"/>
      <c r="H176" s="1740"/>
      <c r="I176" s="1740"/>
      <c r="J176" s="1740"/>
      <c r="K176" s="1740"/>
      <c r="L176" s="1740"/>
      <c r="M176" s="1740"/>
      <c r="N176" s="1740"/>
      <c r="O176" s="1740"/>
      <c r="P176" s="1740"/>
      <c r="Q176" s="1740"/>
      <c r="R176" s="1740"/>
      <c r="S176" s="1740"/>
      <c r="T176" s="1740"/>
      <c r="U176" s="1740"/>
      <c r="V176" s="1740"/>
      <c r="W176" s="1740"/>
      <c r="X176" s="1740"/>
      <c r="Y176" s="1740"/>
      <c r="Z176" s="1740"/>
      <c r="AA176" s="1740"/>
      <c r="AB176" s="1740"/>
      <c r="AC176" s="1740"/>
      <c r="AD176" s="1740"/>
      <c r="AE176" s="1740"/>
      <c r="AF176" s="1740"/>
      <c r="AG176" s="1740"/>
      <c r="AH176" s="1740"/>
      <c r="AI176" s="1740"/>
      <c r="AJ176" s="1740"/>
      <c r="AK176" s="1740"/>
      <c r="AL176" s="1740"/>
      <c r="AM176" s="1740"/>
      <c r="AN176" s="1740"/>
      <c r="AO176" s="1740"/>
      <c r="AP176" s="1740"/>
      <c r="AQ176" s="1740"/>
      <c r="AR176" s="1740"/>
      <c r="AS176" s="1740"/>
      <c r="AT176" s="1740"/>
      <c r="AU176" s="1740"/>
      <c r="AV176" s="1740"/>
      <c r="AW176" s="1740"/>
      <c r="AX176" s="1740"/>
      <c r="AY176" s="1740"/>
      <c r="AZ176" s="1740"/>
      <c r="BA176" s="1740"/>
      <c r="BB176" s="1740"/>
      <c r="BC176" s="1740"/>
      <c r="BD176" s="1740"/>
      <c r="BE176" s="1740"/>
      <c r="BF176" s="1740"/>
      <c r="BG176" s="1740"/>
      <c r="BH176" s="1740"/>
      <c r="BI176" s="1740"/>
      <c r="BJ176" s="1740"/>
      <c r="BK176" s="1740"/>
    </row>
    <row r="177" spans="4:63">
      <c r="D177" s="1740"/>
      <c r="E177" s="1740"/>
      <c r="F177" s="1740"/>
      <c r="G177" s="1740"/>
      <c r="H177" s="1740"/>
      <c r="I177" s="1740"/>
      <c r="J177" s="1740"/>
      <c r="K177" s="1740"/>
      <c r="L177" s="1740"/>
      <c r="M177" s="1740"/>
      <c r="N177" s="1740"/>
      <c r="O177" s="1740"/>
      <c r="P177" s="1740"/>
      <c r="Q177" s="1740"/>
      <c r="R177" s="1740"/>
      <c r="S177" s="1740"/>
      <c r="T177" s="1740"/>
      <c r="U177" s="1740"/>
      <c r="V177" s="1740"/>
      <c r="W177" s="1740"/>
      <c r="X177" s="1740"/>
      <c r="Y177" s="1740"/>
      <c r="Z177" s="1740"/>
      <c r="AA177" s="1740"/>
      <c r="AB177" s="1740"/>
      <c r="AC177" s="1740"/>
      <c r="AD177" s="1740"/>
      <c r="AE177" s="1740"/>
      <c r="AF177" s="1740"/>
      <c r="AG177" s="1740"/>
      <c r="AH177" s="1740"/>
      <c r="AI177" s="1740"/>
      <c r="AJ177" s="1740"/>
      <c r="AK177" s="1740"/>
      <c r="AL177" s="1740"/>
      <c r="AM177" s="1740"/>
      <c r="AN177" s="1740"/>
      <c r="AO177" s="1740"/>
      <c r="AP177" s="1740"/>
      <c r="AQ177" s="1740"/>
      <c r="AR177" s="1740"/>
      <c r="AS177" s="1740"/>
      <c r="AT177" s="1740"/>
      <c r="AU177" s="1740"/>
      <c r="AV177" s="1740"/>
      <c r="AW177" s="1740"/>
      <c r="AX177" s="1740"/>
      <c r="AY177" s="1740"/>
      <c r="AZ177" s="1740"/>
      <c r="BA177" s="1740"/>
      <c r="BB177" s="1740"/>
      <c r="BC177" s="1740"/>
      <c r="BD177" s="1740"/>
      <c r="BE177" s="1740"/>
      <c r="BF177" s="1740"/>
      <c r="BG177" s="1740"/>
      <c r="BH177" s="1740"/>
      <c r="BI177" s="1740"/>
      <c r="BJ177" s="1740"/>
      <c r="BK177" s="1740"/>
    </row>
  </sheetData>
  <mergeCells count="44">
    <mergeCell ref="Q5:AA5"/>
    <mergeCell ref="AB5:AL5"/>
    <mergeCell ref="AM5:AW5"/>
    <mergeCell ref="BI5:BK5"/>
    <mergeCell ref="J6:J7"/>
    <mergeCell ref="K6:K7"/>
    <mergeCell ref="L6:L7"/>
    <mergeCell ref="M6:M7"/>
    <mergeCell ref="AF6:AG6"/>
    <mergeCell ref="AH6:AI6"/>
    <mergeCell ref="AJ6:AK6"/>
    <mergeCell ref="AL6:AL7"/>
    <mergeCell ref="U6:V6"/>
    <mergeCell ref="W6:X6"/>
    <mergeCell ref="Y6:Z6"/>
    <mergeCell ref="AA6:AA7"/>
    <mergeCell ref="B5:B8"/>
    <mergeCell ref="C5:C8"/>
    <mergeCell ref="D5:D8"/>
    <mergeCell ref="G5:K5"/>
    <mergeCell ref="L5:P5"/>
    <mergeCell ref="E6:E7"/>
    <mergeCell ref="F6:F7"/>
    <mergeCell ref="G6:G7"/>
    <mergeCell ref="H6:H7"/>
    <mergeCell ref="I6:I7"/>
    <mergeCell ref="AB6:AC6"/>
    <mergeCell ref="AD6:AE6"/>
    <mergeCell ref="N6:N7"/>
    <mergeCell ref="O6:O7"/>
    <mergeCell ref="P6:P7"/>
    <mergeCell ref="Q6:R6"/>
    <mergeCell ref="S6:T6"/>
    <mergeCell ref="AM6:AN6"/>
    <mergeCell ref="AO6:AP6"/>
    <mergeCell ref="BD6:BD7"/>
    <mergeCell ref="BE6:BE7"/>
    <mergeCell ref="AS6:AT6"/>
    <mergeCell ref="AU6:AV6"/>
    <mergeCell ref="AW6:AW7"/>
    <mergeCell ref="BA6:BA7"/>
    <mergeCell ref="BB6:BB7"/>
    <mergeCell ref="BC6:BC7"/>
    <mergeCell ref="AQ6:AR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BK177"/>
  <sheetViews>
    <sheetView zoomScale="60" zoomScaleNormal="6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K23" sqref="K23"/>
    </sheetView>
  </sheetViews>
  <sheetFormatPr defaultRowHeight="12.75" outlineLevelRow="1" outlineLevelCol="1"/>
  <cols>
    <col min="1" max="1" width="0.85546875" style="1739" customWidth="1"/>
    <col min="2" max="2" width="9.140625" style="1739"/>
    <col min="3" max="3" width="43.5703125" style="1739" customWidth="1"/>
    <col min="4" max="4" width="14.7109375" style="1739" customWidth="1" outlineLevel="1"/>
    <col min="5" max="6" width="13.7109375" style="1739" customWidth="1" outlineLevel="1"/>
    <col min="7" max="7" width="20.140625" style="1739" customWidth="1"/>
    <col min="8" max="8" width="21.140625" style="1739" customWidth="1"/>
    <col min="9" max="9" width="24.28515625" style="1739" customWidth="1"/>
    <col min="10" max="10" width="20.7109375" style="1739" customWidth="1"/>
    <col min="11" max="11" width="17.28515625" style="1739" customWidth="1"/>
    <col min="12" max="12" width="20.140625" style="1739" customWidth="1"/>
    <col min="13" max="13" width="21.140625" style="1739" customWidth="1"/>
    <col min="14" max="14" width="24.28515625" style="1739" customWidth="1"/>
    <col min="15" max="15" width="20.7109375" style="1739" customWidth="1"/>
    <col min="16" max="16" width="17.28515625" style="1739" customWidth="1"/>
    <col min="17" max="18" width="20.140625" style="1739" customWidth="1"/>
    <col min="19" max="20" width="21.140625" style="1739" customWidth="1"/>
    <col min="21" max="22" width="24.28515625" style="1739" customWidth="1"/>
    <col min="23" max="26" width="20.7109375" style="1739" customWidth="1"/>
    <col min="27" max="27" width="17.28515625" style="1739" customWidth="1"/>
    <col min="28" max="29" width="21.5703125" style="1739" customWidth="1"/>
    <col min="30" max="31" width="15.42578125" style="1739" customWidth="1"/>
    <col min="32" max="33" width="25.5703125" style="1739" customWidth="1"/>
    <col min="34" max="37" width="17.5703125" style="1739" customWidth="1"/>
    <col min="38" max="38" width="17.28515625" style="1739" customWidth="1"/>
    <col min="39" max="40" width="16.28515625" style="1739" hidden="1" customWidth="1" outlineLevel="1"/>
    <col min="41" max="42" width="15.42578125" style="1739" hidden="1" customWidth="1" outlineLevel="1"/>
    <col min="43" max="44" width="16.5703125" style="1739" hidden="1" customWidth="1" outlineLevel="1"/>
    <col min="45" max="48" width="17.85546875" style="1739" hidden="1" customWidth="1" outlineLevel="1"/>
    <col min="49" max="49" width="17.5703125" style="1739" hidden="1" customWidth="1" outlineLevel="1"/>
    <col min="50" max="50" width="16.7109375" style="1739" customWidth="1" collapsed="1"/>
    <col min="51" max="51" width="13.140625" style="1739" customWidth="1"/>
    <col min="52" max="52" width="9.140625" style="1739" customWidth="1"/>
    <col min="53" max="57" width="22.7109375" style="1739" customWidth="1"/>
    <col min="58" max="58" width="21.28515625" style="1739" customWidth="1"/>
    <col min="59" max="59" width="10.5703125" style="1739" customWidth="1"/>
    <col min="60" max="60" width="9.140625" style="1739" customWidth="1"/>
    <col min="61" max="61" width="19" style="1739" customWidth="1" outlineLevel="1"/>
    <col min="62" max="62" width="24.85546875" style="1739" customWidth="1" outlineLevel="1"/>
    <col min="63" max="63" width="18" style="1739" customWidth="1" outlineLevel="1"/>
    <col min="64" max="16384" width="9.140625" style="1739"/>
  </cols>
  <sheetData>
    <row r="1" spans="2:63">
      <c r="K1" s="1739">
        <v>183</v>
      </c>
      <c r="P1" s="1739">
        <v>19</v>
      </c>
      <c r="Y1" s="1739">
        <v>6</v>
      </c>
      <c r="Z1" s="1739">
        <v>4</v>
      </c>
      <c r="AA1" s="1739">
        <f>Y1+Z1</f>
        <v>10</v>
      </c>
      <c r="AK1" s="1739">
        <v>1</v>
      </c>
      <c r="AL1" s="1739">
        <f>AJ1+AK1</f>
        <v>1</v>
      </c>
      <c r="BE1" s="1836">
        <f>SUM(K1,P1,AA1,AL1,AW1)</f>
        <v>213</v>
      </c>
      <c r="BI1" s="1740"/>
      <c r="BJ1" s="1740"/>
      <c r="BK1" s="1740"/>
    </row>
    <row r="2" spans="2:63">
      <c r="K2" s="1740">
        <v>1194.6130000000001</v>
      </c>
      <c r="L2" s="1740"/>
      <c r="P2" s="1739">
        <v>93.584000000000003</v>
      </c>
      <c r="Y2" s="1986">
        <f>330.484-P2</f>
        <v>236.89999999999998</v>
      </c>
      <c r="Z2" s="1739">
        <v>255</v>
      </c>
      <c r="AA2" s="1739">
        <f>Y2+Z2</f>
        <v>491.9</v>
      </c>
      <c r="AK2" s="1739">
        <v>160.55000000000001</v>
      </c>
      <c r="AL2" s="1739">
        <f>AJ2+AK2</f>
        <v>160.55000000000001</v>
      </c>
      <c r="BE2" s="1987">
        <f>SUM(K2,P2,AA2,AL2,AW2)</f>
        <v>1940.6470000000002</v>
      </c>
      <c r="BI2" s="1740"/>
      <c r="BJ2" s="1740"/>
      <c r="BK2" s="1740"/>
    </row>
    <row r="3" spans="2:63">
      <c r="G3" s="1740"/>
      <c r="H3" s="1740"/>
      <c r="I3" s="1740"/>
      <c r="J3" s="1740"/>
      <c r="K3" s="1740">
        <f>K21-K2</f>
        <v>2336.08</v>
      </c>
      <c r="P3" s="1740">
        <f>P21-P2</f>
        <v>46.250000000000057</v>
      </c>
      <c r="Y3" s="1863">
        <f>Y2-Y21</f>
        <v>0</v>
      </c>
      <c r="Z3" s="1863">
        <f>Z2-Z21</f>
        <v>0</v>
      </c>
      <c r="AA3" s="1863">
        <f>AA2-AA21</f>
        <v>-419.99999999999989</v>
      </c>
      <c r="AK3" s="1863">
        <f t="shared" ref="AK3:AL3" si="0">AK2-AK21</f>
        <v>0</v>
      </c>
      <c r="AL3" s="1863">
        <f t="shared" si="0"/>
        <v>0</v>
      </c>
      <c r="AU3" s="1863">
        <f t="shared" ref="AU3:AW3" si="1">AU2-AU21</f>
        <v>0</v>
      </c>
      <c r="AV3" s="1863">
        <f t="shared" si="1"/>
        <v>0</v>
      </c>
      <c r="AW3" s="1863">
        <f t="shared" si="1"/>
        <v>0</v>
      </c>
      <c r="BE3" s="1863">
        <f t="shared" ref="BE3" si="2">BE2-BE21</f>
        <v>-2802.33</v>
      </c>
      <c r="BI3" s="1740"/>
      <c r="BJ3" s="1740"/>
      <c r="BK3" s="1740"/>
    </row>
    <row r="4" spans="2:63">
      <c r="G4" s="1740"/>
      <c r="H4" s="1740"/>
      <c r="I4" s="1740"/>
      <c r="J4" s="1740"/>
      <c r="K4" s="1740"/>
      <c r="L4" s="1863"/>
      <c r="AA4" s="1739">
        <v>5295150.7705650823</v>
      </c>
      <c r="BI4" s="1740"/>
      <c r="BJ4" s="1740"/>
      <c r="BK4" s="1740"/>
    </row>
    <row r="5" spans="2:63" ht="61.5" customHeight="1">
      <c r="B5" s="3377" t="s">
        <v>3735</v>
      </c>
      <c r="C5" s="3377" t="s">
        <v>3736</v>
      </c>
      <c r="D5" s="3377" t="s">
        <v>3737</v>
      </c>
      <c r="E5" s="1741"/>
      <c r="F5" s="1741"/>
      <c r="G5" s="3378" t="s">
        <v>3738</v>
      </c>
      <c r="H5" s="3379"/>
      <c r="I5" s="3379"/>
      <c r="J5" s="3379"/>
      <c r="K5" s="3380"/>
      <c r="L5" s="3381" t="s">
        <v>3739</v>
      </c>
      <c r="M5" s="3382"/>
      <c r="N5" s="3382"/>
      <c r="O5" s="3382"/>
      <c r="P5" s="3383"/>
      <c r="Q5" s="3384" t="s">
        <v>3740</v>
      </c>
      <c r="R5" s="3385"/>
      <c r="S5" s="3385"/>
      <c r="T5" s="3385"/>
      <c r="U5" s="3385"/>
      <c r="V5" s="3385"/>
      <c r="W5" s="3385"/>
      <c r="X5" s="3385"/>
      <c r="Y5" s="3385"/>
      <c r="Z5" s="3385"/>
      <c r="AA5" s="3386"/>
      <c r="AB5" s="3387" t="s">
        <v>1465</v>
      </c>
      <c r="AC5" s="3387"/>
      <c r="AD5" s="3387"/>
      <c r="AE5" s="3387"/>
      <c r="AF5" s="3387"/>
      <c r="AG5" s="3387"/>
      <c r="AH5" s="3387"/>
      <c r="AI5" s="3387"/>
      <c r="AJ5" s="3387"/>
      <c r="AK5" s="3387"/>
      <c r="AL5" s="3387"/>
      <c r="AM5" s="3388" t="s">
        <v>3741</v>
      </c>
      <c r="AN5" s="3388"/>
      <c r="AO5" s="3388"/>
      <c r="AP5" s="3388"/>
      <c r="AQ5" s="3388"/>
      <c r="AR5" s="3388"/>
      <c r="AS5" s="3388"/>
      <c r="AT5" s="3388"/>
      <c r="AU5" s="3388"/>
      <c r="AV5" s="3388"/>
      <c r="AW5" s="3388"/>
      <c r="BI5" s="3389" t="s">
        <v>3742</v>
      </c>
      <c r="BJ5" s="3390"/>
      <c r="BK5" s="3390"/>
    </row>
    <row r="6" spans="2:63" ht="165" customHeight="1">
      <c r="B6" s="3377"/>
      <c r="C6" s="3377"/>
      <c r="D6" s="3377"/>
      <c r="E6" s="3373" t="s">
        <v>3743</v>
      </c>
      <c r="F6" s="3373" t="s">
        <v>3744</v>
      </c>
      <c r="G6" s="3373" t="s">
        <v>3745</v>
      </c>
      <c r="H6" s="3373" t="s">
        <v>3746</v>
      </c>
      <c r="I6" s="3373" t="s">
        <v>3747</v>
      </c>
      <c r="J6" s="3373" t="s">
        <v>3748</v>
      </c>
      <c r="K6" s="3373" t="s">
        <v>1501</v>
      </c>
      <c r="L6" s="3373" t="s">
        <v>3745</v>
      </c>
      <c r="M6" s="3373" t="s">
        <v>3746</v>
      </c>
      <c r="N6" s="3373" t="s">
        <v>3747</v>
      </c>
      <c r="O6" s="3373" t="s">
        <v>3748</v>
      </c>
      <c r="P6" s="3373" t="s">
        <v>1501</v>
      </c>
      <c r="Q6" s="3371" t="s">
        <v>3745</v>
      </c>
      <c r="R6" s="3372"/>
      <c r="S6" s="3371" t="s">
        <v>3746</v>
      </c>
      <c r="T6" s="3372"/>
      <c r="U6" s="3371" t="s">
        <v>3747</v>
      </c>
      <c r="V6" s="3372"/>
      <c r="W6" s="3371" t="s">
        <v>3748</v>
      </c>
      <c r="X6" s="3372"/>
      <c r="Y6" s="3371" t="s">
        <v>2559</v>
      </c>
      <c r="Z6" s="3372"/>
      <c r="AA6" s="3375" t="s">
        <v>1501</v>
      </c>
      <c r="AB6" s="3371" t="s">
        <v>3745</v>
      </c>
      <c r="AC6" s="3372"/>
      <c r="AD6" s="3371" t="s">
        <v>3746</v>
      </c>
      <c r="AE6" s="3372"/>
      <c r="AF6" s="3371" t="s">
        <v>3747</v>
      </c>
      <c r="AG6" s="3372"/>
      <c r="AH6" s="3371" t="s">
        <v>3748</v>
      </c>
      <c r="AI6" s="3372"/>
      <c r="AJ6" s="3371" t="s">
        <v>2559</v>
      </c>
      <c r="AK6" s="3372"/>
      <c r="AL6" s="3375" t="s">
        <v>1501</v>
      </c>
      <c r="AM6" s="3371" t="s">
        <v>3745</v>
      </c>
      <c r="AN6" s="3372"/>
      <c r="AO6" s="3371" t="s">
        <v>3746</v>
      </c>
      <c r="AP6" s="3372"/>
      <c r="AQ6" s="3371" t="s">
        <v>3747</v>
      </c>
      <c r="AR6" s="3372"/>
      <c r="AS6" s="3371" t="s">
        <v>3748</v>
      </c>
      <c r="AT6" s="3372"/>
      <c r="AU6" s="3371" t="s">
        <v>2559</v>
      </c>
      <c r="AV6" s="3372"/>
      <c r="AW6" s="3375" t="s">
        <v>1501</v>
      </c>
      <c r="BA6" s="3373" t="s">
        <v>3745</v>
      </c>
      <c r="BB6" s="3373" t="s">
        <v>3746</v>
      </c>
      <c r="BC6" s="3373" t="s">
        <v>3747</v>
      </c>
      <c r="BD6" s="3373" t="s">
        <v>3748</v>
      </c>
      <c r="BE6" s="3373" t="s">
        <v>1501</v>
      </c>
      <c r="BI6" s="1742" t="s">
        <v>3749</v>
      </c>
      <c r="BJ6" s="1742" t="s">
        <v>3750</v>
      </c>
      <c r="BK6" s="1741" t="s">
        <v>1501</v>
      </c>
    </row>
    <row r="7" spans="2:63" ht="15.75">
      <c r="B7" s="3377"/>
      <c r="C7" s="3377"/>
      <c r="D7" s="3377"/>
      <c r="E7" s="3374"/>
      <c r="F7" s="3374"/>
      <c r="G7" s="3374"/>
      <c r="H7" s="3374"/>
      <c r="I7" s="3374"/>
      <c r="J7" s="3374"/>
      <c r="K7" s="3374"/>
      <c r="L7" s="3374"/>
      <c r="M7" s="3374"/>
      <c r="N7" s="3374"/>
      <c r="O7" s="3374"/>
      <c r="P7" s="3374"/>
      <c r="Q7" s="1743" t="s">
        <v>2938</v>
      </c>
      <c r="R7" s="1744" t="s">
        <v>3682</v>
      </c>
      <c r="S7" s="1743" t="s">
        <v>2938</v>
      </c>
      <c r="T7" s="1744" t="s">
        <v>3682</v>
      </c>
      <c r="U7" s="1743" t="s">
        <v>2938</v>
      </c>
      <c r="V7" s="1744" t="s">
        <v>3682</v>
      </c>
      <c r="W7" s="1743" t="s">
        <v>2938</v>
      </c>
      <c r="X7" s="1744" t="s">
        <v>3682</v>
      </c>
      <c r="Y7" s="1743" t="s">
        <v>2938</v>
      </c>
      <c r="Z7" s="1744" t="s">
        <v>3682</v>
      </c>
      <c r="AA7" s="3376"/>
      <c r="AB7" s="1743" t="s">
        <v>2938</v>
      </c>
      <c r="AC7" s="1744" t="s">
        <v>3682</v>
      </c>
      <c r="AD7" s="1743" t="s">
        <v>2938</v>
      </c>
      <c r="AE7" s="1744" t="s">
        <v>3682</v>
      </c>
      <c r="AF7" s="1743" t="s">
        <v>2938</v>
      </c>
      <c r="AG7" s="1744" t="s">
        <v>3682</v>
      </c>
      <c r="AH7" s="1743" t="s">
        <v>2938</v>
      </c>
      <c r="AI7" s="1744" t="s">
        <v>3682</v>
      </c>
      <c r="AJ7" s="1743" t="s">
        <v>2938</v>
      </c>
      <c r="AK7" s="1744" t="s">
        <v>3682</v>
      </c>
      <c r="AL7" s="3376"/>
      <c r="AM7" s="1744" t="s">
        <v>3682</v>
      </c>
      <c r="AN7" s="1744" t="s">
        <v>3751</v>
      </c>
      <c r="AO7" s="1744" t="s">
        <v>3682</v>
      </c>
      <c r="AP7" s="1744" t="s">
        <v>3751</v>
      </c>
      <c r="AQ7" s="1744" t="s">
        <v>3682</v>
      </c>
      <c r="AR7" s="1744" t="s">
        <v>3751</v>
      </c>
      <c r="AS7" s="1744" t="s">
        <v>3682</v>
      </c>
      <c r="AT7" s="1744" t="s">
        <v>3751</v>
      </c>
      <c r="AU7" s="1744" t="s">
        <v>3682</v>
      </c>
      <c r="AV7" s="1744" t="s">
        <v>3751</v>
      </c>
      <c r="AW7" s="3376"/>
      <c r="BA7" s="3374"/>
      <c r="BB7" s="3374"/>
      <c r="BC7" s="3374"/>
      <c r="BD7" s="3374"/>
      <c r="BE7" s="3374"/>
      <c r="BI7" s="1743"/>
      <c r="BJ7" s="1743"/>
      <c r="BK7" s="1743"/>
    </row>
    <row r="8" spans="2:63" ht="22.5" customHeight="1">
      <c r="B8" s="3377"/>
      <c r="C8" s="3377"/>
      <c r="D8" s="3377"/>
      <c r="E8" s="1741" t="s">
        <v>3581</v>
      </c>
      <c r="F8" s="1741" t="s">
        <v>2552</v>
      </c>
      <c r="G8" s="1741" t="s">
        <v>2555</v>
      </c>
      <c r="H8" s="1741" t="s">
        <v>2555</v>
      </c>
      <c r="I8" s="1741" t="s">
        <v>2555</v>
      </c>
      <c r="J8" s="1741" t="s">
        <v>2555</v>
      </c>
      <c r="K8" s="1741" t="s">
        <v>2555</v>
      </c>
      <c r="L8" s="1741" t="s">
        <v>2555</v>
      </c>
      <c r="M8" s="1741" t="s">
        <v>2555</v>
      </c>
      <c r="N8" s="1741" t="s">
        <v>2555</v>
      </c>
      <c r="O8" s="1741" t="s">
        <v>2555</v>
      </c>
      <c r="P8" s="1741" t="s">
        <v>2555</v>
      </c>
      <c r="Q8" s="1741" t="s">
        <v>2555</v>
      </c>
      <c r="R8" s="1741" t="s">
        <v>2555</v>
      </c>
      <c r="S8" s="1741" t="s">
        <v>2555</v>
      </c>
      <c r="T8" s="1741" t="s">
        <v>2555</v>
      </c>
      <c r="U8" s="1741" t="s">
        <v>2555</v>
      </c>
      <c r="V8" s="1741" t="s">
        <v>2555</v>
      </c>
      <c r="W8" s="1741" t="s">
        <v>2555</v>
      </c>
      <c r="X8" s="1741" t="s">
        <v>2555</v>
      </c>
      <c r="Y8" s="1741" t="s">
        <v>2555</v>
      </c>
      <c r="Z8" s="1741" t="s">
        <v>2555</v>
      </c>
      <c r="AA8" s="1741" t="s">
        <v>2555</v>
      </c>
      <c r="AB8" s="1741" t="s">
        <v>2555</v>
      </c>
      <c r="AC8" s="1741" t="s">
        <v>2555</v>
      </c>
      <c r="AD8" s="1741" t="s">
        <v>2555</v>
      </c>
      <c r="AE8" s="1741" t="s">
        <v>2555</v>
      </c>
      <c r="AF8" s="1741" t="s">
        <v>2555</v>
      </c>
      <c r="AG8" s="1741" t="s">
        <v>2555</v>
      </c>
      <c r="AH8" s="1741" t="s">
        <v>2555</v>
      </c>
      <c r="AI8" s="1741" t="s">
        <v>2555</v>
      </c>
      <c r="AJ8" s="1741" t="s">
        <v>2555</v>
      </c>
      <c r="AK8" s="1741" t="s">
        <v>2555</v>
      </c>
      <c r="AL8" s="1741" t="s">
        <v>2555</v>
      </c>
      <c r="AM8" s="1741" t="s">
        <v>2555</v>
      </c>
      <c r="AN8" s="1741" t="s">
        <v>2555</v>
      </c>
      <c r="AO8" s="1741" t="s">
        <v>2555</v>
      </c>
      <c r="AP8" s="1741" t="s">
        <v>2555</v>
      </c>
      <c r="AQ8" s="1741" t="s">
        <v>2555</v>
      </c>
      <c r="AR8" s="1741" t="s">
        <v>2555</v>
      </c>
      <c r="AS8" s="1741" t="s">
        <v>2555</v>
      </c>
      <c r="AT8" s="1741" t="s">
        <v>2555</v>
      </c>
      <c r="AU8" s="1741" t="s">
        <v>2555</v>
      </c>
      <c r="AV8" s="1741" t="s">
        <v>2555</v>
      </c>
      <c r="AW8" s="1741" t="s">
        <v>2555</v>
      </c>
      <c r="BA8" s="1741" t="s">
        <v>2555</v>
      </c>
      <c r="BB8" s="1741" t="s">
        <v>2555</v>
      </c>
      <c r="BC8" s="1741" t="s">
        <v>2555</v>
      </c>
      <c r="BD8" s="1741" t="s">
        <v>2555</v>
      </c>
      <c r="BE8" s="1741" t="s">
        <v>2555</v>
      </c>
    </row>
    <row r="9" spans="2:63" ht="15.75">
      <c r="B9" s="1743">
        <v>1</v>
      </c>
      <c r="C9" s="1743">
        <f>B9+1</f>
        <v>2</v>
      </c>
      <c r="D9" s="1743">
        <f t="shared" ref="D9:AM9" si="3">C9+1</f>
        <v>3</v>
      </c>
      <c r="E9" s="1743">
        <f t="shared" si="3"/>
        <v>4</v>
      </c>
      <c r="F9" s="1743">
        <f t="shared" si="3"/>
        <v>5</v>
      </c>
      <c r="G9" s="1743">
        <f t="shared" si="3"/>
        <v>6</v>
      </c>
      <c r="H9" s="1743">
        <f t="shared" si="3"/>
        <v>7</v>
      </c>
      <c r="I9" s="1743">
        <f t="shared" si="3"/>
        <v>8</v>
      </c>
      <c r="J9" s="1743">
        <f t="shared" si="3"/>
        <v>9</v>
      </c>
      <c r="K9" s="1743">
        <f t="shared" si="3"/>
        <v>10</v>
      </c>
      <c r="L9" s="1743">
        <f t="shared" si="3"/>
        <v>11</v>
      </c>
      <c r="M9" s="1743">
        <f t="shared" si="3"/>
        <v>12</v>
      </c>
      <c r="N9" s="1743">
        <f t="shared" si="3"/>
        <v>13</v>
      </c>
      <c r="O9" s="1743">
        <f t="shared" si="3"/>
        <v>14</v>
      </c>
      <c r="P9" s="1743">
        <f t="shared" si="3"/>
        <v>15</v>
      </c>
      <c r="Q9" s="1743">
        <f t="shared" si="3"/>
        <v>16</v>
      </c>
      <c r="R9" s="1743"/>
      <c r="S9" s="1743">
        <f>Q9+1</f>
        <v>17</v>
      </c>
      <c r="T9" s="1743"/>
      <c r="U9" s="1743">
        <f>S9+1</f>
        <v>18</v>
      </c>
      <c r="V9" s="1743"/>
      <c r="W9" s="1743">
        <f>U9+1</f>
        <v>19</v>
      </c>
      <c r="X9" s="1743"/>
      <c r="Y9" s="1743"/>
      <c r="Z9" s="1743"/>
      <c r="AA9" s="1743">
        <f>W9+1</f>
        <v>20</v>
      </c>
      <c r="AB9" s="1743">
        <f t="shared" si="3"/>
        <v>21</v>
      </c>
      <c r="AC9" s="1743"/>
      <c r="AD9" s="1743">
        <f>AB9+1</f>
        <v>22</v>
      </c>
      <c r="AE9" s="1743"/>
      <c r="AF9" s="1743">
        <f>AD9+1</f>
        <v>23</v>
      </c>
      <c r="AG9" s="1743"/>
      <c r="AH9" s="1743">
        <f>AF9+1</f>
        <v>24</v>
      </c>
      <c r="AI9" s="1743"/>
      <c r="AJ9" s="1743"/>
      <c r="AK9" s="1743"/>
      <c r="AL9" s="1743">
        <f>AH9+1</f>
        <v>25</v>
      </c>
      <c r="AM9" s="1743">
        <f t="shared" si="3"/>
        <v>26</v>
      </c>
      <c r="AN9" s="1743"/>
      <c r="AO9" s="1743">
        <f>AM9+1</f>
        <v>27</v>
      </c>
      <c r="AP9" s="1743"/>
      <c r="AQ9" s="1743">
        <f>AO9+1</f>
        <v>28</v>
      </c>
      <c r="AR9" s="1743"/>
      <c r="AS9" s="1743">
        <f>AQ9+1</f>
        <v>29</v>
      </c>
      <c r="AT9" s="1743"/>
      <c r="AU9" s="1743"/>
      <c r="AV9" s="1743"/>
      <c r="AW9" s="1743">
        <f>AS9+1</f>
        <v>30</v>
      </c>
    </row>
    <row r="10" spans="2:63" ht="15.75">
      <c r="B10" s="1745"/>
      <c r="C10" s="1746" t="s">
        <v>2936</v>
      </c>
      <c r="D10" s="1747"/>
      <c r="E10" s="1748"/>
      <c r="F10" s="1749"/>
      <c r="G10" s="1750"/>
      <c r="H10" s="1751"/>
      <c r="I10" s="1751"/>
      <c r="J10" s="1751"/>
      <c r="K10" s="1752"/>
      <c r="L10" s="1750"/>
      <c r="M10" s="1751"/>
      <c r="N10" s="1751"/>
      <c r="O10" s="1751"/>
      <c r="P10" s="1752"/>
      <c r="Q10" s="1750"/>
      <c r="R10" s="1753"/>
      <c r="S10" s="1751"/>
      <c r="T10" s="1751"/>
      <c r="U10" s="1751"/>
      <c r="V10" s="1751"/>
      <c r="W10" s="1751"/>
      <c r="X10" s="1754"/>
      <c r="Y10" s="1754"/>
      <c r="Z10" s="1754"/>
      <c r="AA10" s="1752"/>
      <c r="AB10" s="1750"/>
      <c r="AC10" s="1753"/>
      <c r="AD10" s="1751"/>
      <c r="AE10" s="1751"/>
      <c r="AF10" s="1751"/>
      <c r="AG10" s="1751"/>
      <c r="AH10" s="1751"/>
      <c r="AI10" s="1754"/>
      <c r="AJ10" s="1754"/>
      <c r="AK10" s="1754"/>
      <c r="AL10" s="1752"/>
      <c r="AM10" s="1750"/>
      <c r="AN10" s="1753"/>
      <c r="AO10" s="1751"/>
      <c r="AP10" s="1751"/>
      <c r="AQ10" s="1751"/>
      <c r="AR10" s="1751"/>
      <c r="AS10" s="1751"/>
      <c r="AT10" s="1754"/>
      <c r="AU10" s="1754"/>
      <c r="AV10" s="1754"/>
      <c r="AW10" s="1752"/>
      <c r="AX10" s="1740"/>
      <c r="AY10" s="1740"/>
      <c r="AZ10" s="1740"/>
      <c r="BA10" s="1740"/>
      <c r="BB10" s="1740"/>
      <c r="BC10" s="1740"/>
      <c r="BD10" s="1740"/>
      <c r="BE10" s="1740"/>
      <c r="BF10" s="1740"/>
      <c r="BG10" s="1740"/>
      <c r="BH10" s="1740"/>
      <c r="BI10" s="1740"/>
      <c r="BJ10" s="1740"/>
      <c r="BK10" s="1740"/>
    </row>
    <row r="11" spans="2:63" ht="15.75">
      <c r="B11" s="1872">
        <v>1</v>
      </c>
      <c r="C11" s="1988" t="s">
        <v>3752</v>
      </c>
      <c r="D11" s="1989"/>
      <c r="E11" s="1990"/>
      <c r="F11" s="1989"/>
      <c r="G11" s="1991">
        <f>'[37]калькул 1'!$M$69</f>
        <v>399.30715958094737</v>
      </c>
      <c r="H11" s="1760">
        <f>'[34]калькул 2'!$M$50</f>
        <v>823.98438071009866</v>
      </c>
      <c r="I11" s="1761"/>
      <c r="J11" s="1760">
        <f>[34]калькул4!$M$40</f>
        <v>2099.716876819024</v>
      </c>
      <c r="K11" s="1885">
        <f>SUM(G11:J11)</f>
        <v>3323.0084171100698</v>
      </c>
      <c r="L11" s="1992">
        <f>G11</f>
        <v>399.30715958094737</v>
      </c>
      <c r="M11" s="1764">
        <f>H11</f>
        <v>823.98438071009866</v>
      </c>
      <c r="N11" s="1764">
        <f>I11</f>
        <v>0</v>
      </c>
      <c r="O11" s="1764">
        <f>J11</f>
        <v>2099.716876819024</v>
      </c>
      <c r="P11" s="1885">
        <f>SUM(L11:O11)</f>
        <v>3323.0084171100698</v>
      </c>
      <c r="Q11" s="1991">
        <f>'[37]калькул 1'!$N$69</f>
        <v>2592.1612060418574</v>
      </c>
      <c r="R11" s="1993">
        <f>'[37]калькул 1'!$P$69</f>
        <v>3534.3731804184745</v>
      </c>
      <c r="S11" s="1760">
        <f>'[37]калькул 2'!$N$50</f>
        <v>2446.6093924799566</v>
      </c>
      <c r="T11" s="1760">
        <f>'[37]калькул 2'!$P$50</f>
        <v>2652.9558317885194</v>
      </c>
      <c r="U11" s="1761"/>
      <c r="V11" s="1761"/>
      <c r="W11" s="1760">
        <f>[37]калькул4!$N$39</f>
        <v>4902.6983093522085</v>
      </c>
      <c r="X11" s="1760">
        <f>[37]калькул4!$P$39</f>
        <v>6120.4603540551216</v>
      </c>
      <c r="Y11" s="1882">
        <f>SUM(Q11,S11,U11,W11)</f>
        <v>9941.468907874023</v>
      </c>
      <c r="Z11" s="1882">
        <f>SUM(R11,T11,V11,X11)</f>
        <v>12307.789366262115</v>
      </c>
      <c r="AA11" s="1885">
        <f>SUM(Q11:X11)</f>
        <v>22249.25827413614</v>
      </c>
      <c r="AB11" s="1991">
        <f>'[37]калькул 1'!$O$69</f>
        <v>2817.8080190722139</v>
      </c>
      <c r="AC11" s="1993">
        <f>'[37]калькул 1'!$Q$69</f>
        <v>2923.4791166760197</v>
      </c>
      <c r="AD11" s="1760">
        <f>'[37]калькул 2'!$O$50</f>
        <v>2549.7826121342378</v>
      </c>
      <c r="AE11" s="1760">
        <f>'[37]калькул 2'!$Q$50</f>
        <v>2502.2298424740316</v>
      </c>
      <c r="AF11" s="1761"/>
      <c r="AG11" s="1760">
        <f>'[34]калькул 3'!$J$18</f>
        <v>0</v>
      </c>
      <c r="AH11" s="1760">
        <f>[37]калькул4!$O$39</f>
        <v>4881.7223404841516</v>
      </c>
      <c r="AI11" s="1994">
        <f>[37]калькул4!$Q$42</f>
        <v>107.88841990697097</v>
      </c>
      <c r="AJ11" s="1882">
        <f>SUM(AB11,AD11,AF11,AH11)</f>
        <v>10249.312971690604</v>
      </c>
      <c r="AK11" s="1882">
        <f>SUM(AC11,AE11,AG11,AI11)</f>
        <v>5533.5973790570224</v>
      </c>
      <c r="AL11" s="1885">
        <f>SUM(AB11:AI11)</f>
        <v>15782.910350747625</v>
      </c>
      <c r="AM11" s="1991">
        <f>'[37]калькул 1'!$R$69</f>
        <v>19667.794501921588</v>
      </c>
      <c r="AN11" s="1993">
        <f>'[37]калькул 1'!$S$69</f>
        <v>19667.794501921588</v>
      </c>
      <c r="AO11" s="1760">
        <f>'[37]калькул 2'!$R$50</f>
        <v>11273.148150368146</v>
      </c>
      <c r="AP11" s="1760">
        <f>'[37]калькул 2'!$S$50</f>
        <v>11273.148150368146</v>
      </c>
      <c r="AQ11" s="1760">
        <f>'[37]калькул 3'!$L$18</f>
        <v>3909.7220079517115</v>
      </c>
      <c r="AR11" s="1760">
        <f>'[37]калькул 3'!$M$18</f>
        <v>3909.7220079517115</v>
      </c>
      <c r="AS11" s="1760">
        <f>[37]калькул4!$R$39</f>
        <v>11271.976785242749</v>
      </c>
      <c r="AT11" s="1994">
        <f>[37]калькул4!$S$39</f>
        <v>11271.976785242749</v>
      </c>
      <c r="AU11" s="1882">
        <f>SUM(AM11,AO11,AQ11,AS11)</f>
        <v>46122.641445484194</v>
      </c>
      <c r="AV11" s="1882">
        <f>SUM(AN11,AP11,AR11,AT11)</f>
        <v>46122.641445484194</v>
      </c>
      <c r="AW11" s="1885">
        <f>SUM(AM11:AT11)</f>
        <v>92245.282890968389</v>
      </c>
      <c r="AX11" s="1740"/>
      <c r="AY11" s="1740"/>
      <c r="AZ11" s="1740"/>
      <c r="BA11" s="1740"/>
      <c r="BB11" s="1740"/>
      <c r="BC11" s="1740"/>
      <c r="BD11" s="1740"/>
      <c r="BE11" s="1740"/>
      <c r="BF11" s="1740"/>
      <c r="BG11" s="1740"/>
      <c r="BH11" s="1740"/>
      <c r="BI11" s="1768"/>
      <c r="BJ11" s="1768"/>
      <c r="BK11" s="1769">
        <f t="shared" ref="BK11:BK24" si="4">SUM(BI11:BJ11)</f>
        <v>0</v>
      </c>
    </row>
    <row r="12" spans="2:63" ht="15.75">
      <c r="B12" s="1872">
        <f>B11+1</f>
        <v>2</v>
      </c>
      <c r="C12" s="1995" t="s">
        <v>3753</v>
      </c>
      <c r="D12" s="1996"/>
      <c r="E12" s="1997"/>
      <c r="F12" s="1996"/>
      <c r="G12" s="1998">
        <f>SUM(G13:G15)</f>
        <v>137.09889174843323</v>
      </c>
      <c r="H12" s="1776">
        <f>SUM(H13:H15)</f>
        <v>142.94695617728942</v>
      </c>
      <c r="I12" s="1776">
        <f t="shared" ref="I12" si="5">SUM(I13:I15)</f>
        <v>0</v>
      </c>
      <c r="J12" s="1776">
        <f>SUM(J13:J15)</f>
        <v>552.72823055218578</v>
      </c>
      <c r="K12" s="1885">
        <f t="shared" ref="K12:K15" si="6">SUM(G12:J12)</f>
        <v>832.77407847790846</v>
      </c>
      <c r="L12" s="1998">
        <f>SUM(L13:L15)</f>
        <v>137.09889174843323</v>
      </c>
      <c r="M12" s="1776">
        <f>SUM(M13:M15)</f>
        <v>142.94695617728942</v>
      </c>
      <c r="N12" s="1776">
        <f t="shared" ref="N12:O12" si="7">SUM(N13:N15)</f>
        <v>0</v>
      </c>
      <c r="O12" s="1776">
        <f t="shared" si="7"/>
        <v>552.72823055218578</v>
      </c>
      <c r="P12" s="1885">
        <f>SUM(L12:O12)</f>
        <v>832.77407847790846</v>
      </c>
      <c r="Q12" s="1998">
        <f>SUM(Q13:Q15)</f>
        <v>137.09889174843323</v>
      </c>
      <c r="R12" s="1776">
        <f>SUM(R13:R15)</f>
        <v>137.09889174843323</v>
      </c>
      <c r="S12" s="1998">
        <f>SUM(S13:S15)</f>
        <v>205.64833762264985</v>
      </c>
      <c r="T12" s="1776">
        <f>SUM(T13:T15)</f>
        <v>205.64833762264985</v>
      </c>
      <c r="U12" s="1776">
        <f t="shared" ref="U12:X12" si="8">SUM(U13:U15)</f>
        <v>0</v>
      </c>
      <c r="V12" s="1776">
        <f t="shared" si="8"/>
        <v>0</v>
      </c>
      <c r="W12" s="1776">
        <f t="shared" si="8"/>
        <v>616.94501286794957</v>
      </c>
      <c r="X12" s="1776">
        <f t="shared" si="8"/>
        <v>805.79873625141624</v>
      </c>
      <c r="Y12" s="1882">
        <f t="shared" ref="Y12:Z16" si="9">SUM(Q12,S12,U12,W12)</f>
        <v>959.69224223903268</v>
      </c>
      <c r="Z12" s="1882">
        <f t="shared" si="9"/>
        <v>1148.5459656224994</v>
      </c>
      <c r="AA12" s="1885">
        <f>SUM(Q12:X12)</f>
        <v>2108.2382078615319</v>
      </c>
      <c r="AB12" s="1876">
        <f>SUM(AB13:AB15)</f>
        <v>137.09889174843323</v>
      </c>
      <c r="AC12" s="1888">
        <f t="shared" ref="AC12:AI12" si="10">SUM(AC13:AC15)</f>
        <v>137.09889174843323</v>
      </c>
      <c r="AD12" s="1779">
        <f t="shared" si="10"/>
        <v>205.64833762264985</v>
      </c>
      <c r="AE12" s="1779">
        <f t="shared" si="10"/>
        <v>205.64833762264985</v>
      </c>
      <c r="AF12" s="1776">
        <f t="shared" si="10"/>
        <v>0</v>
      </c>
      <c r="AG12" s="1776">
        <f t="shared" si="10"/>
        <v>0</v>
      </c>
      <c r="AH12" s="1779">
        <f t="shared" si="10"/>
        <v>616.94501286794957</v>
      </c>
      <c r="AI12" s="1882">
        <f t="shared" si="10"/>
        <v>856.8680734277076</v>
      </c>
      <c r="AJ12" s="1882">
        <f>SUM(AB12,AD12,AF12,AH12)</f>
        <v>959.69224223903268</v>
      </c>
      <c r="AK12" s="1882">
        <f t="shared" ref="AK12:AK15" si="11">SUM(AC12,AE12,AG12,AI12)</f>
        <v>1199.6153027987907</v>
      </c>
      <c r="AL12" s="1885">
        <f>SUM(AB12:AI12)</f>
        <v>2159.3075450378233</v>
      </c>
      <c r="AM12" s="1876">
        <f t="shared" ref="AM12:AT12" si="12">SUM(AM13:AM15)</f>
        <v>137.09889174843323</v>
      </c>
      <c r="AN12" s="1888">
        <f t="shared" si="12"/>
        <v>137.09889174843323</v>
      </c>
      <c r="AO12" s="1779">
        <f t="shared" si="12"/>
        <v>308.47250643397479</v>
      </c>
      <c r="AP12" s="1779">
        <f t="shared" si="12"/>
        <v>308.47250643397479</v>
      </c>
      <c r="AQ12" s="1776">
        <f t="shared" si="12"/>
        <v>411.2966752452997</v>
      </c>
      <c r="AR12" s="1776">
        <f t="shared" si="12"/>
        <v>411.2966752452997</v>
      </c>
      <c r="AS12" s="1779">
        <f t="shared" si="12"/>
        <v>1576.6372551069821</v>
      </c>
      <c r="AT12" s="1882">
        <f t="shared" si="12"/>
        <v>1534.3593020591502</v>
      </c>
      <c r="AU12" s="1882">
        <f>SUM(AM12,AO12,AQ12,AS12)</f>
        <v>2433.5053285346899</v>
      </c>
      <c r="AV12" s="1882">
        <f t="shared" ref="AV12:AV15" si="13">SUM(AN12,AP12,AR12,AT12)</f>
        <v>2391.2273754868579</v>
      </c>
      <c r="AW12" s="1885">
        <f>SUM(AM12:AT12)</f>
        <v>4824.7327040215478</v>
      </c>
      <c r="AX12" s="1740"/>
      <c r="AY12" s="1740"/>
      <c r="AZ12" s="1740"/>
      <c r="BA12" s="1740"/>
      <c r="BB12" s="1740"/>
      <c r="BC12" s="1740"/>
      <c r="BD12" s="1740"/>
      <c r="BE12" s="1740"/>
      <c r="BF12" s="1740"/>
      <c r="BG12" s="1740"/>
      <c r="BH12" s="1740"/>
      <c r="BI12" s="1768"/>
      <c r="BJ12" s="1768"/>
      <c r="BK12" s="1769">
        <f t="shared" si="4"/>
        <v>0</v>
      </c>
    </row>
    <row r="13" spans="2:63" ht="15.75">
      <c r="B13" s="1872"/>
      <c r="C13" s="1999" t="s">
        <v>1479</v>
      </c>
      <c r="D13" s="1996"/>
      <c r="E13" s="1997"/>
      <c r="F13" s="1996"/>
      <c r="G13" s="2000">
        <f>[37]прямые!$E$11</f>
        <v>84.555906095663744</v>
      </c>
      <c r="H13" s="1784">
        <f>[34]прямые!E15</f>
        <v>88.51097093023256</v>
      </c>
      <c r="I13" s="1785"/>
      <c r="J13" s="1784">
        <f>[34]прямые!E23</f>
        <v>342.24242093023253</v>
      </c>
      <c r="K13" s="1885">
        <f>SUM(G13:J13)</f>
        <v>515.30929795612883</v>
      </c>
      <c r="L13" s="1992">
        <f t="shared" ref="L13:O16" si="14">G13</f>
        <v>84.555906095663744</v>
      </c>
      <c r="M13" s="1764">
        <f t="shared" si="14"/>
        <v>88.51097093023256</v>
      </c>
      <c r="N13" s="1764">
        <f t="shared" si="14"/>
        <v>0</v>
      </c>
      <c r="O13" s="1764">
        <f t="shared" si="14"/>
        <v>342.24242093023253</v>
      </c>
      <c r="P13" s="1885">
        <f t="shared" ref="P13:P16" si="15">SUM(L13:O13)</f>
        <v>515.30929795612883</v>
      </c>
      <c r="Q13" s="1991">
        <f>[37]прямые!$F$11</f>
        <v>84.555906095663744</v>
      </c>
      <c r="R13" s="1993">
        <f>[37]прямые!$H$11</f>
        <v>84.555906095663744</v>
      </c>
      <c r="S13" s="1760">
        <f>[37]прямые!$F$15</f>
        <v>126.83385914349562</v>
      </c>
      <c r="T13" s="1760">
        <f>[37]прямые!$H$15</f>
        <v>126.83385914349562</v>
      </c>
      <c r="U13" s="1784"/>
      <c r="V13" s="1784"/>
      <c r="W13" s="1760">
        <f>[37]прямые!$F$23</f>
        <v>380.50157743048686</v>
      </c>
      <c r="X13" s="1994">
        <f>[37]прямые!$H$23</f>
        <v>496.9773380772636</v>
      </c>
      <c r="Y13" s="1882">
        <f t="shared" si="9"/>
        <v>591.89134266964629</v>
      </c>
      <c r="Z13" s="1882">
        <f t="shared" si="9"/>
        <v>708.36710331642303</v>
      </c>
      <c r="AA13" s="1885">
        <f t="shared" ref="AA13:AA15" si="16">SUM(Q13:X13)</f>
        <v>1300.2584459860691</v>
      </c>
      <c r="AB13" s="1991">
        <f>[37]прямые!$G$11</f>
        <v>84.555906095663744</v>
      </c>
      <c r="AC13" s="1993">
        <f>[37]прямые!$I$11</f>
        <v>84.555906095663744</v>
      </c>
      <c r="AD13" s="1760">
        <f>[37]прямые!$G$15</f>
        <v>126.83385914349562</v>
      </c>
      <c r="AE13" s="1760">
        <f>[37]прямые!$I$15</f>
        <v>126.83385914349562</v>
      </c>
      <c r="AF13" s="1784">
        <f>[34]прямые!G19</f>
        <v>0</v>
      </c>
      <c r="AG13" s="1784">
        <f>[34]прямые!I19</f>
        <v>0</v>
      </c>
      <c r="AH13" s="1760">
        <f>[37]прямые!$G$23</f>
        <v>380.50157743048686</v>
      </c>
      <c r="AI13" s="1994">
        <f>[37]прямые!$I$23</f>
        <v>528.47441309789838</v>
      </c>
      <c r="AJ13" s="1882">
        <f t="shared" ref="AJ13:AJ14" si="17">SUM(AB13,AD13,AF13,AH13)</f>
        <v>591.89134266964629</v>
      </c>
      <c r="AK13" s="1882">
        <f t="shared" si="11"/>
        <v>739.86417833705775</v>
      </c>
      <c r="AL13" s="1885">
        <f t="shared" ref="AL13:AL15" si="18">SUM(AB13:AI13)</f>
        <v>1331.7555210067039</v>
      </c>
      <c r="AM13" s="1991">
        <f>[37]прямые!$J$11</f>
        <v>84.555906095663744</v>
      </c>
      <c r="AN13" s="1993">
        <f>[37]прямые!$K$11</f>
        <v>84.555906095663744</v>
      </c>
      <c r="AO13" s="1760">
        <f>[37]прямые!$J$15</f>
        <v>190.25078871524343</v>
      </c>
      <c r="AP13" s="1760">
        <f>[37]прямые!$K$15</f>
        <v>190.25078871524343</v>
      </c>
      <c r="AQ13" s="1760">
        <f>[37]прямые!$J$19</f>
        <v>253.66771828699123</v>
      </c>
      <c r="AR13" s="1760">
        <f>[37]прямые!$K$19</f>
        <v>253.66771828699123</v>
      </c>
      <c r="AS13" s="1760">
        <f>[37]прямые!$J$23</f>
        <v>972.3929201001331</v>
      </c>
      <c r="AT13" s="1994">
        <f>[37]прямые!$K$23</f>
        <v>930.11496705230115</v>
      </c>
      <c r="AU13" s="1882">
        <f t="shared" ref="AU13:AU14" si="19">SUM(AM13,AO13,AQ13,AS13)</f>
        <v>1500.8673331980315</v>
      </c>
      <c r="AV13" s="1882">
        <f t="shared" si="13"/>
        <v>1458.5893801501995</v>
      </c>
      <c r="AW13" s="1885">
        <f t="shared" ref="AW13:AW15" si="20">SUM(AM13:AT13)</f>
        <v>2959.456713348231</v>
      </c>
      <c r="AX13" s="1740"/>
      <c r="AY13" s="1740"/>
      <c r="AZ13" s="1740"/>
      <c r="BA13" s="1740"/>
      <c r="BB13" s="1740"/>
      <c r="BC13" s="1740"/>
      <c r="BD13" s="1740"/>
      <c r="BE13" s="1740"/>
      <c r="BF13" s="1740"/>
      <c r="BG13" s="1740"/>
      <c r="BH13" s="1740"/>
      <c r="BI13" s="1768"/>
      <c r="BJ13" s="1768"/>
      <c r="BK13" s="1769">
        <f t="shared" si="4"/>
        <v>0</v>
      </c>
    </row>
    <row r="14" spans="2:63" ht="15.75">
      <c r="B14" s="1872"/>
      <c r="C14" s="1999" t="s">
        <v>3754</v>
      </c>
      <c r="D14" s="1996"/>
      <c r="E14" s="1997"/>
      <c r="F14" s="1996"/>
      <c r="G14" s="2000">
        <f>[37]прямые!$E$12</f>
        <v>24.990201578907094</v>
      </c>
      <c r="H14" s="1784">
        <f>[34]прямые!E16</f>
        <v>26.042056872823743</v>
      </c>
      <c r="I14" s="1785"/>
      <c r="J14" s="1784">
        <f>[34]прямые!E24</f>
        <v>100.69595324158513</v>
      </c>
      <c r="K14" s="1885">
        <f t="shared" si="6"/>
        <v>151.72821169331598</v>
      </c>
      <c r="L14" s="1992">
        <f t="shared" si="14"/>
        <v>24.990201578907094</v>
      </c>
      <c r="M14" s="1764">
        <f t="shared" si="14"/>
        <v>26.042056872823743</v>
      </c>
      <c r="N14" s="1764">
        <f t="shared" si="14"/>
        <v>0</v>
      </c>
      <c r="O14" s="1764">
        <f t="shared" si="14"/>
        <v>100.69595324158513</v>
      </c>
      <c r="P14" s="1885">
        <f t="shared" si="15"/>
        <v>151.72821169331598</v>
      </c>
      <c r="Q14" s="1991">
        <f>[37]прямые!$F$12</f>
        <v>24.990201578907094</v>
      </c>
      <c r="R14" s="1993">
        <f>[37]прямые!$H$12</f>
        <v>24.990201578907094</v>
      </c>
      <c r="S14" s="1760">
        <f>[37]прямые!$F$16</f>
        <v>37.485302368360642</v>
      </c>
      <c r="T14" s="1760">
        <f>[37]прямые!$H$16</f>
        <v>37.485302368360642</v>
      </c>
      <c r="U14" s="1784"/>
      <c r="V14" s="1784"/>
      <c r="W14" s="1760">
        <f>[37]прямые!$F$24</f>
        <v>112.45590710508192</v>
      </c>
      <c r="X14" s="1994">
        <f>[37]прямые!$H$24</f>
        <v>146.87990978002642</v>
      </c>
      <c r="Y14" s="1882">
        <f t="shared" si="9"/>
        <v>174.93141105234966</v>
      </c>
      <c r="Z14" s="1882">
        <f t="shared" si="9"/>
        <v>209.35541372729415</v>
      </c>
      <c r="AA14" s="1885">
        <f t="shared" si="16"/>
        <v>384.28682477964384</v>
      </c>
      <c r="AB14" s="1991">
        <f>[37]прямые!$G$12</f>
        <v>24.990201578907094</v>
      </c>
      <c r="AC14" s="1993">
        <f>[37]прямые!$I$12</f>
        <v>24.990201578907094</v>
      </c>
      <c r="AD14" s="1760">
        <f>[37]прямые!$G$16</f>
        <v>37.485302368360642</v>
      </c>
      <c r="AE14" s="1760">
        <f>[37]прямые!$I$16</f>
        <v>37.485302368360642</v>
      </c>
      <c r="AF14" s="1784">
        <f>[34]прямые!G20</f>
        <v>0</v>
      </c>
      <c r="AG14" s="1784">
        <f>[34]прямые!I20</f>
        <v>0</v>
      </c>
      <c r="AH14" s="1760">
        <f>[37]прямые!$G$24</f>
        <v>112.45590710508192</v>
      </c>
      <c r="AI14" s="1994">
        <f>[37]прямые!$I$24</f>
        <v>156.18875986816934</v>
      </c>
      <c r="AJ14" s="1882">
        <f t="shared" si="17"/>
        <v>174.93141105234966</v>
      </c>
      <c r="AK14" s="1882">
        <f t="shared" si="11"/>
        <v>218.6642638154371</v>
      </c>
      <c r="AL14" s="1885">
        <f t="shared" si="18"/>
        <v>393.59567486778678</v>
      </c>
      <c r="AM14" s="1991">
        <f>[37]прямые!$J$12</f>
        <v>24.990201578907094</v>
      </c>
      <c r="AN14" s="1993">
        <f>[37]прямые!$K$12</f>
        <v>24.990201578907094</v>
      </c>
      <c r="AO14" s="1760">
        <f>[37]прямые!$J$16</f>
        <v>56.22795355254096</v>
      </c>
      <c r="AP14" s="1760">
        <f>[37]прямые!$K$16</f>
        <v>56.22795355254096</v>
      </c>
      <c r="AQ14" s="1760">
        <f>[37]прямые!$J$20</f>
        <v>74.970604736721285</v>
      </c>
      <c r="AR14" s="1760">
        <f>[37]прямые!$K$20</f>
        <v>74.970604736721285</v>
      </c>
      <c r="AS14" s="1760">
        <f>[37]прямые!$J$24</f>
        <v>287.38731815743159</v>
      </c>
      <c r="AT14" s="1994">
        <f>[37]прямые!$K$24</f>
        <v>287.38731815743159</v>
      </c>
      <c r="AU14" s="1882">
        <f t="shared" si="19"/>
        <v>443.57607802560096</v>
      </c>
      <c r="AV14" s="1882">
        <f t="shared" si="13"/>
        <v>443.57607802560096</v>
      </c>
      <c r="AW14" s="1885">
        <f t="shared" si="20"/>
        <v>887.15215605120193</v>
      </c>
      <c r="AX14" s="1740"/>
      <c r="AY14" s="1740"/>
      <c r="AZ14" s="1740"/>
      <c r="BA14" s="1740"/>
      <c r="BB14" s="1740"/>
      <c r="BC14" s="1740"/>
      <c r="BD14" s="1740"/>
      <c r="BE14" s="1740"/>
      <c r="BF14" s="1740"/>
      <c r="BG14" s="1740"/>
      <c r="BH14" s="1740"/>
      <c r="BI14" s="1768"/>
      <c r="BJ14" s="1768"/>
      <c r="BK14" s="1769">
        <f t="shared" si="4"/>
        <v>0</v>
      </c>
    </row>
    <row r="15" spans="2:63" ht="15.75">
      <c r="B15" s="1872"/>
      <c r="C15" s="1999" t="s">
        <v>3755</v>
      </c>
      <c r="D15" s="1996"/>
      <c r="E15" s="1997"/>
      <c r="F15" s="1996"/>
      <c r="G15" s="2000">
        <f>[37]прямые!$E$13</f>
        <v>27.552784073862387</v>
      </c>
      <c r="H15" s="1784">
        <f>[34]прямые!E17</f>
        <v>28.393928374233123</v>
      </c>
      <c r="I15" s="1785"/>
      <c r="J15" s="1784">
        <f>[34]прямые!E25</f>
        <v>109.78985638036808</v>
      </c>
      <c r="K15" s="1885">
        <f t="shared" si="6"/>
        <v>165.73656882846359</v>
      </c>
      <c r="L15" s="1992">
        <f t="shared" si="14"/>
        <v>27.552784073862387</v>
      </c>
      <c r="M15" s="1764">
        <f t="shared" si="14"/>
        <v>28.393928374233123</v>
      </c>
      <c r="N15" s="1764">
        <f t="shared" si="14"/>
        <v>0</v>
      </c>
      <c r="O15" s="1764">
        <f t="shared" si="14"/>
        <v>109.78985638036808</v>
      </c>
      <c r="P15" s="1885">
        <f t="shared" si="15"/>
        <v>165.73656882846359</v>
      </c>
      <c r="Q15" s="1991">
        <f>[37]прямые!$F$13</f>
        <v>27.552784073862387</v>
      </c>
      <c r="R15" s="1993">
        <f>[37]прямые!$H$13</f>
        <v>27.552784073862387</v>
      </c>
      <c r="S15" s="1760">
        <f>[37]прямые!$F$17</f>
        <v>41.329176110793583</v>
      </c>
      <c r="T15" s="1760">
        <f>[37]прямые!$H$17</f>
        <v>41.329176110793583</v>
      </c>
      <c r="U15" s="1784"/>
      <c r="V15" s="1784"/>
      <c r="W15" s="1760">
        <f>[37]прямые!$F$25</f>
        <v>123.98752833238075</v>
      </c>
      <c r="X15" s="1994">
        <f>[37]прямые!$H$25</f>
        <v>161.94148839412617</v>
      </c>
      <c r="Y15" s="1882">
        <f>SUM(Q15,S15,U15,W15)</f>
        <v>192.8694885170367</v>
      </c>
      <c r="Z15" s="1882">
        <f t="shared" si="9"/>
        <v>230.82344857878212</v>
      </c>
      <c r="AA15" s="1885">
        <f t="shared" si="16"/>
        <v>423.69293709581882</v>
      </c>
      <c r="AB15" s="1991">
        <f>[37]прямые!$G$13</f>
        <v>27.552784073862387</v>
      </c>
      <c r="AC15" s="1993">
        <f>[37]прямые!$I$13</f>
        <v>27.552784073862387</v>
      </c>
      <c r="AD15" s="1760">
        <f>[37]прямые!$G$17</f>
        <v>41.329176110793583</v>
      </c>
      <c r="AE15" s="1760">
        <f>[37]прямые!$I$17</f>
        <v>41.329176110793583</v>
      </c>
      <c r="AF15" s="1784">
        <f>[34]прямые!G21</f>
        <v>0</v>
      </c>
      <c r="AG15" s="1784">
        <f>[34]прямые!I21</f>
        <v>0</v>
      </c>
      <c r="AH15" s="1760">
        <f>[37]прямые!$G$25</f>
        <v>123.98752833238075</v>
      </c>
      <c r="AI15" s="1994">
        <f>[37]прямые!$I$25</f>
        <v>172.20490046163991</v>
      </c>
      <c r="AJ15" s="1882">
        <f>SUM(AB15,AD15,AF15,AH15)</f>
        <v>192.8694885170367</v>
      </c>
      <c r="AK15" s="1882">
        <f t="shared" si="11"/>
        <v>241.08686064629586</v>
      </c>
      <c r="AL15" s="1885">
        <f t="shared" si="18"/>
        <v>433.95634916333256</v>
      </c>
      <c r="AM15" s="1991">
        <f>[37]прямые!$J$13</f>
        <v>27.552784073862387</v>
      </c>
      <c r="AN15" s="1993">
        <f>[37]прямые!$K$13</f>
        <v>27.552784073862387</v>
      </c>
      <c r="AO15" s="1760">
        <f>[37]прямые!$J$17</f>
        <v>61.993764166190374</v>
      </c>
      <c r="AP15" s="1760">
        <f>[37]прямые!$K$17</f>
        <v>61.993764166190374</v>
      </c>
      <c r="AQ15" s="1760">
        <f>[37]прямые!$J$21</f>
        <v>82.658352221587165</v>
      </c>
      <c r="AR15" s="1760">
        <f>[37]прямые!$K$21</f>
        <v>82.658352221587165</v>
      </c>
      <c r="AS15" s="1760">
        <f>[37]прямые!$J$25</f>
        <v>316.85701684941745</v>
      </c>
      <c r="AT15" s="1994">
        <f>[37]прямые!$K$25</f>
        <v>316.85701684941745</v>
      </c>
      <c r="AU15" s="1882">
        <f>SUM(AM15,AO15,AQ15,AS15)</f>
        <v>489.06191731105736</v>
      </c>
      <c r="AV15" s="1882">
        <f t="shared" si="13"/>
        <v>489.06191731105736</v>
      </c>
      <c r="AW15" s="1885">
        <f t="shared" si="20"/>
        <v>978.12383462211483</v>
      </c>
      <c r="AX15" s="1740"/>
      <c r="AY15" s="1740"/>
      <c r="AZ15" s="1740"/>
      <c r="BA15" s="1740"/>
      <c r="BB15" s="1740"/>
      <c r="BC15" s="1740"/>
      <c r="BD15" s="1740"/>
      <c r="BE15" s="1740"/>
      <c r="BF15" s="1740"/>
      <c r="BG15" s="1740"/>
      <c r="BH15" s="1740"/>
      <c r="BI15" s="1768"/>
      <c r="BJ15" s="1768"/>
      <c r="BK15" s="1769">
        <f t="shared" si="4"/>
        <v>0</v>
      </c>
    </row>
    <row r="16" spans="2:63" ht="15.75" customHeight="1">
      <c r="B16" s="1872">
        <f>B12+1</f>
        <v>3</v>
      </c>
      <c r="C16" s="1995" t="s">
        <v>3756</v>
      </c>
      <c r="D16" s="1996"/>
      <c r="E16" s="1997"/>
      <c r="F16" s="1996"/>
      <c r="G16" s="2000">
        <f>'[37]калькул 1'!$M$72</f>
        <v>107.88841990697095</v>
      </c>
      <c r="H16" s="1784">
        <f>'[37]калькул 2'!$M$53</f>
        <v>107.88841990697095</v>
      </c>
      <c r="I16" s="1785"/>
      <c r="J16" s="1779">
        <f>K16-G16-H16-I16</f>
        <v>107.88841990697092</v>
      </c>
      <c r="K16" s="2001">
        <f>'[37]калькул 1'!$M$72+'[37]калькул 2'!$M$53+[37]калькул4!$M$42</f>
        <v>323.66525972091284</v>
      </c>
      <c r="L16" s="1992">
        <f>G16</f>
        <v>107.88841990697095</v>
      </c>
      <c r="M16" s="1764">
        <f t="shared" si="14"/>
        <v>107.88841990697095</v>
      </c>
      <c r="N16" s="1764">
        <f t="shared" si="14"/>
        <v>0</v>
      </c>
      <c r="O16" s="1764">
        <f t="shared" si="14"/>
        <v>107.88841990697092</v>
      </c>
      <c r="P16" s="1885">
        <f t="shared" si="15"/>
        <v>323.66525972091284</v>
      </c>
      <c r="Q16" s="1991">
        <f>'[37]калькул 1'!$N$72</f>
        <v>107.88841990697098</v>
      </c>
      <c r="R16" s="1993">
        <f>'[37]калькул 1'!$P$72</f>
        <v>107.88841990697095</v>
      </c>
      <c r="S16" s="1760">
        <f>'[37]калькул 2'!$N$53</f>
        <v>107.88841990697098</v>
      </c>
      <c r="T16" s="1760">
        <f>'[37]калькул 2'!$P$53</f>
        <v>107.88841990697095</v>
      </c>
      <c r="U16" s="1784"/>
      <c r="V16" s="1784"/>
      <c r="W16" s="1760">
        <f>[37]калькул4!$N$42</f>
        <v>107.88841990697098</v>
      </c>
      <c r="X16" s="1994">
        <f>[37]калькул4!$P$42</f>
        <v>107.88841990697095</v>
      </c>
      <c r="Y16" s="1882">
        <f t="shared" si="9"/>
        <v>323.66525972091296</v>
      </c>
      <c r="Z16" s="1882">
        <f>SUM(R16,T16,V16,X16)</f>
        <v>323.66525972091284</v>
      </c>
      <c r="AA16" s="1885">
        <f>SUM(Q16:X16)</f>
        <v>647.3305194418258</v>
      </c>
      <c r="AB16" s="1991">
        <f>'[37]калькул 1'!$O$72</f>
        <v>107.88841990697095</v>
      </c>
      <c r="AC16" s="1993">
        <f>'[37]калькул 1'!$Q$72</f>
        <v>107.88841990697097</v>
      </c>
      <c r="AD16" s="1760">
        <f>'[37]калькул 2'!$O$53</f>
        <v>107.88841990697095</v>
      </c>
      <c r="AE16" s="1760">
        <f>'[37]калькул 2'!$Q$53</f>
        <v>107.88841990697097</v>
      </c>
      <c r="AF16" s="1761"/>
      <c r="AG16" s="1760">
        <f>'[34]калькул 3'!$J$21</f>
        <v>0</v>
      </c>
      <c r="AH16" s="1760">
        <f>[37]калькул4!$O$42</f>
        <v>107.88841990697095</v>
      </c>
      <c r="AI16" s="1994">
        <f>[37]калькул4!$Q$42</f>
        <v>107.88841990697097</v>
      </c>
      <c r="AJ16" s="1882">
        <f t="shared" ref="AJ16" si="21">SUM(AB16,AD16,AF16,AH16)</f>
        <v>323.66525972091284</v>
      </c>
      <c r="AK16" s="1882">
        <f>SUM(AC16,AE16,AG16,AI16)</f>
        <v>323.6652597209129</v>
      </c>
      <c r="AL16" s="1885">
        <f>SUM(AB16:AI16)</f>
        <v>647.3305194418258</v>
      </c>
      <c r="AM16" s="1991">
        <f>AN16</f>
        <v>80.916314930228225</v>
      </c>
      <c r="AN16" s="1993">
        <f>'[37]калькул 1'!$S$72</f>
        <v>80.916314930228225</v>
      </c>
      <c r="AO16" s="1760">
        <f>AP16</f>
        <v>80.916314930228225</v>
      </c>
      <c r="AP16" s="1760">
        <f>'[37]калькул 2'!$S$53</f>
        <v>80.916314930228225</v>
      </c>
      <c r="AQ16" s="1760">
        <f>AR16</f>
        <v>80.916314930228225</v>
      </c>
      <c r="AR16" s="1760">
        <f>'[37]калькул 3'!$M$21</f>
        <v>80.916314930228225</v>
      </c>
      <c r="AS16" s="1760">
        <f>AT16</f>
        <v>80.916314930228225</v>
      </c>
      <c r="AT16" s="1994">
        <f>[37]калькул4!$S$42</f>
        <v>80.916314930228225</v>
      </c>
      <c r="AU16" s="1882">
        <f>SUM(AM16,AO16,AQ16,AS16)</f>
        <v>323.6652597209129</v>
      </c>
      <c r="AV16" s="1882">
        <f>SUM(AN16,AP16,AR16,AT16)</f>
        <v>323.6652597209129</v>
      </c>
      <c r="AW16" s="1885">
        <f>SUM(AM16:AT16)</f>
        <v>647.3305194418258</v>
      </c>
      <c r="AX16" s="1740"/>
      <c r="AY16" s="1740"/>
      <c r="AZ16" s="1740"/>
      <c r="BA16" s="1740"/>
      <c r="BB16" s="1740"/>
      <c r="BC16" s="1740"/>
      <c r="BD16" s="1740"/>
      <c r="BE16" s="1740"/>
      <c r="BF16" s="1740"/>
      <c r="BG16" s="1740"/>
      <c r="BH16" s="1740"/>
      <c r="BI16" s="1768"/>
      <c r="BJ16" s="1768"/>
      <c r="BK16" s="1769">
        <f t="shared" si="4"/>
        <v>0</v>
      </c>
    </row>
    <row r="17" spans="1:63" ht="15.75">
      <c r="B17" s="1872">
        <f>B16+1</f>
        <v>4</v>
      </c>
      <c r="C17" s="2002" t="s">
        <v>3737</v>
      </c>
      <c r="D17" s="1874"/>
      <c r="E17" s="1875"/>
      <c r="F17" s="1874"/>
      <c r="G17" s="2003"/>
      <c r="H17" s="1791"/>
      <c r="I17" s="1791"/>
      <c r="J17" s="1791"/>
      <c r="K17" s="2004"/>
      <c r="L17" s="2003"/>
      <c r="M17" s="1791"/>
      <c r="N17" s="1791"/>
      <c r="O17" s="1791"/>
      <c r="P17" s="2005"/>
      <c r="Q17" s="2003"/>
      <c r="R17" s="1839"/>
      <c r="S17" s="1791"/>
      <c r="T17" s="1791"/>
      <c r="U17" s="1791"/>
      <c r="V17" s="1791"/>
      <c r="W17" s="1791"/>
      <c r="X17" s="2006"/>
      <c r="Y17" s="2006"/>
      <c r="Z17" s="2006"/>
      <c r="AA17" s="2005"/>
      <c r="AB17" s="2003"/>
      <c r="AC17" s="1839"/>
      <c r="AD17" s="1791"/>
      <c r="AE17" s="1791"/>
      <c r="AF17" s="1791"/>
      <c r="AG17" s="1791"/>
      <c r="AH17" s="1791"/>
      <c r="AI17" s="2006"/>
      <c r="AJ17" s="2006"/>
      <c r="AK17" s="2006"/>
      <c r="AL17" s="2005"/>
      <c r="AM17" s="2003"/>
      <c r="AN17" s="1839"/>
      <c r="AO17" s="1791"/>
      <c r="AP17" s="1791"/>
      <c r="AQ17" s="1791"/>
      <c r="AR17" s="1791"/>
      <c r="AS17" s="1791"/>
      <c r="AT17" s="2006"/>
      <c r="AU17" s="2006"/>
      <c r="AV17" s="2006"/>
      <c r="AW17" s="2005"/>
      <c r="AX17" s="1740"/>
      <c r="AY17" s="1740"/>
      <c r="AZ17" s="1740"/>
      <c r="BA17" s="1740"/>
      <c r="BB17" s="1740"/>
      <c r="BC17" s="1740"/>
      <c r="BD17" s="1740"/>
      <c r="BE17" s="1740"/>
      <c r="BF17" s="1740"/>
      <c r="BG17" s="1740"/>
      <c r="BH17" s="1740"/>
      <c r="BI17" s="1768"/>
      <c r="BJ17" s="1768"/>
      <c r="BK17" s="1769">
        <f t="shared" si="4"/>
        <v>0</v>
      </c>
    </row>
    <row r="18" spans="1:63" ht="15.75">
      <c r="B18" s="1745">
        <f>B17+1</f>
        <v>5</v>
      </c>
      <c r="C18" s="1796" t="s">
        <v>3757</v>
      </c>
      <c r="D18" s="1748"/>
      <c r="E18" s="1748"/>
      <c r="F18" s="1748"/>
      <c r="G18" s="1797"/>
      <c r="H18" s="1798"/>
      <c r="I18" s="1798"/>
      <c r="J18" s="1798"/>
      <c r="K18" s="1799">
        <f>SUM(K19:K20)</f>
        <v>471</v>
      </c>
      <c r="L18" s="1797"/>
      <c r="M18" s="1798"/>
      <c r="N18" s="1798"/>
      <c r="O18" s="1798"/>
      <c r="P18" s="1799">
        <f>SUM(P19:P20)</f>
        <v>25</v>
      </c>
      <c r="Q18" s="1797"/>
      <c r="R18" s="1800"/>
      <c r="S18" s="1798"/>
      <c r="T18" s="1798"/>
      <c r="U18" s="1798"/>
      <c r="V18" s="1798"/>
      <c r="W18" s="1798"/>
      <c r="X18" s="1801"/>
      <c r="Y18" s="1802">
        <f t="shared" ref="Y18:AA18" si="22">SUM(Y19:Y20)</f>
        <v>6</v>
      </c>
      <c r="Z18" s="1802">
        <f t="shared" si="22"/>
        <v>4</v>
      </c>
      <c r="AA18" s="1803">
        <f t="shared" si="22"/>
        <v>17</v>
      </c>
      <c r="AB18" s="1797"/>
      <c r="AC18" s="1800"/>
      <c r="AD18" s="1798"/>
      <c r="AE18" s="1798"/>
      <c r="AF18" s="1798"/>
      <c r="AG18" s="1798"/>
      <c r="AH18" s="1798"/>
      <c r="AI18" s="1801"/>
      <c r="AJ18" s="1802">
        <f t="shared" ref="AJ18:AL18" si="23">SUM(AJ19:AJ20)</f>
        <v>0</v>
      </c>
      <c r="AK18" s="1802">
        <f t="shared" si="23"/>
        <v>1</v>
      </c>
      <c r="AL18" s="1803">
        <f t="shared" si="23"/>
        <v>1</v>
      </c>
      <c r="AM18" s="1797"/>
      <c r="AN18" s="1800"/>
      <c r="AO18" s="1798"/>
      <c r="AP18" s="1798"/>
      <c r="AQ18" s="1798"/>
      <c r="AR18" s="1798"/>
      <c r="AS18" s="1798"/>
      <c r="AT18" s="1801"/>
      <c r="AU18" s="1802">
        <v>0</v>
      </c>
      <c r="AV18" s="1802">
        <v>0</v>
      </c>
      <c r="AW18" s="1803">
        <v>0</v>
      </c>
      <c r="AX18" s="1740"/>
      <c r="AY18" s="1740"/>
      <c r="AZ18" s="1740"/>
      <c r="BA18" s="1740"/>
      <c r="BB18" s="1740"/>
      <c r="BC18" s="1740"/>
      <c r="BD18" s="1740"/>
      <c r="BE18" s="1804">
        <f t="shared" ref="BE18" si="24">SUM(BE19:BE20)</f>
        <v>514</v>
      </c>
      <c r="BF18" s="1740"/>
      <c r="BG18" s="1740"/>
      <c r="BH18" s="1740"/>
      <c r="BI18" s="1770"/>
      <c r="BJ18" s="1771"/>
      <c r="BK18" s="1805">
        <f>K18+P18+AA18+AL18</f>
        <v>514</v>
      </c>
    </row>
    <row r="19" spans="1:63" ht="15.75">
      <c r="B19" s="1872" t="s">
        <v>2624</v>
      </c>
      <c r="C19" s="2007" t="s">
        <v>3758</v>
      </c>
      <c r="D19" s="1875"/>
      <c r="E19" s="1875"/>
      <c r="F19" s="1875"/>
      <c r="G19" s="2008"/>
      <c r="H19" s="1808"/>
      <c r="I19" s="1808"/>
      <c r="J19" s="1808"/>
      <c r="K19" s="2009">
        <v>183</v>
      </c>
      <c r="L19" s="2008"/>
      <c r="M19" s="1808"/>
      <c r="N19" s="1808"/>
      <c r="O19" s="1808"/>
      <c r="P19" s="2010">
        <v>19</v>
      </c>
      <c r="Q19" s="2008"/>
      <c r="R19" s="2011"/>
      <c r="S19" s="1808"/>
      <c r="T19" s="1808"/>
      <c r="U19" s="1808"/>
      <c r="V19" s="1808"/>
      <c r="W19" s="1808"/>
      <c r="X19" s="2012"/>
      <c r="Y19" s="2013">
        <v>6</v>
      </c>
      <c r="Z19" s="2013">
        <v>4</v>
      </c>
      <c r="AA19" s="2014">
        <v>10</v>
      </c>
      <c r="AB19" s="2008"/>
      <c r="AC19" s="2011"/>
      <c r="AD19" s="1808"/>
      <c r="AE19" s="1808"/>
      <c r="AF19" s="1808"/>
      <c r="AG19" s="1808"/>
      <c r="AH19" s="1808"/>
      <c r="AI19" s="2012"/>
      <c r="AJ19" s="2013"/>
      <c r="AK19" s="2013">
        <v>1</v>
      </c>
      <c r="AL19" s="2014">
        <v>1</v>
      </c>
      <c r="AM19" s="2008"/>
      <c r="AN19" s="2011"/>
      <c r="AO19" s="1808"/>
      <c r="AP19" s="1808"/>
      <c r="AQ19" s="1808"/>
      <c r="AR19" s="1808"/>
      <c r="AS19" s="1808"/>
      <c r="AT19" s="2012"/>
      <c r="AU19" s="2015">
        <v>0</v>
      </c>
      <c r="AV19" s="2015">
        <v>0</v>
      </c>
      <c r="AW19" s="2014">
        <v>0</v>
      </c>
      <c r="AX19" s="1740"/>
      <c r="AY19" s="1740"/>
      <c r="AZ19" s="1740"/>
      <c r="BA19" s="1740"/>
      <c r="BB19" s="1740"/>
      <c r="BC19" s="1740"/>
      <c r="BD19" s="1740"/>
      <c r="BE19" s="1814">
        <f>SUM(K19,P19,AA19,AL19)</f>
        <v>213</v>
      </c>
      <c r="BF19" s="1740"/>
      <c r="BG19" s="1740"/>
      <c r="BH19" s="1740"/>
      <c r="BI19" s="1843"/>
      <c r="BJ19" s="1844"/>
      <c r="BK19" s="1842">
        <f t="shared" ref="BK19:BK20" si="25">K19+P19+AA19+AL19</f>
        <v>213</v>
      </c>
    </row>
    <row r="20" spans="1:63" ht="15.75">
      <c r="B20" s="1816" t="s">
        <v>2644</v>
      </c>
      <c r="C20" s="1817" t="s">
        <v>3759</v>
      </c>
      <c r="D20" s="1818"/>
      <c r="E20" s="1818"/>
      <c r="F20" s="1818"/>
      <c r="G20" s="1819"/>
      <c r="H20" s="1820"/>
      <c r="I20" s="1820"/>
      <c r="J20" s="1820"/>
      <c r="K20" s="1821">
        <v>288</v>
      </c>
      <c r="L20" s="1819"/>
      <c r="M20" s="1820"/>
      <c r="N20" s="1820"/>
      <c r="O20" s="1820"/>
      <c r="P20" s="1822">
        <v>6</v>
      </c>
      <c r="Q20" s="1819"/>
      <c r="R20" s="1823"/>
      <c r="S20" s="1820"/>
      <c r="T20" s="1820"/>
      <c r="U20" s="1820"/>
      <c r="V20" s="1820"/>
      <c r="W20" s="1820"/>
      <c r="X20" s="1824"/>
      <c r="Y20" s="1825"/>
      <c r="Z20" s="1825"/>
      <c r="AA20" s="1822">
        <v>7</v>
      </c>
      <c r="AB20" s="1819"/>
      <c r="AC20" s="1823"/>
      <c r="AD20" s="1820"/>
      <c r="AE20" s="1820"/>
      <c r="AF20" s="1820"/>
      <c r="AG20" s="1820"/>
      <c r="AH20" s="1820"/>
      <c r="AI20" s="1824"/>
      <c r="AJ20" s="1825"/>
      <c r="AK20" s="1825"/>
      <c r="AL20" s="1822">
        <v>0</v>
      </c>
      <c r="AM20" s="1819"/>
      <c r="AN20" s="1823"/>
      <c r="AO20" s="1820"/>
      <c r="AP20" s="1820"/>
      <c r="AQ20" s="1820"/>
      <c r="AR20" s="1820"/>
      <c r="AS20" s="1820"/>
      <c r="AT20" s="1824"/>
      <c r="AU20" s="1825"/>
      <c r="AV20" s="1825"/>
      <c r="AW20" s="1826"/>
      <c r="AX20" s="1740"/>
      <c r="AY20" s="1740"/>
      <c r="AZ20" s="1740"/>
      <c r="BA20" s="1740"/>
      <c r="BB20" s="1740"/>
      <c r="BC20" s="1740"/>
      <c r="BD20" s="1740"/>
      <c r="BE20" s="1814">
        <f>SUM(K20,P20,AA20,AL20)</f>
        <v>301</v>
      </c>
      <c r="BF20" s="1740"/>
      <c r="BG20" s="1740"/>
      <c r="BH20" s="1740"/>
      <c r="BI20" s="1827"/>
      <c r="BJ20" s="1828"/>
      <c r="BK20" s="1829">
        <f t="shared" si="25"/>
        <v>301</v>
      </c>
    </row>
    <row r="21" spans="1:63" ht="15.75">
      <c r="B21" s="1745">
        <f>B18+1</f>
        <v>6</v>
      </c>
      <c r="C21" s="1796" t="s">
        <v>3760</v>
      </c>
      <c r="D21" s="1748"/>
      <c r="E21" s="1748"/>
      <c r="F21" s="1748"/>
      <c r="G21" s="1830"/>
      <c r="H21" s="1831"/>
      <c r="I21" s="1831"/>
      <c r="J21" s="1831"/>
      <c r="K21" s="1832">
        <f>SUM(K22:K23)</f>
        <v>3530.6930000000002</v>
      </c>
      <c r="L21" s="1830"/>
      <c r="M21" s="1831"/>
      <c r="N21" s="1831"/>
      <c r="O21" s="1831"/>
      <c r="P21" s="1832">
        <f>SUM(P22:P23)</f>
        <v>139.83400000000006</v>
      </c>
      <c r="Q21" s="1830"/>
      <c r="R21" s="1833"/>
      <c r="S21" s="1831"/>
      <c r="T21" s="1831"/>
      <c r="U21" s="1831"/>
      <c r="V21" s="1831"/>
      <c r="W21" s="1831"/>
      <c r="X21" s="1834"/>
      <c r="Y21" s="1835">
        <f t="shared" ref="Y21:AA21" si="26">SUM(Y22:Y23)</f>
        <v>236.89999999999989</v>
      </c>
      <c r="Z21" s="1835">
        <f t="shared" si="26"/>
        <v>255</v>
      </c>
      <c r="AA21" s="1832">
        <f t="shared" si="26"/>
        <v>911.89999999999986</v>
      </c>
      <c r="AB21" s="1830"/>
      <c r="AC21" s="1833"/>
      <c r="AD21" s="1831"/>
      <c r="AE21" s="1831"/>
      <c r="AF21" s="1831"/>
      <c r="AG21" s="1831"/>
      <c r="AH21" s="1831"/>
      <c r="AI21" s="1834"/>
      <c r="AJ21" s="1835">
        <f t="shared" ref="AJ21:AL21" si="27">SUM(AJ22:AJ23)</f>
        <v>0</v>
      </c>
      <c r="AK21" s="1835">
        <f t="shared" si="27"/>
        <v>160.55000000000001</v>
      </c>
      <c r="AL21" s="1832">
        <f t="shared" si="27"/>
        <v>160.55000000000001</v>
      </c>
      <c r="AM21" s="1830"/>
      <c r="AN21" s="1833"/>
      <c r="AO21" s="1831"/>
      <c r="AP21" s="1831"/>
      <c r="AQ21" s="1831"/>
      <c r="AR21" s="1831"/>
      <c r="AS21" s="1831"/>
      <c r="AT21" s="1834"/>
      <c r="AU21" s="1835">
        <v>0</v>
      </c>
      <c r="AV21" s="1835">
        <v>0</v>
      </c>
      <c r="AW21" s="1832">
        <v>0</v>
      </c>
      <c r="AX21" s="1740"/>
      <c r="AY21" s="1740"/>
      <c r="AZ21" s="1740"/>
      <c r="BA21" s="1740"/>
      <c r="BB21" s="1740"/>
      <c r="BC21" s="1740"/>
      <c r="BD21" s="1740"/>
      <c r="BE21" s="1836">
        <f>SUM(BE22:BE23)</f>
        <v>4742.9769999999999</v>
      </c>
      <c r="BF21" s="1740"/>
      <c r="BG21" s="1740"/>
      <c r="BH21" s="1740"/>
      <c r="BI21" s="1770"/>
      <c r="BJ21" s="1771"/>
      <c r="BK21" s="1805">
        <f>K21+P21+AA21+AL21</f>
        <v>4742.9769999999999</v>
      </c>
    </row>
    <row r="22" spans="1:63" ht="15.75">
      <c r="B22" s="1872" t="s">
        <v>3761</v>
      </c>
      <c r="C22" s="2007" t="s">
        <v>3762</v>
      </c>
      <c r="D22" s="1875"/>
      <c r="E22" s="1875"/>
      <c r="F22" s="1875"/>
      <c r="G22" s="2003"/>
      <c r="H22" s="1791"/>
      <c r="I22" s="1791"/>
      <c r="J22" s="1791"/>
      <c r="K22" s="2016">
        <v>1194.6130000000003</v>
      </c>
      <c r="L22" s="2003"/>
      <c r="M22" s="1791"/>
      <c r="N22" s="1791"/>
      <c r="O22" s="1791"/>
      <c r="P22" s="1969">
        <v>93.58400000000006</v>
      </c>
      <c r="Q22" s="2003"/>
      <c r="R22" s="1839"/>
      <c r="S22" s="1791"/>
      <c r="T22" s="1791"/>
      <c r="U22" s="1791"/>
      <c r="V22" s="1791"/>
      <c r="W22" s="1791"/>
      <c r="X22" s="2006"/>
      <c r="Y22" s="2017">
        <v>236.89999999999989</v>
      </c>
      <c r="Z22" s="2017">
        <v>255</v>
      </c>
      <c r="AA22" s="1877">
        <v>491.89999999999986</v>
      </c>
      <c r="AB22" s="2003"/>
      <c r="AC22" s="1839"/>
      <c r="AD22" s="1791"/>
      <c r="AE22" s="1791"/>
      <c r="AF22" s="1791"/>
      <c r="AG22" s="1791"/>
      <c r="AH22" s="1791"/>
      <c r="AI22" s="2006"/>
      <c r="AJ22" s="2017"/>
      <c r="AK22" s="2017">
        <v>160.55000000000001</v>
      </c>
      <c r="AL22" s="1877">
        <v>160.55000000000001</v>
      </c>
      <c r="AM22" s="2003"/>
      <c r="AN22" s="1839"/>
      <c r="AO22" s="1791"/>
      <c r="AP22" s="1791"/>
      <c r="AQ22" s="1791"/>
      <c r="AR22" s="1791"/>
      <c r="AS22" s="1791"/>
      <c r="AT22" s="2006"/>
      <c r="AU22" s="2017">
        <v>0</v>
      </c>
      <c r="AV22" s="2017">
        <v>0</v>
      </c>
      <c r="AW22" s="1877">
        <v>0</v>
      </c>
      <c r="AX22" s="1740"/>
      <c r="AY22" s="1740"/>
      <c r="AZ22" s="1740"/>
      <c r="BA22" s="1740"/>
      <c r="BB22" s="1740"/>
      <c r="BC22" s="1740"/>
      <c r="BD22" s="1740"/>
      <c r="BE22" s="1841">
        <f>SUM(K22,P22,AA22,AL22)</f>
        <v>1940.6470000000002</v>
      </c>
      <c r="BF22" s="1740"/>
      <c r="BG22" s="1740"/>
      <c r="BH22" s="1740"/>
      <c r="BI22" s="1843"/>
      <c r="BJ22" s="1844"/>
      <c r="BK22" s="1842">
        <f t="shared" ref="BK22:BK23" si="28">K22+P22+AA22+AL22</f>
        <v>1940.6470000000002</v>
      </c>
    </row>
    <row r="23" spans="1:63" ht="15.75">
      <c r="B23" s="1816" t="s">
        <v>3763</v>
      </c>
      <c r="C23" s="1817" t="s">
        <v>3764</v>
      </c>
      <c r="D23" s="1845"/>
      <c r="E23" s="1818"/>
      <c r="F23" s="1845"/>
      <c r="G23" s="1846"/>
      <c r="H23" s="1847"/>
      <c r="I23" s="1847"/>
      <c r="J23" s="1847"/>
      <c r="K23" s="1848">
        <v>2336.08</v>
      </c>
      <c r="L23" s="1846"/>
      <c r="M23" s="1847"/>
      <c r="N23" s="1847"/>
      <c r="O23" s="1847"/>
      <c r="P23" s="1849">
        <v>46.25</v>
      </c>
      <c r="Q23" s="1846"/>
      <c r="R23" s="1850"/>
      <c r="S23" s="1847"/>
      <c r="T23" s="1847"/>
      <c r="U23" s="1847"/>
      <c r="V23" s="1847"/>
      <c r="W23" s="1847"/>
      <c r="X23" s="1851"/>
      <c r="Y23" s="1852"/>
      <c r="Z23" s="1852"/>
      <c r="AA23" s="1849">
        <v>420</v>
      </c>
      <c r="AB23" s="1846"/>
      <c r="AC23" s="1850"/>
      <c r="AD23" s="1847"/>
      <c r="AE23" s="1847"/>
      <c r="AF23" s="1847"/>
      <c r="AG23" s="1847"/>
      <c r="AH23" s="1847"/>
      <c r="AI23" s="1851"/>
      <c r="AJ23" s="1852"/>
      <c r="AK23" s="1852"/>
      <c r="AL23" s="1849">
        <v>0</v>
      </c>
      <c r="AM23" s="1846"/>
      <c r="AN23" s="1850"/>
      <c r="AO23" s="1847"/>
      <c r="AP23" s="1847"/>
      <c r="AQ23" s="1847"/>
      <c r="AR23" s="1847"/>
      <c r="AS23" s="1847"/>
      <c r="AT23" s="1851"/>
      <c r="AU23" s="1852"/>
      <c r="AV23" s="1852"/>
      <c r="AW23" s="1853"/>
      <c r="AX23" s="1740"/>
      <c r="AY23" s="1740"/>
      <c r="AZ23" s="1740"/>
      <c r="BA23" s="1740"/>
      <c r="BB23" s="1740"/>
      <c r="BC23" s="1740"/>
      <c r="BD23" s="1740"/>
      <c r="BE23" s="1841">
        <f>SUM(K23,P23,AA23,AL23)</f>
        <v>2802.33</v>
      </c>
      <c r="BF23" s="1740"/>
      <c r="BG23" s="1740"/>
      <c r="BH23" s="1740"/>
      <c r="BI23" s="1827"/>
      <c r="BJ23" s="1828"/>
      <c r="BK23" s="1829">
        <f t="shared" si="28"/>
        <v>2802.33</v>
      </c>
    </row>
    <row r="24" spans="1:63" ht="15.75">
      <c r="B24" s="1854">
        <f>B21+1</f>
        <v>7</v>
      </c>
      <c r="C24" s="1855" t="s">
        <v>3765</v>
      </c>
      <c r="D24" s="1856"/>
      <c r="E24" s="1857"/>
      <c r="F24" s="1856"/>
      <c r="G24" s="1858">
        <f ca="1">G25/$K$21</f>
        <v>136.422545538935</v>
      </c>
      <c r="H24" s="1859">
        <f ca="1">H25/$K$21</f>
        <v>146.74226274391691</v>
      </c>
      <c r="I24" s="1859">
        <f t="shared" ref="I24:J24" ca="1" si="29">I25/$K$21</f>
        <v>0</v>
      </c>
      <c r="J24" s="1859">
        <f t="shared" ca="1" si="29"/>
        <v>178.30711078484072</v>
      </c>
      <c r="K24" s="1860">
        <f ca="1">K25/$K$21</f>
        <v>461.47191906769262</v>
      </c>
      <c r="L24" s="1858">
        <f ca="1">L25/$P$21</f>
        <v>3321.0000197526656</v>
      </c>
      <c r="M24" s="1859">
        <f t="shared" ref="M24:O24" ca="1" si="30">M25/$P$21</f>
        <v>6350.7161337117686</v>
      </c>
      <c r="N24" s="1859">
        <f t="shared" ca="1" si="30"/>
        <v>0</v>
      </c>
      <c r="O24" s="1859">
        <f t="shared" ca="1" si="30"/>
        <v>15617.687872936671</v>
      </c>
      <c r="P24" s="1860">
        <f ca="1">P25/$P$21</f>
        <v>25289.404026401102</v>
      </c>
      <c r="Q24" s="1858">
        <f ca="1">Q25/$AA$18</f>
        <v>12459.325137952683</v>
      </c>
      <c r="R24" s="1859">
        <f t="shared" ref="R24:AA24" ca="1" si="31">R25/$AA$18</f>
        <v>14443.71986013756</v>
      </c>
      <c r="S24" s="1859">
        <f t="shared" ca="1" si="31"/>
        <v>12166.664700112691</v>
      </c>
      <c r="T24" s="1859">
        <f t="shared" ca="1" si="31"/>
        <v>12601.251392111024</v>
      </c>
      <c r="U24" s="1859">
        <f t="shared" ca="1" si="31"/>
        <v>0</v>
      </c>
      <c r="V24" s="1859">
        <f t="shared" ca="1" si="31"/>
        <v>0</v>
      </c>
      <c r="W24" s="1859">
        <f t="shared" ca="1" si="31"/>
        <v>17422.758348465861</v>
      </c>
      <c r="X24" s="1859">
        <f ca="1">X25/$AA$18</f>
        <v>20025.747151521322</v>
      </c>
      <c r="Y24" s="1859">
        <f ca="1">Y25/$AA$18</f>
        <v>42048.748186531229</v>
      </c>
      <c r="Z24" s="1859">
        <f t="shared" ref="Z24" ca="1" si="32">Z25/$AA$18</f>
        <v>47070.718403769904</v>
      </c>
      <c r="AA24" s="1860">
        <f t="shared" ca="1" si="31"/>
        <v>89119.466590301134</v>
      </c>
      <c r="AB24" s="1858">
        <f ca="1">AB25/$AA$18</f>
        <v>6502.8338232368505</v>
      </c>
      <c r="AC24" s="1859">
        <f t="shared" ref="AC24:AH24" ca="1" si="33">AC25/$AA$18</f>
        <v>6512.5524088507964</v>
      </c>
      <c r="AD24" s="1859">
        <f t="shared" ca="1" si="33"/>
        <v>6478.3314256126896</v>
      </c>
      <c r="AE24" s="1859">
        <f t="shared" ca="1" si="33"/>
        <v>6473.9579907416382</v>
      </c>
      <c r="AF24" s="1859">
        <f t="shared" ca="1" si="33"/>
        <v>0</v>
      </c>
      <c r="AG24" s="1859">
        <f t="shared" ca="1" si="33"/>
        <v>0</v>
      </c>
      <c r="AH24" s="1859">
        <f t="shared" ca="1" si="33"/>
        <v>6693.687867360537</v>
      </c>
      <c r="AI24" s="1859">
        <f ca="1">AI25/$AA$18</f>
        <v>6255.1554723291429</v>
      </c>
      <c r="AJ24" s="1859">
        <f ca="1">AJ25/$AA$18</f>
        <v>19674.853116210077</v>
      </c>
      <c r="AK24" s="1859">
        <f t="shared" ref="AK24:AL24" ca="1" si="34">AK25/$AA$18</f>
        <v>19241.665871921577</v>
      </c>
      <c r="AL24" s="1860">
        <f t="shared" ca="1" si="34"/>
        <v>38916.518988131662</v>
      </c>
      <c r="AM24" s="1858">
        <f>IF(ISERROR(AM25/$AW$21),0,AM25/$AW$21)</f>
        <v>0</v>
      </c>
      <c r="AN24" s="1861">
        <f t="shared" ref="AN24:AW24" si="35">IF(ISERROR(AN25/$AW$21),0,AN25/$AW$21)</f>
        <v>0</v>
      </c>
      <c r="AO24" s="1859">
        <f t="shared" si="35"/>
        <v>0</v>
      </c>
      <c r="AP24" s="1859">
        <f t="shared" si="35"/>
        <v>0</v>
      </c>
      <c r="AQ24" s="1859">
        <f t="shared" si="35"/>
        <v>0</v>
      </c>
      <c r="AR24" s="1859">
        <f t="shared" si="35"/>
        <v>0</v>
      </c>
      <c r="AS24" s="1859">
        <f t="shared" si="35"/>
        <v>0</v>
      </c>
      <c r="AT24" s="1862">
        <f t="shared" si="35"/>
        <v>0</v>
      </c>
      <c r="AU24" s="1859">
        <f t="shared" si="35"/>
        <v>0</v>
      </c>
      <c r="AV24" s="1859">
        <f t="shared" si="35"/>
        <v>0</v>
      </c>
      <c r="AW24" s="1860">
        <f t="shared" si="35"/>
        <v>0</v>
      </c>
      <c r="AX24" s="1740"/>
      <c r="AY24" s="1740"/>
      <c r="AZ24" s="1740"/>
      <c r="BA24" s="1740"/>
      <c r="BB24" s="1740"/>
      <c r="BC24" s="1740"/>
      <c r="BD24" s="1740"/>
      <c r="BE24" s="1740"/>
      <c r="BF24" s="1740"/>
      <c r="BG24" s="1740"/>
      <c r="BH24" s="1740"/>
      <c r="BI24" s="1768"/>
      <c r="BJ24" s="1768"/>
      <c r="BK24" s="1769">
        <f t="shared" si="4"/>
        <v>0</v>
      </c>
    </row>
    <row r="25" spans="1:63" ht="47.25">
      <c r="B25" s="1745">
        <f>B24+1</f>
        <v>8</v>
      </c>
      <c r="C25" s="1864" t="s">
        <v>3702</v>
      </c>
      <c r="D25" s="1749"/>
      <c r="E25" s="1865">
        <f>BE19</f>
        <v>213</v>
      </c>
      <c r="F25" s="1866">
        <f>BE22</f>
        <v>1940.6470000000002</v>
      </c>
      <c r="G25" s="1867">
        <f ca="1">SUM(G26,G30:G33,G44)</f>
        <v>481666.12657649908</v>
      </c>
      <c r="H25" s="1868">
        <f t="shared" ref="H25:P25" ca="1" si="36">SUM(H26,H30:H33,H44)</f>
        <v>518101.87987410824</v>
      </c>
      <c r="I25" s="1868">
        <f t="shared" ca="1" si="36"/>
        <v>0</v>
      </c>
      <c r="J25" s="1868">
        <f ca="1">SUM(J26,J30:J33,J44)</f>
        <v>629547.66789826169</v>
      </c>
      <c r="K25" s="1832">
        <f t="shared" ca="1" si="36"/>
        <v>1629315.6743488689</v>
      </c>
      <c r="L25" s="1867">
        <f ca="1">SUM(L26,L30:L33,L44)</f>
        <v>464388.71676209441</v>
      </c>
      <c r="M25" s="1868">
        <f t="shared" ca="1" si="36"/>
        <v>888046.0398414518</v>
      </c>
      <c r="N25" s="1868">
        <f t="shared" ca="1" si="36"/>
        <v>0</v>
      </c>
      <c r="O25" s="1868">
        <f ca="1">SUM(O26,O30:O33,O44)</f>
        <v>2183883.7660242273</v>
      </c>
      <c r="P25" s="1832">
        <f t="shared" ca="1" si="36"/>
        <v>3536318.5226277732</v>
      </c>
      <c r="Q25" s="1867">
        <f ca="1">SUM(Q26,Q30:Q33,Q44)</f>
        <v>211808.52734519562</v>
      </c>
      <c r="R25" s="1869">
        <f t="shared" ref="R25:Z25" ca="1" si="37">SUM(R26,R30:R33,R44)</f>
        <v>245543.23762233852</v>
      </c>
      <c r="S25" s="1868">
        <f t="shared" ca="1" si="37"/>
        <v>206833.29990191574</v>
      </c>
      <c r="T25" s="1868">
        <f t="shared" ca="1" si="37"/>
        <v>214221.27366588742</v>
      </c>
      <c r="U25" s="1868">
        <f t="shared" ca="1" si="37"/>
        <v>0</v>
      </c>
      <c r="V25" s="1868">
        <f t="shared" ca="1" si="37"/>
        <v>0</v>
      </c>
      <c r="W25" s="1868">
        <f t="shared" ca="1" si="37"/>
        <v>296186.89192391961</v>
      </c>
      <c r="X25" s="1870">
        <f t="shared" ca="1" si="37"/>
        <v>340437.70157586248</v>
      </c>
      <c r="Y25" s="1870">
        <f t="shared" ca="1" si="37"/>
        <v>714828.71917103091</v>
      </c>
      <c r="Z25" s="1870">
        <f t="shared" ca="1" si="37"/>
        <v>800202.21286408836</v>
      </c>
      <c r="AA25" s="1832">
        <f ca="1">SUM(AA26,AA30:AA33,AA44)</f>
        <v>1515030.9320351193</v>
      </c>
      <c r="AB25" s="1867">
        <f ca="1">SUM(AB26,AB30:AB33,AB44)</f>
        <v>110548.17499502646</v>
      </c>
      <c r="AC25" s="1869">
        <f t="shared" ref="AC25:AK25" ca="1" si="38">SUM(AC26,AC30:AC33,AC44)</f>
        <v>110713.39095046354</v>
      </c>
      <c r="AD25" s="1868">
        <f t="shared" ca="1" si="38"/>
        <v>110131.63423541572</v>
      </c>
      <c r="AE25" s="1868">
        <f t="shared" ca="1" si="38"/>
        <v>110057.28584260785</v>
      </c>
      <c r="AF25" s="1868">
        <f t="shared" ca="1" si="38"/>
        <v>0</v>
      </c>
      <c r="AG25" s="1868">
        <f t="shared" ca="1" si="38"/>
        <v>0</v>
      </c>
      <c r="AH25" s="1868">
        <f t="shared" ca="1" si="38"/>
        <v>113792.69374512913</v>
      </c>
      <c r="AI25" s="1870">
        <f t="shared" ca="1" si="38"/>
        <v>106337.64302959543</v>
      </c>
      <c r="AJ25" s="1870">
        <f t="shared" ca="1" si="38"/>
        <v>334472.50297557132</v>
      </c>
      <c r="AK25" s="1870">
        <f t="shared" ca="1" si="38"/>
        <v>327108.31982266682</v>
      </c>
      <c r="AL25" s="1832">
        <f ca="1">SUM(AL26,AL30:AL33,AL44)</f>
        <v>661580.82279823825</v>
      </c>
      <c r="AM25" s="1867">
        <f>SUM(AM26,AM30:AM33,AM44)</f>
        <v>0</v>
      </c>
      <c r="AN25" s="1869">
        <f t="shared" ref="AN25:AW25" si="39">SUM(AN26,AN30:AN33,AN44)</f>
        <v>0</v>
      </c>
      <c r="AO25" s="1868">
        <f t="shared" si="39"/>
        <v>0</v>
      </c>
      <c r="AP25" s="1868">
        <f t="shared" si="39"/>
        <v>0</v>
      </c>
      <c r="AQ25" s="1868">
        <f t="shared" si="39"/>
        <v>0</v>
      </c>
      <c r="AR25" s="1868">
        <f t="shared" si="39"/>
        <v>0</v>
      </c>
      <c r="AS25" s="1868">
        <f t="shared" si="39"/>
        <v>0</v>
      </c>
      <c r="AT25" s="1870">
        <f t="shared" si="39"/>
        <v>0</v>
      </c>
      <c r="AU25" s="1870">
        <f t="shared" si="39"/>
        <v>0</v>
      </c>
      <c r="AV25" s="1870">
        <f t="shared" si="39"/>
        <v>0</v>
      </c>
      <c r="AW25" s="1832">
        <f t="shared" si="39"/>
        <v>0</v>
      </c>
      <c r="AX25" s="1740">
        <f ca="1">SUM(K25,P25,AA25,AL25)</f>
        <v>7342245.9518099995</v>
      </c>
      <c r="AY25" s="1740" t="b">
        <f ca="1">AX25='[30]СС 2016'!D183-'[30]СС 2016'!L183</f>
        <v>1</v>
      </c>
      <c r="AZ25" s="1740"/>
      <c r="BA25" s="1836">
        <f t="shared" ref="BA25:BF25" ca="1" si="40">SUM(BA26,BA30:BA33,BA44)</f>
        <v>1624668.1742516179</v>
      </c>
      <c r="BB25" s="1836">
        <f t="shared" ca="1" si="40"/>
        <v>2047391.4133613869</v>
      </c>
      <c r="BC25" s="1836">
        <f t="shared" ca="1" si="40"/>
        <v>0</v>
      </c>
      <c r="BD25" s="1836">
        <f t="shared" ca="1" si="40"/>
        <v>3670186.3641969953</v>
      </c>
      <c r="BE25" s="1836">
        <f t="shared" ca="1" si="40"/>
        <v>7342245.9518100005</v>
      </c>
      <c r="BF25" s="1836">
        <f t="shared" ca="1" si="40"/>
        <v>7342245.9518099995</v>
      </c>
      <c r="BG25" s="1740"/>
      <c r="BH25" s="1740"/>
      <c r="BI25" s="1871">
        <f ca="1">SUM(BI26,BI30:BI33,BI44)</f>
        <v>1624668.1742516176</v>
      </c>
      <c r="BJ25" s="1871">
        <f ca="1">SUM(BJ26,BJ30:BJ33,BJ44)</f>
        <v>5717577.7775583817</v>
      </c>
      <c r="BK25" s="1871">
        <f ca="1">SUM(BK26,BK30:BK33,BK44)</f>
        <v>7342245.9518099995</v>
      </c>
    </row>
    <row r="26" spans="1:63" ht="15.75">
      <c r="A26" s="1739">
        <v>1</v>
      </c>
      <c r="B26" s="1872" t="str">
        <f>CONCATENATE($B$25,".",A26)</f>
        <v>8.1</v>
      </c>
      <c r="C26" s="1873" t="s">
        <v>3703</v>
      </c>
      <c r="D26" s="1874"/>
      <c r="E26" s="1875"/>
      <c r="F26" s="1874"/>
      <c r="G26" s="1876">
        <f ca="1">SUM(G27:G29)</f>
        <v>1007.8735473267984</v>
      </c>
      <c r="H26" s="1779">
        <f t="shared" ref="H26:I26" ca="1" si="41">SUM(H27:H29)</f>
        <v>1036.7377185858172</v>
      </c>
      <c r="I26" s="1779">
        <f t="shared" ca="1" si="41"/>
        <v>0</v>
      </c>
      <c r="J26" s="1779">
        <f ca="1">SUM(J27:J29)</f>
        <v>3116.0487340873833</v>
      </c>
      <c r="K26" s="2951">
        <f ca="1">SUMIF('СС 2016'!$C$184:$C$204,'C1 2016'!$C26,'СС 2016'!$H$184:$H$204)</f>
        <v>5160.6599999999989</v>
      </c>
      <c r="L26" s="1876">
        <f ca="1">SUM(L27:L29)</f>
        <v>11719.088132725428</v>
      </c>
      <c r="M26" s="1779">
        <f t="shared" ref="M26:N26" ca="1" si="42">SUM(M27:M29)</f>
        <v>12054.706639394319</v>
      </c>
      <c r="N26" s="1779">
        <f t="shared" ca="1" si="42"/>
        <v>0</v>
      </c>
      <c r="O26" s="1779">
        <f ca="1">SUM(O27:O29)</f>
        <v>36231.91522788025</v>
      </c>
      <c r="P26" s="1877">
        <f ca="1">SUMIF('СС 2016'!$C$184:$C$204,'C1 2016'!$C26,'СС 2016'!$I$184:$I$204)</f>
        <v>60005.71</v>
      </c>
      <c r="Q26" s="1878">
        <f t="shared" ref="Q26:X27" ca="1" si="43">Q$13/$AA$13*$AA26</f>
        <v>472.14298813201094</v>
      </c>
      <c r="R26" s="1879">
        <f t="shared" ca="1" si="43"/>
        <v>472.14298813201094</v>
      </c>
      <c r="S26" s="1880">
        <f t="shared" ca="1" si="43"/>
        <v>708.21448219801653</v>
      </c>
      <c r="T26" s="1880">
        <f t="shared" ca="1" si="43"/>
        <v>708.21448219801653</v>
      </c>
      <c r="U26" s="1880">
        <f t="shared" ca="1" si="43"/>
        <v>0</v>
      </c>
      <c r="V26" s="1880">
        <f t="shared" ca="1" si="43"/>
        <v>0</v>
      </c>
      <c r="W26" s="1880">
        <f t="shared" ca="1" si="43"/>
        <v>2124.6434465940497</v>
      </c>
      <c r="X26" s="1881">
        <f t="shared" ca="1" si="43"/>
        <v>2775.0204127458942</v>
      </c>
      <c r="Y26" s="1882">
        <f t="shared" ref="Y26:Z26" ca="1" si="44">SUM(Y27:Y29)</f>
        <v>3305.0009169240766</v>
      </c>
      <c r="Z26" s="1882">
        <f t="shared" ca="1" si="44"/>
        <v>3955.3778830759215</v>
      </c>
      <c r="AA26" s="1877">
        <f ca="1">SUMIF('СС 2016'!$C$184:$C$204,'C1 2016'!$C26,'СС 2016'!$J$184:$J$204)</f>
        <v>7260.3787999999986</v>
      </c>
      <c r="AB26" s="1878">
        <f ca="1">AB$13/$AL$13*$AL26</f>
        <v>5.0298412698412687</v>
      </c>
      <c r="AC26" s="1879">
        <f ca="1">AC$13/$AL$13*$AL26</f>
        <v>5.0298412698412687</v>
      </c>
      <c r="AD26" s="1880">
        <f ca="1">AD$13/$AL$13*$AL26</f>
        <v>7.5447619047619039</v>
      </c>
      <c r="AE26" s="1880">
        <f ca="1">AE$13/$AL$13*$AL26</f>
        <v>7.5447619047619039</v>
      </c>
      <c r="AF26" s="1880">
        <f t="shared" ref="AC26:AH27" ca="1" si="45">AF$13/$AL$13*$AL26</f>
        <v>0</v>
      </c>
      <c r="AG26" s="1880">
        <f t="shared" ca="1" si="45"/>
        <v>0</v>
      </c>
      <c r="AH26" s="1880">
        <f ca="1">AH$13/$AL$13*$AL26</f>
        <v>22.634285714285713</v>
      </c>
      <c r="AI26" s="1881">
        <f ca="1">AI$13/$AL$13*$AL26</f>
        <v>31.43650793650793</v>
      </c>
      <c r="AJ26" s="1882">
        <f t="shared" ref="AJ26" ca="1" si="46">SUM(AJ27:AJ29)</f>
        <v>35.208888888888886</v>
      </c>
      <c r="AK26" s="1882">
        <f t="shared" ref="AK26" ca="1" si="47">SUM(AK27:AK29)</f>
        <v>44.011111111111106</v>
      </c>
      <c r="AL26" s="1877">
        <f ca="1">SUMIF('СС 2016'!$C$184:$C$204,'C1 2016'!$C26,'СС 2016'!$K$184:$K$204)</f>
        <v>79.219999999999985</v>
      </c>
      <c r="AM26" s="1878">
        <f>AM$13/$AW$13*$AW26</f>
        <v>0</v>
      </c>
      <c r="AN26" s="1879">
        <f t="shared" ref="AN26:AT27" si="48">AN$13/$AW$13*$AW26</f>
        <v>0</v>
      </c>
      <c r="AO26" s="1880">
        <f t="shared" si="48"/>
        <v>0</v>
      </c>
      <c r="AP26" s="1880">
        <f t="shared" si="48"/>
        <v>0</v>
      </c>
      <c r="AQ26" s="1880">
        <f t="shared" si="48"/>
        <v>0</v>
      </c>
      <c r="AR26" s="1880">
        <f t="shared" si="48"/>
        <v>0</v>
      </c>
      <c r="AS26" s="1880">
        <f t="shared" si="48"/>
        <v>0</v>
      </c>
      <c r="AT26" s="1881">
        <f t="shared" si="48"/>
        <v>0</v>
      </c>
      <c r="AU26" s="1882">
        <f t="shared" ref="AU26:AV26" si="49">SUM(AU27:AU29)</f>
        <v>0</v>
      </c>
      <c r="AV26" s="1882">
        <f t="shared" si="49"/>
        <v>0</v>
      </c>
      <c r="AW26" s="1877"/>
      <c r="AX26" s="1740">
        <f>'[30]СС 2016'!L183</f>
        <v>0</v>
      </c>
      <c r="AY26" s="1740"/>
      <c r="AZ26" s="1740"/>
      <c r="BA26" s="1883">
        <f ca="1">SUM(G26,L26,Q26:R26,AB26:AC26)</f>
        <v>13681.307338855931</v>
      </c>
      <c r="BB26" s="1883">
        <f ca="1">SUM(H26,M26,S26:T26,AD26:AE26)</f>
        <v>14522.962846185694</v>
      </c>
      <c r="BC26" s="1883">
        <f ca="1">SUM(I26,N26,U26:V26,AF26:AG26)</f>
        <v>0</v>
      </c>
      <c r="BD26" s="1883">
        <f ca="1">SUM(J26,O26,W26:X26,AH26:AI26)</f>
        <v>44301.698614958368</v>
      </c>
      <c r="BE26" s="1883">
        <f ca="1">SUM(K26,P26,Y26:Z26,AJ26:AK26)</f>
        <v>72505.968800000002</v>
      </c>
      <c r="BF26" s="1883">
        <f ca="1">SUM(BA26:BD26)</f>
        <v>72505.968800000002</v>
      </c>
      <c r="BG26" s="1740" t="b">
        <f ca="1">BE26=BF26</f>
        <v>1</v>
      </c>
      <c r="BH26" s="1740"/>
      <c r="BI26" s="1884">
        <f ca="1">SUM(BI27:BI29)</f>
        <v>13681.307338855931</v>
      </c>
      <c r="BJ26" s="1884">
        <f ca="1">SUM(BJ27:BJ29)</f>
        <v>58824.66146114406</v>
      </c>
      <c r="BK26" s="1884">
        <f ca="1">SUM(BK27:BK29)</f>
        <v>72505.968799999988</v>
      </c>
    </row>
    <row r="27" spans="1:63" ht="15.75">
      <c r="B27" s="1872"/>
      <c r="C27" s="1886" t="s">
        <v>3766</v>
      </c>
      <c r="D27" s="1874"/>
      <c r="E27" s="1875"/>
      <c r="F27" s="1874"/>
      <c r="G27" s="1878">
        <f>G$13/$K$13*$K27</f>
        <v>467.91570401868557</v>
      </c>
      <c r="H27" s="1880">
        <f t="shared" ref="H27:I27" si="50">H$13/$K$13*$K27</f>
        <v>489.80225259890022</v>
      </c>
      <c r="I27" s="1880">
        <f t="shared" si="50"/>
        <v>0</v>
      </c>
      <c r="J27" s="1880">
        <f>J$13/$K$13*$K27</f>
        <v>1893.9020433824139</v>
      </c>
      <c r="K27" s="1877">
        <f>SUMIF('СС 2016'!$C$184:$C$204,'C1 2016'!$C27,'СС 2016'!$H$184:$H$204)</f>
        <v>2851.62</v>
      </c>
      <c r="L27" s="1878">
        <f>L$13/$P13*$P27</f>
        <v>5440.6994394020403</v>
      </c>
      <c r="M27" s="1880">
        <f t="shared" ref="M27:N27" si="51">M$13/$P13*$P27</f>
        <v>5695.1857316297192</v>
      </c>
      <c r="N27" s="1880">
        <f t="shared" si="51"/>
        <v>0</v>
      </c>
      <c r="O27" s="1880">
        <f>O$13/$P13*$P27</f>
        <v>22021.384828968243</v>
      </c>
      <c r="P27" s="1877">
        <f>SUMIF('СС 2016'!$C$184:$C$204,'C1 2016'!$C27,'СС 2016'!$I$184:$I$204)</f>
        <v>33157.270000000004</v>
      </c>
      <c r="Q27" s="1878">
        <f t="shared" si="43"/>
        <v>217.79999479759391</v>
      </c>
      <c r="R27" s="1879">
        <f t="shared" si="43"/>
        <v>217.79999479759391</v>
      </c>
      <c r="S27" s="1880">
        <f t="shared" si="43"/>
        <v>326.69999219639089</v>
      </c>
      <c r="T27" s="1880">
        <f t="shared" si="43"/>
        <v>326.69999219639089</v>
      </c>
      <c r="U27" s="1880">
        <f t="shared" si="43"/>
        <v>0</v>
      </c>
      <c r="V27" s="1880">
        <f t="shared" si="43"/>
        <v>0</v>
      </c>
      <c r="W27" s="1880">
        <f t="shared" si="43"/>
        <v>980.09997658917268</v>
      </c>
      <c r="X27" s="1881">
        <f t="shared" si="43"/>
        <v>1280.1194694228582</v>
      </c>
      <c r="Y27" s="1882">
        <f t="shared" ref="Y27:Z32" si="52">SUM(Q27,S27,U27,W27)</f>
        <v>1524.5999635831574</v>
      </c>
      <c r="Z27" s="1882">
        <f t="shared" si="52"/>
        <v>1824.6194564168429</v>
      </c>
      <c r="AA27" s="1877">
        <f>SUMIF('СС 2016'!$C$184:$C$204,'C1 2016'!$C27,'СС 2016'!$J$184:$J$204)</f>
        <v>3349.2194200000004</v>
      </c>
      <c r="AB27" s="1878">
        <f>AB$13/$AL$13*$AL27</f>
        <v>2.2044444444444444</v>
      </c>
      <c r="AC27" s="1879">
        <f t="shared" si="45"/>
        <v>2.2044444444444444</v>
      </c>
      <c r="AD27" s="1880">
        <f t="shared" si="45"/>
        <v>3.3066666666666666</v>
      </c>
      <c r="AE27" s="1880">
        <f t="shared" si="45"/>
        <v>3.3066666666666666</v>
      </c>
      <c r="AF27" s="1880">
        <f t="shared" si="45"/>
        <v>0</v>
      </c>
      <c r="AG27" s="1880">
        <f t="shared" si="45"/>
        <v>0</v>
      </c>
      <c r="AH27" s="1880">
        <f t="shared" si="45"/>
        <v>9.9200000000000017</v>
      </c>
      <c r="AI27" s="1881">
        <f>AI$13/$AL$13*$AL27</f>
        <v>13.777777777777777</v>
      </c>
      <c r="AJ27" s="1882">
        <f t="shared" ref="AJ27:AK32" si="53">SUM(AB27,AD27,AF27,AH27)</f>
        <v>15.431111111111113</v>
      </c>
      <c r="AK27" s="1882">
        <f t="shared" si="53"/>
        <v>19.288888888888888</v>
      </c>
      <c r="AL27" s="1877">
        <f>SUMIF('СС 2016'!$C$184:$C$204,'C1 2016'!$C27,'СС 2016'!$K$184:$K$204)</f>
        <v>34.72</v>
      </c>
      <c r="AM27" s="1878">
        <f>AM$13/$AW$13*$AW27</f>
        <v>0</v>
      </c>
      <c r="AN27" s="1879">
        <f t="shared" si="48"/>
        <v>0</v>
      </c>
      <c r="AO27" s="1880">
        <f t="shared" si="48"/>
        <v>0</v>
      </c>
      <c r="AP27" s="1880">
        <f t="shared" si="48"/>
        <v>0</v>
      </c>
      <c r="AQ27" s="1880">
        <f t="shared" si="48"/>
        <v>0</v>
      </c>
      <c r="AR27" s="1880">
        <f t="shared" si="48"/>
        <v>0</v>
      </c>
      <c r="AS27" s="1880">
        <f t="shared" si="48"/>
        <v>0</v>
      </c>
      <c r="AT27" s="1881">
        <f t="shared" si="48"/>
        <v>0</v>
      </c>
      <c r="AU27" s="1882">
        <f t="shared" ref="AU27:AV32" si="54">SUM(AM27,AO27,AQ27,AS27)</f>
        <v>0</v>
      </c>
      <c r="AV27" s="1882">
        <f t="shared" si="54"/>
        <v>0</v>
      </c>
      <c r="AW27" s="1877"/>
      <c r="AX27" s="1740"/>
      <c r="AY27" s="1740"/>
      <c r="AZ27" s="1740"/>
      <c r="BA27" s="1883">
        <f>SUM(G27,L27,Q27:R27,AB27:AC27)</f>
        <v>6348.6240219048032</v>
      </c>
      <c r="BB27" s="1883">
        <f t="shared" ref="BB27:BB49" si="55">SUM(H27,M27,S27:T27,AD27:AE27)</f>
        <v>6845.0013019547332</v>
      </c>
      <c r="BC27" s="1883">
        <f t="shared" ref="BC27:BC49" si="56">SUM(I27,N27,U27:V27,AF27:AG27)</f>
        <v>0</v>
      </c>
      <c r="BD27" s="1883">
        <f>SUM(J27,O27,W27:X27,AH27:AI27)</f>
        <v>26199.204096140464</v>
      </c>
      <c r="BE27" s="1883">
        <f>SUM(K27,P27,Y27:Z27,AJ27:AK27)</f>
        <v>39392.829420000002</v>
      </c>
      <c r="BF27" s="1883">
        <f t="shared" ref="BF27:BF49" si="57">SUM(BA27:BD27)</f>
        <v>39392.829420000002</v>
      </c>
      <c r="BG27" s="1740" t="b">
        <f t="shared" ref="BG27:BG49" si="58">BE27=BF27</f>
        <v>1</v>
      </c>
      <c r="BH27" s="1740"/>
      <c r="BI27" s="1768">
        <f>BA27</f>
        <v>6348.6240219048032</v>
      </c>
      <c r="BJ27" s="1768">
        <f>SUM(BB27:BD27)</f>
        <v>33044.205398095197</v>
      </c>
      <c r="BK27" s="1768">
        <f>SUM(BI27:BJ27)</f>
        <v>39392.829420000002</v>
      </c>
    </row>
    <row r="28" spans="1:63" ht="15.75">
      <c r="B28" s="1872"/>
      <c r="C28" s="1886" t="s">
        <v>3755</v>
      </c>
      <c r="D28" s="1874"/>
      <c r="E28" s="1875"/>
      <c r="F28" s="1874"/>
      <c r="G28" s="1878">
        <f>G$15/$K$15*$K28</f>
        <v>228.56117664144639</v>
      </c>
      <c r="H28" s="1880">
        <f>H$15/$K$15*$K28</f>
        <v>235.53879932025072</v>
      </c>
      <c r="I28" s="1880">
        <f t="shared" ref="I28" si="59">I$15/$K$15*$K28</f>
        <v>0</v>
      </c>
      <c r="J28" s="1880">
        <f>J$15/$K$15*$K28</f>
        <v>910.75002403830274</v>
      </c>
      <c r="K28" s="1877">
        <f>SUMIF('СС 2016'!$C$184:$C$204,'C1 2016'!$C28,'СС 2016'!$H$184:$H$204)</f>
        <v>1374.85</v>
      </c>
      <c r="L28" s="1878">
        <f>L$15/$P15*$P28</f>
        <v>2657.5920266567218</v>
      </c>
      <c r="M28" s="1880">
        <f t="shared" ref="M28:N28" si="60">M$15/$P15*$P28</f>
        <v>2738.7242410979338</v>
      </c>
      <c r="N28" s="1880">
        <f t="shared" si="60"/>
        <v>0</v>
      </c>
      <c r="O28" s="1880">
        <f>O$15/$P15*$P28</f>
        <v>10589.733732245344</v>
      </c>
      <c r="P28" s="1877">
        <f>SUMIF('СС 2016'!$C$184:$C$204,'C1 2016'!$C28,'СС 2016'!$I$184:$I$204)</f>
        <v>15986.05</v>
      </c>
      <c r="Q28" s="1878">
        <f>Q$15/$AA$15*$AA28</f>
        <v>222.31614046496509</v>
      </c>
      <c r="R28" s="1879">
        <f>R$15/$AA$15*$AA28</f>
        <v>222.31614046496509</v>
      </c>
      <c r="S28" s="1880">
        <f>S$15/$AA$15*$AA28</f>
        <v>333.47421069744769</v>
      </c>
      <c r="T28" s="1880">
        <f>T$15/$AA$15*$AA28</f>
        <v>333.47421069744769</v>
      </c>
      <c r="U28" s="1880">
        <f t="shared" ref="U28:V28" si="61">U$15/$AA$15*$AA28</f>
        <v>0</v>
      </c>
      <c r="V28" s="1880">
        <f t="shared" si="61"/>
        <v>0</v>
      </c>
      <c r="W28" s="1880">
        <f>W$15/$AA$15*$AA28</f>
        <v>1000.4226320923431</v>
      </c>
      <c r="X28" s="1881">
        <f>X$15/$AA$15*$AA28</f>
        <v>1306.6631155828322</v>
      </c>
      <c r="Y28" s="1882">
        <f t="shared" si="52"/>
        <v>1556.2129832547557</v>
      </c>
      <c r="Z28" s="1882">
        <f t="shared" si="52"/>
        <v>1862.4534667452449</v>
      </c>
      <c r="AA28" s="1877">
        <f>SUMIF('СС 2016'!$C$184:$C$204,'C1 2016'!$C28,'СС 2016'!$J$184:$J$204)</f>
        <v>3418.6664500000006</v>
      </c>
      <c r="AB28" s="1878">
        <f>AB$15/$AL$15*$AL28</f>
        <v>1.5530158730158734</v>
      </c>
      <c r="AC28" s="1879">
        <f t="shared" ref="AC28:AH28" si="62">AC$15/$AL$15*$AL28</f>
        <v>1.5530158730158734</v>
      </c>
      <c r="AD28" s="1880">
        <f t="shared" si="62"/>
        <v>2.3295238095238098</v>
      </c>
      <c r="AE28" s="1880">
        <f t="shared" si="62"/>
        <v>2.3295238095238098</v>
      </c>
      <c r="AF28" s="1880">
        <f t="shared" si="62"/>
        <v>0</v>
      </c>
      <c r="AG28" s="1880">
        <f t="shared" si="62"/>
        <v>0</v>
      </c>
      <c r="AH28" s="1880">
        <f t="shared" si="62"/>
        <v>6.9885714285714302</v>
      </c>
      <c r="AI28" s="1881">
        <f>AI$15/$AL$15*$AL28</f>
        <v>9.7063492063492074</v>
      </c>
      <c r="AJ28" s="1882">
        <f t="shared" si="53"/>
        <v>10.871111111111112</v>
      </c>
      <c r="AK28" s="1882">
        <f t="shared" si="53"/>
        <v>13.58888888888889</v>
      </c>
      <c r="AL28" s="1877">
        <f>SUMIF('СС 2016'!$C$184:$C$204,'C1 2016'!$C28,'СС 2016'!$K$184:$K$204)</f>
        <v>24.46</v>
      </c>
      <c r="AM28" s="1878">
        <f>AM$15/$AW$15*$AW28</f>
        <v>0</v>
      </c>
      <c r="AN28" s="1879">
        <f t="shared" ref="AN28:AT28" si="63">AN$15/$AW$15*$AW28</f>
        <v>0</v>
      </c>
      <c r="AO28" s="1880">
        <f>AO$15/$AW$15*$AW28</f>
        <v>0</v>
      </c>
      <c r="AP28" s="1880">
        <f t="shared" si="63"/>
        <v>0</v>
      </c>
      <c r="AQ28" s="1880">
        <f t="shared" si="63"/>
        <v>0</v>
      </c>
      <c r="AR28" s="1880">
        <f t="shared" si="63"/>
        <v>0</v>
      </c>
      <c r="AS28" s="1880">
        <f t="shared" si="63"/>
        <v>0</v>
      </c>
      <c r="AT28" s="1881">
        <f t="shared" si="63"/>
        <v>0</v>
      </c>
      <c r="AU28" s="1882">
        <f t="shared" si="54"/>
        <v>0</v>
      </c>
      <c r="AV28" s="1882">
        <f t="shared" si="54"/>
        <v>0</v>
      </c>
      <c r="AW28" s="1877"/>
      <c r="AX28" s="1740"/>
      <c r="AY28" s="1740"/>
      <c r="AZ28" s="1740"/>
      <c r="BA28" s="1883">
        <f t="shared" ref="BA28:BA49" si="64">SUM(G28,L28,Q28:R28,AB28:AC28)</f>
        <v>3333.8915159741296</v>
      </c>
      <c r="BB28" s="1883">
        <f t="shared" si="55"/>
        <v>3645.8705094321276</v>
      </c>
      <c r="BC28" s="1883">
        <f t="shared" si="56"/>
        <v>0</v>
      </c>
      <c r="BD28" s="1883">
        <f t="shared" ref="BD28:BD49" si="65">SUM(J28,O28,W28:X28,AH28:AI28)</f>
        <v>13824.264424593744</v>
      </c>
      <c r="BE28" s="1883">
        <f t="shared" ref="BE28:BE49" si="66">SUM(K28,P28,Y28:Z28,AJ28:AK28)</f>
        <v>20804.026449999998</v>
      </c>
      <c r="BF28" s="1883">
        <f t="shared" si="57"/>
        <v>20804.026450000001</v>
      </c>
      <c r="BG28" s="1740" t="b">
        <f t="shared" si="58"/>
        <v>1</v>
      </c>
      <c r="BH28" s="1740"/>
      <c r="BI28" s="1768">
        <f t="shared" ref="BI28:BI32" si="67">BA28</f>
        <v>3333.8915159741296</v>
      </c>
      <c r="BJ28" s="1768">
        <f t="shared" ref="BJ28:BJ32" si="68">SUM(BB28:BD28)</f>
        <v>17470.134934025871</v>
      </c>
      <c r="BK28" s="1768">
        <f t="shared" ref="BK28:BK32" si="69">SUM(BI28:BJ28)</f>
        <v>20804.026450000001</v>
      </c>
    </row>
    <row r="29" spans="1:63" ht="15.75">
      <c r="B29" s="1872"/>
      <c r="C29" s="1887" t="s">
        <v>3767</v>
      </c>
      <c r="D29" s="1874"/>
      <c r="E29" s="1875"/>
      <c r="F29" s="1874"/>
      <c r="G29" s="1878">
        <f ca="1">G$16/$K$16*$K29</f>
        <v>311.39666666666642</v>
      </c>
      <c r="H29" s="1880">
        <f ca="1">H$16/$K$16*$K29</f>
        <v>311.39666666666642</v>
      </c>
      <c r="I29" s="1880">
        <f t="shared" ref="I29" ca="1" si="70">I$16/$K$16*$K29</f>
        <v>0</v>
      </c>
      <c r="J29" s="1880">
        <f ca="1">K29-G29-H29-I29</f>
        <v>311.39666666666631</v>
      </c>
      <c r="K29" s="1885">
        <f ca="1">K26-K27-K28</f>
        <v>934.18999999999915</v>
      </c>
      <c r="L29" s="1878">
        <f ca="1">L$16/$P16*$P29</f>
        <v>3620.7966666666657</v>
      </c>
      <c r="M29" s="1880">
        <f t="shared" ref="M29:O29" ca="1" si="71">M$16/$P16*$P29</f>
        <v>3620.7966666666657</v>
      </c>
      <c r="N29" s="1880">
        <f t="shared" ca="1" si="71"/>
        <v>0</v>
      </c>
      <c r="O29" s="1880">
        <f t="shared" ca="1" si="71"/>
        <v>3620.7966666666644</v>
      </c>
      <c r="P29" s="1885">
        <f ca="1">P26-P27-P28</f>
        <v>10862.389999999996</v>
      </c>
      <c r="Q29" s="1876">
        <f ca="1">Q26-Q27-Q28</f>
        <v>32.026852869451943</v>
      </c>
      <c r="R29" s="1888">
        <f t="shared" ref="R29:X29" ca="1" si="72">R26-R27-R28</f>
        <v>32.026852869451943</v>
      </c>
      <c r="S29" s="1779">
        <f t="shared" ca="1" si="72"/>
        <v>48.040279304177943</v>
      </c>
      <c r="T29" s="1779">
        <f t="shared" ca="1" si="72"/>
        <v>48.040279304177943</v>
      </c>
      <c r="U29" s="1779">
        <f t="shared" ca="1" si="72"/>
        <v>0</v>
      </c>
      <c r="V29" s="1779">
        <f t="shared" ca="1" si="72"/>
        <v>0</v>
      </c>
      <c r="W29" s="1779">
        <f t="shared" ca="1" si="72"/>
        <v>144.12083791253394</v>
      </c>
      <c r="X29" s="1882">
        <f t="shared" ca="1" si="72"/>
        <v>188.23782774020378</v>
      </c>
      <c r="Y29" s="1882">
        <f ca="1">SUM(Q29,S29,U29,W29)</f>
        <v>224.18797008616383</v>
      </c>
      <c r="Z29" s="1882">
        <f t="shared" ca="1" si="52"/>
        <v>268.30495991383367</v>
      </c>
      <c r="AA29" s="1885">
        <f ca="1">AA26-AA27-AA28</f>
        <v>492.49292999999761</v>
      </c>
      <c r="AB29" s="1876">
        <f ca="1">AB26-AB27-AB28</f>
        <v>1.2723809523809508</v>
      </c>
      <c r="AC29" s="1888">
        <f t="shared" ref="AC29:AI29" ca="1" si="73">AC26-AC27-AC28</f>
        <v>1.2723809523809508</v>
      </c>
      <c r="AD29" s="1779">
        <f t="shared" ca="1" si="73"/>
        <v>1.9085714285714275</v>
      </c>
      <c r="AE29" s="1779">
        <f t="shared" ca="1" si="73"/>
        <v>1.9085714285714275</v>
      </c>
      <c r="AF29" s="1779">
        <f t="shared" ca="1" si="73"/>
        <v>0</v>
      </c>
      <c r="AG29" s="1779">
        <f t="shared" ca="1" si="73"/>
        <v>0</v>
      </c>
      <c r="AH29" s="1779">
        <f t="shared" ca="1" si="73"/>
        <v>5.7257142857142815</v>
      </c>
      <c r="AI29" s="1882">
        <f t="shared" ca="1" si="73"/>
        <v>7.9523809523809437</v>
      </c>
      <c r="AJ29" s="1882">
        <f t="shared" ca="1" si="53"/>
        <v>8.9066666666666592</v>
      </c>
      <c r="AK29" s="1882">
        <f t="shared" ca="1" si="53"/>
        <v>11.133333333333322</v>
      </c>
      <c r="AL29" s="1885">
        <f ca="1">AL26-AL27-AL28</f>
        <v>20.039999999999985</v>
      </c>
      <c r="AM29" s="1876">
        <f>AM26-AM27-AM28</f>
        <v>0</v>
      </c>
      <c r="AN29" s="1888">
        <f t="shared" ref="AN29:AT29" si="74">AN26-AN27-AN28</f>
        <v>0</v>
      </c>
      <c r="AO29" s="1779">
        <f t="shared" si="74"/>
        <v>0</v>
      </c>
      <c r="AP29" s="1779">
        <f t="shared" si="74"/>
        <v>0</v>
      </c>
      <c r="AQ29" s="1779">
        <f t="shared" si="74"/>
        <v>0</v>
      </c>
      <c r="AR29" s="1779">
        <f t="shared" si="74"/>
        <v>0</v>
      </c>
      <c r="AS29" s="1779">
        <f t="shared" si="74"/>
        <v>0</v>
      </c>
      <c r="AT29" s="1882">
        <f t="shared" si="74"/>
        <v>0</v>
      </c>
      <c r="AU29" s="1882">
        <f t="shared" si="54"/>
        <v>0</v>
      </c>
      <c r="AV29" s="1882">
        <f t="shared" si="54"/>
        <v>0</v>
      </c>
      <c r="AW29" s="1877"/>
      <c r="AX29" s="1740"/>
      <c r="AY29" s="1740"/>
      <c r="AZ29" s="1740"/>
      <c r="BA29" s="1883">
        <f t="shared" ca="1" si="64"/>
        <v>3998.7918009769978</v>
      </c>
      <c r="BB29" s="1883">
        <f t="shared" ca="1" si="55"/>
        <v>4032.0910347988315</v>
      </c>
      <c r="BC29" s="1883">
        <f t="shared" ca="1" si="56"/>
        <v>0</v>
      </c>
      <c r="BD29" s="1883">
        <f t="shared" ca="1" si="65"/>
        <v>4278.2300942241636</v>
      </c>
      <c r="BE29" s="1883">
        <f t="shared" ca="1" si="66"/>
        <v>12309.112929999992</v>
      </c>
      <c r="BF29" s="1883">
        <f t="shared" ca="1" si="57"/>
        <v>12309.112929999992</v>
      </c>
      <c r="BG29" s="1740" t="b">
        <f t="shared" ca="1" si="58"/>
        <v>1</v>
      </c>
      <c r="BH29" s="1740"/>
      <c r="BI29" s="1768">
        <f t="shared" ca="1" si="67"/>
        <v>3998.7918009769978</v>
      </c>
      <c r="BJ29" s="1768">
        <f t="shared" ca="1" si="68"/>
        <v>8310.3211290229956</v>
      </c>
      <c r="BK29" s="1768">
        <f t="shared" ca="1" si="69"/>
        <v>12309.112929999994</v>
      </c>
    </row>
    <row r="30" spans="1:63" ht="15.75">
      <c r="A30" s="1739">
        <f>A26+1</f>
        <v>2</v>
      </c>
      <c r="B30" s="1872" t="str">
        <f>CONCATENATE($B$25,".",A30)</f>
        <v>8.2</v>
      </c>
      <c r="C30" s="1873" t="s">
        <v>3704</v>
      </c>
      <c r="D30" s="1874"/>
      <c r="E30" s="1875"/>
      <c r="F30" s="1874"/>
      <c r="G30" s="1878">
        <f ca="1">G$16/$K$16*$K30</f>
        <v>110.44666666666669</v>
      </c>
      <c r="H30" s="1880">
        <f ca="1">H$16/$K$16*$K30</f>
        <v>110.44666666666669</v>
      </c>
      <c r="I30" s="1880">
        <f ca="1">I$16/$K$16*$K30</f>
        <v>0</v>
      </c>
      <c r="J30" s="1880">
        <f ca="1">K30-G30-H30-I30</f>
        <v>110.44666666666666</v>
      </c>
      <c r="K30" s="1877">
        <f ca="1">SUMIF('СС 2016'!$C$184:$C$204,'C1 2016'!$C30,'СС 2016'!$H$184:$H$204)</f>
        <v>331.34000000000003</v>
      </c>
      <c r="L30" s="1878">
        <f ca="1">L$16/$P16*$P30</f>
        <v>1284.23</v>
      </c>
      <c r="M30" s="1880">
        <f t="shared" ref="M30:O30" ca="1" si="75">M$16/$P16*$P30</f>
        <v>1284.23</v>
      </c>
      <c r="N30" s="1880">
        <f t="shared" ca="1" si="75"/>
        <v>0</v>
      </c>
      <c r="O30" s="1880">
        <f t="shared" ca="1" si="75"/>
        <v>1284.2299999999996</v>
      </c>
      <c r="P30" s="1877">
        <f ca="1">SUMIF('СС 2016'!$C$184:$C$204,'C1 2016'!$C30,'СС 2016'!$I$184:$I$204)</f>
        <v>3852.6899999999996</v>
      </c>
      <c r="Q30" s="1878">
        <f ca="1">Q$16/$AA$16*$AA30</f>
        <v>98.058970000000016</v>
      </c>
      <c r="R30" s="1879">
        <f ca="1">R$16/$AA$16*$AA30</f>
        <v>98.058970000000002</v>
      </c>
      <c r="S30" s="1880">
        <f t="shared" ref="S30:X30" ca="1" si="76">S$16/$AA$16*$AA30</f>
        <v>98.058970000000016</v>
      </c>
      <c r="T30" s="1880">
        <f t="shared" ca="1" si="76"/>
        <v>98.058970000000002</v>
      </c>
      <c r="U30" s="1880">
        <f t="shared" ca="1" si="76"/>
        <v>0</v>
      </c>
      <c r="V30" s="1880">
        <f t="shared" ca="1" si="76"/>
        <v>0</v>
      </c>
      <c r="W30" s="1880">
        <f t="shared" ca="1" si="76"/>
        <v>98.058970000000016</v>
      </c>
      <c r="X30" s="1881">
        <f t="shared" ca="1" si="76"/>
        <v>98.058970000000002</v>
      </c>
      <c r="Y30" s="1882">
        <f t="shared" ca="1" si="52"/>
        <v>294.17691000000002</v>
      </c>
      <c r="Z30" s="1882">
        <f t="shared" ca="1" si="52"/>
        <v>294.17691000000002</v>
      </c>
      <c r="AA30" s="1877">
        <f ca="1">SUMIF('СС 2016'!$C$184:$C$204,'C1 2016'!$C30,'СС 2016'!$J$184:$J$204)</f>
        <v>588.35382000000004</v>
      </c>
      <c r="AB30" s="1878">
        <f ca="1">AB$16/$AL$16*$AL30</f>
        <v>4.7349999999999994</v>
      </c>
      <c r="AC30" s="1879">
        <f t="shared" ref="AC30:AI30" ca="1" si="77">AC$16/$AL$16*$AL30</f>
        <v>4.7349999999999994</v>
      </c>
      <c r="AD30" s="1880">
        <f t="shared" ca="1" si="77"/>
        <v>4.7349999999999994</v>
      </c>
      <c r="AE30" s="1880">
        <f t="shared" ca="1" si="77"/>
        <v>4.7349999999999994</v>
      </c>
      <c r="AF30" s="1880">
        <f t="shared" ca="1" si="77"/>
        <v>0</v>
      </c>
      <c r="AG30" s="1880">
        <f t="shared" ca="1" si="77"/>
        <v>0</v>
      </c>
      <c r="AH30" s="1880">
        <f t="shared" ca="1" si="77"/>
        <v>4.7349999999999994</v>
      </c>
      <c r="AI30" s="1881">
        <f t="shared" ca="1" si="77"/>
        <v>4.7349999999999994</v>
      </c>
      <c r="AJ30" s="1882">
        <f t="shared" ca="1" si="53"/>
        <v>14.204999999999998</v>
      </c>
      <c r="AK30" s="1882">
        <f t="shared" ca="1" si="53"/>
        <v>14.204999999999998</v>
      </c>
      <c r="AL30" s="1877">
        <f ca="1">SUMIF('СС 2016'!$C$184:$C$204,'C1 2016'!$C30,'СС 2016'!$K$184:$K$204)</f>
        <v>28.41</v>
      </c>
      <c r="AM30" s="1878" t="b">
        <f>IF(AM$16/$AW$16*$AW30,0)</f>
        <v>0</v>
      </c>
      <c r="AN30" s="1879">
        <f t="shared" ref="AN30:AT30" si="78">AN$16/$AW$16*$AW30</f>
        <v>0</v>
      </c>
      <c r="AO30" s="1880">
        <f t="shared" si="78"/>
        <v>0</v>
      </c>
      <c r="AP30" s="1880">
        <f t="shared" si="78"/>
        <v>0</v>
      </c>
      <c r="AQ30" s="1880">
        <f t="shared" si="78"/>
        <v>0</v>
      </c>
      <c r="AR30" s="1880">
        <f t="shared" si="78"/>
        <v>0</v>
      </c>
      <c r="AS30" s="1880">
        <f t="shared" si="78"/>
        <v>0</v>
      </c>
      <c r="AT30" s="1881">
        <f t="shared" si="78"/>
        <v>0</v>
      </c>
      <c r="AU30" s="1882">
        <f t="shared" si="54"/>
        <v>0</v>
      </c>
      <c r="AV30" s="1882">
        <f t="shared" si="54"/>
        <v>0</v>
      </c>
      <c r="AW30" s="1877"/>
      <c r="AX30" s="1740"/>
      <c r="AY30" s="1740"/>
      <c r="AZ30" s="1740"/>
      <c r="BA30" s="1883">
        <f t="shared" ca="1" si="64"/>
        <v>1600.2646066666666</v>
      </c>
      <c r="BB30" s="1883">
        <f t="shared" ca="1" si="55"/>
        <v>1600.2646066666666</v>
      </c>
      <c r="BC30" s="1883">
        <f t="shared" ca="1" si="56"/>
        <v>0</v>
      </c>
      <c r="BD30" s="1883">
        <f t="shared" ca="1" si="65"/>
        <v>1600.2646066666662</v>
      </c>
      <c r="BE30" s="1883">
        <f t="shared" ca="1" si="66"/>
        <v>4800.7938199999999</v>
      </c>
      <c r="BF30" s="1883">
        <f t="shared" ca="1" si="57"/>
        <v>4800.793819999999</v>
      </c>
      <c r="BG30" s="1740" t="b">
        <f t="shared" ca="1" si="58"/>
        <v>1</v>
      </c>
      <c r="BH30" s="1740"/>
      <c r="BI30" s="1768">
        <f t="shared" ca="1" si="67"/>
        <v>1600.2646066666666</v>
      </c>
      <c r="BJ30" s="1768">
        <f t="shared" ca="1" si="68"/>
        <v>3200.5292133333328</v>
      </c>
      <c r="BK30" s="1768">
        <f t="shared" ca="1" si="69"/>
        <v>4800.793819999999</v>
      </c>
    </row>
    <row r="31" spans="1:63" ht="15.75">
      <c r="A31" s="1739">
        <f>A30+1</f>
        <v>3</v>
      </c>
      <c r="B31" s="1872" t="str">
        <f>CONCATENATE($B$25,".",A31)</f>
        <v>8.3</v>
      </c>
      <c r="C31" s="1873" t="str">
        <f>'[35]СС 2015'!C158</f>
        <v>Оплата труда ППП (без соц. отчислений)</v>
      </c>
      <c r="D31" s="1874"/>
      <c r="E31" s="1875"/>
      <c r="F31" s="1874"/>
      <c r="G31" s="1878">
        <f ca="1">G$11/$K$11*$K31</f>
        <v>26283.360479374638</v>
      </c>
      <c r="H31" s="1880">
        <f t="shared" ref="H31:I32" ca="1" si="79">H$11/$K$11*$K31</f>
        <v>54236.639609231643</v>
      </c>
      <c r="I31" s="1880">
        <f t="shared" ca="1" si="79"/>
        <v>0</v>
      </c>
      <c r="J31" s="1880">
        <f ca="1">K31-G31-H31-I31</f>
        <v>138208.4299113937</v>
      </c>
      <c r="K31" s="1877">
        <f ca="1">SUMIF('СС 2016'!$C$184:$C$204,'C1 2016'!$C31,'СС 2016'!$H$184:$H$204)</f>
        <v>218728.43</v>
      </c>
      <c r="L31" s="1878">
        <f ca="1">L$11/$P$11*$P31</f>
        <v>305610.20658663154</v>
      </c>
      <c r="M31" s="1880">
        <f t="shared" ref="M31:O32" ca="1" si="80">M$11/$P$11*$P31</f>
        <v>630637.41976788279</v>
      </c>
      <c r="N31" s="1880">
        <f t="shared" ca="1" si="80"/>
        <v>0</v>
      </c>
      <c r="O31" s="1880">
        <f t="shared" ca="1" si="80"/>
        <v>1607020.7936454858</v>
      </c>
      <c r="P31" s="1877">
        <f ca="1">SUMIF('СС 2016'!$C$184:$C$204,'C1 2016'!$C31,'СС 2016'!$I$184:$I$204)</f>
        <v>2543268.42</v>
      </c>
      <c r="Q31" s="1878">
        <f ca="1">Q$11/$AA$11*$AA31</f>
        <v>71272.169991931994</v>
      </c>
      <c r="R31" s="1879">
        <f ca="1">R$11/$AA$11*$AA31</f>
        <v>97178.541806185487</v>
      </c>
      <c r="S31" s="1880">
        <f t="shared" ref="S31:X32" ca="1" si="81">S$11/$AA$11*$AA31</f>
        <v>67270.183705493342</v>
      </c>
      <c r="T31" s="1880">
        <f t="shared" ca="1" si="81"/>
        <v>72943.734588575375</v>
      </c>
      <c r="U31" s="1880">
        <f t="shared" ca="1" si="81"/>
        <v>0</v>
      </c>
      <c r="V31" s="1880">
        <f t="shared" ca="1" si="81"/>
        <v>0</v>
      </c>
      <c r="W31" s="1880">
        <f t="shared" ca="1" si="81"/>
        <v>134801.00948538992</v>
      </c>
      <c r="X31" s="1881">
        <f t="shared" ca="1" si="81"/>
        <v>168283.70464242375</v>
      </c>
      <c r="Y31" s="1882">
        <f t="shared" ca="1" si="52"/>
        <v>273343.36318281526</v>
      </c>
      <c r="Z31" s="1882">
        <f t="shared" ca="1" si="52"/>
        <v>338405.9810371846</v>
      </c>
      <c r="AA31" s="1877">
        <f ca="1">SUMIF('СС 2016'!$C$184:$C$204,'C1 2016'!$C31,'СС 2016'!$J$184:$J$204)</f>
        <v>611749.34421999997</v>
      </c>
      <c r="AB31" s="1878">
        <f ca="1">AB$11/$AL$11*$AL31</f>
        <v>3389.5121897054814</v>
      </c>
      <c r="AC31" s="1879">
        <f t="shared" ref="AC31:AI32" ca="1" si="82">AC$11/$AL$11*$AL31</f>
        <v>3516.6228626127108</v>
      </c>
      <c r="AD31" s="1880">
        <f t="shared" ca="1" si="82"/>
        <v>3067.1071934040774</v>
      </c>
      <c r="AE31" s="1880">
        <f t="shared" ca="1" si="82"/>
        <v>3009.9064574679946</v>
      </c>
      <c r="AF31" s="1880">
        <f t="shared" ca="1" si="82"/>
        <v>0</v>
      </c>
      <c r="AG31" s="1880">
        <f t="shared" ca="1" si="82"/>
        <v>0</v>
      </c>
      <c r="AH31" s="1880">
        <f t="shared" ca="1" si="82"/>
        <v>5872.173429784164</v>
      </c>
      <c r="AI31" s="1881">
        <f t="shared" ca="1" si="82"/>
        <v>129.77786702557106</v>
      </c>
      <c r="AJ31" s="1882">
        <f t="shared" ca="1" si="53"/>
        <v>12328.792812893724</v>
      </c>
      <c r="AK31" s="1882">
        <f t="shared" ca="1" si="53"/>
        <v>6656.3071871062766</v>
      </c>
      <c r="AL31" s="1877">
        <f ca="1">SUMIF('СС 2016'!$C$184:$C$204,'C1 2016'!$C31,'СС 2016'!$K$184:$K$204)</f>
        <v>18985.099999999999</v>
      </c>
      <c r="AM31" s="1878">
        <f>AM$11/$AW$11*$AW31</f>
        <v>0</v>
      </c>
      <c r="AN31" s="1879">
        <f t="shared" ref="AN31:AT32" si="83">AN$11/$AW$11*$AW31</f>
        <v>0</v>
      </c>
      <c r="AO31" s="1880">
        <f t="shared" si="83"/>
        <v>0</v>
      </c>
      <c r="AP31" s="1880">
        <f t="shared" si="83"/>
        <v>0</v>
      </c>
      <c r="AQ31" s="1880">
        <f t="shared" si="83"/>
        <v>0</v>
      </c>
      <c r="AR31" s="1880">
        <f t="shared" si="83"/>
        <v>0</v>
      </c>
      <c r="AS31" s="1880">
        <f t="shared" si="83"/>
        <v>0</v>
      </c>
      <c r="AT31" s="1881">
        <f t="shared" si="83"/>
        <v>0</v>
      </c>
      <c r="AU31" s="1882">
        <f t="shared" si="54"/>
        <v>0</v>
      </c>
      <c r="AV31" s="1882">
        <f t="shared" si="54"/>
        <v>0</v>
      </c>
      <c r="AW31" s="1877"/>
      <c r="AX31" s="1740"/>
      <c r="AY31" s="1740"/>
      <c r="AZ31" s="1740"/>
      <c r="BA31" s="1883">
        <f t="shared" ca="1" si="64"/>
        <v>507250.4139164419</v>
      </c>
      <c r="BB31" s="1883">
        <f t="shared" ca="1" si="55"/>
        <v>831164.99132205534</v>
      </c>
      <c r="BC31" s="1883">
        <f t="shared" ca="1" si="56"/>
        <v>0</v>
      </c>
      <c r="BD31" s="1883">
        <f t="shared" ca="1" si="65"/>
        <v>2054315.8889815027</v>
      </c>
      <c r="BE31" s="1883">
        <f t="shared" ca="1" si="66"/>
        <v>3392731.29422</v>
      </c>
      <c r="BF31" s="1883">
        <f t="shared" ca="1" si="57"/>
        <v>3392731.29422</v>
      </c>
      <c r="BG31" s="1740" t="b">
        <f t="shared" ca="1" si="58"/>
        <v>1</v>
      </c>
      <c r="BH31" s="1740"/>
      <c r="BI31" s="1768">
        <f t="shared" ca="1" si="67"/>
        <v>507250.4139164419</v>
      </c>
      <c r="BJ31" s="1768">
        <f t="shared" ca="1" si="68"/>
        <v>2885480.880303558</v>
      </c>
      <c r="BK31" s="1768">
        <f t="shared" ca="1" si="69"/>
        <v>3392731.29422</v>
      </c>
    </row>
    <row r="32" spans="1:63" ht="15.75">
      <c r="A32" s="1739">
        <f>A31+1</f>
        <v>4</v>
      </c>
      <c r="B32" s="1872" t="str">
        <f>CONCATENATE($B$25,".",A32)</f>
        <v>8.4</v>
      </c>
      <c r="C32" s="1873" t="s">
        <v>3706</v>
      </c>
      <c r="D32" s="1874"/>
      <c r="E32" s="1875"/>
      <c r="F32" s="1874"/>
      <c r="G32" s="1878">
        <f ca="1">G$11/$K$11*$K32</f>
        <v>7948.5944335079103</v>
      </c>
      <c r="H32" s="1880">
        <f t="shared" ca="1" si="79"/>
        <v>16402.204430001053</v>
      </c>
      <c r="I32" s="1880">
        <f t="shared" ca="1" si="79"/>
        <v>0</v>
      </c>
      <c r="J32" s="1880">
        <f ca="1">K32-G32-H32-I32</f>
        <v>41796.891136491024</v>
      </c>
      <c r="K32" s="1877">
        <f ca="1">SUMIF('СС 2016'!$C$184:$C$204,'C1 2016'!$C32,'СС 2016'!$H$184:$H$204)</f>
        <v>66147.689999999988</v>
      </c>
      <c r="L32" s="1878">
        <f ca="1">L$11/$P$11*$P32</f>
        <v>92422.414500146275</v>
      </c>
      <c r="M32" s="1880">
        <f t="shared" ca="1" si="80"/>
        <v>190716.90589158353</v>
      </c>
      <c r="N32" s="1880">
        <f t="shared" ca="1" si="80"/>
        <v>0</v>
      </c>
      <c r="O32" s="1880">
        <f t="shared" ca="1" si="80"/>
        <v>485994.04960827023</v>
      </c>
      <c r="P32" s="1877">
        <f ca="1">SUMIF('СС 2016'!$C$184:$C$204,'C1 2016'!$C32,'СС 2016'!$I$184:$I$204)</f>
        <v>769133.37</v>
      </c>
      <c r="Q32" s="1878">
        <f ca="1">Q$11/$AA$11*$AA32</f>
        <v>21536.889599278365</v>
      </c>
      <c r="R32" s="1879">
        <f ca="1">R$11/$AA$11*$AA32</f>
        <v>29365.228062167786</v>
      </c>
      <c r="S32" s="1880">
        <f t="shared" ca="1" si="81"/>
        <v>20327.576948371119</v>
      </c>
      <c r="T32" s="1880">
        <f t="shared" ca="1" si="81"/>
        <v>22041.999829260785</v>
      </c>
      <c r="U32" s="1880">
        <f t="shared" ca="1" si="81"/>
        <v>0</v>
      </c>
      <c r="V32" s="1880">
        <f t="shared" ca="1" si="81"/>
        <v>0</v>
      </c>
      <c r="W32" s="1880">
        <f t="shared" ca="1" si="81"/>
        <v>40733.91422608235</v>
      </c>
      <c r="X32" s="1881">
        <f t="shared" ca="1" si="81"/>
        <v>50851.651754839513</v>
      </c>
      <c r="Y32" s="1882">
        <f t="shared" ca="1" si="52"/>
        <v>82598.380773731828</v>
      </c>
      <c r="Z32" s="1882">
        <f t="shared" ca="1" si="52"/>
        <v>102258.87964626809</v>
      </c>
      <c r="AA32" s="1877">
        <f ca="1">SUMIF('СС 2016'!$C$184:$C$204,'C1 2016'!$C32,'СС 2016'!$J$184:$J$204)</f>
        <v>184857.26041999995</v>
      </c>
      <c r="AB32" s="1878">
        <f ca="1">AB$11/$AL$11*$AL32</f>
        <v>1016.1091643447855</v>
      </c>
      <c r="AC32" s="1879">
        <f t="shared" ca="1" si="82"/>
        <v>1054.2144468746269</v>
      </c>
      <c r="AD32" s="1880">
        <f t="shared" ca="1" si="82"/>
        <v>919.45848040053681</v>
      </c>
      <c r="AE32" s="1880">
        <f t="shared" ca="1" si="82"/>
        <v>902.31082352871704</v>
      </c>
      <c r="AF32" s="1880">
        <f t="shared" ca="1" si="82"/>
        <v>0</v>
      </c>
      <c r="AG32" s="1880">
        <f t="shared" ca="1" si="82"/>
        <v>0</v>
      </c>
      <c r="AH32" s="1880">
        <f t="shared" ca="1" si="82"/>
        <v>1760.36222992433</v>
      </c>
      <c r="AI32" s="1881">
        <f t="shared" ca="1" si="82"/>
        <v>38.904854927003498</v>
      </c>
      <c r="AJ32" s="1882">
        <f t="shared" ca="1" si="53"/>
        <v>3695.9298746696522</v>
      </c>
      <c r="AK32" s="1882">
        <f t="shared" ca="1" si="53"/>
        <v>1995.4301253303474</v>
      </c>
      <c r="AL32" s="1877">
        <f ca="1">SUMIF('СС 2016'!$C$184:$C$204,'C1 2016'!$C32,'СС 2016'!$K$184:$K$204)</f>
        <v>5691.36</v>
      </c>
      <c r="AM32" s="1878">
        <f>AM$11/$AW$11*$AW32</f>
        <v>0</v>
      </c>
      <c r="AN32" s="1879">
        <f t="shared" si="83"/>
        <v>0</v>
      </c>
      <c r="AO32" s="1880">
        <f t="shared" si="83"/>
        <v>0</v>
      </c>
      <c r="AP32" s="1880">
        <f t="shared" si="83"/>
        <v>0</v>
      </c>
      <c r="AQ32" s="1880">
        <f t="shared" si="83"/>
        <v>0</v>
      </c>
      <c r="AR32" s="1880">
        <f t="shared" si="83"/>
        <v>0</v>
      </c>
      <c r="AS32" s="1880">
        <f t="shared" si="83"/>
        <v>0</v>
      </c>
      <c r="AT32" s="1881">
        <f t="shared" si="83"/>
        <v>0</v>
      </c>
      <c r="AU32" s="1882">
        <f t="shared" si="54"/>
        <v>0</v>
      </c>
      <c r="AV32" s="1882">
        <f t="shared" si="54"/>
        <v>0</v>
      </c>
      <c r="AW32" s="1877"/>
      <c r="AX32" s="1740"/>
      <c r="AY32" s="1740"/>
      <c r="AZ32" s="1740"/>
      <c r="BA32" s="1883">
        <f t="shared" ca="1" si="64"/>
        <v>153343.45020631974</v>
      </c>
      <c r="BB32" s="1883">
        <f t="shared" ca="1" si="55"/>
        <v>251310.45640314571</v>
      </c>
      <c r="BC32" s="1883">
        <f t="shared" ca="1" si="56"/>
        <v>0</v>
      </c>
      <c r="BD32" s="1883">
        <f t="shared" ca="1" si="65"/>
        <v>621175.77381053439</v>
      </c>
      <c r="BE32" s="1883">
        <f t="shared" ca="1" si="66"/>
        <v>1025829.6804199999</v>
      </c>
      <c r="BF32" s="1883">
        <f t="shared" ca="1" si="57"/>
        <v>1025829.6804199999</v>
      </c>
      <c r="BG32" s="1740" t="b">
        <f t="shared" ca="1" si="58"/>
        <v>1</v>
      </c>
      <c r="BH32" s="1740"/>
      <c r="BI32" s="1768">
        <f t="shared" ca="1" si="67"/>
        <v>153343.45020631974</v>
      </c>
      <c r="BJ32" s="1768">
        <f t="shared" ca="1" si="68"/>
        <v>872486.23021368007</v>
      </c>
      <c r="BK32" s="1768">
        <f t="shared" ca="1" si="69"/>
        <v>1025829.6804199999</v>
      </c>
    </row>
    <row r="33" spans="1:63" ht="15.75">
      <c r="A33" s="1739">
        <f>A32+1</f>
        <v>5</v>
      </c>
      <c r="B33" s="1872" t="str">
        <f>CONCATENATE($B$25,".",A33)</f>
        <v>8.5</v>
      </c>
      <c r="C33" s="1873" t="s">
        <v>3708</v>
      </c>
      <c r="D33" s="1874"/>
      <c r="E33" s="1875"/>
      <c r="F33" s="1874"/>
      <c r="G33" s="1889">
        <f ca="1">SUM(G34:G36)</f>
        <v>351571.85949897702</v>
      </c>
      <c r="H33" s="1890">
        <f t="shared" ref="H33:J33" ca="1" si="84">SUM(H34:H36)</f>
        <v>351571.85949897702</v>
      </c>
      <c r="I33" s="1890">
        <f t="shared" ca="1" si="84"/>
        <v>0</v>
      </c>
      <c r="J33" s="1890">
        <f t="shared" ca="1" si="84"/>
        <v>351571.8594989769</v>
      </c>
      <c r="K33" s="1893">
        <f ca="1">SUM(K34:K36)</f>
        <v>1054715.5784969309</v>
      </c>
      <c r="L33" s="1889">
        <f ca="1">SUM(L34:L36)</f>
        <v>48725.701650946139</v>
      </c>
      <c r="M33" s="1890">
        <f t="shared" ref="M33:O33" ca="1" si="85">SUM(M34:M36)</f>
        <v>48725.701650946139</v>
      </c>
      <c r="N33" s="1890">
        <f t="shared" ca="1" si="85"/>
        <v>0</v>
      </c>
      <c r="O33" s="1890">
        <f t="shared" ca="1" si="85"/>
        <v>48725.701650946125</v>
      </c>
      <c r="P33" s="1893">
        <f ca="1">SUM(P34:P36)</f>
        <v>146177.10495283839</v>
      </c>
      <c r="Q33" s="1889">
        <f ca="1">SUM(Q34:Q36)</f>
        <v>95848.672615238887</v>
      </c>
      <c r="R33" s="1891">
        <f t="shared" ref="R33:Z33" ca="1" si="86">SUM(R34:R36)</f>
        <v>95848.672615238873</v>
      </c>
      <c r="S33" s="1890">
        <f t="shared" ca="1" si="86"/>
        <v>95848.672615238887</v>
      </c>
      <c r="T33" s="1890">
        <f t="shared" ca="1" si="86"/>
        <v>95848.672615238873</v>
      </c>
      <c r="U33" s="1890">
        <f t="shared" ca="1" si="86"/>
        <v>0</v>
      </c>
      <c r="V33" s="1890">
        <f t="shared" ca="1" si="86"/>
        <v>0</v>
      </c>
      <c r="W33" s="1890">
        <f t="shared" ca="1" si="86"/>
        <v>95848.672615238887</v>
      </c>
      <c r="X33" s="1892">
        <f t="shared" ca="1" si="86"/>
        <v>95848.672615238873</v>
      </c>
      <c r="Y33" s="1892">
        <f t="shared" ca="1" si="86"/>
        <v>287546.01784571668</v>
      </c>
      <c r="Z33" s="1892">
        <f t="shared" ca="1" si="86"/>
        <v>287546.01784571662</v>
      </c>
      <c r="AA33" s="1893">
        <f ca="1">SUM(AA34:AA36)</f>
        <v>575092.03569143324</v>
      </c>
      <c r="AB33" s="1889">
        <f ca="1">SUM(AB34:AB36)</f>
        <v>83501.72590146627</v>
      </c>
      <c r="AC33" s="1891">
        <f t="shared" ref="AC33:AK33" ca="1" si="87">SUM(AC34:AC36)</f>
        <v>83501.72590146627</v>
      </c>
      <c r="AD33" s="1890">
        <f t="shared" ca="1" si="87"/>
        <v>83501.72590146627</v>
      </c>
      <c r="AE33" s="1890">
        <f t="shared" ca="1" si="87"/>
        <v>83501.72590146627</v>
      </c>
      <c r="AF33" s="1890">
        <f t="shared" ca="1" si="87"/>
        <v>0</v>
      </c>
      <c r="AG33" s="1890">
        <f t="shared" ca="1" si="87"/>
        <v>0</v>
      </c>
      <c r="AH33" s="1890">
        <f t="shared" ca="1" si="87"/>
        <v>83501.72590146627</v>
      </c>
      <c r="AI33" s="1892">
        <f t="shared" ca="1" si="87"/>
        <v>83501.72590146627</v>
      </c>
      <c r="AJ33" s="1892">
        <f t="shared" ca="1" si="87"/>
        <v>250505.17770439881</v>
      </c>
      <c r="AK33" s="1892">
        <f t="shared" ca="1" si="87"/>
        <v>250505.17770439881</v>
      </c>
      <c r="AL33" s="1893">
        <f ca="1">SUM(AL34:AL36)</f>
        <v>501010.35540879768</v>
      </c>
      <c r="AM33" s="1889">
        <f>SUM(AM34:AM36)</f>
        <v>0</v>
      </c>
      <c r="AN33" s="1891">
        <f t="shared" ref="AN33:AV33" si="88">SUM(AN34:AN36)</f>
        <v>0</v>
      </c>
      <c r="AO33" s="1890">
        <f t="shared" si="88"/>
        <v>0</v>
      </c>
      <c r="AP33" s="1890">
        <f t="shared" si="88"/>
        <v>0</v>
      </c>
      <c r="AQ33" s="1890">
        <f t="shared" si="88"/>
        <v>0</v>
      </c>
      <c r="AR33" s="1890">
        <f t="shared" si="88"/>
        <v>0</v>
      </c>
      <c r="AS33" s="1890">
        <f t="shared" si="88"/>
        <v>0</v>
      </c>
      <c r="AT33" s="1892">
        <f t="shared" si="88"/>
        <v>0</v>
      </c>
      <c r="AU33" s="1892">
        <f t="shared" si="88"/>
        <v>0</v>
      </c>
      <c r="AV33" s="1892">
        <f t="shared" si="88"/>
        <v>0</v>
      </c>
      <c r="AW33" s="1877"/>
      <c r="AX33" s="1740"/>
      <c r="AY33" s="1740"/>
      <c r="AZ33" s="1740"/>
      <c r="BA33" s="1883">
        <f t="shared" ca="1" si="64"/>
        <v>758998.35818333342</v>
      </c>
      <c r="BB33" s="1883">
        <f t="shared" ca="1" si="55"/>
        <v>758998.35818333342</v>
      </c>
      <c r="BC33" s="1883">
        <f t="shared" ca="1" si="56"/>
        <v>0</v>
      </c>
      <c r="BD33" s="1883">
        <f t="shared" ca="1" si="65"/>
        <v>758998.35818333342</v>
      </c>
      <c r="BE33" s="1883">
        <f t="shared" ca="1" si="66"/>
        <v>2276995.0745500005</v>
      </c>
      <c r="BF33" s="1883">
        <f t="shared" ca="1" si="57"/>
        <v>2276995.07455</v>
      </c>
      <c r="BG33" s="1740" t="b">
        <f t="shared" ca="1" si="58"/>
        <v>1</v>
      </c>
      <c r="BH33" s="1740"/>
      <c r="BI33" s="1871">
        <f ca="1">SUM(BI34:BI36)</f>
        <v>758998.3581833333</v>
      </c>
      <c r="BJ33" s="1871">
        <f ca="1">SUM(BJ34:BJ36)</f>
        <v>1517996.7163666666</v>
      </c>
      <c r="BK33" s="1871">
        <f ca="1">SUM(BK34:BK36)</f>
        <v>2276995.07455</v>
      </c>
    </row>
    <row r="34" spans="1:63" ht="31.5">
      <c r="B34" s="1872"/>
      <c r="C34" s="1887" t="str">
        <f>'[35]СС 2015'!C161</f>
        <v xml:space="preserve"> - работы и услуги производственного характера</v>
      </c>
      <c r="D34" s="1874"/>
      <c r="E34" s="1875"/>
      <c r="F34" s="1874"/>
      <c r="G34" s="1878">
        <f ca="1">G$16/$K$16*$K34</f>
        <v>301.72666666666669</v>
      </c>
      <c r="H34" s="1880">
        <f t="shared" ref="H34:I35" ca="1" si="89">H$16/$K$16*$K34</f>
        <v>301.72666666666669</v>
      </c>
      <c r="I34" s="1880">
        <f t="shared" ca="1" si="89"/>
        <v>0</v>
      </c>
      <c r="J34" s="1779">
        <f t="shared" ref="J34:J48" ca="1" si="90">K34-G34-H34-I34</f>
        <v>301.72666666666657</v>
      </c>
      <c r="K34" s="1877">
        <f ca="1">SUMIF('СС 2016'!$C$184:$C$204,'C1 2016'!$C34,'СС 2016'!$H$184:$H$204)</f>
        <v>905.18</v>
      </c>
      <c r="L34" s="1878">
        <f ca="1">L$16/$P$16*$P34</f>
        <v>3508.3233333333328</v>
      </c>
      <c r="M34" s="1880">
        <f t="shared" ref="M34:O35" ca="1" si="91">M$16/$P$16*$P34</f>
        <v>3508.3233333333328</v>
      </c>
      <c r="N34" s="1880">
        <f t="shared" ca="1" si="91"/>
        <v>0</v>
      </c>
      <c r="O34" s="1880">
        <f t="shared" ca="1" si="91"/>
        <v>3508.3233333333319</v>
      </c>
      <c r="P34" s="1877">
        <f ca="1">SUMIF('СС 2016'!$C$184:$C$204,'C1 2016'!$C34,'СС 2016'!$I$184:$I$204)</f>
        <v>10524.969999999998</v>
      </c>
      <c r="Q34" s="1878">
        <f ca="1">Q$16/$AA$16*$AA34</f>
        <v>452.97514166666679</v>
      </c>
      <c r="R34" s="1879">
        <f t="shared" ref="R34:X35" ca="1" si="92">R$16/$AA$16*$AA34</f>
        <v>452.97514166666667</v>
      </c>
      <c r="S34" s="1880">
        <f t="shared" ca="1" si="92"/>
        <v>452.97514166666679</v>
      </c>
      <c r="T34" s="1880">
        <f t="shared" ca="1" si="92"/>
        <v>452.97514166666667</v>
      </c>
      <c r="U34" s="1880">
        <f t="shared" ca="1" si="92"/>
        <v>0</v>
      </c>
      <c r="V34" s="1880">
        <f t="shared" ca="1" si="92"/>
        <v>0</v>
      </c>
      <c r="W34" s="1880">
        <f t="shared" ca="1" si="92"/>
        <v>452.97514166666679</v>
      </c>
      <c r="X34" s="1881">
        <f t="shared" ca="1" si="92"/>
        <v>452.97514166666667</v>
      </c>
      <c r="Y34" s="1882">
        <f t="shared" ref="Y34:Z35" ca="1" si="93">SUM(Q34,S34,U34,W34)</f>
        <v>1358.9254250000004</v>
      </c>
      <c r="Z34" s="1882">
        <f t="shared" ca="1" si="93"/>
        <v>1358.9254249999999</v>
      </c>
      <c r="AA34" s="1877">
        <f ca="1">SUMIF('СС 2016'!$C$184:$C$204,'C1 2016'!$C34,'СС 2016'!$J$184:$J$204)</f>
        <v>2717.8508500000003</v>
      </c>
      <c r="AB34" s="1878">
        <f ca="1">AB$16/$AL$16*$AL34</f>
        <v>2.42</v>
      </c>
      <c r="AC34" s="1879">
        <f t="shared" ref="AC34:AI35" ca="1" si="94">AC$16/$AL$16*$AL34</f>
        <v>2.42</v>
      </c>
      <c r="AD34" s="1880">
        <f t="shared" ca="1" si="94"/>
        <v>2.42</v>
      </c>
      <c r="AE34" s="1880">
        <f t="shared" ca="1" si="94"/>
        <v>2.42</v>
      </c>
      <c r="AF34" s="1880">
        <f t="shared" ca="1" si="94"/>
        <v>0</v>
      </c>
      <c r="AG34" s="1880">
        <f t="shared" ca="1" si="94"/>
        <v>0</v>
      </c>
      <c r="AH34" s="1880">
        <f t="shared" ca="1" si="94"/>
        <v>2.42</v>
      </c>
      <c r="AI34" s="1881">
        <f t="shared" ca="1" si="94"/>
        <v>2.42</v>
      </c>
      <c r="AJ34" s="1882">
        <f t="shared" ref="AJ34:AK35" ca="1" si="95">SUM(AB34,AD34,AF34,AH34)</f>
        <v>7.26</v>
      </c>
      <c r="AK34" s="1882">
        <f t="shared" ca="1" si="95"/>
        <v>7.26</v>
      </c>
      <c r="AL34" s="1877">
        <f ca="1">SUMIF('СС 2016'!$C$184:$C$204,'C1 2016'!$C34,'СС 2016'!$K$184:$K$204)</f>
        <v>14.52</v>
      </c>
      <c r="AM34" s="1878">
        <f>AM$16/$AW$16*$AW34</f>
        <v>0</v>
      </c>
      <c r="AN34" s="1879">
        <f t="shared" ref="AN34:AT35" si="96">AN$16/$AW$16*$AW34</f>
        <v>0</v>
      </c>
      <c r="AO34" s="1880">
        <f t="shared" si="96"/>
        <v>0</v>
      </c>
      <c r="AP34" s="1880">
        <f t="shared" si="96"/>
        <v>0</v>
      </c>
      <c r="AQ34" s="1880">
        <f t="shared" si="96"/>
        <v>0</v>
      </c>
      <c r="AR34" s="1880">
        <f t="shared" si="96"/>
        <v>0</v>
      </c>
      <c r="AS34" s="1880">
        <f t="shared" si="96"/>
        <v>0</v>
      </c>
      <c r="AT34" s="1881">
        <f t="shared" si="96"/>
        <v>0</v>
      </c>
      <c r="AU34" s="1882">
        <f t="shared" ref="AU34:AV35" si="97">SUM(AM34,AO34,AQ34,AS34)</f>
        <v>0</v>
      </c>
      <c r="AV34" s="1882">
        <f t="shared" si="97"/>
        <v>0</v>
      </c>
      <c r="AW34" s="1877"/>
      <c r="AX34" s="1740"/>
      <c r="AY34" s="1740"/>
      <c r="AZ34" s="1740"/>
      <c r="BA34" s="1883">
        <f t="shared" ca="1" si="64"/>
        <v>4720.840283333333</v>
      </c>
      <c r="BB34" s="1883">
        <f t="shared" ca="1" si="55"/>
        <v>4720.840283333333</v>
      </c>
      <c r="BC34" s="1883">
        <f t="shared" ca="1" si="56"/>
        <v>0</v>
      </c>
      <c r="BD34" s="1883">
        <f t="shared" ca="1" si="65"/>
        <v>4720.8402833333321</v>
      </c>
      <c r="BE34" s="1883">
        <f t="shared" ca="1" si="66"/>
        <v>14162.520849999999</v>
      </c>
      <c r="BF34" s="1883">
        <f t="shared" ca="1" si="57"/>
        <v>14162.520849999997</v>
      </c>
      <c r="BG34" s="1740" t="b">
        <f t="shared" ca="1" si="58"/>
        <v>1</v>
      </c>
      <c r="BH34" s="1740"/>
      <c r="BI34" s="1768">
        <f ca="1">BA34</f>
        <v>4720.840283333333</v>
      </c>
      <c r="BJ34" s="1768">
        <f ca="1">SUM(BB34:BD34)</f>
        <v>9441.680566666666</v>
      </c>
      <c r="BK34" s="1768">
        <f t="shared" ref="BK34:BK35" ca="1" si="98">SUM(BI34:BJ34)</f>
        <v>14162.520849999999</v>
      </c>
    </row>
    <row r="35" spans="1:63" ht="47.25">
      <c r="B35" s="1872"/>
      <c r="C35" s="1887" t="str">
        <f>'[35]СС 2015'!C162</f>
        <v xml:space="preserve"> - налоги и сборы, уменьшающие налогооблагаемую базу на прибыль организаций, всего</v>
      </c>
      <c r="D35" s="1874"/>
      <c r="E35" s="1875"/>
      <c r="F35" s="1874"/>
      <c r="G35" s="1878">
        <f ca="1">G$16/$K$16*$K35</f>
        <v>371.37666666666672</v>
      </c>
      <c r="H35" s="1880">
        <f t="shared" ca="1" si="89"/>
        <v>371.37666666666672</v>
      </c>
      <c r="I35" s="1880">
        <f t="shared" ca="1" si="89"/>
        <v>0</v>
      </c>
      <c r="J35" s="1779">
        <f t="shared" ca="1" si="90"/>
        <v>371.37666666666661</v>
      </c>
      <c r="K35" s="1877">
        <f ca="1">SUMIF('СС 2016'!$C$184:$C$204,'C1 2016'!$C35,'СС 2016'!$H$184:$H$204)</f>
        <v>1114.1300000000001</v>
      </c>
      <c r="L35" s="1878">
        <f ca="1">L$16/$P$16*$P35</f>
        <v>4318.21</v>
      </c>
      <c r="M35" s="1880">
        <f t="shared" ca="1" si="91"/>
        <v>4318.21</v>
      </c>
      <c r="N35" s="1880">
        <f t="shared" ca="1" si="91"/>
        <v>0</v>
      </c>
      <c r="O35" s="1880">
        <f t="shared" ca="1" si="91"/>
        <v>4318.2099999999991</v>
      </c>
      <c r="P35" s="1877">
        <f ca="1">SUMIF('СС 2016'!$C$184:$C$204,'C1 2016'!$C35,'СС 2016'!$I$184:$I$204)</f>
        <v>12954.63</v>
      </c>
      <c r="Q35" s="1878">
        <f ca="1">Q$16/$AA$16*$AA35</f>
        <v>297.42945666666668</v>
      </c>
      <c r="R35" s="1879">
        <f t="shared" ca="1" si="92"/>
        <v>297.42945666666662</v>
      </c>
      <c r="S35" s="1880">
        <f t="shared" ca="1" si="92"/>
        <v>297.42945666666668</v>
      </c>
      <c r="T35" s="1880">
        <f t="shared" ca="1" si="92"/>
        <v>297.42945666666662</v>
      </c>
      <c r="U35" s="1880">
        <f t="shared" ca="1" si="92"/>
        <v>0</v>
      </c>
      <c r="V35" s="1880">
        <f t="shared" ca="1" si="92"/>
        <v>0</v>
      </c>
      <c r="W35" s="1880">
        <f t="shared" ca="1" si="92"/>
        <v>297.42945666666668</v>
      </c>
      <c r="X35" s="1881">
        <f t="shared" ca="1" si="92"/>
        <v>297.42945666666662</v>
      </c>
      <c r="Y35" s="1882">
        <f t="shared" ca="1" si="93"/>
        <v>892.28836999999999</v>
      </c>
      <c r="Z35" s="1882">
        <f t="shared" ca="1" si="93"/>
        <v>892.28836999999987</v>
      </c>
      <c r="AA35" s="1877">
        <f ca="1">SUMIF('СС 2016'!$C$184:$C$204,'C1 2016'!$C35,'СС 2016'!$J$184:$J$204)</f>
        <v>1784.57674</v>
      </c>
      <c r="AB35" s="1878">
        <f ca="1">AB$16/$AL$16*$AL35</f>
        <v>6.4649999999999999</v>
      </c>
      <c r="AC35" s="1879">
        <f t="shared" ca="1" si="94"/>
        <v>6.4649999999999999</v>
      </c>
      <c r="AD35" s="1880">
        <f t="shared" ca="1" si="94"/>
        <v>6.4649999999999999</v>
      </c>
      <c r="AE35" s="1880">
        <f t="shared" ca="1" si="94"/>
        <v>6.4649999999999999</v>
      </c>
      <c r="AF35" s="1880">
        <f t="shared" ca="1" si="94"/>
        <v>0</v>
      </c>
      <c r="AG35" s="1880">
        <f t="shared" ca="1" si="94"/>
        <v>0</v>
      </c>
      <c r="AH35" s="1880">
        <f t="shared" ca="1" si="94"/>
        <v>6.4649999999999999</v>
      </c>
      <c r="AI35" s="1881">
        <f t="shared" ca="1" si="94"/>
        <v>6.4649999999999999</v>
      </c>
      <c r="AJ35" s="1882">
        <f t="shared" ca="1" si="95"/>
        <v>19.395</v>
      </c>
      <c r="AK35" s="1882">
        <f t="shared" ca="1" si="95"/>
        <v>19.395</v>
      </c>
      <c r="AL35" s="1877">
        <f ca="1">SUMIF('СС 2016'!$C$184:$C$204,'C1 2016'!$C35,'СС 2016'!$K$184:$K$204)</f>
        <v>38.79</v>
      </c>
      <c r="AM35" s="1878">
        <f>AM$16/$AW$16*$AW35</f>
        <v>0</v>
      </c>
      <c r="AN35" s="1879">
        <f t="shared" si="96"/>
        <v>0</v>
      </c>
      <c r="AO35" s="1880">
        <f t="shared" si="96"/>
        <v>0</v>
      </c>
      <c r="AP35" s="1880">
        <f t="shared" si="96"/>
        <v>0</v>
      </c>
      <c r="AQ35" s="1880">
        <f t="shared" si="96"/>
        <v>0</v>
      </c>
      <c r="AR35" s="1880">
        <f t="shared" si="96"/>
        <v>0</v>
      </c>
      <c r="AS35" s="1880">
        <f t="shared" si="96"/>
        <v>0</v>
      </c>
      <c r="AT35" s="1881">
        <f t="shared" si="96"/>
        <v>0</v>
      </c>
      <c r="AU35" s="1882">
        <f t="shared" si="97"/>
        <v>0</v>
      </c>
      <c r="AV35" s="1882">
        <f t="shared" si="97"/>
        <v>0</v>
      </c>
      <c r="AW35" s="1877"/>
      <c r="AX35" s="1740"/>
      <c r="AY35" s="1740"/>
      <c r="AZ35" s="1740"/>
      <c r="BA35" s="1883">
        <f t="shared" ca="1" si="64"/>
        <v>5297.3755800000008</v>
      </c>
      <c r="BB35" s="1883">
        <f t="shared" ca="1" si="55"/>
        <v>5297.3755800000008</v>
      </c>
      <c r="BC35" s="1883">
        <f t="shared" ca="1" si="56"/>
        <v>0</v>
      </c>
      <c r="BD35" s="1883">
        <f t="shared" ca="1" si="65"/>
        <v>5297.3755799999999</v>
      </c>
      <c r="BE35" s="1883">
        <f t="shared" ca="1" si="66"/>
        <v>15892.12674</v>
      </c>
      <c r="BF35" s="1883">
        <f t="shared" ca="1" si="57"/>
        <v>15892.126740000002</v>
      </c>
      <c r="BG35" s="1740" t="b">
        <f t="shared" ca="1" si="58"/>
        <v>1</v>
      </c>
      <c r="BH35" s="1740"/>
      <c r="BI35" s="1768">
        <f ca="1">BA35</f>
        <v>5297.3755800000008</v>
      </c>
      <c r="BJ35" s="1768">
        <f ca="1">SUM(BB35:BD35)</f>
        <v>10594.75116</v>
      </c>
      <c r="BK35" s="1768">
        <f t="shared" ca="1" si="98"/>
        <v>15892.12674</v>
      </c>
    </row>
    <row r="36" spans="1:63" ht="31.5">
      <c r="B36" s="1872"/>
      <c r="C36" s="1887" t="str">
        <f>'[35]СС 2015'!C163</f>
        <v xml:space="preserve"> - работы и услуги непроизводственного характера, в.ч. :</v>
      </c>
      <c r="D36" s="1874"/>
      <c r="E36" s="1875"/>
      <c r="F36" s="1874"/>
      <c r="G36" s="1889">
        <f ca="1">SUM(G37:G41)</f>
        <v>350898.75616564369</v>
      </c>
      <c r="H36" s="1890">
        <f t="shared" ref="H36:J36" ca="1" si="99">SUM(H37:H41)</f>
        <v>350898.75616564369</v>
      </c>
      <c r="I36" s="1890">
        <f t="shared" ca="1" si="99"/>
        <v>0</v>
      </c>
      <c r="J36" s="1890">
        <f t="shared" ca="1" si="99"/>
        <v>350898.75616564357</v>
      </c>
      <c r="K36" s="1893">
        <f ca="1">SUM(K37:K41)</f>
        <v>1052696.2684969308</v>
      </c>
      <c r="L36" s="1889">
        <f ca="1">SUM(L37:L41)</f>
        <v>40899.168317612806</v>
      </c>
      <c r="M36" s="1890">
        <f t="shared" ref="M36:O36" ca="1" si="100">SUM(M37:M41)</f>
        <v>40899.168317612806</v>
      </c>
      <c r="N36" s="1890">
        <f t="shared" ca="1" si="100"/>
        <v>0</v>
      </c>
      <c r="O36" s="1890">
        <f t="shared" ca="1" si="100"/>
        <v>40899.168317612792</v>
      </c>
      <c r="P36" s="1893">
        <f ca="1">SUM(P37:P41)</f>
        <v>122697.5049528384</v>
      </c>
      <c r="Q36" s="1889">
        <f ca="1">SUM(Q37:Q41)</f>
        <v>95098.268016905553</v>
      </c>
      <c r="R36" s="1891">
        <f t="shared" ref="R36:Z36" ca="1" si="101">SUM(R37:R41)</f>
        <v>95098.268016905538</v>
      </c>
      <c r="S36" s="1890">
        <f t="shared" ca="1" si="101"/>
        <v>95098.268016905553</v>
      </c>
      <c r="T36" s="1890">
        <f t="shared" ca="1" si="101"/>
        <v>95098.268016905538</v>
      </c>
      <c r="U36" s="1890">
        <f t="shared" ca="1" si="101"/>
        <v>0</v>
      </c>
      <c r="V36" s="1890">
        <f t="shared" ca="1" si="101"/>
        <v>0</v>
      </c>
      <c r="W36" s="1890">
        <f t="shared" ca="1" si="101"/>
        <v>95098.268016905553</v>
      </c>
      <c r="X36" s="1892">
        <f t="shared" ca="1" si="101"/>
        <v>95098.268016905538</v>
      </c>
      <c r="Y36" s="1892">
        <f t="shared" ca="1" si="101"/>
        <v>285294.80405071669</v>
      </c>
      <c r="Z36" s="1892">
        <f t="shared" ca="1" si="101"/>
        <v>285294.80405071663</v>
      </c>
      <c r="AA36" s="1893">
        <f ca="1">SUM(AA37:AA41)</f>
        <v>570589.60810143326</v>
      </c>
      <c r="AB36" s="1889">
        <f ca="1">SUM(AB37:AB41)</f>
        <v>83492.840901466276</v>
      </c>
      <c r="AC36" s="1891">
        <f t="shared" ref="AC36:AK36" ca="1" si="102">SUM(AC37:AC41)</f>
        <v>83492.840901466276</v>
      </c>
      <c r="AD36" s="1890">
        <f t="shared" ca="1" si="102"/>
        <v>83492.840901466276</v>
      </c>
      <c r="AE36" s="1890">
        <f t="shared" ca="1" si="102"/>
        <v>83492.840901466276</v>
      </c>
      <c r="AF36" s="1890">
        <f t="shared" ca="1" si="102"/>
        <v>0</v>
      </c>
      <c r="AG36" s="1890">
        <f t="shared" ca="1" si="102"/>
        <v>0</v>
      </c>
      <c r="AH36" s="1890">
        <f t="shared" ca="1" si="102"/>
        <v>83492.840901466276</v>
      </c>
      <c r="AI36" s="1892">
        <f t="shared" ca="1" si="102"/>
        <v>83492.840901466276</v>
      </c>
      <c r="AJ36" s="1892">
        <f t="shared" ca="1" si="102"/>
        <v>250478.52270439881</v>
      </c>
      <c r="AK36" s="1892">
        <f t="shared" ca="1" si="102"/>
        <v>250478.52270439881</v>
      </c>
      <c r="AL36" s="1893">
        <f ca="1">SUM(AL37:AL41)</f>
        <v>500957.04540879768</v>
      </c>
      <c r="AM36" s="1889">
        <f>SUM(AM37:AM41)</f>
        <v>0</v>
      </c>
      <c r="AN36" s="1891">
        <f t="shared" ref="AN36:AV36" si="103">SUM(AN37:AN41)</f>
        <v>0</v>
      </c>
      <c r="AO36" s="1890">
        <f t="shared" si="103"/>
        <v>0</v>
      </c>
      <c r="AP36" s="1890">
        <f t="shared" si="103"/>
        <v>0</v>
      </c>
      <c r="AQ36" s="1890">
        <f t="shared" si="103"/>
        <v>0</v>
      </c>
      <c r="AR36" s="1890">
        <f t="shared" si="103"/>
        <v>0</v>
      </c>
      <c r="AS36" s="1890">
        <f t="shared" si="103"/>
        <v>0</v>
      </c>
      <c r="AT36" s="1892">
        <f t="shared" si="103"/>
        <v>0</v>
      </c>
      <c r="AU36" s="1892">
        <f t="shared" si="103"/>
        <v>0</v>
      </c>
      <c r="AV36" s="1892">
        <f t="shared" si="103"/>
        <v>0</v>
      </c>
      <c r="AW36" s="1877"/>
      <c r="AX36" s="1740"/>
      <c r="AY36" s="1740"/>
      <c r="AZ36" s="1740"/>
      <c r="BA36" s="1883">
        <f t="shared" ca="1" si="64"/>
        <v>748980.14232000022</v>
      </c>
      <c r="BB36" s="1883">
        <f t="shared" ca="1" si="55"/>
        <v>748980.14232000022</v>
      </c>
      <c r="BC36" s="1883">
        <f t="shared" ca="1" si="56"/>
        <v>0</v>
      </c>
      <c r="BD36" s="1883">
        <f t="shared" ca="1" si="65"/>
        <v>748980.1423200001</v>
      </c>
      <c r="BE36" s="1883">
        <f t="shared" ca="1" si="66"/>
        <v>2246940.4269599998</v>
      </c>
      <c r="BF36" s="1883">
        <f t="shared" ca="1" si="57"/>
        <v>2246940.4269600008</v>
      </c>
      <c r="BG36" s="1740" t="b">
        <f t="shared" ca="1" si="58"/>
        <v>1</v>
      </c>
      <c r="BH36" s="1740"/>
      <c r="BI36" s="1871">
        <f ca="1">SUM(BI37:BI41)</f>
        <v>748980.14231999998</v>
      </c>
      <c r="BJ36" s="1871">
        <f ca="1">SUM(BJ37:BJ41)</f>
        <v>1497960.28464</v>
      </c>
      <c r="BK36" s="1871">
        <f ca="1">SUM(BK37:BK41)</f>
        <v>2246940.4269599998</v>
      </c>
    </row>
    <row r="37" spans="1:63" ht="15.75">
      <c r="B37" s="1872"/>
      <c r="C37" s="1894" t="s">
        <v>3716</v>
      </c>
      <c r="D37" s="1895"/>
      <c r="E37" s="1896"/>
      <c r="F37" s="1895"/>
      <c r="G37" s="1897">
        <f ca="1">G$16/$K$16*$K37</f>
        <v>37.576666666666675</v>
      </c>
      <c r="H37" s="1898">
        <f t="shared" ref="H37:I40" ca="1" si="104">H$16/$K$16*$K37</f>
        <v>37.576666666666675</v>
      </c>
      <c r="I37" s="1898">
        <f t="shared" ca="1" si="104"/>
        <v>0</v>
      </c>
      <c r="J37" s="1779">
        <f t="shared" ca="1" si="90"/>
        <v>37.576666666666661</v>
      </c>
      <c r="K37" s="1877">
        <f ca="1">SUMIF('СС 2016'!$C$184:$C$204,'C1 2016'!$C37,'СС 2016'!$H$184:$H$204)</f>
        <v>112.73</v>
      </c>
      <c r="L37" s="1897">
        <f ca="1">L$16/$P$16*$P37</f>
        <v>436.89666666666676</v>
      </c>
      <c r="M37" s="1898">
        <f t="shared" ref="M37:O40" ca="1" si="105">M$16/$P$16*$P37</f>
        <v>436.89666666666676</v>
      </c>
      <c r="N37" s="1898">
        <f t="shared" ca="1" si="105"/>
        <v>0</v>
      </c>
      <c r="O37" s="1898">
        <f t="shared" ca="1" si="105"/>
        <v>436.89666666666659</v>
      </c>
      <c r="P37" s="1877">
        <f ca="1">SUMIF('СС 2016'!$C$184:$C$204,'C1 2016'!$C37,'СС 2016'!$I$184:$I$204)</f>
        <v>1310.69</v>
      </c>
      <c r="Q37" s="1897">
        <f ca="1">Q$16/$AA$16*$AA37</f>
        <v>45.680103333333342</v>
      </c>
      <c r="R37" s="1899">
        <f t="shared" ref="R37:X40" ca="1" si="106">R$16/$AA$16*$AA37</f>
        <v>45.680103333333335</v>
      </c>
      <c r="S37" s="1898">
        <f t="shared" ca="1" si="106"/>
        <v>45.680103333333342</v>
      </c>
      <c r="T37" s="1898">
        <f t="shared" ca="1" si="106"/>
        <v>45.680103333333335</v>
      </c>
      <c r="U37" s="1898">
        <f t="shared" ca="1" si="106"/>
        <v>0</v>
      </c>
      <c r="V37" s="1898">
        <f t="shared" ca="1" si="106"/>
        <v>0</v>
      </c>
      <c r="W37" s="1898">
        <f t="shared" ca="1" si="106"/>
        <v>45.680103333333342</v>
      </c>
      <c r="X37" s="1900">
        <f t="shared" ca="1" si="106"/>
        <v>45.680103333333335</v>
      </c>
      <c r="Y37" s="1901">
        <f t="shared" ref="Y37:Z40" ca="1" si="107">SUM(Q37,S37,U37,W37)</f>
        <v>137.04031000000003</v>
      </c>
      <c r="Z37" s="1901">
        <f t="shared" ca="1" si="107"/>
        <v>137.04031000000001</v>
      </c>
      <c r="AA37" s="1877">
        <f ca="1">SUMIF('СС 2016'!$C$184:$C$204,'C1 2016'!$C37,'СС 2016'!$J$184:$J$204)</f>
        <v>274.08062000000001</v>
      </c>
      <c r="AB37" s="1897">
        <f ca="1">AB$16/$AL$16*$AL37</f>
        <v>1.67</v>
      </c>
      <c r="AC37" s="1899">
        <f t="shared" ref="AC37:AI40" ca="1" si="108">AC$16/$AL$16*$AL37</f>
        <v>1.67</v>
      </c>
      <c r="AD37" s="1898">
        <f t="shared" ca="1" si="108"/>
        <v>1.67</v>
      </c>
      <c r="AE37" s="1898">
        <f t="shared" ca="1" si="108"/>
        <v>1.67</v>
      </c>
      <c r="AF37" s="1898">
        <f t="shared" ca="1" si="108"/>
        <v>0</v>
      </c>
      <c r="AG37" s="1898">
        <f t="shared" ca="1" si="108"/>
        <v>0</v>
      </c>
      <c r="AH37" s="1898">
        <f t="shared" ca="1" si="108"/>
        <v>1.67</v>
      </c>
      <c r="AI37" s="1900">
        <f t="shared" ca="1" si="108"/>
        <v>1.67</v>
      </c>
      <c r="AJ37" s="1901">
        <f t="shared" ref="AJ37:AK40" ca="1" si="109">SUM(AB37,AD37,AF37,AH37)</f>
        <v>5.01</v>
      </c>
      <c r="AK37" s="1901">
        <f t="shared" ca="1" si="109"/>
        <v>5.01</v>
      </c>
      <c r="AL37" s="1877">
        <f ca="1">SUMIF('СС 2016'!$C$184:$C$204,'C1 2016'!$C37,'СС 2016'!$K$184:$K$204)</f>
        <v>10.02</v>
      </c>
      <c r="AM37" s="1897">
        <f>AM$16/$AW$16*$AW37</f>
        <v>0</v>
      </c>
      <c r="AN37" s="1899">
        <f t="shared" ref="AN37:AT40" si="110">AN$16/$AW$16*$AW37</f>
        <v>0</v>
      </c>
      <c r="AO37" s="1898">
        <f t="shared" si="110"/>
        <v>0</v>
      </c>
      <c r="AP37" s="1898">
        <f t="shared" si="110"/>
        <v>0</v>
      </c>
      <c r="AQ37" s="1898">
        <f t="shared" si="110"/>
        <v>0</v>
      </c>
      <c r="AR37" s="1898">
        <f t="shared" si="110"/>
        <v>0</v>
      </c>
      <c r="AS37" s="1898">
        <f t="shared" si="110"/>
        <v>0</v>
      </c>
      <c r="AT37" s="1900">
        <f t="shared" si="110"/>
        <v>0</v>
      </c>
      <c r="AU37" s="1901">
        <f t="shared" ref="AU37:AV40" si="111">SUM(AM37,AO37,AQ37,AS37)</f>
        <v>0</v>
      </c>
      <c r="AV37" s="1901">
        <f t="shared" si="111"/>
        <v>0</v>
      </c>
      <c r="AW37" s="1877"/>
      <c r="AX37" s="1740"/>
      <c r="AY37" s="1740"/>
      <c r="AZ37" s="1740"/>
      <c r="BA37" s="1883">
        <f t="shared" ca="1" si="64"/>
        <v>569.17354</v>
      </c>
      <c r="BB37" s="1883">
        <f t="shared" ca="1" si="55"/>
        <v>569.17354</v>
      </c>
      <c r="BC37" s="1883">
        <f t="shared" ca="1" si="56"/>
        <v>0</v>
      </c>
      <c r="BD37" s="1883">
        <f t="shared" ca="1" si="65"/>
        <v>569.17353999999989</v>
      </c>
      <c r="BE37" s="1883">
        <f t="shared" ca="1" si="66"/>
        <v>1707.5206200000002</v>
      </c>
      <c r="BF37" s="1883">
        <f t="shared" ca="1" si="57"/>
        <v>1707.5206199999998</v>
      </c>
      <c r="BG37" s="1740" t="b">
        <f t="shared" ca="1" si="58"/>
        <v>1</v>
      </c>
      <c r="BH37" s="1740"/>
      <c r="BI37" s="1768">
        <f t="shared" ref="BI37:BI40" ca="1" si="112">BA37</f>
        <v>569.17354</v>
      </c>
      <c r="BJ37" s="1768">
        <f t="shared" ref="BJ37:BJ40" ca="1" si="113">SUM(BB37:BD37)</f>
        <v>1138.34708</v>
      </c>
      <c r="BK37" s="1768">
        <f t="shared" ref="BK37:BK40" ca="1" si="114">SUM(BI37:BJ37)</f>
        <v>1707.52062</v>
      </c>
    </row>
    <row r="38" spans="1:63" ht="31.5">
      <c r="B38" s="1872"/>
      <c r="C38" s="1894" t="s">
        <v>3718</v>
      </c>
      <c r="D38" s="1895"/>
      <c r="E38" s="1896"/>
      <c r="F38" s="1895"/>
      <c r="G38" s="1897">
        <f ca="1">G$16/$K$16*$K38</f>
        <v>73.960000000000008</v>
      </c>
      <c r="H38" s="1898">
        <f t="shared" ca="1" si="104"/>
        <v>73.960000000000008</v>
      </c>
      <c r="I38" s="1898">
        <f t="shared" ca="1" si="104"/>
        <v>0</v>
      </c>
      <c r="J38" s="1779">
        <f t="shared" ca="1" si="90"/>
        <v>73.95999999999998</v>
      </c>
      <c r="K38" s="1877">
        <f ca="1">SUMIF('СС 2016'!$C$184:$C$204,'C1 2016'!$C38,'СС 2016'!$H$184:$H$204)</f>
        <v>221.88</v>
      </c>
      <c r="L38" s="1897">
        <f ca="1">L$16/$P$16*$P38</f>
        <v>859.93333333333339</v>
      </c>
      <c r="M38" s="1898">
        <f t="shared" ca="1" si="105"/>
        <v>859.93333333333339</v>
      </c>
      <c r="N38" s="1898">
        <f t="shared" ca="1" si="105"/>
        <v>0</v>
      </c>
      <c r="O38" s="1898">
        <f t="shared" ca="1" si="105"/>
        <v>859.93333333333305</v>
      </c>
      <c r="P38" s="1877">
        <f ca="1">SUMIF('СС 2016'!$C$184:$C$204,'C1 2016'!$C38,'СС 2016'!$I$184:$I$204)</f>
        <v>2579.7999999999997</v>
      </c>
      <c r="Q38" s="1897">
        <f ca="1">Q$16/$AA$16*$AA38</f>
        <v>92.746688333333353</v>
      </c>
      <c r="R38" s="1899">
        <f t="shared" ca="1" si="106"/>
        <v>92.746688333333339</v>
      </c>
      <c r="S38" s="1898">
        <f t="shared" ca="1" si="106"/>
        <v>92.746688333333353</v>
      </c>
      <c r="T38" s="1898">
        <f t="shared" ca="1" si="106"/>
        <v>92.746688333333339</v>
      </c>
      <c r="U38" s="1898">
        <f t="shared" ca="1" si="106"/>
        <v>0</v>
      </c>
      <c r="V38" s="1898">
        <f t="shared" ca="1" si="106"/>
        <v>0</v>
      </c>
      <c r="W38" s="1898">
        <f t="shared" ca="1" si="106"/>
        <v>92.746688333333353</v>
      </c>
      <c r="X38" s="1900">
        <f t="shared" ca="1" si="106"/>
        <v>92.746688333333339</v>
      </c>
      <c r="Y38" s="1901">
        <f t="shared" ca="1" si="107"/>
        <v>278.24006500000007</v>
      </c>
      <c r="Z38" s="1901">
        <f t="shared" ca="1" si="107"/>
        <v>278.24006500000002</v>
      </c>
      <c r="AA38" s="1877">
        <f ca="1">SUMIF('СС 2016'!$C$184:$C$204,'C1 2016'!$C38,'СС 2016'!$J$184:$J$204)</f>
        <v>556.48013000000003</v>
      </c>
      <c r="AB38" s="1897">
        <f ca="1">AB$16/$AL$16*$AL38</f>
        <v>3.4149999999999996</v>
      </c>
      <c r="AC38" s="1899">
        <f t="shared" ca="1" si="108"/>
        <v>3.4149999999999996</v>
      </c>
      <c r="AD38" s="1898">
        <f t="shared" ca="1" si="108"/>
        <v>3.4149999999999996</v>
      </c>
      <c r="AE38" s="1898">
        <f t="shared" ca="1" si="108"/>
        <v>3.4149999999999996</v>
      </c>
      <c r="AF38" s="1898">
        <f t="shared" ca="1" si="108"/>
        <v>0</v>
      </c>
      <c r="AG38" s="1898">
        <f t="shared" ca="1" si="108"/>
        <v>0</v>
      </c>
      <c r="AH38" s="1898">
        <f t="shared" ca="1" si="108"/>
        <v>3.4149999999999996</v>
      </c>
      <c r="AI38" s="1900">
        <f t="shared" ca="1" si="108"/>
        <v>3.4149999999999996</v>
      </c>
      <c r="AJ38" s="1901">
        <f t="shared" ca="1" si="109"/>
        <v>10.244999999999999</v>
      </c>
      <c r="AK38" s="1901">
        <f t="shared" ca="1" si="109"/>
        <v>10.244999999999999</v>
      </c>
      <c r="AL38" s="1877">
        <f ca="1">SUMIF('СС 2016'!$C$184:$C$204,'C1 2016'!$C38,'СС 2016'!$K$184:$K$204)</f>
        <v>20.49</v>
      </c>
      <c r="AM38" s="1897">
        <f>AM$16/$AW$16*$AW38</f>
        <v>0</v>
      </c>
      <c r="AN38" s="1899">
        <f t="shared" si="110"/>
        <v>0</v>
      </c>
      <c r="AO38" s="1898">
        <f t="shared" si="110"/>
        <v>0</v>
      </c>
      <c r="AP38" s="1898">
        <f t="shared" si="110"/>
        <v>0</v>
      </c>
      <c r="AQ38" s="1898">
        <f t="shared" si="110"/>
        <v>0</v>
      </c>
      <c r="AR38" s="1898">
        <f t="shared" si="110"/>
        <v>0</v>
      </c>
      <c r="AS38" s="1898">
        <f t="shared" si="110"/>
        <v>0</v>
      </c>
      <c r="AT38" s="1900">
        <f t="shared" si="110"/>
        <v>0</v>
      </c>
      <c r="AU38" s="1901">
        <f t="shared" si="111"/>
        <v>0</v>
      </c>
      <c r="AV38" s="1901">
        <f t="shared" si="111"/>
        <v>0</v>
      </c>
      <c r="AW38" s="1877"/>
      <c r="AX38" s="1740"/>
      <c r="AY38" s="1740"/>
      <c r="AZ38" s="1740"/>
      <c r="BA38" s="1883">
        <f t="shared" ca="1" si="64"/>
        <v>1126.2167100000001</v>
      </c>
      <c r="BB38" s="1883">
        <f t="shared" ca="1" si="55"/>
        <v>1126.2167100000001</v>
      </c>
      <c r="BC38" s="1883">
        <f t="shared" ca="1" si="56"/>
        <v>0</v>
      </c>
      <c r="BD38" s="1883">
        <f t="shared" ca="1" si="65"/>
        <v>1126.2167099999997</v>
      </c>
      <c r="BE38" s="1883">
        <f t="shared" ca="1" si="66"/>
        <v>3378.6501299999995</v>
      </c>
      <c r="BF38" s="1883">
        <f t="shared" ca="1" si="57"/>
        <v>3378.65013</v>
      </c>
      <c r="BG38" s="1740" t="b">
        <f t="shared" ca="1" si="58"/>
        <v>1</v>
      </c>
      <c r="BH38" s="1740"/>
      <c r="BI38" s="1768">
        <f t="shared" ca="1" si="112"/>
        <v>1126.2167100000001</v>
      </c>
      <c r="BJ38" s="1768">
        <f t="shared" ca="1" si="113"/>
        <v>2252.4334199999998</v>
      </c>
      <c r="BK38" s="1768">
        <f t="shared" ca="1" si="114"/>
        <v>3378.65013</v>
      </c>
    </row>
    <row r="39" spans="1:63" ht="47.25">
      <c r="B39" s="1872"/>
      <c r="C39" s="1894" t="str">
        <f>'[35]СС 2015'!C166</f>
        <v>расходы на информационное обслуживание, консультационные и юридические услуги</v>
      </c>
      <c r="D39" s="1895"/>
      <c r="E39" s="1896"/>
      <c r="F39" s="1895"/>
      <c r="G39" s="1897">
        <f ca="1">G$16/$K$16*$K39</f>
        <v>122.72333333333336</v>
      </c>
      <c r="H39" s="1898">
        <f t="shared" ca="1" si="104"/>
        <v>122.72333333333336</v>
      </c>
      <c r="I39" s="1898">
        <f t="shared" ca="1" si="104"/>
        <v>0</v>
      </c>
      <c r="J39" s="1779">
        <f t="shared" ca="1" si="90"/>
        <v>122.7233333333333</v>
      </c>
      <c r="K39" s="1877">
        <f ca="1">SUMIF('СС 2016'!$C$184:$C$204,'C1 2016'!$C39,'СС 2016'!$H$184:$H$204)</f>
        <v>368.17</v>
      </c>
      <c r="L39" s="1897">
        <f ca="1">L$16/$P$16*$P39</f>
        <v>1426.9700000000005</v>
      </c>
      <c r="M39" s="1898">
        <f t="shared" ca="1" si="105"/>
        <v>1426.9700000000005</v>
      </c>
      <c r="N39" s="1898">
        <f t="shared" ca="1" si="105"/>
        <v>0</v>
      </c>
      <c r="O39" s="1898">
        <f t="shared" ca="1" si="105"/>
        <v>1426.97</v>
      </c>
      <c r="P39" s="1877">
        <f ca="1">SUMIF('СС 2016'!$C$184:$C$204,'C1 2016'!$C39,'СС 2016'!$I$184:$I$204)</f>
        <v>4280.9100000000008</v>
      </c>
      <c r="Q39" s="1897">
        <f ca="1">Q$16/$AA$16*$AA39</f>
        <v>117.76944666666668</v>
      </c>
      <c r="R39" s="1899">
        <f t="shared" ca="1" si="106"/>
        <v>117.76944666666665</v>
      </c>
      <c r="S39" s="1898">
        <f t="shared" ca="1" si="106"/>
        <v>117.76944666666668</v>
      </c>
      <c r="T39" s="1898">
        <f t="shared" ca="1" si="106"/>
        <v>117.76944666666665</v>
      </c>
      <c r="U39" s="1898">
        <f t="shared" ca="1" si="106"/>
        <v>0</v>
      </c>
      <c r="V39" s="1898">
        <f t="shared" ca="1" si="106"/>
        <v>0</v>
      </c>
      <c r="W39" s="1898">
        <f t="shared" ca="1" si="106"/>
        <v>117.76944666666668</v>
      </c>
      <c r="X39" s="1900">
        <f t="shared" ca="1" si="106"/>
        <v>117.76944666666665</v>
      </c>
      <c r="Y39" s="1901">
        <f t="shared" ca="1" si="107"/>
        <v>353.30834000000004</v>
      </c>
      <c r="Z39" s="1901">
        <f t="shared" ca="1" si="107"/>
        <v>353.30833999999993</v>
      </c>
      <c r="AA39" s="1877">
        <f ca="1">SUMIF('СС 2016'!$C$184:$C$204,'C1 2016'!$C39,'СС 2016'!$J$184:$J$204)</f>
        <v>706.61667999999997</v>
      </c>
      <c r="AB39" s="1897">
        <f ca="1">AB$16/$AL$16*$AL39</f>
        <v>4.0399999999999991</v>
      </c>
      <c r="AC39" s="1899">
        <f t="shared" ca="1" si="108"/>
        <v>4.0399999999999991</v>
      </c>
      <c r="AD39" s="1898">
        <f t="shared" ca="1" si="108"/>
        <v>4.0399999999999991</v>
      </c>
      <c r="AE39" s="1898">
        <f t="shared" ca="1" si="108"/>
        <v>4.0399999999999991</v>
      </c>
      <c r="AF39" s="1898">
        <f t="shared" ca="1" si="108"/>
        <v>0</v>
      </c>
      <c r="AG39" s="1898">
        <f t="shared" ca="1" si="108"/>
        <v>0</v>
      </c>
      <c r="AH39" s="1898">
        <f t="shared" ca="1" si="108"/>
        <v>4.0399999999999991</v>
      </c>
      <c r="AI39" s="1900">
        <f t="shared" ca="1" si="108"/>
        <v>4.0399999999999991</v>
      </c>
      <c r="AJ39" s="1901">
        <f t="shared" ca="1" si="109"/>
        <v>12.119999999999997</v>
      </c>
      <c r="AK39" s="1901">
        <f t="shared" ca="1" si="109"/>
        <v>12.119999999999997</v>
      </c>
      <c r="AL39" s="1877">
        <f ca="1">SUMIF('СС 2016'!$C$184:$C$204,'C1 2016'!$C39,'СС 2016'!$K$184:$K$204)</f>
        <v>24.24</v>
      </c>
      <c r="AM39" s="1897">
        <f>AM$16/$AW$16*$AW39</f>
        <v>0</v>
      </c>
      <c r="AN39" s="1899">
        <f t="shared" si="110"/>
        <v>0</v>
      </c>
      <c r="AO39" s="1898">
        <f t="shared" si="110"/>
        <v>0</v>
      </c>
      <c r="AP39" s="1898">
        <f t="shared" si="110"/>
        <v>0</v>
      </c>
      <c r="AQ39" s="1898">
        <f t="shared" si="110"/>
        <v>0</v>
      </c>
      <c r="AR39" s="1898">
        <f t="shared" si="110"/>
        <v>0</v>
      </c>
      <c r="AS39" s="1898">
        <f t="shared" si="110"/>
        <v>0</v>
      </c>
      <c r="AT39" s="1900">
        <f t="shared" si="110"/>
        <v>0</v>
      </c>
      <c r="AU39" s="1901">
        <f t="shared" si="111"/>
        <v>0</v>
      </c>
      <c r="AV39" s="1901">
        <f t="shared" si="111"/>
        <v>0</v>
      </c>
      <c r="AW39" s="1877"/>
      <c r="AX39" s="1740"/>
      <c r="AY39" s="1740"/>
      <c r="AZ39" s="1740"/>
      <c r="BA39" s="1883">
        <f t="shared" ca="1" si="64"/>
        <v>1793.3122266666671</v>
      </c>
      <c r="BB39" s="1883">
        <f t="shared" ca="1" si="55"/>
        <v>1793.3122266666671</v>
      </c>
      <c r="BC39" s="1883">
        <f t="shared" ca="1" si="56"/>
        <v>0</v>
      </c>
      <c r="BD39" s="1883">
        <f t="shared" ca="1" si="65"/>
        <v>1793.3122266666667</v>
      </c>
      <c r="BE39" s="1883">
        <f t="shared" ca="1" si="66"/>
        <v>5379.9366800000007</v>
      </c>
      <c r="BF39" s="1883">
        <f t="shared" ca="1" si="57"/>
        <v>5379.9366800000007</v>
      </c>
      <c r="BG39" s="1740" t="b">
        <f t="shared" ca="1" si="58"/>
        <v>1</v>
      </c>
      <c r="BH39" s="1740"/>
      <c r="BI39" s="1768">
        <f t="shared" ca="1" si="112"/>
        <v>1793.3122266666671</v>
      </c>
      <c r="BJ39" s="1768">
        <f t="shared" ca="1" si="113"/>
        <v>3586.6244533333338</v>
      </c>
      <c r="BK39" s="1768">
        <f t="shared" ca="1" si="114"/>
        <v>5379.9366800000007</v>
      </c>
    </row>
    <row r="40" spans="1:63" ht="15.75">
      <c r="B40" s="1872"/>
      <c r="C40" s="1894" t="s">
        <v>3722</v>
      </c>
      <c r="D40" s="1895"/>
      <c r="E40" s="1896"/>
      <c r="F40" s="1895"/>
      <c r="G40" s="1897">
        <f ca="1">G$16/$K$16*$K40</f>
        <v>2.7233333333333336</v>
      </c>
      <c r="H40" s="1898">
        <f t="shared" ca="1" si="104"/>
        <v>2.7233333333333336</v>
      </c>
      <c r="I40" s="1898">
        <f t="shared" ca="1" si="104"/>
        <v>0</v>
      </c>
      <c r="J40" s="1779">
        <f t="shared" ca="1" si="90"/>
        <v>2.7233333333333327</v>
      </c>
      <c r="K40" s="1877">
        <f ca="1">SUMIF('СС 2016'!$C$184:$C$204,'C1 2016'!$C40,'СС 2016'!$H$184:$H$204)</f>
        <v>8.17</v>
      </c>
      <c r="L40" s="1897">
        <f ca="1">L$16/$P$16*$P40</f>
        <v>31.683333333333341</v>
      </c>
      <c r="M40" s="1898">
        <f t="shared" ca="1" si="105"/>
        <v>31.683333333333341</v>
      </c>
      <c r="N40" s="1898">
        <f t="shared" ca="1" si="105"/>
        <v>0</v>
      </c>
      <c r="O40" s="1898">
        <f t="shared" ca="1" si="105"/>
        <v>31.68333333333333</v>
      </c>
      <c r="P40" s="1877">
        <f ca="1">SUMIF('СС 2016'!$C$184:$C$204,'C1 2016'!$C40,'СС 2016'!$I$184:$I$204)</f>
        <v>95.050000000000011</v>
      </c>
      <c r="Q40" s="1897">
        <f ca="1">Q$16/$AA$16*$AA40</f>
        <v>3.8581683333333339</v>
      </c>
      <c r="R40" s="1899">
        <f t="shared" ca="1" si="106"/>
        <v>3.8581683333333334</v>
      </c>
      <c r="S40" s="1898">
        <f t="shared" ca="1" si="106"/>
        <v>3.8581683333333339</v>
      </c>
      <c r="T40" s="1898">
        <f t="shared" ca="1" si="106"/>
        <v>3.8581683333333334</v>
      </c>
      <c r="U40" s="1898">
        <f t="shared" ca="1" si="106"/>
        <v>0</v>
      </c>
      <c r="V40" s="1898">
        <f t="shared" ca="1" si="106"/>
        <v>0</v>
      </c>
      <c r="W40" s="1898">
        <f t="shared" ca="1" si="106"/>
        <v>3.8581683333333339</v>
      </c>
      <c r="X40" s="1900">
        <f t="shared" ca="1" si="106"/>
        <v>3.8581683333333334</v>
      </c>
      <c r="Y40" s="1901">
        <f t="shared" ca="1" si="107"/>
        <v>11.574505000000002</v>
      </c>
      <c r="Z40" s="1901">
        <f t="shared" ca="1" si="107"/>
        <v>11.574505</v>
      </c>
      <c r="AA40" s="1877">
        <f ca="1">SUMIF('СС 2016'!$C$184:$C$204,'C1 2016'!$C40,'СС 2016'!$J$184:$J$204)</f>
        <v>23.149010000000001</v>
      </c>
      <c r="AB40" s="1897">
        <f ca="1">AB$16/$AL$16*$AL40</f>
        <v>7.1666666666666656E-2</v>
      </c>
      <c r="AC40" s="1899">
        <f t="shared" ca="1" si="108"/>
        <v>7.1666666666666656E-2</v>
      </c>
      <c r="AD40" s="1898">
        <f t="shared" ca="1" si="108"/>
        <v>7.1666666666666656E-2</v>
      </c>
      <c r="AE40" s="1898">
        <f t="shared" ca="1" si="108"/>
        <v>7.1666666666666656E-2</v>
      </c>
      <c r="AF40" s="1898">
        <f t="shared" ca="1" si="108"/>
        <v>0</v>
      </c>
      <c r="AG40" s="1898">
        <f t="shared" ca="1" si="108"/>
        <v>0</v>
      </c>
      <c r="AH40" s="1898">
        <f t="shared" ca="1" si="108"/>
        <v>7.1666666666666656E-2</v>
      </c>
      <c r="AI40" s="1900">
        <f t="shared" ca="1" si="108"/>
        <v>7.1666666666666656E-2</v>
      </c>
      <c r="AJ40" s="1901">
        <f t="shared" ca="1" si="109"/>
        <v>0.21499999999999997</v>
      </c>
      <c r="AK40" s="1901">
        <f t="shared" ca="1" si="109"/>
        <v>0.21499999999999997</v>
      </c>
      <c r="AL40" s="1877">
        <f ca="1">SUMIF('СС 2016'!$C$184:$C$204,'C1 2016'!$C40,'СС 2016'!$K$184:$K$204)</f>
        <v>0.43</v>
      </c>
      <c r="AM40" s="1897">
        <f>AM$16/$AW$16*$AW40</f>
        <v>0</v>
      </c>
      <c r="AN40" s="1899">
        <f t="shared" si="110"/>
        <v>0</v>
      </c>
      <c r="AO40" s="1898">
        <f t="shared" si="110"/>
        <v>0</v>
      </c>
      <c r="AP40" s="1898">
        <f t="shared" si="110"/>
        <v>0</v>
      </c>
      <c r="AQ40" s="1898">
        <f t="shared" si="110"/>
        <v>0</v>
      </c>
      <c r="AR40" s="1898">
        <f t="shared" si="110"/>
        <v>0</v>
      </c>
      <c r="AS40" s="1898">
        <f t="shared" si="110"/>
        <v>0</v>
      </c>
      <c r="AT40" s="1900">
        <f t="shared" si="110"/>
        <v>0</v>
      </c>
      <c r="AU40" s="1901">
        <f t="shared" si="111"/>
        <v>0</v>
      </c>
      <c r="AV40" s="1901">
        <f t="shared" si="111"/>
        <v>0</v>
      </c>
      <c r="AW40" s="1877"/>
      <c r="AX40" s="1740"/>
      <c r="AY40" s="1740"/>
      <c r="AZ40" s="1740"/>
      <c r="BA40" s="1883">
        <f t="shared" ca="1" si="64"/>
        <v>42.266336666666668</v>
      </c>
      <c r="BB40" s="1883">
        <f t="shared" ca="1" si="55"/>
        <v>42.266336666666668</v>
      </c>
      <c r="BC40" s="1883">
        <f t="shared" ca="1" si="56"/>
        <v>0</v>
      </c>
      <c r="BD40" s="1883">
        <f t="shared" ca="1" si="65"/>
        <v>42.26633666666666</v>
      </c>
      <c r="BE40" s="1883">
        <f t="shared" ca="1" si="66"/>
        <v>126.79901000000002</v>
      </c>
      <c r="BF40" s="1883">
        <f t="shared" ca="1" si="57"/>
        <v>126.79901</v>
      </c>
      <c r="BG40" s="1740" t="b">
        <f t="shared" ca="1" si="58"/>
        <v>1</v>
      </c>
      <c r="BH40" s="1740"/>
      <c r="BI40" s="1768">
        <f t="shared" ca="1" si="112"/>
        <v>42.266336666666668</v>
      </c>
      <c r="BJ40" s="1768">
        <f t="shared" ca="1" si="113"/>
        <v>84.532673333333321</v>
      </c>
      <c r="BK40" s="1768">
        <f t="shared" ca="1" si="114"/>
        <v>126.79900999999998</v>
      </c>
    </row>
    <row r="41" spans="1:63" ht="31.5">
      <c r="B41" s="1872"/>
      <c r="C41" s="1894" t="str">
        <f>'[35]СС 2015'!C168</f>
        <v xml:space="preserve">другие прочие расходы, связанные с производством и реализацией </v>
      </c>
      <c r="D41" s="1895"/>
      <c r="E41" s="1896"/>
      <c r="F41" s="1895"/>
      <c r="G41" s="1902">
        <f ca="1">SUM(G42,G43)</f>
        <v>350661.77283231035</v>
      </c>
      <c r="H41" s="1903">
        <f t="shared" ref="H41:J41" ca="1" si="115">SUM(H42,H43)</f>
        <v>350661.77283231035</v>
      </c>
      <c r="I41" s="1903">
        <f t="shared" ca="1" si="115"/>
        <v>0</v>
      </c>
      <c r="J41" s="1903">
        <f t="shared" ca="1" si="115"/>
        <v>350661.77283231023</v>
      </c>
      <c r="K41" s="1877">
        <f ca="1">SUMIF('СС 2016'!$C$184:$C$204,'C1 2016'!$C41,'СС 2016'!$H$184:$H$204)</f>
        <v>1051985.3184969309</v>
      </c>
      <c r="L41" s="1902">
        <f>SUM(L42,L43)</f>
        <v>38143.684984279469</v>
      </c>
      <c r="M41" s="1903">
        <f t="shared" ref="M41:O41" si="116">SUM(M42,M43)</f>
        <v>38143.684984279469</v>
      </c>
      <c r="N41" s="1903">
        <f t="shared" si="116"/>
        <v>0</v>
      </c>
      <c r="O41" s="1903">
        <f t="shared" si="116"/>
        <v>38143.684984279462</v>
      </c>
      <c r="P41" s="1902">
        <f>SUM(P42,P43)</f>
        <v>114431.0549528384</v>
      </c>
      <c r="Q41" s="1902">
        <f ca="1">SUM(Q42,Q43)</f>
        <v>94838.21361023889</v>
      </c>
      <c r="R41" s="1904">
        <f t="shared" ref="R41:AA41" ca="1" si="117">SUM(R42,R43)</f>
        <v>94838.213610238876</v>
      </c>
      <c r="S41" s="1903">
        <f t="shared" ca="1" si="117"/>
        <v>94838.21361023889</v>
      </c>
      <c r="T41" s="1903">
        <f t="shared" ca="1" si="117"/>
        <v>94838.213610238876</v>
      </c>
      <c r="U41" s="1903">
        <f t="shared" ca="1" si="117"/>
        <v>0</v>
      </c>
      <c r="V41" s="1903">
        <f t="shared" ca="1" si="117"/>
        <v>0</v>
      </c>
      <c r="W41" s="1903">
        <f t="shared" ca="1" si="117"/>
        <v>94838.21361023889</v>
      </c>
      <c r="X41" s="1901">
        <f t="shared" ca="1" si="117"/>
        <v>94838.213610238876</v>
      </c>
      <c r="Y41" s="1901">
        <f t="shared" ca="1" si="117"/>
        <v>284514.6408307167</v>
      </c>
      <c r="Z41" s="1901">
        <f t="shared" ca="1" si="117"/>
        <v>284514.64083071664</v>
      </c>
      <c r="AA41" s="1903">
        <f t="shared" ca="1" si="117"/>
        <v>569029.28166143328</v>
      </c>
      <c r="AB41" s="1902">
        <f ca="1">SUM(AB42,AB43)</f>
        <v>83483.644234799605</v>
      </c>
      <c r="AC41" s="1904">
        <f t="shared" ref="AC41:AL41" ca="1" si="118">SUM(AC42,AC43)</f>
        <v>83483.644234799605</v>
      </c>
      <c r="AD41" s="1903">
        <f t="shared" ca="1" si="118"/>
        <v>83483.644234799605</v>
      </c>
      <c r="AE41" s="1903">
        <f t="shared" ca="1" si="118"/>
        <v>83483.644234799605</v>
      </c>
      <c r="AF41" s="1903">
        <f t="shared" ca="1" si="118"/>
        <v>0</v>
      </c>
      <c r="AG41" s="1903">
        <f t="shared" ca="1" si="118"/>
        <v>0</v>
      </c>
      <c r="AH41" s="1903">
        <f t="shared" ca="1" si="118"/>
        <v>83483.644234799605</v>
      </c>
      <c r="AI41" s="1901">
        <f t="shared" ca="1" si="118"/>
        <v>83483.644234799605</v>
      </c>
      <c r="AJ41" s="1901">
        <f t="shared" ca="1" si="118"/>
        <v>250450.93270439882</v>
      </c>
      <c r="AK41" s="1901">
        <f t="shared" ca="1" si="118"/>
        <v>250450.93270439882</v>
      </c>
      <c r="AL41" s="1903">
        <f t="shared" ca="1" si="118"/>
        <v>500901.86540879769</v>
      </c>
      <c r="AM41" s="1902">
        <f>SUM(AM42,AM43)</f>
        <v>0</v>
      </c>
      <c r="AN41" s="1904">
        <f t="shared" ref="AN41:AW41" si="119">SUM(AN42,AN43)</f>
        <v>0</v>
      </c>
      <c r="AO41" s="1903">
        <f t="shared" si="119"/>
        <v>0</v>
      </c>
      <c r="AP41" s="1903">
        <f t="shared" si="119"/>
        <v>0</v>
      </c>
      <c r="AQ41" s="1903">
        <f t="shared" si="119"/>
        <v>0</v>
      </c>
      <c r="AR41" s="1903">
        <f t="shared" si="119"/>
        <v>0</v>
      </c>
      <c r="AS41" s="1903">
        <f t="shared" si="119"/>
        <v>0</v>
      </c>
      <c r="AT41" s="1901">
        <f t="shared" si="119"/>
        <v>0</v>
      </c>
      <c r="AU41" s="1901">
        <f t="shared" si="119"/>
        <v>0</v>
      </c>
      <c r="AV41" s="1901">
        <f t="shared" si="119"/>
        <v>0</v>
      </c>
      <c r="AW41" s="1903">
        <f t="shared" si="119"/>
        <v>0</v>
      </c>
      <c r="AX41" s="1740"/>
      <c r="AY41" s="1740"/>
      <c r="AZ41" s="1740"/>
      <c r="BA41" s="1883">
        <f t="shared" ca="1" si="64"/>
        <v>745449.17350666667</v>
      </c>
      <c r="BB41" s="1883">
        <f t="shared" ca="1" si="55"/>
        <v>745449.17350666667</v>
      </c>
      <c r="BC41" s="1883">
        <f t="shared" ca="1" si="56"/>
        <v>0</v>
      </c>
      <c r="BD41" s="1883">
        <f t="shared" ca="1" si="65"/>
        <v>745449.17350666667</v>
      </c>
      <c r="BE41" s="1883">
        <f t="shared" ca="1" si="66"/>
        <v>2236347.5205200003</v>
      </c>
      <c r="BF41" s="1883">
        <f t="shared" ca="1" si="57"/>
        <v>2236347.5205199998</v>
      </c>
      <c r="BG41" s="1740" t="b">
        <f t="shared" ca="1" si="58"/>
        <v>1</v>
      </c>
      <c r="BH41" s="1740"/>
      <c r="BI41" s="1905">
        <f ca="1">SUM(BI42,BI43)</f>
        <v>745449.17350666667</v>
      </c>
      <c r="BJ41" s="1905">
        <f ca="1">SUM(BJ42,BJ43)</f>
        <v>1490898.3470133333</v>
      </c>
      <c r="BK41" s="1905">
        <f ca="1">SUM(BK42,BK43)</f>
        <v>2236347.5205199998</v>
      </c>
    </row>
    <row r="42" spans="1:63" ht="31.5">
      <c r="B42" s="1907"/>
      <c r="C42" s="1908" t="s">
        <v>3768</v>
      </c>
      <c r="D42" s="1895"/>
      <c r="E42" s="1896"/>
      <c r="F42" s="1895"/>
      <c r="G42" s="1897">
        <f>G$14/$K$14*$K42</f>
        <v>0</v>
      </c>
      <c r="H42" s="1898">
        <f t="shared" ref="H42:I42" si="120">H$14/$K$14*$K42</f>
        <v>0</v>
      </c>
      <c r="I42" s="1898">
        <f t="shared" si="120"/>
        <v>0</v>
      </c>
      <c r="J42" s="1779">
        <f t="shared" si="90"/>
        <v>0</v>
      </c>
      <c r="K42" s="1877">
        <f>SUMIF('СС 2016'!$C$184:$C$204,'C1 2016'!$C42,'СС 2016'!$H$184:$H$204)</f>
        <v>0</v>
      </c>
      <c r="L42" s="1897">
        <f>L$14/$P14*$P42</f>
        <v>0</v>
      </c>
      <c r="M42" s="1898">
        <f t="shared" ref="M42:O42" si="121">M$14/$P14*$P42</f>
        <v>0</v>
      </c>
      <c r="N42" s="1898">
        <f t="shared" si="121"/>
        <v>0</v>
      </c>
      <c r="O42" s="1898">
        <f t="shared" si="121"/>
        <v>0</v>
      </c>
      <c r="P42" s="1877">
        <f>SUMIF('СС 2016'!$C$184:$C$204,'C1 2016'!$C42,'СС 2016'!$I$184:$I$204)</f>
        <v>0</v>
      </c>
      <c r="Q42" s="1897">
        <f>Q$14/$AA$14*$AA42</f>
        <v>0</v>
      </c>
      <c r="R42" s="1899">
        <f t="shared" ref="R42:X42" si="122">R$14/$AA$14*$AA42</f>
        <v>0</v>
      </c>
      <c r="S42" s="1898">
        <f t="shared" si="122"/>
        <v>0</v>
      </c>
      <c r="T42" s="1898">
        <f t="shared" si="122"/>
        <v>0</v>
      </c>
      <c r="U42" s="1898">
        <f t="shared" si="122"/>
        <v>0</v>
      </c>
      <c r="V42" s="1898">
        <f t="shared" si="122"/>
        <v>0</v>
      </c>
      <c r="W42" s="1898">
        <f t="shared" si="122"/>
        <v>0</v>
      </c>
      <c r="X42" s="1900">
        <f t="shared" si="122"/>
        <v>0</v>
      </c>
      <c r="Y42" s="1901">
        <f t="shared" ref="Y42:Z43" si="123">SUM(Q42,S42,U42,W42)</f>
        <v>0</v>
      </c>
      <c r="Z42" s="1901">
        <f t="shared" si="123"/>
        <v>0</v>
      </c>
      <c r="AA42" s="1877">
        <f>SUMIF('СС 2016'!$C$184:$C$204,'C1 2016'!$C42,'СС 2016'!$J$184:$J$204)</f>
        <v>0</v>
      </c>
      <c r="AB42" s="1897">
        <f>AB$14/$AL$14*$AL42</f>
        <v>0</v>
      </c>
      <c r="AC42" s="1899">
        <f t="shared" ref="AC42:AI42" si="124">AC$14/$AL$14*$AL42</f>
        <v>0</v>
      </c>
      <c r="AD42" s="1898">
        <f t="shared" si="124"/>
        <v>0</v>
      </c>
      <c r="AE42" s="1898">
        <f t="shared" si="124"/>
        <v>0</v>
      </c>
      <c r="AF42" s="1898">
        <f t="shared" si="124"/>
        <v>0</v>
      </c>
      <c r="AG42" s="1898">
        <f t="shared" si="124"/>
        <v>0</v>
      </c>
      <c r="AH42" s="1898">
        <f t="shared" si="124"/>
        <v>0</v>
      </c>
      <c r="AI42" s="1900">
        <f t="shared" si="124"/>
        <v>0</v>
      </c>
      <c r="AJ42" s="1901">
        <f t="shared" ref="AJ42:AK43" si="125">SUM(AB42,AD42,AF42,AH42)</f>
        <v>0</v>
      </c>
      <c r="AK42" s="1901">
        <f t="shared" si="125"/>
        <v>0</v>
      </c>
      <c r="AL42" s="1877">
        <f>SUMIF('СС 2016'!$C$184:$C$204,'C1 2016'!$C42,'СС 2016'!$K$184:$K$204)</f>
        <v>0</v>
      </c>
      <c r="AM42" s="1897">
        <f>AM$14/$AW$14*$AW42</f>
        <v>0</v>
      </c>
      <c r="AN42" s="1899">
        <f t="shared" ref="AN42:AT42" si="126">AN$14/$AW$14*$AW42</f>
        <v>0</v>
      </c>
      <c r="AO42" s="1898">
        <f t="shared" si="126"/>
        <v>0</v>
      </c>
      <c r="AP42" s="1898">
        <f t="shared" si="126"/>
        <v>0</v>
      </c>
      <c r="AQ42" s="1898">
        <f t="shared" si="126"/>
        <v>0</v>
      </c>
      <c r="AR42" s="1898">
        <f t="shared" si="126"/>
        <v>0</v>
      </c>
      <c r="AS42" s="1898">
        <f t="shared" si="126"/>
        <v>0</v>
      </c>
      <c r="AT42" s="1900">
        <f t="shared" si="126"/>
        <v>0</v>
      </c>
      <c r="AU42" s="1901">
        <f t="shared" ref="AU42:AV43" si="127">SUM(AM42,AO42,AQ42,AS42)</f>
        <v>0</v>
      </c>
      <c r="AV42" s="1901">
        <f t="shared" si="127"/>
        <v>0</v>
      </c>
      <c r="AW42" s="1877"/>
      <c r="AX42" s="1740"/>
      <c r="AY42" s="1740"/>
      <c r="AZ42" s="1740"/>
      <c r="BA42" s="1883">
        <f t="shared" si="64"/>
        <v>0</v>
      </c>
      <c r="BB42" s="1883">
        <f t="shared" si="55"/>
        <v>0</v>
      </c>
      <c r="BC42" s="1883">
        <f t="shared" si="56"/>
        <v>0</v>
      </c>
      <c r="BD42" s="1883">
        <f t="shared" si="65"/>
        <v>0</v>
      </c>
      <c r="BE42" s="1883">
        <f t="shared" si="66"/>
        <v>0</v>
      </c>
      <c r="BF42" s="1883">
        <f t="shared" si="57"/>
        <v>0</v>
      </c>
      <c r="BG42" s="1740" t="b">
        <f t="shared" si="58"/>
        <v>1</v>
      </c>
      <c r="BH42" s="1740"/>
      <c r="BI42" s="1768">
        <f t="shared" ref="BI42:BI43" si="128">BA42</f>
        <v>0</v>
      </c>
      <c r="BJ42" s="1768">
        <f t="shared" ref="BJ42:BJ43" si="129">SUM(BB42:BD42)</f>
        <v>0</v>
      </c>
      <c r="BK42" s="1768">
        <f t="shared" ref="BK42:BK43" si="130">SUM(BI42:BJ42)</f>
        <v>0</v>
      </c>
    </row>
    <row r="43" spans="1:63" ht="15.75">
      <c r="B43" s="1907"/>
      <c r="C43" s="1909" t="s">
        <v>3769</v>
      </c>
      <c r="D43" s="1895"/>
      <c r="E43" s="1896"/>
      <c r="F43" s="1895"/>
      <c r="G43" s="1897">
        <f ca="1">G$16/$K$16*$K43</f>
        <v>350661.77283231035</v>
      </c>
      <c r="H43" s="1898">
        <f ca="1">H$16/$K$16*$K43</f>
        <v>350661.77283231035</v>
      </c>
      <c r="I43" s="1898">
        <f ca="1">I$16/$K$16*$K43</f>
        <v>0</v>
      </c>
      <c r="J43" s="1779">
        <f t="shared" ca="1" si="90"/>
        <v>350661.77283231023</v>
      </c>
      <c r="K43" s="1906">
        <f ca="1">K41-K42</f>
        <v>1051985.3184969309</v>
      </c>
      <c r="L43" s="1897">
        <f>L$16/$P$16*$P43</f>
        <v>38143.684984279469</v>
      </c>
      <c r="M43" s="1898">
        <f t="shared" ref="M43:O43" si="131">M$16/$P$16*$P43</f>
        <v>38143.684984279469</v>
      </c>
      <c r="N43" s="1898">
        <f t="shared" si="131"/>
        <v>0</v>
      </c>
      <c r="O43" s="1898">
        <f t="shared" si="131"/>
        <v>38143.684984279462</v>
      </c>
      <c r="P43" s="1906">
        <f>'[30]СС 2016'!I199</f>
        <v>114431.0549528384</v>
      </c>
      <c r="Q43" s="1897">
        <f ca="1">Q$16/$AA$16*$AA43</f>
        <v>94838.21361023889</v>
      </c>
      <c r="R43" s="1899">
        <f t="shared" ref="R43:X43" ca="1" si="132">R$16/$AA$16*$AA43</f>
        <v>94838.213610238876</v>
      </c>
      <c r="S43" s="1898">
        <f t="shared" ca="1" si="132"/>
        <v>94838.21361023889</v>
      </c>
      <c r="T43" s="1898">
        <f t="shared" ca="1" si="132"/>
        <v>94838.213610238876</v>
      </c>
      <c r="U43" s="1898">
        <f t="shared" ca="1" si="132"/>
        <v>0</v>
      </c>
      <c r="V43" s="1898">
        <f t="shared" ca="1" si="132"/>
        <v>0</v>
      </c>
      <c r="W43" s="1898">
        <f t="shared" ca="1" si="132"/>
        <v>94838.21361023889</v>
      </c>
      <c r="X43" s="1900">
        <f t="shared" ca="1" si="132"/>
        <v>94838.213610238876</v>
      </c>
      <c r="Y43" s="1901">
        <f t="shared" ca="1" si="123"/>
        <v>284514.6408307167</v>
      </c>
      <c r="Z43" s="1901">
        <f t="shared" ca="1" si="123"/>
        <v>284514.64083071664</v>
      </c>
      <c r="AA43" s="1877">
        <f ca="1">'СС 2016'!J199</f>
        <v>569029.28166143328</v>
      </c>
      <c r="AB43" s="1897">
        <f ca="1">AB$16/$AL$16*$AL43</f>
        <v>83483.644234799605</v>
      </c>
      <c r="AC43" s="1899">
        <f t="shared" ref="AC43:AI43" ca="1" si="133">AC$16/$AL$16*$AL43</f>
        <v>83483.644234799605</v>
      </c>
      <c r="AD43" s="1898">
        <f t="shared" ca="1" si="133"/>
        <v>83483.644234799605</v>
      </c>
      <c r="AE43" s="1898">
        <f t="shared" ca="1" si="133"/>
        <v>83483.644234799605</v>
      </c>
      <c r="AF43" s="1898">
        <f t="shared" ca="1" si="133"/>
        <v>0</v>
      </c>
      <c r="AG43" s="1898">
        <f t="shared" ca="1" si="133"/>
        <v>0</v>
      </c>
      <c r="AH43" s="1898">
        <f t="shared" ca="1" si="133"/>
        <v>83483.644234799605</v>
      </c>
      <c r="AI43" s="1900">
        <f t="shared" ca="1" si="133"/>
        <v>83483.644234799605</v>
      </c>
      <c r="AJ43" s="1901">
        <f t="shared" ca="1" si="125"/>
        <v>250450.93270439882</v>
      </c>
      <c r="AK43" s="1901">
        <f t="shared" ca="1" si="125"/>
        <v>250450.93270439882</v>
      </c>
      <c r="AL43" s="1877">
        <f ca="1">'СС 2016'!K199</f>
        <v>500901.86540879769</v>
      </c>
      <c r="AM43" s="1897">
        <f>AM$16/$AW$16*$AW43</f>
        <v>0</v>
      </c>
      <c r="AN43" s="1899">
        <f t="shared" ref="AN43:AS43" si="134">AN$16/$AW$16*$AW43</f>
        <v>0</v>
      </c>
      <c r="AO43" s="1898">
        <f t="shared" si="134"/>
        <v>0</v>
      </c>
      <c r="AP43" s="1898">
        <f t="shared" si="134"/>
        <v>0</v>
      </c>
      <c r="AQ43" s="1898">
        <f t="shared" si="134"/>
        <v>0</v>
      </c>
      <c r="AR43" s="1898">
        <f t="shared" si="134"/>
        <v>0</v>
      </c>
      <c r="AS43" s="1898">
        <f t="shared" si="134"/>
        <v>0</v>
      </c>
      <c r="AT43" s="1900">
        <f>AT$16/$AW$16*$AW43</f>
        <v>0</v>
      </c>
      <c r="AU43" s="1901">
        <f t="shared" si="127"/>
        <v>0</v>
      </c>
      <c r="AV43" s="1901">
        <f t="shared" si="127"/>
        <v>0</v>
      </c>
      <c r="AW43" s="1877"/>
      <c r="AX43" s="1740"/>
      <c r="AY43" s="1740"/>
      <c r="AZ43" s="1740"/>
      <c r="BA43" s="1883">
        <f t="shared" ca="1" si="64"/>
        <v>745449.17350666667</v>
      </c>
      <c r="BB43" s="1883">
        <f t="shared" ca="1" si="55"/>
        <v>745449.17350666667</v>
      </c>
      <c r="BC43" s="1883">
        <f t="shared" ca="1" si="56"/>
        <v>0</v>
      </c>
      <c r="BD43" s="1883">
        <f t="shared" ca="1" si="65"/>
        <v>745449.17350666667</v>
      </c>
      <c r="BE43" s="1883">
        <f t="shared" ca="1" si="66"/>
        <v>2236347.5205200003</v>
      </c>
      <c r="BF43" s="1883">
        <f t="shared" ca="1" si="57"/>
        <v>2236347.5205199998</v>
      </c>
      <c r="BG43" s="1740" t="b">
        <f t="shared" ca="1" si="58"/>
        <v>1</v>
      </c>
      <c r="BH43" s="1740"/>
      <c r="BI43" s="1768">
        <f t="shared" ca="1" si="128"/>
        <v>745449.17350666667</v>
      </c>
      <c r="BJ43" s="1768">
        <f t="shared" ca="1" si="129"/>
        <v>1490898.3470133333</v>
      </c>
      <c r="BK43" s="1768">
        <f t="shared" ca="1" si="130"/>
        <v>2236347.5205199998</v>
      </c>
    </row>
    <row r="44" spans="1:63" ht="15.75">
      <c r="A44" s="1739">
        <f>A33+1</f>
        <v>6</v>
      </c>
      <c r="B44" s="1872" t="str">
        <f>CONCATENATE($B$25,".",A44)</f>
        <v>8.6</v>
      </c>
      <c r="C44" s="1873" t="s">
        <v>3726</v>
      </c>
      <c r="D44" s="1874"/>
      <c r="E44" s="1875"/>
      <c r="F44" s="1874"/>
      <c r="G44" s="1889">
        <f>SUM(G45:G48)</f>
        <v>94743.991950646014</v>
      </c>
      <c r="H44" s="1890">
        <f t="shared" ref="H44:J44" si="135">SUM(H45:H48)</f>
        <v>94743.991950646014</v>
      </c>
      <c r="I44" s="1890">
        <f t="shared" si="135"/>
        <v>0</v>
      </c>
      <c r="J44" s="1890">
        <f t="shared" si="135"/>
        <v>94743.991950645985</v>
      </c>
      <c r="K44" s="1877">
        <f>SUMIF('СС 2016'!$C$184:$C$204,'C1 2016'!$C44,'СС 2016'!$H$184:$H$204)</f>
        <v>284231.97585193801</v>
      </c>
      <c r="L44" s="1889">
        <f t="shared" ref="L44:O44" si="136">SUM(L45:L48)</f>
        <v>4627.0758916450577</v>
      </c>
      <c r="M44" s="1890">
        <f t="shared" si="136"/>
        <v>4627.0758916450577</v>
      </c>
      <c r="N44" s="1890">
        <f t="shared" si="136"/>
        <v>0</v>
      </c>
      <c r="O44" s="1890">
        <f t="shared" si="136"/>
        <v>4627.0758916450541</v>
      </c>
      <c r="P44" s="1877">
        <f>SUMIF('СС 2016'!$C$184:$C$204,'C1 2016'!$C44,'СС 2016'!$I$184:$I$204)</f>
        <v>13881.227674935173</v>
      </c>
      <c r="Q44" s="1889">
        <f t="shared" ref="Q44:Z44" si="137">SUM(Q45:Q48)</f>
        <v>22580.593180614385</v>
      </c>
      <c r="R44" s="1891">
        <f t="shared" si="137"/>
        <v>22580.593180614382</v>
      </c>
      <c r="S44" s="1890">
        <f t="shared" si="137"/>
        <v>22580.593180614385</v>
      </c>
      <c r="T44" s="1890">
        <f t="shared" si="137"/>
        <v>22580.593180614382</v>
      </c>
      <c r="U44" s="1890">
        <f t="shared" si="137"/>
        <v>0</v>
      </c>
      <c r="V44" s="1890">
        <f t="shared" si="137"/>
        <v>0</v>
      </c>
      <c r="W44" s="1890">
        <f t="shared" si="137"/>
        <v>22580.593180614385</v>
      </c>
      <c r="X44" s="1892">
        <f t="shared" si="137"/>
        <v>22580.593180614382</v>
      </c>
      <c r="Y44" s="1892">
        <f t="shared" si="137"/>
        <v>67741.779541843163</v>
      </c>
      <c r="Z44" s="1892">
        <f t="shared" si="137"/>
        <v>67741.779541843149</v>
      </c>
      <c r="AA44" s="1877">
        <f>SUMIF('СС 2016'!$C$184:$C$204,'C1 2016'!$C44,'СС 2016'!$J$184:$J$204)</f>
        <v>135483.5590836863</v>
      </c>
      <c r="AB44" s="1889">
        <f t="shared" ref="AB44:AV44" si="138">SUM(AB45:AB48)</f>
        <v>22631.062898240089</v>
      </c>
      <c r="AC44" s="1891">
        <f t="shared" si="138"/>
        <v>22631.062898240089</v>
      </c>
      <c r="AD44" s="1890">
        <f t="shared" si="138"/>
        <v>22631.062898240089</v>
      </c>
      <c r="AE44" s="1890">
        <f t="shared" si="138"/>
        <v>22631.062898240089</v>
      </c>
      <c r="AF44" s="1890">
        <f t="shared" si="138"/>
        <v>0</v>
      </c>
      <c r="AG44" s="1890">
        <f t="shared" si="138"/>
        <v>0</v>
      </c>
      <c r="AH44" s="1890">
        <f t="shared" si="138"/>
        <v>22631.062898240089</v>
      </c>
      <c r="AI44" s="1892">
        <f t="shared" si="138"/>
        <v>22631.062898240089</v>
      </c>
      <c r="AJ44" s="1892">
        <f t="shared" si="138"/>
        <v>67893.188694720273</v>
      </c>
      <c r="AK44" s="1892">
        <f t="shared" si="138"/>
        <v>67893.188694720273</v>
      </c>
      <c r="AL44" s="1877">
        <f>SUMIF('СС 2016'!$C$184:$C$204,'C1 2016'!$C44,'СС 2016'!$K$184:$K$204)</f>
        <v>135786.37738944055</v>
      </c>
      <c r="AM44" s="1889">
        <f t="shared" si="138"/>
        <v>0</v>
      </c>
      <c r="AN44" s="1891">
        <f t="shared" si="138"/>
        <v>0</v>
      </c>
      <c r="AO44" s="1890">
        <f t="shared" si="138"/>
        <v>0</v>
      </c>
      <c r="AP44" s="1890">
        <f t="shared" si="138"/>
        <v>0</v>
      </c>
      <c r="AQ44" s="1890">
        <f t="shared" si="138"/>
        <v>0</v>
      </c>
      <c r="AR44" s="1890">
        <f t="shared" si="138"/>
        <v>0</v>
      </c>
      <c r="AS44" s="1890">
        <f t="shared" si="138"/>
        <v>0</v>
      </c>
      <c r="AT44" s="1892">
        <f t="shared" si="138"/>
        <v>0</v>
      </c>
      <c r="AU44" s="1892">
        <f t="shared" si="138"/>
        <v>0</v>
      </c>
      <c r="AV44" s="1892">
        <f t="shared" si="138"/>
        <v>0</v>
      </c>
      <c r="AW44" s="1877"/>
      <c r="AX44" s="1740"/>
      <c r="AY44" s="1740"/>
      <c r="AZ44" s="1740"/>
      <c r="BA44" s="1883">
        <f t="shared" si="64"/>
        <v>189794.38</v>
      </c>
      <c r="BB44" s="1883">
        <f t="shared" si="55"/>
        <v>189794.38</v>
      </c>
      <c r="BC44" s="1883">
        <f t="shared" si="56"/>
        <v>0</v>
      </c>
      <c r="BD44" s="1883">
        <f t="shared" si="65"/>
        <v>189794.37999999998</v>
      </c>
      <c r="BE44" s="1883">
        <f t="shared" si="66"/>
        <v>569383.14000000013</v>
      </c>
      <c r="BF44" s="1883">
        <f t="shared" si="57"/>
        <v>569383.14</v>
      </c>
      <c r="BG44" s="1740" t="b">
        <f t="shared" si="58"/>
        <v>1</v>
      </c>
      <c r="BH44" s="1740"/>
      <c r="BI44" s="1871">
        <f>SUM(BI45:BI48)</f>
        <v>189794.38000000003</v>
      </c>
      <c r="BJ44" s="1871">
        <f>SUM(BJ45:BJ48)</f>
        <v>379588.76</v>
      </c>
      <c r="BK44" s="1871">
        <f>SUM(BK45:BK48)</f>
        <v>569383.14</v>
      </c>
    </row>
    <row r="45" spans="1:63" ht="15.75">
      <c r="B45" s="1872"/>
      <c r="C45" s="1887" t="str">
        <f>'[35]СС 2015'!C170</f>
        <v xml:space="preserve"> - расходы на услуги банков</v>
      </c>
      <c r="D45" s="1874"/>
      <c r="E45" s="1875"/>
      <c r="F45" s="1874"/>
      <c r="G45" s="1878">
        <f>G$16/$K$16*$K45</f>
        <v>0</v>
      </c>
      <c r="H45" s="1880">
        <f t="shared" ref="H45:I48" si="139">H$16/$K$16*$K45</f>
        <v>0</v>
      </c>
      <c r="I45" s="1880">
        <f t="shared" si="139"/>
        <v>0</v>
      </c>
      <c r="J45" s="1779">
        <f t="shared" si="90"/>
        <v>0</v>
      </c>
      <c r="K45" s="1877">
        <f>SUMIF('СС 2016'!$C$184:$C$204,'C1 2016'!$C45,'СС 2016'!$H$184:$H$204)</f>
        <v>0</v>
      </c>
      <c r="L45" s="1878">
        <f t="shared" ref="L45:O48" si="140">L$16/$P$16*$P45</f>
        <v>0</v>
      </c>
      <c r="M45" s="1880">
        <f t="shared" si="140"/>
        <v>0</v>
      </c>
      <c r="N45" s="1880">
        <f t="shared" si="140"/>
        <v>0</v>
      </c>
      <c r="O45" s="1880">
        <f t="shared" si="140"/>
        <v>0</v>
      </c>
      <c r="P45" s="1877">
        <f>SUMIF('СС 2016'!$C$184:$C$204,'C1 2016'!$C45,'СС 2016'!$I$184:$I$204)</f>
        <v>0</v>
      </c>
      <c r="Q45" s="1878">
        <f>Q$16/$AA$16*$AA45</f>
        <v>0</v>
      </c>
      <c r="R45" s="1879">
        <f t="shared" ref="R45:X48" si="141">R$16/$AA$16*$AA45</f>
        <v>0</v>
      </c>
      <c r="S45" s="1880">
        <f t="shared" si="141"/>
        <v>0</v>
      </c>
      <c r="T45" s="1880">
        <f t="shared" si="141"/>
        <v>0</v>
      </c>
      <c r="U45" s="1880">
        <f t="shared" si="141"/>
        <v>0</v>
      </c>
      <c r="V45" s="1880">
        <f t="shared" si="141"/>
        <v>0</v>
      </c>
      <c r="W45" s="1880">
        <f t="shared" si="141"/>
        <v>0</v>
      </c>
      <c r="X45" s="1881">
        <f t="shared" si="141"/>
        <v>0</v>
      </c>
      <c r="Y45" s="1882">
        <f t="shared" ref="Y45:Z48" si="142">SUM(Q45,S45,U45,W45)</f>
        <v>0</v>
      </c>
      <c r="Z45" s="1882">
        <f t="shared" si="142"/>
        <v>0</v>
      </c>
      <c r="AA45" s="1877">
        <f>SUMIF('СС 2016'!$C$184:$C$204,'C1 2016'!$C45,'СС 2016'!$J$184:$J$204)</f>
        <v>0</v>
      </c>
      <c r="AB45" s="1878">
        <f>AB$16/$AL$16*$AL45</f>
        <v>0</v>
      </c>
      <c r="AC45" s="1879">
        <f t="shared" ref="AC45:AI48" si="143">AC$16/$AL$16*$AL45</f>
        <v>0</v>
      </c>
      <c r="AD45" s="1880">
        <f t="shared" si="143"/>
        <v>0</v>
      </c>
      <c r="AE45" s="1880">
        <f t="shared" si="143"/>
        <v>0</v>
      </c>
      <c r="AF45" s="1880">
        <f t="shared" si="143"/>
        <v>0</v>
      </c>
      <c r="AG45" s="1880">
        <f t="shared" si="143"/>
        <v>0</v>
      </c>
      <c r="AH45" s="1880">
        <f t="shared" si="143"/>
        <v>0</v>
      </c>
      <c r="AI45" s="1881">
        <f t="shared" si="143"/>
        <v>0</v>
      </c>
      <c r="AJ45" s="1882">
        <f t="shared" ref="AJ45:AK48" si="144">SUM(AB45,AD45,AF45,AH45)</f>
        <v>0</v>
      </c>
      <c r="AK45" s="1882">
        <f t="shared" si="144"/>
        <v>0</v>
      </c>
      <c r="AL45" s="1877">
        <f>SUMIF('СС 2016'!$C$184:$C$204,'C1 2016'!$C45,'СС 2016'!$K$184:$K$204)</f>
        <v>0</v>
      </c>
      <c r="AM45" s="1878">
        <f>AM$16/$AW$16*$AW45</f>
        <v>0</v>
      </c>
      <c r="AN45" s="1879">
        <f t="shared" ref="AN45:AT48" si="145">AN$16/$AW$16*$AW45</f>
        <v>0</v>
      </c>
      <c r="AO45" s="1880">
        <f t="shared" si="145"/>
        <v>0</v>
      </c>
      <c r="AP45" s="1880">
        <f t="shared" si="145"/>
        <v>0</v>
      </c>
      <c r="AQ45" s="1880">
        <f t="shared" si="145"/>
        <v>0</v>
      </c>
      <c r="AR45" s="1880">
        <f t="shared" si="145"/>
        <v>0</v>
      </c>
      <c r="AS45" s="1880">
        <f t="shared" si="145"/>
        <v>0</v>
      </c>
      <c r="AT45" s="1881">
        <f t="shared" si="145"/>
        <v>0</v>
      </c>
      <c r="AU45" s="1882">
        <f t="shared" ref="AU45:AV48" si="146">SUM(AM45,AO45,AQ45,AS45)</f>
        <v>0</v>
      </c>
      <c r="AV45" s="1882">
        <f t="shared" si="146"/>
        <v>0</v>
      </c>
      <c r="AW45" s="1877"/>
      <c r="AX45" s="1740"/>
      <c r="AY45" s="1740"/>
      <c r="AZ45" s="1740"/>
      <c r="BA45" s="1883">
        <f t="shared" si="64"/>
        <v>0</v>
      </c>
      <c r="BB45" s="1883">
        <f t="shared" si="55"/>
        <v>0</v>
      </c>
      <c r="BC45" s="1883">
        <f t="shared" si="56"/>
        <v>0</v>
      </c>
      <c r="BD45" s="1883">
        <f t="shared" si="65"/>
        <v>0</v>
      </c>
      <c r="BE45" s="1883">
        <f t="shared" si="66"/>
        <v>0</v>
      </c>
      <c r="BF45" s="1883">
        <f t="shared" si="57"/>
        <v>0</v>
      </c>
      <c r="BG45" s="1740" t="b">
        <f t="shared" si="58"/>
        <v>1</v>
      </c>
      <c r="BH45" s="1740"/>
      <c r="BI45" s="1768">
        <f t="shared" ref="BI45:BI49" si="147">BA45</f>
        <v>0</v>
      </c>
      <c r="BJ45" s="1768">
        <f t="shared" ref="BJ45:BJ49" si="148">SUM(BB45:BD45)</f>
        <v>0</v>
      </c>
      <c r="BK45" s="1768">
        <f t="shared" ref="BK45:BK49" si="149">SUM(BI45:BJ45)</f>
        <v>0</v>
      </c>
    </row>
    <row r="46" spans="1:63" ht="15.75">
      <c r="B46" s="1872"/>
      <c r="C46" s="1887" t="str">
        <f>'[35]СС 2015'!C171</f>
        <v xml:space="preserve"> - % за пользование кредитом</v>
      </c>
      <c r="D46" s="1874"/>
      <c r="E46" s="1875"/>
      <c r="F46" s="1874"/>
      <c r="G46" s="1878"/>
      <c r="H46" s="1880"/>
      <c r="I46" s="1880"/>
      <c r="J46" s="1779"/>
      <c r="K46" s="1877"/>
      <c r="L46" s="1878">
        <f t="shared" si="140"/>
        <v>0</v>
      </c>
      <c r="M46" s="1880">
        <f t="shared" si="140"/>
        <v>0</v>
      </c>
      <c r="N46" s="1880">
        <f t="shared" si="140"/>
        <v>0</v>
      </c>
      <c r="O46" s="1880">
        <f t="shared" si="140"/>
        <v>0</v>
      </c>
      <c r="P46" s="1877"/>
      <c r="Q46" s="1878"/>
      <c r="R46" s="1879"/>
      <c r="S46" s="1880"/>
      <c r="T46" s="1880"/>
      <c r="U46" s="1880"/>
      <c r="V46" s="1880"/>
      <c r="W46" s="1880"/>
      <c r="X46" s="1881"/>
      <c r="Y46" s="1882"/>
      <c r="Z46" s="1882"/>
      <c r="AA46" s="1877"/>
      <c r="AB46" s="1878"/>
      <c r="AC46" s="1879"/>
      <c r="AD46" s="1880"/>
      <c r="AE46" s="1880"/>
      <c r="AF46" s="1880"/>
      <c r="AG46" s="1880"/>
      <c r="AH46" s="1880"/>
      <c r="AI46" s="1881"/>
      <c r="AJ46" s="1882"/>
      <c r="AK46" s="1882"/>
      <c r="AL46" s="1877"/>
      <c r="AM46" s="1878">
        <f>AM$16/$AW$16*$AW46</f>
        <v>0</v>
      </c>
      <c r="AN46" s="1879">
        <f t="shared" si="145"/>
        <v>0</v>
      </c>
      <c r="AO46" s="1880">
        <f t="shared" si="145"/>
        <v>0</v>
      </c>
      <c r="AP46" s="1880">
        <f t="shared" si="145"/>
        <v>0</v>
      </c>
      <c r="AQ46" s="1880">
        <f t="shared" si="145"/>
        <v>0</v>
      </c>
      <c r="AR46" s="1880">
        <f t="shared" si="145"/>
        <v>0</v>
      </c>
      <c r="AS46" s="1880">
        <f t="shared" si="145"/>
        <v>0</v>
      </c>
      <c r="AT46" s="1881">
        <f t="shared" si="145"/>
        <v>0</v>
      </c>
      <c r="AU46" s="1882">
        <f t="shared" si="146"/>
        <v>0</v>
      </c>
      <c r="AV46" s="1882">
        <f t="shared" si="146"/>
        <v>0</v>
      </c>
      <c r="AW46" s="1877"/>
      <c r="AX46" s="1740"/>
      <c r="AY46" s="1740"/>
      <c r="AZ46" s="1740"/>
      <c r="BA46" s="1883"/>
      <c r="BB46" s="1883"/>
      <c r="BC46" s="1883"/>
      <c r="BD46" s="1883"/>
      <c r="BE46" s="1883"/>
      <c r="BF46" s="1883"/>
      <c r="BG46" s="1740" t="b">
        <f t="shared" si="58"/>
        <v>1</v>
      </c>
      <c r="BH46" s="1740"/>
      <c r="BI46" s="1768"/>
      <c r="BJ46" s="1768"/>
      <c r="BK46" s="1768"/>
    </row>
    <row r="47" spans="1:63" ht="15.75">
      <c r="B47" s="1872"/>
      <c r="C47" s="1887" t="str">
        <f>'[35]СС 2015'!C172</f>
        <v xml:space="preserve"> - прочие обоснованные расходы*</v>
      </c>
      <c r="D47" s="1874"/>
      <c r="E47" s="1875"/>
      <c r="F47" s="1874"/>
      <c r="G47" s="1878">
        <f>G$16/$K$16*$K47</f>
        <v>93002.765419000716</v>
      </c>
      <c r="H47" s="1880">
        <f t="shared" si="139"/>
        <v>93002.765419000716</v>
      </c>
      <c r="I47" s="1880">
        <f t="shared" si="139"/>
        <v>0</v>
      </c>
      <c r="J47" s="1779">
        <f t="shared" si="90"/>
        <v>93002.765419000687</v>
      </c>
      <c r="K47" s="1877">
        <f>SUMIF('СС 2016'!$C$184:$C$204,'C1 2016'!$C47,'СС 2016'!$H$184:$H$204)</f>
        <v>279008.2962570021</v>
      </c>
      <c r="L47" s="1878">
        <f t="shared" si="140"/>
        <v>-23677.3223700095</v>
      </c>
      <c r="M47" s="1880">
        <f t="shared" si="140"/>
        <v>-23677.3223700095</v>
      </c>
      <c r="N47" s="1880">
        <f t="shared" si="140"/>
        <v>0</v>
      </c>
      <c r="O47" s="1880">
        <f t="shared" si="140"/>
        <v>-23677.322370009493</v>
      </c>
      <c r="P47" s="1877">
        <f>SUMIF('СС 2016'!$C$184:$C$204,'C1 2016'!$C47,'СС 2016'!$I$184:$I$204)</f>
        <v>-71031.96711002849</v>
      </c>
      <c r="Q47" s="1878">
        <f>Q$16/$AA$16*$AA47</f>
        <v>21334.57760109747</v>
      </c>
      <c r="R47" s="1879">
        <f t="shared" si="141"/>
        <v>21334.577601097466</v>
      </c>
      <c r="S47" s="1880">
        <f t="shared" si="141"/>
        <v>21334.57760109747</v>
      </c>
      <c r="T47" s="1880">
        <f t="shared" si="141"/>
        <v>21334.577601097466</v>
      </c>
      <c r="U47" s="1880">
        <f t="shared" si="141"/>
        <v>0</v>
      </c>
      <c r="V47" s="1880">
        <f t="shared" si="141"/>
        <v>0</v>
      </c>
      <c r="W47" s="1880">
        <f t="shared" si="141"/>
        <v>21334.57760109747</v>
      </c>
      <c r="X47" s="1881">
        <f t="shared" si="141"/>
        <v>21334.577601097466</v>
      </c>
      <c r="Y47" s="1882">
        <f t="shared" si="142"/>
        <v>64003.732803292412</v>
      </c>
      <c r="Z47" s="1882">
        <f t="shared" si="142"/>
        <v>64003.732803292398</v>
      </c>
      <c r="AA47" s="1877">
        <f>SUMIF('СС 2016'!$C$184:$C$204,'C1 2016'!$C47,'СС 2016'!$J$184:$J$204)</f>
        <v>128007.46560658481</v>
      </c>
      <c r="AB47" s="1878">
        <f>AB$16/$AL$16*$AL47</f>
        <v>22568.820874407</v>
      </c>
      <c r="AC47" s="1879">
        <f t="shared" si="143"/>
        <v>22568.820874407</v>
      </c>
      <c r="AD47" s="1880">
        <f t="shared" si="143"/>
        <v>22568.820874407</v>
      </c>
      <c r="AE47" s="1880">
        <f t="shared" si="143"/>
        <v>22568.820874407</v>
      </c>
      <c r="AF47" s="1880">
        <f t="shared" si="143"/>
        <v>0</v>
      </c>
      <c r="AG47" s="1880">
        <f t="shared" si="143"/>
        <v>0</v>
      </c>
      <c r="AH47" s="1880">
        <f t="shared" si="143"/>
        <v>22568.820874407</v>
      </c>
      <c r="AI47" s="1881">
        <f t="shared" si="143"/>
        <v>22568.820874407</v>
      </c>
      <c r="AJ47" s="1882">
        <f t="shared" si="144"/>
        <v>67706.462623220999</v>
      </c>
      <c r="AK47" s="1882">
        <f t="shared" si="144"/>
        <v>67706.462623220999</v>
      </c>
      <c r="AL47" s="1877">
        <f>SUMIF('СС 2016'!$C$184:$C$204,'C1 2016'!$C47,'СС 2016'!$K$184:$K$204)</f>
        <v>135412.925246442</v>
      </c>
      <c r="AM47" s="1878">
        <f>AM$16/$AW$16*$AW47</f>
        <v>0</v>
      </c>
      <c r="AN47" s="1879">
        <f t="shared" si="145"/>
        <v>0</v>
      </c>
      <c r="AO47" s="1880">
        <f t="shared" si="145"/>
        <v>0</v>
      </c>
      <c r="AP47" s="1880">
        <f t="shared" si="145"/>
        <v>0</v>
      </c>
      <c r="AQ47" s="1880">
        <f t="shared" si="145"/>
        <v>0</v>
      </c>
      <c r="AR47" s="1880">
        <f t="shared" si="145"/>
        <v>0</v>
      </c>
      <c r="AS47" s="1880">
        <f t="shared" si="145"/>
        <v>0</v>
      </c>
      <c r="AT47" s="1881">
        <f t="shared" si="145"/>
        <v>0</v>
      </c>
      <c r="AU47" s="1882">
        <f t="shared" si="146"/>
        <v>0</v>
      </c>
      <c r="AV47" s="1882">
        <f t="shared" si="146"/>
        <v>0</v>
      </c>
      <c r="AW47" s="1877"/>
      <c r="AX47" s="1740"/>
      <c r="AY47" s="1740"/>
      <c r="AZ47" s="1740"/>
      <c r="BA47" s="1883">
        <f t="shared" si="64"/>
        <v>157132.24000000017</v>
      </c>
      <c r="BB47" s="1883">
        <f t="shared" si="55"/>
        <v>157132.24000000017</v>
      </c>
      <c r="BC47" s="1883">
        <f t="shared" si="56"/>
        <v>0</v>
      </c>
      <c r="BD47" s="1883">
        <f t="shared" si="65"/>
        <v>157132.24000000011</v>
      </c>
      <c r="BE47" s="1883">
        <f t="shared" si="66"/>
        <v>471396.72000000038</v>
      </c>
      <c r="BF47" s="1883">
        <f t="shared" si="57"/>
        <v>471396.72000000044</v>
      </c>
      <c r="BG47" s="1740" t="b">
        <f t="shared" si="58"/>
        <v>1</v>
      </c>
      <c r="BH47" s="1740"/>
      <c r="BI47" s="1768">
        <f t="shared" si="147"/>
        <v>157132.24000000017</v>
      </c>
      <c r="BJ47" s="1768">
        <f t="shared" si="148"/>
        <v>314264.48000000027</v>
      </c>
      <c r="BK47" s="1768">
        <f t="shared" si="149"/>
        <v>471396.72000000044</v>
      </c>
    </row>
    <row r="48" spans="1:63" ht="46.5" customHeight="1">
      <c r="B48" s="1872"/>
      <c r="C48" s="1887" t="str">
        <f>'[35]СС 2015'!C173</f>
        <v xml:space="preserve"> - денежные выплаты социального характера (по Коллективному договору)</v>
      </c>
      <c r="D48" s="1874"/>
      <c r="E48" s="1875"/>
      <c r="F48" s="1874"/>
      <c r="G48" s="1878">
        <f>G$16/$K$16*$K48</f>
        <v>1741.2265316452999</v>
      </c>
      <c r="H48" s="1880">
        <f t="shared" si="139"/>
        <v>1741.2265316452999</v>
      </c>
      <c r="I48" s="1880">
        <f t="shared" si="139"/>
        <v>0</v>
      </c>
      <c r="J48" s="1779">
        <f t="shared" si="90"/>
        <v>1741.2265316452995</v>
      </c>
      <c r="K48" s="1877">
        <f>SUMIF('СС 2016'!$C$184:$C$204,'C1 2016'!$C48,'СС 2016'!$H$184:$H$204)</f>
        <v>5223.6795949358993</v>
      </c>
      <c r="L48" s="1878">
        <f t="shared" si="140"/>
        <v>28304.398261654558</v>
      </c>
      <c r="M48" s="1880">
        <f t="shared" si="140"/>
        <v>28304.398261654558</v>
      </c>
      <c r="N48" s="1880">
        <f t="shared" si="140"/>
        <v>0</v>
      </c>
      <c r="O48" s="1880">
        <f t="shared" si="140"/>
        <v>28304.398261654547</v>
      </c>
      <c r="P48" s="1877">
        <f>SUMIF('СС 2016'!$C$184:$C$204,'C1 2016'!$C48,'СС 2016'!$I$184:$I$204)</f>
        <v>84913.194784963664</v>
      </c>
      <c r="Q48" s="1878">
        <f>Q$16/$AA$16*$AA48</f>
        <v>1246.0155795169157</v>
      </c>
      <c r="R48" s="1879">
        <f t="shared" si="141"/>
        <v>1246.0155795169155</v>
      </c>
      <c r="S48" s="1880">
        <f t="shared" si="141"/>
        <v>1246.0155795169157</v>
      </c>
      <c r="T48" s="1880">
        <f t="shared" si="141"/>
        <v>1246.0155795169155</v>
      </c>
      <c r="U48" s="1880">
        <f t="shared" si="141"/>
        <v>0</v>
      </c>
      <c r="V48" s="1880">
        <f t="shared" si="141"/>
        <v>0</v>
      </c>
      <c r="W48" s="1880">
        <f t="shared" si="141"/>
        <v>1246.0155795169157</v>
      </c>
      <c r="X48" s="1881">
        <f t="shared" si="141"/>
        <v>1246.0155795169155</v>
      </c>
      <c r="Y48" s="1882">
        <f t="shared" si="142"/>
        <v>3738.0467385507472</v>
      </c>
      <c r="Z48" s="1882">
        <f t="shared" si="142"/>
        <v>3738.0467385507463</v>
      </c>
      <c r="AA48" s="1877">
        <f>SUMIF('СС 2016'!$C$184:$C$204,'C1 2016'!$C48,'СС 2016'!$J$184:$J$204)</f>
        <v>7476.0934771014936</v>
      </c>
      <c r="AB48" s="1878">
        <f>AB$16/$AL$16*$AL48</f>
        <v>62.24202383309003</v>
      </c>
      <c r="AC48" s="1879">
        <f t="shared" si="143"/>
        <v>62.24202383309003</v>
      </c>
      <c r="AD48" s="1880">
        <f t="shared" si="143"/>
        <v>62.24202383309003</v>
      </c>
      <c r="AE48" s="1880">
        <f t="shared" si="143"/>
        <v>62.24202383309003</v>
      </c>
      <c r="AF48" s="1880">
        <f t="shared" si="143"/>
        <v>0</v>
      </c>
      <c r="AG48" s="1880">
        <f t="shared" si="143"/>
        <v>0</v>
      </c>
      <c r="AH48" s="1880">
        <f t="shared" si="143"/>
        <v>62.24202383309003</v>
      </c>
      <c r="AI48" s="1881">
        <f t="shared" si="143"/>
        <v>62.24202383309003</v>
      </c>
      <c r="AJ48" s="1882">
        <f t="shared" si="144"/>
        <v>186.72607149927009</v>
      </c>
      <c r="AK48" s="1882">
        <f t="shared" si="144"/>
        <v>186.72607149927009</v>
      </c>
      <c r="AL48" s="1877">
        <f>SUMIF('СС 2016'!$C$184:$C$204,'C1 2016'!$C48,'СС 2016'!$K$184:$K$204)</f>
        <v>373.45214299854018</v>
      </c>
      <c r="AM48" s="1878">
        <f>AM$16/$AW$16*$AW48</f>
        <v>0</v>
      </c>
      <c r="AN48" s="1879">
        <f t="shared" si="145"/>
        <v>0</v>
      </c>
      <c r="AO48" s="1880">
        <f t="shared" si="145"/>
        <v>0</v>
      </c>
      <c r="AP48" s="1880">
        <f t="shared" si="145"/>
        <v>0</v>
      </c>
      <c r="AQ48" s="1880">
        <f t="shared" si="145"/>
        <v>0</v>
      </c>
      <c r="AR48" s="1880">
        <f t="shared" si="145"/>
        <v>0</v>
      </c>
      <c r="AS48" s="1880">
        <f t="shared" si="145"/>
        <v>0</v>
      </c>
      <c r="AT48" s="1881">
        <f t="shared" si="145"/>
        <v>0</v>
      </c>
      <c r="AU48" s="1882">
        <f t="shared" si="146"/>
        <v>0</v>
      </c>
      <c r="AV48" s="1882">
        <f t="shared" si="146"/>
        <v>0</v>
      </c>
      <c r="AW48" s="1877"/>
      <c r="AX48" s="1740"/>
      <c r="AY48" s="1740"/>
      <c r="AZ48" s="1740"/>
      <c r="BA48" s="1883">
        <f t="shared" si="64"/>
        <v>32662.139999999868</v>
      </c>
      <c r="BB48" s="1883">
        <f t="shared" si="55"/>
        <v>32662.139999999868</v>
      </c>
      <c r="BC48" s="1883">
        <f t="shared" si="56"/>
        <v>0</v>
      </c>
      <c r="BD48" s="1883">
        <f t="shared" si="65"/>
        <v>32662.139999999854</v>
      </c>
      <c r="BE48" s="1883">
        <f t="shared" si="66"/>
        <v>97986.419999999605</v>
      </c>
      <c r="BF48" s="1883">
        <f t="shared" si="57"/>
        <v>97986.419999999591</v>
      </c>
      <c r="BG48" s="1740" t="b">
        <f t="shared" si="58"/>
        <v>1</v>
      </c>
      <c r="BH48" s="1740"/>
      <c r="BI48" s="1768">
        <f t="shared" si="147"/>
        <v>32662.139999999868</v>
      </c>
      <c r="BJ48" s="1768">
        <f t="shared" si="148"/>
        <v>65324.279999999722</v>
      </c>
      <c r="BK48" s="1768">
        <f t="shared" si="149"/>
        <v>97986.419999999591</v>
      </c>
    </row>
    <row r="49" spans="2:63" ht="15.75">
      <c r="B49" s="1872"/>
      <c r="C49" s="1911"/>
      <c r="D49" s="1845"/>
      <c r="E49" s="1818"/>
      <c r="F49" s="1845"/>
      <c r="G49" s="1912"/>
      <c r="H49" s="1913"/>
      <c r="I49" s="1913"/>
      <c r="J49" s="1913"/>
      <c r="K49" s="1914"/>
      <c r="L49" s="1912"/>
      <c r="M49" s="1913"/>
      <c r="N49" s="1913"/>
      <c r="O49" s="1913"/>
      <c r="P49" s="1914"/>
      <c r="Q49" s="1912"/>
      <c r="R49" s="1915"/>
      <c r="S49" s="1913"/>
      <c r="T49" s="1913"/>
      <c r="U49" s="1913"/>
      <c r="V49" s="1913"/>
      <c r="W49" s="1913"/>
      <c r="X49" s="1916"/>
      <c r="Y49" s="1916"/>
      <c r="Z49" s="1916"/>
      <c r="AA49" s="1914"/>
      <c r="AB49" s="1912"/>
      <c r="AC49" s="1915"/>
      <c r="AD49" s="1913"/>
      <c r="AE49" s="1913"/>
      <c r="AF49" s="1913"/>
      <c r="AG49" s="1913"/>
      <c r="AH49" s="1913"/>
      <c r="AI49" s="1916"/>
      <c r="AJ49" s="1916"/>
      <c r="AK49" s="1916"/>
      <c r="AL49" s="1914"/>
      <c r="AM49" s="1917"/>
      <c r="AN49" s="1918"/>
      <c r="AO49" s="1919"/>
      <c r="AP49" s="1919"/>
      <c r="AQ49" s="1919"/>
      <c r="AR49" s="1919"/>
      <c r="AS49" s="1919"/>
      <c r="AT49" s="1920"/>
      <c r="AU49" s="1920"/>
      <c r="AV49" s="1920"/>
      <c r="AW49" s="1921"/>
      <c r="AX49" s="1740"/>
      <c r="AY49" s="1740"/>
      <c r="AZ49" s="1740"/>
      <c r="BA49" s="1883">
        <f t="shared" si="64"/>
        <v>0</v>
      </c>
      <c r="BB49" s="1883">
        <f t="shared" si="55"/>
        <v>0</v>
      </c>
      <c r="BC49" s="1883">
        <f t="shared" si="56"/>
        <v>0</v>
      </c>
      <c r="BD49" s="1883">
        <f t="shared" si="65"/>
        <v>0</v>
      </c>
      <c r="BE49" s="1883">
        <f t="shared" si="66"/>
        <v>0</v>
      </c>
      <c r="BF49" s="1883">
        <f t="shared" si="57"/>
        <v>0</v>
      </c>
      <c r="BG49" s="1740" t="b">
        <f t="shared" si="58"/>
        <v>1</v>
      </c>
      <c r="BH49" s="1740"/>
      <c r="BI49" s="1768">
        <f t="shared" si="147"/>
        <v>0</v>
      </c>
      <c r="BJ49" s="1768">
        <f t="shared" si="148"/>
        <v>0</v>
      </c>
      <c r="BK49" s="1768">
        <f t="shared" si="149"/>
        <v>0</v>
      </c>
    </row>
    <row r="50" spans="2:63">
      <c r="D50" s="1740"/>
      <c r="E50" s="1740"/>
      <c r="F50" s="1740"/>
      <c r="G50" s="1740"/>
      <c r="H50" s="1740"/>
      <c r="I50" s="1740"/>
      <c r="J50" s="1740"/>
      <c r="K50" s="1740"/>
      <c r="L50" s="1740"/>
      <c r="M50" s="1740"/>
      <c r="N50" s="1740"/>
      <c r="O50" s="1740"/>
      <c r="P50" s="1740"/>
      <c r="Q50" s="1740"/>
      <c r="R50" s="1740"/>
      <c r="S50" s="1740"/>
      <c r="T50" s="1740"/>
      <c r="U50" s="1740"/>
      <c r="V50" s="1740"/>
      <c r="W50" s="1740"/>
      <c r="X50" s="1740"/>
      <c r="Y50" s="1740"/>
      <c r="Z50" s="1740"/>
      <c r="AA50" s="1740"/>
      <c r="AB50" s="1740"/>
      <c r="AC50" s="1740"/>
      <c r="AD50" s="1740"/>
      <c r="AE50" s="1740"/>
      <c r="AF50" s="1740"/>
      <c r="AG50" s="1740"/>
      <c r="AH50" s="1740"/>
      <c r="AI50" s="1740"/>
      <c r="AJ50" s="1740"/>
      <c r="AK50" s="1740"/>
      <c r="AL50" s="1740"/>
      <c r="AM50" s="1740"/>
      <c r="AN50" s="1740"/>
      <c r="AO50" s="1740"/>
      <c r="AP50" s="1740"/>
      <c r="AQ50" s="1740"/>
      <c r="AR50" s="1740"/>
      <c r="AS50" s="1740"/>
      <c r="AT50" s="1740"/>
      <c r="AU50" s="1740"/>
      <c r="AV50" s="1740"/>
      <c r="AW50" s="1740"/>
      <c r="AX50" s="1740"/>
      <c r="AY50" s="1740"/>
      <c r="AZ50" s="1740"/>
      <c r="BA50" s="1740"/>
      <c r="BB50" s="1740"/>
      <c r="BC50" s="1740"/>
      <c r="BD50" s="1740"/>
      <c r="BE50" s="1740"/>
      <c r="BF50" s="1740"/>
      <c r="BG50" s="1740"/>
      <c r="BH50" s="1740"/>
      <c r="BI50" s="1740"/>
      <c r="BJ50" s="1740"/>
      <c r="BK50" s="1740"/>
    </row>
    <row r="51" spans="2:63">
      <c r="D51" s="1740"/>
      <c r="E51" s="1740"/>
      <c r="F51" s="1740"/>
      <c r="G51" s="1740">
        <v>1.0492879756051856</v>
      </c>
      <c r="H51" s="1740">
        <v>1</v>
      </c>
      <c r="I51" s="1740"/>
      <c r="J51" s="1740">
        <v>1</v>
      </c>
      <c r="K51" s="1740"/>
      <c r="L51" s="1740"/>
      <c r="M51" s="1740"/>
      <c r="N51" s="1740"/>
      <c r="O51" s="1740"/>
      <c r="P51" s="1740"/>
      <c r="Q51" s="1740"/>
      <c r="R51" s="1740"/>
      <c r="S51" s="1740"/>
      <c r="T51" s="1740"/>
      <c r="U51" s="1740"/>
      <c r="V51" s="1740"/>
      <c r="W51" s="1740"/>
      <c r="X51" s="1740"/>
      <c r="Y51" s="1740"/>
      <c r="Z51" s="1740"/>
      <c r="AA51" s="1740">
        <f>'[30]СС 2016'!J183</f>
        <v>1515030.9320351193</v>
      </c>
      <c r="AB51" s="1740"/>
      <c r="AC51" s="1740"/>
      <c r="AD51" s="1740"/>
      <c r="AE51" s="1740"/>
      <c r="AF51" s="1740"/>
      <c r="AG51" s="1740"/>
      <c r="AH51" s="1740"/>
      <c r="AI51" s="1740"/>
      <c r="AJ51" s="1740"/>
      <c r="AK51" s="1740"/>
      <c r="AL51" s="1740"/>
      <c r="AM51" s="1740"/>
      <c r="AN51" s="1740"/>
      <c r="AO51" s="1740"/>
      <c r="AP51" s="1740"/>
      <c r="AQ51" s="1740"/>
      <c r="AR51" s="1740"/>
      <c r="AS51" s="1740"/>
      <c r="AT51" s="1740"/>
      <c r="AU51" s="1740"/>
      <c r="AV51" s="1740"/>
      <c r="AW51" s="1740"/>
      <c r="AX51" s="1740"/>
      <c r="AY51" s="1740"/>
      <c r="AZ51" s="1740"/>
      <c r="BA51" s="1740"/>
      <c r="BB51" s="1740"/>
      <c r="BC51" s="1740"/>
      <c r="BD51" s="1740"/>
      <c r="BE51" s="1740"/>
      <c r="BF51" s="1740"/>
      <c r="BG51" s="1740"/>
      <c r="BH51" s="1740"/>
      <c r="BI51" s="1740"/>
      <c r="BJ51" s="1740"/>
      <c r="BK51" s="1740"/>
    </row>
    <row r="52" spans="2:63">
      <c r="D52" s="1740"/>
      <c r="E52" s="1740"/>
      <c r="F52" s="1740"/>
      <c r="G52" s="1740"/>
      <c r="H52" s="1740"/>
      <c r="I52" s="1740"/>
      <c r="J52" s="1740"/>
      <c r="K52" s="1740">
        <f ca="1">SUM(K29:K30,K34:K35,K37:K40,K43,K45:K48)</f>
        <v>1340213.0843488688</v>
      </c>
      <c r="L52" s="1740"/>
      <c r="M52" s="1740"/>
      <c r="N52" s="1740"/>
      <c r="O52" s="1740"/>
      <c r="P52" s="1740"/>
      <c r="Q52" s="1740"/>
      <c r="R52" s="1740"/>
      <c r="S52" s="1740"/>
      <c r="T52" s="1740"/>
      <c r="U52" s="1740"/>
      <c r="V52" s="1740"/>
      <c r="W52" s="1740"/>
      <c r="X52" s="1740"/>
      <c r="Y52" s="1740"/>
      <c r="Z52" s="1740"/>
      <c r="AA52" s="1740">
        <f ca="1">AA51-AA25</f>
        <v>0</v>
      </c>
      <c r="AB52" s="1740"/>
      <c r="AC52" s="1740"/>
      <c r="AD52" s="1740"/>
      <c r="AE52" s="1740"/>
      <c r="AF52" s="1740"/>
      <c r="AG52" s="1740"/>
      <c r="AH52" s="1740"/>
      <c r="AI52" s="1740"/>
      <c r="AJ52" s="1740"/>
      <c r="AK52" s="1740"/>
      <c r="AL52" s="1740"/>
      <c r="AM52" s="1740"/>
      <c r="AN52" s="1740"/>
      <c r="AO52" s="1740"/>
      <c r="AP52" s="1740"/>
      <c r="AQ52" s="1740"/>
      <c r="AR52" s="1740"/>
      <c r="AS52" s="1740"/>
      <c r="AT52" s="1740"/>
      <c r="AU52" s="1740"/>
      <c r="AV52" s="1740"/>
      <c r="AW52" s="1740"/>
      <c r="AX52" s="1740"/>
      <c r="AY52" s="1740"/>
      <c r="AZ52" s="1740"/>
      <c r="BA52" s="1740"/>
      <c r="BB52" s="1740"/>
      <c r="BC52" s="1740"/>
      <c r="BD52" s="1740"/>
      <c r="BE52" s="1740"/>
      <c r="BF52" s="1740"/>
      <c r="BG52" s="1740"/>
      <c r="BH52" s="1740"/>
      <c r="BI52" s="1740"/>
      <c r="BJ52" s="1740"/>
      <c r="BK52" s="1740"/>
    </row>
    <row r="53" spans="2:63">
      <c r="D53" s="1740"/>
      <c r="E53" s="1740"/>
      <c r="F53" s="1740"/>
      <c r="G53" s="1740"/>
      <c r="H53" s="1740"/>
      <c r="I53" s="1740"/>
      <c r="J53" s="1740"/>
      <c r="K53" s="1740">
        <f ca="1">SUM(K27:K28,K31:K32,K42)</f>
        <v>289102.58999999997</v>
      </c>
      <c r="L53" s="1740"/>
      <c r="M53" s="1740"/>
      <c r="N53" s="1740"/>
      <c r="O53" s="1740"/>
      <c r="P53" s="1740"/>
      <c r="Q53" s="1740"/>
      <c r="R53" s="1740"/>
      <c r="S53" s="1740"/>
      <c r="T53" s="1740"/>
      <c r="U53" s="1740"/>
      <c r="V53" s="1740"/>
      <c r="W53" s="1740"/>
      <c r="X53" s="1740"/>
      <c r="Y53" s="1740"/>
      <c r="Z53" s="1740"/>
      <c r="AA53" s="1740"/>
      <c r="AB53" s="1740"/>
      <c r="AC53" s="1740"/>
      <c r="AD53" s="1740"/>
      <c r="AE53" s="1740"/>
      <c r="AF53" s="1740"/>
      <c r="AG53" s="1740"/>
      <c r="AH53" s="1740"/>
      <c r="AI53" s="1740"/>
      <c r="AJ53" s="1740"/>
      <c r="AK53" s="1740"/>
      <c r="AL53" s="1740"/>
      <c r="AM53" s="1740"/>
      <c r="AN53" s="1740"/>
      <c r="AO53" s="1740"/>
      <c r="AP53" s="1740"/>
      <c r="AQ53" s="1740"/>
      <c r="AR53" s="1740"/>
      <c r="AS53" s="1740"/>
      <c r="AT53" s="1740"/>
      <c r="AU53" s="1740"/>
      <c r="AV53" s="1740"/>
      <c r="AW53" s="1740"/>
      <c r="AX53" s="1740"/>
      <c r="AY53" s="1740"/>
      <c r="AZ53" s="1740"/>
      <c r="BA53" s="1740"/>
      <c r="BB53" s="1740"/>
      <c r="BC53" s="1740"/>
      <c r="BD53" s="1740"/>
      <c r="BE53" s="1740"/>
      <c r="BF53" s="1740"/>
      <c r="BG53" s="1740"/>
      <c r="BH53" s="1740"/>
      <c r="BI53" s="1740"/>
      <c r="BJ53" s="1740"/>
      <c r="BK53" s="1740"/>
    </row>
    <row r="54" spans="2:63" ht="15.75" hidden="1" outlineLevel="1">
      <c r="B54" s="1816"/>
      <c r="D54" s="1740"/>
      <c r="E54" s="1740"/>
      <c r="F54" s="1740"/>
      <c r="G54" s="1740"/>
      <c r="H54" s="1740"/>
      <c r="I54" s="1740"/>
      <c r="J54" s="1740"/>
      <c r="K54" s="1740"/>
      <c r="L54" s="1740"/>
      <c r="M54" s="1740"/>
      <c r="N54" s="1740"/>
      <c r="O54" s="1740"/>
      <c r="P54" s="1740"/>
      <c r="Q54" s="1740"/>
      <c r="R54" s="1740"/>
      <c r="S54" s="1740"/>
      <c r="T54" s="1740"/>
      <c r="U54" s="1740"/>
      <c r="V54" s="1740"/>
      <c r="W54" s="1740"/>
      <c r="X54" s="1740"/>
      <c r="Y54" s="1740"/>
      <c r="Z54" s="1740"/>
      <c r="AA54" s="1740"/>
      <c r="AB54" s="1740"/>
      <c r="AC54" s="1740"/>
      <c r="AD54" s="1740"/>
      <c r="AE54" s="1740"/>
      <c r="AF54" s="1740"/>
      <c r="AG54" s="1740"/>
      <c r="AH54" s="1740"/>
      <c r="AI54" s="1740"/>
      <c r="AJ54" s="1740"/>
      <c r="AK54" s="1740"/>
      <c r="AL54" s="1740"/>
      <c r="AM54" s="1740"/>
      <c r="AN54" s="1740"/>
      <c r="AO54" s="1740"/>
      <c r="AP54" s="1740"/>
      <c r="AQ54" s="1740"/>
      <c r="AR54" s="1740"/>
      <c r="AS54" s="1740"/>
      <c r="AT54" s="1740"/>
      <c r="AU54" s="1740"/>
      <c r="AV54" s="1740"/>
      <c r="AW54" s="1740"/>
      <c r="AX54" s="1740"/>
      <c r="AY54" s="1740"/>
      <c r="AZ54" s="1740"/>
      <c r="BA54" s="1740"/>
      <c r="BB54" s="1740"/>
      <c r="BC54" s="1740"/>
      <c r="BD54" s="1740"/>
      <c r="BE54" s="1740"/>
      <c r="BF54" s="1740"/>
      <c r="BG54" s="1740"/>
      <c r="BH54" s="1740"/>
      <c r="BI54" s="1740"/>
      <c r="BJ54" s="1740"/>
      <c r="BK54" s="1740"/>
    </row>
    <row r="55" spans="2:63" ht="15.75" hidden="1" outlineLevel="1">
      <c r="B55" s="1742"/>
      <c r="C55" s="1922" t="s">
        <v>3770</v>
      </c>
      <c r="D55" s="1923"/>
      <c r="E55" s="1923">
        <f>E59+E64</f>
        <v>23</v>
      </c>
      <c r="F55" s="1923">
        <f>F59+F64</f>
        <v>1251.52</v>
      </c>
      <c r="G55" s="1923"/>
      <c r="H55" s="1923"/>
      <c r="I55" s="1923"/>
      <c r="J55" s="1923"/>
      <c r="K55" s="1924"/>
      <c r="L55" s="1923"/>
      <c r="M55" s="1923"/>
      <c r="N55" s="1923"/>
      <c r="O55" s="1923"/>
      <c r="P55" s="1924"/>
      <c r="Q55" s="1923"/>
      <c r="R55" s="1923"/>
      <c r="S55" s="1923"/>
      <c r="T55" s="1923"/>
      <c r="U55" s="1923"/>
      <c r="V55" s="1923"/>
      <c r="W55" s="1923"/>
      <c r="X55" s="1925"/>
      <c r="Y55" s="1925"/>
      <c r="Z55" s="1925"/>
      <c r="AA55" s="1924"/>
      <c r="AB55" s="1923"/>
      <c r="AC55" s="1923"/>
      <c r="AD55" s="1923"/>
      <c r="AE55" s="1923"/>
      <c r="AF55" s="1923"/>
      <c r="AG55" s="1923"/>
      <c r="AH55" s="1923"/>
      <c r="AI55" s="1925"/>
      <c r="AJ55" s="1925"/>
      <c r="AK55" s="1925"/>
      <c r="AL55" s="1924"/>
      <c r="AM55" s="1740"/>
      <c r="AN55" s="1740"/>
      <c r="AO55" s="1740"/>
      <c r="AP55" s="1740"/>
      <c r="AQ55" s="1740"/>
      <c r="AR55" s="1740"/>
      <c r="AS55" s="1740"/>
      <c r="AT55" s="1740"/>
      <c r="AU55" s="1740"/>
      <c r="AV55" s="1740"/>
      <c r="AW55" s="1740"/>
      <c r="AX55" s="1740"/>
      <c r="AY55" s="1740"/>
      <c r="AZ55" s="1740"/>
      <c r="BA55" s="1740"/>
      <c r="BB55" s="1740"/>
      <c r="BC55" s="1740"/>
      <c r="BD55" s="1740"/>
      <c r="BE55" s="1740"/>
      <c r="BF55" s="1740"/>
      <c r="BG55" s="1740"/>
      <c r="BH55" s="1740"/>
      <c r="BI55" s="1740"/>
      <c r="BJ55" s="1740"/>
      <c r="BK55" s="1740"/>
    </row>
    <row r="56" spans="2:63" ht="15.75" hidden="1" outlineLevel="1">
      <c r="B56" s="1926"/>
      <c r="C56" s="1927" t="s">
        <v>3771</v>
      </c>
      <c r="D56" s="1928"/>
      <c r="E56" s="1928"/>
      <c r="F56" s="1928"/>
      <c r="G56" s="1928"/>
      <c r="H56" s="1928"/>
      <c r="I56" s="1928"/>
      <c r="J56" s="1928"/>
      <c r="K56" s="1929">
        <f>'[36]СС 2015'!J155</f>
        <v>1766842.3599999999</v>
      </c>
      <c r="L56" s="1928"/>
      <c r="M56" s="1928"/>
      <c r="N56" s="1928"/>
      <c r="O56" s="1928"/>
      <c r="P56" s="1929">
        <f>'[36]СС 2015'!R155</f>
        <v>0</v>
      </c>
      <c r="Q56" s="1928"/>
      <c r="R56" s="1928"/>
      <c r="S56" s="1928"/>
      <c r="T56" s="1928"/>
      <c r="U56" s="1928"/>
      <c r="V56" s="1928"/>
      <c r="W56" s="1928"/>
      <c r="X56" s="1930"/>
      <c r="Y56" s="1930"/>
      <c r="Z56" s="1930"/>
      <c r="AA56" s="1929">
        <f>'[36]СС 2015'!W155</f>
        <v>0</v>
      </c>
      <c r="AB56" s="1928"/>
      <c r="AC56" s="1928"/>
      <c r="AD56" s="1928"/>
      <c r="AE56" s="1928"/>
      <c r="AF56" s="1928"/>
      <c r="AG56" s="1928"/>
      <c r="AH56" s="1928"/>
      <c r="AI56" s="1930"/>
      <c r="AJ56" s="1930"/>
      <c r="AK56" s="1930"/>
      <c r="AL56" s="1929">
        <f>'[36]СС 2015'!AB155</f>
        <v>0</v>
      </c>
      <c r="AM56" s="1740"/>
      <c r="AN56" s="1740"/>
      <c r="AO56" s="1740"/>
      <c r="AP56" s="1740"/>
      <c r="AQ56" s="1740"/>
      <c r="AR56" s="1740"/>
      <c r="AS56" s="1740"/>
      <c r="AT56" s="1740"/>
      <c r="AU56" s="1740"/>
      <c r="AV56" s="1740"/>
      <c r="AW56" s="1740"/>
      <c r="AX56" s="1740"/>
      <c r="AY56" s="1740"/>
      <c r="AZ56" s="1740"/>
      <c r="BA56" s="1740"/>
      <c r="BB56" s="1740"/>
      <c r="BC56" s="1740"/>
      <c r="BD56" s="1740"/>
      <c r="BE56" s="1740"/>
      <c r="BF56" s="1740"/>
      <c r="BG56" s="1740"/>
      <c r="BH56" s="1740"/>
      <c r="BI56" s="1740"/>
      <c r="BJ56" s="1740"/>
      <c r="BK56" s="1740"/>
    </row>
    <row r="57" spans="2:63" ht="15.75" hidden="1" outlineLevel="1">
      <c r="B57" s="1926"/>
      <c r="C57" s="1931" t="s">
        <v>3706</v>
      </c>
      <c r="D57" s="1928"/>
      <c r="E57" s="1928"/>
      <c r="F57" s="1928"/>
      <c r="G57" s="1928"/>
      <c r="H57" s="1928"/>
      <c r="I57" s="1928"/>
      <c r="J57" s="1928"/>
      <c r="K57" s="1929">
        <f>'[36]СС 2015'!J156</f>
        <v>529869.74999999988</v>
      </c>
      <c r="L57" s="1928"/>
      <c r="M57" s="1928"/>
      <c r="N57" s="1928"/>
      <c r="O57" s="1928"/>
      <c r="P57" s="1929">
        <f>'[36]СС 2015'!R156</f>
        <v>0</v>
      </c>
      <c r="Q57" s="1928"/>
      <c r="R57" s="1928"/>
      <c r="S57" s="1928"/>
      <c r="T57" s="1928"/>
      <c r="U57" s="1928"/>
      <c r="V57" s="1928"/>
      <c r="W57" s="1928"/>
      <c r="X57" s="1930"/>
      <c r="Y57" s="1930"/>
      <c r="Z57" s="1930"/>
      <c r="AA57" s="1929">
        <f>'[36]СС 2015'!W156</f>
        <v>0</v>
      </c>
      <c r="AB57" s="1928"/>
      <c r="AC57" s="1928"/>
      <c r="AD57" s="1928"/>
      <c r="AE57" s="1928"/>
      <c r="AF57" s="1928"/>
      <c r="AG57" s="1928"/>
      <c r="AH57" s="1928"/>
      <c r="AI57" s="1930"/>
      <c r="AJ57" s="1930"/>
      <c r="AK57" s="1930"/>
      <c r="AL57" s="1929">
        <f>'[36]СС 2015'!AB156</f>
        <v>0</v>
      </c>
      <c r="AM57" s="1740"/>
      <c r="AN57" s="1740"/>
      <c r="AO57" s="1740"/>
      <c r="AP57" s="1740"/>
      <c r="AQ57" s="1740"/>
      <c r="AR57" s="1740"/>
      <c r="AS57" s="1740"/>
      <c r="AT57" s="1740"/>
      <c r="AU57" s="1740"/>
      <c r="AV57" s="1740"/>
      <c r="AW57" s="1740"/>
      <c r="AX57" s="1740"/>
      <c r="AY57" s="1740"/>
      <c r="AZ57" s="1740"/>
      <c r="BA57" s="1740"/>
      <c r="BB57" s="1740"/>
      <c r="BC57" s="1740"/>
      <c r="BD57" s="1740"/>
      <c r="BE57" s="1740"/>
      <c r="BF57" s="1740"/>
      <c r="BG57" s="1740"/>
      <c r="BH57" s="1740"/>
      <c r="BI57" s="1740"/>
      <c r="BJ57" s="1740"/>
      <c r="BK57" s="1740"/>
    </row>
    <row r="58" spans="2:63" ht="15.75" hidden="1" outlineLevel="1">
      <c r="B58" s="1926"/>
      <c r="C58" s="1932" t="s">
        <v>3770</v>
      </c>
      <c r="D58" s="1933">
        <v>0.4</v>
      </c>
      <c r="E58" s="1768"/>
      <c r="F58" s="1768"/>
      <c r="G58" s="1768"/>
      <c r="H58" s="1768"/>
      <c r="I58" s="1768"/>
      <c r="J58" s="1768"/>
      <c r="K58" s="1934"/>
      <c r="L58" s="1768"/>
      <c r="M58" s="1768"/>
      <c r="N58" s="1768"/>
      <c r="O58" s="1768"/>
      <c r="P58" s="1934"/>
      <c r="Q58" s="1768"/>
      <c r="R58" s="1768"/>
      <c r="S58" s="1768"/>
      <c r="T58" s="1768"/>
      <c r="U58" s="1768"/>
      <c r="V58" s="1768"/>
      <c r="W58" s="1768"/>
      <c r="X58" s="1935"/>
      <c r="Y58" s="1935"/>
      <c r="Z58" s="1935"/>
      <c r="AA58" s="1934"/>
      <c r="AB58" s="1768"/>
      <c r="AC58" s="1768"/>
      <c r="AD58" s="1768"/>
      <c r="AE58" s="1768"/>
      <c r="AF58" s="1768"/>
      <c r="AG58" s="1768"/>
      <c r="AH58" s="1768"/>
      <c r="AI58" s="1935"/>
      <c r="AJ58" s="1935"/>
      <c r="AK58" s="1935"/>
      <c r="AL58" s="1934"/>
      <c r="AM58" s="1740"/>
      <c r="AN58" s="1740"/>
      <c r="AO58" s="1740"/>
      <c r="AP58" s="1740"/>
      <c r="AQ58" s="1740"/>
      <c r="AR58" s="1740"/>
      <c r="AS58" s="1740"/>
      <c r="AT58" s="1740"/>
      <c r="AU58" s="1740"/>
      <c r="AV58" s="1740"/>
      <c r="AW58" s="1740"/>
      <c r="AX58" s="1740"/>
      <c r="AY58" s="1740"/>
      <c r="AZ58" s="1740"/>
      <c r="BA58" s="1740"/>
      <c r="BB58" s="1740"/>
      <c r="BC58" s="1740"/>
      <c r="BD58" s="1740"/>
      <c r="BE58" s="1740"/>
      <c r="BF58" s="1740"/>
      <c r="BG58" s="1740"/>
      <c r="BH58" s="1740"/>
      <c r="BI58" s="1740"/>
      <c r="BJ58" s="1740"/>
      <c r="BK58" s="1740"/>
    </row>
    <row r="59" spans="2:63" ht="15.75" hidden="1" outlineLevel="1">
      <c r="B59" s="1926"/>
      <c r="C59" s="1927" t="s">
        <v>3771</v>
      </c>
      <c r="D59" s="1933"/>
      <c r="E59" s="1928">
        <v>9</v>
      </c>
      <c r="F59" s="1928">
        <v>304.22000000000003</v>
      </c>
      <c r="G59" s="1928" t="e">
        <f>ROUND($K59*G$62,3)</f>
        <v>#REF!</v>
      </c>
      <c r="H59" s="1928" t="e">
        <f>ROUND($K59*H$62,3)</f>
        <v>#REF!</v>
      </c>
      <c r="I59" s="1928" t="e">
        <f>ROUND($K59*I$62,3)</f>
        <v>#REF!</v>
      </c>
      <c r="J59" s="1928" t="e">
        <f>ROUND($K59*J$62,3)</f>
        <v>#REF!</v>
      </c>
      <c r="K59" s="1929" t="e">
        <f>#REF!*F59</f>
        <v>#REF!</v>
      </c>
      <c r="L59" s="1928" t="e">
        <f>ROUND($K59*L$62,3)</f>
        <v>#REF!</v>
      </c>
      <c r="M59" s="1928" t="e">
        <f>ROUND($K59*M$62,3)</f>
        <v>#REF!</v>
      </c>
      <c r="N59" s="1928" t="e">
        <f>ROUND($K59*N$62,3)</f>
        <v>#REF!</v>
      </c>
      <c r="O59" s="1928" t="e">
        <f>ROUND($K59*O$62,3)</f>
        <v>#REF!</v>
      </c>
      <c r="P59" s="1929" t="e">
        <f>#REF!*#REF!</f>
        <v>#REF!</v>
      </c>
      <c r="Q59" s="1928" t="e">
        <f>ROUND($K59*Q$62,3)</f>
        <v>#REF!</v>
      </c>
      <c r="R59" s="1928"/>
      <c r="S59" s="1928" t="e">
        <f>ROUND($K59*S$62,3)</f>
        <v>#REF!</v>
      </c>
      <c r="T59" s="1928"/>
      <c r="U59" s="1928" t="e">
        <f>ROUND($K59*U$62,3)</f>
        <v>#REF!</v>
      </c>
      <c r="V59" s="1928"/>
      <c r="W59" s="1928" t="e">
        <f>ROUND($K59*W$62,3)</f>
        <v>#REF!</v>
      </c>
      <c r="X59" s="1930"/>
      <c r="Y59" s="1930"/>
      <c r="Z59" s="1930"/>
      <c r="AA59" s="1929" t="e">
        <f>#REF!*#REF!</f>
        <v>#REF!</v>
      </c>
      <c r="AB59" s="1928" t="e">
        <f>ROUND($K59*AB$62,3)</f>
        <v>#REF!</v>
      </c>
      <c r="AC59" s="1928"/>
      <c r="AD59" s="1928" t="e">
        <f>ROUND($K59*AD$62,3)</f>
        <v>#REF!</v>
      </c>
      <c r="AE59" s="1928"/>
      <c r="AF59" s="1928" t="e">
        <f>ROUND($K59*AF$62,3)</f>
        <v>#REF!</v>
      </c>
      <c r="AG59" s="1928"/>
      <c r="AH59" s="1928" t="e">
        <f>ROUND($K59*AH$62,3)</f>
        <v>#REF!</v>
      </c>
      <c r="AI59" s="1930"/>
      <c r="AJ59" s="1930"/>
      <c r="AK59" s="1930"/>
      <c r="AL59" s="1929" t="e">
        <f>#REF!*#REF!</f>
        <v>#REF!</v>
      </c>
      <c r="AM59" s="1740"/>
      <c r="AN59" s="1740"/>
      <c r="AO59" s="1740"/>
      <c r="AP59" s="1740"/>
      <c r="AQ59" s="1740"/>
      <c r="AR59" s="1740"/>
      <c r="AS59" s="1740"/>
      <c r="AT59" s="1740"/>
      <c r="AU59" s="1740"/>
      <c r="AV59" s="1740"/>
      <c r="AW59" s="1740"/>
      <c r="AX59" s="1740"/>
      <c r="AY59" s="1740"/>
      <c r="AZ59" s="1740"/>
      <c r="BA59" s="1740"/>
      <c r="BB59" s="1740"/>
      <c r="BC59" s="1740"/>
      <c r="BD59" s="1740"/>
      <c r="BE59" s="1740"/>
      <c r="BF59" s="1740"/>
      <c r="BG59" s="1740"/>
      <c r="BH59" s="1740"/>
      <c r="BI59" s="1740"/>
      <c r="BJ59" s="1740"/>
      <c r="BK59" s="1740"/>
    </row>
    <row r="60" spans="2:63" ht="15.75" hidden="1" outlineLevel="1">
      <c r="B60" s="1926"/>
      <c r="C60" s="1931" t="s">
        <v>3706</v>
      </c>
      <c r="D60" s="1933"/>
      <c r="E60" s="1928"/>
      <c r="F60" s="1928"/>
      <c r="G60" s="1928" t="e">
        <f>ROUND(G59*#REF!,3)</f>
        <v>#REF!</v>
      </c>
      <c r="H60" s="1928" t="e">
        <f>ROUND(H59*#REF!,3)</f>
        <v>#REF!</v>
      </c>
      <c r="I60" s="1928" t="e">
        <f>ROUND(I59*#REF!,3)</f>
        <v>#REF!</v>
      </c>
      <c r="J60" s="1928" t="e">
        <f>ROUND(J59*#REF!,3)</f>
        <v>#REF!</v>
      </c>
      <c r="K60" s="1929" t="e">
        <f>K59*#REF!</f>
        <v>#REF!</v>
      </c>
      <c r="L60" s="1928" t="e">
        <f>ROUND(L59*#REF!,3)</f>
        <v>#REF!</v>
      </c>
      <c r="M60" s="1928" t="e">
        <f>ROUND(M59*#REF!,3)</f>
        <v>#REF!</v>
      </c>
      <c r="N60" s="1928" t="e">
        <f>ROUND(N59*#REF!,3)</f>
        <v>#REF!</v>
      </c>
      <c r="O60" s="1928" t="e">
        <f>ROUND(O59*#REF!,3)</f>
        <v>#REF!</v>
      </c>
      <c r="P60" s="1929" t="e">
        <f>P59*#REF!</f>
        <v>#REF!</v>
      </c>
      <c r="Q60" s="1928" t="e">
        <f>ROUND(Q59*#REF!,3)</f>
        <v>#REF!</v>
      </c>
      <c r="R60" s="1928"/>
      <c r="S60" s="1928" t="e">
        <f>ROUND(S59*#REF!,3)</f>
        <v>#REF!</v>
      </c>
      <c r="T60" s="1928"/>
      <c r="U60" s="1928" t="e">
        <f>ROUND(U59*#REF!,3)</f>
        <v>#REF!</v>
      </c>
      <c r="V60" s="1928"/>
      <c r="W60" s="1928" t="e">
        <f>ROUND(W59*#REF!,3)</f>
        <v>#REF!</v>
      </c>
      <c r="X60" s="1930"/>
      <c r="Y60" s="1930"/>
      <c r="Z60" s="1930"/>
      <c r="AA60" s="1929" t="e">
        <f>AA59*#REF!</f>
        <v>#REF!</v>
      </c>
      <c r="AB60" s="1928" t="e">
        <f>ROUND(AB59*#REF!,3)</f>
        <v>#REF!</v>
      </c>
      <c r="AC60" s="1928"/>
      <c r="AD60" s="1928" t="e">
        <f>ROUND(AD59*#REF!,3)</f>
        <v>#REF!</v>
      </c>
      <c r="AE60" s="1928"/>
      <c r="AF60" s="1928" t="e">
        <f>ROUND(AF59*#REF!,3)</f>
        <v>#REF!</v>
      </c>
      <c r="AG60" s="1928"/>
      <c r="AH60" s="1928" t="e">
        <f>ROUND(AH59*#REF!,3)</f>
        <v>#REF!</v>
      </c>
      <c r="AI60" s="1930"/>
      <c r="AJ60" s="1930"/>
      <c r="AK60" s="1930"/>
      <c r="AL60" s="1929" t="e">
        <f>AL59*#REF!</f>
        <v>#REF!</v>
      </c>
      <c r="AM60" s="1740"/>
      <c r="AN60" s="1740"/>
      <c r="AO60" s="1740"/>
      <c r="AP60" s="1740"/>
      <c r="AQ60" s="1740"/>
      <c r="AR60" s="1740"/>
      <c r="AS60" s="1740"/>
      <c r="AT60" s="1740"/>
      <c r="AU60" s="1740"/>
      <c r="AV60" s="1740"/>
      <c r="AW60" s="1740"/>
      <c r="AX60" s="1740"/>
      <c r="AY60" s="1740"/>
      <c r="AZ60" s="1740"/>
      <c r="BA60" s="1740"/>
      <c r="BB60" s="1740"/>
      <c r="BC60" s="1740"/>
      <c r="BD60" s="1740"/>
      <c r="BE60" s="1740"/>
      <c r="BF60" s="1740"/>
      <c r="BG60" s="1740"/>
      <c r="BH60" s="1740"/>
      <c r="BI60" s="1740"/>
      <c r="BJ60" s="1740"/>
      <c r="BK60" s="1740"/>
    </row>
    <row r="61" spans="2:63" ht="31.5" hidden="1" outlineLevel="1">
      <c r="B61" s="1926"/>
      <c r="C61" s="1927" t="s">
        <v>3772</v>
      </c>
      <c r="D61" s="1933"/>
      <c r="E61" s="1928"/>
      <c r="F61" s="1928"/>
      <c r="G61" s="1768">
        <f>'[36]Табл. 7.3 Подг. ТУ'!G67</f>
        <v>33.4</v>
      </c>
      <c r="H61" s="1768">
        <f>'[36]Табл. 7.5 Пров. вып. ТУ'!G44</f>
        <v>25.5</v>
      </c>
      <c r="I61" s="1768"/>
      <c r="J61" s="1768">
        <f>'[36]Табл. 7.7 Факт. присоед.'!G34</f>
        <v>45.97</v>
      </c>
      <c r="K61" s="1929">
        <f>SUM(G61:J61)</f>
        <v>104.87</v>
      </c>
      <c r="L61" s="1768">
        <f>'[36]Табл. 7.3 Подг. ТУ'!O67</f>
        <v>4565.3903335043615</v>
      </c>
      <c r="M61" s="1768" t="str">
        <f>'[36]Табл. 7.5 Пров. вып. ТУ'!O44</f>
        <v/>
      </c>
      <c r="N61" s="1768"/>
      <c r="O61" s="1768" t="str">
        <f>'[36]Табл. 7.7 Факт. присоед.'!O34</f>
        <v/>
      </c>
      <c r="P61" s="1929">
        <f>SUM(L61:O61)</f>
        <v>4565.3903335043615</v>
      </c>
      <c r="Q61" s="1768">
        <f>'[36]Табл. 7.3 Подг. ТУ'!T67</f>
        <v>14242.890754232945</v>
      </c>
      <c r="R61" s="1768"/>
      <c r="S61" s="1768">
        <f>'[36]Табл. 7.5 Пров. вып. ТУ'!T44</f>
        <v>4079.7305695228329</v>
      </c>
      <c r="T61" s="1768"/>
      <c r="U61" s="1768"/>
      <c r="V61" s="1768"/>
      <c r="W61" s="1768">
        <f>'[36]Табл. 7.7 Факт. присоед.'!T34</f>
        <v>6891.4118419702418</v>
      </c>
      <c r="X61" s="1935"/>
      <c r="Y61" s="1935"/>
      <c r="Z61" s="1935"/>
      <c r="AA61" s="1929">
        <f>SUM(Q61:W61)</f>
        <v>25214.033165726021</v>
      </c>
      <c r="AB61" s="1768">
        <f>'[36]Табл. 7.3 Подг. ТУ'!Y67</f>
        <v>0</v>
      </c>
      <c r="AC61" s="1768"/>
      <c r="AD61" s="1768">
        <f>'[36]Табл. 7.5 Пров. вып. ТУ'!Y44</f>
        <v>0</v>
      </c>
      <c r="AE61" s="1768"/>
      <c r="AF61" s="1768"/>
      <c r="AG61" s="1768"/>
      <c r="AH61" s="1768">
        <f>'[36]Табл. 7.7 Факт. присоед.'!Y34</f>
        <v>0</v>
      </c>
      <c r="AI61" s="1935"/>
      <c r="AJ61" s="1935"/>
      <c r="AK61" s="1935"/>
      <c r="AL61" s="1929">
        <f>SUM(AB61:AH61)</f>
        <v>0</v>
      </c>
      <c r="AM61" s="1740"/>
      <c r="AN61" s="1740"/>
      <c r="AO61" s="1740"/>
      <c r="AP61" s="1740"/>
      <c r="AQ61" s="1740"/>
      <c r="AR61" s="1740"/>
      <c r="AS61" s="1740"/>
      <c r="AT61" s="1740"/>
      <c r="AU61" s="1740"/>
      <c r="AV61" s="1740"/>
      <c r="AW61" s="1740"/>
      <c r="AX61" s="1740"/>
      <c r="AY61" s="1740"/>
      <c r="AZ61" s="1740"/>
      <c r="BA61" s="1740"/>
      <c r="BB61" s="1740"/>
      <c r="BC61" s="1740"/>
      <c r="BD61" s="1740"/>
      <c r="BE61" s="1740"/>
      <c r="BF61" s="1740"/>
      <c r="BG61" s="1740"/>
      <c r="BH61" s="1740"/>
      <c r="BI61" s="1740"/>
      <c r="BJ61" s="1740"/>
      <c r="BK61" s="1740"/>
    </row>
    <row r="62" spans="2:63" ht="15.75" hidden="1" outlineLevel="1">
      <c r="B62" s="1926"/>
      <c r="C62" s="1936" t="s">
        <v>3773</v>
      </c>
      <c r="D62" s="1933"/>
      <c r="E62" s="1928"/>
      <c r="F62" s="1928"/>
      <c r="G62" s="1937">
        <f t="shared" ref="G62:O62" si="150">G61/$K61</f>
        <v>0.31848955850100119</v>
      </c>
      <c r="H62" s="1937">
        <f t="shared" si="150"/>
        <v>0.24315819586154286</v>
      </c>
      <c r="I62" s="1937">
        <f t="shared" si="150"/>
        <v>0</v>
      </c>
      <c r="J62" s="1937">
        <f t="shared" si="150"/>
        <v>0.4383522456374559</v>
      </c>
      <c r="K62" s="1938">
        <f t="shared" si="150"/>
        <v>1</v>
      </c>
      <c r="L62" s="1937">
        <f t="shared" si="150"/>
        <v>43.533806937201881</v>
      </c>
      <c r="M62" s="1937" t="e">
        <f t="shared" si="150"/>
        <v>#VALUE!</v>
      </c>
      <c r="N62" s="1937">
        <f t="shared" si="150"/>
        <v>0</v>
      </c>
      <c r="O62" s="1937" t="e">
        <f t="shared" si="150"/>
        <v>#VALUE!</v>
      </c>
      <c r="P62" s="1938">
        <f>P61/$K61</f>
        <v>43.533806937201881</v>
      </c>
      <c r="Q62" s="1937">
        <f t="shared" ref="Q62:AL62" si="151">Q61/$K61</f>
        <v>135.81473018244441</v>
      </c>
      <c r="R62" s="1937"/>
      <c r="S62" s="1937">
        <f t="shared" si="151"/>
        <v>38.902742152406148</v>
      </c>
      <c r="T62" s="1937"/>
      <c r="U62" s="1937">
        <f t="shared" si="151"/>
        <v>0</v>
      </c>
      <c r="V62" s="1937"/>
      <c r="W62" s="1937">
        <f t="shared" si="151"/>
        <v>65.713853742445323</v>
      </c>
      <c r="X62" s="1939"/>
      <c r="Y62" s="1939"/>
      <c r="Z62" s="1939"/>
      <c r="AA62" s="1938">
        <f t="shared" si="151"/>
        <v>240.43132607729589</v>
      </c>
      <c r="AB62" s="1937">
        <f t="shared" si="151"/>
        <v>0</v>
      </c>
      <c r="AC62" s="1937"/>
      <c r="AD62" s="1937">
        <f t="shared" si="151"/>
        <v>0</v>
      </c>
      <c r="AE62" s="1937"/>
      <c r="AF62" s="1937">
        <f t="shared" si="151"/>
        <v>0</v>
      </c>
      <c r="AG62" s="1937"/>
      <c r="AH62" s="1937">
        <f t="shared" si="151"/>
        <v>0</v>
      </c>
      <c r="AI62" s="1939"/>
      <c r="AJ62" s="1939"/>
      <c r="AK62" s="1939"/>
      <c r="AL62" s="1938">
        <f t="shared" si="151"/>
        <v>0</v>
      </c>
      <c r="AM62" s="1740"/>
      <c r="AN62" s="1740"/>
      <c r="AO62" s="1740"/>
      <c r="AP62" s="1740"/>
      <c r="AQ62" s="1740"/>
      <c r="AR62" s="1740"/>
      <c r="AS62" s="1740"/>
      <c r="AT62" s="1740"/>
      <c r="AU62" s="1740"/>
      <c r="AV62" s="1740"/>
      <c r="AW62" s="1740"/>
      <c r="AX62" s="1740"/>
      <c r="AY62" s="1740"/>
      <c r="AZ62" s="1740"/>
      <c r="BA62" s="1740"/>
      <c r="BB62" s="1740"/>
      <c r="BC62" s="1740"/>
      <c r="BD62" s="1740"/>
      <c r="BE62" s="1740"/>
      <c r="BF62" s="1740"/>
      <c r="BG62" s="1740"/>
      <c r="BH62" s="1740"/>
      <c r="BI62" s="1740"/>
      <c r="BJ62" s="1740"/>
      <c r="BK62" s="1740"/>
    </row>
    <row r="63" spans="2:63" ht="15.75" hidden="1" outlineLevel="1">
      <c r="B63" s="1926"/>
      <c r="C63" s="1932" t="s">
        <v>3774</v>
      </c>
      <c r="D63" s="1933">
        <v>43983</v>
      </c>
      <c r="E63" s="1768"/>
      <c r="F63" s="1768"/>
      <c r="G63" s="1768"/>
      <c r="H63" s="1768"/>
      <c r="I63" s="1768"/>
      <c r="J63" s="1768"/>
      <c r="K63" s="1934"/>
      <c r="L63" s="1768"/>
      <c r="M63" s="1768"/>
      <c r="N63" s="1768"/>
      <c r="O63" s="1768"/>
      <c r="P63" s="1934"/>
      <c r="Q63" s="1768"/>
      <c r="R63" s="1768"/>
      <c r="S63" s="1768"/>
      <c r="T63" s="1768"/>
      <c r="U63" s="1768"/>
      <c r="V63" s="1768"/>
      <c r="W63" s="1768"/>
      <c r="X63" s="1935"/>
      <c r="Y63" s="1935"/>
      <c r="Z63" s="1935"/>
      <c r="AA63" s="1934"/>
      <c r="AB63" s="1768"/>
      <c r="AC63" s="1768"/>
      <c r="AD63" s="1768"/>
      <c r="AE63" s="1768"/>
      <c r="AF63" s="1768"/>
      <c r="AG63" s="1768"/>
      <c r="AH63" s="1768"/>
      <c r="AI63" s="1935"/>
      <c r="AJ63" s="1935"/>
      <c r="AK63" s="1935"/>
      <c r="AL63" s="1934"/>
      <c r="AM63" s="1740"/>
      <c r="AN63" s="1740"/>
      <c r="AO63" s="1740"/>
      <c r="AP63" s="1740"/>
      <c r="AQ63" s="1740"/>
      <c r="AR63" s="1740"/>
      <c r="AS63" s="1740"/>
      <c r="AT63" s="1740"/>
      <c r="AU63" s="1740"/>
      <c r="AV63" s="1740"/>
      <c r="AW63" s="1740"/>
      <c r="AX63" s="1740"/>
      <c r="AY63" s="1740"/>
      <c r="AZ63" s="1740"/>
      <c r="BA63" s="1740"/>
      <c r="BB63" s="1740"/>
      <c r="BC63" s="1740"/>
      <c r="BD63" s="1740"/>
      <c r="BE63" s="1740"/>
      <c r="BF63" s="1740"/>
      <c r="BG63" s="1740"/>
      <c r="BH63" s="1740"/>
      <c r="BI63" s="1740"/>
      <c r="BJ63" s="1740"/>
      <c r="BK63" s="1740"/>
    </row>
    <row r="64" spans="2:63" ht="15.75" hidden="1" outlineLevel="1">
      <c r="B64" s="1926"/>
      <c r="C64" s="1927" t="s">
        <v>3771</v>
      </c>
      <c r="D64" s="1933"/>
      <c r="E64" s="1928">
        <v>14</v>
      </c>
      <c r="F64" s="1928">
        <v>947.3</v>
      </c>
      <c r="G64" s="1928" t="e">
        <f>ROUND($K64*G$62,3)</f>
        <v>#REF!</v>
      </c>
      <c r="H64" s="1928" t="e">
        <f>ROUND($K64*H$62,3)</f>
        <v>#REF!</v>
      </c>
      <c r="I64" s="1928" t="e">
        <f>ROUND($K64*I$62,3)</f>
        <v>#REF!</v>
      </c>
      <c r="J64" s="1928" t="e">
        <f>ROUND($K64*J$62,3)</f>
        <v>#REF!</v>
      </c>
      <c r="K64" s="1929" t="e">
        <f>#REF!*F64</f>
        <v>#REF!</v>
      </c>
      <c r="L64" s="1928" t="e">
        <f>ROUND($K64*L$62,3)</f>
        <v>#REF!</v>
      </c>
      <c r="M64" s="1928" t="e">
        <f>ROUND($K64*M$62,3)</f>
        <v>#REF!</v>
      </c>
      <c r="N64" s="1928" t="e">
        <f>ROUND($K64*N$62,3)</f>
        <v>#REF!</v>
      </c>
      <c r="O64" s="1928" t="e">
        <f>ROUND($K64*O$62,3)</f>
        <v>#REF!</v>
      </c>
      <c r="P64" s="1929" t="e">
        <f>#REF!*#REF!</f>
        <v>#REF!</v>
      </c>
      <c r="Q64" s="1928" t="e">
        <f>ROUND($K64*Q$62,3)</f>
        <v>#REF!</v>
      </c>
      <c r="R64" s="1928"/>
      <c r="S64" s="1928" t="e">
        <f>ROUND($K64*S$62,3)</f>
        <v>#REF!</v>
      </c>
      <c r="T64" s="1928"/>
      <c r="U64" s="1928" t="e">
        <f>ROUND($K64*U$62,3)</f>
        <v>#REF!</v>
      </c>
      <c r="V64" s="1928"/>
      <c r="W64" s="1928" t="e">
        <f>ROUND($K64*W$62,3)</f>
        <v>#REF!</v>
      </c>
      <c r="X64" s="1930"/>
      <c r="Y64" s="1930"/>
      <c r="Z64" s="1930"/>
      <c r="AA64" s="1929" t="e">
        <f>#REF!*#REF!</f>
        <v>#REF!</v>
      </c>
      <c r="AB64" s="1928" t="e">
        <f>ROUND($K64*AB$62,3)</f>
        <v>#REF!</v>
      </c>
      <c r="AC64" s="1928"/>
      <c r="AD64" s="1928" t="e">
        <f>ROUND($K64*AD$62,3)</f>
        <v>#REF!</v>
      </c>
      <c r="AE64" s="1928"/>
      <c r="AF64" s="1928" t="e">
        <f>ROUND($K64*AF$62,3)</f>
        <v>#REF!</v>
      </c>
      <c r="AG64" s="1928"/>
      <c r="AH64" s="1928" t="e">
        <f>ROUND($K64*AH$62,3)</f>
        <v>#REF!</v>
      </c>
      <c r="AI64" s="1930"/>
      <c r="AJ64" s="1930"/>
      <c r="AK64" s="1930"/>
      <c r="AL64" s="1929" t="e">
        <f>#REF!*#REF!</f>
        <v>#REF!</v>
      </c>
      <c r="AM64" s="1740"/>
      <c r="AN64" s="1740"/>
      <c r="AO64" s="1740"/>
      <c r="AP64" s="1740"/>
      <c r="AQ64" s="1740"/>
      <c r="AR64" s="1740"/>
      <c r="AS64" s="1740"/>
      <c r="AT64" s="1740"/>
      <c r="AU64" s="1740"/>
      <c r="AV64" s="1740"/>
      <c r="AW64" s="1740"/>
      <c r="AX64" s="1740"/>
      <c r="AY64" s="1740"/>
      <c r="AZ64" s="1740"/>
      <c r="BA64" s="1740"/>
      <c r="BB64" s="1740"/>
      <c r="BC64" s="1740"/>
      <c r="BD64" s="1740"/>
      <c r="BE64" s="1740"/>
      <c r="BF64" s="1740"/>
      <c r="BG64" s="1740"/>
      <c r="BH64" s="1740"/>
      <c r="BI64" s="1740"/>
      <c r="BJ64" s="1740"/>
      <c r="BK64" s="1740"/>
    </row>
    <row r="65" spans="2:63" ht="15.75" hidden="1" outlineLevel="1">
      <c r="B65" s="1926"/>
      <c r="C65" s="1931" t="s">
        <v>3706</v>
      </c>
      <c r="D65" s="1933"/>
      <c r="E65" s="1928"/>
      <c r="F65" s="1928"/>
      <c r="G65" s="1928" t="e">
        <f>ROUND(G64*#REF!,3)</f>
        <v>#REF!</v>
      </c>
      <c r="H65" s="1928" t="e">
        <f>ROUND(H64*#REF!,3)</f>
        <v>#REF!</v>
      </c>
      <c r="I65" s="1928" t="e">
        <f>ROUND(I64*#REF!,3)</f>
        <v>#REF!</v>
      </c>
      <c r="J65" s="1928" t="e">
        <f>ROUND(J64*#REF!,3)</f>
        <v>#REF!</v>
      </c>
      <c r="K65" s="1929" t="e">
        <f>K64*#REF!</f>
        <v>#REF!</v>
      </c>
      <c r="L65" s="1928" t="e">
        <f>ROUND(L64*#REF!,3)</f>
        <v>#REF!</v>
      </c>
      <c r="M65" s="1928" t="e">
        <f>ROUND(M64*#REF!,3)</f>
        <v>#REF!</v>
      </c>
      <c r="N65" s="1928" t="e">
        <f>ROUND(N64*#REF!,3)</f>
        <v>#REF!</v>
      </c>
      <c r="O65" s="1928" t="e">
        <f>ROUND(O64*#REF!,3)</f>
        <v>#REF!</v>
      </c>
      <c r="P65" s="1929" t="e">
        <f>P64*#REF!</f>
        <v>#REF!</v>
      </c>
      <c r="Q65" s="1928" t="e">
        <f>ROUND(Q64*#REF!,3)</f>
        <v>#REF!</v>
      </c>
      <c r="R65" s="1928"/>
      <c r="S65" s="1928" t="e">
        <f>ROUND(S64*#REF!,3)</f>
        <v>#REF!</v>
      </c>
      <c r="T65" s="1928"/>
      <c r="U65" s="1928" t="e">
        <f>ROUND(U64*#REF!,3)</f>
        <v>#REF!</v>
      </c>
      <c r="V65" s="1928"/>
      <c r="W65" s="1928" t="e">
        <f>ROUND(W64*#REF!,3)</f>
        <v>#REF!</v>
      </c>
      <c r="X65" s="1930"/>
      <c r="Y65" s="1930"/>
      <c r="Z65" s="1930"/>
      <c r="AA65" s="1929" t="e">
        <f>AA64*#REF!</f>
        <v>#REF!</v>
      </c>
      <c r="AB65" s="1928" t="e">
        <f>ROUND(AB64*#REF!,3)</f>
        <v>#REF!</v>
      </c>
      <c r="AC65" s="1928"/>
      <c r="AD65" s="1928" t="e">
        <f>ROUND(AD64*#REF!,3)</f>
        <v>#REF!</v>
      </c>
      <c r="AE65" s="1928"/>
      <c r="AF65" s="1928" t="e">
        <f>ROUND(AF64*#REF!,3)</f>
        <v>#REF!</v>
      </c>
      <c r="AG65" s="1928"/>
      <c r="AH65" s="1928" t="e">
        <f>ROUND(AH64*#REF!,3)</f>
        <v>#REF!</v>
      </c>
      <c r="AI65" s="1930"/>
      <c r="AJ65" s="1930"/>
      <c r="AK65" s="1930"/>
      <c r="AL65" s="1929" t="e">
        <f>AL64*#REF!</f>
        <v>#REF!</v>
      </c>
      <c r="AM65" s="1740"/>
      <c r="AN65" s="1740"/>
      <c r="AO65" s="1740"/>
      <c r="AP65" s="1740"/>
      <c r="AQ65" s="1740"/>
      <c r="AR65" s="1740"/>
      <c r="AS65" s="1740"/>
      <c r="AT65" s="1740"/>
      <c r="AU65" s="1740"/>
      <c r="AV65" s="1740"/>
      <c r="AW65" s="1740"/>
      <c r="AX65" s="1740"/>
      <c r="AY65" s="1740"/>
      <c r="AZ65" s="1740"/>
      <c r="BA65" s="1740"/>
      <c r="BB65" s="1740"/>
      <c r="BC65" s="1740"/>
      <c r="BD65" s="1740"/>
      <c r="BE65" s="1740"/>
      <c r="BF65" s="1740"/>
      <c r="BG65" s="1740"/>
      <c r="BH65" s="1740"/>
      <c r="BI65" s="1740"/>
      <c r="BJ65" s="1740"/>
      <c r="BK65" s="1740"/>
    </row>
    <row r="66" spans="2:63" ht="31.5" hidden="1" outlineLevel="1">
      <c r="B66" s="1926"/>
      <c r="C66" s="1927" t="s">
        <v>3772</v>
      </c>
      <c r="D66" s="1933"/>
      <c r="E66" s="1928"/>
      <c r="F66" s="1928"/>
      <c r="G66" s="1768">
        <f>'[36]Табл. 7.3 Подг. ТУ'!I67</f>
        <v>33.4</v>
      </c>
      <c r="H66" s="1768">
        <f>'[36]Табл. 7.5 Пров. вып. ТУ'!I44</f>
        <v>26.7</v>
      </c>
      <c r="I66" s="1768"/>
      <c r="J66" s="1768">
        <f>'[36]Табл. 7.7 Факт. присоед.'!I34</f>
        <v>62.97</v>
      </c>
      <c r="K66" s="1929">
        <f>SUM(G66:J66)</f>
        <v>123.07</v>
      </c>
      <c r="L66" s="1768">
        <f>'[36]Табл. 7.3 Подг. ТУ'!Q67</f>
        <v>6143.7825346331456</v>
      </c>
      <c r="M66" s="1768">
        <f>'[36]Табл. 7.5 Пров. вып. ТУ'!Q44</f>
        <v>3581.5304669061061</v>
      </c>
      <c r="N66" s="1768"/>
      <c r="O66" s="1768">
        <f>'[36]Табл. 7.7 Факт. присоед.'!Q34</f>
        <v>4708.1900872242186</v>
      </c>
      <c r="P66" s="1929">
        <f>SUM(L66:O66)</f>
        <v>14433.503088763471</v>
      </c>
      <c r="Q66" s="1768">
        <f>'[36]Табл. 7.3 Подг. ТУ'!V67</f>
        <v>0</v>
      </c>
      <c r="R66" s="1768"/>
      <c r="S66" s="1768">
        <f>'[36]Табл. 7.5 Пров. вып. ТУ'!V44</f>
        <v>0</v>
      </c>
      <c r="T66" s="1768"/>
      <c r="U66" s="1768"/>
      <c r="V66" s="1768"/>
      <c r="W66" s="1768">
        <f>'[36]Табл. 7.7 Факт. присоед.'!V34</f>
        <v>0</v>
      </c>
      <c r="X66" s="1935"/>
      <c r="Y66" s="1935"/>
      <c r="Z66" s="1935"/>
      <c r="AA66" s="1929">
        <f>SUM(Q66:W66)</f>
        <v>0</v>
      </c>
      <c r="AB66" s="1768">
        <f>'[36]Табл. 7.3 Подг. ТУ'!AA67</f>
        <v>1209.8284383786558</v>
      </c>
      <c r="AC66" s="1768"/>
      <c r="AD66" s="1768">
        <f>'[36]Табл. 7.5 Пров. вып. ТУ'!AA44</f>
        <v>1096.9557436223706</v>
      </c>
      <c r="AE66" s="1768"/>
      <c r="AF66" s="1768"/>
      <c r="AG66" s="1768"/>
      <c r="AH66" s="1768">
        <f>'[36]Табл. 7.7 Факт. присоед.'!AA34</f>
        <v>1199.167955833761</v>
      </c>
      <c r="AI66" s="1935"/>
      <c r="AJ66" s="1935"/>
      <c r="AK66" s="1935"/>
      <c r="AL66" s="1929">
        <f>SUM(AB66:AH66)</f>
        <v>3505.9521378347872</v>
      </c>
      <c r="AM66" s="1740"/>
      <c r="AN66" s="1740"/>
      <c r="AO66" s="1740"/>
      <c r="AP66" s="1740"/>
      <c r="AQ66" s="1740"/>
      <c r="AR66" s="1740"/>
      <c r="AS66" s="1740"/>
      <c r="AT66" s="1740"/>
      <c r="AU66" s="1740"/>
      <c r="AV66" s="1740"/>
      <c r="AW66" s="1740"/>
      <c r="AX66" s="1740"/>
      <c r="AY66" s="1740"/>
      <c r="AZ66" s="1740"/>
      <c r="BA66" s="1740"/>
      <c r="BB66" s="1740"/>
      <c r="BC66" s="1740"/>
      <c r="BD66" s="1740"/>
      <c r="BE66" s="1740"/>
      <c r="BF66" s="1740"/>
      <c r="BG66" s="1740"/>
      <c r="BH66" s="1740"/>
      <c r="BI66" s="1740"/>
      <c r="BJ66" s="1740"/>
      <c r="BK66" s="1740"/>
    </row>
    <row r="67" spans="2:63" ht="16.5" hidden="1" outlineLevel="1" thickBot="1">
      <c r="B67" s="1926"/>
      <c r="C67" s="1940" t="s">
        <v>3773</v>
      </c>
      <c r="D67" s="1941"/>
      <c r="E67" s="1942"/>
      <c r="F67" s="1942"/>
      <c r="G67" s="1943">
        <f t="shared" ref="G67:AL67" si="152">G66/$K66</f>
        <v>0.27139026570244579</v>
      </c>
      <c r="H67" s="1943">
        <f t="shared" si="152"/>
        <v>0.21694970342081743</v>
      </c>
      <c r="I67" s="1943">
        <f t="shared" si="152"/>
        <v>0</v>
      </c>
      <c r="J67" s="1943">
        <f t="shared" si="152"/>
        <v>0.51166003087673684</v>
      </c>
      <c r="K67" s="1944">
        <f t="shared" si="152"/>
        <v>1</v>
      </c>
      <c r="L67" s="1943">
        <f t="shared" si="152"/>
        <v>49.921041152459139</v>
      </c>
      <c r="M67" s="1943">
        <f t="shared" si="152"/>
        <v>29.101572007037511</v>
      </c>
      <c r="N67" s="1943">
        <f t="shared" si="152"/>
        <v>0</v>
      </c>
      <c r="O67" s="1943">
        <f t="shared" si="152"/>
        <v>38.256196369742575</v>
      </c>
      <c r="P67" s="1944">
        <f t="shared" si="152"/>
        <v>117.27880952923923</v>
      </c>
      <c r="Q67" s="1943">
        <f t="shared" si="152"/>
        <v>0</v>
      </c>
      <c r="R67" s="1943"/>
      <c r="S67" s="1943">
        <f t="shared" si="152"/>
        <v>0</v>
      </c>
      <c r="T67" s="1943"/>
      <c r="U67" s="1943">
        <f t="shared" si="152"/>
        <v>0</v>
      </c>
      <c r="V67" s="1943"/>
      <c r="W67" s="1943">
        <f t="shared" si="152"/>
        <v>0</v>
      </c>
      <c r="X67" s="1945"/>
      <c r="Y67" s="1945"/>
      <c r="Z67" s="1945"/>
      <c r="AA67" s="1944">
        <f t="shared" si="152"/>
        <v>0</v>
      </c>
      <c r="AB67" s="1943">
        <f t="shared" si="152"/>
        <v>9.8304090223340861</v>
      </c>
      <c r="AC67" s="1943"/>
      <c r="AD67" s="1943">
        <f t="shared" si="152"/>
        <v>8.9132667881885972</v>
      </c>
      <c r="AE67" s="1943"/>
      <c r="AF67" s="1943">
        <f t="shared" si="152"/>
        <v>0</v>
      </c>
      <c r="AG67" s="1943"/>
      <c r="AH67" s="1943">
        <f t="shared" si="152"/>
        <v>9.7437877292090764</v>
      </c>
      <c r="AI67" s="1945"/>
      <c r="AJ67" s="1945"/>
      <c r="AK67" s="1945"/>
      <c r="AL67" s="1944">
        <f t="shared" si="152"/>
        <v>28.487463539731756</v>
      </c>
      <c r="AM67" s="1740"/>
      <c r="AN67" s="1740"/>
      <c r="AO67" s="1740"/>
      <c r="AP67" s="1740"/>
      <c r="AQ67" s="1740"/>
      <c r="AR67" s="1740"/>
      <c r="AS67" s="1740"/>
      <c r="AT67" s="1740"/>
      <c r="AU67" s="1740"/>
      <c r="AV67" s="1740"/>
      <c r="AW67" s="1740"/>
      <c r="AX67" s="1740"/>
      <c r="AY67" s="1740"/>
      <c r="AZ67" s="1740"/>
      <c r="BA67" s="1740"/>
      <c r="BB67" s="1740"/>
      <c r="BC67" s="1740"/>
      <c r="BD67" s="1740"/>
      <c r="BE67" s="1740"/>
      <c r="BF67" s="1740"/>
      <c r="BG67" s="1740"/>
      <c r="BH67" s="1740"/>
      <c r="BI67" s="1740"/>
      <c r="BJ67" s="1740"/>
      <c r="BK67" s="1740"/>
    </row>
    <row r="68" spans="2:63" ht="15.75" hidden="1" outlineLevel="1">
      <c r="B68" s="1926"/>
      <c r="C68" s="1946"/>
      <c r="D68" s="1947"/>
      <c r="E68" s="1948"/>
      <c r="F68" s="1948"/>
      <c r="G68" s="1949"/>
      <c r="H68" s="1949"/>
      <c r="I68" s="1949"/>
      <c r="J68" s="1949"/>
      <c r="K68" s="1949"/>
      <c r="L68" s="1949"/>
      <c r="M68" s="1949"/>
      <c r="N68" s="1949"/>
      <c r="O68" s="1949"/>
      <c r="P68" s="1949"/>
      <c r="Q68" s="1949"/>
      <c r="R68" s="1949"/>
      <c r="S68" s="1949"/>
      <c r="T68" s="1949"/>
      <c r="U68" s="1949"/>
      <c r="V68" s="1949"/>
      <c r="W68" s="1949"/>
      <c r="X68" s="1949"/>
      <c r="Y68" s="1949"/>
      <c r="Z68" s="1949"/>
      <c r="AA68" s="1949"/>
      <c r="AB68" s="1740"/>
      <c r="AC68" s="1740"/>
      <c r="AD68" s="1740"/>
      <c r="AE68" s="1740"/>
      <c r="AF68" s="1740"/>
      <c r="AG68" s="1740"/>
      <c r="AH68" s="1740"/>
      <c r="AI68" s="1740"/>
      <c r="AJ68" s="1740"/>
      <c r="AK68" s="1740"/>
      <c r="AL68" s="1740"/>
      <c r="AM68" s="1740"/>
      <c r="AN68" s="1740"/>
      <c r="AO68" s="1740"/>
      <c r="AP68" s="1740"/>
      <c r="AQ68" s="1740"/>
      <c r="AR68" s="1740"/>
      <c r="AS68" s="1740"/>
      <c r="AT68" s="1740"/>
      <c r="AU68" s="1740"/>
      <c r="AV68" s="1740"/>
      <c r="AW68" s="1740"/>
      <c r="AX68" s="1740"/>
      <c r="AY68" s="1740"/>
      <c r="AZ68" s="1740"/>
      <c r="BA68" s="1740"/>
      <c r="BB68" s="1740"/>
      <c r="BC68" s="1740"/>
      <c r="BD68" s="1740"/>
      <c r="BE68" s="1740"/>
      <c r="BF68" s="1740"/>
      <c r="BG68" s="1740"/>
      <c r="BH68" s="1740"/>
      <c r="BI68" s="1740"/>
      <c r="BJ68" s="1740"/>
      <c r="BK68" s="1740"/>
    </row>
    <row r="69" spans="2:63" ht="15.75" hidden="1" outlineLevel="1">
      <c r="B69" s="1926"/>
      <c r="C69" s="1946"/>
      <c r="D69" s="1947"/>
      <c r="E69" s="1948"/>
      <c r="F69" s="1948"/>
      <c r="G69" s="1949"/>
      <c r="H69" s="1949"/>
      <c r="I69" s="1949"/>
      <c r="J69" s="1949"/>
      <c r="K69" s="1949"/>
      <c r="L69" s="1949"/>
      <c r="M69" s="1949"/>
      <c r="N69" s="1949"/>
      <c r="O69" s="1949"/>
      <c r="P69" s="1949"/>
      <c r="Q69" s="1949"/>
      <c r="R69" s="1949"/>
      <c r="S69" s="1949"/>
      <c r="T69" s="1949"/>
      <c r="U69" s="1949"/>
      <c r="V69" s="1949"/>
      <c r="W69" s="1949"/>
      <c r="X69" s="1949"/>
      <c r="Y69" s="1949"/>
      <c r="Z69" s="1949"/>
      <c r="AA69" s="1949"/>
      <c r="AB69" s="1740"/>
      <c r="AC69" s="1740"/>
      <c r="AD69" s="1740"/>
      <c r="AE69" s="1740"/>
      <c r="AF69" s="1740"/>
      <c r="AG69" s="1740"/>
      <c r="AH69" s="1740"/>
      <c r="AI69" s="1740"/>
      <c r="AJ69" s="1740"/>
      <c r="AK69" s="1740"/>
      <c r="AL69" s="1740"/>
      <c r="AM69" s="1740"/>
      <c r="AN69" s="1740"/>
      <c r="AO69" s="1740"/>
      <c r="AP69" s="1740"/>
      <c r="AQ69" s="1740"/>
      <c r="AR69" s="1740"/>
      <c r="AS69" s="1740"/>
      <c r="AT69" s="1740"/>
      <c r="AU69" s="1740"/>
      <c r="AV69" s="1740"/>
      <c r="AW69" s="1740"/>
      <c r="AX69" s="1740"/>
      <c r="AY69" s="1740"/>
      <c r="AZ69" s="1740"/>
      <c r="BA69" s="1740"/>
      <c r="BB69" s="1740"/>
      <c r="BC69" s="1740"/>
      <c r="BD69" s="1740"/>
      <c r="BE69" s="1740"/>
      <c r="BF69" s="1740"/>
      <c r="BG69" s="1740"/>
      <c r="BH69" s="1740"/>
      <c r="BI69" s="1740"/>
      <c r="BJ69" s="1740"/>
      <c r="BK69" s="1740"/>
    </row>
    <row r="70" spans="2:63" ht="15.75" hidden="1" outlineLevel="1">
      <c r="B70" s="1926"/>
      <c r="C70" s="1946"/>
      <c r="D70" s="1947"/>
      <c r="E70" s="1948"/>
      <c r="F70" s="1948"/>
      <c r="G70" s="1949"/>
      <c r="H70" s="1949"/>
      <c r="I70" s="1949"/>
      <c r="J70" s="1949"/>
      <c r="K70" s="1949"/>
      <c r="L70" s="1949"/>
      <c r="M70" s="1949"/>
      <c r="N70" s="1949"/>
      <c r="O70" s="1949"/>
      <c r="P70" s="1949"/>
      <c r="Q70" s="1949"/>
      <c r="R70" s="1949"/>
      <c r="S70" s="1949"/>
      <c r="T70" s="1949"/>
      <c r="U70" s="1949"/>
      <c r="V70" s="1949"/>
      <c r="W70" s="1949"/>
      <c r="X70" s="1949"/>
      <c r="Y70" s="1949"/>
      <c r="Z70" s="1949"/>
      <c r="AA70" s="1949"/>
      <c r="AB70" s="1740"/>
      <c r="AC70" s="1740"/>
      <c r="AD70" s="1740"/>
      <c r="AE70" s="1740"/>
      <c r="AF70" s="1740"/>
      <c r="AG70" s="1740"/>
      <c r="AH70" s="1740"/>
      <c r="AI70" s="1740"/>
      <c r="AJ70" s="1740"/>
      <c r="AK70" s="1740"/>
      <c r="AL70" s="1740"/>
      <c r="AM70" s="1740"/>
      <c r="AN70" s="1740"/>
      <c r="AO70" s="1740"/>
      <c r="AP70" s="1740"/>
      <c r="AQ70" s="1740"/>
      <c r="AR70" s="1740"/>
      <c r="AS70" s="1740"/>
      <c r="AT70" s="1740"/>
      <c r="AU70" s="1740"/>
      <c r="AV70" s="1740"/>
      <c r="AW70" s="1740"/>
      <c r="AX70" s="1740"/>
      <c r="AY70" s="1740"/>
      <c r="AZ70" s="1740"/>
      <c r="BA70" s="1740"/>
      <c r="BB70" s="1740"/>
      <c r="BC70" s="1740"/>
      <c r="BD70" s="1740"/>
      <c r="BE70" s="1740"/>
      <c r="BF70" s="1740"/>
      <c r="BG70" s="1740"/>
      <c r="BH70" s="1740"/>
      <c r="BI70" s="1740"/>
      <c r="BJ70" s="1740"/>
      <c r="BK70" s="1740"/>
    </row>
    <row r="71" spans="2:63" ht="15.75" hidden="1" outlineLevel="1">
      <c r="B71" s="1926"/>
      <c r="C71" s="1946"/>
      <c r="D71" s="1947"/>
      <c r="E71" s="1948"/>
      <c r="F71" s="1948"/>
      <c r="G71" s="1949"/>
      <c r="H71" s="1949"/>
      <c r="I71" s="1949"/>
      <c r="J71" s="1949"/>
      <c r="K71" s="1949"/>
      <c r="L71" s="1949"/>
      <c r="M71" s="1949"/>
      <c r="N71" s="1949"/>
      <c r="O71" s="1949"/>
      <c r="P71" s="1949"/>
      <c r="Q71" s="1949"/>
      <c r="R71" s="1949"/>
      <c r="S71" s="1949"/>
      <c r="T71" s="1949"/>
      <c r="U71" s="1949"/>
      <c r="V71" s="1949"/>
      <c r="W71" s="1949"/>
      <c r="X71" s="1949"/>
      <c r="Y71" s="1949"/>
      <c r="Z71" s="1949"/>
      <c r="AA71" s="1949"/>
      <c r="AB71" s="1740"/>
      <c r="AC71" s="1740"/>
      <c r="AD71" s="1740"/>
      <c r="AE71" s="1740"/>
      <c r="AF71" s="1740"/>
      <c r="AG71" s="1740"/>
      <c r="AH71" s="1740"/>
      <c r="AI71" s="1740"/>
      <c r="AJ71" s="1740"/>
      <c r="AK71" s="1740"/>
      <c r="AL71" s="1740"/>
      <c r="AM71" s="1740"/>
      <c r="AN71" s="1740"/>
      <c r="AO71" s="1740"/>
      <c r="AP71" s="1740"/>
      <c r="AQ71" s="1740"/>
      <c r="AR71" s="1740"/>
      <c r="AS71" s="1740"/>
      <c r="AT71" s="1740"/>
      <c r="AU71" s="1740"/>
      <c r="AV71" s="1740"/>
      <c r="AW71" s="1740"/>
      <c r="AX71" s="1740"/>
      <c r="AY71" s="1740"/>
      <c r="AZ71" s="1740"/>
      <c r="BA71" s="1740"/>
      <c r="BB71" s="1740"/>
      <c r="BC71" s="1740"/>
      <c r="BD71" s="1740"/>
      <c r="BE71" s="1740"/>
      <c r="BF71" s="1740"/>
      <c r="BG71" s="1740"/>
      <c r="BH71" s="1740"/>
      <c r="BI71" s="1740"/>
      <c r="BJ71" s="1740"/>
      <c r="BK71" s="1740"/>
    </row>
    <row r="72" spans="2:63" ht="15.75" hidden="1" outlineLevel="1">
      <c r="B72" s="1926"/>
      <c r="C72" s="1950"/>
      <c r="D72" s="1947"/>
      <c r="E72" s="1948"/>
      <c r="F72" s="1948"/>
      <c r="G72" s="1949"/>
      <c r="H72" s="1949"/>
      <c r="I72" s="1949"/>
      <c r="J72" s="1949"/>
      <c r="K72" s="1949"/>
      <c r="L72" s="1949"/>
      <c r="M72" s="1949"/>
      <c r="N72" s="1949"/>
      <c r="O72" s="1949"/>
      <c r="P72" s="1949"/>
      <c r="Q72" s="1949"/>
      <c r="R72" s="1949"/>
      <c r="S72" s="1949"/>
      <c r="T72" s="1949"/>
      <c r="U72" s="1949"/>
      <c r="V72" s="1949"/>
      <c r="W72" s="1949"/>
      <c r="X72" s="1949"/>
      <c r="Y72" s="1949"/>
      <c r="Z72" s="1949"/>
      <c r="AA72" s="1949"/>
      <c r="AB72" s="1740"/>
      <c r="AC72" s="1740"/>
      <c r="AD72" s="1740"/>
      <c r="AE72" s="1740"/>
      <c r="AF72" s="1740"/>
      <c r="AG72" s="1740"/>
      <c r="AH72" s="1740"/>
      <c r="AI72" s="1740"/>
      <c r="AJ72" s="1740"/>
      <c r="AK72" s="1740"/>
      <c r="AL72" s="1740"/>
      <c r="AM72" s="1740"/>
      <c r="AN72" s="1740"/>
      <c r="AO72" s="1740"/>
      <c r="AP72" s="1740"/>
      <c r="AQ72" s="1740"/>
      <c r="AR72" s="1740"/>
      <c r="AS72" s="1740"/>
      <c r="AT72" s="1740"/>
      <c r="AU72" s="1740"/>
      <c r="AV72" s="1740"/>
      <c r="AW72" s="1740"/>
      <c r="AX72" s="1740"/>
      <c r="AY72" s="1740"/>
      <c r="AZ72" s="1740"/>
      <c r="BA72" s="1740"/>
      <c r="BB72" s="1740"/>
      <c r="BC72" s="1740"/>
      <c r="BD72" s="1740"/>
      <c r="BE72" s="1740"/>
      <c r="BF72" s="1740"/>
      <c r="BG72" s="1740"/>
      <c r="BH72" s="1740"/>
      <c r="BI72" s="1740"/>
      <c r="BJ72" s="1740"/>
      <c r="BK72" s="1740"/>
    </row>
    <row r="73" spans="2:63" ht="15.75" hidden="1" outlineLevel="1">
      <c r="B73" s="1926"/>
      <c r="C73" s="1922" t="s">
        <v>3775</v>
      </c>
      <c r="D73" s="1951"/>
      <c r="E73" s="1923"/>
      <c r="F73" s="1923"/>
      <c r="G73" s="1952"/>
      <c r="H73" s="1952"/>
      <c r="I73" s="1952"/>
      <c r="J73" s="1952"/>
      <c r="K73" s="1953"/>
      <c r="L73" s="1952"/>
      <c r="M73" s="1952"/>
      <c r="N73" s="1952"/>
      <c r="O73" s="1952"/>
      <c r="P73" s="1953"/>
      <c r="Q73" s="1952"/>
      <c r="R73" s="1952"/>
      <c r="S73" s="1952"/>
      <c r="T73" s="1952"/>
      <c r="U73" s="1952"/>
      <c r="V73" s="1952"/>
      <c r="W73" s="1952"/>
      <c r="X73" s="1954"/>
      <c r="Y73" s="1954"/>
      <c r="Z73" s="1954"/>
      <c r="AA73" s="1953"/>
      <c r="AB73" s="1740"/>
      <c r="AC73" s="1740"/>
      <c r="AD73" s="1740"/>
      <c r="AE73" s="1740"/>
      <c r="AF73" s="1740"/>
      <c r="AG73" s="1740"/>
      <c r="AH73" s="1740"/>
      <c r="AI73" s="1740"/>
      <c r="AJ73" s="1740"/>
      <c r="AK73" s="1740"/>
      <c r="AL73" s="1740"/>
      <c r="AM73" s="1740"/>
      <c r="AN73" s="1740"/>
      <c r="AO73" s="1740"/>
      <c r="AP73" s="1740"/>
      <c r="AQ73" s="1740"/>
      <c r="AR73" s="1740"/>
      <c r="AS73" s="1740"/>
      <c r="AT73" s="1740"/>
      <c r="AU73" s="1740"/>
      <c r="AV73" s="1740"/>
      <c r="AW73" s="1740"/>
      <c r="AX73" s="1740"/>
      <c r="AY73" s="1740"/>
      <c r="AZ73" s="1740"/>
      <c r="BA73" s="1740"/>
      <c r="BB73" s="1740"/>
      <c r="BC73" s="1740"/>
      <c r="BD73" s="1740"/>
      <c r="BE73" s="1740"/>
      <c r="BF73" s="1740"/>
      <c r="BG73" s="1740"/>
      <c r="BH73" s="1740"/>
      <c r="BI73" s="1740"/>
      <c r="BJ73" s="1740"/>
      <c r="BK73" s="1740"/>
    </row>
    <row r="74" spans="2:63" ht="15.75" hidden="1" outlineLevel="1">
      <c r="B74" s="1926"/>
      <c r="C74" s="1927" t="s">
        <v>3771</v>
      </c>
      <c r="D74" s="1933"/>
      <c r="E74" s="1928">
        <f>E77+E82</f>
        <v>11</v>
      </c>
      <c r="F74" s="1928">
        <f>F77+F82</f>
        <v>3220.91</v>
      </c>
      <c r="G74" s="1937"/>
      <c r="H74" s="1937"/>
      <c r="I74" s="1937"/>
      <c r="J74" s="1937"/>
      <c r="K74" s="1938">
        <f>'[36]СС 2015'!K155</f>
        <v>888155.16999999993</v>
      </c>
      <c r="L74" s="1937"/>
      <c r="M74" s="1937"/>
      <c r="N74" s="1937"/>
      <c r="O74" s="1937"/>
      <c r="P74" s="1938">
        <f>'[36]СС 2015'!S155</f>
        <v>0</v>
      </c>
      <c r="Q74" s="1937"/>
      <c r="R74" s="1937"/>
      <c r="S74" s="1937"/>
      <c r="T74" s="1937"/>
      <c r="U74" s="1937"/>
      <c r="V74" s="1937"/>
      <c r="W74" s="1937"/>
      <c r="X74" s="1939"/>
      <c r="Y74" s="1939"/>
      <c r="Z74" s="1939"/>
      <c r="AA74" s="1938">
        <f>'[36]СС 2015'!X155</f>
        <v>0</v>
      </c>
      <c r="AB74" s="1740"/>
      <c r="AC74" s="1740"/>
      <c r="AD74" s="1740"/>
      <c r="AE74" s="1740"/>
      <c r="AF74" s="1740"/>
      <c r="AG74" s="1740"/>
      <c r="AH74" s="1740"/>
      <c r="AI74" s="1740"/>
      <c r="AJ74" s="1740"/>
      <c r="AK74" s="1740"/>
      <c r="AL74" s="1740"/>
      <c r="AM74" s="1740"/>
      <c r="AN74" s="1740"/>
      <c r="AO74" s="1740"/>
      <c r="AP74" s="1740"/>
      <c r="AQ74" s="1740"/>
      <c r="AR74" s="1740"/>
      <c r="AS74" s="1740"/>
      <c r="AT74" s="1740"/>
      <c r="AU74" s="1740"/>
      <c r="AV74" s="1740"/>
      <c r="AW74" s="1740"/>
      <c r="AX74" s="1740"/>
      <c r="AY74" s="1740"/>
      <c r="AZ74" s="1740"/>
      <c r="BA74" s="1740"/>
      <c r="BB74" s="1740"/>
      <c r="BC74" s="1740"/>
      <c r="BD74" s="1740"/>
      <c r="BE74" s="1740"/>
      <c r="BF74" s="1740"/>
      <c r="BG74" s="1740"/>
      <c r="BH74" s="1740"/>
      <c r="BI74" s="1740"/>
      <c r="BJ74" s="1740"/>
      <c r="BK74" s="1740"/>
    </row>
    <row r="75" spans="2:63" ht="15.75" hidden="1" outlineLevel="1">
      <c r="B75" s="1926"/>
      <c r="C75" s="1931" t="s">
        <v>3706</v>
      </c>
      <c r="D75" s="1933"/>
      <c r="E75" s="1928"/>
      <c r="F75" s="1928"/>
      <c r="G75" s="1937"/>
      <c r="H75" s="1937"/>
      <c r="I75" s="1937"/>
      <c r="J75" s="1937"/>
      <c r="K75" s="1938">
        <f>'[36]СС 2015'!K156</f>
        <v>264241.47999999992</v>
      </c>
      <c r="L75" s="1937"/>
      <c r="M75" s="1937"/>
      <c r="N75" s="1937"/>
      <c r="O75" s="1937"/>
      <c r="P75" s="1938">
        <f>'[36]СС 2015'!S156</f>
        <v>0</v>
      </c>
      <c r="Q75" s="1937"/>
      <c r="R75" s="1937"/>
      <c r="S75" s="1937"/>
      <c r="T75" s="1937"/>
      <c r="U75" s="1937"/>
      <c r="V75" s="1937"/>
      <c r="W75" s="1937"/>
      <c r="X75" s="1939"/>
      <c r="Y75" s="1939"/>
      <c r="Z75" s="1939"/>
      <c r="AA75" s="1938">
        <f>'[36]СС 2015'!X156</f>
        <v>0</v>
      </c>
      <c r="AB75" s="1740"/>
      <c r="AC75" s="1740"/>
      <c r="AD75" s="1740"/>
      <c r="AE75" s="1740"/>
      <c r="AF75" s="1740"/>
      <c r="AG75" s="1740"/>
      <c r="AH75" s="1740"/>
      <c r="AI75" s="1740"/>
      <c r="AJ75" s="1740"/>
      <c r="AK75" s="1740"/>
      <c r="AL75" s="1740"/>
      <c r="AM75" s="1740"/>
      <c r="AN75" s="1740"/>
      <c r="AO75" s="1740"/>
      <c r="AP75" s="1740"/>
      <c r="AQ75" s="1740"/>
      <c r="AR75" s="1740"/>
      <c r="AS75" s="1740"/>
      <c r="AT75" s="1740"/>
      <c r="AU75" s="1740"/>
      <c r="AV75" s="1740"/>
      <c r="AW75" s="1740"/>
      <c r="AX75" s="1740"/>
      <c r="AY75" s="1740"/>
      <c r="AZ75" s="1740"/>
      <c r="BA75" s="1740"/>
      <c r="BB75" s="1740"/>
      <c r="BC75" s="1740"/>
      <c r="BD75" s="1740"/>
      <c r="BE75" s="1740"/>
      <c r="BF75" s="1740"/>
      <c r="BG75" s="1740"/>
      <c r="BH75" s="1740"/>
      <c r="BI75" s="1740"/>
      <c r="BJ75" s="1740"/>
      <c r="BK75" s="1740"/>
    </row>
    <row r="76" spans="2:63" ht="15.75" hidden="1" outlineLevel="1">
      <c r="B76" s="1926"/>
      <c r="C76" s="1932" t="s">
        <v>3775</v>
      </c>
      <c r="D76" s="1933">
        <v>0.4</v>
      </c>
      <c r="E76" s="1768"/>
      <c r="F76" s="1768"/>
      <c r="G76" s="1768"/>
      <c r="H76" s="1768"/>
      <c r="I76" s="1768"/>
      <c r="J76" s="1768"/>
      <c r="K76" s="1934"/>
      <c r="L76" s="1768"/>
      <c r="M76" s="1768"/>
      <c r="N76" s="1768"/>
      <c r="O76" s="1768"/>
      <c r="P76" s="1934"/>
      <c r="Q76" s="1768"/>
      <c r="R76" s="1768"/>
      <c r="S76" s="1768"/>
      <c r="T76" s="1768"/>
      <c r="U76" s="1768"/>
      <c r="V76" s="1768"/>
      <c r="W76" s="1768"/>
      <c r="X76" s="1935"/>
      <c r="Y76" s="1935"/>
      <c r="Z76" s="1935"/>
      <c r="AA76" s="1934"/>
      <c r="AB76" s="1740"/>
      <c r="AC76" s="1740"/>
      <c r="AD76" s="1740"/>
      <c r="AE76" s="1740"/>
      <c r="AF76" s="1740"/>
      <c r="AG76" s="1740"/>
      <c r="AH76" s="1740"/>
      <c r="AI76" s="1740"/>
      <c r="AJ76" s="1740"/>
      <c r="AK76" s="1740"/>
      <c r="AL76" s="1740"/>
      <c r="AM76" s="1740"/>
      <c r="AN76" s="1740"/>
      <c r="AO76" s="1740"/>
      <c r="AP76" s="1740"/>
      <c r="AQ76" s="1740"/>
      <c r="AR76" s="1740"/>
      <c r="AS76" s="1740"/>
      <c r="AT76" s="1740"/>
      <c r="AU76" s="1740"/>
      <c r="AV76" s="1740"/>
      <c r="AW76" s="1740"/>
      <c r="AX76" s="1740"/>
      <c r="AY76" s="1740"/>
      <c r="AZ76" s="1740"/>
      <c r="BA76" s="1740"/>
      <c r="BB76" s="1740"/>
      <c r="BC76" s="1740"/>
      <c r="BD76" s="1740"/>
      <c r="BE76" s="1740"/>
      <c r="BF76" s="1740"/>
      <c r="BG76" s="1740"/>
      <c r="BH76" s="1740"/>
      <c r="BI76" s="1740"/>
      <c r="BJ76" s="1740"/>
      <c r="BK76" s="1740"/>
    </row>
    <row r="77" spans="2:63" ht="15.75" hidden="1" outlineLevel="1">
      <c r="B77" s="1926"/>
      <c r="C77" s="1927" t="s">
        <v>3771</v>
      </c>
      <c r="D77" s="1933"/>
      <c r="E77" s="1928">
        <v>2</v>
      </c>
      <c r="F77" s="1928">
        <v>301</v>
      </c>
      <c r="G77" s="1928" t="e">
        <f>ROUND($K77*G$80,3)</f>
        <v>#REF!</v>
      </c>
      <c r="H77" s="1928" t="e">
        <f>ROUND($K77*H$80,3)</f>
        <v>#REF!</v>
      </c>
      <c r="I77" s="1928" t="e">
        <f>ROUND($K77*I$80,3)</f>
        <v>#REF!</v>
      </c>
      <c r="J77" s="1928" t="e">
        <f>ROUND($K77*J$80,3)</f>
        <v>#REF!</v>
      </c>
      <c r="K77" s="1934" t="e">
        <f>#REF!*F77</f>
        <v>#REF!</v>
      </c>
      <c r="L77" s="1928" t="e">
        <f>ROUND($K77*L$80,3)</f>
        <v>#REF!</v>
      </c>
      <c r="M77" s="1928" t="e">
        <f>ROUND($K77*M$80,3)</f>
        <v>#REF!</v>
      </c>
      <c r="N77" s="1928" t="e">
        <f>ROUND($K77*N$80,3)</f>
        <v>#REF!</v>
      </c>
      <c r="O77" s="1928" t="e">
        <f>ROUND($K77*O$80,3)</f>
        <v>#REF!</v>
      </c>
      <c r="P77" s="1934" t="e">
        <f>#REF!*#REF!</f>
        <v>#REF!</v>
      </c>
      <c r="Q77" s="1928" t="e">
        <f>ROUND($K77*Q$80,3)</f>
        <v>#REF!</v>
      </c>
      <c r="R77" s="1928"/>
      <c r="S77" s="1928" t="e">
        <f>ROUND($K77*S$80,3)</f>
        <v>#REF!</v>
      </c>
      <c r="T77" s="1928"/>
      <c r="U77" s="1928" t="e">
        <f>ROUND($K77*U$80,3)</f>
        <v>#REF!</v>
      </c>
      <c r="V77" s="1928"/>
      <c r="W77" s="1928" t="e">
        <f>ROUND($K77*W$80,3)</f>
        <v>#REF!</v>
      </c>
      <c r="X77" s="1930"/>
      <c r="Y77" s="1930"/>
      <c r="Z77" s="1930"/>
      <c r="AA77" s="1934" t="e">
        <f>#REF!*#REF!</f>
        <v>#REF!</v>
      </c>
      <c r="AB77" s="1740"/>
      <c r="AC77" s="1740"/>
      <c r="AD77" s="1740"/>
      <c r="AE77" s="1740"/>
      <c r="AF77" s="1740"/>
      <c r="AG77" s="1740"/>
      <c r="AH77" s="1740"/>
      <c r="AI77" s="1740"/>
      <c r="AJ77" s="1740"/>
      <c r="AK77" s="1740"/>
      <c r="AL77" s="1740"/>
      <c r="AM77" s="1740"/>
      <c r="AN77" s="1740"/>
      <c r="AO77" s="1740"/>
      <c r="AP77" s="1740"/>
      <c r="AQ77" s="1740"/>
      <c r="AR77" s="1740"/>
      <c r="AS77" s="1740"/>
      <c r="AT77" s="1740"/>
      <c r="AU77" s="1740"/>
      <c r="AV77" s="1740"/>
      <c r="AW77" s="1740"/>
      <c r="AX77" s="1740"/>
      <c r="AY77" s="1740"/>
      <c r="AZ77" s="1740"/>
      <c r="BA77" s="1740"/>
      <c r="BB77" s="1740"/>
      <c r="BC77" s="1740"/>
      <c r="BD77" s="1740"/>
      <c r="BE77" s="1740"/>
      <c r="BF77" s="1740"/>
      <c r="BG77" s="1740"/>
      <c r="BH77" s="1740"/>
      <c r="BI77" s="1740"/>
      <c r="BJ77" s="1740"/>
      <c r="BK77" s="1740"/>
    </row>
    <row r="78" spans="2:63" ht="15.75" hidden="1" outlineLevel="1">
      <c r="B78" s="1926"/>
      <c r="C78" s="1931" t="s">
        <v>3706</v>
      </c>
      <c r="D78" s="1933"/>
      <c r="E78" s="1928"/>
      <c r="F78" s="1928"/>
      <c r="G78" s="1928" t="e">
        <f>ROUND(G77*#REF!,3)</f>
        <v>#REF!</v>
      </c>
      <c r="H78" s="1928" t="e">
        <f>ROUND(H77*#REF!,3)</f>
        <v>#REF!</v>
      </c>
      <c r="I78" s="1928" t="e">
        <f>ROUND(I77*#REF!,3)</f>
        <v>#REF!</v>
      </c>
      <c r="J78" s="1928" t="e">
        <f>ROUND(J77*#REF!,3)</f>
        <v>#REF!</v>
      </c>
      <c r="K78" s="1934" t="e">
        <f>K77*#REF!</f>
        <v>#REF!</v>
      </c>
      <c r="L78" s="1928" t="e">
        <f>ROUND(L77*#REF!,3)</f>
        <v>#REF!</v>
      </c>
      <c r="M78" s="1928" t="e">
        <f>ROUND(M77*#REF!,3)</f>
        <v>#REF!</v>
      </c>
      <c r="N78" s="1928" t="e">
        <f>ROUND(N77*#REF!,3)</f>
        <v>#REF!</v>
      </c>
      <c r="O78" s="1928" t="e">
        <f>ROUND(O77*#REF!,3)</f>
        <v>#REF!</v>
      </c>
      <c r="P78" s="1934" t="e">
        <f>P77*#REF!</f>
        <v>#REF!</v>
      </c>
      <c r="Q78" s="1928" t="e">
        <f>ROUND(Q77*#REF!,3)</f>
        <v>#REF!</v>
      </c>
      <c r="R78" s="1928"/>
      <c r="S78" s="1928" t="e">
        <f>ROUND(S77*#REF!,3)</f>
        <v>#REF!</v>
      </c>
      <c r="T78" s="1928"/>
      <c r="U78" s="1928" t="e">
        <f>ROUND(U77*#REF!,3)</f>
        <v>#REF!</v>
      </c>
      <c r="V78" s="1928"/>
      <c r="W78" s="1928" t="e">
        <f>ROUND(W77*#REF!,3)</f>
        <v>#REF!</v>
      </c>
      <c r="X78" s="1930"/>
      <c r="Y78" s="1930"/>
      <c r="Z78" s="1930"/>
      <c r="AA78" s="1934" t="e">
        <f>AA77*#REF!</f>
        <v>#REF!</v>
      </c>
      <c r="AB78" s="1740"/>
      <c r="AC78" s="1740"/>
      <c r="AD78" s="1740"/>
      <c r="AE78" s="1740"/>
      <c r="AF78" s="1740"/>
      <c r="AG78" s="1740"/>
      <c r="AH78" s="1740"/>
      <c r="AI78" s="1740"/>
      <c r="AJ78" s="1740"/>
      <c r="AK78" s="1740"/>
      <c r="AL78" s="1740"/>
      <c r="AM78" s="1740"/>
      <c r="AN78" s="1740"/>
      <c r="AO78" s="1740"/>
      <c r="AP78" s="1740"/>
      <c r="AQ78" s="1740"/>
      <c r="AR78" s="1740"/>
      <c r="AS78" s="1740"/>
      <c r="AT78" s="1740"/>
      <c r="AU78" s="1740"/>
      <c r="AV78" s="1740"/>
      <c r="AW78" s="1740"/>
      <c r="AX78" s="1740"/>
      <c r="AY78" s="1740"/>
      <c r="AZ78" s="1740"/>
      <c r="BA78" s="1740"/>
      <c r="BB78" s="1740"/>
      <c r="BC78" s="1740"/>
      <c r="BD78" s="1740"/>
      <c r="BE78" s="1740"/>
      <c r="BF78" s="1740"/>
      <c r="BG78" s="1740"/>
      <c r="BH78" s="1740"/>
      <c r="BI78" s="1740"/>
      <c r="BJ78" s="1740"/>
      <c r="BK78" s="1740"/>
    </row>
    <row r="79" spans="2:63" ht="31.5" hidden="1" outlineLevel="1">
      <c r="B79" s="1926"/>
      <c r="C79" s="1927" t="s">
        <v>3772</v>
      </c>
      <c r="D79" s="1933"/>
      <c r="E79" s="1928"/>
      <c r="F79" s="1928"/>
      <c r="G79" s="1768">
        <f>'[36]Табл. 7.3 Подг. ТУ'!H67</f>
        <v>28.41</v>
      </c>
      <c r="H79" s="1768">
        <f>'[36]Табл. 7.5 Пров. вып. ТУ'!H44</f>
        <v>26.5</v>
      </c>
      <c r="I79" s="1768"/>
      <c r="J79" s="1768">
        <f>'[36]Табл. 7.7 Факт. присоед.'!H34</f>
        <v>45.97</v>
      </c>
      <c r="K79" s="1929">
        <f>SUM(G79:J79)</f>
        <v>100.88</v>
      </c>
      <c r="L79" s="1768">
        <f>'[36]Табл. 7.3 Подг. ТУ'!P67</f>
        <v>4565.3903335043615</v>
      </c>
      <c r="M79" s="1768">
        <f>'[36]Табл. 7.5 Пров. вып. ТУ'!P44</f>
        <v>3512.6114315033356</v>
      </c>
      <c r="N79" s="1768"/>
      <c r="O79" s="1768">
        <f>'[36]Табл. 7.7 Факт. присоед.'!P34</f>
        <v>3812.3076449461264</v>
      </c>
      <c r="P79" s="1929">
        <f>SUM(L79:O79)</f>
        <v>11890.309409953823</v>
      </c>
      <c r="Q79" s="1768">
        <f>'[36]Табл. 7.3 Подг. ТУ'!U67</f>
        <v>0</v>
      </c>
      <c r="R79" s="1768"/>
      <c r="S79" s="1768">
        <f>'[36]Табл. 7.5 Пров. вып. ТУ'!U44</f>
        <v>12125.32900974859</v>
      </c>
      <c r="T79" s="1768"/>
      <c r="U79" s="1768"/>
      <c r="V79" s="1768"/>
      <c r="W79" s="1768">
        <f>'[36]Табл. 7.7 Факт. присоед.'!U34</f>
        <v>0</v>
      </c>
      <c r="X79" s="1935"/>
      <c r="Y79" s="1935"/>
      <c r="Z79" s="1935"/>
      <c r="AA79" s="1929">
        <f>SUM(Q79:W79)</f>
        <v>12125.32900974859</v>
      </c>
      <c r="AB79" s="1740"/>
      <c r="AC79" s="1740"/>
      <c r="AD79" s="1740"/>
      <c r="AE79" s="1740"/>
      <c r="AF79" s="1740"/>
      <c r="AG79" s="1740"/>
      <c r="AH79" s="1740"/>
      <c r="AI79" s="1740"/>
      <c r="AJ79" s="1740"/>
      <c r="AK79" s="1740"/>
      <c r="AL79" s="1740"/>
      <c r="AM79" s="1740"/>
      <c r="AN79" s="1740"/>
      <c r="AO79" s="1740"/>
      <c r="AP79" s="1740"/>
      <c r="AQ79" s="1740"/>
      <c r="AR79" s="1740"/>
      <c r="AS79" s="1740"/>
      <c r="AT79" s="1740"/>
      <c r="AU79" s="1740"/>
      <c r="AV79" s="1740"/>
      <c r="AW79" s="1740"/>
      <c r="AX79" s="1740"/>
      <c r="AY79" s="1740"/>
      <c r="AZ79" s="1740"/>
      <c r="BA79" s="1740"/>
      <c r="BB79" s="1740"/>
      <c r="BC79" s="1740"/>
      <c r="BD79" s="1740"/>
      <c r="BE79" s="1740"/>
      <c r="BF79" s="1740"/>
      <c r="BG79" s="1740"/>
      <c r="BH79" s="1740"/>
      <c r="BI79" s="1740"/>
      <c r="BJ79" s="1740"/>
      <c r="BK79" s="1740"/>
    </row>
    <row r="80" spans="2:63" ht="15.75" hidden="1" outlineLevel="1">
      <c r="B80" s="1926"/>
      <c r="C80" s="1936" t="s">
        <v>3773</v>
      </c>
      <c r="D80" s="1933"/>
      <c r="E80" s="1928"/>
      <c r="F80" s="1928"/>
      <c r="G80" s="1937">
        <f t="shared" ref="G80:AA80" si="153">G79/$K79</f>
        <v>0.28162172878667724</v>
      </c>
      <c r="H80" s="1937">
        <f t="shared" si="153"/>
        <v>0.26268834258524981</v>
      </c>
      <c r="I80" s="1937">
        <f t="shared" si="153"/>
        <v>0</v>
      </c>
      <c r="J80" s="1937">
        <f t="shared" si="153"/>
        <v>0.45568992862807295</v>
      </c>
      <c r="K80" s="1938">
        <f t="shared" si="153"/>
        <v>1</v>
      </c>
      <c r="L80" s="1937">
        <f t="shared" si="153"/>
        <v>45.255653583508739</v>
      </c>
      <c r="M80" s="1937">
        <f t="shared" si="153"/>
        <v>34.819700946702376</v>
      </c>
      <c r="N80" s="1937">
        <f t="shared" si="153"/>
        <v>0</v>
      </c>
      <c r="O80" s="1937">
        <f t="shared" si="153"/>
        <v>37.790519874565092</v>
      </c>
      <c r="P80" s="1938">
        <f t="shared" si="153"/>
        <v>117.86587440477621</v>
      </c>
      <c r="Q80" s="1937">
        <f t="shared" si="153"/>
        <v>0</v>
      </c>
      <c r="R80" s="1937"/>
      <c r="S80" s="1937">
        <f t="shared" si="153"/>
        <v>120.19556908949832</v>
      </c>
      <c r="T80" s="1937"/>
      <c r="U80" s="1937">
        <f t="shared" si="153"/>
        <v>0</v>
      </c>
      <c r="V80" s="1937"/>
      <c r="W80" s="1937">
        <f t="shared" si="153"/>
        <v>0</v>
      </c>
      <c r="X80" s="1939"/>
      <c r="Y80" s="1939"/>
      <c r="Z80" s="1939"/>
      <c r="AA80" s="1938">
        <f t="shared" si="153"/>
        <v>120.19556908949832</v>
      </c>
      <c r="AB80" s="1740"/>
      <c r="AC80" s="1740"/>
      <c r="AD80" s="1740"/>
      <c r="AE80" s="1740"/>
      <c r="AF80" s="1740"/>
      <c r="AG80" s="1740"/>
      <c r="AH80" s="1740"/>
      <c r="AI80" s="1740"/>
      <c r="AJ80" s="1740"/>
      <c r="AK80" s="1740"/>
      <c r="AL80" s="1740"/>
      <c r="AM80" s="1740"/>
      <c r="AN80" s="1740"/>
      <c r="AO80" s="1740"/>
      <c r="AP80" s="1740"/>
      <c r="AQ80" s="1740"/>
      <c r="AR80" s="1740"/>
      <c r="AS80" s="1740"/>
      <c r="AT80" s="1740"/>
      <c r="AU80" s="1740"/>
      <c r="AV80" s="1740"/>
      <c r="AW80" s="1740"/>
      <c r="AX80" s="1740"/>
      <c r="AY80" s="1740"/>
      <c r="AZ80" s="1740"/>
      <c r="BA80" s="1740"/>
      <c r="BB80" s="1740"/>
      <c r="BC80" s="1740"/>
      <c r="BD80" s="1740"/>
      <c r="BE80" s="1740"/>
      <c r="BF80" s="1740"/>
      <c r="BG80" s="1740"/>
      <c r="BH80" s="1740"/>
      <c r="BI80" s="1740"/>
      <c r="BJ80" s="1740"/>
      <c r="BK80" s="1740"/>
    </row>
    <row r="81" spans="2:63" ht="15.75" hidden="1" outlineLevel="1">
      <c r="B81" s="1926"/>
      <c r="C81" s="1932" t="s">
        <v>3776</v>
      </c>
      <c r="D81" s="1928" t="s">
        <v>3569</v>
      </c>
      <c r="E81" s="1768"/>
      <c r="F81" s="1768"/>
      <c r="G81" s="1768"/>
      <c r="H81" s="1768"/>
      <c r="I81" s="1768"/>
      <c r="J81" s="1768"/>
      <c r="K81" s="1934"/>
      <c r="L81" s="1768"/>
      <c r="M81" s="1768"/>
      <c r="N81" s="1768"/>
      <c r="O81" s="1768"/>
      <c r="P81" s="1934"/>
      <c r="Q81" s="1768"/>
      <c r="R81" s="1768"/>
      <c r="S81" s="1768"/>
      <c r="T81" s="1768"/>
      <c r="U81" s="1768"/>
      <c r="V81" s="1768"/>
      <c r="W81" s="1768"/>
      <c r="X81" s="1935"/>
      <c r="Y81" s="1935"/>
      <c r="Z81" s="1935"/>
      <c r="AA81" s="1934"/>
      <c r="AB81" s="1740"/>
      <c r="AC81" s="1740"/>
      <c r="AD81" s="1740"/>
      <c r="AE81" s="1740"/>
      <c r="AF81" s="1740"/>
      <c r="AG81" s="1740"/>
      <c r="AH81" s="1740"/>
      <c r="AI81" s="1740"/>
      <c r="AJ81" s="1740"/>
      <c r="AK81" s="1740"/>
      <c r="AL81" s="1740"/>
      <c r="AM81" s="1740"/>
      <c r="AN81" s="1740"/>
      <c r="AO81" s="1740"/>
      <c r="AP81" s="1740"/>
      <c r="AQ81" s="1740"/>
      <c r="AR81" s="1740"/>
      <c r="AS81" s="1740"/>
      <c r="AT81" s="1740"/>
      <c r="AU81" s="1740"/>
      <c r="AV81" s="1740"/>
      <c r="AW81" s="1740"/>
      <c r="AX81" s="1740"/>
      <c r="AY81" s="1740"/>
      <c r="AZ81" s="1740"/>
      <c r="BA81" s="1740"/>
      <c r="BB81" s="1740"/>
      <c r="BC81" s="1740"/>
      <c r="BD81" s="1740"/>
      <c r="BE81" s="1740"/>
      <c r="BF81" s="1740"/>
      <c r="BG81" s="1740"/>
      <c r="BH81" s="1740"/>
      <c r="BI81" s="1740"/>
      <c r="BJ81" s="1740"/>
      <c r="BK81" s="1740"/>
    </row>
    <row r="82" spans="2:63" ht="15.75" hidden="1" outlineLevel="1">
      <c r="B82" s="1926"/>
      <c r="C82" s="1927" t="s">
        <v>3771</v>
      </c>
      <c r="D82" s="1928"/>
      <c r="E82" s="1768">
        <v>9</v>
      </c>
      <c r="F82" s="1768">
        <v>2919.91</v>
      </c>
      <c r="G82" s="1928" t="e">
        <f>ROUND($K82*G$85,3)</f>
        <v>#REF!</v>
      </c>
      <c r="H82" s="1928" t="e">
        <f>ROUND($K82*H$85,3)</f>
        <v>#REF!</v>
      </c>
      <c r="I82" s="1928" t="e">
        <f>ROUND($K82*I$85,3)</f>
        <v>#REF!</v>
      </c>
      <c r="J82" s="1928" t="e">
        <f>ROUND($K82*J$85,3)</f>
        <v>#REF!</v>
      </c>
      <c r="K82" s="1934" t="e">
        <f>#REF!*F82</f>
        <v>#REF!</v>
      </c>
      <c r="L82" s="1928" t="e">
        <f>ROUND($K82*L$85,3)</f>
        <v>#REF!</v>
      </c>
      <c r="M82" s="1928" t="e">
        <f>ROUND($K82*M$85,3)</f>
        <v>#REF!</v>
      </c>
      <c r="N82" s="1928" t="e">
        <f>ROUND($K82*N$85,3)</f>
        <v>#REF!</v>
      </c>
      <c r="O82" s="1928" t="e">
        <f>ROUND($K82*O$85,3)</f>
        <v>#REF!</v>
      </c>
      <c r="P82" s="1934" t="e">
        <f>#REF!*#REF!</f>
        <v>#REF!</v>
      </c>
      <c r="Q82" s="1928" t="e">
        <f>ROUND($K82*Q$85,3)</f>
        <v>#REF!</v>
      </c>
      <c r="R82" s="1928"/>
      <c r="S82" s="1928" t="e">
        <f>ROUND($K82*S$85,3)</f>
        <v>#REF!</v>
      </c>
      <c r="T82" s="1928"/>
      <c r="U82" s="1928" t="e">
        <f>ROUND($K82*U$85,3)</f>
        <v>#REF!</v>
      </c>
      <c r="V82" s="1928"/>
      <c r="W82" s="1928" t="e">
        <f>ROUND($K82*W$85,3)</f>
        <v>#REF!</v>
      </c>
      <c r="X82" s="1930"/>
      <c r="Y82" s="1930"/>
      <c r="Z82" s="1930"/>
      <c r="AA82" s="1934" t="e">
        <f>#REF!*#REF!</f>
        <v>#REF!</v>
      </c>
      <c r="AB82" s="1740"/>
      <c r="AC82" s="1740"/>
      <c r="AD82" s="1740"/>
      <c r="AE82" s="1740"/>
      <c r="AF82" s="1740"/>
      <c r="AG82" s="1740"/>
      <c r="AH82" s="1740"/>
      <c r="AI82" s="1740"/>
      <c r="AJ82" s="1740"/>
      <c r="AK82" s="1740"/>
      <c r="AL82" s="1740"/>
      <c r="AM82" s="1740"/>
      <c r="AN82" s="1740"/>
      <c r="AO82" s="1740"/>
      <c r="AP82" s="1740"/>
      <c r="AQ82" s="1740"/>
      <c r="AR82" s="1740"/>
      <c r="AS82" s="1740"/>
      <c r="AT82" s="1740"/>
      <c r="AU82" s="1740"/>
      <c r="AV82" s="1740"/>
      <c r="AW82" s="1740"/>
      <c r="AX82" s="1740"/>
      <c r="AY82" s="1740"/>
      <c r="AZ82" s="1740"/>
      <c r="BA82" s="1740"/>
      <c r="BB82" s="1740"/>
      <c r="BC82" s="1740"/>
      <c r="BD82" s="1740"/>
      <c r="BE82" s="1740"/>
      <c r="BF82" s="1740"/>
      <c r="BG82" s="1740"/>
      <c r="BH82" s="1740"/>
      <c r="BI82" s="1740"/>
      <c r="BJ82" s="1740"/>
      <c r="BK82" s="1740"/>
    </row>
    <row r="83" spans="2:63" ht="15.75" hidden="1" outlineLevel="1">
      <c r="B83" s="1926"/>
      <c r="C83" s="1931" t="s">
        <v>3706</v>
      </c>
      <c r="D83" s="1928"/>
      <c r="E83" s="1768"/>
      <c r="F83" s="1768"/>
      <c r="G83" s="1928" t="e">
        <f>ROUND(G82*#REF!,3)</f>
        <v>#REF!</v>
      </c>
      <c r="H83" s="1928" t="e">
        <f>ROUND(H82*#REF!,3)</f>
        <v>#REF!</v>
      </c>
      <c r="I83" s="1928" t="e">
        <f>ROUND(I82*#REF!,3)</f>
        <v>#REF!</v>
      </c>
      <c r="J83" s="1928" t="e">
        <f>ROUND(J82*#REF!,3)</f>
        <v>#REF!</v>
      </c>
      <c r="K83" s="1934" t="e">
        <f>K82*#REF!</f>
        <v>#REF!</v>
      </c>
      <c r="L83" s="1928" t="e">
        <f>ROUND(L82*#REF!,3)</f>
        <v>#REF!</v>
      </c>
      <c r="M83" s="1928" t="e">
        <f>ROUND(M82*#REF!,3)</f>
        <v>#REF!</v>
      </c>
      <c r="N83" s="1928" t="e">
        <f>ROUND(N82*#REF!,3)</f>
        <v>#REF!</v>
      </c>
      <c r="O83" s="1928" t="e">
        <f>ROUND(O82*#REF!,3)</f>
        <v>#REF!</v>
      </c>
      <c r="P83" s="1934" t="e">
        <f>P82*#REF!</f>
        <v>#REF!</v>
      </c>
      <c r="Q83" s="1928" t="e">
        <f>ROUND(Q82*#REF!,3)</f>
        <v>#REF!</v>
      </c>
      <c r="R83" s="1928"/>
      <c r="S83" s="1928" t="e">
        <f>ROUND(S82*#REF!,3)</f>
        <v>#REF!</v>
      </c>
      <c r="T83" s="1928"/>
      <c r="U83" s="1928" t="e">
        <f>ROUND(U82*#REF!,3)</f>
        <v>#REF!</v>
      </c>
      <c r="V83" s="1928"/>
      <c r="W83" s="1928" t="e">
        <f>ROUND(W82*#REF!,3)</f>
        <v>#REF!</v>
      </c>
      <c r="X83" s="1930"/>
      <c r="Y83" s="1930"/>
      <c r="Z83" s="1930"/>
      <c r="AA83" s="1934" t="e">
        <f>AA82*#REF!</f>
        <v>#REF!</v>
      </c>
      <c r="AB83" s="1740"/>
      <c r="AC83" s="1740"/>
      <c r="AD83" s="1740"/>
      <c r="AE83" s="1740"/>
      <c r="AF83" s="1740"/>
      <c r="AG83" s="1740"/>
      <c r="AH83" s="1740"/>
      <c r="AI83" s="1740"/>
      <c r="AJ83" s="1740"/>
      <c r="AK83" s="1740"/>
      <c r="AL83" s="1740"/>
      <c r="AM83" s="1740"/>
      <c r="AN83" s="1740"/>
      <c r="AO83" s="1740"/>
      <c r="AP83" s="1740"/>
      <c r="AQ83" s="1740"/>
      <c r="AR83" s="1740"/>
      <c r="AS83" s="1740"/>
      <c r="AT83" s="1740"/>
      <c r="AU83" s="1740"/>
      <c r="AV83" s="1740"/>
      <c r="AW83" s="1740"/>
      <c r="AX83" s="1740"/>
      <c r="AY83" s="1740"/>
      <c r="AZ83" s="1740"/>
      <c r="BA83" s="1740"/>
      <c r="BB83" s="1740"/>
      <c r="BC83" s="1740"/>
      <c r="BD83" s="1740"/>
      <c r="BE83" s="1740"/>
      <c r="BF83" s="1740"/>
      <c r="BG83" s="1740"/>
      <c r="BH83" s="1740"/>
      <c r="BI83" s="1740"/>
      <c r="BJ83" s="1740"/>
      <c r="BK83" s="1740"/>
    </row>
    <row r="84" spans="2:63" ht="31.5" hidden="1" outlineLevel="1">
      <c r="B84" s="1926"/>
      <c r="C84" s="1927" t="s">
        <v>3772</v>
      </c>
      <c r="D84" s="1928"/>
      <c r="E84" s="1768"/>
      <c r="F84" s="1768"/>
      <c r="G84" s="1768">
        <f>'[36]Табл. 7.3 Подг. ТУ'!J67</f>
        <v>71.899999999999991</v>
      </c>
      <c r="H84" s="1768">
        <f>'[36]Табл. 7.5 Пров. вып. ТУ'!J44</f>
        <v>27.5</v>
      </c>
      <c r="I84" s="1768"/>
      <c r="J84" s="1768">
        <f>'[36]Табл. 7.7 Факт. присоед.'!J34</f>
        <v>67.97</v>
      </c>
      <c r="K84" s="1929">
        <f>SUM(G84:J84)</f>
        <v>167.37</v>
      </c>
      <c r="L84" s="1768">
        <f>'[36]Табл. 7.3 Подг. ТУ'!R67</f>
        <v>5037.8798973832736</v>
      </c>
      <c r="M84" s="1768">
        <f>'[36]Табл. 7.5 Пров. вып. ТУ'!R44</f>
        <v>0</v>
      </c>
      <c r="N84" s="1768"/>
      <c r="O84" s="1768">
        <f>'[36]Табл. 7.7 Факт. присоед.'!R34</f>
        <v>4708.1900872242186</v>
      </c>
      <c r="P84" s="1929">
        <f>SUM(L84:O84)</f>
        <v>9746.0699846074931</v>
      </c>
      <c r="Q84" s="1768">
        <f>'[36]Табл. 7.3 Подг. ТУ'!W67</f>
        <v>0</v>
      </c>
      <c r="R84" s="1768"/>
      <c r="S84" s="1768">
        <f>'[36]Табл. 7.5 Пров. вып. ТУ'!W44</f>
        <v>12125.32900974859</v>
      </c>
      <c r="T84" s="1768"/>
      <c r="U84" s="1768"/>
      <c r="V84" s="1768"/>
      <c r="W84" s="1768">
        <f>'[36]Табл. 7.7 Факт. присоед.'!W34</f>
        <v>0</v>
      </c>
      <c r="X84" s="1935"/>
      <c r="Y84" s="1935"/>
      <c r="Z84" s="1935"/>
      <c r="AA84" s="1929">
        <f>SUM(Q84:W84)</f>
        <v>12125.32900974859</v>
      </c>
      <c r="AB84" s="1740"/>
      <c r="AC84" s="1740"/>
      <c r="AD84" s="1740"/>
      <c r="AE84" s="1740"/>
      <c r="AF84" s="1740"/>
      <c r="AG84" s="1740"/>
      <c r="AH84" s="1740"/>
      <c r="AI84" s="1740"/>
      <c r="AJ84" s="1740"/>
      <c r="AK84" s="1740"/>
      <c r="AL84" s="1740"/>
      <c r="AM84" s="1740"/>
      <c r="AN84" s="1740"/>
      <c r="AO84" s="1740"/>
      <c r="AP84" s="1740"/>
      <c r="AQ84" s="1740"/>
      <c r="AR84" s="1740"/>
      <c r="AS84" s="1740"/>
      <c r="AT84" s="1740"/>
      <c r="AU84" s="1740"/>
      <c r="AV84" s="1740"/>
      <c r="AW84" s="1740"/>
      <c r="AX84" s="1740"/>
      <c r="AY84" s="1740"/>
      <c r="AZ84" s="1740"/>
      <c r="BA84" s="1740"/>
      <c r="BB84" s="1740"/>
      <c r="BC84" s="1740"/>
      <c r="BD84" s="1740"/>
      <c r="BE84" s="1740"/>
      <c r="BF84" s="1740"/>
      <c r="BG84" s="1740"/>
      <c r="BH84" s="1740"/>
      <c r="BI84" s="1740"/>
      <c r="BJ84" s="1740"/>
      <c r="BK84" s="1740"/>
    </row>
    <row r="85" spans="2:63" ht="16.5" hidden="1" outlineLevel="1" thickBot="1">
      <c r="B85" s="1926"/>
      <c r="C85" s="1940" t="s">
        <v>3773</v>
      </c>
      <c r="D85" s="1942"/>
      <c r="E85" s="1955"/>
      <c r="F85" s="1955"/>
      <c r="G85" s="1943">
        <f t="shared" ref="G85:AA85" si="154">G84/$K84</f>
        <v>0.42958714225966416</v>
      </c>
      <c r="H85" s="1943">
        <f t="shared" si="154"/>
        <v>0.16430662603811913</v>
      </c>
      <c r="I85" s="1943">
        <f t="shared" si="154"/>
        <v>0</v>
      </c>
      <c r="J85" s="1943">
        <f t="shared" si="154"/>
        <v>0.4061062317022166</v>
      </c>
      <c r="K85" s="1944">
        <f t="shared" si="154"/>
        <v>1</v>
      </c>
      <c r="L85" s="1943">
        <f t="shared" si="154"/>
        <v>30.100256302702238</v>
      </c>
      <c r="M85" s="1943">
        <f t="shared" si="154"/>
        <v>0</v>
      </c>
      <c r="N85" s="1943">
        <f t="shared" si="154"/>
        <v>0</v>
      </c>
      <c r="O85" s="1943">
        <f t="shared" si="154"/>
        <v>28.130430108288333</v>
      </c>
      <c r="P85" s="1944">
        <f t="shared" si="154"/>
        <v>58.230686410990579</v>
      </c>
      <c r="Q85" s="1943">
        <f t="shared" si="154"/>
        <v>0</v>
      </c>
      <c r="R85" s="1943"/>
      <c r="S85" s="1943">
        <f t="shared" si="154"/>
        <v>72.446250879778873</v>
      </c>
      <c r="T85" s="1943"/>
      <c r="U85" s="1943">
        <f t="shared" si="154"/>
        <v>0</v>
      </c>
      <c r="V85" s="1943"/>
      <c r="W85" s="1943">
        <f t="shared" si="154"/>
        <v>0</v>
      </c>
      <c r="X85" s="1945"/>
      <c r="Y85" s="1945"/>
      <c r="Z85" s="1945"/>
      <c r="AA85" s="1944">
        <f t="shared" si="154"/>
        <v>72.446250879778873</v>
      </c>
      <c r="AB85" s="1740"/>
      <c r="AC85" s="1740"/>
      <c r="AD85" s="1740"/>
      <c r="AE85" s="1740"/>
      <c r="AF85" s="1740"/>
      <c r="AG85" s="1740"/>
      <c r="AH85" s="1740"/>
      <c r="AI85" s="1740"/>
      <c r="AJ85" s="1740"/>
      <c r="AK85" s="1740"/>
      <c r="AL85" s="1740"/>
      <c r="AM85" s="1740"/>
      <c r="AN85" s="1740"/>
      <c r="AO85" s="1740"/>
      <c r="AP85" s="1740"/>
      <c r="AQ85" s="1740"/>
      <c r="AR85" s="1740"/>
      <c r="AS85" s="1740"/>
      <c r="AT85" s="1740"/>
      <c r="AU85" s="1740"/>
      <c r="AV85" s="1740"/>
      <c r="AW85" s="1740"/>
      <c r="AX85" s="1740"/>
      <c r="AY85" s="1740"/>
      <c r="AZ85" s="1740"/>
      <c r="BA85" s="1740"/>
      <c r="BB85" s="1740"/>
      <c r="BC85" s="1740"/>
      <c r="BD85" s="1740"/>
      <c r="BE85" s="1740"/>
      <c r="BF85" s="1740"/>
      <c r="BG85" s="1740"/>
      <c r="BH85" s="1740"/>
      <c r="BI85" s="1740"/>
      <c r="BJ85" s="1740"/>
      <c r="BK85" s="1740"/>
    </row>
    <row r="86" spans="2:63" ht="15.75" hidden="1" outlineLevel="1">
      <c r="B86" s="1741"/>
      <c r="C86" s="1956"/>
      <c r="D86" s="1957"/>
      <c r="E86" s="1740"/>
      <c r="F86" s="1740"/>
      <c r="G86" s="1740"/>
      <c r="H86" s="1740"/>
      <c r="I86" s="1740"/>
      <c r="J86" s="1740"/>
      <c r="K86" s="1740"/>
      <c r="L86" s="1740"/>
      <c r="M86" s="1740"/>
      <c r="N86" s="1740"/>
      <c r="O86" s="1740"/>
      <c r="P86" s="1740"/>
      <c r="Q86" s="1740"/>
      <c r="R86" s="1740"/>
      <c r="S86" s="1740"/>
      <c r="T86" s="1740"/>
      <c r="U86" s="1740"/>
      <c r="V86" s="1740"/>
      <c r="W86" s="1740"/>
      <c r="X86" s="1740"/>
      <c r="Y86" s="1740"/>
      <c r="Z86" s="1740"/>
      <c r="AA86" s="1740"/>
      <c r="AB86" s="1740"/>
      <c r="AC86" s="1740"/>
      <c r="AD86" s="1740"/>
      <c r="AE86" s="1740"/>
      <c r="AF86" s="1740"/>
      <c r="AG86" s="1740"/>
      <c r="AH86" s="1740"/>
      <c r="AI86" s="1740"/>
      <c r="AJ86" s="1740"/>
      <c r="AK86" s="1740"/>
      <c r="AL86" s="1740"/>
      <c r="AM86" s="1740"/>
      <c r="AN86" s="1740"/>
      <c r="AO86" s="1740"/>
      <c r="AP86" s="1740"/>
      <c r="AQ86" s="1740"/>
      <c r="AR86" s="1740"/>
      <c r="AS86" s="1740"/>
      <c r="AT86" s="1740"/>
      <c r="AU86" s="1740"/>
      <c r="AV86" s="1740"/>
      <c r="AW86" s="1740"/>
      <c r="AX86" s="1740"/>
      <c r="AY86" s="1740"/>
      <c r="AZ86" s="1740"/>
      <c r="BA86" s="1740"/>
      <c r="BB86" s="1740"/>
      <c r="BC86" s="1740"/>
      <c r="BD86" s="1740"/>
      <c r="BE86" s="1740"/>
      <c r="BF86" s="1740"/>
      <c r="BG86" s="1740"/>
      <c r="BH86" s="1740"/>
      <c r="BI86" s="1740"/>
      <c r="BJ86" s="1740"/>
      <c r="BK86" s="1740"/>
    </row>
    <row r="87" spans="2:63" hidden="1" outlineLevel="1">
      <c r="D87" s="1740"/>
      <c r="E87" s="1740"/>
      <c r="F87" s="1740"/>
      <c r="G87" s="1740"/>
      <c r="H87" s="1740"/>
      <c r="I87" s="1740"/>
      <c r="J87" s="1740"/>
      <c r="K87" s="1740"/>
      <c r="L87" s="1740"/>
      <c r="M87" s="1740"/>
      <c r="N87" s="1740"/>
      <c r="O87" s="1740"/>
      <c r="P87" s="1740"/>
      <c r="Q87" s="1740"/>
      <c r="R87" s="1740"/>
      <c r="S87" s="1740"/>
      <c r="T87" s="1740"/>
      <c r="U87" s="1740"/>
      <c r="V87" s="1740"/>
      <c r="W87" s="1740"/>
      <c r="X87" s="1740"/>
      <c r="Y87" s="1740"/>
      <c r="Z87" s="1740"/>
      <c r="AA87" s="1740"/>
      <c r="AB87" s="1740"/>
      <c r="AC87" s="1740"/>
      <c r="AD87" s="1740"/>
      <c r="AE87" s="1740"/>
      <c r="AF87" s="1740"/>
      <c r="AG87" s="1740"/>
      <c r="AH87" s="1740"/>
      <c r="AI87" s="1740"/>
      <c r="AJ87" s="1740"/>
      <c r="AK87" s="1740"/>
      <c r="AL87" s="1740"/>
      <c r="AM87" s="1740"/>
      <c r="AN87" s="1740"/>
      <c r="AO87" s="1740"/>
      <c r="AP87" s="1740"/>
      <c r="AQ87" s="1740"/>
      <c r="AR87" s="1740"/>
      <c r="AS87" s="1740"/>
      <c r="AT87" s="1740"/>
      <c r="AU87" s="1740"/>
      <c r="AV87" s="1740"/>
      <c r="AW87" s="1740"/>
      <c r="AX87" s="1740"/>
      <c r="AY87" s="1740"/>
      <c r="AZ87" s="1740"/>
      <c r="BA87" s="1740"/>
      <c r="BB87" s="1740"/>
      <c r="BC87" s="1740"/>
      <c r="BD87" s="1740"/>
      <c r="BE87" s="1740"/>
      <c r="BF87" s="1740"/>
      <c r="BG87" s="1740"/>
      <c r="BH87" s="1740"/>
      <c r="BI87" s="1740"/>
      <c r="BJ87" s="1740"/>
      <c r="BK87" s="1740"/>
    </row>
    <row r="88" spans="2:63" hidden="1" outlineLevel="1">
      <c r="D88" s="1740"/>
      <c r="E88" s="1740"/>
      <c r="F88" s="1740"/>
      <c r="G88" s="1740"/>
      <c r="H88" s="1740"/>
      <c r="I88" s="1740"/>
      <c r="J88" s="1740"/>
      <c r="K88" s="1740"/>
      <c r="L88" s="1740"/>
      <c r="M88" s="1740"/>
      <c r="N88" s="1740"/>
      <c r="O88" s="1740"/>
      <c r="P88" s="1740"/>
      <c r="Q88" s="1740"/>
      <c r="R88" s="1740"/>
      <c r="S88" s="1740"/>
      <c r="T88" s="1740"/>
      <c r="U88" s="1740"/>
      <c r="V88" s="1740"/>
      <c r="W88" s="1740"/>
      <c r="X88" s="1740"/>
      <c r="Y88" s="1740"/>
      <c r="Z88" s="1740"/>
      <c r="AA88" s="1740"/>
      <c r="AB88" s="1740"/>
      <c r="AC88" s="1740"/>
      <c r="AD88" s="1740"/>
      <c r="AE88" s="1740"/>
      <c r="AF88" s="1740"/>
      <c r="AG88" s="1740"/>
      <c r="AH88" s="1740"/>
      <c r="AI88" s="1740"/>
      <c r="AJ88" s="1740"/>
      <c r="AK88" s="1740"/>
      <c r="AL88" s="1740"/>
      <c r="AM88" s="1740"/>
      <c r="AN88" s="1740"/>
      <c r="AO88" s="1740"/>
      <c r="AP88" s="1740"/>
      <c r="AQ88" s="1740"/>
      <c r="AR88" s="1740"/>
      <c r="AS88" s="1740"/>
      <c r="AT88" s="1740"/>
      <c r="AU88" s="1740"/>
      <c r="AV88" s="1740"/>
      <c r="AW88" s="1740"/>
      <c r="AX88" s="1740"/>
      <c r="AY88" s="1740"/>
      <c r="AZ88" s="1740"/>
      <c r="BA88" s="1740"/>
      <c r="BB88" s="1740"/>
      <c r="BC88" s="1740"/>
      <c r="BD88" s="1740"/>
      <c r="BE88" s="1740"/>
      <c r="BF88" s="1740"/>
      <c r="BG88" s="1740"/>
      <c r="BH88" s="1740"/>
      <c r="BI88" s="1740"/>
      <c r="BJ88" s="1740"/>
      <c r="BK88" s="1740"/>
    </row>
    <row r="89" spans="2:63" collapsed="1">
      <c r="D89" s="1740"/>
      <c r="E89" s="1740"/>
      <c r="F89" s="1740"/>
      <c r="G89" s="1740"/>
      <c r="H89" s="1740"/>
      <c r="I89" s="1740"/>
      <c r="J89" s="1740"/>
      <c r="K89" s="1958">
        <f ca="1">K52+K53</f>
        <v>1629315.6743488689</v>
      </c>
      <c r="L89" s="1740"/>
      <c r="M89" s="1740"/>
      <c r="N89" s="1740"/>
      <c r="O89" s="1740"/>
      <c r="P89" s="1740"/>
      <c r="Q89" s="1740"/>
      <c r="R89" s="1740"/>
      <c r="S89" s="1740"/>
      <c r="T89" s="1740"/>
      <c r="U89" s="1740"/>
      <c r="V89" s="1740"/>
      <c r="W89" s="1740"/>
      <c r="X89" s="1740"/>
      <c r="Y89" s="1740"/>
      <c r="Z89" s="1740"/>
      <c r="AA89" s="1740"/>
      <c r="AB89" s="1740"/>
      <c r="AC89" s="1740"/>
      <c r="AD89" s="1740"/>
      <c r="AE89" s="1740"/>
      <c r="AF89" s="1740"/>
      <c r="AG89" s="1740"/>
      <c r="AH89" s="1740"/>
      <c r="AI89" s="1740"/>
      <c r="AJ89" s="1740"/>
      <c r="AK89" s="1740"/>
      <c r="AL89" s="1740"/>
      <c r="AM89" s="1740"/>
      <c r="AN89" s="1740"/>
      <c r="AO89" s="1740"/>
      <c r="AP89" s="1740"/>
      <c r="AQ89" s="1740"/>
      <c r="AR89" s="1740"/>
      <c r="AS89" s="1740"/>
      <c r="AT89" s="1740"/>
      <c r="AU89" s="1740"/>
      <c r="AV89" s="1740"/>
      <c r="AW89" s="1740"/>
      <c r="AX89" s="1740"/>
      <c r="AY89" s="1740"/>
      <c r="AZ89" s="1740"/>
      <c r="BA89" s="1740"/>
      <c r="BB89" s="1740"/>
      <c r="BC89" s="1740"/>
      <c r="BD89" s="1740"/>
      <c r="BE89" s="1740"/>
      <c r="BF89" s="1740"/>
      <c r="BG89" s="1740"/>
      <c r="BH89" s="1740"/>
      <c r="BI89" s="1740"/>
      <c r="BJ89" s="1740"/>
      <c r="BK89" s="1740"/>
    </row>
    <row r="90" spans="2:63">
      <c r="D90" s="1740"/>
      <c r="E90" s="1740"/>
      <c r="F90" s="1740"/>
      <c r="G90" s="1740"/>
      <c r="H90" s="1740"/>
      <c r="I90" s="1740"/>
      <c r="J90" s="1740"/>
      <c r="K90" s="1959">
        <f ca="1">K89-K25</f>
        <v>0</v>
      </c>
      <c r="L90" s="1740"/>
      <c r="M90" s="1740"/>
      <c r="N90" s="1740"/>
      <c r="O90" s="1740"/>
      <c r="P90" s="1740"/>
      <c r="Q90" s="1740"/>
      <c r="R90" s="1740"/>
      <c r="S90" s="1740"/>
      <c r="T90" s="1740"/>
      <c r="U90" s="1740"/>
      <c r="V90" s="1740"/>
      <c r="W90" s="1740"/>
      <c r="X90" s="1740"/>
      <c r="Y90" s="1740"/>
      <c r="Z90" s="1740"/>
      <c r="AA90" s="1740"/>
      <c r="AB90" s="1740"/>
      <c r="AC90" s="1740"/>
      <c r="AD90" s="1740"/>
      <c r="AE90" s="1740"/>
      <c r="AF90" s="1740"/>
      <c r="AG90" s="1740"/>
      <c r="AH90" s="1740"/>
      <c r="AI90" s="1740"/>
      <c r="AJ90" s="1740"/>
      <c r="AK90" s="1740"/>
      <c r="AL90" s="1740"/>
      <c r="AM90" s="1740"/>
      <c r="AN90" s="1740"/>
      <c r="AO90" s="1740"/>
      <c r="AP90" s="1740"/>
      <c r="AQ90" s="1740"/>
      <c r="AR90" s="1740"/>
      <c r="AS90" s="1740"/>
      <c r="AT90" s="1740"/>
      <c r="AU90" s="1740"/>
      <c r="AV90" s="1740"/>
      <c r="AW90" s="1740"/>
      <c r="AX90" s="1740"/>
      <c r="AY90" s="1740"/>
      <c r="AZ90" s="1740"/>
      <c r="BA90" s="1740"/>
      <c r="BB90" s="1740"/>
      <c r="BC90" s="1740"/>
      <c r="BD90" s="1740"/>
      <c r="BE90" s="1740"/>
      <c r="BF90" s="1740"/>
      <c r="BG90" s="1740"/>
      <c r="BH90" s="1740"/>
      <c r="BI90" s="1740"/>
      <c r="BJ90" s="1740"/>
      <c r="BK90" s="1740"/>
    </row>
    <row r="91" spans="2:63">
      <c r="D91" s="1740"/>
      <c r="E91" s="1740"/>
      <c r="F91" s="1740"/>
      <c r="G91" s="1740"/>
      <c r="H91" s="1740"/>
      <c r="I91" s="1740"/>
      <c r="J91" s="1740"/>
      <c r="K91" s="1740">
        <f>'[30]Затраты 2016'!H36*1000</f>
        <v>1629315.6965949568</v>
      </c>
      <c r="L91" s="1740"/>
      <c r="M91" s="1740"/>
      <c r="N91" s="1740"/>
      <c r="O91" s="1740"/>
      <c r="P91" s="1740"/>
      <c r="Q91" s="1740"/>
      <c r="R91" s="1740"/>
      <c r="S91" s="1740"/>
      <c r="T91" s="1740"/>
      <c r="U91" s="1740"/>
      <c r="V91" s="1740"/>
      <c r="W91" s="1740"/>
      <c r="X91" s="1740"/>
      <c r="Y91" s="1740"/>
      <c r="Z91" s="1740"/>
      <c r="AA91" s="1740"/>
      <c r="AB91" s="1740"/>
      <c r="AC91" s="1740"/>
      <c r="AD91" s="1740"/>
      <c r="AE91" s="1740"/>
      <c r="AF91" s="1740"/>
      <c r="AG91" s="1740"/>
      <c r="AH91" s="1740"/>
      <c r="AI91" s="1740"/>
      <c r="AJ91" s="1740"/>
      <c r="AK91" s="1740"/>
      <c r="AL91" s="1740"/>
      <c r="AM91" s="1740"/>
      <c r="AN91" s="1740"/>
      <c r="AO91" s="1740"/>
      <c r="AP91" s="1740"/>
      <c r="AQ91" s="1740"/>
      <c r="AR91" s="1740"/>
      <c r="AS91" s="1740"/>
      <c r="AT91" s="1740"/>
      <c r="AU91" s="1740"/>
      <c r="AV91" s="1740"/>
      <c r="AW91" s="1740"/>
      <c r="AX91" s="1740"/>
      <c r="AY91" s="1740"/>
      <c r="AZ91" s="1740"/>
      <c r="BA91" s="1740"/>
      <c r="BB91" s="1740"/>
      <c r="BC91" s="1740"/>
      <c r="BD91" s="1740"/>
      <c r="BE91" s="1740"/>
      <c r="BF91" s="1740"/>
      <c r="BG91" s="1740"/>
      <c r="BH91" s="1740"/>
      <c r="BI91" s="1740"/>
      <c r="BJ91" s="1740"/>
      <c r="BK91" s="1740"/>
    </row>
    <row r="92" spans="2:63">
      <c r="D92" s="1740"/>
      <c r="E92" s="1740"/>
      <c r="F92" s="1740"/>
      <c r="G92" s="1740"/>
      <c r="H92" s="1740"/>
      <c r="I92" s="1740"/>
      <c r="J92" s="1740"/>
      <c r="K92" s="1740">
        <f ca="1">K91-K89</f>
        <v>2.2246087901294231E-2</v>
      </c>
      <c r="L92" s="1740"/>
      <c r="M92" s="1740"/>
      <c r="N92" s="1740"/>
      <c r="O92" s="1740"/>
      <c r="P92" s="1740"/>
      <c r="Q92" s="1740"/>
      <c r="R92" s="1740"/>
      <c r="S92" s="1740"/>
      <c r="T92" s="1740"/>
      <c r="U92" s="1740"/>
      <c r="V92" s="1740"/>
      <c r="W92" s="1740"/>
      <c r="X92" s="1740"/>
      <c r="Y92" s="1740"/>
      <c r="Z92" s="1740"/>
      <c r="AA92" s="1740"/>
      <c r="AB92" s="1740"/>
      <c r="AC92" s="1740"/>
      <c r="AD92" s="1740"/>
      <c r="AE92" s="1740"/>
      <c r="AF92" s="1740"/>
      <c r="AG92" s="1740"/>
      <c r="AH92" s="1740"/>
      <c r="AI92" s="1740"/>
      <c r="AJ92" s="1740"/>
      <c r="AK92" s="1740"/>
      <c r="AL92" s="1740"/>
      <c r="AM92" s="1740"/>
      <c r="AN92" s="1740"/>
      <c r="AO92" s="1740"/>
      <c r="AP92" s="1740"/>
      <c r="AQ92" s="1740"/>
      <c r="AR92" s="1740"/>
      <c r="AS92" s="1740"/>
      <c r="AT92" s="1740"/>
      <c r="AU92" s="1740"/>
      <c r="AV92" s="1740"/>
      <c r="AW92" s="1740"/>
      <c r="AX92" s="1740"/>
      <c r="AY92" s="1740"/>
      <c r="AZ92" s="1740"/>
      <c r="BA92" s="1740"/>
      <c r="BB92" s="1740"/>
      <c r="BC92" s="1740"/>
      <c r="BD92" s="1740"/>
      <c r="BE92" s="1740"/>
      <c r="BF92" s="1740"/>
      <c r="BG92" s="1740"/>
      <c r="BH92" s="1740"/>
      <c r="BI92" s="1740"/>
      <c r="BJ92" s="1740"/>
      <c r="BK92" s="1740"/>
    </row>
    <row r="93" spans="2:63">
      <c r="D93" s="1740"/>
      <c r="E93" s="1740"/>
      <c r="F93" s="1740"/>
      <c r="G93" s="1740"/>
      <c r="H93" s="1740"/>
      <c r="I93" s="1740"/>
      <c r="J93" s="1740"/>
      <c r="K93" s="1740"/>
      <c r="L93" s="1740"/>
      <c r="M93" s="1740"/>
      <c r="N93" s="1740"/>
      <c r="O93" s="1740"/>
      <c r="P93" s="1740"/>
      <c r="Q93" s="1740"/>
      <c r="R93" s="1740"/>
      <c r="S93" s="1740"/>
      <c r="T93" s="1740"/>
      <c r="U93" s="1740"/>
      <c r="V93" s="1740"/>
      <c r="W93" s="1740"/>
      <c r="X93" s="1740"/>
      <c r="Y93" s="1740"/>
      <c r="Z93" s="1740"/>
      <c r="AA93" s="1740"/>
      <c r="AB93" s="1740"/>
      <c r="AC93" s="1740"/>
      <c r="AD93" s="1740"/>
      <c r="AE93" s="1740"/>
      <c r="AF93" s="1740"/>
      <c r="AG93" s="1740"/>
      <c r="AH93" s="1740"/>
      <c r="AI93" s="1740"/>
      <c r="AJ93" s="1740"/>
      <c r="AK93" s="1740"/>
      <c r="AL93" s="1740"/>
      <c r="AM93" s="1740"/>
      <c r="AN93" s="1740"/>
      <c r="AO93" s="1740"/>
      <c r="AP93" s="1740"/>
      <c r="AQ93" s="1740"/>
      <c r="AR93" s="1740"/>
      <c r="AS93" s="1740"/>
      <c r="AT93" s="1740"/>
      <c r="AU93" s="1740"/>
      <c r="AV93" s="1740"/>
      <c r="AW93" s="1740"/>
      <c r="AX93" s="1740"/>
      <c r="AY93" s="1740"/>
      <c r="AZ93" s="1740"/>
      <c r="BA93" s="1740"/>
      <c r="BB93" s="1740"/>
      <c r="BC93" s="1740"/>
      <c r="BD93" s="1740"/>
      <c r="BE93" s="1740"/>
      <c r="BF93" s="1740"/>
      <c r="BG93" s="1740"/>
      <c r="BH93" s="1740"/>
      <c r="BI93" s="1740"/>
      <c r="BJ93" s="1740"/>
      <c r="BK93" s="1740"/>
    </row>
    <row r="94" spans="2:63">
      <c r="D94" s="1740"/>
      <c r="E94" s="1740"/>
      <c r="F94" s="1740"/>
      <c r="G94" s="1740"/>
      <c r="H94" s="1740"/>
      <c r="I94" s="1740"/>
      <c r="J94" s="1740"/>
      <c r="K94" s="1740"/>
      <c r="L94" s="1740"/>
      <c r="M94" s="1740"/>
      <c r="N94" s="1740"/>
      <c r="O94" s="1740"/>
      <c r="P94" s="1740"/>
      <c r="Q94" s="1740"/>
      <c r="R94" s="1740"/>
      <c r="S94" s="1740"/>
      <c r="T94" s="1740"/>
      <c r="U94" s="1740"/>
      <c r="V94" s="1740"/>
      <c r="W94" s="1740"/>
      <c r="X94" s="1740"/>
      <c r="Y94" s="1740"/>
      <c r="Z94" s="1740"/>
      <c r="AA94" s="1740"/>
      <c r="AB94" s="1740"/>
      <c r="AC94" s="1740"/>
      <c r="AD94" s="1740"/>
      <c r="AE94" s="1740"/>
      <c r="AF94" s="1740"/>
      <c r="AG94" s="1740"/>
      <c r="AH94" s="1740"/>
      <c r="AI94" s="1740"/>
      <c r="AJ94" s="1740"/>
      <c r="AK94" s="1740"/>
      <c r="AL94" s="1740"/>
      <c r="AM94" s="1740"/>
      <c r="AN94" s="1740"/>
      <c r="AO94" s="1740"/>
      <c r="AP94" s="1740"/>
      <c r="AQ94" s="1740"/>
      <c r="AR94" s="1740"/>
      <c r="AS94" s="1740"/>
      <c r="AT94" s="1740"/>
      <c r="AU94" s="1740"/>
      <c r="AV94" s="1740"/>
      <c r="AW94" s="1740"/>
      <c r="AX94" s="1740"/>
      <c r="AY94" s="1740"/>
      <c r="AZ94" s="1740"/>
      <c r="BA94" s="1740"/>
      <c r="BB94" s="1740"/>
      <c r="BC94" s="1740"/>
      <c r="BD94" s="1740"/>
      <c r="BE94" s="1740"/>
      <c r="BF94" s="1740"/>
      <c r="BG94" s="1740"/>
      <c r="BH94" s="1740"/>
      <c r="BI94" s="1740"/>
      <c r="BJ94" s="1740"/>
      <c r="BK94" s="1740"/>
    </row>
    <row r="95" spans="2:63">
      <c r="C95" s="1739">
        <v>1</v>
      </c>
      <c r="D95" s="1740">
        <f>C95+1</f>
        <v>2</v>
      </c>
      <c r="E95" s="1740">
        <f t="shared" ref="E95:BG95" si="155">D95+1</f>
        <v>3</v>
      </c>
      <c r="F95" s="1740">
        <f t="shared" si="155"/>
        <v>4</v>
      </c>
      <c r="G95" s="1740">
        <f t="shared" si="155"/>
        <v>5</v>
      </c>
      <c r="H95" s="1740">
        <f t="shared" si="155"/>
        <v>6</v>
      </c>
      <c r="I95" s="1740">
        <f t="shared" si="155"/>
        <v>7</v>
      </c>
      <c r="J95" s="1740">
        <f t="shared" si="155"/>
        <v>8</v>
      </c>
      <c r="K95" s="1740">
        <f t="shared" si="155"/>
        <v>9</v>
      </c>
      <c r="L95" s="1740">
        <f t="shared" si="155"/>
        <v>10</v>
      </c>
      <c r="M95" s="1740">
        <f t="shared" si="155"/>
        <v>11</v>
      </c>
      <c r="N95" s="1740">
        <f t="shared" si="155"/>
        <v>12</v>
      </c>
      <c r="O95" s="1740">
        <f t="shared" si="155"/>
        <v>13</v>
      </c>
      <c r="P95" s="1740">
        <f t="shared" si="155"/>
        <v>14</v>
      </c>
      <c r="Q95" s="1740">
        <f t="shared" si="155"/>
        <v>15</v>
      </c>
      <c r="R95" s="1740">
        <f t="shared" si="155"/>
        <v>16</v>
      </c>
      <c r="S95" s="1740">
        <f t="shared" si="155"/>
        <v>17</v>
      </c>
      <c r="T95" s="1740">
        <f t="shared" si="155"/>
        <v>18</v>
      </c>
      <c r="U95" s="1740">
        <f t="shared" si="155"/>
        <v>19</v>
      </c>
      <c r="V95" s="1740">
        <f t="shared" si="155"/>
        <v>20</v>
      </c>
      <c r="W95" s="1740">
        <f t="shared" si="155"/>
        <v>21</v>
      </c>
      <c r="X95" s="1740">
        <f t="shared" si="155"/>
        <v>22</v>
      </c>
      <c r="Y95" s="1740">
        <f t="shared" si="155"/>
        <v>23</v>
      </c>
      <c r="Z95" s="1740">
        <f t="shared" si="155"/>
        <v>24</v>
      </c>
      <c r="AA95" s="1740">
        <f t="shared" si="155"/>
        <v>25</v>
      </c>
      <c r="AB95" s="1740">
        <f t="shared" si="155"/>
        <v>26</v>
      </c>
      <c r="AC95" s="1740">
        <f t="shared" si="155"/>
        <v>27</v>
      </c>
      <c r="AD95" s="1740">
        <f t="shared" si="155"/>
        <v>28</v>
      </c>
      <c r="AE95" s="1740">
        <f t="shared" si="155"/>
        <v>29</v>
      </c>
      <c r="AF95" s="1740">
        <f t="shared" si="155"/>
        <v>30</v>
      </c>
      <c r="AG95" s="1740">
        <f t="shared" si="155"/>
        <v>31</v>
      </c>
      <c r="AH95" s="1740">
        <f t="shared" si="155"/>
        <v>32</v>
      </c>
      <c r="AI95" s="1740">
        <f t="shared" si="155"/>
        <v>33</v>
      </c>
      <c r="AJ95" s="1740">
        <f t="shared" si="155"/>
        <v>34</v>
      </c>
      <c r="AK95" s="1740">
        <f t="shared" si="155"/>
        <v>35</v>
      </c>
      <c r="AL95" s="1740">
        <f t="shared" si="155"/>
        <v>36</v>
      </c>
      <c r="AM95" s="1740">
        <f t="shared" si="155"/>
        <v>37</v>
      </c>
      <c r="AN95" s="1740">
        <f t="shared" si="155"/>
        <v>38</v>
      </c>
      <c r="AO95" s="1740">
        <f t="shared" si="155"/>
        <v>39</v>
      </c>
      <c r="AP95" s="1740">
        <f t="shared" si="155"/>
        <v>40</v>
      </c>
      <c r="AQ95" s="1740">
        <f t="shared" si="155"/>
        <v>41</v>
      </c>
      <c r="AR95" s="1740">
        <f t="shared" si="155"/>
        <v>42</v>
      </c>
      <c r="AS95" s="1740">
        <f t="shared" si="155"/>
        <v>43</v>
      </c>
      <c r="AT95" s="1740">
        <f t="shared" si="155"/>
        <v>44</v>
      </c>
      <c r="AU95" s="1740">
        <f t="shared" si="155"/>
        <v>45</v>
      </c>
      <c r="AV95" s="1740">
        <f t="shared" si="155"/>
        <v>46</v>
      </c>
      <c r="AW95" s="1740">
        <f t="shared" si="155"/>
        <v>47</v>
      </c>
      <c r="AX95" s="1740">
        <f t="shared" si="155"/>
        <v>48</v>
      </c>
      <c r="AY95" s="1740">
        <f t="shared" si="155"/>
        <v>49</v>
      </c>
      <c r="AZ95" s="1740">
        <f t="shared" si="155"/>
        <v>50</v>
      </c>
      <c r="BA95" s="1740">
        <f t="shared" si="155"/>
        <v>51</v>
      </c>
      <c r="BB95" s="1740">
        <f t="shared" si="155"/>
        <v>52</v>
      </c>
      <c r="BC95" s="1740">
        <f t="shared" si="155"/>
        <v>53</v>
      </c>
      <c r="BD95" s="1740">
        <f t="shared" si="155"/>
        <v>54</v>
      </c>
      <c r="BE95" s="1740">
        <f t="shared" si="155"/>
        <v>55</v>
      </c>
      <c r="BF95" s="1740">
        <f t="shared" si="155"/>
        <v>56</v>
      </c>
      <c r="BG95" s="1740">
        <f t="shared" si="155"/>
        <v>57</v>
      </c>
      <c r="BH95" s="1740"/>
      <c r="BI95" s="1740"/>
      <c r="BJ95" s="1740"/>
      <c r="BK95" s="1740"/>
    </row>
    <row r="96" spans="2:63">
      <c r="D96" s="1740"/>
      <c r="E96" s="1740"/>
      <c r="F96" s="1740"/>
      <c r="G96" s="1740"/>
      <c r="H96" s="1740"/>
      <c r="I96" s="1740"/>
      <c r="J96" s="1740"/>
      <c r="K96" s="1740"/>
      <c r="L96" s="1740"/>
      <c r="M96" s="1740"/>
      <c r="N96" s="1740"/>
      <c r="O96" s="1740"/>
      <c r="P96" s="1740"/>
      <c r="Q96" s="1740"/>
      <c r="R96" s="1740"/>
      <c r="S96" s="1740"/>
      <c r="T96" s="1740"/>
      <c r="U96" s="1740"/>
      <c r="V96" s="1740"/>
      <c r="W96" s="1740"/>
      <c r="X96" s="1740"/>
      <c r="Y96" s="1740"/>
      <c r="Z96" s="1740"/>
      <c r="AA96" s="1740"/>
      <c r="AB96" s="1740"/>
      <c r="AC96" s="1740"/>
      <c r="AD96" s="1740"/>
      <c r="AE96" s="1740"/>
      <c r="AF96" s="1740"/>
      <c r="AG96" s="1740"/>
      <c r="AH96" s="1740"/>
      <c r="AI96" s="1740"/>
      <c r="AJ96" s="1740"/>
      <c r="AK96" s="1740"/>
      <c r="AL96" s="1740"/>
      <c r="AM96" s="1740"/>
      <c r="AN96" s="1740"/>
      <c r="AO96" s="1740"/>
      <c r="AP96" s="1740"/>
      <c r="AQ96" s="1740"/>
      <c r="AR96" s="1740"/>
      <c r="AS96" s="1740"/>
      <c r="AT96" s="1740"/>
      <c r="AU96" s="1740"/>
      <c r="AV96" s="1740"/>
      <c r="AW96" s="1740"/>
      <c r="AX96" s="1740"/>
      <c r="AY96" s="1740"/>
      <c r="AZ96" s="1740"/>
      <c r="BA96" s="1740"/>
      <c r="BB96" s="1740"/>
      <c r="BC96" s="1740"/>
      <c r="BD96" s="1740"/>
      <c r="BE96" s="1740"/>
      <c r="BF96" s="1740"/>
      <c r="BG96" s="1740"/>
      <c r="BH96" s="1740"/>
      <c r="BI96" s="1740"/>
      <c r="BJ96" s="1740"/>
      <c r="BK96" s="1740"/>
    </row>
    <row r="97" spans="1:63" ht="20.25">
      <c r="B97" s="1960" t="s">
        <v>3777</v>
      </c>
      <c r="D97" s="1740"/>
      <c r="E97" s="1740"/>
      <c r="F97" s="1961">
        <f>[30]Элиста!J19*1000</f>
        <v>1281000</v>
      </c>
      <c r="G97" s="1740"/>
      <c r="H97" s="1740"/>
      <c r="I97" s="1740"/>
      <c r="J97" s="1740"/>
      <c r="K97" s="1740"/>
      <c r="L97" s="1740"/>
      <c r="M97" s="1740"/>
      <c r="N97" s="1740"/>
      <c r="O97" s="1740"/>
      <c r="P97" s="1740"/>
      <c r="Q97" s="1740"/>
      <c r="R97" s="1740"/>
      <c r="S97" s="1740"/>
      <c r="T97" s="1740"/>
      <c r="U97" s="1740"/>
      <c r="V97" s="1740"/>
      <c r="W97" s="1740"/>
      <c r="X97" s="1740"/>
      <c r="Y97" s="1740"/>
      <c r="Z97" s="1740"/>
      <c r="AA97" s="1740"/>
      <c r="AB97" s="1740"/>
      <c r="AC97" s="1740"/>
      <c r="AD97" s="1740"/>
      <c r="AE97" s="1740"/>
      <c r="AF97" s="1740"/>
      <c r="AG97" s="1740"/>
      <c r="AH97" s="1740"/>
      <c r="AI97" s="1740"/>
      <c r="AJ97" s="1740"/>
      <c r="AK97" s="1740"/>
      <c r="AL97" s="2018" t="s">
        <v>3788</v>
      </c>
      <c r="AM97" s="1740"/>
      <c r="AN97" s="1740"/>
      <c r="AO97" s="1740"/>
      <c r="AP97" s="1740"/>
      <c r="AQ97" s="1740"/>
      <c r="AR97" s="1740"/>
      <c r="AS97" s="1740"/>
      <c r="AT97" s="1740"/>
      <c r="AU97" s="1740"/>
      <c r="AV97" s="1740"/>
      <c r="AW97" s="1740"/>
      <c r="AX97" s="1740"/>
      <c r="AY97" s="1740"/>
      <c r="AZ97" s="1740"/>
      <c r="BA97" s="1740"/>
      <c r="BB97" s="1740"/>
      <c r="BC97" s="1740"/>
      <c r="BD97" s="1740"/>
      <c r="BE97" s="1740"/>
      <c r="BF97" s="1740"/>
      <c r="BG97" s="1740"/>
      <c r="BH97" s="1740"/>
      <c r="BI97" s="1740"/>
      <c r="BJ97" s="1740"/>
      <c r="BK97" s="1740"/>
    </row>
    <row r="98" spans="1:63">
      <c r="D98" s="1740"/>
      <c r="E98" s="1740"/>
      <c r="F98" s="1740"/>
      <c r="G98" s="1740"/>
      <c r="H98" s="1740"/>
      <c r="I98" s="1740"/>
      <c r="J98" s="1740"/>
      <c r="K98" s="1961">
        <f>$F$97*(K$23/SUM($K$23,$P$23,$AA$23,$AL$23))</f>
        <v>1067867.9812870005</v>
      </c>
      <c r="L98" s="1740"/>
      <c r="M98" s="1740"/>
      <c r="N98" s="1740"/>
      <c r="O98" s="1740"/>
      <c r="P98" s="1961">
        <f>$F$97*(P$23/SUM($K$23,$P$23,$AA$23,$AL$23))</f>
        <v>21141.782017107194</v>
      </c>
      <c r="Q98" s="1740"/>
      <c r="R98" s="1740"/>
      <c r="S98" s="1740"/>
      <c r="T98" s="1740"/>
      <c r="U98" s="1740"/>
      <c r="V98" s="1740"/>
      <c r="W98" s="1740"/>
      <c r="X98" s="1740"/>
      <c r="Y98" s="1961">
        <f t="shared" ref="Y98:Z98" si="156">$F$97*(Y$23/SUM($K$23,$P$23,$AA$23,$AL$23))</f>
        <v>0</v>
      </c>
      <c r="Z98" s="1961">
        <f t="shared" si="156"/>
        <v>0</v>
      </c>
      <c r="AA98" s="1961">
        <f>$F$97*(AA$23/SUM($K$23,$P$23,$AA$23,$AL$23))</f>
        <v>191990.23669589238</v>
      </c>
      <c r="AB98" s="1740"/>
      <c r="AC98" s="1740"/>
      <c r="AD98" s="1740"/>
      <c r="AE98" s="1740"/>
      <c r="AF98" s="1740"/>
      <c r="AG98" s="1740"/>
      <c r="AH98" s="1740"/>
      <c r="AI98" s="1740"/>
      <c r="AJ98" s="1961">
        <f t="shared" ref="AJ98:AL98" si="157">$F$97*(AJ$23/SUM($K$23,$P$23,$AA$23,$AL$23))</f>
        <v>0</v>
      </c>
      <c r="AK98" s="1961">
        <f>$F$97*(AK$23/SUM($K$23,$P$23,$AA$23,$AL$23))</f>
        <v>0</v>
      </c>
      <c r="AL98" s="1961">
        <f t="shared" si="157"/>
        <v>0</v>
      </c>
      <c r="AM98" s="1740"/>
      <c r="AN98" s="1740"/>
      <c r="AO98" s="1740"/>
      <c r="AP98" s="1740"/>
      <c r="AQ98" s="1740"/>
      <c r="AR98" s="1740"/>
      <c r="AS98" s="1740"/>
      <c r="AT98" s="1740"/>
      <c r="AU98" s="1740"/>
      <c r="AV98" s="1740"/>
      <c r="AW98" s="1740"/>
      <c r="AX98" s="1740"/>
      <c r="AY98" s="1740"/>
      <c r="AZ98" s="1740"/>
      <c r="BA98" s="1740"/>
      <c r="BB98" s="1740"/>
      <c r="BC98" s="1740"/>
      <c r="BD98" s="1740"/>
      <c r="BE98" s="1740"/>
      <c r="BF98" s="1740"/>
      <c r="BG98" s="1740"/>
      <c r="BH98" s="1740"/>
      <c r="BI98" s="1740"/>
      <c r="BJ98" s="1740"/>
      <c r="BK98" s="1740"/>
    </row>
    <row r="99" spans="1:63" ht="47.25">
      <c r="B99" s="1745">
        <f>$B$25</f>
        <v>8</v>
      </c>
      <c r="C99" s="1864" t="s">
        <v>3702</v>
      </c>
      <c r="D99" s="1749"/>
      <c r="E99" s="1865">
        <f>BE20</f>
        <v>301</v>
      </c>
      <c r="F99" s="1866">
        <f>BE23</f>
        <v>2802.33</v>
      </c>
      <c r="G99" s="1867">
        <f t="shared" ref="G99:J99" ca="1" si="158">SUM(G100,G104:G107,G118)</f>
        <v>315688.26246462605</v>
      </c>
      <c r="H99" s="1868">
        <f t="shared" ca="1" si="158"/>
        <v>339568.57917252136</v>
      </c>
      <c r="I99" s="1868">
        <f t="shared" ca="1" si="158"/>
        <v>0</v>
      </c>
      <c r="J99" s="1868">
        <f t="shared" ca="1" si="158"/>
        <v>412611.13964985305</v>
      </c>
      <c r="K99" s="1832">
        <f ca="1">SUM(K100,K104:K107,K118)</f>
        <v>1067867.9812870005</v>
      </c>
      <c r="L99" s="1867">
        <f t="shared" ref="L99:X99" ca="1" si="159">SUM(L100,L104:L107,L118)</f>
        <v>2776.3350383077923</v>
      </c>
      <c r="M99" s="1868">
        <f t="shared" ca="1" si="159"/>
        <v>5309.1585713642116</v>
      </c>
      <c r="N99" s="1868">
        <f t="shared" ca="1" si="159"/>
        <v>0</v>
      </c>
      <c r="O99" s="1868">
        <f t="shared" ca="1" si="159"/>
        <v>13056.288407435193</v>
      </c>
      <c r="P99" s="1832">
        <f t="shared" ca="1" si="159"/>
        <v>21141.782017107198</v>
      </c>
      <c r="Q99" s="1867">
        <f t="shared" ca="1" si="159"/>
        <v>26841.147886391711</v>
      </c>
      <c r="R99" s="1869">
        <f t="shared" ca="1" si="159"/>
        <v>31116.133217731393</v>
      </c>
      <c r="S99" s="1868">
        <f t="shared" ca="1" si="159"/>
        <v>26210.668947477836</v>
      </c>
      <c r="T99" s="1868">
        <f t="shared" ca="1" si="159"/>
        <v>27146.899886170697</v>
      </c>
      <c r="U99" s="1868">
        <f t="shared" ca="1" si="159"/>
        <v>0</v>
      </c>
      <c r="V99" s="1868">
        <f t="shared" ca="1" si="159"/>
        <v>0</v>
      </c>
      <c r="W99" s="1868">
        <f t="shared" ca="1" si="159"/>
        <v>37533.881509803963</v>
      </c>
      <c r="X99" s="1870">
        <f t="shared" ca="1" si="159"/>
        <v>43141.505248316811</v>
      </c>
      <c r="Y99" s="1870">
        <f ca="1">SUM(Y100,Y104:Y107,Y118)</f>
        <v>90585.698343673517</v>
      </c>
      <c r="Z99" s="1870">
        <f t="shared" ref="Z99:AW99" ca="1" si="160">SUM(Z100,Z104:Z107,Z118)</f>
        <v>101404.53835221891</v>
      </c>
      <c r="AA99" s="1832">
        <f t="shared" ca="1" si="160"/>
        <v>191990.23669589241</v>
      </c>
      <c r="AB99" s="1867">
        <f t="shared" ca="1" si="160"/>
        <v>0</v>
      </c>
      <c r="AC99" s="1869">
        <f t="shared" ca="1" si="160"/>
        <v>0</v>
      </c>
      <c r="AD99" s="1868">
        <f t="shared" ca="1" si="160"/>
        <v>0</v>
      </c>
      <c r="AE99" s="1868">
        <f t="shared" ca="1" si="160"/>
        <v>0</v>
      </c>
      <c r="AF99" s="1868">
        <f t="shared" ca="1" si="160"/>
        <v>0</v>
      </c>
      <c r="AG99" s="1868">
        <f t="shared" ca="1" si="160"/>
        <v>0</v>
      </c>
      <c r="AH99" s="1868">
        <f t="shared" ca="1" si="160"/>
        <v>0</v>
      </c>
      <c r="AI99" s="1870">
        <f t="shared" ca="1" si="160"/>
        <v>0</v>
      </c>
      <c r="AJ99" s="1870">
        <f t="shared" ca="1" si="160"/>
        <v>0</v>
      </c>
      <c r="AK99" s="1870">
        <f t="shared" ca="1" si="160"/>
        <v>0</v>
      </c>
      <c r="AL99" s="1832">
        <f t="shared" ca="1" si="160"/>
        <v>0</v>
      </c>
      <c r="AM99" s="1867">
        <f t="shared" si="160"/>
        <v>0</v>
      </c>
      <c r="AN99" s="1869">
        <f t="shared" si="160"/>
        <v>0</v>
      </c>
      <c r="AO99" s="1868">
        <f t="shared" si="160"/>
        <v>0</v>
      </c>
      <c r="AP99" s="1868">
        <f t="shared" si="160"/>
        <v>0</v>
      </c>
      <c r="AQ99" s="1868">
        <f t="shared" si="160"/>
        <v>0</v>
      </c>
      <c r="AR99" s="1868">
        <f t="shared" si="160"/>
        <v>0</v>
      </c>
      <c r="AS99" s="1868">
        <f t="shared" si="160"/>
        <v>0</v>
      </c>
      <c r="AT99" s="1870">
        <f t="shared" si="160"/>
        <v>0</v>
      </c>
      <c r="AU99" s="1870">
        <f t="shared" si="160"/>
        <v>0</v>
      </c>
      <c r="AV99" s="1870">
        <f t="shared" si="160"/>
        <v>0</v>
      </c>
      <c r="AW99" s="1832">
        <f t="shared" si="160"/>
        <v>0</v>
      </c>
      <c r="AX99" s="1740">
        <f ca="1">SUM(K99,P99,AA99,AL99)</f>
        <v>1281000</v>
      </c>
      <c r="AY99" s="1740" t="e">
        <f ca="1">AX99='[30]СС 2014'!D242-'[30]СС 2014'!K242</f>
        <v>#REF!</v>
      </c>
      <c r="AZ99" s="1740"/>
      <c r="BA99" s="1883">
        <f ca="1">SUM(G99,L99,Q99:R99,AB99:AC99)</f>
        <v>376421.87860705692</v>
      </c>
      <c r="BB99" s="1883">
        <f ca="1">SUM(H99,M99,S99:T99,AD99:AE99)</f>
        <v>398235.30657753407</v>
      </c>
      <c r="BC99" s="1883">
        <f ca="1">SUM(I99,N99,U99:V99,AF99:AG99)</f>
        <v>0</v>
      </c>
      <c r="BD99" s="1883">
        <f ca="1">SUM(J99,O99,W99:X99,AH99:AI99)</f>
        <v>506342.81481540902</v>
      </c>
      <c r="BE99" s="1836">
        <f ca="1">SUM(BE100,BE104:BE107,BE118)</f>
        <v>1281000</v>
      </c>
      <c r="BF99" s="1740"/>
      <c r="BG99" s="1740"/>
      <c r="BH99" s="1740"/>
      <c r="BI99" s="1871">
        <f ca="1">SUM(BI100,BI104:BI107,BI118)</f>
        <v>376421.87860705692</v>
      </c>
      <c r="BJ99" s="1871">
        <f ca="1">SUM(BJ100,BJ104:BJ107,BJ118)</f>
        <v>904578.1213929432</v>
      </c>
      <c r="BK99" s="1962">
        <f ca="1">SUM(BK100,BK104:BK107,BK118)</f>
        <v>1281000.0000000002</v>
      </c>
    </row>
    <row r="100" spans="1:63" ht="15.75">
      <c r="A100" s="1739">
        <v>1</v>
      </c>
      <c r="B100" s="1872" t="str">
        <f>CONCATENATE($B$25,".",A100)</f>
        <v>8.1</v>
      </c>
      <c r="C100" s="1873" t="s">
        <v>3703</v>
      </c>
      <c r="D100" s="1874"/>
      <c r="E100" s="1875"/>
      <c r="F100" s="1874"/>
      <c r="G100" s="1876">
        <f ca="1">SUM(G101:G103)</f>
        <v>660.5692852040803</v>
      </c>
      <c r="H100" s="1779">
        <f ca="1">SUM(H101:H103)</f>
        <v>679.48711971531384</v>
      </c>
      <c r="I100" s="1779">
        <f ca="1">SUM(I101:I103)</f>
        <v>0</v>
      </c>
      <c r="J100" s="1779">
        <f ca="1">SUM(J101:J103)</f>
        <v>2042.2860490749304</v>
      </c>
      <c r="K100" s="1877">
        <f ca="1">K$98*(K26/K$25)</f>
        <v>3382.3424539943244</v>
      </c>
      <c r="L100" s="1876">
        <f ca="1">SUM(L101:L103)</f>
        <v>70.062242740860654</v>
      </c>
      <c r="M100" s="1779">
        <f ca="1">SUM(M101:M103)</f>
        <v>72.068728656509492</v>
      </c>
      <c r="N100" s="1779">
        <f ca="1">SUM(N101:N103)</f>
        <v>0</v>
      </c>
      <c r="O100" s="1779">
        <f ca="1">SUM(O101:O103)</f>
        <v>216.61149834459627</v>
      </c>
      <c r="P100" s="1877">
        <f ca="1">P$98*(P26/P$25)</f>
        <v>358.74246974196643</v>
      </c>
      <c r="Q100" s="1878">
        <f t="shared" ref="Q100:X101" ca="1" si="161">Q$13/$AA$13*$AA100</f>
        <v>59.83167876579661</v>
      </c>
      <c r="R100" s="1879">
        <f ca="1">R$13/$AA$13*$AA100</f>
        <v>59.83167876579661</v>
      </c>
      <c r="S100" s="1880">
        <f t="shared" ca="1" si="161"/>
        <v>89.747518148694923</v>
      </c>
      <c r="T100" s="1880">
        <f t="shared" ca="1" si="161"/>
        <v>89.747518148694923</v>
      </c>
      <c r="U100" s="1880">
        <f t="shared" ca="1" si="161"/>
        <v>0</v>
      </c>
      <c r="V100" s="1880">
        <f t="shared" ca="1" si="161"/>
        <v>0</v>
      </c>
      <c r="W100" s="1880">
        <f t="shared" ca="1" si="161"/>
        <v>269.2425544460848</v>
      </c>
      <c r="X100" s="1881">
        <f t="shared" ca="1" si="161"/>
        <v>351.66069194596957</v>
      </c>
      <c r="Y100" s="1882">
        <f ca="1">SUM(Y101:Y103)</f>
        <v>418.82175136057634</v>
      </c>
      <c r="Z100" s="1882">
        <f ca="1">SUM(Z101:Z103)</f>
        <v>501.23988886046118</v>
      </c>
      <c r="AA100" s="1877">
        <f ca="1">AA$98*(AA26/AA$25)</f>
        <v>920.06164022103735</v>
      </c>
      <c r="AB100" s="1878">
        <f ca="1">AB$13/$AL$13*$AL100</f>
        <v>0</v>
      </c>
      <c r="AC100" s="1879">
        <f ca="1">AC$13/$AL$13*$AL100</f>
        <v>0</v>
      </c>
      <c r="AD100" s="1880">
        <f ca="1">AD$13/$AL$13*$AL100</f>
        <v>0</v>
      </c>
      <c r="AE100" s="1880">
        <f ca="1">AE$13/$AL$13*$AL100</f>
        <v>0</v>
      </c>
      <c r="AF100" s="1880">
        <f t="shared" ref="AC100:AH101" ca="1" si="162">AF$13/$AL$13*$AL100</f>
        <v>0</v>
      </c>
      <c r="AG100" s="1880">
        <f t="shared" ca="1" si="162"/>
        <v>0</v>
      </c>
      <c r="AH100" s="1880">
        <f ca="1">AH$13/$AL$13*$AL100</f>
        <v>0</v>
      </c>
      <c r="AI100" s="1881">
        <f ca="1">AI$13/$AL$13*$AL100</f>
        <v>0</v>
      </c>
      <c r="AJ100" s="1882">
        <f ca="1">SUM(AJ101:AJ103)</f>
        <v>0</v>
      </c>
      <c r="AK100" s="1882">
        <f ca="1">SUM(AK101:AK103)</f>
        <v>0</v>
      </c>
      <c r="AL100" s="1877">
        <f ca="1">AL$98*(AL26/AL$25)</f>
        <v>0</v>
      </c>
      <c r="AM100" s="1878">
        <f>AM$13/$AW$13*$AW100</f>
        <v>0</v>
      </c>
      <c r="AN100" s="1879">
        <f t="shared" ref="AN100:AT101" si="163">AN$13/$AW$13*$AW100</f>
        <v>0</v>
      </c>
      <c r="AO100" s="1880">
        <f t="shared" si="163"/>
        <v>0</v>
      </c>
      <c r="AP100" s="1880">
        <f t="shared" si="163"/>
        <v>0</v>
      </c>
      <c r="AQ100" s="1880">
        <f t="shared" si="163"/>
        <v>0</v>
      </c>
      <c r="AR100" s="1880">
        <f t="shared" si="163"/>
        <v>0</v>
      </c>
      <c r="AS100" s="1880">
        <f t="shared" si="163"/>
        <v>0</v>
      </c>
      <c r="AT100" s="1881">
        <f t="shared" si="163"/>
        <v>0</v>
      </c>
      <c r="AU100" s="1882">
        <f>SUM(AU101:AU103)</f>
        <v>0</v>
      </c>
      <c r="AV100" s="1882">
        <f>SUM(AV101:AV103)</f>
        <v>0</v>
      </c>
      <c r="AW100" s="1877"/>
      <c r="AX100" s="1740" t="e">
        <f>'[30]СС 2014'!D242-'[30]СС 2014'!K242</f>
        <v>#REF!</v>
      </c>
      <c r="AY100" s="1740"/>
      <c r="AZ100" s="1740"/>
      <c r="BA100" s="1883">
        <f ca="1">SUM(G100,L100,Q100:R100,AB100:AC100)</f>
        <v>850.29488547653409</v>
      </c>
      <c r="BB100" s="1883">
        <f ca="1">SUM(H100,M100,S100:T100,AD100:AE100)</f>
        <v>931.05088466921313</v>
      </c>
      <c r="BC100" s="1883">
        <f ca="1">SUM(I100,N100,U100:V100,AF100:AG100)</f>
        <v>0</v>
      </c>
      <c r="BD100" s="1883">
        <f ca="1">SUM(J100,O100,W100:X100,AH100:AI100)</f>
        <v>2879.8007938115811</v>
      </c>
      <c r="BE100" s="1883">
        <f ca="1">SUM(K100,P100,Y100:Z100,AJ100:AK100)</f>
        <v>4661.146563957328</v>
      </c>
      <c r="BF100" s="1740"/>
      <c r="BG100" s="1740"/>
      <c r="BH100" s="1740"/>
      <c r="BI100" s="1884">
        <f ca="1">SUM(BI101:BI103)</f>
        <v>850.29488547653409</v>
      </c>
      <c r="BJ100" s="1884">
        <f ca="1">SUM(BJ101:BJ103)</f>
        <v>3810.8516784807944</v>
      </c>
      <c r="BK100" s="1963">
        <f ca="1">SUM(BK101:BK103)</f>
        <v>4661.146563957328</v>
      </c>
    </row>
    <row r="101" spans="1:63" ht="15.75">
      <c r="B101" s="1872"/>
      <c r="C101" s="1886" t="s">
        <v>3766</v>
      </c>
      <c r="D101" s="1874"/>
      <c r="E101" s="1875"/>
      <c r="F101" s="1874"/>
      <c r="G101" s="1878">
        <f ca="1">G$13/$K$13*$K101</f>
        <v>306.67611324773253</v>
      </c>
      <c r="H101" s="1880">
        <f ca="1">H$13/$K$13*$K101</f>
        <v>321.02075180835641</v>
      </c>
      <c r="I101" s="1880">
        <f t="shared" ref="I101" ca="1" si="164">I$13/$K$13*$K101</f>
        <v>0</v>
      </c>
      <c r="J101" s="1880">
        <f ca="1">J$13/$K$13*$K101</f>
        <v>1241.2802403256446</v>
      </c>
      <c r="K101" s="1877">
        <f t="shared" ref="K101:K123" ca="1" si="165">K$98*(K27/K$25)</f>
        <v>1868.9771053817335</v>
      </c>
      <c r="L101" s="1878">
        <f ca="1">L$13/$P13*$P101</f>
        <v>32.527070407379902</v>
      </c>
      <c r="M101" s="1880">
        <f ca="1">M$13/$P13*$P101</f>
        <v>34.048509633567427</v>
      </c>
      <c r="N101" s="1880">
        <f ca="1">N$13/$P13*$P101</f>
        <v>0</v>
      </c>
      <c r="O101" s="1880">
        <f ca="1">O$13/$P13*$P101</f>
        <v>131.65423724979405</v>
      </c>
      <c r="P101" s="1877">
        <f t="shared" ref="P101:P123" ca="1" si="166">P$98*(P27/P$25)</f>
        <v>198.22981729074138</v>
      </c>
      <c r="Q101" s="1878">
        <f t="shared" ca="1" si="161"/>
        <v>27.600408459901249</v>
      </c>
      <c r="R101" s="1879">
        <f t="shared" ca="1" si="161"/>
        <v>27.600408459901249</v>
      </c>
      <c r="S101" s="1880">
        <f t="shared" ca="1" si="161"/>
        <v>41.400612689851876</v>
      </c>
      <c r="T101" s="1880">
        <f t="shared" ca="1" si="161"/>
        <v>41.400612689851876</v>
      </c>
      <c r="U101" s="1880">
        <f t="shared" ca="1" si="161"/>
        <v>0</v>
      </c>
      <c r="V101" s="1880">
        <f t="shared" ca="1" si="161"/>
        <v>0</v>
      </c>
      <c r="W101" s="1880">
        <f t="shared" ca="1" si="161"/>
        <v>124.20183806955563</v>
      </c>
      <c r="X101" s="1881">
        <f t="shared" ca="1" si="161"/>
        <v>162.22140072306959</v>
      </c>
      <c r="Y101" s="1882">
        <f ca="1">SUM(Q101,S101,U101,W101)</f>
        <v>193.20285921930878</v>
      </c>
      <c r="Z101" s="1882">
        <f t="shared" ref="Z101:Z106" ca="1" si="167">SUM(R101,T101,V101,X101)</f>
        <v>231.22242187282274</v>
      </c>
      <c r="AA101" s="1877">
        <f t="shared" ref="AA101:AA123" ca="1" si="168">AA$98*(AA27/AA$25)</f>
        <v>424.42528109213146</v>
      </c>
      <c r="AB101" s="1878">
        <f ca="1">AB$13/$AL$13*$AL101</f>
        <v>0</v>
      </c>
      <c r="AC101" s="1879">
        <f t="shared" ca="1" si="162"/>
        <v>0</v>
      </c>
      <c r="AD101" s="1880">
        <f t="shared" ca="1" si="162"/>
        <v>0</v>
      </c>
      <c r="AE101" s="1880">
        <f t="shared" ca="1" si="162"/>
        <v>0</v>
      </c>
      <c r="AF101" s="1880">
        <f t="shared" ca="1" si="162"/>
        <v>0</v>
      </c>
      <c r="AG101" s="1880">
        <f t="shared" ca="1" si="162"/>
        <v>0</v>
      </c>
      <c r="AH101" s="1880">
        <f t="shared" ca="1" si="162"/>
        <v>0</v>
      </c>
      <c r="AI101" s="1881">
        <f ca="1">AI$13/$AL$13*$AL101</f>
        <v>0</v>
      </c>
      <c r="AJ101" s="1882">
        <f t="shared" ref="AJ101:AK106" ca="1" si="169">SUM(AB101,AD101,AF101,AH101)</f>
        <v>0</v>
      </c>
      <c r="AK101" s="1882">
        <f t="shared" ca="1" si="169"/>
        <v>0</v>
      </c>
      <c r="AL101" s="1877">
        <f t="shared" ref="AL101:AL123" ca="1" si="170">AL$98*(AL27/AL$25)</f>
        <v>0</v>
      </c>
      <c r="AM101" s="1878">
        <f>AM$13/$AW$13*$AW101</f>
        <v>0</v>
      </c>
      <c r="AN101" s="1879">
        <f t="shared" si="163"/>
        <v>0</v>
      </c>
      <c r="AO101" s="1880">
        <f t="shared" si="163"/>
        <v>0</v>
      </c>
      <c r="AP101" s="1880">
        <f t="shared" si="163"/>
        <v>0</v>
      </c>
      <c r="AQ101" s="1880">
        <f t="shared" si="163"/>
        <v>0</v>
      </c>
      <c r="AR101" s="1880">
        <f t="shared" si="163"/>
        <v>0</v>
      </c>
      <c r="AS101" s="1880">
        <f t="shared" si="163"/>
        <v>0</v>
      </c>
      <c r="AT101" s="1881">
        <f t="shared" si="163"/>
        <v>0</v>
      </c>
      <c r="AU101" s="1882">
        <f t="shared" ref="AU101:AV106" si="171">SUM(AM101,AO101,AQ101,AS101)</f>
        <v>0</v>
      </c>
      <c r="AV101" s="1882">
        <f t="shared" si="171"/>
        <v>0</v>
      </c>
      <c r="AW101" s="1877"/>
      <c r="AX101" s="1740"/>
      <c r="AY101" s="1740"/>
      <c r="AZ101" s="1740"/>
      <c r="BA101" s="1883">
        <f t="shared" ref="BA101:BA105" ca="1" si="172">SUM(G101,L101,Q101:R101,AB101:AC101)</f>
        <v>394.4040005749149</v>
      </c>
      <c r="BB101" s="1883">
        <f t="shared" ref="BB101:BB106" ca="1" si="173">SUM(H101,M101,S101:T101,AD101:AE101)</f>
        <v>437.87048682162759</v>
      </c>
      <c r="BC101" s="1883">
        <f t="shared" ref="BC101:BC106" ca="1" si="174">SUM(I101,N101,U101:V101,AF101:AG101)</f>
        <v>0</v>
      </c>
      <c r="BD101" s="1883">
        <f t="shared" ref="BD101:BD106" ca="1" si="175">SUM(J101,O101,W101:X101,AH101:AI101)</f>
        <v>1659.3577163680638</v>
      </c>
      <c r="BE101" s="1883">
        <f t="shared" ref="BE101:BE106" ca="1" si="176">SUM(K101,P101,Y101:Z101,AJ101:AK101)</f>
        <v>2491.6322037646064</v>
      </c>
      <c r="BF101" s="1740"/>
      <c r="BG101" s="1740"/>
      <c r="BH101" s="1740"/>
      <c r="BI101" s="1768">
        <f t="shared" ref="BI101:BI106" ca="1" si="177">BA101</f>
        <v>394.4040005749149</v>
      </c>
      <c r="BJ101" s="1768">
        <f t="shared" ref="BJ101:BJ106" ca="1" si="178">SUM(BB101:BD101)</f>
        <v>2097.2282031896916</v>
      </c>
      <c r="BK101" s="1935">
        <f ca="1">SUM(BI101:BJ101)</f>
        <v>2491.6322037646064</v>
      </c>
    </row>
    <row r="102" spans="1:63" ht="15.75">
      <c r="B102" s="1872"/>
      <c r="C102" s="1886" t="s">
        <v>3755</v>
      </c>
      <c r="D102" s="1874"/>
      <c r="E102" s="1875"/>
      <c r="F102" s="1874"/>
      <c r="G102" s="1878">
        <f ca="1">G$15/$K$15*$K102</f>
        <v>149.80102759903968</v>
      </c>
      <c r="H102" s="1880">
        <f ca="1">H$15/$K$15*$K102</f>
        <v>154.3742235496494</v>
      </c>
      <c r="I102" s="1880">
        <f t="shared" ref="I102" ca="1" si="179">I$15/$K$15*$K102</f>
        <v>0</v>
      </c>
      <c r="J102" s="1880">
        <f ca="1">J$15/$K$15*$K102</f>
        <v>596.9136643919777</v>
      </c>
      <c r="K102" s="1877">
        <f t="shared" ca="1" si="165"/>
        <v>901.08891554066679</v>
      </c>
      <c r="L102" s="1878">
        <f ca="1">L$15/$P15*$P102</f>
        <v>15.888340079792243</v>
      </c>
      <c r="M102" s="1880">
        <f ca="1">M$15/$P15*$P102</f>
        <v>16.37338676925355</v>
      </c>
      <c r="N102" s="1880">
        <f ca="1">N$15/$P15*$P102</f>
        <v>0</v>
      </c>
      <c r="O102" s="1880">
        <f ca="1">O$15/$P15*$P102</f>
        <v>63.310428841113726</v>
      </c>
      <c r="P102" s="1877">
        <f t="shared" ca="1" si="166"/>
        <v>95.572155690159519</v>
      </c>
      <c r="Q102" s="1878">
        <f ca="1">Q$15/$AA$15*$AA102</f>
        <v>28.172710884424706</v>
      </c>
      <c r="R102" s="1879">
        <f ca="1">R$15/$AA$15*$AA102</f>
        <v>28.172710884424706</v>
      </c>
      <c r="S102" s="1880">
        <f ca="1">S$15/$AA$15*$AA102</f>
        <v>42.259066326637061</v>
      </c>
      <c r="T102" s="1880">
        <f ca="1">T$15/$AA$15*$AA102</f>
        <v>42.259066326637061</v>
      </c>
      <c r="U102" s="1880">
        <f t="shared" ref="U102:V102" ca="1" si="180">U$15/$AA$15*$AA102</f>
        <v>0</v>
      </c>
      <c r="V102" s="1880">
        <f t="shared" ca="1" si="180"/>
        <v>0</v>
      </c>
      <c r="W102" s="1880">
        <f ca="1">W$15/$AA$15*$AA102</f>
        <v>126.77719897991119</v>
      </c>
      <c r="X102" s="1881">
        <f ca="1">X$15/$AA$15*$AA102</f>
        <v>165.58510822320619</v>
      </c>
      <c r="Y102" s="1882">
        <f ca="1">SUM(Q102,S102,U102,W102)</f>
        <v>197.20897619097298</v>
      </c>
      <c r="Z102" s="1882">
        <f ca="1">SUM(R102,T102,V102,X102)</f>
        <v>236.01688543426798</v>
      </c>
      <c r="AA102" s="1877">
        <f t="shared" ca="1" si="168"/>
        <v>433.2258616252409</v>
      </c>
      <c r="AB102" s="1878">
        <f ca="1">AB$15/$AL$15*$AL102</f>
        <v>0</v>
      </c>
      <c r="AC102" s="1879">
        <f t="shared" ref="AC102:AH102" ca="1" si="181">AC$15/$AL$15*$AL102</f>
        <v>0</v>
      </c>
      <c r="AD102" s="1880">
        <f t="shared" ca="1" si="181"/>
        <v>0</v>
      </c>
      <c r="AE102" s="1880">
        <f t="shared" ca="1" si="181"/>
        <v>0</v>
      </c>
      <c r="AF102" s="1880">
        <f t="shared" ca="1" si="181"/>
        <v>0</v>
      </c>
      <c r="AG102" s="1880">
        <f t="shared" ca="1" si="181"/>
        <v>0</v>
      </c>
      <c r="AH102" s="1880">
        <f t="shared" ca="1" si="181"/>
        <v>0</v>
      </c>
      <c r="AI102" s="1881">
        <f ca="1">AI$15/$AL$15*$AL102</f>
        <v>0</v>
      </c>
      <c r="AJ102" s="1882">
        <f t="shared" ca="1" si="169"/>
        <v>0</v>
      </c>
      <c r="AK102" s="1882">
        <f t="shared" ca="1" si="169"/>
        <v>0</v>
      </c>
      <c r="AL102" s="1877">
        <f t="shared" ca="1" si="170"/>
        <v>0</v>
      </c>
      <c r="AM102" s="1878">
        <f>AM$15/$AW$15*$AW102</f>
        <v>0</v>
      </c>
      <c r="AN102" s="1879">
        <f t="shared" ref="AN102:AT102" si="182">AN$15/$AW$15*$AW102</f>
        <v>0</v>
      </c>
      <c r="AO102" s="1880">
        <f>AO$15/$AW$15*$AW102</f>
        <v>0</v>
      </c>
      <c r="AP102" s="1880">
        <f t="shared" si="182"/>
        <v>0</v>
      </c>
      <c r="AQ102" s="1880">
        <f t="shared" si="182"/>
        <v>0</v>
      </c>
      <c r="AR102" s="1880">
        <f t="shared" si="182"/>
        <v>0</v>
      </c>
      <c r="AS102" s="1880">
        <f t="shared" si="182"/>
        <v>0</v>
      </c>
      <c r="AT102" s="1881">
        <f t="shared" si="182"/>
        <v>0</v>
      </c>
      <c r="AU102" s="1882">
        <f t="shared" si="171"/>
        <v>0</v>
      </c>
      <c r="AV102" s="1882">
        <f t="shared" si="171"/>
        <v>0</v>
      </c>
      <c r="AW102" s="1877"/>
      <c r="AX102" s="1740"/>
      <c r="AY102" s="1740"/>
      <c r="AZ102" s="1740"/>
      <c r="BA102" s="1883">
        <f t="shared" ca="1" si="172"/>
        <v>222.03478944768133</v>
      </c>
      <c r="BB102" s="1883">
        <f t="shared" ca="1" si="173"/>
        <v>255.26574297217707</v>
      </c>
      <c r="BC102" s="1883">
        <f t="shared" ca="1" si="174"/>
        <v>0</v>
      </c>
      <c r="BD102" s="1883">
        <f t="shared" ca="1" si="175"/>
        <v>952.58640043620881</v>
      </c>
      <c r="BE102" s="1883">
        <f t="shared" ca="1" si="176"/>
        <v>1429.8869328560675</v>
      </c>
      <c r="BF102" s="1740"/>
      <c r="BG102" s="1740"/>
      <c r="BH102" s="1740"/>
      <c r="BI102" s="1768">
        <f t="shared" ca="1" si="177"/>
        <v>222.03478944768133</v>
      </c>
      <c r="BJ102" s="1768">
        <f t="shared" ca="1" si="178"/>
        <v>1207.8521434083859</v>
      </c>
      <c r="BK102" s="1935">
        <f t="shared" ref="BK102:BK106" ca="1" si="183">SUM(BI102:BJ102)</f>
        <v>1429.8869328560672</v>
      </c>
    </row>
    <row r="103" spans="1:63" ht="15.75">
      <c r="B103" s="1872"/>
      <c r="C103" s="1887" t="s">
        <v>3767</v>
      </c>
      <c r="D103" s="1874"/>
      <c r="E103" s="1875"/>
      <c r="F103" s="1874"/>
      <c r="G103" s="1878">
        <f ca="1">G$16/$K$16*$K103</f>
        <v>204.09214435730806</v>
      </c>
      <c r="H103" s="1880">
        <f ca="1">H$16/$K$16*$K103</f>
        <v>204.09214435730806</v>
      </c>
      <c r="I103" s="1880">
        <f t="shared" ref="I103" ca="1" si="184">I$16/$K$16*$K103</f>
        <v>0</v>
      </c>
      <c r="J103" s="1779">
        <f ca="1">K103-G103-H103-I103</f>
        <v>204.092144357308</v>
      </c>
      <c r="K103" s="1877">
        <f t="shared" ca="1" si="165"/>
        <v>612.27643307192409</v>
      </c>
      <c r="L103" s="1878">
        <f ca="1">L$16/$P16*$P103</f>
        <v>21.646832253688512</v>
      </c>
      <c r="M103" s="1880">
        <f ca="1">M$16/$P16*$P103</f>
        <v>21.646832253688512</v>
      </c>
      <c r="N103" s="1880">
        <f ca="1">N$16/$P16*$P103</f>
        <v>0</v>
      </c>
      <c r="O103" s="1880">
        <f ca="1">O$16/$P16*$P103</f>
        <v>21.646832253688505</v>
      </c>
      <c r="P103" s="1877">
        <f t="shared" ca="1" si="166"/>
        <v>64.940496761065532</v>
      </c>
      <c r="Q103" s="1876">
        <f ca="1">Q100-Q101-Q102</f>
        <v>4.0585594214706582</v>
      </c>
      <c r="R103" s="1888">
        <f ca="1">R100-R101-R102</f>
        <v>4.0585594214706582</v>
      </c>
      <c r="S103" s="1779">
        <f t="shared" ref="S103:V103" ca="1" si="185">S100-S101-S102</f>
        <v>6.0878391322059855</v>
      </c>
      <c r="T103" s="1779">
        <f t="shared" ca="1" si="185"/>
        <v>6.0878391322059855</v>
      </c>
      <c r="U103" s="1779">
        <f t="shared" ca="1" si="185"/>
        <v>0</v>
      </c>
      <c r="V103" s="1779">
        <f t="shared" ca="1" si="185"/>
        <v>0</v>
      </c>
      <c r="W103" s="1779">
        <f ca="1">W100-W101-W102</f>
        <v>18.263517396617971</v>
      </c>
      <c r="X103" s="1882">
        <f t="shared" ref="X103" ca="1" si="186">X100-X101-X102</f>
        <v>23.854182999693791</v>
      </c>
      <c r="Y103" s="1882">
        <f t="shared" ref="Y103:Y106" ca="1" si="187">SUM(Q103,S103,U103,W103)</f>
        <v>28.409915950294614</v>
      </c>
      <c r="Z103" s="1882">
        <f t="shared" ca="1" si="167"/>
        <v>34.000581553370438</v>
      </c>
      <c r="AA103" s="1877">
        <f t="shared" ca="1" si="168"/>
        <v>62.41049750366502</v>
      </c>
      <c r="AB103" s="1876">
        <f ca="1">AB100-AB101-AB102</f>
        <v>0</v>
      </c>
      <c r="AC103" s="1888">
        <f t="shared" ref="AC103:AI103" ca="1" si="188">AC100-AC101-AC102</f>
        <v>0</v>
      </c>
      <c r="AD103" s="1779">
        <f t="shared" ca="1" si="188"/>
        <v>0</v>
      </c>
      <c r="AE103" s="1779">
        <f t="shared" ca="1" si="188"/>
        <v>0</v>
      </c>
      <c r="AF103" s="1779">
        <f t="shared" ca="1" si="188"/>
        <v>0</v>
      </c>
      <c r="AG103" s="1779">
        <f t="shared" ca="1" si="188"/>
        <v>0</v>
      </c>
      <c r="AH103" s="1779">
        <f t="shared" ca="1" si="188"/>
        <v>0</v>
      </c>
      <c r="AI103" s="1882">
        <f t="shared" ca="1" si="188"/>
        <v>0</v>
      </c>
      <c r="AJ103" s="1882">
        <f t="shared" ca="1" si="169"/>
        <v>0</v>
      </c>
      <c r="AK103" s="1882">
        <f t="shared" ca="1" si="169"/>
        <v>0</v>
      </c>
      <c r="AL103" s="1877">
        <f t="shared" ca="1" si="170"/>
        <v>0</v>
      </c>
      <c r="AM103" s="1876">
        <f>AM100-AM101-AM102</f>
        <v>0</v>
      </c>
      <c r="AN103" s="1888">
        <f t="shared" ref="AN103:AT103" si="189">AN100-AN101-AN102</f>
        <v>0</v>
      </c>
      <c r="AO103" s="1779">
        <f t="shared" si="189"/>
        <v>0</v>
      </c>
      <c r="AP103" s="1779">
        <f t="shared" si="189"/>
        <v>0</v>
      </c>
      <c r="AQ103" s="1779">
        <f t="shared" si="189"/>
        <v>0</v>
      </c>
      <c r="AR103" s="1779">
        <f t="shared" si="189"/>
        <v>0</v>
      </c>
      <c r="AS103" s="1779">
        <f t="shared" si="189"/>
        <v>0</v>
      </c>
      <c r="AT103" s="1882">
        <f t="shared" si="189"/>
        <v>0</v>
      </c>
      <c r="AU103" s="1882">
        <f t="shared" si="171"/>
        <v>0</v>
      </c>
      <c r="AV103" s="1882">
        <f t="shared" si="171"/>
        <v>0</v>
      </c>
      <c r="AW103" s="1877"/>
      <c r="AX103" s="1740"/>
      <c r="AY103" s="1740"/>
      <c r="AZ103" s="1740"/>
      <c r="BA103" s="1883">
        <f t="shared" ca="1" si="172"/>
        <v>233.85609545393785</v>
      </c>
      <c r="BB103" s="1883">
        <f t="shared" ca="1" si="173"/>
        <v>237.91465487540853</v>
      </c>
      <c r="BC103" s="1883">
        <f t="shared" ca="1" si="174"/>
        <v>0</v>
      </c>
      <c r="BD103" s="1883">
        <f t="shared" ca="1" si="175"/>
        <v>267.85667700730824</v>
      </c>
      <c r="BE103" s="1883">
        <f t="shared" ca="1" si="176"/>
        <v>739.6274273366547</v>
      </c>
      <c r="BF103" s="1740"/>
      <c r="BG103" s="1740"/>
      <c r="BH103" s="1740"/>
      <c r="BI103" s="1768">
        <f t="shared" ca="1" si="177"/>
        <v>233.85609545393785</v>
      </c>
      <c r="BJ103" s="1768">
        <f t="shared" ca="1" si="178"/>
        <v>505.77133188271677</v>
      </c>
      <c r="BK103" s="1935">
        <f t="shared" ca="1" si="183"/>
        <v>739.62742733665459</v>
      </c>
    </row>
    <row r="104" spans="1:63" ht="15.75">
      <c r="A104" s="1739">
        <f>A100+1</f>
        <v>2</v>
      </c>
      <c r="B104" s="1872" t="str">
        <f>CONCATENATE($B$25,".",A104)</f>
        <v>8.2</v>
      </c>
      <c r="C104" s="1873" t="s">
        <v>3704</v>
      </c>
      <c r="D104" s="1874"/>
      <c r="E104" s="1875"/>
      <c r="F104" s="1874"/>
      <c r="G104" s="1878">
        <f ca="1">G$16/$K$16*$K104</f>
        <v>72.387727455175622</v>
      </c>
      <c r="H104" s="1880">
        <f ca="1">H$16/$K$16*$K104</f>
        <v>72.387727455175622</v>
      </c>
      <c r="I104" s="1880">
        <f ca="1">I$16/$K$16*$K104</f>
        <v>0</v>
      </c>
      <c r="J104" s="1779">
        <f ca="1">K104-G104-H104-I104</f>
        <v>72.387727455175593</v>
      </c>
      <c r="K104" s="1877">
        <f t="shared" ca="1" si="165"/>
        <v>217.16318236552684</v>
      </c>
      <c r="L104" s="1878">
        <f ca="1">L$16/$P16*$P104</f>
        <v>7.6777333676532713</v>
      </c>
      <c r="M104" s="1880">
        <f t="shared" ref="M104:N104" ca="1" si="190">M$16/$P16*$P104</f>
        <v>7.6777333676532713</v>
      </c>
      <c r="N104" s="1880">
        <f t="shared" ca="1" si="190"/>
        <v>0</v>
      </c>
      <c r="O104" s="1880">
        <f ca="1">O$16/$P16*$P104</f>
        <v>7.6777333676532686</v>
      </c>
      <c r="P104" s="1877">
        <f t="shared" ca="1" si="166"/>
        <v>23.03320010295981</v>
      </c>
      <c r="Q104" s="1878">
        <f ca="1">Q$16/$AA$16*$AA104</f>
        <v>12.426389760350455</v>
      </c>
      <c r="R104" s="1879">
        <f ca="1">R$16/$AA$16*$AA104</f>
        <v>12.426389760350453</v>
      </c>
      <c r="S104" s="1880">
        <f t="shared" ref="S104:X104" ca="1" si="191">S$16/$AA$16*$AA104</f>
        <v>12.426389760350455</v>
      </c>
      <c r="T104" s="1880">
        <f t="shared" ca="1" si="191"/>
        <v>12.426389760350453</v>
      </c>
      <c r="U104" s="1880">
        <f t="shared" ca="1" si="191"/>
        <v>0</v>
      </c>
      <c r="V104" s="1880">
        <f t="shared" ca="1" si="191"/>
        <v>0</v>
      </c>
      <c r="W104" s="1880">
        <f t="shared" ca="1" si="191"/>
        <v>12.426389760350455</v>
      </c>
      <c r="X104" s="1881">
        <f t="shared" ca="1" si="191"/>
        <v>12.426389760350453</v>
      </c>
      <c r="Y104" s="1882">
        <f t="shared" ca="1" si="187"/>
        <v>37.279169281051367</v>
      </c>
      <c r="Z104" s="1882">
        <f t="shared" ca="1" si="167"/>
        <v>37.27916928105136</v>
      </c>
      <c r="AA104" s="1877">
        <f t="shared" ca="1" si="168"/>
        <v>74.558338562102719</v>
      </c>
      <c r="AB104" s="1878">
        <f ca="1">AB$16/$AL$16*$AL104</f>
        <v>0</v>
      </c>
      <c r="AC104" s="1879">
        <f t="shared" ref="AC104:AI104" ca="1" si="192">AC$16/$AL$16*$AL104</f>
        <v>0</v>
      </c>
      <c r="AD104" s="1880">
        <f t="shared" ca="1" si="192"/>
        <v>0</v>
      </c>
      <c r="AE104" s="1880">
        <f t="shared" ca="1" si="192"/>
        <v>0</v>
      </c>
      <c r="AF104" s="1880">
        <f t="shared" ca="1" si="192"/>
        <v>0</v>
      </c>
      <c r="AG104" s="1880">
        <f t="shared" ca="1" si="192"/>
        <v>0</v>
      </c>
      <c r="AH104" s="1880">
        <f t="shared" ca="1" si="192"/>
        <v>0</v>
      </c>
      <c r="AI104" s="1881">
        <f t="shared" ca="1" si="192"/>
        <v>0</v>
      </c>
      <c r="AJ104" s="1882">
        <f t="shared" ca="1" si="169"/>
        <v>0</v>
      </c>
      <c r="AK104" s="1882">
        <f t="shared" ca="1" si="169"/>
        <v>0</v>
      </c>
      <c r="AL104" s="1877">
        <f t="shared" ca="1" si="170"/>
        <v>0</v>
      </c>
      <c r="AM104" s="1878">
        <f>AM$16/$AW$16*$AW104</f>
        <v>0</v>
      </c>
      <c r="AN104" s="1879">
        <f t="shared" ref="AN104:AT104" si="193">AN$16/$AW$16*$AW104</f>
        <v>0</v>
      </c>
      <c r="AO104" s="1880">
        <f t="shared" si="193"/>
        <v>0</v>
      </c>
      <c r="AP104" s="1880">
        <f t="shared" si="193"/>
        <v>0</v>
      </c>
      <c r="AQ104" s="1880">
        <f t="shared" si="193"/>
        <v>0</v>
      </c>
      <c r="AR104" s="1880">
        <f t="shared" si="193"/>
        <v>0</v>
      </c>
      <c r="AS104" s="1880">
        <f t="shared" si="193"/>
        <v>0</v>
      </c>
      <c r="AT104" s="1881">
        <f t="shared" si="193"/>
        <v>0</v>
      </c>
      <c r="AU104" s="1882">
        <f t="shared" si="171"/>
        <v>0</v>
      </c>
      <c r="AV104" s="1882">
        <f t="shared" si="171"/>
        <v>0</v>
      </c>
      <c r="AW104" s="1877"/>
      <c r="AX104" s="1740"/>
      <c r="AY104" s="1740"/>
      <c r="AZ104" s="1740"/>
      <c r="BA104" s="1883">
        <f t="shared" ca="1" si="172"/>
        <v>104.91824034352982</v>
      </c>
      <c r="BB104" s="1883">
        <f t="shared" ca="1" si="173"/>
        <v>104.91824034352982</v>
      </c>
      <c r="BC104" s="1883">
        <f t="shared" ca="1" si="174"/>
        <v>0</v>
      </c>
      <c r="BD104" s="1883">
        <f t="shared" ca="1" si="175"/>
        <v>104.91824034352979</v>
      </c>
      <c r="BE104" s="1883">
        <f t="shared" ca="1" si="176"/>
        <v>314.75472103058934</v>
      </c>
      <c r="BF104" s="1740"/>
      <c r="BG104" s="1740"/>
      <c r="BH104" s="1740"/>
      <c r="BI104" s="1768">
        <f t="shared" ca="1" si="177"/>
        <v>104.91824034352982</v>
      </c>
      <c r="BJ104" s="1768">
        <f t="shared" ca="1" si="178"/>
        <v>209.83648068705961</v>
      </c>
      <c r="BK104" s="1935">
        <f t="shared" ca="1" si="183"/>
        <v>314.75472103058939</v>
      </c>
    </row>
    <row r="105" spans="1:63" ht="15.75">
      <c r="A105" s="1739">
        <f>A104+1</f>
        <v>3</v>
      </c>
      <c r="B105" s="1872" t="str">
        <f>CONCATENATE($B$25,".",A105)</f>
        <v>8.3</v>
      </c>
      <c r="C105" s="1873" t="s">
        <v>3771</v>
      </c>
      <c r="D105" s="1874"/>
      <c r="E105" s="1875"/>
      <c r="F105" s="1874"/>
      <c r="G105" s="1878">
        <f t="shared" ref="G105:I106" ca="1" si="194">G$11/$K$11*$K105</f>
        <v>17226.348176982301</v>
      </c>
      <c r="H105" s="1880">
        <f t="shared" ca="1" si="194"/>
        <v>35547.17588686222</v>
      </c>
      <c r="I105" s="1880">
        <f t="shared" ca="1" si="194"/>
        <v>0</v>
      </c>
      <c r="J105" s="1880">
        <f ca="1">J$11/$K$11*$K105</f>
        <v>90583.033950929952</v>
      </c>
      <c r="K105" s="1877">
        <f t="shared" ca="1" si="165"/>
        <v>143356.55801477446</v>
      </c>
      <c r="L105" s="1878">
        <f ca="1">L$11/$P$11*$P105</f>
        <v>1827.0821275048786</v>
      </c>
      <c r="M105" s="1880">
        <f t="shared" ref="M105:O106" ca="1" si="195">M$11/$P$11*$P105</f>
        <v>3770.248289358321</v>
      </c>
      <c r="N105" s="1880">
        <f t="shared" ca="1" si="195"/>
        <v>0</v>
      </c>
      <c r="O105" s="1880">
        <f t="shared" ca="1" si="195"/>
        <v>9607.5291574597904</v>
      </c>
      <c r="P105" s="1877">
        <f t="shared" ca="1" si="166"/>
        <v>15204.859574322989</v>
      </c>
      <c r="Q105" s="1878">
        <f ca="1">Q$11/$AA$11*$AA105</f>
        <v>9031.8689191381545</v>
      </c>
      <c r="R105" s="1879">
        <f ca="1">R$11/$AA$11*$AA105</f>
        <v>12314.818693549116</v>
      </c>
      <c r="S105" s="1880">
        <f t="shared" ref="S105:X106" ca="1" si="196">S$11/$AA$11*$AA105</f>
        <v>8524.7226436789661</v>
      </c>
      <c r="T105" s="1880">
        <f t="shared" ca="1" si="196"/>
        <v>9243.6956718308811</v>
      </c>
      <c r="U105" s="1880">
        <f t="shared" ca="1" si="196"/>
        <v>0</v>
      </c>
      <c r="V105" s="1880">
        <f t="shared" ca="1" si="196"/>
        <v>0</v>
      </c>
      <c r="W105" s="1880">
        <f t="shared" ca="1" si="196"/>
        <v>17082.474800154985</v>
      </c>
      <c r="X105" s="1881">
        <f t="shared" ca="1" si="196"/>
        <v>21325.523857760843</v>
      </c>
      <c r="Y105" s="1882">
        <f t="shared" ca="1" si="187"/>
        <v>34639.066362972109</v>
      </c>
      <c r="Z105" s="1882">
        <f t="shared" ca="1" si="167"/>
        <v>42884.038223140844</v>
      </c>
      <c r="AA105" s="1877">
        <f t="shared" ca="1" si="168"/>
        <v>77523.104586112953</v>
      </c>
      <c r="AB105" s="1878">
        <f ca="1">AB$11/$AL$11*$AL105</f>
        <v>0</v>
      </c>
      <c r="AC105" s="1879">
        <f t="shared" ref="AC105:AI106" ca="1" si="197">AC$11/$AL$11*$AL105</f>
        <v>0</v>
      </c>
      <c r="AD105" s="1880">
        <f t="shared" ca="1" si="197"/>
        <v>0</v>
      </c>
      <c r="AE105" s="1880">
        <f t="shared" ca="1" si="197"/>
        <v>0</v>
      </c>
      <c r="AF105" s="1880">
        <f t="shared" ca="1" si="197"/>
        <v>0</v>
      </c>
      <c r="AG105" s="1880">
        <f t="shared" ca="1" si="197"/>
        <v>0</v>
      </c>
      <c r="AH105" s="1880">
        <f t="shared" ca="1" si="197"/>
        <v>0</v>
      </c>
      <c r="AI105" s="1881">
        <f t="shared" ca="1" si="197"/>
        <v>0</v>
      </c>
      <c r="AJ105" s="1882">
        <f t="shared" ca="1" si="169"/>
        <v>0</v>
      </c>
      <c r="AK105" s="1882">
        <f t="shared" ca="1" si="169"/>
        <v>0</v>
      </c>
      <c r="AL105" s="1877">
        <f t="shared" ca="1" si="170"/>
        <v>0</v>
      </c>
      <c r="AM105" s="1878">
        <f>AM$11/$AW$11*$AW105</f>
        <v>0</v>
      </c>
      <c r="AN105" s="1879">
        <f t="shared" ref="AN105:AT106" si="198">AN$11/$AW$11*$AW105</f>
        <v>0</v>
      </c>
      <c r="AO105" s="1880">
        <f t="shared" si="198"/>
        <v>0</v>
      </c>
      <c r="AP105" s="1880">
        <f t="shared" si="198"/>
        <v>0</v>
      </c>
      <c r="AQ105" s="1880">
        <f t="shared" si="198"/>
        <v>0</v>
      </c>
      <c r="AR105" s="1880">
        <f t="shared" si="198"/>
        <v>0</v>
      </c>
      <c r="AS105" s="1880">
        <f t="shared" si="198"/>
        <v>0</v>
      </c>
      <c r="AT105" s="1881">
        <f t="shared" si="198"/>
        <v>0</v>
      </c>
      <c r="AU105" s="1882">
        <f t="shared" si="171"/>
        <v>0</v>
      </c>
      <c r="AV105" s="1882">
        <f t="shared" si="171"/>
        <v>0</v>
      </c>
      <c r="AW105" s="1877"/>
      <c r="AX105" s="1740"/>
      <c r="AY105" s="1740"/>
      <c r="AZ105" s="1740"/>
      <c r="BA105" s="1883">
        <f t="shared" ca="1" si="172"/>
        <v>40400.117917174452</v>
      </c>
      <c r="BB105" s="1883">
        <f t="shared" ca="1" si="173"/>
        <v>57085.842491730386</v>
      </c>
      <c r="BC105" s="1883">
        <f t="shared" ca="1" si="174"/>
        <v>0</v>
      </c>
      <c r="BD105" s="1883">
        <f t="shared" ca="1" si="175"/>
        <v>138598.56176630559</v>
      </c>
      <c r="BE105" s="1883">
        <f t="shared" ca="1" si="176"/>
        <v>236084.52217521041</v>
      </c>
      <c r="BF105" s="1740"/>
      <c r="BG105" s="1740"/>
      <c r="BH105" s="1740"/>
      <c r="BI105" s="1768">
        <f t="shared" ca="1" si="177"/>
        <v>40400.117917174452</v>
      </c>
      <c r="BJ105" s="1768">
        <f t="shared" ca="1" si="178"/>
        <v>195684.40425803597</v>
      </c>
      <c r="BK105" s="1935">
        <f t="shared" ca="1" si="183"/>
        <v>236084.52217521041</v>
      </c>
    </row>
    <row r="106" spans="1:63" ht="15.75">
      <c r="A106" s="1739">
        <f>A105+1</f>
        <v>4</v>
      </c>
      <c r="B106" s="1872" t="str">
        <f>CONCATENATE($B$25,".",A106)</f>
        <v>8.4</v>
      </c>
      <c r="C106" s="1873" t="s">
        <v>3706</v>
      </c>
      <c r="D106" s="1874"/>
      <c r="E106" s="1875"/>
      <c r="F106" s="1874"/>
      <c r="G106" s="1878">
        <f t="shared" ca="1" si="194"/>
        <v>5209.5794727877401</v>
      </c>
      <c r="H106" s="1880">
        <f ca="1">H$11/$K$11*$K106</f>
        <v>10750.150636291937</v>
      </c>
      <c r="I106" s="1880">
        <f t="shared" ca="1" si="194"/>
        <v>0</v>
      </c>
      <c r="J106" s="1880">
        <f ca="1">J$11/$K$11*$K106</f>
        <v>27394.054120196393</v>
      </c>
      <c r="K106" s="1877">
        <f t="shared" ca="1" si="165"/>
        <v>43353.784229276069</v>
      </c>
      <c r="L106" s="1878">
        <f ca="1">L$11/$P$11*$P106</f>
        <v>552.54483677133737</v>
      </c>
      <c r="M106" s="1880">
        <f t="shared" ca="1" si="195"/>
        <v>1140.1957220586651</v>
      </c>
      <c r="N106" s="1880">
        <f t="shared" ca="1" si="195"/>
        <v>0</v>
      </c>
      <c r="O106" s="1880">
        <f t="shared" ca="1" si="195"/>
        <v>2905.5019203400911</v>
      </c>
      <c r="P106" s="1877">
        <f t="shared" ca="1" si="166"/>
        <v>4598.2424791700932</v>
      </c>
      <c r="Q106" s="1878">
        <f ca="1">Q$11/$AA$11*$AA106</f>
        <v>2729.2330766504165</v>
      </c>
      <c r="R106" s="1879">
        <f ca="1">R$11/$AA$11*$AA106</f>
        <v>3721.2686335791373</v>
      </c>
      <c r="S106" s="1880">
        <f t="shared" ca="1" si="196"/>
        <v>2575.9845738128274</v>
      </c>
      <c r="T106" s="1880">
        <f t="shared" ca="1" si="196"/>
        <v>2793.2424843537792</v>
      </c>
      <c r="U106" s="1880">
        <f t="shared" ca="1" si="196"/>
        <v>0</v>
      </c>
      <c r="V106" s="1880">
        <f t="shared" ca="1" si="196"/>
        <v>0</v>
      </c>
      <c r="W106" s="1880">
        <f t="shared" ca="1" si="196"/>
        <v>5161.9499433655428</v>
      </c>
      <c r="X106" s="1881">
        <f t="shared" ca="1" si="196"/>
        <v>6444.1064867726527</v>
      </c>
      <c r="Y106" s="1882">
        <f t="shared" ca="1" si="187"/>
        <v>10467.167593828788</v>
      </c>
      <c r="Z106" s="1882">
        <f t="shared" ca="1" si="167"/>
        <v>12958.617604705569</v>
      </c>
      <c r="AA106" s="1877">
        <f t="shared" ca="1" si="168"/>
        <v>23425.785198534359</v>
      </c>
      <c r="AB106" s="1878">
        <f ca="1">AB$11/$AL$11*$AL106</f>
        <v>0</v>
      </c>
      <c r="AC106" s="1879">
        <f t="shared" ca="1" si="197"/>
        <v>0</v>
      </c>
      <c r="AD106" s="1880">
        <f t="shared" ca="1" si="197"/>
        <v>0</v>
      </c>
      <c r="AE106" s="1880">
        <f t="shared" ca="1" si="197"/>
        <v>0</v>
      </c>
      <c r="AF106" s="1880">
        <f t="shared" ca="1" si="197"/>
        <v>0</v>
      </c>
      <c r="AG106" s="1880">
        <f t="shared" ca="1" si="197"/>
        <v>0</v>
      </c>
      <c r="AH106" s="1880">
        <f t="shared" ca="1" si="197"/>
        <v>0</v>
      </c>
      <c r="AI106" s="1881">
        <f t="shared" ca="1" si="197"/>
        <v>0</v>
      </c>
      <c r="AJ106" s="1882">
        <f t="shared" ca="1" si="169"/>
        <v>0</v>
      </c>
      <c r="AK106" s="1882">
        <f t="shared" ca="1" si="169"/>
        <v>0</v>
      </c>
      <c r="AL106" s="1877">
        <f t="shared" ca="1" si="170"/>
        <v>0</v>
      </c>
      <c r="AM106" s="1878">
        <f>AM$11/$AW$11*$AW106</f>
        <v>0</v>
      </c>
      <c r="AN106" s="1879">
        <f t="shared" si="198"/>
        <v>0</v>
      </c>
      <c r="AO106" s="1880">
        <f t="shared" si="198"/>
        <v>0</v>
      </c>
      <c r="AP106" s="1880">
        <f t="shared" si="198"/>
        <v>0</v>
      </c>
      <c r="AQ106" s="1880">
        <f t="shared" si="198"/>
        <v>0</v>
      </c>
      <c r="AR106" s="1880">
        <f t="shared" si="198"/>
        <v>0</v>
      </c>
      <c r="AS106" s="1880">
        <f t="shared" si="198"/>
        <v>0</v>
      </c>
      <c r="AT106" s="1881">
        <f t="shared" si="198"/>
        <v>0</v>
      </c>
      <c r="AU106" s="1882">
        <f t="shared" si="171"/>
        <v>0</v>
      </c>
      <c r="AV106" s="1882">
        <f t="shared" si="171"/>
        <v>0</v>
      </c>
      <c r="AW106" s="1877"/>
      <c r="AX106" s="1740"/>
      <c r="AY106" s="1740"/>
      <c r="AZ106" s="1740"/>
      <c r="BA106" s="1883">
        <f ca="1">SUM(G106,L106,Q106:R106,AB106:AC106)</f>
        <v>12212.626019788629</v>
      </c>
      <c r="BB106" s="1883">
        <f t="shared" ca="1" si="173"/>
        <v>17259.573416517211</v>
      </c>
      <c r="BC106" s="1883">
        <f t="shared" ca="1" si="174"/>
        <v>0</v>
      </c>
      <c r="BD106" s="1883">
        <f t="shared" ca="1" si="175"/>
        <v>41905.612470674678</v>
      </c>
      <c r="BE106" s="1883">
        <f t="shared" ca="1" si="176"/>
        <v>71377.811906980511</v>
      </c>
      <c r="BF106" s="1740"/>
      <c r="BG106" s="1740"/>
      <c r="BH106" s="1740"/>
      <c r="BI106" s="1768">
        <f t="shared" ca="1" si="177"/>
        <v>12212.626019788629</v>
      </c>
      <c r="BJ106" s="1768">
        <f t="shared" ca="1" si="178"/>
        <v>59165.185887191888</v>
      </c>
      <c r="BK106" s="1935">
        <f t="shared" ca="1" si="183"/>
        <v>71377.811906980525</v>
      </c>
    </row>
    <row r="107" spans="1:63" ht="15.75">
      <c r="A107" s="1739">
        <f>A106+1</f>
        <v>5</v>
      </c>
      <c r="B107" s="1872" t="str">
        <f>CONCATENATE($B$25,".",A107)</f>
        <v>8.5</v>
      </c>
      <c r="C107" s="1873" t="s">
        <v>3708</v>
      </c>
      <c r="D107" s="1874"/>
      <c r="E107" s="1875"/>
      <c r="F107" s="1874"/>
      <c r="G107" s="1889">
        <f ca="1">SUM(G108:G110)</f>
        <v>230423.32298836156</v>
      </c>
      <c r="H107" s="1890">
        <f ca="1">SUM(H108:H110)</f>
        <v>230423.32298836156</v>
      </c>
      <c r="I107" s="1890">
        <f ca="1">SUM(I108:I110)</f>
        <v>0</v>
      </c>
      <c r="J107" s="1890">
        <f ca="1">SUM(J108:J110)</f>
        <v>230423.32298836144</v>
      </c>
      <c r="K107" s="1877">
        <f t="shared" ca="1" si="165"/>
        <v>691269.96896508464</v>
      </c>
      <c r="L107" s="1889">
        <f ca="1">SUM(L108:L110)</f>
        <v>291.30525328623935</v>
      </c>
      <c r="M107" s="1890">
        <f t="shared" ref="M107:O107" ca="1" si="199">SUM(M108:M110)</f>
        <v>291.30525328623935</v>
      </c>
      <c r="N107" s="1890">
        <f t="shared" ca="1" si="199"/>
        <v>0</v>
      </c>
      <c r="O107" s="1890">
        <f t="shared" ca="1" si="199"/>
        <v>291.30525328623924</v>
      </c>
      <c r="P107" s="1877">
        <f t="shared" ca="1" si="166"/>
        <v>873.91575985871805</v>
      </c>
      <c r="Q107" s="1889">
        <f ca="1">SUM(Q108:Q110)</f>
        <v>12146.292826950839</v>
      </c>
      <c r="R107" s="1891">
        <f t="shared" ref="R107:Z107" ca="1" si="200">SUM(R108:R110)</f>
        <v>12146.292826950837</v>
      </c>
      <c r="S107" s="1890">
        <f t="shared" ca="1" si="200"/>
        <v>12146.292826950839</v>
      </c>
      <c r="T107" s="1890">
        <f t="shared" ca="1" si="200"/>
        <v>12146.292826950837</v>
      </c>
      <c r="U107" s="1890">
        <f t="shared" ca="1" si="200"/>
        <v>0</v>
      </c>
      <c r="V107" s="1890">
        <f t="shared" ca="1" si="200"/>
        <v>0</v>
      </c>
      <c r="W107" s="1890">
        <f t="shared" ca="1" si="200"/>
        <v>12146.292826950839</v>
      </c>
      <c r="X107" s="1892">
        <f t="shared" ca="1" si="200"/>
        <v>12146.292826950837</v>
      </c>
      <c r="Y107" s="1892">
        <f t="shared" ca="1" si="200"/>
        <v>36438.878480852523</v>
      </c>
      <c r="Z107" s="1892">
        <f t="shared" ca="1" si="200"/>
        <v>36438.878480852516</v>
      </c>
      <c r="AA107" s="1877">
        <f t="shared" ca="1" si="168"/>
        <v>72877.756961705018</v>
      </c>
      <c r="AB107" s="1889">
        <f ca="1">SUM(AB108:AB110)</f>
        <v>0</v>
      </c>
      <c r="AC107" s="1891">
        <f t="shared" ref="AC107:AK107" ca="1" si="201">SUM(AC108:AC110)</f>
        <v>0</v>
      </c>
      <c r="AD107" s="1890">
        <f t="shared" ca="1" si="201"/>
        <v>0</v>
      </c>
      <c r="AE107" s="1890">
        <f t="shared" ca="1" si="201"/>
        <v>0</v>
      </c>
      <c r="AF107" s="1890">
        <f t="shared" ca="1" si="201"/>
        <v>0</v>
      </c>
      <c r="AG107" s="1890">
        <f t="shared" ca="1" si="201"/>
        <v>0</v>
      </c>
      <c r="AH107" s="1890">
        <f t="shared" ca="1" si="201"/>
        <v>0</v>
      </c>
      <c r="AI107" s="1892">
        <f t="shared" ca="1" si="201"/>
        <v>0</v>
      </c>
      <c r="AJ107" s="1892">
        <f t="shared" ca="1" si="201"/>
        <v>0</v>
      </c>
      <c r="AK107" s="1892">
        <f t="shared" ca="1" si="201"/>
        <v>0</v>
      </c>
      <c r="AL107" s="1877">
        <f t="shared" ca="1" si="170"/>
        <v>0</v>
      </c>
      <c r="AM107" s="1889">
        <f>SUM(AM108:AM110)</f>
        <v>0</v>
      </c>
      <c r="AN107" s="1891">
        <f t="shared" ref="AN107:AV107" si="202">SUM(AN108:AN110)</f>
        <v>0</v>
      </c>
      <c r="AO107" s="1890">
        <f t="shared" si="202"/>
        <v>0</v>
      </c>
      <c r="AP107" s="1890">
        <f t="shared" si="202"/>
        <v>0</v>
      </c>
      <c r="AQ107" s="1890">
        <f t="shared" si="202"/>
        <v>0</v>
      </c>
      <c r="AR107" s="1890">
        <f t="shared" si="202"/>
        <v>0</v>
      </c>
      <c r="AS107" s="1890">
        <f t="shared" si="202"/>
        <v>0</v>
      </c>
      <c r="AT107" s="1892">
        <f t="shared" si="202"/>
        <v>0</v>
      </c>
      <c r="AU107" s="1892">
        <f t="shared" si="202"/>
        <v>0</v>
      </c>
      <c r="AV107" s="1892">
        <f t="shared" si="202"/>
        <v>0</v>
      </c>
      <c r="AW107" s="1877"/>
      <c r="AX107" s="1740"/>
      <c r="AY107" s="1740"/>
      <c r="AZ107" s="1740"/>
      <c r="BA107" s="1890">
        <f t="shared" ref="BA107:BE107" ca="1" si="203">SUM(BA108:BA110)</f>
        <v>255007.21389554947</v>
      </c>
      <c r="BB107" s="1890">
        <f t="shared" ca="1" si="203"/>
        <v>255007.21389554947</v>
      </c>
      <c r="BC107" s="1890">
        <f t="shared" ca="1" si="203"/>
        <v>0</v>
      </c>
      <c r="BD107" s="1890">
        <f t="shared" ca="1" si="203"/>
        <v>255007.21389554936</v>
      </c>
      <c r="BE107" s="1890">
        <f t="shared" ca="1" si="203"/>
        <v>765021.64168664825</v>
      </c>
      <c r="BF107" s="1740"/>
      <c r="BG107" s="1740"/>
      <c r="BH107" s="1740"/>
      <c r="BI107" s="1871">
        <f ca="1">SUM(BI108:BI110)</f>
        <v>255007.21389554947</v>
      </c>
      <c r="BJ107" s="1871">
        <f t="shared" ref="BJ107" ca="1" si="204">SUM(BJ108:BJ110)</f>
        <v>510014.42779109883</v>
      </c>
      <c r="BK107" s="1962">
        <f ca="1">SUM(BK108:BK110)</f>
        <v>765021.64168664836</v>
      </c>
    </row>
    <row r="108" spans="1:63" ht="31.5">
      <c r="B108" s="1872"/>
      <c r="C108" s="1887" t="s">
        <v>3778</v>
      </c>
      <c r="D108" s="1874"/>
      <c r="E108" s="1875"/>
      <c r="F108" s="1874"/>
      <c r="G108" s="1878">
        <f t="shared" ref="G108:I109" ca="1" si="205">G$16/$K$16*$K108</f>
        <v>197.7543403690344</v>
      </c>
      <c r="H108" s="1880">
        <f t="shared" ca="1" si="205"/>
        <v>197.7543403690344</v>
      </c>
      <c r="I108" s="1880">
        <f ca="1">I$16/$K$16*$K108</f>
        <v>0</v>
      </c>
      <c r="J108" s="1779">
        <f ca="1">K108-G108-H108-I108</f>
        <v>197.75434036903434</v>
      </c>
      <c r="K108" s="1877">
        <f t="shared" ca="1" si="165"/>
        <v>593.2630211071031</v>
      </c>
      <c r="L108" s="1878">
        <f ca="1">L$16/$P$16*$P108</f>
        <v>20.974413555866068</v>
      </c>
      <c r="M108" s="1880">
        <f t="shared" ref="M108:O109" ca="1" si="206">M$16/$P$16*$P108</f>
        <v>20.974413555866068</v>
      </c>
      <c r="N108" s="1880">
        <f t="shared" ca="1" si="206"/>
        <v>0</v>
      </c>
      <c r="O108" s="1880">
        <f t="shared" ca="1" si="206"/>
        <v>20.974413555866061</v>
      </c>
      <c r="P108" s="1877">
        <f t="shared" ca="1" si="166"/>
        <v>62.923240667598193</v>
      </c>
      <c r="Q108" s="1878">
        <f ca="1">Q$16/$AA$16*$AA108</f>
        <v>57.402659461954002</v>
      </c>
      <c r="R108" s="1879">
        <f t="shared" ref="R108:X109" ca="1" si="207">R$16/$AA$16*$AA108</f>
        <v>57.402659461953995</v>
      </c>
      <c r="S108" s="1880">
        <f t="shared" ca="1" si="207"/>
        <v>57.402659461954002</v>
      </c>
      <c r="T108" s="1880">
        <f t="shared" ca="1" si="207"/>
        <v>57.402659461953995</v>
      </c>
      <c r="U108" s="1880">
        <f t="shared" ca="1" si="207"/>
        <v>0</v>
      </c>
      <c r="V108" s="1880">
        <f t="shared" ca="1" si="207"/>
        <v>0</v>
      </c>
      <c r="W108" s="1880">
        <f t="shared" ca="1" si="207"/>
        <v>57.402659461954002</v>
      </c>
      <c r="X108" s="1881">
        <f t="shared" ca="1" si="207"/>
        <v>57.402659461953995</v>
      </c>
      <c r="Y108" s="1882">
        <f t="shared" ref="Y108:Z109" ca="1" si="208">SUM(Q108,S108,U108,W108)</f>
        <v>172.20797838586202</v>
      </c>
      <c r="Z108" s="1882">
        <f t="shared" ca="1" si="208"/>
        <v>172.20797838586199</v>
      </c>
      <c r="AA108" s="1877">
        <f t="shared" ca="1" si="168"/>
        <v>344.41595677172398</v>
      </c>
      <c r="AB108" s="1878">
        <f ca="1">AB$16/$AL$16*$AL108</f>
        <v>0</v>
      </c>
      <c r="AC108" s="1879">
        <f t="shared" ref="AC108:AI109" ca="1" si="209">AC$16/$AL$16*$AL108</f>
        <v>0</v>
      </c>
      <c r="AD108" s="1880">
        <f t="shared" ca="1" si="209"/>
        <v>0</v>
      </c>
      <c r="AE108" s="1880">
        <f t="shared" ca="1" si="209"/>
        <v>0</v>
      </c>
      <c r="AF108" s="1880">
        <f t="shared" ca="1" si="209"/>
        <v>0</v>
      </c>
      <c r="AG108" s="1880">
        <f t="shared" ca="1" si="209"/>
        <v>0</v>
      </c>
      <c r="AH108" s="1880">
        <f t="shared" ca="1" si="209"/>
        <v>0</v>
      </c>
      <c r="AI108" s="1881">
        <f t="shared" ca="1" si="209"/>
        <v>0</v>
      </c>
      <c r="AJ108" s="1882">
        <f t="shared" ref="AJ108:AK109" ca="1" si="210">SUM(AB108,AD108,AF108,AH108)</f>
        <v>0</v>
      </c>
      <c r="AK108" s="1882">
        <f t="shared" ca="1" si="210"/>
        <v>0</v>
      </c>
      <c r="AL108" s="1877">
        <f t="shared" ca="1" si="170"/>
        <v>0</v>
      </c>
      <c r="AM108" s="1878">
        <f>AM$16/$AW$16*$AW108</f>
        <v>0</v>
      </c>
      <c r="AN108" s="1879">
        <f t="shared" ref="AN108:AT109" si="211">AN$16/$AW$16*$AW108</f>
        <v>0</v>
      </c>
      <c r="AO108" s="1880">
        <f t="shared" si="211"/>
        <v>0</v>
      </c>
      <c r="AP108" s="1880">
        <f t="shared" si="211"/>
        <v>0</v>
      </c>
      <c r="AQ108" s="1880">
        <f t="shared" si="211"/>
        <v>0</v>
      </c>
      <c r="AR108" s="1880">
        <f t="shared" si="211"/>
        <v>0</v>
      </c>
      <c r="AS108" s="1880">
        <f t="shared" si="211"/>
        <v>0</v>
      </c>
      <c r="AT108" s="1881">
        <f t="shared" si="211"/>
        <v>0</v>
      </c>
      <c r="AU108" s="1882">
        <f t="shared" ref="AU108:AV109" si="212">SUM(AM108,AO108,AQ108,AS108)</f>
        <v>0</v>
      </c>
      <c r="AV108" s="1882">
        <f t="shared" si="212"/>
        <v>0</v>
      </c>
      <c r="AW108" s="1877"/>
      <c r="AX108" s="1740"/>
      <c r="AY108" s="1740"/>
      <c r="AZ108" s="1740"/>
      <c r="BA108" s="1883">
        <f t="shared" ref="BA108:BA109" ca="1" si="213">SUM(G108,L108,Q108:R108,AB108:AC108)</f>
        <v>333.53407284880848</v>
      </c>
      <c r="BB108" s="1883">
        <f t="shared" ref="BB108:BB109" ca="1" si="214">SUM(H108,M108,S108:T108,AD108:AE108)</f>
        <v>333.53407284880848</v>
      </c>
      <c r="BC108" s="1883">
        <f t="shared" ref="BC108:BC109" ca="1" si="215">SUM(I108,N108,U108:V108,AF108:AG108)</f>
        <v>0</v>
      </c>
      <c r="BD108" s="1883">
        <f t="shared" ref="BD108:BD109" ca="1" si="216">SUM(J108,O108,W108:X108,AH108:AI108)</f>
        <v>333.53407284880836</v>
      </c>
      <c r="BE108" s="1883">
        <f t="shared" ref="BE108:BE109" ca="1" si="217">SUM(K108,P108,Y108:Z108,AJ108:AK108)</f>
        <v>1000.6022185464253</v>
      </c>
      <c r="BF108" s="1740"/>
      <c r="BG108" s="1740"/>
      <c r="BH108" s="1740"/>
      <c r="BI108" s="1768">
        <f t="shared" ref="BI108:BI109" ca="1" si="218">BA108</f>
        <v>333.53407284880848</v>
      </c>
      <c r="BJ108" s="1768">
        <f t="shared" ref="BJ108:BJ109" ca="1" si="219">SUM(BB108:BD108)</f>
        <v>667.06814569761684</v>
      </c>
      <c r="BK108" s="1935">
        <f t="shared" ref="BK108:BK109" ca="1" si="220">SUM(BI108:BJ108)</f>
        <v>1000.6022185464253</v>
      </c>
    </row>
    <row r="109" spans="1:63" ht="47.25">
      <c r="B109" s="1872"/>
      <c r="C109" s="1887" t="s">
        <v>3779</v>
      </c>
      <c r="D109" s="1874"/>
      <c r="E109" s="1875"/>
      <c r="F109" s="1874"/>
      <c r="G109" s="1878">
        <f t="shared" ca="1" si="205"/>
        <v>243.40356971580496</v>
      </c>
      <c r="H109" s="1880">
        <f t="shared" ca="1" si="205"/>
        <v>243.40356971580496</v>
      </c>
      <c r="I109" s="1880">
        <f t="shared" ca="1" si="205"/>
        <v>0</v>
      </c>
      <c r="J109" s="1779">
        <f ca="1">K109-G109-H109-I109</f>
        <v>243.40356971580491</v>
      </c>
      <c r="K109" s="1877">
        <f t="shared" ca="1" si="165"/>
        <v>730.21070914741483</v>
      </c>
      <c r="L109" s="1878">
        <f ca="1">L$16/$P$16*$P109</f>
        <v>25.816298486668298</v>
      </c>
      <c r="M109" s="1880">
        <f t="shared" ca="1" si="206"/>
        <v>25.816298486668298</v>
      </c>
      <c r="N109" s="1880">
        <f t="shared" ca="1" si="206"/>
        <v>0</v>
      </c>
      <c r="O109" s="1880">
        <f t="shared" ca="1" si="206"/>
        <v>25.816298486668291</v>
      </c>
      <c r="P109" s="1877">
        <f t="shared" ca="1" si="166"/>
        <v>77.448895460004891</v>
      </c>
      <c r="Q109" s="1878">
        <f ca="1">Q$16/$AA$16*$AA109</f>
        <v>37.69134383880705</v>
      </c>
      <c r="R109" s="1879">
        <f t="shared" ca="1" si="207"/>
        <v>37.691343838807043</v>
      </c>
      <c r="S109" s="1880">
        <f t="shared" ca="1" si="207"/>
        <v>37.69134383880705</v>
      </c>
      <c r="T109" s="1880">
        <f t="shared" ca="1" si="207"/>
        <v>37.691343838807043</v>
      </c>
      <c r="U109" s="1880">
        <f t="shared" ca="1" si="207"/>
        <v>0</v>
      </c>
      <c r="V109" s="1880">
        <f t="shared" ca="1" si="207"/>
        <v>0</v>
      </c>
      <c r="W109" s="1880">
        <f t="shared" ca="1" si="207"/>
        <v>37.69134383880705</v>
      </c>
      <c r="X109" s="1881">
        <f t="shared" ca="1" si="207"/>
        <v>37.691343838807043</v>
      </c>
      <c r="Y109" s="1882">
        <f t="shared" ca="1" si="208"/>
        <v>113.07403151642114</v>
      </c>
      <c r="Z109" s="1882">
        <f t="shared" ca="1" si="208"/>
        <v>113.07403151642113</v>
      </c>
      <c r="AA109" s="1877">
        <f t="shared" ca="1" si="168"/>
        <v>226.14806303284229</v>
      </c>
      <c r="AB109" s="1878">
        <f ca="1">AB$16/$AL$16*$AL109</f>
        <v>0</v>
      </c>
      <c r="AC109" s="1879">
        <f t="shared" ca="1" si="209"/>
        <v>0</v>
      </c>
      <c r="AD109" s="1880">
        <f t="shared" ca="1" si="209"/>
        <v>0</v>
      </c>
      <c r="AE109" s="1880">
        <f t="shared" ca="1" si="209"/>
        <v>0</v>
      </c>
      <c r="AF109" s="1880">
        <f t="shared" ca="1" si="209"/>
        <v>0</v>
      </c>
      <c r="AG109" s="1880">
        <f t="shared" ca="1" si="209"/>
        <v>0</v>
      </c>
      <c r="AH109" s="1880">
        <f t="shared" ca="1" si="209"/>
        <v>0</v>
      </c>
      <c r="AI109" s="1881">
        <f t="shared" ca="1" si="209"/>
        <v>0</v>
      </c>
      <c r="AJ109" s="1882">
        <f t="shared" ca="1" si="210"/>
        <v>0</v>
      </c>
      <c r="AK109" s="1882">
        <f t="shared" ca="1" si="210"/>
        <v>0</v>
      </c>
      <c r="AL109" s="1877">
        <f t="shared" ca="1" si="170"/>
        <v>0</v>
      </c>
      <c r="AM109" s="1878">
        <f>AM$16/$AW$16*$AW109</f>
        <v>0</v>
      </c>
      <c r="AN109" s="1879">
        <f t="shared" si="211"/>
        <v>0</v>
      </c>
      <c r="AO109" s="1880">
        <f t="shared" si="211"/>
        <v>0</v>
      </c>
      <c r="AP109" s="1880">
        <f t="shared" si="211"/>
        <v>0</v>
      </c>
      <c r="AQ109" s="1880">
        <f t="shared" si="211"/>
        <v>0</v>
      </c>
      <c r="AR109" s="1880">
        <f t="shared" si="211"/>
        <v>0</v>
      </c>
      <c r="AS109" s="1880">
        <f t="shared" si="211"/>
        <v>0</v>
      </c>
      <c r="AT109" s="1881">
        <f t="shared" si="211"/>
        <v>0</v>
      </c>
      <c r="AU109" s="1882">
        <f t="shared" si="212"/>
        <v>0</v>
      </c>
      <c r="AV109" s="1882">
        <f t="shared" si="212"/>
        <v>0</v>
      </c>
      <c r="AW109" s="1877"/>
      <c r="AX109" s="1740"/>
      <c r="AY109" s="1740"/>
      <c r="AZ109" s="1740"/>
      <c r="BA109" s="1883">
        <f t="shared" ca="1" si="213"/>
        <v>344.60255588008732</v>
      </c>
      <c r="BB109" s="1883">
        <f t="shared" ca="1" si="214"/>
        <v>344.60255588008732</v>
      </c>
      <c r="BC109" s="1883">
        <f t="shared" ca="1" si="215"/>
        <v>0</v>
      </c>
      <c r="BD109" s="1883">
        <f t="shared" ca="1" si="216"/>
        <v>344.60255588008727</v>
      </c>
      <c r="BE109" s="1883">
        <f t="shared" ca="1" si="217"/>
        <v>1033.807667640262</v>
      </c>
      <c r="BF109" s="1740"/>
      <c r="BG109" s="1740"/>
      <c r="BH109" s="1740"/>
      <c r="BI109" s="1768">
        <f t="shared" ca="1" si="218"/>
        <v>344.60255588008732</v>
      </c>
      <c r="BJ109" s="1768">
        <f t="shared" ca="1" si="219"/>
        <v>689.20511176017453</v>
      </c>
      <c r="BK109" s="1935">
        <f t="shared" ca="1" si="220"/>
        <v>1033.8076676402618</v>
      </c>
    </row>
    <row r="110" spans="1:63" ht="31.5">
      <c r="B110" s="1872"/>
      <c r="C110" s="1887" t="s">
        <v>3780</v>
      </c>
      <c r="D110" s="1874"/>
      <c r="E110" s="1875"/>
      <c r="F110" s="1874"/>
      <c r="G110" s="1889">
        <f ca="1">SUM(G111:G115)</f>
        <v>229982.16507827671</v>
      </c>
      <c r="H110" s="1890">
        <f ca="1">SUM(H111:H115)</f>
        <v>229982.16507827671</v>
      </c>
      <c r="I110" s="1890">
        <f ca="1">SUM(I111:I115)</f>
        <v>0</v>
      </c>
      <c r="J110" s="1890">
        <f ca="1">SUM(J111:J115)</f>
        <v>229982.16507827659</v>
      </c>
      <c r="K110" s="1877">
        <f t="shared" ca="1" si="165"/>
        <v>689946.49523482996</v>
      </c>
      <c r="L110" s="1889">
        <f ca="1">SUM(L111:L115)</f>
        <v>244.514541243705</v>
      </c>
      <c r="M110" s="1890">
        <f t="shared" ref="M110:O110" ca="1" si="221">SUM(M111:M115)</f>
        <v>244.514541243705</v>
      </c>
      <c r="N110" s="1890">
        <f t="shared" ca="1" si="221"/>
        <v>0</v>
      </c>
      <c r="O110" s="1890">
        <f t="shared" ca="1" si="221"/>
        <v>244.51454124370491</v>
      </c>
      <c r="P110" s="1877">
        <f t="shared" ca="1" si="166"/>
        <v>733.54362373111496</v>
      </c>
      <c r="Q110" s="1889">
        <f ca="1">SUM(Q111:Q115)</f>
        <v>12051.198823650078</v>
      </c>
      <c r="R110" s="1891">
        <f t="shared" ref="R110:X110" ca="1" si="222">SUM(R111:R115)</f>
        <v>12051.198823650077</v>
      </c>
      <c r="S110" s="1890">
        <f t="shared" ca="1" si="222"/>
        <v>12051.198823650078</v>
      </c>
      <c r="T110" s="1890">
        <f t="shared" ca="1" si="222"/>
        <v>12051.198823650077</v>
      </c>
      <c r="U110" s="1890">
        <f t="shared" ca="1" si="222"/>
        <v>0</v>
      </c>
      <c r="V110" s="1890">
        <f t="shared" ca="1" si="222"/>
        <v>0</v>
      </c>
      <c r="W110" s="1890">
        <f t="shared" ca="1" si="222"/>
        <v>12051.198823650078</v>
      </c>
      <c r="X110" s="1892">
        <f t="shared" ca="1" si="222"/>
        <v>12051.198823650077</v>
      </c>
      <c r="Y110" s="1892">
        <f ca="1">SUM(Y111:Y115)</f>
        <v>36153.596470950237</v>
      </c>
      <c r="Z110" s="1892">
        <f t="shared" ref="Z110" ca="1" si="223">SUM(Z111:Z115)</f>
        <v>36153.59647095023</v>
      </c>
      <c r="AA110" s="1877">
        <f t="shared" ca="1" si="168"/>
        <v>72307.192941900459</v>
      </c>
      <c r="AB110" s="1889">
        <f ca="1">SUM(AB111:AB115)</f>
        <v>0</v>
      </c>
      <c r="AC110" s="1891">
        <f t="shared" ref="AC110:AK110" ca="1" si="224">SUM(AC111:AC115)</f>
        <v>0</v>
      </c>
      <c r="AD110" s="1890">
        <f t="shared" ca="1" si="224"/>
        <v>0</v>
      </c>
      <c r="AE110" s="1890">
        <f t="shared" ca="1" si="224"/>
        <v>0</v>
      </c>
      <c r="AF110" s="1890">
        <f t="shared" ca="1" si="224"/>
        <v>0</v>
      </c>
      <c r="AG110" s="1890">
        <f t="shared" ca="1" si="224"/>
        <v>0</v>
      </c>
      <c r="AH110" s="1890">
        <f t="shared" ca="1" si="224"/>
        <v>0</v>
      </c>
      <c r="AI110" s="1892">
        <f t="shared" ca="1" si="224"/>
        <v>0</v>
      </c>
      <c r="AJ110" s="1892">
        <f t="shared" ca="1" si="224"/>
        <v>0</v>
      </c>
      <c r="AK110" s="1892">
        <f t="shared" ca="1" si="224"/>
        <v>0</v>
      </c>
      <c r="AL110" s="1877">
        <f t="shared" ca="1" si="170"/>
        <v>0</v>
      </c>
      <c r="AM110" s="1889">
        <f>SUM(AM111:AM115)</f>
        <v>0</v>
      </c>
      <c r="AN110" s="1891">
        <f t="shared" ref="AN110:AV110" si="225">SUM(AN111:AN115)</f>
        <v>0</v>
      </c>
      <c r="AO110" s="1890">
        <f t="shared" si="225"/>
        <v>0</v>
      </c>
      <c r="AP110" s="1890">
        <f t="shared" si="225"/>
        <v>0</v>
      </c>
      <c r="AQ110" s="1890">
        <f t="shared" si="225"/>
        <v>0</v>
      </c>
      <c r="AR110" s="1890">
        <f t="shared" si="225"/>
        <v>0</v>
      </c>
      <c r="AS110" s="1890">
        <f t="shared" si="225"/>
        <v>0</v>
      </c>
      <c r="AT110" s="1892">
        <f t="shared" si="225"/>
        <v>0</v>
      </c>
      <c r="AU110" s="1892">
        <f t="shared" si="225"/>
        <v>0</v>
      </c>
      <c r="AV110" s="1892">
        <f t="shared" si="225"/>
        <v>0</v>
      </c>
      <c r="AW110" s="1877"/>
      <c r="AX110" s="1740"/>
      <c r="AY110" s="1740"/>
      <c r="AZ110" s="1740"/>
      <c r="BA110" s="1889">
        <f t="shared" ref="BA110:BE110" ca="1" si="226">SUM(BA111:BA115)</f>
        <v>254329.07726682059</v>
      </c>
      <c r="BB110" s="1889">
        <f t="shared" ca="1" si="226"/>
        <v>254329.07726682059</v>
      </c>
      <c r="BC110" s="1889">
        <f t="shared" ca="1" si="226"/>
        <v>0</v>
      </c>
      <c r="BD110" s="1889">
        <f t="shared" ca="1" si="226"/>
        <v>254329.07726682047</v>
      </c>
      <c r="BE110" s="1889">
        <f t="shared" ca="1" si="226"/>
        <v>762987.23180046154</v>
      </c>
      <c r="BF110" s="1740"/>
      <c r="BG110" s="1740"/>
      <c r="BH110" s="1740"/>
      <c r="BI110" s="1871">
        <f ca="1">SUM(BI111:BI115)</f>
        <v>254329.07726682059</v>
      </c>
      <c r="BJ110" s="1871">
        <f t="shared" ref="BJ110" ca="1" si="227">SUM(BJ111:BJ115)</f>
        <v>508658.15453364106</v>
      </c>
      <c r="BK110" s="1962">
        <f ca="1">SUM(BK111:BK115)</f>
        <v>762987.23180046165</v>
      </c>
    </row>
    <row r="111" spans="1:63" ht="15.75">
      <c r="B111" s="1872"/>
      <c r="C111" s="1894" t="s">
        <v>3716</v>
      </c>
      <c r="D111" s="1895"/>
      <c r="E111" s="1896"/>
      <c r="F111" s="1895"/>
      <c r="G111" s="1897">
        <f t="shared" ref="G111:I114" ca="1" si="228">G$16/$K$16*$K111</f>
        <v>24.628081475288063</v>
      </c>
      <c r="H111" s="1898">
        <f t="shared" ca="1" si="228"/>
        <v>24.628081475288063</v>
      </c>
      <c r="I111" s="1898">
        <f t="shared" ca="1" si="228"/>
        <v>0</v>
      </c>
      <c r="J111" s="1779">
        <f ca="1">K111-G111-H111-I111</f>
        <v>24.628081475288056</v>
      </c>
      <c r="K111" s="1877">
        <f t="shared" ca="1" si="165"/>
        <v>73.884244425864182</v>
      </c>
      <c r="L111" s="1897">
        <f ca="1">L$16/$P$16*$P111</f>
        <v>2.6119745807862733</v>
      </c>
      <c r="M111" s="1898">
        <f t="shared" ref="M111:O114" ca="1" si="229">M$16/$P$16*$P111</f>
        <v>2.6119745807862733</v>
      </c>
      <c r="N111" s="1898">
        <f t="shared" ca="1" si="229"/>
        <v>0</v>
      </c>
      <c r="O111" s="1898">
        <f t="shared" ca="1" si="229"/>
        <v>2.6119745807862724</v>
      </c>
      <c r="P111" s="1877">
        <f t="shared" ca="1" si="166"/>
        <v>7.8359237423588191</v>
      </c>
      <c r="Q111" s="1897">
        <f ca="1">Q$16/$AA$16*$AA111</f>
        <v>5.7887490385946752</v>
      </c>
      <c r="R111" s="1899">
        <f t="shared" ref="R111:X114" ca="1" si="230">R$16/$AA$16*$AA111</f>
        <v>5.7887490385946743</v>
      </c>
      <c r="S111" s="1898">
        <f t="shared" ca="1" si="230"/>
        <v>5.7887490385946752</v>
      </c>
      <c r="T111" s="1898">
        <f t="shared" ca="1" si="230"/>
        <v>5.7887490385946743</v>
      </c>
      <c r="U111" s="1898">
        <f t="shared" ca="1" si="230"/>
        <v>0</v>
      </c>
      <c r="V111" s="1898">
        <f t="shared" ca="1" si="230"/>
        <v>0</v>
      </c>
      <c r="W111" s="1898">
        <f t="shared" ca="1" si="230"/>
        <v>5.7887490385946752</v>
      </c>
      <c r="X111" s="1900">
        <f t="shared" ca="1" si="230"/>
        <v>5.7887490385946743</v>
      </c>
      <c r="Y111" s="1901">
        <f t="shared" ref="Y111:Z114" ca="1" si="231">SUM(Q111,S111,U111,W111)</f>
        <v>17.366247115784027</v>
      </c>
      <c r="Z111" s="1901">
        <f t="shared" ca="1" si="231"/>
        <v>17.366247115784024</v>
      </c>
      <c r="AA111" s="1877">
        <f t="shared" ca="1" si="168"/>
        <v>34.732494231568047</v>
      </c>
      <c r="AB111" s="1897">
        <f ca="1">AB$16/$AL$16*$AL111</f>
        <v>0</v>
      </c>
      <c r="AC111" s="1899">
        <f t="shared" ref="AC111:AI114" ca="1" si="232">AC$16/$AL$16*$AL111</f>
        <v>0</v>
      </c>
      <c r="AD111" s="1898">
        <f t="shared" ca="1" si="232"/>
        <v>0</v>
      </c>
      <c r="AE111" s="1898">
        <f t="shared" ca="1" si="232"/>
        <v>0</v>
      </c>
      <c r="AF111" s="1898">
        <f t="shared" ca="1" si="232"/>
        <v>0</v>
      </c>
      <c r="AG111" s="1898">
        <f t="shared" ca="1" si="232"/>
        <v>0</v>
      </c>
      <c r="AH111" s="1898">
        <f t="shared" ca="1" si="232"/>
        <v>0</v>
      </c>
      <c r="AI111" s="1900">
        <f t="shared" ca="1" si="232"/>
        <v>0</v>
      </c>
      <c r="AJ111" s="1901">
        <f t="shared" ref="AJ111:AK114" ca="1" si="233">SUM(AB111,AD111,AF111,AH111)</f>
        <v>0</v>
      </c>
      <c r="AK111" s="1901">
        <f t="shared" ca="1" si="233"/>
        <v>0</v>
      </c>
      <c r="AL111" s="1877">
        <f t="shared" ca="1" si="170"/>
        <v>0</v>
      </c>
      <c r="AM111" s="1897">
        <f>AM$16/$AW$16*$AW111</f>
        <v>0</v>
      </c>
      <c r="AN111" s="1899">
        <f t="shared" ref="AN111:AT114" si="234">AN$16/$AW$16*$AW111</f>
        <v>0</v>
      </c>
      <c r="AO111" s="1898">
        <f t="shared" si="234"/>
        <v>0</v>
      </c>
      <c r="AP111" s="1898">
        <f t="shared" si="234"/>
        <v>0</v>
      </c>
      <c r="AQ111" s="1898">
        <f t="shared" si="234"/>
        <v>0</v>
      </c>
      <c r="AR111" s="1898">
        <f t="shared" si="234"/>
        <v>0</v>
      </c>
      <c r="AS111" s="1898">
        <f t="shared" si="234"/>
        <v>0</v>
      </c>
      <c r="AT111" s="1900">
        <f t="shared" si="234"/>
        <v>0</v>
      </c>
      <c r="AU111" s="1901">
        <f t="shared" ref="AU111:AV114" si="235">SUM(AM111,AO111,AQ111,AS111)</f>
        <v>0</v>
      </c>
      <c r="AV111" s="1901">
        <f t="shared" si="235"/>
        <v>0</v>
      </c>
      <c r="AW111" s="1877"/>
      <c r="AX111" s="1740"/>
      <c r="AY111" s="1740"/>
      <c r="AZ111" s="1740"/>
      <c r="BA111" s="1883">
        <f t="shared" ref="BA111:BA114" ca="1" si="236">SUM(G111,L111,Q111:R111,AB111:AC111)</f>
        <v>38.817554133263684</v>
      </c>
      <c r="BB111" s="1883">
        <f t="shared" ref="BB111:BB114" ca="1" si="237">SUM(H111,M111,S111:T111,AD111:AE111)</f>
        <v>38.817554133263684</v>
      </c>
      <c r="BC111" s="1883">
        <f t="shared" ref="BC111:BC114" ca="1" si="238">SUM(I111,N111,U111:V111,AF111:AG111)</f>
        <v>0</v>
      </c>
      <c r="BD111" s="1883">
        <f t="shared" ref="BD111:BD114" ca="1" si="239">SUM(J111,O111,W111:X111,AH111:AI111)</f>
        <v>38.817554133263677</v>
      </c>
      <c r="BE111" s="1883">
        <f t="shared" ref="BE111:BE114" ca="1" si="240">SUM(K111,P111,Y111:Z111,AJ111:AK111)</f>
        <v>116.45266239979104</v>
      </c>
      <c r="BF111" s="1740"/>
      <c r="BG111" s="1740"/>
      <c r="BH111" s="1740"/>
      <c r="BI111" s="1768">
        <f t="shared" ref="BI111:BI114" ca="1" si="241">BA111</f>
        <v>38.817554133263684</v>
      </c>
      <c r="BJ111" s="1768">
        <f t="shared" ref="BJ111:BJ114" ca="1" si="242">SUM(BB111:BD111)</f>
        <v>77.635108266527368</v>
      </c>
      <c r="BK111" s="1935">
        <f t="shared" ref="BK111:BK114" ca="1" si="243">SUM(BI111:BJ111)</f>
        <v>116.45266239979105</v>
      </c>
    </row>
    <row r="112" spans="1:63" ht="31.5">
      <c r="B112" s="1872"/>
      <c r="C112" s="1894" t="s">
        <v>3718</v>
      </c>
      <c r="D112" s="1895"/>
      <c r="E112" s="1896"/>
      <c r="F112" s="1895"/>
      <c r="G112" s="1897">
        <f t="shared" ca="1" si="228"/>
        <v>48.474041672464431</v>
      </c>
      <c r="H112" s="1898">
        <f t="shared" ca="1" si="228"/>
        <v>48.474041672464431</v>
      </c>
      <c r="I112" s="1898">
        <f t="shared" ca="1" si="228"/>
        <v>0</v>
      </c>
      <c r="J112" s="1779">
        <f ca="1">K112-G112-H112-I112</f>
        <v>48.474041672464416</v>
      </c>
      <c r="K112" s="1877">
        <f t="shared" ca="1" si="165"/>
        <v>145.42212501739328</v>
      </c>
      <c r="L112" s="1897">
        <f ca="1">L$16/$P$16*$P112</f>
        <v>5.1410875367267819</v>
      </c>
      <c r="M112" s="1898">
        <f t="shared" ca="1" si="229"/>
        <v>5.1410875367267819</v>
      </c>
      <c r="N112" s="1898">
        <f t="shared" ca="1" si="229"/>
        <v>0</v>
      </c>
      <c r="O112" s="1898">
        <f t="shared" ca="1" si="229"/>
        <v>5.1410875367267801</v>
      </c>
      <c r="P112" s="1877">
        <f t="shared" ca="1" si="166"/>
        <v>15.423262610180345</v>
      </c>
      <c r="Q112" s="1897">
        <f ca="1">Q$16/$AA$16*$AA112</f>
        <v>11.753198082865323</v>
      </c>
      <c r="R112" s="1899">
        <f t="shared" ca="1" si="230"/>
        <v>11.753198082865321</v>
      </c>
      <c r="S112" s="1898">
        <f t="shared" ca="1" si="230"/>
        <v>11.753198082865323</v>
      </c>
      <c r="T112" s="1898">
        <f t="shared" ca="1" si="230"/>
        <v>11.753198082865321</v>
      </c>
      <c r="U112" s="1898">
        <f t="shared" ca="1" si="230"/>
        <v>0</v>
      </c>
      <c r="V112" s="1898">
        <f t="shared" ca="1" si="230"/>
        <v>0</v>
      </c>
      <c r="W112" s="1898">
        <f t="shared" ca="1" si="230"/>
        <v>11.753198082865323</v>
      </c>
      <c r="X112" s="1900">
        <f t="shared" ca="1" si="230"/>
        <v>11.753198082865321</v>
      </c>
      <c r="Y112" s="1901">
        <f t="shared" ca="1" si="231"/>
        <v>35.259594248595967</v>
      </c>
      <c r="Z112" s="1901">
        <f t="shared" ca="1" si="231"/>
        <v>35.25959424859596</v>
      </c>
      <c r="AA112" s="1877">
        <f t="shared" ca="1" si="168"/>
        <v>70.519188497191934</v>
      </c>
      <c r="AB112" s="1897">
        <f ca="1">AB$16/$AL$16*$AL112</f>
        <v>0</v>
      </c>
      <c r="AC112" s="1899">
        <f t="shared" ca="1" si="232"/>
        <v>0</v>
      </c>
      <c r="AD112" s="1898">
        <f t="shared" ca="1" si="232"/>
        <v>0</v>
      </c>
      <c r="AE112" s="1898">
        <f t="shared" ca="1" si="232"/>
        <v>0</v>
      </c>
      <c r="AF112" s="1898">
        <f t="shared" ca="1" si="232"/>
        <v>0</v>
      </c>
      <c r="AG112" s="1898">
        <f t="shared" ca="1" si="232"/>
        <v>0</v>
      </c>
      <c r="AH112" s="1898">
        <f t="shared" ca="1" si="232"/>
        <v>0</v>
      </c>
      <c r="AI112" s="1900">
        <f t="shared" ca="1" si="232"/>
        <v>0</v>
      </c>
      <c r="AJ112" s="1901">
        <f t="shared" ca="1" si="233"/>
        <v>0</v>
      </c>
      <c r="AK112" s="1901">
        <f t="shared" ca="1" si="233"/>
        <v>0</v>
      </c>
      <c r="AL112" s="1877">
        <f t="shared" ca="1" si="170"/>
        <v>0</v>
      </c>
      <c r="AM112" s="1897">
        <f>AM$16/$AW$16*$AW112</f>
        <v>0</v>
      </c>
      <c r="AN112" s="1899">
        <f t="shared" si="234"/>
        <v>0</v>
      </c>
      <c r="AO112" s="1898">
        <f t="shared" si="234"/>
        <v>0</v>
      </c>
      <c r="AP112" s="1898">
        <f t="shared" si="234"/>
        <v>0</v>
      </c>
      <c r="AQ112" s="1898">
        <f t="shared" si="234"/>
        <v>0</v>
      </c>
      <c r="AR112" s="1898">
        <f t="shared" si="234"/>
        <v>0</v>
      </c>
      <c r="AS112" s="1898">
        <f t="shared" si="234"/>
        <v>0</v>
      </c>
      <c r="AT112" s="1900">
        <f t="shared" si="234"/>
        <v>0</v>
      </c>
      <c r="AU112" s="1901">
        <f t="shared" si="235"/>
        <v>0</v>
      </c>
      <c r="AV112" s="1901">
        <f t="shared" si="235"/>
        <v>0</v>
      </c>
      <c r="AW112" s="1877"/>
      <c r="AX112" s="1740"/>
      <c r="AY112" s="1740"/>
      <c r="AZ112" s="1740"/>
      <c r="BA112" s="1883">
        <f t="shared" ca="1" si="236"/>
        <v>77.121525374921859</v>
      </c>
      <c r="BB112" s="1883">
        <f t="shared" ca="1" si="237"/>
        <v>77.121525374921859</v>
      </c>
      <c r="BC112" s="1883">
        <f t="shared" ca="1" si="238"/>
        <v>0</v>
      </c>
      <c r="BD112" s="1883">
        <f t="shared" ca="1" si="239"/>
        <v>77.121525374921845</v>
      </c>
      <c r="BE112" s="1883">
        <f t="shared" ca="1" si="240"/>
        <v>231.36457612476556</v>
      </c>
      <c r="BF112" s="1740"/>
      <c r="BG112" s="1740"/>
      <c r="BH112" s="1740"/>
      <c r="BI112" s="1768">
        <f t="shared" ca="1" si="241"/>
        <v>77.121525374921859</v>
      </c>
      <c r="BJ112" s="1768">
        <f t="shared" ca="1" si="242"/>
        <v>154.24305074984369</v>
      </c>
      <c r="BK112" s="1935">
        <f t="shared" ca="1" si="243"/>
        <v>231.36457612476556</v>
      </c>
    </row>
    <row r="113" spans="1:63" ht="47.25">
      <c r="B113" s="1872"/>
      <c r="C113" s="1894" t="s">
        <v>3781</v>
      </c>
      <c r="D113" s="1895"/>
      <c r="E113" s="1896"/>
      <c r="F113" s="1895"/>
      <c r="G113" s="1897">
        <f t="shared" ca="1" si="228"/>
        <v>80.433963955972743</v>
      </c>
      <c r="H113" s="1898">
        <f t="shared" ca="1" si="228"/>
        <v>80.433963955972743</v>
      </c>
      <c r="I113" s="1898">
        <f t="shared" ca="1" si="228"/>
        <v>0</v>
      </c>
      <c r="J113" s="1779">
        <f ca="1">K113-G113-H113-I113</f>
        <v>80.433963955972715</v>
      </c>
      <c r="K113" s="1877">
        <f t="shared" ca="1" si="165"/>
        <v>241.30189186791819</v>
      </c>
      <c r="L113" s="1897">
        <f ca="1">L$16/$P$16*$P113</f>
        <v>8.5311004910648336</v>
      </c>
      <c r="M113" s="1898">
        <f t="shared" ca="1" si="229"/>
        <v>8.5311004910648336</v>
      </c>
      <c r="N113" s="1898">
        <f t="shared" ca="1" si="229"/>
        <v>0</v>
      </c>
      <c r="O113" s="1898">
        <f t="shared" ca="1" si="229"/>
        <v>8.53110049106483</v>
      </c>
      <c r="P113" s="1877">
        <f t="shared" ca="1" si="166"/>
        <v>25.593301473194497</v>
      </c>
      <c r="Q113" s="1897">
        <f ca="1">Q$16/$AA$16*$AA113</f>
        <v>14.924173139293687</v>
      </c>
      <c r="R113" s="1899">
        <f t="shared" ca="1" si="230"/>
        <v>14.924173139293686</v>
      </c>
      <c r="S113" s="1898">
        <f t="shared" ca="1" si="230"/>
        <v>14.924173139293687</v>
      </c>
      <c r="T113" s="1898">
        <f t="shared" ca="1" si="230"/>
        <v>14.924173139293686</v>
      </c>
      <c r="U113" s="1898">
        <f t="shared" ca="1" si="230"/>
        <v>0</v>
      </c>
      <c r="V113" s="1898">
        <f t="shared" ca="1" si="230"/>
        <v>0</v>
      </c>
      <c r="W113" s="1898">
        <f t="shared" ca="1" si="230"/>
        <v>14.924173139293687</v>
      </c>
      <c r="X113" s="1900">
        <f t="shared" ca="1" si="230"/>
        <v>14.924173139293686</v>
      </c>
      <c r="Y113" s="1901">
        <f t="shared" ca="1" si="231"/>
        <v>44.772519417881064</v>
      </c>
      <c r="Z113" s="1901">
        <f t="shared" ca="1" si="231"/>
        <v>44.772519417881057</v>
      </c>
      <c r="AA113" s="1877">
        <f t="shared" ca="1" si="168"/>
        <v>89.545038835762114</v>
      </c>
      <c r="AB113" s="1897">
        <f ca="1">AB$16/$AL$16*$AL113</f>
        <v>0</v>
      </c>
      <c r="AC113" s="1899">
        <f t="shared" ca="1" si="232"/>
        <v>0</v>
      </c>
      <c r="AD113" s="1898">
        <f t="shared" ca="1" si="232"/>
        <v>0</v>
      </c>
      <c r="AE113" s="1898">
        <f t="shared" ca="1" si="232"/>
        <v>0</v>
      </c>
      <c r="AF113" s="1898">
        <f t="shared" ca="1" si="232"/>
        <v>0</v>
      </c>
      <c r="AG113" s="1898">
        <f t="shared" ca="1" si="232"/>
        <v>0</v>
      </c>
      <c r="AH113" s="1898">
        <f t="shared" ca="1" si="232"/>
        <v>0</v>
      </c>
      <c r="AI113" s="1900">
        <f t="shared" ca="1" si="232"/>
        <v>0</v>
      </c>
      <c r="AJ113" s="1901">
        <f t="shared" ca="1" si="233"/>
        <v>0</v>
      </c>
      <c r="AK113" s="1901">
        <f t="shared" ca="1" si="233"/>
        <v>0</v>
      </c>
      <c r="AL113" s="1877">
        <f t="shared" ca="1" si="170"/>
        <v>0</v>
      </c>
      <c r="AM113" s="1897">
        <f>AM$16/$AW$16*$AW113</f>
        <v>0</v>
      </c>
      <c r="AN113" s="1899">
        <f t="shared" si="234"/>
        <v>0</v>
      </c>
      <c r="AO113" s="1898">
        <f t="shared" si="234"/>
        <v>0</v>
      </c>
      <c r="AP113" s="1898">
        <f t="shared" si="234"/>
        <v>0</v>
      </c>
      <c r="AQ113" s="1898">
        <f t="shared" si="234"/>
        <v>0</v>
      </c>
      <c r="AR113" s="1898">
        <f t="shared" si="234"/>
        <v>0</v>
      </c>
      <c r="AS113" s="1898">
        <f t="shared" si="234"/>
        <v>0</v>
      </c>
      <c r="AT113" s="1900">
        <f t="shared" si="234"/>
        <v>0</v>
      </c>
      <c r="AU113" s="1901">
        <f t="shared" si="235"/>
        <v>0</v>
      </c>
      <c r="AV113" s="1901">
        <f t="shared" si="235"/>
        <v>0</v>
      </c>
      <c r="AW113" s="1877"/>
      <c r="AX113" s="1740"/>
      <c r="AY113" s="1740"/>
      <c r="AZ113" s="1740"/>
      <c r="BA113" s="1883">
        <f t="shared" ca="1" si="236"/>
        <v>118.81341072562495</v>
      </c>
      <c r="BB113" s="1883">
        <f t="shared" ca="1" si="237"/>
        <v>118.81341072562495</v>
      </c>
      <c r="BC113" s="1883">
        <f t="shared" ca="1" si="238"/>
        <v>0</v>
      </c>
      <c r="BD113" s="1883">
        <f t="shared" ca="1" si="239"/>
        <v>118.81341072562492</v>
      </c>
      <c r="BE113" s="1883">
        <f t="shared" ca="1" si="240"/>
        <v>356.44023217687482</v>
      </c>
      <c r="BF113" s="1740"/>
      <c r="BG113" s="1740"/>
      <c r="BH113" s="1740"/>
      <c r="BI113" s="1768">
        <f t="shared" ca="1" si="241"/>
        <v>118.81341072562495</v>
      </c>
      <c r="BJ113" s="1768">
        <f t="shared" ca="1" si="242"/>
        <v>237.62682145124987</v>
      </c>
      <c r="BK113" s="1935">
        <f t="shared" ca="1" si="243"/>
        <v>356.44023217687482</v>
      </c>
    </row>
    <row r="114" spans="1:63" ht="15.75">
      <c r="B114" s="1872"/>
      <c r="C114" s="1894" t="s">
        <v>3722</v>
      </c>
      <c r="D114" s="1895"/>
      <c r="E114" s="1896"/>
      <c r="F114" s="1895"/>
      <c r="G114" s="1897">
        <f t="shared" ca="1" si="228"/>
        <v>1.7848968832884193</v>
      </c>
      <c r="H114" s="1898">
        <f t="shared" ca="1" si="228"/>
        <v>1.7848968832884193</v>
      </c>
      <c r="I114" s="1898">
        <f t="shared" ca="1" si="228"/>
        <v>0</v>
      </c>
      <c r="J114" s="1779">
        <f ca="1">K114-G114-H114-I114</f>
        <v>1.7848968832884189</v>
      </c>
      <c r="K114" s="1877">
        <f t="shared" ca="1" si="165"/>
        <v>5.3546906498652573</v>
      </c>
      <c r="L114" s="1897">
        <f ca="1">L$16/$P$16*$P114</f>
        <v>0.18941792788816217</v>
      </c>
      <c r="M114" s="1898">
        <f t="shared" ca="1" si="229"/>
        <v>0.18941792788816217</v>
      </c>
      <c r="N114" s="1898">
        <f t="shared" ca="1" si="229"/>
        <v>0</v>
      </c>
      <c r="O114" s="1898">
        <f t="shared" ca="1" si="229"/>
        <v>0.18941792788816209</v>
      </c>
      <c r="P114" s="1877">
        <f t="shared" ca="1" si="166"/>
        <v>0.56825378366448642</v>
      </c>
      <c r="Q114" s="1897">
        <f ca="1">Q$16/$AA$16*$AA114</f>
        <v>0.48892114072829551</v>
      </c>
      <c r="R114" s="1899">
        <f t="shared" ca="1" si="230"/>
        <v>0.48892114072829546</v>
      </c>
      <c r="S114" s="1898">
        <f t="shared" ca="1" si="230"/>
        <v>0.48892114072829551</v>
      </c>
      <c r="T114" s="1898">
        <f t="shared" ca="1" si="230"/>
        <v>0.48892114072829546</v>
      </c>
      <c r="U114" s="1898">
        <f t="shared" ca="1" si="230"/>
        <v>0</v>
      </c>
      <c r="V114" s="1898">
        <f t="shared" ca="1" si="230"/>
        <v>0</v>
      </c>
      <c r="W114" s="1898">
        <f t="shared" ca="1" si="230"/>
        <v>0.48892114072829551</v>
      </c>
      <c r="X114" s="1900">
        <f t="shared" ca="1" si="230"/>
        <v>0.48892114072829546</v>
      </c>
      <c r="Y114" s="1901">
        <f t="shared" ca="1" si="231"/>
        <v>1.4667634221848864</v>
      </c>
      <c r="Z114" s="1901">
        <f t="shared" ca="1" si="231"/>
        <v>1.4667634221848864</v>
      </c>
      <c r="AA114" s="1877">
        <f t="shared" ca="1" si="168"/>
        <v>2.9335268443697728</v>
      </c>
      <c r="AB114" s="1897">
        <f ca="1">AB$16/$AL$16*$AL114</f>
        <v>0</v>
      </c>
      <c r="AC114" s="1899">
        <f t="shared" ca="1" si="232"/>
        <v>0</v>
      </c>
      <c r="AD114" s="1898">
        <f t="shared" ca="1" si="232"/>
        <v>0</v>
      </c>
      <c r="AE114" s="1898">
        <f t="shared" ca="1" si="232"/>
        <v>0</v>
      </c>
      <c r="AF114" s="1898">
        <f t="shared" ca="1" si="232"/>
        <v>0</v>
      </c>
      <c r="AG114" s="1898">
        <f t="shared" ca="1" si="232"/>
        <v>0</v>
      </c>
      <c r="AH114" s="1898">
        <f t="shared" ca="1" si="232"/>
        <v>0</v>
      </c>
      <c r="AI114" s="1900">
        <f t="shared" ca="1" si="232"/>
        <v>0</v>
      </c>
      <c r="AJ114" s="1901">
        <f t="shared" ca="1" si="233"/>
        <v>0</v>
      </c>
      <c r="AK114" s="1901">
        <f t="shared" ca="1" si="233"/>
        <v>0</v>
      </c>
      <c r="AL114" s="1877">
        <f t="shared" ca="1" si="170"/>
        <v>0</v>
      </c>
      <c r="AM114" s="1897">
        <f>AM$16/$AW$16*$AW114</f>
        <v>0</v>
      </c>
      <c r="AN114" s="1899">
        <f t="shared" si="234"/>
        <v>0</v>
      </c>
      <c r="AO114" s="1898">
        <f t="shared" si="234"/>
        <v>0</v>
      </c>
      <c r="AP114" s="1898">
        <f t="shared" si="234"/>
        <v>0</v>
      </c>
      <c r="AQ114" s="1898">
        <f t="shared" si="234"/>
        <v>0</v>
      </c>
      <c r="AR114" s="1898">
        <f t="shared" si="234"/>
        <v>0</v>
      </c>
      <c r="AS114" s="1898">
        <f t="shared" si="234"/>
        <v>0</v>
      </c>
      <c r="AT114" s="1900">
        <f t="shared" si="234"/>
        <v>0</v>
      </c>
      <c r="AU114" s="1901">
        <f t="shared" si="235"/>
        <v>0</v>
      </c>
      <c r="AV114" s="1901">
        <f t="shared" si="235"/>
        <v>0</v>
      </c>
      <c r="AW114" s="1877"/>
      <c r="AX114" s="1740"/>
      <c r="AY114" s="1740"/>
      <c r="AZ114" s="1740"/>
      <c r="BA114" s="1883">
        <f t="shared" ca="1" si="236"/>
        <v>2.9521570926331728</v>
      </c>
      <c r="BB114" s="1883">
        <f t="shared" ca="1" si="237"/>
        <v>2.9521570926331728</v>
      </c>
      <c r="BC114" s="1883">
        <f t="shared" ca="1" si="238"/>
        <v>0</v>
      </c>
      <c r="BD114" s="1883">
        <f t="shared" ca="1" si="239"/>
        <v>2.9521570926331719</v>
      </c>
      <c r="BE114" s="1883">
        <f t="shared" ca="1" si="240"/>
        <v>8.8564712778995158</v>
      </c>
      <c r="BF114" s="1740"/>
      <c r="BG114" s="1740"/>
      <c r="BH114" s="1740"/>
      <c r="BI114" s="1768">
        <f t="shared" ca="1" si="241"/>
        <v>2.9521570926331728</v>
      </c>
      <c r="BJ114" s="1768">
        <f t="shared" ca="1" si="242"/>
        <v>5.9043141852663448</v>
      </c>
      <c r="BK114" s="1935">
        <f t="shared" ca="1" si="243"/>
        <v>8.8564712778995176</v>
      </c>
    </row>
    <row r="115" spans="1:63" ht="31.5">
      <c r="B115" s="1872"/>
      <c r="C115" s="1894" t="s">
        <v>3782</v>
      </c>
      <c r="D115" s="1895"/>
      <c r="E115" s="1896"/>
      <c r="F115" s="1895"/>
      <c r="G115" s="1902">
        <f ca="1">SUM(G116,G117)</f>
        <v>229826.8440942897</v>
      </c>
      <c r="H115" s="1903">
        <f t="shared" ref="H115:J115" ca="1" si="244">SUM(H116,H117)</f>
        <v>229826.8440942897</v>
      </c>
      <c r="I115" s="1903">
        <f t="shared" ca="1" si="244"/>
        <v>0</v>
      </c>
      <c r="J115" s="1903">
        <f t="shared" ca="1" si="244"/>
        <v>229826.84409428958</v>
      </c>
      <c r="K115" s="1877">
        <f t="shared" ca="1" si="165"/>
        <v>689480.53228286898</v>
      </c>
      <c r="L115" s="1902">
        <f ca="1">SUM(L116,L117)</f>
        <v>228.04096070723895</v>
      </c>
      <c r="M115" s="1903">
        <f t="shared" ref="M115:O115" ca="1" si="245">SUM(M116,M117)</f>
        <v>228.04096070723895</v>
      </c>
      <c r="N115" s="1903">
        <f t="shared" ca="1" si="245"/>
        <v>0</v>
      </c>
      <c r="O115" s="1903">
        <f t="shared" ca="1" si="245"/>
        <v>228.04096070723887</v>
      </c>
      <c r="P115" s="1877">
        <f t="shared" ca="1" si="166"/>
        <v>684.12288212171677</v>
      </c>
      <c r="Q115" s="1902">
        <f ca="1">SUM(Q116,Q117)</f>
        <v>12018.243782248597</v>
      </c>
      <c r="R115" s="1904">
        <f t="shared" ref="R115:Z115" ca="1" si="246">SUM(R116,R117)</f>
        <v>12018.243782248595</v>
      </c>
      <c r="S115" s="1903">
        <f t="shared" ca="1" si="246"/>
        <v>12018.243782248597</v>
      </c>
      <c r="T115" s="1903">
        <f t="shared" ca="1" si="246"/>
        <v>12018.243782248595</v>
      </c>
      <c r="U115" s="1903">
        <f t="shared" ca="1" si="246"/>
        <v>0</v>
      </c>
      <c r="V115" s="1903">
        <f t="shared" ca="1" si="246"/>
        <v>0</v>
      </c>
      <c r="W115" s="1903">
        <f t="shared" ca="1" si="246"/>
        <v>12018.243782248597</v>
      </c>
      <c r="X115" s="1901">
        <f t="shared" ca="1" si="246"/>
        <v>12018.243782248595</v>
      </c>
      <c r="Y115" s="1901">
        <f t="shared" ca="1" si="246"/>
        <v>36054.731346745793</v>
      </c>
      <c r="Z115" s="1901">
        <f t="shared" ca="1" si="246"/>
        <v>36054.731346745786</v>
      </c>
      <c r="AA115" s="1877">
        <f t="shared" ca="1" si="168"/>
        <v>72109.462693491572</v>
      </c>
      <c r="AB115" s="1902">
        <f ca="1">SUM(AB116,AB117)</f>
        <v>0</v>
      </c>
      <c r="AC115" s="1904">
        <f t="shared" ref="AC115:AK115" ca="1" si="247">SUM(AC116,AC117)</f>
        <v>0</v>
      </c>
      <c r="AD115" s="1903">
        <f t="shared" ca="1" si="247"/>
        <v>0</v>
      </c>
      <c r="AE115" s="1903">
        <f t="shared" ca="1" si="247"/>
        <v>0</v>
      </c>
      <c r="AF115" s="1903">
        <f t="shared" ca="1" si="247"/>
        <v>0</v>
      </c>
      <c r="AG115" s="1903">
        <f t="shared" ca="1" si="247"/>
        <v>0</v>
      </c>
      <c r="AH115" s="1903">
        <f t="shared" ca="1" si="247"/>
        <v>0</v>
      </c>
      <c r="AI115" s="1901">
        <f t="shared" ca="1" si="247"/>
        <v>0</v>
      </c>
      <c r="AJ115" s="1901">
        <f t="shared" ca="1" si="247"/>
        <v>0</v>
      </c>
      <c r="AK115" s="1901">
        <f t="shared" ca="1" si="247"/>
        <v>0</v>
      </c>
      <c r="AL115" s="1877">
        <f t="shared" ca="1" si="170"/>
        <v>0</v>
      </c>
      <c r="AM115" s="1902">
        <f>SUM(AM116,AM117)</f>
        <v>0</v>
      </c>
      <c r="AN115" s="1904">
        <f t="shared" ref="AN115:AV115" si="248">SUM(AN116,AN117)</f>
        <v>0</v>
      </c>
      <c r="AO115" s="1903">
        <f t="shared" si="248"/>
        <v>0</v>
      </c>
      <c r="AP115" s="1903">
        <f t="shared" si="248"/>
        <v>0</v>
      </c>
      <c r="AQ115" s="1903">
        <f t="shared" si="248"/>
        <v>0</v>
      </c>
      <c r="AR115" s="1903">
        <f t="shared" si="248"/>
        <v>0</v>
      </c>
      <c r="AS115" s="1903">
        <f t="shared" si="248"/>
        <v>0</v>
      </c>
      <c r="AT115" s="1901">
        <f t="shared" si="248"/>
        <v>0</v>
      </c>
      <c r="AU115" s="1901">
        <f t="shared" si="248"/>
        <v>0</v>
      </c>
      <c r="AV115" s="1901">
        <f t="shared" si="248"/>
        <v>0</v>
      </c>
      <c r="AW115" s="1877"/>
      <c r="AX115" s="1740"/>
      <c r="AY115" s="1740"/>
      <c r="AZ115" s="1740"/>
      <c r="BA115" s="1902">
        <f ca="1">SUM(BA116,BA117)</f>
        <v>254091.37261949416</v>
      </c>
      <c r="BB115" s="1902">
        <f t="shared" ref="BB115:BE115" ca="1" si="249">SUM(BB116,BB117)</f>
        <v>254091.37261949416</v>
      </c>
      <c r="BC115" s="1902">
        <f t="shared" ca="1" si="249"/>
        <v>0</v>
      </c>
      <c r="BD115" s="1902">
        <f t="shared" ca="1" si="249"/>
        <v>254091.37261949404</v>
      </c>
      <c r="BE115" s="1902">
        <f t="shared" ca="1" si="249"/>
        <v>762274.11785848218</v>
      </c>
      <c r="BF115" s="1740"/>
      <c r="BG115" s="1740"/>
      <c r="BH115" s="1740"/>
      <c r="BI115" s="1905">
        <f ca="1">SUM(BI116,BI117)</f>
        <v>254091.37261949416</v>
      </c>
      <c r="BJ115" s="1905">
        <f t="shared" ref="BJ115:BK115" ca="1" si="250">SUM(BJ116,BJ117)</f>
        <v>508182.74523898819</v>
      </c>
      <c r="BK115" s="1964">
        <f t="shared" ca="1" si="250"/>
        <v>762274.11785848229</v>
      </c>
    </row>
    <row r="116" spans="1:63" ht="31.5">
      <c r="B116" s="1907"/>
      <c r="C116" s="1908" t="s">
        <v>3768</v>
      </c>
      <c r="D116" s="1895"/>
      <c r="E116" s="1896"/>
      <c r="F116" s="1895"/>
      <c r="G116" s="1897">
        <f ca="1">G$14/$K$14*$K116</f>
        <v>0</v>
      </c>
      <c r="H116" s="1898">
        <f t="shared" ref="H116:I116" ca="1" si="251">H$14/$K$14*$K116</f>
        <v>0</v>
      </c>
      <c r="I116" s="1898">
        <f t="shared" ca="1" si="251"/>
        <v>0</v>
      </c>
      <c r="J116" s="1898">
        <f ca="1">J$14/$K$14*$K116</f>
        <v>0</v>
      </c>
      <c r="K116" s="1877">
        <f t="shared" ca="1" si="165"/>
        <v>0</v>
      </c>
      <c r="L116" s="1897">
        <f ca="1">L$14/$P14*$P116</f>
        <v>0</v>
      </c>
      <c r="M116" s="1898">
        <f ca="1">M$14/$P14*$P116</f>
        <v>0</v>
      </c>
      <c r="N116" s="1898">
        <f ca="1">N$14/$P14*$P116</f>
        <v>0</v>
      </c>
      <c r="O116" s="1898">
        <f ca="1">O$14/$P14*$P116</f>
        <v>0</v>
      </c>
      <c r="P116" s="1877">
        <f t="shared" ca="1" si="166"/>
        <v>0</v>
      </c>
      <c r="Q116" s="1897">
        <f ca="1">Q$14/$AA$14*$AA116</f>
        <v>0</v>
      </c>
      <c r="R116" s="1899">
        <f t="shared" ref="R116:X116" ca="1" si="252">R$14/$AA$14*$AA116</f>
        <v>0</v>
      </c>
      <c r="S116" s="1898">
        <f t="shared" ca="1" si="252"/>
        <v>0</v>
      </c>
      <c r="T116" s="1898">
        <f t="shared" ca="1" si="252"/>
        <v>0</v>
      </c>
      <c r="U116" s="1898">
        <f t="shared" ca="1" si="252"/>
        <v>0</v>
      </c>
      <c r="V116" s="1898">
        <f t="shared" ca="1" si="252"/>
        <v>0</v>
      </c>
      <c r="W116" s="1898">
        <f t="shared" ca="1" si="252"/>
        <v>0</v>
      </c>
      <c r="X116" s="1900">
        <f t="shared" ca="1" si="252"/>
        <v>0</v>
      </c>
      <c r="Y116" s="1901">
        <f t="shared" ref="Y116:Z117" ca="1" si="253">SUM(Q116,S116,U116,W116)</f>
        <v>0</v>
      </c>
      <c r="Z116" s="1901">
        <f t="shared" ca="1" si="253"/>
        <v>0</v>
      </c>
      <c r="AA116" s="1877">
        <f t="shared" ca="1" si="168"/>
        <v>0</v>
      </c>
      <c r="AB116" s="1897">
        <f ca="1">AB$14/$AL$14*$AL116</f>
        <v>0</v>
      </c>
      <c r="AC116" s="1899">
        <f t="shared" ref="AC116:AI116" ca="1" si="254">AC$14/$AL$14*$AL116</f>
        <v>0</v>
      </c>
      <c r="AD116" s="1898">
        <f t="shared" ca="1" si="254"/>
        <v>0</v>
      </c>
      <c r="AE116" s="1898">
        <f t="shared" ca="1" si="254"/>
        <v>0</v>
      </c>
      <c r="AF116" s="1898">
        <f t="shared" ca="1" si="254"/>
        <v>0</v>
      </c>
      <c r="AG116" s="1898">
        <f t="shared" ca="1" si="254"/>
        <v>0</v>
      </c>
      <c r="AH116" s="1898">
        <f t="shared" ca="1" si="254"/>
        <v>0</v>
      </c>
      <c r="AI116" s="1900">
        <f t="shared" ca="1" si="254"/>
        <v>0</v>
      </c>
      <c r="AJ116" s="1901">
        <f t="shared" ref="AJ116:AK117" ca="1" si="255">SUM(AB116,AD116,AF116,AH116)</f>
        <v>0</v>
      </c>
      <c r="AK116" s="1901">
        <f t="shared" ca="1" si="255"/>
        <v>0</v>
      </c>
      <c r="AL116" s="1877">
        <f t="shared" ca="1" si="170"/>
        <v>0</v>
      </c>
      <c r="AM116" s="1897">
        <f>AM$14/$AW$14*$AW116</f>
        <v>0</v>
      </c>
      <c r="AN116" s="1899">
        <f t="shared" ref="AN116:AT116" si="256">AN$14/$AW$14*$AW116</f>
        <v>0</v>
      </c>
      <c r="AO116" s="1898">
        <f t="shared" si="256"/>
        <v>0</v>
      </c>
      <c r="AP116" s="1898">
        <f t="shared" si="256"/>
        <v>0</v>
      </c>
      <c r="AQ116" s="1898">
        <f t="shared" si="256"/>
        <v>0</v>
      </c>
      <c r="AR116" s="1898">
        <f t="shared" si="256"/>
        <v>0</v>
      </c>
      <c r="AS116" s="1898">
        <f t="shared" si="256"/>
        <v>0</v>
      </c>
      <c r="AT116" s="1900">
        <f t="shared" si="256"/>
        <v>0</v>
      </c>
      <c r="AU116" s="1901">
        <f t="shared" ref="AU116:AV117" si="257">SUM(AM116,AO116,AQ116,AS116)</f>
        <v>0</v>
      </c>
      <c r="AV116" s="1901">
        <f t="shared" si="257"/>
        <v>0</v>
      </c>
      <c r="AW116" s="1877"/>
      <c r="AX116" s="1740"/>
      <c r="AY116" s="1740"/>
      <c r="AZ116" s="1740"/>
      <c r="BA116" s="1883">
        <f t="shared" ref="BA116:BA123" ca="1" si="258">SUM(G116,L116,Q116:R116,AB116:AC116)</f>
        <v>0</v>
      </c>
      <c r="BB116" s="1883">
        <f t="shared" ref="BB116:BB123" ca="1" si="259">SUM(H116,M116,S116:T116,AD116:AE116)</f>
        <v>0</v>
      </c>
      <c r="BC116" s="1883">
        <f t="shared" ref="BC116:BC123" ca="1" si="260">SUM(I116,N116,U116:V116,AF116:AG116)</f>
        <v>0</v>
      </c>
      <c r="BD116" s="1883">
        <f t="shared" ref="BD116:BD123" ca="1" si="261">SUM(J116,O116,W116:X116,AH116:AI116)</f>
        <v>0</v>
      </c>
      <c r="BE116" s="1883">
        <f t="shared" ref="BE116:BE123" ca="1" si="262">SUM(K116,P116,Y116:Z116,AJ116:AK116)</f>
        <v>0</v>
      </c>
      <c r="BF116" s="1740"/>
      <c r="BG116" s="1740"/>
      <c r="BH116" s="1740"/>
      <c r="BI116" s="1768">
        <f t="shared" ref="BI116:BI117" ca="1" si="263">BA116</f>
        <v>0</v>
      </c>
      <c r="BJ116" s="1768">
        <f t="shared" ref="BJ116:BJ117" ca="1" si="264">SUM(BB116:BD116)</f>
        <v>0</v>
      </c>
      <c r="BK116" s="1935">
        <f t="shared" ref="BK116" ca="1" si="265">SUM(BI116:BJ116)</f>
        <v>0</v>
      </c>
    </row>
    <row r="117" spans="1:63" ht="15.75">
      <c r="B117" s="1907"/>
      <c r="C117" s="1909" t="s">
        <v>3769</v>
      </c>
      <c r="D117" s="1895"/>
      <c r="E117" s="1896"/>
      <c r="F117" s="1895"/>
      <c r="G117" s="1897">
        <f ca="1">G$16/$K$16*$K117</f>
        <v>229826.8440942897</v>
      </c>
      <c r="H117" s="1898">
        <f ca="1">H$16/$K$16*$K117</f>
        <v>229826.8440942897</v>
      </c>
      <c r="I117" s="1898">
        <f ca="1">I$16/$K$16*$K117</f>
        <v>0</v>
      </c>
      <c r="J117" s="1779">
        <f ca="1">K117-G117-H117-I117</f>
        <v>229826.84409428958</v>
      </c>
      <c r="K117" s="1910">
        <f t="shared" ca="1" si="165"/>
        <v>689480.53228286898</v>
      </c>
      <c r="L117" s="1897">
        <f ca="1">L$16/$P$16*$P117</f>
        <v>228.04096070723895</v>
      </c>
      <c r="M117" s="1898">
        <f t="shared" ref="M117:O117" ca="1" si="266">M$16/$P$16*$P117</f>
        <v>228.04096070723895</v>
      </c>
      <c r="N117" s="1898">
        <f t="shared" ca="1" si="266"/>
        <v>0</v>
      </c>
      <c r="O117" s="1898">
        <f t="shared" ca="1" si="266"/>
        <v>228.04096070723887</v>
      </c>
      <c r="P117" s="1910">
        <f t="shared" ca="1" si="166"/>
        <v>684.12288212171677</v>
      </c>
      <c r="Q117" s="1897">
        <f ca="1">Q$16/$AA$16*$AA117</f>
        <v>12018.243782248597</v>
      </c>
      <c r="R117" s="1899">
        <f t="shared" ref="R117:X117" ca="1" si="267">R$16/$AA$16*$AA117</f>
        <v>12018.243782248595</v>
      </c>
      <c r="S117" s="1898">
        <f t="shared" ca="1" si="267"/>
        <v>12018.243782248597</v>
      </c>
      <c r="T117" s="1898">
        <f t="shared" ca="1" si="267"/>
        <v>12018.243782248595</v>
      </c>
      <c r="U117" s="1898">
        <f t="shared" ca="1" si="267"/>
        <v>0</v>
      </c>
      <c r="V117" s="1898">
        <f t="shared" ca="1" si="267"/>
        <v>0</v>
      </c>
      <c r="W117" s="1898">
        <f t="shared" ca="1" si="267"/>
        <v>12018.243782248597</v>
      </c>
      <c r="X117" s="1900">
        <f t="shared" ca="1" si="267"/>
        <v>12018.243782248595</v>
      </c>
      <c r="Y117" s="1901">
        <f t="shared" ca="1" si="253"/>
        <v>36054.731346745793</v>
      </c>
      <c r="Z117" s="1901">
        <f t="shared" ca="1" si="253"/>
        <v>36054.731346745786</v>
      </c>
      <c r="AA117" s="1910">
        <f t="shared" ca="1" si="168"/>
        <v>72109.462693491572</v>
      </c>
      <c r="AB117" s="1897">
        <f ca="1">AB$16/$AL$16*$AL117</f>
        <v>0</v>
      </c>
      <c r="AC117" s="1899">
        <f t="shared" ref="AC117:AI117" ca="1" si="268">AC$16/$AL$16*$AL117</f>
        <v>0</v>
      </c>
      <c r="AD117" s="1898">
        <f t="shared" ca="1" si="268"/>
        <v>0</v>
      </c>
      <c r="AE117" s="1898">
        <f t="shared" ca="1" si="268"/>
        <v>0</v>
      </c>
      <c r="AF117" s="1898">
        <f t="shared" ca="1" si="268"/>
        <v>0</v>
      </c>
      <c r="AG117" s="1898">
        <f t="shared" ca="1" si="268"/>
        <v>0</v>
      </c>
      <c r="AH117" s="1898">
        <f t="shared" ca="1" si="268"/>
        <v>0</v>
      </c>
      <c r="AI117" s="1900">
        <f t="shared" ca="1" si="268"/>
        <v>0</v>
      </c>
      <c r="AJ117" s="1901">
        <f t="shared" ca="1" si="255"/>
        <v>0</v>
      </c>
      <c r="AK117" s="1901">
        <f t="shared" ca="1" si="255"/>
        <v>0</v>
      </c>
      <c r="AL117" s="1910">
        <f t="shared" ca="1" si="170"/>
        <v>0</v>
      </c>
      <c r="AM117" s="1897">
        <f>AM$16/$AW$16*$AW117</f>
        <v>0</v>
      </c>
      <c r="AN117" s="1899">
        <f t="shared" ref="AN117:AT117" si="269">AN$16/$AW$16*$AW117</f>
        <v>0</v>
      </c>
      <c r="AO117" s="1898">
        <f t="shared" si="269"/>
        <v>0</v>
      </c>
      <c r="AP117" s="1898">
        <f t="shared" si="269"/>
        <v>0</v>
      </c>
      <c r="AQ117" s="1898">
        <f t="shared" si="269"/>
        <v>0</v>
      </c>
      <c r="AR117" s="1898">
        <f t="shared" si="269"/>
        <v>0</v>
      </c>
      <c r="AS117" s="1898">
        <f t="shared" si="269"/>
        <v>0</v>
      </c>
      <c r="AT117" s="1900">
        <f t="shared" si="269"/>
        <v>0</v>
      </c>
      <c r="AU117" s="1901">
        <f t="shared" si="257"/>
        <v>0</v>
      </c>
      <c r="AV117" s="1901">
        <f t="shared" si="257"/>
        <v>0</v>
      </c>
      <c r="AW117" s="1910"/>
      <c r="AX117" s="1740"/>
      <c r="AY117" s="1740"/>
      <c r="AZ117" s="1740"/>
      <c r="BA117" s="1883">
        <f t="shared" ca="1" si="258"/>
        <v>254091.37261949416</v>
      </c>
      <c r="BB117" s="1883">
        <f t="shared" ca="1" si="259"/>
        <v>254091.37261949416</v>
      </c>
      <c r="BC117" s="1883">
        <f t="shared" ca="1" si="260"/>
        <v>0</v>
      </c>
      <c r="BD117" s="1883">
        <f t="shared" ca="1" si="261"/>
        <v>254091.37261949404</v>
      </c>
      <c r="BE117" s="1883">
        <f t="shared" ca="1" si="262"/>
        <v>762274.11785848218</v>
      </c>
      <c r="BF117" s="1740"/>
      <c r="BG117" s="1740"/>
      <c r="BH117" s="1740"/>
      <c r="BI117" s="1768">
        <f t="shared" ca="1" si="263"/>
        <v>254091.37261949416</v>
      </c>
      <c r="BJ117" s="1768">
        <f t="shared" ca="1" si="264"/>
        <v>508182.74523898819</v>
      </c>
      <c r="BK117" s="1935">
        <f ca="1">SUM(BI117:BJ117)</f>
        <v>762274.11785848229</v>
      </c>
    </row>
    <row r="118" spans="1:63" ht="15.75">
      <c r="A118" s="1739">
        <f>A107+1</f>
        <v>6</v>
      </c>
      <c r="B118" s="1872" t="str">
        <f>CONCATENATE($B$25,".",A118)</f>
        <v>8.6</v>
      </c>
      <c r="C118" s="1873" t="s">
        <v>3726</v>
      </c>
      <c r="D118" s="1874"/>
      <c r="E118" s="1875"/>
      <c r="F118" s="1874"/>
      <c r="G118" s="1889">
        <f ca="1">SUM(G119:G123)</f>
        <v>62096.054813835166</v>
      </c>
      <c r="H118" s="1890">
        <f t="shared" ref="H118:I118" ca="1" si="270">SUM(H119:H123)</f>
        <v>62096.054813835166</v>
      </c>
      <c r="I118" s="1890">
        <f t="shared" ca="1" si="270"/>
        <v>0</v>
      </c>
      <c r="J118" s="1890">
        <f ca="1">SUM(J119:J123)</f>
        <v>62096.054813835151</v>
      </c>
      <c r="K118" s="1877">
        <f t="shared" ca="1" si="165"/>
        <v>186288.16444150551</v>
      </c>
      <c r="L118" s="1889">
        <f ca="1">SUM(L119:L123)</f>
        <v>27.662844636823053</v>
      </c>
      <c r="M118" s="1890">
        <f t="shared" ref="M118:N118" ca="1" si="271">SUM(M119:M123)</f>
        <v>27.662844636823053</v>
      </c>
      <c r="N118" s="1890">
        <f t="shared" ca="1" si="271"/>
        <v>0</v>
      </c>
      <c r="O118" s="1890">
        <f ca="1">SUM(O119:O123)</f>
        <v>27.662844636823053</v>
      </c>
      <c r="P118" s="1877">
        <f t="shared" ca="1" si="166"/>
        <v>82.988533910469158</v>
      </c>
      <c r="Q118" s="1889">
        <f t="shared" ref="Q118:Z118" ca="1" si="272">SUM(Q119:Q123)</f>
        <v>2861.4949951261565</v>
      </c>
      <c r="R118" s="1891">
        <f t="shared" ca="1" si="272"/>
        <v>2861.494995126156</v>
      </c>
      <c r="S118" s="1889">
        <f t="shared" ca="1" si="272"/>
        <v>2861.4949951261565</v>
      </c>
      <c r="T118" s="1891">
        <f t="shared" ca="1" si="272"/>
        <v>2861.494995126156</v>
      </c>
      <c r="U118" s="1889">
        <f t="shared" ca="1" si="272"/>
        <v>0</v>
      </c>
      <c r="V118" s="1891">
        <f t="shared" ca="1" si="272"/>
        <v>0</v>
      </c>
      <c r="W118" s="1889">
        <f t="shared" ca="1" si="272"/>
        <v>2861.4949951261565</v>
      </c>
      <c r="X118" s="1891">
        <f t="shared" ca="1" si="272"/>
        <v>2861.494995126156</v>
      </c>
      <c r="Y118" s="1889">
        <f t="shared" ca="1" si="272"/>
        <v>8584.484985378469</v>
      </c>
      <c r="Z118" s="1891">
        <f t="shared" ca="1" si="272"/>
        <v>8584.484985378469</v>
      </c>
      <c r="AA118" s="1877">
        <f t="shared" ca="1" si="168"/>
        <v>17168.969970756934</v>
      </c>
      <c r="AB118" s="1889">
        <f t="shared" ref="AB118:AK118" ca="1" si="273">SUM(AB119:AB122)</f>
        <v>0</v>
      </c>
      <c r="AC118" s="1891">
        <f t="shared" ca="1" si="273"/>
        <v>0</v>
      </c>
      <c r="AD118" s="1890">
        <f t="shared" ca="1" si="273"/>
        <v>0</v>
      </c>
      <c r="AE118" s="1890">
        <f t="shared" ca="1" si="273"/>
        <v>0</v>
      </c>
      <c r="AF118" s="1890">
        <f t="shared" ca="1" si="273"/>
        <v>0</v>
      </c>
      <c r="AG118" s="1890">
        <f t="shared" ca="1" si="273"/>
        <v>0</v>
      </c>
      <c r="AH118" s="1890">
        <f t="shared" ca="1" si="273"/>
        <v>0</v>
      </c>
      <c r="AI118" s="1892">
        <f t="shared" ca="1" si="273"/>
        <v>0</v>
      </c>
      <c r="AJ118" s="1892">
        <f t="shared" ca="1" si="273"/>
        <v>0</v>
      </c>
      <c r="AK118" s="1892">
        <f t="shared" ca="1" si="273"/>
        <v>0</v>
      </c>
      <c r="AL118" s="1877">
        <f t="shared" ca="1" si="170"/>
        <v>0</v>
      </c>
      <c r="AM118" s="1889">
        <f t="shared" ref="AM118:AV118" si="274">SUM(AM119:AM122)</f>
        <v>0</v>
      </c>
      <c r="AN118" s="1891">
        <f t="shared" si="274"/>
        <v>0</v>
      </c>
      <c r="AO118" s="1890">
        <f t="shared" si="274"/>
        <v>0</v>
      </c>
      <c r="AP118" s="1890">
        <f t="shared" si="274"/>
        <v>0</v>
      </c>
      <c r="AQ118" s="1890">
        <f t="shared" si="274"/>
        <v>0</v>
      </c>
      <c r="AR118" s="1890">
        <f t="shared" si="274"/>
        <v>0</v>
      </c>
      <c r="AS118" s="1890">
        <f t="shared" si="274"/>
        <v>0</v>
      </c>
      <c r="AT118" s="1892">
        <f t="shared" si="274"/>
        <v>0</v>
      </c>
      <c r="AU118" s="1892">
        <f t="shared" si="274"/>
        <v>0</v>
      </c>
      <c r="AV118" s="1892">
        <f t="shared" si="274"/>
        <v>0</v>
      </c>
      <c r="AW118" s="1877"/>
      <c r="AX118" s="1740"/>
      <c r="AY118" s="1740"/>
      <c r="AZ118" s="1740"/>
      <c r="BA118" s="1883">
        <f t="shared" ca="1" si="258"/>
        <v>67846.707648724303</v>
      </c>
      <c r="BB118" s="1883">
        <f t="shared" ca="1" si="259"/>
        <v>67846.707648724303</v>
      </c>
      <c r="BC118" s="1883">
        <f t="shared" ca="1" si="260"/>
        <v>0</v>
      </c>
      <c r="BD118" s="1883">
        <f t="shared" ca="1" si="261"/>
        <v>67846.707648724288</v>
      </c>
      <c r="BE118" s="1883">
        <f t="shared" ca="1" si="262"/>
        <v>203540.12294617289</v>
      </c>
      <c r="BF118" s="1740"/>
      <c r="BG118" s="1740"/>
      <c r="BH118" s="1740"/>
      <c r="BI118" s="1871">
        <f ca="1">SUM(BI119:BI122)</f>
        <v>67846.707648724318</v>
      </c>
      <c r="BJ118" s="1871">
        <f ca="1">SUM(BJ119:BJ122)</f>
        <v>135693.41529744858</v>
      </c>
      <c r="BK118" s="1962">
        <f ca="1">SUM(BK119:BK122)</f>
        <v>203540.12294617292</v>
      </c>
    </row>
    <row r="119" spans="1:63" ht="15.75">
      <c r="B119" s="1872"/>
      <c r="C119" s="1887" t="s">
        <v>3783</v>
      </c>
      <c r="D119" s="1874"/>
      <c r="E119" s="1875"/>
      <c r="F119" s="1874"/>
      <c r="G119" s="1878">
        <f t="shared" ref="G119:I122" ca="1" si="275">G$16/$K$16*$K119</f>
        <v>0</v>
      </c>
      <c r="H119" s="1880">
        <f t="shared" ca="1" si="275"/>
        <v>0</v>
      </c>
      <c r="I119" s="1880">
        <f t="shared" ca="1" si="275"/>
        <v>0</v>
      </c>
      <c r="J119" s="1779">
        <f ca="1">K119-G119-H119-I119</f>
        <v>0</v>
      </c>
      <c r="K119" s="1877">
        <f t="shared" ca="1" si="165"/>
        <v>0</v>
      </c>
      <c r="L119" s="1878">
        <f t="shared" ref="L119:O122" ca="1" si="276">L$16/$P$16*$P119</f>
        <v>0</v>
      </c>
      <c r="M119" s="1880">
        <f t="shared" ca="1" si="276"/>
        <v>0</v>
      </c>
      <c r="N119" s="1880">
        <f t="shared" ca="1" si="276"/>
        <v>0</v>
      </c>
      <c r="O119" s="1880">
        <f t="shared" ca="1" si="276"/>
        <v>0</v>
      </c>
      <c r="P119" s="1877">
        <f t="shared" ca="1" si="166"/>
        <v>0</v>
      </c>
      <c r="Q119" s="1878">
        <f ca="1">Q$16/$AA$16*$AA119</f>
        <v>0</v>
      </c>
      <c r="R119" s="1879">
        <f t="shared" ref="R119:X122" ca="1" si="277">R$16/$AA$16*$AA119</f>
        <v>0</v>
      </c>
      <c r="S119" s="1880">
        <f t="shared" ca="1" si="277"/>
        <v>0</v>
      </c>
      <c r="T119" s="1880">
        <f t="shared" ca="1" si="277"/>
        <v>0</v>
      </c>
      <c r="U119" s="1880">
        <f t="shared" ca="1" si="277"/>
        <v>0</v>
      </c>
      <c r="V119" s="1880">
        <f t="shared" ca="1" si="277"/>
        <v>0</v>
      </c>
      <c r="W119" s="1880">
        <f t="shared" ca="1" si="277"/>
        <v>0</v>
      </c>
      <c r="X119" s="1881">
        <f t="shared" ca="1" si="277"/>
        <v>0</v>
      </c>
      <c r="Y119" s="1882">
        <f t="shared" ref="Y119:Z123" ca="1" si="278">SUM(Q119,S119,U119,W119)</f>
        <v>0</v>
      </c>
      <c r="Z119" s="1882">
        <f t="shared" ca="1" si="278"/>
        <v>0</v>
      </c>
      <c r="AA119" s="1877">
        <f t="shared" ca="1" si="168"/>
        <v>0</v>
      </c>
      <c r="AB119" s="1878">
        <f ca="1">AB$16/$AL$16*$AL119</f>
        <v>0</v>
      </c>
      <c r="AC119" s="1879">
        <f t="shared" ref="AC119:AI122" ca="1" si="279">AC$16/$AL$16*$AL119</f>
        <v>0</v>
      </c>
      <c r="AD119" s="1880">
        <f t="shared" ca="1" si="279"/>
        <v>0</v>
      </c>
      <c r="AE119" s="1880">
        <f t="shared" ca="1" si="279"/>
        <v>0</v>
      </c>
      <c r="AF119" s="1880">
        <f t="shared" ca="1" si="279"/>
        <v>0</v>
      </c>
      <c r="AG119" s="1880">
        <f t="shared" ca="1" si="279"/>
        <v>0</v>
      </c>
      <c r="AH119" s="1880">
        <f t="shared" ca="1" si="279"/>
        <v>0</v>
      </c>
      <c r="AI119" s="1881">
        <f t="shared" ca="1" si="279"/>
        <v>0</v>
      </c>
      <c r="AJ119" s="1882">
        <f t="shared" ref="AJ119:AK123" ca="1" si="280">SUM(AB119,AD119,AF119,AH119)</f>
        <v>0</v>
      </c>
      <c r="AK119" s="1882">
        <f t="shared" ca="1" si="280"/>
        <v>0</v>
      </c>
      <c r="AL119" s="1877">
        <f t="shared" ca="1" si="170"/>
        <v>0</v>
      </c>
      <c r="AM119" s="1878">
        <f>AM$16/$AW$16*$AW119</f>
        <v>0</v>
      </c>
      <c r="AN119" s="1879">
        <f t="shared" ref="AN119:AT122" si="281">AN$16/$AW$16*$AW119</f>
        <v>0</v>
      </c>
      <c r="AO119" s="1880">
        <f t="shared" si="281"/>
        <v>0</v>
      </c>
      <c r="AP119" s="1880">
        <f t="shared" si="281"/>
        <v>0</v>
      </c>
      <c r="AQ119" s="1880">
        <f t="shared" si="281"/>
        <v>0</v>
      </c>
      <c r="AR119" s="1880">
        <f t="shared" si="281"/>
        <v>0</v>
      </c>
      <c r="AS119" s="1880">
        <f t="shared" si="281"/>
        <v>0</v>
      </c>
      <c r="AT119" s="1881">
        <f t="shared" si="281"/>
        <v>0</v>
      </c>
      <c r="AU119" s="1882">
        <f t="shared" ref="AU119:AV123" si="282">SUM(AM119,AO119,AQ119,AS119)</f>
        <v>0</v>
      </c>
      <c r="AV119" s="1882">
        <f t="shared" si="282"/>
        <v>0</v>
      </c>
      <c r="AW119" s="1877"/>
      <c r="AX119" s="1740"/>
      <c r="AY119" s="1740"/>
      <c r="AZ119" s="1740"/>
      <c r="BA119" s="1883">
        <f t="shared" ca="1" si="258"/>
        <v>0</v>
      </c>
      <c r="BB119" s="1883">
        <f t="shared" ca="1" si="259"/>
        <v>0</v>
      </c>
      <c r="BC119" s="1883">
        <f t="shared" ca="1" si="260"/>
        <v>0</v>
      </c>
      <c r="BD119" s="1883">
        <f t="shared" ca="1" si="261"/>
        <v>0</v>
      </c>
      <c r="BE119" s="1883">
        <f t="shared" ca="1" si="262"/>
        <v>0</v>
      </c>
      <c r="BF119" s="1740"/>
      <c r="BG119" s="1740"/>
      <c r="BH119" s="1740"/>
      <c r="BI119" s="1768">
        <f t="shared" ref="BI119:BI123" ca="1" si="283">BA119</f>
        <v>0</v>
      </c>
      <c r="BJ119" s="1768">
        <f t="shared" ref="BJ119:BJ123" ca="1" si="284">SUM(BB119:BD119)</f>
        <v>0</v>
      </c>
      <c r="BK119" s="1935">
        <f t="shared" ref="BK119:BK123" ca="1" si="285">SUM(BI119:BJ119)</f>
        <v>0</v>
      </c>
    </row>
    <row r="120" spans="1:63" ht="15.75">
      <c r="B120" s="1872"/>
      <c r="C120" s="1887" t="s">
        <v>3784</v>
      </c>
      <c r="D120" s="1874"/>
      <c r="E120" s="1875"/>
      <c r="F120" s="1874"/>
      <c r="G120" s="1878">
        <f ca="1">G$16/$K$16*$K120*G125</f>
        <v>0</v>
      </c>
      <c r="H120" s="1880">
        <f ca="1">H$16/$K$16*$K120*H125</f>
        <v>0</v>
      </c>
      <c r="I120" s="1880">
        <f t="shared" ca="1" si="275"/>
        <v>0</v>
      </c>
      <c r="J120" s="1779">
        <f ca="1">K120-G120-H120-I120</f>
        <v>0</v>
      </c>
      <c r="K120" s="1877">
        <f t="shared" ca="1" si="165"/>
        <v>0</v>
      </c>
      <c r="L120" s="1878">
        <f t="shared" ca="1" si="276"/>
        <v>0</v>
      </c>
      <c r="M120" s="1880">
        <f t="shared" ca="1" si="276"/>
        <v>0</v>
      </c>
      <c r="N120" s="1880">
        <f t="shared" ca="1" si="276"/>
        <v>0</v>
      </c>
      <c r="O120" s="1880">
        <f t="shared" ca="1" si="276"/>
        <v>0</v>
      </c>
      <c r="P120" s="1877">
        <f t="shared" ca="1" si="166"/>
        <v>0</v>
      </c>
      <c r="Q120" s="1878">
        <f ca="1">Q$16/$AA$16*$AA120</f>
        <v>0</v>
      </c>
      <c r="R120" s="1879">
        <f ca="1">R$16/$AA$16*$AA120</f>
        <v>0</v>
      </c>
      <c r="S120" s="1880">
        <f t="shared" ca="1" si="277"/>
        <v>0</v>
      </c>
      <c r="T120" s="1880">
        <f t="shared" ca="1" si="277"/>
        <v>0</v>
      </c>
      <c r="U120" s="1880">
        <f t="shared" ca="1" si="277"/>
        <v>0</v>
      </c>
      <c r="V120" s="1880">
        <f t="shared" ca="1" si="277"/>
        <v>0</v>
      </c>
      <c r="W120" s="1880">
        <f t="shared" ca="1" si="277"/>
        <v>0</v>
      </c>
      <c r="X120" s="1881">
        <f t="shared" ca="1" si="277"/>
        <v>0</v>
      </c>
      <c r="Y120" s="1882">
        <f t="shared" ca="1" si="278"/>
        <v>0</v>
      </c>
      <c r="Z120" s="1882">
        <f t="shared" ca="1" si="278"/>
        <v>0</v>
      </c>
      <c r="AA120" s="1877">
        <f t="shared" ca="1" si="168"/>
        <v>0</v>
      </c>
      <c r="AB120" s="1878">
        <f ca="1">AB$16/$AL$16*$AL120</f>
        <v>0</v>
      </c>
      <c r="AC120" s="1879">
        <f t="shared" ca="1" si="279"/>
        <v>0</v>
      </c>
      <c r="AD120" s="1880">
        <f t="shared" ca="1" si="279"/>
        <v>0</v>
      </c>
      <c r="AE120" s="1880">
        <f t="shared" ca="1" si="279"/>
        <v>0</v>
      </c>
      <c r="AF120" s="1880">
        <f t="shared" ca="1" si="279"/>
        <v>0</v>
      </c>
      <c r="AG120" s="1880">
        <f t="shared" ca="1" si="279"/>
        <v>0</v>
      </c>
      <c r="AH120" s="1880">
        <f t="shared" ca="1" si="279"/>
        <v>0</v>
      </c>
      <c r="AI120" s="1881">
        <f t="shared" ca="1" si="279"/>
        <v>0</v>
      </c>
      <c r="AJ120" s="1882">
        <f t="shared" ca="1" si="280"/>
        <v>0</v>
      </c>
      <c r="AK120" s="1882">
        <f t="shared" ca="1" si="280"/>
        <v>0</v>
      </c>
      <c r="AL120" s="1877">
        <f t="shared" ca="1" si="170"/>
        <v>0</v>
      </c>
      <c r="AM120" s="1878">
        <f>AM$16/$AW$16*$AW120</f>
        <v>0</v>
      </c>
      <c r="AN120" s="1879">
        <f t="shared" si="281"/>
        <v>0</v>
      </c>
      <c r="AO120" s="1880">
        <f t="shared" si="281"/>
        <v>0</v>
      </c>
      <c r="AP120" s="1880">
        <f t="shared" si="281"/>
        <v>0</v>
      </c>
      <c r="AQ120" s="1880">
        <f t="shared" si="281"/>
        <v>0</v>
      </c>
      <c r="AR120" s="1880">
        <f t="shared" si="281"/>
        <v>0</v>
      </c>
      <c r="AS120" s="1880">
        <f t="shared" si="281"/>
        <v>0</v>
      </c>
      <c r="AT120" s="1881">
        <f t="shared" si="281"/>
        <v>0</v>
      </c>
      <c r="AU120" s="1882">
        <f t="shared" si="282"/>
        <v>0</v>
      </c>
      <c r="AV120" s="1882">
        <f t="shared" si="282"/>
        <v>0</v>
      </c>
      <c r="AW120" s="1877"/>
      <c r="AX120" s="1740"/>
      <c r="AY120" s="1740"/>
      <c r="AZ120" s="1740"/>
      <c r="BA120" s="1883">
        <f t="shared" ca="1" si="258"/>
        <v>0</v>
      </c>
      <c r="BB120" s="1883">
        <f t="shared" ca="1" si="259"/>
        <v>0</v>
      </c>
      <c r="BC120" s="1883">
        <f t="shared" ca="1" si="260"/>
        <v>0</v>
      </c>
      <c r="BD120" s="1883">
        <f t="shared" ca="1" si="261"/>
        <v>0</v>
      </c>
      <c r="BE120" s="1883">
        <f t="shared" ca="1" si="262"/>
        <v>0</v>
      </c>
      <c r="BF120" s="1740"/>
      <c r="BG120" s="1740"/>
      <c r="BH120" s="1740"/>
      <c r="BI120" s="1768">
        <f t="shared" ca="1" si="283"/>
        <v>0</v>
      </c>
      <c r="BJ120" s="1768">
        <f t="shared" ca="1" si="284"/>
        <v>0</v>
      </c>
      <c r="BK120" s="1935">
        <f t="shared" ca="1" si="285"/>
        <v>0</v>
      </c>
    </row>
    <row r="121" spans="1:63" ht="15.75">
      <c r="B121" s="1872"/>
      <c r="C121" s="1887" t="s">
        <v>3785</v>
      </c>
      <c r="D121" s="1874"/>
      <c r="E121" s="1875"/>
      <c r="F121" s="1874"/>
      <c r="G121" s="1878">
        <f t="shared" ca="1" si="275"/>
        <v>60954.839461534262</v>
      </c>
      <c r="H121" s="1880">
        <f t="shared" ca="1" si="275"/>
        <v>60954.839461534262</v>
      </c>
      <c r="I121" s="1880">
        <f t="shared" ca="1" si="275"/>
        <v>0</v>
      </c>
      <c r="J121" s="1779">
        <f ca="1">K121-G121-H121-I121</f>
        <v>60954.839461534248</v>
      </c>
      <c r="K121" s="1877">
        <f t="shared" ca="1" si="165"/>
        <v>182864.51838460276</v>
      </c>
      <c r="L121" s="1878">
        <f t="shared" ca="1" si="276"/>
        <v>-141.55421382221655</v>
      </c>
      <c r="M121" s="1880">
        <f t="shared" ca="1" si="276"/>
        <v>-141.55421382221655</v>
      </c>
      <c r="N121" s="1880">
        <f t="shared" ca="1" si="276"/>
        <v>0</v>
      </c>
      <c r="O121" s="1880">
        <f t="shared" ca="1" si="276"/>
        <v>-141.5542138222165</v>
      </c>
      <c r="P121" s="1877">
        <f t="shared" ca="1" si="166"/>
        <v>-424.66264146664957</v>
      </c>
      <c r="Q121" s="1878">
        <f ca="1">Q$16/$AA$16*$AA121</f>
        <v>2703.5953635213564</v>
      </c>
      <c r="R121" s="1879">
        <f t="shared" ca="1" si="277"/>
        <v>2703.5953635213559</v>
      </c>
      <c r="S121" s="1880">
        <f t="shared" ca="1" si="277"/>
        <v>2703.5953635213564</v>
      </c>
      <c r="T121" s="1880">
        <f t="shared" ca="1" si="277"/>
        <v>2703.5953635213559</v>
      </c>
      <c r="U121" s="1880">
        <f t="shared" ca="1" si="277"/>
        <v>0</v>
      </c>
      <c r="V121" s="1880">
        <f t="shared" ca="1" si="277"/>
        <v>0</v>
      </c>
      <c r="W121" s="1880">
        <f t="shared" ca="1" si="277"/>
        <v>2703.5953635213564</v>
      </c>
      <c r="X121" s="1881">
        <f t="shared" ca="1" si="277"/>
        <v>2703.5953635213559</v>
      </c>
      <c r="Y121" s="1882">
        <f t="shared" ca="1" si="278"/>
        <v>8110.7860905640691</v>
      </c>
      <c r="Z121" s="1882">
        <f t="shared" ca="1" si="278"/>
        <v>8110.7860905640682</v>
      </c>
      <c r="AA121" s="1877">
        <f t="shared" ca="1" si="168"/>
        <v>16221.572181128136</v>
      </c>
      <c r="AB121" s="1878">
        <f ca="1">AB$16/$AL$16*$AL121</f>
        <v>0</v>
      </c>
      <c r="AC121" s="1879">
        <f t="shared" ca="1" si="279"/>
        <v>0</v>
      </c>
      <c r="AD121" s="1880">
        <f t="shared" ca="1" si="279"/>
        <v>0</v>
      </c>
      <c r="AE121" s="1880">
        <f t="shared" ca="1" si="279"/>
        <v>0</v>
      </c>
      <c r="AF121" s="1880">
        <f t="shared" ca="1" si="279"/>
        <v>0</v>
      </c>
      <c r="AG121" s="1880">
        <f t="shared" ca="1" si="279"/>
        <v>0</v>
      </c>
      <c r="AH121" s="1880">
        <f t="shared" ca="1" si="279"/>
        <v>0</v>
      </c>
      <c r="AI121" s="1881">
        <f t="shared" ca="1" si="279"/>
        <v>0</v>
      </c>
      <c r="AJ121" s="1882">
        <f t="shared" ca="1" si="280"/>
        <v>0</v>
      </c>
      <c r="AK121" s="1882">
        <f t="shared" ca="1" si="280"/>
        <v>0</v>
      </c>
      <c r="AL121" s="1877">
        <f t="shared" ca="1" si="170"/>
        <v>0</v>
      </c>
      <c r="AM121" s="1878">
        <f>AM$16/$AW$16*$AW121</f>
        <v>0</v>
      </c>
      <c r="AN121" s="1879">
        <f t="shared" si="281"/>
        <v>0</v>
      </c>
      <c r="AO121" s="1880">
        <f t="shared" si="281"/>
        <v>0</v>
      </c>
      <c r="AP121" s="1880">
        <f t="shared" si="281"/>
        <v>0</v>
      </c>
      <c r="AQ121" s="1880">
        <f t="shared" si="281"/>
        <v>0</v>
      </c>
      <c r="AR121" s="1880">
        <f t="shared" si="281"/>
        <v>0</v>
      </c>
      <c r="AS121" s="1880">
        <f t="shared" si="281"/>
        <v>0</v>
      </c>
      <c r="AT121" s="1881">
        <f t="shared" si="281"/>
        <v>0</v>
      </c>
      <c r="AU121" s="1882">
        <f t="shared" si="282"/>
        <v>0</v>
      </c>
      <c r="AV121" s="1882">
        <f t="shared" si="282"/>
        <v>0</v>
      </c>
      <c r="AW121" s="1877"/>
      <c r="AX121" s="1740"/>
      <c r="AY121" s="1740"/>
      <c r="AZ121" s="1740"/>
      <c r="BA121" s="1883">
        <f t="shared" ca="1" si="258"/>
        <v>66220.475974754765</v>
      </c>
      <c r="BB121" s="1883">
        <f t="shared" ca="1" si="259"/>
        <v>66220.475974754765</v>
      </c>
      <c r="BC121" s="1883">
        <f t="shared" ca="1" si="260"/>
        <v>0</v>
      </c>
      <c r="BD121" s="1883">
        <f t="shared" ca="1" si="261"/>
        <v>66220.47597475475</v>
      </c>
      <c r="BE121" s="1883">
        <f t="shared" ca="1" si="262"/>
        <v>198661.42792426425</v>
      </c>
      <c r="BF121" s="1740"/>
      <c r="BG121" s="1740"/>
      <c r="BH121" s="1740"/>
      <c r="BI121" s="1768">
        <f t="shared" ca="1" si="283"/>
        <v>66220.475974754765</v>
      </c>
      <c r="BJ121" s="1768">
        <f t="shared" ca="1" si="284"/>
        <v>132440.9519495095</v>
      </c>
      <c r="BK121" s="1935">
        <f t="shared" ca="1" si="285"/>
        <v>198661.42792426428</v>
      </c>
    </row>
    <row r="122" spans="1:63" ht="46.5" customHeight="1">
      <c r="B122" s="1872"/>
      <c r="C122" s="1887" t="s">
        <v>3786</v>
      </c>
      <c r="D122" s="1874"/>
      <c r="E122" s="1875"/>
      <c r="F122" s="1874"/>
      <c r="G122" s="1878">
        <f t="shared" ca="1" si="275"/>
        <v>1141.2153523009056</v>
      </c>
      <c r="H122" s="1880">
        <f t="shared" ca="1" si="275"/>
        <v>1141.2153523009056</v>
      </c>
      <c r="I122" s="1880">
        <f t="shared" ca="1" si="275"/>
        <v>0</v>
      </c>
      <c r="J122" s="1779">
        <f ca="1">K122-G122-H122-I122</f>
        <v>1141.2153523009051</v>
      </c>
      <c r="K122" s="1877">
        <f t="shared" ca="1" si="165"/>
        <v>3423.6460569027163</v>
      </c>
      <c r="L122" s="1878">
        <f t="shared" ca="1" si="276"/>
        <v>169.21705845903961</v>
      </c>
      <c r="M122" s="1880">
        <f t="shared" ca="1" si="276"/>
        <v>169.21705845903961</v>
      </c>
      <c r="N122" s="1880">
        <f t="shared" ca="1" si="276"/>
        <v>0</v>
      </c>
      <c r="O122" s="1880">
        <f t="shared" ca="1" si="276"/>
        <v>169.21705845903955</v>
      </c>
      <c r="P122" s="1877">
        <f t="shared" ca="1" si="166"/>
        <v>507.65117537711876</v>
      </c>
      <c r="Q122" s="1878">
        <f ca="1">Q$16/$AA$16*$AA122</f>
        <v>157.89963160480002</v>
      </c>
      <c r="R122" s="1879">
        <f t="shared" ca="1" si="277"/>
        <v>157.89963160479999</v>
      </c>
      <c r="S122" s="1880">
        <f t="shared" ca="1" si="277"/>
        <v>157.89963160480002</v>
      </c>
      <c r="T122" s="1880">
        <f t="shared" ca="1" si="277"/>
        <v>157.89963160479999</v>
      </c>
      <c r="U122" s="1880">
        <f t="shared" ca="1" si="277"/>
        <v>0</v>
      </c>
      <c r="V122" s="1880">
        <f t="shared" ca="1" si="277"/>
        <v>0</v>
      </c>
      <c r="W122" s="1880">
        <f t="shared" ca="1" si="277"/>
        <v>157.89963160480002</v>
      </c>
      <c r="X122" s="1881">
        <f t="shared" ca="1" si="277"/>
        <v>157.89963160479999</v>
      </c>
      <c r="Y122" s="1882">
        <f t="shared" ca="1" si="278"/>
        <v>473.69889481440009</v>
      </c>
      <c r="Z122" s="1882">
        <f t="shared" ca="1" si="278"/>
        <v>473.69889481439998</v>
      </c>
      <c r="AA122" s="1877">
        <f t="shared" ca="1" si="168"/>
        <v>947.39778962880007</v>
      </c>
      <c r="AB122" s="1878">
        <f ca="1">AB$16/$AL$16*$AL122</f>
        <v>0</v>
      </c>
      <c r="AC122" s="1879">
        <f t="shared" ca="1" si="279"/>
        <v>0</v>
      </c>
      <c r="AD122" s="1880">
        <f t="shared" ca="1" si="279"/>
        <v>0</v>
      </c>
      <c r="AE122" s="1880">
        <f t="shared" ca="1" si="279"/>
        <v>0</v>
      </c>
      <c r="AF122" s="1880">
        <f t="shared" ca="1" si="279"/>
        <v>0</v>
      </c>
      <c r="AG122" s="1880">
        <f t="shared" ca="1" si="279"/>
        <v>0</v>
      </c>
      <c r="AH122" s="1880">
        <f t="shared" ca="1" si="279"/>
        <v>0</v>
      </c>
      <c r="AI122" s="1881">
        <f t="shared" ca="1" si="279"/>
        <v>0</v>
      </c>
      <c r="AJ122" s="1882">
        <f t="shared" ca="1" si="280"/>
        <v>0</v>
      </c>
      <c r="AK122" s="1882">
        <f t="shared" ca="1" si="280"/>
        <v>0</v>
      </c>
      <c r="AL122" s="1877">
        <f t="shared" ca="1" si="170"/>
        <v>0</v>
      </c>
      <c r="AM122" s="1878">
        <f>AM$16/$AW$16*$AW122</f>
        <v>0</v>
      </c>
      <c r="AN122" s="1879">
        <f t="shared" si="281"/>
        <v>0</v>
      </c>
      <c r="AO122" s="1880">
        <f t="shared" si="281"/>
        <v>0</v>
      </c>
      <c r="AP122" s="1880">
        <f t="shared" si="281"/>
        <v>0</v>
      </c>
      <c r="AQ122" s="1880">
        <f t="shared" si="281"/>
        <v>0</v>
      </c>
      <c r="AR122" s="1880">
        <f t="shared" si="281"/>
        <v>0</v>
      </c>
      <c r="AS122" s="1880">
        <f t="shared" si="281"/>
        <v>0</v>
      </c>
      <c r="AT122" s="1881">
        <f t="shared" si="281"/>
        <v>0</v>
      </c>
      <c r="AU122" s="1882">
        <f t="shared" si="282"/>
        <v>0</v>
      </c>
      <c r="AV122" s="1882">
        <f t="shared" si="282"/>
        <v>0</v>
      </c>
      <c r="AW122" s="1877"/>
      <c r="AX122" s="1740"/>
      <c r="AY122" s="1740"/>
      <c r="AZ122" s="1740"/>
      <c r="BA122" s="1883">
        <f t="shared" ca="1" si="258"/>
        <v>1626.2316739695452</v>
      </c>
      <c r="BB122" s="1883">
        <f t="shared" ca="1" si="259"/>
        <v>1626.2316739695452</v>
      </c>
      <c r="BC122" s="1883">
        <f t="shared" ca="1" si="260"/>
        <v>0</v>
      </c>
      <c r="BD122" s="1883">
        <f t="shared" ca="1" si="261"/>
        <v>1626.2316739695448</v>
      </c>
      <c r="BE122" s="1883">
        <f t="shared" ca="1" si="262"/>
        <v>4878.6950219086348</v>
      </c>
      <c r="BF122" s="1740"/>
      <c r="BG122" s="1740"/>
      <c r="BH122" s="1740"/>
      <c r="BI122" s="1768">
        <f t="shared" ca="1" si="283"/>
        <v>1626.2316739695452</v>
      </c>
      <c r="BJ122" s="1768">
        <f t="shared" ca="1" si="284"/>
        <v>3252.46334793909</v>
      </c>
      <c r="BK122" s="1935">
        <f t="shared" ca="1" si="285"/>
        <v>4878.6950219086357</v>
      </c>
    </row>
    <row r="123" spans="1:63" ht="15.75">
      <c r="B123" s="1872"/>
      <c r="C123" s="1911"/>
      <c r="D123" s="1845"/>
      <c r="E123" s="1818"/>
      <c r="F123" s="1845"/>
      <c r="G123" s="1912"/>
      <c r="H123" s="1913"/>
      <c r="I123" s="1913"/>
      <c r="J123" s="1913"/>
      <c r="K123" s="1914">
        <f t="shared" ca="1" si="165"/>
        <v>0</v>
      </c>
      <c r="L123" s="1912"/>
      <c r="M123" s="1913"/>
      <c r="N123" s="1913"/>
      <c r="O123" s="1913"/>
      <c r="P123" s="1914">
        <f t="shared" ca="1" si="166"/>
        <v>0</v>
      </c>
      <c r="Q123" s="1912"/>
      <c r="R123" s="1915"/>
      <c r="S123" s="1913"/>
      <c r="T123" s="1913"/>
      <c r="U123" s="1913"/>
      <c r="V123" s="1913"/>
      <c r="W123" s="1913"/>
      <c r="X123" s="1916"/>
      <c r="Y123" s="1965">
        <f t="shared" si="278"/>
        <v>0</v>
      </c>
      <c r="Z123" s="1965">
        <f t="shared" si="278"/>
        <v>0</v>
      </c>
      <c r="AA123" s="1914">
        <f t="shared" ca="1" si="168"/>
        <v>0</v>
      </c>
      <c r="AB123" s="1912"/>
      <c r="AC123" s="1915"/>
      <c r="AD123" s="1913"/>
      <c r="AE123" s="1913"/>
      <c r="AF123" s="1913"/>
      <c r="AG123" s="1913"/>
      <c r="AH123" s="1913"/>
      <c r="AI123" s="1916"/>
      <c r="AJ123" s="1965">
        <f t="shared" si="280"/>
        <v>0</v>
      </c>
      <c r="AK123" s="1965">
        <f t="shared" si="280"/>
        <v>0</v>
      </c>
      <c r="AL123" s="1914">
        <f t="shared" ca="1" si="170"/>
        <v>0</v>
      </c>
      <c r="AM123" s="1917"/>
      <c r="AN123" s="1918"/>
      <c r="AO123" s="1919"/>
      <c r="AP123" s="1919"/>
      <c r="AQ123" s="1919"/>
      <c r="AR123" s="1919"/>
      <c r="AS123" s="1919"/>
      <c r="AT123" s="1920"/>
      <c r="AU123" s="1966">
        <f t="shared" si="282"/>
        <v>0</v>
      </c>
      <c r="AV123" s="1966">
        <f t="shared" si="282"/>
        <v>0</v>
      </c>
      <c r="AW123" s="1921"/>
      <c r="AX123" s="1740"/>
      <c r="AY123" s="1740"/>
      <c r="AZ123" s="1740"/>
      <c r="BA123" s="1883">
        <f t="shared" si="258"/>
        <v>0</v>
      </c>
      <c r="BB123" s="1883">
        <f t="shared" si="259"/>
        <v>0</v>
      </c>
      <c r="BC123" s="1883">
        <f t="shared" si="260"/>
        <v>0</v>
      </c>
      <c r="BD123" s="1883">
        <f t="shared" si="261"/>
        <v>0</v>
      </c>
      <c r="BE123" s="1883">
        <f t="shared" ca="1" si="262"/>
        <v>0</v>
      </c>
      <c r="BF123" s="1740"/>
      <c r="BG123" s="1740"/>
      <c r="BH123" s="1740"/>
      <c r="BI123" s="1768">
        <f t="shared" si="283"/>
        <v>0</v>
      </c>
      <c r="BJ123" s="1768">
        <f t="shared" si="284"/>
        <v>0</v>
      </c>
      <c r="BK123" s="1935">
        <f t="shared" si="285"/>
        <v>0</v>
      </c>
    </row>
    <row r="124" spans="1:63">
      <c r="D124" s="1740"/>
      <c r="E124" s="1740"/>
      <c r="F124" s="1740"/>
      <c r="G124" s="1740"/>
      <c r="H124" s="1740"/>
      <c r="I124" s="1740"/>
      <c r="J124" s="1740"/>
      <c r="K124" s="1740"/>
      <c r="L124" s="1740"/>
      <c r="M124" s="1740"/>
      <c r="N124" s="1740"/>
      <c r="O124" s="1740"/>
      <c r="P124" s="1740"/>
      <c r="Q124" s="1740"/>
      <c r="R124" s="1740"/>
      <c r="S124" s="1740"/>
      <c r="T124" s="1740"/>
      <c r="U124" s="1740"/>
      <c r="V124" s="1740"/>
      <c r="W124" s="1740"/>
      <c r="X124" s="1740"/>
      <c r="Y124" s="1740"/>
      <c r="Z124" s="1740"/>
      <c r="AA124" s="1740"/>
      <c r="AB124" s="1740"/>
      <c r="AC124" s="1740"/>
      <c r="AD124" s="1740"/>
      <c r="AE124" s="1740"/>
      <c r="AF124" s="1740"/>
      <c r="AG124" s="1740"/>
      <c r="AH124" s="1740"/>
      <c r="AI124" s="1740"/>
      <c r="AJ124" s="1740"/>
      <c r="AK124" s="1740"/>
      <c r="AL124" s="1740"/>
      <c r="AM124" s="1740"/>
      <c r="AN124" s="1740"/>
      <c r="AO124" s="1740"/>
      <c r="AP124" s="1740"/>
      <c r="AQ124" s="1740"/>
      <c r="AR124" s="1740"/>
      <c r="AS124" s="1740"/>
      <c r="AT124" s="1740"/>
      <c r="AU124" s="1740"/>
      <c r="AV124" s="1740"/>
      <c r="AW124" s="1740"/>
      <c r="AX124" s="1740"/>
      <c r="AY124" s="1740"/>
      <c r="AZ124" s="1740"/>
      <c r="BA124" s="1740"/>
      <c r="BB124" s="1740"/>
      <c r="BC124" s="1740"/>
      <c r="BD124" s="1740"/>
      <c r="BE124" s="1740"/>
      <c r="BF124" s="1740"/>
      <c r="BG124" s="1740"/>
      <c r="BH124" s="1740"/>
      <c r="BI124" s="1740"/>
      <c r="BJ124" s="1740"/>
      <c r="BK124" s="1740"/>
    </row>
    <row r="125" spans="1:63">
      <c r="D125" s="1740"/>
      <c r="E125" s="1740"/>
      <c r="F125" s="1740"/>
      <c r="G125" s="1740"/>
      <c r="H125" s="1740"/>
      <c r="I125" s="1740"/>
      <c r="J125" s="1740"/>
      <c r="K125" s="1740"/>
      <c r="L125" s="1740"/>
      <c r="M125" s="1740"/>
      <c r="N125" s="1740"/>
      <c r="O125" s="1740"/>
      <c r="P125" s="1740"/>
      <c r="Q125" s="1740"/>
      <c r="R125" s="1740"/>
      <c r="S125" s="1740"/>
      <c r="T125" s="1740"/>
      <c r="U125" s="1740"/>
      <c r="V125" s="1740"/>
      <c r="W125" s="1740"/>
      <c r="X125" s="1740"/>
      <c r="Y125" s="1740"/>
      <c r="Z125" s="1740"/>
      <c r="AA125" s="1740"/>
      <c r="AB125" s="1740"/>
      <c r="AC125" s="1740"/>
      <c r="AD125" s="1740"/>
      <c r="AE125" s="1740"/>
      <c r="AF125" s="1740"/>
      <c r="AG125" s="1740"/>
      <c r="AH125" s="1740"/>
      <c r="AI125" s="1740"/>
      <c r="AJ125" s="1740"/>
      <c r="AK125" s="1740"/>
      <c r="AL125" s="1740"/>
      <c r="AM125" s="1740"/>
      <c r="AN125" s="1740"/>
      <c r="AO125" s="1740"/>
      <c r="AP125" s="1740"/>
      <c r="AQ125" s="1740"/>
      <c r="AR125" s="1740"/>
      <c r="AS125" s="1740"/>
      <c r="AT125" s="1740"/>
      <c r="AU125" s="1740"/>
      <c r="AV125" s="1740"/>
      <c r="AW125" s="1740"/>
      <c r="AX125" s="1740"/>
      <c r="AY125" s="1740"/>
      <c r="AZ125" s="1740"/>
      <c r="BA125" s="1740"/>
      <c r="BB125" s="1740"/>
      <c r="BC125" s="1740"/>
      <c r="BD125" s="1740"/>
      <c r="BE125" s="1740"/>
      <c r="BF125" s="1740"/>
      <c r="BG125" s="1740"/>
      <c r="BH125" s="1740"/>
      <c r="BI125" s="1740"/>
      <c r="BJ125" s="1740"/>
      <c r="BK125" s="1740"/>
    </row>
    <row r="126" spans="1:63" ht="20.25">
      <c r="B126" s="1960" t="s">
        <v>3787</v>
      </c>
      <c r="D126" s="1740"/>
      <c r="E126" s="1740"/>
      <c r="F126" s="1740"/>
      <c r="G126" s="1740"/>
      <c r="H126" s="1740"/>
      <c r="I126" s="1740"/>
      <c r="J126" s="1740"/>
      <c r="K126" s="1740"/>
      <c r="L126" s="1740"/>
      <c r="M126" s="1740"/>
      <c r="N126" s="1740"/>
      <c r="O126" s="1740"/>
      <c r="P126" s="1740"/>
      <c r="Q126" s="1740"/>
      <c r="R126" s="1740"/>
      <c r="S126" s="1740"/>
      <c r="T126" s="1740"/>
      <c r="U126" s="1740"/>
      <c r="V126" s="1740"/>
      <c r="W126" s="1740"/>
      <c r="X126" s="1740"/>
      <c r="Y126" s="1740"/>
      <c r="Z126" s="1740"/>
      <c r="AA126" s="1740"/>
      <c r="AB126" s="1740"/>
      <c r="AC126" s="1740"/>
      <c r="AD126" s="1740"/>
      <c r="AE126" s="1740"/>
      <c r="AF126" s="1740"/>
      <c r="AG126" s="1740"/>
      <c r="AH126" s="1740"/>
      <c r="AI126" s="1740"/>
      <c r="AJ126" s="1740"/>
      <c r="AK126" s="1740"/>
      <c r="AL126" s="1740"/>
      <c r="AM126" s="1740"/>
      <c r="AN126" s="1740"/>
      <c r="AO126" s="1740"/>
      <c r="AP126" s="1740"/>
      <c r="AQ126" s="1740"/>
      <c r="AR126" s="1740"/>
      <c r="AS126" s="1740"/>
      <c r="AT126" s="1740"/>
      <c r="AU126" s="1740"/>
      <c r="AV126" s="1740"/>
      <c r="AW126" s="1740"/>
      <c r="AX126" s="1740"/>
      <c r="AY126" s="1740"/>
      <c r="AZ126" s="1740"/>
      <c r="BA126" s="1740"/>
      <c r="BB126" s="1740"/>
      <c r="BC126" s="1740"/>
      <c r="BD126" s="1740"/>
      <c r="BE126" s="1740"/>
      <c r="BF126" s="1740"/>
      <c r="BG126" s="1740"/>
      <c r="BH126" s="1740"/>
      <c r="BI126" s="1740"/>
      <c r="BJ126" s="1740"/>
      <c r="BK126" s="1740"/>
    </row>
    <row r="127" spans="1:63" ht="47.25">
      <c r="B127" s="1745">
        <f>$B$25</f>
        <v>8</v>
      </c>
      <c r="C127" s="1864" t="s">
        <v>3702</v>
      </c>
      <c r="D127" s="1749"/>
      <c r="E127" s="1967">
        <f t="shared" ref="E127:F127" si="286">SUM(E25,E99)</f>
        <v>514</v>
      </c>
      <c r="F127" s="1968">
        <f t="shared" si="286"/>
        <v>4742.9769999999999</v>
      </c>
      <c r="G127" s="1867">
        <f ca="1">SUM(G128,G132:G135,G146)</f>
        <v>797354.38904112508</v>
      </c>
      <c r="H127" s="1868">
        <f t="shared" ref="H127:J127" ca="1" si="287">SUM(H128,H132:H135,H146)</f>
        <v>857670.45904662961</v>
      </c>
      <c r="I127" s="1868">
        <f t="shared" ca="1" si="287"/>
        <v>0</v>
      </c>
      <c r="J127" s="1868">
        <f t="shared" ca="1" si="287"/>
        <v>1042158.8075481147</v>
      </c>
      <c r="K127" s="1832">
        <f ca="1">SUM(K128,K132:K135,K146)</f>
        <v>2697183.6556358691</v>
      </c>
      <c r="L127" s="1867">
        <f ca="1">SUM(L128,L132:L135,L146)</f>
        <v>467165.05180040223</v>
      </c>
      <c r="M127" s="1868">
        <f t="shared" ref="M127:O127" ca="1" si="288">SUM(M128,M132:M135,M146)</f>
        <v>893355.19841281604</v>
      </c>
      <c r="N127" s="1868">
        <f t="shared" ca="1" si="288"/>
        <v>0</v>
      </c>
      <c r="O127" s="1868">
        <f t="shared" ca="1" si="288"/>
        <v>2196940.0544316629</v>
      </c>
      <c r="P127" s="1832">
        <f ca="1">SUM(P128,P132:P135,P146)</f>
        <v>3557460.3046448804</v>
      </c>
      <c r="Q127" s="1867">
        <f t="shared" ref="Q127:X127" ca="1" si="289">SUM(Q128,Q132:Q135,Q146)</f>
        <v>238649.67523158735</v>
      </c>
      <c r="R127" s="1869">
        <f t="shared" ca="1" si="289"/>
        <v>276659.37084006995</v>
      </c>
      <c r="S127" s="1868">
        <f t="shared" ca="1" si="289"/>
        <v>233043.96884939357</v>
      </c>
      <c r="T127" s="1868">
        <f t="shared" ca="1" si="289"/>
        <v>241368.17355205814</v>
      </c>
      <c r="U127" s="1868">
        <f t="shared" ca="1" si="289"/>
        <v>0</v>
      </c>
      <c r="V127" s="1868">
        <f t="shared" ca="1" si="289"/>
        <v>0</v>
      </c>
      <c r="W127" s="1868">
        <f t="shared" ca="1" si="289"/>
        <v>333720.77343372355</v>
      </c>
      <c r="X127" s="1870">
        <f t="shared" ca="1" si="289"/>
        <v>383579.20682417927</v>
      </c>
      <c r="Y127" s="1870">
        <f ca="1">SUM(Y128,Y132:Y135,Y146)</f>
        <v>805414.4175147044</v>
      </c>
      <c r="Z127" s="1870">
        <f t="shared" ref="Z127:AW127" ca="1" si="290">SUM(Z128,Z132:Z135,Z146)</f>
        <v>901606.75121630752</v>
      </c>
      <c r="AA127" s="1832">
        <f t="shared" ca="1" si="290"/>
        <v>1707021.1687310119</v>
      </c>
      <c r="AB127" s="1867">
        <f t="shared" ca="1" si="290"/>
        <v>110548.17499502646</v>
      </c>
      <c r="AC127" s="1869">
        <f t="shared" ca="1" si="290"/>
        <v>110713.39095046354</v>
      </c>
      <c r="AD127" s="1868">
        <f t="shared" ca="1" si="290"/>
        <v>110131.63423541572</v>
      </c>
      <c r="AE127" s="1868">
        <f t="shared" ca="1" si="290"/>
        <v>110057.28584260785</v>
      </c>
      <c r="AF127" s="1868">
        <f t="shared" ca="1" si="290"/>
        <v>0</v>
      </c>
      <c r="AG127" s="1868">
        <f t="shared" ca="1" si="290"/>
        <v>0</v>
      </c>
      <c r="AH127" s="1868">
        <f t="shared" ca="1" si="290"/>
        <v>113792.69374512913</v>
      </c>
      <c r="AI127" s="1870">
        <f t="shared" ca="1" si="290"/>
        <v>106337.64302959543</v>
      </c>
      <c r="AJ127" s="1870">
        <f t="shared" ca="1" si="290"/>
        <v>334472.50297557132</v>
      </c>
      <c r="AK127" s="1870">
        <f t="shared" ca="1" si="290"/>
        <v>327108.31982266682</v>
      </c>
      <c r="AL127" s="1832">
        <f t="shared" ca="1" si="290"/>
        <v>661580.82279823825</v>
      </c>
      <c r="AM127" s="1867">
        <f t="shared" si="290"/>
        <v>0</v>
      </c>
      <c r="AN127" s="1869">
        <f t="shared" si="290"/>
        <v>0</v>
      </c>
      <c r="AO127" s="1868">
        <f t="shared" si="290"/>
        <v>0</v>
      </c>
      <c r="AP127" s="1868">
        <f t="shared" si="290"/>
        <v>0</v>
      </c>
      <c r="AQ127" s="1868">
        <f t="shared" si="290"/>
        <v>0</v>
      </c>
      <c r="AR127" s="1868">
        <f t="shared" si="290"/>
        <v>0</v>
      </c>
      <c r="AS127" s="1868">
        <f t="shared" si="290"/>
        <v>0</v>
      </c>
      <c r="AT127" s="1870">
        <f t="shared" si="290"/>
        <v>0</v>
      </c>
      <c r="AU127" s="1870">
        <f t="shared" si="290"/>
        <v>0</v>
      </c>
      <c r="AV127" s="1870">
        <f t="shared" si="290"/>
        <v>0</v>
      </c>
      <c r="AW127" s="1832">
        <f t="shared" si="290"/>
        <v>0</v>
      </c>
      <c r="AX127" s="1740">
        <f ca="1">SUM(K127,P127,AA127,AL127)</f>
        <v>8623245.9518100005</v>
      </c>
      <c r="AY127" s="1740" t="e">
        <f ca="1">AX127='[30]СС 2014'!D270-'[30]СС 2014'!K270</f>
        <v>#REF!</v>
      </c>
      <c r="AZ127" s="1740"/>
      <c r="BA127" s="1883">
        <f ca="1">SUM(G127,L127,Q127:R127,AB127:AC127)</f>
        <v>2001090.0528586747</v>
      </c>
      <c r="BB127" s="1883">
        <f ca="1">SUM(H127,M127,S127:T127,AD127:AE127)</f>
        <v>2445626.7199389208</v>
      </c>
      <c r="BC127" s="1883">
        <f ca="1">SUM(I127,N127,U127:V127,AF127:AG127)</f>
        <v>0</v>
      </c>
      <c r="BD127" s="1883">
        <f ca="1">SUM(J127,O127,W127:X127,AH127:AI127)</f>
        <v>4176529.1790124048</v>
      </c>
      <c r="BE127" s="1836">
        <f ca="1">SUM(BE128,BE132:BE135,BE146)</f>
        <v>8623245.9518100005</v>
      </c>
      <c r="BF127" s="1740" t="b">
        <f ca="1">BE127-BE99=BF25</f>
        <v>1</v>
      </c>
      <c r="BG127" s="1740"/>
      <c r="BH127" s="1740"/>
      <c r="BI127" s="1871" t="e">
        <f>SUM(BI128,BI132:BI135,BI146)</f>
        <v>#REF!</v>
      </c>
      <c r="BJ127" s="1871" t="e">
        <f>SUM(BJ128,BJ132:BJ135,BJ146)</f>
        <v>#REF!</v>
      </c>
      <c r="BK127" s="1962" t="e">
        <f>SUM(BK128,BK132:BK135,BK146)</f>
        <v>#REF!</v>
      </c>
    </row>
    <row r="128" spans="1:63" ht="15.75">
      <c r="A128" s="1739">
        <v>1</v>
      </c>
      <c r="B128" s="1872" t="str">
        <f>CONCATENATE($B$25,".",A128)</f>
        <v>8.1</v>
      </c>
      <c r="C128" s="1873" t="s">
        <v>3703</v>
      </c>
      <c r="D128" s="1874"/>
      <c r="E128" s="1875"/>
      <c r="F128" s="1874"/>
      <c r="G128" s="1876">
        <f ca="1">SUM(G129:G131)</f>
        <v>1668.4428325308786</v>
      </c>
      <c r="H128" s="1779">
        <f ca="1">SUM(H129:H131)</f>
        <v>1716.2248383011311</v>
      </c>
      <c r="I128" s="1779">
        <f ca="1">SUM(I129:I131)</f>
        <v>0</v>
      </c>
      <c r="J128" s="1779">
        <f ca="1">SUM(J129:J131)</f>
        <v>5158.3347831623132</v>
      </c>
      <c r="K128" s="1969">
        <f t="shared" ref="K128:O143" ca="1" si="291">SUM(K26,K100)</f>
        <v>8543.0024539943224</v>
      </c>
      <c r="L128" s="1876">
        <f ca="1">SUM(L129:L131)</f>
        <v>11789.150375466288</v>
      </c>
      <c r="M128" s="1779">
        <f ca="1">SUM(M129:M131)</f>
        <v>12126.775368050829</v>
      </c>
      <c r="N128" s="1779">
        <f ca="1">SUM(N129:N131)</f>
        <v>0</v>
      </c>
      <c r="O128" s="1779">
        <f ca="1">SUM(O129:O131)</f>
        <v>36448.526726224845</v>
      </c>
      <c r="P128" s="1969">
        <f t="shared" ref="P128:X143" ca="1" si="292">SUM(P26,P100)</f>
        <v>60364.452469741962</v>
      </c>
      <c r="Q128" s="1970">
        <f t="shared" ca="1" si="292"/>
        <v>531.97466689780754</v>
      </c>
      <c r="R128" s="1971">
        <f t="shared" ca="1" si="292"/>
        <v>531.97466689780754</v>
      </c>
      <c r="S128" s="1972">
        <f t="shared" ca="1" si="292"/>
        <v>797.96200034671142</v>
      </c>
      <c r="T128" s="1972">
        <f t="shared" ca="1" si="292"/>
        <v>797.96200034671142</v>
      </c>
      <c r="U128" s="1972">
        <f t="shared" ca="1" si="292"/>
        <v>0</v>
      </c>
      <c r="V128" s="1972">
        <f t="shared" ca="1" si="292"/>
        <v>0</v>
      </c>
      <c r="W128" s="1972">
        <f t="shared" ca="1" si="292"/>
        <v>2393.8860010401345</v>
      </c>
      <c r="X128" s="1973">
        <f t="shared" ca="1" si="292"/>
        <v>3126.6811046918638</v>
      </c>
      <c r="Y128" s="1882">
        <f ca="1">SUM(Y129:Y131)</f>
        <v>3723.8226682846534</v>
      </c>
      <c r="Z128" s="1882">
        <f ca="1">SUM(Z129:Z131)</f>
        <v>4456.6177719363832</v>
      </c>
      <c r="AA128" s="1969">
        <f t="shared" ref="AA128:AI143" ca="1" si="293">SUM(AA26,AA100)</f>
        <v>8180.4404402210357</v>
      </c>
      <c r="AB128" s="1970">
        <f t="shared" ca="1" si="293"/>
        <v>5.0298412698412687</v>
      </c>
      <c r="AC128" s="1971">
        <f t="shared" ca="1" si="293"/>
        <v>5.0298412698412687</v>
      </c>
      <c r="AD128" s="1972">
        <f t="shared" ca="1" si="293"/>
        <v>7.5447619047619039</v>
      </c>
      <c r="AE128" s="1972">
        <f t="shared" ca="1" si="293"/>
        <v>7.5447619047619039</v>
      </c>
      <c r="AF128" s="1972">
        <f t="shared" ca="1" si="293"/>
        <v>0</v>
      </c>
      <c r="AG128" s="1972">
        <f t="shared" ca="1" si="293"/>
        <v>0</v>
      </c>
      <c r="AH128" s="1972">
        <f t="shared" ca="1" si="293"/>
        <v>22.634285714285713</v>
      </c>
      <c r="AI128" s="1973">
        <f t="shared" ca="1" si="293"/>
        <v>31.43650793650793</v>
      </c>
      <c r="AJ128" s="1882">
        <f ca="1">SUM(AJ129:AJ131)</f>
        <v>35.208888888888886</v>
      </c>
      <c r="AK128" s="1882">
        <f ca="1">SUM(AK129:AK131)</f>
        <v>44.011111111111106</v>
      </c>
      <c r="AL128" s="1969">
        <f t="shared" ref="AL128:AT143" ca="1" si="294">SUM(AL26,AL100)</f>
        <v>79.219999999999985</v>
      </c>
      <c r="AM128" s="1970">
        <f t="shared" si="294"/>
        <v>0</v>
      </c>
      <c r="AN128" s="1971">
        <f t="shared" si="294"/>
        <v>0</v>
      </c>
      <c r="AO128" s="1972">
        <f t="shared" si="294"/>
        <v>0</v>
      </c>
      <c r="AP128" s="1972">
        <f t="shared" si="294"/>
        <v>0</v>
      </c>
      <c r="AQ128" s="1972">
        <f t="shared" si="294"/>
        <v>0</v>
      </c>
      <c r="AR128" s="1972">
        <f t="shared" si="294"/>
        <v>0</v>
      </c>
      <c r="AS128" s="1972">
        <f t="shared" si="294"/>
        <v>0</v>
      </c>
      <c r="AT128" s="1973">
        <f t="shared" si="294"/>
        <v>0</v>
      </c>
      <c r="AU128" s="1882">
        <f>SUM(AU129:AU131)</f>
        <v>0</v>
      </c>
      <c r="AV128" s="1882">
        <f>SUM(AV129:AV131)</f>
        <v>0</v>
      </c>
      <c r="AW128" s="1969">
        <f t="shared" ref="AW128:AW151" si="295">SUM(AW26,AW100)</f>
        <v>0</v>
      </c>
      <c r="AX128" s="1740" t="e">
        <f>'[30]СС 2014'!D270-'[30]СС 2014'!K270</f>
        <v>#REF!</v>
      </c>
      <c r="AY128" s="1740"/>
      <c r="AZ128" s="1740"/>
      <c r="BA128" s="1883">
        <f ca="1">SUM(G128,L128,Q128:R128,AB128:AC128)</f>
        <v>14531.602224332464</v>
      </c>
      <c r="BB128" s="1883">
        <f ca="1">SUM(H128,M128,S128:T128,AD128:AE128)</f>
        <v>15454.013730854909</v>
      </c>
      <c r="BC128" s="1883">
        <f ca="1">SUM(I128,N128,U128:V128,AF128:AG128)</f>
        <v>0</v>
      </c>
      <c r="BD128" s="1883">
        <f ca="1">SUM(J128,O128,W128:X128,AH128:AI128)</f>
        <v>47181.499408769952</v>
      </c>
      <c r="BE128" s="1883">
        <f ca="1">SUM(K128,P128,Y128:Z128,AJ128:AK128)</f>
        <v>77167.115363957317</v>
      </c>
      <c r="BF128" s="1740"/>
      <c r="BG128" s="1740"/>
      <c r="BH128" s="1740"/>
      <c r="BI128" s="1884" t="e">
        <f>SUM(BI129:BI131)</f>
        <v>#REF!</v>
      </c>
      <c r="BJ128" s="1884" t="e">
        <f>SUM(BJ129:BJ131)</f>
        <v>#REF!</v>
      </c>
      <c r="BK128" s="1963" t="e">
        <f>SUM(BK129:BK131)</f>
        <v>#REF!</v>
      </c>
    </row>
    <row r="129" spans="1:63" ht="15.75">
      <c r="B129" s="1872"/>
      <c r="C129" s="1886" t="s">
        <v>3766</v>
      </c>
      <c r="D129" s="1874"/>
      <c r="E129" s="1875"/>
      <c r="F129" s="1874"/>
      <c r="G129" s="1970">
        <f ca="1">SUM(G27,G101)</f>
        <v>774.59181726641805</v>
      </c>
      <c r="H129" s="1972">
        <f t="shared" ref="H129:J129" ca="1" si="296">SUM(H27,H101)</f>
        <v>810.82300440725658</v>
      </c>
      <c r="I129" s="1972">
        <f t="shared" ca="1" si="296"/>
        <v>0</v>
      </c>
      <c r="J129" s="1972">
        <f t="shared" ca="1" si="296"/>
        <v>3135.1822837080585</v>
      </c>
      <c r="K129" s="1969">
        <f t="shared" ca="1" si="291"/>
        <v>4720.5971053817339</v>
      </c>
      <c r="L129" s="1970">
        <f ca="1">SUM(L27,L101)</f>
        <v>5473.2265098094203</v>
      </c>
      <c r="M129" s="1972">
        <f t="shared" ref="M129:O129" ca="1" si="297">SUM(M27,M101)</f>
        <v>5729.234241263287</v>
      </c>
      <c r="N129" s="1972">
        <f t="shared" ca="1" si="297"/>
        <v>0</v>
      </c>
      <c r="O129" s="1972">
        <f t="shared" ca="1" si="297"/>
        <v>22153.039066218036</v>
      </c>
      <c r="P129" s="1969">
        <f t="shared" ca="1" si="292"/>
        <v>33355.499817290744</v>
      </c>
      <c r="Q129" s="1970">
        <f t="shared" ca="1" si="292"/>
        <v>245.40040325749516</v>
      </c>
      <c r="R129" s="1971">
        <f t="shared" ca="1" si="292"/>
        <v>245.40040325749516</v>
      </c>
      <c r="S129" s="1972">
        <f t="shared" ca="1" si="292"/>
        <v>368.10060488624276</v>
      </c>
      <c r="T129" s="1972">
        <f t="shared" ca="1" si="292"/>
        <v>368.10060488624276</v>
      </c>
      <c r="U129" s="1972">
        <f t="shared" ca="1" si="292"/>
        <v>0</v>
      </c>
      <c r="V129" s="1972">
        <f t="shared" ca="1" si="292"/>
        <v>0</v>
      </c>
      <c r="W129" s="1972">
        <f t="shared" ca="1" si="292"/>
        <v>1104.3018146587283</v>
      </c>
      <c r="X129" s="1973">
        <f t="shared" ca="1" si="292"/>
        <v>1442.3408701459277</v>
      </c>
      <c r="Y129" s="1882">
        <f ca="1">SUM(Q129,S129,U129,W129)</f>
        <v>1717.8028228024662</v>
      </c>
      <c r="Z129" s="1882">
        <f t="shared" ref="Z129" ca="1" si="298">SUM(R129,T129,V129,X129)</f>
        <v>2055.8418782896656</v>
      </c>
      <c r="AA129" s="1969">
        <f t="shared" ca="1" si="293"/>
        <v>3773.644701092132</v>
      </c>
      <c r="AB129" s="1970">
        <f t="shared" ca="1" si="293"/>
        <v>2.2044444444444444</v>
      </c>
      <c r="AC129" s="1971">
        <f t="shared" ca="1" si="293"/>
        <v>2.2044444444444444</v>
      </c>
      <c r="AD129" s="1972">
        <f t="shared" ca="1" si="293"/>
        <v>3.3066666666666666</v>
      </c>
      <c r="AE129" s="1972">
        <f t="shared" ca="1" si="293"/>
        <v>3.3066666666666666</v>
      </c>
      <c r="AF129" s="1972">
        <f t="shared" ca="1" si="293"/>
        <v>0</v>
      </c>
      <c r="AG129" s="1972">
        <f t="shared" ca="1" si="293"/>
        <v>0</v>
      </c>
      <c r="AH129" s="1972">
        <f t="shared" ca="1" si="293"/>
        <v>9.9200000000000017</v>
      </c>
      <c r="AI129" s="1973">
        <f t="shared" ca="1" si="293"/>
        <v>13.777777777777777</v>
      </c>
      <c r="AJ129" s="1882">
        <f t="shared" ref="AJ129:AK134" ca="1" si="299">SUM(AB129,AD129,AF129,AH129)</f>
        <v>15.431111111111113</v>
      </c>
      <c r="AK129" s="1882">
        <f t="shared" ca="1" si="299"/>
        <v>19.288888888888888</v>
      </c>
      <c r="AL129" s="1969">
        <f t="shared" ca="1" si="294"/>
        <v>34.72</v>
      </c>
      <c r="AM129" s="1970">
        <f t="shared" si="294"/>
        <v>0</v>
      </c>
      <c r="AN129" s="1971">
        <f t="shared" si="294"/>
        <v>0</v>
      </c>
      <c r="AO129" s="1972">
        <f t="shared" si="294"/>
        <v>0</v>
      </c>
      <c r="AP129" s="1972">
        <f t="shared" si="294"/>
        <v>0</v>
      </c>
      <c r="AQ129" s="1972">
        <f t="shared" si="294"/>
        <v>0</v>
      </c>
      <c r="AR129" s="1972">
        <f t="shared" si="294"/>
        <v>0</v>
      </c>
      <c r="AS129" s="1972">
        <f t="shared" si="294"/>
        <v>0</v>
      </c>
      <c r="AT129" s="1973">
        <f t="shared" si="294"/>
        <v>0</v>
      </c>
      <c r="AU129" s="1882">
        <f t="shared" ref="AU129:AV134" si="300">SUM(AM129,AO129,AQ129,AS129)</f>
        <v>0</v>
      </c>
      <c r="AV129" s="1882">
        <f t="shared" si="300"/>
        <v>0</v>
      </c>
      <c r="AW129" s="1969">
        <f t="shared" si="295"/>
        <v>0</v>
      </c>
      <c r="AX129" s="1740"/>
      <c r="AY129" s="1740"/>
      <c r="AZ129" s="1740"/>
      <c r="BA129" s="1883">
        <f t="shared" ref="BA129:BA133" ca="1" si="301">SUM(G129,L129,Q129:R129,AB129:AC129)</f>
        <v>6743.028022479717</v>
      </c>
      <c r="BB129" s="1883">
        <f t="shared" ref="BB129:BB134" ca="1" si="302">SUM(H129,M129,S129:T129,AD129:AE129)</f>
        <v>7282.8717887763614</v>
      </c>
      <c r="BC129" s="1883">
        <f t="shared" ref="BC129:BC134" ca="1" si="303">SUM(I129,N129,U129:V129,AF129:AG129)</f>
        <v>0</v>
      </c>
      <c r="BD129" s="1883">
        <f t="shared" ref="BD129:BD134" ca="1" si="304">SUM(J129,O129,W129:X129,AH129:AI129)</f>
        <v>27858.561812508524</v>
      </c>
      <c r="BE129" s="1883">
        <f t="shared" ref="BE129:BE134" ca="1" si="305">SUM(K129,P129,Y129:Z129,AJ129:AK129)</f>
        <v>41884.461623764604</v>
      </c>
      <c r="BF129" s="1740"/>
      <c r="BG129" s="1740"/>
      <c r="BH129" s="1740"/>
      <c r="BI129" s="1768" t="e">
        <f>#REF!+#REF!+#REF!</f>
        <v>#REF!</v>
      </c>
      <c r="BJ129" s="1768" t="e">
        <f>#REF!+#REF!+#REF!</f>
        <v>#REF!</v>
      </c>
      <c r="BK129" s="1935" t="e">
        <f>SUM(BI129:BJ129)</f>
        <v>#REF!</v>
      </c>
    </row>
    <row r="130" spans="1:63" ht="15.75">
      <c r="B130" s="1872"/>
      <c r="C130" s="1886" t="s">
        <v>3755</v>
      </c>
      <c r="D130" s="1874"/>
      <c r="E130" s="1875"/>
      <c r="F130" s="1874"/>
      <c r="G130" s="1970">
        <f t="shared" ref="G130:J134" ca="1" si="306">SUM(G28,G102)</f>
        <v>378.36220424048611</v>
      </c>
      <c r="H130" s="1972">
        <f t="shared" ca="1" si="306"/>
        <v>389.91302286990015</v>
      </c>
      <c r="I130" s="1972">
        <f t="shared" ca="1" si="306"/>
        <v>0</v>
      </c>
      <c r="J130" s="1972">
        <f t="shared" ca="1" si="306"/>
        <v>1507.6636884302804</v>
      </c>
      <c r="K130" s="1969">
        <f t="shared" ca="1" si="291"/>
        <v>2275.9389155406666</v>
      </c>
      <c r="L130" s="1970">
        <f t="shared" ca="1" si="291"/>
        <v>2673.480366736514</v>
      </c>
      <c r="M130" s="1972">
        <f t="shared" ca="1" si="291"/>
        <v>2755.0976278671874</v>
      </c>
      <c r="N130" s="1972">
        <f t="shared" ca="1" si="291"/>
        <v>0</v>
      </c>
      <c r="O130" s="1972">
        <f t="shared" ca="1" si="291"/>
        <v>10653.044161086458</v>
      </c>
      <c r="P130" s="1969">
        <f t="shared" ca="1" si="292"/>
        <v>16081.622155690158</v>
      </c>
      <c r="Q130" s="1970">
        <f t="shared" ca="1" si="292"/>
        <v>250.48885134938979</v>
      </c>
      <c r="R130" s="1971">
        <f t="shared" ca="1" si="292"/>
        <v>250.48885134938979</v>
      </c>
      <c r="S130" s="1972">
        <f t="shared" ca="1" si="292"/>
        <v>375.73327702408477</v>
      </c>
      <c r="T130" s="1972">
        <f t="shared" ca="1" si="292"/>
        <v>375.73327702408477</v>
      </c>
      <c r="U130" s="1972">
        <f t="shared" ca="1" si="292"/>
        <v>0</v>
      </c>
      <c r="V130" s="1972">
        <f t="shared" ca="1" si="292"/>
        <v>0</v>
      </c>
      <c r="W130" s="1972">
        <f t="shared" ca="1" si="292"/>
        <v>1127.1998310722543</v>
      </c>
      <c r="X130" s="1973">
        <f t="shared" ca="1" si="292"/>
        <v>1472.2482238060384</v>
      </c>
      <c r="Y130" s="1882">
        <f ca="1">SUM(Q130,S130,U130,W130)</f>
        <v>1753.4219594457288</v>
      </c>
      <c r="Z130" s="1882">
        <f ca="1">SUM(R130,T130,V130,X130)</f>
        <v>2098.4703521795127</v>
      </c>
      <c r="AA130" s="1969">
        <f t="shared" ca="1" si="293"/>
        <v>3851.8923116252417</v>
      </c>
      <c r="AB130" s="1970">
        <f t="shared" ca="1" si="293"/>
        <v>1.5530158730158734</v>
      </c>
      <c r="AC130" s="1971">
        <f t="shared" ca="1" si="293"/>
        <v>1.5530158730158734</v>
      </c>
      <c r="AD130" s="1972">
        <f t="shared" ca="1" si="293"/>
        <v>2.3295238095238098</v>
      </c>
      <c r="AE130" s="1972">
        <f t="shared" ca="1" si="293"/>
        <v>2.3295238095238098</v>
      </c>
      <c r="AF130" s="1972">
        <f t="shared" ca="1" si="293"/>
        <v>0</v>
      </c>
      <c r="AG130" s="1972">
        <f t="shared" ca="1" si="293"/>
        <v>0</v>
      </c>
      <c r="AH130" s="1972">
        <f t="shared" ca="1" si="293"/>
        <v>6.9885714285714302</v>
      </c>
      <c r="AI130" s="1973">
        <f t="shared" ca="1" si="293"/>
        <v>9.7063492063492074</v>
      </c>
      <c r="AJ130" s="1882">
        <f t="shared" ca="1" si="299"/>
        <v>10.871111111111112</v>
      </c>
      <c r="AK130" s="1882">
        <f t="shared" ca="1" si="299"/>
        <v>13.58888888888889</v>
      </c>
      <c r="AL130" s="1969">
        <f t="shared" ca="1" si="294"/>
        <v>24.46</v>
      </c>
      <c r="AM130" s="1970">
        <f t="shared" si="294"/>
        <v>0</v>
      </c>
      <c r="AN130" s="1971">
        <f t="shared" si="294"/>
        <v>0</v>
      </c>
      <c r="AO130" s="1972">
        <f t="shared" si="294"/>
        <v>0</v>
      </c>
      <c r="AP130" s="1972">
        <f t="shared" si="294"/>
        <v>0</v>
      </c>
      <c r="AQ130" s="1972">
        <f t="shared" si="294"/>
        <v>0</v>
      </c>
      <c r="AR130" s="1972">
        <f t="shared" si="294"/>
        <v>0</v>
      </c>
      <c r="AS130" s="1972">
        <f t="shared" si="294"/>
        <v>0</v>
      </c>
      <c r="AT130" s="1973">
        <f t="shared" si="294"/>
        <v>0</v>
      </c>
      <c r="AU130" s="1882">
        <f t="shared" si="300"/>
        <v>0</v>
      </c>
      <c r="AV130" s="1882">
        <f t="shared" si="300"/>
        <v>0</v>
      </c>
      <c r="AW130" s="1969">
        <f t="shared" si="295"/>
        <v>0</v>
      </c>
      <c r="AX130" s="1740"/>
      <c r="AY130" s="1740"/>
      <c r="AZ130" s="1740"/>
      <c r="BA130" s="1883">
        <f t="shared" ca="1" si="301"/>
        <v>3555.9263054218109</v>
      </c>
      <c r="BB130" s="1883">
        <f t="shared" ca="1" si="302"/>
        <v>3901.1362524043043</v>
      </c>
      <c r="BC130" s="1883">
        <f t="shared" ca="1" si="303"/>
        <v>0</v>
      </c>
      <c r="BD130" s="1883">
        <f t="shared" ca="1" si="304"/>
        <v>14776.850825029953</v>
      </c>
      <c r="BE130" s="1883">
        <f t="shared" ca="1" si="305"/>
        <v>22233.913382856066</v>
      </c>
      <c r="BF130" s="1740"/>
      <c r="BG130" s="1740"/>
      <c r="BH130" s="1740"/>
      <c r="BI130" s="1768" t="e">
        <f>#REF!+#REF!+#REF!</f>
        <v>#REF!</v>
      </c>
      <c r="BJ130" s="1768" t="e">
        <f>#REF!+#REF!+#REF!</f>
        <v>#REF!</v>
      </c>
      <c r="BK130" s="1935" t="e">
        <f t="shared" ref="BK130:BK134" si="307">SUM(BI130:BJ130)</f>
        <v>#REF!</v>
      </c>
    </row>
    <row r="131" spans="1:63" ht="15.75">
      <c r="B131" s="1872"/>
      <c r="C131" s="1887" t="s">
        <v>3767</v>
      </c>
      <c r="D131" s="1874"/>
      <c r="E131" s="1875"/>
      <c r="F131" s="1874"/>
      <c r="G131" s="1970">
        <f t="shared" ca="1" si="306"/>
        <v>515.48881102397445</v>
      </c>
      <c r="H131" s="1972">
        <f t="shared" ca="1" si="306"/>
        <v>515.48881102397445</v>
      </c>
      <c r="I131" s="1972">
        <f t="shared" ca="1" si="306"/>
        <v>0</v>
      </c>
      <c r="J131" s="1972">
        <f t="shared" ca="1" si="306"/>
        <v>515.48881102397434</v>
      </c>
      <c r="K131" s="1969">
        <f t="shared" ca="1" si="291"/>
        <v>1546.4664330719233</v>
      </c>
      <c r="L131" s="1970">
        <f t="shared" ca="1" si="291"/>
        <v>3642.4434989203542</v>
      </c>
      <c r="M131" s="1972">
        <f t="shared" ca="1" si="291"/>
        <v>3642.4434989203542</v>
      </c>
      <c r="N131" s="1972">
        <f t="shared" ca="1" si="291"/>
        <v>0</v>
      </c>
      <c r="O131" s="1972">
        <f t="shared" ca="1" si="291"/>
        <v>3642.4434989203528</v>
      </c>
      <c r="P131" s="1969">
        <f t="shared" ca="1" si="292"/>
        <v>10927.330496761062</v>
      </c>
      <c r="Q131" s="1876">
        <f ca="1">Q128-Q129-Q130</f>
        <v>36.085412290922591</v>
      </c>
      <c r="R131" s="1888">
        <f ca="1">R128-R129-R130</f>
        <v>36.085412290922591</v>
      </c>
      <c r="S131" s="1779">
        <f t="shared" ref="S131:V131" ca="1" si="308">S128-S129-S130</f>
        <v>54.128118436383886</v>
      </c>
      <c r="T131" s="1779">
        <f t="shared" ca="1" si="308"/>
        <v>54.128118436383886</v>
      </c>
      <c r="U131" s="1779">
        <f t="shared" ca="1" si="308"/>
        <v>0</v>
      </c>
      <c r="V131" s="1779">
        <f t="shared" ca="1" si="308"/>
        <v>0</v>
      </c>
      <c r="W131" s="1779">
        <f ca="1">W128-W129-W130</f>
        <v>162.38435530915194</v>
      </c>
      <c r="X131" s="1882">
        <f t="shared" ref="X131" ca="1" si="309">X128-X129-X130</f>
        <v>212.09201073989766</v>
      </c>
      <c r="Y131" s="1882">
        <f t="shared" ref="Y131:Z134" ca="1" si="310">SUM(Q131,S131,U131,W131)</f>
        <v>252.59788603645842</v>
      </c>
      <c r="Z131" s="1882">
        <f t="shared" ca="1" si="310"/>
        <v>302.30554146720414</v>
      </c>
      <c r="AA131" s="1969">
        <f t="shared" ca="1" si="293"/>
        <v>554.90342750366267</v>
      </c>
      <c r="AB131" s="1876">
        <f ca="1">AB128-AB129-AB130</f>
        <v>1.2723809523809508</v>
      </c>
      <c r="AC131" s="1888">
        <f t="shared" ref="AC131:AI131" ca="1" si="311">AC128-AC129-AC130</f>
        <v>1.2723809523809508</v>
      </c>
      <c r="AD131" s="1779">
        <f t="shared" ca="1" si="311"/>
        <v>1.9085714285714275</v>
      </c>
      <c r="AE131" s="1779">
        <f t="shared" ca="1" si="311"/>
        <v>1.9085714285714275</v>
      </c>
      <c r="AF131" s="1779">
        <f t="shared" ca="1" si="311"/>
        <v>0</v>
      </c>
      <c r="AG131" s="1779">
        <f t="shared" ca="1" si="311"/>
        <v>0</v>
      </c>
      <c r="AH131" s="1779">
        <f t="shared" ca="1" si="311"/>
        <v>5.7257142857142815</v>
      </c>
      <c r="AI131" s="1882">
        <f t="shared" ca="1" si="311"/>
        <v>7.9523809523809437</v>
      </c>
      <c r="AJ131" s="1882">
        <f t="shared" ca="1" si="299"/>
        <v>8.9066666666666592</v>
      </c>
      <c r="AK131" s="1882">
        <f t="shared" ca="1" si="299"/>
        <v>11.133333333333322</v>
      </c>
      <c r="AL131" s="1969">
        <f t="shared" ca="1" si="294"/>
        <v>20.039999999999985</v>
      </c>
      <c r="AM131" s="1876">
        <f>AM128-AM129-AM130</f>
        <v>0</v>
      </c>
      <c r="AN131" s="1888">
        <f t="shared" ref="AN131:AT131" si="312">AN128-AN129-AN130</f>
        <v>0</v>
      </c>
      <c r="AO131" s="1779">
        <f t="shared" si="312"/>
        <v>0</v>
      </c>
      <c r="AP131" s="1779">
        <f t="shared" si="312"/>
        <v>0</v>
      </c>
      <c r="AQ131" s="1779">
        <f t="shared" si="312"/>
        <v>0</v>
      </c>
      <c r="AR131" s="1779">
        <f t="shared" si="312"/>
        <v>0</v>
      </c>
      <c r="AS131" s="1779">
        <f t="shared" si="312"/>
        <v>0</v>
      </c>
      <c r="AT131" s="1882">
        <f t="shared" si="312"/>
        <v>0</v>
      </c>
      <c r="AU131" s="1882">
        <f t="shared" si="300"/>
        <v>0</v>
      </c>
      <c r="AV131" s="1882">
        <f t="shared" si="300"/>
        <v>0</v>
      </c>
      <c r="AW131" s="1969">
        <f t="shared" si="295"/>
        <v>0</v>
      </c>
      <c r="AX131" s="1740"/>
      <c r="AY131" s="1740"/>
      <c r="AZ131" s="1740"/>
      <c r="BA131" s="1883">
        <f t="shared" ca="1" si="301"/>
        <v>4232.6478964309354</v>
      </c>
      <c r="BB131" s="1883">
        <f t="shared" ca="1" si="302"/>
        <v>4270.005689674239</v>
      </c>
      <c r="BC131" s="1883">
        <f t="shared" ca="1" si="303"/>
        <v>0</v>
      </c>
      <c r="BD131" s="1883">
        <f t="shared" ca="1" si="304"/>
        <v>4546.0867712314721</v>
      </c>
      <c r="BE131" s="1883">
        <f t="shared" ca="1" si="305"/>
        <v>13048.740357336645</v>
      </c>
      <c r="BF131" s="1740"/>
      <c r="BG131" s="1740"/>
      <c r="BH131" s="1740"/>
      <c r="BI131" s="1768" t="e">
        <f>#REF!+#REF!+#REF!</f>
        <v>#REF!</v>
      </c>
      <c r="BJ131" s="1768" t="e">
        <f>#REF!+#REF!+#REF!</f>
        <v>#REF!</v>
      </c>
      <c r="BK131" s="1935" t="e">
        <f t="shared" si="307"/>
        <v>#REF!</v>
      </c>
    </row>
    <row r="132" spans="1:63" ht="15.75">
      <c r="A132" s="1739">
        <f>A128+1</f>
        <v>2</v>
      </c>
      <c r="B132" s="1872" t="str">
        <f>CONCATENATE($B$25,".",A132)</f>
        <v>8.2</v>
      </c>
      <c r="C132" s="1873" t="s">
        <v>3704</v>
      </c>
      <c r="D132" s="1874"/>
      <c r="E132" s="1875"/>
      <c r="F132" s="1874"/>
      <c r="G132" s="1970">
        <f t="shared" ca="1" si="306"/>
        <v>182.83439412184231</v>
      </c>
      <c r="H132" s="1972">
        <f t="shared" ca="1" si="306"/>
        <v>182.83439412184231</v>
      </c>
      <c r="I132" s="1972">
        <f t="shared" ca="1" si="306"/>
        <v>0</v>
      </c>
      <c r="J132" s="1972">
        <f t="shared" ca="1" si="306"/>
        <v>182.83439412184225</v>
      </c>
      <c r="K132" s="1969">
        <f t="shared" ca="1" si="291"/>
        <v>548.50318236552687</v>
      </c>
      <c r="L132" s="1970">
        <f t="shared" ca="1" si="291"/>
        <v>1291.9077333676532</v>
      </c>
      <c r="M132" s="1972">
        <f t="shared" ca="1" si="291"/>
        <v>1291.9077333676532</v>
      </c>
      <c r="N132" s="1972">
        <f t="shared" ca="1" si="291"/>
        <v>0</v>
      </c>
      <c r="O132" s="1972">
        <f t="shared" ca="1" si="291"/>
        <v>1291.9077333676528</v>
      </c>
      <c r="P132" s="1969">
        <f t="shared" ca="1" si="292"/>
        <v>3875.7232001029593</v>
      </c>
      <c r="Q132" s="1970">
        <f t="shared" ca="1" si="292"/>
        <v>110.48535976035048</v>
      </c>
      <c r="R132" s="1971">
        <f t="shared" ca="1" si="292"/>
        <v>110.48535976035046</v>
      </c>
      <c r="S132" s="1972">
        <f t="shared" ca="1" si="292"/>
        <v>110.48535976035048</v>
      </c>
      <c r="T132" s="1972">
        <f t="shared" ca="1" si="292"/>
        <v>110.48535976035046</v>
      </c>
      <c r="U132" s="1972">
        <f t="shared" ca="1" si="292"/>
        <v>0</v>
      </c>
      <c r="V132" s="1972">
        <f t="shared" ca="1" si="292"/>
        <v>0</v>
      </c>
      <c r="W132" s="1972">
        <f t="shared" ca="1" si="292"/>
        <v>110.48535976035048</v>
      </c>
      <c r="X132" s="1973">
        <f t="shared" ca="1" si="292"/>
        <v>110.48535976035046</v>
      </c>
      <c r="Y132" s="1882">
        <f t="shared" ca="1" si="310"/>
        <v>331.45607928105142</v>
      </c>
      <c r="Z132" s="1882">
        <f t="shared" ca="1" si="310"/>
        <v>331.45607928105142</v>
      </c>
      <c r="AA132" s="1969">
        <f t="shared" ca="1" si="293"/>
        <v>662.91215856210272</v>
      </c>
      <c r="AB132" s="1970">
        <f t="shared" ca="1" si="293"/>
        <v>4.7349999999999994</v>
      </c>
      <c r="AC132" s="1971">
        <f t="shared" ca="1" si="293"/>
        <v>4.7349999999999994</v>
      </c>
      <c r="AD132" s="1972">
        <f t="shared" ca="1" si="293"/>
        <v>4.7349999999999994</v>
      </c>
      <c r="AE132" s="1972">
        <f t="shared" ca="1" si="293"/>
        <v>4.7349999999999994</v>
      </c>
      <c r="AF132" s="1972">
        <f t="shared" ca="1" si="293"/>
        <v>0</v>
      </c>
      <c r="AG132" s="1972">
        <f t="shared" ca="1" si="293"/>
        <v>0</v>
      </c>
      <c r="AH132" s="1972">
        <f t="shared" ca="1" si="293"/>
        <v>4.7349999999999994</v>
      </c>
      <c r="AI132" s="1973">
        <f t="shared" ca="1" si="293"/>
        <v>4.7349999999999994</v>
      </c>
      <c r="AJ132" s="1882">
        <f t="shared" ca="1" si="299"/>
        <v>14.204999999999998</v>
      </c>
      <c r="AK132" s="1882">
        <f t="shared" ca="1" si="299"/>
        <v>14.204999999999998</v>
      </c>
      <c r="AL132" s="1969">
        <f t="shared" ca="1" si="294"/>
        <v>28.41</v>
      </c>
      <c r="AM132" s="1970">
        <f t="shared" si="294"/>
        <v>0</v>
      </c>
      <c r="AN132" s="1971">
        <f t="shared" si="294"/>
        <v>0</v>
      </c>
      <c r="AO132" s="1972">
        <f t="shared" si="294"/>
        <v>0</v>
      </c>
      <c r="AP132" s="1972">
        <f t="shared" si="294"/>
        <v>0</v>
      </c>
      <c r="AQ132" s="1972">
        <f t="shared" si="294"/>
        <v>0</v>
      </c>
      <c r="AR132" s="1972">
        <f t="shared" si="294"/>
        <v>0</v>
      </c>
      <c r="AS132" s="1972">
        <f t="shared" si="294"/>
        <v>0</v>
      </c>
      <c r="AT132" s="1973">
        <f t="shared" si="294"/>
        <v>0</v>
      </c>
      <c r="AU132" s="1882">
        <f t="shared" si="300"/>
        <v>0</v>
      </c>
      <c r="AV132" s="1882">
        <f t="shared" si="300"/>
        <v>0</v>
      </c>
      <c r="AW132" s="1969">
        <f t="shared" si="295"/>
        <v>0</v>
      </c>
      <c r="AX132" s="1740"/>
      <c r="AY132" s="1740"/>
      <c r="AZ132" s="1740"/>
      <c r="BA132" s="1883">
        <f t="shared" ca="1" si="301"/>
        <v>1705.1828470101964</v>
      </c>
      <c r="BB132" s="1883">
        <f t="shared" ca="1" si="302"/>
        <v>1705.1828470101964</v>
      </c>
      <c r="BC132" s="1883">
        <f t="shared" ca="1" si="303"/>
        <v>0</v>
      </c>
      <c r="BD132" s="1883">
        <f t="shared" ca="1" si="304"/>
        <v>1705.1828470101959</v>
      </c>
      <c r="BE132" s="1883">
        <f t="shared" ca="1" si="305"/>
        <v>5115.5485410305891</v>
      </c>
      <c r="BF132" s="1740"/>
      <c r="BG132" s="1740"/>
      <c r="BH132" s="1740"/>
      <c r="BI132" s="1768" t="e">
        <f>#REF!+#REF!+#REF!</f>
        <v>#REF!</v>
      </c>
      <c r="BJ132" s="1768" t="e">
        <f>#REF!+#REF!+#REF!</f>
        <v>#REF!</v>
      </c>
      <c r="BK132" s="1935" t="e">
        <f t="shared" si="307"/>
        <v>#REF!</v>
      </c>
    </row>
    <row r="133" spans="1:63" ht="15.75">
      <c r="A133" s="1739">
        <f>A132+1</f>
        <v>3</v>
      </c>
      <c r="B133" s="1872" t="str">
        <f>CONCATENATE($B$25,".",A133)</f>
        <v>8.3</v>
      </c>
      <c r="C133" s="1873" t="s">
        <v>3771</v>
      </c>
      <c r="D133" s="1874"/>
      <c r="E133" s="1875"/>
      <c r="F133" s="1874"/>
      <c r="G133" s="1970">
        <f t="shared" ca="1" si="306"/>
        <v>43509.708656356939</v>
      </c>
      <c r="H133" s="1972">
        <f t="shared" ca="1" si="306"/>
        <v>89783.815496093855</v>
      </c>
      <c r="I133" s="1972">
        <f t="shared" ca="1" si="306"/>
        <v>0</v>
      </c>
      <c r="J133" s="1972">
        <f t="shared" ca="1" si="306"/>
        <v>228791.46386232367</v>
      </c>
      <c r="K133" s="1969">
        <f t="shared" ca="1" si="291"/>
        <v>362084.98801477446</v>
      </c>
      <c r="L133" s="1970">
        <f t="shared" ca="1" si="291"/>
        <v>307437.2887141364</v>
      </c>
      <c r="M133" s="1972">
        <f t="shared" ca="1" si="291"/>
        <v>634407.66805724113</v>
      </c>
      <c r="N133" s="1972">
        <f t="shared" ca="1" si="291"/>
        <v>0</v>
      </c>
      <c r="O133" s="1972">
        <f t="shared" ca="1" si="291"/>
        <v>1616628.3228029455</v>
      </c>
      <c r="P133" s="1969">
        <f t="shared" ca="1" si="292"/>
        <v>2558473.279574323</v>
      </c>
      <c r="Q133" s="1970">
        <f t="shared" ca="1" si="292"/>
        <v>80304.038911070151</v>
      </c>
      <c r="R133" s="1971">
        <f t="shared" ca="1" si="292"/>
        <v>109493.3604997346</v>
      </c>
      <c r="S133" s="1972">
        <f t="shared" ca="1" si="292"/>
        <v>75794.906349172306</v>
      </c>
      <c r="T133" s="1972">
        <f t="shared" ca="1" si="292"/>
        <v>82187.430260406254</v>
      </c>
      <c r="U133" s="1972">
        <f t="shared" ca="1" si="292"/>
        <v>0</v>
      </c>
      <c r="V133" s="1972">
        <f t="shared" ca="1" si="292"/>
        <v>0</v>
      </c>
      <c r="W133" s="1972">
        <f t="shared" ca="1" si="292"/>
        <v>151883.4842855449</v>
      </c>
      <c r="X133" s="1973">
        <f t="shared" ca="1" si="292"/>
        <v>189609.2285001846</v>
      </c>
      <c r="Y133" s="1882">
        <f t="shared" ca="1" si="310"/>
        <v>307982.42954578734</v>
      </c>
      <c r="Z133" s="1882">
        <f t="shared" ca="1" si="310"/>
        <v>381290.01926032547</v>
      </c>
      <c r="AA133" s="1969">
        <f t="shared" ca="1" si="293"/>
        <v>689272.44880611286</v>
      </c>
      <c r="AB133" s="1970">
        <f t="shared" ca="1" si="293"/>
        <v>3389.5121897054814</v>
      </c>
      <c r="AC133" s="1971">
        <f t="shared" ca="1" si="293"/>
        <v>3516.6228626127108</v>
      </c>
      <c r="AD133" s="1972">
        <f t="shared" ca="1" si="293"/>
        <v>3067.1071934040774</v>
      </c>
      <c r="AE133" s="1972">
        <f t="shared" ca="1" si="293"/>
        <v>3009.9064574679946</v>
      </c>
      <c r="AF133" s="1972">
        <f t="shared" ca="1" si="293"/>
        <v>0</v>
      </c>
      <c r="AG133" s="1972">
        <f t="shared" ca="1" si="293"/>
        <v>0</v>
      </c>
      <c r="AH133" s="1972">
        <f t="shared" ca="1" si="293"/>
        <v>5872.173429784164</v>
      </c>
      <c r="AI133" s="1973">
        <f t="shared" ca="1" si="293"/>
        <v>129.77786702557106</v>
      </c>
      <c r="AJ133" s="1882">
        <f t="shared" ca="1" si="299"/>
        <v>12328.792812893724</v>
      </c>
      <c r="AK133" s="1882">
        <f t="shared" ca="1" si="299"/>
        <v>6656.3071871062766</v>
      </c>
      <c r="AL133" s="1969">
        <f t="shared" ca="1" si="294"/>
        <v>18985.099999999999</v>
      </c>
      <c r="AM133" s="1970">
        <f t="shared" si="294"/>
        <v>0</v>
      </c>
      <c r="AN133" s="1971">
        <f t="shared" si="294"/>
        <v>0</v>
      </c>
      <c r="AO133" s="1972">
        <f t="shared" si="294"/>
        <v>0</v>
      </c>
      <c r="AP133" s="1972">
        <f t="shared" si="294"/>
        <v>0</v>
      </c>
      <c r="AQ133" s="1972">
        <f t="shared" si="294"/>
        <v>0</v>
      </c>
      <c r="AR133" s="1972">
        <f t="shared" si="294"/>
        <v>0</v>
      </c>
      <c r="AS133" s="1972">
        <f t="shared" si="294"/>
        <v>0</v>
      </c>
      <c r="AT133" s="1973">
        <f t="shared" si="294"/>
        <v>0</v>
      </c>
      <c r="AU133" s="1882">
        <f t="shared" si="300"/>
        <v>0</v>
      </c>
      <c r="AV133" s="1882">
        <f t="shared" si="300"/>
        <v>0</v>
      </c>
      <c r="AW133" s="1969">
        <f t="shared" si="295"/>
        <v>0</v>
      </c>
      <c r="AX133" s="1740"/>
      <c r="AY133" s="1740"/>
      <c r="AZ133" s="1740"/>
      <c r="BA133" s="1883">
        <f t="shared" ca="1" si="301"/>
        <v>547650.53183361632</v>
      </c>
      <c r="BB133" s="1883">
        <f t="shared" ca="1" si="302"/>
        <v>888250.83381378569</v>
      </c>
      <c r="BC133" s="1883">
        <f t="shared" ca="1" si="303"/>
        <v>0</v>
      </c>
      <c r="BD133" s="1883">
        <f t="shared" ca="1" si="304"/>
        <v>2192914.4507478084</v>
      </c>
      <c r="BE133" s="1883">
        <f t="shared" ca="1" si="305"/>
        <v>3628815.8163952101</v>
      </c>
      <c r="BF133" s="1740"/>
      <c r="BG133" s="1740"/>
      <c r="BH133" s="1740"/>
      <c r="BI133" s="1768" t="e">
        <f>#REF!+#REF!+#REF!</f>
        <v>#REF!</v>
      </c>
      <c r="BJ133" s="1768" t="e">
        <f>#REF!+#REF!+#REF!</f>
        <v>#REF!</v>
      </c>
      <c r="BK133" s="1935" t="e">
        <f t="shared" si="307"/>
        <v>#REF!</v>
      </c>
    </row>
    <row r="134" spans="1:63" ht="15.75">
      <c r="A134" s="1739">
        <f>A133+1</f>
        <v>4</v>
      </c>
      <c r="B134" s="1872" t="str">
        <f>CONCATENATE($B$25,".",A134)</f>
        <v>8.4</v>
      </c>
      <c r="C134" s="1873" t="s">
        <v>3706</v>
      </c>
      <c r="D134" s="1874"/>
      <c r="E134" s="1875"/>
      <c r="F134" s="1874"/>
      <c r="G134" s="1970">
        <f t="shared" ca="1" si="306"/>
        <v>13158.173906295651</v>
      </c>
      <c r="H134" s="1972">
        <f t="shared" ca="1" si="306"/>
        <v>27152.355066292992</v>
      </c>
      <c r="I134" s="1972">
        <f t="shared" ca="1" si="306"/>
        <v>0</v>
      </c>
      <c r="J134" s="1972">
        <f t="shared" ca="1" si="306"/>
        <v>69190.94525668741</v>
      </c>
      <c r="K134" s="1969">
        <f t="shared" ca="1" si="291"/>
        <v>109501.47422927606</v>
      </c>
      <c r="L134" s="1970">
        <f t="shared" ca="1" si="291"/>
        <v>92974.959336917615</v>
      </c>
      <c r="M134" s="1972">
        <f t="shared" ca="1" si="291"/>
        <v>191857.10161364221</v>
      </c>
      <c r="N134" s="1972">
        <f t="shared" ca="1" si="291"/>
        <v>0</v>
      </c>
      <c r="O134" s="1972">
        <f t="shared" ca="1" si="291"/>
        <v>488899.55152861035</v>
      </c>
      <c r="P134" s="1969">
        <f t="shared" ca="1" si="292"/>
        <v>773731.61247917009</v>
      </c>
      <c r="Q134" s="1970">
        <f t="shared" ca="1" si="292"/>
        <v>24266.122675928782</v>
      </c>
      <c r="R134" s="1971">
        <f t="shared" ca="1" si="292"/>
        <v>33086.496695746922</v>
      </c>
      <c r="S134" s="1972">
        <f t="shared" ca="1" si="292"/>
        <v>22903.561522183947</v>
      </c>
      <c r="T134" s="1972">
        <f t="shared" ca="1" si="292"/>
        <v>24835.242313614566</v>
      </c>
      <c r="U134" s="1972">
        <f t="shared" ca="1" si="292"/>
        <v>0</v>
      </c>
      <c r="V134" s="1972">
        <f t="shared" ca="1" si="292"/>
        <v>0</v>
      </c>
      <c r="W134" s="1972">
        <f t="shared" ca="1" si="292"/>
        <v>45895.864169447894</v>
      </c>
      <c r="X134" s="1973">
        <f t="shared" ca="1" si="292"/>
        <v>57295.758241612166</v>
      </c>
      <c r="Y134" s="1882">
        <f t="shared" ca="1" si="310"/>
        <v>93065.548367560623</v>
      </c>
      <c r="Z134" s="1882">
        <f t="shared" ca="1" si="310"/>
        <v>115217.49725097365</v>
      </c>
      <c r="AA134" s="1969">
        <f t="shared" ca="1" si="293"/>
        <v>208283.04561853432</v>
      </c>
      <c r="AB134" s="1970">
        <f t="shared" ca="1" si="293"/>
        <v>1016.1091643447855</v>
      </c>
      <c r="AC134" s="1971">
        <f t="shared" ca="1" si="293"/>
        <v>1054.2144468746269</v>
      </c>
      <c r="AD134" s="1972">
        <f t="shared" ca="1" si="293"/>
        <v>919.45848040053681</v>
      </c>
      <c r="AE134" s="1972">
        <f t="shared" ca="1" si="293"/>
        <v>902.31082352871704</v>
      </c>
      <c r="AF134" s="1972">
        <f t="shared" ca="1" si="293"/>
        <v>0</v>
      </c>
      <c r="AG134" s="1972">
        <f t="shared" ca="1" si="293"/>
        <v>0</v>
      </c>
      <c r="AH134" s="1972">
        <f ca="1">SUM(AH32,AH106)</f>
        <v>1760.36222992433</v>
      </c>
      <c r="AI134" s="1973">
        <f t="shared" ca="1" si="293"/>
        <v>38.904854927003498</v>
      </c>
      <c r="AJ134" s="1882">
        <f t="shared" ca="1" si="299"/>
        <v>3695.9298746696522</v>
      </c>
      <c r="AK134" s="1882">
        <f t="shared" ca="1" si="299"/>
        <v>1995.4301253303474</v>
      </c>
      <c r="AL134" s="1969">
        <f t="shared" ca="1" si="294"/>
        <v>5691.36</v>
      </c>
      <c r="AM134" s="1970">
        <f t="shared" si="294"/>
        <v>0</v>
      </c>
      <c r="AN134" s="1971">
        <f t="shared" si="294"/>
        <v>0</v>
      </c>
      <c r="AO134" s="1972">
        <f t="shared" si="294"/>
        <v>0</v>
      </c>
      <c r="AP134" s="1972">
        <f t="shared" si="294"/>
        <v>0</v>
      </c>
      <c r="AQ134" s="1972">
        <f t="shared" si="294"/>
        <v>0</v>
      </c>
      <c r="AR134" s="1972">
        <f t="shared" si="294"/>
        <v>0</v>
      </c>
      <c r="AS134" s="1972">
        <f t="shared" si="294"/>
        <v>0</v>
      </c>
      <c r="AT134" s="1973">
        <f t="shared" si="294"/>
        <v>0</v>
      </c>
      <c r="AU134" s="1882">
        <f t="shared" si="300"/>
        <v>0</v>
      </c>
      <c r="AV134" s="1882">
        <f t="shared" si="300"/>
        <v>0</v>
      </c>
      <c r="AW134" s="1969">
        <f t="shared" si="295"/>
        <v>0</v>
      </c>
      <c r="AX134" s="1740"/>
      <c r="AY134" s="1740"/>
      <c r="AZ134" s="1740"/>
      <c r="BA134" s="1883">
        <f ca="1">SUM(G134,L134,Q134:R134,AB134:AC134)</f>
        <v>165556.07622610839</v>
      </c>
      <c r="BB134" s="1883">
        <f t="shared" ca="1" si="302"/>
        <v>268570.02981966303</v>
      </c>
      <c r="BC134" s="1883">
        <f t="shared" ca="1" si="303"/>
        <v>0</v>
      </c>
      <c r="BD134" s="1883">
        <f t="shared" ca="1" si="304"/>
        <v>663081.38628120907</v>
      </c>
      <c r="BE134" s="1883">
        <f t="shared" ca="1" si="305"/>
        <v>1097207.4923269805</v>
      </c>
      <c r="BF134" s="1740"/>
      <c r="BG134" s="1740"/>
      <c r="BH134" s="1740"/>
      <c r="BI134" s="1768" t="e">
        <f>#REF!+#REF!+#REF!</f>
        <v>#REF!</v>
      </c>
      <c r="BJ134" s="1768" t="e">
        <f>#REF!+#REF!+#REF!</f>
        <v>#REF!</v>
      </c>
      <c r="BK134" s="1935" t="e">
        <f t="shared" si="307"/>
        <v>#REF!</v>
      </c>
    </row>
    <row r="135" spans="1:63" ht="15.75">
      <c r="A135" s="1739">
        <f>A134+1</f>
        <v>5</v>
      </c>
      <c r="B135" s="1872" t="str">
        <f>CONCATENATE($B$25,".",A135)</f>
        <v>8.5</v>
      </c>
      <c r="C135" s="1873" t="s">
        <v>3708</v>
      </c>
      <c r="D135" s="1874"/>
      <c r="E135" s="1875"/>
      <c r="F135" s="1874"/>
      <c r="G135" s="1889">
        <f ca="1">SUM(G136:G138)</f>
        <v>581995.18248733855</v>
      </c>
      <c r="H135" s="1890">
        <f ca="1">SUM(H136:H138)</f>
        <v>581995.18248733855</v>
      </c>
      <c r="I135" s="1890">
        <f ca="1">SUM(I136:I138)</f>
        <v>0</v>
      </c>
      <c r="J135" s="1890">
        <f ca="1">SUM(J136:J138)</f>
        <v>581995.18248733832</v>
      </c>
      <c r="K135" s="1969">
        <f t="shared" ca="1" si="291"/>
        <v>1745985.5474620154</v>
      </c>
      <c r="L135" s="1889">
        <f ca="1">SUM(L136:L138)</f>
        <v>49017.006904232374</v>
      </c>
      <c r="M135" s="1890">
        <f ca="1">SUM(M136:M138)</f>
        <v>49017.006904232374</v>
      </c>
      <c r="N135" s="1890">
        <f ca="1">SUM(N136:N138)</f>
        <v>0</v>
      </c>
      <c r="O135" s="1890">
        <f ca="1">SUM(O136:O138)</f>
        <v>49017.006904232359</v>
      </c>
      <c r="P135" s="1969">
        <f t="shared" ca="1" si="292"/>
        <v>147051.02071269709</v>
      </c>
      <c r="Q135" s="1889">
        <f ca="1">SUM(Q136:Q138)</f>
        <v>107994.96544218973</v>
      </c>
      <c r="R135" s="1891">
        <f t="shared" ref="R135:Z135" ca="1" si="313">SUM(R136:R138)</f>
        <v>107994.96544218971</v>
      </c>
      <c r="S135" s="1890">
        <f t="shared" ca="1" si="313"/>
        <v>107994.96544218973</v>
      </c>
      <c r="T135" s="1890">
        <f t="shared" ca="1" si="313"/>
        <v>107994.96544218971</v>
      </c>
      <c r="U135" s="1890">
        <f t="shared" ca="1" si="313"/>
        <v>0</v>
      </c>
      <c r="V135" s="1890">
        <f t="shared" ca="1" si="313"/>
        <v>0</v>
      </c>
      <c r="W135" s="1890">
        <f t="shared" ca="1" si="313"/>
        <v>107994.96544218973</v>
      </c>
      <c r="X135" s="1892">
        <f t="shared" ca="1" si="313"/>
        <v>107994.96544218971</v>
      </c>
      <c r="Y135" s="1892">
        <f t="shared" ca="1" si="313"/>
        <v>323984.8963265692</v>
      </c>
      <c r="Z135" s="1892">
        <f t="shared" ca="1" si="313"/>
        <v>323984.8963265692</v>
      </c>
      <c r="AA135" s="1969">
        <f t="shared" ca="1" si="293"/>
        <v>647969.79265313828</v>
      </c>
      <c r="AB135" s="1889">
        <f ca="1">SUM(AB136:AB138)</f>
        <v>83501.72590146627</v>
      </c>
      <c r="AC135" s="1891">
        <f t="shared" ref="AC135:AK135" ca="1" si="314">SUM(AC136:AC138)</f>
        <v>83501.72590146627</v>
      </c>
      <c r="AD135" s="1890">
        <f t="shared" ca="1" si="314"/>
        <v>83501.72590146627</v>
      </c>
      <c r="AE135" s="1890">
        <f t="shared" ca="1" si="314"/>
        <v>83501.72590146627</v>
      </c>
      <c r="AF135" s="1890">
        <f t="shared" ca="1" si="314"/>
        <v>0</v>
      </c>
      <c r="AG135" s="1890">
        <f t="shared" ca="1" si="314"/>
        <v>0</v>
      </c>
      <c r="AH135" s="1890">
        <f t="shared" ca="1" si="314"/>
        <v>83501.72590146627</v>
      </c>
      <c r="AI135" s="1892">
        <f t="shared" ca="1" si="314"/>
        <v>83501.72590146627</v>
      </c>
      <c r="AJ135" s="1892">
        <f t="shared" ca="1" si="314"/>
        <v>250505.17770439881</v>
      </c>
      <c r="AK135" s="1892">
        <f t="shared" ca="1" si="314"/>
        <v>250505.17770439881</v>
      </c>
      <c r="AL135" s="1969">
        <f t="shared" ca="1" si="294"/>
        <v>501010.35540879768</v>
      </c>
      <c r="AM135" s="1889">
        <f>SUM(AM136:AM138)</f>
        <v>0</v>
      </c>
      <c r="AN135" s="1891">
        <f t="shared" ref="AN135:AV135" si="315">SUM(AN136:AN138)</f>
        <v>0</v>
      </c>
      <c r="AO135" s="1890">
        <f t="shared" si="315"/>
        <v>0</v>
      </c>
      <c r="AP135" s="1890">
        <f t="shared" si="315"/>
        <v>0</v>
      </c>
      <c r="AQ135" s="1890">
        <f t="shared" si="315"/>
        <v>0</v>
      </c>
      <c r="AR135" s="1890">
        <f t="shared" si="315"/>
        <v>0</v>
      </c>
      <c r="AS135" s="1890">
        <f t="shared" si="315"/>
        <v>0</v>
      </c>
      <c r="AT135" s="1892">
        <f t="shared" si="315"/>
        <v>0</v>
      </c>
      <c r="AU135" s="1892">
        <f t="shared" si="315"/>
        <v>0</v>
      </c>
      <c r="AV135" s="1892">
        <f t="shared" si="315"/>
        <v>0</v>
      </c>
      <c r="AW135" s="1969">
        <f t="shared" si="295"/>
        <v>0</v>
      </c>
      <c r="AX135" s="1740"/>
      <c r="AY135" s="1740"/>
      <c r="AZ135" s="1740"/>
      <c r="BA135" s="1890">
        <f t="shared" ref="BA135:BE135" ca="1" si="316">SUM(BA136:BA138)</f>
        <v>1014005.5720788828</v>
      </c>
      <c r="BB135" s="1890">
        <f t="shared" ca="1" si="316"/>
        <v>1014005.5720788828</v>
      </c>
      <c r="BC135" s="1890">
        <f t="shared" ca="1" si="316"/>
        <v>0</v>
      </c>
      <c r="BD135" s="1890">
        <f t="shared" ca="1" si="316"/>
        <v>1014005.5720788826</v>
      </c>
      <c r="BE135" s="1890">
        <f t="shared" ca="1" si="316"/>
        <v>3042016.7162366486</v>
      </c>
      <c r="BF135" s="1740"/>
      <c r="BG135" s="1740"/>
      <c r="BH135" s="1740"/>
      <c r="BI135" s="1871" t="e">
        <f>SUM(BI136:BI138)</f>
        <v>#REF!</v>
      </c>
      <c r="BJ135" s="1871" t="e">
        <f t="shared" ref="BJ135" si="317">SUM(BJ136:BJ138)</f>
        <v>#REF!</v>
      </c>
      <c r="BK135" s="1962" t="e">
        <f>SUM(BK136:BK138)</f>
        <v>#REF!</v>
      </c>
    </row>
    <row r="136" spans="1:63" ht="31.5">
      <c r="B136" s="1872"/>
      <c r="C136" s="1887" t="s">
        <v>3778</v>
      </c>
      <c r="D136" s="1874"/>
      <c r="E136" s="1875"/>
      <c r="F136" s="1874"/>
      <c r="G136" s="1970">
        <f t="shared" ref="G136:J137" ca="1" si="318">SUM(G34,G108)</f>
        <v>499.48100703570105</v>
      </c>
      <c r="H136" s="1972">
        <f t="shared" ca="1" si="318"/>
        <v>499.48100703570105</v>
      </c>
      <c r="I136" s="1972">
        <f t="shared" ca="1" si="318"/>
        <v>0</v>
      </c>
      <c r="J136" s="1972">
        <f t="shared" ca="1" si="318"/>
        <v>499.48100703570094</v>
      </c>
      <c r="K136" s="1969">
        <f t="shared" ca="1" si="291"/>
        <v>1498.443021107103</v>
      </c>
      <c r="L136" s="1970">
        <f t="shared" ca="1" si="291"/>
        <v>3529.2977468891991</v>
      </c>
      <c r="M136" s="1972">
        <f t="shared" ca="1" si="291"/>
        <v>3529.2977468891991</v>
      </c>
      <c r="N136" s="1972">
        <f t="shared" ca="1" si="291"/>
        <v>0</v>
      </c>
      <c r="O136" s="1972">
        <f t="shared" ca="1" si="291"/>
        <v>3529.2977468891982</v>
      </c>
      <c r="P136" s="1969">
        <f t="shared" ca="1" si="292"/>
        <v>10587.893240667596</v>
      </c>
      <c r="Q136" s="1970">
        <f t="shared" ca="1" si="292"/>
        <v>510.37780112862077</v>
      </c>
      <c r="R136" s="1971">
        <f t="shared" ca="1" si="292"/>
        <v>510.37780112862066</v>
      </c>
      <c r="S136" s="1972">
        <f t="shared" ca="1" si="292"/>
        <v>510.37780112862077</v>
      </c>
      <c r="T136" s="1972">
        <f t="shared" ca="1" si="292"/>
        <v>510.37780112862066</v>
      </c>
      <c r="U136" s="1972">
        <f t="shared" ca="1" si="292"/>
        <v>0</v>
      </c>
      <c r="V136" s="1972">
        <f t="shared" ca="1" si="292"/>
        <v>0</v>
      </c>
      <c r="W136" s="1972">
        <f t="shared" ca="1" si="292"/>
        <v>510.37780112862077</v>
      </c>
      <c r="X136" s="1973">
        <f t="shared" ca="1" si="292"/>
        <v>510.37780112862066</v>
      </c>
      <c r="Y136" s="1882">
        <f t="shared" ref="Y136:Z137" ca="1" si="319">SUM(Q136,S136,U136,W136)</f>
        <v>1531.1334033858623</v>
      </c>
      <c r="Z136" s="1882">
        <f t="shared" ca="1" si="319"/>
        <v>1531.133403385862</v>
      </c>
      <c r="AA136" s="1969">
        <f t="shared" ca="1" si="293"/>
        <v>3062.2668067717241</v>
      </c>
      <c r="AB136" s="1970">
        <f t="shared" ca="1" si="293"/>
        <v>2.42</v>
      </c>
      <c r="AC136" s="1971">
        <f t="shared" ca="1" si="293"/>
        <v>2.42</v>
      </c>
      <c r="AD136" s="1972">
        <f t="shared" ca="1" si="293"/>
        <v>2.42</v>
      </c>
      <c r="AE136" s="1972">
        <f t="shared" ca="1" si="293"/>
        <v>2.42</v>
      </c>
      <c r="AF136" s="1972">
        <f t="shared" ca="1" si="293"/>
        <v>0</v>
      </c>
      <c r="AG136" s="1972">
        <f t="shared" ca="1" si="293"/>
        <v>0</v>
      </c>
      <c r="AH136" s="1972">
        <f t="shared" ca="1" si="293"/>
        <v>2.42</v>
      </c>
      <c r="AI136" s="1973">
        <f t="shared" ca="1" si="293"/>
        <v>2.42</v>
      </c>
      <c r="AJ136" s="1882">
        <f t="shared" ref="AJ136:AK137" ca="1" si="320">SUM(AB136,AD136,AF136,AH136)</f>
        <v>7.26</v>
      </c>
      <c r="AK136" s="1882">
        <f t="shared" ca="1" si="320"/>
        <v>7.26</v>
      </c>
      <c r="AL136" s="1969">
        <f t="shared" ca="1" si="294"/>
        <v>14.52</v>
      </c>
      <c r="AM136" s="1970">
        <f t="shared" si="294"/>
        <v>0</v>
      </c>
      <c r="AN136" s="1971">
        <f t="shared" si="294"/>
        <v>0</v>
      </c>
      <c r="AO136" s="1972">
        <f t="shared" si="294"/>
        <v>0</v>
      </c>
      <c r="AP136" s="1972">
        <f t="shared" si="294"/>
        <v>0</v>
      </c>
      <c r="AQ136" s="1972">
        <f t="shared" si="294"/>
        <v>0</v>
      </c>
      <c r="AR136" s="1972">
        <f t="shared" si="294"/>
        <v>0</v>
      </c>
      <c r="AS136" s="1972">
        <f t="shared" si="294"/>
        <v>0</v>
      </c>
      <c r="AT136" s="1973">
        <f t="shared" si="294"/>
        <v>0</v>
      </c>
      <c r="AU136" s="1882">
        <f t="shared" ref="AU136:AV137" si="321">SUM(AM136,AO136,AQ136,AS136)</f>
        <v>0</v>
      </c>
      <c r="AV136" s="1882">
        <f t="shared" si="321"/>
        <v>0</v>
      </c>
      <c r="AW136" s="1969">
        <f t="shared" si="295"/>
        <v>0</v>
      </c>
      <c r="AX136" s="1740"/>
      <c r="AY136" s="1740"/>
      <c r="AZ136" s="1740"/>
      <c r="BA136" s="1883">
        <f t="shared" ref="BA136:BA137" ca="1" si="322">SUM(G136,L136,Q136:R136,AB136:AC136)</f>
        <v>5054.3743561821411</v>
      </c>
      <c r="BB136" s="1883">
        <f t="shared" ref="BB136:BB137" ca="1" si="323">SUM(H136,M136,S136:T136,AD136:AE136)</f>
        <v>5054.3743561821411</v>
      </c>
      <c r="BC136" s="1883">
        <f t="shared" ref="BC136:BC137" ca="1" si="324">SUM(I136,N136,U136:V136,AF136:AG136)</f>
        <v>0</v>
      </c>
      <c r="BD136" s="1883">
        <f t="shared" ref="BD136:BD137" ca="1" si="325">SUM(J136,O136,W136:X136,AH136:AI136)</f>
        <v>5054.3743561821402</v>
      </c>
      <c r="BE136" s="1883">
        <f t="shared" ref="BE136:BE137" ca="1" si="326">SUM(K136,P136,Y136:Z136,AJ136:AK136)</f>
        <v>15163.123068546423</v>
      </c>
      <c r="BF136" s="1740"/>
      <c r="BG136" s="1740"/>
      <c r="BH136" s="1740"/>
      <c r="BI136" s="1768" t="e">
        <f>#REF!+#REF!+#REF!</f>
        <v>#REF!</v>
      </c>
      <c r="BJ136" s="1768" t="e">
        <f>#REF!+#REF!+#REF!</f>
        <v>#REF!</v>
      </c>
      <c r="BK136" s="1935" t="e">
        <f t="shared" ref="BK136:BK137" si="327">SUM(BI136:BJ136)</f>
        <v>#REF!</v>
      </c>
    </row>
    <row r="137" spans="1:63" ht="47.25">
      <c r="B137" s="1872"/>
      <c r="C137" s="1887" t="s">
        <v>3779</v>
      </c>
      <c r="D137" s="1874"/>
      <c r="E137" s="1875"/>
      <c r="F137" s="1874"/>
      <c r="G137" s="1970">
        <f t="shared" ca="1" si="318"/>
        <v>614.78023638247168</v>
      </c>
      <c r="H137" s="1972">
        <f t="shared" ca="1" si="318"/>
        <v>614.78023638247168</v>
      </c>
      <c r="I137" s="1972">
        <f t="shared" ca="1" si="318"/>
        <v>0</v>
      </c>
      <c r="J137" s="1972">
        <f t="shared" ca="1" si="318"/>
        <v>614.78023638247146</v>
      </c>
      <c r="K137" s="1969">
        <f t="shared" ca="1" si="291"/>
        <v>1844.3407091474151</v>
      </c>
      <c r="L137" s="1970">
        <f t="shared" ca="1" si="291"/>
        <v>4344.0262984866686</v>
      </c>
      <c r="M137" s="1972">
        <f t="shared" ca="1" si="291"/>
        <v>4344.0262984866686</v>
      </c>
      <c r="N137" s="1972">
        <f t="shared" ca="1" si="291"/>
        <v>0</v>
      </c>
      <c r="O137" s="1972">
        <f t="shared" ca="1" si="291"/>
        <v>4344.0262984866677</v>
      </c>
      <c r="P137" s="1969">
        <f t="shared" ca="1" si="292"/>
        <v>13032.078895460005</v>
      </c>
      <c r="Q137" s="1970">
        <f t="shared" ca="1" si="292"/>
        <v>335.12080050547371</v>
      </c>
      <c r="R137" s="1971">
        <f t="shared" ca="1" si="292"/>
        <v>335.12080050547365</v>
      </c>
      <c r="S137" s="1972">
        <f t="shared" ca="1" si="292"/>
        <v>335.12080050547371</v>
      </c>
      <c r="T137" s="1972">
        <f t="shared" ca="1" si="292"/>
        <v>335.12080050547365</v>
      </c>
      <c r="U137" s="1972">
        <f t="shared" ca="1" si="292"/>
        <v>0</v>
      </c>
      <c r="V137" s="1972">
        <f t="shared" ca="1" si="292"/>
        <v>0</v>
      </c>
      <c r="W137" s="1972">
        <f t="shared" ca="1" si="292"/>
        <v>335.12080050547371</v>
      </c>
      <c r="X137" s="1973">
        <f t="shared" ca="1" si="292"/>
        <v>335.12080050547365</v>
      </c>
      <c r="Y137" s="1882">
        <f t="shared" ca="1" si="319"/>
        <v>1005.3624015164212</v>
      </c>
      <c r="Z137" s="1882">
        <f t="shared" ca="1" si="319"/>
        <v>1005.362401516421</v>
      </c>
      <c r="AA137" s="1969">
        <f t="shared" ca="1" si="293"/>
        <v>2010.7248030328424</v>
      </c>
      <c r="AB137" s="1970">
        <f t="shared" ca="1" si="293"/>
        <v>6.4649999999999999</v>
      </c>
      <c r="AC137" s="1971">
        <f t="shared" ca="1" si="293"/>
        <v>6.4649999999999999</v>
      </c>
      <c r="AD137" s="1972">
        <f t="shared" ca="1" si="293"/>
        <v>6.4649999999999999</v>
      </c>
      <c r="AE137" s="1972">
        <f t="shared" ca="1" si="293"/>
        <v>6.4649999999999999</v>
      </c>
      <c r="AF137" s="1972">
        <f t="shared" ca="1" si="293"/>
        <v>0</v>
      </c>
      <c r="AG137" s="1972">
        <f t="shared" ca="1" si="293"/>
        <v>0</v>
      </c>
      <c r="AH137" s="1972">
        <f t="shared" ca="1" si="293"/>
        <v>6.4649999999999999</v>
      </c>
      <c r="AI137" s="1973">
        <f t="shared" ca="1" si="293"/>
        <v>6.4649999999999999</v>
      </c>
      <c r="AJ137" s="1882">
        <f t="shared" ca="1" si="320"/>
        <v>19.395</v>
      </c>
      <c r="AK137" s="1882">
        <f t="shared" ca="1" si="320"/>
        <v>19.395</v>
      </c>
      <c r="AL137" s="1969">
        <f t="shared" ca="1" si="294"/>
        <v>38.79</v>
      </c>
      <c r="AM137" s="1970">
        <f t="shared" si="294"/>
        <v>0</v>
      </c>
      <c r="AN137" s="1971">
        <f t="shared" si="294"/>
        <v>0</v>
      </c>
      <c r="AO137" s="1972">
        <f t="shared" si="294"/>
        <v>0</v>
      </c>
      <c r="AP137" s="1972">
        <f t="shared" si="294"/>
        <v>0</v>
      </c>
      <c r="AQ137" s="1972">
        <f t="shared" si="294"/>
        <v>0</v>
      </c>
      <c r="AR137" s="1972">
        <f t="shared" si="294"/>
        <v>0</v>
      </c>
      <c r="AS137" s="1972">
        <f t="shared" si="294"/>
        <v>0</v>
      </c>
      <c r="AT137" s="1973">
        <f t="shared" si="294"/>
        <v>0</v>
      </c>
      <c r="AU137" s="1882">
        <f t="shared" si="321"/>
        <v>0</v>
      </c>
      <c r="AV137" s="1882">
        <f t="shared" si="321"/>
        <v>0</v>
      </c>
      <c r="AW137" s="1969">
        <f t="shared" si="295"/>
        <v>0</v>
      </c>
      <c r="AX137" s="1740"/>
      <c r="AY137" s="1740"/>
      <c r="AZ137" s="1740"/>
      <c r="BA137" s="1883">
        <f t="shared" ca="1" si="322"/>
        <v>5641.9781358800883</v>
      </c>
      <c r="BB137" s="1883">
        <f t="shared" ca="1" si="323"/>
        <v>5641.9781358800883</v>
      </c>
      <c r="BC137" s="1883">
        <f t="shared" ca="1" si="324"/>
        <v>0</v>
      </c>
      <c r="BD137" s="1883">
        <f t="shared" ca="1" si="325"/>
        <v>5641.9781358800865</v>
      </c>
      <c r="BE137" s="1883">
        <f t="shared" ca="1" si="326"/>
        <v>16925.934407640263</v>
      </c>
      <c r="BF137" s="1740"/>
      <c r="BG137" s="1740"/>
      <c r="BH137" s="1740"/>
      <c r="BI137" s="1768" t="e">
        <f>#REF!+#REF!+#REF!</f>
        <v>#REF!</v>
      </c>
      <c r="BJ137" s="1768" t="e">
        <f>#REF!+#REF!+#REF!</f>
        <v>#REF!</v>
      </c>
      <c r="BK137" s="1935" t="e">
        <f t="shared" si="327"/>
        <v>#REF!</v>
      </c>
    </row>
    <row r="138" spans="1:63" ht="31.5">
      <c r="B138" s="1872"/>
      <c r="C138" s="1887" t="s">
        <v>3780</v>
      </c>
      <c r="D138" s="1874"/>
      <c r="E138" s="1875"/>
      <c r="F138" s="1874"/>
      <c r="G138" s="1889">
        <f ca="1">SUM(G139:G143)</f>
        <v>580880.92124392034</v>
      </c>
      <c r="H138" s="1890">
        <f ca="1">SUM(H139:H143)</f>
        <v>580880.92124392034</v>
      </c>
      <c r="I138" s="1890">
        <f ca="1">SUM(I139:I143)</f>
        <v>0</v>
      </c>
      <c r="J138" s="1890">
        <f ca="1">SUM(J139:J143)</f>
        <v>580880.92124392011</v>
      </c>
      <c r="K138" s="1969">
        <f t="shared" ca="1" si="291"/>
        <v>1742642.7637317609</v>
      </c>
      <c r="L138" s="1889">
        <f ca="1">SUM(L139:L143)</f>
        <v>41143.682858856504</v>
      </c>
      <c r="M138" s="1890">
        <f ca="1">SUM(M139:M143)</f>
        <v>41143.682858856504</v>
      </c>
      <c r="N138" s="1890">
        <f ca="1">SUM(N139:N143)</f>
        <v>0</v>
      </c>
      <c r="O138" s="1890">
        <f ca="1">SUM(O139:O143)</f>
        <v>41143.682858856497</v>
      </c>
      <c r="P138" s="1969">
        <f t="shared" ca="1" si="292"/>
        <v>123431.0485765695</v>
      </c>
      <c r="Q138" s="1889">
        <f ca="1">SUM(Q139:Q143)</f>
        <v>107149.46684055563</v>
      </c>
      <c r="R138" s="1891">
        <f t="shared" ref="R138:X138" ca="1" si="328">SUM(R139:R143)</f>
        <v>107149.46684055561</v>
      </c>
      <c r="S138" s="1890">
        <f t="shared" ca="1" si="328"/>
        <v>107149.46684055563</v>
      </c>
      <c r="T138" s="1890">
        <f t="shared" ca="1" si="328"/>
        <v>107149.46684055561</v>
      </c>
      <c r="U138" s="1890">
        <f t="shared" ca="1" si="328"/>
        <v>0</v>
      </c>
      <c r="V138" s="1890">
        <f t="shared" ca="1" si="328"/>
        <v>0</v>
      </c>
      <c r="W138" s="1890">
        <f t="shared" ca="1" si="328"/>
        <v>107149.46684055563</v>
      </c>
      <c r="X138" s="1892">
        <f t="shared" ca="1" si="328"/>
        <v>107149.46684055561</v>
      </c>
      <c r="Y138" s="1892">
        <f ca="1">SUM(Y139:Y143)</f>
        <v>321448.40052166692</v>
      </c>
      <c r="Z138" s="1892">
        <f t="shared" ref="Z138" ca="1" si="329">SUM(Z139:Z143)</f>
        <v>321448.40052166692</v>
      </c>
      <c r="AA138" s="1969">
        <f t="shared" ca="1" si="293"/>
        <v>642896.80104333372</v>
      </c>
      <c r="AB138" s="1889">
        <f ca="1">SUM(AB139:AB143)</f>
        <v>83492.840901466276</v>
      </c>
      <c r="AC138" s="1891">
        <f t="shared" ref="AC138:AK138" ca="1" si="330">SUM(AC139:AC143)</f>
        <v>83492.840901466276</v>
      </c>
      <c r="AD138" s="1890">
        <f t="shared" ca="1" si="330"/>
        <v>83492.840901466276</v>
      </c>
      <c r="AE138" s="1890">
        <f t="shared" ca="1" si="330"/>
        <v>83492.840901466276</v>
      </c>
      <c r="AF138" s="1890">
        <f t="shared" ca="1" si="330"/>
        <v>0</v>
      </c>
      <c r="AG138" s="1890">
        <f t="shared" ca="1" si="330"/>
        <v>0</v>
      </c>
      <c r="AH138" s="1890">
        <f t="shared" ca="1" si="330"/>
        <v>83492.840901466276</v>
      </c>
      <c r="AI138" s="1892">
        <f t="shared" ca="1" si="330"/>
        <v>83492.840901466276</v>
      </c>
      <c r="AJ138" s="1892">
        <f t="shared" ca="1" si="330"/>
        <v>250478.52270439881</v>
      </c>
      <c r="AK138" s="1892">
        <f t="shared" ca="1" si="330"/>
        <v>250478.52270439881</v>
      </c>
      <c r="AL138" s="1969">
        <f t="shared" ca="1" si="294"/>
        <v>500957.04540879768</v>
      </c>
      <c r="AM138" s="1889">
        <f>SUM(AM139:AM143)</f>
        <v>0</v>
      </c>
      <c r="AN138" s="1891">
        <f t="shared" ref="AN138:AV138" si="331">SUM(AN139:AN143)</f>
        <v>0</v>
      </c>
      <c r="AO138" s="1890">
        <f t="shared" si="331"/>
        <v>0</v>
      </c>
      <c r="AP138" s="1890">
        <f t="shared" si="331"/>
        <v>0</v>
      </c>
      <c r="AQ138" s="1890">
        <f t="shared" si="331"/>
        <v>0</v>
      </c>
      <c r="AR138" s="1890">
        <f t="shared" si="331"/>
        <v>0</v>
      </c>
      <c r="AS138" s="1890">
        <f t="shared" si="331"/>
        <v>0</v>
      </c>
      <c r="AT138" s="1892">
        <f t="shared" si="331"/>
        <v>0</v>
      </c>
      <c r="AU138" s="1892">
        <f t="shared" si="331"/>
        <v>0</v>
      </c>
      <c r="AV138" s="1892">
        <f t="shared" si="331"/>
        <v>0</v>
      </c>
      <c r="AW138" s="1969">
        <f t="shared" si="295"/>
        <v>0</v>
      </c>
      <c r="AX138" s="1740"/>
      <c r="AY138" s="1740"/>
      <c r="AZ138" s="1740"/>
      <c r="BA138" s="1889">
        <f t="shared" ref="BA138:BE138" ca="1" si="332">SUM(BA139:BA143)</f>
        <v>1003309.2195868206</v>
      </c>
      <c r="BB138" s="1889">
        <f t="shared" ca="1" si="332"/>
        <v>1003309.2195868206</v>
      </c>
      <c r="BC138" s="1889">
        <f t="shared" ca="1" si="332"/>
        <v>0</v>
      </c>
      <c r="BD138" s="1889">
        <f t="shared" ca="1" si="332"/>
        <v>1003309.2195868203</v>
      </c>
      <c r="BE138" s="1889">
        <f t="shared" ca="1" si="332"/>
        <v>3009927.658760462</v>
      </c>
      <c r="BF138" s="1740"/>
      <c r="BG138" s="1740"/>
      <c r="BH138" s="1740"/>
      <c r="BI138" s="1871" t="e">
        <f>SUM(BI139:BI143)</f>
        <v>#REF!</v>
      </c>
      <c r="BJ138" s="1871" t="e">
        <f t="shared" ref="BJ138" si="333">SUM(BJ139:BJ143)</f>
        <v>#REF!</v>
      </c>
      <c r="BK138" s="1962" t="e">
        <f>SUM(BK139:BK143)</f>
        <v>#REF!</v>
      </c>
    </row>
    <row r="139" spans="1:63" ht="15.75">
      <c r="B139" s="1872"/>
      <c r="C139" s="1894" t="s">
        <v>3716</v>
      </c>
      <c r="D139" s="1895"/>
      <c r="E139" s="1896"/>
      <c r="F139" s="1895"/>
      <c r="G139" s="1974">
        <f t="shared" ref="G139:J142" ca="1" si="334">SUM(G37,G111)</f>
        <v>62.204748141954738</v>
      </c>
      <c r="H139" s="1975">
        <f t="shared" ca="1" si="334"/>
        <v>62.204748141954738</v>
      </c>
      <c r="I139" s="1975">
        <f t="shared" ca="1" si="334"/>
        <v>0</v>
      </c>
      <c r="J139" s="1972">
        <f t="shared" ca="1" si="334"/>
        <v>62.204748141954717</v>
      </c>
      <c r="K139" s="1969">
        <f t="shared" ca="1" si="291"/>
        <v>186.61424442586417</v>
      </c>
      <c r="L139" s="1974">
        <f t="shared" ca="1" si="291"/>
        <v>439.50864124745306</v>
      </c>
      <c r="M139" s="1975">
        <f t="shared" ca="1" si="291"/>
        <v>439.50864124745306</v>
      </c>
      <c r="N139" s="1975">
        <f t="shared" ca="1" si="291"/>
        <v>0</v>
      </c>
      <c r="O139" s="1972">
        <f t="shared" ca="1" si="291"/>
        <v>439.50864124745289</v>
      </c>
      <c r="P139" s="1969">
        <f t="shared" ca="1" si="292"/>
        <v>1318.5259237423588</v>
      </c>
      <c r="Q139" s="1974">
        <f t="shared" ca="1" si="292"/>
        <v>51.468852371928016</v>
      </c>
      <c r="R139" s="1976">
        <f t="shared" ca="1" si="292"/>
        <v>51.468852371928008</v>
      </c>
      <c r="S139" s="1975">
        <f t="shared" ca="1" si="292"/>
        <v>51.468852371928016</v>
      </c>
      <c r="T139" s="1975">
        <f t="shared" ca="1" si="292"/>
        <v>51.468852371928008</v>
      </c>
      <c r="U139" s="1975">
        <f t="shared" ca="1" si="292"/>
        <v>0</v>
      </c>
      <c r="V139" s="1975">
        <f t="shared" ca="1" si="292"/>
        <v>0</v>
      </c>
      <c r="W139" s="1975">
        <f t="shared" ca="1" si="292"/>
        <v>51.468852371928016</v>
      </c>
      <c r="X139" s="1977">
        <f t="shared" ca="1" si="292"/>
        <v>51.468852371928008</v>
      </c>
      <c r="Y139" s="1901">
        <f t="shared" ref="Y139:Z142" ca="1" si="335">SUM(Q139,S139,U139,W139)</f>
        <v>154.40655711578404</v>
      </c>
      <c r="Z139" s="1901">
        <f t="shared" ca="1" si="335"/>
        <v>154.40655711578404</v>
      </c>
      <c r="AA139" s="1969">
        <f t="shared" ca="1" si="293"/>
        <v>308.81311423156808</v>
      </c>
      <c r="AB139" s="1974">
        <f t="shared" ca="1" si="293"/>
        <v>1.67</v>
      </c>
      <c r="AC139" s="1976">
        <f t="shared" ca="1" si="293"/>
        <v>1.67</v>
      </c>
      <c r="AD139" s="1975">
        <f t="shared" ca="1" si="293"/>
        <v>1.67</v>
      </c>
      <c r="AE139" s="1975">
        <f t="shared" ca="1" si="293"/>
        <v>1.67</v>
      </c>
      <c r="AF139" s="1975">
        <f t="shared" ca="1" si="293"/>
        <v>0</v>
      </c>
      <c r="AG139" s="1975">
        <f t="shared" ca="1" si="293"/>
        <v>0</v>
      </c>
      <c r="AH139" s="1975">
        <f t="shared" ca="1" si="293"/>
        <v>1.67</v>
      </c>
      <c r="AI139" s="1977">
        <f t="shared" ca="1" si="293"/>
        <v>1.67</v>
      </c>
      <c r="AJ139" s="1901">
        <f t="shared" ref="AJ139:AK142" ca="1" si="336">SUM(AB139,AD139,AF139,AH139)</f>
        <v>5.01</v>
      </c>
      <c r="AK139" s="1901">
        <f t="shared" ca="1" si="336"/>
        <v>5.01</v>
      </c>
      <c r="AL139" s="1969">
        <f t="shared" ca="1" si="294"/>
        <v>10.02</v>
      </c>
      <c r="AM139" s="1974">
        <f t="shared" si="294"/>
        <v>0</v>
      </c>
      <c r="AN139" s="1976">
        <f t="shared" si="294"/>
        <v>0</v>
      </c>
      <c r="AO139" s="1975">
        <f t="shared" si="294"/>
        <v>0</v>
      </c>
      <c r="AP139" s="1975">
        <f t="shared" si="294"/>
        <v>0</v>
      </c>
      <c r="AQ139" s="1975">
        <f t="shared" si="294"/>
        <v>0</v>
      </c>
      <c r="AR139" s="1975">
        <f t="shared" si="294"/>
        <v>0</v>
      </c>
      <c r="AS139" s="1975">
        <f t="shared" si="294"/>
        <v>0</v>
      </c>
      <c r="AT139" s="1977">
        <f t="shared" si="294"/>
        <v>0</v>
      </c>
      <c r="AU139" s="1901">
        <f t="shared" ref="AU139:AV142" si="337">SUM(AM139,AO139,AQ139,AS139)</f>
        <v>0</v>
      </c>
      <c r="AV139" s="1901">
        <f t="shared" si="337"/>
        <v>0</v>
      </c>
      <c r="AW139" s="1969">
        <f t="shared" si="295"/>
        <v>0</v>
      </c>
      <c r="AX139" s="1740"/>
      <c r="AY139" s="1740"/>
      <c r="AZ139" s="1740"/>
      <c r="BA139" s="1883">
        <f t="shared" ref="BA139:BA142" ca="1" si="338">SUM(G139,L139,Q139:R139,AB139:AC139)</f>
        <v>607.9910941332638</v>
      </c>
      <c r="BB139" s="1883">
        <f t="shared" ref="BB139:BB142" ca="1" si="339">SUM(H139,M139,S139:T139,AD139:AE139)</f>
        <v>607.9910941332638</v>
      </c>
      <c r="BC139" s="1883">
        <f t="shared" ref="BC139:BC142" ca="1" si="340">SUM(I139,N139,U139:V139,AF139:AG139)</f>
        <v>0</v>
      </c>
      <c r="BD139" s="1883">
        <f t="shared" ref="BD139:BD142" ca="1" si="341">SUM(J139,O139,W139:X139,AH139:AI139)</f>
        <v>607.99109413326357</v>
      </c>
      <c r="BE139" s="1883">
        <f t="shared" ref="BE139:BE142" ca="1" si="342">SUM(K139,P139,Y139:Z139,AJ139:AK139)</f>
        <v>1823.9732823997911</v>
      </c>
      <c r="BF139" s="1740"/>
      <c r="BG139" s="1740"/>
      <c r="BH139" s="1740"/>
      <c r="BI139" s="1768" t="e">
        <f>#REF!+#REF!+#REF!</f>
        <v>#REF!</v>
      </c>
      <c r="BJ139" s="1768" t="e">
        <f>#REF!+#REF!+#REF!</f>
        <v>#REF!</v>
      </c>
      <c r="BK139" s="1935" t="e">
        <f t="shared" ref="BK139:BK142" si="343">SUM(BI139:BJ139)</f>
        <v>#REF!</v>
      </c>
    </row>
    <row r="140" spans="1:63" ht="31.5">
      <c r="B140" s="1872"/>
      <c r="C140" s="1894" t="s">
        <v>3718</v>
      </c>
      <c r="D140" s="1895"/>
      <c r="E140" s="1896"/>
      <c r="F140" s="1895"/>
      <c r="G140" s="1974">
        <f t="shared" ca="1" si="334"/>
        <v>122.43404167246445</v>
      </c>
      <c r="H140" s="1975">
        <f t="shared" ca="1" si="334"/>
        <v>122.43404167246445</v>
      </c>
      <c r="I140" s="1975">
        <f t="shared" ca="1" si="334"/>
        <v>0</v>
      </c>
      <c r="J140" s="1972">
        <f t="shared" ca="1" si="334"/>
        <v>122.43404167246439</v>
      </c>
      <c r="K140" s="1969">
        <f t="shared" ca="1" si="291"/>
        <v>367.30212501739328</v>
      </c>
      <c r="L140" s="1974">
        <f t="shared" ca="1" si="291"/>
        <v>865.07442087006018</v>
      </c>
      <c r="M140" s="1975">
        <f t="shared" ca="1" si="291"/>
        <v>865.07442087006018</v>
      </c>
      <c r="N140" s="1975">
        <f t="shared" ca="1" si="291"/>
        <v>0</v>
      </c>
      <c r="O140" s="1972">
        <f t="shared" ca="1" si="291"/>
        <v>865.07442087005984</v>
      </c>
      <c r="P140" s="1969">
        <f t="shared" ca="1" si="292"/>
        <v>2595.22326261018</v>
      </c>
      <c r="Q140" s="1974">
        <f t="shared" ca="1" si="292"/>
        <v>104.49988641619868</v>
      </c>
      <c r="R140" s="1976">
        <f t="shared" ca="1" si="292"/>
        <v>104.49988641619866</v>
      </c>
      <c r="S140" s="1975">
        <f t="shared" ca="1" si="292"/>
        <v>104.49988641619868</v>
      </c>
      <c r="T140" s="1975">
        <f t="shared" ca="1" si="292"/>
        <v>104.49988641619866</v>
      </c>
      <c r="U140" s="1975">
        <f t="shared" ca="1" si="292"/>
        <v>0</v>
      </c>
      <c r="V140" s="1975">
        <f t="shared" ca="1" si="292"/>
        <v>0</v>
      </c>
      <c r="W140" s="1975">
        <f t="shared" ca="1" si="292"/>
        <v>104.49988641619868</v>
      </c>
      <c r="X140" s="1977">
        <f t="shared" ca="1" si="292"/>
        <v>104.49988641619866</v>
      </c>
      <c r="Y140" s="1901">
        <f t="shared" ca="1" si="335"/>
        <v>313.499659248596</v>
      </c>
      <c r="Z140" s="1901">
        <f t="shared" ca="1" si="335"/>
        <v>313.499659248596</v>
      </c>
      <c r="AA140" s="1969">
        <f t="shared" ca="1" si="293"/>
        <v>626.99931849719201</v>
      </c>
      <c r="AB140" s="1974">
        <f t="shared" ca="1" si="293"/>
        <v>3.4149999999999996</v>
      </c>
      <c r="AC140" s="1976">
        <f t="shared" ca="1" si="293"/>
        <v>3.4149999999999996</v>
      </c>
      <c r="AD140" s="1975">
        <f t="shared" ca="1" si="293"/>
        <v>3.4149999999999996</v>
      </c>
      <c r="AE140" s="1975">
        <f t="shared" ca="1" si="293"/>
        <v>3.4149999999999996</v>
      </c>
      <c r="AF140" s="1975">
        <f t="shared" ca="1" si="293"/>
        <v>0</v>
      </c>
      <c r="AG140" s="1975">
        <f t="shared" ca="1" si="293"/>
        <v>0</v>
      </c>
      <c r="AH140" s="1975">
        <f t="shared" ca="1" si="293"/>
        <v>3.4149999999999996</v>
      </c>
      <c r="AI140" s="1977">
        <f t="shared" ca="1" si="293"/>
        <v>3.4149999999999996</v>
      </c>
      <c r="AJ140" s="1901">
        <f t="shared" ca="1" si="336"/>
        <v>10.244999999999999</v>
      </c>
      <c r="AK140" s="1901">
        <f t="shared" ca="1" si="336"/>
        <v>10.244999999999999</v>
      </c>
      <c r="AL140" s="1969">
        <f t="shared" ca="1" si="294"/>
        <v>20.49</v>
      </c>
      <c r="AM140" s="1974">
        <f t="shared" si="294"/>
        <v>0</v>
      </c>
      <c r="AN140" s="1976">
        <f t="shared" si="294"/>
        <v>0</v>
      </c>
      <c r="AO140" s="1975">
        <f t="shared" si="294"/>
        <v>0</v>
      </c>
      <c r="AP140" s="1975">
        <f t="shared" si="294"/>
        <v>0</v>
      </c>
      <c r="AQ140" s="1975">
        <f t="shared" si="294"/>
        <v>0</v>
      </c>
      <c r="AR140" s="1975">
        <f t="shared" si="294"/>
        <v>0</v>
      </c>
      <c r="AS140" s="1975">
        <f t="shared" si="294"/>
        <v>0</v>
      </c>
      <c r="AT140" s="1977">
        <f t="shared" si="294"/>
        <v>0</v>
      </c>
      <c r="AU140" s="1901">
        <f t="shared" si="337"/>
        <v>0</v>
      </c>
      <c r="AV140" s="1901">
        <f t="shared" si="337"/>
        <v>0</v>
      </c>
      <c r="AW140" s="1969">
        <f t="shared" si="295"/>
        <v>0</v>
      </c>
      <c r="AX140" s="1740"/>
      <c r="AY140" s="1740"/>
      <c r="AZ140" s="1740"/>
      <c r="BA140" s="1883">
        <f t="shared" ca="1" si="338"/>
        <v>1203.3382353749219</v>
      </c>
      <c r="BB140" s="1883">
        <f t="shared" ca="1" si="339"/>
        <v>1203.3382353749219</v>
      </c>
      <c r="BC140" s="1883">
        <f t="shared" ca="1" si="340"/>
        <v>0</v>
      </c>
      <c r="BD140" s="1883">
        <f t="shared" ca="1" si="341"/>
        <v>1203.3382353749216</v>
      </c>
      <c r="BE140" s="1883">
        <f t="shared" ca="1" si="342"/>
        <v>3610.0147061247649</v>
      </c>
      <c r="BF140" s="1740"/>
      <c r="BG140" s="1740"/>
      <c r="BH140" s="1740"/>
      <c r="BI140" s="1768" t="e">
        <f>#REF!+#REF!+#REF!</f>
        <v>#REF!</v>
      </c>
      <c r="BJ140" s="1768" t="e">
        <f>#REF!+#REF!+#REF!</f>
        <v>#REF!</v>
      </c>
      <c r="BK140" s="1935" t="e">
        <f t="shared" si="343"/>
        <v>#REF!</v>
      </c>
    </row>
    <row r="141" spans="1:63" ht="47.25">
      <c r="B141" s="1872"/>
      <c r="C141" s="1894" t="s">
        <v>3781</v>
      </c>
      <c r="D141" s="1895"/>
      <c r="E141" s="1896"/>
      <c r="F141" s="1895"/>
      <c r="G141" s="1974">
        <f t="shared" ca="1" si="334"/>
        <v>203.15729728930609</v>
      </c>
      <c r="H141" s="1975">
        <f t="shared" ca="1" si="334"/>
        <v>203.15729728930609</v>
      </c>
      <c r="I141" s="1975">
        <f t="shared" ca="1" si="334"/>
        <v>0</v>
      </c>
      <c r="J141" s="1972">
        <f t="shared" ca="1" si="334"/>
        <v>203.15729728930603</v>
      </c>
      <c r="K141" s="1969">
        <f t="shared" ca="1" si="291"/>
        <v>609.4718918679182</v>
      </c>
      <c r="L141" s="1974">
        <f t="shared" ca="1" si="291"/>
        <v>1435.5011004910652</v>
      </c>
      <c r="M141" s="1975">
        <f t="shared" ca="1" si="291"/>
        <v>1435.5011004910652</v>
      </c>
      <c r="N141" s="1975">
        <f t="shared" ca="1" si="291"/>
        <v>0</v>
      </c>
      <c r="O141" s="1972">
        <f t="shared" ca="1" si="291"/>
        <v>1435.5011004910648</v>
      </c>
      <c r="P141" s="1969">
        <f t="shared" ca="1" si="292"/>
        <v>4306.5033014731953</v>
      </c>
      <c r="Q141" s="1974">
        <f t="shared" ca="1" si="292"/>
        <v>132.69361980596037</v>
      </c>
      <c r="R141" s="1976">
        <f t="shared" ca="1" si="292"/>
        <v>132.69361980596034</v>
      </c>
      <c r="S141" s="1975">
        <f t="shared" ca="1" si="292"/>
        <v>132.69361980596037</v>
      </c>
      <c r="T141" s="1975">
        <f t="shared" ca="1" si="292"/>
        <v>132.69361980596034</v>
      </c>
      <c r="U141" s="1975">
        <f t="shared" ca="1" si="292"/>
        <v>0</v>
      </c>
      <c r="V141" s="1975">
        <f t="shared" ca="1" si="292"/>
        <v>0</v>
      </c>
      <c r="W141" s="1975">
        <f t="shared" ca="1" si="292"/>
        <v>132.69361980596037</v>
      </c>
      <c r="X141" s="1977">
        <f t="shared" ca="1" si="292"/>
        <v>132.69361980596034</v>
      </c>
      <c r="Y141" s="1901">
        <f t="shared" ca="1" si="335"/>
        <v>398.08085941788113</v>
      </c>
      <c r="Z141" s="1901">
        <f t="shared" ca="1" si="335"/>
        <v>398.08085941788102</v>
      </c>
      <c r="AA141" s="1969">
        <f t="shared" ca="1" si="293"/>
        <v>796.16171883576203</v>
      </c>
      <c r="AB141" s="1974">
        <f t="shared" ca="1" si="293"/>
        <v>4.0399999999999991</v>
      </c>
      <c r="AC141" s="1976">
        <f t="shared" ca="1" si="293"/>
        <v>4.0399999999999991</v>
      </c>
      <c r="AD141" s="1975">
        <f t="shared" ca="1" si="293"/>
        <v>4.0399999999999991</v>
      </c>
      <c r="AE141" s="1975">
        <f t="shared" ca="1" si="293"/>
        <v>4.0399999999999991</v>
      </c>
      <c r="AF141" s="1975">
        <f t="shared" ca="1" si="293"/>
        <v>0</v>
      </c>
      <c r="AG141" s="1975">
        <f t="shared" ca="1" si="293"/>
        <v>0</v>
      </c>
      <c r="AH141" s="1975">
        <f t="shared" ca="1" si="293"/>
        <v>4.0399999999999991</v>
      </c>
      <c r="AI141" s="1977">
        <f t="shared" ca="1" si="293"/>
        <v>4.0399999999999991</v>
      </c>
      <c r="AJ141" s="1901">
        <f t="shared" ca="1" si="336"/>
        <v>12.119999999999997</v>
      </c>
      <c r="AK141" s="1901">
        <f t="shared" ca="1" si="336"/>
        <v>12.119999999999997</v>
      </c>
      <c r="AL141" s="1969">
        <f t="shared" ca="1" si="294"/>
        <v>24.24</v>
      </c>
      <c r="AM141" s="1974">
        <f t="shared" si="294"/>
        <v>0</v>
      </c>
      <c r="AN141" s="1976">
        <f t="shared" si="294"/>
        <v>0</v>
      </c>
      <c r="AO141" s="1975">
        <f t="shared" si="294"/>
        <v>0</v>
      </c>
      <c r="AP141" s="1975">
        <f t="shared" si="294"/>
        <v>0</v>
      </c>
      <c r="AQ141" s="1975">
        <f t="shared" si="294"/>
        <v>0</v>
      </c>
      <c r="AR141" s="1975">
        <f t="shared" si="294"/>
        <v>0</v>
      </c>
      <c r="AS141" s="1975">
        <f t="shared" si="294"/>
        <v>0</v>
      </c>
      <c r="AT141" s="1977">
        <f t="shared" si="294"/>
        <v>0</v>
      </c>
      <c r="AU141" s="1901">
        <f t="shared" si="337"/>
        <v>0</v>
      </c>
      <c r="AV141" s="1901">
        <f t="shared" si="337"/>
        <v>0</v>
      </c>
      <c r="AW141" s="1969">
        <f t="shared" si="295"/>
        <v>0</v>
      </c>
      <c r="AX141" s="1740"/>
      <c r="AY141" s="1740"/>
      <c r="AZ141" s="1740"/>
      <c r="BA141" s="1883">
        <f t="shared" ca="1" si="338"/>
        <v>1912.125637392292</v>
      </c>
      <c r="BB141" s="1883">
        <f t="shared" ca="1" si="339"/>
        <v>1912.125637392292</v>
      </c>
      <c r="BC141" s="1883">
        <f t="shared" ca="1" si="340"/>
        <v>0</v>
      </c>
      <c r="BD141" s="1883">
        <f t="shared" ca="1" si="341"/>
        <v>1912.1256373922915</v>
      </c>
      <c r="BE141" s="1883">
        <f t="shared" ca="1" si="342"/>
        <v>5736.3769121768755</v>
      </c>
      <c r="BF141" s="1740"/>
      <c r="BG141" s="1740"/>
      <c r="BH141" s="1740"/>
      <c r="BI141" s="1768" t="e">
        <f>#REF!+#REF!+#REF!</f>
        <v>#REF!</v>
      </c>
      <c r="BJ141" s="1768" t="e">
        <f>#REF!+#REF!+#REF!</f>
        <v>#REF!</v>
      </c>
      <c r="BK141" s="1935" t="e">
        <f t="shared" si="343"/>
        <v>#REF!</v>
      </c>
    </row>
    <row r="142" spans="1:63" ht="15.75">
      <c r="B142" s="1872"/>
      <c r="C142" s="1894" t="s">
        <v>3722</v>
      </c>
      <c r="D142" s="1895"/>
      <c r="E142" s="1896"/>
      <c r="F142" s="1895"/>
      <c r="G142" s="1974">
        <f t="shared" ca="1" si="334"/>
        <v>4.5082302166217527</v>
      </c>
      <c r="H142" s="1975">
        <f t="shared" ca="1" si="334"/>
        <v>4.5082302166217527</v>
      </c>
      <c r="I142" s="1975">
        <f t="shared" ca="1" si="334"/>
        <v>0</v>
      </c>
      <c r="J142" s="1972">
        <f t="shared" ca="1" si="334"/>
        <v>4.5082302166217518</v>
      </c>
      <c r="K142" s="1969">
        <f t="shared" ca="1" si="291"/>
        <v>13.524690649865256</v>
      </c>
      <c r="L142" s="1974">
        <f t="shared" ca="1" si="291"/>
        <v>31.872751261221502</v>
      </c>
      <c r="M142" s="1975">
        <f t="shared" ca="1" si="291"/>
        <v>31.872751261221502</v>
      </c>
      <c r="N142" s="1975">
        <f t="shared" ca="1" si="291"/>
        <v>0</v>
      </c>
      <c r="O142" s="1972">
        <f t="shared" ca="1" si="291"/>
        <v>31.872751261221492</v>
      </c>
      <c r="P142" s="1969">
        <f t="shared" ca="1" si="292"/>
        <v>95.6182537836645</v>
      </c>
      <c r="Q142" s="1974">
        <f t="shared" ca="1" si="292"/>
        <v>4.3470894740616295</v>
      </c>
      <c r="R142" s="1976">
        <f t="shared" ca="1" si="292"/>
        <v>4.3470894740616286</v>
      </c>
      <c r="S142" s="1975">
        <f t="shared" ca="1" si="292"/>
        <v>4.3470894740616295</v>
      </c>
      <c r="T142" s="1975">
        <f t="shared" ca="1" si="292"/>
        <v>4.3470894740616286</v>
      </c>
      <c r="U142" s="1975">
        <f t="shared" ca="1" si="292"/>
        <v>0</v>
      </c>
      <c r="V142" s="1975">
        <f t="shared" ca="1" si="292"/>
        <v>0</v>
      </c>
      <c r="W142" s="1975">
        <f t="shared" ca="1" si="292"/>
        <v>4.3470894740616295</v>
      </c>
      <c r="X142" s="1977">
        <f t="shared" ca="1" si="292"/>
        <v>4.3470894740616286</v>
      </c>
      <c r="Y142" s="1901">
        <f t="shared" ca="1" si="335"/>
        <v>13.041268422184888</v>
      </c>
      <c r="Z142" s="1901">
        <f t="shared" ca="1" si="335"/>
        <v>13.041268422184885</v>
      </c>
      <c r="AA142" s="1969">
        <f t="shared" ca="1" si="293"/>
        <v>26.082536844369773</v>
      </c>
      <c r="AB142" s="1974">
        <f t="shared" ca="1" si="293"/>
        <v>7.1666666666666656E-2</v>
      </c>
      <c r="AC142" s="1976">
        <f t="shared" ca="1" si="293"/>
        <v>7.1666666666666656E-2</v>
      </c>
      <c r="AD142" s="1975">
        <f t="shared" ca="1" si="293"/>
        <v>7.1666666666666656E-2</v>
      </c>
      <c r="AE142" s="1975">
        <f t="shared" ca="1" si="293"/>
        <v>7.1666666666666656E-2</v>
      </c>
      <c r="AF142" s="1975">
        <f t="shared" ca="1" si="293"/>
        <v>0</v>
      </c>
      <c r="AG142" s="1975">
        <f t="shared" ca="1" si="293"/>
        <v>0</v>
      </c>
      <c r="AH142" s="1975">
        <f t="shared" ca="1" si="293"/>
        <v>7.1666666666666656E-2</v>
      </c>
      <c r="AI142" s="1977">
        <f t="shared" ca="1" si="293"/>
        <v>7.1666666666666656E-2</v>
      </c>
      <c r="AJ142" s="1901">
        <f t="shared" ca="1" si="336"/>
        <v>0.21499999999999997</v>
      </c>
      <c r="AK142" s="1901">
        <f t="shared" ca="1" si="336"/>
        <v>0.21499999999999997</v>
      </c>
      <c r="AL142" s="1969">
        <f t="shared" ca="1" si="294"/>
        <v>0.43</v>
      </c>
      <c r="AM142" s="1974">
        <f t="shared" si="294"/>
        <v>0</v>
      </c>
      <c r="AN142" s="1976">
        <f t="shared" si="294"/>
        <v>0</v>
      </c>
      <c r="AO142" s="1975">
        <f t="shared" si="294"/>
        <v>0</v>
      </c>
      <c r="AP142" s="1975">
        <f t="shared" si="294"/>
        <v>0</v>
      </c>
      <c r="AQ142" s="1975">
        <f t="shared" si="294"/>
        <v>0</v>
      </c>
      <c r="AR142" s="1975">
        <f t="shared" si="294"/>
        <v>0</v>
      </c>
      <c r="AS142" s="1975">
        <f t="shared" si="294"/>
        <v>0</v>
      </c>
      <c r="AT142" s="1977">
        <f t="shared" si="294"/>
        <v>0</v>
      </c>
      <c r="AU142" s="1901">
        <f t="shared" si="337"/>
        <v>0</v>
      </c>
      <c r="AV142" s="1901">
        <f t="shared" si="337"/>
        <v>0</v>
      </c>
      <c r="AW142" s="1969">
        <f t="shared" si="295"/>
        <v>0</v>
      </c>
      <c r="AX142" s="1740"/>
      <c r="AY142" s="1740"/>
      <c r="AZ142" s="1740"/>
      <c r="BA142" s="1883">
        <f t="shared" ca="1" si="338"/>
        <v>45.218493759299839</v>
      </c>
      <c r="BB142" s="1883">
        <f t="shared" ca="1" si="339"/>
        <v>45.218493759299839</v>
      </c>
      <c r="BC142" s="1883">
        <f t="shared" ca="1" si="340"/>
        <v>0</v>
      </c>
      <c r="BD142" s="1883">
        <f t="shared" ca="1" si="341"/>
        <v>45.218493759299825</v>
      </c>
      <c r="BE142" s="1883">
        <f t="shared" ca="1" si="342"/>
        <v>135.65548127789953</v>
      </c>
      <c r="BF142" s="1740"/>
      <c r="BG142" s="1740"/>
      <c r="BH142" s="1740"/>
      <c r="BI142" s="1768" t="e">
        <f>#REF!+#REF!+#REF!</f>
        <v>#REF!</v>
      </c>
      <c r="BJ142" s="1768" t="e">
        <f>#REF!+#REF!+#REF!</f>
        <v>#REF!</v>
      </c>
      <c r="BK142" s="1935" t="e">
        <f t="shared" si="343"/>
        <v>#REF!</v>
      </c>
    </row>
    <row r="143" spans="1:63" ht="31.5">
      <c r="B143" s="1872"/>
      <c r="C143" s="1894" t="s">
        <v>3782</v>
      </c>
      <c r="D143" s="1895"/>
      <c r="E143" s="1896"/>
      <c r="F143" s="1895"/>
      <c r="G143" s="1902">
        <f ca="1">SUM(G144,G145)</f>
        <v>580488.61692659999</v>
      </c>
      <c r="H143" s="1903">
        <f t="shared" ref="H143:J143" ca="1" si="344">SUM(H144,H145)</f>
        <v>580488.61692659999</v>
      </c>
      <c r="I143" s="1903">
        <f t="shared" ca="1" si="344"/>
        <v>0</v>
      </c>
      <c r="J143" s="1903">
        <f t="shared" ca="1" si="344"/>
        <v>580488.61692659976</v>
      </c>
      <c r="K143" s="1969">
        <f t="shared" ca="1" si="291"/>
        <v>1741465.8507797997</v>
      </c>
      <c r="L143" s="1902">
        <f ca="1">SUM(L144,L145)</f>
        <v>38371.725944986705</v>
      </c>
      <c r="M143" s="1903">
        <f t="shared" ref="M143:O143" ca="1" si="345">SUM(M144,M145)</f>
        <v>38371.725944986705</v>
      </c>
      <c r="N143" s="1903">
        <f t="shared" ca="1" si="345"/>
        <v>0</v>
      </c>
      <c r="O143" s="1903">
        <f t="shared" ca="1" si="345"/>
        <v>38371.725944986698</v>
      </c>
      <c r="P143" s="1969">
        <f t="shared" ca="1" si="292"/>
        <v>115115.17783496012</v>
      </c>
      <c r="Q143" s="1902">
        <f ca="1">SUM(Q144,Q145)</f>
        <v>106856.45739248749</v>
      </c>
      <c r="R143" s="1904">
        <f t="shared" ref="R143:Z143" ca="1" si="346">SUM(R144,R145)</f>
        <v>106856.45739248747</v>
      </c>
      <c r="S143" s="1903">
        <f t="shared" ca="1" si="346"/>
        <v>106856.45739248749</v>
      </c>
      <c r="T143" s="1903">
        <f t="shared" ca="1" si="346"/>
        <v>106856.45739248747</v>
      </c>
      <c r="U143" s="1903">
        <f t="shared" ca="1" si="346"/>
        <v>0</v>
      </c>
      <c r="V143" s="1903">
        <f t="shared" ca="1" si="346"/>
        <v>0</v>
      </c>
      <c r="W143" s="1903">
        <f t="shared" ca="1" si="346"/>
        <v>106856.45739248749</v>
      </c>
      <c r="X143" s="1901">
        <f t="shared" ca="1" si="346"/>
        <v>106856.45739248747</v>
      </c>
      <c r="Y143" s="1901">
        <f t="shared" ca="1" si="346"/>
        <v>320569.37217746244</v>
      </c>
      <c r="Z143" s="1901">
        <f t="shared" ca="1" si="346"/>
        <v>320569.37217746244</v>
      </c>
      <c r="AA143" s="1969">
        <f t="shared" ca="1" si="293"/>
        <v>641138.74435492489</v>
      </c>
      <c r="AB143" s="1902">
        <f ca="1">SUM(AB144,AB145)</f>
        <v>83483.644234799605</v>
      </c>
      <c r="AC143" s="1904">
        <f t="shared" ref="AC143:AK143" ca="1" si="347">SUM(AC144,AC145)</f>
        <v>83483.644234799605</v>
      </c>
      <c r="AD143" s="1903">
        <f t="shared" ca="1" si="347"/>
        <v>83483.644234799605</v>
      </c>
      <c r="AE143" s="1903">
        <f t="shared" ca="1" si="347"/>
        <v>83483.644234799605</v>
      </c>
      <c r="AF143" s="1903">
        <f t="shared" ca="1" si="347"/>
        <v>0</v>
      </c>
      <c r="AG143" s="1903">
        <f t="shared" ca="1" si="347"/>
        <v>0</v>
      </c>
      <c r="AH143" s="1903">
        <f t="shared" ca="1" si="347"/>
        <v>83483.644234799605</v>
      </c>
      <c r="AI143" s="1901">
        <f t="shared" ca="1" si="347"/>
        <v>83483.644234799605</v>
      </c>
      <c r="AJ143" s="1901">
        <f t="shared" ca="1" si="347"/>
        <v>250450.93270439882</v>
      </c>
      <c r="AK143" s="1901">
        <f t="shared" ca="1" si="347"/>
        <v>250450.93270439882</v>
      </c>
      <c r="AL143" s="1969">
        <f t="shared" ca="1" si="294"/>
        <v>500901.86540879769</v>
      </c>
      <c r="AM143" s="1902">
        <f>SUM(AM144,AM145)</f>
        <v>0</v>
      </c>
      <c r="AN143" s="1904">
        <f t="shared" ref="AN143:AV143" si="348">SUM(AN144,AN145)</f>
        <v>0</v>
      </c>
      <c r="AO143" s="1903">
        <f t="shared" si="348"/>
        <v>0</v>
      </c>
      <c r="AP143" s="1903">
        <f t="shared" si="348"/>
        <v>0</v>
      </c>
      <c r="AQ143" s="1903">
        <f t="shared" si="348"/>
        <v>0</v>
      </c>
      <c r="AR143" s="1903">
        <f t="shared" si="348"/>
        <v>0</v>
      </c>
      <c r="AS143" s="1903">
        <f t="shared" si="348"/>
        <v>0</v>
      </c>
      <c r="AT143" s="1901">
        <f t="shared" si="348"/>
        <v>0</v>
      </c>
      <c r="AU143" s="1901">
        <f t="shared" si="348"/>
        <v>0</v>
      </c>
      <c r="AV143" s="1901">
        <f t="shared" si="348"/>
        <v>0</v>
      </c>
      <c r="AW143" s="1969">
        <f t="shared" si="295"/>
        <v>0</v>
      </c>
      <c r="AX143" s="1740"/>
      <c r="AY143" s="1740"/>
      <c r="AZ143" s="1740"/>
      <c r="BA143" s="1902">
        <f ca="1">SUM(BA144,BA145)</f>
        <v>999540.54612616077</v>
      </c>
      <c r="BB143" s="1902">
        <f t="shared" ref="BB143:BE143" ca="1" si="349">SUM(BB144,BB145)</f>
        <v>999540.54612616077</v>
      </c>
      <c r="BC143" s="1902">
        <f t="shared" ca="1" si="349"/>
        <v>0</v>
      </c>
      <c r="BD143" s="1902">
        <f t="shared" ca="1" si="349"/>
        <v>999540.54612616054</v>
      </c>
      <c r="BE143" s="1902">
        <f t="shared" ca="1" si="349"/>
        <v>2998621.6383784828</v>
      </c>
      <c r="BF143" s="1740"/>
      <c r="BG143" s="1740"/>
      <c r="BH143" s="1740"/>
      <c r="BI143" s="1905" t="e">
        <f>SUM(BI144,BI145)</f>
        <v>#REF!</v>
      </c>
      <c r="BJ143" s="1905" t="e">
        <f t="shared" ref="BJ143:BK143" si="350">SUM(BJ144,BJ145)</f>
        <v>#REF!</v>
      </c>
      <c r="BK143" s="1964" t="e">
        <f t="shared" si="350"/>
        <v>#REF!</v>
      </c>
    </row>
    <row r="144" spans="1:63" ht="31.5">
      <c r="B144" s="1907"/>
      <c r="C144" s="1908" t="s">
        <v>3768</v>
      </c>
      <c r="D144" s="1895"/>
      <c r="E144" s="1896"/>
      <c r="F144" s="1895"/>
      <c r="G144" s="1974">
        <f t="shared" ref="G144:X151" ca="1" si="351">SUM(G42,G116)</f>
        <v>0</v>
      </c>
      <c r="H144" s="1975">
        <f t="shared" ca="1" si="351"/>
        <v>0</v>
      </c>
      <c r="I144" s="1975">
        <f t="shared" ca="1" si="351"/>
        <v>0</v>
      </c>
      <c r="J144" s="1975">
        <f t="shared" ca="1" si="351"/>
        <v>0</v>
      </c>
      <c r="K144" s="1969">
        <f t="shared" ca="1" si="351"/>
        <v>0</v>
      </c>
      <c r="L144" s="1974">
        <f t="shared" ca="1" si="351"/>
        <v>0</v>
      </c>
      <c r="M144" s="1975">
        <f t="shared" ca="1" si="351"/>
        <v>0</v>
      </c>
      <c r="N144" s="1975">
        <f t="shared" ca="1" si="351"/>
        <v>0</v>
      </c>
      <c r="O144" s="1975">
        <f t="shared" ca="1" si="351"/>
        <v>0</v>
      </c>
      <c r="P144" s="1969">
        <f t="shared" ca="1" si="351"/>
        <v>0</v>
      </c>
      <c r="Q144" s="1974">
        <f t="shared" ca="1" si="351"/>
        <v>0</v>
      </c>
      <c r="R144" s="1976">
        <f t="shared" ca="1" si="351"/>
        <v>0</v>
      </c>
      <c r="S144" s="1975">
        <f t="shared" ca="1" si="351"/>
        <v>0</v>
      </c>
      <c r="T144" s="1975">
        <f t="shared" ca="1" si="351"/>
        <v>0</v>
      </c>
      <c r="U144" s="1975">
        <f t="shared" ca="1" si="351"/>
        <v>0</v>
      </c>
      <c r="V144" s="1975">
        <f t="shared" ca="1" si="351"/>
        <v>0</v>
      </c>
      <c r="W144" s="1975">
        <f t="shared" ca="1" si="351"/>
        <v>0</v>
      </c>
      <c r="X144" s="1977">
        <f t="shared" ca="1" si="351"/>
        <v>0</v>
      </c>
      <c r="Y144" s="1901">
        <f t="shared" ref="Y144:Z145" ca="1" si="352">SUM(Q144,S144,U144,W144)</f>
        <v>0</v>
      </c>
      <c r="Z144" s="1901">
        <f t="shared" ca="1" si="352"/>
        <v>0</v>
      </c>
      <c r="AA144" s="1969">
        <f t="shared" ref="AA144:AI151" ca="1" si="353">SUM(AA42,AA116)</f>
        <v>0</v>
      </c>
      <c r="AB144" s="1974">
        <f t="shared" ca="1" si="353"/>
        <v>0</v>
      </c>
      <c r="AC144" s="1976">
        <f t="shared" ca="1" si="353"/>
        <v>0</v>
      </c>
      <c r="AD144" s="1975">
        <f t="shared" ca="1" si="353"/>
        <v>0</v>
      </c>
      <c r="AE144" s="1975">
        <f t="shared" ca="1" si="353"/>
        <v>0</v>
      </c>
      <c r="AF144" s="1975">
        <f t="shared" ca="1" si="353"/>
        <v>0</v>
      </c>
      <c r="AG144" s="1975">
        <f t="shared" ca="1" si="353"/>
        <v>0</v>
      </c>
      <c r="AH144" s="1975">
        <f t="shared" ca="1" si="353"/>
        <v>0</v>
      </c>
      <c r="AI144" s="1977">
        <f t="shared" ca="1" si="353"/>
        <v>0</v>
      </c>
      <c r="AJ144" s="1901">
        <f t="shared" ref="AJ144:AK145" ca="1" si="354">SUM(AB144,AD144,AF144,AH144)</f>
        <v>0</v>
      </c>
      <c r="AK144" s="1901">
        <f t="shared" ca="1" si="354"/>
        <v>0</v>
      </c>
      <c r="AL144" s="1969">
        <f t="shared" ref="AL144:AT151" ca="1" si="355">SUM(AL42,AL116)</f>
        <v>0</v>
      </c>
      <c r="AM144" s="1974">
        <f t="shared" si="355"/>
        <v>0</v>
      </c>
      <c r="AN144" s="1976">
        <f t="shared" si="355"/>
        <v>0</v>
      </c>
      <c r="AO144" s="1975">
        <f t="shared" si="355"/>
        <v>0</v>
      </c>
      <c r="AP144" s="1975">
        <f t="shared" si="355"/>
        <v>0</v>
      </c>
      <c r="AQ144" s="1975">
        <f t="shared" si="355"/>
        <v>0</v>
      </c>
      <c r="AR144" s="1975">
        <f t="shared" si="355"/>
        <v>0</v>
      </c>
      <c r="AS144" s="1975">
        <f t="shared" si="355"/>
        <v>0</v>
      </c>
      <c r="AT144" s="1977">
        <f t="shared" si="355"/>
        <v>0</v>
      </c>
      <c r="AU144" s="1901">
        <f t="shared" ref="AU144:AV145" si="356">SUM(AM144,AO144,AQ144,AS144)</f>
        <v>0</v>
      </c>
      <c r="AV144" s="1901">
        <f t="shared" si="356"/>
        <v>0</v>
      </c>
      <c r="AW144" s="1969">
        <f t="shared" si="295"/>
        <v>0</v>
      </c>
      <c r="AX144" s="1740"/>
      <c r="AY144" s="1740"/>
      <c r="AZ144" s="1740"/>
      <c r="BA144" s="1883">
        <f t="shared" ref="BA144:BA151" ca="1" si="357">SUM(G144,L144,Q144:R144,AB144:AC144)</f>
        <v>0</v>
      </c>
      <c r="BB144" s="1883">
        <f t="shared" ref="BB144:BB151" ca="1" si="358">SUM(H144,M144,S144:T144,AD144:AE144)</f>
        <v>0</v>
      </c>
      <c r="BC144" s="1883">
        <f t="shared" ref="BC144:BC151" ca="1" si="359">SUM(I144,N144,U144:V144,AF144:AG144)</f>
        <v>0</v>
      </c>
      <c r="BD144" s="1883">
        <f t="shared" ref="BD144:BD151" ca="1" si="360">SUM(J144,O144,W144:X144,AH144:AI144)</f>
        <v>0</v>
      </c>
      <c r="BE144" s="1883">
        <f t="shared" ref="BE144:BE151" ca="1" si="361">SUM(K144,P144,Y144:Z144,AJ144:AK144)</f>
        <v>0</v>
      </c>
      <c r="BF144" s="1740"/>
      <c r="BG144" s="1740"/>
      <c r="BH144" s="1740"/>
      <c r="BI144" s="1768" t="e">
        <f>#REF!+#REF!+#REF!</f>
        <v>#REF!</v>
      </c>
      <c r="BJ144" s="1768" t="e">
        <f>#REF!+#REF!+#REF!</f>
        <v>#REF!</v>
      </c>
      <c r="BK144" s="1935" t="e">
        <f t="shared" ref="BK144" si="362">SUM(BI144:BJ144)</f>
        <v>#REF!</v>
      </c>
    </row>
    <row r="145" spans="1:63" ht="15.75">
      <c r="B145" s="1907"/>
      <c r="C145" s="1909" t="s">
        <v>3769</v>
      </c>
      <c r="D145" s="1895"/>
      <c r="E145" s="1896"/>
      <c r="F145" s="1895"/>
      <c r="G145" s="1974">
        <f t="shared" ca="1" si="351"/>
        <v>580488.61692659999</v>
      </c>
      <c r="H145" s="1975">
        <f t="shared" ca="1" si="351"/>
        <v>580488.61692659999</v>
      </c>
      <c r="I145" s="1975">
        <f t="shared" ca="1" si="351"/>
        <v>0</v>
      </c>
      <c r="J145" s="1972">
        <f t="shared" ca="1" si="351"/>
        <v>580488.61692659976</v>
      </c>
      <c r="K145" s="1969">
        <f t="shared" ca="1" si="351"/>
        <v>1741465.8507797997</v>
      </c>
      <c r="L145" s="1974">
        <f t="shared" ca="1" si="351"/>
        <v>38371.725944986705</v>
      </c>
      <c r="M145" s="1975">
        <f t="shared" ca="1" si="351"/>
        <v>38371.725944986705</v>
      </c>
      <c r="N145" s="1975">
        <f t="shared" ca="1" si="351"/>
        <v>0</v>
      </c>
      <c r="O145" s="1972">
        <f t="shared" ca="1" si="351"/>
        <v>38371.725944986698</v>
      </c>
      <c r="P145" s="1969">
        <f t="shared" ca="1" si="351"/>
        <v>115115.17783496012</v>
      </c>
      <c r="Q145" s="1974">
        <f t="shared" ca="1" si="351"/>
        <v>106856.45739248749</v>
      </c>
      <c r="R145" s="1976">
        <f t="shared" ca="1" si="351"/>
        <v>106856.45739248747</v>
      </c>
      <c r="S145" s="1975">
        <f t="shared" ca="1" si="351"/>
        <v>106856.45739248749</v>
      </c>
      <c r="T145" s="1975">
        <f t="shared" ca="1" si="351"/>
        <v>106856.45739248747</v>
      </c>
      <c r="U145" s="1975">
        <f t="shared" ca="1" si="351"/>
        <v>0</v>
      </c>
      <c r="V145" s="1975">
        <f t="shared" ca="1" si="351"/>
        <v>0</v>
      </c>
      <c r="W145" s="1975">
        <f t="shared" ca="1" si="351"/>
        <v>106856.45739248749</v>
      </c>
      <c r="X145" s="1977">
        <f t="shared" ca="1" si="351"/>
        <v>106856.45739248747</v>
      </c>
      <c r="Y145" s="1901">
        <f t="shared" ca="1" si="352"/>
        <v>320569.37217746244</v>
      </c>
      <c r="Z145" s="1901">
        <f t="shared" ca="1" si="352"/>
        <v>320569.37217746244</v>
      </c>
      <c r="AA145" s="1969">
        <f t="shared" ca="1" si="353"/>
        <v>641138.74435492489</v>
      </c>
      <c r="AB145" s="1974">
        <f t="shared" ca="1" si="353"/>
        <v>83483.644234799605</v>
      </c>
      <c r="AC145" s="1976">
        <f t="shared" ca="1" si="353"/>
        <v>83483.644234799605</v>
      </c>
      <c r="AD145" s="1975">
        <f t="shared" ca="1" si="353"/>
        <v>83483.644234799605</v>
      </c>
      <c r="AE145" s="1975">
        <f t="shared" ca="1" si="353"/>
        <v>83483.644234799605</v>
      </c>
      <c r="AF145" s="1975">
        <f t="shared" ca="1" si="353"/>
        <v>0</v>
      </c>
      <c r="AG145" s="1975">
        <f t="shared" ca="1" si="353"/>
        <v>0</v>
      </c>
      <c r="AH145" s="1975">
        <f t="shared" ca="1" si="353"/>
        <v>83483.644234799605</v>
      </c>
      <c r="AI145" s="1977">
        <f t="shared" ca="1" si="353"/>
        <v>83483.644234799605</v>
      </c>
      <c r="AJ145" s="1901">
        <f t="shared" ca="1" si="354"/>
        <v>250450.93270439882</v>
      </c>
      <c r="AK145" s="1901">
        <f t="shared" ca="1" si="354"/>
        <v>250450.93270439882</v>
      </c>
      <c r="AL145" s="1969">
        <f t="shared" ca="1" si="355"/>
        <v>500901.86540879769</v>
      </c>
      <c r="AM145" s="1974">
        <f t="shared" si="355"/>
        <v>0</v>
      </c>
      <c r="AN145" s="1976">
        <f t="shared" si="355"/>
        <v>0</v>
      </c>
      <c r="AO145" s="1975">
        <f t="shared" si="355"/>
        <v>0</v>
      </c>
      <c r="AP145" s="1975">
        <f t="shared" si="355"/>
        <v>0</v>
      </c>
      <c r="AQ145" s="1975">
        <f t="shared" si="355"/>
        <v>0</v>
      </c>
      <c r="AR145" s="1975">
        <f t="shared" si="355"/>
        <v>0</v>
      </c>
      <c r="AS145" s="1975">
        <f t="shared" si="355"/>
        <v>0</v>
      </c>
      <c r="AT145" s="1977">
        <f t="shared" si="355"/>
        <v>0</v>
      </c>
      <c r="AU145" s="1901">
        <f t="shared" si="356"/>
        <v>0</v>
      </c>
      <c r="AV145" s="1901">
        <f t="shared" si="356"/>
        <v>0</v>
      </c>
      <c r="AW145" s="1969">
        <f t="shared" si="295"/>
        <v>0</v>
      </c>
      <c r="AX145" s="1740"/>
      <c r="AY145" s="1740"/>
      <c r="AZ145" s="1740"/>
      <c r="BA145" s="1883">
        <f t="shared" ca="1" si="357"/>
        <v>999540.54612616077</v>
      </c>
      <c r="BB145" s="1883">
        <f t="shared" ca="1" si="358"/>
        <v>999540.54612616077</v>
      </c>
      <c r="BC145" s="1883">
        <f t="shared" ca="1" si="359"/>
        <v>0</v>
      </c>
      <c r="BD145" s="1883">
        <f t="shared" ca="1" si="360"/>
        <v>999540.54612616054</v>
      </c>
      <c r="BE145" s="1883">
        <f t="shared" ca="1" si="361"/>
        <v>2998621.6383784828</v>
      </c>
      <c r="BF145" s="1740"/>
      <c r="BG145" s="1740"/>
      <c r="BH145" s="1740"/>
      <c r="BI145" s="1768" t="e">
        <f>#REF!+#REF!+#REF!</f>
        <v>#REF!</v>
      </c>
      <c r="BJ145" s="1768" t="e">
        <f>#REF!+#REF!+#REF!</f>
        <v>#REF!</v>
      </c>
      <c r="BK145" s="1935" t="e">
        <f>SUM(BI145:BJ145)</f>
        <v>#REF!</v>
      </c>
    </row>
    <row r="146" spans="1:63" ht="15.75">
      <c r="A146" s="1739">
        <f>A135+1</f>
        <v>6</v>
      </c>
      <c r="B146" s="1872" t="str">
        <f>CONCATENATE($B$25,".",A146)</f>
        <v>8.6</v>
      </c>
      <c r="C146" s="1873" t="s">
        <v>3726</v>
      </c>
      <c r="D146" s="1874"/>
      <c r="E146" s="1875"/>
      <c r="F146" s="1874"/>
      <c r="G146" s="1889">
        <f ca="1">SUM(G147:G151)</f>
        <v>156840.0467644812</v>
      </c>
      <c r="H146" s="1890">
        <f t="shared" ref="H146:I146" ca="1" si="363">SUM(H147:H151)</f>
        <v>156840.0467644812</v>
      </c>
      <c r="I146" s="1890">
        <f t="shared" ca="1" si="363"/>
        <v>0</v>
      </c>
      <c r="J146" s="1890">
        <f ca="1">SUM(J147:J151)</f>
        <v>156840.04676448114</v>
      </c>
      <c r="K146" s="1969">
        <f t="shared" ca="1" si="351"/>
        <v>470520.14029344352</v>
      </c>
      <c r="L146" s="1889">
        <f ca="1">SUM(L147:L151)</f>
        <v>4654.7387362818808</v>
      </c>
      <c r="M146" s="1890">
        <f t="shared" ref="M146:N146" ca="1" si="364">SUM(M147:M151)</f>
        <v>4654.7387362818808</v>
      </c>
      <c r="N146" s="1890">
        <f t="shared" ca="1" si="364"/>
        <v>0</v>
      </c>
      <c r="O146" s="1890">
        <f ca="1">SUM(O147:O151)</f>
        <v>4654.7387362818772</v>
      </c>
      <c r="P146" s="1969">
        <f t="shared" ca="1" si="351"/>
        <v>13964.216208845643</v>
      </c>
      <c r="Q146" s="1889">
        <f t="shared" ref="Q146:Z146" ca="1" si="365">SUM(Q147:Q151)</f>
        <v>25442.08817574054</v>
      </c>
      <c r="R146" s="1891">
        <f t="shared" ca="1" si="365"/>
        <v>25442.088175740537</v>
      </c>
      <c r="S146" s="1889">
        <f t="shared" ca="1" si="365"/>
        <v>25442.08817574054</v>
      </c>
      <c r="T146" s="1891">
        <f t="shared" ca="1" si="365"/>
        <v>25442.088175740537</v>
      </c>
      <c r="U146" s="1889">
        <f t="shared" ca="1" si="365"/>
        <v>0</v>
      </c>
      <c r="V146" s="1891">
        <f t="shared" ca="1" si="365"/>
        <v>0</v>
      </c>
      <c r="W146" s="1889">
        <f t="shared" ca="1" si="365"/>
        <v>25442.08817574054</v>
      </c>
      <c r="X146" s="1891">
        <f t="shared" ca="1" si="365"/>
        <v>25442.088175740537</v>
      </c>
      <c r="Y146" s="1889">
        <f t="shared" ca="1" si="365"/>
        <v>76326.264527221618</v>
      </c>
      <c r="Z146" s="1891">
        <f t="shared" ca="1" si="365"/>
        <v>76326.264527221618</v>
      </c>
      <c r="AA146" s="1969">
        <f t="shared" ca="1" si="353"/>
        <v>152652.52905444324</v>
      </c>
      <c r="AB146" s="1889">
        <f t="shared" ref="AB146:AK146" ca="1" si="366">SUM(AB147:AB150)</f>
        <v>22631.062898240089</v>
      </c>
      <c r="AC146" s="1891">
        <f t="shared" ca="1" si="366"/>
        <v>22631.062898240089</v>
      </c>
      <c r="AD146" s="1890">
        <f t="shared" ca="1" si="366"/>
        <v>22631.062898240089</v>
      </c>
      <c r="AE146" s="1890">
        <f t="shared" ca="1" si="366"/>
        <v>22631.062898240089</v>
      </c>
      <c r="AF146" s="1890">
        <f t="shared" ca="1" si="366"/>
        <v>0</v>
      </c>
      <c r="AG146" s="1890">
        <f t="shared" ca="1" si="366"/>
        <v>0</v>
      </c>
      <c r="AH146" s="1890">
        <f t="shared" ca="1" si="366"/>
        <v>22631.062898240089</v>
      </c>
      <c r="AI146" s="1892">
        <f t="shared" ca="1" si="366"/>
        <v>22631.062898240089</v>
      </c>
      <c r="AJ146" s="1892">
        <f t="shared" ca="1" si="366"/>
        <v>67893.188694720273</v>
      </c>
      <c r="AK146" s="1892">
        <f t="shared" ca="1" si="366"/>
        <v>67893.188694720273</v>
      </c>
      <c r="AL146" s="1969">
        <f t="shared" ca="1" si="355"/>
        <v>135786.37738944055</v>
      </c>
      <c r="AM146" s="1889">
        <f t="shared" ref="AM146:AV146" si="367">SUM(AM147:AM150)</f>
        <v>0</v>
      </c>
      <c r="AN146" s="1891">
        <f t="shared" si="367"/>
        <v>0</v>
      </c>
      <c r="AO146" s="1890">
        <f t="shared" si="367"/>
        <v>0</v>
      </c>
      <c r="AP146" s="1890">
        <f t="shared" si="367"/>
        <v>0</v>
      </c>
      <c r="AQ146" s="1890">
        <f t="shared" si="367"/>
        <v>0</v>
      </c>
      <c r="AR146" s="1890">
        <f t="shared" si="367"/>
        <v>0</v>
      </c>
      <c r="AS146" s="1890">
        <f t="shared" si="367"/>
        <v>0</v>
      </c>
      <c r="AT146" s="1892">
        <f t="shared" si="367"/>
        <v>0</v>
      </c>
      <c r="AU146" s="1892">
        <f t="shared" si="367"/>
        <v>0</v>
      </c>
      <c r="AV146" s="1892">
        <f t="shared" si="367"/>
        <v>0</v>
      </c>
      <c r="AW146" s="1969">
        <f t="shared" si="295"/>
        <v>0</v>
      </c>
      <c r="AX146" s="1740"/>
      <c r="AY146" s="1740"/>
      <c r="AZ146" s="1740"/>
      <c r="BA146" s="1883">
        <f t="shared" ca="1" si="357"/>
        <v>257641.08764872429</v>
      </c>
      <c r="BB146" s="1883">
        <f t="shared" ca="1" si="358"/>
        <v>257641.08764872429</v>
      </c>
      <c r="BC146" s="1883">
        <f t="shared" ca="1" si="359"/>
        <v>0</v>
      </c>
      <c r="BD146" s="1883">
        <f t="shared" ca="1" si="360"/>
        <v>257641.08764872423</v>
      </c>
      <c r="BE146" s="1883">
        <f t="shared" ca="1" si="361"/>
        <v>772923.26294617308</v>
      </c>
      <c r="BF146" s="1740"/>
      <c r="BG146" s="1740"/>
      <c r="BH146" s="1740"/>
      <c r="BI146" s="1871" t="e">
        <f>SUM(BI147:BI150)</f>
        <v>#REF!</v>
      </c>
      <c r="BJ146" s="1871" t="e">
        <f>SUM(BJ147:BJ150)</f>
        <v>#REF!</v>
      </c>
      <c r="BK146" s="1962" t="e">
        <f>SUM(BK147:BK150)</f>
        <v>#REF!</v>
      </c>
    </row>
    <row r="147" spans="1:63" ht="15.75">
      <c r="B147" s="1872"/>
      <c r="C147" s="1887" t="s">
        <v>3783</v>
      </c>
      <c r="D147" s="1874"/>
      <c r="E147" s="1875"/>
      <c r="F147" s="1874"/>
      <c r="G147" s="1970">
        <f t="shared" ref="G147:J151" ca="1" si="368">SUM(G45,G119)</f>
        <v>0</v>
      </c>
      <c r="H147" s="1972">
        <f t="shared" ca="1" si="368"/>
        <v>0</v>
      </c>
      <c r="I147" s="1972">
        <f t="shared" ca="1" si="368"/>
        <v>0</v>
      </c>
      <c r="J147" s="1972">
        <f t="shared" ca="1" si="368"/>
        <v>0</v>
      </c>
      <c r="K147" s="1969">
        <f t="shared" ca="1" si="351"/>
        <v>0</v>
      </c>
      <c r="L147" s="1970">
        <f t="shared" ca="1" si="351"/>
        <v>0</v>
      </c>
      <c r="M147" s="1972">
        <f t="shared" ca="1" si="351"/>
        <v>0</v>
      </c>
      <c r="N147" s="1972">
        <f t="shared" ca="1" si="351"/>
        <v>0</v>
      </c>
      <c r="O147" s="1972">
        <f t="shared" ca="1" si="351"/>
        <v>0</v>
      </c>
      <c r="P147" s="1969">
        <f t="shared" ca="1" si="351"/>
        <v>0</v>
      </c>
      <c r="Q147" s="1970">
        <f t="shared" ca="1" si="351"/>
        <v>0</v>
      </c>
      <c r="R147" s="1971">
        <f t="shared" ca="1" si="351"/>
        <v>0</v>
      </c>
      <c r="S147" s="1972">
        <f t="shared" ca="1" si="351"/>
        <v>0</v>
      </c>
      <c r="T147" s="1972">
        <f t="shared" ca="1" si="351"/>
        <v>0</v>
      </c>
      <c r="U147" s="1972">
        <f t="shared" ca="1" si="351"/>
        <v>0</v>
      </c>
      <c r="V147" s="1972">
        <f t="shared" ca="1" si="351"/>
        <v>0</v>
      </c>
      <c r="W147" s="1972">
        <f t="shared" ca="1" si="351"/>
        <v>0</v>
      </c>
      <c r="X147" s="1973">
        <f t="shared" ca="1" si="351"/>
        <v>0</v>
      </c>
      <c r="Y147" s="1882">
        <f t="shared" ref="Y147:Z151" ca="1" si="369">SUM(Q147,S147,U147,W147)</f>
        <v>0</v>
      </c>
      <c r="Z147" s="1882">
        <f t="shared" ca="1" si="369"/>
        <v>0</v>
      </c>
      <c r="AA147" s="1969">
        <f t="shared" ca="1" si="353"/>
        <v>0</v>
      </c>
      <c r="AB147" s="1970">
        <f t="shared" ca="1" si="353"/>
        <v>0</v>
      </c>
      <c r="AC147" s="1971">
        <f t="shared" ca="1" si="353"/>
        <v>0</v>
      </c>
      <c r="AD147" s="1972">
        <f t="shared" ca="1" si="353"/>
        <v>0</v>
      </c>
      <c r="AE147" s="1972">
        <f t="shared" ca="1" si="353"/>
        <v>0</v>
      </c>
      <c r="AF147" s="1972">
        <f t="shared" ca="1" si="353"/>
        <v>0</v>
      </c>
      <c r="AG147" s="1972">
        <f t="shared" ca="1" si="353"/>
        <v>0</v>
      </c>
      <c r="AH147" s="1972">
        <f t="shared" ca="1" si="353"/>
        <v>0</v>
      </c>
      <c r="AI147" s="1973">
        <f t="shared" ca="1" si="353"/>
        <v>0</v>
      </c>
      <c r="AJ147" s="1882">
        <f t="shared" ref="AJ147:AK151" ca="1" si="370">SUM(AB147,AD147,AF147,AH147)</f>
        <v>0</v>
      </c>
      <c r="AK147" s="1882">
        <f t="shared" ca="1" si="370"/>
        <v>0</v>
      </c>
      <c r="AL147" s="1969">
        <f t="shared" ca="1" si="355"/>
        <v>0</v>
      </c>
      <c r="AM147" s="1970">
        <f t="shared" si="355"/>
        <v>0</v>
      </c>
      <c r="AN147" s="1971">
        <f t="shared" si="355"/>
        <v>0</v>
      </c>
      <c r="AO147" s="1972">
        <f t="shared" si="355"/>
        <v>0</v>
      </c>
      <c r="AP147" s="1972">
        <f t="shared" si="355"/>
        <v>0</v>
      </c>
      <c r="AQ147" s="1972">
        <f t="shared" si="355"/>
        <v>0</v>
      </c>
      <c r="AR147" s="1972">
        <f t="shared" si="355"/>
        <v>0</v>
      </c>
      <c r="AS147" s="1972">
        <f t="shared" si="355"/>
        <v>0</v>
      </c>
      <c r="AT147" s="1973">
        <f t="shared" si="355"/>
        <v>0</v>
      </c>
      <c r="AU147" s="1882">
        <f t="shared" ref="AU147:AV151" si="371">SUM(AM147,AO147,AQ147,AS147)</f>
        <v>0</v>
      </c>
      <c r="AV147" s="1882">
        <f t="shared" si="371"/>
        <v>0</v>
      </c>
      <c r="AW147" s="1969">
        <f t="shared" si="295"/>
        <v>0</v>
      </c>
      <c r="AX147" s="1740"/>
      <c r="AY147" s="1740"/>
      <c r="AZ147" s="1740"/>
      <c r="BA147" s="1883">
        <f t="shared" ca="1" si="357"/>
        <v>0</v>
      </c>
      <c r="BB147" s="1883">
        <f t="shared" ca="1" si="358"/>
        <v>0</v>
      </c>
      <c r="BC147" s="1883">
        <f t="shared" ca="1" si="359"/>
        <v>0</v>
      </c>
      <c r="BD147" s="1883">
        <f t="shared" ca="1" si="360"/>
        <v>0</v>
      </c>
      <c r="BE147" s="1883">
        <f t="shared" ca="1" si="361"/>
        <v>0</v>
      </c>
      <c r="BF147" s="1740"/>
      <c r="BG147" s="1740"/>
      <c r="BH147" s="1740"/>
      <c r="BI147" s="1768" t="e">
        <f>#REF!+#REF!+#REF!</f>
        <v>#REF!</v>
      </c>
      <c r="BJ147" s="1768" t="e">
        <f>#REF!+#REF!+#REF!</f>
        <v>#REF!</v>
      </c>
      <c r="BK147" s="1935" t="e">
        <f t="shared" ref="BK147:BK151" si="372">SUM(BI147:BJ147)</f>
        <v>#REF!</v>
      </c>
    </row>
    <row r="148" spans="1:63" ht="15.75">
      <c r="B148" s="1872"/>
      <c r="C148" s="1887" t="s">
        <v>3784</v>
      </c>
      <c r="D148" s="1874"/>
      <c r="E148" s="1875"/>
      <c r="F148" s="1874"/>
      <c r="G148" s="1970">
        <f t="shared" ca="1" si="368"/>
        <v>0</v>
      </c>
      <c r="H148" s="1972">
        <f t="shared" ca="1" si="368"/>
        <v>0</v>
      </c>
      <c r="I148" s="1972">
        <f t="shared" ca="1" si="368"/>
        <v>0</v>
      </c>
      <c r="J148" s="1972">
        <f t="shared" ca="1" si="368"/>
        <v>0</v>
      </c>
      <c r="K148" s="1969">
        <f t="shared" ca="1" si="351"/>
        <v>0</v>
      </c>
      <c r="L148" s="1970">
        <f t="shared" ca="1" si="351"/>
        <v>0</v>
      </c>
      <c r="M148" s="1972">
        <f t="shared" ca="1" si="351"/>
        <v>0</v>
      </c>
      <c r="N148" s="1972">
        <f t="shared" ca="1" si="351"/>
        <v>0</v>
      </c>
      <c r="O148" s="1972">
        <f t="shared" ca="1" si="351"/>
        <v>0</v>
      </c>
      <c r="P148" s="1969">
        <f t="shared" ca="1" si="351"/>
        <v>0</v>
      </c>
      <c r="Q148" s="1970">
        <f t="shared" ca="1" si="351"/>
        <v>0</v>
      </c>
      <c r="R148" s="1971">
        <f t="shared" ca="1" si="351"/>
        <v>0</v>
      </c>
      <c r="S148" s="1972">
        <f t="shared" ca="1" si="351"/>
        <v>0</v>
      </c>
      <c r="T148" s="1972">
        <f t="shared" ca="1" si="351"/>
        <v>0</v>
      </c>
      <c r="U148" s="1972">
        <f t="shared" ca="1" si="351"/>
        <v>0</v>
      </c>
      <c r="V148" s="1972">
        <f t="shared" ca="1" si="351"/>
        <v>0</v>
      </c>
      <c r="W148" s="1972">
        <f t="shared" ca="1" si="351"/>
        <v>0</v>
      </c>
      <c r="X148" s="1973">
        <f t="shared" ca="1" si="351"/>
        <v>0</v>
      </c>
      <c r="Y148" s="1882">
        <f t="shared" ca="1" si="369"/>
        <v>0</v>
      </c>
      <c r="Z148" s="1882">
        <f t="shared" ca="1" si="369"/>
        <v>0</v>
      </c>
      <c r="AA148" s="1969">
        <f t="shared" ca="1" si="353"/>
        <v>0</v>
      </c>
      <c r="AB148" s="1970">
        <f t="shared" ca="1" si="353"/>
        <v>0</v>
      </c>
      <c r="AC148" s="1971">
        <f t="shared" ca="1" si="353"/>
        <v>0</v>
      </c>
      <c r="AD148" s="1972">
        <f t="shared" ca="1" si="353"/>
        <v>0</v>
      </c>
      <c r="AE148" s="1972">
        <f t="shared" ca="1" si="353"/>
        <v>0</v>
      </c>
      <c r="AF148" s="1972">
        <f t="shared" ca="1" si="353"/>
        <v>0</v>
      </c>
      <c r="AG148" s="1972">
        <f t="shared" ca="1" si="353"/>
        <v>0</v>
      </c>
      <c r="AH148" s="1972">
        <f t="shared" ca="1" si="353"/>
        <v>0</v>
      </c>
      <c r="AI148" s="1973">
        <f t="shared" ca="1" si="353"/>
        <v>0</v>
      </c>
      <c r="AJ148" s="1882">
        <f t="shared" ca="1" si="370"/>
        <v>0</v>
      </c>
      <c r="AK148" s="1882">
        <f t="shared" ca="1" si="370"/>
        <v>0</v>
      </c>
      <c r="AL148" s="1969">
        <f t="shared" ca="1" si="355"/>
        <v>0</v>
      </c>
      <c r="AM148" s="1970">
        <f t="shared" si="355"/>
        <v>0</v>
      </c>
      <c r="AN148" s="1971">
        <f t="shared" si="355"/>
        <v>0</v>
      </c>
      <c r="AO148" s="1972">
        <f t="shared" si="355"/>
        <v>0</v>
      </c>
      <c r="AP148" s="1972">
        <f t="shared" si="355"/>
        <v>0</v>
      </c>
      <c r="AQ148" s="1972">
        <f t="shared" si="355"/>
        <v>0</v>
      </c>
      <c r="AR148" s="1972">
        <f t="shared" si="355"/>
        <v>0</v>
      </c>
      <c r="AS148" s="1972">
        <f t="shared" si="355"/>
        <v>0</v>
      </c>
      <c r="AT148" s="1973">
        <f t="shared" si="355"/>
        <v>0</v>
      </c>
      <c r="AU148" s="1882">
        <f t="shared" si="371"/>
        <v>0</v>
      </c>
      <c r="AV148" s="1882">
        <f t="shared" si="371"/>
        <v>0</v>
      </c>
      <c r="AW148" s="1969">
        <f t="shared" si="295"/>
        <v>0</v>
      </c>
      <c r="AX148" s="1740"/>
      <c r="AY148" s="1740"/>
      <c r="AZ148" s="1740"/>
      <c r="BA148" s="1883">
        <f t="shared" ca="1" si="357"/>
        <v>0</v>
      </c>
      <c r="BB148" s="1883">
        <f t="shared" ca="1" si="358"/>
        <v>0</v>
      </c>
      <c r="BC148" s="1883">
        <f t="shared" ca="1" si="359"/>
        <v>0</v>
      </c>
      <c r="BD148" s="1883">
        <f t="shared" ca="1" si="360"/>
        <v>0</v>
      </c>
      <c r="BE148" s="1883">
        <f t="shared" ca="1" si="361"/>
        <v>0</v>
      </c>
      <c r="BF148" s="1740"/>
      <c r="BG148" s="1740"/>
      <c r="BH148" s="1740"/>
      <c r="BI148" s="1768" t="e">
        <f>#REF!+#REF!+#REF!</f>
        <v>#REF!</v>
      </c>
      <c r="BJ148" s="1768" t="e">
        <f>#REF!+#REF!+#REF!</f>
        <v>#REF!</v>
      </c>
      <c r="BK148" s="1935" t="e">
        <f t="shared" si="372"/>
        <v>#REF!</v>
      </c>
    </row>
    <row r="149" spans="1:63" ht="15.75">
      <c r="B149" s="1872"/>
      <c r="C149" s="1887" t="s">
        <v>3785</v>
      </c>
      <c r="D149" s="1874"/>
      <c r="E149" s="1875"/>
      <c r="F149" s="1874"/>
      <c r="G149" s="1970">
        <f t="shared" ca="1" si="368"/>
        <v>153957.60488053499</v>
      </c>
      <c r="H149" s="1972">
        <f t="shared" ca="1" si="368"/>
        <v>153957.60488053499</v>
      </c>
      <c r="I149" s="1972">
        <f t="shared" ca="1" si="368"/>
        <v>0</v>
      </c>
      <c r="J149" s="1972">
        <f t="shared" ca="1" si="368"/>
        <v>153957.60488053493</v>
      </c>
      <c r="K149" s="1969">
        <f t="shared" ca="1" si="351"/>
        <v>461872.8146416049</v>
      </c>
      <c r="L149" s="1970">
        <f t="shared" ca="1" si="351"/>
        <v>-23818.876583831716</v>
      </c>
      <c r="M149" s="1972">
        <f t="shared" ca="1" si="351"/>
        <v>-23818.876583831716</v>
      </c>
      <c r="N149" s="1972">
        <f t="shared" ca="1" si="351"/>
        <v>0</v>
      </c>
      <c r="O149" s="1972">
        <f t="shared" ca="1" si="351"/>
        <v>-23818.876583831709</v>
      </c>
      <c r="P149" s="1969">
        <f t="shared" ca="1" si="351"/>
        <v>-71456.629751495144</v>
      </c>
      <c r="Q149" s="1970">
        <f t="shared" ca="1" si="351"/>
        <v>24038.172964618825</v>
      </c>
      <c r="R149" s="1971">
        <f t="shared" ca="1" si="351"/>
        <v>24038.172964618821</v>
      </c>
      <c r="S149" s="1972">
        <f t="shared" ca="1" si="351"/>
        <v>24038.172964618825</v>
      </c>
      <c r="T149" s="1972">
        <f t="shared" ca="1" si="351"/>
        <v>24038.172964618821</v>
      </c>
      <c r="U149" s="1972">
        <f t="shared" ca="1" si="351"/>
        <v>0</v>
      </c>
      <c r="V149" s="1972">
        <f t="shared" ca="1" si="351"/>
        <v>0</v>
      </c>
      <c r="W149" s="1972">
        <f t="shared" ca="1" si="351"/>
        <v>24038.172964618825</v>
      </c>
      <c r="X149" s="1973">
        <f t="shared" ca="1" si="351"/>
        <v>24038.172964618821</v>
      </c>
      <c r="Y149" s="1882">
        <f t="shared" ca="1" si="369"/>
        <v>72114.518893856468</v>
      </c>
      <c r="Z149" s="1882">
        <f t="shared" ca="1" si="369"/>
        <v>72114.518893856468</v>
      </c>
      <c r="AA149" s="1969">
        <f t="shared" ca="1" si="353"/>
        <v>144229.03778771294</v>
      </c>
      <c r="AB149" s="1970">
        <f t="shared" ca="1" si="353"/>
        <v>22568.820874407</v>
      </c>
      <c r="AC149" s="1971">
        <f t="shared" ca="1" si="353"/>
        <v>22568.820874407</v>
      </c>
      <c r="AD149" s="1972">
        <f t="shared" ca="1" si="353"/>
        <v>22568.820874407</v>
      </c>
      <c r="AE149" s="1972">
        <f t="shared" ca="1" si="353"/>
        <v>22568.820874407</v>
      </c>
      <c r="AF149" s="1972">
        <f t="shared" ca="1" si="353"/>
        <v>0</v>
      </c>
      <c r="AG149" s="1972">
        <f t="shared" ca="1" si="353"/>
        <v>0</v>
      </c>
      <c r="AH149" s="1972">
        <f t="shared" ca="1" si="353"/>
        <v>22568.820874407</v>
      </c>
      <c r="AI149" s="1973">
        <f t="shared" ca="1" si="353"/>
        <v>22568.820874407</v>
      </c>
      <c r="AJ149" s="1882">
        <f t="shared" ca="1" si="370"/>
        <v>67706.462623220999</v>
      </c>
      <c r="AK149" s="1882">
        <f t="shared" ca="1" si="370"/>
        <v>67706.462623220999</v>
      </c>
      <c r="AL149" s="1969">
        <f t="shared" ca="1" si="355"/>
        <v>135412.925246442</v>
      </c>
      <c r="AM149" s="1970">
        <f t="shared" si="355"/>
        <v>0</v>
      </c>
      <c r="AN149" s="1971">
        <f t="shared" si="355"/>
        <v>0</v>
      </c>
      <c r="AO149" s="1972">
        <f t="shared" si="355"/>
        <v>0</v>
      </c>
      <c r="AP149" s="1972">
        <f t="shared" si="355"/>
        <v>0</v>
      </c>
      <c r="AQ149" s="1972">
        <f t="shared" si="355"/>
        <v>0</v>
      </c>
      <c r="AR149" s="1972">
        <f t="shared" si="355"/>
        <v>0</v>
      </c>
      <c r="AS149" s="1972">
        <f t="shared" si="355"/>
        <v>0</v>
      </c>
      <c r="AT149" s="1973">
        <f t="shared" si="355"/>
        <v>0</v>
      </c>
      <c r="AU149" s="1882">
        <f t="shared" si="371"/>
        <v>0</v>
      </c>
      <c r="AV149" s="1882">
        <f t="shared" si="371"/>
        <v>0</v>
      </c>
      <c r="AW149" s="1969">
        <f t="shared" si="295"/>
        <v>0</v>
      </c>
      <c r="AX149" s="1740"/>
      <c r="AY149" s="1740"/>
      <c r="AZ149" s="1740"/>
      <c r="BA149" s="1883">
        <f t="shared" ca="1" si="357"/>
        <v>223352.71597475494</v>
      </c>
      <c r="BB149" s="1883">
        <f t="shared" ca="1" si="358"/>
        <v>223352.71597475494</v>
      </c>
      <c r="BC149" s="1883">
        <f t="shared" ca="1" si="359"/>
        <v>0</v>
      </c>
      <c r="BD149" s="1883">
        <f t="shared" ca="1" si="360"/>
        <v>223352.71597475489</v>
      </c>
      <c r="BE149" s="1883">
        <f t="shared" ca="1" si="361"/>
        <v>670058.14792426466</v>
      </c>
      <c r="BF149" s="1740"/>
      <c r="BG149" s="1740"/>
      <c r="BH149" s="1740"/>
      <c r="BI149" s="1768" t="e">
        <f>#REF!+#REF!+#REF!</f>
        <v>#REF!</v>
      </c>
      <c r="BJ149" s="1768" t="e">
        <f>#REF!+#REF!+#REF!</f>
        <v>#REF!</v>
      </c>
      <c r="BK149" s="1935" t="e">
        <f t="shared" si="372"/>
        <v>#REF!</v>
      </c>
    </row>
    <row r="150" spans="1:63" ht="46.5" customHeight="1">
      <c r="B150" s="1872"/>
      <c r="C150" s="1887" t="s">
        <v>3786</v>
      </c>
      <c r="D150" s="1874"/>
      <c r="E150" s="1875"/>
      <c r="F150" s="1874"/>
      <c r="G150" s="1970">
        <f t="shared" ca="1" si="368"/>
        <v>2882.4418839462055</v>
      </c>
      <c r="H150" s="1972">
        <f t="shared" ca="1" si="368"/>
        <v>2882.4418839462055</v>
      </c>
      <c r="I150" s="1972">
        <f t="shared" ca="1" si="368"/>
        <v>0</v>
      </c>
      <c r="J150" s="1972">
        <f t="shared" ca="1" si="368"/>
        <v>2882.4418839462046</v>
      </c>
      <c r="K150" s="1969">
        <f t="shared" ca="1" si="351"/>
        <v>8647.3256518386152</v>
      </c>
      <c r="L150" s="1970">
        <f t="shared" ca="1" si="351"/>
        <v>28473.615320113597</v>
      </c>
      <c r="M150" s="1972">
        <f t="shared" ca="1" si="351"/>
        <v>28473.615320113597</v>
      </c>
      <c r="N150" s="1972">
        <f t="shared" ca="1" si="351"/>
        <v>0</v>
      </c>
      <c r="O150" s="1972">
        <f t="shared" ca="1" si="351"/>
        <v>28473.615320113586</v>
      </c>
      <c r="P150" s="1969">
        <f t="shared" ca="1" si="351"/>
        <v>85420.845960340783</v>
      </c>
      <c r="Q150" s="1970">
        <f t="shared" ca="1" si="351"/>
        <v>1403.9152111217159</v>
      </c>
      <c r="R150" s="1971">
        <f t="shared" ca="1" si="351"/>
        <v>1403.9152111217154</v>
      </c>
      <c r="S150" s="1972">
        <f t="shared" ca="1" si="351"/>
        <v>1403.9152111217159</v>
      </c>
      <c r="T150" s="1972">
        <f t="shared" ca="1" si="351"/>
        <v>1403.9152111217154</v>
      </c>
      <c r="U150" s="1972">
        <f t="shared" ca="1" si="351"/>
        <v>0</v>
      </c>
      <c r="V150" s="1972">
        <f t="shared" ca="1" si="351"/>
        <v>0</v>
      </c>
      <c r="W150" s="1972">
        <f t="shared" ca="1" si="351"/>
        <v>1403.9152111217159</v>
      </c>
      <c r="X150" s="1973">
        <f t="shared" ca="1" si="351"/>
        <v>1403.9152111217154</v>
      </c>
      <c r="Y150" s="1882">
        <f t="shared" ca="1" si="369"/>
        <v>4211.745633365148</v>
      </c>
      <c r="Z150" s="1882">
        <f t="shared" ca="1" si="369"/>
        <v>4211.7456333651462</v>
      </c>
      <c r="AA150" s="1969">
        <f t="shared" ca="1" si="353"/>
        <v>8423.4912667302942</v>
      </c>
      <c r="AB150" s="1970">
        <f t="shared" ca="1" si="353"/>
        <v>62.24202383309003</v>
      </c>
      <c r="AC150" s="1971">
        <f t="shared" ca="1" si="353"/>
        <v>62.24202383309003</v>
      </c>
      <c r="AD150" s="1972">
        <f t="shared" ca="1" si="353"/>
        <v>62.24202383309003</v>
      </c>
      <c r="AE150" s="1972">
        <f t="shared" ca="1" si="353"/>
        <v>62.24202383309003</v>
      </c>
      <c r="AF150" s="1972">
        <f t="shared" ca="1" si="353"/>
        <v>0</v>
      </c>
      <c r="AG150" s="1972">
        <f t="shared" ca="1" si="353"/>
        <v>0</v>
      </c>
      <c r="AH150" s="1972">
        <f t="shared" ca="1" si="353"/>
        <v>62.24202383309003</v>
      </c>
      <c r="AI150" s="1973">
        <f t="shared" ca="1" si="353"/>
        <v>62.24202383309003</v>
      </c>
      <c r="AJ150" s="1882">
        <f t="shared" ca="1" si="370"/>
        <v>186.72607149927009</v>
      </c>
      <c r="AK150" s="1882">
        <f t="shared" ca="1" si="370"/>
        <v>186.72607149927009</v>
      </c>
      <c r="AL150" s="1969">
        <f t="shared" ca="1" si="355"/>
        <v>373.45214299854018</v>
      </c>
      <c r="AM150" s="1970">
        <f t="shared" si="355"/>
        <v>0</v>
      </c>
      <c r="AN150" s="1971">
        <f t="shared" si="355"/>
        <v>0</v>
      </c>
      <c r="AO150" s="1972">
        <f t="shared" si="355"/>
        <v>0</v>
      </c>
      <c r="AP150" s="1972">
        <f t="shared" si="355"/>
        <v>0</v>
      </c>
      <c r="AQ150" s="1972">
        <f t="shared" si="355"/>
        <v>0</v>
      </c>
      <c r="AR150" s="1972">
        <f t="shared" si="355"/>
        <v>0</v>
      </c>
      <c r="AS150" s="1972">
        <f t="shared" si="355"/>
        <v>0</v>
      </c>
      <c r="AT150" s="1973">
        <f t="shared" si="355"/>
        <v>0</v>
      </c>
      <c r="AU150" s="1882">
        <f t="shared" si="371"/>
        <v>0</v>
      </c>
      <c r="AV150" s="1882">
        <f t="shared" si="371"/>
        <v>0</v>
      </c>
      <c r="AW150" s="1969">
        <f t="shared" si="295"/>
        <v>0</v>
      </c>
      <c r="AX150" s="1740"/>
      <c r="AY150" s="1740"/>
      <c r="AZ150" s="1740"/>
      <c r="BA150" s="1883">
        <f t="shared" ca="1" si="357"/>
        <v>34288.371673969406</v>
      </c>
      <c r="BB150" s="1883">
        <f t="shared" ca="1" si="358"/>
        <v>34288.371673969406</v>
      </c>
      <c r="BC150" s="1883">
        <f t="shared" ca="1" si="359"/>
        <v>0</v>
      </c>
      <c r="BD150" s="1883">
        <f t="shared" ca="1" si="360"/>
        <v>34288.371673969399</v>
      </c>
      <c r="BE150" s="1883">
        <f t="shared" ca="1" si="361"/>
        <v>102865.11502190825</v>
      </c>
      <c r="BF150" s="1740"/>
      <c r="BG150" s="1740"/>
      <c r="BH150" s="1740"/>
      <c r="BI150" s="1768" t="e">
        <f>#REF!+#REF!+#REF!</f>
        <v>#REF!</v>
      </c>
      <c r="BJ150" s="1768" t="e">
        <f>#REF!+#REF!+#REF!</f>
        <v>#REF!</v>
      </c>
      <c r="BK150" s="1935" t="e">
        <f t="shared" si="372"/>
        <v>#REF!</v>
      </c>
    </row>
    <row r="151" spans="1:63" ht="15.75">
      <c r="B151" s="1872"/>
      <c r="C151" s="1911"/>
      <c r="D151" s="1845"/>
      <c r="E151" s="1818"/>
      <c r="F151" s="1845"/>
      <c r="G151" s="1978">
        <f t="shared" si="368"/>
        <v>0</v>
      </c>
      <c r="H151" s="1979">
        <f t="shared" si="368"/>
        <v>0</v>
      </c>
      <c r="I151" s="1979">
        <f t="shared" si="368"/>
        <v>0</v>
      </c>
      <c r="J151" s="1979">
        <f t="shared" si="368"/>
        <v>0</v>
      </c>
      <c r="K151" s="1853">
        <f t="shared" ca="1" si="351"/>
        <v>0</v>
      </c>
      <c r="L151" s="1978">
        <f t="shared" si="351"/>
        <v>0</v>
      </c>
      <c r="M151" s="1979">
        <f t="shared" si="351"/>
        <v>0</v>
      </c>
      <c r="N151" s="1979">
        <f t="shared" si="351"/>
        <v>0</v>
      </c>
      <c r="O151" s="1979">
        <f t="shared" si="351"/>
        <v>0</v>
      </c>
      <c r="P151" s="1853">
        <f t="shared" ca="1" si="351"/>
        <v>0</v>
      </c>
      <c r="Q151" s="1978">
        <f t="shared" si="351"/>
        <v>0</v>
      </c>
      <c r="R151" s="1980">
        <f t="shared" si="351"/>
        <v>0</v>
      </c>
      <c r="S151" s="1979">
        <f t="shared" si="351"/>
        <v>0</v>
      </c>
      <c r="T151" s="1979">
        <f t="shared" si="351"/>
        <v>0</v>
      </c>
      <c r="U151" s="1979">
        <f t="shared" si="351"/>
        <v>0</v>
      </c>
      <c r="V151" s="1979">
        <f t="shared" si="351"/>
        <v>0</v>
      </c>
      <c r="W151" s="1979">
        <f t="shared" si="351"/>
        <v>0</v>
      </c>
      <c r="X151" s="1981">
        <f t="shared" si="351"/>
        <v>0</v>
      </c>
      <c r="Y151" s="1965">
        <f t="shared" si="369"/>
        <v>0</v>
      </c>
      <c r="Z151" s="1965">
        <f t="shared" si="369"/>
        <v>0</v>
      </c>
      <c r="AA151" s="1853">
        <f t="shared" ca="1" si="353"/>
        <v>0</v>
      </c>
      <c r="AB151" s="1978">
        <f t="shared" si="353"/>
        <v>0</v>
      </c>
      <c r="AC151" s="1980">
        <f t="shared" si="353"/>
        <v>0</v>
      </c>
      <c r="AD151" s="1979">
        <f t="shared" si="353"/>
        <v>0</v>
      </c>
      <c r="AE151" s="1979">
        <f t="shared" si="353"/>
        <v>0</v>
      </c>
      <c r="AF151" s="1979">
        <f t="shared" si="353"/>
        <v>0</v>
      </c>
      <c r="AG151" s="1979">
        <f t="shared" si="353"/>
        <v>0</v>
      </c>
      <c r="AH151" s="1979">
        <f t="shared" si="353"/>
        <v>0</v>
      </c>
      <c r="AI151" s="1981">
        <f t="shared" si="353"/>
        <v>0</v>
      </c>
      <c r="AJ151" s="1965">
        <f t="shared" si="370"/>
        <v>0</v>
      </c>
      <c r="AK151" s="1965">
        <f t="shared" si="370"/>
        <v>0</v>
      </c>
      <c r="AL151" s="1853">
        <f t="shared" ca="1" si="355"/>
        <v>0</v>
      </c>
      <c r="AM151" s="1827">
        <f t="shared" si="355"/>
        <v>0</v>
      </c>
      <c r="AN151" s="1982">
        <f t="shared" si="355"/>
        <v>0</v>
      </c>
      <c r="AO151" s="1983">
        <f t="shared" si="355"/>
        <v>0</v>
      </c>
      <c r="AP151" s="1983">
        <f t="shared" si="355"/>
        <v>0</v>
      </c>
      <c r="AQ151" s="1983">
        <f t="shared" si="355"/>
        <v>0</v>
      </c>
      <c r="AR151" s="1983">
        <f t="shared" si="355"/>
        <v>0</v>
      </c>
      <c r="AS151" s="1983">
        <f t="shared" si="355"/>
        <v>0</v>
      </c>
      <c r="AT151" s="1984">
        <f t="shared" si="355"/>
        <v>0</v>
      </c>
      <c r="AU151" s="1966">
        <f t="shared" si="371"/>
        <v>0</v>
      </c>
      <c r="AV151" s="1966">
        <f t="shared" si="371"/>
        <v>0</v>
      </c>
      <c r="AW151" s="1985">
        <f t="shared" si="295"/>
        <v>0</v>
      </c>
      <c r="AX151" s="1740"/>
      <c r="AY151" s="1740"/>
      <c r="AZ151" s="1740"/>
      <c r="BA151" s="1883">
        <f t="shared" si="357"/>
        <v>0</v>
      </c>
      <c r="BB151" s="1883">
        <f t="shared" si="358"/>
        <v>0</v>
      </c>
      <c r="BC151" s="1883">
        <f t="shared" si="359"/>
        <v>0</v>
      </c>
      <c r="BD151" s="1883">
        <f t="shared" si="360"/>
        <v>0</v>
      </c>
      <c r="BE151" s="1883">
        <f t="shared" ca="1" si="361"/>
        <v>0</v>
      </c>
      <c r="BF151" s="1740"/>
      <c r="BG151" s="1740"/>
      <c r="BH151" s="1740"/>
      <c r="BI151" s="1768" t="e">
        <f>#REF!+#REF!+#REF!</f>
        <v>#REF!</v>
      </c>
      <c r="BJ151" s="1768" t="e">
        <f>#REF!+#REF!+#REF!</f>
        <v>#REF!</v>
      </c>
      <c r="BK151" s="1935" t="e">
        <f t="shared" si="372"/>
        <v>#REF!</v>
      </c>
    </row>
    <row r="152" spans="1:63">
      <c r="D152" s="1740"/>
      <c r="E152" s="1740"/>
      <c r="F152" s="1740"/>
      <c r="G152" s="1740"/>
      <c r="H152" s="1740"/>
      <c r="I152" s="1740"/>
      <c r="J152" s="1740"/>
      <c r="K152" s="1740"/>
      <c r="L152" s="1740"/>
      <c r="M152" s="1740"/>
      <c r="N152" s="1740"/>
      <c r="O152" s="1740"/>
      <c r="P152" s="1740"/>
      <c r="Q152" s="1740"/>
      <c r="R152" s="1740"/>
      <c r="S152" s="1740"/>
      <c r="T152" s="1740"/>
      <c r="U152" s="1740"/>
      <c r="V152" s="1740"/>
      <c r="W152" s="1740"/>
      <c r="X152" s="1740"/>
      <c r="Y152" s="1740"/>
      <c r="Z152" s="1740"/>
      <c r="AA152" s="1740"/>
      <c r="AB152" s="1740"/>
      <c r="AC152" s="1740"/>
      <c r="AD152" s="1740"/>
      <c r="AE152" s="1740"/>
      <c r="AF152" s="1740"/>
      <c r="AG152" s="1740"/>
      <c r="AH152" s="1740"/>
      <c r="AI152" s="1740"/>
      <c r="AJ152" s="1740"/>
      <c r="AK152" s="1740"/>
      <c r="AL152" s="1740"/>
      <c r="AM152" s="1740"/>
      <c r="AN152" s="1740"/>
      <c r="AO152" s="1740"/>
      <c r="AP152" s="1740"/>
      <c r="AQ152" s="1740"/>
      <c r="AR152" s="1740"/>
      <c r="AS152" s="1740"/>
      <c r="AT152" s="1740"/>
      <c r="AU152" s="1740"/>
      <c r="AV152" s="1740"/>
      <c r="AW152" s="1740"/>
      <c r="AX152" s="1740"/>
      <c r="AY152" s="1740"/>
      <c r="AZ152" s="1740"/>
      <c r="BA152" s="1740"/>
      <c r="BB152" s="1740"/>
      <c r="BC152" s="1740"/>
      <c r="BD152" s="1740"/>
      <c r="BE152" s="1740"/>
      <c r="BF152" s="1740"/>
      <c r="BG152" s="1740"/>
      <c r="BH152" s="1740"/>
      <c r="BI152" s="1740"/>
      <c r="BJ152" s="1740"/>
      <c r="BK152" s="1740"/>
    </row>
    <row r="153" spans="1:63">
      <c r="D153" s="1740"/>
      <c r="E153" s="1740"/>
      <c r="F153" s="1740"/>
      <c r="G153" s="1740"/>
      <c r="H153" s="1740"/>
      <c r="I153" s="1740"/>
      <c r="J153" s="1740"/>
      <c r="K153" s="1740"/>
      <c r="L153" s="1740"/>
      <c r="M153" s="1740"/>
      <c r="N153" s="1740"/>
      <c r="O153" s="1740"/>
      <c r="P153" s="1740"/>
      <c r="Q153" s="1740"/>
      <c r="R153" s="1740"/>
      <c r="S153" s="1740"/>
      <c r="T153" s="1740"/>
      <c r="U153" s="1740"/>
      <c r="V153" s="1740"/>
      <c r="W153" s="1740"/>
      <c r="X153" s="1740"/>
      <c r="Y153" s="1740"/>
      <c r="Z153" s="1740"/>
      <c r="AA153" s="1740"/>
      <c r="AB153" s="1740"/>
      <c r="AC153" s="1740"/>
      <c r="AD153" s="1740"/>
      <c r="AE153" s="1740"/>
      <c r="AF153" s="1740"/>
      <c r="AG153" s="1740"/>
      <c r="AH153" s="1740"/>
      <c r="AI153" s="1740"/>
      <c r="AJ153" s="1740"/>
      <c r="AK153" s="1740"/>
      <c r="AL153" s="1740"/>
      <c r="AM153" s="1740"/>
      <c r="AN153" s="1740"/>
      <c r="AO153" s="1740"/>
      <c r="AP153" s="1740"/>
      <c r="AQ153" s="1740"/>
      <c r="AR153" s="1740"/>
      <c r="AS153" s="1740"/>
      <c r="AT153" s="1740"/>
      <c r="AU153" s="1740"/>
      <c r="AV153" s="1740"/>
      <c r="AW153" s="1740"/>
      <c r="AX153" s="1740"/>
      <c r="AY153" s="1740"/>
      <c r="AZ153" s="1740"/>
      <c r="BA153" s="1740"/>
      <c r="BB153" s="1740"/>
      <c r="BC153" s="1740"/>
      <c r="BD153" s="1740"/>
      <c r="BE153" s="1740"/>
      <c r="BF153" s="1740"/>
      <c r="BG153" s="1740"/>
      <c r="BH153" s="1740"/>
      <c r="BI153" s="1740"/>
      <c r="BJ153" s="1740"/>
      <c r="BK153" s="1740"/>
    </row>
    <row r="154" spans="1:63">
      <c r="D154" s="1740"/>
      <c r="E154" s="1740"/>
      <c r="F154" s="1740"/>
      <c r="G154" s="1740"/>
      <c r="H154" s="1740"/>
      <c r="I154" s="1740"/>
      <c r="J154" s="1740"/>
      <c r="K154" s="1740"/>
      <c r="L154" s="1740"/>
      <c r="M154" s="1740"/>
      <c r="N154" s="1740"/>
      <c r="O154" s="1740"/>
      <c r="P154" s="1740"/>
      <c r="Q154" s="1740"/>
      <c r="R154" s="1740"/>
      <c r="S154" s="1740"/>
      <c r="T154" s="1740"/>
      <c r="U154" s="1740"/>
      <c r="V154" s="1740"/>
      <c r="W154" s="1740"/>
      <c r="X154" s="1740"/>
      <c r="Y154" s="1740"/>
      <c r="Z154" s="1740"/>
      <c r="AA154" s="1740"/>
      <c r="AB154" s="1740"/>
      <c r="AC154" s="1740"/>
      <c r="AD154" s="1740"/>
      <c r="AE154" s="1740"/>
      <c r="AF154" s="1740"/>
      <c r="AG154" s="1740"/>
      <c r="AH154" s="1740"/>
      <c r="AI154" s="1740"/>
      <c r="AJ154" s="1740"/>
      <c r="AK154" s="1740"/>
      <c r="AL154" s="1740"/>
      <c r="AM154" s="1740"/>
      <c r="AN154" s="1740"/>
      <c r="AO154" s="1740"/>
      <c r="AP154" s="1740"/>
      <c r="AQ154" s="1740"/>
      <c r="AR154" s="1740"/>
      <c r="AS154" s="1740"/>
      <c r="AT154" s="1740"/>
      <c r="AU154" s="1740"/>
      <c r="AV154" s="1740"/>
      <c r="AW154" s="1740"/>
      <c r="AX154" s="1740"/>
      <c r="AY154" s="1740"/>
      <c r="AZ154" s="1740"/>
      <c r="BA154" s="1740"/>
      <c r="BB154" s="1740"/>
      <c r="BC154" s="1740"/>
      <c r="BD154" s="1740"/>
      <c r="BE154" s="1740"/>
      <c r="BF154" s="1740"/>
      <c r="BG154" s="1740"/>
      <c r="BH154" s="1740"/>
      <c r="BI154" s="1740"/>
      <c r="BJ154" s="1740"/>
      <c r="BK154" s="1740"/>
    </row>
    <row r="155" spans="1:63">
      <c r="D155" s="1740"/>
      <c r="E155" s="1740"/>
      <c r="F155" s="1740"/>
      <c r="G155" s="1740"/>
      <c r="H155" s="1740"/>
      <c r="I155" s="1740"/>
      <c r="J155" s="1740"/>
      <c r="K155" s="1740"/>
      <c r="L155" s="1740"/>
      <c r="M155" s="1740"/>
      <c r="N155" s="1740"/>
      <c r="O155" s="1740"/>
      <c r="P155" s="1740"/>
      <c r="Q155" s="1740"/>
      <c r="R155" s="1740"/>
      <c r="S155" s="1740"/>
      <c r="T155" s="1740"/>
      <c r="U155" s="1740"/>
      <c r="V155" s="1740"/>
      <c r="W155" s="1740"/>
      <c r="X155" s="1740"/>
      <c r="Y155" s="1740"/>
      <c r="Z155" s="1740"/>
      <c r="AA155" s="1740"/>
      <c r="AB155" s="1740"/>
      <c r="AC155" s="1740"/>
      <c r="AD155" s="1740"/>
      <c r="AE155" s="1740"/>
      <c r="AF155" s="1740"/>
      <c r="AG155" s="1740"/>
      <c r="AH155" s="1740"/>
      <c r="AI155" s="1740"/>
      <c r="AJ155" s="1740"/>
      <c r="AK155" s="1740"/>
      <c r="AL155" s="1740"/>
      <c r="AM155" s="1740"/>
      <c r="AN155" s="1740"/>
      <c r="AO155" s="1740"/>
      <c r="AP155" s="1740"/>
      <c r="AQ155" s="1740"/>
      <c r="AR155" s="1740"/>
      <c r="AS155" s="1740"/>
      <c r="AT155" s="1740"/>
      <c r="AU155" s="1740"/>
      <c r="AV155" s="1740"/>
      <c r="AW155" s="1740"/>
      <c r="AX155" s="1740"/>
      <c r="AY155" s="1740"/>
      <c r="AZ155" s="1740"/>
      <c r="BA155" s="1740"/>
      <c r="BB155" s="1740"/>
      <c r="BC155" s="1740"/>
      <c r="BD155" s="1740"/>
      <c r="BE155" s="1740"/>
      <c r="BF155" s="1740"/>
      <c r="BG155" s="1740"/>
      <c r="BH155" s="1740"/>
      <c r="BI155" s="1740"/>
      <c r="BJ155" s="1740"/>
      <c r="BK155" s="1740"/>
    </row>
    <row r="156" spans="1:63">
      <c r="D156" s="1740"/>
      <c r="E156" s="1740"/>
      <c r="F156" s="1740"/>
      <c r="G156" s="1740"/>
      <c r="H156" s="1740"/>
      <c r="I156" s="1740"/>
      <c r="J156" s="1740"/>
      <c r="K156" s="1740"/>
      <c r="L156" s="1740"/>
      <c r="M156" s="1740"/>
      <c r="N156" s="1740"/>
      <c r="O156" s="1740"/>
      <c r="P156" s="1740"/>
      <c r="Q156" s="1740"/>
      <c r="R156" s="1740"/>
      <c r="S156" s="1740"/>
      <c r="T156" s="1740"/>
      <c r="U156" s="1740"/>
      <c r="V156" s="1740"/>
      <c r="W156" s="1740"/>
      <c r="X156" s="1740"/>
      <c r="Y156" s="1740"/>
      <c r="Z156" s="1740"/>
      <c r="AA156" s="1740"/>
      <c r="AB156" s="1740"/>
      <c r="AC156" s="1740"/>
      <c r="AD156" s="1740"/>
      <c r="AE156" s="1740"/>
      <c r="AF156" s="1740"/>
      <c r="AG156" s="1740"/>
      <c r="AH156" s="1740"/>
      <c r="AI156" s="1740"/>
      <c r="AJ156" s="1740"/>
      <c r="AK156" s="1740"/>
      <c r="AL156" s="1740"/>
      <c r="AM156" s="1740"/>
      <c r="AN156" s="1740"/>
      <c r="AO156" s="1740"/>
      <c r="AP156" s="1740"/>
      <c r="AQ156" s="1740"/>
      <c r="AR156" s="1740"/>
      <c r="AS156" s="1740"/>
      <c r="AT156" s="1740"/>
      <c r="AU156" s="1740"/>
      <c r="AV156" s="1740"/>
      <c r="AW156" s="1740"/>
      <c r="AX156" s="1740"/>
      <c r="AY156" s="1740"/>
      <c r="AZ156" s="1740"/>
      <c r="BA156" s="1740"/>
      <c r="BB156" s="1740"/>
      <c r="BC156" s="1740"/>
      <c r="BD156" s="1740"/>
      <c r="BE156" s="1740"/>
      <c r="BF156" s="1740"/>
      <c r="BG156" s="1740"/>
      <c r="BH156" s="1740"/>
      <c r="BI156" s="1740"/>
      <c r="BJ156" s="1740"/>
      <c r="BK156" s="1740"/>
    </row>
    <row r="157" spans="1:63">
      <c r="D157" s="1740"/>
      <c r="E157" s="1740"/>
      <c r="F157" s="1740"/>
      <c r="G157" s="1740"/>
      <c r="H157" s="1740"/>
      <c r="I157" s="1740"/>
      <c r="J157" s="1740"/>
      <c r="K157" s="1740"/>
      <c r="L157" s="1740"/>
      <c r="M157" s="1740"/>
      <c r="N157" s="1740"/>
      <c r="O157" s="1740"/>
      <c r="P157" s="1740"/>
      <c r="Q157" s="1740"/>
      <c r="R157" s="1740"/>
      <c r="S157" s="1740"/>
      <c r="T157" s="1740"/>
      <c r="U157" s="1740"/>
      <c r="V157" s="1740"/>
      <c r="W157" s="1740"/>
      <c r="X157" s="1740"/>
      <c r="Y157" s="1740"/>
      <c r="Z157" s="1740"/>
      <c r="AA157" s="1740"/>
      <c r="AB157" s="1740"/>
      <c r="AC157" s="1740"/>
      <c r="AD157" s="1740"/>
      <c r="AE157" s="1740"/>
      <c r="AF157" s="1740"/>
      <c r="AG157" s="1740"/>
      <c r="AH157" s="1740"/>
      <c r="AI157" s="1740"/>
      <c r="AJ157" s="1740"/>
      <c r="AK157" s="1740"/>
      <c r="AL157" s="1740"/>
      <c r="AM157" s="1740"/>
      <c r="AN157" s="1740"/>
      <c r="AO157" s="1740"/>
      <c r="AP157" s="1740"/>
      <c r="AQ157" s="1740"/>
      <c r="AR157" s="1740"/>
      <c r="AS157" s="1740"/>
      <c r="AT157" s="1740"/>
      <c r="AU157" s="1740"/>
      <c r="AV157" s="1740"/>
      <c r="AW157" s="1740"/>
      <c r="AX157" s="1740"/>
      <c r="AY157" s="1740"/>
      <c r="AZ157" s="1740"/>
      <c r="BA157" s="1740"/>
      <c r="BB157" s="1740"/>
      <c r="BC157" s="1740"/>
      <c r="BD157" s="1740"/>
      <c r="BE157" s="1740"/>
      <c r="BF157" s="1740"/>
      <c r="BG157" s="1740"/>
      <c r="BH157" s="1740"/>
      <c r="BI157" s="1740"/>
      <c r="BJ157" s="1740"/>
      <c r="BK157" s="1740"/>
    </row>
    <row r="158" spans="1:63">
      <c r="D158" s="1740"/>
      <c r="E158" s="1740"/>
      <c r="F158" s="1740"/>
      <c r="G158" s="1740"/>
      <c r="H158" s="1740"/>
      <c r="I158" s="1740"/>
      <c r="J158" s="1740"/>
      <c r="K158" s="1740"/>
      <c r="L158" s="1740"/>
      <c r="M158" s="1740"/>
      <c r="N158" s="1740"/>
      <c r="O158" s="1740"/>
      <c r="P158" s="1740"/>
      <c r="Q158" s="1740"/>
      <c r="R158" s="1740"/>
      <c r="S158" s="1740"/>
      <c r="T158" s="1740"/>
      <c r="U158" s="1740"/>
      <c r="V158" s="1740"/>
      <c r="W158" s="1740"/>
      <c r="X158" s="1740"/>
      <c r="Y158" s="1740"/>
      <c r="Z158" s="1740"/>
      <c r="AA158" s="1740"/>
      <c r="AB158" s="1740"/>
      <c r="AC158" s="1740"/>
      <c r="AD158" s="1740"/>
      <c r="AE158" s="1740"/>
      <c r="AF158" s="1740"/>
      <c r="AG158" s="1740"/>
      <c r="AH158" s="1740"/>
      <c r="AI158" s="1740"/>
      <c r="AJ158" s="1740"/>
      <c r="AK158" s="1740"/>
      <c r="AL158" s="1740"/>
      <c r="AM158" s="1740"/>
      <c r="AN158" s="1740"/>
      <c r="AO158" s="1740"/>
      <c r="AP158" s="1740"/>
      <c r="AQ158" s="1740"/>
      <c r="AR158" s="1740"/>
      <c r="AS158" s="1740"/>
      <c r="AT158" s="1740"/>
      <c r="AU158" s="1740"/>
      <c r="AV158" s="1740"/>
      <c r="AW158" s="1740"/>
      <c r="AX158" s="1740"/>
      <c r="AY158" s="1740"/>
      <c r="AZ158" s="1740"/>
      <c r="BA158" s="1740"/>
      <c r="BB158" s="1740"/>
      <c r="BC158" s="1740"/>
      <c r="BD158" s="1740"/>
      <c r="BE158" s="1740"/>
      <c r="BF158" s="1740"/>
      <c r="BG158" s="1740"/>
      <c r="BH158" s="1740"/>
      <c r="BI158" s="1740"/>
      <c r="BJ158" s="1740"/>
      <c r="BK158" s="1740"/>
    </row>
    <row r="159" spans="1:63">
      <c r="D159" s="1740"/>
      <c r="E159" s="1740"/>
      <c r="F159" s="1740"/>
      <c r="G159" s="1740"/>
      <c r="H159" s="1740"/>
      <c r="I159" s="1740"/>
      <c r="J159" s="1740"/>
      <c r="K159" s="1740"/>
      <c r="L159" s="1740"/>
      <c r="M159" s="1740"/>
      <c r="N159" s="1740"/>
      <c r="O159" s="1740"/>
      <c r="P159" s="1740"/>
      <c r="Q159" s="1740"/>
      <c r="R159" s="1740"/>
      <c r="S159" s="1740"/>
      <c r="T159" s="1740"/>
      <c r="U159" s="1740"/>
      <c r="V159" s="1740"/>
      <c r="W159" s="1740"/>
      <c r="X159" s="1740"/>
      <c r="Y159" s="1740"/>
      <c r="Z159" s="1740"/>
      <c r="AA159" s="1740"/>
      <c r="AB159" s="1740"/>
      <c r="AC159" s="1740"/>
      <c r="AD159" s="1740"/>
      <c r="AE159" s="1740"/>
      <c r="AF159" s="1740"/>
      <c r="AG159" s="1740"/>
      <c r="AH159" s="1740"/>
      <c r="AI159" s="1740"/>
      <c r="AJ159" s="1740"/>
      <c r="AK159" s="1740"/>
      <c r="AL159" s="1740"/>
      <c r="AM159" s="1740"/>
      <c r="AN159" s="1740"/>
      <c r="AO159" s="1740"/>
      <c r="AP159" s="1740"/>
      <c r="AQ159" s="1740"/>
      <c r="AR159" s="1740"/>
      <c r="AS159" s="1740"/>
      <c r="AT159" s="1740"/>
      <c r="AU159" s="1740"/>
      <c r="AV159" s="1740"/>
      <c r="AW159" s="1740"/>
      <c r="AX159" s="1740"/>
      <c r="AY159" s="1740"/>
      <c r="AZ159" s="1740"/>
      <c r="BA159" s="1740"/>
      <c r="BB159" s="1740"/>
      <c r="BC159" s="1740"/>
      <c r="BD159" s="1740"/>
      <c r="BE159" s="1740"/>
      <c r="BF159" s="1740"/>
      <c r="BG159" s="1740"/>
      <c r="BH159" s="1740"/>
      <c r="BI159" s="1740"/>
      <c r="BJ159" s="1740"/>
      <c r="BK159" s="1740"/>
    </row>
    <row r="160" spans="1:63">
      <c r="D160" s="1740"/>
      <c r="E160" s="1740"/>
      <c r="F160" s="1740"/>
      <c r="G160" s="1740"/>
      <c r="H160" s="1740"/>
      <c r="I160" s="1740"/>
      <c r="J160" s="1740"/>
      <c r="K160" s="1740"/>
      <c r="L160" s="1740"/>
      <c r="M160" s="1740"/>
      <c r="N160" s="1740"/>
      <c r="O160" s="1740"/>
      <c r="P160" s="1740"/>
      <c r="Q160" s="1740"/>
      <c r="R160" s="1740"/>
      <c r="S160" s="1740"/>
      <c r="T160" s="1740"/>
      <c r="U160" s="1740"/>
      <c r="V160" s="1740"/>
      <c r="W160" s="1740"/>
      <c r="X160" s="1740"/>
      <c r="Y160" s="1740"/>
      <c r="Z160" s="1740"/>
      <c r="AA160" s="1740"/>
      <c r="AB160" s="1740"/>
      <c r="AC160" s="1740"/>
      <c r="AD160" s="1740"/>
      <c r="AE160" s="1740"/>
      <c r="AF160" s="1740"/>
      <c r="AG160" s="1740"/>
      <c r="AH160" s="1740"/>
      <c r="AI160" s="1740"/>
      <c r="AJ160" s="1740"/>
      <c r="AK160" s="1740"/>
      <c r="AL160" s="1740"/>
      <c r="AM160" s="1740"/>
      <c r="AN160" s="1740"/>
      <c r="AO160" s="1740"/>
      <c r="AP160" s="1740"/>
      <c r="AQ160" s="1740"/>
      <c r="AR160" s="1740"/>
      <c r="AS160" s="1740"/>
      <c r="AT160" s="1740"/>
      <c r="AU160" s="1740"/>
      <c r="AV160" s="1740"/>
      <c r="AW160" s="1740"/>
      <c r="AX160" s="1740"/>
      <c r="AY160" s="1740"/>
      <c r="AZ160" s="1740"/>
      <c r="BA160" s="1740"/>
      <c r="BB160" s="1740"/>
      <c r="BC160" s="1740"/>
      <c r="BD160" s="1740"/>
      <c r="BE160" s="1740"/>
      <c r="BF160" s="1740"/>
      <c r="BG160" s="1740"/>
      <c r="BH160" s="1740"/>
      <c r="BI160" s="1740"/>
      <c r="BJ160" s="1740"/>
      <c r="BK160" s="1740"/>
    </row>
    <row r="161" spans="4:63">
      <c r="D161" s="1740"/>
      <c r="E161" s="1740"/>
      <c r="F161" s="1740"/>
      <c r="G161" s="1740"/>
      <c r="H161" s="1740"/>
      <c r="I161" s="1740"/>
      <c r="J161" s="1740"/>
      <c r="K161" s="1740"/>
      <c r="L161" s="1740"/>
      <c r="M161" s="1740"/>
      <c r="N161" s="1740"/>
      <c r="O161" s="1740"/>
      <c r="P161" s="1740"/>
      <c r="Q161" s="1740"/>
      <c r="R161" s="1740"/>
      <c r="S161" s="1740"/>
      <c r="T161" s="1740"/>
      <c r="U161" s="1740"/>
      <c r="V161" s="1740"/>
      <c r="W161" s="1740"/>
      <c r="X161" s="1740"/>
      <c r="Y161" s="1740"/>
      <c r="Z161" s="1740"/>
      <c r="AA161" s="1740"/>
      <c r="AB161" s="1740"/>
      <c r="AC161" s="1740"/>
      <c r="AD161" s="1740"/>
      <c r="AE161" s="1740"/>
      <c r="AF161" s="1740"/>
      <c r="AG161" s="1740"/>
      <c r="AH161" s="1740"/>
      <c r="AI161" s="1740"/>
      <c r="AJ161" s="1740"/>
      <c r="AK161" s="1740"/>
      <c r="AL161" s="1740"/>
      <c r="AM161" s="1740"/>
      <c r="AN161" s="1740"/>
      <c r="AO161" s="1740"/>
      <c r="AP161" s="1740"/>
      <c r="AQ161" s="1740"/>
      <c r="AR161" s="1740"/>
      <c r="AS161" s="1740"/>
      <c r="AT161" s="1740"/>
      <c r="AU161" s="1740"/>
      <c r="AV161" s="1740"/>
      <c r="AW161" s="1740"/>
      <c r="AX161" s="1740"/>
      <c r="AY161" s="1740"/>
      <c r="AZ161" s="1740"/>
      <c r="BA161" s="1740"/>
      <c r="BB161" s="1740"/>
      <c r="BC161" s="1740"/>
      <c r="BD161" s="1740"/>
      <c r="BE161" s="1740"/>
      <c r="BF161" s="1740"/>
      <c r="BG161" s="1740"/>
      <c r="BH161" s="1740"/>
      <c r="BI161" s="1740"/>
      <c r="BJ161" s="1740"/>
      <c r="BK161" s="1740"/>
    </row>
    <row r="162" spans="4:63">
      <c r="D162" s="1740"/>
      <c r="E162" s="1740"/>
      <c r="F162" s="1740"/>
      <c r="G162" s="1740"/>
      <c r="H162" s="1740"/>
      <c r="I162" s="1740"/>
      <c r="J162" s="1740"/>
      <c r="K162" s="1740"/>
      <c r="L162" s="1740"/>
      <c r="M162" s="1740"/>
      <c r="N162" s="1740"/>
      <c r="O162" s="1740"/>
      <c r="P162" s="1740"/>
      <c r="Q162" s="1740"/>
      <c r="R162" s="1740"/>
      <c r="S162" s="1740"/>
      <c r="T162" s="1740"/>
      <c r="U162" s="1740"/>
      <c r="V162" s="1740"/>
      <c r="W162" s="1740"/>
      <c r="X162" s="1740"/>
      <c r="Y162" s="1740"/>
      <c r="Z162" s="1740"/>
      <c r="AA162" s="1740"/>
      <c r="AB162" s="1740"/>
      <c r="AC162" s="1740"/>
      <c r="AD162" s="1740"/>
      <c r="AE162" s="1740"/>
      <c r="AF162" s="1740"/>
      <c r="AG162" s="1740"/>
      <c r="AH162" s="1740"/>
      <c r="AI162" s="1740"/>
      <c r="AJ162" s="1740"/>
      <c r="AK162" s="1740"/>
      <c r="AL162" s="1740"/>
      <c r="AM162" s="1740"/>
      <c r="AN162" s="1740"/>
      <c r="AO162" s="1740"/>
      <c r="AP162" s="1740"/>
      <c r="AQ162" s="1740"/>
      <c r="AR162" s="1740"/>
      <c r="AS162" s="1740"/>
      <c r="AT162" s="1740"/>
      <c r="AU162" s="1740"/>
      <c r="AV162" s="1740"/>
      <c r="AW162" s="1740"/>
      <c r="AX162" s="1740"/>
      <c r="AY162" s="1740"/>
      <c r="AZ162" s="1740"/>
      <c r="BA162" s="1740"/>
      <c r="BB162" s="1740"/>
      <c r="BC162" s="1740"/>
      <c r="BD162" s="1740"/>
      <c r="BE162" s="1740"/>
      <c r="BF162" s="1740"/>
      <c r="BG162" s="1740"/>
      <c r="BH162" s="1740"/>
      <c r="BI162" s="1740"/>
      <c r="BJ162" s="1740"/>
      <c r="BK162" s="1740"/>
    </row>
    <row r="163" spans="4:63">
      <c r="D163" s="1740"/>
      <c r="E163" s="1740"/>
      <c r="F163" s="1740"/>
      <c r="G163" s="1740"/>
      <c r="H163" s="1740"/>
      <c r="I163" s="1740"/>
      <c r="J163" s="1740"/>
      <c r="K163" s="1740"/>
      <c r="L163" s="1740"/>
      <c r="M163" s="1740"/>
      <c r="N163" s="1740"/>
      <c r="O163" s="1740"/>
      <c r="P163" s="1740"/>
      <c r="Q163" s="1740"/>
      <c r="R163" s="1740"/>
      <c r="S163" s="1740"/>
      <c r="T163" s="1740"/>
      <c r="U163" s="1740"/>
      <c r="V163" s="1740"/>
      <c r="W163" s="1740"/>
      <c r="X163" s="1740"/>
      <c r="Y163" s="1740"/>
      <c r="Z163" s="1740"/>
      <c r="AA163" s="1740"/>
      <c r="AB163" s="1740"/>
      <c r="AC163" s="1740"/>
      <c r="AD163" s="1740"/>
      <c r="AE163" s="1740"/>
      <c r="AF163" s="1740"/>
      <c r="AG163" s="1740"/>
      <c r="AH163" s="1740"/>
      <c r="AI163" s="1740"/>
      <c r="AJ163" s="1740"/>
      <c r="AK163" s="1740"/>
      <c r="AL163" s="1740"/>
      <c r="AM163" s="1740"/>
      <c r="AN163" s="1740"/>
      <c r="AO163" s="1740"/>
      <c r="AP163" s="1740"/>
      <c r="AQ163" s="1740"/>
      <c r="AR163" s="1740"/>
      <c r="AS163" s="1740"/>
      <c r="AT163" s="1740"/>
      <c r="AU163" s="1740"/>
      <c r="AV163" s="1740"/>
      <c r="AW163" s="1740"/>
      <c r="AX163" s="1740"/>
      <c r="AY163" s="1740"/>
      <c r="AZ163" s="1740"/>
      <c r="BA163" s="1740"/>
      <c r="BB163" s="1740"/>
      <c r="BC163" s="1740"/>
      <c r="BD163" s="1740"/>
      <c r="BE163" s="1740"/>
      <c r="BF163" s="1740"/>
      <c r="BG163" s="1740"/>
      <c r="BH163" s="1740"/>
      <c r="BI163" s="1740"/>
      <c r="BJ163" s="1740"/>
      <c r="BK163" s="1740"/>
    </row>
    <row r="164" spans="4:63">
      <c r="D164" s="1740"/>
      <c r="E164" s="1740"/>
      <c r="F164" s="1740"/>
      <c r="G164" s="1740"/>
      <c r="H164" s="1740"/>
      <c r="I164" s="1740"/>
      <c r="J164" s="1740"/>
      <c r="K164" s="1740"/>
      <c r="L164" s="1740"/>
      <c r="M164" s="1740"/>
      <c r="N164" s="1740"/>
      <c r="O164" s="1740"/>
      <c r="P164" s="1740"/>
      <c r="Q164" s="1740"/>
      <c r="R164" s="1740"/>
      <c r="S164" s="1740"/>
      <c r="T164" s="1740"/>
      <c r="U164" s="1740"/>
      <c r="V164" s="1740"/>
      <c r="W164" s="1740"/>
      <c r="X164" s="1740"/>
      <c r="Y164" s="1740"/>
      <c r="Z164" s="1740"/>
      <c r="AA164" s="1740"/>
      <c r="AB164" s="1740"/>
      <c r="AC164" s="1740"/>
      <c r="AD164" s="1740"/>
      <c r="AE164" s="1740"/>
      <c r="AF164" s="1740"/>
      <c r="AG164" s="1740"/>
      <c r="AH164" s="1740"/>
      <c r="AI164" s="1740"/>
      <c r="AJ164" s="1740"/>
      <c r="AK164" s="1740"/>
      <c r="AL164" s="1740"/>
      <c r="AM164" s="1740"/>
      <c r="AN164" s="1740"/>
      <c r="AO164" s="1740"/>
      <c r="AP164" s="1740"/>
      <c r="AQ164" s="1740"/>
      <c r="AR164" s="1740"/>
      <c r="AS164" s="1740"/>
      <c r="AT164" s="1740"/>
      <c r="AU164" s="1740"/>
      <c r="AV164" s="1740"/>
      <c r="AW164" s="1740"/>
      <c r="AX164" s="1740"/>
      <c r="AY164" s="1740"/>
      <c r="AZ164" s="1740"/>
      <c r="BA164" s="1740"/>
      <c r="BB164" s="1740"/>
      <c r="BC164" s="1740"/>
      <c r="BD164" s="1740"/>
      <c r="BE164" s="1740"/>
      <c r="BF164" s="1740"/>
      <c r="BG164" s="1740"/>
      <c r="BH164" s="1740"/>
      <c r="BI164" s="1740"/>
      <c r="BJ164" s="1740"/>
      <c r="BK164" s="1740"/>
    </row>
    <row r="165" spans="4:63">
      <c r="D165" s="1740"/>
      <c r="E165" s="1740"/>
      <c r="F165" s="1740"/>
      <c r="G165" s="1740"/>
      <c r="H165" s="1740"/>
      <c r="I165" s="1740"/>
      <c r="J165" s="1740"/>
      <c r="K165" s="1740"/>
      <c r="L165" s="1740"/>
      <c r="M165" s="1740"/>
      <c r="N165" s="1740"/>
      <c r="O165" s="1740"/>
      <c r="P165" s="1740"/>
      <c r="Q165" s="1740"/>
      <c r="R165" s="1740"/>
      <c r="S165" s="1740"/>
      <c r="T165" s="1740"/>
      <c r="U165" s="1740"/>
      <c r="V165" s="1740"/>
      <c r="W165" s="1740"/>
      <c r="X165" s="1740"/>
      <c r="Y165" s="1740"/>
      <c r="Z165" s="1740"/>
      <c r="AA165" s="1740"/>
      <c r="AB165" s="1740"/>
      <c r="AC165" s="1740"/>
      <c r="AD165" s="1740"/>
      <c r="AE165" s="1740"/>
      <c r="AF165" s="1740"/>
      <c r="AG165" s="1740"/>
      <c r="AH165" s="1740"/>
      <c r="AI165" s="1740"/>
      <c r="AJ165" s="1740"/>
      <c r="AK165" s="1740"/>
      <c r="AL165" s="1740"/>
      <c r="AM165" s="1740"/>
      <c r="AN165" s="1740"/>
      <c r="AO165" s="1740"/>
      <c r="AP165" s="1740"/>
      <c r="AQ165" s="1740"/>
      <c r="AR165" s="1740"/>
      <c r="AS165" s="1740"/>
      <c r="AT165" s="1740"/>
      <c r="AU165" s="1740"/>
      <c r="AV165" s="1740"/>
      <c r="AW165" s="1740"/>
      <c r="AX165" s="1740"/>
      <c r="AY165" s="1740"/>
      <c r="AZ165" s="1740"/>
      <c r="BA165" s="1740"/>
      <c r="BB165" s="1740"/>
      <c r="BC165" s="1740"/>
      <c r="BD165" s="1740"/>
      <c r="BE165" s="1740"/>
      <c r="BF165" s="1740"/>
      <c r="BG165" s="1740"/>
      <c r="BH165" s="1740"/>
      <c r="BI165" s="1740"/>
      <c r="BJ165" s="1740"/>
      <c r="BK165" s="1740"/>
    </row>
    <row r="166" spans="4:63">
      <c r="D166" s="1740"/>
      <c r="E166" s="1740"/>
      <c r="F166" s="1740"/>
      <c r="G166" s="1740"/>
      <c r="H166" s="1740"/>
      <c r="I166" s="1740"/>
      <c r="J166" s="1740"/>
      <c r="K166" s="1740"/>
      <c r="L166" s="1740"/>
      <c r="M166" s="1740"/>
      <c r="N166" s="1740"/>
      <c r="O166" s="1740"/>
      <c r="P166" s="1740"/>
      <c r="Q166" s="1740"/>
      <c r="R166" s="1740"/>
      <c r="S166" s="1740"/>
      <c r="T166" s="1740"/>
      <c r="U166" s="1740"/>
      <c r="V166" s="1740"/>
      <c r="W166" s="1740"/>
      <c r="X166" s="1740"/>
      <c r="Y166" s="1740"/>
      <c r="Z166" s="1740"/>
      <c r="AA166" s="1740"/>
      <c r="AB166" s="1740"/>
      <c r="AC166" s="1740"/>
      <c r="AD166" s="1740"/>
      <c r="AE166" s="1740"/>
      <c r="AF166" s="1740"/>
      <c r="AG166" s="1740"/>
      <c r="AH166" s="1740"/>
      <c r="AI166" s="1740"/>
      <c r="AJ166" s="1740"/>
      <c r="AK166" s="1740"/>
      <c r="AL166" s="1740"/>
      <c r="AM166" s="1740"/>
      <c r="AN166" s="1740"/>
      <c r="AO166" s="1740"/>
      <c r="AP166" s="1740"/>
      <c r="AQ166" s="1740"/>
      <c r="AR166" s="1740"/>
      <c r="AS166" s="1740"/>
      <c r="AT166" s="1740"/>
      <c r="AU166" s="1740"/>
      <c r="AV166" s="1740"/>
      <c r="AW166" s="1740"/>
      <c r="AX166" s="1740"/>
      <c r="AY166" s="1740"/>
      <c r="AZ166" s="1740"/>
      <c r="BA166" s="1740"/>
      <c r="BB166" s="1740"/>
      <c r="BC166" s="1740"/>
      <c r="BD166" s="1740"/>
      <c r="BE166" s="1740"/>
      <c r="BF166" s="1740"/>
      <c r="BG166" s="1740"/>
      <c r="BH166" s="1740"/>
      <c r="BI166" s="1740"/>
      <c r="BJ166" s="1740"/>
      <c r="BK166" s="1740"/>
    </row>
    <row r="167" spans="4:63">
      <c r="D167" s="1740"/>
      <c r="E167" s="1740"/>
      <c r="F167" s="1740"/>
      <c r="G167" s="1740"/>
      <c r="H167" s="1740"/>
      <c r="I167" s="1740"/>
      <c r="J167" s="1740"/>
      <c r="K167" s="1740"/>
      <c r="L167" s="1740"/>
      <c r="M167" s="1740"/>
      <c r="N167" s="1740"/>
      <c r="O167" s="1740"/>
      <c r="P167" s="1740"/>
      <c r="Q167" s="1740"/>
      <c r="R167" s="1740"/>
      <c r="S167" s="1740"/>
      <c r="T167" s="1740"/>
      <c r="U167" s="1740"/>
      <c r="V167" s="1740"/>
      <c r="W167" s="1740"/>
      <c r="X167" s="1740"/>
      <c r="Y167" s="1740"/>
      <c r="Z167" s="1740"/>
      <c r="AA167" s="1740"/>
      <c r="AB167" s="1740"/>
      <c r="AC167" s="1740"/>
      <c r="AD167" s="1740"/>
      <c r="AE167" s="1740"/>
      <c r="AF167" s="1740"/>
      <c r="AG167" s="1740"/>
      <c r="AH167" s="1740"/>
      <c r="AI167" s="1740"/>
      <c r="AJ167" s="1740"/>
      <c r="AK167" s="1740"/>
      <c r="AL167" s="1740"/>
      <c r="AM167" s="1740"/>
      <c r="AN167" s="1740"/>
      <c r="AO167" s="1740"/>
      <c r="AP167" s="1740"/>
      <c r="AQ167" s="1740"/>
      <c r="AR167" s="1740"/>
      <c r="AS167" s="1740"/>
      <c r="AT167" s="1740"/>
      <c r="AU167" s="1740"/>
      <c r="AV167" s="1740"/>
      <c r="AW167" s="1740"/>
      <c r="AX167" s="1740"/>
      <c r="AY167" s="1740"/>
      <c r="AZ167" s="1740"/>
      <c r="BA167" s="1740"/>
      <c r="BB167" s="1740"/>
      <c r="BC167" s="1740"/>
      <c r="BD167" s="1740"/>
      <c r="BE167" s="1740"/>
      <c r="BF167" s="1740"/>
      <c r="BG167" s="1740"/>
      <c r="BH167" s="1740"/>
      <c r="BI167" s="1740"/>
      <c r="BJ167" s="1740"/>
      <c r="BK167" s="1740"/>
    </row>
    <row r="168" spans="4:63">
      <c r="D168" s="1740"/>
      <c r="E168" s="1740"/>
      <c r="F168" s="1740"/>
      <c r="G168" s="1740"/>
      <c r="H168" s="1740"/>
      <c r="I168" s="1740"/>
      <c r="J168" s="1740"/>
      <c r="K168" s="1740"/>
      <c r="L168" s="1740"/>
      <c r="M168" s="1740"/>
      <c r="N168" s="1740"/>
      <c r="O168" s="1740"/>
      <c r="P168" s="1740"/>
      <c r="Q168" s="1740"/>
      <c r="R168" s="1740"/>
      <c r="S168" s="1740"/>
      <c r="T168" s="1740"/>
      <c r="U168" s="1740"/>
      <c r="V168" s="1740"/>
      <c r="W168" s="1740"/>
      <c r="X168" s="1740"/>
      <c r="Y168" s="1740"/>
      <c r="Z168" s="1740"/>
      <c r="AA168" s="1740"/>
      <c r="AB168" s="1740"/>
      <c r="AC168" s="1740"/>
      <c r="AD168" s="1740"/>
      <c r="AE168" s="1740"/>
      <c r="AF168" s="1740"/>
      <c r="AG168" s="1740"/>
      <c r="AH168" s="1740"/>
      <c r="AI168" s="1740"/>
      <c r="AJ168" s="1740"/>
      <c r="AK168" s="1740"/>
      <c r="AL168" s="1740"/>
      <c r="AM168" s="1740"/>
      <c r="AN168" s="1740"/>
      <c r="AO168" s="1740"/>
      <c r="AP168" s="1740"/>
      <c r="AQ168" s="1740"/>
      <c r="AR168" s="1740"/>
      <c r="AS168" s="1740"/>
      <c r="AT168" s="1740"/>
      <c r="AU168" s="1740"/>
      <c r="AV168" s="1740"/>
      <c r="AW168" s="1740"/>
      <c r="AX168" s="1740"/>
      <c r="AY168" s="1740"/>
      <c r="AZ168" s="1740"/>
      <c r="BA168" s="1740"/>
      <c r="BB168" s="1740"/>
      <c r="BC168" s="1740"/>
      <c r="BD168" s="1740"/>
      <c r="BE168" s="1740"/>
      <c r="BF168" s="1740"/>
      <c r="BG168" s="1740"/>
      <c r="BH168" s="1740"/>
      <c r="BI168" s="1740"/>
      <c r="BJ168" s="1740"/>
      <c r="BK168" s="1740"/>
    </row>
    <row r="169" spans="4:63">
      <c r="D169" s="1740"/>
      <c r="E169" s="1740"/>
      <c r="F169" s="1740"/>
      <c r="G169" s="1740"/>
      <c r="H169" s="1740"/>
      <c r="I169" s="1740"/>
      <c r="J169" s="1740"/>
      <c r="K169" s="1740"/>
      <c r="L169" s="1740"/>
      <c r="M169" s="1740"/>
      <c r="N169" s="1740"/>
      <c r="O169" s="1740"/>
      <c r="P169" s="1740"/>
      <c r="Q169" s="1740"/>
      <c r="R169" s="1740"/>
      <c r="S169" s="1740"/>
      <c r="T169" s="1740"/>
      <c r="U169" s="1740"/>
      <c r="V169" s="1740"/>
      <c r="W169" s="1740"/>
      <c r="X169" s="1740"/>
      <c r="Y169" s="1740"/>
      <c r="Z169" s="1740"/>
      <c r="AA169" s="1740"/>
      <c r="AB169" s="1740"/>
      <c r="AC169" s="1740"/>
      <c r="AD169" s="1740"/>
      <c r="AE169" s="1740"/>
      <c r="AF169" s="1740"/>
      <c r="AG169" s="1740"/>
      <c r="AH169" s="1740"/>
      <c r="AI169" s="1740"/>
      <c r="AJ169" s="1740"/>
      <c r="AK169" s="1740"/>
      <c r="AL169" s="1740"/>
      <c r="AM169" s="1740"/>
      <c r="AN169" s="1740"/>
      <c r="AO169" s="1740"/>
      <c r="AP169" s="1740"/>
      <c r="AQ169" s="1740"/>
      <c r="AR169" s="1740"/>
      <c r="AS169" s="1740"/>
      <c r="AT169" s="1740"/>
      <c r="AU169" s="1740"/>
      <c r="AV169" s="1740"/>
      <c r="AW169" s="1740"/>
      <c r="AX169" s="1740"/>
      <c r="AY169" s="1740"/>
      <c r="AZ169" s="1740"/>
      <c r="BA169" s="1740"/>
      <c r="BB169" s="1740"/>
      <c r="BC169" s="1740"/>
      <c r="BD169" s="1740"/>
      <c r="BE169" s="1740"/>
      <c r="BF169" s="1740"/>
      <c r="BG169" s="1740"/>
      <c r="BH169" s="1740"/>
      <c r="BI169" s="1740"/>
      <c r="BJ169" s="1740"/>
      <c r="BK169" s="1740"/>
    </row>
    <row r="170" spans="4:63">
      <c r="D170" s="1740"/>
      <c r="E170" s="1740"/>
      <c r="F170" s="1740"/>
      <c r="G170" s="1740"/>
      <c r="H170" s="1740"/>
      <c r="I170" s="1740"/>
      <c r="J170" s="1740"/>
      <c r="K170" s="1740"/>
      <c r="L170" s="1740"/>
      <c r="M170" s="1740"/>
      <c r="N170" s="1740"/>
      <c r="O170" s="1740"/>
      <c r="P170" s="1740"/>
      <c r="Q170" s="1740"/>
      <c r="R170" s="1740"/>
      <c r="S170" s="1740"/>
      <c r="T170" s="1740"/>
      <c r="U170" s="1740"/>
      <c r="V170" s="1740"/>
      <c r="W170" s="1740"/>
      <c r="X170" s="1740"/>
      <c r="Y170" s="1740"/>
      <c r="Z170" s="1740"/>
      <c r="AA170" s="1740"/>
      <c r="AB170" s="1740"/>
      <c r="AC170" s="1740"/>
      <c r="AD170" s="1740"/>
      <c r="AE170" s="1740"/>
      <c r="AF170" s="1740"/>
      <c r="AG170" s="1740"/>
      <c r="AH170" s="1740"/>
      <c r="AI170" s="1740"/>
      <c r="AJ170" s="1740"/>
      <c r="AK170" s="1740"/>
      <c r="AL170" s="1740"/>
      <c r="AM170" s="1740"/>
      <c r="AN170" s="1740"/>
      <c r="AO170" s="1740"/>
      <c r="AP170" s="1740"/>
      <c r="AQ170" s="1740"/>
      <c r="AR170" s="1740"/>
      <c r="AS170" s="1740"/>
      <c r="AT170" s="1740"/>
      <c r="AU170" s="1740"/>
      <c r="AV170" s="1740"/>
      <c r="AW170" s="1740"/>
      <c r="AX170" s="1740"/>
      <c r="AY170" s="1740"/>
      <c r="AZ170" s="1740"/>
      <c r="BA170" s="1740"/>
      <c r="BB170" s="1740"/>
      <c r="BC170" s="1740"/>
      <c r="BD170" s="1740"/>
      <c r="BE170" s="1740"/>
      <c r="BF170" s="1740"/>
      <c r="BG170" s="1740"/>
      <c r="BH170" s="1740"/>
      <c r="BI170" s="1740"/>
      <c r="BJ170" s="1740"/>
      <c r="BK170" s="1740"/>
    </row>
    <row r="171" spans="4:63">
      <c r="D171" s="1740"/>
      <c r="E171" s="1740"/>
      <c r="F171" s="1740"/>
      <c r="G171" s="1740"/>
      <c r="H171" s="1740"/>
      <c r="I171" s="1740"/>
      <c r="J171" s="1740"/>
      <c r="K171" s="1740"/>
      <c r="L171" s="1740"/>
      <c r="M171" s="1740"/>
      <c r="N171" s="1740"/>
      <c r="O171" s="1740"/>
      <c r="P171" s="1740"/>
      <c r="Q171" s="1740"/>
      <c r="R171" s="1740"/>
      <c r="S171" s="1740"/>
      <c r="T171" s="1740"/>
      <c r="U171" s="1740"/>
      <c r="V171" s="1740"/>
      <c r="W171" s="1740"/>
      <c r="X171" s="1740"/>
      <c r="Y171" s="1740"/>
      <c r="Z171" s="1740"/>
      <c r="AA171" s="1740"/>
      <c r="AB171" s="1740"/>
      <c r="AC171" s="1740"/>
      <c r="AD171" s="1740"/>
      <c r="AE171" s="1740"/>
      <c r="AF171" s="1740"/>
      <c r="AG171" s="1740"/>
      <c r="AH171" s="1740"/>
      <c r="AI171" s="1740"/>
      <c r="AJ171" s="1740"/>
      <c r="AK171" s="1740"/>
      <c r="AL171" s="1740"/>
      <c r="AM171" s="1740"/>
      <c r="AN171" s="1740"/>
      <c r="AO171" s="1740"/>
      <c r="AP171" s="1740"/>
      <c r="AQ171" s="1740"/>
      <c r="AR171" s="1740"/>
      <c r="AS171" s="1740"/>
      <c r="AT171" s="1740"/>
      <c r="AU171" s="1740"/>
      <c r="AV171" s="1740"/>
      <c r="AW171" s="1740"/>
      <c r="AX171" s="1740"/>
      <c r="AY171" s="1740"/>
      <c r="AZ171" s="1740"/>
      <c r="BA171" s="1740"/>
      <c r="BB171" s="1740"/>
      <c r="BC171" s="1740"/>
      <c r="BD171" s="1740"/>
      <c r="BE171" s="1740"/>
      <c r="BF171" s="1740"/>
      <c r="BG171" s="1740"/>
      <c r="BH171" s="1740"/>
      <c r="BI171" s="1740"/>
      <c r="BJ171" s="1740"/>
      <c r="BK171" s="1740"/>
    </row>
    <row r="172" spans="4:63">
      <c r="D172" s="1740"/>
      <c r="E172" s="1740"/>
      <c r="F172" s="1740"/>
      <c r="G172" s="1740"/>
      <c r="H172" s="1740"/>
      <c r="I172" s="1740"/>
      <c r="J172" s="1740"/>
      <c r="K172" s="1740"/>
      <c r="L172" s="1740"/>
      <c r="M172" s="1740"/>
      <c r="N172" s="1740"/>
      <c r="O172" s="1740"/>
      <c r="P172" s="1740"/>
      <c r="Q172" s="1740"/>
      <c r="R172" s="1740"/>
      <c r="S172" s="1740"/>
      <c r="T172" s="1740"/>
      <c r="U172" s="1740"/>
      <c r="V172" s="1740"/>
      <c r="W172" s="1740"/>
      <c r="X172" s="1740"/>
      <c r="Y172" s="1740"/>
      <c r="Z172" s="1740"/>
      <c r="AA172" s="1740"/>
      <c r="AB172" s="1740"/>
      <c r="AC172" s="1740"/>
      <c r="AD172" s="1740"/>
      <c r="AE172" s="1740"/>
      <c r="AF172" s="1740"/>
      <c r="AG172" s="1740"/>
      <c r="AH172" s="1740"/>
      <c r="AI172" s="1740"/>
      <c r="AJ172" s="1740"/>
      <c r="AK172" s="1740"/>
      <c r="AL172" s="1740"/>
      <c r="AM172" s="1740"/>
      <c r="AN172" s="1740"/>
      <c r="AO172" s="1740"/>
      <c r="AP172" s="1740"/>
      <c r="AQ172" s="1740"/>
      <c r="AR172" s="1740"/>
      <c r="AS172" s="1740"/>
      <c r="AT172" s="1740"/>
      <c r="AU172" s="1740"/>
      <c r="AV172" s="1740"/>
      <c r="AW172" s="1740"/>
      <c r="AX172" s="1740"/>
      <c r="AY172" s="1740"/>
      <c r="AZ172" s="1740"/>
      <c r="BA172" s="1740"/>
      <c r="BB172" s="1740"/>
      <c r="BC172" s="1740"/>
      <c r="BD172" s="1740"/>
      <c r="BE172" s="1740"/>
      <c r="BF172" s="1740"/>
      <c r="BG172" s="1740"/>
      <c r="BH172" s="1740"/>
      <c r="BI172" s="1740"/>
      <c r="BJ172" s="1740"/>
      <c r="BK172" s="1740"/>
    </row>
    <row r="173" spans="4:63">
      <c r="D173" s="1740"/>
      <c r="E173" s="1740"/>
      <c r="F173" s="1740"/>
      <c r="G173" s="1740"/>
      <c r="H173" s="1740"/>
      <c r="I173" s="1740"/>
      <c r="J173" s="1740"/>
      <c r="K173" s="1740"/>
      <c r="L173" s="1740"/>
      <c r="M173" s="1740"/>
      <c r="N173" s="1740"/>
      <c r="O173" s="1740"/>
      <c r="P173" s="1740"/>
      <c r="Q173" s="1740"/>
      <c r="R173" s="1740"/>
      <c r="S173" s="1740"/>
      <c r="T173" s="1740"/>
      <c r="U173" s="1740"/>
      <c r="V173" s="1740"/>
      <c r="W173" s="1740"/>
      <c r="X173" s="1740"/>
      <c r="Y173" s="1740"/>
      <c r="Z173" s="1740"/>
      <c r="AA173" s="1740"/>
      <c r="AB173" s="1740"/>
      <c r="AC173" s="1740"/>
      <c r="AD173" s="1740"/>
      <c r="AE173" s="1740"/>
      <c r="AF173" s="1740"/>
      <c r="AG173" s="1740"/>
      <c r="AH173" s="1740"/>
      <c r="AI173" s="1740"/>
      <c r="AJ173" s="1740"/>
      <c r="AK173" s="1740"/>
      <c r="AL173" s="1740"/>
      <c r="AM173" s="1740"/>
      <c r="AN173" s="1740"/>
      <c r="AO173" s="1740"/>
      <c r="AP173" s="1740"/>
      <c r="AQ173" s="1740"/>
      <c r="AR173" s="1740"/>
      <c r="AS173" s="1740"/>
      <c r="AT173" s="1740"/>
      <c r="AU173" s="1740"/>
      <c r="AV173" s="1740"/>
      <c r="AW173" s="1740"/>
      <c r="AX173" s="1740"/>
      <c r="AY173" s="1740"/>
      <c r="AZ173" s="1740"/>
      <c r="BA173" s="1740"/>
      <c r="BB173" s="1740"/>
      <c r="BC173" s="1740"/>
      <c r="BD173" s="1740"/>
      <c r="BE173" s="1740"/>
      <c r="BF173" s="1740"/>
      <c r="BG173" s="1740"/>
      <c r="BH173" s="1740"/>
      <c r="BI173" s="1740"/>
      <c r="BJ173" s="1740"/>
      <c r="BK173" s="1740"/>
    </row>
    <row r="174" spans="4:63">
      <c r="D174" s="1740"/>
      <c r="E174" s="1740"/>
      <c r="F174" s="1740"/>
      <c r="G174" s="1740"/>
      <c r="H174" s="1740"/>
      <c r="I174" s="1740"/>
      <c r="J174" s="1740"/>
      <c r="K174" s="1740"/>
      <c r="L174" s="1740"/>
      <c r="M174" s="1740"/>
      <c r="N174" s="1740"/>
      <c r="O174" s="1740"/>
      <c r="P174" s="1740"/>
      <c r="Q174" s="1740"/>
      <c r="R174" s="1740"/>
      <c r="S174" s="1740"/>
      <c r="T174" s="1740"/>
      <c r="U174" s="1740"/>
      <c r="V174" s="1740"/>
      <c r="W174" s="1740"/>
      <c r="X174" s="1740"/>
      <c r="Y174" s="1740"/>
      <c r="Z174" s="1740"/>
      <c r="AA174" s="1740"/>
      <c r="AB174" s="1740"/>
      <c r="AC174" s="1740"/>
      <c r="AD174" s="1740"/>
      <c r="AE174" s="1740"/>
      <c r="AF174" s="1740"/>
      <c r="AG174" s="1740"/>
      <c r="AH174" s="1740"/>
      <c r="AI174" s="1740"/>
      <c r="AJ174" s="1740"/>
      <c r="AK174" s="1740"/>
      <c r="AL174" s="1740"/>
      <c r="AM174" s="1740"/>
      <c r="AN174" s="1740"/>
      <c r="AO174" s="1740"/>
      <c r="AP174" s="1740"/>
      <c r="AQ174" s="1740"/>
      <c r="AR174" s="1740"/>
      <c r="AS174" s="1740"/>
      <c r="AT174" s="1740"/>
      <c r="AU174" s="1740"/>
      <c r="AV174" s="1740"/>
      <c r="AW174" s="1740"/>
      <c r="AX174" s="1740"/>
      <c r="AY174" s="1740"/>
      <c r="AZ174" s="1740"/>
      <c r="BA174" s="1740"/>
      <c r="BB174" s="1740"/>
      <c r="BC174" s="1740"/>
      <c r="BD174" s="1740"/>
      <c r="BE174" s="1740"/>
      <c r="BF174" s="1740"/>
      <c r="BG174" s="1740"/>
      <c r="BH174" s="1740"/>
      <c r="BI174" s="1740"/>
      <c r="BJ174" s="1740"/>
      <c r="BK174" s="1740"/>
    </row>
    <row r="175" spans="4:63">
      <c r="D175" s="1740"/>
      <c r="E175" s="1740"/>
      <c r="F175" s="1740"/>
      <c r="G175" s="1740"/>
      <c r="H175" s="1740"/>
      <c r="I175" s="1740"/>
      <c r="J175" s="1740"/>
      <c r="K175" s="1740"/>
      <c r="L175" s="1740"/>
      <c r="M175" s="1740"/>
      <c r="N175" s="1740"/>
      <c r="O175" s="1740"/>
      <c r="P175" s="1740"/>
      <c r="Q175" s="1740"/>
      <c r="R175" s="1740"/>
      <c r="S175" s="1740"/>
      <c r="T175" s="1740"/>
      <c r="U175" s="1740"/>
      <c r="V175" s="1740"/>
      <c r="W175" s="1740"/>
      <c r="X175" s="1740"/>
      <c r="Y175" s="1740"/>
      <c r="Z175" s="1740"/>
      <c r="AA175" s="1740"/>
      <c r="AB175" s="1740"/>
      <c r="AC175" s="1740"/>
      <c r="AD175" s="1740"/>
      <c r="AE175" s="1740"/>
      <c r="AF175" s="1740"/>
      <c r="AG175" s="1740"/>
      <c r="AH175" s="1740"/>
      <c r="AI175" s="1740"/>
      <c r="AJ175" s="1740"/>
      <c r="AK175" s="1740"/>
      <c r="AL175" s="1740"/>
      <c r="AM175" s="1740"/>
      <c r="AN175" s="1740"/>
      <c r="AO175" s="1740"/>
      <c r="AP175" s="1740"/>
      <c r="AQ175" s="1740"/>
      <c r="AR175" s="1740"/>
      <c r="AS175" s="1740"/>
      <c r="AT175" s="1740"/>
      <c r="AU175" s="1740"/>
      <c r="AV175" s="1740"/>
      <c r="AW175" s="1740"/>
      <c r="AX175" s="1740"/>
      <c r="AY175" s="1740"/>
      <c r="AZ175" s="1740"/>
      <c r="BA175" s="1740"/>
      <c r="BB175" s="1740"/>
      <c r="BC175" s="1740"/>
      <c r="BD175" s="1740"/>
      <c r="BE175" s="1740"/>
      <c r="BF175" s="1740"/>
      <c r="BG175" s="1740"/>
      <c r="BH175" s="1740"/>
      <c r="BI175" s="1740"/>
      <c r="BJ175" s="1740"/>
      <c r="BK175" s="1740"/>
    </row>
    <row r="176" spans="4:63">
      <c r="D176" s="1740"/>
      <c r="E176" s="1740"/>
      <c r="F176" s="1740"/>
      <c r="G176" s="1740"/>
      <c r="H176" s="1740"/>
      <c r="I176" s="1740"/>
      <c r="J176" s="1740"/>
      <c r="K176" s="1740"/>
      <c r="L176" s="1740"/>
      <c r="M176" s="1740"/>
      <c r="N176" s="1740"/>
      <c r="O176" s="1740"/>
      <c r="P176" s="1740"/>
      <c r="Q176" s="1740"/>
      <c r="R176" s="1740"/>
      <c r="S176" s="1740"/>
      <c r="T176" s="1740"/>
      <c r="U176" s="1740"/>
      <c r="V176" s="1740"/>
      <c r="W176" s="1740"/>
      <c r="X176" s="1740"/>
      <c r="Y176" s="1740"/>
      <c r="Z176" s="1740"/>
      <c r="AA176" s="1740"/>
      <c r="AB176" s="1740"/>
      <c r="AC176" s="1740"/>
      <c r="AD176" s="1740"/>
      <c r="AE176" s="1740"/>
      <c r="AF176" s="1740"/>
      <c r="AG176" s="1740"/>
      <c r="AH176" s="1740"/>
      <c r="AI176" s="1740"/>
      <c r="AJ176" s="1740"/>
      <c r="AK176" s="1740"/>
      <c r="AL176" s="1740"/>
      <c r="AM176" s="1740"/>
      <c r="AN176" s="1740"/>
      <c r="AO176" s="1740"/>
      <c r="AP176" s="1740"/>
      <c r="AQ176" s="1740"/>
      <c r="AR176" s="1740"/>
      <c r="AS176" s="1740"/>
      <c r="AT176" s="1740"/>
      <c r="AU176" s="1740"/>
      <c r="AV176" s="1740"/>
      <c r="AW176" s="1740"/>
      <c r="AX176" s="1740"/>
      <c r="AY176" s="1740"/>
      <c r="AZ176" s="1740"/>
      <c r="BA176" s="1740"/>
      <c r="BB176" s="1740"/>
      <c r="BC176" s="1740"/>
      <c r="BD176" s="1740"/>
      <c r="BE176" s="1740"/>
      <c r="BF176" s="1740"/>
      <c r="BG176" s="1740"/>
      <c r="BH176" s="1740"/>
      <c r="BI176" s="1740"/>
      <c r="BJ176" s="1740"/>
      <c r="BK176" s="1740"/>
    </row>
    <row r="177" spans="4:63">
      <c r="D177" s="1740"/>
      <c r="E177" s="1740"/>
      <c r="F177" s="1740"/>
      <c r="G177" s="1740"/>
      <c r="H177" s="1740"/>
      <c r="I177" s="1740"/>
      <c r="J177" s="1740"/>
      <c r="K177" s="1740"/>
      <c r="L177" s="1740"/>
      <c r="M177" s="1740"/>
      <c r="N177" s="1740"/>
      <c r="O177" s="1740"/>
      <c r="P177" s="1740"/>
      <c r="Q177" s="1740"/>
      <c r="R177" s="1740"/>
      <c r="S177" s="1740"/>
      <c r="T177" s="1740"/>
      <c r="U177" s="1740"/>
      <c r="V177" s="1740"/>
      <c r="W177" s="1740"/>
      <c r="X177" s="1740"/>
      <c r="Y177" s="1740"/>
      <c r="Z177" s="1740"/>
      <c r="AA177" s="1740"/>
      <c r="AB177" s="1740"/>
      <c r="AC177" s="1740"/>
      <c r="AD177" s="1740"/>
      <c r="AE177" s="1740"/>
      <c r="AF177" s="1740"/>
      <c r="AG177" s="1740"/>
      <c r="AH177" s="1740"/>
      <c r="AI177" s="1740"/>
      <c r="AJ177" s="1740"/>
      <c r="AK177" s="1740"/>
      <c r="AL177" s="1740"/>
      <c r="AM177" s="1740"/>
      <c r="AN177" s="1740"/>
      <c r="AO177" s="1740"/>
      <c r="AP177" s="1740"/>
      <c r="AQ177" s="1740"/>
      <c r="AR177" s="1740"/>
      <c r="AS177" s="1740"/>
      <c r="AT177" s="1740"/>
      <c r="AU177" s="1740"/>
      <c r="AV177" s="1740"/>
      <c r="AW177" s="1740"/>
      <c r="AX177" s="1740"/>
      <c r="AY177" s="1740"/>
      <c r="AZ177" s="1740"/>
      <c r="BA177" s="1740"/>
      <c r="BB177" s="1740"/>
      <c r="BC177" s="1740"/>
      <c r="BD177" s="1740"/>
      <c r="BE177" s="1740"/>
      <c r="BF177" s="1740"/>
      <c r="BG177" s="1740"/>
      <c r="BH177" s="1740"/>
      <c r="BI177" s="1740"/>
      <c r="BJ177" s="1740"/>
      <c r="BK177" s="1740"/>
    </row>
  </sheetData>
  <mergeCells count="44">
    <mergeCell ref="Q5:AA5"/>
    <mergeCell ref="AB5:AL5"/>
    <mergeCell ref="AM5:AW5"/>
    <mergeCell ref="AB6:AC6"/>
    <mergeCell ref="Q6:R6"/>
    <mergeCell ref="S6:T6"/>
    <mergeCell ref="U6:V6"/>
    <mergeCell ref="W6:X6"/>
    <mergeCell ref="AA6:AA7"/>
    <mergeCell ref="N6:N7"/>
    <mergeCell ref="O6:O7"/>
    <mergeCell ref="P6:P7"/>
    <mergeCell ref="G6:G7"/>
    <mergeCell ref="Y6:Z6"/>
    <mergeCell ref="BI5:BK5"/>
    <mergeCell ref="BB6:BB7"/>
    <mergeCell ref="B5:B8"/>
    <mergeCell ref="C5:C8"/>
    <mergeCell ref="D5:D8"/>
    <mergeCell ref="G5:K5"/>
    <mergeCell ref="L5:P5"/>
    <mergeCell ref="E6:E7"/>
    <mergeCell ref="F6:F7"/>
    <mergeCell ref="H6:H7"/>
    <mergeCell ref="I6:I7"/>
    <mergeCell ref="J6:J7"/>
    <mergeCell ref="K6:K7"/>
    <mergeCell ref="L6:L7"/>
    <mergeCell ref="BD6:BD7"/>
    <mergeCell ref="M6:M7"/>
    <mergeCell ref="BE6:BE7"/>
    <mergeCell ref="AD6:AE6"/>
    <mergeCell ref="AF6:AG6"/>
    <mergeCell ref="AH6:AI6"/>
    <mergeCell ref="AJ6:AK6"/>
    <mergeCell ref="AL6:AL7"/>
    <mergeCell ref="AM6:AN6"/>
    <mergeCell ref="AO6:AP6"/>
    <mergeCell ref="AQ6:AR6"/>
    <mergeCell ref="AS6:AT6"/>
    <mergeCell ref="AU6:AV6"/>
    <mergeCell ref="AW6:AW7"/>
    <mergeCell ref="BA6:BA7"/>
    <mergeCell ref="BC6:B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BK105"/>
  <sheetViews>
    <sheetView zoomScale="60" zoomScaleNormal="6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K18" sqref="K18"/>
    </sheetView>
  </sheetViews>
  <sheetFormatPr defaultRowHeight="12.75" outlineLevelRow="1" outlineLevelCol="1"/>
  <cols>
    <col min="1" max="1" width="0.85546875" style="1739" customWidth="1"/>
    <col min="2" max="2" width="9.140625" style="1739"/>
    <col min="3" max="3" width="43.5703125" style="1739" customWidth="1"/>
    <col min="4" max="4" width="14.7109375" style="1739" customWidth="1" outlineLevel="1"/>
    <col min="5" max="6" width="13.7109375" style="1739" customWidth="1" outlineLevel="1"/>
    <col min="7" max="7" width="20.140625" style="1739" customWidth="1"/>
    <col min="8" max="8" width="21.140625" style="1739" customWidth="1"/>
    <col min="9" max="9" width="24.28515625" style="1739" customWidth="1"/>
    <col min="10" max="10" width="20.7109375" style="1739" customWidth="1"/>
    <col min="11" max="11" width="17.28515625" style="1739" customWidth="1"/>
    <col min="12" max="12" width="20.140625" style="1739" customWidth="1"/>
    <col min="13" max="13" width="21.140625" style="1739" customWidth="1"/>
    <col min="14" max="14" width="24.28515625" style="1739" customWidth="1"/>
    <col min="15" max="15" width="20.7109375" style="1739" customWidth="1"/>
    <col min="16" max="16" width="17.28515625" style="1739" customWidth="1"/>
    <col min="17" max="18" width="20.140625" style="1739" customWidth="1"/>
    <col min="19" max="20" width="21.140625" style="1739" customWidth="1"/>
    <col min="21" max="22" width="24.28515625" style="1739" customWidth="1"/>
    <col min="23" max="26" width="20.7109375" style="1739" customWidth="1"/>
    <col min="27" max="27" width="17.28515625" style="1739" customWidth="1"/>
    <col min="28" max="29" width="21.5703125" style="1739" customWidth="1"/>
    <col min="30" max="31" width="15.42578125" style="1739" customWidth="1"/>
    <col min="32" max="33" width="25.5703125" style="1739" customWidth="1"/>
    <col min="34" max="37" width="17.5703125" style="1739" customWidth="1"/>
    <col min="38" max="38" width="17.28515625" style="1739" customWidth="1"/>
    <col min="39" max="40" width="16.28515625" style="1739" hidden="1" customWidth="1" outlineLevel="1"/>
    <col min="41" max="42" width="15.42578125" style="1739" hidden="1" customWidth="1" outlineLevel="1"/>
    <col min="43" max="44" width="16.5703125" style="1739" hidden="1" customWidth="1" outlineLevel="1"/>
    <col min="45" max="48" width="17.85546875" style="1739" hidden="1" customWidth="1" outlineLevel="1"/>
    <col min="49" max="49" width="17.5703125" style="1739" hidden="1" customWidth="1" outlineLevel="1"/>
    <col min="50" max="50" width="16.7109375" style="1739" customWidth="1" collapsed="1"/>
    <col min="51" max="51" width="13.140625" style="1739" customWidth="1"/>
    <col min="52" max="52" width="9.140625" style="1739" customWidth="1"/>
    <col min="53" max="57" width="22.7109375" style="1739" customWidth="1"/>
    <col min="58" max="58" width="21.28515625" style="1739" customWidth="1"/>
    <col min="59" max="59" width="10.5703125" style="1739" customWidth="1"/>
    <col min="60" max="60" width="9.140625" style="1739" customWidth="1"/>
    <col min="61" max="61" width="19" style="1739" customWidth="1" outlineLevel="1"/>
    <col min="62" max="62" width="24.85546875" style="1739" customWidth="1" outlineLevel="1"/>
    <col min="63" max="63" width="18" style="1739" customWidth="1" outlineLevel="1"/>
    <col min="64" max="16384" width="9.140625" style="1739"/>
  </cols>
  <sheetData>
    <row r="1" spans="2:63">
      <c r="K1" s="1739">
        <v>183</v>
      </c>
      <c r="P1" s="1739">
        <v>19</v>
      </c>
      <c r="Y1" s="1739">
        <v>6</v>
      </c>
      <c r="Z1" s="1739">
        <v>4</v>
      </c>
      <c r="AA1" s="1739">
        <f>Y1+Z1</f>
        <v>10</v>
      </c>
      <c r="AK1" s="1739">
        <v>1</v>
      </c>
      <c r="AL1" s="1739">
        <f>AJ1+AK1</f>
        <v>1</v>
      </c>
      <c r="BE1" s="1836">
        <f>SUM(K1,P1,AA1,AL1,AW1)</f>
        <v>213</v>
      </c>
      <c r="BI1" s="1740"/>
      <c r="BJ1" s="1740"/>
      <c r="BK1" s="1740"/>
    </row>
    <row r="2" spans="2:63">
      <c r="K2" s="1740">
        <v>1194.6130000000001</v>
      </c>
      <c r="L2" s="1740"/>
      <c r="P2" s="1739">
        <v>93.584000000000003</v>
      </c>
      <c r="Y2" s="1986">
        <f>330.484-P2</f>
        <v>236.89999999999998</v>
      </c>
      <c r="Z2" s="1739">
        <v>255</v>
      </c>
      <c r="AA2" s="1739">
        <f>Y2+Z2</f>
        <v>491.9</v>
      </c>
      <c r="AK2" s="1739">
        <v>160.55000000000001</v>
      </c>
      <c r="AL2" s="1739">
        <f>AJ2+AK2</f>
        <v>160.55000000000001</v>
      </c>
      <c r="BE2" s="1987">
        <f>SUM(K2,P2,AA2,AL2,AW2)</f>
        <v>1940.6470000000002</v>
      </c>
      <c r="BI2" s="1740"/>
      <c r="BJ2" s="1740"/>
      <c r="BK2" s="1740"/>
    </row>
    <row r="3" spans="2:63">
      <c r="C3" s="1739" t="s">
        <v>3771</v>
      </c>
      <c r="G3" s="1740"/>
      <c r="H3" s="1740"/>
      <c r="I3" s="1740"/>
      <c r="J3" s="1740"/>
      <c r="K3" s="1740">
        <f>K21-K2</f>
        <v>1008.3670000000004</v>
      </c>
      <c r="P3" s="1740">
        <f>P21-P2</f>
        <v>163.88599999999991</v>
      </c>
      <c r="Y3" s="1863">
        <f>Y2-Y21</f>
        <v>-254.58000000000004</v>
      </c>
      <c r="Z3" s="1863">
        <f>Z2-Z21</f>
        <v>255</v>
      </c>
      <c r="AA3" s="1863">
        <f>AA2-AA21</f>
        <v>0.41999999999995907</v>
      </c>
      <c r="AK3" s="1863">
        <f t="shared" ref="AK3:AL3" si="0">AK2-AK21</f>
        <v>-3.1299999999999955</v>
      </c>
      <c r="AL3" s="1863">
        <f t="shared" si="0"/>
        <v>-303.13</v>
      </c>
      <c r="AU3" s="1863">
        <f t="shared" ref="AU3:AW3" si="1">AU2-AU21</f>
        <v>0</v>
      </c>
      <c r="AV3" s="1863">
        <f t="shared" si="1"/>
        <v>0</v>
      </c>
      <c r="AW3" s="1863">
        <f t="shared" si="1"/>
        <v>0</v>
      </c>
      <c r="BE3" s="1863">
        <f t="shared" ref="BE3" si="2">BE2-BE21</f>
        <v>-1474.963</v>
      </c>
      <c r="BI3" s="1740"/>
      <c r="BJ3" s="1740"/>
      <c r="BK3" s="1740"/>
    </row>
    <row r="4" spans="2:63">
      <c r="G4" s="1740">
        <f>'[20]C1 2017'!G$25</f>
        <v>355908.50059799006</v>
      </c>
      <c r="H4" s="1740"/>
      <c r="I4" s="1740"/>
      <c r="J4" s="1740"/>
      <c r="K4" s="1740"/>
      <c r="L4" s="1863"/>
      <c r="AA4" s="1739">
        <v>5295150.7705650823</v>
      </c>
      <c r="BI4" s="1740"/>
      <c r="BJ4" s="1740"/>
      <c r="BK4" s="1740"/>
    </row>
    <row r="5" spans="2:63" ht="61.5" customHeight="1">
      <c r="B5" s="3377" t="s">
        <v>3735</v>
      </c>
      <c r="C5" s="3377" t="s">
        <v>3736</v>
      </c>
      <c r="D5" s="3377" t="s">
        <v>3737</v>
      </c>
      <c r="E5" s="1741"/>
      <c r="F5" s="1741"/>
      <c r="G5" s="3378" t="s">
        <v>3738</v>
      </c>
      <c r="H5" s="3379"/>
      <c r="I5" s="3379"/>
      <c r="J5" s="3379"/>
      <c r="K5" s="3380"/>
      <c r="L5" s="3381" t="s">
        <v>3739</v>
      </c>
      <c r="M5" s="3382"/>
      <c r="N5" s="3382"/>
      <c r="O5" s="3382"/>
      <c r="P5" s="3383"/>
      <c r="Q5" s="3384" t="s">
        <v>3740</v>
      </c>
      <c r="R5" s="3385"/>
      <c r="S5" s="3385"/>
      <c r="T5" s="3385"/>
      <c r="U5" s="3385"/>
      <c r="V5" s="3385"/>
      <c r="W5" s="3385"/>
      <c r="X5" s="3385"/>
      <c r="Y5" s="3385"/>
      <c r="Z5" s="3385"/>
      <c r="AA5" s="3386"/>
      <c r="AB5" s="3387" t="s">
        <v>1465</v>
      </c>
      <c r="AC5" s="3387"/>
      <c r="AD5" s="3387"/>
      <c r="AE5" s="3387"/>
      <c r="AF5" s="3387"/>
      <c r="AG5" s="3387"/>
      <c r="AH5" s="3387"/>
      <c r="AI5" s="3387"/>
      <c r="AJ5" s="3387"/>
      <c r="AK5" s="3387"/>
      <c r="AL5" s="3387"/>
      <c r="AM5" s="3388" t="s">
        <v>3741</v>
      </c>
      <c r="AN5" s="3388"/>
      <c r="AO5" s="3388"/>
      <c r="AP5" s="3388"/>
      <c r="AQ5" s="3388"/>
      <c r="AR5" s="3388"/>
      <c r="AS5" s="3388"/>
      <c r="AT5" s="3388"/>
      <c r="AU5" s="3388"/>
      <c r="AV5" s="3388"/>
      <c r="AW5" s="3388"/>
      <c r="BI5" s="3389" t="s">
        <v>3742</v>
      </c>
      <c r="BJ5" s="3390"/>
      <c r="BK5" s="3390"/>
    </row>
    <row r="6" spans="2:63" ht="165" customHeight="1">
      <c r="B6" s="3377"/>
      <c r="C6" s="3377"/>
      <c r="D6" s="3377"/>
      <c r="E6" s="3373" t="s">
        <v>3743</v>
      </c>
      <c r="F6" s="3373" t="s">
        <v>3744</v>
      </c>
      <c r="G6" s="3373" t="s">
        <v>3745</v>
      </c>
      <c r="H6" s="3373" t="s">
        <v>3746</v>
      </c>
      <c r="I6" s="3373" t="s">
        <v>3747</v>
      </c>
      <c r="J6" s="3373" t="s">
        <v>3748</v>
      </c>
      <c r="K6" s="3373" t="s">
        <v>1501</v>
      </c>
      <c r="L6" s="3373" t="s">
        <v>3745</v>
      </c>
      <c r="M6" s="3373" t="s">
        <v>3746</v>
      </c>
      <c r="N6" s="3373" t="s">
        <v>3747</v>
      </c>
      <c r="O6" s="3373" t="s">
        <v>3748</v>
      </c>
      <c r="P6" s="3373" t="s">
        <v>1501</v>
      </c>
      <c r="Q6" s="3371" t="s">
        <v>3745</v>
      </c>
      <c r="R6" s="3372"/>
      <c r="S6" s="3371" t="s">
        <v>3746</v>
      </c>
      <c r="T6" s="3372"/>
      <c r="U6" s="3371" t="s">
        <v>3747</v>
      </c>
      <c r="V6" s="3372"/>
      <c r="W6" s="3371" t="s">
        <v>3748</v>
      </c>
      <c r="X6" s="3372"/>
      <c r="Y6" s="3371" t="s">
        <v>2559</v>
      </c>
      <c r="Z6" s="3372"/>
      <c r="AA6" s="3375" t="s">
        <v>1501</v>
      </c>
      <c r="AB6" s="3371" t="s">
        <v>3745</v>
      </c>
      <c r="AC6" s="3372"/>
      <c r="AD6" s="3371" t="s">
        <v>3746</v>
      </c>
      <c r="AE6" s="3372"/>
      <c r="AF6" s="3371" t="s">
        <v>3747</v>
      </c>
      <c r="AG6" s="3372"/>
      <c r="AH6" s="3371" t="s">
        <v>3748</v>
      </c>
      <c r="AI6" s="3372"/>
      <c r="AJ6" s="3371" t="s">
        <v>2559</v>
      </c>
      <c r="AK6" s="3372"/>
      <c r="AL6" s="3375" t="s">
        <v>1501</v>
      </c>
      <c r="AM6" s="3371" t="s">
        <v>3745</v>
      </c>
      <c r="AN6" s="3372"/>
      <c r="AO6" s="3371" t="s">
        <v>3746</v>
      </c>
      <c r="AP6" s="3372"/>
      <c r="AQ6" s="3371" t="s">
        <v>3747</v>
      </c>
      <c r="AR6" s="3372"/>
      <c r="AS6" s="3371" t="s">
        <v>3748</v>
      </c>
      <c r="AT6" s="3372"/>
      <c r="AU6" s="3371" t="s">
        <v>2559</v>
      </c>
      <c r="AV6" s="3372"/>
      <c r="AW6" s="3375" t="s">
        <v>1501</v>
      </c>
      <c r="BA6" s="3373" t="s">
        <v>3745</v>
      </c>
      <c r="BB6" s="3373" t="s">
        <v>3746</v>
      </c>
      <c r="BC6" s="3373" t="s">
        <v>3747</v>
      </c>
      <c r="BD6" s="3373" t="s">
        <v>3748</v>
      </c>
      <c r="BE6" s="3373" t="s">
        <v>1501</v>
      </c>
      <c r="BI6" s="1742" t="s">
        <v>3749</v>
      </c>
      <c r="BJ6" s="1742" t="s">
        <v>3750</v>
      </c>
      <c r="BK6" s="1741" t="s">
        <v>1501</v>
      </c>
    </row>
    <row r="7" spans="2:63" ht="15.75">
      <c r="B7" s="3377"/>
      <c r="C7" s="3377"/>
      <c r="D7" s="3377"/>
      <c r="E7" s="3374"/>
      <c r="F7" s="3374"/>
      <c r="G7" s="3374"/>
      <c r="H7" s="3374"/>
      <c r="I7" s="3374"/>
      <c r="J7" s="3374"/>
      <c r="K7" s="3374"/>
      <c r="L7" s="3374"/>
      <c r="M7" s="3374"/>
      <c r="N7" s="3374"/>
      <c r="O7" s="3374"/>
      <c r="P7" s="3374"/>
      <c r="Q7" s="1743" t="s">
        <v>2938</v>
      </c>
      <c r="R7" s="1744" t="s">
        <v>3682</v>
      </c>
      <c r="S7" s="1743" t="s">
        <v>2938</v>
      </c>
      <c r="T7" s="1744" t="s">
        <v>3682</v>
      </c>
      <c r="U7" s="1743" t="s">
        <v>2938</v>
      </c>
      <c r="V7" s="1744" t="s">
        <v>3682</v>
      </c>
      <c r="W7" s="1743" t="s">
        <v>2938</v>
      </c>
      <c r="X7" s="1744" t="s">
        <v>3682</v>
      </c>
      <c r="Y7" s="1743" t="s">
        <v>2938</v>
      </c>
      <c r="Z7" s="1744" t="s">
        <v>3682</v>
      </c>
      <c r="AA7" s="3376"/>
      <c r="AB7" s="1743" t="s">
        <v>2938</v>
      </c>
      <c r="AC7" s="1744" t="s">
        <v>3682</v>
      </c>
      <c r="AD7" s="1743" t="s">
        <v>2938</v>
      </c>
      <c r="AE7" s="1744" t="s">
        <v>3682</v>
      </c>
      <c r="AF7" s="1743" t="s">
        <v>2938</v>
      </c>
      <c r="AG7" s="1744" t="s">
        <v>3682</v>
      </c>
      <c r="AH7" s="1743" t="s">
        <v>2938</v>
      </c>
      <c r="AI7" s="1744" t="s">
        <v>3682</v>
      </c>
      <c r="AJ7" s="1743" t="s">
        <v>2938</v>
      </c>
      <c r="AK7" s="1744" t="s">
        <v>3682</v>
      </c>
      <c r="AL7" s="3376"/>
      <c r="AM7" s="1744" t="s">
        <v>3682</v>
      </c>
      <c r="AN7" s="1744" t="s">
        <v>3751</v>
      </c>
      <c r="AO7" s="1744" t="s">
        <v>3682</v>
      </c>
      <c r="AP7" s="1744" t="s">
        <v>3751</v>
      </c>
      <c r="AQ7" s="1744" t="s">
        <v>3682</v>
      </c>
      <c r="AR7" s="1744" t="s">
        <v>3751</v>
      </c>
      <c r="AS7" s="1744" t="s">
        <v>3682</v>
      </c>
      <c r="AT7" s="1744" t="s">
        <v>3751</v>
      </c>
      <c r="AU7" s="1744" t="s">
        <v>3682</v>
      </c>
      <c r="AV7" s="1744" t="s">
        <v>3751</v>
      </c>
      <c r="AW7" s="3376"/>
      <c r="BA7" s="3374"/>
      <c r="BB7" s="3374"/>
      <c r="BC7" s="3374"/>
      <c r="BD7" s="3374"/>
      <c r="BE7" s="3374"/>
      <c r="BI7" s="1743"/>
      <c r="BJ7" s="1743"/>
      <c r="BK7" s="1743"/>
    </row>
    <row r="8" spans="2:63" ht="22.5" customHeight="1">
      <c r="B8" s="3377"/>
      <c r="C8" s="3377"/>
      <c r="D8" s="3377"/>
      <c r="E8" s="1741" t="s">
        <v>3581</v>
      </c>
      <c r="F8" s="1741" t="s">
        <v>2552</v>
      </c>
      <c r="G8" s="1741" t="s">
        <v>2555</v>
      </c>
      <c r="H8" s="1741" t="s">
        <v>2555</v>
      </c>
      <c r="I8" s="1741" t="s">
        <v>2555</v>
      </c>
      <c r="J8" s="1741" t="s">
        <v>2555</v>
      </c>
      <c r="K8" s="1741" t="s">
        <v>2555</v>
      </c>
      <c r="L8" s="1741" t="s">
        <v>2555</v>
      </c>
      <c r="M8" s="1741" t="s">
        <v>2555</v>
      </c>
      <c r="N8" s="1741" t="s">
        <v>2555</v>
      </c>
      <c r="O8" s="1741" t="s">
        <v>2555</v>
      </c>
      <c r="P8" s="1741" t="s">
        <v>2555</v>
      </c>
      <c r="Q8" s="1741" t="s">
        <v>2555</v>
      </c>
      <c r="R8" s="1741" t="s">
        <v>2555</v>
      </c>
      <c r="S8" s="1741" t="s">
        <v>2555</v>
      </c>
      <c r="T8" s="1741" t="s">
        <v>2555</v>
      </c>
      <c r="U8" s="1741" t="s">
        <v>2555</v>
      </c>
      <c r="V8" s="1741" t="s">
        <v>2555</v>
      </c>
      <c r="W8" s="1741" t="s">
        <v>2555</v>
      </c>
      <c r="X8" s="1741" t="s">
        <v>2555</v>
      </c>
      <c r="Y8" s="1741" t="s">
        <v>2555</v>
      </c>
      <c r="Z8" s="1741" t="s">
        <v>2555</v>
      </c>
      <c r="AA8" s="1741" t="s">
        <v>2555</v>
      </c>
      <c r="AB8" s="1741" t="s">
        <v>2555</v>
      </c>
      <c r="AC8" s="1741" t="s">
        <v>2555</v>
      </c>
      <c r="AD8" s="1741" t="s">
        <v>2555</v>
      </c>
      <c r="AE8" s="1741" t="s">
        <v>2555</v>
      </c>
      <c r="AF8" s="1741" t="s">
        <v>2555</v>
      </c>
      <c r="AG8" s="1741" t="s">
        <v>2555</v>
      </c>
      <c r="AH8" s="1741" t="s">
        <v>2555</v>
      </c>
      <c r="AI8" s="1741" t="s">
        <v>2555</v>
      </c>
      <c r="AJ8" s="1741" t="s">
        <v>2555</v>
      </c>
      <c r="AK8" s="1741" t="s">
        <v>2555</v>
      </c>
      <c r="AL8" s="1741" t="s">
        <v>2555</v>
      </c>
      <c r="AM8" s="1741" t="s">
        <v>2555</v>
      </c>
      <c r="AN8" s="1741" t="s">
        <v>2555</v>
      </c>
      <c r="AO8" s="1741" t="s">
        <v>2555</v>
      </c>
      <c r="AP8" s="1741" t="s">
        <v>2555</v>
      </c>
      <c r="AQ8" s="1741" t="s">
        <v>2555</v>
      </c>
      <c r="AR8" s="1741" t="s">
        <v>2555</v>
      </c>
      <c r="AS8" s="1741" t="s">
        <v>2555</v>
      </c>
      <c r="AT8" s="1741" t="s">
        <v>2555</v>
      </c>
      <c r="AU8" s="1741" t="s">
        <v>2555</v>
      </c>
      <c r="AV8" s="1741" t="s">
        <v>2555</v>
      </c>
      <c r="AW8" s="1741" t="s">
        <v>2555</v>
      </c>
      <c r="BA8" s="1741" t="s">
        <v>2555</v>
      </c>
      <c r="BB8" s="1741" t="s">
        <v>2555</v>
      </c>
      <c r="BC8" s="1741" t="s">
        <v>2555</v>
      </c>
      <c r="BD8" s="1741" t="s">
        <v>2555</v>
      </c>
      <c r="BE8" s="1741" t="s">
        <v>2555</v>
      </c>
    </row>
    <row r="9" spans="2:63" ht="15.75">
      <c r="B9" s="1743">
        <v>1</v>
      </c>
      <c r="C9" s="1743">
        <f>B9+1</f>
        <v>2</v>
      </c>
      <c r="D9" s="1743">
        <f t="shared" ref="D9:AM9" si="3">C9+1</f>
        <v>3</v>
      </c>
      <c r="E9" s="1743">
        <f t="shared" si="3"/>
        <v>4</v>
      </c>
      <c r="F9" s="1743">
        <f t="shared" si="3"/>
        <v>5</v>
      </c>
      <c r="G9" s="1743">
        <f t="shared" si="3"/>
        <v>6</v>
      </c>
      <c r="H9" s="1743">
        <f t="shared" si="3"/>
        <v>7</v>
      </c>
      <c r="I9" s="1743">
        <f t="shared" si="3"/>
        <v>8</v>
      </c>
      <c r="J9" s="1743">
        <f t="shared" si="3"/>
        <v>9</v>
      </c>
      <c r="K9" s="1743">
        <f t="shared" si="3"/>
        <v>10</v>
      </c>
      <c r="L9" s="1743">
        <f t="shared" si="3"/>
        <v>11</v>
      </c>
      <c r="M9" s="1743">
        <f t="shared" si="3"/>
        <v>12</v>
      </c>
      <c r="N9" s="1743">
        <f t="shared" si="3"/>
        <v>13</v>
      </c>
      <c r="O9" s="1743">
        <f t="shared" si="3"/>
        <v>14</v>
      </c>
      <c r="P9" s="1743">
        <f t="shared" si="3"/>
        <v>15</v>
      </c>
      <c r="Q9" s="1743">
        <f t="shared" si="3"/>
        <v>16</v>
      </c>
      <c r="R9" s="1743"/>
      <c r="S9" s="1743">
        <f>Q9+1</f>
        <v>17</v>
      </c>
      <c r="T9" s="1743"/>
      <c r="U9" s="1743">
        <f>S9+1</f>
        <v>18</v>
      </c>
      <c r="V9" s="1743"/>
      <c r="W9" s="1743">
        <f>U9+1</f>
        <v>19</v>
      </c>
      <c r="X9" s="1743"/>
      <c r="Y9" s="1743"/>
      <c r="Z9" s="1743"/>
      <c r="AA9" s="1743">
        <f>W9+1</f>
        <v>20</v>
      </c>
      <c r="AB9" s="1743">
        <f t="shared" si="3"/>
        <v>21</v>
      </c>
      <c r="AC9" s="1743"/>
      <c r="AD9" s="1743">
        <f>AB9+1</f>
        <v>22</v>
      </c>
      <c r="AE9" s="1743"/>
      <c r="AF9" s="1743">
        <f>AD9+1</f>
        <v>23</v>
      </c>
      <c r="AG9" s="1743"/>
      <c r="AH9" s="1743">
        <f>AF9+1</f>
        <v>24</v>
      </c>
      <c r="AI9" s="1743"/>
      <c r="AJ9" s="1743"/>
      <c r="AK9" s="1743"/>
      <c r="AL9" s="1743">
        <f>AH9+1</f>
        <v>25</v>
      </c>
      <c r="AM9" s="1743">
        <f t="shared" si="3"/>
        <v>26</v>
      </c>
      <c r="AN9" s="1743"/>
      <c r="AO9" s="1743">
        <f>AM9+1</f>
        <v>27</v>
      </c>
      <c r="AP9" s="1743"/>
      <c r="AQ9" s="1743">
        <f>AO9+1</f>
        <v>28</v>
      </c>
      <c r="AR9" s="1743"/>
      <c r="AS9" s="1743">
        <f>AQ9+1</f>
        <v>29</v>
      </c>
      <c r="AT9" s="1743"/>
      <c r="AU9" s="1743"/>
      <c r="AV9" s="1743"/>
      <c r="AW9" s="1743">
        <f>AS9+1</f>
        <v>30</v>
      </c>
    </row>
    <row r="10" spans="2:63" ht="15.75">
      <c r="B10" s="1745"/>
      <c r="C10" s="1746" t="s">
        <v>2936</v>
      </c>
      <c r="D10" s="1747"/>
      <c r="E10" s="1748"/>
      <c r="F10" s="1749"/>
      <c r="G10" s="1750"/>
      <c r="H10" s="1751"/>
      <c r="I10" s="1751"/>
      <c r="J10" s="1751"/>
      <c r="K10" s="1752"/>
      <c r="L10" s="1750"/>
      <c r="M10" s="1751"/>
      <c r="N10" s="1751"/>
      <c r="O10" s="1751"/>
      <c r="P10" s="1752"/>
      <c r="Q10" s="1750"/>
      <c r="R10" s="1753"/>
      <c r="S10" s="1751"/>
      <c r="T10" s="1751"/>
      <c r="U10" s="1751"/>
      <c r="V10" s="1751"/>
      <c r="W10" s="1751"/>
      <c r="X10" s="1754"/>
      <c r="Y10" s="1754"/>
      <c r="Z10" s="1754"/>
      <c r="AA10" s="1752"/>
      <c r="AB10" s="1750"/>
      <c r="AC10" s="1753"/>
      <c r="AD10" s="1751"/>
      <c r="AE10" s="1751"/>
      <c r="AF10" s="1751"/>
      <c r="AG10" s="1751"/>
      <c r="AH10" s="1751"/>
      <c r="AI10" s="1754"/>
      <c r="AJ10" s="1754"/>
      <c r="AK10" s="1754"/>
      <c r="AL10" s="1752"/>
      <c r="AM10" s="1750"/>
      <c r="AN10" s="1753"/>
      <c r="AO10" s="1751"/>
      <c r="AP10" s="1751"/>
      <c r="AQ10" s="1751"/>
      <c r="AR10" s="1751"/>
      <c r="AS10" s="1751"/>
      <c r="AT10" s="1754"/>
      <c r="AU10" s="1754"/>
      <c r="AV10" s="1754"/>
      <c r="AW10" s="1752"/>
      <c r="AX10" s="1740"/>
      <c r="AY10" s="1740"/>
      <c r="AZ10" s="1740"/>
      <c r="BA10" s="1740"/>
      <c r="BB10" s="1740"/>
      <c r="BC10" s="1740"/>
      <c r="BD10" s="1740"/>
      <c r="BE10" s="1740"/>
      <c r="BF10" s="1740"/>
      <c r="BG10" s="1740"/>
      <c r="BH10" s="1740"/>
      <c r="BI10" s="1740"/>
      <c r="BJ10" s="1740"/>
      <c r="BK10" s="1740"/>
    </row>
    <row r="11" spans="2:63" ht="15.75">
      <c r="B11" s="1872">
        <v>1</v>
      </c>
      <c r="C11" s="1988" t="s">
        <v>3752</v>
      </c>
      <c r="D11" s="1989"/>
      <c r="E11" s="1990"/>
      <c r="F11" s="1989"/>
      <c r="G11" s="1991">
        <f>'[38]К 1'!$M$69</f>
        <v>508.74192656935412</v>
      </c>
      <c r="H11" s="1760">
        <f>'[38]К 2'!$M$50</f>
        <v>531.60618527039128</v>
      </c>
      <c r="I11" s="1761"/>
      <c r="J11" s="1760">
        <f>'[38]К 4'!$M$39</f>
        <v>2165.6298858805048</v>
      </c>
      <c r="K11" s="1885">
        <f>SUM(G11:J11)</f>
        <v>3205.9779977202502</v>
      </c>
      <c r="L11" s="1992">
        <f>G11</f>
        <v>508.74192656935412</v>
      </c>
      <c r="M11" s="1764">
        <f>H11</f>
        <v>531.60618527039128</v>
      </c>
      <c r="N11" s="1764">
        <f>I11</f>
        <v>0</v>
      </c>
      <c r="O11" s="1764">
        <f>J11</f>
        <v>2165.6298858805048</v>
      </c>
      <c r="P11" s="1885">
        <f>SUM(L11:O11)</f>
        <v>3205.9779977202502</v>
      </c>
      <c r="Q11" s="1991">
        <f>'[38]К 1'!$N$69</f>
        <v>2411.3760418553161</v>
      </c>
      <c r="R11" s="1993">
        <f>'[38]К 1'!$P$69</f>
        <v>2892.385521213831</v>
      </c>
      <c r="S11" s="1760">
        <f>'[38]К 2'!$N$50</f>
        <v>1693.8293964530328</v>
      </c>
      <c r="T11" s="1760">
        <f>'[38]К 2'!$P$50</f>
        <v>2605.3733539709306</v>
      </c>
      <c r="U11" s="1761"/>
      <c r="V11" s="1761"/>
      <c r="W11" s="1760">
        <f>'[38]К 4'!$N$39</f>
        <v>4189.8875774363569</v>
      </c>
      <c r="X11" s="1760">
        <f>'[38]К 4'!$P$39</f>
        <v>5668.0318819626063</v>
      </c>
      <c r="Y11" s="1882">
        <f>SUM(Q11,S11,U11,W11)</f>
        <v>8295.0930157447056</v>
      </c>
      <c r="Z11" s="1882">
        <f>SUM(R11,T11,V11,X11)</f>
        <v>11165.790757147368</v>
      </c>
      <c r="AA11" s="1885">
        <f>SUM(Q11:X11)</f>
        <v>19460.883772892073</v>
      </c>
      <c r="AB11" s="1991">
        <f>'[38]К 1'!$O$69</f>
        <v>2585.4462356708073</v>
      </c>
      <c r="AC11" s="1993">
        <f>'[38]К 1'!$Q$69</f>
        <v>2293.2413340174512</v>
      </c>
      <c r="AD11" s="1760">
        <f>'[38]К 2'!$O$50</f>
        <v>2295.0263364710454</v>
      </c>
      <c r="AE11" s="1760">
        <f>'[38]К 2'!$Q$50</f>
        <v>2216.4132056852577</v>
      </c>
      <c r="AF11" s="1761"/>
      <c r="AG11" s="1760"/>
      <c r="AH11" s="1760">
        <f>'[38]К 4'!$O$39</f>
        <v>4232.0785445213087</v>
      </c>
      <c r="AI11" s="1994">
        <f>'[38]К 4'!$Q$39</f>
        <v>5668.0318819626063</v>
      </c>
      <c r="AJ11" s="1882">
        <f>SUM(AB11,AD11,AF11,AH11)</f>
        <v>9112.5511166631622</v>
      </c>
      <c r="AK11" s="1882">
        <f>SUM(AC11,AE11,AG11,AI11)</f>
        <v>10177.686421665316</v>
      </c>
      <c r="AL11" s="1885">
        <f>SUM(AB11:AI11)</f>
        <v>19290.237538328474</v>
      </c>
      <c r="AM11" s="1991">
        <f>'[38]К 1'!$R$69</f>
        <v>18585.924252025343</v>
      </c>
      <c r="AN11" s="1993">
        <f>'[38]К 1'!$S$69</f>
        <v>18585.924252025343</v>
      </c>
      <c r="AO11" s="1760">
        <f>'[38]К 2'!$R$50</f>
        <v>11126.366543865486</v>
      </c>
      <c r="AP11" s="1760">
        <f>'[38]К 2'!$S$50</f>
        <v>11126.366543865486</v>
      </c>
      <c r="AQ11" s="1760">
        <f>'[38]К 3'!$L$18</f>
        <v>4089.27834823378</v>
      </c>
      <c r="AR11" s="1760">
        <f>'[38]К 3'!$M$18</f>
        <v>4089.27834823378</v>
      </c>
      <c r="AS11" s="1760">
        <f>'[38]К 4'!$R$39</f>
        <v>11358.003066809388</v>
      </c>
      <c r="AT11" s="1994">
        <f>'[38]К 4'!$S$39</f>
        <v>11864.294671828808</v>
      </c>
      <c r="AU11" s="1882">
        <f>SUM(AM11,AO11,AQ11,AS11)</f>
        <v>45159.572210933999</v>
      </c>
      <c r="AV11" s="1882">
        <f>SUM(AN11,AP11,AR11,AT11)</f>
        <v>45665.863815953417</v>
      </c>
      <c r="AW11" s="1885">
        <f>SUM(AM11:AT11)</f>
        <v>90825.436026887415</v>
      </c>
      <c r="AX11" s="1740"/>
      <c r="AY11" s="1740"/>
      <c r="AZ11" s="1740"/>
      <c r="BA11" s="1740"/>
      <c r="BB11" s="1740"/>
      <c r="BC11" s="1740"/>
      <c r="BD11" s="1740"/>
      <c r="BE11" s="1740"/>
      <c r="BF11" s="1740"/>
      <c r="BG11" s="1740"/>
      <c r="BH11" s="1740"/>
      <c r="BI11" s="1768"/>
      <c r="BJ11" s="1768"/>
      <c r="BK11" s="1769">
        <f t="shared" ref="BK11:BK24" si="4">SUM(BI11:BJ11)</f>
        <v>0</v>
      </c>
    </row>
    <row r="12" spans="2:63" ht="15.75">
      <c r="B12" s="1872">
        <f>B11+1</f>
        <v>2</v>
      </c>
      <c r="C12" s="1995" t="s">
        <v>3753</v>
      </c>
      <c r="D12" s="1996"/>
      <c r="E12" s="1997"/>
      <c r="F12" s="1996"/>
      <c r="G12" s="1998">
        <f>SUM(G13:G15)</f>
        <v>26.953175784615844</v>
      </c>
      <c r="H12" s="1776">
        <f>SUM(H13:H15)</f>
        <v>61.992304304616432</v>
      </c>
      <c r="I12" s="1776">
        <f t="shared" ref="I12" si="5">SUM(I13:I15)</f>
        <v>0</v>
      </c>
      <c r="J12" s="1776">
        <f>SUM(J13:J15)</f>
        <v>247.96921721846576</v>
      </c>
      <c r="K12" s="1885">
        <f t="shared" ref="K12:K15" si="6">SUM(G12:J12)</f>
        <v>336.91469730769802</v>
      </c>
      <c r="L12" s="1998">
        <f>SUM(L13:L15)</f>
        <v>26.953175784615844</v>
      </c>
      <c r="M12" s="1776">
        <f>SUM(M13:M15)</f>
        <v>61.992304304616432</v>
      </c>
      <c r="N12" s="1776">
        <f t="shared" ref="N12:O12" si="7">SUM(N13:N15)</f>
        <v>0</v>
      </c>
      <c r="O12" s="1776">
        <f t="shared" si="7"/>
        <v>247.96921721846576</v>
      </c>
      <c r="P12" s="1885">
        <f>SUM(L12:O12)</f>
        <v>336.91469730769802</v>
      </c>
      <c r="Q12" s="1998">
        <f>SUM(Q13:Q15)</f>
        <v>107.81270313846338</v>
      </c>
      <c r="R12" s="1776">
        <f>SUM(R13:R15)</f>
        <v>113.20333829538654</v>
      </c>
      <c r="S12" s="1998">
        <f>SUM(S13:S15)</f>
        <v>113.20333829538654</v>
      </c>
      <c r="T12" s="1776">
        <f>SUM(T13:T15)</f>
        <v>159.0237371292335</v>
      </c>
      <c r="U12" s="1776">
        <f t="shared" ref="U12:X12" si="8">SUM(U13:U15)</f>
        <v>0</v>
      </c>
      <c r="V12" s="1776">
        <f t="shared" si="8"/>
        <v>0</v>
      </c>
      <c r="W12" s="1776">
        <f t="shared" si="8"/>
        <v>371.90433659712244</v>
      </c>
      <c r="X12" s="1776">
        <f t="shared" si="8"/>
        <v>592.96986726154853</v>
      </c>
      <c r="Y12" s="1882">
        <f t="shared" ref="Y12:Z16" si="9">SUM(Q12,S12,U12,W12)</f>
        <v>592.92037803097242</v>
      </c>
      <c r="Z12" s="1882">
        <f t="shared" si="9"/>
        <v>865.19694268616854</v>
      </c>
      <c r="AA12" s="1885">
        <f>SUM(Q12:X12)</f>
        <v>1458.117320717141</v>
      </c>
      <c r="AB12" s="1876">
        <f>SUM(AB13:AB15)</f>
        <v>113.20333829538654</v>
      </c>
      <c r="AC12" s="1888">
        <f t="shared" ref="AC12:AI12" si="10">SUM(AC13:AC15)</f>
        <v>107.81270313846338</v>
      </c>
      <c r="AD12" s="1779">
        <f t="shared" si="10"/>
        <v>113.20333829538654</v>
      </c>
      <c r="AE12" s="1779">
        <f t="shared" si="10"/>
        <v>137.46119650154077</v>
      </c>
      <c r="AF12" s="1776"/>
      <c r="AG12" s="1776"/>
      <c r="AH12" s="1779">
        <f t="shared" si="10"/>
        <v>431.25081255385351</v>
      </c>
      <c r="AI12" s="1882">
        <f t="shared" si="10"/>
        <v>592.96986726154853</v>
      </c>
      <c r="AJ12" s="1882">
        <f>SUM(AB12,AD12,AF12,AH12)</f>
        <v>657.65748914462665</v>
      </c>
      <c r="AK12" s="1882">
        <f t="shared" ref="AK12:AK15" si="11">SUM(AC12,AE12,AG12,AI12)</f>
        <v>838.2437669015527</v>
      </c>
      <c r="AL12" s="1885">
        <f>SUM(AB12:AI12)</f>
        <v>1495.9012560461792</v>
      </c>
      <c r="AM12" s="1876">
        <f t="shared" ref="AM12:AT12" si="12">SUM(AM13:AM15)</f>
        <v>107.81270313846338</v>
      </c>
      <c r="AN12" s="1888">
        <f t="shared" si="12"/>
        <v>107.81270313846338</v>
      </c>
      <c r="AO12" s="1779">
        <f t="shared" si="12"/>
        <v>242.57858206154259</v>
      </c>
      <c r="AP12" s="1779">
        <f t="shared" si="12"/>
        <v>242.57858206154259</v>
      </c>
      <c r="AQ12" s="1776">
        <f t="shared" si="12"/>
        <v>323.4381094153901</v>
      </c>
      <c r="AR12" s="1776">
        <f t="shared" si="12"/>
        <v>323.4381094153901</v>
      </c>
      <c r="AS12" s="1779">
        <f t="shared" si="12"/>
        <v>1239.8460860923287</v>
      </c>
      <c r="AT12" s="1882">
        <f t="shared" si="12"/>
        <v>1203.3945803927238</v>
      </c>
      <c r="AU12" s="1882">
        <f>SUM(AM12,AO12,AQ12,AS12)</f>
        <v>1913.6754807077248</v>
      </c>
      <c r="AV12" s="1882">
        <f t="shared" ref="AV12:AV15" si="13">SUM(AN12,AP12,AR12,AT12)</f>
        <v>1877.2239750081199</v>
      </c>
      <c r="AW12" s="1885">
        <f>SUM(AM12:AT12)</f>
        <v>3790.8994557158449</v>
      </c>
      <c r="AX12" s="1740"/>
      <c r="AY12" s="1740"/>
      <c r="AZ12" s="1740"/>
      <c r="BA12" s="1740"/>
      <c r="BB12" s="1740"/>
      <c r="BC12" s="1740"/>
      <c r="BD12" s="1740"/>
      <c r="BE12" s="1740"/>
      <c r="BF12" s="1740"/>
      <c r="BG12" s="1740"/>
      <c r="BH12" s="1740"/>
      <c r="BI12" s="1768"/>
      <c r="BJ12" s="1768"/>
      <c r="BK12" s="1769">
        <f t="shared" si="4"/>
        <v>0</v>
      </c>
    </row>
    <row r="13" spans="2:63" ht="15.75">
      <c r="B13" s="1872"/>
      <c r="C13" s="1999" t="s">
        <v>1479</v>
      </c>
      <c r="D13" s="1996"/>
      <c r="E13" s="1997"/>
      <c r="F13" s="1996"/>
      <c r="G13" s="2000">
        <f>[38]прямые!$E$11</f>
        <v>18.225752849802454</v>
      </c>
      <c r="H13" s="1784">
        <f>[38]прямые!$E$15</f>
        <v>41.91923155454564</v>
      </c>
      <c r="I13" s="1785"/>
      <c r="J13" s="1784">
        <f>[38]прямые!$E$23</f>
        <v>167.67692621818259</v>
      </c>
      <c r="K13" s="1885">
        <f>SUM(G13:J13)</f>
        <v>227.82191062253068</v>
      </c>
      <c r="L13" s="1992">
        <f t="shared" ref="L13:O16" si="14">G13</f>
        <v>18.225752849802454</v>
      </c>
      <c r="M13" s="1764">
        <f t="shared" si="14"/>
        <v>41.91923155454564</v>
      </c>
      <c r="N13" s="1764">
        <f t="shared" si="14"/>
        <v>0</v>
      </c>
      <c r="O13" s="1764">
        <f t="shared" si="14"/>
        <v>167.67692621818259</v>
      </c>
      <c r="P13" s="1885">
        <f t="shared" ref="P13:P16" si="15">SUM(L13:O13)</f>
        <v>227.82191062253068</v>
      </c>
      <c r="Q13" s="1991">
        <f>[38]прямые!$F$11</f>
        <v>72.903011399209817</v>
      </c>
      <c r="R13" s="1993">
        <f>[38]прямые!$H$11</f>
        <v>76.548161969170309</v>
      </c>
      <c r="S13" s="1760">
        <f>[38]прямые!$F$15</f>
        <v>76.548161969170309</v>
      </c>
      <c r="T13" s="1760">
        <f>[38]прямые!$H$15</f>
        <v>107.53194181383449</v>
      </c>
      <c r="U13" s="1784"/>
      <c r="V13" s="1784"/>
      <c r="W13" s="1760">
        <f>[38]прямые!$F$23</f>
        <v>291.61204559683927</v>
      </c>
      <c r="X13" s="1994">
        <f>[38]прямые!$H$23</f>
        <v>400.96656269565398</v>
      </c>
      <c r="Y13" s="1882">
        <f t="shared" si="9"/>
        <v>441.06321896521939</v>
      </c>
      <c r="Z13" s="1882">
        <f t="shared" si="9"/>
        <v>585.04666647865884</v>
      </c>
      <c r="AA13" s="1885">
        <f t="shared" ref="AA13:AA15" si="16">SUM(Q13:X13)</f>
        <v>1026.1098854438781</v>
      </c>
      <c r="AB13" s="1991">
        <f>[38]прямые!$G$11</f>
        <v>76.548161969170309</v>
      </c>
      <c r="AC13" s="1993">
        <f>[38]прямые!$I$11</f>
        <v>72.903011399209817</v>
      </c>
      <c r="AD13" s="1760">
        <f>[38]прямые!$G$15</f>
        <v>76.548161969170309</v>
      </c>
      <c r="AE13" s="1760">
        <f>[38]прямые!$I$15</f>
        <v>92.95133953399251</v>
      </c>
      <c r="AF13" s="1784"/>
      <c r="AG13" s="1784"/>
      <c r="AH13" s="1760">
        <f>[38]прямые!$G$23</f>
        <v>291.61204559683927</v>
      </c>
      <c r="AI13" s="1994">
        <f>[38]прямые!$I$23</f>
        <v>400.96656269565398</v>
      </c>
      <c r="AJ13" s="1882">
        <f t="shared" ref="AJ13:AJ14" si="17">SUM(AB13,AD13,AF13,AH13)</f>
        <v>444.70836953517988</v>
      </c>
      <c r="AK13" s="1882">
        <f t="shared" si="11"/>
        <v>566.82091362885626</v>
      </c>
      <c r="AL13" s="1885">
        <f t="shared" ref="AL13:AL15" si="18">SUM(AB13:AI13)</f>
        <v>1011.5292831640361</v>
      </c>
      <c r="AM13" s="1991">
        <f>[38]прямые!$J$11</f>
        <v>72.903011399209817</v>
      </c>
      <c r="AN13" s="1993">
        <f>[38]прямые!$K$11</f>
        <v>72.903011399209817</v>
      </c>
      <c r="AO13" s="1760">
        <f>[38]прямые!$J$15</f>
        <v>164.03177564822209</v>
      </c>
      <c r="AP13" s="1760">
        <f>[38]прямые!$K$15</f>
        <v>164.03177564822209</v>
      </c>
      <c r="AQ13" s="1760">
        <f>[38]прямые!$J$19</f>
        <v>218.70903419762945</v>
      </c>
      <c r="AR13" s="1760">
        <f>[38]прямые!$K$19</f>
        <v>218.70903419762945</v>
      </c>
      <c r="AS13" s="1760">
        <f>[38]прямые!$J$23</f>
        <v>838.38463109091288</v>
      </c>
      <c r="AT13" s="1760">
        <f>[38]прямые!$K$23</f>
        <v>801.93312539130795</v>
      </c>
      <c r="AU13" s="1882">
        <f t="shared" ref="AU13:AU14" si="19">SUM(AM13,AO13,AQ13,AS13)</f>
        <v>1294.0284523359742</v>
      </c>
      <c r="AV13" s="1882">
        <f t="shared" si="13"/>
        <v>1257.5769466363693</v>
      </c>
      <c r="AW13" s="1885">
        <f t="shared" ref="AW13:AW15" si="20">SUM(AM13:AT13)</f>
        <v>2551.6053989723437</v>
      </c>
      <c r="AX13" s="1740"/>
      <c r="AY13" s="1740"/>
      <c r="AZ13" s="1740"/>
      <c r="BA13" s="1740"/>
      <c r="BB13" s="1740"/>
      <c r="BC13" s="1740"/>
      <c r="BD13" s="1740"/>
      <c r="BE13" s="1740"/>
      <c r="BF13" s="1740"/>
      <c r="BG13" s="1740"/>
      <c r="BH13" s="1740"/>
      <c r="BI13" s="1768"/>
      <c r="BJ13" s="1768"/>
      <c r="BK13" s="1769">
        <f t="shared" si="4"/>
        <v>0</v>
      </c>
    </row>
    <row r="14" spans="2:63" ht="15.75">
      <c r="B14" s="1872"/>
      <c r="C14" s="1999" t="s">
        <v>3754</v>
      </c>
      <c r="D14" s="1996"/>
      <c r="E14" s="1997"/>
      <c r="F14" s="1996"/>
      <c r="G14" s="2000">
        <f>[38]прямые!$E$12</f>
        <v>0</v>
      </c>
      <c r="H14" s="1784">
        <f>[38]прямые!$E$16</f>
        <v>0</v>
      </c>
      <c r="I14" s="1785"/>
      <c r="J14" s="1784">
        <f>[38]прямые!$E$24</f>
        <v>0</v>
      </c>
      <c r="K14" s="1885">
        <f t="shared" si="6"/>
        <v>0</v>
      </c>
      <c r="L14" s="1992">
        <f t="shared" si="14"/>
        <v>0</v>
      </c>
      <c r="M14" s="1764">
        <f t="shared" si="14"/>
        <v>0</v>
      </c>
      <c r="N14" s="1764">
        <f t="shared" si="14"/>
        <v>0</v>
      </c>
      <c r="O14" s="1764">
        <f t="shared" si="14"/>
        <v>0</v>
      </c>
      <c r="P14" s="1885">
        <f t="shared" si="15"/>
        <v>0</v>
      </c>
      <c r="Q14" s="1991">
        <f>[38]прямые!$F$12</f>
        <v>0</v>
      </c>
      <c r="R14" s="1993">
        <f>[38]прямые!$H$12</f>
        <v>0</v>
      </c>
      <c r="S14" s="1760">
        <f>[38]прямые!$F$12</f>
        <v>0</v>
      </c>
      <c r="T14" s="1760">
        <f>[38]прямые!$H$16</f>
        <v>0</v>
      </c>
      <c r="U14" s="1784"/>
      <c r="V14" s="1784"/>
      <c r="W14" s="1760">
        <f>[38]прямые!$F$24</f>
        <v>0</v>
      </c>
      <c r="X14" s="1994">
        <f>[38]прямые!$H$24</f>
        <v>0</v>
      </c>
      <c r="Y14" s="1882">
        <f t="shared" si="9"/>
        <v>0</v>
      </c>
      <c r="Z14" s="1882">
        <f t="shared" si="9"/>
        <v>0</v>
      </c>
      <c r="AA14" s="1885">
        <f t="shared" si="16"/>
        <v>0</v>
      </c>
      <c r="AB14" s="1991">
        <f>[38]прямые!$G$12</f>
        <v>0</v>
      </c>
      <c r="AC14" s="1993">
        <f>[38]прямые!$I$12</f>
        <v>0</v>
      </c>
      <c r="AD14" s="1760">
        <f>[38]прямые!$G$16</f>
        <v>0</v>
      </c>
      <c r="AE14" s="1760">
        <f>[38]прямые!$I$16</f>
        <v>0</v>
      </c>
      <c r="AF14" s="1784"/>
      <c r="AG14" s="1784"/>
      <c r="AH14" s="1760">
        <f>[38]прямые!$G$24</f>
        <v>0</v>
      </c>
      <c r="AI14" s="1994">
        <f>[38]прямые!$I$24</f>
        <v>0</v>
      </c>
      <c r="AJ14" s="1882">
        <f t="shared" si="17"/>
        <v>0</v>
      </c>
      <c r="AK14" s="1882">
        <f t="shared" si="11"/>
        <v>0</v>
      </c>
      <c r="AL14" s="1885">
        <f t="shared" si="18"/>
        <v>0</v>
      </c>
      <c r="AM14" s="1991">
        <f>[38]прямые!$J$12</f>
        <v>0</v>
      </c>
      <c r="AN14" s="1993">
        <f>[38]прямые!$K$12</f>
        <v>0</v>
      </c>
      <c r="AO14" s="1760">
        <f>[38]прямые!$J$16</f>
        <v>0</v>
      </c>
      <c r="AP14" s="1760">
        <f>[38]прямые!$K$16</f>
        <v>0</v>
      </c>
      <c r="AQ14" s="1760">
        <f>[38]прямые!$J$20</f>
        <v>0</v>
      </c>
      <c r="AR14" s="1760">
        <f>[38]прямые!$K$20</f>
        <v>0</v>
      </c>
      <c r="AS14" s="1760">
        <f>[38]прямые!$J$24</f>
        <v>0</v>
      </c>
      <c r="AT14" s="1760">
        <f>[38]прямые!$K$24</f>
        <v>0</v>
      </c>
      <c r="AU14" s="1882">
        <f t="shared" si="19"/>
        <v>0</v>
      </c>
      <c r="AV14" s="1882">
        <f t="shared" si="13"/>
        <v>0</v>
      </c>
      <c r="AW14" s="1885">
        <f t="shared" si="20"/>
        <v>0</v>
      </c>
      <c r="AX14" s="1740"/>
      <c r="AY14" s="1740"/>
      <c r="AZ14" s="1740"/>
      <c r="BA14" s="1740"/>
      <c r="BB14" s="1740"/>
      <c r="BC14" s="1740"/>
      <c r="BD14" s="1740"/>
      <c r="BE14" s="1740"/>
      <c r="BF14" s="1740"/>
      <c r="BG14" s="1740"/>
      <c r="BH14" s="1740"/>
      <c r="BI14" s="1768"/>
      <c r="BJ14" s="1768"/>
      <c r="BK14" s="1769">
        <f t="shared" si="4"/>
        <v>0</v>
      </c>
    </row>
    <row r="15" spans="2:63" ht="15.75">
      <c r="B15" s="1872"/>
      <c r="C15" s="1999" t="s">
        <v>3755</v>
      </c>
      <c r="D15" s="1996"/>
      <c r="E15" s="1997"/>
      <c r="F15" s="1996"/>
      <c r="G15" s="2000">
        <f>[38]прямые!$E$13</f>
        <v>8.7274229348133883</v>
      </c>
      <c r="H15" s="1784">
        <f>[38]прямые!$E$17</f>
        <v>20.073072750070793</v>
      </c>
      <c r="I15" s="1785"/>
      <c r="J15" s="1784">
        <f>[38]прямые!$E$25</f>
        <v>80.292291000283186</v>
      </c>
      <c r="K15" s="1885">
        <f t="shared" si="6"/>
        <v>109.09278668516737</v>
      </c>
      <c r="L15" s="1992">
        <f t="shared" si="14"/>
        <v>8.7274229348133883</v>
      </c>
      <c r="M15" s="1764">
        <f t="shared" si="14"/>
        <v>20.073072750070793</v>
      </c>
      <c r="N15" s="1764">
        <f t="shared" si="14"/>
        <v>0</v>
      </c>
      <c r="O15" s="1764">
        <f t="shared" si="14"/>
        <v>80.292291000283186</v>
      </c>
      <c r="P15" s="1885">
        <f t="shared" si="15"/>
        <v>109.09278668516737</v>
      </c>
      <c r="Q15" s="1991">
        <f>[38]прямые!$F$13</f>
        <v>34.909691739253553</v>
      </c>
      <c r="R15" s="1993">
        <f>[38]прямые!$H$13</f>
        <v>36.655176326216235</v>
      </c>
      <c r="S15" s="1760">
        <f>[38]прямые!$F$17</f>
        <v>36.655176326216235</v>
      </c>
      <c r="T15" s="1760">
        <f>[38]прямые!$H$17</f>
        <v>51.491795315398996</v>
      </c>
      <c r="U15" s="1784"/>
      <c r="V15" s="1784"/>
      <c r="W15" s="1760">
        <f>[38]прямые!$E$25</f>
        <v>80.292291000283186</v>
      </c>
      <c r="X15" s="1994">
        <f>[38]прямые!$H$25</f>
        <v>192.00330456589455</v>
      </c>
      <c r="Y15" s="1882">
        <f>SUM(Q15,S15,U15,W15)</f>
        <v>151.85715906575297</v>
      </c>
      <c r="Z15" s="1882">
        <f t="shared" si="9"/>
        <v>280.15027620750982</v>
      </c>
      <c r="AA15" s="1885">
        <f t="shared" si="16"/>
        <v>432.00743527326279</v>
      </c>
      <c r="AB15" s="1991">
        <f>[38]прямые!$G$13</f>
        <v>36.655176326216235</v>
      </c>
      <c r="AC15" s="1993">
        <f>[38]прямые!$I$13</f>
        <v>34.909691739253553</v>
      </c>
      <c r="AD15" s="1760">
        <f>[38]прямые!$G$17</f>
        <v>36.655176326216235</v>
      </c>
      <c r="AE15" s="1760">
        <f>[38]прямые!$I$17</f>
        <v>44.509856967548274</v>
      </c>
      <c r="AF15" s="1784"/>
      <c r="AG15" s="1784"/>
      <c r="AH15" s="1760">
        <f>[38]прямые!$G$25</f>
        <v>139.63876695701421</v>
      </c>
      <c r="AI15" s="1994">
        <f>[38]прямые!$I$25</f>
        <v>192.00330456589455</v>
      </c>
      <c r="AJ15" s="1882">
        <f>SUM(AB15,AD15,AF15,AH15)</f>
        <v>212.94911960944668</v>
      </c>
      <c r="AK15" s="1882">
        <f t="shared" si="11"/>
        <v>271.42285327269639</v>
      </c>
      <c r="AL15" s="1885">
        <f t="shared" si="18"/>
        <v>484.3719728821431</v>
      </c>
      <c r="AM15" s="1991">
        <f>[38]прямые!$J$13</f>
        <v>34.909691739253553</v>
      </c>
      <c r="AN15" s="1993">
        <f>[38]прямые!$K$13</f>
        <v>34.909691739253553</v>
      </c>
      <c r="AO15" s="1760">
        <f>[38]прямые!$J$17</f>
        <v>78.546806413320496</v>
      </c>
      <c r="AP15" s="1760">
        <f>[38]прямые!$K$17</f>
        <v>78.546806413320496</v>
      </c>
      <c r="AQ15" s="1760">
        <f>[38]прямые!$J$21</f>
        <v>104.72907521776065</v>
      </c>
      <c r="AR15" s="1760">
        <f>[38]прямые!$K$21</f>
        <v>104.72907521776065</v>
      </c>
      <c r="AS15" s="1760">
        <f>[38]прямые!$J$25</f>
        <v>401.46145500141586</v>
      </c>
      <c r="AT15" s="1760">
        <f>[38]прямые!$K$25</f>
        <v>401.46145500141586</v>
      </c>
      <c r="AU15" s="1882">
        <f>SUM(AM15,AO15,AQ15,AS15)</f>
        <v>619.64702837175059</v>
      </c>
      <c r="AV15" s="1882">
        <f t="shared" si="13"/>
        <v>619.64702837175059</v>
      </c>
      <c r="AW15" s="1885">
        <f t="shared" si="20"/>
        <v>1239.2940567435012</v>
      </c>
      <c r="AX15" s="1740"/>
      <c r="AY15" s="1740"/>
      <c r="AZ15" s="1740"/>
      <c r="BA15" s="1740"/>
      <c r="BB15" s="1740"/>
      <c r="BC15" s="1740"/>
      <c r="BD15" s="1740"/>
      <c r="BE15" s="1740"/>
      <c r="BF15" s="1740"/>
      <c r="BG15" s="1740"/>
      <c r="BH15" s="1740"/>
      <c r="BI15" s="1768"/>
      <c r="BJ15" s="1768"/>
      <c r="BK15" s="1769">
        <f t="shared" si="4"/>
        <v>0</v>
      </c>
    </row>
    <row r="16" spans="2:63" ht="15.75" customHeight="1">
      <c r="B16" s="1872">
        <f>B12+1</f>
        <v>3</v>
      </c>
      <c r="C16" s="1995" t="s">
        <v>3756</v>
      </c>
      <c r="D16" s="1996"/>
      <c r="E16" s="1997"/>
      <c r="F16" s="1996"/>
      <c r="G16" s="2000">
        <f>'[38]К 1'!$M$72</f>
        <v>96.039958800843181</v>
      </c>
      <c r="H16" s="1784">
        <f>'[38]К 2'!$M$53</f>
        <v>96.039958800843181</v>
      </c>
      <c r="I16" s="1785"/>
      <c r="J16" s="1779">
        <f>K16-G16-H16-I16</f>
        <v>131.58534211922648</v>
      </c>
      <c r="K16" s="2001">
        <f>'[37]калькул 1'!$M$72+'[37]калькул 2'!$M$53+[37]калькул4!$M$42</f>
        <v>323.66525972091284</v>
      </c>
      <c r="L16" s="1992">
        <f>G16</f>
        <v>96.039958800843181</v>
      </c>
      <c r="M16" s="1764">
        <f t="shared" si="14"/>
        <v>96.039958800843181</v>
      </c>
      <c r="N16" s="1764">
        <f t="shared" si="14"/>
        <v>0</v>
      </c>
      <c r="O16" s="1764">
        <f t="shared" si="14"/>
        <v>131.58534211922648</v>
      </c>
      <c r="P16" s="1885">
        <f t="shared" si="15"/>
        <v>323.66525972091284</v>
      </c>
      <c r="Q16" s="1991">
        <f>'[38]К 1'!$N$72</f>
        <v>96.039958800843166</v>
      </c>
      <c r="R16" s="1993">
        <f>'[38]К 1'!$P$72</f>
        <v>96.039958800843166</v>
      </c>
      <c r="S16" s="1760">
        <f>'[38]К 2'!$N$53</f>
        <v>96.039958800843166</v>
      </c>
      <c r="T16" s="1760">
        <f>'[38]К 2'!$P$53</f>
        <v>96.039958800843166</v>
      </c>
      <c r="U16" s="1784"/>
      <c r="V16" s="1784"/>
      <c r="W16" s="1760">
        <f>'[38]К 4'!$N$42</f>
        <v>96.039958800843166</v>
      </c>
      <c r="X16" s="1994">
        <f>'[38]К 4'!$P$42</f>
        <v>96.039958800843166</v>
      </c>
      <c r="Y16" s="1882">
        <f t="shared" si="9"/>
        <v>288.11987640252948</v>
      </c>
      <c r="Z16" s="1882">
        <f>SUM(R16,T16,V16,X16)</f>
        <v>288.11987640252948</v>
      </c>
      <c r="AA16" s="1885">
        <f>SUM(Q16:X16)</f>
        <v>576.23975280505897</v>
      </c>
      <c r="AB16" s="1991">
        <f>'[38]К 1'!$O$72</f>
        <v>96.039958800843181</v>
      </c>
      <c r="AC16" s="1993">
        <f>'[38]К 1'!$Q$72</f>
        <v>96.039958800843166</v>
      </c>
      <c r="AD16" s="1760">
        <f>'[37]калькул 2'!$O$53</f>
        <v>107.88841990697095</v>
      </c>
      <c r="AE16" s="1760">
        <f>'[38]К 2'!$Q$53</f>
        <v>96.039958800843166</v>
      </c>
      <c r="AF16" s="1761"/>
      <c r="AG16" s="1760"/>
      <c r="AH16" s="1760">
        <f>'[38]К 4'!$O$42</f>
        <v>96.039958800843181</v>
      </c>
      <c r="AI16" s="1994">
        <f>'[38]К 4'!$Q$42</f>
        <v>96.039958800843166</v>
      </c>
      <c r="AJ16" s="1882">
        <f t="shared" ref="AJ16" si="21">SUM(AB16,AD16,AF16,AH16)</f>
        <v>299.96833750865733</v>
      </c>
      <c r="AK16" s="1882">
        <f>SUM(AC16,AE16,AG16,AI16)</f>
        <v>288.11987640252948</v>
      </c>
      <c r="AL16" s="1885">
        <f>SUM(AB16:AI16)</f>
        <v>588.08821391118681</v>
      </c>
      <c r="AM16" s="1991">
        <f>AN16</f>
        <v>72.029969100632385</v>
      </c>
      <c r="AN16" s="1993">
        <f>'[38]К 1'!$S$72</f>
        <v>72.029969100632385</v>
      </c>
      <c r="AO16" s="1760">
        <f>AP16</f>
        <v>72.029969100632385</v>
      </c>
      <c r="AP16" s="1760">
        <f>'[38]К 2'!$S$53</f>
        <v>72.029969100632385</v>
      </c>
      <c r="AQ16" s="1760">
        <f>AR16</f>
        <v>323.4381094153901</v>
      </c>
      <c r="AR16" s="1760">
        <f>'[38]К 3'!$M$20</f>
        <v>323.4381094153901</v>
      </c>
      <c r="AS16" s="1760">
        <f>AT16</f>
        <v>72.029969100632385</v>
      </c>
      <c r="AT16" s="1994">
        <f>'[38]К 4'!$S$42</f>
        <v>72.029969100632385</v>
      </c>
      <c r="AU16" s="1882">
        <f>SUM(AM16,AO16,AQ16,AS16)</f>
        <v>539.52801671728719</v>
      </c>
      <c r="AV16" s="1882">
        <f>SUM(AN16,AP16,AR16,AT16)</f>
        <v>539.52801671728719</v>
      </c>
      <c r="AW16" s="1885">
        <f>SUM(AM16:AT16)</f>
        <v>1079.0560334345744</v>
      </c>
      <c r="AX16" s="1740"/>
      <c r="AY16" s="1740"/>
      <c r="AZ16" s="1740"/>
      <c r="BA16" s="1740"/>
      <c r="BB16" s="1740"/>
      <c r="BC16" s="1740"/>
      <c r="BD16" s="1740"/>
      <c r="BE16" s="1740"/>
      <c r="BF16" s="1740"/>
      <c r="BG16" s="1740"/>
      <c r="BH16" s="1740"/>
      <c r="BI16" s="1768"/>
      <c r="BJ16" s="1768"/>
      <c r="BK16" s="1769">
        <f t="shared" si="4"/>
        <v>0</v>
      </c>
    </row>
    <row r="17" spans="1:63" ht="15.75">
      <c r="B17" s="1872">
        <f>B16+1</f>
        <v>4</v>
      </c>
      <c r="C17" s="2002" t="s">
        <v>3737</v>
      </c>
      <c r="D17" s="1874"/>
      <c r="E17" s="1875"/>
      <c r="F17" s="1874"/>
      <c r="G17" s="2003"/>
      <c r="H17" s="1791"/>
      <c r="I17" s="1791"/>
      <c r="J17" s="1791"/>
      <c r="K17" s="2004"/>
      <c r="L17" s="2003"/>
      <c r="M17" s="1791"/>
      <c r="N17" s="1791"/>
      <c r="O17" s="1791"/>
      <c r="P17" s="2005"/>
      <c r="Q17" s="2003"/>
      <c r="R17" s="1839"/>
      <c r="S17" s="1791"/>
      <c r="T17" s="1791"/>
      <c r="U17" s="1791"/>
      <c r="V17" s="1791"/>
      <c r="W17" s="1791"/>
      <c r="X17" s="2006"/>
      <c r="Y17" s="2006"/>
      <c r="Z17" s="2006"/>
      <c r="AA17" s="2005"/>
      <c r="AB17" s="2003"/>
      <c r="AC17" s="1839"/>
      <c r="AD17" s="1791"/>
      <c r="AE17" s="1791"/>
      <c r="AF17" s="1791"/>
      <c r="AG17" s="1791"/>
      <c r="AH17" s="1791"/>
      <c r="AI17" s="2006"/>
      <c r="AJ17" s="2006"/>
      <c r="AK17" s="2006"/>
      <c r="AL17" s="2005"/>
      <c r="AM17" s="2003"/>
      <c r="AN17" s="1839"/>
      <c r="AO17" s="1791"/>
      <c r="AP17" s="1791"/>
      <c r="AQ17" s="1791"/>
      <c r="AR17" s="1791"/>
      <c r="AS17" s="1791"/>
      <c r="AT17" s="2006"/>
      <c r="AU17" s="2006"/>
      <c r="AV17" s="2006"/>
      <c r="AW17" s="2005"/>
      <c r="AX17" s="1740"/>
      <c r="AY17" s="1740"/>
      <c r="AZ17" s="1740"/>
      <c r="BA17" s="1740"/>
      <c r="BB17" s="1740"/>
      <c r="BC17" s="1740"/>
      <c r="BD17" s="1740"/>
      <c r="BE17" s="1740"/>
      <c r="BF17" s="1740"/>
      <c r="BG17" s="1740"/>
      <c r="BH17" s="1740"/>
      <c r="BI17" s="1768"/>
      <c r="BJ17" s="1768"/>
      <c r="BK17" s="1769">
        <f t="shared" si="4"/>
        <v>0</v>
      </c>
    </row>
    <row r="18" spans="1:63" ht="15.75">
      <c r="B18" s="1745">
        <f>B17+1</f>
        <v>5</v>
      </c>
      <c r="C18" s="1796" t="s">
        <v>3757</v>
      </c>
      <c r="D18" s="1748"/>
      <c r="E18" s="1748"/>
      <c r="F18" s="1748"/>
      <c r="G18" s="1797"/>
      <c r="H18" s="1798"/>
      <c r="I18" s="1798"/>
      <c r="J18" s="1798"/>
      <c r="K18" s="2019">
        <f>SUM(K19:K20)</f>
        <v>303</v>
      </c>
      <c r="L18" s="2020"/>
      <c r="M18" s="2021"/>
      <c r="N18" s="2021"/>
      <c r="O18" s="2021"/>
      <c r="P18" s="2022">
        <f>SUM(P19:P20)</f>
        <v>47</v>
      </c>
      <c r="Q18" s="2020"/>
      <c r="R18" s="2023"/>
      <c r="S18" s="2021"/>
      <c r="T18" s="2021"/>
      <c r="U18" s="2021"/>
      <c r="V18" s="2021"/>
      <c r="W18" s="2021"/>
      <c r="X18" s="2024"/>
      <c r="Y18" s="1802">
        <f t="shared" ref="Y18:Z18" si="22">SUM(Y19:Y20)</f>
        <v>7</v>
      </c>
      <c r="Z18" s="1802">
        <f t="shared" si="22"/>
        <v>0</v>
      </c>
      <c r="AA18" s="1803">
        <f>SUM(AA19:AA20)</f>
        <v>7</v>
      </c>
      <c r="AB18" s="2020"/>
      <c r="AC18" s="2023"/>
      <c r="AD18" s="2021"/>
      <c r="AE18" s="2021"/>
      <c r="AF18" s="2021"/>
      <c r="AG18" s="2021"/>
      <c r="AH18" s="2021"/>
      <c r="AI18" s="2024"/>
      <c r="AJ18" s="2025">
        <f t="shared" ref="AJ18:AK18" si="23">SUM(AJ19:AJ20)</f>
        <v>1</v>
      </c>
      <c r="AK18" s="2025">
        <f t="shared" si="23"/>
        <v>1</v>
      </c>
      <c r="AL18" s="2026">
        <f>SUM(AL19:AL20)</f>
        <v>2</v>
      </c>
      <c r="AM18" s="2020"/>
      <c r="AN18" s="2023"/>
      <c r="AO18" s="2021"/>
      <c r="AP18" s="2021"/>
      <c r="AQ18" s="2021"/>
      <c r="AR18" s="2021"/>
      <c r="AS18" s="2021"/>
      <c r="AT18" s="2024"/>
      <c r="AU18" s="2025">
        <f t="shared" ref="AU18:AW18" si="24">SUM(AU19:AU20)</f>
        <v>0</v>
      </c>
      <c r="AV18" s="2025">
        <f t="shared" si="24"/>
        <v>0</v>
      </c>
      <c r="AW18" s="2026">
        <f t="shared" si="24"/>
        <v>0</v>
      </c>
      <c r="AX18" s="1740"/>
      <c r="AY18" s="1740"/>
      <c r="AZ18" s="1740"/>
      <c r="BA18" s="1740"/>
      <c r="BB18" s="1740"/>
      <c r="BC18" s="1740"/>
      <c r="BD18" s="1740"/>
      <c r="BE18" s="1804">
        <f t="shared" ref="BE18" si="25">SUM(BE19:BE20)</f>
        <v>359</v>
      </c>
      <c r="BF18" s="1740"/>
      <c r="BG18" s="1740"/>
      <c r="BH18" s="1740"/>
      <c r="BI18" s="1770"/>
      <c r="BJ18" s="1771"/>
      <c r="BK18" s="1805">
        <f>K18+P18+AA18+AL18</f>
        <v>359</v>
      </c>
    </row>
    <row r="19" spans="1:63" ht="15.75">
      <c r="B19" s="1872" t="s">
        <v>2624</v>
      </c>
      <c r="C19" s="2007" t="s">
        <v>3758</v>
      </c>
      <c r="D19" s="1875"/>
      <c r="E19" s="1875"/>
      <c r="F19" s="1875"/>
      <c r="G19" s="2008"/>
      <c r="H19" s="1808"/>
      <c r="I19" s="1808"/>
      <c r="J19" s="1808"/>
      <c r="K19" s="2027">
        <v>303</v>
      </c>
      <c r="L19" s="2028"/>
      <c r="M19" s="2029"/>
      <c r="N19" s="2029"/>
      <c r="O19" s="2029"/>
      <c r="P19" s="2030">
        <v>47</v>
      </c>
      <c r="Q19" s="2028"/>
      <c r="R19" s="2031"/>
      <c r="S19" s="2029"/>
      <c r="T19" s="2029"/>
      <c r="U19" s="2029"/>
      <c r="V19" s="2029"/>
      <c r="W19" s="2029"/>
      <c r="X19" s="2032"/>
      <c r="Y19" s="2033">
        <v>7</v>
      </c>
      <c r="Z19" s="2034"/>
      <c r="AA19" s="2035">
        <f>SUM(Y19:Z19)</f>
        <v>7</v>
      </c>
      <c r="AB19" s="2028"/>
      <c r="AC19" s="2031"/>
      <c r="AD19" s="2029"/>
      <c r="AE19" s="2029"/>
      <c r="AF19" s="2029"/>
      <c r="AG19" s="2029"/>
      <c r="AH19" s="2029"/>
      <c r="AI19" s="2032"/>
      <c r="AJ19" s="2033">
        <v>1</v>
      </c>
      <c r="AK19" s="2033">
        <v>1</v>
      </c>
      <c r="AL19" s="2035">
        <f>SUM(AJ19:AK19)</f>
        <v>2</v>
      </c>
      <c r="AM19" s="2028"/>
      <c r="AN19" s="2031"/>
      <c r="AO19" s="2029"/>
      <c r="AP19" s="2029"/>
      <c r="AQ19" s="2029"/>
      <c r="AR19" s="2029"/>
      <c r="AS19" s="2029"/>
      <c r="AT19" s="2032"/>
      <c r="AU19" s="2034">
        <v>0</v>
      </c>
      <c r="AV19" s="2034">
        <v>0</v>
      </c>
      <c r="AW19" s="2035">
        <f>SUM(AU19:AV19)</f>
        <v>0</v>
      </c>
      <c r="AX19" s="1740"/>
      <c r="AY19" s="1740"/>
      <c r="AZ19" s="1740"/>
      <c r="BA19" s="1740"/>
      <c r="BB19" s="1740"/>
      <c r="BC19" s="1740"/>
      <c r="BD19" s="1740"/>
      <c r="BE19" s="1814">
        <f>SUM(K19,P19,AA19,AL19)</f>
        <v>359</v>
      </c>
      <c r="BF19" s="1740"/>
      <c r="BG19" s="1740"/>
      <c r="BH19" s="1740"/>
      <c r="BI19" s="1843"/>
      <c r="BJ19" s="1844"/>
      <c r="BK19" s="1842">
        <f t="shared" ref="BK19:BK20" si="26">K19+P19+AA19+AL19</f>
        <v>359</v>
      </c>
    </row>
    <row r="20" spans="1:63" ht="15.75">
      <c r="B20" s="1816" t="s">
        <v>2644</v>
      </c>
      <c r="C20" s="1817" t="s">
        <v>3789</v>
      </c>
      <c r="D20" s="1818"/>
      <c r="E20" s="1818"/>
      <c r="F20" s="1818"/>
      <c r="G20" s="1819"/>
      <c r="H20" s="1820"/>
      <c r="I20" s="1820"/>
      <c r="J20" s="1820"/>
      <c r="K20" s="2036"/>
      <c r="L20" s="2037"/>
      <c r="M20" s="2038"/>
      <c r="N20" s="2038"/>
      <c r="O20" s="2038"/>
      <c r="P20" s="2039"/>
      <c r="Q20" s="2037"/>
      <c r="R20" s="2040"/>
      <c r="S20" s="2038"/>
      <c r="T20" s="2038"/>
      <c r="U20" s="2038"/>
      <c r="V20" s="2038"/>
      <c r="W20" s="2038"/>
      <c r="X20" s="2041"/>
      <c r="Y20" s="2042"/>
      <c r="Z20" s="2042"/>
      <c r="AA20" s="2039"/>
      <c r="AB20" s="2037"/>
      <c r="AC20" s="2040"/>
      <c r="AD20" s="2038"/>
      <c r="AE20" s="2038"/>
      <c r="AF20" s="2038"/>
      <c r="AG20" s="2038"/>
      <c r="AH20" s="2038"/>
      <c r="AI20" s="2041"/>
      <c r="AJ20" s="2042"/>
      <c r="AK20" s="2042"/>
      <c r="AL20" s="2039"/>
      <c r="AM20" s="2037"/>
      <c r="AN20" s="2040"/>
      <c r="AO20" s="2038"/>
      <c r="AP20" s="2038"/>
      <c r="AQ20" s="2038"/>
      <c r="AR20" s="2038"/>
      <c r="AS20" s="2038"/>
      <c r="AT20" s="2041"/>
      <c r="AU20" s="2042"/>
      <c r="AV20" s="2042"/>
      <c r="AW20" s="2039"/>
      <c r="AX20" s="1740"/>
      <c r="AY20" s="1740"/>
      <c r="AZ20" s="1740"/>
      <c r="BA20" s="1740"/>
      <c r="BB20" s="1740"/>
      <c r="BC20" s="1740"/>
      <c r="BD20" s="1740"/>
      <c r="BE20" s="1814">
        <f>SUM(K20,P20,AA20,AL20)</f>
        <v>0</v>
      </c>
      <c r="BF20" s="1740"/>
      <c r="BG20" s="1740"/>
      <c r="BH20" s="1740"/>
      <c r="BI20" s="1827"/>
      <c r="BJ20" s="1828"/>
      <c r="BK20" s="1829">
        <f t="shared" si="26"/>
        <v>0</v>
      </c>
    </row>
    <row r="21" spans="1:63" ht="15.75">
      <c r="B21" s="1745">
        <f>B18+1</f>
        <v>6</v>
      </c>
      <c r="C21" s="1796" t="s">
        <v>3760</v>
      </c>
      <c r="D21" s="1748"/>
      <c r="E21" s="1748"/>
      <c r="F21" s="1748"/>
      <c r="G21" s="1830"/>
      <c r="H21" s="1831"/>
      <c r="I21" s="1831"/>
      <c r="J21" s="1831"/>
      <c r="K21" s="2043">
        <f>SUM(K22:K23)</f>
        <v>2202.9800000000005</v>
      </c>
      <c r="L21" s="2044"/>
      <c r="M21" s="2045"/>
      <c r="N21" s="2045"/>
      <c r="O21" s="2045"/>
      <c r="P21" s="2046">
        <f>SUM(P22:P23)</f>
        <v>257.46999999999991</v>
      </c>
      <c r="Q21" s="2044"/>
      <c r="R21" s="2047"/>
      <c r="S21" s="2045"/>
      <c r="T21" s="2045"/>
      <c r="U21" s="2045"/>
      <c r="V21" s="2045"/>
      <c r="W21" s="2045"/>
      <c r="X21" s="2048"/>
      <c r="Y21" s="2049">
        <f t="shared" ref="Y21:Z21" si="27">SUM(Y22:Y23)</f>
        <v>491.48</v>
      </c>
      <c r="Z21" s="2049">
        <f t="shared" si="27"/>
        <v>0</v>
      </c>
      <c r="AA21" s="2046">
        <f>SUM(AA22:AA23)</f>
        <v>491.48</v>
      </c>
      <c r="AB21" s="2044"/>
      <c r="AC21" s="2047"/>
      <c r="AD21" s="2045"/>
      <c r="AE21" s="2045"/>
      <c r="AF21" s="2045"/>
      <c r="AG21" s="2045"/>
      <c r="AH21" s="2045"/>
      <c r="AI21" s="2048"/>
      <c r="AJ21" s="2049">
        <f t="shared" ref="AJ21:AK21" si="28">SUM(AJ22:AJ23)</f>
        <v>300</v>
      </c>
      <c r="AK21" s="2049">
        <f t="shared" si="28"/>
        <v>163.68</v>
      </c>
      <c r="AL21" s="2046">
        <f>SUM(AL22:AL23)</f>
        <v>463.68</v>
      </c>
      <c r="AM21" s="2044"/>
      <c r="AN21" s="2047"/>
      <c r="AO21" s="2045"/>
      <c r="AP21" s="2045"/>
      <c r="AQ21" s="2045"/>
      <c r="AR21" s="2045"/>
      <c r="AS21" s="2045"/>
      <c r="AT21" s="2048"/>
      <c r="AU21" s="2049">
        <f t="shared" ref="AU21:AW21" si="29">SUM(AU22:AU23)</f>
        <v>0</v>
      </c>
      <c r="AV21" s="2049">
        <f t="shared" si="29"/>
        <v>0</v>
      </c>
      <c r="AW21" s="2046">
        <f t="shared" si="29"/>
        <v>0</v>
      </c>
      <c r="AX21" s="1740"/>
      <c r="AY21" s="1740"/>
      <c r="AZ21" s="1740"/>
      <c r="BA21" s="1740"/>
      <c r="BB21" s="1740"/>
      <c r="BC21" s="1740"/>
      <c r="BD21" s="1740"/>
      <c r="BE21" s="1836">
        <f>SUM(BE22:BE23)</f>
        <v>3415.61</v>
      </c>
      <c r="BF21" s="1740"/>
      <c r="BG21" s="1740"/>
      <c r="BH21" s="1740"/>
      <c r="BI21" s="1770"/>
      <c r="BJ21" s="1771"/>
      <c r="BK21" s="1805">
        <f>K21+P21+AA21+AL21</f>
        <v>3415.61</v>
      </c>
    </row>
    <row r="22" spans="1:63" ht="15.75">
      <c r="B22" s="1872" t="s">
        <v>3761</v>
      </c>
      <c r="C22" s="2007" t="s">
        <v>3762</v>
      </c>
      <c r="D22" s="1875"/>
      <c r="E22" s="1875"/>
      <c r="F22" s="1875"/>
      <c r="G22" s="2003"/>
      <c r="H22" s="1791"/>
      <c r="I22" s="1791"/>
      <c r="J22" s="1791"/>
      <c r="K22" s="2050">
        <v>2202.9800000000005</v>
      </c>
      <c r="L22" s="2051"/>
      <c r="M22" s="2052"/>
      <c r="N22" s="2052"/>
      <c r="O22" s="2052"/>
      <c r="P22" s="2053">
        <v>257.46999999999991</v>
      </c>
      <c r="Q22" s="2051"/>
      <c r="R22" s="2054"/>
      <c r="S22" s="2052"/>
      <c r="T22" s="2052"/>
      <c r="U22" s="2052"/>
      <c r="V22" s="2052"/>
      <c r="W22" s="2052"/>
      <c r="X22" s="2055"/>
      <c r="Y22" s="2056">
        <v>491.48</v>
      </c>
      <c r="Z22" s="2057"/>
      <c r="AA22" s="2001">
        <f>SUM(Y22:Z22)</f>
        <v>491.48</v>
      </c>
      <c r="AB22" s="2051"/>
      <c r="AC22" s="2054"/>
      <c r="AD22" s="2052"/>
      <c r="AE22" s="2052"/>
      <c r="AF22" s="2052"/>
      <c r="AG22" s="2052"/>
      <c r="AH22" s="2052"/>
      <c r="AI22" s="2055"/>
      <c r="AJ22" s="2056">
        <v>300</v>
      </c>
      <c r="AK22" s="2056">
        <v>163.68</v>
      </c>
      <c r="AL22" s="2001">
        <f>SUM(AJ22:AK22)</f>
        <v>463.68</v>
      </c>
      <c r="AM22" s="2051"/>
      <c r="AN22" s="2054"/>
      <c r="AO22" s="2052"/>
      <c r="AP22" s="2052"/>
      <c r="AQ22" s="2052"/>
      <c r="AR22" s="2052"/>
      <c r="AS22" s="2052"/>
      <c r="AT22" s="2055"/>
      <c r="AU22" s="2057">
        <v>0</v>
      </c>
      <c r="AV22" s="2057">
        <v>0</v>
      </c>
      <c r="AW22" s="2001">
        <f>SUM(AU22:AV22)</f>
        <v>0</v>
      </c>
      <c r="AX22" s="1740"/>
      <c r="AY22" s="1740"/>
      <c r="AZ22" s="1740"/>
      <c r="BA22" s="1740"/>
      <c r="BB22" s="1740"/>
      <c r="BC22" s="1740"/>
      <c r="BD22" s="1740"/>
      <c r="BE22" s="1841">
        <f>SUM(K22,P22,AA22,AL22)</f>
        <v>3415.61</v>
      </c>
      <c r="BF22" s="1740"/>
      <c r="BG22" s="1740"/>
      <c r="BH22" s="1740"/>
      <c r="BI22" s="1843"/>
      <c r="BJ22" s="1844"/>
      <c r="BK22" s="1842">
        <f t="shared" ref="BK22" si="30">K22+P22+AA22+AL22</f>
        <v>3415.61</v>
      </c>
    </row>
    <row r="23" spans="1:63" ht="15.75">
      <c r="B23" s="1816" t="s">
        <v>3763</v>
      </c>
      <c r="C23" s="1817" t="s">
        <v>3790</v>
      </c>
      <c r="D23" s="1845"/>
      <c r="E23" s="1818"/>
      <c r="F23" s="1845"/>
      <c r="G23" s="1846"/>
      <c r="H23" s="1847"/>
      <c r="I23" s="1847"/>
      <c r="J23" s="1847"/>
      <c r="K23" s="2058"/>
      <c r="L23" s="2059"/>
      <c r="M23" s="2060"/>
      <c r="N23" s="2060"/>
      <c r="O23" s="2060"/>
      <c r="P23" s="2061"/>
      <c r="Q23" s="2059"/>
      <c r="R23" s="2062"/>
      <c r="S23" s="2060"/>
      <c r="T23" s="2060"/>
      <c r="U23" s="2060"/>
      <c r="V23" s="2060"/>
      <c r="W23" s="2060"/>
      <c r="X23" s="2063"/>
      <c r="Y23" s="2064"/>
      <c r="Z23" s="2064"/>
      <c r="AA23" s="2061"/>
      <c r="AB23" s="2059"/>
      <c r="AC23" s="2062"/>
      <c r="AD23" s="2060"/>
      <c r="AE23" s="2060"/>
      <c r="AF23" s="2060"/>
      <c r="AG23" s="2060"/>
      <c r="AH23" s="2060"/>
      <c r="AI23" s="2063"/>
      <c r="AJ23" s="2064"/>
      <c r="AK23" s="2064"/>
      <c r="AL23" s="2061"/>
      <c r="AM23" s="2059"/>
      <c r="AN23" s="2062"/>
      <c r="AO23" s="2060"/>
      <c r="AP23" s="2060"/>
      <c r="AQ23" s="2060"/>
      <c r="AR23" s="2060"/>
      <c r="AS23" s="2060"/>
      <c r="AT23" s="2063"/>
      <c r="AU23" s="2064"/>
      <c r="AV23" s="2064"/>
      <c r="AW23" s="2061"/>
      <c r="AX23" s="1740"/>
      <c r="AY23" s="1740"/>
      <c r="AZ23" s="1740"/>
      <c r="BA23" s="1740"/>
      <c r="BB23" s="1740"/>
      <c r="BC23" s="1740"/>
      <c r="BD23" s="1740"/>
      <c r="BE23" s="1841">
        <f>SUM(K23,P23,AA23,AL23)</f>
        <v>0</v>
      </c>
      <c r="BF23" s="1740"/>
      <c r="BG23" s="1740"/>
      <c r="BH23" s="1740"/>
      <c r="BI23" s="1827"/>
      <c r="BJ23" s="1828"/>
      <c r="BK23" s="1829">
        <f>K23+P23+AA23+AL23</f>
        <v>0</v>
      </c>
    </row>
    <row r="24" spans="1:63" ht="15.75">
      <c r="B24" s="1854">
        <f>B21+1</f>
        <v>7</v>
      </c>
      <c r="C24" s="1855" t="s">
        <v>3765</v>
      </c>
      <c r="D24" s="1856"/>
      <c r="E24" s="1857"/>
      <c r="F24" s="1856"/>
      <c r="G24" s="1858">
        <f>G25/$K$21</f>
        <v>159.28291492803544</v>
      </c>
      <c r="H24" s="1859">
        <f>H25/$K$21</f>
        <v>166.12425689526503</v>
      </c>
      <c r="I24" s="1859">
        <f t="shared" ref="I24:J24" si="31">I25/$K$21</f>
        <v>0</v>
      </c>
      <c r="J24" s="1859">
        <f t="shared" si="31"/>
        <v>594.12099877089292</v>
      </c>
      <c r="K24" s="1860">
        <f>K25/$K$21</f>
        <v>919.52817059419328</v>
      </c>
      <c r="L24" s="1858">
        <f>L25/$P$21</f>
        <v>612.28830963901248</v>
      </c>
      <c r="M24" s="1859">
        <f t="shared" ref="M24:O24" si="32">M25/$P$21</f>
        <v>619.12965085879227</v>
      </c>
      <c r="N24" s="1859">
        <f t="shared" si="32"/>
        <v>0</v>
      </c>
      <c r="O24" s="1859">
        <f t="shared" si="32"/>
        <v>1214.78836102735</v>
      </c>
      <c r="P24" s="1860">
        <f>P25/$P$21</f>
        <v>2446.2063215251546</v>
      </c>
      <c r="Q24" s="1858">
        <f ca="1">Q25/$AA$18</f>
        <v>22094.043677805334</v>
      </c>
      <c r="R24" s="1859">
        <f t="shared" ref="R24:AA24" ca="1" si="33">R25/$AA$18</f>
        <v>22325.160054282409</v>
      </c>
      <c r="S24" s="1859">
        <f t="shared" ca="1" si="33"/>
        <v>21755.085534864949</v>
      </c>
      <c r="T24" s="1859">
        <f t="shared" ca="1" si="33"/>
        <v>22208.466840005163</v>
      </c>
      <c r="U24" s="1859">
        <f t="shared" ca="1" si="33"/>
        <v>0</v>
      </c>
      <c r="V24" s="1859">
        <f t="shared" ca="1" si="33"/>
        <v>0</v>
      </c>
      <c r="W24" s="1859">
        <f t="shared" ca="1" si="33"/>
        <v>23079.868313990333</v>
      </c>
      <c r="X24" s="1859">
        <f ca="1">X25/$AA$18</f>
        <v>23852.876276028644</v>
      </c>
      <c r="Y24" s="1859">
        <f ca="1">Y25/$AA$18</f>
        <v>66928.997526660605</v>
      </c>
      <c r="Z24" s="1859">
        <f t="shared" ref="Z24" ca="1" si="34">Z25/$AA$18</f>
        <v>68386.503170316209</v>
      </c>
      <c r="AA24" s="1860">
        <f t="shared" ca="1" si="33"/>
        <v>135315.50069697681</v>
      </c>
      <c r="AB24" s="1858">
        <f ca="1">AB25/$AA$18</f>
        <v>73714.708506438459</v>
      </c>
      <c r="AC24" s="1859">
        <f t="shared" ref="AC24:AH24" ca="1" si="35">AC25/$AA$18</f>
        <v>65571.38137735588</v>
      </c>
      <c r="AD24" s="1859">
        <f t="shared" ca="1" si="35"/>
        <v>65823.00929716423</v>
      </c>
      <c r="AE24" s="1859">
        <f t="shared" ca="1" si="35"/>
        <v>63466.414326974133</v>
      </c>
      <c r="AF24" s="1859">
        <f t="shared" ca="1" si="35"/>
        <v>0</v>
      </c>
      <c r="AG24" s="1859">
        <f t="shared" ca="1" si="35"/>
        <v>0</v>
      </c>
      <c r="AH24" s="1859">
        <f t="shared" ca="1" si="35"/>
        <v>119938.45074771195</v>
      </c>
      <c r="AI24" s="1859">
        <f ca="1">AI25/$AA$18</f>
        <v>160113.62492471011</v>
      </c>
      <c r="AJ24" s="1859">
        <f ca="1">AJ25/$AA$18</f>
        <v>259476.16855131462</v>
      </c>
      <c r="AK24" s="1859">
        <f t="shared" ref="AK24:AL24" ca="1" si="36">AK25/$AA$18</f>
        <v>289151.42062904016</v>
      </c>
      <c r="AL24" s="1860">
        <f t="shared" ca="1" si="36"/>
        <v>548627.58918035473</v>
      </c>
      <c r="AM24" s="1858">
        <f>IF(ISERROR(AM25/$AW$21),0,AM25/$AW$21)</f>
        <v>0</v>
      </c>
      <c r="AN24" s="1861">
        <f t="shared" ref="AN24:AW24" si="37">IF(ISERROR(AN25/$AW$21),0,AN25/$AW$21)</f>
        <v>0</v>
      </c>
      <c r="AO24" s="1859">
        <f t="shared" si="37"/>
        <v>0</v>
      </c>
      <c r="AP24" s="1859">
        <f t="shared" si="37"/>
        <v>0</v>
      </c>
      <c r="AQ24" s="1859">
        <f t="shared" si="37"/>
        <v>0</v>
      </c>
      <c r="AR24" s="1859">
        <f t="shared" si="37"/>
        <v>0</v>
      </c>
      <c r="AS24" s="1859">
        <f t="shared" si="37"/>
        <v>0</v>
      </c>
      <c r="AT24" s="1862">
        <f t="shared" si="37"/>
        <v>0</v>
      </c>
      <c r="AU24" s="1859">
        <f t="shared" si="37"/>
        <v>0</v>
      </c>
      <c r="AV24" s="1859">
        <f t="shared" si="37"/>
        <v>0</v>
      </c>
      <c r="AW24" s="1860">
        <f t="shared" si="37"/>
        <v>0</v>
      </c>
      <c r="AX24" s="1740"/>
      <c r="AY24" s="1740"/>
      <c r="AZ24" s="1740"/>
      <c r="BA24" s="1740"/>
      <c r="BB24" s="1740"/>
      <c r="BC24" s="1740"/>
      <c r="BD24" s="1740"/>
      <c r="BE24" s="1740"/>
      <c r="BF24" s="1740"/>
      <c r="BG24" s="1740"/>
      <c r="BH24" s="1740"/>
      <c r="BI24" s="1768"/>
      <c r="BJ24" s="1768"/>
      <c r="BK24" s="1769">
        <f t="shared" si="4"/>
        <v>0</v>
      </c>
    </row>
    <row r="25" spans="1:63" ht="47.25">
      <c r="B25" s="1745">
        <f>B24+1</f>
        <v>8</v>
      </c>
      <c r="C25" s="1864" t="s">
        <v>3702</v>
      </c>
      <c r="D25" s="1749"/>
      <c r="E25" s="1865">
        <f>BE19</f>
        <v>359</v>
      </c>
      <c r="F25" s="1866">
        <f>BE22</f>
        <v>3415.61</v>
      </c>
      <c r="G25" s="1867">
        <f>SUM(G26,G30:G33,G44)</f>
        <v>350897.0759281636</v>
      </c>
      <c r="H25" s="1868">
        <f t="shared" ref="H25:P25" si="38">SUM(H26,H30:H33,H44)</f>
        <v>365968.41545513103</v>
      </c>
      <c r="I25" s="1868">
        <f t="shared" si="38"/>
        <v>0</v>
      </c>
      <c r="J25" s="1868">
        <f>SUM(J26,J30:J33,J44)</f>
        <v>1308836.677872302</v>
      </c>
      <c r="K25" s="1832">
        <f t="shared" si="38"/>
        <v>2025702.1692555964</v>
      </c>
      <c r="L25" s="1867">
        <f>SUM(L26,L30:L33,L44)</f>
        <v>157645.87108275649</v>
      </c>
      <c r="M25" s="1868">
        <f t="shared" si="38"/>
        <v>159407.3112066132</v>
      </c>
      <c r="N25" s="1868">
        <f t="shared" si="38"/>
        <v>0</v>
      </c>
      <c r="O25" s="1868">
        <f>SUM(O26,O30:O33,O44)</f>
        <v>312771.55931371171</v>
      </c>
      <c r="P25" s="1832">
        <f t="shared" si="38"/>
        <v>629824.74160308135</v>
      </c>
      <c r="Q25" s="1867">
        <f ca="1">SUM(Q26,Q30:Q33,Q44)</f>
        <v>154658.30574463733</v>
      </c>
      <c r="R25" s="1869">
        <f t="shared" ref="R25:Z25" ca="1" si="39">SUM(R26,R30:R33,R44)</f>
        <v>156276.12037997687</v>
      </c>
      <c r="S25" s="1868">
        <f t="shared" ca="1" si="39"/>
        <v>152285.59874405465</v>
      </c>
      <c r="T25" s="1868">
        <f t="shared" ca="1" si="39"/>
        <v>155459.26788003615</v>
      </c>
      <c r="U25" s="1868">
        <f t="shared" ca="1" si="39"/>
        <v>0</v>
      </c>
      <c r="V25" s="1868">
        <f t="shared" ca="1" si="39"/>
        <v>0</v>
      </c>
      <c r="W25" s="1868">
        <f t="shared" ca="1" si="39"/>
        <v>161559.07819793234</v>
      </c>
      <c r="X25" s="1870">
        <f t="shared" ca="1" si="39"/>
        <v>166970.13393220052</v>
      </c>
      <c r="Y25" s="1870">
        <f t="shared" ca="1" si="39"/>
        <v>468502.98268662422</v>
      </c>
      <c r="Z25" s="1870">
        <f t="shared" ca="1" si="39"/>
        <v>478705.52219221345</v>
      </c>
      <c r="AA25" s="1832">
        <f ca="1">SUM(AA26,AA30:AA33,AA44)</f>
        <v>947208.50487883762</v>
      </c>
      <c r="AB25" s="1867">
        <f ca="1">SUM(AB26,AB30:AB33,AB44)</f>
        <v>516002.95954506926</v>
      </c>
      <c r="AC25" s="1869">
        <f t="shared" ref="AC25:AK25" ca="1" si="40">SUM(AC26,AC30:AC33,AC44)</f>
        <v>458999.6696414912</v>
      </c>
      <c r="AD25" s="1868">
        <f t="shared" ca="1" si="40"/>
        <v>460761.06508014962</v>
      </c>
      <c r="AE25" s="1868">
        <f t="shared" ca="1" si="40"/>
        <v>444264.90028881893</v>
      </c>
      <c r="AF25" s="1868">
        <f t="shared" ca="1" si="40"/>
        <v>0</v>
      </c>
      <c r="AG25" s="1868">
        <f t="shared" ca="1" si="40"/>
        <v>0</v>
      </c>
      <c r="AH25" s="1868">
        <f t="shared" ca="1" si="40"/>
        <v>839569.15523398365</v>
      </c>
      <c r="AI25" s="1870">
        <f t="shared" ca="1" si="40"/>
        <v>1120795.3744729708</v>
      </c>
      <c r="AJ25" s="1870">
        <f t="shared" ca="1" si="40"/>
        <v>1816333.1798592024</v>
      </c>
      <c r="AK25" s="1870">
        <f t="shared" ca="1" si="40"/>
        <v>2024059.944403281</v>
      </c>
      <c r="AL25" s="1832">
        <f ca="1">SUM(AL26,AL30:AL33,AL44)</f>
        <v>3840393.1242624833</v>
      </c>
      <c r="AM25" s="1867">
        <f>SUM(AM26,AM30:AM33,AM44)</f>
        <v>0</v>
      </c>
      <c r="AN25" s="1869">
        <f t="shared" ref="AN25:AW25" si="41">SUM(AN26,AN30:AN33,AN44)</f>
        <v>0</v>
      </c>
      <c r="AO25" s="1868">
        <f t="shared" si="41"/>
        <v>0</v>
      </c>
      <c r="AP25" s="1868">
        <f t="shared" si="41"/>
        <v>0</v>
      </c>
      <c r="AQ25" s="1868">
        <f t="shared" si="41"/>
        <v>0</v>
      </c>
      <c r="AR25" s="1868">
        <f t="shared" si="41"/>
        <v>0</v>
      </c>
      <c r="AS25" s="1868">
        <f t="shared" si="41"/>
        <v>0</v>
      </c>
      <c r="AT25" s="1870">
        <f t="shared" si="41"/>
        <v>0</v>
      </c>
      <c r="AU25" s="1870">
        <f t="shared" si="41"/>
        <v>0</v>
      </c>
      <c r="AV25" s="1870">
        <f t="shared" si="41"/>
        <v>0</v>
      </c>
      <c r="AW25" s="1832">
        <f t="shared" si="41"/>
        <v>0</v>
      </c>
      <c r="AX25" s="1740">
        <f ca="1">SUM(K25,P25,AA25,AL25)</f>
        <v>7443128.5399999991</v>
      </c>
      <c r="AY25" s="1740" t="b">
        <f ca="1">AX25='[30]СС 2016'!D183-'[30]СС 2016'!L183</f>
        <v>0</v>
      </c>
      <c r="AZ25" s="1740"/>
      <c r="BA25" s="1836">
        <f t="shared" ref="BA25:BF25" ca="1" si="42">SUM(BA26,BA30:BA33,BA44)</f>
        <v>1794480.0023220947</v>
      </c>
      <c r="BB25" s="1836">
        <f t="shared" ca="1" si="42"/>
        <v>1738146.5586548035</v>
      </c>
      <c r="BC25" s="1836">
        <f t="shared" ca="1" si="42"/>
        <v>0</v>
      </c>
      <c r="BD25" s="1836">
        <f t="shared" ca="1" si="42"/>
        <v>3910501.9790231008</v>
      </c>
      <c r="BE25" s="1836">
        <f t="shared" ca="1" si="42"/>
        <v>7443128.5399999991</v>
      </c>
      <c r="BF25" s="1836">
        <f t="shared" ca="1" si="42"/>
        <v>7443128.5399999991</v>
      </c>
      <c r="BG25" s="1740"/>
      <c r="BH25" s="1740"/>
      <c r="BI25" s="1871">
        <f ca="1">SUM(BI26,BI30:BI33,BI44)</f>
        <v>1794480.0023220947</v>
      </c>
      <c r="BJ25" s="1871">
        <f ca="1">SUM(BJ26,BJ30:BJ33,BJ44)</f>
        <v>5648648.5376779046</v>
      </c>
      <c r="BK25" s="1871">
        <f ca="1">SUM(BK26,BK30:BK33,BK44)</f>
        <v>7443128.54</v>
      </c>
    </row>
    <row r="26" spans="1:63" ht="15.75">
      <c r="A26" s="1739">
        <v>1</v>
      </c>
      <c r="B26" s="1872" t="str">
        <f>CONCATENATE($B$25,".",A26)</f>
        <v>8.1</v>
      </c>
      <c r="C26" s="1873" t="s">
        <v>3703</v>
      </c>
      <c r="D26" s="1874"/>
      <c r="E26" s="1875"/>
      <c r="F26" s="1874"/>
      <c r="G26" s="1876">
        <f>SUM(G27:G29)</f>
        <v>2370.0576479637166</v>
      </c>
      <c r="H26" s="1779">
        <f t="shared" ref="H26:I26" si="43">SUM(H27:H29)</f>
        <v>4774.8808479637155</v>
      </c>
      <c r="I26" s="1779">
        <f t="shared" si="43"/>
        <v>0</v>
      </c>
      <c r="J26" s="1779">
        <f>SUM(J27:J29)</f>
        <v>17731.47150407256</v>
      </c>
      <c r="K26" s="1877">
        <f>SUMIF('СС2017 '!$B$187:$B$207,'C1 2017'!C26,'СС2017 '!$G$187:$G$207)</f>
        <v>24876.409999999993</v>
      </c>
      <c r="L26" s="1876">
        <f>SUM(L27:L29)</f>
        <v>276.99326145809863</v>
      </c>
      <c r="M26" s="1779">
        <f t="shared" ref="M26:N26" si="44">SUM(M27:M29)</f>
        <v>558.05326145809852</v>
      </c>
      <c r="N26" s="1779">
        <f t="shared" si="44"/>
        <v>0</v>
      </c>
      <c r="O26" s="1779">
        <f>SUM(O27:O29)</f>
        <v>2072.3334770838037</v>
      </c>
      <c r="P26" s="1877">
        <f>SUMIF('СС2017 '!$B$187:$B$207,'C1 2017'!C26,'СС2017 '!$H$187:$H$207)</f>
        <v>2907.380000000001</v>
      </c>
      <c r="Q26" s="1878">
        <f ca="1">Q$13/$AA$13*$AA26</f>
        <v>326.44120781527528</v>
      </c>
      <c r="R26" s="1879">
        <f t="shared" ref="Q26:X27" ca="1" si="45">R$13/$AA$13*$AA26</f>
        <v>342.76326820603902</v>
      </c>
      <c r="S26" s="1880">
        <f t="shared" ca="1" si="45"/>
        <v>342.76326820603902</v>
      </c>
      <c r="T26" s="1880">
        <f t="shared" ca="1" si="45"/>
        <v>481.5007815275311</v>
      </c>
      <c r="U26" s="1880">
        <f t="shared" ca="1" si="45"/>
        <v>0</v>
      </c>
      <c r="V26" s="1880">
        <f t="shared" ca="1" si="45"/>
        <v>0</v>
      </c>
      <c r="W26" s="1880">
        <f t="shared" ca="1" si="45"/>
        <v>1305.7648312611011</v>
      </c>
      <c r="X26" s="1881">
        <f t="shared" ca="1" si="45"/>
        <v>1795.4266429840138</v>
      </c>
      <c r="Y26" s="1882">
        <f t="shared" ref="Y26:Z26" ca="1" si="46">SUM(Y27:Y29)</f>
        <v>1974.9693072824152</v>
      </c>
      <c r="Z26" s="1882">
        <f t="shared" ca="1" si="46"/>
        <v>2619.6906927175842</v>
      </c>
      <c r="AA26" s="1877">
        <f ca="1">SUMIF('СС2017 '!$B$187:$B$207,'C1 2017'!C26,'СС2017 '!$I$187:$I$207)</f>
        <v>4594.6599999999989</v>
      </c>
      <c r="AB26" s="1878">
        <f ca="1">AB$13/$AL$13*$AL26</f>
        <v>921.38389189189184</v>
      </c>
      <c r="AC26" s="1879">
        <f ca="1">AC$13/$AL$13*$AL26</f>
        <v>877.50846846846855</v>
      </c>
      <c r="AD26" s="1880">
        <f ca="1">AD$13/$AL$13*$AL26</f>
        <v>921.38389189189184</v>
      </c>
      <c r="AE26" s="1880">
        <f ca="1">AE$13/$AL$13*$AL26</f>
        <v>1118.8232972972971</v>
      </c>
      <c r="AF26" s="1880">
        <f t="shared" ref="AC26:AH27" ca="1" si="47">AF$13/$AL$13*$AL26</f>
        <v>0</v>
      </c>
      <c r="AG26" s="1880">
        <f t="shared" ca="1" si="47"/>
        <v>0</v>
      </c>
      <c r="AH26" s="1880">
        <f ca="1">AH$13/$AL$13*$AL26</f>
        <v>3510.0338738738742</v>
      </c>
      <c r="AI26" s="1881">
        <f ca="1">AI$13/$AL$13*$AL26</f>
        <v>4826.2965765765766</v>
      </c>
      <c r="AJ26" s="1882">
        <f t="shared" ref="AJ26" ca="1" si="48">SUM(AJ27:AJ29)</f>
        <v>5352.8016576576574</v>
      </c>
      <c r="AK26" s="1882">
        <f t="shared" ref="AK26" ca="1" si="49">SUM(AK27:AK29)</f>
        <v>6822.628342342342</v>
      </c>
      <c r="AL26" s="1877">
        <f ca="1">SUMIF('СС2017 '!$B$187:$B$207,'C1 2017'!C26,'СС2017 '!$J$187:$J$207)</f>
        <v>12175.429999999998</v>
      </c>
      <c r="AM26" s="1878">
        <f>AM$13/$AW$13*$AW26</f>
        <v>0</v>
      </c>
      <c r="AN26" s="1879">
        <f t="shared" ref="AN26:AT27" si="50">AN$13/$AW$13*$AW26</f>
        <v>0</v>
      </c>
      <c r="AO26" s="1880">
        <f t="shared" si="50"/>
        <v>0</v>
      </c>
      <c r="AP26" s="1880">
        <f t="shared" si="50"/>
        <v>0</v>
      </c>
      <c r="AQ26" s="1880">
        <f t="shared" si="50"/>
        <v>0</v>
      </c>
      <c r="AR26" s="1880">
        <f t="shared" si="50"/>
        <v>0</v>
      </c>
      <c r="AS26" s="1880">
        <f t="shared" si="50"/>
        <v>0</v>
      </c>
      <c r="AT26" s="1881">
        <f t="shared" si="50"/>
        <v>0</v>
      </c>
      <c r="AU26" s="1882">
        <f t="shared" ref="AU26:AV26" si="51">SUM(AU27:AU29)</f>
        <v>0</v>
      </c>
      <c r="AV26" s="1882">
        <f t="shared" si="51"/>
        <v>0</v>
      </c>
      <c r="AW26" s="1877"/>
      <c r="AX26" s="1740">
        <f>'[30]СС 2016'!L183</f>
        <v>0</v>
      </c>
      <c r="AY26" s="1740"/>
      <c r="AZ26" s="1740"/>
      <c r="BA26" s="1883">
        <f ca="1">SUM(G26,L26,Q26:R26,AB26:AC26)</f>
        <v>5115.1477458034906</v>
      </c>
      <c r="BB26" s="1883">
        <f ca="1">SUM(H26,M26,S26:T26,AD26:AE26)</f>
        <v>8197.4053483445732</v>
      </c>
      <c r="BC26" s="1883">
        <f ca="1">SUM(I26,N26,U26:V26,AF26:AG26)</f>
        <v>0</v>
      </c>
      <c r="BD26" s="1883">
        <f ca="1">SUM(J26,O26,W26:X26,AH26:AI26)</f>
        <v>31241.326905851933</v>
      </c>
      <c r="BE26" s="1883">
        <f ca="1">SUM(K26,P26,Y26:Z26,AJ26:AK26)</f>
        <v>44553.88</v>
      </c>
      <c r="BF26" s="1883">
        <f ca="1">SUM(BA26:BD26)</f>
        <v>44553.88</v>
      </c>
      <c r="BG26" s="1740" t="b">
        <f ca="1">BE26=BF26</f>
        <v>1</v>
      </c>
      <c r="BH26" s="1740"/>
      <c r="BI26" s="1884">
        <f ca="1">SUM(BI27:BI29)</f>
        <v>5115.1477458034897</v>
      </c>
      <c r="BJ26" s="1884">
        <f ca="1">SUM(BJ27:BJ29)</f>
        <v>39438.732254196497</v>
      </c>
      <c r="BK26" s="1884">
        <f ca="1">SUM(BK27:BK29)</f>
        <v>44553.87999999999</v>
      </c>
    </row>
    <row r="27" spans="1:63" ht="15.75">
      <c r="B27" s="1872"/>
      <c r="C27" s="1886" t="s">
        <v>3766</v>
      </c>
      <c r="D27" s="1874"/>
      <c r="E27" s="1875"/>
      <c r="F27" s="1874"/>
      <c r="G27" s="1878">
        <f>G$13/$K$13*$K27</f>
        <v>1366.3744000000002</v>
      </c>
      <c r="H27" s="1880">
        <f t="shared" ref="H27:I27" si="52">H$13/$K$13*$K27</f>
        <v>3142.6611199999993</v>
      </c>
      <c r="I27" s="1880">
        <f t="shared" si="52"/>
        <v>0</v>
      </c>
      <c r="J27" s="1880">
        <f>J$13/$K$13*$K27</f>
        <v>12570.644480000001</v>
      </c>
      <c r="K27" s="1877">
        <f>SUMIF('СС2017 '!$B$187:$B$207,'C1 2017'!C27,'СС2017 '!$G$187:$G$207)</f>
        <v>17079.68</v>
      </c>
      <c r="L27" s="1878">
        <f>L$13/$P13*$P27</f>
        <v>159.69280000000001</v>
      </c>
      <c r="M27" s="1880">
        <f t="shared" ref="M27:N27" si="53">M$13/$P13*$P27</f>
        <v>367.29343999999998</v>
      </c>
      <c r="N27" s="1880">
        <f t="shared" si="53"/>
        <v>0</v>
      </c>
      <c r="O27" s="1880">
        <f>O$13/$P13*$P27</f>
        <v>1469.1737600000001</v>
      </c>
      <c r="P27" s="1877">
        <f>SUMIF('СС2017 '!$B$187:$B$207,'C1 2017'!C27,'СС2017 '!$H$187:$H$207)</f>
        <v>1996.16</v>
      </c>
      <c r="Q27" s="1878">
        <f t="shared" ca="1" si="45"/>
        <v>141.24049733570163</v>
      </c>
      <c r="R27" s="1879">
        <f t="shared" ca="1" si="45"/>
        <v>148.3025222024867</v>
      </c>
      <c r="S27" s="1880">
        <f t="shared" ca="1" si="45"/>
        <v>148.3025222024867</v>
      </c>
      <c r="T27" s="1880">
        <f t="shared" ca="1" si="45"/>
        <v>208.32973357015993</v>
      </c>
      <c r="U27" s="1880">
        <f t="shared" ca="1" si="45"/>
        <v>0</v>
      </c>
      <c r="V27" s="1880">
        <f t="shared" ca="1" si="45"/>
        <v>0</v>
      </c>
      <c r="W27" s="1880">
        <f t="shared" ca="1" si="45"/>
        <v>564.96198934280653</v>
      </c>
      <c r="X27" s="1881">
        <f t="shared" ca="1" si="45"/>
        <v>776.82273534635885</v>
      </c>
      <c r="Y27" s="1882">
        <f t="shared" ref="Y27:Z32" ca="1" si="54">SUM(Q27,S27,U27,W27)</f>
        <v>854.50500888099486</v>
      </c>
      <c r="Z27" s="1882">
        <f t="shared" ca="1" si="54"/>
        <v>1133.4549911190056</v>
      </c>
      <c r="AA27" s="1877">
        <f ca="1">SUMIF('СС2017 '!$B$187:$B$207,'C1 2017'!C27,'СС2017 '!$I$187:$I$207)</f>
        <v>1987.96</v>
      </c>
      <c r="AB27" s="1878">
        <f ca="1">AB$13/$AL$13*$AL27</f>
        <v>216.39686486486485</v>
      </c>
      <c r="AC27" s="1879">
        <f t="shared" ca="1" si="47"/>
        <v>206.09225225225228</v>
      </c>
      <c r="AD27" s="1880">
        <f t="shared" ca="1" si="47"/>
        <v>216.39686486486485</v>
      </c>
      <c r="AE27" s="1880">
        <f t="shared" ca="1" si="47"/>
        <v>262.76762162162163</v>
      </c>
      <c r="AF27" s="1880">
        <f t="shared" ca="1" si="47"/>
        <v>0</v>
      </c>
      <c r="AG27" s="1880">
        <f t="shared" ca="1" si="47"/>
        <v>0</v>
      </c>
      <c r="AH27" s="1880">
        <f t="shared" ca="1" si="47"/>
        <v>824.36900900900912</v>
      </c>
      <c r="AI27" s="1881">
        <f ca="1">AI$13/$AL$13*$AL27</f>
        <v>1133.5073873873876</v>
      </c>
      <c r="AJ27" s="1882">
        <f t="shared" ref="AJ27:AK32" ca="1" si="55">SUM(AB27,AD27,AF27,AH27)</f>
        <v>1257.1627387387389</v>
      </c>
      <c r="AK27" s="1882">
        <f t="shared" ca="1" si="55"/>
        <v>1602.3672612612613</v>
      </c>
      <c r="AL27" s="1877">
        <f ca="1">SUMIF('СС2017 '!$B$187:$B$207,'C1 2017'!C27,'СС2017 '!$J$187:$J$207)</f>
        <v>2859.5299999999997</v>
      </c>
      <c r="AM27" s="1878">
        <f>AM$13/$AW$13*$AW27</f>
        <v>0</v>
      </c>
      <c r="AN27" s="1879">
        <f t="shared" si="50"/>
        <v>0</v>
      </c>
      <c r="AO27" s="1880">
        <f t="shared" si="50"/>
        <v>0</v>
      </c>
      <c r="AP27" s="1880">
        <f t="shared" si="50"/>
        <v>0</v>
      </c>
      <c r="AQ27" s="1880">
        <f t="shared" si="50"/>
        <v>0</v>
      </c>
      <c r="AR27" s="1880">
        <f t="shared" si="50"/>
        <v>0</v>
      </c>
      <c r="AS27" s="1880">
        <f t="shared" si="50"/>
        <v>0</v>
      </c>
      <c r="AT27" s="1881">
        <f t="shared" si="50"/>
        <v>0</v>
      </c>
      <c r="AU27" s="1882">
        <f t="shared" ref="AU27:AV32" si="56">SUM(AM27,AO27,AQ27,AS27)</f>
        <v>0</v>
      </c>
      <c r="AV27" s="1882">
        <f t="shared" si="56"/>
        <v>0</v>
      </c>
      <c r="AW27" s="1877"/>
      <c r="AX27" s="1740"/>
      <c r="AY27" s="1740"/>
      <c r="AZ27" s="1740"/>
      <c r="BA27" s="1883">
        <f t="shared" ref="BA27:BA49" ca="1" si="57">SUM(G27,L27,Q27:R27,AB27:AC27)</f>
        <v>2238.0993366553057</v>
      </c>
      <c r="BB27" s="1883">
        <f t="shared" ref="BB27:BB49" ca="1" si="58">SUM(H27,M27,S27:T27,AD27:AE27)</f>
        <v>4345.751302259132</v>
      </c>
      <c r="BC27" s="1883">
        <f t="shared" ref="BC27:BC49" ca="1" si="59">SUM(I27,N27,U27:V27,AF27:AG27)</f>
        <v>0</v>
      </c>
      <c r="BD27" s="1883">
        <f ca="1">SUM(J27,O27,W27:X27,AH27:AI27)</f>
        <v>17339.479361085563</v>
      </c>
      <c r="BE27" s="1883">
        <f ca="1">SUM(K27,P27,Y27:Z27,AJ27:AK27)</f>
        <v>23923.329999999998</v>
      </c>
      <c r="BF27" s="1883">
        <f t="shared" ref="BF27:BF49" ca="1" si="60">SUM(BA27:BD27)</f>
        <v>23923.33</v>
      </c>
      <c r="BG27" s="1740" t="b">
        <f t="shared" ref="BG27:BG49" ca="1" si="61">BE27=BF27</f>
        <v>1</v>
      </c>
      <c r="BH27" s="1740"/>
      <c r="BI27" s="1768">
        <f ca="1">BA27</f>
        <v>2238.0993366553057</v>
      </c>
      <c r="BJ27" s="1768">
        <f ca="1">SUM(BB27:BD27)</f>
        <v>21685.230663344693</v>
      </c>
      <c r="BK27" s="1768">
        <f ca="1">SUM(BI27:BJ27)</f>
        <v>23923.329999999998</v>
      </c>
    </row>
    <row r="28" spans="1:63" ht="15.75">
      <c r="B28" s="1872"/>
      <c r="C28" s="1886" t="s">
        <v>3755</v>
      </c>
      <c r="D28" s="1874"/>
      <c r="E28" s="1875"/>
      <c r="F28" s="1874"/>
      <c r="G28" s="1878">
        <f>G$15/$K$15*$K28</f>
        <v>483.4896</v>
      </c>
      <c r="H28" s="1880">
        <f>H$15/$K$15*$K28</f>
        <v>1112.0260799999999</v>
      </c>
      <c r="I28" s="1880">
        <f t="shared" ref="I28" si="62">I$15/$K$15*$K28</f>
        <v>0</v>
      </c>
      <c r="J28" s="1880">
        <f>J$15/$K$15*$K28</f>
        <v>4448.1043200000004</v>
      </c>
      <c r="K28" s="1877">
        <f>SUMIF('СС2017 '!$B$187:$B$207,'C1 2017'!C28,'СС2017 '!$G$187:$G$207)</f>
        <v>6043.6200000000008</v>
      </c>
      <c r="L28" s="1878">
        <f>L$15/$P15*$P28</f>
        <v>56.507199999999976</v>
      </c>
      <c r="M28" s="1880">
        <f t="shared" ref="M28:N28" si="63">M$15/$P15*$P28</f>
        <v>129.96655999999993</v>
      </c>
      <c r="N28" s="1880">
        <f t="shared" si="63"/>
        <v>0</v>
      </c>
      <c r="O28" s="1880">
        <f>O$15/$P15*$P28</f>
        <v>519.86623999999983</v>
      </c>
      <c r="P28" s="1877">
        <f>SUMIF('СС2017 '!$B$187:$B$207,'C1 2017'!C28,'СС2017 '!$H$187:$H$207)</f>
        <v>706.3399999999998</v>
      </c>
      <c r="Q28" s="1878">
        <f ca="1">Q$15/$AA$15*$AA28</f>
        <v>139.36808080808078</v>
      </c>
      <c r="R28" s="1879">
        <f ca="1">R$15/$AA$15*$AA28</f>
        <v>146.33648484848482</v>
      </c>
      <c r="S28" s="1880">
        <f ca="1">S$15/$AA$15*$AA28</f>
        <v>146.33648484848482</v>
      </c>
      <c r="T28" s="1880">
        <f ca="1">T$15/$AA$15*$AA28</f>
        <v>205.56791919191915</v>
      </c>
      <c r="U28" s="1880">
        <f t="shared" ref="U28:V28" ca="1" si="64">U$15/$AA$15*$AA28</f>
        <v>0</v>
      </c>
      <c r="V28" s="1880">
        <f t="shared" ca="1" si="64"/>
        <v>0</v>
      </c>
      <c r="W28" s="1880">
        <f ca="1">W$15/$AA$15*$AA28</f>
        <v>320.54658585858584</v>
      </c>
      <c r="X28" s="1881">
        <f ca="1">X$15/$AA$15*$AA28</f>
        <v>766.52444444444438</v>
      </c>
      <c r="Y28" s="1882">
        <f t="shared" ca="1" si="54"/>
        <v>606.25115151515138</v>
      </c>
      <c r="Z28" s="1882">
        <f t="shared" ca="1" si="54"/>
        <v>1118.4288484848485</v>
      </c>
      <c r="AA28" s="1877">
        <f ca="1">SUMIF('СС2017 '!$B$187:$B$207,'C1 2017'!C28,'СС2017 '!$I$187:$I$207)</f>
        <v>1724.6799999999998</v>
      </c>
      <c r="AB28" s="1878">
        <f ca="1">AB$15/$AL$15*$AL28</f>
        <v>137.19091891891892</v>
      </c>
      <c r="AC28" s="1879">
        <f t="shared" ref="AC28:AH28" ca="1" si="65">AC$15/$AL$15*$AL28</f>
        <v>130.65801801801803</v>
      </c>
      <c r="AD28" s="1880">
        <f t="shared" ca="1" si="65"/>
        <v>137.19091891891892</v>
      </c>
      <c r="AE28" s="1880">
        <f t="shared" ca="1" si="65"/>
        <v>166.58897297297295</v>
      </c>
      <c r="AF28" s="1880">
        <f t="shared" ca="1" si="65"/>
        <v>0</v>
      </c>
      <c r="AG28" s="1880">
        <f t="shared" ca="1" si="65"/>
        <v>0</v>
      </c>
      <c r="AH28" s="1880">
        <f t="shared" ca="1" si="65"/>
        <v>522.63207207207211</v>
      </c>
      <c r="AI28" s="1881">
        <f ca="1">AI$15/$AL$15*$AL28</f>
        <v>718.61909909909912</v>
      </c>
      <c r="AJ28" s="1882">
        <f t="shared" ca="1" si="55"/>
        <v>797.0139099099099</v>
      </c>
      <c r="AK28" s="1882">
        <f t="shared" ca="1" si="55"/>
        <v>1015.8660900900901</v>
      </c>
      <c r="AL28" s="1877">
        <f ca="1">SUMIF('СС2017 '!$B$187:$B$207,'C1 2017'!C28,'СС2017 '!$J$187:$J$207)</f>
        <v>1812.88</v>
      </c>
      <c r="AM28" s="1878">
        <f>AM$15/$AW$15*$AW28</f>
        <v>0</v>
      </c>
      <c r="AN28" s="1879">
        <f t="shared" ref="AN28:AT28" si="66">AN$15/$AW$15*$AW28</f>
        <v>0</v>
      </c>
      <c r="AO28" s="1880">
        <f>AO$15/$AW$15*$AW28</f>
        <v>0</v>
      </c>
      <c r="AP28" s="1880">
        <f t="shared" si="66"/>
        <v>0</v>
      </c>
      <c r="AQ28" s="1880">
        <f t="shared" si="66"/>
        <v>0</v>
      </c>
      <c r="AR28" s="1880">
        <f t="shared" si="66"/>
        <v>0</v>
      </c>
      <c r="AS28" s="1880">
        <f t="shared" si="66"/>
        <v>0</v>
      </c>
      <c r="AT28" s="1881">
        <f t="shared" si="66"/>
        <v>0</v>
      </c>
      <c r="AU28" s="1882">
        <f t="shared" si="56"/>
        <v>0</v>
      </c>
      <c r="AV28" s="1882">
        <f t="shared" si="56"/>
        <v>0</v>
      </c>
      <c r="AW28" s="1877"/>
      <c r="AX28" s="1740"/>
      <c r="AY28" s="1740"/>
      <c r="AZ28" s="1740"/>
      <c r="BA28" s="1883">
        <f ca="1">SUM(G28,L28,Q28:R28,AB28:AC28)</f>
        <v>1093.5503025935025</v>
      </c>
      <c r="BB28" s="1883">
        <f t="shared" ca="1" si="58"/>
        <v>1897.6769359322955</v>
      </c>
      <c r="BC28" s="1883">
        <f t="shared" ca="1" si="59"/>
        <v>0</v>
      </c>
      <c r="BD28" s="1883">
        <f t="shared" ref="BD28:BD49" ca="1" si="67">SUM(J28,O28,W28:X28,AH28:AI28)</f>
        <v>7296.2927614742011</v>
      </c>
      <c r="BE28" s="1883">
        <f t="shared" ref="BE28:BE49" ca="1" si="68">SUM(K28,P28,Y28:Z28,AJ28:AK28)</f>
        <v>10287.52</v>
      </c>
      <c r="BF28" s="1883">
        <f t="shared" ca="1" si="60"/>
        <v>10287.519999999999</v>
      </c>
      <c r="BG28" s="1740" t="b">
        <f t="shared" ca="1" si="61"/>
        <v>1</v>
      </c>
      <c r="BH28" s="1740"/>
      <c r="BI28" s="1768">
        <f ca="1">BA28</f>
        <v>1093.5503025935025</v>
      </c>
      <c r="BJ28" s="1768">
        <f t="shared" ref="BJ28:BJ32" ca="1" si="69">SUM(BB28:BD28)</f>
        <v>9193.9696974064973</v>
      </c>
      <c r="BK28" s="1768">
        <f t="shared" ref="BK28:BK32" ca="1" si="70">SUM(BI28:BJ28)</f>
        <v>10287.52</v>
      </c>
    </row>
    <row r="29" spans="1:63" ht="15.75">
      <c r="B29" s="1872"/>
      <c r="C29" s="1887" t="s">
        <v>3767</v>
      </c>
      <c r="D29" s="1874"/>
      <c r="E29" s="1875"/>
      <c r="F29" s="1874"/>
      <c r="G29" s="1878">
        <f>G$16/$K$16*$K29</f>
        <v>520.19364796371633</v>
      </c>
      <c r="H29" s="1880">
        <f>H$16/$K$16*$K29</f>
        <v>520.19364796371633</v>
      </c>
      <c r="I29" s="1880">
        <f t="shared" ref="I29" si="71">I$16/$K$16*$K29</f>
        <v>0</v>
      </c>
      <c r="J29" s="1880">
        <f>K29-G29-H29-I29</f>
        <v>712.72270407255883</v>
      </c>
      <c r="K29" s="1885">
        <f>K26-K27-K28</f>
        <v>1753.1099999999915</v>
      </c>
      <c r="L29" s="1878">
        <f>L$16/$P16*$P29</f>
        <v>60.793261458098648</v>
      </c>
      <c r="M29" s="1880">
        <f t="shared" ref="M29:O29" si="72">M$16/$P16*$P29</f>
        <v>60.793261458098648</v>
      </c>
      <c r="N29" s="1880">
        <f t="shared" si="72"/>
        <v>0</v>
      </c>
      <c r="O29" s="1880">
        <f t="shared" si="72"/>
        <v>83.293477083803836</v>
      </c>
      <c r="P29" s="1885">
        <f>P26-P27-P28</f>
        <v>204.88000000000113</v>
      </c>
      <c r="Q29" s="1876">
        <f ca="1">Q26-Q27-Q28</f>
        <v>45.832629671492867</v>
      </c>
      <c r="R29" s="1888">
        <f t="shared" ref="R29:X29" ca="1" si="73">R26-R27-R28</f>
        <v>48.124261155067501</v>
      </c>
      <c r="S29" s="1779">
        <f t="shared" ca="1" si="73"/>
        <v>48.124261155067501</v>
      </c>
      <c r="T29" s="1779">
        <f t="shared" ca="1" si="73"/>
        <v>67.603128765452027</v>
      </c>
      <c r="U29" s="1779">
        <f t="shared" ca="1" si="73"/>
        <v>0</v>
      </c>
      <c r="V29" s="1779">
        <f t="shared" ca="1" si="73"/>
        <v>0</v>
      </c>
      <c r="W29" s="1779">
        <f t="shared" ca="1" si="73"/>
        <v>420.25625605970873</v>
      </c>
      <c r="X29" s="1882">
        <f t="shared" ca="1" si="73"/>
        <v>252.07946319321059</v>
      </c>
      <c r="Y29" s="1882">
        <f ca="1">SUM(Q29,S29,U29,W29)</f>
        <v>514.2131468862691</v>
      </c>
      <c r="Z29" s="1882">
        <f t="shared" ca="1" si="54"/>
        <v>367.80685311373009</v>
      </c>
      <c r="AA29" s="1885">
        <f ca="1">AA26-AA27-AA28</f>
        <v>882.01999999999907</v>
      </c>
      <c r="AB29" s="1876">
        <f ca="1">AB26-AB27-AB28</f>
        <v>567.79610810810811</v>
      </c>
      <c r="AC29" s="1888">
        <f t="shared" ref="AC29:AI29" ca="1" si="74">AC26-AC27-AC28</f>
        <v>540.75819819819822</v>
      </c>
      <c r="AD29" s="1779">
        <f t="shared" ca="1" si="74"/>
        <v>567.79610810810811</v>
      </c>
      <c r="AE29" s="1779">
        <f t="shared" ca="1" si="74"/>
        <v>689.46670270270261</v>
      </c>
      <c r="AF29" s="1779">
        <f t="shared" ca="1" si="74"/>
        <v>0</v>
      </c>
      <c r="AG29" s="1779">
        <f t="shared" ca="1" si="74"/>
        <v>0</v>
      </c>
      <c r="AH29" s="1779">
        <f t="shared" ca="1" si="74"/>
        <v>2163.0327927927929</v>
      </c>
      <c r="AI29" s="1882">
        <f t="shared" ca="1" si="74"/>
        <v>2974.1700900900901</v>
      </c>
      <c r="AJ29" s="1882">
        <f t="shared" ca="1" si="55"/>
        <v>3298.6250090090089</v>
      </c>
      <c r="AK29" s="1882">
        <f t="shared" ca="1" si="55"/>
        <v>4204.3949909909907</v>
      </c>
      <c r="AL29" s="1885">
        <f ca="1">AL26-AL27-AL28</f>
        <v>7503.0199999999977</v>
      </c>
      <c r="AM29" s="1876">
        <f>AM26-AM27-AM28</f>
        <v>0</v>
      </c>
      <c r="AN29" s="1888">
        <f t="shared" ref="AN29:AT29" si="75">AN26-AN27-AN28</f>
        <v>0</v>
      </c>
      <c r="AO29" s="1779">
        <f t="shared" si="75"/>
        <v>0</v>
      </c>
      <c r="AP29" s="1779">
        <f t="shared" si="75"/>
        <v>0</v>
      </c>
      <c r="AQ29" s="1779">
        <f t="shared" si="75"/>
        <v>0</v>
      </c>
      <c r="AR29" s="1779">
        <f t="shared" si="75"/>
        <v>0</v>
      </c>
      <c r="AS29" s="1779">
        <f t="shared" si="75"/>
        <v>0</v>
      </c>
      <c r="AT29" s="1882">
        <f t="shared" si="75"/>
        <v>0</v>
      </c>
      <c r="AU29" s="1882">
        <f t="shared" si="56"/>
        <v>0</v>
      </c>
      <c r="AV29" s="1882">
        <f t="shared" si="56"/>
        <v>0</v>
      </c>
      <c r="AW29" s="1877"/>
      <c r="AX29" s="1740"/>
      <c r="AY29" s="1740"/>
      <c r="AZ29" s="1740"/>
      <c r="BA29" s="1883">
        <f t="shared" ca="1" si="57"/>
        <v>1783.4981065546817</v>
      </c>
      <c r="BB29" s="1883">
        <f t="shared" ca="1" si="58"/>
        <v>1953.9771101531451</v>
      </c>
      <c r="BC29" s="1883">
        <f t="shared" ca="1" si="59"/>
        <v>0</v>
      </c>
      <c r="BD29" s="1883">
        <f t="shared" ca="1" si="67"/>
        <v>6605.5547832921657</v>
      </c>
      <c r="BE29" s="1883">
        <f t="shared" ca="1" si="68"/>
        <v>10343.029999999992</v>
      </c>
      <c r="BF29" s="1883">
        <f t="shared" ca="1" si="60"/>
        <v>10343.029999999992</v>
      </c>
      <c r="BG29" s="1740" t="b">
        <f t="shared" ca="1" si="61"/>
        <v>1</v>
      </c>
      <c r="BH29" s="1740"/>
      <c r="BI29" s="1768">
        <f t="shared" ref="BI29:BI31" ca="1" si="76">BA29</f>
        <v>1783.4981065546817</v>
      </c>
      <c r="BJ29" s="1768">
        <f t="shared" ca="1" si="69"/>
        <v>8559.5318934453098</v>
      </c>
      <c r="BK29" s="1768">
        <f t="shared" ca="1" si="70"/>
        <v>10343.029999999992</v>
      </c>
    </row>
    <row r="30" spans="1:63" ht="15.75">
      <c r="A30" s="1739">
        <f>A26+1</f>
        <v>2</v>
      </c>
      <c r="B30" s="1872" t="str">
        <f>CONCATENATE($B$25,".",A30)</f>
        <v>8.2</v>
      </c>
      <c r="C30" s="1873" t="s">
        <v>3704</v>
      </c>
      <c r="D30" s="1874"/>
      <c r="E30" s="1875"/>
      <c r="F30" s="1874"/>
      <c r="G30" s="1878">
        <f>G$16/$K$16*$K30</f>
        <v>1059.8287957845962</v>
      </c>
      <c r="H30" s="1880">
        <f>H$16/$K$16*$K30</f>
        <v>1059.8287957845962</v>
      </c>
      <c r="I30" s="1880">
        <f>I$16/$K$16*$K30</f>
        <v>0</v>
      </c>
      <c r="J30" s="1880">
        <f>K30-G30-H30-I30</f>
        <v>1452.0824084308076</v>
      </c>
      <c r="K30" s="1877">
        <f>SUMIF('СС2017 '!$B$187:$B$207,'C1 2017'!C30,'СС2017 '!$G$187:$G$207)</f>
        <v>3571.7400000000002</v>
      </c>
      <c r="L30" s="1878">
        <f>L$16/$P16*$P30</f>
        <v>123.86538004231042</v>
      </c>
      <c r="M30" s="1880">
        <f t="shared" ref="M30:O30" si="77">M$16/$P16*$P30</f>
        <v>123.86538004231042</v>
      </c>
      <c r="N30" s="1880">
        <f t="shared" si="77"/>
        <v>0</v>
      </c>
      <c r="O30" s="1880">
        <f t="shared" si="77"/>
        <v>169.70923991537916</v>
      </c>
      <c r="P30" s="1877">
        <f>SUMIF('СС2017 '!$B$187:$B$207,'C1 2017'!C30,'СС2017 '!$H$187:$H$207)</f>
        <v>417.44</v>
      </c>
      <c r="Q30" s="1878">
        <f ca="1">Q$16/$AA$16*$AA30</f>
        <v>364.89833333333337</v>
      </c>
      <c r="R30" s="1879">
        <f ca="1">R$16/$AA$16*$AA30</f>
        <v>364.89833333333337</v>
      </c>
      <c r="S30" s="1880">
        <f t="shared" ref="S30:X30" ca="1" si="78">S$16/$AA$16*$AA30</f>
        <v>364.89833333333337</v>
      </c>
      <c r="T30" s="1880">
        <f t="shared" ca="1" si="78"/>
        <v>364.89833333333337</v>
      </c>
      <c r="U30" s="1880">
        <f t="shared" ca="1" si="78"/>
        <v>0</v>
      </c>
      <c r="V30" s="1880">
        <f t="shared" ca="1" si="78"/>
        <v>0</v>
      </c>
      <c r="W30" s="1880">
        <f t="shared" ca="1" si="78"/>
        <v>364.89833333333337</v>
      </c>
      <c r="X30" s="1881">
        <f t="shared" ca="1" si="78"/>
        <v>364.89833333333337</v>
      </c>
      <c r="Y30" s="1882">
        <f t="shared" ca="1" si="54"/>
        <v>1094.6950000000002</v>
      </c>
      <c r="Z30" s="1882">
        <f t="shared" ca="1" si="54"/>
        <v>1094.6950000000002</v>
      </c>
      <c r="AA30" s="1877">
        <f ca="1">SUMIF('СС2017 '!$B$187:$B$207,'C1 2017'!C30,'СС2017 '!$I$187:$I$207)</f>
        <v>2189.39</v>
      </c>
      <c r="AB30" s="1878">
        <f ca="1">AB$16/$AL$16*$AL30</f>
        <v>60.61204742034856</v>
      </c>
      <c r="AC30" s="1879">
        <f t="shared" ref="AC30:AI30" ca="1" si="79">AC$16/$AL$16*$AL30</f>
        <v>60.612047420348553</v>
      </c>
      <c r="AD30" s="1880">
        <f t="shared" ca="1" si="79"/>
        <v>68.089762898257192</v>
      </c>
      <c r="AE30" s="1880">
        <f t="shared" ca="1" si="79"/>
        <v>60.612047420348553</v>
      </c>
      <c r="AF30" s="1880">
        <f t="shared" ca="1" si="79"/>
        <v>0</v>
      </c>
      <c r="AG30" s="1880">
        <f t="shared" ca="1" si="79"/>
        <v>0</v>
      </c>
      <c r="AH30" s="1880">
        <f t="shared" ca="1" si="79"/>
        <v>60.61204742034856</v>
      </c>
      <c r="AI30" s="1881">
        <f t="shared" ca="1" si="79"/>
        <v>60.612047420348553</v>
      </c>
      <c r="AJ30" s="1882">
        <f t="shared" ca="1" si="55"/>
        <v>189.31385773895431</v>
      </c>
      <c r="AK30" s="1882">
        <f t="shared" ca="1" si="55"/>
        <v>181.83614226104567</v>
      </c>
      <c r="AL30" s="1877">
        <f ca="1">SUMIF('СС2017 '!$B$187:$B$207,'C1 2017'!C30,'СС2017 '!$J$187:$J$207)</f>
        <v>371.15</v>
      </c>
      <c r="AM30" s="1878" t="b">
        <f>IF(AM$16/$AW$16*$AW30,0)</f>
        <v>0</v>
      </c>
      <c r="AN30" s="1879">
        <f t="shared" ref="AN30:AT30" si="80">AN$16/$AW$16*$AW30</f>
        <v>0</v>
      </c>
      <c r="AO30" s="1880">
        <f t="shared" si="80"/>
        <v>0</v>
      </c>
      <c r="AP30" s="1880">
        <f t="shared" si="80"/>
        <v>0</v>
      </c>
      <c r="AQ30" s="1880">
        <f t="shared" si="80"/>
        <v>0</v>
      </c>
      <c r="AR30" s="1880">
        <f t="shared" si="80"/>
        <v>0</v>
      </c>
      <c r="AS30" s="1880">
        <f t="shared" si="80"/>
        <v>0</v>
      </c>
      <c r="AT30" s="1881">
        <f t="shared" si="80"/>
        <v>0</v>
      </c>
      <c r="AU30" s="1882">
        <f t="shared" si="56"/>
        <v>0</v>
      </c>
      <c r="AV30" s="1882">
        <f t="shared" si="56"/>
        <v>0</v>
      </c>
      <c r="AW30" s="1877"/>
      <c r="AX30" s="1740"/>
      <c r="AY30" s="1740"/>
      <c r="AZ30" s="1740"/>
      <c r="BA30" s="1883">
        <f t="shared" ca="1" si="57"/>
        <v>2034.7149373342702</v>
      </c>
      <c r="BB30" s="1883">
        <f t="shared" ca="1" si="58"/>
        <v>2042.1926528121789</v>
      </c>
      <c r="BC30" s="1883">
        <f t="shared" ca="1" si="59"/>
        <v>0</v>
      </c>
      <c r="BD30" s="1883">
        <f t="shared" ca="1" si="67"/>
        <v>2472.8124098535504</v>
      </c>
      <c r="BE30" s="1883">
        <f t="shared" ca="1" si="68"/>
        <v>6549.72</v>
      </c>
      <c r="BF30" s="1883">
        <f t="shared" ca="1" si="60"/>
        <v>6549.7199999999993</v>
      </c>
      <c r="BG30" s="1740" t="b">
        <f t="shared" ca="1" si="61"/>
        <v>1</v>
      </c>
      <c r="BH30" s="1740"/>
      <c r="BI30" s="1768">
        <f t="shared" ca="1" si="76"/>
        <v>2034.7149373342702</v>
      </c>
      <c r="BJ30" s="1768">
        <f t="shared" ca="1" si="69"/>
        <v>4515.0050626657294</v>
      </c>
      <c r="BK30" s="1768">
        <f t="shared" ca="1" si="70"/>
        <v>6549.7199999999993</v>
      </c>
    </row>
    <row r="31" spans="1:63" ht="15.75">
      <c r="A31" s="1739">
        <f>A30+1</f>
        <v>3</v>
      </c>
      <c r="B31" s="1872" t="str">
        <f>CONCATENATE($B$25,".",A31)</f>
        <v>8.3</v>
      </c>
      <c r="C31" s="1873" t="str">
        <f>'[35]СС 2015'!C158</f>
        <v>Оплата труда ППП (без соц. отчислений)</v>
      </c>
      <c r="D31" s="1874"/>
      <c r="E31" s="1875"/>
      <c r="F31" s="1874"/>
      <c r="G31" s="1878">
        <f>G$11/$K$11*$K31</f>
        <v>216429.02375837057</v>
      </c>
      <c r="H31" s="1880">
        <f t="shared" ref="H31:I32" si="81">H$11/$K$11*$K31</f>
        <v>226155.93819413154</v>
      </c>
      <c r="I31" s="1880">
        <f t="shared" si="81"/>
        <v>0</v>
      </c>
      <c r="J31" s="1880">
        <f>K31-G31-H31-I31</f>
        <v>921302.40804749751</v>
      </c>
      <c r="K31" s="1877">
        <f>SUMIF('СС2017 '!$B$187:$B$207,'C1 2017'!C31,'СС2017 '!$G$187:$G$207)</f>
        <v>1363887.3699999996</v>
      </c>
      <c r="L31" s="1878">
        <f>L$11/$P$11*$P31</f>
        <v>25294.819009753657</v>
      </c>
      <c r="M31" s="1880">
        <f t="shared" ref="M31:O32" si="82">M$11/$P$11*$P31</f>
        <v>26431.637611544433</v>
      </c>
      <c r="N31" s="1880">
        <f t="shared" si="82"/>
        <v>0</v>
      </c>
      <c r="O31" s="1880">
        <f t="shared" si="82"/>
        <v>107675.8433787019</v>
      </c>
      <c r="P31" s="1877">
        <f>SUMIF('СС2017 '!$B$187:$B$207,'C1 2017'!C31,'СС2017 '!$H$187:$H$207)</f>
        <v>159402.29999999999</v>
      </c>
      <c r="Q31" s="1878">
        <f ca="1">Q$11/$AA$11*$AA31</f>
        <v>6232.3991249665942</v>
      </c>
      <c r="R31" s="1879">
        <f ca="1">R$11/$AA$11*$AA31</f>
        <v>7475.6075695309264</v>
      </c>
      <c r="S31" s="1880">
        <f t="shared" ref="S31:X32" ca="1" si="83">S$11/$AA$11*$AA31</f>
        <v>4377.8409775417258</v>
      </c>
      <c r="T31" s="1880">
        <f t="shared" ca="1" si="83"/>
        <v>6733.8010868708716</v>
      </c>
      <c r="U31" s="1880">
        <f t="shared" ca="1" si="83"/>
        <v>0</v>
      </c>
      <c r="V31" s="1880">
        <f t="shared" ca="1" si="83"/>
        <v>0</v>
      </c>
      <c r="W31" s="1880">
        <f t="shared" ca="1" si="83"/>
        <v>10829.108035439936</v>
      </c>
      <c r="X31" s="1881">
        <f t="shared" ca="1" si="83"/>
        <v>14649.493205649942</v>
      </c>
      <c r="Y31" s="1882">
        <f t="shared" ca="1" si="54"/>
        <v>21439.348137948255</v>
      </c>
      <c r="Z31" s="1882">
        <f t="shared" ca="1" si="54"/>
        <v>28858.901862051738</v>
      </c>
      <c r="AA31" s="1877">
        <f ca="1">SUMIF('СС2017 '!$B$187:$B$207,'C1 2017'!C31,'СС2017 '!$I$187:$I$207)</f>
        <v>50298.25</v>
      </c>
      <c r="AB31" s="1878">
        <f ca="1">AB$11/$AL$11*$AL31</f>
        <v>386804.53977898677</v>
      </c>
      <c r="AC31" s="1879">
        <f t="shared" ref="AC31:AI32" ca="1" si="84">AC$11/$AL$11*$AL31</f>
        <v>343088.22460453288</v>
      </c>
      <c r="AD31" s="1880">
        <f t="shared" ca="1" si="84"/>
        <v>343355.27601060772</v>
      </c>
      <c r="AE31" s="1880">
        <f t="shared" ca="1" si="84"/>
        <v>331594.08931306563</v>
      </c>
      <c r="AF31" s="1880">
        <f t="shared" ca="1" si="84"/>
        <v>0</v>
      </c>
      <c r="AG31" s="1880">
        <f t="shared" ca="1" si="84"/>
        <v>0</v>
      </c>
      <c r="AH31" s="1880">
        <f t="shared" ca="1" si="84"/>
        <v>633154.6064029308</v>
      </c>
      <c r="AI31" s="1881">
        <f ca="1">AI$11/$AL$11*$AL31</f>
        <v>847985.32388987602</v>
      </c>
      <c r="AJ31" s="1882">
        <f t="shared" ca="1" si="55"/>
        <v>1363314.4221925254</v>
      </c>
      <c r="AK31" s="1882">
        <f ca="1">SUM(AC31,AE31,AG31,AI31)</f>
        <v>1522667.6378074745</v>
      </c>
      <c r="AL31" s="1877">
        <f ca="1">SUMIF('СС2017 '!$B$187:$B$207,'C1 2017'!C31,'СС2017 '!$J$187:$J$207)</f>
        <v>2885982.0599999996</v>
      </c>
      <c r="AM31" s="1878">
        <f>AM$11/$AW$11*$AW31</f>
        <v>0</v>
      </c>
      <c r="AN31" s="1879">
        <f t="shared" ref="AN31:AT32" si="85">AN$11/$AW$11*$AW31</f>
        <v>0</v>
      </c>
      <c r="AO31" s="1880">
        <f t="shared" si="85"/>
        <v>0</v>
      </c>
      <c r="AP31" s="1880">
        <f t="shared" si="85"/>
        <v>0</v>
      </c>
      <c r="AQ31" s="1880">
        <f t="shared" si="85"/>
        <v>0</v>
      </c>
      <c r="AR31" s="1880">
        <f t="shared" si="85"/>
        <v>0</v>
      </c>
      <c r="AS31" s="1880">
        <f t="shared" si="85"/>
        <v>0</v>
      </c>
      <c r="AT31" s="1881">
        <f t="shared" si="85"/>
        <v>0</v>
      </c>
      <c r="AU31" s="1882">
        <f t="shared" si="56"/>
        <v>0</v>
      </c>
      <c r="AV31" s="1882">
        <f t="shared" si="56"/>
        <v>0</v>
      </c>
      <c r="AW31" s="1877"/>
      <c r="AX31" s="1740"/>
      <c r="AY31" s="1740"/>
      <c r="AZ31" s="1740"/>
      <c r="BA31" s="1883">
        <f t="shared" ca="1" si="57"/>
        <v>985324.61384614138</v>
      </c>
      <c r="BB31" s="1883">
        <f t="shared" ca="1" si="58"/>
        <v>938648.583193762</v>
      </c>
      <c r="BC31" s="1883">
        <f t="shared" ca="1" si="59"/>
        <v>0</v>
      </c>
      <c r="BD31" s="1883">
        <f t="shared" ca="1" si="67"/>
        <v>2535596.7829600964</v>
      </c>
      <c r="BE31" s="1883">
        <f t="shared" ca="1" si="68"/>
        <v>4459569.9799999995</v>
      </c>
      <c r="BF31" s="1883">
        <f t="shared" ca="1" si="60"/>
        <v>4459569.9799999995</v>
      </c>
      <c r="BG31" s="1740" t="b">
        <f t="shared" ca="1" si="61"/>
        <v>1</v>
      </c>
      <c r="BH31" s="1740"/>
      <c r="BI31" s="1768">
        <f t="shared" ca="1" si="76"/>
        <v>985324.61384614138</v>
      </c>
      <c r="BJ31" s="1768">
        <f t="shared" ca="1" si="69"/>
        <v>3474245.3661538586</v>
      </c>
      <c r="BK31" s="1768">
        <f t="shared" ca="1" si="70"/>
        <v>4459569.9800000004</v>
      </c>
    </row>
    <row r="32" spans="1:63" ht="15.75">
      <c r="A32" s="1739">
        <f>A31+1</f>
        <v>4</v>
      </c>
      <c r="B32" s="1872" t="str">
        <f>CONCATENATE($B$25,".",A32)</f>
        <v>8.4</v>
      </c>
      <c r="C32" s="1873" t="s">
        <v>3706</v>
      </c>
      <c r="D32" s="1874"/>
      <c r="E32" s="1875"/>
      <c r="F32" s="1874"/>
      <c r="G32" s="1878">
        <f>G$11/$K$11*$K32</f>
        <v>65407.706807108501</v>
      </c>
      <c r="H32" s="1880">
        <f t="shared" si="81"/>
        <v>68347.308698315013</v>
      </c>
      <c r="I32" s="1880">
        <f t="shared" si="81"/>
        <v>0</v>
      </c>
      <c r="J32" s="1880">
        <f>K32-G32-H32-I32</f>
        <v>278429.74449457659</v>
      </c>
      <c r="K32" s="1877">
        <f>SUMIF('СС2017 '!$B$187:$B$207,'C1 2017'!C32,'СС2017 '!$G$187:$G$207)</f>
        <v>412184.76000000007</v>
      </c>
      <c r="L32" s="1878">
        <f>L$11/$P$11*$P32</f>
        <v>7644.4267411561686</v>
      </c>
      <c r="M32" s="1880">
        <f t="shared" si="82"/>
        <v>7987.9882632220979</v>
      </c>
      <c r="N32" s="1880">
        <f t="shared" si="82"/>
        <v>0</v>
      </c>
      <c r="O32" s="1880">
        <f t="shared" si="82"/>
        <v>32541.054995621744</v>
      </c>
      <c r="P32" s="1877">
        <f>SUMIF('СС2017 '!$B$187:$B$207,'C1 2017'!C32,'СС2017 '!$H$187:$H$207)</f>
        <v>48173.470000000008</v>
      </c>
      <c r="Q32" s="1878">
        <f ca="1">Q$11/$AA$11*$AA32</f>
        <v>1796.1345987158011</v>
      </c>
      <c r="R32" s="1879">
        <f ca="1">R$11/$AA$11*$AA32</f>
        <v>2154.4187291002813</v>
      </c>
      <c r="S32" s="1880">
        <f t="shared" ca="1" si="83"/>
        <v>1261.6636851672502</v>
      </c>
      <c r="T32" s="1880">
        <f t="shared" ca="1" si="83"/>
        <v>1940.6351984980849</v>
      </c>
      <c r="U32" s="1880">
        <f t="shared" ca="1" si="83"/>
        <v>0</v>
      </c>
      <c r="V32" s="1880">
        <f t="shared" ca="1" si="83"/>
        <v>0</v>
      </c>
      <c r="W32" s="1880">
        <f t="shared" ca="1" si="83"/>
        <v>3120.8745180916544</v>
      </c>
      <c r="X32" s="1881">
        <f t="shared" ca="1" si="83"/>
        <v>4221.8832704269316</v>
      </c>
      <c r="Y32" s="1882">
        <f t="shared" ca="1" si="54"/>
        <v>6178.6728019747061</v>
      </c>
      <c r="Z32" s="1882">
        <f t="shared" ca="1" si="54"/>
        <v>8316.9371980252981</v>
      </c>
      <c r="AA32" s="1877">
        <f ca="1">SUMIF('СС2017 '!$B$187:$B$207,'C1 2017'!C32,'СС2017 '!$I$187:$I$207)</f>
        <v>14495.610000000004</v>
      </c>
      <c r="AB32" s="1878">
        <f ca="1">AB$11/$AL$11*$AL32</f>
        <v>117175.72516684508</v>
      </c>
      <c r="AC32" s="1879">
        <f t="shared" ca="1" si="84"/>
        <v>103932.62586114433</v>
      </c>
      <c r="AD32" s="1880">
        <f t="shared" ca="1" si="84"/>
        <v>104013.52445189389</v>
      </c>
      <c r="AE32" s="1880">
        <f t="shared" ca="1" si="84"/>
        <v>100450.67697111047</v>
      </c>
      <c r="AF32" s="1880">
        <f t="shared" ca="1" si="84"/>
        <v>0</v>
      </c>
      <c r="AG32" s="1880">
        <f t="shared" ca="1" si="84"/>
        <v>0</v>
      </c>
      <c r="AH32" s="1880">
        <f t="shared" ca="1" si="84"/>
        <v>191803.20424983333</v>
      </c>
      <c r="AI32" s="1881">
        <f t="shared" ca="1" si="84"/>
        <v>256882.44329917282</v>
      </c>
      <c r="AJ32" s="1882">
        <f t="shared" ca="1" si="55"/>
        <v>412992.45386857225</v>
      </c>
      <c r="AK32" s="1882">
        <f t="shared" ca="1" si="55"/>
        <v>461265.74613142759</v>
      </c>
      <c r="AL32" s="1877">
        <f ca="1">SUMIF('СС2017 '!$B$187:$B$207,'C1 2017'!C32,'СС2017 '!$J$187:$J$207)</f>
        <v>874258.19999999984</v>
      </c>
      <c r="AM32" s="1878">
        <f>AM$11/$AW$11*$AW32</f>
        <v>0</v>
      </c>
      <c r="AN32" s="1879">
        <f t="shared" si="85"/>
        <v>0</v>
      </c>
      <c r="AO32" s="1880">
        <f t="shared" si="85"/>
        <v>0</v>
      </c>
      <c r="AP32" s="1880">
        <f t="shared" si="85"/>
        <v>0</v>
      </c>
      <c r="AQ32" s="1880">
        <f t="shared" si="85"/>
        <v>0</v>
      </c>
      <c r="AR32" s="1880">
        <f t="shared" si="85"/>
        <v>0</v>
      </c>
      <c r="AS32" s="1880">
        <f t="shared" si="85"/>
        <v>0</v>
      </c>
      <c r="AT32" s="1881">
        <f t="shared" si="85"/>
        <v>0</v>
      </c>
      <c r="AU32" s="1882">
        <f t="shared" si="56"/>
        <v>0</v>
      </c>
      <c r="AV32" s="1882">
        <f t="shared" si="56"/>
        <v>0</v>
      </c>
      <c r="AW32" s="1877"/>
      <c r="AX32" s="1740"/>
      <c r="AY32" s="1740"/>
      <c r="AZ32" s="1740"/>
      <c r="BA32" s="1883">
        <f ca="1">SUM(G32,L32,Q32:R32,AB32:AC32)</f>
        <v>298111.03790407017</v>
      </c>
      <c r="BB32" s="1883">
        <f t="shared" ca="1" si="58"/>
        <v>284001.79726820678</v>
      </c>
      <c r="BC32" s="1883">
        <f t="shared" ca="1" si="59"/>
        <v>0</v>
      </c>
      <c r="BD32" s="1883">
        <f t="shared" ca="1" si="67"/>
        <v>766999.20482772309</v>
      </c>
      <c r="BE32" s="1883">
        <f t="shared" ca="1" si="68"/>
        <v>1349112.04</v>
      </c>
      <c r="BF32" s="1883">
        <f t="shared" ca="1" si="60"/>
        <v>1349112.04</v>
      </c>
      <c r="BG32" s="1740" t="b">
        <f t="shared" ca="1" si="61"/>
        <v>1</v>
      </c>
      <c r="BH32" s="1740"/>
      <c r="BI32" s="1768">
        <f ca="1">BA32</f>
        <v>298111.03790407017</v>
      </c>
      <c r="BJ32" s="1768">
        <f t="shared" ca="1" si="69"/>
        <v>1051001.0020959298</v>
      </c>
      <c r="BK32" s="1768">
        <f t="shared" ca="1" si="70"/>
        <v>1349112.04</v>
      </c>
    </row>
    <row r="33" spans="1:63" ht="15.75">
      <c r="A33" s="1739">
        <f>A32+1</f>
        <v>5</v>
      </c>
      <c r="B33" s="1872" t="str">
        <f>CONCATENATE($B$25,".",A33)</f>
        <v>8.5</v>
      </c>
      <c r="C33" s="1873" t="s">
        <v>3708</v>
      </c>
      <c r="D33" s="1874"/>
      <c r="E33" s="1875"/>
      <c r="F33" s="1874"/>
      <c r="G33" s="1889">
        <f>SUM(G34:G36)</f>
        <v>44910.208920910307</v>
      </c>
      <c r="H33" s="1890">
        <f t="shared" ref="H33:J33" si="86">SUM(H34:H36)</f>
        <v>44910.208920910307</v>
      </c>
      <c r="I33" s="1890">
        <f t="shared" si="86"/>
        <v>0</v>
      </c>
      <c r="J33" s="1890">
        <f t="shared" si="86"/>
        <v>61531.942321616647</v>
      </c>
      <c r="K33" s="1893">
        <f>SUM(K34:K36)</f>
        <v>151352.36016343726</v>
      </c>
      <c r="L33" s="1889">
        <f>SUM(L34:L36)</f>
        <v>73021.831248877745</v>
      </c>
      <c r="M33" s="1890">
        <f t="shared" ref="M33:O33" si="87">SUM(M34:M36)</f>
        <v>73021.831248877745</v>
      </c>
      <c r="N33" s="1890">
        <f t="shared" si="87"/>
        <v>0</v>
      </c>
      <c r="O33" s="1890">
        <f t="shared" si="87"/>
        <v>100047.96719021129</v>
      </c>
      <c r="P33" s="1893">
        <f>SUM(P34:P36)</f>
        <v>246091.62968796678</v>
      </c>
      <c r="Q33" s="1889">
        <f ca="1">SUM(Q34:Q36)</f>
        <v>96000.694310725914</v>
      </c>
      <c r="R33" s="1891">
        <f t="shared" ref="R33:Z33" ca="1" si="88">SUM(R34:R36)</f>
        <v>96000.694310725914</v>
      </c>
      <c r="S33" s="1890">
        <f t="shared" ca="1" si="88"/>
        <v>96000.694310725914</v>
      </c>
      <c r="T33" s="1890">
        <f t="shared" ca="1" si="88"/>
        <v>96000.694310725914</v>
      </c>
      <c r="U33" s="1890">
        <f t="shared" ca="1" si="88"/>
        <v>0</v>
      </c>
      <c r="V33" s="1890">
        <f t="shared" ca="1" si="88"/>
        <v>0</v>
      </c>
      <c r="W33" s="1890">
        <f t="shared" ca="1" si="88"/>
        <v>96000.694310725914</v>
      </c>
      <c r="X33" s="1892">
        <f t="shared" ca="1" si="88"/>
        <v>96000.694310725914</v>
      </c>
      <c r="Y33" s="1892">
        <f t="shared" ca="1" si="88"/>
        <v>288002.0829321777</v>
      </c>
      <c r="Z33" s="1892">
        <f t="shared" ca="1" si="88"/>
        <v>288002.0829321777</v>
      </c>
      <c r="AA33" s="1893">
        <f ca="1">SUM(AA34:AA36)</f>
        <v>576004.1658643554</v>
      </c>
      <c r="AB33" s="1889">
        <f ca="1">SUM(AB34:AB36)</f>
        <v>8679.2702800927927</v>
      </c>
      <c r="AC33" s="1891">
        <f t="shared" ref="AC33:AK33" ca="1" si="89">SUM(AC34:AC36)</f>
        <v>8679.2702800927909</v>
      </c>
      <c r="AD33" s="1890">
        <f t="shared" ca="1" si="89"/>
        <v>9750.0328837763245</v>
      </c>
      <c r="AE33" s="1890">
        <f t="shared" ca="1" si="89"/>
        <v>8679.2702800927909</v>
      </c>
      <c r="AF33" s="1890">
        <f t="shared" ca="1" si="89"/>
        <v>0</v>
      </c>
      <c r="AG33" s="1890">
        <f t="shared" ca="1" si="89"/>
        <v>0</v>
      </c>
      <c r="AH33" s="1890">
        <f t="shared" ca="1" si="89"/>
        <v>8679.2702800927927</v>
      </c>
      <c r="AI33" s="1892">
        <f t="shared" ca="1" si="89"/>
        <v>8679.2702800927909</v>
      </c>
      <c r="AJ33" s="1892">
        <f t="shared" ca="1" si="89"/>
        <v>27108.573443961908</v>
      </c>
      <c r="AK33" s="1892">
        <f t="shared" ca="1" si="89"/>
        <v>26037.810840278373</v>
      </c>
      <c r="AL33" s="1893">
        <f ca="1">SUM(AL34:AL36)</f>
        <v>53146.384284240281</v>
      </c>
      <c r="AM33" s="1889">
        <f>SUM(AM34:AM36)</f>
        <v>0</v>
      </c>
      <c r="AN33" s="1891">
        <f t="shared" ref="AN33:AV33" si="90">SUM(AN34:AN36)</f>
        <v>0</v>
      </c>
      <c r="AO33" s="1890">
        <f t="shared" si="90"/>
        <v>0</v>
      </c>
      <c r="AP33" s="1890">
        <f t="shared" si="90"/>
        <v>0</v>
      </c>
      <c r="AQ33" s="1890">
        <f t="shared" si="90"/>
        <v>0</v>
      </c>
      <c r="AR33" s="1890">
        <f t="shared" si="90"/>
        <v>0</v>
      </c>
      <c r="AS33" s="1890">
        <f t="shared" si="90"/>
        <v>0</v>
      </c>
      <c r="AT33" s="1892">
        <f t="shared" si="90"/>
        <v>0</v>
      </c>
      <c r="AU33" s="1892">
        <f t="shared" si="90"/>
        <v>0</v>
      </c>
      <c r="AV33" s="1892">
        <f t="shared" si="90"/>
        <v>0</v>
      </c>
      <c r="AW33" s="1877"/>
      <c r="AX33" s="1740"/>
      <c r="AY33" s="1740"/>
      <c r="AZ33" s="1740"/>
      <c r="BA33" s="1883">
        <f t="shared" ca="1" si="57"/>
        <v>327291.96935142542</v>
      </c>
      <c r="BB33" s="1883">
        <f t="shared" ca="1" si="58"/>
        <v>328362.73195510899</v>
      </c>
      <c r="BC33" s="1883">
        <f t="shared" ca="1" si="59"/>
        <v>0</v>
      </c>
      <c r="BD33" s="1883">
        <f t="shared" ca="1" si="67"/>
        <v>370939.83869346528</v>
      </c>
      <c r="BE33" s="1883">
        <f t="shared" ca="1" si="68"/>
        <v>1026594.5399999997</v>
      </c>
      <c r="BF33" s="1883">
        <f t="shared" ca="1" si="60"/>
        <v>1026594.5399999998</v>
      </c>
      <c r="BG33" s="1740" t="b">
        <f t="shared" ca="1" si="61"/>
        <v>1</v>
      </c>
      <c r="BH33" s="1740"/>
      <c r="BI33" s="1871">
        <f ca="1">SUM(BI34:BI36)</f>
        <v>327291.96935142553</v>
      </c>
      <c r="BJ33" s="1871">
        <f ca="1">SUM(BJ34:BJ36)</f>
        <v>699302.57064857439</v>
      </c>
      <c r="BK33" s="1871">
        <f ca="1">SUM(BK34:BK36)</f>
        <v>1026594.54</v>
      </c>
    </row>
    <row r="34" spans="1:63" ht="31.5">
      <c r="B34" s="1872"/>
      <c r="C34" s="1887" t="str">
        <f>'[35]СС 2015'!C161</f>
        <v xml:space="preserve"> - работы и услуги производственного характера</v>
      </c>
      <c r="D34" s="1874"/>
      <c r="E34" s="1875"/>
      <c r="F34" s="1874"/>
      <c r="G34" s="1878">
        <f>G$16/$K$16*$K34</f>
        <v>1646.2131545715188</v>
      </c>
      <c r="H34" s="1880">
        <f>H$16/$K$16*$K34</f>
        <v>1646.2131545715188</v>
      </c>
      <c r="I34" s="1880">
        <f t="shared" ref="H34:I35" si="91">I$16/$K$16*$K34</f>
        <v>0</v>
      </c>
      <c r="J34" s="1779">
        <f t="shared" ref="J34:J48" si="92">K34-G34-H34-I34</f>
        <v>2255.4936908569625</v>
      </c>
      <c r="K34" s="1877">
        <f>SUMIF('СС2017 '!$B$187:$B$207,'C1 2017'!C34,'СС2017 '!$G$187:$G$207)</f>
        <v>5547.92</v>
      </c>
      <c r="L34" s="1878">
        <f>L$16/$P$16*$P34</f>
        <v>192.4031950149361</v>
      </c>
      <c r="M34" s="1880">
        <f t="shared" ref="M34:O35" si="93">M$16/$P$16*$P34</f>
        <v>192.4031950149361</v>
      </c>
      <c r="N34" s="1880">
        <f t="shared" si="93"/>
        <v>0</v>
      </c>
      <c r="O34" s="1880">
        <f t="shared" si="93"/>
        <v>263.61360997012787</v>
      </c>
      <c r="P34" s="1877">
        <f>SUMIF('СС2017 '!$B$187:$B$207,'C1 2017'!C34,'СС2017 '!$H$187:$H$207)</f>
        <v>648.42000000000007</v>
      </c>
      <c r="Q34" s="1878">
        <f ca="1">Q$16/$AA$16*$AA34</f>
        <v>104.50166666666669</v>
      </c>
      <c r="R34" s="1879">
        <f t="shared" ref="R34:X35" ca="1" si="94">R$16/$AA$16*$AA34</f>
        <v>104.50166666666669</v>
      </c>
      <c r="S34" s="1880">
        <f t="shared" ca="1" si="94"/>
        <v>104.50166666666669</v>
      </c>
      <c r="T34" s="1880">
        <f t="shared" ca="1" si="94"/>
        <v>104.50166666666669</v>
      </c>
      <c r="U34" s="1880">
        <f t="shared" ca="1" si="94"/>
        <v>0</v>
      </c>
      <c r="V34" s="1880">
        <f t="shared" ca="1" si="94"/>
        <v>0</v>
      </c>
      <c r="W34" s="1880">
        <f t="shared" ca="1" si="94"/>
        <v>104.50166666666669</v>
      </c>
      <c r="X34" s="1881">
        <f t="shared" ca="1" si="94"/>
        <v>104.50166666666669</v>
      </c>
      <c r="Y34" s="1882">
        <f t="shared" ref="Y34:Z35" ca="1" si="95">SUM(Q34,S34,U34,W34)</f>
        <v>313.50500000000011</v>
      </c>
      <c r="Z34" s="1882">
        <f t="shared" ca="1" si="95"/>
        <v>313.50500000000011</v>
      </c>
      <c r="AA34" s="1877">
        <f ca="1">SUMIF('СС2017 '!$B$187:$B$207,'C1 2017'!C34,'СС2017 '!$I$187:$I$207)</f>
        <v>627.0100000000001</v>
      </c>
      <c r="AB34" s="1878">
        <f ca="1">AB$16/$AL$16*$AL34</f>
        <v>54.069898371017672</v>
      </c>
      <c r="AC34" s="1879">
        <f t="shared" ref="AC34:AI35" ca="1" si="96">AC$16/$AL$16*$AL34</f>
        <v>54.069898371017658</v>
      </c>
      <c r="AD34" s="1880">
        <f t="shared" ca="1" si="96"/>
        <v>60.740508144911693</v>
      </c>
      <c r="AE34" s="1880">
        <f t="shared" ca="1" si="96"/>
        <v>54.069898371017658</v>
      </c>
      <c r="AF34" s="1880">
        <f t="shared" ca="1" si="96"/>
        <v>0</v>
      </c>
      <c r="AG34" s="1880">
        <f t="shared" ca="1" si="96"/>
        <v>0</v>
      </c>
      <c r="AH34" s="1880">
        <f t="shared" ca="1" si="96"/>
        <v>54.069898371017672</v>
      </c>
      <c r="AI34" s="1881">
        <f t="shared" ca="1" si="96"/>
        <v>54.069898371017658</v>
      </c>
      <c r="AJ34" s="1882">
        <f t="shared" ref="AJ34:AK35" ca="1" si="97">SUM(AB34,AD34,AF34,AH34)</f>
        <v>168.88030488694704</v>
      </c>
      <c r="AK34" s="1882">
        <f t="shared" ca="1" si="97"/>
        <v>162.20969511305299</v>
      </c>
      <c r="AL34" s="1877">
        <f ca="1">SUMIF('СС2017 '!$B$187:$B$207,'C1 2017'!C34,'СС2017 '!$J$187:$J$207)</f>
        <v>331.09000000000003</v>
      </c>
      <c r="AM34" s="1878">
        <f>AM$16/$AW$16*$AW34</f>
        <v>0</v>
      </c>
      <c r="AN34" s="1879">
        <f t="shared" ref="AN34:AT35" si="98">AN$16/$AW$16*$AW34</f>
        <v>0</v>
      </c>
      <c r="AO34" s="1880">
        <f t="shared" si="98"/>
        <v>0</v>
      </c>
      <c r="AP34" s="1880">
        <f t="shared" si="98"/>
        <v>0</v>
      </c>
      <c r="AQ34" s="1880">
        <f t="shared" si="98"/>
        <v>0</v>
      </c>
      <c r="AR34" s="1880">
        <f t="shared" si="98"/>
        <v>0</v>
      </c>
      <c r="AS34" s="1880">
        <f t="shared" si="98"/>
        <v>0</v>
      </c>
      <c r="AT34" s="1881">
        <f t="shared" si="98"/>
        <v>0</v>
      </c>
      <c r="AU34" s="1882">
        <f t="shared" ref="AU34:AV35" si="99">SUM(AM34,AO34,AQ34,AS34)</f>
        <v>0</v>
      </c>
      <c r="AV34" s="1882">
        <f t="shared" si="99"/>
        <v>0</v>
      </c>
      <c r="AW34" s="1877"/>
      <c r="AX34" s="1740"/>
      <c r="AY34" s="1740"/>
      <c r="AZ34" s="1740"/>
      <c r="BA34" s="1883">
        <f t="shared" ca="1" si="57"/>
        <v>2155.7594796618237</v>
      </c>
      <c r="BB34" s="1883">
        <f t="shared" ca="1" si="58"/>
        <v>2162.4300894357175</v>
      </c>
      <c r="BC34" s="1883">
        <f t="shared" ca="1" si="59"/>
        <v>0</v>
      </c>
      <c r="BD34" s="1883">
        <f t="shared" ca="1" si="67"/>
        <v>2836.2504309024589</v>
      </c>
      <c r="BE34" s="1883">
        <f t="shared" ca="1" si="68"/>
        <v>7154.4400000000005</v>
      </c>
      <c r="BF34" s="1883">
        <f t="shared" ca="1" si="60"/>
        <v>7154.4400000000005</v>
      </c>
      <c r="BG34" s="1740" t="b">
        <f t="shared" ca="1" si="61"/>
        <v>1</v>
      </c>
      <c r="BH34" s="1740"/>
      <c r="BI34" s="1768">
        <f ca="1">BA34</f>
        <v>2155.7594796618237</v>
      </c>
      <c r="BJ34" s="1768">
        <f ca="1">SUM(BB34:BD34)</f>
        <v>4998.6805203381764</v>
      </c>
      <c r="BK34" s="1768">
        <f t="shared" ref="BK34:BK35" ca="1" si="100">SUM(BI34:BJ34)</f>
        <v>7154.4400000000005</v>
      </c>
    </row>
    <row r="35" spans="1:63" ht="47.25">
      <c r="B35" s="1872"/>
      <c r="C35" s="1887" t="str">
        <f>'[35]СС 2015'!C162</f>
        <v xml:space="preserve"> - налоги и сборы, уменьшающие налогооблагаемую базу на прибыль организаций, всего</v>
      </c>
      <c r="D35" s="1874"/>
      <c r="E35" s="1875"/>
      <c r="F35" s="1874"/>
      <c r="G35" s="1878">
        <f>G$16/$K$16*$K35</f>
        <v>2968.9176150913672</v>
      </c>
      <c r="H35" s="1880">
        <f t="shared" si="91"/>
        <v>2968.9176150913672</v>
      </c>
      <c r="I35" s="1880">
        <f t="shared" si="91"/>
        <v>0</v>
      </c>
      <c r="J35" s="1779">
        <f t="shared" si="92"/>
        <v>4067.7447698172655</v>
      </c>
      <c r="K35" s="1877">
        <f>SUMIF('СС2017 '!$B$187:$B$207,'C1 2017'!C35,'СС2017 '!$G$187:$G$207)</f>
        <v>10005.58</v>
      </c>
      <c r="L35" s="1878">
        <f>L$16/$P$16*$P35</f>
        <v>346.98567006965538</v>
      </c>
      <c r="M35" s="1880">
        <f t="shared" si="93"/>
        <v>346.98567006965538</v>
      </c>
      <c r="N35" s="1880">
        <f t="shared" si="93"/>
        <v>0</v>
      </c>
      <c r="O35" s="1880">
        <f t="shared" si="93"/>
        <v>475.40865986068911</v>
      </c>
      <c r="P35" s="1877">
        <f>SUMIF('СС2017 '!$B$187:$B$207,'C1 2017'!C35,'СС2017 '!$H$187:$H$207)</f>
        <v>1169.3799999999999</v>
      </c>
      <c r="Q35" s="1878">
        <f ca="1">Q$16/$AA$16*$AA35</f>
        <v>1399.3683333333333</v>
      </c>
      <c r="R35" s="1879">
        <f t="shared" ca="1" si="94"/>
        <v>1399.3683333333333</v>
      </c>
      <c r="S35" s="1880">
        <f t="shared" ca="1" si="94"/>
        <v>1399.3683333333333</v>
      </c>
      <c r="T35" s="1880">
        <f t="shared" ca="1" si="94"/>
        <v>1399.3683333333333</v>
      </c>
      <c r="U35" s="1880">
        <f t="shared" ca="1" si="94"/>
        <v>0</v>
      </c>
      <c r="V35" s="1880">
        <f t="shared" ca="1" si="94"/>
        <v>0</v>
      </c>
      <c r="W35" s="1880">
        <f t="shared" ca="1" si="94"/>
        <v>1399.3683333333333</v>
      </c>
      <c r="X35" s="1881">
        <f t="shared" ca="1" si="94"/>
        <v>1399.3683333333333</v>
      </c>
      <c r="Y35" s="1882">
        <f t="shared" ca="1" si="95"/>
        <v>4198.1049999999996</v>
      </c>
      <c r="Z35" s="1882">
        <f t="shared" ca="1" si="95"/>
        <v>4198.1049999999996</v>
      </c>
      <c r="AA35" s="1877">
        <f ca="1">SUMIF('СС2017 '!$B$187:$B$207,'C1 2017'!C35,'СС2017 '!$I$187:$I$207)</f>
        <v>8396.2099999999991</v>
      </c>
      <c r="AB35" s="1878">
        <f ca="1">AB$16/$AL$16*$AL35</f>
        <v>297.74290377557668</v>
      </c>
      <c r="AC35" s="1879">
        <f t="shared" ca="1" si="96"/>
        <v>297.74290377557662</v>
      </c>
      <c r="AD35" s="1880">
        <f t="shared" ca="1" si="96"/>
        <v>334.47548112211643</v>
      </c>
      <c r="AE35" s="1880">
        <f t="shared" ca="1" si="96"/>
        <v>297.74290377557662</v>
      </c>
      <c r="AF35" s="1880">
        <f t="shared" ca="1" si="96"/>
        <v>0</v>
      </c>
      <c r="AG35" s="1880">
        <f t="shared" ca="1" si="96"/>
        <v>0</v>
      </c>
      <c r="AH35" s="1880">
        <f t="shared" ca="1" si="96"/>
        <v>297.74290377557668</v>
      </c>
      <c r="AI35" s="1881">
        <f t="shared" ca="1" si="96"/>
        <v>297.74290377557662</v>
      </c>
      <c r="AJ35" s="1882">
        <f t="shared" ca="1" si="97"/>
        <v>929.96128867326979</v>
      </c>
      <c r="AK35" s="1882">
        <f t="shared" ca="1" si="97"/>
        <v>893.22871132672981</v>
      </c>
      <c r="AL35" s="1877">
        <f ca="1">SUMIF('СС2017 '!$B$187:$B$207,'C1 2017'!C35,'СС2017 '!$J$187:$J$207)</f>
        <v>1823.1899999999998</v>
      </c>
      <c r="AM35" s="1878">
        <f>AM$16/$AW$16*$AW35</f>
        <v>0</v>
      </c>
      <c r="AN35" s="1879">
        <f t="shared" si="98"/>
        <v>0</v>
      </c>
      <c r="AO35" s="1880">
        <f t="shared" si="98"/>
        <v>0</v>
      </c>
      <c r="AP35" s="1880">
        <f t="shared" si="98"/>
        <v>0</v>
      </c>
      <c r="AQ35" s="1880">
        <f t="shared" si="98"/>
        <v>0</v>
      </c>
      <c r="AR35" s="1880">
        <f t="shared" si="98"/>
        <v>0</v>
      </c>
      <c r="AS35" s="1880">
        <f t="shared" si="98"/>
        <v>0</v>
      </c>
      <c r="AT35" s="1881">
        <f t="shared" si="98"/>
        <v>0</v>
      </c>
      <c r="AU35" s="1882">
        <f t="shared" si="99"/>
        <v>0</v>
      </c>
      <c r="AV35" s="1882">
        <f t="shared" si="99"/>
        <v>0</v>
      </c>
      <c r="AW35" s="1877"/>
      <c r="AX35" s="1740"/>
      <c r="AY35" s="1740"/>
      <c r="AZ35" s="1740"/>
      <c r="BA35" s="1883">
        <f t="shared" ca="1" si="57"/>
        <v>6710.1257593788432</v>
      </c>
      <c r="BB35" s="1883">
        <f t="shared" ca="1" si="58"/>
        <v>6746.8583367253832</v>
      </c>
      <c r="BC35" s="1883">
        <f t="shared" ca="1" si="59"/>
        <v>0</v>
      </c>
      <c r="BD35" s="1883">
        <f t="shared" ca="1" si="67"/>
        <v>7937.3759038957742</v>
      </c>
      <c r="BE35" s="1883">
        <f t="shared" ca="1" si="68"/>
        <v>21394.359999999997</v>
      </c>
      <c r="BF35" s="1883">
        <f t="shared" ca="1" si="60"/>
        <v>21394.36</v>
      </c>
      <c r="BG35" s="1740" t="b">
        <f t="shared" ca="1" si="61"/>
        <v>1</v>
      </c>
      <c r="BH35" s="1740"/>
      <c r="BI35" s="1768">
        <f ca="1">BA35</f>
        <v>6710.1257593788432</v>
      </c>
      <c r="BJ35" s="1768">
        <f ca="1">SUM(BB35:BD35)</f>
        <v>14684.234240621157</v>
      </c>
      <c r="BK35" s="1768">
        <f t="shared" ca="1" si="100"/>
        <v>21394.36</v>
      </c>
    </row>
    <row r="36" spans="1:63" ht="31.5">
      <c r="B36" s="1872"/>
      <c r="C36" s="1887" t="str">
        <f>'[35]СС 2015'!C163</f>
        <v xml:space="preserve"> - работы и услуги непроизводственного характера, в.ч. :</v>
      </c>
      <c r="D36" s="1874"/>
      <c r="E36" s="1875"/>
      <c r="F36" s="1874"/>
      <c r="G36" s="1889">
        <f>SUM(G37:G41)</f>
        <v>40295.07815124742</v>
      </c>
      <c r="H36" s="1890">
        <f t="shared" ref="H36:J36" si="101">SUM(H37:H41)</f>
        <v>40295.07815124742</v>
      </c>
      <c r="I36" s="1890">
        <f t="shared" si="101"/>
        <v>0</v>
      </c>
      <c r="J36" s="1890">
        <f t="shared" si="101"/>
        <v>55208.70386094242</v>
      </c>
      <c r="K36" s="1893">
        <f>SUM(K37:K41)</f>
        <v>135798.86016343726</v>
      </c>
      <c r="L36" s="1889">
        <f>SUM(L37:L41)</f>
        <v>72482.442383793154</v>
      </c>
      <c r="M36" s="1890">
        <f t="shared" ref="M36:O36" si="102">SUM(M37:M41)</f>
        <v>72482.442383793154</v>
      </c>
      <c r="N36" s="1890">
        <f t="shared" si="102"/>
        <v>0</v>
      </c>
      <c r="O36" s="1890">
        <f t="shared" si="102"/>
        <v>99308.944920380469</v>
      </c>
      <c r="P36" s="1893">
        <f>SUM(P37:P41)</f>
        <v>244273.82968796679</v>
      </c>
      <c r="Q36" s="1889">
        <f ca="1">SUM(Q37:Q41)</f>
        <v>94496.824310725919</v>
      </c>
      <c r="R36" s="1891">
        <f t="shared" ref="R36:Z36" ca="1" si="103">SUM(R37:R41)</f>
        <v>94496.824310725919</v>
      </c>
      <c r="S36" s="1890">
        <f t="shared" ca="1" si="103"/>
        <v>94496.824310725919</v>
      </c>
      <c r="T36" s="1890">
        <f t="shared" ca="1" si="103"/>
        <v>94496.824310725919</v>
      </c>
      <c r="U36" s="1890">
        <f t="shared" ca="1" si="103"/>
        <v>0</v>
      </c>
      <c r="V36" s="1890">
        <f t="shared" ca="1" si="103"/>
        <v>0</v>
      </c>
      <c r="W36" s="1890">
        <f t="shared" ca="1" si="103"/>
        <v>94496.824310725919</v>
      </c>
      <c r="X36" s="1892">
        <f t="shared" ca="1" si="103"/>
        <v>94496.824310725919</v>
      </c>
      <c r="Y36" s="1892">
        <f t="shared" ca="1" si="103"/>
        <v>283490.47293217771</v>
      </c>
      <c r="Z36" s="1892">
        <f t="shared" ca="1" si="103"/>
        <v>283490.47293217771</v>
      </c>
      <c r="AA36" s="1893">
        <f ca="1">SUM(AA37:AA41)</f>
        <v>566980.94586435542</v>
      </c>
      <c r="AB36" s="1889">
        <f ca="1">SUM(AB37:AB41)</f>
        <v>8327.4574779461982</v>
      </c>
      <c r="AC36" s="1891">
        <f t="shared" ref="AC36:AK36" ca="1" si="104">SUM(AC37:AC41)</f>
        <v>8327.4574779461964</v>
      </c>
      <c r="AD36" s="1890">
        <f t="shared" ca="1" si="104"/>
        <v>9354.8168945092966</v>
      </c>
      <c r="AE36" s="1890">
        <f t="shared" ca="1" si="104"/>
        <v>8327.4574779461964</v>
      </c>
      <c r="AF36" s="1890">
        <f t="shared" ca="1" si="104"/>
        <v>0</v>
      </c>
      <c r="AG36" s="1890">
        <f t="shared" ca="1" si="104"/>
        <v>0</v>
      </c>
      <c r="AH36" s="1890">
        <f t="shared" ca="1" si="104"/>
        <v>8327.4574779461982</v>
      </c>
      <c r="AI36" s="1892">
        <f t="shared" ca="1" si="104"/>
        <v>8327.4574779461964</v>
      </c>
      <c r="AJ36" s="1892">
        <f t="shared" ca="1" si="104"/>
        <v>26009.731850401691</v>
      </c>
      <c r="AK36" s="1892">
        <f t="shared" ca="1" si="104"/>
        <v>24982.372433838591</v>
      </c>
      <c r="AL36" s="1893">
        <f ca="1">SUM(AL37:AL41)</f>
        <v>50992.104284240282</v>
      </c>
      <c r="AM36" s="1889">
        <f>SUM(AM37:AM41)</f>
        <v>0</v>
      </c>
      <c r="AN36" s="1891">
        <f t="shared" ref="AN36:AV36" si="105">SUM(AN37:AN41)</f>
        <v>0</v>
      </c>
      <c r="AO36" s="1890">
        <f t="shared" si="105"/>
        <v>0</v>
      </c>
      <c r="AP36" s="1890">
        <f t="shared" si="105"/>
        <v>0</v>
      </c>
      <c r="AQ36" s="1890">
        <f t="shared" si="105"/>
        <v>0</v>
      </c>
      <c r="AR36" s="1890">
        <f t="shared" si="105"/>
        <v>0</v>
      </c>
      <c r="AS36" s="1890">
        <f t="shared" si="105"/>
        <v>0</v>
      </c>
      <c r="AT36" s="1892">
        <f t="shared" si="105"/>
        <v>0</v>
      </c>
      <c r="AU36" s="1892">
        <f t="shared" si="105"/>
        <v>0</v>
      </c>
      <c r="AV36" s="1892">
        <f t="shared" si="105"/>
        <v>0</v>
      </c>
      <c r="AW36" s="1877"/>
      <c r="AX36" s="1740"/>
      <c r="AY36" s="1740"/>
      <c r="AZ36" s="1740"/>
      <c r="BA36" s="1883">
        <f t="shared" ca="1" si="57"/>
        <v>318426.08411238476</v>
      </c>
      <c r="BB36" s="1883">
        <f t="shared" ca="1" si="58"/>
        <v>319453.44352894789</v>
      </c>
      <c r="BC36" s="1883">
        <f t="shared" ca="1" si="59"/>
        <v>0</v>
      </c>
      <c r="BD36" s="1883">
        <f t="shared" ca="1" si="67"/>
        <v>360166.21235866705</v>
      </c>
      <c r="BE36" s="1883">
        <f t="shared" ca="1" si="68"/>
        <v>998045.73999999976</v>
      </c>
      <c r="BF36" s="1883">
        <f t="shared" ca="1" si="60"/>
        <v>998045.73999999976</v>
      </c>
      <c r="BG36" s="1740" t="b">
        <f t="shared" ca="1" si="61"/>
        <v>1</v>
      </c>
      <c r="BH36" s="1740"/>
      <c r="BI36" s="1871">
        <f ca="1">SUM(BI37:BI41)</f>
        <v>318426.08411238488</v>
      </c>
      <c r="BJ36" s="1871">
        <f ca="1">SUM(BJ37:BJ41)</f>
        <v>679619.65588761505</v>
      </c>
      <c r="BK36" s="1871">
        <f ca="1">SUM(BK37:BK41)</f>
        <v>998045.74</v>
      </c>
    </row>
    <row r="37" spans="1:63" ht="15.75">
      <c r="B37" s="1872"/>
      <c r="C37" s="1894" t="s">
        <v>3716</v>
      </c>
      <c r="D37" s="1895"/>
      <c r="E37" s="1896"/>
      <c r="F37" s="1895"/>
      <c r="G37" s="1897">
        <f>G$16/$K$16*$K37</f>
        <v>463.77116325922174</v>
      </c>
      <c r="H37" s="1898">
        <f t="shared" ref="H37:I40" si="106">H$16/$K$16*$K37</f>
        <v>463.77116325922174</v>
      </c>
      <c r="I37" s="1898">
        <f t="shared" si="106"/>
        <v>0</v>
      </c>
      <c r="J37" s="1779">
        <f t="shared" si="92"/>
        <v>635.41767348155668</v>
      </c>
      <c r="K37" s="1877">
        <f>SUMIF('СС2017 '!$B$187:$B$207,'C1 2017'!C37,'СС2017 '!$G$187:$G$207)</f>
        <v>1562.9600000000003</v>
      </c>
      <c r="L37" s="1897">
        <f>L$16/$P$16*$P37</f>
        <v>54.200005554159688</v>
      </c>
      <c r="M37" s="1898">
        <f t="shared" ref="M37:O40" si="107">M$16/$P$16*$P37</f>
        <v>54.200005554159688</v>
      </c>
      <c r="N37" s="1898">
        <f t="shared" si="107"/>
        <v>0</v>
      </c>
      <c r="O37" s="1898">
        <f t="shared" si="107"/>
        <v>74.259988891680621</v>
      </c>
      <c r="P37" s="1877">
        <f>SUMIF('СС2017 '!$B$187:$B$207,'C1 2017'!C37,'СС2017 '!$H$187:$H$207)</f>
        <v>182.66</v>
      </c>
      <c r="Q37" s="1897">
        <f ca="1">Q$16/$AA$16*$AA37</f>
        <v>160.4</v>
      </c>
      <c r="R37" s="1899">
        <f t="shared" ref="R37:X40" ca="1" si="108">R$16/$AA$16*$AA37</f>
        <v>160.4</v>
      </c>
      <c r="S37" s="1898">
        <f t="shared" ca="1" si="108"/>
        <v>160.4</v>
      </c>
      <c r="T37" s="1898">
        <f t="shared" ca="1" si="108"/>
        <v>160.4</v>
      </c>
      <c r="U37" s="1898">
        <f t="shared" ca="1" si="108"/>
        <v>0</v>
      </c>
      <c r="V37" s="1898">
        <f t="shared" ca="1" si="108"/>
        <v>0</v>
      </c>
      <c r="W37" s="1898">
        <f t="shared" ca="1" si="108"/>
        <v>160.4</v>
      </c>
      <c r="X37" s="1900">
        <f t="shared" ca="1" si="108"/>
        <v>160.4</v>
      </c>
      <c r="Y37" s="1901">
        <f t="shared" ref="Y37:Z40" ca="1" si="109">SUM(Q37,S37,U37,W37)</f>
        <v>481.20000000000005</v>
      </c>
      <c r="Z37" s="1901">
        <f t="shared" ca="1" si="109"/>
        <v>481.20000000000005</v>
      </c>
      <c r="AA37" s="1877">
        <f ca="1">SUMIF('СС2017 '!$B$187:$B$207,'C1 2017'!C37,'СС2017 '!$I$187:$I$207)</f>
        <v>962.4</v>
      </c>
      <c r="AB37" s="1897">
        <f ca="1">AB$16/$AL$16*$AL37</f>
        <v>38.423285779495103</v>
      </c>
      <c r="AC37" s="1899">
        <f t="shared" ref="AC37:AI40" ca="1" si="110">AC$16/$AL$16*$AL37</f>
        <v>38.423285779495096</v>
      </c>
      <c r="AD37" s="1898">
        <f t="shared" ca="1" si="110"/>
        <v>43.16357110252445</v>
      </c>
      <c r="AE37" s="1898">
        <f t="shared" ca="1" si="110"/>
        <v>38.423285779495096</v>
      </c>
      <c r="AF37" s="1898">
        <f t="shared" ca="1" si="110"/>
        <v>0</v>
      </c>
      <c r="AG37" s="1898">
        <f t="shared" ca="1" si="110"/>
        <v>0</v>
      </c>
      <c r="AH37" s="1898">
        <f t="shared" ca="1" si="110"/>
        <v>38.423285779495103</v>
      </c>
      <c r="AI37" s="1900">
        <f t="shared" ca="1" si="110"/>
        <v>38.423285779495096</v>
      </c>
      <c r="AJ37" s="1901">
        <f t="shared" ref="AJ37:AK40" ca="1" si="111">SUM(AB37,AD37,AF37,AH37)</f>
        <v>120.01014266151466</v>
      </c>
      <c r="AK37" s="1901">
        <f t="shared" ca="1" si="111"/>
        <v>115.26985733848528</v>
      </c>
      <c r="AL37" s="1877">
        <f ca="1">SUMIF('СС2017 '!$B$187:$B$207,'C1 2017'!C37,'СС2017 '!$J$187:$J$207)</f>
        <v>235.27999999999997</v>
      </c>
      <c r="AM37" s="1897">
        <f>AM$16/$AW$16*$AW37</f>
        <v>0</v>
      </c>
      <c r="AN37" s="1899">
        <f t="shared" ref="AN37:AT40" si="112">AN$16/$AW$16*$AW37</f>
        <v>0</v>
      </c>
      <c r="AO37" s="1898">
        <f t="shared" si="112"/>
        <v>0</v>
      </c>
      <c r="AP37" s="1898">
        <f t="shared" si="112"/>
        <v>0</v>
      </c>
      <c r="AQ37" s="1898">
        <f t="shared" si="112"/>
        <v>0</v>
      </c>
      <c r="AR37" s="1898">
        <f t="shared" si="112"/>
        <v>0</v>
      </c>
      <c r="AS37" s="1898">
        <f t="shared" si="112"/>
        <v>0</v>
      </c>
      <c r="AT37" s="1900">
        <f t="shared" si="112"/>
        <v>0</v>
      </c>
      <c r="AU37" s="1901">
        <f t="shared" ref="AU37:AV40" si="113">SUM(AM37,AO37,AQ37,AS37)</f>
        <v>0</v>
      </c>
      <c r="AV37" s="1901">
        <f t="shared" si="113"/>
        <v>0</v>
      </c>
      <c r="AW37" s="1877"/>
      <c r="AX37" s="1740"/>
      <c r="AY37" s="1740"/>
      <c r="AZ37" s="1740"/>
      <c r="BA37" s="1883">
        <f t="shared" ca="1" si="57"/>
        <v>915.6177403723716</v>
      </c>
      <c r="BB37" s="1883">
        <f t="shared" ca="1" si="58"/>
        <v>920.3580256954009</v>
      </c>
      <c r="BC37" s="1883">
        <f t="shared" ca="1" si="59"/>
        <v>0</v>
      </c>
      <c r="BD37" s="1883">
        <f t="shared" ca="1" si="67"/>
        <v>1107.3242339322273</v>
      </c>
      <c r="BE37" s="1883">
        <f t="shared" ca="1" si="68"/>
        <v>2943.3</v>
      </c>
      <c r="BF37" s="1883">
        <f t="shared" ca="1" si="60"/>
        <v>2943.2999999999997</v>
      </c>
      <c r="BG37" s="1740" t="b">
        <f t="shared" ca="1" si="61"/>
        <v>1</v>
      </c>
      <c r="BH37" s="1740"/>
      <c r="BI37" s="1768">
        <f t="shared" ref="BI37:BI39" ca="1" si="114">BA37</f>
        <v>915.6177403723716</v>
      </c>
      <c r="BJ37" s="1768">
        <f t="shared" ref="BJ37:BJ39" ca="1" si="115">SUM(BB37:BD37)</f>
        <v>2027.6822596276284</v>
      </c>
      <c r="BK37" s="1768">
        <f t="shared" ref="BK37:BK40" ca="1" si="116">SUM(BI37:BJ37)</f>
        <v>2943.3</v>
      </c>
    </row>
    <row r="38" spans="1:63" ht="31.5">
      <c r="B38" s="1872"/>
      <c r="C38" s="1894" t="s">
        <v>3718</v>
      </c>
      <c r="D38" s="1895"/>
      <c r="E38" s="1896"/>
      <c r="F38" s="1895"/>
      <c r="G38" s="1897">
        <f>G$16/$K$16*$K38</f>
        <v>943.25991271248597</v>
      </c>
      <c r="H38" s="1898">
        <f t="shared" si="106"/>
        <v>943.25991271248597</v>
      </c>
      <c r="I38" s="1898">
        <f t="shared" si="106"/>
        <v>0</v>
      </c>
      <c r="J38" s="1779">
        <f t="shared" si="92"/>
        <v>1292.3701745750282</v>
      </c>
      <c r="K38" s="1877">
        <f>SUMIF('СС2017 '!$B$187:$B$207,'C1 2017'!C38,'СС2017 '!$G$187:$G$207)</f>
        <v>3178.89</v>
      </c>
      <c r="L38" s="1897">
        <f>L$16/$P$16*$P38</f>
        <v>110.24268073763795</v>
      </c>
      <c r="M38" s="1898">
        <f t="shared" si="107"/>
        <v>110.24268073763795</v>
      </c>
      <c r="N38" s="1898">
        <f t="shared" si="107"/>
        <v>0</v>
      </c>
      <c r="O38" s="1898">
        <f t="shared" si="107"/>
        <v>151.04463852472406</v>
      </c>
      <c r="P38" s="1877">
        <f>SUMIF('СС2017 '!$B$187:$B$207,'C1 2017'!C38,'СС2017 '!$H$187:$H$207)</f>
        <v>371.53</v>
      </c>
      <c r="Q38" s="1897">
        <f ca="1">Q$16/$AA$16*$AA38</f>
        <v>325.09000000000003</v>
      </c>
      <c r="R38" s="1899">
        <f t="shared" ca="1" si="108"/>
        <v>325.09000000000003</v>
      </c>
      <c r="S38" s="1898">
        <f t="shared" ca="1" si="108"/>
        <v>325.09000000000003</v>
      </c>
      <c r="T38" s="1898">
        <f t="shared" ca="1" si="108"/>
        <v>325.09000000000003</v>
      </c>
      <c r="U38" s="1898">
        <f t="shared" ca="1" si="108"/>
        <v>0</v>
      </c>
      <c r="V38" s="1898">
        <f t="shared" ca="1" si="108"/>
        <v>0</v>
      </c>
      <c r="W38" s="1898">
        <f t="shared" ca="1" si="108"/>
        <v>325.09000000000003</v>
      </c>
      <c r="X38" s="1900">
        <f t="shared" ca="1" si="108"/>
        <v>325.09000000000003</v>
      </c>
      <c r="Y38" s="1901">
        <f t="shared" ca="1" si="109"/>
        <v>975.2700000000001</v>
      </c>
      <c r="Z38" s="1901">
        <f t="shared" ca="1" si="109"/>
        <v>975.2700000000001</v>
      </c>
      <c r="AA38" s="1877">
        <f ca="1">SUMIF('СС2017 '!$B$187:$B$207,'C1 2017'!C38,'СС2017 '!$I$187:$I$207)</f>
        <v>1950.54</v>
      </c>
      <c r="AB38" s="1897">
        <f ca="1">AB$16/$AL$16*$AL38</f>
        <v>77.761100632286599</v>
      </c>
      <c r="AC38" s="1899">
        <f t="shared" ca="1" si="110"/>
        <v>77.761100632286599</v>
      </c>
      <c r="AD38" s="1898">
        <f t="shared" ca="1" si="110"/>
        <v>87.354496838567016</v>
      </c>
      <c r="AE38" s="1898">
        <f t="shared" ca="1" si="110"/>
        <v>77.761100632286599</v>
      </c>
      <c r="AF38" s="1898">
        <f t="shared" ca="1" si="110"/>
        <v>0</v>
      </c>
      <c r="AG38" s="1898">
        <f t="shared" ca="1" si="110"/>
        <v>0</v>
      </c>
      <c r="AH38" s="1898">
        <f t="shared" ca="1" si="110"/>
        <v>77.761100632286599</v>
      </c>
      <c r="AI38" s="1900">
        <f t="shared" ca="1" si="110"/>
        <v>77.761100632286599</v>
      </c>
      <c r="AJ38" s="1901">
        <f t="shared" ca="1" si="111"/>
        <v>242.87669810314023</v>
      </c>
      <c r="AK38" s="1901">
        <f t="shared" ca="1" si="111"/>
        <v>233.2833018968598</v>
      </c>
      <c r="AL38" s="1877">
        <f ca="1">SUMIF('СС2017 '!$B$187:$B$207,'C1 2017'!C38,'СС2017 '!$J$187:$J$207)</f>
        <v>476.16</v>
      </c>
      <c r="AM38" s="1897">
        <f>AM$16/$AW$16*$AW38</f>
        <v>0</v>
      </c>
      <c r="AN38" s="1899">
        <f t="shared" si="112"/>
        <v>0</v>
      </c>
      <c r="AO38" s="1898">
        <f t="shared" si="112"/>
        <v>0</v>
      </c>
      <c r="AP38" s="1898">
        <f t="shared" si="112"/>
        <v>0</v>
      </c>
      <c r="AQ38" s="1898">
        <f t="shared" si="112"/>
        <v>0</v>
      </c>
      <c r="AR38" s="1898">
        <f t="shared" si="112"/>
        <v>0</v>
      </c>
      <c r="AS38" s="1898">
        <f t="shared" si="112"/>
        <v>0</v>
      </c>
      <c r="AT38" s="1900">
        <f t="shared" si="112"/>
        <v>0</v>
      </c>
      <c r="AU38" s="1901">
        <f t="shared" si="113"/>
        <v>0</v>
      </c>
      <c r="AV38" s="1901">
        <f t="shared" si="113"/>
        <v>0</v>
      </c>
      <c r="AW38" s="1877"/>
      <c r="AX38" s="1740"/>
      <c r="AY38" s="1740"/>
      <c r="AZ38" s="1740"/>
      <c r="BA38" s="1883">
        <f t="shared" ca="1" si="57"/>
        <v>1859.2047947146971</v>
      </c>
      <c r="BB38" s="1883">
        <f t="shared" ca="1" si="58"/>
        <v>1868.7981909209775</v>
      </c>
      <c r="BC38" s="1883">
        <f t="shared" ca="1" si="59"/>
        <v>0</v>
      </c>
      <c r="BD38" s="1883">
        <f t="shared" ca="1" si="67"/>
        <v>2249.1170143643262</v>
      </c>
      <c r="BE38" s="1883">
        <f t="shared" ca="1" si="68"/>
        <v>5977.1200000000008</v>
      </c>
      <c r="BF38" s="1883">
        <f t="shared" ca="1" si="60"/>
        <v>5977.1200000000008</v>
      </c>
      <c r="BG38" s="1740" t="b">
        <f t="shared" ca="1" si="61"/>
        <v>1</v>
      </c>
      <c r="BH38" s="1740"/>
      <c r="BI38" s="1768">
        <f t="shared" ca="1" si="114"/>
        <v>1859.2047947146971</v>
      </c>
      <c r="BJ38" s="1768">
        <f t="shared" ca="1" si="115"/>
        <v>4117.9152052853042</v>
      </c>
      <c r="BK38" s="1768">
        <f t="shared" ca="1" si="116"/>
        <v>5977.1200000000008</v>
      </c>
    </row>
    <row r="39" spans="1:63" ht="47.25">
      <c r="B39" s="1872"/>
      <c r="C39" s="1894" t="str">
        <f>'[35]СС 2015'!C166</f>
        <v>расходы на информационное обслуживание, консультационные и юридические услуги</v>
      </c>
      <c r="D39" s="1895"/>
      <c r="E39" s="1896"/>
      <c r="F39" s="1895"/>
      <c r="G39" s="1897">
        <f>G$16/$K$16*$K39</f>
        <v>1240.0217081511491</v>
      </c>
      <c r="H39" s="1898">
        <f t="shared" si="106"/>
        <v>1240.0217081511491</v>
      </c>
      <c r="I39" s="1898">
        <f t="shared" si="106"/>
        <v>0</v>
      </c>
      <c r="J39" s="1779">
        <f t="shared" si="92"/>
        <v>1698.9665836977019</v>
      </c>
      <c r="K39" s="1877">
        <f>SUMIF('СС2017 '!$B$187:$B$207,'C1 2017'!C39,'СС2017 '!$G$187:$G$207)</f>
        <v>4179.01</v>
      </c>
      <c r="L39" s="1897">
        <f>L$16/$P$16*$P39</f>
        <v>144.92403762568233</v>
      </c>
      <c r="M39" s="1898">
        <f t="shared" si="107"/>
        <v>144.92403762568233</v>
      </c>
      <c r="N39" s="1898">
        <f t="shared" si="107"/>
        <v>0</v>
      </c>
      <c r="O39" s="1898">
        <f t="shared" si="107"/>
        <v>198.56192474863533</v>
      </c>
      <c r="P39" s="1877">
        <f>SUMIF('СС2017 '!$B$187:$B$207,'C1 2017'!C39,'СС2017 '!$H$187:$H$207)</f>
        <v>488.40999999999997</v>
      </c>
      <c r="Q39" s="1897">
        <f ca="1">Q$16/$AA$16*$AA39</f>
        <v>424.29333333333341</v>
      </c>
      <c r="R39" s="1899">
        <f t="shared" ca="1" si="108"/>
        <v>424.29333333333341</v>
      </c>
      <c r="S39" s="1898">
        <f t="shared" ca="1" si="108"/>
        <v>424.29333333333341</v>
      </c>
      <c r="T39" s="1898">
        <f t="shared" ca="1" si="108"/>
        <v>424.29333333333341</v>
      </c>
      <c r="U39" s="1898">
        <f t="shared" ca="1" si="108"/>
        <v>0</v>
      </c>
      <c r="V39" s="1898">
        <f t="shared" ca="1" si="108"/>
        <v>0</v>
      </c>
      <c r="W39" s="1898">
        <f t="shared" ca="1" si="108"/>
        <v>424.29333333333341</v>
      </c>
      <c r="X39" s="1900">
        <f t="shared" ca="1" si="108"/>
        <v>424.29333333333341</v>
      </c>
      <c r="Y39" s="1901">
        <f t="shared" ca="1" si="109"/>
        <v>1272.8800000000001</v>
      </c>
      <c r="Z39" s="1901">
        <f t="shared" ca="1" si="109"/>
        <v>1272.8800000000001</v>
      </c>
      <c r="AA39" s="1877">
        <f ca="1">SUMIF('СС2017 '!$B$187:$B$207,'C1 2017'!C39,'СС2017 '!$I$187:$I$207)</f>
        <v>2545.7600000000002</v>
      </c>
      <c r="AB39" s="1897">
        <f ca="1">AB$16/$AL$16*$AL39</f>
        <v>93.208476532841019</v>
      </c>
      <c r="AC39" s="1899">
        <f t="shared" ca="1" si="110"/>
        <v>93.208476532841004</v>
      </c>
      <c r="AD39" s="1898">
        <f t="shared" ca="1" si="110"/>
        <v>104.70761733579494</v>
      </c>
      <c r="AE39" s="1898">
        <f t="shared" ca="1" si="110"/>
        <v>93.208476532841004</v>
      </c>
      <c r="AF39" s="1898">
        <f t="shared" ca="1" si="110"/>
        <v>0</v>
      </c>
      <c r="AG39" s="1898">
        <f t="shared" ca="1" si="110"/>
        <v>0</v>
      </c>
      <c r="AH39" s="1898">
        <f t="shared" ca="1" si="110"/>
        <v>93.208476532841019</v>
      </c>
      <c r="AI39" s="1900">
        <f t="shared" ca="1" si="110"/>
        <v>93.208476532841004</v>
      </c>
      <c r="AJ39" s="1901">
        <f t="shared" ca="1" si="111"/>
        <v>291.12457040147694</v>
      </c>
      <c r="AK39" s="1901">
        <f t="shared" ca="1" si="111"/>
        <v>279.625429598523</v>
      </c>
      <c r="AL39" s="1877">
        <f ca="1">SUMIF('СС2017 '!$B$187:$B$207,'C1 2017'!C39,'СС2017 '!$J$187:$J$207)</f>
        <v>570.75</v>
      </c>
      <c r="AM39" s="1897">
        <f>AM$16/$AW$16*$AW39</f>
        <v>0</v>
      </c>
      <c r="AN39" s="1899">
        <f t="shared" si="112"/>
        <v>0</v>
      </c>
      <c r="AO39" s="1898">
        <f t="shared" si="112"/>
        <v>0</v>
      </c>
      <c r="AP39" s="1898">
        <f t="shared" si="112"/>
        <v>0</v>
      </c>
      <c r="AQ39" s="1898">
        <f t="shared" si="112"/>
        <v>0</v>
      </c>
      <c r="AR39" s="1898">
        <f t="shared" si="112"/>
        <v>0</v>
      </c>
      <c r="AS39" s="1898">
        <f t="shared" si="112"/>
        <v>0</v>
      </c>
      <c r="AT39" s="1900">
        <f t="shared" si="112"/>
        <v>0</v>
      </c>
      <c r="AU39" s="1901">
        <f t="shared" si="113"/>
        <v>0</v>
      </c>
      <c r="AV39" s="1901">
        <f t="shared" si="113"/>
        <v>0</v>
      </c>
      <c r="AW39" s="1877"/>
      <c r="AX39" s="1740"/>
      <c r="AY39" s="1740"/>
      <c r="AZ39" s="1740"/>
      <c r="BA39" s="1883">
        <f t="shared" ca="1" si="57"/>
        <v>2419.9493655091801</v>
      </c>
      <c r="BB39" s="1883">
        <f t="shared" ca="1" si="58"/>
        <v>2431.4485063121342</v>
      </c>
      <c r="BC39" s="1883">
        <f t="shared" ca="1" si="59"/>
        <v>0</v>
      </c>
      <c r="BD39" s="1883">
        <f t="shared" ca="1" si="67"/>
        <v>2932.532128178686</v>
      </c>
      <c r="BE39" s="1883">
        <f t="shared" ca="1" si="68"/>
        <v>7783.93</v>
      </c>
      <c r="BF39" s="1883">
        <f t="shared" ca="1" si="60"/>
        <v>7783.93</v>
      </c>
      <c r="BG39" s="1740" t="b">
        <f t="shared" ca="1" si="61"/>
        <v>1</v>
      </c>
      <c r="BH39" s="1740"/>
      <c r="BI39" s="1768">
        <f t="shared" ca="1" si="114"/>
        <v>2419.9493655091801</v>
      </c>
      <c r="BJ39" s="1768">
        <f t="shared" ca="1" si="115"/>
        <v>5363.9806344908202</v>
      </c>
      <c r="BK39" s="1768">
        <f t="shared" ca="1" si="116"/>
        <v>7783.93</v>
      </c>
    </row>
    <row r="40" spans="1:63" ht="15.75">
      <c r="B40" s="1872"/>
      <c r="C40" s="1894" t="s">
        <v>3722</v>
      </c>
      <c r="D40" s="1895"/>
      <c r="E40" s="1896"/>
      <c r="F40" s="1895"/>
      <c r="G40" s="1897">
        <f>G$16/$K$16*$K40</f>
        <v>134.55345734473477</v>
      </c>
      <c r="H40" s="1898">
        <f t="shared" si="106"/>
        <v>134.55345734473477</v>
      </c>
      <c r="I40" s="1898">
        <f t="shared" si="106"/>
        <v>0</v>
      </c>
      <c r="J40" s="1779">
        <f t="shared" si="92"/>
        <v>184.35308531053042</v>
      </c>
      <c r="K40" s="1877">
        <f>SUMIF('СС2017 '!$B$187:$B$207,'C1 2017'!C40,'СС2017 '!$G$187:$G$207)</f>
        <v>453.46</v>
      </c>
      <c r="L40" s="1897">
        <f>L$16/$P$16*$P40</f>
        <v>15.726487979691578</v>
      </c>
      <c r="M40" s="1898">
        <f t="shared" si="107"/>
        <v>15.726487979691578</v>
      </c>
      <c r="N40" s="1898">
        <f t="shared" si="107"/>
        <v>0</v>
      </c>
      <c r="O40" s="1898">
        <f t="shared" si="107"/>
        <v>21.547024040616844</v>
      </c>
      <c r="P40" s="1877">
        <f>SUMIF('СС2017 '!$B$187:$B$207,'C1 2017'!C40,'СС2017 '!$H$187:$H$207)</f>
        <v>53</v>
      </c>
      <c r="Q40" s="1897">
        <f ca="1">Q$16/$AA$16*$AA40</f>
        <v>54.730000000000004</v>
      </c>
      <c r="R40" s="1899">
        <f t="shared" ca="1" si="108"/>
        <v>54.730000000000004</v>
      </c>
      <c r="S40" s="1898">
        <f t="shared" ca="1" si="108"/>
        <v>54.730000000000004</v>
      </c>
      <c r="T40" s="1898">
        <f t="shared" ca="1" si="108"/>
        <v>54.730000000000004</v>
      </c>
      <c r="U40" s="1898">
        <f t="shared" ca="1" si="108"/>
        <v>0</v>
      </c>
      <c r="V40" s="1898">
        <f t="shared" ca="1" si="108"/>
        <v>0</v>
      </c>
      <c r="W40" s="1898">
        <f t="shared" ca="1" si="108"/>
        <v>54.730000000000004</v>
      </c>
      <c r="X40" s="1900">
        <f t="shared" ca="1" si="108"/>
        <v>54.730000000000004</v>
      </c>
      <c r="Y40" s="1901">
        <f t="shared" ca="1" si="109"/>
        <v>164.19</v>
      </c>
      <c r="Z40" s="1901">
        <f t="shared" ca="1" si="109"/>
        <v>164.19</v>
      </c>
      <c r="AA40" s="1877">
        <f ca="1">SUMIF('СС2017 '!$B$187:$B$207,'C1 2017'!C40,'СС2017 '!$I$187:$I$207)</f>
        <v>328.38</v>
      </c>
      <c r="AB40" s="1897">
        <f ca="1">AB$16/$AL$16*$AL40</f>
        <v>12.017891875692984</v>
      </c>
      <c r="AC40" s="1899">
        <f t="shared" ca="1" si="110"/>
        <v>12.017891875692982</v>
      </c>
      <c r="AD40" s="1898">
        <f t="shared" ca="1" si="110"/>
        <v>13.500540621535086</v>
      </c>
      <c r="AE40" s="1898">
        <f t="shared" ca="1" si="110"/>
        <v>12.017891875692982</v>
      </c>
      <c r="AF40" s="1898">
        <f t="shared" ca="1" si="110"/>
        <v>0</v>
      </c>
      <c r="AG40" s="1898">
        <f t="shared" ca="1" si="110"/>
        <v>0</v>
      </c>
      <c r="AH40" s="1898">
        <f t="shared" ca="1" si="110"/>
        <v>12.017891875692984</v>
      </c>
      <c r="AI40" s="1900">
        <f t="shared" ca="1" si="110"/>
        <v>12.017891875692982</v>
      </c>
      <c r="AJ40" s="1901">
        <f t="shared" ca="1" si="111"/>
        <v>37.536324372921051</v>
      </c>
      <c r="AK40" s="1901">
        <f t="shared" ca="1" si="111"/>
        <v>36.053675627078945</v>
      </c>
      <c r="AL40" s="1877">
        <f ca="1">SUMIF('СС2017 '!$B$187:$B$207,'C1 2017'!C40,'СС2017 '!$J$187:$J$207)</f>
        <v>73.59</v>
      </c>
      <c r="AM40" s="1897">
        <f>AM$16/$AW$16*$AW40</f>
        <v>0</v>
      </c>
      <c r="AN40" s="1899">
        <f t="shared" si="112"/>
        <v>0</v>
      </c>
      <c r="AO40" s="1898">
        <f t="shared" si="112"/>
        <v>0</v>
      </c>
      <c r="AP40" s="1898">
        <f t="shared" si="112"/>
        <v>0</v>
      </c>
      <c r="AQ40" s="1898">
        <f t="shared" si="112"/>
        <v>0</v>
      </c>
      <c r="AR40" s="1898">
        <f t="shared" si="112"/>
        <v>0</v>
      </c>
      <c r="AS40" s="1898">
        <f t="shared" si="112"/>
        <v>0</v>
      </c>
      <c r="AT40" s="1900">
        <f t="shared" si="112"/>
        <v>0</v>
      </c>
      <c r="AU40" s="1901">
        <f t="shared" si="113"/>
        <v>0</v>
      </c>
      <c r="AV40" s="1901">
        <f t="shared" si="113"/>
        <v>0</v>
      </c>
      <c r="AW40" s="1877"/>
      <c r="AX40" s="1740"/>
      <c r="AY40" s="1740"/>
      <c r="AZ40" s="1740"/>
      <c r="BA40" s="1883">
        <f t="shared" ca="1" si="57"/>
        <v>283.77572907581236</v>
      </c>
      <c r="BB40" s="1883">
        <f t="shared" ca="1" si="58"/>
        <v>285.25837782165445</v>
      </c>
      <c r="BC40" s="1883">
        <f t="shared" ca="1" si="59"/>
        <v>0</v>
      </c>
      <c r="BD40" s="1883">
        <f t="shared" ca="1" si="67"/>
        <v>339.39589310253325</v>
      </c>
      <c r="BE40" s="1883">
        <f t="shared" ca="1" si="68"/>
        <v>908.43</v>
      </c>
      <c r="BF40" s="1883">
        <f t="shared" ca="1" si="60"/>
        <v>908.43000000000006</v>
      </c>
      <c r="BG40" s="1740" t="b">
        <f t="shared" ca="1" si="61"/>
        <v>1</v>
      </c>
      <c r="BH40" s="1740"/>
      <c r="BI40" s="1768">
        <f t="shared" ref="BI40" ca="1" si="117">BA40</f>
        <v>283.77572907581236</v>
      </c>
      <c r="BJ40" s="1768">
        <f t="shared" ref="BJ40" ca="1" si="118">SUM(BB40:BD40)</f>
        <v>624.6542709241877</v>
      </c>
      <c r="BK40" s="1768">
        <f t="shared" ca="1" si="116"/>
        <v>908.43000000000006</v>
      </c>
    </row>
    <row r="41" spans="1:63" ht="31.5">
      <c r="B41" s="1872"/>
      <c r="C41" s="1894" t="str">
        <f>'[35]СС 2015'!C168</f>
        <v xml:space="preserve">другие прочие расходы, связанные с производством и реализацией </v>
      </c>
      <c r="D41" s="1895"/>
      <c r="E41" s="1896"/>
      <c r="F41" s="1895"/>
      <c r="G41" s="1902">
        <f>SUM(G42,G43)</f>
        <v>37513.47190977983</v>
      </c>
      <c r="H41" s="1903">
        <f t="shared" ref="H41:J41" si="119">SUM(H42,H43)</f>
        <v>37513.47190977983</v>
      </c>
      <c r="I41" s="1903">
        <f t="shared" si="119"/>
        <v>0</v>
      </c>
      <c r="J41" s="1903">
        <f t="shared" si="119"/>
        <v>51397.596343877602</v>
      </c>
      <c r="K41" s="1877">
        <f>SUMIF('СС2017 '!$B$187:$B$207,'C1 2017'!C41,'СС2017 '!$G$187:$G$207)</f>
        <v>126424.54016343725</v>
      </c>
      <c r="L41" s="1902">
        <f>SUM(L42,L43)</f>
        <v>72157.349171895985</v>
      </c>
      <c r="M41" s="1903">
        <f t="shared" ref="M41:O41" si="120">SUM(M42,M43)</f>
        <v>72157.349171895985</v>
      </c>
      <c r="N41" s="1903">
        <f t="shared" si="120"/>
        <v>0</v>
      </c>
      <c r="O41" s="1903">
        <f t="shared" si="120"/>
        <v>98863.531344174815</v>
      </c>
      <c r="P41" s="1902">
        <f>SUM(P42,P43)</f>
        <v>243178.22968796678</v>
      </c>
      <c r="Q41" s="1902">
        <f ca="1">SUM(Q42,Q43)</f>
        <v>93532.310977392583</v>
      </c>
      <c r="R41" s="1904">
        <f t="shared" ref="R41:AA41" ca="1" si="121">SUM(R42,R43)</f>
        <v>93532.310977392583</v>
      </c>
      <c r="S41" s="1903">
        <f t="shared" ca="1" si="121"/>
        <v>93532.310977392583</v>
      </c>
      <c r="T41" s="1903">
        <f t="shared" ca="1" si="121"/>
        <v>93532.310977392583</v>
      </c>
      <c r="U41" s="1903">
        <f t="shared" ca="1" si="121"/>
        <v>0</v>
      </c>
      <c r="V41" s="1903">
        <f t="shared" ca="1" si="121"/>
        <v>0</v>
      </c>
      <c r="W41" s="1903">
        <f t="shared" ca="1" si="121"/>
        <v>93532.310977392583</v>
      </c>
      <c r="X41" s="1901">
        <f t="shared" ca="1" si="121"/>
        <v>93532.310977392583</v>
      </c>
      <c r="Y41" s="1901">
        <f t="shared" ca="1" si="121"/>
        <v>280596.93293217773</v>
      </c>
      <c r="Z41" s="1901">
        <f t="shared" ca="1" si="121"/>
        <v>280596.93293217773</v>
      </c>
      <c r="AA41" s="1903">
        <f t="shared" ca="1" si="121"/>
        <v>561193.86586435547</v>
      </c>
      <c r="AB41" s="1902">
        <f ca="1">SUM(AB42,AB43)</f>
        <v>8106.0467231258817</v>
      </c>
      <c r="AC41" s="1904">
        <f t="shared" ref="AC41:AL41" ca="1" si="122">SUM(AC42,AC43)</f>
        <v>8106.0467231258808</v>
      </c>
      <c r="AD41" s="1903">
        <f t="shared" ca="1" si="122"/>
        <v>9106.0906686108756</v>
      </c>
      <c r="AE41" s="1903">
        <f t="shared" ca="1" si="122"/>
        <v>8106.0467231258808</v>
      </c>
      <c r="AF41" s="1903">
        <f t="shared" ca="1" si="122"/>
        <v>0</v>
      </c>
      <c r="AG41" s="1903">
        <f t="shared" ca="1" si="122"/>
        <v>0</v>
      </c>
      <c r="AH41" s="1903">
        <f t="shared" ca="1" si="122"/>
        <v>8106.0467231258817</v>
      </c>
      <c r="AI41" s="1901">
        <f t="shared" ca="1" si="122"/>
        <v>8106.0467231258808</v>
      </c>
      <c r="AJ41" s="1901">
        <f t="shared" ca="1" si="122"/>
        <v>25318.184114862637</v>
      </c>
      <c r="AK41" s="1901">
        <f t="shared" ca="1" si="122"/>
        <v>24318.140169377642</v>
      </c>
      <c r="AL41" s="1903">
        <f t="shared" ca="1" si="122"/>
        <v>49636.324284240283</v>
      </c>
      <c r="AM41" s="1902">
        <f>SUM(AM42,AM43)</f>
        <v>0</v>
      </c>
      <c r="AN41" s="1904">
        <f t="shared" ref="AN41:AV41" si="123">SUM(AN42,AN43)</f>
        <v>0</v>
      </c>
      <c r="AO41" s="1903">
        <f t="shared" si="123"/>
        <v>0</v>
      </c>
      <c r="AP41" s="1903">
        <f t="shared" si="123"/>
        <v>0</v>
      </c>
      <c r="AQ41" s="1903">
        <f t="shared" si="123"/>
        <v>0</v>
      </c>
      <c r="AR41" s="1903">
        <f t="shared" si="123"/>
        <v>0</v>
      </c>
      <c r="AS41" s="1903">
        <f t="shared" si="123"/>
        <v>0</v>
      </c>
      <c r="AT41" s="1901">
        <f t="shared" si="123"/>
        <v>0</v>
      </c>
      <c r="AU41" s="1901">
        <f t="shared" si="123"/>
        <v>0</v>
      </c>
      <c r="AV41" s="1901">
        <f t="shared" si="123"/>
        <v>0</v>
      </c>
      <c r="AW41" s="1903"/>
      <c r="AX41" s="1740"/>
      <c r="AY41" s="1740"/>
      <c r="AZ41" s="1740"/>
      <c r="BA41" s="1883">
        <f t="shared" ca="1" si="57"/>
        <v>312947.53648271284</v>
      </c>
      <c r="BB41" s="1883">
        <f t="shared" ca="1" si="58"/>
        <v>313947.58042819775</v>
      </c>
      <c r="BC41" s="1883">
        <f t="shared" ca="1" si="59"/>
        <v>0</v>
      </c>
      <c r="BD41" s="1883">
        <f t="shared" ca="1" si="67"/>
        <v>353537.84308908938</v>
      </c>
      <c r="BE41" s="1883">
        <f t="shared" ca="1" si="68"/>
        <v>980432.95999999985</v>
      </c>
      <c r="BF41" s="1883">
        <f t="shared" ca="1" si="60"/>
        <v>980432.96</v>
      </c>
      <c r="BG41" s="1740" t="b">
        <f t="shared" ca="1" si="61"/>
        <v>1</v>
      </c>
      <c r="BH41" s="1740"/>
      <c r="BI41" s="1905">
        <f ca="1">SUM(BI42,BI43)</f>
        <v>312947.53648271284</v>
      </c>
      <c r="BJ41" s="1905">
        <f ca="1">SUM(BJ42,BJ43)</f>
        <v>667485.42351728713</v>
      </c>
      <c r="BK41" s="1905">
        <f ca="1">SUM(BK42,BK43)</f>
        <v>980432.96</v>
      </c>
    </row>
    <row r="42" spans="1:63" ht="31.5">
      <c r="B42" s="1907"/>
      <c r="C42" s="1908" t="s">
        <v>3768</v>
      </c>
      <c r="D42" s="1895"/>
      <c r="E42" s="1896"/>
      <c r="F42" s="1895"/>
      <c r="G42" s="1897"/>
      <c r="H42" s="1898"/>
      <c r="I42" s="1898"/>
      <c r="J42" s="1779">
        <f t="shared" si="92"/>
        <v>0</v>
      </c>
      <c r="K42" s="1877">
        <f>SUMIF('СС2017 '!$B$187:$B$207,'C1 2017'!C42,'СС2017 '!$G$187:$G$207)</f>
        <v>0</v>
      </c>
      <c r="L42" s="1897"/>
      <c r="M42" s="1898"/>
      <c r="N42" s="1898"/>
      <c r="O42" s="1898"/>
      <c r="P42" s="1877">
        <f>SUMIF('СС2017 '!$B$187:$B$207,'C1 2017'!C42,'СС2017 '!$H$187:$H$207)</f>
        <v>0</v>
      </c>
      <c r="Q42" s="1897"/>
      <c r="R42" s="1899"/>
      <c r="S42" s="1898"/>
      <c r="T42" s="1898"/>
      <c r="U42" s="1898"/>
      <c r="V42" s="1898"/>
      <c r="W42" s="1898"/>
      <c r="X42" s="1900"/>
      <c r="Y42" s="1901">
        <f t="shared" ref="Y42:Z43" si="124">SUM(Q42,S42,U42,W42)</f>
        <v>0</v>
      </c>
      <c r="Z42" s="1901">
        <f t="shared" si="124"/>
        <v>0</v>
      </c>
      <c r="AA42" s="1877">
        <f>SUMIF('СС2017 '!$B$187:$B$207,'C1 2017'!C42,'СС2017 '!$I$187:$I$207)</f>
        <v>0</v>
      </c>
      <c r="AB42" s="1897"/>
      <c r="AC42" s="1899"/>
      <c r="AD42" s="1898"/>
      <c r="AE42" s="1898"/>
      <c r="AF42" s="1898"/>
      <c r="AG42" s="1898"/>
      <c r="AH42" s="1898"/>
      <c r="AI42" s="1900"/>
      <c r="AJ42" s="1901">
        <f t="shared" ref="AJ42:AK43" si="125">SUM(AB42,AD42,AF42,AH42)</f>
        <v>0</v>
      </c>
      <c r="AK42" s="1901">
        <f t="shared" si="125"/>
        <v>0</v>
      </c>
      <c r="AL42" s="1877">
        <f>SUMIF('СС2017 '!$B$187:$B$207,'C1 2017'!C42,'СС2017 '!$J$187:$J$207)</f>
        <v>0</v>
      </c>
      <c r="AM42" s="1897"/>
      <c r="AN42" s="1899"/>
      <c r="AO42" s="1898"/>
      <c r="AP42" s="1898"/>
      <c r="AQ42" s="1898"/>
      <c r="AR42" s="1898"/>
      <c r="AS42" s="1898"/>
      <c r="AT42" s="1900"/>
      <c r="AU42" s="1901">
        <f t="shared" ref="AU42:AV43" si="126">SUM(AM42,AO42,AQ42,AS42)</f>
        <v>0</v>
      </c>
      <c r="AV42" s="1901">
        <f t="shared" si="126"/>
        <v>0</v>
      </c>
      <c r="AW42" s="1877"/>
      <c r="AX42" s="1740"/>
      <c r="AY42" s="1740"/>
      <c r="AZ42" s="1740"/>
      <c r="BA42" s="1883">
        <f t="shared" si="57"/>
        <v>0</v>
      </c>
      <c r="BB42" s="1883">
        <f t="shared" si="58"/>
        <v>0</v>
      </c>
      <c r="BC42" s="1883">
        <f t="shared" si="59"/>
        <v>0</v>
      </c>
      <c r="BD42" s="1883">
        <f t="shared" si="67"/>
        <v>0</v>
      </c>
      <c r="BE42" s="1883">
        <f t="shared" si="68"/>
        <v>0</v>
      </c>
      <c r="BF42" s="1883">
        <f t="shared" si="60"/>
        <v>0</v>
      </c>
      <c r="BG42" s="1740" t="b">
        <f t="shared" si="61"/>
        <v>1</v>
      </c>
      <c r="BH42" s="1740"/>
      <c r="BI42" s="1768">
        <f t="shared" ref="BI42:BI43" si="127">BA42</f>
        <v>0</v>
      </c>
      <c r="BJ42" s="1768">
        <f t="shared" ref="BJ42:BJ43" si="128">SUM(BB42:BD42)</f>
        <v>0</v>
      </c>
      <c r="BK42" s="1768">
        <f t="shared" ref="BK42:BK43" si="129">SUM(BI42:BJ42)</f>
        <v>0</v>
      </c>
    </row>
    <row r="43" spans="1:63" ht="15.75">
      <c r="B43" s="1907"/>
      <c r="C43" s="1909" t="s">
        <v>3769</v>
      </c>
      <c r="D43" s="1895"/>
      <c r="E43" s="1896"/>
      <c r="F43" s="1895"/>
      <c r="G43" s="1897">
        <f>G$16/$K$16*$K43</f>
        <v>37513.47190977983</v>
      </c>
      <c r="H43" s="1898">
        <f>H$16/$K$16*$K43</f>
        <v>37513.47190977983</v>
      </c>
      <c r="I43" s="1898">
        <f>I$16/$K$16*$K43</f>
        <v>0</v>
      </c>
      <c r="J43" s="1779">
        <f t="shared" si="92"/>
        <v>51397.596343877602</v>
      </c>
      <c r="K43" s="1906">
        <f>K41-K42</f>
        <v>126424.54016343725</v>
      </c>
      <c r="L43" s="1897">
        <f>L$16/$P$16*$P43</f>
        <v>72157.349171895985</v>
      </c>
      <c r="M43" s="1898">
        <f t="shared" ref="M43:O43" si="130">M$16/$P$16*$P43</f>
        <v>72157.349171895985</v>
      </c>
      <c r="N43" s="1898">
        <f t="shared" si="130"/>
        <v>0</v>
      </c>
      <c r="O43" s="1898">
        <f t="shared" si="130"/>
        <v>98863.531344174815</v>
      </c>
      <c r="P43" s="1906">
        <f>'СС2017 '!H202</f>
        <v>243178.22968796678</v>
      </c>
      <c r="Q43" s="1897">
        <f ca="1">Q$16/$AA$16*$AA43</f>
        <v>93532.310977392583</v>
      </c>
      <c r="R43" s="1899">
        <f t="shared" ref="R43:X43" ca="1" si="131">R$16/$AA$16*$AA43</f>
        <v>93532.310977392583</v>
      </c>
      <c r="S43" s="1898">
        <f t="shared" ca="1" si="131"/>
        <v>93532.310977392583</v>
      </c>
      <c r="T43" s="1898">
        <f t="shared" ca="1" si="131"/>
        <v>93532.310977392583</v>
      </c>
      <c r="U43" s="1898">
        <f t="shared" ca="1" si="131"/>
        <v>0</v>
      </c>
      <c r="V43" s="1898">
        <f t="shared" ca="1" si="131"/>
        <v>0</v>
      </c>
      <c r="W43" s="1898">
        <f t="shared" ca="1" si="131"/>
        <v>93532.310977392583</v>
      </c>
      <c r="X43" s="1900">
        <f t="shared" ca="1" si="131"/>
        <v>93532.310977392583</v>
      </c>
      <c r="Y43" s="1901">
        <f t="shared" ca="1" si="124"/>
        <v>280596.93293217773</v>
      </c>
      <c r="Z43" s="1901">
        <f t="shared" ca="1" si="124"/>
        <v>280596.93293217773</v>
      </c>
      <c r="AA43" s="1877">
        <f ca="1">'СС2017 '!I202</f>
        <v>561193.86586435547</v>
      </c>
      <c r="AB43" s="1897">
        <f ca="1">AB$16/$AL$16*$AL43</f>
        <v>8106.0467231258817</v>
      </c>
      <c r="AC43" s="1899">
        <f t="shared" ref="AC43:AI43" ca="1" si="132">AC$16/$AL$16*$AL43</f>
        <v>8106.0467231258808</v>
      </c>
      <c r="AD43" s="1898">
        <f t="shared" ca="1" si="132"/>
        <v>9106.0906686108756</v>
      </c>
      <c r="AE43" s="1898">
        <f t="shared" ca="1" si="132"/>
        <v>8106.0467231258808</v>
      </c>
      <c r="AF43" s="1898">
        <f t="shared" ca="1" si="132"/>
        <v>0</v>
      </c>
      <c r="AG43" s="1898">
        <f t="shared" ca="1" si="132"/>
        <v>0</v>
      </c>
      <c r="AH43" s="1898">
        <f t="shared" ca="1" si="132"/>
        <v>8106.0467231258817</v>
      </c>
      <c r="AI43" s="1900">
        <f t="shared" ca="1" si="132"/>
        <v>8106.0467231258808</v>
      </c>
      <c r="AJ43" s="1901">
        <f t="shared" ca="1" si="125"/>
        <v>25318.184114862637</v>
      </c>
      <c r="AK43" s="1901">
        <f t="shared" ca="1" si="125"/>
        <v>24318.140169377642</v>
      </c>
      <c r="AL43" s="1877">
        <f ca="1">'СС2017 '!J202</f>
        <v>49636.324284240283</v>
      </c>
      <c r="AM43" s="1897">
        <f>AM$16/$AW$16*$AW43</f>
        <v>0</v>
      </c>
      <c r="AN43" s="1899">
        <f t="shared" ref="AN43:AS43" si="133">AN$16/$AW$16*$AW43</f>
        <v>0</v>
      </c>
      <c r="AO43" s="1898">
        <f t="shared" si="133"/>
        <v>0</v>
      </c>
      <c r="AP43" s="1898">
        <f t="shared" si="133"/>
        <v>0</v>
      </c>
      <c r="AQ43" s="1898">
        <f t="shared" si="133"/>
        <v>0</v>
      </c>
      <c r="AR43" s="1898">
        <f t="shared" si="133"/>
        <v>0</v>
      </c>
      <c r="AS43" s="1898">
        <f t="shared" si="133"/>
        <v>0</v>
      </c>
      <c r="AT43" s="1900">
        <f>AT$16/$AW$16*$AW43</f>
        <v>0</v>
      </c>
      <c r="AU43" s="1901">
        <f t="shared" si="126"/>
        <v>0</v>
      </c>
      <c r="AV43" s="1901">
        <f t="shared" si="126"/>
        <v>0</v>
      </c>
      <c r="AW43" s="1877"/>
      <c r="AX43" s="1740"/>
      <c r="AY43" s="1740"/>
      <c r="AZ43" s="1740"/>
      <c r="BA43" s="1883">
        <f t="shared" ca="1" si="57"/>
        <v>312947.53648271284</v>
      </c>
      <c r="BB43" s="1883">
        <f t="shared" ca="1" si="58"/>
        <v>313947.58042819775</v>
      </c>
      <c r="BC43" s="1883">
        <f t="shared" ca="1" si="59"/>
        <v>0</v>
      </c>
      <c r="BD43" s="1883">
        <f t="shared" ca="1" si="67"/>
        <v>353537.84308908938</v>
      </c>
      <c r="BE43" s="1883">
        <f t="shared" ca="1" si="68"/>
        <v>980432.95999999985</v>
      </c>
      <c r="BF43" s="1883">
        <f t="shared" ca="1" si="60"/>
        <v>980432.96</v>
      </c>
      <c r="BG43" s="1740" t="b">
        <f t="shared" ca="1" si="61"/>
        <v>1</v>
      </c>
      <c r="BH43" s="1740"/>
      <c r="BI43" s="1768">
        <f t="shared" ca="1" si="127"/>
        <v>312947.53648271284</v>
      </c>
      <c r="BJ43" s="1768">
        <f t="shared" ca="1" si="128"/>
        <v>667485.42351728713</v>
      </c>
      <c r="BK43" s="1768">
        <f t="shared" ca="1" si="129"/>
        <v>980432.96</v>
      </c>
    </row>
    <row r="44" spans="1:63" ht="15.75">
      <c r="A44" s="1739">
        <f>A33+1</f>
        <v>6</v>
      </c>
      <c r="B44" s="1872" t="str">
        <f>CONCATENATE($B$25,".",A44)</f>
        <v>8.6</v>
      </c>
      <c r="C44" s="1873" t="s">
        <v>3726</v>
      </c>
      <c r="D44" s="1874"/>
      <c r="E44" s="1875"/>
      <c r="F44" s="1874"/>
      <c r="G44" s="1889">
        <f>SUM(G45:G48)</f>
        <v>20720.249998025862</v>
      </c>
      <c r="H44" s="1890">
        <f t="shared" ref="H44:J44" si="134">SUM(H45:H48)</f>
        <v>20720.249998025862</v>
      </c>
      <c r="I44" s="1890">
        <f t="shared" si="134"/>
        <v>0</v>
      </c>
      <c r="J44" s="1890">
        <f t="shared" si="134"/>
        <v>28389.029096107835</v>
      </c>
      <c r="K44" s="1877">
        <f>SUMIF('СС2017 '!$B$187:$B$207,'C1 2017'!C44,'СС2017 '!$G$187:$G$207)</f>
        <v>69829.529092159559</v>
      </c>
      <c r="L44" s="1889">
        <f t="shared" ref="L44:O44" si="135">SUM(L45:L48)</f>
        <v>51283.935441468522</v>
      </c>
      <c r="M44" s="1890">
        <f t="shared" si="135"/>
        <v>51283.935441468522</v>
      </c>
      <c r="N44" s="1890">
        <f t="shared" si="135"/>
        <v>0</v>
      </c>
      <c r="O44" s="1890">
        <f t="shared" si="135"/>
        <v>70264.651032177586</v>
      </c>
      <c r="P44" s="1877">
        <f>SUMIF('СС2017 '!$B$187:$B$207,'C1 2017'!C44,'СС2017 '!$H$187:$H$207)</f>
        <v>172832.52191511463</v>
      </c>
      <c r="Q44" s="1889">
        <f t="shared" ref="Q44:Z44" si="136">SUM(Q45:Q48)</f>
        <v>49937.738169080389</v>
      </c>
      <c r="R44" s="1891">
        <f t="shared" si="136"/>
        <v>49937.738169080389</v>
      </c>
      <c r="S44" s="1890">
        <f t="shared" si="136"/>
        <v>49937.738169080389</v>
      </c>
      <c r="T44" s="1890">
        <f t="shared" si="136"/>
        <v>49937.738169080389</v>
      </c>
      <c r="U44" s="1890">
        <f t="shared" si="136"/>
        <v>0</v>
      </c>
      <c r="V44" s="1890">
        <f t="shared" si="136"/>
        <v>0</v>
      </c>
      <c r="W44" s="1890">
        <f t="shared" si="136"/>
        <v>49937.738169080389</v>
      </c>
      <c r="X44" s="1892">
        <f t="shared" si="136"/>
        <v>49937.738169080389</v>
      </c>
      <c r="Y44" s="1892">
        <f t="shared" si="136"/>
        <v>149813.21450724115</v>
      </c>
      <c r="Z44" s="1892">
        <f t="shared" si="136"/>
        <v>149813.21450724115</v>
      </c>
      <c r="AA44" s="1877">
        <f>SUMIF('СС2017 '!$B$187:$B$207,'C1 2017'!C44,'СС2017 '!$I$187:$I$207)</f>
        <v>299626.42901448224</v>
      </c>
      <c r="AB44" s="1889">
        <f t="shared" ref="AB44:AV44" si="137">SUM(AB45:AB48)</f>
        <v>2361.4283798324095</v>
      </c>
      <c r="AC44" s="1891">
        <f t="shared" si="137"/>
        <v>2361.4283798324091</v>
      </c>
      <c r="AD44" s="1890">
        <f t="shared" si="137"/>
        <v>2652.7580790815618</v>
      </c>
      <c r="AE44" s="1890">
        <f t="shared" si="137"/>
        <v>2361.4283798324091</v>
      </c>
      <c r="AF44" s="1890">
        <f t="shared" si="137"/>
        <v>0</v>
      </c>
      <c r="AG44" s="1890">
        <f t="shared" si="137"/>
        <v>0</v>
      </c>
      <c r="AH44" s="1890">
        <f t="shared" si="137"/>
        <v>2361.4283798324095</v>
      </c>
      <c r="AI44" s="1892">
        <f t="shared" si="137"/>
        <v>2361.4283798324091</v>
      </c>
      <c r="AJ44" s="1892">
        <f t="shared" si="137"/>
        <v>7375.61483874638</v>
      </c>
      <c r="AK44" s="1892">
        <f t="shared" si="137"/>
        <v>7084.2851394972267</v>
      </c>
      <c r="AL44" s="1877">
        <f>SUMIF('СС2017 '!$B$187:$B$207,'C1 2017'!C44,'СС2017 '!$J$187:$J$207)</f>
        <v>14459.899978243608</v>
      </c>
      <c r="AM44" s="1889">
        <f t="shared" si="137"/>
        <v>0</v>
      </c>
      <c r="AN44" s="1891">
        <f t="shared" si="137"/>
        <v>0</v>
      </c>
      <c r="AO44" s="1890">
        <f t="shared" si="137"/>
        <v>0</v>
      </c>
      <c r="AP44" s="1890">
        <f t="shared" si="137"/>
        <v>0</v>
      </c>
      <c r="AQ44" s="1890">
        <f t="shared" si="137"/>
        <v>0</v>
      </c>
      <c r="AR44" s="1890">
        <f t="shared" si="137"/>
        <v>0</v>
      </c>
      <c r="AS44" s="1890">
        <f t="shared" si="137"/>
        <v>0</v>
      </c>
      <c r="AT44" s="1892">
        <f t="shared" si="137"/>
        <v>0</v>
      </c>
      <c r="AU44" s="1892">
        <f t="shared" si="137"/>
        <v>0</v>
      </c>
      <c r="AV44" s="1892">
        <f t="shared" si="137"/>
        <v>0</v>
      </c>
      <c r="AW44" s="1877"/>
      <c r="AX44" s="1740"/>
      <c r="AY44" s="1740"/>
      <c r="AZ44" s="1740"/>
      <c r="BA44" s="1883">
        <f t="shared" si="57"/>
        <v>176602.51853731999</v>
      </c>
      <c r="BB44" s="1883">
        <f t="shared" si="58"/>
        <v>176893.84823656915</v>
      </c>
      <c r="BC44" s="1883">
        <f t="shared" si="59"/>
        <v>0</v>
      </c>
      <c r="BD44" s="1883">
        <f t="shared" si="67"/>
        <v>203252.01322611107</v>
      </c>
      <c r="BE44" s="1883">
        <f t="shared" si="68"/>
        <v>556748.38000000012</v>
      </c>
      <c r="BF44" s="1883">
        <f t="shared" si="60"/>
        <v>556748.38000000024</v>
      </c>
      <c r="BG44" s="1740" t="b">
        <f t="shared" si="61"/>
        <v>1</v>
      </c>
      <c r="BH44" s="1740"/>
      <c r="BI44" s="1871">
        <f>SUM(BI45:BI48)</f>
        <v>176602.51853731996</v>
      </c>
      <c r="BJ44" s="1871">
        <f>SUM(BJ45:BJ48)</f>
        <v>380145.86146268016</v>
      </c>
      <c r="BK44" s="1871">
        <f>SUM(BK45:BK48)</f>
        <v>556748.38000000012</v>
      </c>
    </row>
    <row r="45" spans="1:63" ht="15.75">
      <c r="B45" s="1872"/>
      <c r="C45" s="1887" t="str">
        <f>'[35]СС 2015'!C170</f>
        <v xml:space="preserve"> - расходы на услуги банков</v>
      </c>
      <c r="D45" s="1874"/>
      <c r="E45" s="1875"/>
      <c r="F45" s="1874"/>
      <c r="G45" s="1878">
        <f>G$16/$K$16*$K45</f>
        <v>0</v>
      </c>
      <c r="H45" s="1880">
        <f t="shared" ref="H45:I48" si="138">H$16/$K$16*$K45</f>
        <v>0</v>
      </c>
      <c r="I45" s="1880">
        <f t="shared" si="138"/>
        <v>0</v>
      </c>
      <c r="J45" s="1779">
        <f t="shared" si="92"/>
        <v>0</v>
      </c>
      <c r="K45" s="1877">
        <f>SUMIF('СС2017 '!$B$187:$B$207,'C1 2017'!C45,'СС2017 '!$G$187:$G$207)</f>
        <v>0</v>
      </c>
      <c r="L45" s="1878">
        <f t="shared" ref="L45:O48" si="139">L$16/$P$16*$P45</f>
        <v>0</v>
      </c>
      <c r="M45" s="1880">
        <f t="shared" si="139"/>
        <v>0</v>
      </c>
      <c r="N45" s="1880">
        <f t="shared" si="139"/>
        <v>0</v>
      </c>
      <c r="O45" s="1880">
        <f t="shared" si="139"/>
        <v>0</v>
      </c>
      <c r="P45" s="1877">
        <f>SUMIF('СС2017 '!$B$187:$B$207,'C1 2017'!C45,'СС2017 '!$H$187:$H$207)</f>
        <v>0</v>
      </c>
      <c r="Q45" s="1878">
        <f>Q$16/$AA$16*$AA45</f>
        <v>0</v>
      </c>
      <c r="R45" s="1879">
        <f t="shared" ref="R45:X48" si="140">R$16/$AA$16*$AA45</f>
        <v>0</v>
      </c>
      <c r="S45" s="1880">
        <f t="shared" si="140"/>
        <v>0</v>
      </c>
      <c r="T45" s="1880">
        <f t="shared" si="140"/>
        <v>0</v>
      </c>
      <c r="U45" s="1880">
        <f t="shared" si="140"/>
        <v>0</v>
      </c>
      <c r="V45" s="1880">
        <f t="shared" si="140"/>
        <v>0</v>
      </c>
      <c r="W45" s="1880">
        <f t="shared" si="140"/>
        <v>0</v>
      </c>
      <c r="X45" s="1881">
        <f t="shared" si="140"/>
        <v>0</v>
      </c>
      <c r="Y45" s="1882">
        <f t="shared" ref="Y45:Z48" si="141">SUM(Q45,S45,U45,W45)</f>
        <v>0</v>
      </c>
      <c r="Z45" s="1882">
        <f t="shared" si="141"/>
        <v>0</v>
      </c>
      <c r="AA45" s="1877">
        <f>SUMIF('СС2017 '!$B$187:$B$207,'C1 2017'!C45,'СС2017 '!$I$187:$I$207)</f>
        <v>0</v>
      </c>
      <c r="AB45" s="1878">
        <f>AB$16/$AL$16*$AL45</f>
        <v>0</v>
      </c>
      <c r="AC45" s="1879">
        <f t="shared" ref="AC45:AI48" si="142">AC$16/$AL$16*$AL45</f>
        <v>0</v>
      </c>
      <c r="AD45" s="1880">
        <f t="shared" si="142"/>
        <v>0</v>
      </c>
      <c r="AE45" s="1880">
        <f t="shared" si="142"/>
        <v>0</v>
      </c>
      <c r="AF45" s="1880">
        <f t="shared" si="142"/>
        <v>0</v>
      </c>
      <c r="AG45" s="1880">
        <f t="shared" si="142"/>
        <v>0</v>
      </c>
      <c r="AH45" s="1880">
        <f t="shared" si="142"/>
        <v>0</v>
      </c>
      <c r="AI45" s="1881">
        <f t="shared" si="142"/>
        <v>0</v>
      </c>
      <c r="AJ45" s="1882">
        <f t="shared" ref="AJ45:AK48" si="143">SUM(AB45,AD45,AF45,AH45)</f>
        <v>0</v>
      </c>
      <c r="AK45" s="1882">
        <f t="shared" si="143"/>
        <v>0</v>
      </c>
      <c r="AL45" s="1877">
        <f>SUMIF('СС2017 '!$B$187:$B$207,'C1 2017'!C45,'СС2017 '!$J$187:$J$207)</f>
        <v>0</v>
      </c>
      <c r="AM45" s="1878">
        <f>AM$16/$AW$16*$AW45</f>
        <v>0</v>
      </c>
      <c r="AN45" s="1879">
        <f t="shared" ref="AN45:AT48" si="144">AN$16/$AW$16*$AW45</f>
        <v>0</v>
      </c>
      <c r="AO45" s="1880">
        <f t="shared" si="144"/>
        <v>0</v>
      </c>
      <c r="AP45" s="1880">
        <f t="shared" si="144"/>
        <v>0</v>
      </c>
      <c r="AQ45" s="1880">
        <f t="shared" si="144"/>
        <v>0</v>
      </c>
      <c r="AR45" s="1880">
        <f t="shared" si="144"/>
        <v>0</v>
      </c>
      <c r="AS45" s="1880">
        <f t="shared" si="144"/>
        <v>0</v>
      </c>
      <c r="AT45" s="1881">
        <f t="shared" si="144"/>
        <v>0</v>
      </c>
      <c r="AU45" s="1882">
        <f t="shared" ref="AU45:AV48" si="145">SUM(AM45,AO45,AQ45,AS45)</f>
        <v>0</v>
      </c>
      <c r="AV45" s="1882">
        <f t="shared" si="145"/>
        <v>0</v>
      </c>
      <c r="AW45" s="1877"/>
      <c r="AX45" s="1740"/>
      <c r="AY45" s="1740"/>
      <c r="AZ45" s="1740"/>
      <c r="BA45" s="1883">
        <f t="shared" si="57"/>
        <v>0</v>
      </c>
      <c r="BB45" s="1883">
        <f t="shared" si="58"/>
        <v>0</v>
      </c>
      <c r="BC45" s="1883">
        <f t="shared" si="59"/>
        <v>0</v>
      </c>
      <c r="BD45" s="1883">
        <f t="shared" si="67"/>
        <v>0</v>
      </c>
      <c r="BE45" s="1883">
        <f t="shared" si="68"/>
        <v>0</v>
      </c>
      <c r="BF45" s="1883">
        <f t="shared" si="60"/>
        <v>0</v>
      </c>
      <c r="BG45" s="1740" t="b">
        <f t="shared" si="61"/>
        <v>1</v>
      </c>
      <c r="BH45" s="1740"/>
      <c r="BI45" s="1768">
        <f t="shared" ref="BI45:BI49" si="146">BA45</f>
        <v>0</v>
      </c>
      <c r="BJ45" s="1768">
        <f t="shared" ref="BJ45:BJ49" si="147">SUM(BB45:BD45)</f>
        <v>0</v>
      </c>
      <c r="BK45" s="1768">
        <f t="shared" ref="BK45:BK49" si="148">SUM(BI45:BJ45)</f>
        <v>0</v>
      </c>
    </row>
    <row r="46" spans="1:63" ht="15.75">
      <c r="B46" s="1872"/>
      <c r="C46" s="1887" t="str">
        <f>'[35]СС 2015'!C171</f>
        <v xml:space="preserve"> - % за пользование кредитом</v>
      </c>
      <c r="D46" s="1874"/>
      <c r="E46" s="1875"/>
      <c r="F46" s="1874"/>
      <c r="G46" s="1878">
        <f>G$16/$K$16*$K46*G51</f>
        <v>0</v>
      </c>
      <c r="H46" s="1880">
        <f>H$16/$K$16*$K46*H51</f>
        <v>0</v>
      </c>
      <c r="I46" s="1880">
        <f t="shared" si="138"/>
        <v>0</v>
      </c>
      <c r="J46" s="1779">
        <f t="shared" si="92"/>
        <v>0</v>
      </c>
      <c r="K46" s="1877">
        <f>SUMIF('СС2017 '!$B$187:$B$207,'C1 2017'!C46,'СС2017 '!$G$187:$G$207)</f>
        <v>0</v>
      </c>
      <c r="L46" s="1878">
        <f t="shared" si="139"/>
        <v>0</v>
      </c>
      <c r="M46" s="1880">
        <f t="shared" si="139"/>
        <v>0</v>
      </c>
      <c r="N46" s="1880">
        <f t="shared" si="139"/>
        <v>0</v>
      </c>
      <c r="O46" s="1880">
        <f t="shared" si="139"/>
        <v>0</v>
      </c>
      <c r="P46" s="1877">
        <f>SUMIF('СС2017 '!$B$187:$B$207,'C1 2017'!C46,'СС2017 '!$H$187:$H$207)</f>
        <v>0</v>
      </c>
      <c r="Q46" s="1878">
        <f>Q$16/$AA$16*$AA46</f>
        <v>0</v>
      </c>
      <c r="R46" s="1879">
        <f>R$16/$AA$16*$AA46</f>
        <v>0</v>
      </c>
      <c r="S46" s="1880">
        <f t="shared" si="140"/>
        <v>0</v>
      </c>
      <c r="T46" s="1880">
        <f t="shared" si="140"/>
        <v>0</v>
      </c>
      <c r="U46" s="1880">
        <f t="shared" si="140"/>
        <v>0</v>
      </c>
      <c r="V46" s="1880">
        <f t="shared" si="140"/>
        <v>0</v>
      </c>
      <c r="W46" s="1880">
        <f t="shared" si="140"/>
        <v>0</v>
      </c>
      <c r="X46" s="1881">
        <f t="shared" si="140"/>
        <v>0</v>
      </c>
      <c r="Y46" s="1882">
        <f t="shared" si="141"/>
        <v>0</v>
      </c>
      <c r="Z46" s="1882">
        <f t="shared" si="141"/>
        <v>0</v>
      </c>
      <c r="AA46" s="1877">
        <f>SUMIF('СС2017 '!$B$187:$B$207,'C1 2017'!C46,'СС2017 '!$I$187:$I$207)</f>
        <v>0</v>
      </c>
      <c r="AB46" s="1878">
        <f>AB$16/$AL$16*$AL46</f>
        <v>0</v>
      </c>
      <c r="AC46" s="1879">
        <f t="shared" si="142"/>
        <v>0</v>
      </c>
      <c r="AD46" s="1880">
        <f t="shared" si="142"/>
        <v>0</v>
      </c>
      <c r="AE46" s="1880">
        <f t="shared" si="142"/>
        <v>0</v>
      </c>
      <c r="AF46" s="1880">
        <f t="shared" si="142"/>
        <v>0</v>
      </c>
      <c r="AG46" s="1880">
        <f t="shared" si="142"/>
        <v>0</v>
      </c>
      <c r="AH46" s="1880">
        <f t="shared" si="142"/>
        <v>0</v>
      </c>
      <c r="AI46" s="1881">
        <f t="shared" si="142"/>
        <v>0</v>
      </c>
      <c r="AJ46" s="1882">
        <f t="shared" si="143"/>
        <v>0</v>
      </c>
      <c r="AK46" s="1882">
        <f t="shared" si="143"/>
        <v>0</v>
      </c>
      <c r="AL46" s="1877">
        <f>SUMIF('СС2017 '!$B$187:$B$207,'C1 2017'!C46,'СС2017 '!$J$187:$J$207)</f>
        <v>0</v>
      </c>
      <c r="AM46" s="1878">
        <f>AM$16/$AW$16*$AW46</f>
        <v>0</v>
      </c>
      <c r="AN46" s="1879">
        <f t="shared" si="144"/>
        <v>0</v>
      </c>
      <c r="AO46" s="1880">
        <f t="shared" si="144"/>
        <v>0</v>
      </c>
      <c r="AP46" s="1880">
        <f t="shared" si="144"/>
        <v>0</v>
      </c>
      <c r="AQ46" s="1880">
        <f t="shared" si="144"/>
        <v>0</v>
      </c>
      <c r="AR46" s="1880">
        <f t="shared" si="144"/>
        <v>0</v>
      </c>
      <c r="AS46" s="1880">
        <f t="shared" si="144"/>
        <v>0</v>
      </c>
      <c r="AT46" s="1881">
        <f t="shared" si="144"/>
        <v>0</v>
      </c>
      <c r="AU46" s="1882">
        <f t="shared" si="145"/>
        <v>0</v>
      </c>
      <c r="AV46" s="1882">
        <f t="shared" si="145"/>
        <v>0</v>
      </c>
      <c r="AW46" s="1877"/>
      <c r="AX46" s="1740"/>
      <c r="AY46" s="1740"/>
      <c r="AZ46" s="1740"/>
      <c r="BA46" s="1883">
        <f t="shared" si="57"/>
        <v>0</v>
      </c>
      <c r="BB46" s="1883">
        <f t="shared" si="58"/>
        <v>0</v>
      </c>
      <c r="BC46" s="1883">
        <f t="shared" si="59"/>
        <v>0</v>
      </c>
      <c r="BD46" s="1883">
        <f t="shared" si="67"/>
        <v>0</v>
      </c>
      <c r="BE46" s="1883">
        <f t="shared" si="68"/>
        <v>0</v>
      </c>
      <c r="BF46" s="1883">
        <f t="shared" si="60"/>
        <v>0</v>
      </c>
      <c r="BG46" s="1740" t="b">
        <f t="shared" si="61"/>
        <v>1</v>
      </c>
      <c r="BH46" s="1740"/>
      <c r="BI46" s="1768">
        <f t="shared" si="146"/>
        <v>0</v>
      </c>
      <c r="BJ46" s="1768">
        <f t="shared" si="147"/>
        <v>0</v>
      </c>
      <c r="BK46" s="1768">
        <f t="shared" si="148"/>
        <v>0</v>
      </c>
    </row>
    <row r="47" spans="1:63" ht="15.75">
      <c r="B47" s="1872"/>
      <c r="C47" s="1887" t="str">
        <f>'[35]СС 2015'!C172</f>
        <v xml:space="preserve"> - прочие обоснованные расходы*</v>
      </c>
      <c r="D47" s="1874"/>
      <c r="E47" s="1875"/>
      <c r="F47" s="1874"/>
      <c r="G47" s="1878">
        <f>G$16/$K$16*$K47</f>
        <v>13911.302964625746</v>
      </c>
      <c r="H47" s="1880">
        <f t="shared" si="138"/>
        <v>13911.302964625746</v>
      </c>
      <c r="I47" s="1880">
        <f t="shared" si="138"/>
        <v>0</v>
      </c>
      <c r="J47" s="1779">
        <f t="shared" si="92"/>
        <v>19060.02025386559</v>
      </c>
      <c r="K47" s="1877">
        <f>SUMIF('СС2017 '!$B$187:$B$207,'C1 2017'!C47,'СС2017 '!$G$187:$G$207)</f>
        <v>46882.626183117085</v>
      </c>
      <c r="L47" s="1878">
        <f t="shared" si="139"/>
        <v>34431.358850040349</v>
      </c>
      <c r="M47" s="1880">
        <f t="shared" si="139"/>
        <v>34431.358850040349</v>
      </c>
      <c r="N47" s="1880">
        <f t="shared" si="139"/>
        <v>0</v>
      </c>
      <c r="O47" s="1880">
        <f t="shared" si="139"/>
        <v>47174.761323123756</v>
      </c>
      <c r="P47" s="1877">
        <f>SUMIF('СС2017 '!$B$187:$B$207,'C1 2017'!C47,'СС2017 '!$H$187:$H$207)</f>
        <v>116037.47902320445</v>
      </c>
      <c r="Q47" s="1878">
        <f>Q$16/$AA$16*$AA47</f>
        <v>33527.539730670243</v>
      </c>
      <c r="R47" s="1879">
        <f t="shared" si="140"/>
        <v>33527.539730670243</v>
      </c>
      <c r="S47" s="1880">
        <f t="shared" si="140"/>
        <v>33527.539730670243</v>
      </c>
      <c r="T47" s="1880">
        <f t="shared" si="140"/>
        <v>33527.539730670243</v>
      </c>
      <c r="U47" s="1880">
        <f t="shared" si="140"/>
        <v>0</v>
      </c>
      <c r="V47" s="1880">
        <f t="shared" si="140"/>
        <v>0</v>
      </c>
      <c r="W47" s="1880">
        <f t="shared" si="140"/>
        <v>33527.539730670243</v>
      </c>
      <c r="X47" s="1881">
        <f t="shared" si="140"/>
        <v>33527.539730670243</v>
      </c>
      <c r="Y47" s="1882">
        <f t="shared" si="141"/>
        <v>100582.61919201072</v>
      </c>
      <c r="Z47" s="1882">
        <f t="shared" si="141"/>
        <v>100582.61919201072</v>
      </c>
      <c r="AA47" s="1877">
        <f>SUMIF('СС2017 '!$B$187:$B$207,'C1 2017'!C47,'СС2017 '!$I$187:$I$207)</f>
        <v>201165.23838402142</v>
      </c>
      <c r="AB47" s="1878">
        <f>AB$16/$AL$16*$AL47</f>
        <v>1585.4319143950397</v>
      </c>
      <c r="AC47" s="1879">
        <f t="shared" si="142"/>
        <v>1585.4319143950395</v>
      </c>
      <c r="AD47" s="1880">
        <f t="shared" si="142"/>
        <v>1781.0268376818915</v>
      </c>
      <c r="AE47" s="1880">
        <f t="shared" si="142"/>
        <v>1585.4319143950395</v>
      </c>
      <c r="AF47" s="1880">
        <f t="shared" si="142"/>
        <v>0</v>
      </c>
      <c r="AG47" s="1880">
        <f t="shared" si="142"/>
        <v>0</v>
      </c>
      <c r="AH47" s="1880">
        <f t="shared" si="142"/>
        <v>1585.4319143950397</v>
      </c>
      <c r="AI47" s="1881">
        <f t="shared" si="142"/>
        <v>1585.4319143950395</v>
      </c>
      <c r="AJ47" s="1882">
        <f t="shared" si="143"/>
        <v>4951.8906664719707</v>
      </c>
      <c r="AK47" s="1882">
        <f t="shared" si="143"/>
        <v>4756.2957431851182</v>
      </c>
      <c r="AL47" s="1877">
        <f>SUMIF('СС2017 '!$B$187:$B$207,'C1 2017'!C47,'СС2017 '!$J$187:$J$207)</f>
        <v>9708.1864096570898</v>
      </c>
      <c r="AM47" s="1878">
        <f>AM$16/$AW$16*$AW47</f>
        <v>0</v>
      </c>
      <c r="AN47" s="1879">
        <f t="shared" si="144"/>
        <v>0</v>
      </c>
      <c r="AO47" s="1880">
        <f t="shared" si="144"/>
        <v>0</v>
      </c>
      <c r="AP47" s="1880">
        <f t="shared" si="144"/>
        <v>0</v>
      </c>
      <c r="AQ47" s="1880">
        <f t="shared" si="144"/>
        <v>0</v>
      </c>
      <c r="AR47" s="1880">
        <f t="shared" si="144"/>
        <v>0</v>
      </c>
      <c r="AS47" s="1880">
        <f t="shared" si="144"/>
        <v>0</v>
      </c>
      <c r="AT47" s="1881">
        <f t="shared" si="144"/>
        <v>0</v>
      </c>
      <c r="AU47" s="1882">
        <f t="shared" si="145"/>
        <v>0</v>
      </c>
      <c r="AV47" s="1882">
        <f t="shared" si="145"/>
        <v>0</v>
      </c>
      <c r="AW47" s="1877"/>
      <c r="AX47" s="1740"/>
      <c r="AY47" s="1740"/>
      <c r="AZ47" s="1740"/>
      <c r="BA47" s="1883">
        <f t="shared" si="57"/>
        <v>118568.60510479668</v>
      </c>
      <c r="BB47" s="1883">
        <f t="shared" si="58"/>
        <v>118764.20002808352</v>
      </c>
      <c r="BC47" s="1883">
        <f t="shared" si="59"/>
        <v>0</v>
      </c>
      <c r="BD47" s="1883">
        <f t="shared" si="67"/>
        <v>136460.72486711992</v>
      </c>
      <c r="BE47" s="1883">
        <f t="shared" si="68"/>
        <v>373793.53</v>
      </c>
      <c r="BF47" s="1883">
        <f t="shared" si="60"/>
        <v>373793.53000000014</v>
      </c>
      <c r="BG47" s="1740" t="b">
        <f t="shared" si="61"/>
        <v>1</v>
      </c>
      <c r="BH47" s="1740"/>
      <c r="BI47" s="1768">
        <f t="shared" si="146"/>
        <v>118568.60510479668</v>
      </c>
      <c r="BJ47" s="1768">
        <f t="shared" si="147"/>
        <v>255224.92489520344</v>
      </c>
      <c r="BK47" s="1768">
        <f t="shared" si="148"/>
        <v>373793.53000000014</v>
      </c>
    </row>
    <row r="48" spans="1:63" ht="46.5" customHeight="1">
      <c r="B48" s="1872"/>
      <c r="C48" s="1887" t="str">
        <f>'[35]СС 2015'!C173</f>
        <v xml:space="preserve"> - денежные выплаты социального характера (по Коллективному договору)</v>
      </c>
      <c r="D48" s="1874"/>
      <c r="E48" s="1875"/>
      <c r="F48" s="1874"/>
      <c r="G48" s="1878">
        <f>G$16/$K$16*$K48</f>
        <v>6808.9470334001171</v>
      </c>
      <c r="H48" s="1880">
        <f t="shared" si="138"/>
        <v>6808.9470334001171</v>
      </c>
      <c r="I48" s="1880">
        <f t="shared" si="138"/>
        <v>0</v>
      </c>
      <c r="J48" s="1779">
        <f t="shared" si="92"/>
        <v>9329.008842242245</v>
      </c>
      <c r="K48" s="1877">
        <f>SUMIF('СС2017 '!$B$187:$B$207,'C1 2017'!C48,'СС2017 '!$G$187:$G$207)</f>
        <v>22946.902909042477</v>
      </c>
      <c r="L48" s="1878">
        <f t="shared" si="139"/>
        <v>16852.576591428169</v>
      </c>
      <c r="M48" s="1880">
        <f t="shared" si="139"/>
        <v>16852.576591428169</v>
      </c>
      <c r="N48" s="1880">
        <f t="shared" si="139"/>
        <v>0</v>
      </c>
      <c r="O48" s="1880">
        <f t="shared" si="139"/>
        <v>23089.889709053838</v>
      </c>
      <c r="P48" s="1877">
        <f>SUMIF('СС2017 '!$B$187:$B$207,'C1 2017'!C48,'СС2017 '!$H$187:$H$207)</f>
        <v>56795.042891910176</v>
      </c>
      <c r="Q48" s="1878">
        <f>Q$16/$AA$16*$AA48</f>
        <v>16410.198438410142</v>
      </c>
      <c r="R48" s="1879">
        <f t="shared" si="140"/>
        <v>16410.198438410142</v>
      </c>
      <c r="S48" s="1880">
        <f t="shared" si="140"/>
        <v>16410.198438410142</v>
      </c>
      <c r="T48" s="1880">
        <f t="shared" si="140"/>
        <v>16410.198438410142</v>
      </c>
      <c r="U48" s="1880">
        <f t="shared" si="140"/>
        <v>0</v>
      </c>
      <c r="V48" s="1880">
        <f t="shared" si="140"/>
        <v>0</v>
      </c>
      <c r="W48" s="1880">
        <f t="shared" si="140"/>
        <v>16410.198438410142</v>
      </c>
      <c r="X48" s="1881">
        <f t="shared" si="140"/>
        <v>16410.198438410142</v>
      </c>
      <c r="Y48" s="1882">
        <f t="shared" si="141"/>
        <v>49230.595315230428</v>
      </c>
      <c r="Z48" s="1882">
        <f t="shared" si="141"/>
        <v>49230.595315230428</v>
      </c>
      <c r="AA48" s="1877">
        <f>SUMIF('СС2017 '!$B$187:$B$207,'C1 2017'!C48,'СС2017 '!$I$187:$I$207)</f>
        <v>98461.190630460827</v>
      </c>
      <c r="AB48" s="1878">
        <f>AB$16/$AL$16*$AL48</f>
        <v>775.99646543736958</v>
      </c>
      <c r="AC48" s="1879">
        <f t="shared" si="142"/>
        <v>775.99646543736947</v>
      </c>
      <c r="AD48" s="1880">
        <f t="shared" si="142"/>
        <v>871.73124139967013</v>
      </c>
      <c r="AE48" s="1880">
        <f t="shared" si="142"/>
        <v>775.99646543736947</v>
      </c>
      <c r="AF48" s="1880">
        <f t="shared" si="142"/>
        <v>0</v>
      </c>
      <c r="AG48" s="1880">
        <f t="shared" si="142"/>
        <v>0</v>
      </c>
      <c r="AH48" s="1880">
        <f t="shared" si="142"/>
        <v>775.99646543736958</v>
      </c>
      <c r="AI48" s="1881">
        <f t="shared" si="142"/>
        <v>775.99646543736947</v>
      </c>
      <c r="AJ48" s="1882">
        <f t="shared" si="143"/>
        <v>2423.7241722744093</v>
      </c>
      <c r="AK48" s="1882">
        <f t="shared" si="143"/>
        <v>2327.9893963121085</v>
      </c>
      <c r="AL48" s="1877">
        <f>SUMIF('СС2017 '!$B$187:$B$207,'C1 2017'!C48,'СС2017 '!$J$187:$J$207)</f>
        <v>4751.7135685865178</v>
      </c>
      <c r="AM48" s="1878">
        <f>AM$16/$AW$16*$AW48</f>
        <v>0</v>
      </c>
      <c r="AN48" s="1879">
        <f t="shared" si="144"/>
        <v>0</v>
      </c>
      <c r="AO48" s="1880">
        <f t="shared" si="144"/>
        <v>0</v>
      </c>
      <c r="AP48" s="1880">
        <f t="shared" si="144"/>
        <v>0</v>
      </c>
      <c r="AQ48" s="1880">
        <f t="shared" si="144"/>
        <v>0</v>
      </c>
      <c r="AR48" s="1880">
        <f t="shared" si="144"/>
        <v>0</v>
      </c>
      <c r="AS48" s="1880">
        <f t="shared" si="144"/>
        <v>0</v>
      </c>
      <c r="AT48" s="1881">
        <f t="shared" si="144"/>
        <v>0</v>
      </c>
      <c r="AU48" s="1882">
        <f t="shared" si="145"/>
        <v>0</v>
      </c>
      <c r="AV48" s="1882">
        <f t="shared" si="145"/>
        <v>0</v>
      </c>
      <c r="AW48" s="1877"/>
      <c r="AX48" s="1740"/>
      <c r="AY48" s="1740"/>
      <c r="AZ48" s="1740"/>
      <c r="BA48" s="1883">
        <f t="shared" si="57"/>
        <v>58033.913432523303</v>
      </c>
      <c r="BB48" s="1883">
        <f t="shared" si="58"/>
        <v>58129.648208485603</v>
      </c>
      <c r="BC48" s="1883">
        <f t="shared" si="59"/>
        <v>0</v>
      </c>
      <c r="BD48" s="1883">
        <f t="shared" si="67"/>
        <v>66791.288358991122</v>
      </c>
      <c r="BE48" s="1883">
        <f t="shared" si="68"/>
        <v>182954.85000000003</v>
      </c>
      <c r="BF48" s="1883">
        <f t="shared" si="60"/>
        <v>182954.85000000003</v>
      </c>
      <c r="BG48" s="1740" t="b">
        <f t="shared" si="61"/>
        <v>1</v>
      </c>
      <c r="BH48" s="1740"/>
      <c r="BI48" s="1768">
        <f t="shared" si="146"/>
        <v>58033.913432523303</v>
      </c>
      <c r="BJ48" s="1768">
        <f t="shared" si="147"/>
        <v>124920.93656747672</v>
      </c>
      <c r="BK48" s="1768">
        <f t="shared" si="148"/>
        <v>182954.85000000003</v>
      </c>
    </row>
    <row r="49" spans="2:63" ht="15.75">
      <c r="B49" s="1872"/>
      <c r="C49" s="1911"/>
      <c r="D49" s="1845"/>
      <c r="E49" s="1818"/>
      <c r="F49" s="1845"/>
      <c r="G49" s="1912"/>
      <c r="H49" s="1913"/>
      <c r="I49" s="1913"/>
      <c r="J49" s="1913"/>
      <c r="K49" s="1914"/>
      <c r="L49" s="1912"/>
      <c r="M49" s="1913"/>
      <c r="N49" s="1913"/>
      <c r="O49" s="1913"/>
      <c r="P49" s="1914"/>
      <c r="Q49" s="1912"/>
      <c r="R49" s="1915"/>
      <c r="S49" s="1913"/>
      <c r="T49" s="1913"/>
      <c r="U49" s="1913"/>
      <c r="V49" s="1913"/>
      <c r="W49" s="1913"/>
      <c r="X49" s="1916"/>
      <c r="Y49" s="1916"/>
      <c r="Z49" s="1916"/>
      <c r="AA49" s="1914"/>
      <c r="AB49" s="1912"/>
      <c r="AC49" s="1915"/>
      <c r="AD49" s="1913"/>
      <c r="AE49" s="1913"/>
      <c r="AF49" s="1913"/>
      <c r="AG49" s="1913"/>
      <c r="AH49" s="1913"/>
      <c r="AI49" s="1916"/>
      <c r="AJ49" s="1916"/>
      <c r="AK49" s="1916"/>
      <c r="AL49" s="1914"/>
      <c r="AM49" s="1917"/>
      <c r="AN49" s="1918"/>
      <c r="AO49" s="1919"/>
      <c r="AP49" s="1919"/>
      <c r="AQ49" s="1919"/>
      <c r="AR49" s="1919"/>
      <c r="AS49" s="1919"/>
      <c r="AT49" s="1920"/>
      <c r="AU49" s="1920"/>
      <c r="AV49" s="1920"/>
      <c r="AW49" s="1921"/>
      <c r="AX49" s="1740"/>
      <c r="AY49" s="1740"/>
      <c r="AZ49" s="1740"/>
      <c r="BA49" s="1883">
        <f t="shared" si="57"/>
        <v>0</v>
      </c>
      <c r="BB49" s="1883">
        <f t="shared" si="58"/>
        <v>0</v>
      </c>
      <c r="BC49" s="1883">
        <f t="shared" si="59"/>
        <v>0</v>
      </c>
      <c r="BD49" s="1883">
        <f t="shared" si="67"/>
        <v>0</v>
      </c>
      <c r="BE49" s="1883">
        <f t="shared" si="68"/>
        <v>0</v>
      </c>
      <c r="BF49" s="1883">
        <f t="shared" si="60"/>
        <v>0</v>
      </c>
      <c r="BG49" s="1740" t="b">
        <f t="shared" si="61"/>
        <v>1</v>
      </c>
      <c r="BH49" s="1740"/>
      <c r="BI49" s="1768">
        <f t="shared" si="146"/>
        <v>0</v>
      </c>
      <c r="BJ49" s="1768">
        <f t="shared" si="147"/>
        <v>0</v>
      </c>
      <c r="BK49" s="1768">
        <f t="shared" si="148"/>
        <v>0</v>
      </c>
    </row>
    <row r="50" spans="2:63">
      <c r="D50" s="1740"/>
      <c r="E50" s="1740"/>
      <c r="F50" s="1740"/>
      <c r="G50" s="1740"/>
      <c r="H50" s="1740"/>
      <c r="I50" s="1740"/>
      <c r="J50" s="1740"/>
      <c r="K50" s="1740"/>
      <c r="L50" s="1740"/>
      <c r="M50" s="1740"/>
      <c r="N50" s="1740"/>
      <c r="O50" s="1740"/>
      <c r="P50" s="1740"/>
      <c r="Q50" s="1740"/>
      <c r="R50" s="1740"/>
      <c r="S50" s="1740"/>
      <c r="T50" s="1740"/>
      <c r="U50" s="1740"/>
      <c r="V50" s="1740"/>
      <c r="W50" s="1740"/>
      <c r="X50" s="1740"/>
      <c r="Y50" s="1740"/>
      <c r="Z50" s="1740"/>
      <c r="AA50" s="1740"/>
      <c r="AB50" s="1740"/>
      <c r="AC50" s="1740"/>
      <c r="AD50" s="1740"/>
      <c r="AE50" s="1740"/>
      <c r="AF50" s="1740"/>
      <c r="AG50" s="1740"/>
      <c r="AH50" s="1740"/>
      <c r="AI50" s="1740"/>
      <c r="AJ50" s="1740"/>
      <c r="AK50" s="1740"/>
      <c r="AL50" s="1740"/>
      <c r="AM50" s="1740"/>
      <c r="AN50" s="1740"/>
      <c r="AO50" s="1740"/>
      <c r="AP50" s="1740"/>
      <c r="AQ50" s="1740"/>
      <c r="AR50" s="1740"/>
      <c r="AS50" s="1740"/>
      <c r="AT50" s="1740"/>
      <c r="AU50" s="1740"/>
      <c r="AV50" s="1740"/>
      <c r="AW50" s="1740"/>
      <c r="AX50" s="1740"/>
      <c r="AY50" s="1740"/>
      <c r="AZ50" s="1740"/>
      <c r="BA50" s="1740"/>
      <c r="BB50" s="1740"/>
      <c r="BC50" s="1740"/>
      <c r="BD50" s="1740"/>
      <c r="BE50" s="1740"/>
      <c r="BF50" s="1740"/>
      <c r="BG50" s="1740"/>
      <c r="BH50" s="1740"/>
      <c r="BI50" s="1740"/>
      <c r="BJ50" s="1740"/>
      <c r="BK50" s="1740"/>
    </row>
    <row r="51" spans="2:63">
      <c r="D51" s="1740"/>
      <c r="E51" s="1740"/>
      <c r="F51" s="1740"/>
      <c r="G51" s="1740">
        <v>1.0492879756051856</v>
      </c>
      <c r="H51" s="1740">
        <v>1</v>
      </c>
      <c r="I51" s="1740"/>
      <c r="J51" s="1740">
        <v>1</v>
      </c>
      <c r="K51" s="1740"/>
      <c r="L51" s="1740"/>
      <c r="M51" s="1740"/>
      <c r="N51" s="1740"/>
      <c r="O51" s="1740"/>
      <c r="P51" s="1740"/>
      <c r="Q51" s="1740"/>
      <c r="R51" s="1740"/>
      <c r="S51" s="1740"/>
      <c r="T51" s="1740"/>
      <c r="U51" s="1740"/>
      <c r="V51" s="1740"/>
      <c r="W51" s="1740"/>
      <c r="X51" s="1740"/>
      <c r="Y51" s="1740"/>
      <c r="Z51" s="1740"/>
      <c r="AA51" s="1740">
        <f>'[30]СС 2016'!J183</f>
        <v>1515030.9320351193</v>
      </c>
      <c r="AB51" s="1740"/>
      <c r="AC51" s="1740"/>
      <c r="AD51" s="1740"/>
      <c r="AE51" s="1740"/>
      <c r="AF51" s="1740"/>
      <c r="AG51" s="1740"/>
      <c r="AH51" s="1740"/>
      <c r="AI51" s="1740"/>
      <c r="AJ51" s="1740"/>
      <c r="AK51" s="1740"/>
      <c r="AL51" s="1740"/>
      <c r="AM51" s="1740"/>
      <c r="AN51" s="1740"/>
      <c r="AO51" s="1740"/>
      <c r="AP51" s="1740"/>
      <c r="AQ51" s="1740"/>
      <c r="AR51" s="1740"/>
      <c r="AS51" s="1740"/>
      <c r="AT51" s="1740"/>
      <c r="AU51" s="1740"/>
      <c r="AV51" s="1740"/>
      <c r="AW51" s="1740"/>
      <c r="AX51" s="1740"/>
      <c r="AY51" s="1740"/>
      <c r="AZ51" s="1740"/>
      <c r="BA51" s="1740"/>
      <c r="BB51" s="1740"/>
      <c r="BC51" s="1740"/>
      <c r="BD51" s="1740"/>
      <c r="BE51" s="1740"/>
      <c r="BF51" s="1740"/>
      <c r="BG51" s="1740"/>
      <c r="BH51" s="1740"/>
      <c r="BI51" s="1740"/>
      <c r="BJ51" s="1740"/>
      <c r="BK51" s="1740"/>
    </row>
    <row r="52" spans="2:63">
      <c r="D52" s="1740"/>
      <c r="E52" s="1740"/>
      <c r="F52" s="1740"/>
      <c r="G52" s="1740"/>
      <c r="H52" s="1740"/>
      <c r="I52" s="1740"/>
      <c r="J52" s="1740"/>
      <c r="K52" s="1740">
        <f>SUM(K29:K30,K34:K35,K37:K40,K43,K45:K48)</f>
        <v>226506.73925559683</v>
      </c>
      <c r="L52" s="1740"/>
      <c r="M52" s="1740"/>
      <c r="N52" s="1740"/>
      <c r="O52" s="1740"/>
      <c r="P52" s="1740"/>
      <c r="Q52" s="1740"/>
      <c r="R52" s="1740"/>
      <c r="S52" s="1740"/>
      <c r="T52" s="1740"/>
      <c r="U52" s="1740"/>
      <c r="V52" s="1740"/>
      <c r="W52" s="1740"/>
      <c r="X52" s="1740"/>
      <c r="Y52" s="1740"/>
      <c r="Z52" s="1740"/>
      <c r="AA52" s="1740">
        <f ca="1">AA51-AA25</f>
        <v>567822.42715628166</v>
      </c>
      <c r="AB52" s="1740"/>
      <c r="AC52" s="1740"/>
      <c r="AD52" s="1740"/>
      <c r="AE52" s="1740"/>
      <c r="AF52" s="1740"/>
      <c r="AG52" s="1740"/>
      <c r="AH52" s="1740"/>
      <c r="AI52" s="1740"/>
      <c r="AJ52" s="1740"/>
      <c r="AK52" s="1740"/>
      <c r="AL52" s="1740"/>
      <c r="AM52" s="1740"/>
      <c r="AN52" s="1740"/>
      <c r="AO52" s="1740"/>
      <c r="AP52" s="1740"/>
      <c r="AQ52" s="1740"/>
      <c r="AR52" s="1740"/>
      <c r="AS52" s="1740"/>
      <c r="AT52" s="1740"/>
      <c r="AU52" s="1740"/>
      <c r="AV52" s="1740"/>
      <c r="AW52" s="1740"/>
      <c r="AX52" s="1740"/>
      <c r="AY52" s="1740"/>
      <c r="AZ52" s="1740"/>
      <c r="BA52" s="1740"/>
      <c r="BB52" s="1740"/>
      <c r="BC52" s="1740"/>
      <c r="BD52" s="1740"/>
      <c r="BE52" s="1740"/>
      <c r="BF52" s="1740"/>
      <c r="BG52" s="1740"/>
      <c r="BH52" s="1740"/>
      <c r="BI52" s="1740"/>
      <c r="BJ52" s="1740"/>
      <c r="BK52" s="1740"/>
    </row>
    <row r="53" spans="2:63">
      <c r="D53" s="1740"/>
      <c r="E53" s="1740"/>
      <c r="F53" s="1740"/>
      <c r="G53" s="1740"/>
      <c r="H53" s="1740"/>
      <c r="I53" s="1740"/>
      <c r="J53" s="1740"/>
      <c r="K53" s="1740">
        <f>SUM(K27:K28,K31:K32,K42)</f>
        <v>1799195.4299999997</v>
      </c>
      <c r="L53" s="1740"/>
      <c r="M53" s="1740"/>
      <c r="N53" s="1740"/>
      <c r="O53" s="1740"/>
      <c r="P53" s="1740"/>
      <c r="Q53" s="1740"/>
      <c r="R53" s="1740"/>
      <c r="S53" s="1740"/>
      <c r="T53" s="1740"/>
      <c r="U53" s="1740"/>
      <c r="V53" s="1740"/>
      <c r="W53" s="1740"/>
      <c r="X53" s="1740"/>
      <c r="Y53" s="1740"/>
      <c r="Z53" s="1740"/>
      <c r="AA53" s="1740"/>
      <c r="AB53" s="1740"/>
      <c r="AC53" s="1740"/>
      <c r="AD53" s="1740"/>
      <c r="AE53" s="1740"/>
      <c r="AF53" s="1740"/>
      <c r="AG53" s="1740"/>
      <c r="AH53" s="1740"/>
      <c r="AI53" s="1740"/>
      <c r="AJ53" s="1740"/>
      <c r="AK53" s="1740"/>
      <c r="AL53" s="1740"/>
      <c r="AM53" s="1740"/>
      <c r="AN53" s="1740"/>
      <c r="AO53" s="1740"/>
      <c r="AP53" s="1740"/>
      <c r="AQ53" s="1740"/>
      <c r="AR53" s="1740"/>
      <c r="AS53" s="1740"/>
      <c r="AT53" s="1740"/>
      <c r="AU53" s="1740"/>
      <c r="AV53" s="1740"/>
      <c r="AW53" s="1740"/>
      <c r="AX53" s="1740"/>
      <c r="AY53" s="1740"/>
      <c r="AZ53" s="1740"/>
      <c r="BA53" s="1740"/>
      <c r="BB53" s="1740"/>
      <c r="BC53" s="1740"/>
      <c r="BD53" s="1740"/>
      <c r="BE53" s="1740"/>
      <c r="BF53" s="1740"/>
      <c r="BG53" s="1740"/>
      <c r="BH53" s="1740"/>
      <c r="BI53" s="1740"/>
      <c r="BJ53" s="1740"/>
      <c r="BK53" s="1740"/>
    </row>
    <row r="54" spans="2:63" ht="15.75" hidden="1" outlineLevel="1">
      <c r="B54" s="1816"/>
      <c r="D54" s="1740"/>
      <c r="E54" s="1740"/>
      <c r="F54" s="1740"/>
      <c r="G54" s="1740"/>
      <c r="H54" s="1740"/>
      <c r="I54" s="1740"/>
      <c r="J54" s="1740"/>
      <c r="K54" s="1740"/>
      <c r="L54" s="1740"/>
      <c r="M54" s="1740"/>
      <c r="N54" s="1740"/>
      <c r="O54" s="1740"/>
      <c r="P54" s="1740"/>
      <c r="Q54" s="1740"/>
      <c r="R54" s="1740"/>
      <c r="S54" s="1740"/>
      <c r="T54" s="1740"/>
      <c r="U54" s="1740"/>
      <c r="V54" s="1740"/>
      <c r="W54" s="1740"/>
      <c r="X54" s="1740"/>
      <c r="Y54" s="1740"/>
      <c r="Z54" s="1740"/>
      <c r="AA54" s="1740"/>
      <c r="AB54" s="1740"/>
      <c r="AC54" s="1740"/>
      <c r="AD54" s="1740"/>
      <c r="AE54" s="1740"/>
      <c r="AF54" s="1740"/>
      <c r="AG54" s="1740"/>
      <c r="AH54" s="1740"/>
      <c r="AI54" s="1740"/>
      <c r="AJ54" s="1740"/>
      <c r="AK54" s="1740"/>
      <c r="AL54" s="1740"/>
      <c r="AM54" s="1740"/>
      <c r="AN54" s="1740"/>
      <c r="AO54" s="1740"/>
      <c r="AP54" s="1740"/>
      <c r="AQ54" s="1740"/>
      <c r="AR54" s="1740"/>
      <c r="AS54" s="1740"/>
      <c r="AT54" s="1740"/>
      <c r="AU54" s="1740"/>
      <c r="AV54" s="1740"/>
      <c r="AW54" s="1740"/>
      <c r="AX54" s="1740"/>
      <c r="AY54" s="1740"/>
      <c r="AZ54" s="1740"/>
      <c r="BA54" s="1740"/>
      <c r="BB54" s="1740"/>
      <c r="BC54" s="1740"/>
      <c r="BD54" s="1740"/>
      <c r="BE54" s="1740"/>
      <c r="BF54" s="1740"/>
      <c r="BG54" s="1740"/>
      <c r="BH54" s="1740"/>
      <c r="BI54" s="1740"/>
      <c r="BJ54" s="1740"/>
      <c r="BK54" s="1740"/>
    </row>
    <row r="55" spans="2:63" ht="15.75" hidden="1" outlineLevel="1">
      <c r="B55" s="1742"/>
      <c r="C55" s="1922" t="s">
        <v>3770</v>
      </c>
      <c r="D55" s="1923"/>
      <c r="E55" s="1923">
        <f>E59+E64</f>
        <v>23</v>
      </c>
      <c r="F55" s="1923">
        <f>F59+F64</f>
        <v>1251.52</v>
      </c>
      <c r="G55" s="1923"/>
      <c r="H55" s="1923"/>
      <c r="I55" s="1923"/>
      <c r="J55" s="1923"/>
      <c r="K55" s="1924"/>
      <c r="L55" s="1923"/>
      <c r="M55" s="1923"/>
      <c r="N55" s="1923"/>
      <c r="O55" s="1923"/>
      <c r="P55" s="1924"/>
      <c r="Q55" s="1923"/>
      <c r="R55" s="1923"/>
      <c r="S55" s="1923"/>
      <c r="T55" s="1923"/>
      <c r="U55" s="1923"/>
      <c r="V55" s="1923"/>
      <c r="W55" s="1923"/>
      <c r="X55" s="1925"/>
      <c r="Y55" s="1925"/>
      <c r="Z55" s="1925"/>
      <c r="AA55" s="1924"/>
      <c r="AB55" s="1923"/>
      <c r="AC55" s="1923"/>
      <c r="AD55" s="1923"/>
      <c r="AE55" s="1923"/>
      <c r="AF55" s="1923"/>
      <c r="AG55" s="1923"/>
      <c r="AH55" s="1923"/>
      <c r="AI55" s="1925"/>
      <c r="AJ55" s="1925"/>
      <c r="AK55" s="1925"/>
      <c r="AL55" s="1924"/>
      <c r="AM55" s="1740"/>
      <c r="AN55" s="1740"/>
      <c r="AO55" s="1740"/>
      <c r="AP55" s="1740"/>
      <c r="AQ55" s="1740"/>
      <c r="AR55" s="1740"/>
      <c r="AS55" s="1740"/>
      <c r="AT55" s="1740"/>
      <c r="AU55" s="1740"/>
      <c r="AV55" s="1740"/>
      <c r="AW55" s="1740"/>
      <c r="AX55" s="1740"/>
      <c r="AY55" s="1740"/>
      <c r="AZ55" s="1740"/>
      <c r="BA55" s="1740"/>
      <c r="BB55" s="1740"/>
      <c r="BC55" s="1740"/>
      <c r="BD55" s="1740"/>
      <c r="BE55" s="1740"/>
      <c r="BF55" s="1740"/>
      <c r="BG55" s="1740"/>
      <c r="BH55" s="1740"/>
      <c r="BI55" s="1740"/>
      <c r="BJ55" s="1740"/>
      <c r="BK55" s="1740"/>
    </row>
    <row r="56" spans="2:63" ht="15.75" hidden="1" outlineLevel="1">
      <c r="B56" s="1926"/>
      <c r="C56" s="1927" t="s">
        <v>3771</v>
      </c>
      <c r="D56" s="1928"/>
      <c r="E56" s="1928"/>
      <c r="F56" s="1928"/>
      <c r="G56" s="1928"/>
      <c r="H56" s="1928"/>
      <c r="I56" s="1928"/>
      <c r="J56" s="1928"/>
      <c r="K56" s="1929">
        <f>'[36]СС 2015'!J155</f>
        <v>1766842.3599999999</v>
      </c>
      <c r="L56" s="1928"/>
      <c r="M56" s="1928"/>
      <c r="N56" s="1928"/>
      <c r="O56" s="1928"/>
      <c r="P56" s="1929">
        <f>'[36]СС 2015'!R155</f>
        <v>0</v>
      </c>
      <c r="Q56" s="1928"/>
      <c r="R56" s="1928"/>
      <c r="S56" s="1928"/>
      <c r="T56" s="1928"/>
      <c r="U56" s="1928"/>
      <c r="V56" s="1928"/>
      <c r="W56" s="1928"/>
      <c r="X56" s="1930"/>
      <c r="Y56" s="1930"/>
      <c r="Z56" s="1930"/>
      <c r="AA56" s="1929">
        <f>'[36]СС 2015'!W155</f>
        <v>0</v>
      </c>
      <c r="AB56" s="1928"/>
      <c r="AC56" s="1928"/>
      <c r="AD56" s="1928"/>
      <c r="AE56" s="1928"/>
      <c r="AF56" s="1928"/>
      <c r="AG56" s="1928"/>
      <c r="AH56" s="1928"/>
      <c r="AI56" s="1930"/>
      <c r="AJ56" s="1930"/>
      <c r="AK56" s="1930"/>
      <c r="AL56" s="1929">
        <f>'[36]СС 2015'!AB155</f>
        <v>0</v>
      </c>
      <c r="AM56" s="1740"/>
      <c r="AN56" s="1740"/>
      <c r="AO56" s="1740"/>
      <c r="AP56" s="1740"/>
      <c r="AQ56" s="1740"/>
      <c r="AR56" s="1740"/>
      <c r="AS56" s="1740"/>
      <c r="AT56" s="1740"/>
      <c r="AU56" s="1740"/>
      <c r="AV56" s="1740"/>
      <c r="AW56" s="1740"/>
      <c r="AX56" s="1740"/>
      <c r="AY56" s="1740"/>
      <c r="AZ56" s="1740"/>
      <c r="BA56" s="1740"/>
      <c r="BB56" s="1740"/>
      <c r="BC56" s="1740"/>
      <c r="BD56" s="1740"/>
      <c r="BE56" s="1740"/>
      <c r="BF56" s="1740"/>
      <c r="BG56" s="1740"/>
      <c r="BH56" s="1740"/>
      <c r="BI56" s="1740"/>
      <c r="BJ56" s="1740"/>
      <c r="BK56" s="1740"/>
    </row>
    <row r="57" spans="2:63" ht="15.75" hidden="1" outlineLevel="1">
      <c r="B57" s="1926"/>
      <c r="C57" s="1931" t="s">
        <v>3706</v>
      </c>
      <c r="D57" s="1928"/>
      <c r="E57" s="1928"/>
      <c r="F57" s="1928"/>
      <c r="G57" s="1928"/>
      <c r="H57" s="1928"/>
      <c r="I57" s="1928"/>
      <c r="J57" s="1928"/>
      <c r="K57" s="1929">
        <f>'[36]СС 2015'!J156</f>
        <v>529869.74999999988</v>
      </c>
      <c r="L57" s="1928"/>
      <c r="M57" s="1928"/>
      <c r="N57" s="1928"/>
      <c r="O57" s="1928"/>
      <c r="P57" s="1929">
        <f>'[36]СС 2015'!R156</f>
        <v>0</v>
      </c>
      <c r="Q57" s="1928"/>
      <c r="R57" s="1928"/>
      <c r="S57" s="1928"/>
      <c r="T57" s="1928"/>
      <c r="U57" s="1928"/>
      <c r="V57" s="1928"/>
      <c r="W57" s="1928"/>
      <c r="X57" s="1930"/>
      <c r="Y57" s="1930"/>
      <c r="Z57" s="1930"/>
      <c r="AA57" s="1929">
        <f>'[36]СС 2015'!W156</f>
        <v>0</v>
      </c>
      <c r="AB57" s="1928"/>
      <c r="AC57" s="1928"/>
      <c r="AD57" s="1928"/>
      <c r="AE57" s="1928"/>
      <c r="AF57" s="1928"/>
      <c r="AG57" s="1928"/>
      <c r="AH57" s="1928"/>
      <c r="AI57" s="1930"/>
      <c r="AJ57" s="1930"/>
      <c r="AK57" s="1930"/>
      <c r="AL57" s="1929">
        <f>'[36]СС 2015'!AB156</f>
        <v>0</v>
      </c>
      <c r="AM57" s="1740"/>
      <c r="AN57" s="1740"/>
      <c r="AO57" s="1740"/>
      <c r="AP57" s="1740"/>
      <c r="AQ57" s="1740"/>
      <c r="AR57" s="1740"/>
      <c r="AS57" s="1740"/>
      <c r="AT57" s="1740"/>
      <c r="AU57" s="1740"/>
      <c r="AV57" s="1740"/>
      <c r="AW57" s="1740"/>
      <c r="AX57" s="1740"/>
      <c r="AY57" s="1740"/>
      <c r="AZ57" s="1740"/>
      <c r="BA57" s="1740"/>
      <c r="BB57" s="1740"/>
      <c r="BC57" s="1740"/>
      <c r="BD57" s="1740"/>
      <c r="BE57" s="1740"/>
      <c r="BF57" s="1740"/>
      <c r="BG57" s="1740"/>
      <c r="BH57" s="1740"/>
      <c r="BI57" s="1740"/>
      <c r="BJ57" s="1740"/>
      <c r="BK57" s="1740"/>
    </row>
    <row r="58" spans="2:63" ht="15.75" hidden="1" outlineLevel="1">
      <c r="B58" s="1926"/>
      <c r="C58" s="1932" t="s">
        <v>3770</v>
      </c>
      <c r="D58" s="1933">
        <v>0.4</v>
      </c>
      <c r="E58" s="1768"/>
      <c r="F58" s="1768"/>
      <c r="G58" s="1768"/>
      <c r="H58" s="1768"/>
      <c r="I58" s="1768"/>
      <c r="J58" s="1768"/>
      <c r="K58" s="1934"/>
      <c r="L58" s="1768"/>
      <c r="M58" s="1768"/>
      <c r="N58" s="1768"/>
      <c r="O58" s="1768"/>
      <c r="P58" s="1934"/>
      <c r="Q58" s="1768"/>
      <c r="R58" s="1768"/>
      <c r="S58" s="1768"/>
      <c r="T58" s="1768"/>
      <c r="U58" s="1768"/>
      <c r="V58" s="1768"/>
      <c r="W58" s="1768"/>
      <c r="X58" s="1935"/>
      <c r="Y58" s="1935"/>
      <c r="Z58" s="1935"/>
      <c r="AA58" s="1934"/>
      <c r="AB58" s="1768"/>
      <c r="AC58" s="1768"/>
      <c r="AD58" s="1768"/>
      <c r="AE58" s="1768"/>
      <c r="AF58" s="1768"/>
      <c r="AG58" s="1768"/>
      <c r="AH58" s="1768"/>
      <c r="AI58" s="1935"/>
      <c r="AJ58" s="1935"/>
      <c r="AK58" s="1935"/>
      <c r="AL58" s="1934"/>
      <c r="AM58" s="1740"/>
      <c r="AN58" s="1740"/>
      <c r="AO58" s="1740"/>
      <c r="AP58" s="1740"/>
      <c r="AQ58" s="1740"/>
      <c r="AR58" s="1740"/>
      <c r="AS58" s="1740"/>
      <c r="AT58" s="1740"/>
      <c r="AU58" s="1740"/>
      <c r="AV58" s="1740"/>
      <c r="AW58" s="1740"/>
      <c r="AX58" s="1740"/>
      <c r="AY58" s="1740"/>
      <c r="AZ58" s="1740"/>
      <c r="BA58" s="1740"/>
      <c r="BB58" s="1740"/>
      <c r="BC58" s="1740"/>
      <c r="BD58" s="1740"/>
      <c r="BE58" s="1740"/>
      <c r="BF58" s="1740"/>
      <c r="BG58" s="1740"/>
      <c r="BH58" s="1740"/>
      <c r="BI58" s="1740"/>
      <c r="BJ58" s="1740"/>
      <c r="BK58" s="1740"/>
    </row>
    <row r="59" spans="2:63" ht="15.75" hidden="1" outlineLevel="1">
      <c r="B59" s="1926"/>
      <c r="C59" s="1927" t="s">
        <v>3771</v>
      </c>
      <c r="D59" s="1933"/>
      <c r="E59" s="1928">
        <v>9</v>
      </c>
      <c r="F59" s="1928">
        <v>304.22000000000003</v>
      </c>
      <c r="G59" s="1928" t="e">
        <f>ROUND($K59*G$62,3)</f>
        <v>#REF!</v>
      </c>
      <c r="H59" s="1928" t="e">
        <f>ROUND($K59*H$62,3)</f>
        <v>#REF!</v>
      </c>
      <c r="I59" s="1928" t="e">
        <f>ROUND($K59*I$62,3)</f>
        <v>#REF!</v>
      </c>
      <c r="J59" s="1928" t="e">
        <f>ROUND($K59*J$62,3)</f>
        <v>#REF!</v>
      </c>
      <c r="K59" s="1929" t="e">
        <f>#REF!*F59</f>
        <v>#REF!</v>
      </c>
      <c r="L59" s="1928" t="e">
        <f>ROUND($K59*L$62,3)</f>
        <v>#REF!</v>
      </c>
      <c r="M59" s="1928" t="e">
        <f>ROUND($K59*M$62,3)</f>
        <v>#REF!</v>
      </c>
      <c r="N59" s="1928" t="e">
        <f>ROUND($K59*N$62,3)</f>
        <v>#REF!</v>
      </c>
      <c r="O59" s="1928" t="e">
        <f>ROUND($K59*O$62,3)</f>
        <v>#REF!</v>
      </c>
      <c r="P59" s="1929" t="e">
        <f>#REF!*#REF!</f>
        <v>#REF!</v>
      </c>
      <c r="Q59" s="1928" t="e">
        <f>ROUND($K59*Q$62,3)</f>
        <v>#REF!</v>
      </c>
      <c r="R59" s="1928"/>
      <c r="S59" s="1928" t="e">
        <f>ROUND($K59*S$62,3)</f>
        <v>#REF!</v>
      </c>
      <c r="T59" s="1928"/>
      <c r="U59" s="1928" t="e">
        <f>ROUND($K59*U$62,3)</f>
        <v>#REF!</v>
      </c>
      <c r="V59" s="1928"/>
      <c r="W59" s="1928" t="e">
        <f>ROUND($K59*W$62,3)</f>
        <v>#REF!</v>
      </c>
      <c r="X59" s="1930"/>
      <c r="Y59" s="1930"/>
      <c r="Z59" s="1930"/>
      <c r="AA59" s="1929" t="e">
        <f>#REF!*#REF!</f>
        <v>#REF!</v>
      </c>
      <c r="AB59" s="1928" t="e">
        <f>ROUND($K59*AB$62,3)</f>
        <v>#REF!</v>
      </c>
      <c r="AC59" s="1928"/>
      <c r="AD59" s="1928" t="e">
        <f>ROUND($K59*AD$62,3)</f>
        <v>#REF!</v>
      </c>
      <c r="AE59" s="1928"/>
      <c r="AF59" s="1928" t="e">
        <f>ROUND($K59*AF$62,3)</f>
        <v>#REF!</v>
      </c>
      <c r="AG59" s="1928"/>
      <c r="AH59" s="1928" t="e">
        <f>ROUND($K59*AH$62,3)</f>
        <v>#REF!</v>
      </c>
      <c r="AI59" s="1930"/>
      <c r="AJ59" s="1930"/>
      <c r="AK59" s="1930"/>
      <c r="AL59" s="1929" t="e">
        <f>#REF!*#REF!</f>
        <v>#REF!</v>
      </c>
      <c r="AM59" s="1740"/>
      <c r="AN59" s="1740"/>
      <c r="AO59" s="1740"/>
      <c r="AP59" s="1740"/>
      <c r="AQ59" s="1740"/>
      <c r="AR59" s="1740"/>
      <c r="AS59" s="1740"/>
      <c r="AT59" s="1740"/>
      <c r="AU59" s="1740"/>
      <c r="AV59" s="1740"/>
      <c r="AW59" s="1740"/>
      <c r="AX59" s="1740"/>
      <c r="AY59" s="1740"/>
      <c r="AZ59" s="1740"/>
      <c r="BA59" s="1740"/>
      <c r="BB59" s="1740"/>
      <c r="BC59" s="1740"/>
      <c r="BD59" s="1740"/>
      <c r="BE59" s="1740"/>
      <c r="BF59" s="1740"/>
      <c r="BG59" s="1740"/>
      <c r="BH59" s="1740"/>
      <c r="BI59" s="1740"/>
      <c r="BJ59" s="1740"/>
      <c r="BK59" s="1740"/>
    </row>
    <row r="60" spans="2:63" ht="15.75" hidden="1" outlineLevel="1">
      <c r="B60" s="1926"/>
      <c r="C60" s="1931" t="s">
        <v>3706</v>
      </c>
      <c r="D60" s="1933"/>
      <c r="E60" s="1928"/>
      <c r="F60" s="1928"/>
      <c r="G60" s="1928" t="e">
        <f>ROUND(G59*#REF!,3)</f>
        <v>#REF!</v>
      </c>
      <c r="H60" s="1928" t="e">
        <f>ROUND(H59*#REF!,3)</f>
        <v>#REF!</v>
      </c>
      <c r="I60" s="1928" t="e">
        <f>ROUND(I59*#REF!,3)</f>
        <v>#REF!</v>
      </c>
      <c r="J60" s="1928" t="e">
        <f>ROUND(J59*#REF!,3)</f>
        <v>#REF!</v>
      </c>
      <c r="K60" s="1929" t="e">
        <f>K59*#REF!</f>
        <v>#REF!</v>
      </c>
      <c r="L60" s="1928" t="e">
        <f>ROUND(L59*#REF!,3)</f>
        <v>#REF!</v>
      </c>
      <c r="M60" s="1928" t="e">
        <f>ROUND(M59*#REF!,3)</f>
        <v>#REF!</v>
      </c>
      <c r="N60" s="1928" t="e">
        <f>ROUND(N59*#REF!,3)</f>
        <v>#REF!</v>
      </c>
      <c r="O60" s="1928" t="e">
        <f>ROUND(O59*#REF!,3)</f>
        <v>#REF!</v>
      </c>
      <c r="P60" s="1929" t="e">
        <f>P59*#REF!</f>
        <v>#REF!</v>
      </c>
      <c r="Q60" s="1928" t="e">
        <f>ROUND(Q59*#REF!,3)</f>
        <v>#REF!</v>
      </c>
      <c r="R60" s="1928"/>
      <c r="S60" s="1928" t="e">
        <f>ROUND(S59*#REF!,3)</f>
        <v>#REF!</v>
      </c>
      <c r="T60" s="1928"/>
      <c r="U60" s="1928" t="e">
        <f>ROUND(U59*#REF!,3)</f>
        <v>#REF!</v>
      </c>
      <c r="V60" s="1928"/>
      <c r="W60" s="1928" t="e">
        <f>ROUND(W59*#REF!,3)</f>
        <v>#REF!</v>
      </c>
      <c r="X60" s="1930"/>
      <c r="Y60" s="1930"/>
      <c r="Z60" s="1930"/>
      <c r="AA60" s="1929" t="e">
        <f>AA59*#REF!</f>
        <v>#REF!</v>
      </c>
      <c r="AB60" s="1928" t="e">
        <f>ROUND(AB59*#REF!,3)</f>
        <v>#REF!</v>
      </c>
      <c r="AC60" s="1928"/>
      <c r="AD60" s="1928" t="e">
        <f>ROUND(AD59*#REF!,3)</f>
        <v>#REF!</v>
      </c>
      <c r="AE60" s="1928"/>
      <c r="AF60" s="1928" t="e">
        <f>ROUND(AF59*#REF!,3)</f>
        <v>#REF!</v>
      </c>
      <c r="AG60" s="1928"/>
      <c r="AH60" s="1928" t="e">
        <f>ROUND(AH59*#REF!,3)</f>
        <v>#REF!</v>
      </c>
      <c r="AI60" s="1930"/>
      <c r="AJ60" s="1930"/>
      <c r="AK60" s="1930"/>
      <c r="AL60" s="1929" t="e">
        <f>AL59*#REF!</f>
        <v>#REF!</v>
      </c>
      <c r="AM60" s="1740"/>
      <c r="AN60" s="1740"/>
      <c r="AO60" s="1740"/>
      <c r="AP60" s="1740"/>
      <c r="AQ60" s="1740"/>
      <c r="AR60" s="1740"/>
      <c r="AS60" s="1740"/>
      <c r="AT60" s="1740"/>
      <c r="AU60" s="1740"/>
      <c r="AV60" s="1740"/>
      <c r="AW60" s="1740"/>
      <c r="AX60" s="1740"/>
      <c r="AY60" s="1740"/>
      <c r="AZ60" s="1740"/>
      <c r="BA60" s="1740"/>
      <c r="BB60" s="1740"/>
      <c r="BC60" s="1740"/>
      <c r="BD60" s="1740"/>
      <c r="BE60" s="1740"/>
      <c r="BF60" s="1740"/>
      <c r="BG60" s="1740"/>
      <c r="BH60" s="1740"/>
      <c r="BI60" s="1740"/>
      <c r="BJ60" s="1740"/>
      <c r="BK60" s="1740"/>
    </row>
    <row r="61" spans="2:63" ht="31.5" hidden="1" outlineLevel="1">
      <c r="B61" s="1926"/>
      <c r="C61" s="1927" t="s">
        <v>3772</v>
      </c>
      <c r="D61" s="1933"/>
      <c r="E61" s="1928"/>
      <c r="F61" s="1928"/>
      <c r="G61" s="1768">
        <f>'[36]Табл. 7.3 Подг. ТУ'!G67</f>
        <v>33.4</v>
      </c>
      <c r="H61" s="1768">
        <f>'[36]Табл. 7.5 Пров. вып. ТУ'!G44</f>
        <v>25.5</v>
      </c>
      <c r="I61" s="1768"/>
      <c r="J61" s="1768">
        <f>'[36]Табл. 7.7 Факт. присоед.'!G34</f>
        <v>45.97</v>
      </c>
      <c r="K61" s="1929">
        <f>SUM(G61:J61)</f>
        <v>104.87</v>
      </c>
      <c r="L61" s="1768">
        <f>'[36]Табл. 7.3 Подг. ТУ'!O67</f>
        <v>4565.3903335043615</v>
      </c>
      <c r="M61" s="1768" t="str">
        <f>'[36]Табл. 7.5 Пров. вып. ТУ'!O44</f>
        <v/>
      </c>
      <c r="N61" s="1768"/>
      <c r="O61" s="1768" t="str">
        <f>'[36]Табл. 7.7 Факт. присоед.'!O34</f>
        <v/>
      </c>
      <c r="P61" s="1929">
        <f>SUM(L61:O61)</f>
        <v>4565.3903335043615</v>
      </c>
      <c r="Q61" s="1768">
        <f>'[36]Табл. 7.3 Подг. ТУ'!T67</f>
        <v>14242.890754232945</v>
      </c>
      <c r="R61" s="1768"/>
      <c r="S61" s="1768">
        <f>'[36]Табл. 7.5 Пров. вып. ТУ'!T44</f>
        <v>4079.7305695228329</v>
      </c>
      <c r="T61" s="1768"/>
      <c r="U61" s="1768"/>
      <c r="V61" s="1768"/>
      <c r="W61" s="1768">
        <f>'[36]Табл. 7.7 Факт. присоед.'!T34</f>
        <v>6891.4118419702418</v>
      </c>
      <c r="X61" s="1935"/>
      <c r="Y61" s="1935"/>
      <c r="Z61" s="1935"/>
      <c r="AA61" s="1929">
        <f>SUM(Q61:W61)</f>
        <v>25214.033165726021</v>
      </c>
      <c r="AB61" s="1768">
        <f>'[36]Табл. 7.3 Подг. ТУ'!Y67</f>
        <v>0</v>
      </c>
      <c r="AC61" s="1768"/>
      <c r="AD61" s="1768">
        <f>'[36]Табл. 7.5 Пров. вып. ТУ'!Y44</f>
        <v>0</v>
      </c>
      <c r="AE61" s="1768"/>
      <c r="AF61" s="1768"/>
      <c r="AG61" s="1768"/>
      <c r="AH61" s="1768">
        <f>'[36]Табл. 7.7 Факт. присоед.'!Y34</f>
        <v>0</v>
      </c>
      <c r="AI61" s="1935"/>
      <c r="AJ61" s="1935"/>
      <c r="AK61" s="1935"/>
      <c r="AL61" s="1929">
        <f>SUM(AB61:AH61)</f>
        <v>0</v>
      </c>
      <c r="AM61" s="1740"/>
      <c r="AN61" s="1740"/>
      <c r="AO61" s="1740"/>
      <c r="AP61" s="1740"/>
      <c r="AQ61" s="1740"/>
      <c r="AR61" s="1740"/>
      <c r="AS61" s="1740"/>
      <c r="AT61" s="1740"/>
      <c r="AU61" s="1740"/>
      <c r="AV61" s="1740"/>
      <c r="AW61" s="1740"/>
      <c r="AX61" s="1740"/>
      <c r="AY61" s="1740"/>
      <c r="AZ61" s="1740"/>
      <c r="BA61" s="1740"/>
      <c r="BB61" s="1740"/>
      <c r="BC61" s="1740"/>
      <c r="BD61" s="1740"/>
      <c r="BE61" s="1740"/>
      <c r="BF61" s="1740"/>
      <c r="BG61" s="1740"/>
      <c r="BH61" s="1740"/>
      <c r="BI61" s="1740"/>
      <c r="BJ61" s="1740"/>
      <c r="BK61" s="1740"/>
    </row>
    <row r="62" spans="2:63" ht="15.75" hidden="1" outlineLevel="1">
      <c r="B62" s="1926"/>
      <c r="C62" s="1936" t="s">
        <v>3773</v>
      </c>
      <c r="D62" s="1933"/>
      <c r="E62" s="1928"/>
      <c r="F62" s="1928"/>
      <c r="G62" s="1937">
        <f t="shared" ref="G62:O62" si="149">G61/$K61</f>
        <v>0.31848955850100119</v>
      </c>
      <c r="H62" s="1937">
        <f t="shared" si="149"/>
        <v>0.24315819586154286</v>
      </c>
      <c r="I62" s="1937">
        <f t="shared" si="149"/>
        <v>0</v>
      </c>
      <c r="J62" s="1937">
        <f t="shared" si="149"/>
        <v>0.4383522456374559</v>
      </c>
      <c r="K62" s="1938">
        <f t="shared" si="149"/>
        <v>1</v>
      </c>
      <c r="L62" s="1937">
        <f t="shared" si="149"/>
        <v>43.533806937201881</v>
      </c>
      <c r="M62" s="1937" t="e">
        <f t="shared" si="149"/>
        <v>#VALUE!</v>
      </c>
      <c r="N62" s="1937">
        <f t="shared" si="149"/>
        <v>0</v>
      </c>
      <c r="O62" s="1937" t="e">
        <f t="shared" si="149"/>
        <v>#VALUE!</v>
      </c>
      <c r="P62" s="1938">
        <f>P61/$K61</f>
        <v>43.533806937201881</v>
      </c>
      <c r="Q62" s="1937">
        <f t="shared" ref="Q62:AL62" si="150">Q61/$K61</f>
        <v>135.81473018244441</v>
      </c>
      <c r="R62" s="1937"/>
      <c r="S62" s="1937">
        <f t="shared" si="150"/>
        <v>38.902742152406148</v>
      </c>
      <c r="T62" s="1937"/>
      <c r="U62" s="1937">
        <f t="shared" si="150"/>
        <v>0</v>
      </c>
      <c r="V62" s="1937"/>
      <c r="W62" s="1937">
        <f t="shared" si="150"/>
        <v>65.713853742445323</v>
      </c>
      <c r="X62" s="1939"/>
      <c r="Y62" s="1939"/>
      <c r="Z62" s="1939"/>
      <c r="AA62" s="1938">
        <f t="shared" si="150"/>
        <v>240.43132607729589</v>
      </c>
      <c r="AB62" s="1937">
        <f t="shared" si="150"/>
        <v>0</v>
      </c>
      <c r="AC62" s="1937"/>
      <c r="AD62" s="1937">
        <f t="shared" si="150"/>
        <v>0</v>
      </c>
      <c r="AE62" s="1937"/>
      <c r="AF62" s="1937">
        <f t="shared" si="150"/>
        <v>0</v>
      </c>
      <c r="AG62" s="1937"/>
      <c r="AH62" s="1937">
        <f t="shared" si="150"/>
        <v>0</v>
      </c>
      <c r="AI62" s="1939"/>
      <c r="AJ62" s="1939"/>
      <c r="AK62" s="1939"/>
      <c r="AL62" s="1938">
        <f t="shared" si="150"/>
        <v>0</v>
      </c>
      <c r="AM62" s="1740"/>
      <c r="AN62" s="1740"/>
      <c r="AO62" s="1740"/>
      <c r="AP62" s="1740"/>
      <c r="AQ62" s="1740"/>
      <c r="AR62" s="1740"/>
      <c r="AS62" s="1740"/>
      <c r="AT62" s="1740"/>
      <c r="AU62" s="1740"/>
      <c r="AV62" s="1740"/>
      <c r="AW62" s="1740"/>
      <c r="AX62" s="1740"/>
      <c r="AY62" s="1740"/>
      <c r="AZ62" s="1740"/>
      <c r="BA62" s="1740"/>
      <c r="BB62" s="1740"/>
      <c r="BC62" s="1740"/>
      <c r="BD62" s="1740"/>
      <c r="BE62" s="1740"/>
      <c r="BF62" s="1740"/>
      <c r="BG62" s="1740"/>
      <c r="BH62" s="1740"/>
      <c r="BI62" s="1740"/>
      <c r="BJ62" s="1740"/>
      <c r="BK62" s="1740"/>
    </row>
    <row r="63" spans="2:63" ht="15.75" hidden="1" outlineLevel="1">
      <c r="B63" s="1926"/>
      <c r="C63" s="1932" t="s">
        <v>3774</v>
      </c>
      <c r="D63" s="1933">
        <v>43983</v>
      </c>
      <c r="E63" s="1768"/>
      <c r="F63" s="1768"/>
      <c r="G63" s="1768"/>
      <c r="H63" s="1768"/>
      <c r="I63" s="1768"/>
      <c r="J63" s="1768"/>
      <c r="K63" s="1934"/>
      <c r="L63" s="1768"/>
      <c r="M63" s="1768"/>
      <c r="N63" s="1768"/>
      <c r="O63" s="1768"/>
      <c r="P63" s="1934"/>
      <c r="Q63" s="1768"/>
      <c r="R63" s="1768"/>
      <c r="S63" s="1768"/>
      <c r="T63" s="1768"/>
      <c r="U63" s="1768"/>
      <c r="V63" s="1768"/>
      <c r="W63" s="1768"/>
      <c r="X63" s="1935"/>
      <c r="Y63" s="1935"/>
      <c r="Z63" s="1935"/>
      <c r="AA63" s="1934"/>
      <c r="AB63" s="1768"/>
      <c r="AC63" s="1768"/>
      <c r="AD63" s="1768"/>
      <c r="AE63" s="1768"/>
      <c r="AF63" s="1768"/>
      <c r="AG63" s="1768"/>
      <c r="AH63" s="1768"/>
      <c r="AI63" s="1935"/>
      <c r="AJ63" s="1935"/>
      <c r="AK63" s="1935"/>
      <c r="AL63" s="1934"/>
      <c r="AM63" s="1740"/>
      <c r="AN63" s="1740"/>
      <c r="AO63" s="1740"/>
      <c r="AP63" s="1740"/>
      <c r="AQ63" s="1740"/>
      <c r="AR63" s="1740"/>
      <c r="AS63" s="1740"/>
      <c r="AT63" s="1740"/>
      <c r="AU63" s="1740"/>
      <c r="AV63" s="1740"/>
      <c r="AW63" s="1740"/>
      <c r="AX63" s="1740"/>
      <c r="AY63" s="1740"/>
      <c r="AZ63" s="1740"/>
      <c r="BA63" s="1740"/>
      <c r="BB63" s="1740"/>
      <c r="BC63" s="1740"/>
      <c r="BD63" s="1740"/>
      <c r="BE63" s="1740"/>
      <c r="BF63" s="1740"/>
      <c r="BG63" s="1740"/>
      <c r="BH63" s="1740"/>
      <c r="BI63" s="1740"/>
      <c r="BJ63" s="1740"/>
      <c r="BK63" s="1740"/>
    </row>
    <row r="64" spans="2:63" ht="15.75" hidden="1" outlineLevel="1">
      <c r="B64" s="1926"/>
      <c r="C64" s="1927" t="s">
        <v>3771</v>
      </c>
      <c r="D64" s="1933"/>
      <c r="E64" s="1928">
        <v>14</v>
      </c>
      <c r="F64" s="1928">
        <v>947.3</v>
      </c>
      <c r="G64" s="1928" t="e">
        <f>ROUND($K64*G$62,3)</f>
        <v>#REF!</v>
      </c>
      <c r="H64" s="1928" t="e">
        <f>ROUND($K64*H$62,3)</f>
        <v>#REF!</v>
      </c>
      <c r="I64" s="1928" t="e">
        <f>ROUND($K64*I$62,3)</f>
        <v>#REF!</v>
      </c>
      <c r="J64" s="1928" t="e">
        <f>ROUND($K64*J$62,3)</f>
        <v>#REF!</v>
      </c>
      <c r="K64" s="1929" t="e">
        <f>#REF!*F64</f>
        <v>#REF!</v>
      </c>
      <c r="L64" s="1928" t="e">
        <f>ROUND($K64*L$62,3)</f>
        <v>#REF!</v>
      </c>
      <c r="M64" s="1928" t="e">
        <f>ROUND($K64*M$62,3)</f>
        <v>#REF!</v>
      </c>
      <c r="N64" s="1928" t="e">
        <f>ROUND($K64*N$62,3)</f>
        <v>#REF!</v>
      </c>
      <c r="O64" s="1928" t="e">
        <f>ROUND($K64*O$62,3)</f>
        <v>#REF!</v>
      </c>
      <c r="P64" s="1929" t="e">
        <f>#REF!*#REF!</f>
        <v>#REF!</v>
      </c>
      <c r="Q64" s="1928" t="e">
        <f>ROUND($K64*Q$62,3)</f>
        <v>#REF!</v>
      </c>
      <c r="R64" s="1928"/>
      <c r="S64" s="1928" t="e">
        <f>ROUND($K64*S$62,3)</f>
        <v>#REF!</v>
      </c>
      <c r="T64" s="1928"/>
      <c r="U64" s="1928" t="e">
        <f>ROUND($K64*U$62,3)</f>
        <v>#REF!</v>
      </c>
      <c r="V64" s="1928"/>
      <c r="W64" s="1928" t="e">
        <f>ROUND($K64*W$62,3)</f>
        <v>#REF!</v>
      </c>
      <c r="X64" s="1930"/>
      <c r="Y64" s="1930"/>
      <c r="Z64" s="1930"/>
      <c r="AA64" s="1929" t="e">
        <f>#REF!*#REF!</f>
        <v>#REF!</v>
      </c>
      <c r="AB64" s="1928" t="e">
        <f>ROUND($K64*AB$62,3)</f>
        <v>#REF!</v>
      </c>
      <c r="AC64" s="1928"/>
      <c r="AD64" s="1928" t="e">
        <f>ROUND($K64*AD$62,3)</f>
        <v>#REF!</v>
      </c>
      <c r="AE64" s="1928"/>
      <c r="AF64" s="1928" t="e">
        <f>ROUND($K64*AF$62,3)</f>
        <v>#REF!</v>
      </c>
      <c r="AG64" s="1928"/>
      <c r="AH64" s="1928" t="e">
        <f>ROUND($K64*AH$62,3)</f>
        <v>#REF!</v>
      </c>
      <c r="AI64" s="1930"/>
      <c r="AJ64" s="1930"/>
      <c r="AK64" s="1930"/>
      <c r="AL64" s="1929" t="e">
        <f>#REF!*#REF!</f>
        <v>#REF!</v>
      </c>
      <c r="AM64" s="1740"/>
      <c r="AN64" s="1740"/>
      <c r="AO64" s="1740"/>
      <c r="AP64" s="1740"/>
      <c r="AQ64" s="1740"/>
      <c r="AR64" s="1740"/>
      <c r="AS64" s="1740"/>
      <c r="AT64" s="1740"/>
      <c r="AU64" s="1740"/>
      <c r="AV64" s="1740"/>
      <c r="AW64" s="1740"/>
      <c r="AX64" s="1740"/>
      <c r="AY64" s="1740"/>
      <c r="AZ64" s="1740"/>
      <c r="BA64" s="1740"/>
      <c r="BB64" s="1740"/>
      <c r="BC64" s="1740"/>
      <c r="BD64" s="1740"/>
      <c r="BE64" s="1740"/>
      <c r="BF64" s="1740"/>
      <c r="BG64" s="1740"/>
      <c r="BH64" s="1740"/>
      <c r="BI64" s="1740"/>
      <c r="BJ64" s="1740"/>
      <c r="BK64" s="1740"/>
    </row>
    <row r="65" spans="2:63" ht="15.75" hidden="1" outlineLevel="1">
      <c r="B65" s="1926"/>
      <c r="C65" s="1931" t="s">
        <v>3706</v>
      </c>
      <c r="D65" s="1933"/>
      <c r="E65" s="1928"/>
      <c r="F65" s="1928"/>
      <c r="G65" s="1928" t="e">
        <f>ROUND(G64*#REF!,3)</f>
        <v>#REF!</v>
      </c>
      <c r="H65" s="1928" t="e">
        <f>ROUND(H64*#REF!,3)</f>
        <v>#REF!</v>
      </c>
      <c r="I65" s="1928" t="e">
        <f>ROUND(I64*#REF!,3)</f>
        <v>#REF!</v>
      </c>
      <c r="J65" s="1928" t="e">
        <f>ROUND(J64*#REF!,3)</f>
        <v>#REF!</v>
      </c>
      <c r="K65" s="1929" t="e">
        <f>K64*#REF!</f>
        <v>#REF!</v>
      </c>
      <c r="L65" s="1928" t="e">
        <f>ROUND(L64*#REF!,3)</f>
        <v>#REF!</v>
      </c>
      <c r="M65" s="1928" t="e">
        <f>ROUND(M64*#REF!,3)</f>
        <v>#REF!</v>
      </c>
      <c r="N65" s="1928" t="e">
        <f>ROUND(N64*#REF!,3)</f>
        <v>#REF!</v>
      </c>
      <c r="O65" s="1928" t="e">
        <f>ROUND(O64*#REF!,3)</f>
        <v>#REF!</v>
      </c>
      <c r="P65" s="1929" t="e">
        <f>P64*#REF!</f>
        <v>#REF!</v>
      </c>
      <c r="Q65" s="1928" t="e">
        <f>ROUND(Q64*#REF!,3)</f>
        <v>#REF!</v>
      </c>
      <c r="R65" s="1928"/>
      <c r="S65" s="1928" t="e">
        <f>ROUND(S64*#REF!,3)</f>
        <v>#REF!</v>
      </c>
      <c r="T65" s="1928"/>
      <c r="U65" s="1928" t="e">
        <f>ROUND(U64*#REF!,3)</f>
        <v>#REF!</v>
      </c>
      <c r="V65" s="1928"/>
      <c r="W65" s="1928" t="e">
        <f>ROUND(W64*#REF!,3)</f>
        <v>#REF!</v>
      </c>
      <c r="X65" s="1930"/>
      <c r="Y65" s="1930"/>
      <c r="Z65" s="1930"/>
      <c r="AA65" s="1929" t="e">
        <f>AA64*#REF!</f>
        <v>#REF!</v>
      </c>
      <c r="AB65" s="1928" t="e">
        <f>ROUND(AB64*#REF!,3)</f>
        <v>#REF!</v>
      </c>
      <c r="AC65" s="1928"/>
      <c r="AD65" s="1928" t="e">
        <f>ROUND(AD64*#REF!,3)</f>
        <v>#REF!</v>
      </c>
      <c r="AE65" s="1928"/>
      <c r="AF65" s="1928" t="e">
        <f>ROUND(AF64*#REF!,3)</f>
        <v>#REF!</v>
      </c>
      <c r="AG65" s="1928"/>
      <c r="AH65" s="1928" t="e">
        <f>ROUND(AH64*#REF!,3)</f>
        <v>#REF!</v>
      </c>
      <c r="AI65" s="1930"/>
      <c r="AJ65" s="1930"/>
      <c r="AK65" s="1930"/>
      <c r="AL65" s="1929" t="e">
        <f>AL64*#REF!</f>
        <v>#REF!</v>
      </c>
      <c r="AM65" s="1740"/>
      <c r="AN65" s="1740"/>
      <c r="AO65" s="1740"/>
      <c r="AP65" s="1740"/>
      <c r="AQ65" s="1740"/>
      <c r="AR65" s="1740"/>
      <c r="AS65" s="1740"/>
      <c r="AT65" s="1740"/>
      <c r="AU65" s="1740"/>
      <c r="AV65" s="1740"/>
      <c r="AW65" s="1740"/>
      <c r="AX65" s="1740"/>
      <c r="AY65" s="1740"/>
      <c r="AZ65" s="1740"/>
      <c r="BA65" s="1740"/>
      <c r="BB65" s="1740"/>
      <c r="BC65" s="1740"/>
      <c r="BD65" s="1740"/>
      <c r="BE65" s="1740"/>
      <c r="BF65" s="1740"/>
      <c r="BG65" s="1740"/>
      <c r="BH65" s="1740"/>
      <c r="BI65" s="1740"/>
      <c r="BJ65" s="1740"/>
      <c r="BK65" s="1740"/>
    </row>
    <row r="66" spans="2:63" ht="31.5" hidden="1" outlineLevel="1">
      <c r="B66" s="1926"/>
      <c r="C66" s="1927" t="s">
        <v>3772</v>
      </c>
      <c r="D66" s="1933"/>
      <c r="E66" s="1928"/>
      <c r="F66" s="1928"/>
      <c r="G66" s="1768">
        <f>'[36]Табл. 7.3 Подг. ТУ'!I67</f>
        <v>33.4</v>
      </c>
      <c r="H66" s="1768">
        <f>'[36]Табл. 7.5 Пров. вып. ТУ'!I44</f>
        <v>26.7</v>
      </c>
      <c r="I66" s="1768"/>
      <c r="J66" s="1768">
        <f>'[36]Табл. 7.7 Факт. присоед.'!I34</f>
        <v>62.97</v>
      </c>
      <c r="K66" s="1929">
        <f>SUM(G66:J66)</f>
        <v>123.07</v>
      </c>
      <c r="L66" s="1768">
        <f>'[36]Табл. 7.3 Подг. ТУ'!Q67</f>
        <v>6143.7825346331456</v>
      </c>
      <c r="M66" s="1768">
        <f>'[36]Табл. 7.5 Пров. вып. ТУ'!Q44</f>
        <v>3581.5304669061061</v>
      </c>
      <c r="N66" s="1768"/>
      <c r="O66" s="1768">
        <f>'[36]Табл. 7.7 Факт. присоед.'!Q34</f>
        <v>4708.1900872242186</v>
      </c>
      <c r="P66" s="1929">
        <f>SUM(L66:O66)</f>
        <v>14433.503088763471</v>
      </c>
      <c r="Q66" s="1768">
        <f>'[36]Табл. 7.3 Подг. ТУ'!V67</f>
        <v>0</v>
      </c>
      <c r="R66" s="1768"/>
      <c r="S66" s="1768">
        <f>'[36]Табл. 7.5 Пров. вып. ТУ'!V44</f>
        <v>0</v>
      </c>
      <c r="T66" s="1768"/>
      <c r="U66" s="1768"/>
      <c r="V66" s="1768"/>
      <c r="W66" s="1768">
        <f>'[36]Табл. 7.7 Факт. присоед.'!V34</f>
        <v>0</v>
      </c>
      <c r="X66" s="1935"/>
      <c r="Y66" s="1935"/>
      <c r="Z66" s="1935"/>
      <c r="AA66" s="1929">
        <f>SUM(Q66:W66)</f>
        <v>0</v>
      </c>
      <c r="AB66" s="1768">
        <f>'[36]Табл. 7.3 Подг. ТУ'!AA67</f>
        <v>1209.8284383786558</v>
      </c>
      <c r="AC66" s="1768"/>
      <c r="AD66" s="1768">
        <f>'[36]Табл. 7.5 Пров. вып. ТУ'!AA44</f>
        <v>1096.9557436223706</v>
      </c>
      <c r="AE66" s="1768"/>
      <c r="AF66" s="1768"/>
      <c r="AG66" s="1768"/>
      <c r="AH66" s="1768">
        <f>'[36]Табл. 7.7 Факт. присоед.'!AA34</f>
        <v>1199.167955833761</v>
      </c>
      <c r="AI66" s="1935"/>
      <c r="AJ66" s="1935"/>
      <c r="AK66" s="1935"/>
      <c r="AL66" s="1929">
        <f>SUM(AB66:AH66)</f>
        <v>3505.9521378347872</v>
      </c>
      <c r="AM66" s="1740"/>
      <c r="AN66" s="1740"/>
      <c r="AO66" s="1740"/>
      <c r="AP66" s="1740"/>
      <c r="AQ66" s="1740"/>
      <c r="AR66" s="1740"/>
      <c r="AS66" s="1740"/>
      <c r="AT66" s="1740"/>
      <c r="AU66" s="1740"/>
      <c r="AV66" s="1740"/>
      <c r="AW66" s="1740"/>
      <c r="AX66" s="1740"/>
      <c r="AY66" s="1740"/>
      <c r="AZ66" s="1740"/>
      <c r="BA66" s="1740"/>
      <c r="BB66" s="1740"/>
      <c r="BC66" s="1740"/>
      <c r="BD66" s="1740"/>
      <c r="BE66" s="1740"/>
      <c r="BF66" s="1740"/>
      <c r="BG66" s="1740"/>
      <c r="BH66" s="1740"/>
      <c r="BI66" s="1740"/>
      <c r="BJ66" s="1740"/>
      <c r="BK66" s="1740"/>
    </row>
    <row r="67" spans="2:63" ht="16.5" hidden="1" outlineLevel="1" thickBot="1">
      <c r="B67" s="1926"/>
      <c r="C67" s="1940" t="s">
        <v>3773</v>
      </c>
      <c r="D67" s="1941"/>
      <c r="E67" s="1942"/>
      <c r="F67" s="1942"/>
      <c r="G67" s="1943">
        <f t="shared" ref="G67:AL67" si="151">G66/$K66</f>
        <v>0.27139026570244579</v>
      </c>
      <c r="H67" s="1943">
        <f t="shared" si="151"/>
        <v>0.21694970342081743</v>
      </c>
      <c r="I67" s="1943">
        <f t="shared" si="151"/>
        <v>0</v>
      </c>
      <c r="J67" s="1943">
        <f t="shared" si="151"/>
        <v>0.51166003087673684</v>
      </c>
      <c r="K67" s="1944">
        <f t="shared" si="151"/>
        <v>1</v>
      </c>
      <c r="L67" s="1943">
        <f t="shared" si="151"/>
        <v>49.921041152459139</v>
      </c>
      <c r="M67" s="1943">
        <f t="shared" si="151"/>
        <v>29.101572007037511</v>
      </c>
      <c r="N67" s="1943">
        <f t="shared" si="151"/>
        <v>0</v>
      </c>
      <c r="O67" s="1943">
        <f t="shared" si="151"/>
        <v>38.256196369742575</v>
      </c>
      <c r="P67" s="1944">
        <f t="shared" si="151"/>
        <v>117.27880952923923</v>
      </c>
      <c r="Q67" s="1943">
        <f t="shared" si="151"/>
        <v>0</v>
      </c>
      <c r="R67" s="1943"/>
      <c r="S67" s="1943">
        <f t="shared" si="151"/>
        <v>0</v>
      </c>
      <c r="T67" s="1943"/>
      <c r="U67" s="1943">
        <f t="shared" si="151"/>
        <v>0</v>
      </c>
      <c r="V67" s="1943"/>
      <c r="W67" s="1943">
        <f t="shared" si="151"/>
        <v>0</v>
      </c>
      <c r="X67" s="1945"/>
      <c r="Y67" s="1945"/>
      <c r="Z67" s="1945"/>
      <c r="AA67" s="1944">
        <f t="shared" si="151"/>
        <v>0</v>
      </c>
      <c r="AB67" s="1943">
        <f t="shared" si="151"/>
        <v>9.8304090223340861</v>
      </c>
      <c r="AC67" s="1943"/>
      <c r="AD67" s="1943">
        <f t="shared" si="151"/>
        <v>8.9132667881885972</v>
      </c>
      <c r="AE67" s="1943"/>
      <c r="AF67" s="1943">
        <f t="shared" si="151"/>
        <v>0</v>
      </c>
      <c r="AG67" s="1943"/>
      <c r="AH67" s="1943">
        <f t="shared" si="151"/>
        <v>9.7437877292090764</v>
      </c>
      <c r="AI67" s="1945"/>
      <c r="AJ67" s="1945"/>
      <c r="AK67" s="1945"/>
      <c r="AL67" s="1944">
        <f t="shared" si="151"/>
        <v>28.487463539731756</v>
      </c>
      <c r="AM67" s="1740"/>
      <c r="AN67" s="1740"/>
      <c r="AO67" s="1740"/>
      <c r="AP67" s="1740"/>
      <c r="AQ67" s="1740"/>
      <c r="AR67" s="1740"/>
      <c r="AS67" s="1740"/>
      <c r="AT67" s="1740"/>
      <c r="AU67" s="1740"/>
      <c r="AV67" s="1740"/>
      <c r="AW67" s="1740"/>
      <c r="AX67" s="1740"/>
      <c r="AY67" s="1740"/>
      <c r="AZ67" s="1740"/>
      <c r="BA67" s="1740"/>
      <c r="BB67" s="1740"/>
      <c r="BC67" s="1740"/>
      <c r="BD67" s="1740"/>
      <c r="BE67" s="1740"/>
      <c r="BF67" s="1740"/>
      <c r="BG67" s="1740"/>
      <c r="BH67" s="1740"/>
      <c r="BI67" s="1740"/>
      <c r="BJ67" s="1740"/>
      <c r="BK67" s="1740"/>
    </row>
    <row r="68" spans="2:63" ht="15.75" hidden="1" outlineLevel="1">
      <c r="B68" s="1926"/>
      <c r="C68" s="1946"/>
      <c r="D68" s="1947"/>
      <c r="E68" s="1948"/>
      <c r="F68" s="1948"/>
      <c r="G68" s="1949"/>
      <c r="H68" s="1949"/>
      <c r="I68" s="1949"/>
      <c r="J68" s="1949"/>
      <c r="K68" s="1949"/>
      <c r="L68" s="1949"/>
      <c r="M68" s="1949"/>
      <c r="N68" s="1949"/>
      <c r="O68" s="1949"/>
      <c r="P68" s="1949"/>
      <c r="Q68" s="1949"/>
      <c r="R68" s="1949"/>
      <c r="S68" s="1949"/>
      <c r="T68" s="1949"/>
      <c r="U68" s="1949"/>
      <c r="V68" s="1949"/>
      <c r="W68" s="1949"/>
      <c r="X68" s="1949"/>
      <c r="Y68" s="1949"/>
      <c r="Z68" s="1949"/>
      <c r="AA68" s="1949"/>
      <c r="AB68" s="1740"/>
      <c r="AC68" s="1740"/>
      <c r="AD68" s="1740"/>
      <c r="AE68" s="1740"/>
      <c r="AF68" s="1740"/>
      <c r="AG68" s="1740"/>
      <c r="AH68" s="1740"/>
      <c r="AI68" s="1740"/>
      <c r="AJ68" s="1740"/>
      <c r="AK68" s="1740"/>
      <c r="AL68" s="1740"/>
      <c r="AM68" s="1740"/>
      <c r="AN68" s="1740"/>
      <c r="AO68" s="1740"/>
      <c r="AP68" s="1740"/>
      <c r="AQ68" s="1740"/>
      <c r="AR68" s="1740"/>
      <c r="AS68" s="1740"/>
      <c r="AT68" s="1740"/>
      <c r="AU68" s="1740"/>
      <c r="AV68" s="1740"/>
      <c r="AW68" s="1740"/>
      <c r="AX68" s="1740"/>
      <c r="AY68" s="1740"/>
      <c r="AZ68" s="1740"/>
      <c r="BA68" s="1740"/>
      <c r="BB68" s="1740"/>
      <c r="BC68" s="1740"/>
      <c r="BD68" s="1740"/>
      <c r="BE68" s="1740"/>
      <c r="BF68" s="1740"/>
      <c r="BG68" s="1740"/>
      <c r="BH68" s="1740"/>
      <c r="BI68" s="1740"/>
      <c r="BJ68" s="1740"/>
      <c r="BK68" s="1740"/>
    </row>
    <row r="69" spans="2:63" ht="15.75" hidden="1" outlineLevel="1">
      <c r="B69" s="1926"/>
      <c r="C69" s="1946"/>
      <c r="D69" s="1947"/>
      <c r="E69" s="1948"/>
      <c r="F69" s="1948"/>
      <c r="G69" s="1949"/>
      <c r="H69" s="1949"/>
      <c r="I69" s="1949"/>
      <c r="J69" s="1949"/>
      <c r="K69" s="1949"/>
      <c r="L69" s="1949"/>
      <c r="M69" s="1949"/>
      <c r="N69" s="1949"/>
      <c r="O69" s="1949"/>
      <c r="P69" s="1949"/>
      <c r="Q69" s="1949"/>
      <c r="R69" s="1949"/>
      <c r="S69" s="1949"/>
      <c r="T69" s="1949"/>
      <c r="U69" s="1949"/>
      <c r="V69" s="1949"/>
      <c r="W69" s="1949"/>
      <c r="X69" s="1949"/>
      <c r="Y69" s="1949"/>
      <c r="Z69" s="1949"/>
      <c r="AA69" s="1949"/>
      <c r="AB69" s="1740"/>
      <c r="AC69" s="1740"/>
      <c r="AD69" s="1740"/>
      <c r="AE69" s="1740"/>
      <c r="AF69" s="1740"/>
      <c r="AG69" s="1740"/>
      <c r="AH69" s="1740"/>
      <c r="AI69" s="1740"/>
      <c r="AJ69" s="1740"/>
      <c r="AK69" s="1740"/>
      <c r="AL69" s="1740"/>
      <c r="AM69" s="1740"/>
      <c r="AN69" s="1740"/>
      <c r="AO69" s="1740"/>
      <c r="AP69" s="1740"/>
      <c r="AQ69" s="1740"/>
      <c r="AR69" s="1740"/>
      <c r="AS69" s="1740"/>
      <c r="AT69" s="1740"/>
      <c r="AU69" s="1740"/>
      <c r="AV69" s="1740"/>
      <c r="AW69" s="1740"/>
      <c r="AX69" s="1740"/>
      <c r="AY69" s="1740"/>
      <c r="AZ69" s="1740"/>
      <c r="BA69" s="1740"/>
      <c r="BB69" s="1740"/>
      <c r="BC69" s="1740"/>
      <c r="BD69" s="1740"/>
      <c r="BE69" s="1740"/>
      <c r="BF69" s="1740"/>
      <c r="BG69" s="1740"/>
      <c r="BH69" s="1740"/>
      <c r="BI69" s="1740"/>
      <c r="BJ69" s="1740"/>
      <c r="BK69" s="1740"/>
    </row>
    <row r="70" spans="2:63" ht="15.75" hidden="1" outlineLevel="1">
      <c r="B70" s="1926"/>
      <c r="C70" s="1946"/>
      <c r="D70" s="1947"/>
      <c r="E70" s="1948"/>
      <c r="F70" s="1948"/>
      <c r="G70" s="1949"/>
      <c r="H70" s="1949"/>
      <c r="I70" s="1949"/>
      <c r="J70" s="1949"/>
      <c r="K70" s="1949"/>
      <c r="L70" s="1949"/>
      <c r="M70" s="1949"/>
      <c r="N70" s="1949"/>
      <c r="O70" s="1949"/>
      <c r="P70" s="1949"/>
      <c r="Q70" s="1949"/>
      <c r="R70" s="1949"/>
      <c r="S70" s="1949"/>
      <c r="T70" s="1949"/>
      <c r="U70" s="1949"/>
      <c r="V70" s="1949"/>
      <c r="W70" s="1949"/>
      <c r="X70" s="1949"/>
      <c r="Y70" s="1949"/>
      <c r="Z70" s="1949"/>
      <c r="AA70" s="1949"/>
      <c r="AB70" s="1740"/>
      <c r="AC70" s="1740"/>
      <c r="AD70" s="1740"/>
      <c r="AE70" s="1740"/>
      <c r="AF70" s="1740"/>
      <c r="AG70" s="1740"/>
      <c r="AH70" s="1740"/>
      <c r="AI70" s="1740"/>
      <c r="AJ70" s="1740"/>
      <c r="AK70" s="1740"/>
      <c r="AL70" s="1740"/>
      <c r="AM70" s="1740"/>
      <c r="AN70" s="1740"/>
      <c r="AO70" s="1740"/>
      <c r="AP70" s="1740"/>
      <c r="AQ70" s="1740"/>
      <c r="AR70" s="1740"/>
      <c r="AS70" s="1740"/>
      <c r="AT70" s="1740"/>
      <c r="AU70" s="1740"/>
      <c r="AV70" s="1740"/>
      <c r="AW70" s="1740"/>
      <c r="AX70" s="1740"/>
      <c r="AY70" s="1740"/>
      <c r="AZ70" s="1740"/>
      <c r="BA70" s="1740"/>
      <c r="BB70" s="1740"/>
      <c r="BC70" s="1740"/>
      <c r="BD70" s="1740"/>
      <c r="BE70" s="1740"/>
      <c r="BF70" s="1740"/>
      <c r="BG70" s="1740"/>
      <c r="BH70" s="1740"/>
      <c r="BI70" s="1740"/>
      <c r="BJ70" s="1740"/>
      <c r="BK70" s="1740"/>
    </row>
    <row r="71" spans="2:63" ht="15.75" hidden="1" outlineLevel="1">
      <c r="B71" s="1926"/>
      <c r="C71" s="1946"/>
      <c r="D71" s="1947"/>
      <c r="E71" s="1948"/>
      <c r="F71" s="1948"/>
      <c r="G71" s="1949"/>
      <c r="H71" s="1949"/>
      <c r="I71" s="1949"/>
      <c r="J71" s="1949"/>
      <c r="K71" s="1949"/>
      <c r="L71" s="1949"/>
      <c r="M71" s="1949"/>
      <c r="N71" s="1949"/>
      <c r="O71" s="1949"/>
      <c r="P71" s="1949"/>
      <c r="Q71" s="1949"/>
      <c r="R71" s="1949"/>
      <c r="S71" s="1949"/>
      <c r="T71" s="1949"/>
      <c r="U71" s="1949"/>
      <c r="V71" s="1949"/>
      <c r="W71" s="1949"/>
      <c r="X71" s="1949"/>
      <c r="Y71" s="1949"/>
      <c r="Z71" s="1949"/>
      <c r="AA71" s="1949"/>
      <c r="AB71" s="1740"/>
      <c r="AC71" s="1740"/>
      <c r="AD71" s="1740"/>
      <c r="AE71" s="1740"/>
      <c r="AF71" s="1740"/>
      <c r="AG71" s="1740"/>
      <c r="AH71" s="1740"/>
      <c r="AI71" s="1740"/>
      <c r="AJ71" s="1740"/>
      <c r="AK71" s="1740"/>
      <c r="AL71" s="1740"/>
      <c r="AM71" s="1740"/>
      <c r="AN71" s="1740"/>
      <c r="AO71" s="1740"/>
      <c r="AP71" s="1740"/>
      <c r="AQ71" s="1740"/>
      <c r="AR71" s="1740"/>
      <c r="AS71" s="1740"/>
      <c r="AT71" s="1740"/>
      <c r="AU71" s="1740"/>
      <c r="AV71" s="1740"/>
      <c r="AW71" s="1740"/>
      <c r="AX71" s="1740"/>
      <c r="AY71" s="1740"/>
      <c r="AZ71" s="1740"/>
      <c r="BA71" s="1740"/>
      <c r="BB71" s="1740"/>
      <c r="BC71" s="1740"/>
      <c r="BD71" s="1740"/>
      <c r="BE71" s="1740"/>
      <c r="BF71" s="1740"/>
      <c r="BG71" s="1740"/>
      <c r="BH71" s="1740"/>
      <c r="BI71" s="1740"/>
      <c r="BJ71" s="1740"/>
      <c r="BK71" s="1740"/>
    </row>
    <row r="72" spans="2:63" ht="15.75" hidden="1" outlineLevel="1">
      <c r="B72" s="1926"/>
      <c r="C72" s="1950"/>
      <c r="D72" s="1947"/>
      <c r="E72" s="1948"/>
      <c r="F72" s="1948"/>
      <c r="G72" s="1949"/>
      <c r="H72" s="1949"/>
      <c r="I72" s="1949"/>
      <c r="J72" s="1949"/>
      <c r="K72" s="1949"/>
      <c r="L72" s="1949"/>
      <c r="M72" s="1949"/>
      <c r="N72" s="1949"/>
      <c r="O72" s="1949"/>
      <c r="P72" s="1949"/>
      <c r="Q72" s="1949"/>
      <c r="R72" s="1949"/>
      <c r="S72" s="1949"/>
      <c r="T72" s="1949"/>
      <c r="U72" s="1949"/>
      <c r="V72" s="1949"/>
      <c r="W72" s="1949"/>
      <c r="X72" s="1949"/>
      <c r="Y72" s="1949"/>
      <c r="Z72" s="1949"/>
      <c r="AA72" s="1949"/>
      <c r="AB72" s="1740"/>
      <c r="AC72" s="1740"/>
      <c r="AD72" s="1740"/>
      <c r="AE72" s="1740"/>
      <c r="AF72" s="1740"/>
      <c r="AG72" s="1740"/>
      <c r="AH72" s="1740"/>
      <c r="AI72" s="1740"/>
      <c r="AJ72" s="1740"/>
      <c r="AK72" s="1740"/>
      <c r="AL72" s="1740"/>
      <c r="AM72" s="1740"/>
      <c r="AN72" s="1740"/>
      <c r="AO72" s="1740"/>
      <c r="AP72" s="1740"/>
      <c r="AQ72" s="1740"/>
      <c r="AR72" s="1740"/>
      <c r="AS72" s="1740"/>
      <c r="AT72" s="1740"/>
      <c r="AU72" s="1740"/>
      <c r="AV72" s="1740"/>
      <c r="AW72" s="1740"/>
      <c r="AX72" s="1740"/>
      <c r="AY72" s="1740"/>
      <c r="AZ72" s="1740"/>
      <c r="BA72" s="1740"/>
      <c r="BB72" s="1740"/>
      <c r="BC72" s="1740"/>
      <c r="BD72" s="1740"/>
      <c r="BE72" s="1740"/>
      <c r="BF72" s="1740"/>
      <c r="BG72" s="1740"/>
      <c r="BH72" s="1740"/>
      <c r="BI72" s="1740"/>
      <c r="BJ72" s="1740"/>
      <c r="BK72" s="1740"/>
    </row>
    <row r="73" spans="2:63" ht="15.75" hidden="1" outlineLevel="1">
      <c r="B73" s="1926"/>
      <c r="C73" s="1922" t="s">
        <v>3775</v>
      </c>
      <c r="D73" s="1951"/>
      <c r="E73" s="1923"/>
      <c r="F73" s="1923"/>
      <c r="G73" s="1952"/>
      <c r="H73" s="1952"/>
      <c r="I73" s="1952"/>
      <c r="J73" s="1952"/>
      <c r="K73" s="1953"/>
      <c r="L73" s="1952"/>
      <c r="M73" s="1952"/>
      <c r="N73" s="1952"/>
      <c r="O73" s="1952"/>
      <c r="P73" s="1953"/>
      <c r="Q73" s="1952"/>
      <c r="R73" s="1952"/>
      <c r="S73" s="1952"/>
      <c r="T73" s="1952"/>
      <c r="U73" s="1952"/>
      <c r="V73" s="1952"/>
      <c r="W73" s="1952"/>
      <c r="X73" s="1954"/>
      <c r="Y73" s="1954"/>
      <c r="Z73" s="1954"/>
      <c r="AA73" s="1953"/>
      <c r="AB73" s="1740"/>
      <c r="AC73" s="1740"/>
      <c r="AD73" s="1740"/>
      <c r="AE73" s="1740"/>
      <c r="AF73" s="1740"/>
      <c r="AG73" s="1740"/>
      <c r="AH73" s="1740"/>
      <c r="AI73" s="1740"/>
      <c r="AJ73" s="1740"/>
      <c r="AK73" s="1740"/>
      <c r="AL73" s="1740"/>
      <c r="AM73" s="1740"/>
      <c r="AN73" s="1740"/>
      <c r="AO73" s="1740"/>
      <c r="AP73" s="1740"/>
      <c r="AQ73" s="1740"/>
      <c r="AR73" s="1740"/>
      <c r="AS73" s="1740"/>
      <c r="AT73" s="1740"/>
      <c r="AU73" s="1740"/>
      <c r="AV73" s="1740"/>
      <c r="AW73" s="1740"/>
      <c r="AX73" s="1740"/>
      <c r="AY73" s="1740"/>
      <c r="AZ73" s="1740"/>
      <c r="BA73" s="1740"/>
      <c r="BB73" s="1740"/>
      <c r="BC73" s="1740"/>
      <c r="BD73" s="1740"/>
      <c r="BE73" s="1740"/>
      <c r="BF73" s="1740"/>
      <c r="BG73" s="1740"/>
      <c r="BH73" s="1740"/>
      <c r="BI73" s="1740"/>
      <c r="BJ73" s="1740"/>
      <c r="BK73" s="1740"/>
    </row>
    <row r="74" spans="2:63" ht="15.75" hidden="1" outlineLevel="1">
      <c r="B74" s="1926"/>
      <c r="C74" s="1927" t="s">
        <v>3771</v>
      </c>
      <c r="D74" s="1933"/>
      <c r="E74" s="1928">
        <f>E77+E82</f>
        <v>11</v>
      </c>
      <c r="F74" s="1928">
        <f>F77+F82</f>
        <v>3220.91</v>
      </c>
      <c r="G74" s="1937"/>
      <c r="H74" s="1937"/>
      <c r="I74" s="1937"/>
      <c r="J74" s="1937"/>
      <c r="K74" s="1938">
        <f>'[36]СС 2015'!K155</f>
        <v>888155.16999999993</v>
      </c>
      <c r="L74" s="1937"/>
      <c r="M74" s="1937"/>
      <c r="N74" s="1937"/>
      <c r="O74" s="1937"/>
      <c r="P74" s="1938">
        <f>'[36]СС 2015'!S155</f>
        <v>0</v>
      </c>
      <c r="Q74" s="1937"/>
      <c r="R74" s="1937"/>
      <c r="S74" s="1937"/>
      <c r="T74" s="1937"/>
      <c r="U74" s="1937"/>
      <c r="V74" s="1937"/>
      <c r="W74" s="1937"/>
      <c r="X74" s="1939"/>
      <c r="Y74" s="1939"/>
      <c r="Z74" s="1939"/>
      <c r="AA74" s="1938">
        <f>'[36]СС 2015'!X155</f>
        <v>0</v>
      </c>
      <c r="AB74" s="1740"/>
      <c r="AC74" s="1740"/>
      <c r="AD74" s="1740"/>
      <c r="AE74" s="1740"/>
      <c r="AF74" s="1740"/>
      <c r="AG74" s="1740"/>
      <c r="AH74" s="1740"/>
      <c r="AI74" s="1740"/>
      <c r="AJ74" s="1740"/>
      <c r="AK74" s="1740"/>
      <c r="AL74" s="1740"/>
      <c r="AM74" s="1740"/>
      <c r="AN74" s="1740"/>
      <c r="AO74" s="1740"/>
      <c r="AP74" s="1740"/>
      <c r="AQ74" s="1740"/>
      <c r="AR74" s="1740"/>
      <c r="AS74" s="1740"/>
      <c r="AT74" s="1740"/>
      <c r="AU74" s="1740"/>
      <c r="AV74" s="1740"/>
      <c r="AW74" s="1740"/>
      <c r="AX74" s="1740"/>
      <c r="AY74" s="1740"/>
      <c r="AZ74" s="1740"/>
      <c r="BA74" s="1740"/>
      <c r="BB74" s="1740"/>
      <c r="BC74" s="1740"/>
      <c r="BD74" s="1740"/>
      <c r="BE74" s="1740"/>
      <c r="BF74" s="1740"/>
      <c r="BG74" s="1740"/>
      <c r="BH74" s="1740"/>
      <c r="BI74" s="1740"/>
      <c r="BJ74" s="1740"/>
      <c r="BK74" s="1740"/>
    </row>
    <row r="75" spans="2:63" ht="15.75" hidden="1" outlineLevel="1">
      <c r="B75" s="1926"/>
      <c r="C75" s="1931" t="s">
        <v>3706</v>
      </c>
      <c r="D75" s="1933"/>
      <c r="E75" s="1928"/>
      <c r="F75" s="1928"/>
      <c r="G75" s="1937"/>
      <c r="H75" s="1937"/>
      <c r="I75" s="1937"/>
      <c r="J75" s="1937"/>
      <c r="K75" s="1938">
        <f>'[36]СС 2015'!K156</f>
        <v>264241.47999999992</v>
      </c>
      <c r="L75" s="1937"/>
      <c r="M75" s="1937"/>
      <c r="N75" s="1937"/>
      <c r="O75" s="1937"/>
      <c r="P75" s="1938">
        <f>'[36]СС 2015'!S156</f>
        <v>0</v>
      </c>
      <c r="Q75" s="1937"/>
      <c r="R75" s="1937"/>
      <c r="S75" s="1937"/>
      <c r="T75" s="1937"/>
      <c r="U75" s="1937"/>
      <c r="V75" s="1937"/>
      <c r="W75" s="1937"/>
      <c r="X75" s="1939"/>
      <c r="Y75" s="1939"/>
      <c r="Z75" s="1939"/>
      <c r="AA75" s="1938">
        <f>'[36]СС 2015'!X156</f>
        <v>0</v>
      </c>
      <c r="AB75" s="1740"/>
      <c r="AC75" s="1740"/>
      <c r="AD75" s="1740"/>
      <c r="AE75" s="1740"/>
      <c r="AF75" s="1740"/>
      <c r="AG75" s="1740"/>
      <c r="AH75" s="1740"/>
      <c r="AI75" s="1740"/>
      <c r="AJ75" s="1740"/>
      <c r="AK75" s="1740"/>
      <c r="AL75" s="1740"/>
      <c r="AM75" s="1740"/>
      <c r="AN75" s="1740"/>
      <c r="AO75" s="1740"/>
      <c r="AP75" s="1740"/>
      <c r="AQ75" s="1740"/>
      <c r="AR75" s="1740"/>
      <c r="AS75" s="1740"/>
      <c r="AT75" s="1740"/>
      <c r="AU75" s="1740"/>
      <c r="AV75" s="1740"/>
      <c r="AW75" s="1740"/>
      <c r="AX75" s="1740"/>
      <c r="AY75" s="1740"/>
      <c r="AZ75" s="1740"/>
      <c r="BA75" s="1740"/>
      <c r="BB75" s="1740"/>
      <c r="BC75" s="1740"/>
      <c r="BD75" s="1740"/>
      <c r="BE75" s="1740"/>
      <c r="BF75" s="1740"/>
      <c r="BG75" s="1740"/>
      <c r="BH75" s="1740"/>
      <c r="BI75" s="1740"/>
      <c r="BJ75" s="1740"/>
      <c r="BK75" s="1740"/>
    </row>
    <row r="76" spans="2:63" ht="15.75" hidden="1" outlineLevel="1">
      <c r="B76" s="1926"/>
      <c r="C76" s="1932" t="s">
        <v>3775</v>
      </c>
      <c r="D76" s="1933">
        <v>0.4</v>
      </c>
      <c r="E76" s="1768"/>
      <c r="F76" s="1768"/>
      <c r="G76" s="1768"/>
      <c r="H76" s="1768"/>
      <c r="I76" s="1768"/>
      <c r="J76" s="1768"/>
      <c r="K76" s="1934"/>
      <c r="L76" s="1768"/>
      <c r="M76" s="1768"/>
      <c r="N76" s="1768"/>
      <c r="O76" s="1768"/>
      <c r="P76" s="1934"/>
      <c r="Q76" s="1768"/>
      <c r="R76" s="1768"/>
      <c r="S76" s="1768"/>
      <c r="T76" s="1768"/>
      <c r="U76" s="1768"/>
      <c r="V76" s="1768"/>
      <c r="W76" s="1768"/>
      <c r="X76" s="1935"/>
      <c r="Y76" s="1935"/>
      <c r="Z76" s="1935"/>
      <c r="AA76" s="1934"/>
      <c r="AB76" s="1740"/>
      <c r="AC76" s="1740"/>
      <c r="AD76" s="1740"/>
      <c r="AE76" s="1740"/>
      <c r="AF76" s="1740"/>
      <c r="AG76" s="1740"/>
      <c r="AH76" s="1740"/>
      <c r="AI76" s="1740"/>
      <c r="AJ76" s="1740"/>
      <c r="AK76" s="1740"/>
      <c r="AL76" s="1740"/>
      <c r="AM76" s="1740"/>
      <c r="AN76" s="1740"/>
      <c r="AO76" s="1740"/>
      <c r="AP76" s="1740"/>
      <c r="AQ76" s="1740"/>
      <c r="AR76" s="1740"/>
      <c r="AS76" s="1740"/>
      <c r="AT76" s="1740"/>
      <c r="AU76" s="1740"/>
      <c r="AV76" s="1740"/>
      <c r="AW76" s="1740"/>
      <c r="AX76" s="1740"/>
      <c r="AY76" s="1740"/>
      <c r="AZ76" s="1740"/>
      <c r="BA76" s="1740"/>
      <c r="BB76" s="1740"/>
      <c r="BC76" s="1740"/>
      <c r="BD76" s="1740"/>
      <c r="BE76" s="1740"/>
      <c r="BF76" s="1740"/>
      <c r="BG76" s="1740"/>
      <c r="BH76" s="1740"/>
      <c r="BI76" s="1740"/>
      <c r="BJ76" s="1740"/>
      <c r="BK76" s="1740"/>
    </row>
    <row r="77" spans="2:63" ht="15.75" hidden="1" outlineLevel="1">
      <c r="B77" s="1926"/>
      <c r="C77" s="1927" t="s">
        <v>3771</v>
      </c>
      <c r="D77" s="1933"/>
      <c r="E77" s="1928">
        <v>2</v>
      </c>
      <c r="F77" s="1928">
        <v>301</v>
      </c>
      <c r="G77" s="1928" t="e">
        <f>ROUND($K77*G$80,3)</f>
        <v>#REF!</v>
      </c>
      <c r="H77" s="1928" t="e">
        <f>ROUND($K77*H$80,3)</f>
        <v>#REF!</v>
      </c>
      <c r="I77" s="1928" t="e">
        <f>ROUND($K77*I$80,3)</f>
        <v>#REF!</v>
      </c>
      <c r="J77" s="1928" t="e">
        <f>ROUND($K77*J$80,3)</f>
        <v>#REF!</v>
      </c>
      <c r="K77" s="1934" t="e">
        <f>#REF!*F77</f>
        <v>#REF!</v>
      </c>
      <c r="L77" s="1928" t="e">
        <f>ROUND($K77*L$80,3)</f>
        <v>#REF!</v>
      </c>
      <c r="M77" s="1928" t="e">
        <f>ROUND($K77*M$80,3)</f>
        <v>#REF!</v>
      </c>
      <c r="N77" s="1928" t="e">
        <f>ROUND($K77*N$80,3)</f>
        <v>#REF!</v>
      </c>
      <c r="O77" s="1928" t="e">
        <f>ROUND($K77*O$80,3)</f>
        <v>#REF!</v>
      </c>
      <c r="P77" s="1934" t="e">
        <f>#REF!*#REF!</f>
        <v>#REF!</v>
      </c>
      <c r="Q77" s="1928" t="e">
        <f>ROUND($K77*Q$80,3)</f>
        <v>#REF!</v>
      </c>
      <c r="R77" s="1928"/>
      <c r="S77" s="1928" t="e">
        <f>ROUND($K77*S$80,3)</f>
        <v>#REF!</v>
      </c>
      <c r="T77" s="1928"/>
      <c r="U77" s="1928" t="e">
        <f>ROUND($K77*U$80,3)</f>
        <v>#REF!</v>
      </c>
      <c r="V77" s="1928"/>
      <c r="W77" s="1928" t="e">
        <f>ROUND($K77*W$80,3)</f>
        <v>#REF!</v>
      </c>
      <c r="X77" s="1930"/>
      <c r="Y77" s="1930"/>
      <c r="Z77" s="1930"/>
      <c r="AA77" s="1934" t="e">
        <f>#REF!*#REF!</f>
        <v>#REF!</v>
      </c>
      <c r="AB77" s="1740"/>
      <c r="AC77" s="1740"/>
      <c r="AD77" s="1740"/>
      <c r="AE77" s="1740"/>
      <c r="AF77" s="1740"/>
      <c r="AG77" s="1740"/>
      <c r="AH77" s="1740"/>
      <c r="AI77" s="1740"/>
      <c r="AJ77" s="1740"/>
      <c r="AK77" s="1740"/>
      <c r="AL77" s="1740"/>
      <c r="AM77" s="1740"/>
      <c r="AN77" s="1740"/>
      <c r="AO77" s="1740"/>
      <c r="AP77" s="1740"/>
      <c r="AQ77" s="1740"/>
      <c r="AR77" s="1740"/>
      <c r="AS77" s="1740"/>
      <c r="AT77" s="1740"/>
      <c r="AU77" s="1740"/>
      <c r="AV77" s="1740"/>
      <c r="AW77" s="1740"/>
      <c r="AX77" s="1740"/>
      <c r="AY77" s="1740"/>
      <c r="AZ77" s="1740"/>
      <c r="BA77" s="1740"/>
      <c r="BB77" s="1740"/>
      <c r="BC77" s="1740"/>
      <c r="BD77" s="1740"/>
      <c r="BE77" s="1740"/>
      <c r="BF77" s="1740"/>
      <c r="BG77" s="1740"/>
      <c r="BH77" s="1740"/>
      <c r="BI77" s="1740"/>
      <c r="BJ77" s="1740"/>
      <c r="BK77" s="1740"/>
    </row>
    <row r="78" spans="2:63" ht="15.75" hidden="1" outlineLevel="1">
      <c r="B78" s="1926"/>
      <c r="C78" s="1931" t="s">
        <v>3706</v>
      </c>
      <c r="D78" s="1933"/>
      <c r="E78" s="1928"/>
      <c r="F78" s="1928"/>
      <c r="G78" s="1928" t="e">
        <f>ROUND(G77*#REF!,3)</f>
        <v>#REF!</v>
      </c>
      <c r="H78" s="1928" t="e">
        <f>ROUND(H77*#REF!,3)</f>
        <v>#REF!</v>
      </c>
      <c r="I78" s="1928" t="e">
        <f>ROUND(I77*#REF!,3)</f>
        <v>#REF!</v>
      </c>
      <c r="J78" s="1928" t="e">
        <f>ROUND(J77*#REF!,3)</f>
        <v>#REF!</v>
      </c>
      <c r="K78" s="1934" t="e">
        <f>K77*#REF!</f>
        <v>#REF!</v>
      </c>
      <c r="L78" s="1928" t="e">
        <f>ROUND(L77*#REF!,3)</f>
        <v>#REF!</v>
      </c>
      <c r="M78" s="1928" t="e">
        <f>ROUND(M77*#REF!,3)</f>
        <v>#REF!</v>
      </c>
      <c r="N78" s="1928" t="e">
        <f>ROUND(N77*#REF!,3)</f>
        <v>#REF!</v>
      </c>
      <c r="O78" s="1928" t="e">
        <f>ROUND(O77*#REF!,3)</f>
        <v>#REF!</v>
      </c>
      <c r="P78" s="1934" t="e">
        <f>P77*#REF!</f>
        <v>#REF!</v>
      </c>
      <c r="Q78" s="1928" t="e">
        <f>ROUND(Q77*#REF!,3)</f>
        <v>#REF!</v>
      </c>
      <c r="R78" s="1928"/>
      <c r="S78" s="1928" t="e">
        <f>ROUND(S77*#REF!,3)</f>
        <v>#REF!</v>
      </c>
      <c r="T78" s="1928"/>
      <c r="U78" s="1928" t="e">
        <f>ROUND(U77*#REF!,3)</f>
        <v>#REF!</v>
      </c>
      <c r="V78" s="1928"/>
      <c r="W78" s="1928" t="e">
        <f>ROUND(W77*#REF!,3)</f>
        <v>#REF!</v>
      </c>
      <c r="X78" s="1930"/>
      <c r="Y78" s="1930"/>
      <c r="Z78" s="1930"/>
      <c r="AA78" s="1934" t="e">
        <f>AA77*#REF!</f>
        <v>#REF!</v>
      </c>
      <c r="AB78" s="1740"/>
      <c r="AC78" s="1740"/>
      <c r="AD78" s="1740"/>
      <c r="AE78" s="1740"/>
      <c r="AF78" s="1740"/>
      <c r="AG78" s="1740"/>
      <c r="AH78" s="1740"/>
      <c r="AI78" s="1740"/>
      <c r="AJ78" s="1740"/>
      <c r="AK78" s="1740"/>
      <c r="AL78" s="1740"/>
      <c r="AM78" s="1740"/>
      <c r="AN78" s="1740"/>
      <c r="AO78" s="1740"/>
      <c r="AP78" s="1740"/>
      <c r="AQ78" s="1740"/>
      <c r="AR78" s="1740"/>
      <c r="AS78" s="1740"/>
      <c r="AT78" s="1740"/>
      <c r="AU78" s="1740"/>
      <c r="AV78" s="1740"/>
      <c r="AW78" s="1740"/>
      <c r="AX78" s="1740"/>
      <c r="AY78" s="1740"/>
      <c r="AZ78" s="1740"/>
      <c r="BA78" s="1740"/>
      <c r="BB78" s="1740"/>
      <c r="BC78" s="1740"/>
      <c r="BD78" s="1740"/>
      <c r="BE78" s="1740"/>
      <c r="BF78" s="1740"/>
      <c r="BG78" s="1740"/>
      <c r="BH78" s="1740"/>
      <c r="BI78" s="1740"/>
      <c r="BJ78" s="1740"/>
      <c r="BK78" s="1740"/>
    </row>
    <row r="79" spans="2:63" ht="31.5" hidden="1" outlineLevel="1">
      <c r="B79" s="1926"/>
      <c r="C79" s="1927" t="s">
        <v>3772</v>
      </c>
      <c r="D79" s="1933"/>
      <c r="E79" s="1928"/>
      <c r="F79" s="1928"/>
      <c r="G79" s="1768">
        <f>'[36]Табл. 7.3 Подг. ТУ'!H67</f>
        <v>28.41</v>
      </c>
      <c r="H79" s="1768">
        <f>'[36]Табл. 7.5 Пров. вып. ТУ'!H44</f>
        <v>26.5</v>
      </c>
      <c r="I79" s="1768"/>
      <c r="J79" s="1768">
        <f>'[36]Табл. 7.7 Факт. присоед.'!H34</f>
        <v>45.97</v>
      </c>
      <c r="K79" s="1929">
        <f>SUM(G79:J79)</f>
        <v>100.88</v>
      </c>
      <c r="L79" s="1768">
        <f>'[36]Табл. 7.3 Подг. ТУ'!P67</f>
        <v>4565.3903335043615</v>
      </c>
      <c r="M79" s="1768">
        <f>'[36]Табл. 7.5 Пров. вып. ТУ'!P44</f>
        <v>3512.6114315033356</v>
      </c>
      <c r="N79" s="1768"/>
      <c r="O79" s="1768">
        <f>'[36]Табл. 7.7 Факт. присоед.'!P34</f>
        <v>3812.3076449461264</v>
      </c>
      <c r="P79" s="1929">
        <f>SUM(L79:O79)</f>
        <v>11890.309409953823</v>
      </c>
      <c r="Q79" s="1768">
        <f>'[36]Табл. 7.3 Подг. ТУ'!U67</f>
        <v>0</v>
      </c>
      <c r="R79" s="1768"/>
      <c r="S79" s="1768">
        <f>'[36]Табл. 7.5 Пров. вып. ТУ'!U44</f>
        <v>12125.32900974859</v>
      </c>
      <c r="T79" s="1768"/>
      <c r="U79" s="1768"/>
      <c r="V79" s="1768"/>
      <c r="W79" s="1768">
        <f>'[36]Табл. 7.7 Факт. присоед.'!U34</f>
        <v>0</v>
      </c>
      <c r="X79" s="1935"/>
      <c r="Y79" s="1935"/>
      <c r="Z79" s="1935"/>
      <c r="AA79" s="1929">
        <f>SUM(Q79:W79)</f>
        <v>12125.32900974859</v>
      </c>
      <c r="AB79" s="1740"/>
      <c r="AC79" s="1740"/>
      <c r="AD79" s="1740"/>
      <c r="AE79" s="1740"/>
      <c r="AF79" s="1740"/>
      <c r="AG79" s="1740"/>
      <c r="AH79" s="1740"/>
      <c r="AI79" s="1740"/>
      <c r="AJ79" s="1740"/>
      <c r="AK79" s="1740"/>
      <c r="AL79" s="1740"/>
      <c r="AM79" s="1740"/>
      <c r="AN79" s="1740"/>
      <c r="AO79" s="1740"/>
      <c r="AP79" s="1740"/>
      <c r="AQ79" s="1740"/>
      <c r="AR79" s="1740"/>
      <c r="AS79" s="1740"/>
      <c r="AT79" s="1740"/>
      <c r="AU79" s="1740"/>
      <c r="AV79" s="1740"/>
      <c r="AW79" s="1740"/>
      <c r="AX79" s="1740"/>
      <c r="AY79" s="1740"/>
      <c r="AZ79" s="1740"/>
      <c r="BA79" s="1740"/>
      <c r="BB79" s="1740"/>
      <c r="BC79" s="1740"/>
      <c r="BD79" s="1740"/>
      <c r="BE79" s="1740"/>
      <c r="BF79" s="1740"/>
      <c r="BG79" s="1740"/>
      <c r="BH79" s="1740"/>
      <c r="BI79" s="1740"/>
      <c r="BJ79" s="1740"/>
      <c r="BK79" s="1740"/>
    </row>
    <row r="80" spans="2:63" ht="15.75" hidden="1" outlineLevel="1">
      <c r="B80" s="1926"/>
      <c r="C80" s="1936" t="s">
        <v>3773</v>
      </c>
      <c r="D80" s="1933"/>
      <c r="E80" s="1928"/>
      <c r="F80" s="1928"/>
      <c r="G80" s="1937">
        <f t="shared" ref="G80:AA80" si="152">G79/$K79</f>
        <v>0.28162172878667724</v>
      </c>
      <c r="H80" s="1937">
        <f t="shared" si="152"/>
        <v>0.26268834258524981</v>
      </c>
      <c r="I80" s="1937">
        <f t="shared" si="152"/>
        <v>0</v>
      </c>
      <c r="J80" s="1937">
        <f t="shared" si="152"/>
        <v>0.45568992862807295</v>
      </c>
      <c r="K80" s="1938">
        <f t="shared" si="152"/>
        <v>1</v>
      </c>
      <c r="L80" s="1937">
        <f t="shared" si="152"/>
        <v>45.255653583508739</v>
      </c>
      <c r="M80" s="1937">
        <f t="shared" si="152"/>
        <v>34.819700946702376</v>
      </c>
      <c r="N80" s="1937">
        <f t="shared" si="152"/>
        <v>0</v>
      </c>
      <c r="O80" s="1937">
        <f t="shared" si="152"/>
        <v>37.790519874565092</v>
      </c>
      <c r="P80" s="1938">
        <f t="shared" si="152"/>
        <v>117.86587440477621</v>
      </c>
      <c r="Q80" s="1937">
        <f t="shared" si="152"/>
        <v>0</v>
      </c>
      <c r="R80" s="1937"/>
      <c r="S80" s="1937">
        <f t="shared" si="152"/>
        <v>120.19556908949832</v>
      </c>
      <c r="T80" s="1937"/>
      <c r="U80" s="1937">
        <f t="shared" si="152"/>
        <v>0</v>
      </c>
      <c r="V80" s="1937"/>
      <c r="W80" s="1937">
        <f t="shared" si="152"/>
        <v>0</v>
      </c>
      <c r="X80" s="1939"/>
      <c r="Y80" s="1939"/>
      <c r="Z80" s="1939"/>
      <c r="AA80" s="1938">
        <f t="shared" si="152"/>
        <v>120.19556908949832</v>
      </c>
      <c r="AB80" s="1740"/>
      <c r="AC80" s="1740"/>
      <c r="AD80" s="1740"/>
      <c r="AE80" s="1740"/>
      <c r="AF80" s="1740"/>
      <c r="AG80" s="1740"/>
      <c r="AH80" s="1740"/>
      <c r="AI80" s="1740"/>
      <c r="AJ80" s="1740"/>
      <c r="AK80" s="1740"/>
      <c r="AL80" s="1740"/>
      <c r="AM80" s="1740"/>
      <c r="AN80" s="1740"/>
      <c r="AO80" s="1740"/>
      <c r="AP80" s="1740"/>
      <c r="AQ80" s="1740"/>
      <c r="AR80" s="1740"/>
      <c r="AS80" s="1740"/>
      <c r="AT80" s="1740"/>
      <c r="AU80" s="1740"/>
      <c r="AV80" s="1740"/>
      <c r="AW80" s="1740"/>
      <c r="AX80" s="1740"/>
      <c r="AY80" s="1740"/>
      <c r="AZ80" s="1740"/>
      <c r="BA80" s="1740"/>
      <c r="BB80" s="1740"/>
      <c r="BC80" s="1740"/>
      <c r="BD80" s="1740"/>
      <c r="BE80" s="1740"/>
      <c r="BF80" s="1740"/>
      <c r="BG80" s="1740"/>
      <c r="BH80" s="1740"/>
      <c r="BI80" s="1740"/>
      <c r="BJ80" s="1740"/>
      <c r="BK80" s="1740"/>
    </row>
    <row r="81" spans="2:63" ht="15.75" hidden="1" outlineLevel="1">
      <c r="B81" s="1926"/>
      <c r="C81" s="1932" t="s">
        <v>3776</v>
      </c>
      <c r="D81" s="1928" t="s">
        <v>3569</v>
      </c>
      <c r="E81" s="1768"/>
      <c r="F81" s="1768"/>
      <c r="G81" s="1768"/>
      <c r="H81" s="1768"/>
      <c r="I81" s="1768"/>
      <c r="J81" s="1768"/>
      <c r="K81" s="1934"/>
      <c r="L81" s="1768"/>
      <c r="M81" s="1768"/>
      <c r="N81" s="1768"/>
      <c r="O81" s="1768"/>
      <c r="P81" s="1934"/>
      <c r="Q81" s="1768"/>
      <c r="R81" s="1768"/>
      <c r="S81" s="1768"/>
      <c r="T81" s="1768"/>
      <c r="U81" s="1768"/>
      <c r="V81" s="1768"/>
      <c r="W81" s="1768"/>
      <c r="X81" s="1935"/>
      <c r="Y81" s="1935"/>
      <c r="Z81" s="1935"/>
      <c r="AA81" s="1934"/>
      <c r="AB81" s="1740"/>
      <c r="AC81" s="1740"/>
      <c r="AD81" s="1740"/>
      <c r="AE81" s="1740"/>
      <c r="AF81" s="1740"/>
      <c r="AG81" s="1740"/>
      <c r="AH81" s="1740"/>
      <c r="AI81" s="1740"/>
      <c r="AJ81" s="1740"/>
      <c r="AK81" s="1740"/>
      <c r="AL81" s="1740"/>
      <c r="AM81" s="1740"/>
      <c r="AN81" s="1740"/>
      <c r="AO81" s="1740"/>
      <c r="AP81" s="1740"/>
      <c r="AQ81" s="1740"/>
      <c r="AR81" s="1740"/>
      <c r="AS81" s="1740"/>
      <c r="AT81" s="1740"/>
      <c r="AU81" s="1740"/>
      <c r="AV81" s="1740"/>
      <c r="AW81" s="1740"/>
      <c r="AX81" s="1740"/>
      <c r="AY81" s="1740"/>
      <c r="AZ81" s="1740"/>
      <c r="BA81" s="1740"/>
      <c r="BB81" s="1740"/>
      <c r="BC81" s="1740"/>
      <c r="BD81" s="1740"/>
      <c r="BE81" s="1740"/>
      <c r="BF81" s="1740"/>
      <c r="BG81" s="1740"/>
      <c r="BH81" s="1740"/>
      <c r="BI81" s="1740"/>
      <c r="BJ81" s="1740"/>
      <c r="BK81" s="1740"/>
    </row>
    <row r="82" spans="2:63" ht="15.75" hidden="1" outlineLevel="1">
      <c r="B82" s="1926"/>
      <c r="C82" s="1927" t="s">
        <v>3771</v>
      </c>
      <c r="D82" s="1928"/>
      <c r="E82" s="1768">
        <v>9</v>
      </c>
      <c r="F82" s="1768">
        <v>2919.91</v>
      </c>
      <c r="G82" s="1928" t="e">
        <f>ROUND($K82*G$85,3)</f>
        <v>#REF!</v>
      </c>
      <c r="H82" s="1928" t="e">
        <f>ROUND($K82*H$85,3)</f>
        <v>#REF!</v>
      </c>
      <c r="I82" s="1928" t="e">
        <f>ROUND($K82*I$85,3)</f>
        <v>#REF!</v>
      </c>
      <c r="J82" s="1928" t="e">
        <f>ROUND($K82*J$85,3)</f>
        <v>#REF!</v>
      </c>
      <c r="K82" s="1934" t="e">
        <f>#REF!*F82</f>
        <v>#REF!</v>
      </c>
      <c r="L82" s="1928" t="e">
        <f>ROUND($K82*L$85,3)</f>
        <v>#REF!</v>
      </c>
      <c r="M82" s="1928" t="e">
        <f>ROUND($K82*M$85,3)</f>
        <v>#REF!</v>
      </c>
      <c r="N82" s="1928" t="e">
        <f>ROUND($K82*N$85,3)</f>
        <v>#REF!</v>
      </c>
      <c r="O82" s="1928" t="e">
        <f>ROUND($K82*O$85,3)</f>
        <v>#REF!</v>
      </c>
      <c r="P82" s="1934" t="e">
        <f>#REF!*#REF!</f>
        <v>#REF!</v>
      </c>
      <c r="Q82" s="1928" t="e">
        <f>ROUND($K82*Q$85,3)</f>
        <v>#REF!</v>
      </c>
      <c r="R82" s="1928"/>
      <c r="S82" s="1928" t="e">
        <f>ROUND($K82*S$85,3)</f>
        <v>#REF!</v>
      </c>
      <c r="T82" s="1928"/>
      <c r="U82" s="1928" t="e">
        <f>ROUND($K82*U$85,3)</f>
        <v>#REF!</v>
      </c>
      <c r="V82" s="1928"/>
      <c r="W82" s="1928" t="e">
        <f>ROUND($K82*W$85,3)</f>
        <v>#REF!</v>
      </c>
      <c r="X82" s="1930"/>
      <c r="Y82" s="1930"/>
      <c r="Z82" s="1930"/>
      <c r="AA82" s="1934" t="e">
        <f>#REF!*#REF!</f>
        <v>#REF!</v>
      </c>
      <c r="AB82" s="1740"/>
      <c r="AC82" s="1740"/>
      <c r="AD82" s="1740"/>
      <c r="AE82" s="1740"/>
      <c r="AF82" s="1740"/>
      <c r="AG82" s="1740"/>
      <c r="AH82" s="1740"/>
      <c r="AI82" s="1740"/>
      <c r="AJ82" s="1740"/>
      <c r="AK82" s="1740"/>
      <c r="AL82" s="1740"/>
      <c r="AM82" s="1740"/>
      <c r="AN82" s="1740"/>
      <c r="AO82" s="1740"/>
      <c r="AP82" s="1740"/>
      <c r="AQ82" s="1740"/>
      <c r="AR82" s="1740"/>
      <c r="AS82" s="1740"/>
      <c r="AT82" s="1740"/>
      <c r="AU82" s="1740"/>
      <c r="AV82" s="1740"/>
      <c r="AW82" s="1740"/>
      <c r="AX82" s="1740"/>
      <c r="AY82" s="1740"/>
      <c r="AZ82" s="1740"/>
      <c r="BA82" s="1740"/>
      <c r="BB82" s="1740"/>
      <c r="BC82" s="1740"/>
      <c r="BD82" s="1740"/>
      <c r="BE82" s="1740"/>
      <c r="BF82" s="1740"/>
      <c r="BG82" s="1740"/>
      <c r="BH82" s="1740"/>
      <c r="BI82" s="1740"/>
      <c r="BJ82" s="1740"/>
      <c r="BK82" s="1740"/>
    </row>
    <row r="83" spans="2:63" ht="15.75" hidden="1" outlineLevel="1">
      <c r="B83" s="1926"/>
      <c r="C83" s="1931" t="s">
        <v>3706</v>
      </c>
      <c r="D83" s="1928"/>
      <c r="E83" s="1768"/>
      <c r="F83" s="1768"/>
      <c r="G83" s="1928" t="e">
        <f>ROUND(G82*#REF!,3)</f>
        <v>#REF!</v>
      </c>
      <c r="H83" s="1928" t="e">
        <f>ROUND(H82*#REF!,3)</f>
        <v>#REF!</v>
      </c>
      <c r="I83" s="1928" t="e">
        <f>ROUND(I82*#REF!,3)</f>
        <v>#REF!</v>
      </c>
      <c r="J83" s="1928" t="e">
        <f>ROUND(J82*#REF!,3)</f>
        <v>#REF!</v>
      </c>
      <c r="K83" s="1934" t="e">
        <f>K82*#REF!</f>
        <v>#REF!</v>
      </c>
      <c r="L83" s="1928" t="e">
        <f>ROUND(L82*#REF!,3)</f>
        <v>#REF!</v>
      </c>
      <c r="M83" s="1928" t="e">
        <f>ROUND(M82*#REF!,3)</f>
        <v>#REF!</v>
      </c>
      <c r="N83" s="1928" t="e">
        <f>ROUND(N82*#REF!,3)</f>
        <v>#REF!</v>
      </c>
      <c r="O83" s="1928" t="e">
        <f>ROUND(O82*#REF!,3)</f>
        <v>#REF!</v>
      </c>
      <c r="P83" s="1934" t="e">
        <f>P82*#REF!</f>
        <v>#REF!</v>
      </c>
      <c r="Q83" s="1928" t="e">
        <f>ROUND(Q82*#REF!,3)</f>
        <v>#REF!</v>
      </c>
      <c r="R83" s="1928"/>
      <c r="S83" s="1928" t="e">
        <f>ROUND(S82*#REF!,3)</f>
        <v>#REF!</v>
      </c>
      <c r="T83" s="1928"/>
      <c r="U83" s="1928" t="e">
        <f>ROUND(U82*#REF!,3)</f>
        <v>#REF!</v>
      </c>
      <c r="V83" s="1928"/>
      <c r="W83" s="1928" t="e">
        <f>ROUND(W82*#REF!,3)</f>
        <v>#REF!</v>
      </c>
      <c r="X83" s="1930"/>
      <c r="Y83" s="1930"/>
      <c r="Z83" s="1930"/>
      <c r="AA83" s="1934" t="e">
        <f>AA82*#REF!</f>
        <v>#REF!</v>
      </c>
      <c r="AB83" s="1740"/>
      <c r="AC83" s="1740"/>
      <c r="AD83" s="1740"/>
      <c r="AE83" s="1740"/>
      <c r="AF83" s="1740"/>
      <c r="AG83" s="1740"/>
      <c r="AH83" s="1740"/>
      <c r="AI83" s="1740"/>
      <c r="AJ83" s="1740"/>
      <c r="AK83" s="1740"/>
      <c r="AL83" s="1740"/>
      <c r="AM83" s="1740"/>
      <c r="AN83" s="1740"/>
      <c r="AO83" s="1740"/>
      <c r="AP83" s="1740"/>
      <c r="AQ83" s="1740"/>
      <c r="AR83" s="1740"/>
      <c r="AS83" s="1740"/>
      <c r="AT83" s="1740"/>
      <c r="AU83" s="1740"/>
      <c r="AV83" s="1740"/>
      <c r="AW83" s="1740"/>
      <c r="AX83" s="1740"/>
      <c r="AY83" s="1740"/>
      <c r="AZ83" s="1740"/>
      <c r="BA83" s="1740"/>
      <c r="BB83" s="1740"/>
      <c r="BC83" s="1740"/>
      <c r="BD83" s="1740"/>
      <c r="BE83" s="1740"/>
      <c r="BF83" s="1740"/>
      <c r="BG83" s="1740"/>
      <c r="BH83" s="1740"/>
      <c r="BI83" s="1740"/>
      <c r="BJ83" s="1740"/>
      <c r="BK83" s="1740"/>
    </row>
    <row r="84" spans="2:63" ht="31.5" hidden="1" outlineLevel="1">
      <c r="B84" s="1926"/>
      <c r="C84" s="1927" t="s">
        <v>3772</v>
      </c>
      <c r="D84" s="1928"/>
      <c r="E84" s="1768"/>
      <c r="F84" s="1768"/>
      <c r="G84" s="1768">
        <f>'[36]Табл. 7.3 Подг. ТУ'!J67</f>
        <v>71.899999999999991</v>
      </c>
      <c r="H84" s="1768">
        <f>'[36]Табл. 7.5 Пров. вып. ТУ'!J44</f>
        <v>27.5</v>
      </c>
      <c r="I84" s="1768"/>
      <c r="J84" s="1768">
        <f>'[36]Табл. 7.7 Факт. присоед.'!J34</f>
        <v>67.97</v>
      </c>
      <c r="K84" s="1929">
        <f>SUM(G84:J84)</f>
        <v>167.37</v>
      </c>
      <c r="L84" s="1768">
        <f>'[36]Табл. 7.3 Подг. ТУ'!R67</f>
        <v>5037.8798973832736</v>
      </c>
      <c r="M84" s="1768">
        <f>'[36]Табл. 7.5 Пров. вып. ТУ'!R44</f>
        <v>0</v>
      </c>
      <c r="N84" s="1768"/>
      <c r="O84" s="1768">
        <f>'[36]Табл. 7.7 Факт. присоед.'!R34</f>
        <v>4708.1900872242186</v>
      </c>
      <c r="P84" s="1929">
        <f>SUM(L84:O84)</f>
        <v>9746.0699846074931</v>
      </c>
      <c r="Q84" s="1768">
        <f>'[36]Табл. 7.3 Подг. ТУ'!W67</f>
        <v>0</v>
      </c>
      <c r="R84" s="1768"/>
      <c r="S84" s="1768">
        <f>'[36]Табл. 7.5 Пров. вып. ТУ'!W44</f>
        <v>12125.32900974859</v>
      </c>
      <c r="T84" s="1768"/>
      <c r="U84" s="1768"/>
      <c r="V84" s="1768"/>
      <c r="W84" s="1768">
        <f>'[36]Табл. 7.7 Факт. присоед.'!W34</f>
        <v>0</v>
      </c>
      <c r="X84" s="1935"/>
      <c r="Y84" s="1935"/>
      <c r="Z84" s="1935"/>
      <c r="AA84" s="1929">
        <f>SUM(Q84:W84)</f>
        <v>12125.32900974859</v>
      </c>
      <c r="AB84" s="1740"/>
      <c r="AC84" s="1740"/>
      <c r="AD84" s="1740"/>
      <c r="AE84" s="1740"/>
      <c r="AF84" s="1740"/>
      <c r="AG84" s="1740"/>
      <c r="AH84" s="1740"/>
      <c r="AI84" s="1740"/>
      <c r="AJ84" s="1740"/>
      <c r="AK84" s="1740"/>
      <c r="AL84" s="1740"/>
      <c r="AM84" s="1740"/>
      <c r="AN84" s="1740"/>
      <c r="AO84" s="1740"/>
      <c r="AP84" s="1740"/>
      <c r="AQ84" s="1740"/>
      <c r="AR84" s="1740"/>
      <c r="AS84" s="1740"/>
      <c r="AT84" s="1740"/>
      <c r="AU84" s="1740"/>
      <c r="AV84" s="1740"/>
      <c r="AW84" s="1740"/>
      <c r="AX84" s="1740"/>
      <c r="AY84" s="1740"/>
      <c r="AZ84" s="1740"/>
      <c r="BA84" s="1740"/>
      <c r="BB84" s="1740"/>
      <c r="BC84" s="1740"/>
      <c r="BD84" s="1740"/>
      <c r="BE84" s="1740"/>
      <c r="BF84" s="1740"/>
      <c r="BG84" s="1740"/>
      <c r="BH84" s="1740"/>
      <c r="BI84" s="1740"/>
      <c r="BJ84" s="1740"/>
      <c r="BK84" s="1740"/>
    </row>
    <row r="85" spans="2:63" ht="16.5" hidden="1" outlineLevel="1" thickBot="1">
      <c r="B85" s="1926"/>
      <c r="C85" s="1940" t="s">
        <v>3773</v>
      </c>
      <c r="D85" s="1942"/>
      <c r="E85" s="1955"/>
      <c r="F85" s="1955"/>
      <c r="G85" s="1943">
        <f t="shared" ref="G85:AA85" si="153">G84/$K84</f>
        <v>0.42958714225966416</v>
      </c>
      <c r="H85" s="1943">
        <f t="shared" si="153"/>
        <v>0.16430662603811913</v>
      </c>
      <c r="I85" s="1943">
        <f t="shared" si="153"/>
        <v>0</v>
      </c>
      <c r="J85" s="1943">
        <f t="shared" si="153"/>
        <v>0.4061062317022166</v>
      </c>
      <c r="K85" s="1944">
        <f t="shared" si="153"/>
        <v>1</v>
      </c>
      <c r="L85" s="1943">
        <f t="shared" si="153"/>
        <v>30.100256302702238</v>
      </c>
      <c r="M85" s="1943">
        <f t="shared" si="153"/>
        <v>0</v>
      </c>
      <c r="N85" s="1943">
        <f t="shared" si="153"/>
        <v>0</v>
      </c>
      <c r="O85" s="1943">
        <f t="shared" si="153"/>
        <v>28.130430108288333</v>
      </c>
      <c r="P85" s="1944">
        <f t="shared" si="153"/>
        <v>58.230686410990579</v>
      </c>
      <c r="Q85" s="1943">
        <f t="shared" si="153"/>
        <v>0</v>
      </c>
      <c r="R85" s="1943"/>
      <c r="S85" s="1943">
        <f t="shared" si="153"/>
        <v>72.446250879778873</v>
      </c>
      <c r="T85" s="1943"/>
      <c r="U85" s="1943">
        <f t="shared" si="153"/>
        <v>0</v>
      </c>
      <c r="V85" s="1943"/>
      <c r="W85" s="1943">
        <f t="shared" si="153"/>
        <v>0</v>
      </c>
      <c r="X85" s="1945"/>
      <c r="Y85" s="1945"/>
      <c r="Z85" s="1945"/>
      <c r="AA85" s="1944">
        <f t="shared" si="153"/>
        <v>72.446250879778873</v>
      </c>
      <c r="AB85" s="1740"/>
      <c r="AC85" s="1740"/>
      <c r="AD85" s="1740"/>
      <c r="AE85" s="1740"/>
      <c r="AF85" s="1740"/>
      <c r="AG85" s="1740"/>
      <c r="AH85" s="1740"/>
      <c r="AI85" s="1740"/>
      <c r="AJ85" s="1740"/>
      <c r="AK85" s="1740"/>
      <c r="AL85" s="1740"/>
      <c r="AM85" s="1740"/>
      <c r="AN85" s="1740"/>
      <c r="AO85" s="1740"/>
      <c r="AP85" s="1740"/>
      <c r="AQ85" s="1740"/>
      <c r="AR85" s="1740"/>
      <c r="AS85" s="1740"/>
      <c r="AT85" s="1740"/>
      <c r="AU85" s="1740"/>
      <c r="AV85" s="1740"/>
      <c r="AW85" s="1740"/>
      <c r="AX85" s="1740"/>
      <c r="AY85" s="1740"/>
      <c r="AZ85" s="1740"/>
      <c r="BA85" s="1740"/>
      <c r="BB85" s="1740"/>
      <c r="BC85" s="1740"/>
      <c r="BD85" s="1740"/>
      <c r="BE85" s="1740"/>
      <c r="BF85" s="1740"/>
      <c r="BG85" s="1740"/>
      <c r="BH85" s="1740"/>
      <c r="BI85" s="1740"/>
      <c r="BJ85" s="1740"/>
      <c r="BK85" s="1740"/>
    </row>
    <row r="86" spans="2:63" ht="15.75" hidden="1" outlineLevel="1">
      <c r="B86" s="1741"/>
      <c r="C86" s="1956"/>
      <c r="D86" s="1957"/>
      <c r="E86" s="1740"/>
      <c r="F86" s="1740"/>
      <c r="G86" s="1740"/>
      <c r="H86" s="1740"/>
      <c r="I86" s="1740"/>
      <c r="J86" s="1740"/>
      <c r="K86" s="1740"/>
      <c r="L86" s="1740"/>
      <c r="M86" s="1740"/>
      <c r="N86" s="1740"/>
      <c r="O86" s="1740"/>
      <c r="P86" s="1740"/>
      <c r="Q86" s="1740"/>
      <c r="R86" s="1740"/>
      <c r="S86" s="1740"/>
      <c r="T86" s="1740"/>
      <c r="U86" s="1740"/>
      <c r="V86" s="1740"/>
      <c r="W86" s="1740"/>
      <c r="X86" s="1740"/>
      <c r="Y86" s="1740"/>
      <c r="Z86" s="1740"/>
      <c r="AA86" s="1740"/>
      <c r="AB86" s="1740"/>
      <c r="AC86" s="1740"/>
      <c r="AD86" s="1740"/>
      <c r="AE86" s="1740"/>
      <c r="AF86" s="1740"/>
      <c r="AG86" s="1740"/>
      <c r="AH86" s="1740"/>
      <c r="AI86" s="1740"/>
      <c r="AJ86" s="1740"/>
      <c r="AK86" s="1740"/>
      <c r="AL86" s="1740"/>
      <c r="AM86" s="1740"/>
      <c r="AN86" s="1740"/>
      <c r="AO86" s="1740"/>
      <c r="AP86" s="1740"/>
      <c r="AQ86" s="1740"/>
      <c r="AR86" s="1740"/>
      <c r="AS86" s="1740"/>
      <c r="AT86" s="1740"/>
      <c r="AU86" s="1740"/>
      <c r="AV86" s="1740"/>
      <c r="AW86" s="1740"/>
      <c r="AX86" s="1740"/>
      <c r="AY86" s="1740"/>
      <c r="AZ86" s="1740"/>
      <c r="BA86" s="1740"/>
      <c r="BB86" s="1740"/>
      <c r="BC86" s="1740"/>
      <c r="BD86" s="1740"/>
      <c r="BE86" s="1740"/>
      <c r="BF86" s="1740"/>
      <c r="BG86" s="1740"/>
      <c r="BH86" s="1740"/>
      <c r="BI86" s="1740"/>
      <c r="BJ86" s="1740"/>
      <c r="BK86" s="1740"/>
    </row>
    <row r="87" spans="2:63" hidden="1" outlineLevel="1">
      <c r="D87" s="1740"/>
      <c r="E87" s="1740"/>
      <c r="F87" s="1740"/>
      <c r="G87" s="1740"/>
      <c r="H87" s="1740"/>
      <c r="I87" s="1740"/>
      <c r="J87" s="1740"/>
      <c r="K87" s="1740"/>
      <c r="L87" s="1740"/>
      <c r="M87" s="1740"/>
      <c r="N87" s="1740"/>
      <c r="O87" s="1740"/>
      <c r="P87" s="1740"/>
      <c r="Q87" s="1740"/>
      <c r="R87" s="1740"/>
      <c r="S87" s="1740"/>
      <c r="T87" s="1740"/>
      <c r="U87" s="1740"/>
      <c r="V87" s="1740"/>
      <c r="W87" s="1740"/>
      <c r="X87" s="1740"/>
      <c r="Y87" s="1740"/>
      <c r="Z87" s="1740"/>
      <c r="AA87" s="1740"/>
      <c r="AB87" s="1740"/>
      <c r="AC87" s="1740"/>
      <c r="AD87" s="1740"/>
      <c r="AE87" s="1740"/>
      <c r="AF87" s="1740"/>
      <c r="AG87" s="1740"/>
      <c r="AH87" s="1740"/>
      <c r="AI87" s="1740"/>
      <c r="AJ87" s="1740"/>
      <c r="AK87" s="1740"/>
      <c r="AL87" s="1740"/>
      <c r="AM87" s="1740"/>
      <c r="AN87" s="1740"/>
      <c r="AO87" s="1740"/>
      <c r="AP87" s="1740"/>
      <c r="AQ87" s="1740"/>
      <c r="AR87" s="1740"/>
      <c r="AS87" s="1740"/>
      <c r="AT87" s="1740"/>
      <c r="AU87" s="1740"/>
      <c r="AV87" s="1740"/>
      <c r="AW87" s="1740"/>
      <c r="AX87" s="1740"/>
      <c r="AY87" s="1740"/>
      <c r="AZ87" s="1740"/>
      <c r="BA87" s="1740"/>
      <c r="BB87" s="1740"/>
      <c r="BC87" s="1740"/>
      <c r="BD87" s="1740"/>
      <c r="BE87" s="1740"/>
      <c r="BF87" s="1740"/>
      <c r="BG87" s="1740"/>
      <c r="BH87" s="1740"/>
      <c r="BI87" s="1740"/>
      <c r="BJ87" s="1740"/>
      <c r="BK87" s="1740"/>
    </row>
    <row r="88" spans="2:63" hidden="1" outlineLevel="1">
      <c r="D88" s="1740"/>
      <c r="E88" s="1740"/>
      <c r="F88" s="1740"/>
      <c r="G88" s="1740"/>
      <c r="H88" s="1740"/>
      <c r="I88" s="1740"/>
      <c r="J88" s="1740"/>
      <c r="K88" s="1740"/>
      <c r="L88" s="1740"/>
      <c r="M88" s="1740"/>
      <c r="N88" s="1740"/>
      <c r="O88" s="1740"/>
      <c r="P88" s="1740"/>
      <c r="Q88" s="1740"/>
      <c r="R88" s="1740"/>
      <c r="S88" s="1740"/>
      <c r="T88" s="1740"/>
      <c r="U88" s="1740"/>
      <c r="V88" s="1740"/>
      <c r="W88" s="1740"/>
      <c r="X88" s="1740"/>
      <c r="Y88" s="1740"/>
      <c r="Z88" s="1740"/>
      <c r="AA88" s="1740"/>
      <c r="AB88" s="1740"/>
      <c r="AC88" s="1740"/>
      <c r="AD88" s="1740"/>
      <c r="AE88" s="1740"/>
      <c r="AF88" s="1740"/>
      <c r="AG88" s="1740"/>
      <c r="AH88" s="1740"/>
      <c r="AI88" s="1740"/>
      <c r="AJ88" s="1740"/>
      <c r="AK88" s="1740"/>
      <c r="AL88" s="1740"/>
      <c r="AM88" s="1740"/>
      <c r="AN88" s="1740"/>
      <c r="AO88" s="1740"/>
      <c r="AP88" s="1740"/>
      <c r="AQ88" s="1740"/>
      <c r="AR88" s="1740"/>
      <c r="AS88" s="1740"/>
      <c r="AT88" s="1740"/>
      <c r="AU88" s="1740"/>
      <c r="AV88" s="1740"/>
      <c r="AW88" s="1740"/>
      <c r="AX88" s="1740"/>
      <c r="AY88" s="1740"/>
      <c r="AZ88" s="1740"/>
      <c r="BA88" s="1740"/>
      <c r="BB88" s="1740"/>
      <c r="BC88" s="1740"/>
      <c r="BD88" s="1740"/>
      <c r="BE88" s="1740"/>
      <c r="BF88" s="1740"/>
      <c r="BG88" s="1740"/>
      <c r="BH88" s="1740"/>
      <c r="BI88" s="1740"/>
      <c r="BJ88" s="1740"/>
      <c r="BK88" s="1740"/>
    </row>
    <row r="89" spans="2:63" collapsed="1">
      <c r="D89" s="1740"/>
      <c r="E89" s="1740"/>
      <c r="F89" s="1740"/>
      <c r="G89" s="1740"/>
      <c r="H89" s="1740"/>
      <c r="I89" s="1740"/>
      <c r="J89" s="1740"/>
      <c r="K89" s="1958">
        <f>K52+K53</f>
        <v>2025702.1692555966</v>
      </c>
      <c r="L89" s="1740"/>
      <c r="M89" s="1740"/>
      <c r="N89" s="1740"/>
      <c r="O89" s="1740"/>
      <c r="P89" s="1740"/>
      <c r="Q89" s="1740"/>
      <c r="R89" s="1740"/>
      <c r="S89" s="1740"/>
      <c r="T89" s="1740"/>
      <c r="U89" s="1740"/>
      <c r="V89" s="1740"/>
      <c r="W89" s="1740"/>
      <c r="X89" s="1740"/>
      <c r="Y89" s="1740"/>
      <c r="Z89" s="1740"/>
      <c r="AA89" s="1740"/>
      <c r="AB89" s="1740"/>
      <c r="AC89" s="1740"/>
      <c r="AD89" s="1740"/>
      <c r="AE89" s="1740"/>
      <c r="AF89" s="1740"/>
      <c r="AG89" s="1740"/>
      <c r="AH89" s="1740"/>
      <c r="AI89" s="1740"/>
      <c r="AJ89" s="1740"/>
      <c r="AK89" s="1740"/>
      <c r="AL89" s="1740"/>
      <c r="AM89" s="1740"/>
      <c r="AN89" s="1740"/>
      <c r="AO89" s="1740"/>
      <c r="AP89" s="1740"/>
      <c r="AQ89" s="1740"/>
      <c r="AR89" s="1740"/>
      <c r="AS89" s="1740"/>
      <c r="AT89" s="1740"/>
      <c r="AU89" s="1740"/>
      <c r="AV89" s="1740"/>
      <c r="AW89" s="1740"/>
      <c r="AX89" s="1740"/>
      <c r="AY89" s="1740"/>
      <c r="AZ89" s="1740"/>
      <c r="BA89" s="1740"/>
      <c r="BB89" s="1740"/>
      <c r="BC89" s="1740"/>
      <c r="BD89" s="1740"/>
      <c r="BE89" s="1740"/>
      <c r="BF89" s="1740"/>
      <c r="BG89" s="1740"/>
      <c r="BH89" s="1740"/>
      <c r="BI89" s="1740"/>
      <c r="BJ89" s="1740"/>
      <c r="BK89" s="1740"/>
    </row>
    <row r="90" spans="2:63">
      <c r="D90" s="1740"/>
      <c r="E90" s="1740"/>
      <c r="F90" s="1740"/>
      <c r="G90" s="1740"/>
      <c r="H90" s="1740"/>
      <c r="I90" s="1740"/>
      <c r="J90" s="1740"/>
      <c r="K90" s="1959">
        <f>K89-K25</f>
        <v>0</v>
      </c>
      <c r="L90" s="1740"/>
      <c r="M90" s="1740"/>
      <c r="N90" s="1740"/>
      <c r="O90" s="1740"/>
      <c r="P90" s="1740"/>
      <c r="Q90" s="1740"/>
      <c r="R90" s="1740"/>
      <c r="S90" s="1740"/>
      <c r="T90" s="1740"/>
      <c r="U90" s="1740"/>
      <c r="V90" s="1740"/>
      <c r="W90" s="1740"/>
      <c r="X90" s="1740"/>
      <c r="Y90" s="1740"/>
      <c r="Z90" s="1740"/>
      <c r="AA90" s="1740"/>
      <c r="AB90" s="1740"/>
      <c r="AC90" s="1740"/>
      <c r="AD90" s="1740"/>
      <c r="AE90" s="1740"/>
      <c r="AF90" s="1740"/>
      <c r="AG90" s="1740"/>
      <c r="AH90" s="1740"/>
      <c r="AI90" s="1740"/>
      <c r="AJ90" s="1740"/>
      <c r="AK90" s="1740"/>
      <c r="AL90" s="1740"/>
      <c r="AM90" s="1740"/>
      <c r="AN90" s="1740"/>
      <c r="AO90" s="1740"/>
      <c r="AP90" s="1740"/>
      <c r="AQ90" s="1740"/>
      <c r="AR90" s="1740"/>
      <c r="AS90" s="1740"/>
      <c r="AT90" s="1740"/>
      <c r="AU90" s="1740"/>
      <c r="AV90" s="1740"/>
      <c r="AW90" s="1740"/>
      <c r="AX90" s="1740"/>
      <c r="AY90" s="1740"/>
      <c r="AZ90" s="1740"/>
      <c r="BA90" s="1740"/>
      <c r="BB90" s="1740"/>
      <c r="BC90" s="1740"/>
      <c r="BD90" s="1740"/>
      <c r="BE90" s="1740"/>
      <c r="BF90" s="1740"/>
      <c r="BG90" s="1740"/>
      <c r="BH90" s="1740"/>
      <c r="BI90" s="1740"/>
      <c r="BJ90" s="1740"/>
      <c r="BK90" s="1740"/>
    </row>
    <row r="91" spans="2:63">
      <c r="D91" s="1740"/>
      <c r="E91" s="1740"/>
      <c r="F91" s="1740"/>
      <c r="G91" s="1740"/>
      <c r="H91" s="1740"/>
      <c r="I91" s="1740"/>
      <c r="J91" s="1740"/>
      <c r="K91" s="1740">
        <f>[30]затраты17!H32*1000</f>
        <v>2025702.149255597</v>
      </c>
      <c r="L91" s="1740"/>
      <c r="M91" s="1740"/>
      <c r="N91" s="1740"/>
      <c r="O91" s="1740"/>
      <c r="P91" s="1740"/>
      <c r="Q91" s="1740"/>
      <c r="R91" s="1740"/>
      <c r="S91" s="1740"/>
      <c r="T91" s="1740"/>
      <c r="U91" s="1740"/>
      <c r="V91" s="1740"/>
      <c r="W91" s="1740"/>
      <c r="X91" s="1740"/>
      <c r="Y91" s="1740"/>
      <c r="Z91" s="1740"/>
      <c r="AA91" s="1740"/>
      <c r="AB91" s="1740"/>
      <c r="AC91" s="1740"/>
      <c r="AD91" s="1740"/>
      <c r="AE91" s="1740"/>
      <c r="AF91" s="1740"/>
      <c r="AG91" s="1740"/>
      <c r="AH91" s="1740"/>
      <c r="AI91" s="1740"/>
      <c r="AJ91" s="1740"/>
      <c r="AK91" s="1740"/>
      <c r="AL91" s="1740"/>
      <c r="AM91" s="1740"/>
      <c r="AN91" s="1740"/>
      <c r="AO91" s="1740"/>
      <c r="AP91" s="1740"/>
      <c r="AQ91" s="1740"/>
      <c r="AR91" s="1740"/>
      <c r="AS91" s="1740"/>
      <c r="AT91" s="1740"/>
      <c r="AU91" s="1740"/>
      <c r="AV91" s="1740"/>
      <c r="AW91" s="1740"/>
      <c r="AX91" s="1740"/>
      <c r="AY91" s="1740"/>
      <c r="AZ91" s="1740"/>
      <c r="BA91" s="1740"/>
      <c r="BB91" s="1740"/>
      <c r="BC91" s="1740"/>
      <c r="BD91" s="1740"/>
      <c r="BE91" s="1740"/>
      <c r="BF91" s="1740"/>
      <c r="BG91" s="1740"/>
      <c r="BH91" s="1740"/>
      <c r="BI91" s="1740"/>
      <c r="BJ91" s="1740"/>
      <c r="BK91" s="1740"/>
    </row>
    <row r="92" spans="2:63">
      <c r="D92" s="1740"/>
      <c r="E92" s="1740"/>
      <c r="F92" s="1740"/>
      <c r="G92" s="1740"/>
      <c r="H92" s="1740"/>
      <c r="I92" s="1740"/>
      <c r="J92" s="1740"/>
      <c r="K92" s="1740">
        <f>K91-K89</f>
        <v>-1.9999999552965164E-2</v>
      </c>
      <c r="L92" s="1740"/>
      <c r="M92" s="1740"/>
      <c r="N92" s="1740"/>
      <c r="O92" s="1740"/>
      <c r="P92" s="1740"/>
      <c r="Q92" s="1740"/>
      <c r="R92" s="1740"/>
      <c r="S92" s="1740"/>
      <c r="T92" s="1740"/>
      <c r="U92" s="1740"/>
      <c r="V92" s="1740"/>
      <c r="W92" s="1740"/>
      <c r="X92" s="1740"/>
      <c r="Y92" s="1740"/>
      <c r="Z92" s="1740"/>
      <c r="AA92" s="1740"/>
      <c r="AB92" s="1740"/>
      <c r="AC92" s="1740"/>
      <c r="AD92" s="1740"/>
      <c r="AE92" s="1740"/>
      <c r="AF92" s="1740"/>
      <c r="AG92" s="1740"/>
      <c r="AH92" s="1740"/>
      <c r="AI92" s="1740"/>
      <c r="AJ92" s="1740"/>
      <c r="AK92" s="1740"/>
      <c r="AL92" s="1740"/>
      <c r="AM92" s="1740"/>
      <c r="AN92" s="1740"/>
      <c r="AO92" s="1740"/>
      <c r="AP92" s="1740"/>
      <c r="AQ92" s="1740"/>
      <c r="AR92" s="1740"/>
      <c r="AS92" s="1740"/>
      <c r="AT92" s="1740"/>
      <c r="AU92" s="1740"/>
      <c r="AV92" s="1740"/>
      <c r="AW92" s="1740"/>
      <c r="AX92" s="1740"/>
      <c r="AY92" s="1740"/>
      <c r="AZ92" s="1740"/>
      <c r="BA92" s="1740"/>
      <c r="BB92" s="1740"/>
      <c r="BC92" s="1740"/>
      <c r="BD92" s="1740"/>
      <c r="BE92" s="1740"/>
      <c r="BF92" s="1740"/>
      <c r="BG92" s="1740"/>
      <c r="BH92" s="1740"/>
      <c r="BI92" s="1740"/>
      <c r="BJ92" s="1740"/>
      <c r="BK92" s="1740"/>
    </row>
    <row r="93" spans="2:63">
      <c r="D93" s="1740"/>
      <c r="E93" s="1740"/>
      <c r="F93" s="1740"/>
      <c r="G93" s="1740"/>
      <c r="H93" s="1740"/>
      <c r="I93" s="1740"/>
      <c r="J93" s="1740"/>
      <c r="K93" s="1740"/>
      <c r="L93" s="1740"/>
      <c r="M93" s="1740"/>
      <c r="N93" s="1740"/>
      <c r="O93" s="1740"/>
      <c r="P93" s="1740"/>
      <c r="Q93" s="1740"/>
      <c r="R93" s="1740"/>
      <c r="S93" s="1740"/>
      <c r="T93" s="1740"/>
      <c r="U93" s="1740"/>
      <c r="V93" s="1740"/>
      <c r="W93" s="1740"/>
      <c r="X93" s="1740"/>
      <c r="Y93" s="1740"/>
      <c r="Z93" s="1740"/>
      <c r="AA93" s="1740"/>
      <c r="AB93" s="1740"/>
      <c r="AC93" s="1740"/>
      <c r="AD93" s="1740"/>
      <c r="AE93" s="1740"/>
      <c r="AF93" s="1740"/>
      <c r="AG93" s="1740"/>
      <c r="AH93" s="1740"/>
      <c r="AI93" s="1740"/>
      <c r="AJ93" s="1740"/>
      <c r="AK93" s="1740"/>
      <c r="AL93" s="1740"/>
      <c r="AM93" s="1740"/>
      <c r="AN93" s="1740"/>
      <c r="AO93" s="1740"/>
      <c r="AP93" s="1740"/>
      <c r="AQ93" s="1740"/>
      <c r="AR93" s="1740"/>
      <c r="AS93" s="1740"/>
      <c r="AT93" s="1740"/>
      <c r="AU93" s="1740"/>
      <c r="AV93" s="1740"/>
      <c r="AW93" s="1740"/>
      <c r="AX93" s="1740"/>
      <c r="AY93" s="1740"/>
      <c r="AZ93" s="1740"/>
      <c r="BA93" s="1740"/>
      <c r="BB93" s="1740"/>
      <c r="BC93" s="1740"/>
      <c r="BD93" s="1740"/>
      <c r="BE93" s="1740"/>
      <c r="BF93" s="1740"/>
      <c r="BG93" s="1740"/>
      <c r="BH93" s="1740"/>
      <c r="BI93" s="1740"/>
      <c r="BJ93" s="1740"/>
      <c r="BK93" s="1740"/>
    </row>
    <row r="94" spans="2:63">
      <c r="D94" s="1740"/>
      <c r="E94" s="1740"/>
      <c r="F94" s="1740"/>
      <c r="G94" s="1740"/>
      <c r="H94" s="1740"/>
      <c r="I94" s="1740"/>
      <c r="J94" s="1740"/>
      <c r="K94" s="1740"/>
      <c r="L94" s="1740"/>
      <c r="M94" s="1740"/>
      <c r="N94" s="1740"/>
      <c r="O94" s="1740"/>
      <c r="P94" s="1740"/>
      <c r="Q94" s="1740"/>
      <c r="R94" s="1740"/>
      <c r="S94" s="1740"/>
      <c r="T94" s="1740"/>
      <c r="U94" s="1740"/>
      <c r="V94" s="1740"/>
      <c r="W94" s="1740"/>
      <c r="X94" s="1740"/>
      <c r="Y94" s="1740"/>
      <c r="Z94" s="1740"/>
      <c r="AA94" s="1740"/>
      <c r="AB94" s="1740"/>
      <c r="AC94" s="1740"/>
      <c r="AD94" s="1740"/>
      <c r="AE94" s="1740"/>
      <c r="AF94" s="1740"/>
      <c r="AG94" s="1740"/>
      <c r="AH94" s="1740"/>
      <c r="AI94" s="1740"/>
      <c r="AJ94" s="1740"/>
      <c r="AK94" s="1740"/>
      <c r="AL94" s="1740"/>
      <c r="AM94" s="1740"/>
      <c r="AN94" s="1740"/>
      <c r="AO94" s="1740"/>
      <c r="AP94" s="1740"/>
      <c r="AQ94" s="1740"/>
      <c r="AR94" s="1740"/>
      <c r="AS94" s="1740"/>
      <c r="AT94" s="1740"/>
      <c r="AU94" s="1740"/>
      <c r="AV94" s="1740"/>
      <c r="AW94" s="1740"/>
      <c r="AX94" s="1740"/>
      <c r="AY94" s="1740"/>
      <c r="AZ94" s="1740"/>
      <c r="BA94" s="1740"/>
      <c r="BB94" s="1740"/>
      <c r="BC94" s="1740"/>
      <c r="BD94" s="1740"/>
      <c r="BE94" s="1740"/>
      <c r="BF94" s="1740"/>
      <c r="BG94" s="1740"/>
      <c r="BH94" s="1740"/>
      <c r="BI94" s="1740"/>
      <c r="BJ94" s="1740"/>
      <c r="BK94" s="1740"/>
    </row>
    <row r="95" spans="2:63">
      <c r="C95" s="1739">
        <v>1</v>
      </c>
      <c r="D95" s="1740">
        <f>C95+1</f>
        <v>2</v>
      </c>
      <c r="E95" s="1740">
        <f t="shared" ref="E95:BG95" si="154">D95+1</f>
        <v>3</v>
      </c>
      <c r="F95" s="1740">
        <f t="shared" si="154"/>
        <v>4</v>
      </c>
      <c r="G95" s="1740">
        <f t="shared" si="154"/>
        <v>5</v>
      </c>
      <c r="H95" s="1740">
        <f t="shared" si="154"/>
        <v>6</v>
      </c>
      <c r="I95" s="1740">
        <f t="shared" si="154"/>
        <v>7</v>
      </c>
      <c r="J95" s="1740">
        <f t="shared" si="154"/>
        <v>8</v>
      </c>
      <c r="K95" s="1740">
        <f t="shared" si="154"/>
        <v>9</v>
      </c>
      <c r="L95" s="1740">
        <f t="shared" si="154"/>
        <v>10</v>
      </c>
      <c r="M95" s="1740">
        <f t="shared" si="154"/>
        <v>11</v>
      </c>
      <c r="N95" s="1740">
        <f t="shared" si="154"/>
        <v>12</v>
      </c>
      <c r="O95" s="1740">
        <f t="shared" si="154"/>
        <v>13</v>
      </c>
      <c r="P95" s="1740">
        <f t="shared" si="154"/>
        <v>14</v>
      </c>
      <c r="Q95" s="1740">
        <f t="shared" si="154"/>
        <v>15</v>
      </c>
      <c r="R95" s="1740">
        <f t="shared" si="154"/>
        <v>16</v>
      </c>
      <c r="S95" s="1740">
        <f t="shared" si="154"/>
        <v>17</v>
      </c>
      <c r="T95" s="1740">
        <f t="shared" si="154"/>
        <v>18</v>
      </c>
      <c r="U95" s="1740">
        <f t="shared" si="154"/>
        <v>19</v>
      </c>
      <c r="V95" s="1740">
        <f t="shared" si="154"/>
        <v>20</v>
      </c>
      <c r="W95" s="1740">
        <f t="shared" si="154"/>
        <v>21</v>
      </c>
      <c r="X95" s="1740">
        <f t="shared" si="154"/>
        <v>22</v>
      </c>
      <c r="Y95" s="1740">
        <f t="shared" si="154"/>
        <v>23</v>
      </c>
      <c r="Z95" s="1740">
        <f t="shared" si="154"/>
        <v>24</v>
      </c>
      <c r="AA95" s="1740">
        <f t="shared" si="154"/>
        <v>25</v>
      </c>
      <c r="AB95" s="1740">
        <f t="shared" si="154"/>
        <v>26</v>
      </c>
      <c r="AC95" s="1740">
        <f t="shared" si="154"/>
        <v>27</v>
      </c>
      <c r="AD95" s="1740">
        <f t="shared" si="154"/>
        <v>28</v>
      </c>
      <c r="AE95" s="1740">
        <f t="shared" si="154"/>
        <v>29</v>
      </c>
      <c r="AF95" s="1740">
        <f t="shared" si="154"/>
        <v>30</v>
      </c>
      <c r="AG95" s="1740">
        <f t="shared" si="154"/>
        <v>31</v>
      </c>
      <c r="AH95" s="1740">
        <f t="shared" si="154"/>
        <v>32</v>
      </c>
      <c r="AI95" s="1740">
        <f t="shared" si="154"/>
        <v>33</v>
      </c>
      <c r="AJ95" s="1740">
        <f t="shared" si="154"/>
        <v>34</v>
      </c>
      <c r="AK95" s="1740">
        <f t="shared" si="154"/>
        <v>35</v>
      </c>
      <c r="AL95" s="1740">
        <f t="shared" si="154"/>
        <v>36</v>
      </c>
      <c r="AM95" s="1740">
        <f t="shared" si="154"/>
        <v>37</v>
      </c>
      <c r="AN95" s="1740">
        <f t="shared" si="154"/>
        <v>38</v>
      </c>
      <c r="AO95" s="1740">
        <f t="shared" si="154"/>
        <v>39</v>
      </c>
      <c r="AP95" s="1740">
        <f t="shared" si="154"/>
        <v>40</v>
      </c>
      <c r="AQ95" s="1740">
        <f t="shared" si="154"/>
        <v>41</v>
      </c>
      <c r="AR95" s="1740">
        <f t="shared" si="154"/>
        <v>42</v>
      </c>
      <c r="AS95" s="1740">
        <f t="shared" si="154"/>
        <v>43</v>
      </c>
      <c r="AT95" s="1740">
        <f t="shared" si="154"/>
        <v>44</v>
      </c>
      <c r="AU95" s="1740">
        <f t="shared" si="154"/>
        <v>45</v>
      </c>
      <c r="AV95" s="1740">
        <f t="shared" si="154"/>
        <v>46</v>
      </c>
      <c r="AW95" s="1740">
        <f t="shared" si="154"/>
        <v>47</v>
      </c>
      <c r="AX95" s="1740">
        <f t="shared" si="154"/>
        <v>48</v>
      </c>
      <c r="AY95" s="1740">
        <f t="shared" si="154"/>
        <v>49</v>
      </c>
      <c r="AZ95" s="1740">
        <f t="shared" si="154"/>
        <v>50</v>
      </c>
      <c r="BA95" s="1740">
        <f t="shared" si="154"/>
        <v>51</v>
      </c>
      <c r="BB95" s="1740">
        <f t="shared" si="154"/>
        <v>52</v>
      </c>
      <c r="BC95" s="1740">
        <f t="shared" si="154"/>
        <v>53</v>
      </c>
      <c r="BD95" s="1740">
        <f t="shared" si="154"/>
        <v>54</v>
      </c>
      <c r="BE95" s="1740">
        <f t="shared" si="154"/>
        <v>55</v>
      </c>
      <c r="BF95" s="1740">
        <f t="shared" si="154"/>
        <v>56</v>
      </c>
      <c r="BG95" s="1740">
        <f t="shared" si="154"/>
        <v>57</v>
      </c>
      <c r="BH95" s="1740"/>
      <c r="BI95" s="1740"/>
      <c r="BJ95" s="1740"/>
      <c r="BK95" s="1740"/>
    </row>
    <row r="96" spans="2:63">
      <c r="D96" s="1740"/>
      <c r="E96" s="1740"/>
      <c r="F96" s="1740"/>
      <c r="G96" s="1740"/>
      <c r="H96" s="1740"/>
      <c r="I96" s="1740"/>
      <c r="J96" s="1740"/>
      <c r="K96" s="1740"/>
      <c r="L96" s="1740"/>
      <c r="M96" s="1740"/>
      <c r="N96" s="1740"/>
      <c r="O96" s="1740"/>
      <c r="P96" s="1740"/>
      <c r="Q96" s="1740"/>
      <c r="R96" s="1740"/>
      <c r="S96" s="1740"/>
      <c r="T96" s="1740"/>
      <c r="U96" s="1740"/>
      <c r="V96" s="1740"/>
      <c r="W96" s="1740"/>
      <c r="X96" s="1740"/>
      <c r="Y96" s="1740"/>
      <c r="Z96" s="1740"/>
      <c r="AA96" s="1740"/>
      <c r="AB96" s="1740"/>
      <c r="AC96" s="1740"/>
      <c r="AD96" s="1740"/>
      <c r="AE96" s="1740"/>
      <c r="AF96" s="1740"/>
      <c r="AG96" s="1740"/>
      <c r="AH96" s="1740"/>
      <c r="AI96" s="1740"/>
      <c r="AJ96" s="1740"/>
      <c r="AK96" s="1740"/>
      <c r="AL96" s="1740"/>
      <c r="AM96" s="1740"/>
      <c r="AN96" s="1740"/>
      <c r="AO96" s="1740"/>
      <c r="AP96" s="1740"/>
      <c r="AQ96" s="1740"/>
      <c r="AR96" s="1740"/>
      <c r="AS96" s="1740"/>
      <c r="AT96" s="1740"/>
      <c r="AU96" s="1740"/>
      <c r="AV96" s="1740"/>
      <c r="AW96" s="1740"/>
      <c r="AX96" s="1740"/>
      <c r="AY96" s="1740"/>
      <c r="AZ96" s="1740"/>
      <c r="BA96" s="1740"/>
      <c r="BB96" s="1740"/>
      <c r="BC96" s="1740"/>
      <c r="BD96" s="1740"/>
      <c r="BE96" s="1740"/>
      <c r="BF96" s="1740"/>
      <c r="BG96" s="1740"/>
      <c r="BH96" s="1740"/>
      <c r="BI96" s="1740"/>
      <c r="BJ96" s="1740"/>
      <c r="BK96" s="1740"/>
    </row>
    <row r="97" spans="4:63">
      <c r="D97" s="1740"/>
      <c r="E97" s="1740"/>
      <c r="F97" s="1740"/>
      <c r="G97" s="1740"/>
      <c r="H97" s="1740"/>
      <c r="I97" s="1740"/>
      <c r="J97" s="1740"/>
      <c r="K97" s="1740"/>
      <c r="L97" s="1740"/>
      <c r="M97" s="1740"/>
      <c r="N97" s="1740"/>
      <c r="O97" s="1740"/>
      <c r="P97" s="1740"/>
      <c r="Q97" s="1740"/>
      <c r="R97" s="1740"/>
      <c r="S97" s="1740"/>
      <c r="T97" s="1740"/>
      <c r="U97" s="1740"/>
      <c r="V97" s="1740"/>
      <c r="W97" s="1740"/>
      <c r="X97" s="1740"/>
      <c r="Y97" s="1740"/>
      <c r="Z97" s="1740"/>
      <c r="AA97" s="1740"/>
      <c r="AB97" s="1740"/>
      <c r="AC97" s="1740"/>
      <c r="AD97" s="1740"/>
      <c r="AE97" s="1740"/>
      <c r="AF97" s="1740"/>
      <c r="AG97" s="1740"/>
      <c r="AH97" s="1740"/>
      <c r="AI97" s="1740"/>
      <c r="AJ97" s="1740"/>
      <c r="AK97" s="1740"/>
      <c r="AL97" s="1740"/>
      <c r="AM97" s="1740"/>
      <c r="AN97" s="1740"/>
      <c r="AO97" s="1740"/>
      <c r="AP97" s="1740"/>
      <c r="AQ97" s="1740"/>
      <c r="AR97" s="1740"/>
      <c r="AS97" s="1740"/>
      <c r="AT97" s="1740"/>
      <c r="AU97" s="1740"/>
      <c r="AV97" s="1740"/>
      <c r="AW97" s="1740"/>
      <c r="AX97" s="1740"/>
      <c r="AY97" s="1740"/>
      <c r="AZ97" s="1740"/>
      <c r="BA97" s="1740"/>
      <c r="BB97" s="1740"/>
      <c r="BC97" s="1740"/>
      <c r="BD97" s="1740"/>
      <c r="BE97" s="1740"/>
      <c r="BF97" s="1740"/>
      <c r="BG97" s="1740"/>
      <c r="BH97" s="1740"/>
      <c r="BI97" s="1740"/>
      <c r="BJ97" s="1740"/>
      <c r="BK97" s="1740"/>
    </row>
    <row r="98" spans="4:63">
      <c r="D98" s="1740"/>
      <c r="E98" s="1740"/>
      <c r="F98" s="1740"/>
      <c r="G98" s="1740"/>
      <c r="H98" s="1740"/>
      <c r="I98" s="1740"/>
      <c r="J98" s="1740"/>
      <c r="K98" s="1740"/>
      <c r="L98" s="1740"/>
      <c r="M98" s="1740"/>
      <c r="N98" s="1740"/>
      <c r="O98" s="1740"/>
      <c r="P98" s="1740"/>
      <c r="Q98" s="1740"/>
      <c r="R98" s="1740"/>
      <c r="S98" s="1740"/>
      <c r="T98" s="1740"/>
      <c r="U98" s="1740"/>
      <c r="V98" s="1740"/>
      <c r="W98" s="1740"/>
      <c r="X98" s="1740"/>
      <c r="Y98" s="1740"/>
      <c r="Z98" s="1740"/>
      <c r="AA98" s="1740"/>
      <c r="AB98" s="1740"/>
      <c r="AC98" s="1740"/>
      <c r="AD98" s="1740"/>
      <c r="AE98" s="1740"/>
      <c r="AF98" s="1740"/>
      <c r="AG98" s="1740"/>
      <c r="AH98" s="1740"/>
      <c r="AI98" s="1740"/>
      <c r="AJ98" s="1740"/>
      <c r="AK98" s="1740"/>
      <c r="AL98" s="1740"/>
      <c r="AM98" s="1740"/>
      <c r="AN98" s="1740"/>
      <c r="AO98" s="1740"/>
      <c r="AP98" s="1740"/>
      <c r="AQ98" s="1740"/>
      <c r="AR98" s="1740"/>
      <c r="AS98" s="1740"/>
      <c r="AT98" s="1740"/>
      <c r="AU98" s="1740"/>
      <c r="AV98" s="1740"/>
      <c r="AW98" s="1740"/>
      <c r="AX98" s="1740"/>
      <c r="AY98" s="1740"/>
      <c r="AZ98" s="1740"/>
      <c r="BA98" s="1740"/>
      <c r="BB98" s="1740"/>
      <c r="BC98" s="1740"/>
      <c r="BD98" s="1740"/>
      <c r="BE98" s="1740"/>
      <c r="BF98" s="1740"/>
      <c r="BG98" s="1740"/>
      <c r="BH98" s="1740"/>
      <c r="BI98" s="1740"/>
      <c r="BJ98" s="1740"/>
      <c r="BK98" s="1740"/>
    </row>
    <row r="99" spans="4:63">
      <c r="D99" s="1740"/>
      <c r="E99" s="1740"/>
      <c r="F99" s="1740"/>
      <c r="G99" s="1740"/>
      <c r="H99" s="1740"/>
      <c r="I99" s="1740"/>
      <c r="J99" s="1740"/>
      <c r="K99" s="1740"/>
      <c r="L99" s="1740"/>
      <c r="M99" s="1740"/>
      <c r="N99" s="1740"/>
      <c r="O99" s="1740"/>
      <c r="P99" s="1740"/>
      <c r="Q99" s="1740"/>
      <c r="R99" s="1740"/>
      <c r="S99" s="1740"/>
      <c r="T99" s="1740"/>
      <c r="U99" s="1740"/>
      <c r="V99" s="1740"/>
      <c r="W99" s="1740"/>
      <c r="X99" s="1740"/>
      <c r="Y99" s="1740"/>
      <c r="Z99" s="1740"/>
      <c r="AA99" s="1740"/>
      <c r="AB99" s="1740"/>
      <c r="AC99" s="1740"/>
      <c r="AD99" s="1740"/>
      <c r="AE99" s="1740"/>
      <c r="AF99" s="1740"/>
      <c r="AG99" s="1740"/>
      <c r="AH99" s="1740"/>
      <c r="AI99" s="1740"/>
      <c r="AJ99" s="1740"/>
      <c r="AK99" s="1740"/>
      <c r="AL99" s="1740"/>
      <c r="AM99" s="1740"/>
      <c r="AN99" s="1740"/>
      <c r="AO99" s="1740"/>
      <c r="AP99" s="1740"/>
      <c r="AQ99" s="1740"/>
      <c r="AR99" s="1740"/>
      <c r="AS99" s="1740"/>
      <c r="AT99" s="1740"/>
      <c r="AU99" s="1740"/>
      <c r="AV99" s="1740"/>
      <c r="AW99" s="1740"/>
      <c r="AX99" s="1740"/>
      <c r="AY99" s="1740"/>
      <c r="AZ99" s="1740"/>
      <c r="BA99" s="1740"/>
      <c r="BB99" s="1740"/>
      <c r="BC99" s="1740"/>
      <c r="BD99" s="1740"/>
      <c r="BE99" s="1740"/>
      <c r="BF99" s="1740"/>
      <c r="BG99" s="1740"/>
      <c r="BH99" s="1740"/>
      <c r="BI99" s="1740"/>
      <c r="BJ99" s="1740"/>
      <c r="BK99" s="1740"/>
    </row>
    <row r="100" spans="4:63">
      <c r="D100" s="1740"/>
      <c r="E100" s="1740"/>
      <c r="F100" s="1740"/>
      <c r="G100" s="1740"/>
      <c r="H100" s="1740"/>
      <c r="I100" s="1740"/>
      <c r="J100" s="1740"/>
      <c r="K100" s="1740"/>
      <c r="L100" s="1740"/>
      <c r="M100" s="1740"/>
      <c r="N100" s="1740"/>
      <c r="O100" s="1740"/>
      <c r="P100" s="1740"/>
      <c r="Q100" s="1740"/>
      <c r="R100" s="1740"/>
      <c r="S100" s="1740"/>
      <c r="T100" s="1740"/>
      <c r="U100" s="1740"/>
      <c r="V100" s="1740"/>
      <c r="W100" s="1740"/>
      <c r="X100" s="1740"/>
      <c r="Y100" s="1740"/>
      <c r="Z100" s="1740"/>
      <c r="AA100" s="1740"/>
      <c r="AB100" s="1740"/>
      <c r="AC100" s="1740"/>
      <c r="AD100" s="1740"/>
      <c r="AE100" s="1740"/>
      <c r="AF100" s="1740"/>
      <c r="AG100" s="1740"/>
      <c r="AH100" s="1740"/>
      <c r="AI100" s="1740"/>
      <c r="AJ100" s="1740"/>
      <c r="AK100" s="1740"/>
      <c r="AL100" s="1740"/>
      <c r="AM100" s="1740"/>
      <c r="AN100" s="1740"/>
      <c r="AO100" s="1740"/>
      <c r="AP100" s="1740"/>
      <c r="AQ100" s="1740"/>
      <c r="AR100" s="1740"/>
      <c r="AS100" s="1740"/>
      <c r="AT100" s="1740"/>
      <c r="AU100" s="1740"/>
      <c r="AV100" s="1740"/>
      <c r="AW100" s="1740"/>
      <c r="AX100" s="1740"/>
      <c r="AY100" s="1740"/>
      <c r="AZ100" s="1740"/>
      <c r="BA100" s="1740"/>
      <c r="BB100" s="1740"/>
      <c r="BC100" s="1740"/>
      <c r="BD100" s="1740"/>
      <c r="BE100" s="1740"/>
      <c r="BF100" s="1740"/>
      <c r="BG100" s="1740"/>
      <c r="BH100" s="1740"/>
      <c r="BI100" s="1740"/>
      <c r="BJ100" s="1740"/>
      <c r="BK100" s="1740"/>
    </row>
    <row r="101" spans="4:63">
      <c r="D101" s="1740"/>
      <c r="E101" s="1740"/>
      <c r="F101" s="1740"/>
      <c r="G101" s="1740"/>
      <c r="H101" s="1740"/>
      <c r="I101" s="1740"/>
      <c r="J101" s="1740"/>
      <c r="K101" s="1740"/>
      <c r="L101" s="1740"/>
      <c r="M101" s="1740"/>
      <c r="N101" s="1740"/>
      <c r="O101" s="1740"/>
      <c r="P101" s="1740"/>
      <c r="Q101" s="1740"/>
      <c r="R101" s="1740"/>
      <c r="S101" s="1740"/>
      <c r="T101" s="1740"/>
      <c r="U101" s="1740"/>
      <c r="V101" s="1740"/>
      <c r="W101" s="1740"/>
      <c r="X101" s="1740"/>
      <c r="Y101" s="1740"/>
      <c r="Z101" s="1740"/>
      <c r="AA101" s="1740"/>
      <c r="AB101" s="1740"/>
      <c r="AC101" s="1740"/>
      <c r="AD101" s="1740"/>
      <c r="AE101" s="1740"/>
      <c r="AF101" s="1740"/>
      <c r="AG101" s="1740"/>
      <c r="AH101" s="1740"/>
      <c r="AI101" s="1740"/>
      <c r="AJ101" s="1740"/>
      <c r="AK101" s="1740"/>
      <c r="AL101" s="1740"/>
      <c r="AM101" s="1740"/>
      <c r="AN101" s="1740"/>
      <c r="AO101" s="1740"/>
      <c r="AP101" s="1740"/>
      <c r="AQ101" s="1740"/>
      <c r="AR101" s="1740"/>
      <c r="AS101" s="1740"/>
      <c r="AT101" s="1740"/>
      <c r="AU101" s="1740"/>
      <c r="AV101" s="1740"/>
      <c r="AW101" s="1740"/>
      <c r="AX101" s="1740"/>
      <c r="AY101" s="1740"/>
      <c r="AZ101" s="1740"/>
      <c r="BA101" s="1740"/>
      <c r="BB101" s="1740"/>
      <c r="BC101" s="1740"/>
      <c r="BD101" s="1740"/>
      <c r="BE101" s="1740"/>
      <c r="BF101" s="1740"/>
      <c r="BG101" s="1740"/>
      <c r="BH101" s="1740"/>
      <c r="BI101" s="1740"/>
      <c r="BJ101" s="1740"/>
      <c r="BK101" s="1740"/>
    </row>
    <row r="102" spans="4:63">
      <c r="D102" s="1740"/>
      <c r="E102" s="1740"/>
      <c r="F102" s="1740"/>
      <c r="G102" s="1740"/>
      <c r="H102" s="1740"/>
      <c r="I102" s="1740"/>
      <c r="J102" s="1740"/>
      <c r="K102" s="1740"/>
      <c r="L102" s="1740"/>
      <c r="M102" s="1740"/>
      <c r="N102" s="1740"/>
      <c r="O102" s="1740"/>
      <c r="P102" s="1740"/>
      <c r="Q102" s="1740"/>
      <c r="R102" s="1740"/>
      <c r="S102" s="1740"/>
      <c r="T102" s="1740"/>
      <c r="U102" s="1740"/>
      <c r="V102" s="1740"/>
      <c r="W102" s="1740"/>
      <c r="X102" s="1740"/>
      <c r="Y102" s="1740"/>
      <c r="Z102" s="1740"/>
      <c r="AA102" s="1740"/>
      <c r="AB102" s="1740"/>
      <c r="AC102" s="1740"/>
      <c r="AD102" s="1740"/>
      <c r="AE102" s="1740"/>
      <c r="AF102" s="1740"/>
      <c r="AG102" s="1740"/>
      <c r="AH102" s="1740"/>
      <c r="AI102" s="1740"/>
      <c r="AJ102" s="1740"/>
      <c r="AK102" s="1740"/>
      <c r="AL102" s="1740"/>
      <c r="AM102" s="1740"/>
      <c r="AN102" s="1740"/>
      <c r="AO102" s="1740"/>
      <c r="AP102" s="1740"/>
      <c r="AQ102" s="1740"/>
      <c r="AR102" s="1740"/>
      <c r="AS102" s="1740"/>
      <c r="AT102" s="1740"/>
      <c r="AU102" s="1740"/>
      <c r="AV102" s="1740"/>
      <c r="AW102" s="1740"/>
      <c r="AX102" s="1740"/>
      <c r="AY102" s="1740"/>
      <c r="AZ102" s="1740"/>
      <c r="BA102" s="1740"/>
      <c r="BB102" s="1740"/>
      <c r="BC102" s="1740"/>
      <c r="BD102" s="1740"/>
      <c r="BE102" s="1740"/>
      <c r="BF102" s="1740"/>
      <c r="BG102" s="1740"/>
      <c r="BH102" s="1740"/>
      <c r="BI102" s="1740"/>
      <c r="BJ102" s="1740"/>
      <c r="BK102" s="1740"/>
    </row>
    <row r="103" spans="4:63">
      <c r="D103" s="1740"/>
      <c r="E103" s="1740"/>
      <c r="F103" s="1740"/>
      <c r="G103" s="1740"/>
      <c r="H103" s="1740"/>
      <c r="I103" s="1740"/>
      <c r="J103" s="1740"/>
      <c r="K103" s="1740"/>
      <c r="L103" s="1740"/>
      <c r="M103" s="1740"/>
      <c r="N103" s="1740"/>
      <c r="O103" s="1740"/>
      <c r="P103" s="1740"/>
      <c r="Q103" s="1740"/>
      <c r="R103" s="1740"/>
      <c r="S103" s="1740"/>
      <c r="T103" s="1740"/>
      <c r="U103" s="1740"/>
      <c r="V103" s="1740"/>
      <c r="W103" s="1740"/>
      <c r="X103" s="1740"/>
      <c r="Y103" s="1740"/>
      <c r="Z103" s="1740"/>
      <c r="AA103" s="1740"/>
      <c r="AB103" s="1740"/>
      <c r="AC103" s="1740"/>
      <c r="AD103" s="1740"/>
      <c r="AE103" s="1740"/>
      <c r="AF103" s="1740"/>
      <c r="AG103" s="1740"/>
      <c r="AH103" s="1740"/>
      <c r="AI103" s="1740"/>
      <c r="AJ103" s="1740"/>
      <c r="AK103" s="1740"/>
      <c r="AL103" s="1740"/>
      <c r="AM103" s="1740"/>
      <c r="AN103" s="1740"/>
      <c r="AO103" s="1740"/>
      <c r="AP103" s="1740"/>
      <c r="AQ103" s="1740"/>
      <c r="AR103" s="1740"/>
      <c r="AS103" s="1740"/>
      <c r="AT103" s="1740"/>
      <c r="AU103" s="1740"/>
      <c r="AV103" s="1740"/>
      <c r="AW103" s="1740"/>
      <c r="AX103" s="1740"/>
      <c r="AY103" s="1740"/>
      <c r="AZ103" s="1740"/>
      <c r="BA103" s="1740"/>
      <c r="BB103" s="1740"/>
      <c r="BC103" s="1740"/>
      <c r="BD103" s="1740"/>
      <c r="BE103" s="1740"/>
      <c r="BF103" s="1740"/>
      <c r="BG103" s="1740"/>
      <c r="BH103" s="1740"/>
      <c r="BI103" s="1740"/>
      <c r="BJ103" s="1740"/>
      <c r="BK103" s="1740"/>
    </row>
    <row r="104" spans="4:63">
      <c r="D104" s="1740"/>
      <c r="E104" s="1740"/>
      <c r="F104" s="1740"/>
      <c r="G104" s="1740"/>
      <c r="H104" s="1740"/>
      <c r="I104" s="1740"/>
      <c r="J104" s="1740"/>
      <c r="K104" s="1740"/>
      <c r="L104" s="1740"/>
      <c r="M104" s="1740"/>
      <c r="N104" s="1740"/>
      <c r="O104" s="1740"/>
      <c r="P104" s="1740"/>
      <c r="Q104" s="1740"/>
      <c r="R104" s="1740"/>
      <c r="S104" s="1740"/>
      <c r="T104" s="1740"/>
      <c r="U104" s="1740"/>
      <c r="V104" s="1740"/>
      <c r="W104" s="1740"/>
      <c r="X104" s="1740"/>
      <c r="Y104" s="1740"/>
      <c r="Z104" s="1740"/>
      <c r="AA104" s="1740"/>
      <c r="AB104" s="1740"/>
      <c r="AC104" s="1740"/>
      <c r="AD104" s="1740"/>
      <c r="AE104" s="1740"/>
      <c r="AF104" s="1740"/>
      <c r="AG104" s="1740"/>
      <c r="AH104" s="1740"/>
      <c r="AI104" s="1740"/>
      <c r="AJ104" s="1740"/>
      <c r="AK104" s="1740"/>
      <c r="AL104" s="1740"/>
      <c r="AM104" s="1740"/>
      <c r="AN104" s="1740"/>
      <c r="AO104" s="1740"/>
      <c r="AP104" s="1740"/>
      <c r="AQ104" s="1740"/>
      <c r="AR104" s="1740"/>
      <c r="AS104" s="1740"/>
      <c r="AT104" s="1740"/>
      <c r="AU104" s="1740"/>
      <c r="AV104" s="1740"/>
      <c r="AW104" s="1740"/>
      <c r="AX104" s="1740"/>
      <c r="AY104" s="1740"/>
      <c r="AZ104" s="1740"/>
      <c r="BA104" s="1740"/>
      <c r="BB104" s="1740"/>
      <c r="BC104" s="1740"/>
      <c r="BD104" s="1740"/>
      <c r="BE104" s="1740"/>
      <c r="BF104" s="1740"/>
      <c r="BG104" s="1740"/>
      <c r="BH104" s="1740"/>
      <c r="BI104" s="1740"/>
      <c r="BJ104" s="1740"/>
      <c r="BK104" s="1740"/>
    </row>
    <row r="105" spans="4:63">
      <c r="D105" s="1740"/>
      <c r="E105" s="1740"/>
      <c r="F105" s="1740"/>
      <c r="G105" s="1740"/>
      <c r="H105" s="1740"/>
      <c r="I105" s="1740"/>
      <c r="J105" s="1740"/>
      <c r="K105" s="1740"/>
      <c r="L105" s="1740"/>
      <c r="M105" s="1740"/>
      <c r="N105" s="1740"/>
      <c r="O105" s="1740"/>
      <c r="P105" s="1740"/>
      <c r="Q105" s="1740"/>
      <c r="R105" s="1740"/>
      <c r="S105" s="1740"/>
      <c r="T105" s="1740"/>
      <c r="U105" s="1740"/>
      <c r="V105" s="1740"/>
      <c r="W105" s="1740"/>
      <c r="X105" s="1740"/>
      <c r="Y105" s="1740"/>
      <c r="Z105" s="1740"/>
      <c r="AA105" s="1740"/>
      <c r="AB105" s="1740"/>
      <c r="AC105" s="1740"/>
      <c r="AD105" s="1740"/>
      <c r="AE105" s="1740"/>
      <c r="AF105" s="1740"/>
      <c r="AG105" s="1740"/>
      <c r="AH105" s="1740"/>
      <c r="AI105" s="1740"/>
      <c r="AJ105" s="1740"/>
      <c r="AK105" s="1740"/>
      <c r="AL105" s="1740"/>
      <c r="AM105" s="1740"/>
      <c r="AN105" s="1740"/>
      <c r="AO105" s="1740"/>
      <c r="AP105" s="1740"/>
      <c r="AQ105" s="1740"/>
      <c r="AR105" s="1740"/>
      <c r="AS105" s="1740"/>
      <c r="AT105" s="1740"/>
      <c r="AU105" s="1740"/>
      <c r="AV105" s="1740"/>
      <c r="AW105" s="1740"/>
      <c r="AX105" s="1740"/>
      <c r="AY105" s="1740"/>
      <c r="AZ105" s="1740"/>
      <c r="BA105" s="1740"/>
      <c r="BB105" s="1740"/>
      <c r="BC105" s="1740"/>
      <c r="BD105" s="1740"/>
      <c r="BE105" s="1740"/>
      <c r="BF105" s="1740"/>
      <c r="BG105" s="1740"/>
      <c r="BH105" s="1740"/>
      <c r="BI105" s="1740"/>
      <c r="BJ105" s="1740"/>
      <c r="BK105" s="1740"/>
    </row>
  </sheetData>
  <mergeCells count="44">
    <mergeCell ref="Q5:AA5"/>
    <mergeCell ref="AB5:AL5"/>
    <mergeCell ref="AM5:AW5"/>
    <mergeCell ref="AB6:AC6"/>
    <mergeCell ref="Q6:R6"/>
    <mergeCell ref="S6:T6"/>
    <mergeCell ref="U6:V6"/>
    <mergeCell ref="W6:X6"/>
    <mergeCell ref="AA6:AA7"/>
    <mergeCell ref="N6:N7"/>
    <mergeCell ref="O6:O7"/>
    <mergeCell ref="P6:P7"/>
    <mergeCell ref="G6:G7"/>
    <mergeCell ref="Y6:Z6"/>
    <mergeCell ref="BI5:BK5"/>
    <mergeCell ref="BB6:BB7"/>
    <mergeCell ref="B5:B8"/>
    <mergeCell ref="C5:C8"/>
    <mergeCell ref="D5:D8"/>
    <mergeCell ref="G5:K5"/>
    <mergeCell ref="L5:P5"/>
    <mergeCell ref="E6:E7"/>
    <mergeCell ref="F6:F7"/>
    <mergeCell ref="H6:H7"/>
    <mergeCell ref="I6:I7"/>
    <mergeCell ref="J6:J7"/>
    <mergeCell ref="K6:K7"/>
    <mergeCell ref="L6:L7"/>
    <mergeCell ref="BD6:BD7"/>
    <mergeCell ref="M6:M7"/>
    <mergeCell ref="BE6:BE7"/>
    <mergeCell ref="AD6:AE6"/>
    <mergeCell ref="AF6:AG6"/>
    <mergeCell ref="AH6:AI6"/>
    <mergeCell ref="AJ6:AK6"/>
    <mergeCell ref="AL6:AL7"/>
    <mergeCell ref="AM6:AN6"/>
    <mergeCell ref="AO6:AP6"/>
    <mergeCell ref="AQ6:AR6"/>
    <mergeCell ref="AS6:AT6"/>
    <mergeCell ref="AU6:AV6"/>
    <mergeCell ref="AW6:AW7"/>
    <mergeCell ref="BA6:BA7"/>
    <mergeCell ref="BC6:BC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autoPageBreaks="0"/>
  </sheetPr>
  <dimension ref="B1:AZ889"/>
  <sheetViews>
    <sheetView zoomScale="80" zoomScaleNormal="80" workbookViewId="0">
      <pane xSplit="4" ySplit="6" topLeftCell="E148" activePane="bottomRight" state="frozen"/>
      <selection pane="topRight" activeCell="E1" sqref="E1"/>
      <selection pane="bottomLeft" activeCell="A7" sqref="A7"/>
      <selection pane="bottomRight" activeCell="G171" sqref="G171"/>
    </sheetView>
  </sheetViews>
  <sheetFormatPr defaultRowHeight="11.25" outlineLevelRow="2" outlineLevelCol="1"/>
  <cols>
    <col min="1" max="1" width="0.85546875" style="2066" customWidth="1"/>
    <col min="2" max="2" width="9.140625" style="2066"/>
    <col min="3" max="3" width="62.42578125" style="2140" customWidth="1"/>
    <col min="4" max="4" width="18.85546875" style="2139" customWidth="1"/>
    <col min="5" max="5" width="18" style="2140" customWidth="1" outlineLevel="1"/>
    <col min="6" max="6" width="17" style="2140" customWidth="1" outlineLevel="1"/>
    <col min="7" max="7" width="17.28515625" style="2140" customWidth="1" outlineLevel="1"/>
    <col min="8" max="8" width="16.28515625" style="2066" customWidth="1" outlineLevel="1"/>
    <col min="9" max="9" width="18" style="2066" customWidth="1" outlineLevel="1"/>
    <col min="10" max="10" width="16.85546875" style="2066" customWidth="1" outlineLevel="1"/>
    <col min="11" max="11" width="16.42578125" style="2066" customWidth="1" outlineLevel="1"/>
    <col min="12" max="12" width="18.28515625" style="2066" customWidth="1" outlineLevel="1"/>
    <col min="13" max="13" width="18.42578125" style="2066" customWidth="1" outlineLevel="1"/>
    <col min="14" max="14" width="18.7109375" style="2066" customWidth="1"/>
    <col min="15" max="15" width="21.7109375" style="2066" customWidth="1"/>
    <col min="16" max="19" width="11.42578125" style="2066" customWidth="1"/>
    <col min="20" max="16384" width="9.140625" style="2066"/>
  </cols>
  <sheetData>
    <row r="1" spans="3:19" ht="12.75">
      <c r="C1" s="3398" t="s">
        <v>29</v>
      </c>
      <c r="D1" s="3398"/>
      <c r="E1" s="3398"/>
      <c r="F1" s="2065"/>
      <c r="G1" s="2065"/>
    </row>
    <row r="2" spans="3:19" ht="15.75" customHeight="1">
      <c r="C2" s="3399" t="s">
        <v>3791</v>
      </c>
      <c r="D2" s="3399"/>
      <c r="E2" s="3399"/>
      <c r="F2" s="2067"/>
      <c r="G2" s="2067"/>
      <c r="P2" s="3400" t="s">
        <v>3792</v>
      </c>
      <c r="Q2" s="3400"/>
      <c r="R2" s="3400" t="s">
        <v>3793</v>
      </c>
      <c r="S2" s="3400"/>
    </row>
    <row r="3" spans="3:19" s="2068" customFormat="1" ht="12.75">
      <c r="D3" s="2069">
        <f>SUM(E3,H3:J3)</f>
        <v>4828223.9800000004</v>
      </c>
      <c r="E3" s="2070">
        <v>832880.77</v>
      </c>
      <c r="F3" s="2070">
        <f>'[30]Затраты 2015'!G20*1000</f>
        <v>625325.81773162936</v>
      </c>
      <c r="G3" s="2070">
        <f>'[30]Затраты 2015'!H20*1000</f>
        <v>207554.95226837057</v>
      </c>
      <c r="H3" s="2070">
        <f>'[30]Затраты 2015'!I20*1000</f>
        <v>2668683.02</v>
      </c>
      <c r="I3" s="2070">
        <f>'[30]Затраты 2015'!J20*1000</f>
        <v>1247571.6800000002</v>
      </c>
      <c r="J3" s="2070">
        <f>'[30]Затраты 2015'!E20*1000</f>
        <v>79088.510000000009</v>
      </c>
      <c r="P3" s="2071" t="s">
        <v>3794</v>
      </c>
      <c r="Q3" s="2071" t="s">
        <v>3655</v>
      </c>
      <c r="R3" s="2071" t="s">
        <v>3794</v>
      </c>
      <c r="S3" s="2071" t="s">
        <v>3655</v>
      </c>
    </row>
    <row r="4" spans="3:19" s="2073" customFormat="1" ht="20.100000000000001" customHeight="1">
      <c r="C4" s="2072" t="s">
        <v>1317</v>
      </c>
      <c r="D4" s="3401">
        <v>4828223.9800000004</v>
      </c>
      <c r="E4" s="3391" t="s">
        <v>2936</v>
      </c>
      <c r="F4" s="3396" t="s">
        <v>3795</v>
      </c>
      <c r="G4" s="3397"/>
      <c r="H4" s="3391" t="s">
        <v>2915</v>
      </c>
      <c r="I4" s="3391" t="s">
        <v>1465</v>
      </c>
      <c r="J4" s="3391" t="s">
        <v>2940</v>
      </c>
      <c r="L4" s="3402" t="s">
        <v>3796</v>
      </c>
      <c r="M4" s="3402" t="s">
        <v>3797</v>
      </c>
      <c r="P4" s="2074" t="s">
        <v>3581</v>
      </c>
      <c r="Q4" s="2074" t="s">
        <v>2552</v>
      </c>
      <c r="R4" s="2074" t="s">
        <v>3581</v>
      </c>
      <c r="S4" s="2074" t="s">
        <v>2552</v>
      </c>
    </row>
    <row r="5" spans="3:19" s="2073" customFormat="1" ht="20.100000000000001" customHeight="1">
      <c r="C5" s="2072"/>
      <c r="D5" s="3401"/>
      <c r="E5" s="3391"/>
      <c r="F5" s="2075" t="s">
        <v>3798</v>
      </c>
      <c r="G5" s="2075" t="s">
        <v>3799</v>
      </c>
      <c r="H5" s="3391"/>
      <c r="I5" s="3391"/>
      <c r="J5" s="3391"/>
      <c r="L5" s="3402"/>
      <c r="M5" s="3402"/>
      <c r="P5" s="2076">
        <v>313</v>
      </c>
      <c r="Q5" s="2077">
        <v>1540.2550000000001</v>
      </c>
      <c r="R5" s="2076">
        <v>235</v>
      </c>
      <c r="S5" s="2077">
        <v>1342.2249999999997</v>
      </c>
    </row>
    <row r="6" spans="3:19" s="2073" customFormat="1" ht="15" outlineLevel="1">
      <c r="C6" s="2078"/>
      <c r="K6" s="2079"/>
      <c r="L6" s="2079"/>
      <c r="M6" s="2079"/>
      <c r="P6" s="2080"/>
      <c r="Q6" s="2080"/>
      <c r="R6" s="2080"/>
      <c r="S6" s="2080"/>
    </row>
    <row r="7" spans="3:19" s="2073" customFormat="1" ht="12" outlineLevel="1">
      <c r="C7" s="2081"/>
      <c r="D7" s="2082">
        <f t="shared" ref="D7:J7" si="0">SUM(D8:D147)</f>
        <v>4828223.9799999958</v>
      </c>
      <c r="E7" s="2083">
        <f t="shared" si="0"/>
        <v>832880.7700000006</v>
      </c>
      <c r="F7" s="2084">
        <f t="shared" si="0"/>
        <v>625325.81773162913</v>
      </c>
      <c r="G7" s="2084">
        <f t="shared" si="0"/>
        <v>207554.95226837066</v>
      </c>
      <c r="H7" s="2083">
        <f t="shared" si="0"/>
        <v>2668683.0199999991</v>
      </c>
      <c r="I7" s="2083">
        <f t="shared" si="0"/>
        <v>1247571.6800000002</v>
      </c>
      <c r="J7" s="2083">
        <f t="shared" si="0"/>
        <v>79088.510000000009</v>
      </c>
      <c r="K7" s="2079"/>
      <c r="L7" s="2083">
        <f>SUM(L8:L147)</f>
        <v>4749135.4700000025</v>
      </c>
      <c r="M7" s="2083">
        <f>SUM(M8:M147)</f>
        <v>4123809.6522683706</v>
      </c>
    </row>
    <row r="8" spans="3:19" s="2090" customFormat="1" ht="12" outlineLevel="2">
      <c r="C8" s="2085" t="s">
        <v>1319</v>
      </c>
      <c r="D8" s="2086">
        <f>SUM(E8,H8:J8)</f>
        <v>416.32</v>
      </c>
      <c r="E8" s="2087">
        <v>65.89</v>
      </c>
      <c r="F8" s="2088">
        <f>E8/$P$5*$R$5</f>
        <v>49.470127795527162</v>
      </c>
      <c r="G8" s="2088">
        <f>E8-F8</f>
        <v>16.419872204472838</v>
      </c>
      <c r="H8" s="2087">
        <v>234.45</v>
      </c>
      <c r="I8" s="2087">
        <v>110.05</v>
      </c>
      <c r="J8" s="2087">
        <v>5.93</v>
      </c>
      <c r="K8" s="2089"/>
      <c r="L8" s="2088">
        <f>D8-J8</f>
        <v>410.39</v>
      </c>
      <c r="M8" s="2088">
        <f>D8-F8-J8</f>
        <v>360.91987220447282</v>
      </c>
      <c r="O8" s="2091" t="str">
        <f>$C$180</f>
        <v>Амортизация прочих ОС</v>
      </c>
      <c r="P8" s="2090" t="b">
        <f>O8='[39]СС 2015 (0)'!O8</f>
        <v>1</v>
      </c>
    </row>
    <row r="9" spans="3:19" s="2090" customFormat="1" ht="12" outlineLevel="2">
      <c r="C9" s="2085" t="s">
        <v>1320</v>
      </c>
      <c r="D9" s="2092">
        <f t="shared" ref="D9:D72" si="1">SUM(E9,H9:J9)</f>
        <v>24270.59</v>
      </c>
      <c r="E9" s="2087">
        <v>6540.88</v>
      </c>
      <c r="F9" s="2088">
        <f t="shared" ref="F9:F72" si="2">E9/$P$5*$R$5</f>
        <v>4910.8843450479235</v>
      </c>
      <c r="G9" s="2088">
        <f t="shared" ref="G9:G72" si="3">E9-F9</f>
        <v>1629.9956549520766</v>
      </c>
      <c r="H9" s="2087">
        <v>11941.14</v>
      </c>
      <c r="I9" s="2087">
        <v>5498.29</v>
      </c>
      <c r="J9" s="2087">
        <v>290.27999999999997</v>
      </c>
      <c r="K9" s="2089"/>
      <c r="L9" s="2088">
        <f>D9-J9</f>
        <v>23980.31</v>
      </c>
      <c r="M9" s="2088">
        <f t="shared" ref="M9:M72" si="4">D9-F9-J9</f>
        <v>19069.42565495208</v>
      </c>
      <c r="O9" s="2091" t="str">
        <f>$C$180</f>
        <v>Амортизация прочих ОС</v>
      </c>
      <c r="P9" s="2090" t="b">
        <f>O9='[39]СС 2015 (0)'!O9</f>
        <v>1</v>
      </c>
    </row>
    <row r="10" spans="3:19" s="2090" customFormat="1" ht="24" outlineLevel="2">
      <c r="C10" s="2085" t="s">
        <v>1321</v>
      </c>
      <c r="D10" s="2092">
        <f t="shared" si="1"/>
        <v>69.180000000000007</v>
      </c>
      <c r="E10" s="2087">
        <v>8.4700000000000006</v>
      </c>
      <c r="F10" s="2088">
        <f>E10/$P$5*$R$5</f>
        <v>6.3592651757188507</v>
      </c>
      <c r="G10" s="2088">
        <f>E10-F10</f>
        <v>2.1107348242811499</v>
      </c>
      <c r="H10" s="2087">
        <v>28.69</v>
      </c>
      <c r="I10" s="2087">
        <v>31.12</v>
      </c>
      <c r="J10" s="2087">
        <v>0.9</v>
      </c>
      <c r="K10" s="2089"/>
      <c r="L10" s="2088">
        <f t="shared" ref="L10:L73" si="5">D10-J10</f>
        <v>68.28</v>
      </c>
      <c r="M10" s="2088">
        <f t="shared" si="4"/>
        <v>61.920734824281155</v>
      </c>
      <c r="O10" s="2091" t="str">
        <f>$C$167</f>
        <v>плата за аренду имущества</v>
      </c>
      <c r="P10" s="2090" t="b">
        <f>O10='[39]СС 2015 (0)'!O10</f>
        <v>1</v>
      </c>
    </row>
    <row r="11" spans="3:19" s="2090" customFormat="1" ht="12" outlineLevel="2">
      <c r="C11" s="2085" t="s">
        <v>3800</v>
      </c>
      <c r="D11" s="2092">
        <f t="shared" si="1"/>
        <v>14.2</v>
      </c>
      <c r="E11" s="2087">
        <v>3.25</v>
      </c>
      <c r="F11" s="2088">
        <f t="shared" si="2"/>
        <v>2.4400958466453675</v>
      </c>
      <c r="G11" s="2088">
        <f t="shared" si="3"/>
        <v>0.80990415335463251</v>
      </c>
      <c r="H11" s="2087">
        <v>10.95</v>
      </c>
      <c r="I11" s="2087"/>
      <c r="J11" s="2087"/>
      <c r="K11" s="2089"/>
      <c r="L11" s="2088">
        <f t="shared" si="5"/>
        <v>14.2</v>
      </c>
      <c r="M11" s="2088">
        <f t="shared" si="4"/>
        <v>11.759904153354633</v>
      </c>
      <c r="O11" s="2091" t="str">
        <f>$C$167</f>
        <v>плата за аренду имущества</v>
      </c>
      <c r="P11" s="2090" t="b">
        <f>O11='[39]СС 2015 (0)'!O11</f>
        <v>1</v>
      </c>
    </row>
    <row r="12" spans="3:19" s="2090" customFormat="1" ht="24" outlineLevel="2">
      <c r="C12" s="2085" t="s">
        <v>1322</v>
      </c>
      <c r="D12" s="2092">
        <f t="shared" si="1"/>
        <v>534.38</v>
      </c>
      <c r="E12" s="2087">
        <v>83.84</v>
      </c>
      <c r="F12" s="2088">
        <f t="shared" si="2"/>
        <v>62.946964856230039</v>
      </c>
      <c r="G12" s="2088">
        <f t="shared" si="3"/>
        <v>20.893035143769964</v>
      </c>
      <c r="H12" s="2087">
        <v>288.27999999999997</v>
      </c>
      <c r="I12" s="2087">
        <v>154.47999999999999</v>
      </c>
      <c r="J12" s="2087">
        <v>7.78</v>
      </c>
      <c r="K12" s="2089"/>
      <c r="L12" s="2088">
        <f t="shared" si="5"/>
        <v>526.6</v>
      </c>
      <c r="M12" s="2088">
        <f t="shared" si="4"/>
        <v>463.65303514377001</v>
      </c>
      <c r="O12" s="2091" t="str">
        <f>$C$167</f>
        <v>плата за аренду имущества</v>
      </c>
      <c r="P12" s="2090" t="b">
        <f>O12='[39]СС 2015 (0)'!O12</f>
        <v>1</v>
      </c>
    </row>
    <row r="13" spans="3:19" s="2090" customFormat="1" ht="60" outlineLevel="2">
      <c r="C13" s="2085" t="s">
        <v>1324</v>
      </c>
      <c r="D13" s="2092">
        <f t="shared" si="1"/>
        <v>3.59</v>
      </c>
      <c r="E13" s="2087">
        <v>0.48</v>
      </c>
      <c r="F13" s="2088">
        <f t="shared" si="2"/>
        <v>0.36038338658146968</v>
      </c>
      <c r="G13" s="2088">
        <f t="shared" si="3"/>
        <v>0.1196166134185303</v>
      </c>
      <c r="H13" s="2087">
        <v>1.69</v>
      </c>
      <c r="I13" s="2087">
        <v>1.31</v>
      </c>
      <c r="J13" s="2087">
        <v>0.11</v>
      </c>
      <c r="K13" s="2089"/>
      <c r="L13" s="2088">
        <f t="shared" si="5"/>
        <v>3.48</v>
      </c>
      <c r="M13" s="2088">
        <f t="shared" si="4"/>
        <v>3.1196166134185304</v>
      </c>
      <c r="O13" s="2091" t="str">
        <f>$C$162</f>
        <v xml:space="preserve"> - налоги и сборы, уменьшающие налогооблагаемую базу на прибыль организаций, всего</v>
      </c>
      <c r="P13" s="2090" t="b">
        <f>O13='[39]СС 2015 (0)'!O13</f>
        <v>1</v>
      </c>
    </row>
    <row r="14" spans="3:19" s="2090" customFormat="1" ht="24" outlineLevel="2">
      <c r="C14" s="2085" t="s">
        <v>1325</v>
      </c>
      <c r="D14" s="2092">
        <f t="shared" si="1"/>
        <v>113.96000000000001</v>
      </c>
      <c r="E14" s="2087">
        <v>20.04</v>
      </c>
      <c r="F14" s="2088">
        <f t="shared" si="2"/>
        <v>15.046006389776359</v>
      </c>
      <c r="G14" s="2088">
        <f t="shared" si="3"/>
        <v>4.9939936102236402</v>
      </c>
      <c r="H14" s="2087">
        <v>93.92</v>
      </c>
      <c r="I14" s="2087"/>
      <c r="J14" s="2087"/>
      <c r="K14" s="2089"/>
      <c r="L14" s="2088">
        <f t="shared" si="5"/>
        <v>113.96000000000001</v>
      </c>
      <c r="M14" s="2088">
        <f t="shared" si="4"/>
        <v>98.913993610223656</v>
      </c>
      <c r="O14" s="2091" t="str">
        <f>$C$193</f>
        <v>прочие</v>
      </c>
      <c r="P14" s="2090" t="b">
        <f>O14='[39]СС 2015 (0)'!O14</f>
        <v>1</v>
      </c>
    </row>
    <row r="15" spans="3:19" s="2090" customFormat="1" ht="12" outlineLevel="2">
      <c r="C15" s="2085" t="s">
        <v>1326</v>
      </c>
      <c r="D15" s="2092">
        <f t="shared" si="1"/>
        <v>123.68</v>
      </c>
      <c r="E15" s="2087">
        <v>15.11</v>
      </c>
      <c r="F15" s="2088">
        <f t="shared" si="2"/>
        <v>11.344568690095846</v>
      </c>
      <c r="G15" s="2088">
        <f t="shared" si="3"/>
        <v>3.7654313099041534</v>
      </c>
      <c r="H15" s="2087">
        <v>51.41</v>
      </c>
      <c r="I15" s="2087">
        <v>55.63</v>
      </c>
      <c r="J15" s="2087">
        <v>1.53</v>
      </c>
      <c r="K15" s="2089"/>
      <c r="L15" s="2088">
        <f t="shared" si="5"/>
        <v>122.15</v>
      </c>
      <c r="M15" s="2088">
        <f t="shared" si="4"/>
        <v>110.80543130990417</v>
      </c>
      <c r="O15" s="2091" t="str">
        <f>$C$193</f>
        <v>прочие</v>
      </c>
      <c r="P15" s="2090" t="b">
        <f>O15='[39]СС 2015 (0)'!O15</f>
        <v>1</v>
      </c>
    </row>
    <row r="16" spans="3:19" s="2090" customFormat="1" ht="24" outlineLevel="2">
      <c r="C16" s="2085" t="s">
        <v>1327</v>
      </c>
      <c r="D16" s="2092">
        <f t="shared" si="1"/>
        <v>39574.370000000003</v>
      </c>
      <c r="E16" s="2087">
        <v>12731.74</v>
      </c>
      <c r="F16" s="2088">
        <f t="shared" si="2"/>
        <v>9558.9741214057503</v>
      </c>
      <c r="G16" s="2088">
        <f t="shared" si="3"/>
        <v>3172.7658785942494</v>
      </c>
      <c r="H16" s="2087">
        <v>17788.86</v>
      </c>
      <c r="I16" s="2087">
        <v>8656.26</v>
      </c>
      <c r="J16" s="2087">
        <v>397.51</v>
      </c>
      <c r="K16" s="2089"/>
      <c r="L16" s="2088">
        <f t="shared" si="5"/>
        <v>39176.86</v>
      </c>
      <c r="M16" s="2088">
        <f t="shared" si="4"/>
        <v>29617.885878594254</v>
      </c>
      <c r="O16" s="2091" t="str">
        <f>$C$153</f>
        <v>Вспомогательные материалы</v>
      </c>
      <c r="P16" s="2090" t="b">
        <f>O16='[39]СС 2015 (0)'!O16</f>
        <v>1</v>
      </c>
      <c r="Q16" s="2093" t="str">
        <f>$C$154</f>
        <v>в т.ч.  ГСМ</v>
      </c>
    </row>
    <row r="17" spans="3:17" s="2090" customFormat="1" ht="24" outlineLevel="2">
      <c r="C17" s="2085" t="s">
        <v>1328</v>
      </c>
      <c r="D17" s="2092">
        <f t="shared" si="1"/>
        <v>11130.61</v>
      </c>
      <c r="E17" s="2087">
        <v>1813.91</v>
      </c>
      <c r="F17" s="2088">
        <f t="shared" si="2"/>
        <v>1361.8813099041533</v>
      </c>
      <c r="G17" s="2088">
        <f t="shared" si="3"/>
        <v>452.02869009584674</v>
      </c>
      <c r="H17" s="2087">
        <v>6608.44</v>
      </c>
      <c r="I17" s="2087">
        <v>2537.17</v>
      </c>
      <c r="J17" s="2087">
        <v>171.09</v>
      </c>
      <c r="K17" s="2089"/>
      <c r="L17" s="2088">
        <f t="shared" si="5"/>
        <v>10959.52</v>
      </c>
      <c r="M17" s="2088">
        <f t="shared" si="4"/>
        <v>9597.6386900958478</v>
      </c>
      <c r="O17" s="2091" t="str">
        <f>$C$153</f>
        <v>Вспомогательные материалы</v>
      </c>
      <c r="P17" s="2090" t="b">
        <f>O17='[39]СС 2015 (0)'!O17</f>
        <v>1</v>
      </c>
      <c r="Q17" s="2093" t="str">
        <f>$C$154</f>
        <v>в т.ч.  ГСМ</v>
      </c>
    </row>
    <row r="18" spans="3:17" s="2090" customFormat="1" ht="12" outlineLevel="2">
      <c r="C18" s="2085" t="s">
        <v>1329</v>
      </c>
      <c r="D18" s="2092">
        <f t="shared" si="1"/>
        <v>8205.91</v>
      </c>
      <c r="E18" s="2087">
        <v>1295.1600000000001</v>
      </c>
      <c r="F18" s="2088">
        <f t="shared" si="2"/>
        <v>972.40447284345055</v>
      </c>
      <c r="G18" s="2088">
        <f t="shared" si="3"/>
        <v>322.75552715654953</v>
      </c>
      <c r="H18" s="2087">
        <v>4627.8</v>
      </c>
      <c r="I18" s="2087">
        <v>2166.54</v>
      </c>
      <c r="J18" s="2087">
        <v>116.41</v>
      </c>
      <c r="K18" s="2089"/>
      <c r="L18" s="2088">
        <f t="shared" si="5"/>
        <v>8089.5</v>
      </c>
      <c r="M18" s="2088">
        <f t="shared" si="4"/>
        <v>7117.095527156549</v>
      </c>
      <c r="O18" s="2091" t="str">
        <f>$C$181</f>
        <v>Страхование</v>
      </c>
      <c r="P18" s="2090" t="b">
        <f>O18='[39]СС 2015 (0)'!O18</f>
        <v>1</v>
      </c>
    </row>
    <row r="19" spans="3:17" s="2090" customFormat="1" ht="24" outlineLevel="2">
      <c r="C19" s="2085" t="s">
        <v>1330</v>
      </c>
      <c r="D19" s="2092">
        <f t="shared" si="1"/>
        <v>246.95</v>
      </c>
      <c r="E19" s="2087">
        <v>38.979999999999997</v>
      </c>
      <c r="F19" s="2088">
        <f t="shared" si="2"/>
        <v>29.266134185303514</v>
      </c>
      <c r="G19" s="2088">
        <f t="shared" si="3"/>
        <v>9.7138658146964829</v>
      </c>
      <c r="H19" s="2087">
        <v>139.33000000000001</v>
      </c>
      <c r="I19" s="2087">
        <v>65.13</v>
      </c>
      <c r="J19" s="2087">
        <v>3.51</v>
      </c>
      <c r="K19" s="2089"/>
      <c r="L19" s="2088">
        <f t="shared" si="5"/>
        <v>243.44</v>
      </c>
      <c r="M19" s="2088">
        <f t="shared" si="4"/>
        <v>214.17386581469648</v>
      </c>
      <c r="O19" s="2091" t="str">
        <f>$C$181</f>
        <v>Страхование</v>
      </c>
      <c r="P19" s="2090" t="b">
        <f>O19='[39]СС 2015 (0)'!O19</f>
        <v>1</v>
      </c>
    </row>
    <row r="20" spans="3:17" s="2090" customFormat="1" ht="24" outlineLevel="2">
      <c r="C20" s="2085" t="s">
        <v>1331</v>
      </c>
      <c r="D20" s="2092">
        <f t="shared" si="1"/>
        <v>130533.09000000001</v>
      </c>
      <c r="E20" s="2087">
        <v>19522.38</v>
      </c>
      <c r="F20" s="2088">
        <f t="shared" si="2"/>
        <v>14657.377955271566</v>
      </c>
      <c r="G20" s="2088">
        <f t="shared" si="3"/>
        <v>4865.0020447284351</v>
      </c>
      <c r="H20" s="2087">
        <v>71056.28</v>
      </c>
      <c r="I20" s="2087">
        <v>37690.300000000003</v>
      </c>
      <c r="J20" s="2087">
        <v>2264.13</v>
      </c>
      <c r="K20" s="2089"/>
      <c r="L20" s="2088">
        <f t="shared" si="5"/>
        <v>128268.96</v>
      </c>
      <c r="M20" s="2088">
        <f t="shared" si="4"/>
        <v>113611.58204472843</v>
      </c>
      <c r="O20" s="2091" t="str">
        <f>$C$158</f>
        <v>Оплата труда ППП (без соц. отчислений)</v>
      </c>
      <c r="P20" s="2090" t="b">
        <f>O20='[39]СС 2015 (0)'!O20</f>
        <v>1</v>
      </c>
    </row>
    <row r="21" spans="3:17" s="2090" customFormat="1" ht="24" outlineLevel="2">
      <c r="C21" s="2085" t="s">
        <v>1332</v>
      </c>
      <c r="D21" s="2092">
        <f t="shared" si="1"/>
        <v>253969.34</v>
      </c>
      <c r="E21" s="2087">
        <v>56354.55</v>
      </c>
      <c r="F21" s="2088">
        <f t="shared" si="2"/>
        <v>42310.924121405755</v>
      </c>
      <c r="G21" s="2088">
        <f t="shared" si="3"/>
        <v>14043.625878594248</v>
      </c>
      <c r="H21" s="2087">
        <v>134136.66</v>
      </c>
      <c r="I21" s="2087">
        <v>59988.52</v>
      </c>
      <c r="J21" s="2087">
        <v>3489.61</v>
      </c>
      <c r="K21" s="2089"/>
      <c r="L21" s="2088">
        <f t="shared" si="5"/>
        <v>250479.73</v>
      </c>
      <c r="M21" s="2088">
        <f t="shared" si="4"/>
        <v>208168.80587859426</v>
      </c>
      <c r="O21" s="2091" t="str">
        <f>$C$158</f>
        <v>Оплата труда ППП (без соц. отчислений)</v>
      </c>
      <c r="P21" s="2090" t="b">
        <f>O21='[39]СС 2015 (0)'!O21</f>
        <v>1</v>
      </c>
    </row>
    <row r="22" spans="3:17" s="2090" customFormat="1" ht="12" outlineLevel="2">
      <c r="C22" s="2085" t="s">
        <v>3801</v>
      </c>
      <c r="D22" s="2092">
        <f t="shared" si="1"/>
        <v>0.91999999999999993</v>
      </c>
      <c r="E22" s="2087">
        <v>0.1</v>
      </c>
      <c r="F22" s="2088">
        <f t="shared" si="2"/>
        <v>7.5079872204472847E-2</v>
      </c>
      <c r="G22" s="2088">
        <f t="shared" si="3"/>
        <v>2.4920127795527158E-2</v>
      </c>
      <c r="H22" s="2087">
        <v>0.39</v>
      </c>
      <c r="I22" s="2087">
        <v>0.41</v>
      </c>
      <c r="J22" s="2087">
        <v>0.02</v>
      </c>
      <c r="K22" s="2089"/>
      <c r="L22" s="2088">
        <f t="shared" si="5"/>
        <v>0.89999999999999991</v>
      </c>
      <c r="M22" s="2088">
        <f t="shared" si="4"/>
        <v>0.82492012779552704</v>
      </c>
      <c r="O22" s="2091" t="str">
        <f>$C$193</f>
        <v>прочие</v>
      </c>
      <c r="P22" s="2090" t="b">
        <f>O22='[39]СС 2015 (0)'!O22</f>
        <v>1</v>
      </c>
    </row>
    <row r="23" spans="3:17" s="2090" customFormat="1" ht="60" outlineLevel="2">
      <c r="C23" s="2085" t="s">
        <v>1333</v>
      </c>
      <c r="D23" s="2092">
        <f t="shared" si="1"/>
        <v>1827.16</v>
      </c>
      <c r="E23" s="2087">
        <v>284.72000000000003</v>
      </c>
      <c r="F23" s="2088">
        <f t="shared" si="2"/>
        <v>213.76741214057509</v>
      </c>
      <c r="G23" s="2088">
        <f t="shared" si="3"/>
        <v>70.952587859424938</v>
      </c>
      <c r="H23" s="2087">
        <v>762.07</v>
      </c>
      <c r="I23" s="2087">
        <v>710.11</v>
      </c>
      <c r="J23" s="2087">
        <v>70.260000000000005</v>
      </c>
      <c r="K23" s="2089"/>
      <c r="L23" s="2088">
        <f t="shared" si="5"/>
        <v>1756.9</v>
      </c>
      <c r="M23" s="2088">
        <f t="shared" si="4"/>
        <v>1543.132587859425</v>
      </c>
      <c r="O23" s="2091" t="str">
        <f>$C$182</f>
        <v xml:space="preserve">Затраты на охрану труда - мероприятия по предупреждению заболеваний на производстве </v>
      </c>
      <c r="P23" s="2090" t="b">
        <f>O23='[39]СС 2015 (0)'!O23</f>
        <v>1</v>
      </c>
    </row>
    <row r="24" spans="3:17" s="2090" customFormat="1" ht="24" outlineLevel="2">
      <c r="C24" s="2085" t="s">
        <v>1334</v>
      </c>
      <c r="D24" s="2092">
        <f t="shared" si="1"/>
        <v>2172.6299999999997</v>
      </c>
      <c r="E24" s="2087">
        <v>270.27999999999997</v>
      </c>
      <c r="F24" s="2088">
        <f t="shared" si="2"/>
        <v>202.92587859424918</v>
      </c>
      <c r="G24" s="2088">
        <f t="shared" si="3"/>
        <v>67.354121405750789</v>
      </c>
      <c r="H24" s="2087">
        <v>893.11</v>
      </c>
      <c r="I24" s="2087">
        <v>920.05</v>
      </c>
      <c r="J24" s="2087">
        <v>89.19</v>
      </c>
      <c r="K24" s="2089"/>
      <c r="L24" s="2088">
        <f t="shared" si="5"/>
        <v>2083.4399999999996</v>
      </c>
      <c r="M24" s="2088">
        <f t="shared" si="4"/>
        <v>1880.5141214057503</v>
      </c>
      <c r="O24" s="2091" t="str">
        <f>$C$193</f>
        <v>прочие</v>
      </c>
      <c r="P24" s="2090" t="b">
        <f>O24='[39]СС 2015 (0)'!O24</f>
        <v>1</v>
      </c>
    </row>
    <row r="25" spans="3:17" s="2090" customFormat="1" ht="24" outlineLevel="2">
      <c r="C25" s="2085" t="s">
        <v>1336</v>
      </c>
      <c r="D25" s="2092">
        <f t="shared" si="1"/>
        <v>1168.8899999999999</v>
      </c>
      <c r="E25" s="2087">
        <v>151.38</v>
      </c>
      <c r="F25" s="2088">
        <f t="shared" si="2"/>
        <v>113.65591054313099</v>
      </c>
      <c r="G25" s="2088">
        <f t="shared" si="3"/>
        <v>37.724089456869009</v>
      </c>
      <c r="H25" s="2087">
        <v>570.88</v>
      </c>
      <c r="I25" s="2087">
        <v>407.61</v>
      </c>
      <c r="J25" s="2087">
        <v>39.020000000000003</v>
      </c>
      <c r="K25" s="2089"/>
      <c r="L25" s="2088">
        <f t="shared" si="5"/>
        <v>1129.8699999999999</v>
      </c>
      <c r="M25" s="2088">
        <f t="shared" si="4"/>
        <v>1016.2140894568688</v>
      </c>
      <c r="O25" s="2091" t="str">
        <f>$C$183</f>
        <v>Затраты на экологию (кроме налогов и сборов)</v>
      </c>
      <c r="P25" s="2090" t="b">
        <f>O25='[39]СС 2015 (0)'!O25</f>
        <v>1</v>
      </c>
    </row>
    <row r="26" spans="3:17" s="2090" customFormat="1" ht="60" outlineLevel="2">
      <c r="C26" s="2085" t="s">
        <v>1337</v>
      </c>
      <c r="D26" s="2092">
        <f t="shared" si="1"/>
        <v>366.46999999999997</v>
      </c>
      <c r="E26" s="2087">
        <v>50.29</v>
      </c>
      <c r="F26" s="2088">
        <f t="shared" si="2"/>
        <v>37.757667731629397</v>
      </c>
      <c r="G26" s="2088">
        <f t="shared" si="3"/>
        <v>12.532332268370602</v>
      </c>
      <c r="H26" s="2087">
        <v>170.42</v>
      </c>
      <c r="I26" s="2087">
        <v>133.61000000000001</v>
      </c>
      <c r="J26" s="2087">
        <v>12.15</v>
      </c>
      <c r="K26" s="2089"/>
      <c r="L26" s="2088">
        <f t="shared" si="5"/>
        <v>354.32</v>
      </c>
      <c r="M26" s="2088">
        <f t="shared" si="4"/>
        <v>316.5623322683706</v>
      </c>
      <c r="O26" s="2091" t="str">
        <f>$C$162</f>
        <v xml:space="preserve"> - налоги и сборы, уменьшающие налогооблагаемую базу на прибыль организаций, всего</v>
      </c>
      <c r="P26" s="2090" t="b">
        <f>O26='[39]СС 2015 (0)'!O26</f>
        <v>1</v>
      </c>
    </row>
    <row r="27" spans="3:17" s="2090" customFormat="1" ht="24" outlineLevel="2">
      <c r="C27" s="2085" t="s">
        <v>1338</v>
      </c>
      <c r="D27" s="2092">
        <f t="shared" si="1"/>
        <v>583.39</v>
      </c>
      <c r="E27" s="2087">
        <v>89.58</v>
      </c>
      <c r="F27" s="2088">
        <f t="shared" si="2"/>
        <v>67.256549520766768</v>
      </c>
      <c r="G27" s="2088">
        <f t="shared" si="3"/>
        <v>22.32345047923323</v>
      </c>
      <c r="H27" s="2087">
        <v>317.77</v>
      </c>
      <c r="I27" s="2087">
        <v>167.41</v>
      </c>
      <c r="J27" s="2087">
        <v>8.6300000000000008</v>
      </c>
      <c r="K27" s="2089"/>
      <c r="L27" s="2088">
        <f t="shared" si="5"/>
        <v>574.76</v>
      </c>
      <c r="M27" s="2088">
        <f t="shared" si="4"/>
        <v>507.50345047923327</v>
      </c>
      <c r="O27" s="2091" t="str">
        <f>$C$158</f>
        <v>Оплата труда ППП (без соц. отчислений)</v>
      </c>
      <c r="P27" s="2090" t="b">
        <f>O27='[39]СС 2015 (0)'!O27</f>
        <v>1</v>
      </c>
    </row>
    <row r="28" spans="3:17" s="2090" customFormat="1" ht="12" outlineLevel="2">
      <c r="C28" s="2085" t="s">
        <v>1339</v>
      </c>
      <c r="D28" s="2092">
        <f t="shared" si="1"/>
        <v>6363.4100000000008</v>
      </c>
      <c r="E28" s="2087">
        <v>896.19</v>
      </c>
      <c r="F28" s="2088">
        <f t="shared" si="2"/>
        <v>672.85830670926521</v>
      </c>
      <c r="G28" s="2088">
        <f t="shared" si="3"/>
        <v>223.33169329073485</v>
      </c>
      <c r="H28" s="2087">
        <v>3945.16</v>
      </c>
      <c r="I28" s="2087">
        <v>1474.84</v>
      </c>
      <c r="J28" s="2087">
        <v>47.22</v>
      </c>
      <c r="K28" s="2089"/>
      <c r="L28" s="2088">
        <f t="shared" si="5"/>
        <v>6316.1900000000005</v>
      </c>
      <c r="M28" s="2088">
        <f t="shared" si="4"/>
        <v>5643.3316932907355</v>
      </c>
      <c r="O28" s="2091" t="str">
        <f>$C$184</f>
        <v>Канцелярские расходы</v>
      </c>
      <c r="P28" s="2090" t="b">
        <f>O28='[39]СС 2015 (0)'!O28</f>
        <v>1</v>
      </c>
    </row>
    <row r="29" spans="3:17" s="2090" customFormat="1" ht="24" outlineLevel="2">
      <c r="C29" s="2085" t="s">
        <v>1340</v>
      </c>
      <c r="D29" s="2092">
        <f t="shared" si="1"/>
        <v>65.900000000000006</v>
      </c>
      <c r="E29" s="2087">
        <v>9.92</v>
      </c>
      <c r="F29" s="2088">
        <f t="shared" si="2"/>
        <v>7.4479233226837067</v>
      </c>
      <c r="G29" s="2088">
        <f t="shared" si="3"/>
        <v>2.4720766773162932</v>
      </c>
      <c r="H29" s="2087">
        <v>42.07</v>
      </c>
      <c r="I29" s="2087">
        <v>13.91</v>
      </c>
      <c r="J29" s="2087"/>
      <c r="K29" s="2089"/>
      <c r="L29" s="2088">
        <f t="shared" si="5"/>
        <v>65.900000000000006</v>
      </c>
      <c r="M29" s="2088">
        <f t="shared" si="4"/>
        <v>58.452076677316299</v>
      </c>
      <c r="O29" s="2091" t="str">
        <f t="shared" ref="O29:O38" si="6">$C$185</f>
        <v>Командировочные расходы</v>
      </c>
      <c r="P29" s="2090" t="b">
        <f>O29='[39]СС 2015 (0)'!O29</f>
        <v>1</v>
      </c>
    </row>
    <row r="30" spans="3:17" s="2090" customFormat="1" ht="24" outlineLevel="2">
      <c r="C30" s="2085" t="s">
        <v>1341</v>
      </c>
      <c r="D30" s="2092">
        <f t="shared" si="1"/>
        <v>1.33</v>
      </c>
      <c r="E30" s="2087">
        <v>0.16</v>
      </c>
      <c r="F30" s="2088">
        <f t="shared" si="2"/>
        <v>0.12012779552715655</v>
      </c>
      <c r="G30" s="2088">
        <f t="shared" si="3"/>
        <v>3.9872204472843453E-2</v>
      </c>
      <c r="H30" s="2087">
        <v>0.56000000000000005</v>
      </c>
      <c r="I30" s="2087">
        <v>0.61</v>
      </c>
      <c r="J30" s="2087"/>
      <c r="K30" s="2089"/>
      <c r="L30" s="2088">
        <f t="shared" si="5"/>
        <v>1.33</v>
      </c>
      <c r="M30" s="2088">
        <f t="shared" si="4"/>
        <v>1.2098722044728436</v>
      </c>
      <c r="O30" s="2091" t="str">
        <f t="shared" si="6"/>
        <v>Командировочные расходы</v>
      </c>
      <c r="P30" s="2090" t="b">
        <f>O30='[39]СС 2015 (0)'!O30</f>
        <v>1</v>
      </c>
    </row>
    <row r="31" spans="3:17" s="2090" customFormat="1" ht="24" outlineLevel="2">
      <c r="C31" s="2085" t="s">
        <v>1342</v>
      </c>
      <c r="D31" s="2092">
        <f t="shared" si="1"/>
        <v>645.98</v>
      </c>
      <c r="E31" s="2087">
        <v>100.37</v>
      </c>
      <c r="F31" s="2088">
        <f t="shared" si="2"/>
        <v>75.357667731629391</v>
      </c>
      <c r="G31" s="2088">
        <f t="shared" si="3"/>
        <v>25.012332268370614</v>
      </c>
      <c r="H31" s="2087">
        <v>387.9</v>
      </c>
      <c r="I31" s="2087">
        <v>148.83000000000001</v>
      </c>
      <c r="J31" s="2087">
        <v>8.8800000000000008</v>
      </c>
      <c r="K31" s="2089"/>
      <c r="L31" s="2088">
        <f t="shared" si="5"/>
        <v>637.1</v>
      </c>
      <c r="M31" s="2088">
        <f t="shared" si="4"/>
        <v>561.74233226837066</v>
      </c>
      <c r="O31" s="2091" t="str">
        <f t="shared" si="6"/>
        <v>Командировочные расходы</v>
      </c>
      <c r="P31" s="2090" t="b">
        <f>O31='[39]СС 2015 (0)'!O31</f>
        <v>1</v>
      </c>
    </row>
    <row r="32" spans="3:17" s="2090" customFormat="1" ht="24" outlineLevel="2">
      <c r="C32" s="2085" t="s">
        <v>1343</v>
      </c>
      <c r="D32" s="2092">
        <f t="shared" si="1"/>
        <v>2652.54</v>
      </c>
      <c r="E32" s="2087">
        <v>408.12</v>
      </c>
      <c r="F32" s="2088">
        <f t="shared" si="2"/>
        <v>306.41597444089456</v>
      </c>
      <c r="G32" s="2088">
        <f t="shared" si="3"/>
        <v>101.70402555910545</v>
      </c>
      <c r="H32" s="2087">
        <v>1674.53</v>
      </c>
      <c r="I32" s="2087">
        <v>531.67999999999995</v>
      </c>
      <c r="J32" s="2087">
        <v>38.21</v>
      </c>
      <c r="K32" s="2089"/>
      <c r="L32" s="2088">
        <f t="shared" si="5"/>
        <v>2614.33</v>
      </c>
      <c r="M32" s="2088">
        <f t="shared" si="4"/>
        <v>2307.9140255591055</v>
      </c>
      <c r="O32" s="2091" t="str">
        <f t="shared" si="6"/>
        <v>Командировочные расходы</v>
      </c>
      <c r="P32" s="2090" t="b">
        <f>O32='[39]СС 2015 (0)'!O32</f>
        <v>1</v>
      </c>
    </row>
    <row r="33" spans="3:17" s="2090" customFormat="1" ht="24" outlineLevel="2">
      <c r="C33" s="2085" t="s">
        <v>1344</v>
      </c>
      <c r="D33" s="2092">
        <f t="shared" si="1"/>
        <v>2198.39</v>
      </c>
      <c r="E33" s="2087">
        <v>329.74</v>
      </c>
      <c r="F33" s="2088">
        <f t="shared" si="2"/>
        <v>247.56837060702873</v>
      </c>
      <c r="G33" s="2088">
        <f t="shared" si="3"/>
        <v>82.171629392971283</v>
      </c>
      <c r="H33" s="2087">
        <v>1294.81</v>
      </c>
      <c r="I33" s="2087">
        <v>537.79999999999995</v>
      </c>
      <c r="J33" s="2087">
        <v>36.04</v>
      </c>
      <c r="K33" s="2089"/>
      <c r="L33" s="2088">
        <f t="shared" si="5"/>
        <v>2162.35</v>
      </c>
      <c r="M33" s="2088">
        <f t="shared" si="4"/>
        <v>1914.7816293929711</v>
      </c>
      <c r="O33" s="2091" t="str">
        <f t="shared" si="6"/>
        <v>Командировочные расходы</v>
      </c>
      <c r="P33" s="2090" t="b">
        <f>O33='[39]СС 2015 (0)'!O33</f>
        <v>1</v>
      </c>
    </row>
    <row r="34" spans="3:17" s="2090" customFormat="1" ht="24" outlineLevel="2">
      <c r="C34" s="2085" t="s">
        <v>1345</v>
      </c>
      <c r="D34" s="2092">
        <f t="shared" si="1"/>
        <v>193.61</v>
      </c>
      <c r="E34" s="2087">
        <v>25.88</v>
      </c>
      <c r="F34" s="2088">
        <f t="shared" si="2"/>
        <v>19.430670926517571</v>
      </c>
      <c r="G34" s="2088">
        <f t="shared" si="3"/>
        <v>6.4493290734824278</v>
      </c>
      <c r="H34" s="2087">
        <v>86.59</v>
      </c>
      <c r="I34" s="2087">
        <v>79.400000000000006</v>
      </c>
      <c r="J34" s="2087">
        <v>1.74</v>
      </c>
      <c r="K34" s="2089"/>
      <c r="L34" s="2088">
        <f t="shared" si="5"/>
        <v>191.87</v>
      </c>
      <c r="M34" s="2088">
        <f t="shared" si="4"/>
        <v>172.43932907348244</v>
      </c>
      <c r="O34" s="2091" t="str">
        <f t="shared" si="6"/>
        <v>Командировочные расходы</v>
      </c>
      <c r="P34" s="2090" t="b">
        <f>O34='[39]СС 2015 (0)'!O34</f>
        <v>1</v>
      </c>
    </row>
    <row r="35" spans="3:17" s="2090" customFormat="1" ht="24" outlineLevel="2">
      <c r="C35" s="2085" t="s">
        <v>1346</v>
      </c>
      <c r="D35" s="2092">
        <f t="shared" si="1"/>
        <v>8.52</v>
      </c>
      <c r="E35" s="2087">
        <v>1.1499999999999999</v>
      </c>
      <c r="F35" s="2088">
        <f t="shared" si="2"/>
        <v>0.86341853035143756</v>
      </c>
      <c r="G35" s="2088">
        <f t="shared" si="3"/>
        <v>0.28658146964856235</v>
      </c>
      <c r="H35" s="2087">
        <v>3.85</v>
      </c>
      <c r="I35" s="2087">
        <v>3.23</v>
      </c>
      <c r="J35" s="2087">
        <v>0.28999999999999998</v>
      </c>
      <c r="K35" s="2089"/>
      <c r="L35" s="2088">
        <f t="shared" si="5"/>
        <v>8.23</v>
      </c>
      <c r="M35" s="2088">
        <f t="shared" si="4"/>
        <v>7.3665814696485619</v>
      </c>
      <c r="O35" s="2091" t="str">
        <f t="shared" si="6"/>
        <v>Командировочные расходы</v>
      </c>
      <c r="P35" s="2090" t="b">
        <f>O35='[39]СС 2015 (0)'!O35</f>
        <v>1</v>
      </c>
    </row>
    <row r="36" spans="3:17" s="2090" customFormat="1" ht="24" outlineLevel="2">
      <c r="C36" s="2085" t="s">
        <v>1347</v>
      </c>
      <c r="D36" s="2092">
        <f t="shared" si="1"/>
        <v>52.640000000000008</v>
      </c>
      <c r="E36" s="2087">
        <v>7.29</v>
      </c>
      <c r="F36" s="2088">
        <f t="shared" si="2"/>
        <v>5.47332268370607</v>
      </c>
      <c r="G36" s="2088">
        <f t="shared" si="3"/>
        <v>1.81667731629393</v>
      </c>
      <c r="H36" s="2087">
        <v>26.56</v>
      </c>
      <c r="I36" s="2087">
        <v>17.16</v>
      </c>
      <c r="J36" s="2087">
        <v>1.63</v>
      </c>
      <c r="K36" s="2089"/>
      <c r="L36" s="2088">
        <f t="shared" si="5"/>
        <v>51.010000000000005</v>
      </c>
      <c r="M36" s="2088">
        <f t="shared" si="4"/>
        <v>45.536677316293932</v>
      </c>
      <c r="O36" s="2091" t="str">
        <f t="shared" si="6"/>
        <v>Командировочные расходы</v>
      </c>
      <c r="P36" s="2090" t="b">
        <f>O36='[39]СС 2015 (0)'!O36</f>
        <v>1</v>
      </c>
    </row>
    <row r="37" spans="3:17" s="2090" customFormat="1" ht="12" outlineLevel="2">
      <c r="C37" s="2085" t="s">
        <v>1348</v>
      </c>
      <c r="D37" s="2092">
        <f t="shared" si="1"/>
        <v>1929.5</v>
      </c>
      <c r="E37" s="2087">
        <v>346.38</v>
      </c>
      <c r="F37" s="2088">
        <f t="shared" si="2"/>
        <v>260.06166134185304</v>
      </c>
      <c r="G37" s="2088">
        <f t="shared" si="3"/>
        <v>86.318338658146956</v>
      </c>
      <c r="H37" s="2087">
        <v>1024.33</v>
      </c>
      <c r="I37" s="2087">
        <v>527.97</v>
      </c>
      <c r="J37" s="2087">
        <v>30.82</v>
      </c>
      <c r="K37" s="2089"/>
      <c r="L37" s="2088">
        <f t="shared" si="5"/>
        <v>1898.68</v>
      </c>
      <c r="M37" s="2088">
        <f t="shared" si="4"/>
        <v>1638.618338658147</v>
      </c>
      <c r="O37" s="2091" t="str">
        <f t="shared" si="6"/>
        <v>Командировочные расходы</v>
      </c>
      <c r="P37" s="2090" t="b">
        <f>O37='[39]СС 2015 (0)'!O37</f>
        <v>1</v>
      </c>
    </row>
    <row r="38" spans="3:17" s="2090" customFormat="1" ht="12" outlineLevel="2">
      <c r="C38" s="2085" t="s">
        <v>1349</v>
      </c>
      <c r="D38" s="2092">
        <f t="shared" si="1"/>
        <v>1479.3100000000002</v>
      </c>
      <c r="E38" s="2087">
        <v>336.05</v>
      </c>
      <c r="F38" s="2088">
        <f t="shared" si="2"/>
        <v>252.30591054313101</v>
      </c>
      <c r="G38" s="2088">
        <f t="shared" si="3"/>
        <v>83.744089456869006</v>
      </c>
      <c r="H38" s="2087">
        <v>674.07</v>
      </c>
      <c r="I38" s="2087">
        <v>443.46</v>
      </c>
      <c r="J38" s="2087">
        <v>25.73</v>
      </c>
      <c r="K38" s="2089"/>
      <c r="L38" s="2088">
        <f t="shared" si="5"/>
        <v>1453.5800000000002</v>
      </c>
      <c r="M38" s="2088">
        <f t="shared" si="4"/>
        <v>1201.2740894568692</v>
      </c>
      <c r="O38" s="2091" t="str">
        <f t="shared" si="6"/>
        <v>Командировочные расходы</v>
      </c>
      <c r="P38" s="2090" t="b">
        <f>O38='[39]СС 2015 (0)'!O38</f>
        <v>1</v>
      </c>
    </row>
    <row r="39" spans="3:17" s="2090" customFormat="1" ht="24" outlineLevel="2">
      <c r="C39" s="2085" t="s">
        <v>1350</v>
      </c>
      <c r="D39" s="2092">
        <f t="shared" si="1"/>
        <v>3055.2400000000002</v>
      </c>
      <c r="E39" s="2087">
        <v>565.55999999999995</v>
      </c>
      <c r="F39" s="2088">
        <f t="shared" si="2"/>
        <v>424.62172523961658</v>
      </c>
      <c r="G39" s="2088">
        <f t="shared" si="3"/>
        <v>140.93827476038336</v>
      </c>
      <c r="H39" s="2087">
        <v>2119.3200000000002</v>
      </c>
      <c r="I39" s="2087">
        <v>346.77</v>
      </c>
      <c r="J39" s="2087">
        <v>23.59</v>
      </c>
      <c r="K39" s="2089"/>
      <c r="L39" s="2088">
        <f t="shared" si="5"/>
        <v>3031.65</v>
      </c>
      <c r="M39" s="2088">
        <f t="shared" si="4"/>
        <v>2607.0282747603833</v>
      </c>
      <c r="O39" s="2091" t="str">
        <f t="shared" ref="O39:O51" si="7">$C$153</f>
        <v>Вспомогательные материалы</v>
      </c>
      <c r="P39" s="2090" t="b">
        <f>O39='[39]СС 2015 (0)'!O39</f>
        <v>1</v>
      </c>
      <c r="Q39" s="2093" t="str">
        <f>$C$155</f>
        <v>техническая поддержка</v>
      </c>
    </row>
    <row r="40" spans="3:17" s="2090" customFormat="1" ht="24" outlineLevel="2">
      <c r="C40" s="2085" t="s">
        <v>1351</v>
      </c>
      <c r="D40" s="2092">
        <f t="shared" si="1"/>
        <v>4265.87</v>
      </c>
      <c r="E40" s="2087">
        <v>834.68</v>
      </c>
      <c r="F40" s="2088">
        <f t="shared" si="2"/>
        <v>626.67667731629388</v>
      </c>
      <c r="G40" s="2088">
        <f t="shared" si="3"/>
        <v>208.00332268370607</v>
      </c>
      <c r="H40" s="2087">
        <v>3140.75</v>
      </c>
      <c r="I40" s="2087">
        <v>271.02999999999997</v>
      </c>
      <c r="J40" s="2087">
        <v>19.41</v>
      </c>
      <c r="K40" s="2089"/>
      <c r="L40" s="2088">
        <f t="shared" si="5"/>
        <v>4246.46</v>
      </c>
      <c r="M40" s="2088">
        <f t="shared" si="4"/>
        <v>3619.783322683706</v>
      </c>
      <c r="O40" s="2091" t="str">
        <f t="shared" si="7"/>
        <v>Вспомогательные материалы</v>
      </c>
      <c r="P40" s="2090" t="b">
        <f>O40='[39]СС 2015 (0)'!O40</f>
        <v>1</v>
      </c>
      <c r="Q40" s="2093" t="str">
        <f t="shared" ref="Q40:Q42" si="8">$C$155</f>
        <v>техническая поддержка</v>
      </c>
    </row>
    <row r="41" spans="3:17" s="2090" customFormat="1" ht="24" outlineLevel="2">
      <c r="C41" s="2085" t="s">
        <v>1352</v>
      </c>
      <c r="D41" s="2092">
        <f t="shared" si="1"/>
        <v>3568.68</v>
      </c>
      <c r="E41" s="2087">
        <v>794.82</v>
      </c>
      <c r="F41" s="2088">
        <f t="shared" si="2"/>
        <v>596.74984025559115</v>
      </c>
      <c r="G41" s="2088">
        <f t="shared" si="3"/>
        <v>198.0701597444089</v>
      </c>
      <c r="H41" s="2087">
        <v>1479.41</v>
      </c>
      <c r="I41" s="2087">
        <v>1192.93</v>
      </c>
      <c r="J41" s="2087">
        <v>101.52</v>
      </c>
      <c r="K41" s="2089"/>
      <c r="L41" s="2088">
        <f t="shared" si="5"/>
        <v>3467.16</v>
      </c>
      <c r="M41" s="2088">
        <f t="shared" si="4"/>
        <v>2870.4101597444087</v>
      </c>
      <c r="O41" s="2091" t="str">
        <f t="shared" si="7"/>
        <v>Вспомогательные материалы</v>
      </c>
      <c r="P41" s="2090" t="b">
        <f>O41='[39]СС 2015 (0)'!O41</f>
        <v>1</v>
      </c>
      <c r="Q41" s="2093" t="str">
        <f t="shared" si="8"/>
        <v>техническая поддержка</v>
      </c>
    </row>
    <row r="42" spans="3:17" s="2090" customFormat="1" ht="24" outlineLevel="2">
      <c r="C42" s="2085" t="s">
        <v>1353</v>
      </c>
      <c r="D42" s="2092">
        <f t="shared" si="1"/>
        <v>3316.1800000000003</v>
      </c>
      <c r="E42" s="2087">
        <v>1304.1500000000001</v>
      </c>
      <c r="F42" s="2088">
        <f t="shared" si="2"/>
        <v>979.15415335463263</v>
      </c>
      <c r="G42" s="2088">
        <f t="shared" si="3"/>
        <v>324.99584664536746</v>
      </c>
      <c r="H42" s="2087">
        <v>1161.48</v>
      </c>
      <c r="I42" s="2087">
        <v>803.77</v>
      </c>
      <c r="J42" s="2087">
        <v>46.78</v>
      </c>
      <c r="K42" s="2089"/>
      <c r="L42" s="2088">
        <f t="shared" si="5"/>
        <v>3269.4</v>
      </c>
      <c r="M42" s="2088">
        <f t="shared" si="4"/>
        <v>2290.2458466453677</v>
      </c>
      <c r="O42" s="2091" t="str">
        <f t="shared" si="7"/>
        <v>Вспомогательные материалы</v>
      </c>
      <c r="P42" s="2090" t="b">
        <f>O42='[39]СС 2015 (0)'!O42</f>
        <v>1</v>
      </c>
      <c r="Q42" s="2093" t="str">
        <f t="shared" si="8"/>
        <v>техническая поддержка</v>
      </c>
    </row>
    <row r="43" spans="3:17" s="2090" customFormat="1" ht="24" outlineLevel="2">
      <c r="C43" s="2085" t="s">
        <v>1354</v>
      </c>
      <c r="D43" s="2092">
        <f t="shared" si="1"/>
        <v>3501.4399999999996</v>
      </c>
      <c r="E43" s="2087">
        <v>483.01</v>
      </c>
      <c r="F43" s="2088">
        <f t="shared" si="2"/>
        <v>362.64329073482429</v>
      </c>
      <c r="G43" s="2088">
        <f t="shared" si="3"/>
        <v>120.3667092651757</v>
      </c>
      <c r="H43" s="2087">
        <v>1591.31</v>
      </c>
      <c r="I43" s="2087">
        <v>1319.23</v>
      </c>
      <c r="J43" s="2087">
        <v>107.89</v>
      </c>
      <c r="K43" s="2089"/>
      <c r="L43" s="2088">
        <f t="shared" si="5"/>
        <v>3393.5499999999997</v>
      </c>
      <c r="M43" s="2088">
        <f t="shared" si="4"/>
        <v>3030.9067092651753</v>
      </c>
      <c r="O43" s="2091" t="str">
        <f t="shared" si="7"/>
        <v>Вспомогательные материалы</v>
      </c>
      <c r="P43" s="2090" t="b">
        <f>O43='[39]СС 2015 (0)'!O43</f>
        <v>1</v>
      </c>
    </row>
    <row r="44" spans="3:17" s="2090" customFormat="1" ht="24" outlineLevel="2">
      <c r="C44" s="2085" t="s">
        <v>1355</v>
      </c>
      <c r="D44" s="2092">
        <f t="shared" si="1"/>
        <v>1567.81</v>
      </c>
      <c r="E44" s="2087">
        <v>226.06</v>
      </c>
      <c r="F44" s="2088">
        <f t="shared" si="2"/>
        <v>169.7255591054313</v>
      </c>
      <c r="G44" s="2088">
        <f t="shared" si="3"/>
        <v>56.334440894568701</v>
      </c>
      <c r="H44" s="2087">
        <v>924.17</v>
      </c>
      <c r="I44" s="2087">
        <v>395.07</v>
      </c>
      <c r="J44" s="2087">
        <v>22.51</v>
      </c>
      <c r="K44" s="2089"/>
      <c r="L44" s="2088">
        <f t="shared" si="5"/>
        <v>1545.3</v>
      </c>
      <c r="M44" s="2088">
        <f t="shared" si="4"/>
        <v>1375.5744408945686</v>
      </c>
      <c r="O44" s="2091" t="str">
        <f t="shared" si="7"/>
        <v>Вспомогательные материалы</v>
      </c>
      <c r="P44" s="2090" t="b">
        <f>O44='[39]СС 2015 (0)'!O44</f>
        <v>1</v>
      </c>
    </row>
    <row r="45" spans="3:17" s="2090" customFormat="1" ht="24" outlineLevel="2">
      <c r="C45" s="2085" t="s">
        <v>1356</v>
      </c>
      <c r="D45" s="2092">
        <f t="shared" si="1"/>
        <v>688.47</v>
      </c>
      <c r="E45" s="2087">
        <v>117.65</v>
      </c>
      <c r="F45" s="2088">
        <f t="shared" si="2"/>
        <v>88.331469648562305</v>
      </c>
      <c r="G45" s="2088">
        <f t="shared" si="3"/>
        <v>29.318530351437701</v>
      </c>
      <c r="H45" s="2087">
        <v>430.34</v>
      </c>
      <c r="I45" s="2087">
        <v>133.36000000000001</v>
      </c>
      <c r="J45" s="2087">
        <v>7.12</v>
      </c>
      <c r="K45" s="2089"/>
      <c r="L45" s="2088">
        <f t="shared" si="5"/>
        <v>681.35</v>
      </c>
      <c r="M45" s="2088">
        <f t="shared" si="4"/>
        <v>593.01853035143768</v>
      </c>
      <c r="O45" s="2091" t="str">
        <f t="shared" si="7"/>
        <v>Вспомогательные материалы</v>
      </c>
      <c r="P45" s="2090" t="b">
        <f>O45='[39]СС 2015 (0)'!O45</f>
        <v>1</v>
      </c>
    </row>
    <row r="46" spans="3:17" s="2090" customFormat="1" ht="24" outlineLevel="2">
      <c r="C46" s="2085" t="s">
        <v>1357</v>
      </c>
      <c r="D46" s="2092">
        <f t="shared" si="1"/>
        <v>322.27</v>
      </c>
      <c r="E46" s="2087">
        <v>45.59</v>
      </c>
      <c r="F46" s="2088">
        <f t="shared" si="2"/>
        <v>34.228913738019173</v>
      </c>
      <c r="G46" s="2088">
        <f t="shared" si="3"/>
        <v>11.36108626198083</v>
      </c>
      <c r="H46" s="2087">
        <v>147.88999999999999</v>
      </c>
      <c r="I46" s="2087">
        <v>118.04</v>
      </c>
      <c r="J46" s="2087">
        <v>10.75</v>
      </c>
      <c r="K46" s="2089"/>
      <c r="L46" s="2088">
        <f t="shared" si="5"/>
        <v>311.52</v>
      </c>
      <c r="M46" s="2088">
        <f t="shared" si="4"/>
        <v>277.29108626198081</v>
      </c>
      <c r="O46" s="2091" t="str">
        <f t="shared" si="7"/>
        <v>Вспомогательные материалы</v>
      </c>
      <c r="P46" s="2090" t="b">
        <f>O46='[39]СС 2015 (0)'!O46</f>
        <v>1</v>
      </c>
    </row>
    <row r="47" spans="3:17" s="2090" customFormat="1" ht="24" outlineLevel="2">
      <c r="C47" s="2085" t="s">
        <v>1358</v>
      </c>
      <c r="D47" s="2092">
        <f t="shared" si="1"/>
        <v>157.09</v>
      </c>
      <c r="E47" s="2087">
        <v>22.36</v>
      </c>
      <c r="F47" s="2088">
        <f t="shared" si="2"/>
        <v>16.787859424920129</v>
      </c>
      <c r="G47" s="2088">
        <f t="shared" si="3"/>
        <v>5.5721405750798709</v>
      </c>
      <c r="H47" s="2087">
        <v>74.91</v>
      </c>
      <c r="I47" s="2087">
        <v>57.7</v>
      </c>
      <c r="J47" s="2087">
        <v>2.12</v>
      </c>
      <c r="K47" s="2089"/>
      <c r="L47" s="2088">
        <f t="shared" si="5"/>
        <v>154.97</v>
      </c>
      <c r="M47" s="2088">
        <f t="shared" si="4"/>
        <v>138.18214057507987</v>
      </c>
      <c r="O47" s="2091" t="str">
        <f t="shared" si="7"/>
        <v>Вспомогательные материалы</v>
      </c>
      <c r="P47" s="2090" t="b">
        <f>O47='[39]СС 2015 (0)'!O47</f>
        <v>1</v>
      </c>
    </row>
    <row r="48" spans="3:17" s="2090" customFormat="1" ht="24" outlineLevel="2">
      <c r="C48" s="2085" t="s">
        <v>3802</v>
      </c>
      <c r="D48" s="2092">
        <f t="shared" si="1"/>
        <v>76.52</v>
      </c>
      <c r="E48" s="2087">
        <v>13.27</v>
      </c>
      <c r="F48" s="2088">
        <f t="shared" si="2"/>
        <v>9.9630990415335461</v>
      </c>
      <c r="G48" s="2088">
        <f t="shared" si="3"/>
        <v>3.3069009584664535</v>
      </c>
      <c r="H48" s="2087">
        <v>47.06</v>
      </c>
      <c r="I48" s="2087">
        <v>14.72</v>
      </c>
      <c r="J48" s="2087">
        <v>1.47</v>
      </c>
      <c r="K48" s="2089"/>
      <c r="L48" s="2088">
        <f t="shared" si="5"/>
        <v>75.05</v>
      </c>
      <c r="M48" s="2088">
        <f t="shared" si="4"/>
        <v>65.086900958466458</v>
      </c>
      <c r="O48" s="2091" t="str">
        <f t="shared" si="7"/>
        <v>Вспомогательные материалы</v>
      </c>
      <c r="P48" s="2090" t="b">
        <f>O48='[39]СС 2015 (0)'!O48</f>
        <v>1</v>
      </c>
    </row>
    <row r="49" spans="3:16" s="2090" customFormat="1" ht="24" outlineLevel="2">
      <c r="C49" s="2085" t="s">
        <v>1359</v>
      </c>
      <c r="D49" s="2092">
        <f t="shared" si="1"/>
        <v>68.36999999999999</v>
      </c>
      <c r="E49" s="2087">
        <v>8.7899999999999991</v>
      </c>
      <c r="F49" s="2088">
        <f t="shared" si="2"/>
        <v>6.5995207667731624</v>
      </c>
      <c r="G49" s="2088">
        <f t="shared" si="3"/>
        <v>2.1904792332268368</v>
      </c>
      <c r="H49" s="2087">
        <v>28.06</v>
      </c>
      <c r="I49" s="2087">
        <v>30.57</v>
      </c>
      <c r="J49" s="2087">
        <v>0.95</v>
      </c>
      <c r="K49" s="2089"/>
      <c r="L49" s="2088">
        <f t="shared" si="5"/>
        <v>67.419999999999987</v>
      </c>
      <c r="M49" s="2088">
        <f t="shared" si="4"/>
        <v>60.820479233226827</v>
      </c>
      <c r="O49" s="2091" t="str">
        <f t="shared" si="7"/>
        <v>Вспомогательные материалы</v>
      </c>
      <c r="P49" s="2090" t="b">
        <f>O49='[39]СС 2015 (0)'!O49</f>
        <v>1</v>
      </c>
    </row>
    <row r="50" spans="3:16" s="2090" customFormat="1" ht="24" outlineLevel="2">
      <c r="C50" s="2085" t="s">
        <v>1360</v>
      </c>
      <c r="D50" s="2092">
        <f t="shared" si="1"/>
        <v>61.789999999999992</v>
      </c>
      <c r="E50" s="2087">
        <v>8.7200000000000006</v>
      </c>
      <c r="F50" s="2088">
        <f t="shared" si="2"/>
        <v>6.5469648562300327</v>
      </c>
      <c r="G50" s="2088">
        <f t="shared" si="3"/>
        <v>2.173035143769968</v>
      </c>
      <c r="H50" s="2087">
        <v>41.87</v>
      </c>
      <c r="I50" s="2087">
        <v>10.79</v>
      </c>
      <c r="J50" s="2087">
        <v>0.41</v>
      </c>
      <c r="K50" s="2089"/>
      <c r="L50" s="2088">
        <f t="shared" si="5"/>
        <v>61.379999999999995</v>
      </c>
      <c r="M50" s="2088">
        <f t="shared" si="4"/>
        <v>54.833035143769962</v>
      </c>
      <c r="O50" s="2091" t="str">
        <f t="shared" si="7"/>
        <v>Вспомогательные материалы</v>
      </c>
      <c r="P50" s="2090" t="b">
        <f>O50='[39]СС 2015 (0)'!O50</f>
        <v>1</v>
      </c>
    </row>
    <row r="51" spans="3:16" s="2090" customFormat="1" ht="24" outlineLevel="2">
      <c r="C51" s="2085" t="s">
        <v>3803</v>
      </c>
      <c r="D51" s="2092">
        <f t="shared" si="1"/>
        <v>5.6000000000000005</v>
      </c>
      <c r="E51" s="2087">
        <v>0.7</v>
      </c>
      <c r="F51" s="2088">
        <f t="shared" si="2"/>
        <v>0.52555910543130979</v>
      </c>
      <c r="G51" s="2088">
        <f t="shared" si="3"/>
        <v>0.17444089456869016</v>
      </c>
      <c r="H51" s="2087">
        <v>2.2999999999999998</v>
      </c>
      <c r="I51" s="2087">
        <v>2.37</v>
      </c>
      <c r="J51" s="2087">
        <v>0.23</v>
      </c>
      <c r="K51" s="2089"/>
      <c r="L51" s="2088">
        <f t="shared" si="5"/>
        <v>5.37</v>
      </c>
      <c r="M51" s="2088">
        <f t="shared" si="4"/>
        <v>4.8444408945686899</v>
      </c>
      <c r="O51" s="2091" t="str">
        <f t="shared" si="7"/>
        <v>Вспомогательные материалы</v>
      </c>
      <c r="P51" s="2090" t="b">
        <f>O51='[39]СС 2015 (0)'!O51</f>
        <v>1</v>
      </c>
    </row>
    <row r="52" spans="3:16" s="2090" customFormat="1" ht="60" outlineLevel="2">
      <c r="C52" s="2085" t="s">
        <v>1361</v>
      </c>
      <c r="D52" s="2092">
        <f t="shared" si="1"/>
        <v>46250.78</v>
      </c>
      <c r="E52" s="2087">
        <v>6660.59</v>
      </c>
      <c r="F52" s="2088">
        <f t="shared" si="2"/>
        <v>5000.7624600638974</v>
      </c>
      <c r="G52" s="2088">
        <f t="shared" si="3"/>
        <v>1659.8275399361028</v>
      </c>
      <c r="H52" s="2087">
        <v>27402.720000000001</v>
      </c>
      <c r="I52" s="2087">
        <v>11324.46</v>
      </c>
      <c r="J52" s="2087">
        <v>863.01</v>
      </c>
      <c r="K52" s="2089"/>
      <c r="L52" s="2088">
        <f t="shared" si="5"/>
        <v>45387.77</v>
      </c>
      <c r="M52" s="2088">
        <f t="shared" si="4"/>
        <v>40387.007539936101</v>
      </c>
      <c r="O52" s="2091" t="str">
        <f>$C$162</f>
        <v xml:space="preserve"> - налоги и сборы, уменьшающие налогооблагаемую базу на прибыль организаций, всего</v>
      </c>
      <c r="P52" s="2090" t="b">
        <f>O52='[39]СС 2015 (0)'!O52</f>
        <v>1</v>
      </c>
    </row>
    <row r="53" spans="3:16" s="2090" customFormat="1" ht="24" outlineLevel="2">
      <c r="C53" s="2085" t="s">
        <v>1362</v>
      </c>
      <c r="D53" s="2092">
        <f t="shared" si="1"/>
        <v>18221.13</v>
      </c>
      <c r="E53" s="2087">
        <v>3101.65</v>
      </c>
      <c r="F53" s="2088">
        <f t="shared" si="2"/>
        <v>2328.7148562300322</v>
      </c>
      <c r="G53" s="2088">
        <f t="shared" si="3"/>
        <v>772.93514376996791</v>
      </c>
      <c r="H53" s="2087">
        <v>10977.9</v>
      </c>
      <c r="I53" s="2087">
        <v>3964.56</v>
      </c>
      <c r="J53" s="2087">
        <v>177.02</v>
      </c>
      <c r="K53" s="2089"/>
      <c r="L53" s="2088">
        <f t="shared" si="5"/>
        <v>18044.11</v>
      </c>
      <c r="M53" s="2088">
        <f t="shared" si="4"/>
        <v>15715.395143769969</v>
      </c>
      <c r="O53" s="2091" t="str">
        <f>$C$186</f>
        <v>Оплата дней нетрудоспособности</v>
      </c>
      <c r="P53" s="2090" t="b">
        <f>O53='[39]СС 2015 (0)'!O53</f>
        <v>1</v>
      </c>
    </row>
    <row r="54" spans="3:16" s="2090" customFormat="1" ht="24" outlineLevel="2">
      <c r="C54" s="2085" t="s">
        <v>1363</v>
      </c>
      <c r="D54" s="2092">
        <f t="shared" si="1"/>
        <v>29093.21</v>
      </c>
      <c r="E54" s="2087">
        <v>9806.01</v>
      </c>
      <c r="F54" s="2088">
        <f t="shared" si="2"/>
        <v>7362.3397763578278</v>
      </c>
      <c r="G54" s="2088">
        <f t="shared" si="3"/>
        <v>2443.6702236421725</v>
      </c>
      <c r="H54" s="2087">
        <v>12548.01</v>
      </c>
      <c r="I54" s="2087">
        <v>6095.01</v>
      </c>
      <c r="J54" s="2087">
        <v>644.17999999999995</v>
      </c>
      <c r="K54" s="2089"/>
      <c r="L54" s="2088">
        <f t="shared" si="5"/>
        <v>28449.03</v>
      </c>
      <c r="M54" s="2088">
        <f t="shared" si="4"/>
        <v>21086.69022364217</v>
      </c>
      <c r="O54" s="2091" t="str">
        <f>$C$158</f>
        <v>Оплата труда ППП (без соц. отчислений)</v>
      </c>
      <c r="P54" s="2090" t="b">
        <f>O54='[39]СС 2015 (0)'!O54</f>
        <v>1</v>
      </c>
    </row>
    <row r="55" spans="3:16" s="2090" customFormat="1" ht="24" outlineLevel="2">
      <c r="C55" s="2085" t="s">
        <v>1364</v>
      </c>
      <c r="D55" s="2092">
        <f t="shared" si="1"/>
        <v>1649945.25</v>
      </c>
      <c r="E55" s="2087">
        <v>306251.84000000003</v>
      </c>
      <c r="F55" s="2088">
        <f t="shared" si="2"/>
        <v>229933.49009584665</v>
      </c>
      <c r="G55" s="2088">
        <f t="shared" si="3"/>
        <v>76318.34990415338</v>
      </c>
      <c r="H55" s="2087">
        <v>890070.43</v>
      </c>
      <c r="I55" s="2087">
        <v>428201.01</v>
      </c>
      <c r="J55" s="2087">
        <v>25421.97</v>
      </c>
      <c r="K55" s="2089"/>
      <c r="L55" s="2088">
        <f t="shared" si="5"/>
        <v>1624523.28</v>
      </c>
      <c r="M55" s="2088">
        <f t="shared" si="4"/>
        <v>1394589.7899041534</v>
      </c>
      <c r="O55" s="2091" t="str">
        <f>$C$158</f>
        <v>Оплата труда ППП (без соц. отчислений)</v>
      </c>
      <c r="P55" s="2090" t="b">
        <f>O55='[39]СС 2015 (0)'!O55</f>
        <v>1</v>
      </c>
    </row>
    <row r="56" spans="3:16" s="2090" customFormat="1" ht="12" outlineLevel="2">
      <c r="C56" s="2085" t="s">
        <v>1365</v>
      </c>
      <c r="D56" s="2092">
        <f t="shared" si="1"/>
        <v>3504.15</v>
      </c>
      <c r="E56" s="2087">
        <v>513.6</v>
      </c>
      <c r="F56" s="2088">
        <f t="shared" si="2"/>
        <v>385.61022364217257</v>
      </c>
      <c r="G56" s="2088">
        <f t="shared" si="3"/>
        <v>127.98977635782745</v>
      </c>
      <c r="H56" s="2087">
        <v>2108.8200000000002</v>
      </c>
      <c r="I56" s="2087">
        <v>824.9</v>
      </c>
      <c r="J56" s="2087">
        <v>56.83</v>
      </c>
      <c r="K56" s="2089"/>
      <c r="L56" s="2088">
        <f t="shared" si="5"/>
        <v>3447.32</v>
      </c>
      <c r="M56" s="2088">
        <f t="shared" si="4"/>
        <v>3061.7097763578276</v>
      </c>
      <c r="O56" s="2091" t="str">
        <f>$C$187</f>
        <v>Повышение квалификации</v>
      </c>
      <c r="P56" s="2090" t="b">
        <f>O56='[39]СС 2015 (0)'!O56</f>
        <v>1</v>
      </c>
    </row>
    <row r="57" spans="3:16" s="2090" customFormat="1" ht="12" outlineLevel="2">
      <c r="C57" s="2085" t="s">
        <v>1367</v>
      </c>
      <c r="D57" s="2092">
        <f t="shared" si="1"/>
        <v>6013.66</v>
      </c>
      <c r="E57" s="2087">
        <v>881.73</v>
      </c>
      <c r="F57" s="2088">
        <f t="shared" si="2"/>
        <v>662.00175718849846</v>
      </c>
      <c r="G57" s="2088">
        <f t="shared" si="3"/>
        <v>219.72824281150156</v>
      </c>
      <c r="H57" s="2087">
        <v>3073.19</v>
      </c>
      <c r="I57" s="2087">
        <v>1964.51</v>
      </c>
      <c r="J57" s="2087">
        <v>94.23</v>
      </c>
      <c r="K57" s="2089"/>
      <c r="L57" s="2088">
        <f t="shared" si="5"/>
        <v>5919.43</v>
      </c>
      <c r="M57" s="2088">
        <f t="shared" si="4"/>
        <v>5257.4282428115021</v>
      </c>
      <c r="O57" s="2091" t="str">
        <f>$C$187</f>
        <v>Повышение квалификации</v>
      </c>
      <c r="P57" s="2090" t="b">
        <f>O57='[39]СС 2015 (0)'!O57</f>
        <v>1</v>
      </c>
    </row>
    <row r="58" spans="3:16" s="2090" customFormat="1" ht="24" outlineLevel="2">
      <c r="C58" s="2085" t="s">
        <v>1368</v>
      </c>
      <c r="D58" s="2092">
        <f t="shared" si="1"/>
        <v>1541.26</v>
      </c>
      <c r="E58" s="2087">
        <v>254.69</v>
      </c>
      <c r="F58" s="2088">
        <f t="shared" si="2"/>
        <v>191.22092651757188</v>
      </c>
      <c r="G58" s="2088">
        <f t="shared" si="3"/>
        <v>63.469073482428115</v>
      </c>
      <c r="H58" s="2087">
        <v>916.99</v>
      </c>
      <c r="I58" s="2087">
        <v>369.58</v>
      </c>
      <c r="J58" s="2087"/>
      <c r="K58" s="2089"/>
      <c r="L58" s="2088">
        <f t="shared" si="5"/>
        <v>1541.26</v>
      </c>
      <c r="M58" s="2088">
        <f t="shared" si="4"/>
        <v>1350.0390734824282</v>
      </c>
      <c r="O58" s="2091" t="str">
        <f t="shared" ref="O58:O67" si="9">$C$153</f>
        <v>Вспомогательные материалы</v>
      </c>
      <c r="P58" s="2090" t="b">
        <f>O58='[39]СС 2015 (0)'!O58</f>
        <v>1</v>
      </c>
    </row>
    <row r="59" spans="3:16" s="2090" customFormat="1" ht="24" outlineLevel="2">
      <c r="C59" s="2085" t="s">
        <v>1369</v>
      </c>
      <c r="D59" s="2092">
        <f t="shared" si="1"/>
        <v>1496.43</v>
      </c>
      <c r="E59" s="2087">
        <v>223.83</v>
      </c>
      <c r="F59" s="2088">
        <f t="shared" si="2"/>
        <v>168.05127795527159</v>
      </c>
      <c r="G59" s="2088">
        <f t="shared" si="3"/>
        <v>55.778722044728426</v>
      </c>
      <c r="H59" s="2087">
        <v>910.08</v>
      </c>
      <c r="I59" s="2087">
        <v>336.75</v>
      </c>
      <c r="J59" s="2087">
        <v>25.77</v>
      </c>
      <c r="K59" s="2089"/>
      <c r="L59" s="2088">
        <f t="shared" si="5"/>
        <v>1470.66</v>
      </c>
      <c r="M59" s="2088">
        <f t="shared" si="4"/>
        <v>1302.6087220447284</v>
      </c>
      <c r="O59" s="2091" t="str">
        <f t="shared" si="9"/>
        <v>Вспомогательные материалы</v>
      </c>
      <c r="P59" s="2090" t="b">
        <f>O59='[39]СС 2015 (0)'!O59</f>
        <v>1</v>
      </c>
    </row>
    <row r="60" spans="3:16" s="2090" customFormat="1" ht="24" outlineLevel="2">
      <c r="C60" s="2085" t="s">
        <v>1370</v>
      </c>
      <c r="D60" s="2092">
        <f t="shared" si="1"/>
        <v>1892.6100000000001</v>
      </c>
      <c r="E60" s="2087">
        <v>334.48</v>
      </c>
      <c r="F60" s="2088">
        <f t="shared" si="2"/>
        <v>251.12715654952078</v>
      </c>
      <c r="G60" s="2088">
        <f t="shared" si="3"/>
        <v>83.352843450479241</v>
      </c>
      <c r="H60" s="2087">
        <v>1029.1099999999999</v>
      </c>
      <c r="I60" s="2087">
        <v>518.89</v>
      </c>
      <c r="J60" s="2087">
        <v>10.130000000000001</v>
      </c>
      <c r="K60" s="2089"/>
      <c r="L60" s="2088">
        <f t="shared" si="5"/>
        <v>1882.48</v>
      </c>
      <c r="M60" s="2088">
        <f t="shared" si="4"/>
        <v>1631.3528434504792</v>
      </c>
      <c r="O60" s="2091" t="str">
        <f t="shared" si="9"/>
        <v>Вспомогательные материалы</v>
      </c>
      <c r="P60" s="2090" t="b">
        <f>O60='[39]СС 2015 (0)'!O60</f>
        <v>1</v>
      </c>
    </row>
    <row r="61" spans="3:16" s="2090" customFormat="1" ht="24" outlineLevel="2">
      <c r="C61" s="2085" t="s">
        <v>1371</v>
      </c>
      <c r="D61" s="2092">
        <f t="shared" si="1"/>
        <v>1453.48</v>
      </c>
      <c r="E61" s="2087">
        <v>235.36</v>
      </c>
      <c r="F61" s="2088">
        <f t="shared" si="2"/>
        <v>176.70798722044731</v>
      </c>
      <c r="G61" s="2088">
        <f t="shared" si="3"/>
        <v>58.652012779552706</v>
      </c>
      <c r="H61" s="2087">
        <v>844.32</v>
      </c>
      <c r="I61" s="2087">
        <v>372.46</v>
      </c>
      <c r="J61" s="2087">
        <v>1.34</v>
      </c>
      <c r="K61" s="2089"/>
      <c r="L61" s="2088">
        <f t="shared" si="5"/>
        <v>1452.14</v>
      </c>
      <c r="M61" s="2088">
        <f t="shared" si="4"/>
        <v>1275.4320127795529</v>
      </c>
      <c r="O61" s="2091" t="str">
        <f t="shared" si="9"/>
        <v>Вспомогательные материалы</v>
      </c>
      <c r="P61" s="2090" t="b">
        <f>O61='[39]СС 2015 (0)'!O61</f>
        <v>1</v>
      </c>
    </row>
    <row r="62" spans="3:16" s="2090" customFormat="1" ht="24" outlineLevel="2">
      <c r="C62" s="2085" t="s">
        <v>1372</v>
      </c>
      <c r="D62" s="2092">
        <f t="shared" si="1"/>
        <v>586.85</v>
      </c>
      <c r="E62" s="2087">
        <v>81.99</v>
      </c>
      <c r="F62" s="2088">
        <f t="shared" si="2"/>
        <v>61.557987220447288</v>
      </c>
      <c r="G62" s="2088">
        <f t="shared" si="3"/>
        <v>20.432012779552707</v>
      </c>
      <c r="H62" s="2087">
        <v>311.76</v>
      </c>
      <c r="I62" s="2087">
        <v>185.71</v>
      </c>
      <c r="J62" s="2087">
        <v>7.39</v>
      </c>
      <c r="K62" s="2089"/>
      <c r="L62" s="2088">
        <f t="shared" si="5"/>
        <v>579.46</v>
      </c>
      <c r="M62" s="2088">
        <f t="shared" si="4"/>
        <v>517.90201277955271</v>
      </c>
      <c r="O62" s="2091" t="str">
        <f t="shared" si="9"/>
        <v>Вспомогательные материалы</v>
      </c>
      <c r="P62" s="2090" t="b">
        <f>O62='[39]СС 2015 (0)'!O62</f>
        <v>1</v>
      </c>
    </row>
    <row r="63" spans="3:16" s="2090" customFormat="1" ht="24" outlineLevel="2">
      <c r="C63" s="2085" t="s">
        <v>1373</v>
      </c>
      <c r="D63" s="2092">
        <f t="shared" si="1"/>
        <v>913.40000000000009</v>
      </c>
      <c r="E63" s="2087">
        <v>146.01</v>
      </c>
      <c r="F63" s="2088">
        <f t="shared" si="2"/>
        <v>109.62412140575078</v>
      </c>
      <c r="G63" s="2088">
        <f t="shared" si="3"/>
        <v>36.385878594249206</v>
      </c>
      <c r="H63" s="2087">
        <v>554.34</v>
      </c>
      <c r="I63" s="2087">
        <v>204.86</v>
      </c>
      <c r="J63" s="2087">
        <v>8.19</v>
      </c>
      <c r="K63" s="2089"/>
      <c r="L63" s="2088">
        <f t="shared" si="5"/>
        <v>905.21</v>
      </c>
      <c r="M63" s="2088">
        <f t="shared" si="4"/>
        <v>795.58587859424927</v>
      </c>
      <c r="O63" s="2091" t="str">
        <f t="shared" si="9"/>
        <v>Вспомогательные материалы</v>
      </c>
      <c r="P63" s="2090" t="b">
        <f>O63='[39]СС 2015 (0)'!O63</f>
        <v>1</v>
      </c>
    </row>
    <row r="64" spans="3:16" s="2090" customFormat="1" ht="24" outlineLevel="2">
      <c r="C64" s="2085" t="s">
        <v>1374</v>
      </c>
      <c r="D64" s="2092">
        <f t="shared" si="1"/>
        <v>743.05000000000007</v>
      </c>
      <c r="E64" s="2087">
        <v>118.2</v>
      </c>
      <c r="F64" s="2088">
        <f t="shared" si="2"/>
        <v>88.744408945686899</v>
      </c>
      <c r="G64" s="2088">
        <f t="shared" si="3"/>
        <v>29.455591054313103</v>
      </c>
      <c r="H64" s="2087">
        <v>430.48</v>
      </c>
      <c r="I64" s="2087">
        <v>192.3</v>
      </c>
      <c r="J64" s="2087">
        <v>2.0699999999999998</v>
      </c>
      <c r="K64" s="2089"/>
      <c r="L64" s="2088">
        <f t="shared" si="5"/>
        <v>740.98</v>
      </c>
      <c r="M64" s="2088">
        <f t="shared" si="4"/>
        <v>652.23559105431309</v>
      </c>
      <c r="O64" s="2091" t="str">
        <f t="shared" si="9"/>
        <v>Вспомогательные материалы</v>
      </c>
      <c r="P64" s="2090" t="b">
        <f>O64='[39]СС 2015 (0)'!O64</f>
        <v>1</v>
      </c>
    </row>
    <row r="65" spans="3:16" s="2090" customFormat="1" ht="24" outlineLevel="2">
      <c r="C65" s="2085" t="s">
        <v>1375</v>
      </c>
      <c r="D65" s="2092">
        <f t="shared" si="1"/>
        <v>1091.53</v>
      </c>
      <c r="E65" s="2087">
        <v>177.98</v>
      </c>
      <c r="F65" s="2088">
        <f t="shared" si="2"/>
        <v>133.62715654952075</v>
      </c>
      <c r="G65" s="2088">
        <f t="shared" si="3"/>
        <v>44.352843450479241</v>
      </c>
      <c r="H65" s="2087">
        <v>658.17</v>
      </c>
      <c r="I65" s="2087">
        <v>249.28</v>
      </c>
      <c r="J65" s="2087">
        <v>6.1</v>
      </c>
      <c r="K65" s="2089"/>
      <c r="L65" s="2088">
        <f t="shared" si="5"/>
        <v>1085.43</v>
      </c>
      <c r="M65" s="2088">
        <f t="shared" si="4"/>
        <v>951.80284345047914</v>
      </c>
      <c r="O65" s="2091" t="str">
        <f t="shared" si="9"/>
        <v>Вспомогательные материалы</v>
      </c>
      <c r="P65" s="2090" t="b">
        <f>O65='[39]СС 2015 (0)'!O65</f>
        <v>1</v>
      </c>
    </row>
    <row r="66" spans="3:16" s="2090" customFormat="1" ht="24" outlineLevel="2">
      <c r="C66" s="2085" t="s">
        <v>1376</v>
      </c>
      <c r="D66" s="2092">
        <f t="shared" si="1"/>
        <v>1566.1399999999999</v>
      </c>
      <c r="E66" s="2087">
        <v>264.88</v>
      </c>
      <c r="F66" s="2088">
        <f t="shared" si="2"/>
        <v>198.87156549520768</v>
      </c>
      <c r="G66" s="2088">
        <f t="shared" si="3"/>
        <v>66.008434504792319</v>
      </c>
      <c r="H66" s="2087">
        <v>821.99</v>
      </c>
      <c r="I66" s="2087">
        <v>453.99</v>
      </c>
      <c r="J66" s="2087">
        <v>25.28</v>
      </c>
      <c r="K66" s="2089"/>
      <c r="L66" s="2088">
        <f t="shared" si="5"/>
        <v>1540.86</v>
      </c>
      <c r="M66" s="2088">
        <f t="shared" si="4"/>
        <v>1341.9884345047922</v>
      </c>
      <c r="O66" s="2091" t="str">
        <f t="shared" si="9"/>
        <v>Вспомогательные материалы</v>
      </c>
      <c r="P66" s="2090" t="b">
        <f>O66='[39]СС 2015 (0)'!O66</f>
        <v>1</v>
      </c>
    </row>
    <row r="67" spans="3:16" s="2090" customFormat="1" ht="24" outlineLevel="2">
      <c r="C67" s="2085" t="s">
        <v>1377</v>
      </c>
      <c r="D67" s="2092">
        <f t="shared" si="1"/>
        <v>45.88</v>
      </c>
      <c r="E67" s="2087">
        <v>6.7</v>
      </c>
      <c r="F67" s="2088">
        <f t="shared" si="2"/>
        <v>5.0303514376996805</v>
      </c>
      <c r="G67" s="2088">
        <f t="shared" si="3"/>
        <v>1.6696485623003197</v>
      </c>
      <c r="H67" s="2087">
        <v>29.85</v>
      </c>
      <c r="I67" s="2087">
        <v>9.1</v>
      </c>
      <c r="J67" s="2087">
        <v>0.23</v>
      </c>
      <c r="K67" s="2089"/>
      <c r="L67" s="2088">
        <f t="shared" si="5"/>
        <v>45.650000000000006</v>
      </c>
      <c r="M67" s="2088">
        <f t="shared" si="4"/>
        <v>40.619648562300327</v>
      </c>
      <c r="O67" s="2091" t="str">
        <f t="shared" si="9"/>
        <v>Вспомогательные материалы</v>
      </c>
      <c r="P67" s="2090" t="b">
        <f>O67='[39]СС 2015 (0)'!O67</f>
        <v>1</v>
      </c>
    </row>
    <row r="68" spans="3:16" s="2090" customFormat="1" ht="48" outlineLevel="2">
      <c r="C68" s="2085" t="s">
        <v>3804</v>
      </c>
      <c r="D68" s="2092">
        <f t="shared" si="1"/>
        <v>38235.68</v>
      </c>
      <c r="E68" s="2087">
        <v>5248.52</v>
      </c>
      <c r="F68" s="2088">
        <f t="shared" si="2"/>
        <v>3940.5821086261985</v>
      </c>
      <c r="G68" s="2088">
        <f t="shared" si="3"/>
        <v>1307.9378913738019</v>
      </c>
      <c r="H68" s="2087">
        <v>17778.97</v>
      </c>
      <c r="I68" s="2087">
        <v>13939.18</v>
      </c>
      <c r="J68" s="2087">
        <v>1269.01</v>
      </c>
      <c r="K68" s="2089"/>
      <c r="L68" s="2088">
        <f t="shared" si="5"/>
        <v>36966.67</v>
      </c>
      <c r="M68" s="2088">
        <f t="shared" si="4"/>
        <v>33026.087891373798</v>
      </c>
      <c r="O68" s="2091" t="str">
        <f>$C$188</f>
        <v>Расходы по управлению собственностью - межевание земельных участков</v>
      </c>
      <c r="P68" s="2090" t="b">
        <f>O68='[39]СС 2015 (0)'!O68</f>
        <v>1</v>
      </c>
    </row>
    <row r="69" spans="3:16" s="2090" customFormat="1" ht="48" outlineLevel="2">
      <c r="C69" s="2085" t="s">
        <v>3805</v>
      </c>
      <c r="D69" s="2092">
        <f t="shared" si="1"/>
        <v>54.7</v>
      </c>
      <c r="E69" s="2087">
        <v>17.34</v>
      </c>
      <c r="F69" s="2088">
        <f t="shared" si="2"/>
        <v>13.018849840255591</v>
      </c>
      <c r="G69" s="2088">
        <f t="shared" si="3"/>
        <v>4.3211501597444091</v>
      </c>
      <c r="H69" s="2087">
        <v>37.36</v>
      </c>
      <c r="I69" s="2087"/>
      <c r="J69" s="2087"/>
      <c r="K69" s="2089"/>
      <c r="L69" s="2088">
        <f t="shared" si="5"/>
        <v>54.7</v>
      </c>
      <c r="M69" s="2088">
        <f t="shared" si="4"/>
        <v>41.681150159744412</v>
      </c>
      <c r="O69" s="2091" t="str">
        <f>$C$188</f>
        <v>Расходы по управлению собственностью - межевание земельных участков</v>
      </c>
      <c r="P69" s="2090" t="b">
        <f>O69='[39]СС 2015 (0)'!O69</f>
        <v>1</v>
      </c>
    </row>
    <row r="70" spans="3:16" s="2090" customFormat="1" ht="48" outlineLevel="2">
      <c r="C70" s="2085" t="s">
        <v>3806</v>
      </c>
      <c r="D70" s="2092">
        <f t="shared" si="1"/>
        <v>3355.29</v>
      </c>
      <c r="E70" s="2087">
        <v>444.27</v>
      </c>
      <c r="F70" s="2088">
        <f t="shared" si="2"/>
        <v>333.55734824281149</v>
      </c>
      <c r="G70" s="2088">
        <f t="shared" si="3"/>
        <v>110.7126517571885</v>
      </c>
      <c r="H70" s="2087">
        <v>1355.67</v>
      </c>
      <c r="I70" s="2087">
        <v>1419.97</v>
      </c>
      <c r="J70" s="2087">
        <v>135.38</v>
      </c>
      <c r="K70" s="2089"/>
      <c r="L70" s="2088">
        <f t="shared" si="5"/>
        <v>3219.91</v>
      </c>
      <c r="M70" s="2088">
        <f t="shared" si="4"/>
        <v>2886.3526517571881</v>
      </c>
      <c r="O70" s="2091" t="str">
        <f>$C$188</f>
        <v>Расходы по управлению собственностью - межевание земельных участков</v>
      </c>
      <c r="P70" s="2090" t="b">
        <f>O70='[39]СС 2015 (0)'!O70</f>
        <v>1</v>
      </c>
    </row>
    <row r="71" spans="3:16" s="2090" customFormat="1" ht="24" outlineLevel="2">
      <c r="C71" s="2085" t="s">
        <v>1381</v>
      </c>
      <c r="D71" s="2092">
        <f t="shared" si="1"/>
        <v>71101.739999999991</v>
      </c>
      <c r="E71" s="2087">
        <v>9759.91</v>
      </c>
      <c r="F71" s="2088">
        <f t="shared" si="2"/>
        <v>7327.7279552715654</v>
      </c>
      <c r="G71" s="2088">
        <f t="shared" si="3"/>
        <v>2432.1820447284344</v>
      </c>
      <c r="H71" s="2087">
        <v>33061.15</v>
      </c>
      <c r="I71" s="2087">
        <v>25920.87</v>
      </c>
      <c r="J71" s="2087">
        <v>2359.81</v>
      </c>
      <c r="K71" s="2089"/>
      <c r="L71" s="2088">
        <f t="shared" si="5"/>
        <v>68741.929999999993</v>
      </c>
      <c r="M71" s="2088">
        <f t="shared" si="4"/>
        <v>61414.20204472843</v>
      </c>
      <c r="O71" s="2091" t="str">
        <f t="shared" ref="O71:O76" si="10">$C$158</f>
        <v>Оплата труда ППП (без соц. отчислений)</v>
      </c>
      <c r="P71" s="2090" t="b">
        <f>O71='[39]СС 2015 (0)'!O71</f>
        <v>1</v>
      </c>
    </row>
    <row r="72" spans="3:16" s="2090" customFormat="1" ht="24" outlineLevel="2">
      <c r="C72" s="2085" t="s">
        <v>1382</v>
      </c>
      <c r="D72" s="2092">
        <f t="shared" si="1"/>
        <v>63496.39</v>
      </c>
      <c r="E72" s="2087">
        <v>9057.7000000000007</v>
      </c>
      <c r="F72" s="2088">
        <f t="shared" si="2"/>
        <v>6800.5095846645372</v>
      </c>
      <c r="G72" s="2088">
        <f t="shared" si="3"/>
        <v>2257.1904153354635</v>
      </c>
      <c r="H72" s="2087">
        <v>34286.03</v>
      </c>
      <c r="I72" s="2087">
        <v>18627.52</v>
      </c>
      <c r="J72" s="2087">
        <v>1525.14</v>
      </c>
      <c r="K72" s="2089"/>
      <c r="L72" s="2088">
        <f t="shared" si="5"/>
        <v>61971.25</v>
      </c>
      <c r="M72" s="2088">
        <f t="shared" si="4"/>
        <v>55170.740415335466</v>
      </c>
      <c r="O72" s="2091" t="str">
        <f t="shared" si="10"/>
        <v>Оплата труда ППП (без соц. отчислений)</v>
      </c>
      <c r="P72" s="2090" t="b">
        <f>O72='[39]СС 2015 (0)'!O72</f>
        <v>1</v>
      </c>
    </row>
    <row r="73" spans="3:16" s="2090" customFormat="1" ht="24" outlineLevel="2">
      <c r="C73" s="2085" t="s">
        <v>1383</v>
      </c>
      <c r="D73" s="2092">
        <f t="shared" ref="D73:D136" si="11">SUM(E73,H73:J73)</f>
        <v>46661.270000000004</v>
      </c>
      <c r="E73" s="2087">
        <v>6405.06</v>
      </c>
      <c r="F73" s="2088">
        <f t="shared" ref="F73:F136" si="12">E73/$P$5*$R$5</f>
        <v>4808.9108626198085</v>
      </c>
      <c r="G73" s="2088">
        <f t="shared" ref="G73:G136" si="13">E73-F73</f>
        <v>1596.1491373801919</v>
      </c>
      <c r="H73" s="2087">
        <v>21696.720000000001</v>
      </c>
      <c r="I73" s="2087">
        <v>17010.84</v>
      </c>
      <c r="J73" s="2087">
        <v>1548.65</v>
      </c>
      <c r="K73" s="2089"/>
      <c r="L73" s="2088">
        <f t="shared" si="5"/>
        <v>45112.62</v>
      </c>
      <c r="M73" s="2088">
        <f t="shared" ref="M73:M136" si="14">D73-F73-J73</f>
        <v>40303.709137380196</v>
      </c>
      <c r="O73" s="2091" t="str">
        <f t="shared" si="10"/>
        <v>Оплата труда ППП (без соц. отчислений)</v>
      </c>
      <c r="P73" s="2090" t="b">
        <f>O73='[39]СС 2015 (0)'!O73</f>
        <v>1</v>
      </c>
    </row>
    <row r="74" spans="3:16" s="2090" customFormat="1" ht="24" outlineLevel="2">
      <c r="C74" s="2085" t="s">
        <v>1384</v>
      </c>
      <c r="D74" s="2092">
        <f t="shared" si="11"/>
        <v>410110.02</v>
      </c>
      <c r="E74" s="2087">
        <v>68252.31</v>
      </c>
      <c r="F74" s="2088">
        <f t="shared" si="12"/>
        <v>51243.747124600639</v>
      </c>
      <c r="G74" s="2088">
        <f t="shared" si="13"/>
        <v>17008.562875399359</v>
      </c>
      <c r="H74" s="2087">
        <v>210430.68</v>
      </c>
      <c r="I74" s="2087">
        <v>122665.4</v>
      </c>
      <c r="J74" s="2087">
        <v>8761.6299999999992</v>
      </c>
      <c r="K74" s="2089"/>
      <c r="L74" s="2088">
        <f t="shared" ref="L74:L137" si="15">D74-J74</f>
        <v>401348.39</v>
      </c>
      <c r="M74" s="2088">
        <f t="shared" si="14"/>
        <v>350104.64287539938</v>
      </c>
      <c r="O74" s="2091" t="str">
        <f t="shared" si="10"/>
        <v>Оплата труда ППП (без соц. отчислений)</v>
      </c>
      <c r="P74" s="2090" t="b">
        <f>O74='[39]СС 2015 (0)'!O74</f>
        <v>1</v>
      </c>
    </row>
    <row r="75" spans="3:16" s="2090" customFormat="1" ht="24" outlineLevel="2">
      <c r="C75" s="2085" t="s">
        <v>1385</v>
      </c>
      <c r="D75" s="2092">
        <f t="shared" si="11"/>
        <v>15634.05</v>
      </c>
      <c r="E75" s="2087">
        <v>3247.4</v>
      </c>
      <c r="F75" s="2088">
        <f t="shared" si="12"/>
        <v>2438.1437699680514</v>
      </c>
      <c r="G75" s="2088">
        <f t="shared" si="13"/>
        <v>809.25623003194869</v>
      </c>
      <c r="H75" s="2087">
        <v>12357.98</v>
      </c>
      <c r="I75" s="2087">
        <v>28.07</v>
      </c>
      <c r="J75" s="2087">
        <v>0.6</v>
      </c>
      <c r="K75" s="2089"/>
      <c r="L75" s="2088">
        <f t="shared" si="15"/>
        <v>15633.449999999999</v>
      </c>
      <c r="M75" s="2088">
        <f t="shared" si="14"/>
        <v>13195.306230031947</v>
      </c>
      <c r="O75" s="2091" t="str">
        <f t="shared" si="10"/>
        <v>Оплата труда ППП (без соц. отчислений)</v>
      </c>
      <c r="P75" s="2090" t="b">
        <f>O75='[39]СС 2015 (0)'!O75</f>
        <v>1</v>
      </c>
    </row>
    <row r="76" spans="3:16" s="2090" customFormat="1" ht="24" outlineLevel="2">
      <c r="C76" s="2085" t="s">
        <v>1386</v>
      </c>
      <c r="D76" s="2092">
        <f t="shared" si="11"/>
        <v>629563.67000000004</v>
      </c>
      <c r="E76" s="2087">
        <v>100619.52</v>
      </c>
      <c r="F76" s="2088">
        <f t="shared" si="12"/>
        <v>75545.007028753986</v>
      </c>
      <c r="G76" s="2088">
        <f t="shared" si="13"/>
        <v>25074.512971246018</v>
      </c>
      <c r="H76" s="2087">
        <v>346880.65</v>
      </c>
      <c r="I76" s="2087">
        <v>171760.22</v>
      </c>
      <c r="J76" s="2087">
        <v>10303.280000000001</v>
      </c>
      <c r="K76" s="2089"/>
      <c r="L76" s="2088">
        <f t="shared" si="15"/>
        <v>619260.39</v>
      </c>
      <c r="M76" s="2088">
        <f t="shared" si="14"/>
        <v>543715.38297124603</v>
      </c>
      <c r="O76" s="2091" t="str">
        <f t="shared" si="10"/>
        <v>Оплата труда ППП (без соц. отчислений)</v>
      </c>
      <c r="P76" s="2090" t="b">
        <f>O76='[39]СС 2015 (0)'!O76</f>
        <v>1</v>
      </c>
    </row>
    <row r="77" spans="3:16" s="2090" customFormat="1" ht="24" outlineLevel="2">
      <c r="C77" s="2085" t="s">
        <v>1387</v>
      </c>
      <c r="D77" s="2092">
        <f t="shared" si="11"/>
        <v>1974.0700000000002</v>
      </c>
      <c r="E77" s="2087">
        <v>537.75</v>
      </c>
      <c r="F77" s="2088">
        <f t="shared" si="12"/>
        <v>403.74201277955274</v>
      </c>
      <c r="G77" s="2088">
        <f t="shared" si="13"/>
        <v>134.00798722044726</v>
      </c>
      <c r="H77" s="2087">
        <v>930.53</v>
      </c>
      <c r="I77" s="2087">
        <v>482.39</v>
      </c>
      <c r="J77" s="2087">
        <v>23.4</v>
      </c>
      <c r="K77" s="2089"/>
      <c r="L77" s="2088">
        <f t="shared" si="15"/>
        <v>1950.67</v>
      </c>
      <c r="M77" s="2088">
        <f t="shared" si="14"/>
        <v>1546.9279872204474</v>
      </c>
      <c r="O77" s="2091" t="str">
        <f>$C$181</f>
        <v>Страхование</v>
      </c>
      <c r="P77" s="2090" t="b">
        <f>O77='[39]СС 2015 (0)'!O77</f>
        <v>1</v>
      </c>
    </row>
    <row r="78" spans="3:16" s="2090" customFormat="1" ht="24" outlineLevel="2">
      <c r="C78" s="2085" t="s">
        <v>1388</v>
      </c>
      <c r="D78" s="2092">
        <f t="shared" si="11"/>
        <v>297.11</v>
      </c>
      <c r="E78" s="2087">
        <v>134.30000000000001</v>
      </c>
      <c r="F78" s="2088">
        <f t="shared" si="12"/>
        <v>100.83226837060704</v>
      </c>
      <c r="G78" s="2088">
        <f t="shared" si="13"/>
        <v>33.467731629392972</v>
      </c>
      <c r="H78" s="2087">
        <v>94.04</v>
      </c>
      <c r="I78" s="2087">
        <v>66.14</v>
      </c>
      <c r="J78" s="2087">
        <v>2.63</v>
      </c>
      <c r="K78" s="2089"/>
      <c r="L78" s="2088">
        <f t="shared" si="15"/>
        <v>294.48</v>
      </c>
      <c r="M78" s="2088">
        <f t="shared" si="14"/>
        <v>193.64773162939298</v>
      </c>
      <c r="O78" s="2091" t="str">
        <f>$C$181</f>
        <v>Страхование</v>
      </c>
      <c r="P78" s="2090" t="b">
        <f>O78='[39]СС 2015 (0)'!O78</f>
        <v>1</v>
      </c>
    </row>
    <row r="79" spans="3:16" s="2090" customFormat="1" ht="12" outlineLevel="2">
      <c r="C79" s="2085" t="s">
        <v>1389</v>
      </c>
      <c r="D79" s="2092">
        <f t="shared" si="11"/>
        <v>7294.09</v>
      </c>
      <c r="E79" s="2087">
        <v>1152.21</v>
      </c>
      <c r="F79" s="2088">
        <f t="shared" si="12"/>
        <v>865.07779552715658</v>
      </c>
      <c r="G79" s="2088">
        <f t="shared" si="13"/>
        <v>287.13220447284345</v>
      </c>
      <c r="H79" s="2087">
        <v>4101.99</v>
      </c>
      <c r="I79" s="2087">
        <v>1936.01</v>
      </c>
      <c r="J79" s="2087">
        <v>103.88</v>
      </c>
      <c r="K79" s="2089"/>
      <c r="L79" s="2088">
        <f t="shared" si="15"/>
        <v>7190.21</v>
      </c>
      <c r="M79" s="2088">
        <f t="shared" si="14"/>
        <v>6325.1322044728431</v>
      </c>
      <c r="O79" s="2091" t="str">
        <f>$C$181</f>
        <v>Страхование</v>
      </c>
      <c r="P79" s="2090" t="b">
        <f>O79='[39]СС 2015 (0)'!O79</f>
        <v>1</v>
      </c>
    </row>
    <row r="80" spans="3:16" s="2090" customFormat="1" ht="12" outlineLevel="2">
      <c r="C80" s="2085" t="s">
        <v>1390</v>
      </c>
      <c r="D80" s="2092">
        <f t="shared" si="11"/>
        <v>987.7700000000001</v>
      </c>
      <c r="E80" s="2087">
        <v>164.05</v>
      </c>
      <c r="F80" s="2088">
        <f t="shared" si="12"/>
        <v>123.16853035143772</v>
      </c>
      <c r="G80" s="2088">
        <f t="shared" si="13"/>
        <v>40.881469648562287</v>
      </c>
      <c r="H80" s="2087">
        <v>596.63</v>
      </c>
      <c r="I80" s="2087">
        <v>212.74</v>
      </c>
      <c r="J80" s="2087">
        <v>14.35</v>
      </c>
      <c r="K80" s="2089"/>
      <c r="L80" s="2088">
        <f t="shared" si="15"/>
        <v>973.42000000000007</v>
      </c>
      <c r="M80" s="2088">
        <f t="shared" si="14"/>
        <v>850.25146964856231</v>
      </c>
      <c r="O80" s="2091" t="str">
        <f>$C$181</f>
        <v>Страхование</v>
      </c>
      <c r="P80" s="2090" t="b">
        <f>O80='[39]СС 2015 (0)'!O80</f>
        <v>1</v>
      </c>
    </row>
    <row r="81" spans="3:16" s="2090" customFormat="1" ht="24" outlineLevel="2">
      <c r="C81" s="2085" t="s">
        <v>1391</v>
      </c>
      <c r="D81" s="2092">
        <f t="shared" si="11"/>
        <v>138647.90000000002</v>
      </c>
      <c r="E81" s="2087">
        <v>25389.7</v>
      </c>
      <c r="F81" s="2088">
        <f t="shared" si="12"/>
        <v>19062.554313099041</v>
      </c>
      <c r="G81" s="2088">
        <f t="shared" si="13"/>
        <v>6327.1456869009598</v>
      </c>
      <c r="H81" s="2087">
        <v>75100.92</v>
      </c>
      <c r="I81" s="2087">
        <v>35998.080000000002</v>
      </c>
      <c r="J81" s="2087">
        <v>2159.1999999999998</v>
      </c>
      <c r="K81" s="2089"/>
      <c r="L81" s="2088">
        <f t="shared" si="15"/>
        <v>136488.70000000001</v>
      </c>
      <c r="M81" s="2088">
        <f t="shared" si="14"/>
        <v>117426.14568690099</v>
      </c>
      <c r="O81" s="2091" t="str">
        <f t="shared" ref="O81:O100" si="16">$C$159</f>
        <v>Отчисления на страховые взносы</v>
      </c>
      <c r="P81" s="2090" t="b">
        <f>O81='[39]СС 2015 (0)'!O81</f>
        <v>1</v>
      </c>
    </row>
    <row r="82" spans="3:16" s="2090" customFormat="1" ht="24" outlineLevel="2">
      <c r="C82" s="2085" t="s">
        <v>1396</v>
      </c>
      <c r="D82" s="2092">
        <f t="shared" si="11"/>
        <v>596112.32999999996</v>
      </c>
      <c r="E82" s="2087">
        <v>109243.33</v>
      </c>
      <c r="F82" s="2088">
        <f t="shared" si="12"/>
        <v>82019.752555910542</v>
      </c>
      <c r="G82" s="2088">
        <f t="shared" si="13"/>
        <v>27223.57744408946</v>
      </c>
      <c r="H82" s="2087">
        <v>323016.95</v>
      </c>
      <c r="I82" s="2087">
        <v>154589.97</v>
      </c>
      <c r="J82" s="2087">
        <v>9262.08</v>
      </c>
      <c r="K82" s="2089"/>
      <c r="L82" s="2088">
        <f t="shared" si="15"/>
        <v>586850.25</v>
      </c>
      <c r="M82" s="2088">
        <f t="shared" si="14"/>
        <v>504830.49744408939</v>
      </c>
      <c r="O82" s="2091" t="str">
        <f t="shared" si="16"/>
        <v>Отчисления на страховые взносы</v>
      </c>
      <c r="P82" s="2090" t="b">
        <f>O82='[39]СС 2015 (0)'!O82</f>
        <v>1</v>
      </c>
    </row>
    <row r="83" spans="3:16" s="2090" customFormat="1" ht="36" outlineLevel="2">
      <c r="C83" s="2085" t="s">
        <v>1397</v>
      </c>
      <c r="D83" s="2092">
        <f t="shared" si="11"/>
        <v>15613.47</v>
      </c>
      <c r="E83" s="2087">
        <v>2143.1799999999998</v>
      </c>
      <c r="F83" s="2088">
        <f t="shared" si="12"/>
        <v>1609.0968051118209</v>
      </c>
      <c r="G83" s="2088">
        <f t="shared" si="13"/>
        <v>534.08319488817892</v>
      </c>
      <c r="H83" s="2087">
        <v>7260.05</v>
      </c>
      <c r="I83" s="2087">
        <v>5692.09</v>
      </c>
      <c r="J83" s="2087">
        <v>518.15</v>
      </c>
      <c r="K83" s="2089"/>
      <c r="L83" s="2088">
        <f t="shared" si="15"/>
        <v>15095.32</v>
      </c>
      <c r="M83" s="2088">
        <f t="shared" si="14"/>
        <v>13486.223194888178</v>
      </c>
      <c r="O83" s="2091" t="str">
        <f t="shared" si="16"/>
        <v>Отчисления на страховые взносы</v>
      </c>
      <c r="P83" s="2090" t="b">
        <f>O83='[39]СС 2015 (0)'!O83</f>
        <v>1</v>
      </c>
    </row>
    <row r="84" spans="3:16" s="2090" customFormat="1" ht="36" outlineLevel="2">
      <c r="C84" s="2085" t="s">
        <v>1398</v>
      </c>
      <c r="D84" s="2092">
        <f t="shared" si="11"/>
        <v>11070.67</v>
      </c>
      <c r="E84" s="2087">
        <v>1594.82</v>
      </c>
      <c r="F84" s="2088">
        <f t="shared" si="12"/>
        <v>1197.3888178913737</v>
      </c>
      <c r="G84" s="2088">
        <f t="shared" si="13"/>
        <v>397.43118210862622</v>
      </c>
      <c r="H84" s="2087">
        <v>6195.15</v>
      </c>
      <c r="I84" s="2087">
        <v>3041.33</v>
      </c>
      <c r="J84" s="2087">
        <v>239.37</v>
      </c>
      <c r="K84" s="2089"/>
      <c r="L84" s="2088">
        <f t="shared" si="15"/>
        <v>10831.3</v>
      </c>
      <c r="M84" s="2088">
        <f t="shared" si="14"/>
        <v>9633.9111821086262</v>
      </c>
      <c r="O84" s="2091" t="str">
        <f t="shared" si="16"/>
        <v>Отчисления на страховые взносы</v>
      </c>
      <c r="P84" s="2090" t="b">
        <f>O84='[39]СС 2015 (0)'!O84</f>
        <v>1</v>
      </c>
    </row>
    <row r="85" spans="3:16" s="2090" customFormat="1" ht="36" outlineLevel="2">
      <c r="C85" s="2085" t="s">
        <v>1399</v>
      </c>
      <c r="D85" s="2092">
        <f t="shared" si="11"/>
        <v>10265.35</v>
      </c>
      <c r="E85" s="2087">
        <v>1409.07</v>
      </c>
      <c r="F85" s="2088">
        <f t="shared" si="12"/>
        <v>1057.9279552715655</v>
      </c>
      <c r="G85" s="2088">
        <f t="shared" si="13"/>
        <v>351.14204472843448</v>
      </c>
      <c r="H85" s="2087">
        <v>4773.29</v>
      </c>
      <c r="I85" s="2087">
        <v>3742.38</v>
      </c>
      <c r="J85" s="2087">
        <v>340.61</v>
      </c>
      <c r="K85" s="2089"/>
      <c r="L85" s="2088">
        <f t="shared" si="15"/>
        <v>9924.74</v>
      </c>
      <c r="M85" s="2088">
        <f t="shared" si="14"/>
        <v>8866.8120447284346</v>
      </c>
      <c r="O85" s="2091" t="str">
        <f t="shared" si="16"/>
        <v>Отчисления на страховые взносы</v>
      </c>
      <c r="P85" s="2090" t="b">
        <f>O85='[39]СС 2015 (0)'!O85</f>
        <v>1</v>
      </c>
    </row>
    <row r="86" spans="3:16" s="2090" customFormat="1" ht="24" outlineLevel="2">
      <c r="C86" s="2085" t="s">
        <v>1400</v>
      </c>
      <c r="D86" s="2092">
        <f t="shared" si="11"/>
        <v>79817.52</v>
      </c>
      <c r="E86" s="2087">
        <v>13588.3</v>
      </c>
      <c r="F86" s="2088">
        <f t="shared" si="12"/>
        <v>10202.078274760383</v>
      </c>
      <c r="G86" s="2088">
        <f t="shared" si="13"/>
        <v>3386.2217252396167</v>
      </c>
      <c r="H86" s="2087">
        <v>41463.440000000002</v>
      </c>
      <c r="I86" s="2087">
        <v>23181.82</v>
      </c>
      <c r="J86" s="2087">
        <v>1583.96</v>
      </c>
      <c r="K86" s="2089"/>
      <c r="L86" s="2088">
        <f t="shared" si="15"/>
        <v>78233.56</v>
      </c>
      <c r="M86" s="2088">
        <f t="shared" si="14"/>
        <v>68031.481725239617</v>
      </c>
      <c r="O86" s="2091" t="str">
        <f t="shared" si="16"/>
        <v>Отчисления на страховые взносы</v>
      </c>
      <c r="P86" s="2090" t="b">
        <f>O86='[39]СС 2015 (0)'!O86</f>
        <v>1</v>
      </c>
    </row>
    <row r="87" spans="3:16" s="2090" customFormat="1" ht="24" outlineLevel="2">
      <c r="C87" s="2085" t="s">
        <v>1401</v>
      </c>
      <c r="D87" s="2092">
        <f t="shared" si="11"/>
        <v>10490.5</v>
      </c>
      <c r="E87" s="2087">
        <v>2063.7800000000002</v>
      </c>
      <c r="F87" s="2088">
        <f t="shared" si="12"/>
        <v>1549.4833865814699</v>
      </c>
      <c r="G87" s="2088">
        <f t="shared" si="13"/>
        <v>514.29661341853034</v>
      </c>
      <c r="H87" s="2087">
        <v>5361.67</v>
      </c>
      <c r="I87" s="2087">
        <v>2891.71</v>
      </c>
      <c r="J87" s="2087">
        <v>173.34</v>
      </c>
      <c r="K87" s="2089"/>
      <c r="L87" s="2088">
        <f t="shared" si="15"/>
        <v>10317.16</v>
      </c>
      <c r="M87" s="2088">
        <f t="shared" si="14"/>
        <v>8767.6766134185309</v>
      </c>
      <c r="O87" s="2091" t="str">
        <f t="shared" si="16"/>
        <v>Отчисления на страховые взносы</v>
      </c>
      <c r="P87" s="2090" t="b">
        <f>O87='[39]СС 2015 (0)'!O87</f>
        <v>1</v>
      </c>
    </row>
    <row r="88" spans="3:16" s="2090" customFormat="1" ht="24" outlineLevel="2">
      <c r="C88" s="2085" t="s">
        <v>1402</v>
      </c>
      <c r="D88" s="2092">
        <f t="shared" si="11"/>
        <v>397.31</v>
      </c>
      <c r="E88" s="2087">
        <v>54.48</v>
      </c>
      <c r="F88" s="2088">
        <f t="shared" si="12"/>
        <v>40.903514376996803</v>
      </c>
      <c r="G88" s="2088">
        <f t="shared" si="13"/>
        <v>13.576485623003194</v>
      </c>
      <c r="H88" s="2087">
        <v>184.83</v>
      </c>
      <c r="I88" s="2087">
        <v>144.88999999999999</v>
      </c>
      <c r="J88" s="2087">
        <v>13.11</v>
      </c>
      <c r="K88" s="2089"/>
      <c r="L88" s="2088">
        <f t="shared" si="15"/>
        <v>384.2</v>
      </c>
      <c r="M88" s="2088">
        <f t="shared" si="14"/>
        <v>343.29648562300321</v>
      </c>
      <c r="O88" s="2091" t="str">
        <f t="shared" si="16"/>
        <v>Отчисления на страховые взносы</v>
      </c>
      <c r="P88" s="2090" t="b">
        <f>O88='[39]СС 2015 (0)'!O88</f>
        <v>1</v>
      </c>
    </row>
    <row r="89" spans="3:16" s="2090" customFormat="1" ht="24" outlineLevel="2">
      <c r="C89" s="2085" t="s">
        <v>1403</v>
      </c>
      <c r="D89" s="2092">
        <f t="shared" si="11"/>
        <v>168.34</v>
      </c>
      <c r="E89" s="2087">
        <v>24.09</v>
      </c>
      <c r="F89" s="2088">
        <f t="shared" si="12"/>
        <v>18.086741214057508</v>
      </c>
      <c r="G89" s="2088">
        <f t="shared" si="13"/>
        <v>6.0032587859424922</v>
      </c>
      <c r="H89" s="2087">
        <v>94.72</v>
      </c>
      <c r="I89" s="2087">
        <v>45.86</v>
      </c>
      <c r="J89" s="2087">
        <v>3.67</v>
      </c>
      <c r="K89" s="2089"/>
      <c r="L89" s="2088">
        <f t="shared" si="15"/>
        <v>164.67000000000002</v>
      </c>
      <c r="M89" s="2088">
        <f t="shared" si="14"/>
        <v>146.58325878594252</v>
      </c>
      <c r="O89" s="2091" t="str">
        <f t="shared" si="16"/>
        <v>Отчисления на страховые взносы</v>
      </c>
      <c r="P89" s="2090" t="b">
        <f>O89='[39]СС 2015 (0)'!O89</f>
        <v>1</v>
      </c>
    </row>
    <row r="90" spans="3:16" s="2090" customFormat="1" ht="24" outlineLevel="2">
      <c r="C90" s="2085" t="s">
        <v>1404</v>
      </c>
      <c r="D90" s="2092">
        <f t="shared" si="11"/>
        <v>261.14</v>
      </c>
      <c r="E90" s="2087">
        <v>35.81</v>
      </c>
      <c r="F90" s="2088">
        <f t="shared" si="12"/>
        <v>26.886102236421728</v>
      </c>
      <c r="G90" s="2088">
        <f t="shared" si="13"/>
        <v>8.9238977635782746</v>
      </c>
      <c r="H90" s="2087">
        <v>121.49</v>
      </c>
      <c r="I90" s="2087">
        <v>95.27</v>
      </c>
      <c r="J90" s="2087">
        <v>8.57</v>
      </c>
      <c r="K90" s="2089"/>
      <c r="L90" s="2088">
        <f t="shared" si="15"/>
        <v>252.57</v>
      </c>
      <c r="M90" s="2088">
        <f t="shared" si="14"/>
        <v>225.68389776357827</v>
      </c>
      <c r="O90" s="2091" t="str">
        <f t="shared" si="16"/>
        <v>Отчисления на страховые взносы</v>
      </c>
      <c r="P90" s="2090" t="b">
        <f>O90='[39]СС 2015 (0)'!O90</f>
        <v>1</v>
      </c>
    </row>
    <row r="91" spans="3:16" s="2090" customFormat="1" ht="24" outlineLevel="2">
      <c r="C91" s="2085" t="s">
        <v>1405</v>
      </c>
      <c r="D91" s="2092">
        <f t="shared" si="11"/>
        <v>1785.56</v>
      </c>
      <c r="E91" s="2087">
        <v>315.77999999999997</v>
      </c>
      <c r="F91" s="2088">
        <f t="shared" si="12"/>
        <v>237.0872204472843</v>
      </c>
      <c r="G91" s="2088">
        <f t="shared" si="13"/>
        <v>78.692779552715677</v>
      </c>
      <c r="H91" s="2087">
        <v>921.99</v>
      </c>
      <c r="I91" s="2087">
        <v>511.98</v>
      </c>
      <c r="J91" s="2087">
        <v>35.81</v>
      </c>
      <c r="K91" s="2089"/>
      <c r="L91" s="2088">
        <f t="shared" si="15"/>
        <v>1749.75</v>
      </c>
      <c r="M91" s="2088">
        <f t="shared" si="14"/>
        <v>1512.6627795527156</v>
      </c>
      <c r="O91" s="2091" t="str">
        <f t="shared" si="16"/>
        <v>Отчисления на страховые взносы</v>
      </c>
      <c r="P91" s="2090" t="b">
        <f>O91='[39]СС 2015 (0)'!O91</f>
        <v>1</v>
      </c>
    </row>
    <row r="92" spans="3:16" s="2090" customFormat="1" ht="24" outlineLevel="2">
      <c r="C92" s="2085" t="s">
        <v>1406</v>
      </c>
      <c r="D92" s="2092">
        <f t="shared" si="11"/>
        <v>78223.55</v>
      </c>
      <c r="E92" s="2087">
        <v>14349.78</v>
      </c>
      <c r="F92" s="2088">
        <f t="shared" si="12"/>
        <v>10773.796485623003</v>
      </c>
      <c r="G92" s="2088">
        <f t="shared" si="13"/>
        <v>3575.9835143769978</v>
      </c>
      <c r="H92" s="2087">
        <v>42403.23</v>
      </c>
      <c r="I92" s="2087">
        <v>20259.27</v>
      </c>
      <c r="J92" s="2087">
        <v>1211.27</v>
      </c>
      <c r="K92" s="2089"/>
      <c r="L92" s="2088">
        <f t="shared" si="15"/>
        <v>77012.28</v>
      </c>
      <c r="M92" s="2088">
        <f t="shared" si="14"/>
        <v>66238.483514376989</v>
      </c>
      <c r="O92" s="2091" t="str">
        <f t="shared" si="16"/>
        <v>Отчисления на страховые взносы</v>
      </c>
      <c r="P92" s="2090" t="b">
        <f>O92='[39]СС 2015 (0)'!O92</f>
        <v>1</v>
      </c>
    </row>
    <row r="93" spans="3:16" s="2090" customFormat="1" ht="36" outlineLevel="2">
      <c r="C93" s="2085" t="s">
        <v>1407</v>
      </c>
      <c r="D93" s="2092">
        <f t="shared" si="11"/>
        <v>2058.1799999999998</v>
      </c>
      <c r="E93" s="2087">
        <v>282.52999999999997</v>
      </c>
      <c r="F93" s="2088">
        <f t="shared" si="12"/>
        <v>212.12316293929712</v>
      </c>
      <c r="G93" s="2088">
        <f t="shared" si="13"/>
        <v>70.406837060702856</v>
      </c>
      <c r="H93" s="2087">
        <v>956.98</v>
      </c>
      <c r="I93" s="2087">
        <v>750.32</v>
      </c>
      <c r="J93" s="2087">
        <v>68.349999999999994</v>
      </c>
      <c r="K93" s="2089"/>
      <c r="L93" s="2088">
        <f t="shared" si="15"/>
        <v>1989.83</v>
      </c>
      <c r="M93" s="2088">
        <f t="shared" si="14"/>
        <v>1777.7068370607028</v>
      </c>
      <c r="O93" s="2091" t="str">
        <f t="shared" si="16"/>
        <v>Отчисления на страховые взносы</v>
      </c>
      <c r="P93" s="2090" t="b">
        <f>O93='[39]СС 2015 (0)'!O93</f>
        <v>1</v>
      </c>
    </row>
    <row r="94" spans="3:16" s="2090" customFormat="1" ht="36" outlineLevel="2">
      <c r="C94" s="2085" t="s">
        <v>1408</v>
      </c>
      <c r="D94" s="2092">
        <f t="shared" si="11"/>
        <v>1185.47</v>
      </c>
      <c r="E94" s="2087">
        <v>165.57</v>
      </c>
      <c r="F94" s="2088">
        <f t="shared" si="12"/>
        <v>124.30974440894569</v>
      </c>
      <c r="G94" s="2088">
        <f t="shared" si="13"/>
        <v>41.260255591054303</v>
      </c>
      <c r="H94" s="2087">
        <v>644.34</v>
      </c>
      <c r="I94" s="2087">
        <v>345.19</v>
      </c>
      <c r="J94" s="2087">
        <v>30.37</v>
      </c>
      <c r="K94" s="2089"/>
      <c r="L94" s="2088">
        <f t="shared" si="15"/>
        <v>1155.1000000000001</v>
      </c>
      <c r="M94" s="2088">
        <f t="shared" si="14"/>
        <v>1030.7902555910543</v>
      </c>
      <c r="O94" s="2091" t="str">
        <f t="shared" si="16"/>
        <v>Отчисления на страховые взносы</v>
      </c>
      <c r="P94" s="2090" t="b">
        <f>O94='[39]СС 2015 (0)'!O94</f>
        <v>1</v>
      </c>
    </row>
    <row r="95" spans="3:16" s="2090" customFormat="1" ht="36" outlineLevel="2">
      <c r="C95" s="2085" t="s">
        <v>1409</v>
      </c>
      <c r="D95" s="2092">
        <f t="shared" si="11"/>
        <v>1353.19</v>
      </c>
      <c r="E95" s="2087">
        <v>185.77</v>
      </c>
      <c r="F95" s="2088">
        <f t="shared" si="12"/>
        <v>139.4758785942492</v>
      </c>
      <c r="G95" s="2088">
        <f t="shared" si="13"/>
        <v>46.294121405750815</v>
      </c>
      <c r="H95" s="2087">
        <v>629.21</v>
      </c>
      <c r="I95" s="2087">
        <v>493.3</v>
      </c>
      <c r="J95" s="2087">
        <v>44.91</v>
      </c>
      <c r="K95" s="2089"/>
      <c r="L95" s="2088">
        <f t="shared" si="15"/>
        <v>1308.28</v>
      </c>
      <c r="M95" s="2088">
        <f t="shared" si="14"/>
        <v>1168.8041214057507</v>
      </c>
      <c r="O95" s="2091" t="str">
        <f t="shared" si="16"/>
        <v>Отчисления на страховые взносы</v>
      </c>
      <c r="P95" s="2090" t="b">
        <f>O95='[39]СС 2015 (0)'!O95</f>
        <v>1</v>
      </c>
    </row>
    <row r="96" spans="3:16" s="2090" customFormat="1" ht="24" outlineLevel="2">
      <c r="C96" s="2085" t="s">
        <v>1410</v>
      </c>
      <c r="D96" s="2092">
        <f t="shared" si="11"/>
        <v>10697.37</v>
      </c>
      <c r="E96" s="2087">
        <v>1814.52</v>
      </c>
      <c r="F96" s="2088">
        <f t="shared" si="12"/>
        <v>1362.3392971246005</v>
      </c>
      <c r="G96" s="2088">
        <f t="shared" si="13"/>
        <v>452.18070287539945</v>
      </c>
      <c r="H96" s="2087">
        <v>5545.81</v>
      </c>
      <c r="I96" s="2087">
        <v>3122.6</v>
      </c>
      <c r="J96" s="2087">
        <v>214.44</v>
      </c>
      <c r="K96" s="2089"/>
      <c r="L96" s="2088">
        <f t="shared" si="15"/>
        <v>10482.93</v>
      </c>
      <c r="M96" s="2088">
        <f t="shared" si="14"/>
        <v>9120.5907028753991</v>
      </c>
      <c r="O96" s="2091" t="str">
        <f t="shared" si="16"/>
        <v>Отчисления на страховые взносы</v>
      </c>
      <c r="P96" s="2090" t="b">
        <f>O96='[39]СС 2015 (0)'!O96</f>
        <v>1</v>
      </c>
    </row>
    <row r="97" spans="3:16" s="2090" customFormat="1" ht="24" outlineLevel="2">
      <c r="C97" s="2085" t="s">
        <v>3807</v>
      </c>
      <c r="D97" s="2092">
        <f t="shared" si="11"/>
        <v>3619.53</v>
      </c>
      <c r="E97" s="2087">
        <v>496.75</v>
      </c>
      <c r="F97" s="2088">
        <f t="shared" si="12"/>
        <v>372.95926517571883</v>
      </c>
      <c r="G97" s="2088">
        <f t="shared" si="13"/>
        <v>123.79073482428117</v>
      </c>
      <c r="H97" s="2087">
        <v>1682.96</v>
      </c>
      <c r="I97" s="2087">
        <v>1319.65</v>
      </c>
      <c r="J97" s="2087">
        <v>120.17</v>
      </c>
      <c r="K97" s="2089"/>
      <c r="L97" s="2088">
        <f t="shared" si="15"/>
        <v>3499.36</v>
      </c>
      <c r="M97" s="2088">
        <f t="shared" si="14"/>
        <v>3126.4007348242812</v>
      </c>
      <c r="O97" s="2091" t="str">
        <f t="shared" si="16"/>
        <v>Отчисления на страховые взносы</v>
      </c>
      <c r="P97" s="2090" t="b">
        <f>O97='[39]СС 2015 (0)'!O97</f>
        <v>1</v>
      </c>
    </row>
    <row r="98" spans="3:16" s="2090" customFormat="1" ht="24" outlineLevel="2">
      <c r="C98" s="2085" t="s">
        <v>3808</v>
      </c>
      <c r="D98" s="2092">
        <f t="shared" si="11"/>
        <v>3166.3599999999997</v>
      </c>
      <c r="E98" s="2087">
        <v>452.06</v>
      </c>
      <c r="F98" s="2088">
        <f t="shared" si="12"/>
        <v>339.40607028753993</v>
      </c>
      <c r="G98" s="2088">
        <f t="shared" si="13"/>
        <v>112.65392971246007</v>
      </c>
      <c r="H98" s="2087">
        <v>1714.73</v>
      </c>
      <c r="I98" s="2087">
        <v>924.18</v>
      </c>
      <c r="J98" s="2087">
        <v>75.39</v>
      </c>
      <c r="K98" s="2089"/>
      <c r="L98" s="2088">
        <f t="shared" si="15"/>
        <v>3090.97</v>
      </c>
      <c r="M98" s="2088">
        <f t="shared" si="14"/>
        <v>2751.5639297124599</v>
      </c>
      <c r="O98" s="2091" t="str">
        <f t="shared" si="16"/>
        <v>Отчисления на страховые взносы</v>
      </c>
      <c r="P98" s="2090" t="b">
        <f>O98='[39]СС 2015 (0)'!O98</f>
        <v>1</v>
      </c>
    </row>
    <row r="99" spans="3:16" s="2090" customFormat="1" ht="24" outlineLevel="2">
      <c r="C99" s="2085" t="s">
        <v>3809</v>
      </c>
      <c r="D99" s="2092">
        <f t="shared" si="11"/>
        <v>2379.67</v>
      </c>
      <c r="E99" s="2087">
        <v>326.60000000000002</v>
      </c>
      <c r="F99" s="2088">
        <f t="shared" si="12"/>
        <v>245.21086261980832</v>
      </c>
      <c r="G99" s="2088">
        <f t="shared" si="13"/>
        <v>81.389137380191698</v>
      </c>
      <c r="H99" s="2087">
        <v>1106.48</v>
      </c>
      <c r="I99" s="2087">
        <v>867.61</v>
      </c>
      <c r="J99" s="2087">
        <v>78.98</v>
      </c>
      <c r="K99" s="2089"/>
      <c r="L99" s="2088">
        <f t="shared" si="15"/>
        <v>2300.69</v>
      </c>
      <c r="M99" s="2088">
        <f t="shared" si="14"/>
        <v>2055.4791373801918</v>
      </c>
      <c r="O99" s="2091" t="str">
        <f t="shared" si="16"/>
        <v>Отчисления на страховые взносы</v>
      </c>
      <c r="P99" s="2090" t="b">
        <f>O99='[39]СС 2015 (0)'!O99</f>
        <v>1</v>
      </c>
    </row>
    <row r="100" spans="3:16" s="2090" customFormat="1" ht="24" outlineLevel="2">
      <c r="C100" s="2085" t="s">
        <v>3810</v>
      </c>
      <c r="D100" s="2092">
        <f t="shared" si="11"/>
        <v>20828.599999999999</v>
      </c>
      <c r="E100" s="2087">
        <v>3468.68</v>
      </c>
      <c r="F100" s="2088">
        <f t="shared" si="12"/>
        <v>2604.2805111821085</v>
      </c>
      <c r="G100" s="2088">
        <f t="shared" si="13"/>
        <v>864.39948881789132</v>
      </c>
      <c r="H100" s="2087">
        <v>10691.51</v>
      </c>
      <c r="I100" s="2087">
        <v>6223.98</v>
      </c>
      <c r="J100" s="2087">
        <v>444.43</v>
      </c>
      <c r="K100" s="2089"/>
      <c r="L100" s="2088">
        <f t="shared" si="15"/>
        <v>20384.169999999998</v>
      </c>
      <c r="M100" s="2088">
        <f t="shared" si="14"/>
        <v>17779.889488817891</v>
      </c>
      <c r="O100" s="2091" t="str">
        <f t="shared" si="16"/>
        <v>Отчисления на страховые взносы</v>
      </c>
      <c r="P100" s="2090" t="b">
        <f>O100='[39]СС 2015 (0)'!O100</f>
        <v>1</v>
      </c>
    </row>
    <row r="101" spans="3:16" s="2090" customFormat="1" ht="12" customHeight="1" outlineLevel="2">
      <c r="C101" s="2085" t="s">
        <v>1411</v>
      </c>
      <c r="D101" s="2092">
        <f t="shared" si="11"/>
        <v>986.52</v>
      </c>
      <c r="E101" s="2087">
        <v>180.49</v>
      </c>
      <c r="F101" s="2088">
        <f t="shared" si="12"/>
        <v>135.51166134185303</v>
      </c>
      <c r="G101" s="2088">
        <f t="shared" si="13"/>
        <v>44.978338658146981</v>
      </c>
      <c r="H101" s="2087">
        <v>596.38</v>
      </c>
      <c r="I101" s="2087">
        <v>191.7</v>
      </c>
      <c r="J101" s="2087">
        <v>17.95</v>
      </c>
      <c r="K101" s="2089"/>
      <c r="L101" s="2088">
        <f t="shared" si="15"/>
        <v>968.56999999999994</v>
      </c>
      <c r="M101" s="2088">
        <f t="shared" si="14"/>
        <v>833.05833865814691</v>
      </c>
      <c r="O101" s="2091" t="str">
        <f>$C$157</f>
        <v>Энергия на хозяйственные нужды</v>
      </c>
      <c r="P101" s="2090" t="b">
        <f>O101='[39]СС 2015 (0)'!O101</f>
        <v>1</v>
      </c>
    </row>
    <row r="102" spans="3:16" s="2090" customFormat="1" ht="60" outlineLevel="2">
      <c r="C102" s="2085" t="s">
        <v>1412</v>
      </c>
      <c r="D102" s="2092">
        <f t="shared" si="11"/>
        <v>1721.28</v>
      </c>
      <c r="E102" s="2087">
        <v>236.28</v>
      </c>
      <c r="F102" s="2088">
        <f t="shared" si="12"/>
        <v>177.39872204472843</v>
      </c>
      <c r="G102" s="2088">
        <f t="shared" si="13"/>
        <v>58.881277955271571</v>
      </c>
      <c r="H102" s="2087">
        <v>800.39</v>
      </c>
      <c r="I102" s="2087">
        <v>627.5</v>
      </c>
      <c r="J102" s="2087">
        <v>57.11</v>
      </c>
      <c r="K102" s="2089"/>
      <c r="L102" s="2088">
        <f t="shared" si="15"/>
        <v>1664.17</v>
      </c>
      <c r="M102" s="2088">
        <f t="shared" si="14"/>
        <v>1486.7712779552717</v>
      </c>
      <c r="O102" s="2091" t="str">
        <f>$C$162</f>
        <v xml:space="preserve"> - налоги и сборы, уменьшающие налогооблагаемую базу на прибыль организаций, всего</v>
      </c>
      <c r="P102" s="2090" t="b">
        <f>O102='[39]СС 2015 (0)'!O102</f>
        <v>1</v>
      </c>
    </row>
    <row r="103" spans="3:16" s="2090" customFormat="1" ht="36" outlineLevel="2">
      <c r="C103" s="2085" t="s">
        <v>3811</v>
      </c>
      <c r="D103" s="2092">
        <f t="shared" si="11"/>
        <v>317.51</v>
      </c>
      <c r="E103" s="2087">
        <v>123.66</v>
      </c>
      <c r="F103" s="2088">
        <f t="shared" si="12"/>
        <v>92.84376996805112</v>
      </c>
      <c r="G103" s="2088">
        <f t="shared" si="13"/>
        <v>30.816230031948876</v>
      </c>
      <c r="H103" s="2087">
        <v>118.42</v>
      </c>
      <c r="I103" s="2087">
        <v>70.23</v>
      </c>
      <c r="J103" s="2087">
        <v>5.2</v>
      </c>
      <c r="K103" s="2089"/>
      <c r="L103" s="2088">
        <f t="shared" si="15"/>
        <v>312.31</v>
      </c>
      <c r="M103" s="2088">
        <f t="shared" si="14"/>
        <v>219.4662300319489</v>
      </c>
      <c r="O103" s="2091" t="str">
        <f>$C$161</f>
        <v xml:space="preserve"> - работы и услуги производственного характера</v>
      </c>
      <c r="P103" s="2090" t="b">
        <f>O103='[39]СС 2015 (0)'!O103</f>
        <v>1</v>
      </c>
    </row>
    <row r="104" spans="3:16" s="2090" customFormat="1" ht="12" outlineLevel="2">
      <c r="C104" s="2085" t="s">
        <v>1413</v>
      </c>
      <c r="D104" s="2092">
        <f t="shared" si="11"/>
        <v>153.17000000000002</v>
      </c>
      <c r="E104" s="2087">
        <v>23.73</v>
      </c>
      <c r="F104" s="2088">
        <f t="shared" si="12"/>
        <v>17.816453674121405</v>
      </c>
      <c r="G104" s="2088">
        <f t="shared" si="13"/>
        <v>5.9135463258785954</v>
      </c>
      <c r="H104" s="2087">
        <v>95.1</v>
      </c>
      <c r="I104" s="2087">
        <v>33.26</v>
      </c>
      <c r="J104" s="2087">
        <v>1.08</v>
      </c>
      <c r="K104" s="2089"/>
      <c r="L104" s="2088">
        <f t="shared" si="15"/>
        <v>152.09</v>
      </c>
      <c r="M104" s="2088">
        <f t="shared" si="14"/>
        <v>134.27354632587858</v>
      </c>
      <c r="O104" s="2094" t="str">
        <f>$C$193</f>
        <v>прочие</v>
      </c>
      <c r="P104" s="2090" t="b">
        <f>O104='[39]СС 2015 (0)'!O104</f>
        <v>1</v>
      </c>
    </row>
    <row r="105" spans="3:16" s="2090" customFormat="1" ht="60" outlineLevel="2">
      <c r="C105" s="2085" t="s">
        <v>1414</v>
      </c>
      <c r="D105" s="2092">
        <f t="shared" si="11"/>
        <v>6215</v>
      </c>
      <c r="E105" s="2087">
        <v>934.75</v>
      </c>
      <c r="F105" s="2088">
        <f t="shared" si="12"/>
        <v>701.80910543130994</v>
      </c>
      <c r="G105" s="2088">
        <f t="shared" si="13"/>
        <v>232.94089456869006</v>
      </c>
      <c r="H105" s="2087">
        <v>3630.98</v>
      </c>
      <c r="I105" s="2087">
        <v>1565.69</v>
      </c>
      <c r="J105" s="2087">
        <v>83.58</v>
      </c>
      <c r="K105" s="2089"/>
      <c r="L105" s="2088">
        <f t="shared" si="15"/>
        <v>6131.42</v>
      </c>
      <c r="M105" s="2088">
        <f t="shared" si="14"/>
        <v>5429.6108945686901</v>
      </c>
      <c r="O105" s="2091" t="str">
        <f>$C$166</f>
        <v>расходы на информационное обслуживание, консультационные и юридические услуги</v>
      </c>
      <c r="P105" s="2090" t="b">
        <f>O105='[39]СС 2015 (0)'!O105</f>
        <v>1</v>
      </c>
    </row>
    <row r="106" spans="3:16" s="2090" customFormat="1" ht="60" outlineLevel="2">
      <c r="C106" s="2085" t="s">
        <v>1415</v>
      </c>
      <c r="D106" s="2092">
        <f t="shared" si="11"/>
        <v>820.51</v>
      </c>
      <c r="E106" s="2087">
        <v>126.77</v>
      </c>
      <c r="F106" s="2088">
        <f t="shared" si="12"/>
        <v>95.178753993610215</v>
      </c>
      <c r="G106" s="2088">
        <f t="shared" si="13"/>
        <v>31.591246006389781</v>
      </c>
      <c r="H106" s="2087">
        <v>448.27</v>
      </c>
      <c r="I106" s="2087">
        <v>233.02</v>
      </c>
      <c r="J106" s="2087">
        <v>12.45</v>
      </c>
      <c r="K106" s="2089"/>
      <c r="L106" s="2088">
        <f t="shared" si="15"/>
        <v>808.06</v>
      </c>
      <c r="M106" s="2088">
        <f t="shared" si="14"/>
        <v>712.88124600638969</v>
      </c>
      <c r="O106" s="2091" t="str">
        <f>$C$166</f>
        <v>расходы на информационное обслуживание, консультационные и юридические услуги</v>
      </c>
      <c r="P106" s="2090" t="b">
        <f>O106='[39]СС 2015 (0)'!O106</f>
        <v>1</v>
      </c>
    </row>
    <row r="107" spans="3:16" s="2090" customFormat="1" ht="60" outlineLevel="2">
      <c r="C107" s="2085" t="s">
        <v>1416</v>
      </c>
      <c r="D107" s="2092">
        <f t="shared" si="11"/>
        <v>13634.61</v>
      </c>
      <c r="E107" s="2087">
        <v>2162.0700000000002</v>
      </c>
      <c r="F107" s="2088">
        <f t="shared" si="12"/>
        <v>1623.2793929712461</v>
      </c>
      <c r="G107" s="2088">
        <f t="shared" si="13"/>
        <v>538.79060702875404</v>
      </c>
      <c r="H107" s="2087">
        <v>7682.19</v>
      </c>
      <c r="I107" s="2087">
        <v>3598.58</v>
      </c>
      <c r="J107" s="2087">
        <v>191.77</v>
      </c>
      <c r="K107" s="2089"/>
      <c r="L107" s="2088">
        <f t="shared" si="15"/>
        <v>13442.84</v>
      </c>
      <c r="M107" s="2088">
        <f t="shared" si="14"/>
        <v>11819.560607028754</v>
      </c>
      <c r="O107" s="2091" t="str">
        <f>$C$166</f>
        <v>расходы на информационное обслуживание, консультационные и юридические услуги</v>
      </c>
      <c r="P107" s="2090" t="b">
        <f>O107='[39]СС 2015 (0)'!O107</f>
        <v>1</v>
      </c>
    </row>
    <row r="108" spans="3:16" s="2090" customFormat="1" ht="60" outlineLevel="2">
      <c r="C108" s="2085" t="s">
        <v>1417</v>
      </c>
      <c r="D108" s="2092">
        <f t="shared" si="11"/>
        <v>194.23</v>
      </c>
      <c r="E108" s="2087">
        <v>28.5</v>
      </c>
      <c r="F108" s="2088">
        <f t="shared" si="12"/>
        <v>21.397763578274763</v>
      </c>
      <c r="G108" s="2088">
        <f t="shared" si="13"/>
        <v>7.1022364217252374</v>
      </c>
      <c r="H108" s="2087">
        <v>97.29</v>
      </c>
      <c r="I108" s="2087">
        <v>63.55</v>
      </c>
      <c r="J108" s="2087">
        <v>4.8899999999999997</v>
      </c>
      <c r="K108" s="2089"/>
      <c r="L108" s="2088">
        <f t="shared" si="15"/>
        <v>189.34</v>
      </c>
      <c r="M108" s="2088">
        <f t="shared" si="14"/>
        <v>167.94223642172523</v>
      </c>
      <c r="O108" s="2091" t="str">
        <f>$C$166</f>
        <v>расходы на информационное обслуживание, консультационные и юридические услуги</v>
      </c>
      <c r="P108" s="2090" t="b">
        <f>O108='[39]СС 2015 (0)'!O108</f>
        <v>1</v>
      </c>
    </row>
    <row r="109" spans="3:16" s="2090" customFormat="1" ht="60" outlineLevel="2">
      <c r="C109" s="2085" t="s">
        <v>1418</v>
      </c>
      <c r="D109" s="2092">
        <f t="shared" si="11"/>
        <v>1133.0600000000002</v>
      </c>
      <c r="E109" s="2087">
        <v>195.37</v>
      </c>
      <c r="F109" s="2088">
        <f t="shared" si="12"/>
        <v>146.68354632587861</v>
      </c>
      <c r="G109" s="2088">
        <f t="shared" si="13"/>
        <v>48.686453674121395</v>
      </c>
      <c r="H109" s="2087">
        <v>594.33000000000004</v>
      </c>
      <c r="I109" s="2087">
        <v>324.23</v>
      </c>
      <c r="J109" s="2087">
        <v>19.13</v>
      </c>
      <c r="K109" s="2089"/>
      <c r="L109" s="2088">
        <f t="shared" si="15"/>
        <v>1113.93</v>
      </c>
      <c r="M109" s="2088">
        <f t="shared" si="14"/>
        <v>967.24645367412154</v>
      </c>
      <c r="O109" s="2091" t="str">
        <f>$C$166</f>
        <v>расходы на информационное обслуживание, консультационные и юридические услуги</v>
      </c>
      <c r="P109" s="2090" t="b">
        <f>O109='[39]СС 2015 (0)'!O109</f>
        <v>1</v>
      </c>
    </row>
    <row r="110" spans="3:16" s="2090" customFormat="1" ht="24" outlineLevel="2">
      <c r="C110" s="2085" t="s">
        <v>1419</v>
      </c>
      <c r="D110" s="2092">
        <f t="shared" si="11"/>
        <v>535.71</v>
      </c>
      <c r="E110" s="2087">
        <v>82.37</v>
      </c>
      <c r="F110" s="2088">
        <f t="shared" si="12"/>
        <v>61.843290734824294</v>
      </c>
      <c r="G110" s="2088">
        <f t="shared" si="13"/>
        <v>20.526709265175711</v>
      </c>
      <c r="H110" s="2087">
        <v>299.99</v>
      </c>
      <c r="I110" s="2087">
        <v>145.9</v>
      </c>
      <c r="J110" s="2087">
        <v>7.45</v>
      </c>
      <c r="K110" s="2089"/>
      <c r="L110" s="2088">
        <f t="shared" si="15"/>
        <v>528.26</v>
      </c>
      <c r="M110" s="2088">
        <f t="shared" si="14"/>
        <v>466.41670926517577</v>
      </c>
      <c r="O110" s="2091" t="str">
        <f>$C$190</f>
        <v>Услуги коммунального хозяйства</v>
      </c>
      <c r="P110" s="2090" t="b">
        <f>O110='[39]СС 2015 (0)'!O110</f>
        <v>1</v>
      </c>
    </row>
    <row r="111" spans="3:16" s="2090" customFormat="1" ht="24" outlineLevel="2">
      <c r="C111" s="2085" t="s">
        <v>1420</v>
      </c>
      <c r="D111" s="2092">
        <f t="shared" si="11"/>
        <v>2097.15</v>
      </c>
      <c r="E111" s="2087">
        <v>369.29</v>
      </c>
      <c r="F111" s="2088">
        <f t="shared" si="12"/>
        <v>277.26246006389778</v>
      </c>
      <c r="G111" s="2088">
        <f t="shared" si="13"/>
        <v>92.027539936102244</v>
      </c>
      <c r="H111" s="2087">
        <v>1259.5899999999999</v>
      </c>
      <c r="I111" s="2087">
        <v>429.99</v>
      </c>
      <c r="J111" s="2087">
        <v>38.28</v>
      </c>
      <c r="K111" s="2089"/>
      <c r="L111" s="2088">
        <f t="shared" si="15"/>
        <v>2058.87</v>
      </c>
      <c r="M111" s="2088">
        <f t="shared" si="14"/>
        <v>1781.6075399361023</v>
      </c>
      <c r="O111" s="2091" t="str">
        <f>$C$190</f>
        <v>Услуги коммунального хозяйства</v>
      </c>
      <c r="P111" s="2090" t="b">
        <f>O111='[39]СС 2015 (0)'!O111</f>
        <v>1</v>
      </c>
    </row>
    <row r="112" spans="3:16" s="2090" customFormat="1" ht="24" outlineLevel="2">
      <c r="C112" s="2085" t="s">
        <v>1422</v>
      </c>
      <c r="D112" s="2092">
        <f t="shared" si="11"/>
        <v>501.11999999999995</v>
      </c>
      <c r="E112" s="2087">
        <v>70.27</v>
      </c>
      <c r="F112" s="2088">
        <f t="shared" si="12"/>
        <v>52.758626198083064</v>
      </c>
      <c r="G112" s="2088">
        <f t="shared" si="13"/>
        <v>17.511373801916932</v>
      </c>
      <c r="H112" s="2087">
        <v>273.52</v>
      </c>
      <c r="I112" s="2087">
        <v>147.77000000000001</v>
      </c>
      <c r="J112" s="2087">
        <v>9.56</v>
      </c>
      <c r="K112" s="2089"/>
      <c r="L112" s="2088">
        <f t="shared" si="15"/>
        <v>491.55999999999995</v>
      </c>
      <c r="M112" s="2088">
        <f t="shared" si="14"/>
        <v>438.8013738019169</v>
      </c>
      <c r="O112" s="2091" t="str">
        <f>$C$190</f>
        <v>Услуги коммунального хозяйства</v>
      </c>
      <c r="P112" s="2090" t="b">
        <f>O112='[39]СС 2015 (0)'!O112</f>
        <v>1</v>
      </c>
    </row>
    <row r="113" spans="3:16" s="2090" customFormat="1" ht="12" outlineLevel="2">
      <c r="C113" s="2085" t="s">
        <v>3812</v>
      </c>
      <c r="D113" s="2092">
        <f t="shared" si="11"/>
        <v>119.66</v>
      </c>
      <c r="E113" s="2087">
        <v>18.23</v>
      </c>
      <c r="F113" s="2088">
        <f t="shared" si="12"/>
        <v>13.687060702875399</v>
      </c>
      <c r="G113" s="2088">
        <f t="shared" si="13"/>
        <v>4.542939297124601</v>
      </c>
      <c r="H113" s="2087">
        <v>66.63</v>
      </c>
      <c r="I113" s="2087">
        <v>32.56</v>
      </c>
      <c r="J113" s="2087">
        <v>2.2400000000000002</v>
      </c>
      <c r="K113" s="2089"/>
      <c r="L113" s="2088">
        <f t="shared" si="15"/>
        <v>117.42</v>
      </c>
      <c r="M113" s="2088">
        <f t="shared" si="14"/>
        <v>103.7329392971246</v>
      </c>
      <c r="O113" s="2094" t="str">
        <f>$C$193</f>
        <v>прочие</v>
      </c>
      <c r="P113" s="2090" t="b">
        <f>O113='[39]СС 2015 (0)'!O113</f>
        <v>1</v>
      </c>
    </row>
    <row r="114" spans="3:16" s="2090" customFormat="1" ht="48" outlineLevel="2">
      <c r="C114" s="2085" t="s">
        <v>3813</v>
      </c>
      <c r="D114" s="2092">
        <f t="shared" si="11"/>
        <v>8.4499999999999993</v>
      </c>
      <c r="E114" s="2087">
        <v>4.57</v>
      </c>
      <c r="F114" s="2088">
        <f t="shared" si="12"/>
        <v>3.4311501597444094</v>
      </c>
      <c r="G114" s="2088">
        <f t="shared" si="13"/>
        <v>1.1388498402555909</v>
      </c>
      <c r="H114" s="2087">
        <v>3.88</v>
      </c>
      <c r="I114" s="2087"/>
      <c r="J114" s="2087"/>
      <c r="K114" s="2089"/>
      <c r="L114" s="2088">
        <f t="shared" si="15"/>
        <v>8.4499999999999993</v>
      </c>
      <c r="M114" s="2088">
        <f t="shared" si="14"/>
        <v>5.0188498402555899</v>
      </c>
      <c r="O114" s="2094" t="str">
        <f>$C$192</f>
        <v>Услуги по аккредитации (аттестации) и экспертизе в области метрологического обеспечения и качества э/э</v>
      </c>
      <c r="P114" s="2090" t="b">
        <f>O114='[39]СС 2015 (0)'!O114</f>
        <v>1</v>
      </c>
    </row>
    <row r="115" spans="3:16" s="2090" customFormat="1" ht="48" outlineLevel="2">
      <c r="C115" s="2085" t="s">
        <v>1425</v>
      </c>
      <c r="D115" s="2092">
        <f t="shared" si="11"/>
        <v>84.74</v>
      </c>
      <c r="E115" s="2087">
        <v>12.03</v>
      </c>
      <c r="F115" s="2088">
        <f t="shared" si="12"/>
        <v>9.0321086261980827</v>
      </c>
      <c r="G115" s="2088">
        <f t="shared" si="13"/>
        <v>2.9978913738019166</v>
      </c>
      <c r="H115" s="2087">
        <v>72.709999999999994</v>
      </c>
      <c r="I115" s="2087"/>
      <c r="J115" s="2087"/>
      <c r="K115" s="2089"/>
      <c r="L115" s="2088">
        <f t="shared" si="15"/>
        <v>84.74</v>
      </c>
      <c r="M115" s="2088">
        <f t="shared" si="14"/>
        <v>75.707891373801914</v>
      </c>
      <c r="O115" s="2091" t="str">
        <f>$C$192</f>
        <v>Услуги по аккредитации (аттестации) и экспертизе в области метрологического обеспечения и качества э/э</v>
      </c>
      <c r="P115" s="2090" t="b">
        <f>O115='[39]СС 2015 (0)'!O115</f>
        <v>1</v>
      </c>
    </row>
    <row r="116" spans="3:16" s="2090" customFormat="1" ht="48" outlineLevel="2">
      <c r="C116" s="2085" t="s">
        <v>1426</v>
      </c>
      <c r="D116" s="2092">
        <f t="shared" si="11"/>
        <v>1923.6399999999999</v>
      </c>
      <c r="E116" s="2087">
        <v>249.98</v>
      </c>
      <c r="F116" s="2088">
        <f t="shared" si="12"/>
        <v>187.6846645367412</v>
      </c>
      <c r="G116" s="2088">
        <f t="shared" si="13"/>
        <v>62.295335463258795</v>
      </c>
      <c r="H116" s="2087">
        <v>796.31</v>
      </c>
      <c r="I116" s="2087">
        <v>798.41</v>
      </c>
      <c r="J116" s="2087">
        <v>78.94</v>
      </c>
      <c r="K116" s="2089"/>
      <c r="L116" s="2088">
        <f t="shared" si="15"/>
        <v>1844.6999999999998</v>
      </c>
      <c r="M116" s="2088">
        <f t="shared" si="14"/>
        <v>1657.0153354632587</v>
      </c>
      <c r="O116" s="2095" t="str">
        <f>$C$192</f>
        <v>Услуги по аккредитации (аттестации) и экспертизе в области метрологического обеспечения и качества э/э</v>
      </c>
      <c r="P116" s="2090" t="b">
        <f>O116='[39]СС 2015 (0)'!O116</f>
        <v>0</v>
      </c>
    </row>
    <row r="117" spans="3:16" s="2090" customFormat="1" ht="48" outlineLevel="2">
      <c r="C117" s="2085" t="s">
        <v>1427</v>
      </c>
      <c r="D117" s="2092">
        <f t="shared" si="11"/>
        <v>218.57999999999998</v>
      </c>
      <c r="E117" s="2087">
        <v>49.1</v>
      </c>
      <c r="F117" s="2088">
        <f t="shared" si="12"/>
        <v>36.864217252396166</v>
      </c>
      <c r="G117" s="2088">
        <f t="shared" si="13"/>
        <v>12.235782747603835</v>
      </c>
      <c r="H117" s="2087">
        <v>156.13999999999999</v>
      </c>
      <c r="I117" s="2087"/>
      <c r="J117" s="2087">
        <v>13.34</v>
      </c>
      <c r="K117" s="2089"/>
      <c r="L117" s="2088">
        <f t="shared" si="15"/>
        <v>205.23999999999998</v>
      </c>
      <c r="M117" s="2088">
        <f t="shared" si="14"/>
        <v>168.37578274760381</v>
      </c>
      <c r="O117" s="2091" t="str">
        <f>$C$192</f>
        <v>Услуги по аккредитации (аттестации) и экспертизе в области метрологического обеспечения и качества э/э</v>
      </c>
      <c r="P117" s="2090" t="b">
        <f>O117='[39]СС 2015 (0)'!O117</f>
        <v>1</v>
      </c>
    </row>
    <row r="118" spans="3:16" s="2090" customFormat="1" ht="36" outlineLevel="2">
      <c r="C118" s="2085" t="s">
        <v>1460</v>
      </c>
      <c r="D118" s="2092">
        <f t="shared" si="11"/>
        <v>180633.12</v>
      </c>
      <c r="E118" s="2087"/>
      <c r="F118" s="2088">
        <f t="shared" si="12"/>
        <v>0</v>
      </c>
      <c r="G118" s="2088">
        <f t="shared" si="13"/>
        <v>0</v>
      </c>
      <c r="H118" s="2087">
        <v>180633.12</v>
      </c>
      <c r="I118" s="2087"/>
      <c r="J118" s="2087"/>
      <c r="K118" s="2089"/>
      <c r="L118" s="2088">
        <f t="shared" si="15"/>
        <v>180633.12</v>
      </c>
      <c r="M118" s="2088">
        <f t="shared" si="14"/>
        <v>180633.12</v>
      </c>
      <c r="O118" s="2091" t="str">
        <f>$C$191</f>
        <v>Услуги по организации функционирования и развитию ЕЭС России</v>
      </c>
      <c r="P118" s="2090" t="b">
        <f>O118='[39]СС 2015 (0)'!O118</f>
        <v>1</v>
      </c>
    </row>
    <row r="119" spans="3:16" s="2090" customFormat="1" ht="48" outlineLevel="2">
      <c r="C119" s="2085" t="s">
        <v>1427</v>
      </c>
      <c r="D119" s="2092">
        <f t="shared" si="11"/>
        <v>142.93</v>
      </c>
      <c r="E119" s="2087"/>
      <c r="F119" s="2088">
        <f t="shared" si="12"/>
        <v>0</v>
      </c>
      <c r="G119" s="2088">
        <f t="shared" si="13"/>
        <v>0</v>
      </c>
      <c r="H119" s="2087"/>
      <c r="I119" s="2087">
        <v>142.93</v>
      </c>
      <c r="J119" s="2087"/>
      <c r="K119" s="2089"/>
      <c r="L119" s="2088">
        <f t="shared" si="15"/>
        <v>142.93</v>
      </c>
      <c r="M119" s="2088">
        <f t="shared" si="14"/>
        <v>142.93</v>
      </c>
      <c r="O119" s="2091" t="str">
        <f>$C$192</f>
        <v>Услуги по аккредитации (аттестации) и экспертизе в области метрологического обеспечения и качества э/э</v>
      </c>
      <c r="P119" s="2090" t="b">
        <f>O119='[39]СС 2015 (0)'!O119</f>
        <v>1</v>
      </c>
    </row>
    <row r="120" spans="3:16" s="2090" customFormat="1" ht="36" outlineLevel="2">
      <c r="C120" s="2085" t="s">
        <v>1429</v>
      </c>
      <c r="D120" s="2092">
        <f t="shared" si="11"/>
        <v>453.35</v>
      </c>
      <c r="E120" s="2087">
        <v>76.3</v>
      </c>
      <c r="F120" s="2088">
        <f t="shared" si="12"/>
        <v>57.285942492012779</v>
      </c>
      <c r="G120" s="2088">
        <f t="shared" si="13"/>
        <v>19.014057507987218</v>
      </c>
      <c r="H120" s="2087">
        <v>278.36</v>
      </c>
      <c r="I120" s="2087">
        <v>92.67</v>
      </c>
      <c r="J120" s="2087">
        <v>6.02</v>
      </c>
      <c r="K120" s="2089"/>
      <c r="L120" s="2088">
        <f t="shared" si="15"/>
        <v>447.33000000000004</v>
      </c>
      <c r="M120" s="2088">
        <f t="shared" si="14"/>
        <v>390.04405750798725</v>
      </c>
      <c r="O120" s="2091" t="str">
        <f t="shared" ref="O120:O125" si="17">$C$193</f>
        <v>прочие</v>
      </c>
      <c r="P120" s="2090" t="b">
        <f>O120='[39]СС 2015 (0)'!O120</f>
        <v>1</v>
      </c>
    </row>
    <row r="121" spans="3:16" s="2090" customFormat="1" ht="36" outlineLevel="2">
      <c r="C121" s="2085" t="s">
        <v>1430</v>
      </c>
      <c r="D121" s="2092">
        <f t="shared" si="11"/>
        <v>1792.03</v>
      </c>
      <c r="E121" s="2087">
        <v>268.2</v>
      </c>
      <c r="F121" s="2088">
        <f t="shared" si="12"/>
        <v>201.36421725239614</v>
      </c>
      <c r="G121" s="2088">
        <f t="shared" si="13"/>
        <v>66.835782747603844</v>
      </c>
      <c r="H121" s="2087">
        <v>800.65</v>
      </c>
      <c r="I121" s="2087">
        <v>704.63</v>
      </c>
      <c r="J121" s="2087">
        <v>18.55</v>
      </c>
      <c r="K121" s="2089"/>
      <c r="L121" s="2088">
        <f t="shared" si="15"/>
        <v>1773.48</v>
      </c>
      <c r="M121" s="2088">
        <f t="shared" si="14"/>
        <v>1572.1157827476038</v>
      </c>
      <c r="O121" s="2091" t="str">
        <f t="shared" si="17"/>
        <v>прочие</v>
      </c>
      <c r="P121" s="2090" t="b">
        <f>O121='[39]СС 2015 (0)'!O121</f>
        <v>1</v>
      </c>
    </row>
    <row r="122" spans="3:16" s="2090" customFormat="1" ht="12" outlineLevel="2">
      <c r="C122" s="2085" t="s">
        <v>1431</v>
      </c>
      <c r="D122" s="2092">
        <f t="shared" si="11"/>
        <v>779.98</v>
      </c>
      <c r="E122" s="2087">
        <v>138.54</v>
      </c>
      <c r="F122" s="2088">
        <f t="shared" si="12"/>
        <v>104.01565495207666</v>
      </c>
      <c r="G122" s="2088">
        <f t="shared" si="13"/>
        <v>34.524345047923333</v>
      </c>
      <c r="H122" s="2087">
        <v>514.61</v>
      </c>
      <c r="I122" s="2087">
        <v>116.25</v>
      </c>
      <c r="J122" s="2087">
        <v>10.58</v>
      </c>
      <c r="K122" s="2089"/>
      <c r="L122" s="2088">
        <f t="shared" si="15"/>
        <v>769.4</v>
      </c>
      <c r="M122" s="2088">
        <f t="shared" si="14"/>
        <v>665.38434504792338</v>
      </c>
      <c r="O122" s="2094" t="str">
        <f t="shared" si="17"/>
        <v>прочие</v>
      </c>
      <c r="P122" s="2090" t="b">
        <f>O122='[39]СС 2015 (0)'!O122</f>
        <v>1</v>
      </c>
    </row>
    <row r="123" spans="3:16" s="2090" customFormat="1" ht="24" outlineLevel="2">
      <c r="C123" s="2085" t="s">
        <v>1433</v>
      </c>
      <c r="D123" s="2092">
        <f t="shared" si="11"/>
        <v>3334.73</v>
      </c>
      <c r="E123" s="2087">
        <v>527.9</v>
      </c>
      <c r="F123" s="2088">
        <f t="shared" si="12"/>
        <v>396.34664536741212</v>
      </c>
      <c r="G123" s="2088">
        <f t="shared" si="13"/>
        <v>131.55335463258785</v>
      </c>
      <c r="H123" s="2087">
        <v>1877.94</v>
      </c>
      <c r="I123" s="2087">
        <v>881.43</v>
      </c>
      <c r="J123" s="2087">
        <v>47.46</v>
      </c>
      <c r="K123" s="2089"/>
      <c r="L123" s="2088">
        <f t="shared" si="15"/>
        <v>3287.27</v>
      </c>
      <c r="M123" s="2088">
        <f t="shared" si="14"/>
        <v>2890.9233546325877</v>
      </c>
      <c r="O123" s="2091" t="str">
        <f t="shared" si="17"/>
        <v>прочие</v>
      </c>
      <c r="P123" s="2090" t="b">
        <f>O123='[39]СС 2015 (0)'!O123</f>
        <v>1</v>
      </c>
    </row>
    <row r="124" spans="3:16" s="2090" customFormat="1" ht="36" outlineLevel="2">
      <c r="C124" s="2085" t="s">
        <v>1434</v>
      </c>
      <c r="D124" s="2092">
        <f t="shared" si="11"/>
        <v>40.349999999999994</v>
      </c>
      <c r="E124" s="2087">
        <v>5.2</v>
      </c>
      <c r="F124" s="2088">
        <f t="shared" si="12"/>
        <v>3.9041533546325877</v>
      </c>
      <c r="G124" s="2088">
        <f t="shared" si="13"/>
        <v>1.2958466453674125</v>
      </c>
      <c r="H124" s="2087">
        <v>17.690000000000001</v>
      </c>
      <c r="I124" s="2087">
        <v>16.55</v>
      </c>
      <c r="J124" s="2087">
        <v>0.91</v>
      </c>
      <c r="K124" s="2089"/>
      <c r="L124" s="2088">
        <f t="shared" si="15"/>
        <v>39.44</v>
      </c>
      <c r="M124" s="2088">
        <f t="shared" si="14"/>
        <v>35.535846645367407</v>
      </c>
      <c r="O124" s="2091" t="str">
        <f t="shared" si="17"/>
        <v>прочие</v>
      </c>
      <c r="P124" s="2090" t="b">
        <f>O124='[39]СС 2015 (0)'!O124</f>
        <v>1</v>
      </c>
    </row>
    <row r="125" spans="3:16" s="2090" customFormat="1" ht="24" outlineLevel="2">
      <c r="C125" s="2085" t="s">
        <v>1435</v>
      </c>
      <c r="D125" s="2092">
        <f t="shared" si="11"/>
        <v>335.27000000000004</v>
      </c>
      <c r="E125" s="2087">
        <v>100.1</v>
      </c>
      <c r="F125" s="2088">
        <f t="shared" si="12"/>
        <v>75.154952076677304</v>
      </c>
      <c r="G125" s="2088">
        <f t="shared" si="13"/>
        <v>24.94504792332269</v>
      </c>
      <c r="H125" s="2087">
        <v>188.13</v>
      </c>
      <c r="I125" s="2087">
        <v>44.38</v>
      </c>
      <c r="J125" s="2087">
        <v>2.66</v>
      </c>
      <c r="K125" s="2089"/>
      <c r="L125" s="2088">
        <f t="shared" si="15"/>
        <v>332.61</v>
      </c>
      <c r="M125" s="2088">
        <f t="shared" si="14"/>
        <v>257.4550479233227</v>
      </c>
      <c r="O125" s="2091" t="str">
        <f t="shared" si="17"/>
        <v>прочие</v>
      </c>
      <c r="P125" s="2090" t="b">
        <f>O125='[39]СС 2015 (0)'!O125</f>
        <v>1</v>
      </c>
    </row>
    <row r="126" spans="3:16" s="2090" customFormat="1" ht="36" outlineLevel="2">
      <c r="C126" s="2085" t="s">
        <v>1437</v>
      </c>
      <c r="D126" s="2092">
        <f t="shared" si="11"/>
        <v>1079.19</v>
      </c>
      <c r="E126" s="2087">
        <v>165.88</v>
      </c>
      <c r="F126" s="2088">
        <f t="shared" si="12"/>
        <v>124.54249201277956</v>
      </c>
      <c r="G126" s="2088">
        <f t="shared" si="13"/>
        <v>41.337507987220434</v>
      </c>
      <c r="H126" s="2087">
        <v>689.19</v>
      </c>
      <c r="I126" s="2087">
        <v>216.77</v>
      </c>
      <c r="J126" s="2087">
        <v>7.35</v>
      </c>
      <c r="K126" s="2089"/>
      <c r="L126" s="2088">
        <f t="shared" si="15"/>
        <v>1071.8400000000001</v>
      </c>
      <c r="M126" s="2088">
        <f t="shared" si="14"/>
        <v>947.29750798722046</v>
      </c>
      <c r="O126" s="2091" t="str">
        <f t="shared" ref="O126:O132" si="18">$C$161</f>
        <v xml:space="preserve"> - работы и услуги производственного характера</v>
      </c>
      <c r="P126" s="2090" t="b">
        <f>O126='[39]СС 2015 (0)'!O126</f>
        <v>1</v>
      </c>
    </row>
    <row r="127" spans="3:16" s="2090" customFormat="1" ht="36" outlineLevel="2">
      <c r="C127" s="2085" t="s">
        <v>1438</v>
      </c>
      <c r="D127" s="2092">
        <f t="shared" si="11"/>
        <v>7844.2599999999993</v>
      </c>
      <c r="E127" s="2087">
        <v>1206.43</v>
      </c>
      <c r="F127" s="2088">
        <f t="shared" si="12"/>
        <v>905.7861022364217</v>
      </c>
      <c r="G127" s="2088">
        <f t="shared" si="13"/>
        <v>300.64389776357837</v>
      </c>
      <c r="H127" s="2087">
        <v>3161.15</v>
      </c>
      <c r="I127" s="2087">
        <v>3251.45</v>
      </c>
      <c r="J127" s="2087">
        <v>225.23</v>
      </c>
      <c r="K127" s="2089"/>
      <c r="L127" s="2088">
        <f t="shared" si="15"/>
        <v>7619.03</v>
      </c>
      <c r="M127" s="2088">
        <f t="shared" si="14"/>
        <v>6713.2438977635784</v>
      </c>
      <c r="O127" s="2091" t="str">
        <f t="shared" si="18"/>
        <v xml:space="preserve"> - работы и услуги производственного характера</v>
      </c>
      <c r="P127" s="2090" t="b">
        <f>O127='[39]СС 2015 (0)'!O127</f>
        <v>1</v>
      </c>
    </row>
    <row r="128" spans="3:16" s="2090" customFormat="1" ht="36" outlineLevel="2">
      <c r="C128" s="2085" t="s">
        <v>1439</v>
      </c>
      <c r="D128" s="2092">
        <f t="shared" si="11"/>
        <v>457.53</v>
      </c>
      <c r="E128" s="2087">
        <v>55.66</v>
      </c>
      <c r="F128" s="2088">
        <f t="shared" si="12"/>
        <v>41.789456869009584</v>
      </c>
      <c r="G128" s="2088">
        <f t="shared" si="13"/>
        <v>13.870543130990413</v>
      </c>
      <c r="H128" s="2087">
        <v>192.83</v>
      </c>
      <c r="I128" s="2087">
        <v>209.04</v>
      </c>
      <c r="J128" s="2087"/>
      <c r="K128" s="2089"/>
      <c r="L128" s="2088">
        <f t="shared" si="15"/>
        <v>457.53</v>
      </c>
      <c r="M128" s="2088">
        <f t="shared" si="14"/>
        <v>415.74054313099037</v>
      </c>
      <c r="O128" s="2091" t="str">
        <f t="shared" si="18"/>
        <v xml:space="preserve"> - работы и услуги производственного характера</v>
      </c>
      <c r="P128" s="2090" t="b">
        <f>O128='[39]СС 2015 (0)'!O128</f>
        <v>1</v>
      </c>
    </row>
    <row r="129" spans="3:16" s="2090" customFormat="1" ht="36" outlineLevel="2">
      <c r="C129" s="2085" t="s">
        <v>1440</v>
      </c>
      <c r="D129" s="2092">
        <f t="shared" si="11"/>
        <v>48.56</v>
      </c>
      <c r="E129" s="2087">
        <v>7.6</v>
      </c>
      <c r="F129" s="2088">
        <f t="shared" si="12"/>
        <v>5.7060702875399354</v>
      </c>
      <c r="G129" s="2088">
        <f t="shared" si="13"/>
        <v>1.8939297124600643</v>
      </c>
      <c r="H129" s="2087">
        <v>26.04</v>
      </c>
      <c r="I129" s="2087">
        <v>13.83</v>
      </c>
      <c r="J129" s="2087">
        <v>1.0900000000000001</v>
      </c>
      <c r="K129" s="2089"/>
      <c r="L129" s="2088">
        <f t="shared" si="15"/>
        <v>47.47</v>
      </c>
      <c r="M129" s="2088">
        <f t="shared" si="14"/>
        <v>41.763929712460062</v>
      </c>
      <c r="O129" s="2091" t="str">
        <f t="shared" si="18"/>
        <v xml:space="preserve"> - работы и услуги производственного характера</v>
      </c>
      <c r="P129" s="2090" t="b">
        <f>O129='[39]СС 2015 (0)'!O129</f>
        <v>1</v>
      </c>
    </row>
    <row r="130" spans="3:16" s="2090" customFormat="1" ht="36" outlineLevel="2">
      <c r="C130" s="2085" t="s">
        <v>1441</v>
      </c>
      <c r="D130" s="2092">
        <f t="shared" si="11"/>
        <v>33.239999999999995</v>
      </c>
      <c r="E130" s="2087">
        <v>4.7300000000000004</v>
      </c>
      <c r="F130" s="2088">
        <f t="shared" si="12"/>
        <v>3.5512779552715661</v>
      </c>
      <c r="G130" s="2088">
        <f t="shared" si="13"/>
        <v>1.1787220447284343</v>
      </c>
      <c r="H130" s="2087">
        <v>26.2</v>
      </c>
      <c r="I130" s="2087">
        <v>2.23</v>
      </c>
      <c r="J130" s="2087">
        <v>0.08</v>
      </c>
      <c r="K130" s="2089"/>
      <c r="L130" s="2088">
        <f t="shared" si="15"/>
        <v>33.159999999999997</v>
      </c>
      <c r="M130" s="2088">
        <f t="shared" si="14"/>
        <v>29.608722044728431</v>
      </c>
      <c r="O130" s="2091" t="str">
        <f t="shared" si="18"/>
        <v xml:space="preserve"> - работы и услуги производственного характера</v>
      </c>
      <c r="P130" s="2090" t="b">
        <f>O130='[39]СС 2015 (0)'!O130</f>
        <v>1</v>
      </c>
    </row>
    <row r="131" spans="3:16" s="2090" customFormat="1" ht="36" outlineLevel="2">
      <c r="C131" s="2085" t="s">
        <v>3814</v>
      </c>
      <c r="D131" s="2092">
        <f t="shared" si="11"/>
        <v>226.87</v>
      </c>
      <c r="E131" s="2087">
        <v>71.930000000000007</v>
      </c>
      <c r="F131" s="2088">
        <f t="shared" si="12"/>
        <v>54.00495207667732</v>
      </c>
      <c r="G131" s="2088">
        <f t="shared" si="13"/>
        <v>17.925047923322687</v>
      </c>
      <c r="H131" s="2087">
        <v>154.94</v>
      </c>
      <c r="I131" s="2087"/>
      <c r="J131" s="2087"/>
      <c r="K131" s="2089"/>
      <c r="L131" s="2088">
        <f t="shared" si="15"/>
        <v>226.87</v>
      </c>
      <c r="M131" s="2088">
        <f t="shared" si="14"/>
        <v>172.86504792332269</v>
      </c>
      <c r="O131" s="2091" t="str">
        <f t="shared" si="18"/>
        <v xml:space="preserve"> - работы и услуги производственного характера</v>
      </c>
      <c r="P131" s="2090" t="b">
        <f>O131='[39]СС 2015 (0)'!O131</f>
        <v>1</v>
      </c>
    </row>
    <row r="132" spans="3:16" s="2090" customFormat="1" ht="36" outlineLevel="2">
      <c r="C132" s="2085" t="s">
        <v>1442</v>
      </c>
      <c r="D132" s="2092">
        <f t="shared" si="11"/>
        <v>895.81</v>
      </c>
      <c r="E132" s="2087">
        <v>133.55000000000001</v>
      </c>
      <c r="F132" s="2088">
        <f t="shared" si="12"/>
        <v>100.26916932907349</v>
      </c>
      <c r="G132" s="2088">
        <f t="shared" si="13"/>
        <v>33.28083067092652</v>
      </c>
      <c r="H132" s="2087">
        <v>523.03</v>
      </c>
      <c r="I132" s="2087">
        <v>230.23</v>
      </c>
      <c r="J132" s="2087">
        <v>9</v>
      </c>
      <c r="K132" s="2089"/>
      <c r="L132" s="2088">
        <f t="shared" si="15"/>
        <v>886.81</v>
      </c>
      <c r="M132" s="2088">
        <f t="shared" si="14"/>
        <v>786.54083067092643</v>
      </c>
      <c r="O132" s="2091" t="str">
        <f t="shared" si="18"/>
        <v xml:space="preserve"> - работы и услуги производственного характера</v>
      </c>
      <c r="P132" s="2090" t="b">
        <f>O132='[39]СС 2015 (0)'!O132</f>
        <v>1</v>
      </c>
    </row>
    <row r="133" spans="3:16" s="2090" customFormat="1" ht="24" outlineLevel="2">
      <c r="C133" s="2085" t="s">
        <v>1444</v>
      </c>
      <c r="D133" s="2092">
        <f t="shared" si="11"/>
        <v>617.32000000000005</v>
      </c>
      <c r="E133" s="2087">
        <v>76.8</v>
      </c>
      <c r="F133" s="2088">
        <f t="shared" si="12"/>
        <v>57.66134185303514</v>
      </c>
      <c r="G133" s="2088">
        <f t="shared" si="13"/>
        <v>19.138658146964858</v>
      </c>
      <c r="H133" s="2087">
        <v>253.76</v>
      </c>
      <c r="I133" s="2087">
        <v>261.42</v>
      </c>
      <c r="J133" s="2087">
        <v>25.34</v>
      </c>
      <c r="K133" s="2089"/>
      <c r="L133" s="2088">
        <f t="shared" si="15"/>
        <v>591.98</v>
      </c>
      <c r="M133" s="2088">
        <f t="shared" si="14"/>
        <v>534.31865814696482</v>
      </c>
      <c r="O133" s="2091" t="str">
        <f>$C$165</f>
        <v>расходы на охрану и пожарную безопасность</v>
      </c>
      <c r="P133" s="2090" t="b">
        <f>O133='[39]СС 2015 (0)'!O133</f>
        <v>1</v>
      </c>
    </row>
    <row r="134" spans="3:16" s="2090" customFormat="1" ht="24" outlineLevel="2">
      <c r="C134" s="2085" t="s">
        <v>1445</v>
      </c>
      <c r="D134" s="2092">
        <f t="shared" si="11"/>
        <v>324.7</v>
      </c>
      <c r="E134" s="2087">
        <v>46.43</v>
      </c>
      <c r="F134" s="2088">
        <f t="shared" si="12"/>
        <v>34.859584664536747</v>
      </c>
      <c r="G134" s="2088">
        <f t="shared" si="13"/>
        <v>11.570415335463252</v>
      </c>
      <c r="H134" s="2087">
        <v>155.84</v>
      </c>
      <c r="I134" s="2087">
        <v>118.59</v>
      </c>
      <c r="J134" s="2087">
        <v>3.84</v>
      </c>
      <c r="K134" s="2089"/>
      <c r="L134" s="2088">
        <f t="shared" si="15"/>
        <v>320.86</v>
      </c>
      <c r="M134" s="2088">
        <f t="shared" si="14"/>
        <v>286.00041533546329</v>
      </c>
      <c r="O134" s="2091" t="str">
        <f>$C$165</f>
        <v>расходы на охрану и пожарную безопасность</v>
      </c>
      <c r="P134" s="2090" t="b">
        <f>O134='[39]СС 2015 (0)'!O134</f>
        <v>1</v>
      </c>
    </row>
    <row r="135" spans="3:16" s="2090" customFormat="1" ht="12" outlineLevel="2">
      <c r="C135" s="2085" t="s">
        <v>1446</v>
      </c>
      <c r="D135" s="2092">
        <f t="shared" si="11"/>
        <v>225.39</v>
      </c>
      <c r="E135" s="2087">
        <v>35.42</v>
      </c>
      <c r="F135" s="2088">
        <f t="shared" si="12"/>
        <v>26.593290734824283</v>
      </c>
      <c r="G135" s="2088">
        <f t="shared" si="13"/>
        <v>8.8267092651757189</v>
      </c>
      <c r="H135" s="2087">
        <v>124.02</v>
      </c>
      <c r="I135" s="2087">
        <v>62.45</v>
      </c>
      <c r="J135" s="2087">
        <v>3.5</v>
      </c>
      <c r="K135" s="2089"/>
      <c r="L135" s="2088">
        <f t="shared" si="15"/>
        <v>221.89</v>
      </c>
      <c r="M135" s="2088">
        <f t="shared" si="14"/>
        <v>195.29670926517571</v>
      </c>
      <c r="O135" s="2091" t="str">
        <f>$C$193</f>
        <v>прочие</v>
      </c>
      <c r="P135" s="2090" t="b">
        <f>O135='[39]СС 2015 (0)'!O135</f>
        <v>1</v>
      </c>
    </row>
    <row r="136" spans="3:16" s="2090" customFormat="1" ht="12" outlineLevel="2">
      <c r="C136" s="2085" t="s">
        <v>1447</v>
      </c>
      <c r="D136" s="2092">
        <f t="shared" si="11"/>
        <v>918.03</v>
      </c>
      <c r="E136" s="2087">
        <v>126.37</v>
      </c>
      <c r="F136" s="2088">
        <f t="shared" si="12"/>
        <v>94.878434504792338</v>
      </c>
      <c r="G136" s="2088">
        <f t="shared" si="13"/>
        <v>31.491565495207666</v>
      </c>
      <c r="H136" s="2087">
        <v>422.76</v>
      </c>
      <c r="I136" s="2087">
        <v>347.46</v>
      </c>
      <c r="J136" s="2087">
        <v>21.44</v>
      </c>
      <c r="K136" s="2089"/>
      <c r="L136" s="2088">
        <f t="shared" si="15"/>
        <v>896.58999999999992</v>
      </c>
      <c r="M136" s="2088">
        <f t="shared" si="14"/>
        <v>801.71156549520754</v>
      </c>
      <c r="O136" s="2091" t="str">
        <f t="shared" ref="O136:O142" si="19">$C$164</f>
        <v>услуги связи</v>
      </c>
      <c r="P136" s="2090" t="b">
        <f>O136='[39]СС 2015 (0)'!O136</f>
        <v>1</v>
      </c>
    </row>
    <row r="137" spans="3:16" s="2090" customFormat="1" ht="24" outlineLevel="2">
      <c r="C137" s="2085" t="s">
        <v>1448</v>
      </c>
      <c r="D137" s="2092">
        <f t="shared" ref="D137:D147" si="20">SUM(E137,H137:J137)</f>
        <v>1668.1299999999999</v>
      </c>
      <c r="E137" s="2087">
        <v>266.92</v>
      </c>
      <c r="F137" s="2088">
        <f t="shared" ref="F137:F147" si="21">E137/$P$5*$R$5</f>
        <v>200.40319488817892</v>
      </c>
      <c r="G137" s="2088">
        <f t="shared" ref="G137:G146" si="22">E137-F137</f>
        <v>66.5168051118211</v>
      </c>
      <c r="H137" s="2087">
        <v>955.6</v>
      </c>
      <c r="I137" s="2087">
        <v>423.62</v>
      </c>
      <c r="J137" s="2087">
        <v>21.99</v>
      </c>
      <c r="K137" s="2089"/>
      <c r="L137" s="2088">
        <f t="shared" si="15"/>
        <v>1646.1399999999999</v>
      </c>
      <c r="M137" s="2088">
        <f t="shared" ref="M137:M147" si="23">D137-F137-J137</f>
        <v>1445.736805111821</v>
      </c>
      <c r="O137" s="2091" t="str">
        <f t="shared" si="19"/>
        <v>услуги связи</v>
      </c>
      <c r="P137" s="2090" t="b">
        <f>O137='[39]СС 2015 (0)'!O137</f>
        <v>1</v>
      </c>
    </row>
    <row r="138" spans="3:16" s="2090" customFormat="1" ht="12" outlineLevel="2">
      <c r="C138" s="2085" t="s">
        <v>1449</v>
      </c>
      <c r="D138" s="2092">
        <f t="shared" si="20"/>
        <v>4491.7500000000009</v>
      </c>
      <c r="E138" s="2087">
        <v>711.15</v>
      </c>
      <c r="F138" s="2088">
        <f t="shared" si="21"/>
        <v>533.9305111821086</v>
      </c>
      <c r="G138" s="2088">
        <f t="shared" si="22"/>
        <v>177.21948881789137</v>
      </c>
      <c r="H138" s="2087">
        <v>2530.52</v>
      </c>
      <c r="I138" s="2087">
        <v>1186.19</v>
      </c>
      <c r="J138" s="2087">
        <v>63.89</v>
      </c>
      <c r="K138" s="2089"/>
      <c r="L138" s="2088">
        <f t="shared" ref="L138:L147" si="24">D138-J138</f>
        <v>4427.8600000000006</v>
      </c>
      <c r="M138" s="2088">
        <f t="shared" si="23"/>
        <v>3893.9294888178924</v>
      </c>
      <c r="O138" s="2091" t="str">
        <f t="shared" si="19"/>
        <v>услуги связи</v>
      </c>
      <c r="P138" s="2090" t="b">
        <f>O138='[39]СС 2015 (0)'!O138</f>
        <v>1</v>
      </c>
    </row>
    <row r="139" spans="3:16" s="2090" customFormat="1" ht="12" outlineLevel="2">
      <c r="C139" s="2085" t="s">
        <v>1450</v>
      </c>
      <c r="D139" s="2092">
        <f t="shared" si="20"/>
        <v>1137.9699999999998</v>
      </c>
      <c r="E139" s="2087">
        <v>180.94</v>
      </c>
      <c r="F139" s="2088">
        <f t="shared" si="21"/>
        <v>135.84952076677317</v>
      </c>
      <c r="G139" s="2088">
        <f t="shared" si="22"/>
        <v>45.09047923322683</v>
      </c>
      <c r="H139" s="2087">
        <v>636.41999999999996</v>
      </c>
      <c r="I139" s="2087">
        <v>304.08999999999997</v>
      </c>
      <c r="J139" s="2087">
        <v>16.52</v>
      </c>
      <c r="K139" s="2089"/>
      <c r="L139" s="2088">
        <f t="shared" si="24"/>
        <v>1121.4499999999998</v>
      </c>
      <c r="M139" s="2088">
        <f t="shared" si="23"/>
        <v>985.60047923322668</v>
      </c>
      <c r="O139" s="2091" t="str">
        <f t="shared" si="19"/>
        <v>услуги связи</v>
      </c>
      <c r="P139" s="2090" t="b">
        <f>O139='[39]СС 2015 (0)'!O139</f>
        <v>1</v>
      </c>
    </row>
    <row r="140" spans="3:16" s="2090" customFormat="1" ht="12" outlineLevel="2">
      <c r="C140" s="2085" t="s">
        <v>1451</v>
      </c>
      <c r="D140" s="2092">
        <f t="shared" si="20"/>
        <v>1952.1999999999998</v>
      </c>
      <c r="E140" s="2087">
        <v>309.05</v>
      </c>
      <c r="F140" s="2088">
        <f t="shared" si="21"/>
        <v>232.03434504792332</v>
      </c>
      <c r="G140" s="2088">
        <f t="shared" si="22"/>
        <v>77.015654952076687</v>
      </c>
      <c r="H140" s="2087">
        <v>1099.3699999999999</v>
      </c>
      <c r="I140" s="2087">
        <v>516</v>
      </c>
      <c r="J140" s="2087">
        <v>27.78</v>
      </c>
      <c r="K140" s="2089"/>
      <c r="L140" s="2088">
        <f>D140-J140</f>
        <v>1924.4199999999998</v>
      </c>
      <c r="M140" s="2088">
        <f t="shared" si="23"/>
        <v>1692.3856549520765</v>
      </c>
      <c r="O140" s="2091" t="str">
        <f t="shared" si="19"/>
        <v>услуги связи</v>
      </c>
      <c r="P140" s="2090" t="b">
        <f>O140='[39]СС 2015 (0)'!O140</f>
        <v>1</v>
      </c>
    </row>
    <row r="141" spans="3:16" s="2090" customFormat="1" ht="24" outlineLevel="2">
      <c r="C141" s="2085" t="s">
        <v>1452</v>
      </c>
      <c r="D141" s="2092">
        <f t="shared" si="20"/>
        <v>126.84</v>
      </c>
      <c r="E141" s="2087">
        <v>19.62</v>
      </c>
      <c r="F141" s="2088">
        <f t="shared" si="21"/>
        <v>14.730670926517574</v>
      </c>
      <c r="G141" s="2088">
        <f t="shared" si="22"/>
        <v>4.8893290734824273</v>
      </c>
      <c r="H141" s="2087">
        <v>71.44</v>
      </c>
      <c r="I141" s="2087">
        <v>34.36</v>
      </c>
      <c r="J141" s="2087">
        <v>1.42</v>
      </c>
      <c r="K141" s="2089"/>
      <c r="L141" s="2088">
        <f t="shared" si="24"/>
        <v>125.42</v>
      </c>
      <c r="M141" s="2088">
        <f t="shared" si="23"/>
        <v>110.68932907348243</v>
      </c>
      <c r="O141" s="2091" t="str">
        <f t="shared" si="19"/>
        <v>услуги связи</v>
      </c>
      <c r="P141" s="2090" t="b">
        <f>O141='[39]СС 2015 (0)'!O141</f>
        <v>1</v>
      </c>
    </row>
    <row r="142" spans="3:16" s="2090" customFormat="1" ht="12" outlineLevel="2">
      <c r="C142" s="2085" t="s">
        <v>1453</v>
      </c>
      <c r="D142" s="2092">
        <f t="shared" si="20"/>
        <v>5.89</v>
      </c>
      <c r="E142" s="2087">
        <v>1.02</v>
      </c>
      <c r="F142" s="2088">
        <f t="shared" si="21"/>
        <v>0.76581469648562306</v>
      </c>
      <c r="G142" s="2088">
        <f t="shared" si="22"/>
        <v>0.25418530351437696</v>
      </c>
      <c r="H142" s="2087">
        <v>3.76</v>
      </c>
      <c r="I142" s="2087">
        <v>1.04</v>
      </c>
      <c r="J142" s="2087">
        <v>7.0000000000000007E-2</v>
      </c>
      <c r="K142" s="2089"/>
      <c r="L142" s="2088">
        <f t="shared" si="24"/>
        <v>5.8199999999999994</v>
      </c>
      <c r="M142" s="2088">
        <f t="shared" si="23"/>
        <v>5.0541853035143767</v>
      </c>
      <c r="O142" s="2091" t="str">
        <f t="shared" si="19"/>
        <v>услуги связи</v>
      </c>
      <c r="P142" s="2090" t="b">
        <f>O142='[39]СС 2015 (0)'!O142</f>
        <v>1</v>
      </c>
    </row>
    <row r="143" spans="3:16" s="2090" customFormat="1" ht="12" outlineLevel="2">
      <c r="C143" s="2085" t="s">
        <v>1454</v>
      </c>
      <c r="D143" s="2092">
        <f t="shared" si="20"/>
        <v>553.39</v>
      </c>
      <c r="E143" s="2087">
        <v>86.91</v>
      </c>
      <c r="F143" s="2088">
        <f t="shared" si="21"/>
        <v>65.251916932907349</v>
      </c>
      <c r="G143" s="2088">
        <f t="shared" si="22"/>
        <v>21.658083067092647</v>
      </c>
      <c r="H143" s="2087">
        <v>323.77999999999997</v>
      </c>
      <c r="I143" s="2087">
        <v>137.09</v>
      </c>
      <c r="J143" s="2087">
        <v>5.61</v>
      </c>
      <c r="K143" s="2089"/>
      <c r="L143" s="2088">
        <f t="shared" si="24"/>
        <v>547.78</v>
      </c>
      <c r="M143" s="2088">
        <f t="shared" si="23"/>
        <v>482.52808306709261</v>
      </c>
      <c r="O143" s="2091" t="str">
        <f>$C$189</f>
        <v xml:space="preserve">Услуги PR, СМИ, рекламы </v>
      </c>
      <c r="P143" s="2090" t="b">
        <f>O143='[39]СС 2015 (0)'!O143</f>
        <v>1</v>
      </c>
    </row>
    <row r="144" spans="3:16" s="2090" customFormat="1" ht="12" outlineLevel="2">
      <c r="C144" s="2085" t="s">
        <v>1455</v>
      </c>
      <c r="D144" s="2092">
        <f t="shared" si="20"/>
        <v>7.49</v>
      </c>
      <c r="E144" s="2087">
        <v>1.06</v>
      </c>
      <c r="F144" s="2088">
        <f t="shared" si="21"/>
        <v>0.79584664536741212</v>
      </c>
      <c r="G144" s="2088">
        <f t="shared" si="22"/>
        <v>0.26415335463258793</v>
      </c>
      <c r="H144" s="2087">
        <v>6.43</v>
      </c>
      <c r="I144" s="2087"/>
      <c r="J144" s="2087"/>
      <c r="K144" s="2089"/>
      <c r="L144" s="2088">
        <f t="shared" si="24"/>
        <v>7.49</v>
      </c>
      <c r="M144" s="2088">
        <f t="shared" si="23"/>
        <v>6.6941533546325882</v>
      </c>
      <c r="O144" s="2091" t="str">
        <f>$C$193</f>
        <v>прочие</v>
      </c>
      <c r="P144" s="2090" t="b">
        <f>O144='[39]СС 2015 (0)'!O144</f>
        <v>1</v>
      </c>
    </row>
    <row r="145" spans="2:52" s="2090" customFormat="1" ht="24" outlineLevel="2">
      <c r="C145" s="2085" t="s">
        <v>1456</v>
      </c>
      <c r="D145" s="2092">
        <f t="shared" si="20"/>
        <v>16428.63</v>
      </c>
      <c r="E145" s="2087">
        <v>2598.23</v>
      </c>
      <c r="F145" s="2088">
        <f t="shared" si="21"/>
        <v>1950.747763578275</v>
      </c>
      <c r="G145" s="2088">
        <f t="shared" si="22"/>
        <v>647.48223642172502</v>
      </c>
      <c r="H145" s="2087">
        <v>9253.4500000000007</v>
      </c>
      <c r="I145" s="2087">
        <v>4343.04</v>
      </c>
      <c r="J145" s="2087">
        <v>233.91</v>
      </c>
      <c r="K145" s="2089"/>
      <c r="L145" s="2088">
        <f t="shared" si="24"/>
        <v>16194.720000000001</v>
      </c>
      <c r="M145" s="2088">
        <f t="shared" si="23"/>
        <v>14243.972236421727</v>
      </c>
      <c r="O145" s="2091" t="str">
        <f>$C$165</f>
        <v>расходы на охрану и пожарную безопасность</v>
      </c>
      <c r="P145" s="2090" t="b">
        <f>O145='[39]СС 2015 (0)'!O145</f>
        <v>1</v>
      </c>
    </row>
    <row r="146" spans="2:52" s="2090" customFormat="1" ht="60" outlineLevel="2">
      <c r="C146" s="2085" t="s">
        <v>1457</v>
      </c>
      <c r="D146" s="2092">
        <f t="shared" si="20"/>
        <v>202.15</v>
      </c>
      <c r="E146" s="2087">
        <v>29.44</v>
      </c>
      <c r="F146" s="2088">
        <f t="shared" si="21"/>
        <v>22.103514376996806</v>
      </c>
      <c r="G146" s="2088">
        <f t="shared" si="22"/>
        <v>7.3364856230031954</v>
      </c>
      <c r="H146" s="2087">
        <v>115.27</v>
      </c>
      <c r="I146" s="2087">
        <v>53.54</v>
      </c>
      <c r="J146" s="2087">
        <v>3.9</v>
      </c>
      <c r="K146" s="2089"/>
      <c r="L146" s="2088">
        <f t="shared" si="24"/>
        <v>198.25</v>
      </c>
      <c r="M146" s="2088">
        <f>D146-F146-J146</f>
        <v>176.1464856230032</v>
      </c>
      <c r="O146" s="2091" t="str">
        <f>$C$162</f>
        <v xml:space="preserve"> - налоги и сборы, уменьшающие налогооблагаемую базу на прибыль организаций, всего</v>
      </c>
      <c r="P146" s="2090" t="b">
        <f>O146='[39]СС 2015 (0)'!O146</f>
        <v>1</v>
      </c>
    </row>
    <row r="147" spans="2:52" s="2090" customFormat="1" ht="24" outlineLevel="2">
      <c r="C147" s="2085" t="s">
        <v>1459</v>
      </c>
      <c r="D147" s="2092">
        <f t="shared" si="20"/>
        <v>17963.18</v>
      </c>
      <c r="E147" s="2087">
        <v>3029.81</v>
      </c>
      <c r="F147" s="2088">
        <f t="shared" si="21"/>
        <v>2274.7774760383386</v>
      </c>
      <c r="G147" s="2088">
        <f>E147-F147</f>
        <v>755.03252396166135</v>
      </c>
      <c r="H147" s="2087">
        <v>10416.450000000001</v>
      </c>
      <c r="I147" s="2087">
        <v>4250.57</v>
      </c>
      <c r="J147" s="2087">
        <v>266.35000000000002</v>
      </c>
      <c r="K147" s="2089"/>
      <c r="L147" s="2088">
        <f t="shared" si="24"/>
        <v>17696.830000000002</v>
      </c>
      <c r="M147" s="2088">
        <f t="shared" si="23"/>
        <v>15422.052523961662</v>
      </c>
      <c r="O147" s="2091" t="str">
        <f>$C$157</f>
        <v>Энергия на хозяйственные нужды</v>
      </c>
      <c r="P147" s="2090" t="b">
        <f>O147='[39]СС 2015 (0)'!O147</f>
        <v>1</v>
      </c>
    </row>
    <row r="148" spans="2:52">
      <c r="C148" s="2096"/>
      <c r="D148" s="2097">
        <f>D149*1000-D150</f>
        <v>-17637.739999999758</v>
      </c>
      <c r="E148" s="2098">
        <f>E151-E152</f>
        <v>-101120.35234493203</v>
      </c>
      <c r="F148" s="2098"/>
      <c r="G148" s="2098"/>
      <c r="H148" s="2098"/>
      <c r="I148" s="2098"/>
      <c r="J148" s="2098"/>
      <c r="K148" s="2098"/>
      <c r="L148" s="2098"/>
      <c r="M148" s="2098"/>
      <c r="N148" s="2098"/>
      <c r="O148" s="2098"/>
      <c r="P148" s="2098"/>
      <c r="Q148" s="2098"/>
      <c r="R148" s="2098"/>
      <c r="S148" s="2098"/>
      <c r="T148" s="2098"/>
      <c r="U148" s="2098"/>
      <c r="V148" s="2098"/>
      <c r="W148" s="2098"/>
      <c r="X148" s="2098"/>
      <c r="Y148" s="2098"/>
      <c r="Z148" s="2098"/>
      <c r="AA148" s="2098"/>
      <c r="AB148" s="2098"/>
      <c r="AC148" s="2098"/>
      <c r="AD148" s="2098"/>
      <c r="AE148" s="2098"/>
      <c r="AF148" s="2098"/>
      <c r="AG148" s="2098"/>
      <c r="AH148" s="2098"/>
      <c r="AI148" s="2098"/>
      <c r="AJ148" s="2098"/>
      <c r="AK148" s="2098"/>
      <c r="AL148" s="2098"/>
      <c r="AM148" s="2098"/>
      <c r="AN148" s="2098"/>
      <c r="AO148" s="2098"/>
      <c r="AP148" s="2098"/>
      <c r="AQ148" s="2098"/>
      <c r="AR148" s="2098"/>
      <c r="AS148" s="2098"/>
      <c r="AT148" s="2098"/>
      <c r="AU148" s="2098"/>
      <c r="AV148" s="2098"/>
      <c r="AW148" s="2098"/>
      <c r="AX148" s="2098"/>
      <c r="AY148" s="2098"/>
      <c r="AZ148" s="2098"/>
    </row>
    <row r="149" spans="2:52" ht="15">
      <c r="C149" s="2096">
        <f>D152-E152</f>
        <v>186040.81027820148</v>
      </c>
      <c r="D149" s="2097">
        <v>3300.6914200000001</v>
      </c>
      <c r="E149" s="2099">
        <f>D152-L152-E152</f>
        <v>0</v>
      </c>
      <c r="F149" s="2098"/>
      <c r="G149" s="2098">
        <f>H149+I149</f>
        <v>1627.889614504473</v>
      </c>
      <c r="H149" s="2098">
        <f>'[30]Затраты 2015'!G32</f>
        <v>945.28791876940045</v>
      </c>
      <c r="I149" s="2098">
        <f>'[30]Затраты 2015'!H32</f>
        <v>682.60169573507255</v>
      </c>
      <c r="J149" s="2098">
        <f>'[30]Затраты 2015'!I32</f>
        <v>5319.7202783055764</v>
      </c>
      <c r="K149" s="2098">
        <f>'[30]Затраты 2015'!J32</f>
        <v>3262.572176911749</v>
      </c>
      <c r="L149" s="2098">
        <f>'[30]Затраты 2015'!E32</f>
        <v>183.21920027820192</v>
      </c>
      <c r="M149" s="2098"/>
      <c r="N149" s="2098"/>
      <c r="O149" s="2098"/>
      <c r="P149" s="2098"/>
      <c r="Q149" s="2098"/>
      <c r="R149" s="2098"/>
      <c r="S149" s="2098"/>
      <c r="T149" s="2098"/>
      <c r="U149" s="2098"/>
      <c r="V149" s="2098"/>
      <c r="W149" s="2098"/>
      <c r="X149" s="2098"/>
      <c r="Y149" s="2098"/>
      <c r="Z149" s="2098"/>
      <c r="AA149" s="2098"/>
      <c r="AB149" s="2098"/>
      <c r="AC149" s="2098"/>
      <c r="AD149" s="2098"/>
      <c r="AE149" s="2098"/>
      <c r="AF149" s="2098"/>
      <c r="AG149" s="2098"/>
      <c r="AH149" s="2098"/>
      <c r="AI149" s="2098"/>
      <c r="AJ149" s="2098"/>
      <c r="AK149" s="2098"/>
      <c r="AL149" s="2098"/>
      <c r="AM149" s="2098"/>
      <c r="AN149" s="2098"/>
      <c r="AO149" s="2098"/>
      <c r="AP149" s="2098"/>
      <c r="AQ149" s="2098"/>
      <c r="AR149" s="2098"/>
      <c r="AS149" s="2098"/>
      <c r="AT149" s="2098"/>
      <c r="AU149" s="2098"/>
      <c r="AV149" s="2098"/>
      <c r="AW149" s="2098"/>
      <c r="AX149" s="2098"/>
      <c r="AY149" s="2098"/>
      <c r="AZ149" s="2098"/>
    </row>
    <row r="150" spans="2:52" ht="33.75">
      <c r="C150" s="2096">
        <f>D152-L152</f>
        <v>10210182.069721799</v>
      </c>
      <c r="D150" s="2097">
        <f>D20+D21+D53+D54+D55+D71+D72+D73+D74+D75+D76</f>
        <v>3318329.1599999997</v>
      </c>
      <c r="E150" s="2100" t="str">
        <f>L$4</f>
        <v>Факт без индивидуальных проектов</v>
      </c>
      <c r="F150" s="2100" t="str">
        <f>M$4</f>
        <v>Факт без индивидуальных и льготников</v>
      </c>
      <c r="G150" s="3391" t="s">
        <v>2936</v>
      </c>
      <c r="H150" s="3396" t="s">
        <v>3795</v>
      </c>
      <c r="I150" s="3397"/>
      <c r="J150" s="3391" t="s">
        <v>2915</v>
      </c>
      <c r="K150" s="3391" t="s">
        <v>1465</v>
      </c>
      <c r="L150" s="3391" t="s">
        <v>3741</v>
      </c>
      <c r="M150" s="2098"/>
      <c r="N150" s="3391" t="s">
        <v>3815</v>
      </c>
      <c r="O150" s="2098"/>
      <c r="P150" s="2098"/>
      <c r="Q150" s="2098"/>
      <c r="R150" s="2098"/>
      <c r="S150" s="2098"/>
      <c r="T150" s="2098"/>
      <c r="U150" s="2098"/>
      <c r="V150" s="2098"/>
      <c r="W150" s="2098"/>
      <c r="X150" s="2098"/>
      <c r="Y150" s="2098"/>
      <c r="Z150" s="2098"/>
      <c r="AA150" s="2098"/>
      <c r="AB150" s="2098"/>
      <c r="AC150" s="2098"/>
      <c r="AD150" s="2098"/>
      <c r="AE150" s="2098"/>
      <c r="AF150" s="2098"/>
      <c r="AG150" s="2098"/>
      <c r="AH150" s="2098"/>
      <c r="AI150" s="2098"/>
      <c r="AJ150" s="2098"/>
      <c r="AK150" s="2098"/>
      <c r="AL150" s="2098"/>
      <c r="AM150" s="2098"/>
      <c r="AN150" s="2098"/>
      <c r="AO150" s="2098"/>
      <c r="AP150" s="2098"/>
      <c r="AQ150" s="2098"/>
      <c r="AR150" s="2098"/>
      <c r="AS150" s="2098"/>
      <c r="AT150" s="2098"/>
      <c r="AU150" s="2098"/>
      <c r="AV150" s="2098"/>
      <c r="AW150" s="2098"/>
      <c r="AX150" s="2098"/>
      <c r="AY150" s="2098"/>
      <c r="AZ150" s="2098"/>
    </row>
    <row r="151" spans="2:52">
      <c r="C151" s="2096"/>
      <c r="D151" s="2097">
        <f>'[36]Прил. 5 (НВВ)'!N17*1000</f>
        <v>10396222.880000001</v>
      </c>
      <c r="E151" s="2101">
        <f>'[36]Прил. 5 (НВВ)'!P17*1000</f>
        <v>10109061.717376867</v>
      </c>
      <c r="F151" s="2101"/>
      <c r="G151" s="3391"/>
      <c r="H151" s="2075" t="s">
        <v>3798</v>
      </c>
      <c r="I151" s="2075" t="s">
        <v>3799</v>
      </c>
      <c r="J151" s="3391"/>
      <c r="K151" s="3391"/>
      <c r="L151" s="3391"/>
      <c r="M151" s="2098"/>
      <c r="N151" s="3391"/>
      <c r="O151" s="2098"/>
      <c r="P151" s="2098"/>
      <c r="Q151" s="2098"/>
      <c r="R151" s="2098"/>
      <c r="S151" s="2098"/>
      <c r="T151" s="2098"/>
      <c r="U151" s="2098"/>
      <c r="V151" s="2098"/>
      <c r="W151" s="2098"/>
      <c r="X151" s="2098"/>
      <c r="Y151" s="2098"/>
      <c r="Z151" s="2098"/>
      <c r="AA151" s="2098"/>
      <c r="AB151" s="2098"/>
      <c r="AC151" s="2098"/>
      <c r="AD151" s="2098"/>
      <c r="AE151" s="2098"/>
      <c r="AF151" s="2098"/>
      <c r="AG151" s="2098"/>
      <c r="AH151" s="2098"/>
      <c r="AI151" s="2098"/>
      <c r="AJ151" s="2098"/>
      <c r="AK151" s="2098"/>
      <c r="AL151" s="2098"/>
      <c r="AM151" s="2098"/>
      <c r="AN151" s="2098"/>
      <c r="AO151" s="2098"/>
      <c r="AP151" s="2098"/>
      <c r="AQ151" s="2098"/>
      <c r="AR151" s="2098"/>
      <c r="AS151" s="2098"/>
      <c r="AT151" s="2098"/>
      <c r="AU151" s="2098"/>
      <c r="AV151" s="2098"/>
      <c r="AW151" s="2098"/>
      <c r="AX151" s="2098"/>
      <c r="AY151" s="2098"/>
      <c r="AZ151" s="2098"/>
    </row>
    <row r="152" spans="2:52" ht="29.25">
      <c r="B152" s="2102" t="s">
        <v>25</v>
      </c>
      <c r="C152" s="2103" t="s">
        <v>3702</v>
      </c>
      <c r="D152" s="2104">
        <f>SUM(D153,D157:D160,D169)</f>
        <v>10396222.880000001</v>
      </c>
      <c r="E152" s="2104">
        <f t="shared" ref="E152:L152" si="25">SUM(E153,E157:E160,E169)</f>
        <v>10210182.069721799</v>
      </c>
      <c r="F152" s="2104">
        <f t="shared" si="25"/>
        <v>7291411.5103840819</v>
      </c>
      <c r="G152" s="2104">
        <f t="shared" ca="1" si="25"/>
        <v>1490468.4902526943</v>
      </c>
      <c r="H152" s="2104">
        <f t="shared" si="25"/>
        <v>945287.91876940045</v>
      </c>
      <c r="I152" s="2104">
        <f t="shared" si="25"/>
        <v>682601.69573507272</v>
      </c>
      <c r="J152" s="2104">
        <f t="shared" si="25"/>
        <v>5319720.2783055762</v>
      </c>
      <c r="K152" s="2104">
        <f t="shared" si="25"/>
        <v>3262572.1769117489</v>
      </c>
      <c r="L152" s="2104">
        <f t="shared" si="25"/>
        <v>186040.81027820191</v>
      </c>
      <c r="M152" s="2098">
        <f>D152-L152</f>
        <v>10210182.069721799</v>
      </c>
      <c r="N152" s="2104">
        <f>SUM(N153,N157:N160,N169)</f>
        <v>10109061.717376869</v>
      </c>
      <c r="O152" s="2104">
        <f>SUM(O153,O157:O160,O169)</f>
        <v>101120.35234492946</v>
      </c>
      <c r="P152" s="2098"/>
      <c r="Q152" s="2098"/>
      <c r="R152" s="2098"/>
      <c r="S152" s="2098"/>
      <c r="T152" s="2098"/>
      <c r="U152" s="2098"/>
      <c r="V152" s="2098"/>
      <c r="W152" s="2098"/>
      <c r="X152" s="2098"/>
      <c r="Y152" s="2098"/>
      <c r="Z152" s="2098"/>
      <c r="AA152" s="2098"/>
      <c r="AB152" s="2098"/>
      <c r="AC152" s="2098"/>
      <c r="AD152" s="2098"/>
      <c r="AE152" s="2098"/>
      <c r="AF152" s="2098"/>
      <c r="AG152" s="2098"/>
      <c r="AH152" s="2098"/>
      <c r="AI152" s="2098"/>
      <c r="AJ152" s="2098"/>
      <c r="AK152" s="2098"/>
      <c r="AL152" s="2098"/>
      <c r="AM152" s="2098"/>
      <c r="AN152" s="2098"/>
      <c r="AO152" s="2098"/>
      <c r="AP152" s="2098"/>
      <c r="AQ152" s="2098"/>
      <c r="AR152" s="2098"/>
      <c r="AS152" s="2098"/>
      <c r="AT152" s="2098"/>
      <c r="AU152" s="2098"/>
      <c r="AV152" s="2098"/>
      <c r="AW152" s="2098"/>
      <c r="AX152" s="2098"/>
      <c r="AY152" s="2098"/>
      <c r="AZ152" s="2098"/>
    </row>
    <row r="153" spans="2:52" ht="12">
      <c r="B153" s="2105" t="s">
        <v>4</v>
      </c>
      <c r="C153" s="2106" t="str">
        <f>'[39]Прил. 5 (НВВ)'!B18</f>
        <v>Вспомогательные материалы</v>
      </c>
      <c r="D153" s="2107">
        <f>SUMIF($O$8:$O$147,$C153,$D$8:$D$147)</f>
        <v>82690.939999999988</v>
      </c>
      <c r="E153" s="2108">
        <f>SUM(H153:K153)</f>
        <v>81691.09</v>
      </c>
      <c r="F153" s="2107">
        <f>SUMIF($O$8:$O$147,$C153,$M$8:$M$147)</f>
        <v>66063.116996805096</v>
      </c>
      <c r="G153" s="2107">
        <f ca="1">SUMIF($O$8:$O$153,$C153,$E$8:$E$147)</f>
        <v>20815.130000000008</v>
      </c>
      <c r="H153" s="2109">
        <f t="shared" ref="H153:H157" si="26">SUMIF($O$8:$O$147,$C153,$F$8:$F$147)</f>
        <v>15627.973003194887</v>
      </c>
      <c r="I153" s="2109">
        <f>SUMIF($O$8:$O$147,$C153,$G$8:$G$147)</f>
        <v>5187.1569968051126</v>
      </c>
      <c r="J153" s="2109">
        <f>SUMIF($O$8:$O$147,$C153,$H$8:$H$147)</f>
        <v>42093.259999999995</v>
      </c>
      <c r="K153" s="2109">
        <f t="shared" ref="K153:K167" si="27">SUMIF($O$8:$O$147,$C153,$I$8:$I$147)</f>
        <v>18782.7</v>
      </c>
      <c r="L153" s="2109">
        <f>SUMIF($O$8:$O$147,$C153,$J$8:$J$147)</f>
        <v>999.85000000000014</v>
      </c>
      <c r="M153" s="2098">
        <f ca="1">SUM(G153,J153:L153)</f>
        <v>82690.94</v>
      </c>
      <c r="N153" s="2109">
        <f>'[40]Приложение 5 (НВВ)'!P18*1000</f>
        <v>81691.090000000011</v>
      </c>
      <c r="O153" s="2109">
        <f>E153-N153</f>
        <v>0</v>
      </c>
      <c r="P153" s="2098"/>
      <c r="Q153" s="2098"/>
      <c r="R153" s="2098"/>
      <c r="S153" s="2098"/>
      <c r="T153" s="2098"/>
      <c r="U153" s="2098"/>
      <c r="V153" s="2098"/>
      <c r="W153" s="2098"/>
      <c r="X153" s="2098"/>
      <c r="Y153" s="2098"/>
      <c r="Z153" s="2098"/>
      <c r="AA153" s="2098"/>
      <c r="AB153" s="2098"/>
      <c r="AC153" s="2098"/>
      <c r="AD153" s="2098"/>
      <c r="AE153" s="2098"/>
      <c r="AF153" s="2098"/>
      <c r="AG153" s="2098"/>
      <c r="AH153" s="2098"/>
      <c r="AI153" s="2098"/>
      <c r="AJ153" s="2098"/>
      <c r="AK153" s="2098"/>
      <c r="AL153" s="2098"/>
      <c r="AM153" s="2098"/>
      <c r="AN153" s="2098"/>
      <c r="AO153" s="2098"/>
      <c r="AP153" s="2098"/>
      <c r="AQ153" s="2098"/>
      <c r="AR153" s="2098"/>
      <c r="AS153" s="2098"/>
      <c r="AT153" s="2098"/>
      <c r="AU153" s="2098"/>
      <c r="AV153" s="2098"/>
      <c r="AW153" s="2098"/>
      <c r="AX153" s="2098"/>
      <c r="AY153" s="2098"/>
      <c r="AZ153" s="2098"/>
    </row>
    <row r="154" spans="2:52">
      <c r="B154" s="2110" t="s">
        <v>2562</v>
      </c>
      <c r="C154" s="2111" t="s">
        <v>3766</v>
      </c>
      <c r="D154" s="2112">
        <f>SUMIF($Q$8:$Q$147,$C154,D$8:D$147)</f>
        <v>50704.98</v>
      </c>
      <c r="E154" s="2112">
        <f>SUMIF($Q$8:$Q$147,$C154,L$8:L$147)</f>
        <v>50136.380000000005</v>
      </c>
      <c r="F154" s="2112">
        <f>SUMIF($Q$8:$Q$147,$C154,M$8:M$147)</f>
        <v>39215.524568690103</v>
      </c>
      <c r="G154" s="2112">
        <f>SUMIF($Q$8:$Q$147,$C154,E$8:E$147)</f>
        <v>14545.65</v>
      </c>
      <c r="H154" s="2112">
        <f t="shared" ref="H154:L155" si="28">SUMIF($Q$8:$Q$147,$C154,F$8:F$147)</f>
        <v>10920.855431309903</v>
      </c>
      <c r="I154" s="2112">
        <f t="shared" si="28"/>
        <v>3624.7945686900962</v>
      </c>
      <c r="J154" s="2112">
        <f t="shared" si="28"/>
        <v>24397.3</v>
      </c>
      <c r="K154" s="2112">
        <f t="shared" si="28"/>
        <v>11193.43</v>
      </c>
      <c r="L154" s="2112">
        <f t="shared" si="28"/>
        <v>568.6</v>
      </c>
      <c r="M154" s="2098"/>
      <c r="N154" s="2112"/>
      <c r="O154" s="2112"/>
      <c r="P154" s="2098"/>
      <c r="Q154" s="2098"/>
      <c r="R154" s="2098"/>
      <c r="S154" s="2098"/>
      <c r="T154" s="2098"/>
      <c r="U154" s="2098"/>
      <c r="V154" s="2098"/>
      <c r="W154" s="2098"/>
      <c r="X154" s="2098"/>
      <c r="Y154" s="2098"/>
      <c r="Z154" s="2098"/>
      <c r="AA154" s="2098"/>
      <c r="AB154" s="2098"/>
      <c r="AC154" s="2098"/>
      <c r="AD154" s="2098"/>
      <c r="AE154" s="2098"/>
      <c r="AF154" s="2098"/>
      <c r="AG154" s="2098"/>
      <c r="AH154" s="2098"/>
      <c r="AI154" s="2098"/>
      <c r="AJ154" s="2098"/>
      <c r="AK154" s="2098"/>
      <c r="AL154" s="2098"/>
      <c r="AM154" s="2098"/>
      <c r="AN154" s="2098"/>
      <c r="AO154" s="2098"/>
      <c r="AP154" s="2098"/>
      <c r="AQ154" s="2098"/>
      <c r="AR154" s="2098"/>
      <c r="AS154" s="2098"/>
      <c r="AT154" s="2098"/>
      <c r="AU154" s="2098"/>
      <c r="AV154" s="2098"/>
      <c r="AW154" s="2098"/>
      <c r="AX154" s="2098"/>
      <c r="AY154" s="2098"/>
      <c r="AZ154" s="2098"/>
    </row>
    <row r="155" spans="2:52">
      <c r="B155" s="2110" t="s">
        <v>2576</v>
      </c>
      <c r="C155" s="2111" t="s">
        <v>3755</v>
      </c>
      <c r="D155" s="2112">
        <f>SUMIF($Q$8:$Q$147,$C155,D$8:D$147)</f>
        <v>14205.970000000001</v>
      </c>
      <c r="E155" s="2112">
        <f>SUMIF($Q$8:$Q$147,$C155,L$8:L$147)</f>
        <v>14014.67</v>
      </c>
      <c r="F155" s="2112">
        <f>SUMIF($Q$8:$Q$147,$C155,M$8:M$147)</f>
        <v>11387.467603833866</v>
      </c>
      <c r="G155" s="2112">
        <f t="shared" ref="G155" si="29">SUMIF($Q$8:$Q$147,$C155,E$8:E$147)</f>
        <v>3499.21</v>
      </c>
      <c r="H155" s="2112">
        <f>SUMIF($Q$8:$Q$147,$C155,F$8:F$147)</f>
        <v>2627.2023961661343</v>
      </c>
      <c r="I155" s="2112">
        <f t="shared" si="28"/>
        <v>872.0076038338658</v>
      </c>
      <c r="J155" s="2112">
        <f t="shared" si="28"/>
        <v>7900.9599999999991</v>
      </c>
      <c r="K155" s="2112">
        <f t="shared" si="28"/>
        <v>2614.5</v>
      </c>
      <c r="L155" s="2112">
        <f t="shared" si="28"/>
        <v>191.29999999999998</v>
      </c>
      <c r="M155" s="2098"/>
      <c r="N155" s="2112"/>
      <c r="O155" s="2112"/>
      <c r="P155" s="2098"/>
      <c r="Q155" s="2098"/>
      <c r="R155" s="2098"/>
      <c r="S155" s="2098"/>
      <c r="T155" s="2098"/>
      <c r="U155" s="2098"/>
      <c r="V155" s="2098"/>
      <c r="W155" s="2098"/>
      <c r="X155" s="2098"/>
      <c r="Y155" s="2098"/>
      <c r="Z155" s="2098"/>
      <c r="AA155" s="2098"/>
      <c r="AB155" s="2098"/>
      <c r="AC155" s="2098"/>
      <c r="AD155" s="2098"/>
      <c r="AE155" s="2098"/>
      <c r="AF155" s="2098"/>
      <c r="AG155" s="2098"/>
      <c r="AH155" s="2098"/>
      <c r="AI155" s="2098"/>
      <c r="AJ155" s="2098"/>
      <c r="AK155" s="2098"/>
      <c r="AL155" s="2098"/>
      <c r="AM155" s="2098"/>
      <c r="AN155" s="2098"/>
      <c r="AO155" s="2098"/>
      <c r="AP155" s="2098"/>
      <c r="AQ155" s="2098"/>
      <c r="AR155" s="2098"/>
      <c r="AS155" s="2098"/>
      <c r="AT155" s="2098"/>
      <c r="AU155" s="2098"/>
      <c r="AV155" s="2098"/>
      <c r="AW155" s="2098"/>
      <c r="AX155" s="2098"/>
      <c r="AY155" s="2098"/>
      <c r="AZ155" s="2098"/>
    </row>
    <row r="156" spans="2:52">
      <c r="B156" s="2110" t="s">
        <v>3816</v>
      </c>
      <c r="C156" s="2111" t="s">
        <v>3767</v>
      </c>
      <c r="D156" s="2108">
        <f t="shared" ref="D156:G156" si="30">D153-D154-D155</f>
        <v>17779.989999999983</v>
      </c>
      <c r="E156" s="2108">
        <f>E153-E154-E155</f>
        <v>17540.039999999994</v>
      </c>
      <c r="F156" s="2108">
        <f t="shared" si="30"/>
        <v>15460.124824281127</v>
      </c>
      <c r="G156" s="2108">
        <f t="shared" ca="1" si="30"/>
        <v>2770.2700000000086</v>
      </c>
      <c r="H156" s="2108">
        <f>H153-H154-H155</f>
        <v>2079.9151757188502</v>
      </c>
      <c r="I156" s="2108">
        <f t="shared" ref="I156:L156" si="31">I153-I154-I155</f>
        <v>690.35482428115063</v>
      </c>
      <c r="J156" s="2108">
        <f t="shared" si="31"/>
        <v>9794.9999999999964</v>
      </c>
      <c r="K156" s="2108">
        <f t="shared" si="31"/>
        <v>4974.7700000000004</v>
      </c>
      <c r="L156" s="2108">
        <f t="shared" si="31"/>
        <v>239.95000000000013</v>
      </c>
      <c r="M156" s="2098"/>
      <c r="N156" s="2108"/>
      <c r="O156" s="2108"/>
      <c r="P156" s="2098"/>
      <c r="Q156" s="2098"/>
      <c r="R156" s="2098"/>
      <c r="S156" s="2098"/>
      <c r="T156" s="2098"/>
      <c r="U156" s="2098"/>
      <c r="V156" s="2098"/>
      <c r="W156" s="2098"/>
      <c r="X156" s="2098"/>
      <c r="Y156" s="2098"/>
      <c r="Z156" s="2098"/>
      <c r="AA156" s="2098"/>
      <c r="AB156" s="2098"/>
      <c r="AC156" s="2098"/>
      <c r="AD156" s="2098"/>
      <c r="AE156" s="2098"/>
      <c r="AF156" s="2098"/>
      <c r="AG156" s="2098"/>
      <c r="AH156" s="2098"/>
      <c r="AI156" s="2098"/>
      <c r="AJ156" s="2098"/>
      <c r="AK156" s="2098"/>
      <c r="AL156" s="2098"/>
      <c r="AM156" s="2098"/>
      <c r="AN156" s="2098"/>
      <c r="AO156" s="2098"/>
      <c r="AP156" s="2098"/>
      <c r="AQ156" s="2098"/>
      <c r="AR156" s="2098"/>
      <c r="AS156" s="2098"/>
      <c r="AT156" s="2098"/>
      <c r="AU156" s="2098"/>
      <c r="AV156" s="2098"/>
      <c r="AW156" s="2098"/>
      <c r="AX156" s="2098"/>
      <c r="AY156" s="2098"/>
      <c r="AZ156" s="2098"/>
    </row>
    <row r="157" spans="2:52" ht="12">
      <c r="B157" s="2113" t="s">
        <v>5</v>
      </c>
      <c r="C157" s="2114" t="str">
        <f>'[39]Прил. 5 (НВВ)'!B19</f>
        <v>Энергия на хозяйственные нужды</v>
      </c>
      <c r="D157" s="2109">
        <f t="shared" ref="D157:D170" si="32">SUMIF($O$8:$O$147,$C157,$D$8:$D$147)</f>
        <v>18949.7</v>
      </c>
      <c r="E157" s="2108">
        <f>SUM(H157:K157)</f>
        <v>18665.400000000001</v>
      </c>
      <c r="F157" s="2109">
        <f>SUMIF($O$8:$O$147,$C157,$M$8:$M$147)</f>
        <v>16255.110862619809</v>
      </c>
      <c r="G157" s="2107">
        <f t="shared" ref="G157:G167" ca="1" si="33">SUMIF($O$8:$O$153,$C157,$E$8:$E$147)</f>
        <v>3210.3</v>
      </c>
      <c r="H157" s="2109">
        <f t="shared" si="26"/>
        <v>2410.2891373801917</v>
      </c>
      <c r="I157" s="2109">
        <f t="shared" ref="I157:I170" si="34">SUMIF($O$8:$O$147,$C157,$G$8:$G$147)</f>
        <v>800.01086261980834</v>
      </c>
      <c r="J157" s="2109">
        <f t="shared" ref="J157:J159" si="35">SUMIF($O$8:$O$147,$C157,$H$8:$H$147)</f>
        <v>11012.83</v>
      </c>
      <c r="K157" s="2109">
        <f t="shared" si="27"/>
        <v>4442.2699999999995</v>
      </c>
      <c r="L157" s="2109">
        <f t="shared" ref="L157:L167" si="36">SUMIF($O$8:$O$147,$C157,$J$8:$J$147)</f>
        <v>284.3</v>
      </c>
      <c r="M157" s="2098"/>
      <c r="N157" s="2109">
        <f>'[40]Приложение 5 (НВВ)'!P19*1000</f>
        <v>18665.400000000001</v>
      </c>
      <c r="O157" s="2109">
        <f t="shared" ref="O157:O159" si="37">E157-N157</f>
        <v>0</v>
      </c>
      <c r="P157" s="2098"/>
      <c r="Q157" s="2098"/>
      <c r="R157" s="2098"/>
      <c r="S157" s="2098"/>
      <c r="T157" s="2098"/>
      <c r="U157" s="2098"/>
      <c r="V157" s="2098"/>
      <c r="W157" s="2098"/>
      <c r="X157" s="2098"/>
      <c r="Y157" s="2098"/>
      <c r="Z157" s="2098"/>
      <c r="AA157" s="2098"/>
      <c r="AB157" s="2098"/>
      <c r="AC157" s="2098"/>
      <c r="AD157" s="2098"/>
      <c r="AE157" s="2098"/>
      <c r="AF157" s="2098"/>
      <c r="AG157" s="2098"/>
      <c r="AH157" s="2098"/>
      <c r="AI157" s="2098"/>
      <c r="AJ157" s="2098"/>
      <c r="AK157" s="2098"/>
      <c r="AL157" s="2098"/>
      <c r="AM157" s="2098"/>
      <c r="AN157" s="2098"/>
      <c r="AO157" s="2098"/>
      <c r="AP157" s="2098"/>
      <c r="AQ157" s="2098"/>
      <c r="AR157" s="2098"/>
      <c r="AS157" s="2098"/>
      <c r="AT157" s="2098"/>
      <c r="AU157" s="2098"/>
      <c r="AV157" s="2098"/>
      <c r="AW157" s="2098"/>
      <c r="AX157" s="2098"/>
      <c r="AY157" s="2098"/>
      <c r="AZ157" s="2098"/>
    </row>
    <row r="158" spans="2:52" ht="12">
      <c r="B158" s="2113" t="s">
        <v>6</v>
      </c>
      <c r="C158" s="2114" t="str">
        <f>'[39]Прил. 5 (НВВ)'!B20</f>
        <v>Оплата труда ППП (без соц. отчислений)</v>
      </c>
      <c r="D158" s="2109">
        <f>SUMIF($O$8:$O$147,$C158,$D$8:$D$147)</f>
        <v>3300691.42</v>
      </c>
      <c r="E158" s="2108">
        <f>SUM(H158:K158)</f>
        <v>3244363.79</v>
      </c>
      <c r="F158" s="2109">
        <f>SUMIF($O$8:$O$147,$C158,$M$8:$M$147)</f>
        <v>2801868.3551757187</v>
      </c>
      <c r="G158" s="2107">
        <f ca="1">SUMIF($O$8:$O$153,$C158,$E$8:$E$147)</f>
        <v>589366.26</v>
      </c>
      <c r="H158" s="2109">
        <f>SUMIF($O$8:$O$147,$C158,$F$8:$F$147)</f>
        <v>442495.43482428114</v>
      </c>
      <c r="I158" s="2109">
        <f t="shared" si="34"/>
        <v>146870.82517571893</v>
      </c>
      <c r="J158" s="2109">
        <f t="shared" si="35"/>
        <v>1766842.3599999999</v>
      </c>
      <c r="K158" s="2109">
        <f t="shared" si="27"/>
        <v>888155.16999999993</v>
      </c>
      <c r="L158" s="2109">
        <f t="shared" si="36"/>
        <v>56327.63</v>
      </c>
      <c r="M158" s="2098"/>
      <c r="N158" s="2109">
        <f>'[40]Приложение 5 (НВВ)'!P20*1000</f>
        <v>3244363.7900000005</v>
      </c>
      <c r="O158" s="2109">
        <f t="shared" si="37"/>
        <v>0</v>
      </c>
      <c r="P158" s="2098"/>
      <c r="Q158" s="2098"/>
      <c r="R158" s="2098"/>
      <c r="S158" s="2098"/>
      <c r="T158" s="2098"/>
      <c r="U158" s="2098"/>
      <c r="V158" s="2098"/>
      <c r="W158" s="2098"/>
      <c r="X158" s="2098"/>
      <c r="Y158" s="2098"/>
      <c r="Z158" s="2098"/>
      <c r="AA158" s="2098"/>
      <c r="AB158" s="2098"/>
      <c r="AC158" s="2098"/>
      <c r="AD158" s="2098"/>
      <c r="AE158" s="2098"/>
      <c r="AF158" s="2098"/>
      <c r="AG158" s="2098"/>
      <c r="AH158" s="2098"/>
      <c r="AI158" s="2098"/>
      <c r="AJ158" s="2098"/>
      <c r="AK158" s="2098"/>
      <c r="AL158" s="2098"/>
      <c r="AM158" s="2098"/>
      <c r="AN158" s="2098"/>
      <c r="AO158" s="2098"/>
      <c r="AP158" s="2098"/>
      <c r="AQ158" s="2098"/>
      <c r="AR158" s="2098"/>
      <c r="AS158" s="2098"/>
      <c r="AT158" s="2098"/>
      <c r="AU158" s="2098"/>
      <c r="AV158" s="2098"/>
      <c r="AW158" s="2098"/>
      <c r="AX158" s="2098"/>
      <c r="AY158" s="2098"/>
      <c r="AZ158" s="2098"/>
    </row>
    <row r="159" spans="2:52" ht="12">
      <c r="B159" s="2113" t="s">
        <v>7</v>
      </c>
      <c r="C159" s="2114" t="str">
        <f>'[39]Прил. 5 (НВВ)'!B21</f>
        <v>Отчисления на страховые взносы</v>
      </c>
      <c r="D159" s="2109">
        <f t="shared" si="32"/>
        <v>988142.01000000013</v>
      </c>
      <c r="E159" s="2108">
        <f t="shared" ref="E159" si="38">SUM(H159:K159)</f>
        <v>971515.82999999984</v>
      </c>
      <c r="F159" s="2109">
        <f>SUMIF($O$8:$O$147,$C159,$M$8:$M$147)</f>
        <v>838320.68303514365</v>
      </c>
      <c r="G159" s="2107">
        <f t="shared" ca="1" si="33"/>
        <v>177404.59999999998</v>
      </c>
      <c r="H159" s="2109">
        <f>SUMIF($O$8:$O$147,$C159,$F$8:$F$147)</f>
        <v>133195.14696485625</v>
      </c>
      <c r="I159" s="2109">
        <f t="shared" si="34"/>
        <v>44209.453035143772</v>
      </c>
      <c r="J159" s="2109">
        <f t="shared" si="35"/>
        <v>529869.74999999988</v>
      </c>
      <c r="K159" s="2109">
        <f t="shared" si="27"/>
        <v>264241.47999999992</v>
      </c>
      <c r="L159" s="2109">
        <f t="shared" si="36"/>
        <v>16626.18</v>
      </c>
      <c r="M159" s="2098"/>
      <c r="N159" s="2109">
        <f>'[40]Приложение 5 (НВВ)'!P21*1000</f>
        <v>971515.82999999984</v>
      </c>
      <c r="O159" s="2109">
        <f t="shared" si="37"/>
        <v>0</v>
      </c>
      <c r="P159" s="2098"/>
      <c r="Q159" s="2098"/>
      <c r="R159" s="2098"/>
      <c r="S159" s="2098"/>
      <c r="T159" s="2098"/>
      <c r="U159" s="2098"/>
      <c r="V159" s="2098"/>
      <c r="W159" s="2098"/>
      <c r="X159" s="2098"/>
      <c r="Y159" s="2098"/>
      <c r="Z159" s="2098"/>
      <c r="AA159" s="2098"/>
      <c r="AB159" s="2098"/>
      <c r="AC159" s="2098"/>
      <c r="AD159" s="2098"/>
      <c r="AE159" s="2098"/>
      <c r="AF159" s="2098"/>
      <c r="AG159" s="2098"/>
      <c r="AH159" s="2098"/>
      <c r="AI159" s="2098"/>
      <c r="AJ159" s="2098"/>
      <c r="AK159" s="2098"/>
      <c r="AL159" s="2098"/>
      <c r="AM159" s="2098"/>
      <c r="AN159" s="2098"/>
      <c r="AO159" s="2098"/>
      <c r="AP159" s="2098"/>
      <c r="AQ159" s="2098"/>
      <c r="AR159" s="2098"/>
      <c r="AS159" s="2098"/>
      <c r="AT159" s="2098"/>
      <c r="AU159" s="2098"/>
      <c r="AV159" s="2098"/>
      <c r="AW159" s="2098"/>
      <c r="AX159" s="2098"/>
      <c r="AY159" s="2098"/>
      <c r="AZ159" s="2098"/>
    </row>
    <row r="160" spans="2:52" ht="12">
      <c r="B160" s="2113" t="s">
        <v>3707</v>
      </c>
      <c r="C160" s="2114" t="str">
        <f>'[39]Прил. 5 (НВВ)'!B22</f>
        <v>Прочие расходы, всего, в том числе:</v>
      </c>
      <c r="D160" s="2115">
        <f>SUM(D161:D163)</f>
        <v>3364934.1300000008</v>
      </c>
      <c r="E160" s="2115">
        <f>SUM(E161:E163)</f>
        <v>3262933.2990718731</v>
      </c>
      <c r="F160" s="2115">
        <f>SUM(F161:F163)</f>
        <v>3162675.2386115543</v>
      </c>
      <c r="G160" s="2115">
        <f t="shared" ref="G160" ca="1" si="39">SUM(G161:G163)</f>
        <v>454075.47306799347</v>
      </c>
      <c r="H160" s="2115">
        <f>SUM(H161:H163)</f>
        <v>197408.3413884461</v>
      </c>
      <c r="I160" s="2115">
        <f>SUM(I161:I163)</f>
        <v>256667.1316795474</v>
      </c>
      <c r="J160" s="2115">
        <f>SUM(J161:J163)</f>
        <v>1692690.3821424346</v>
      </c>
      <c r="K160" s="2115">
        <f>SUM(K161:K163)</f>
        <v>1116167.4438614456</v>
      </c>
      <c r="L160" s="2115">
        <f>SUM(L161:L163)</f>
        <v>102000.83092812654</v>
      </c>
      <c r="M160" s="2098"/>
      <c r="N160" s="2115">
        <f>SUM(N161:N163)</f>
        <v>3262933.2990718735</v>
      </c>
      <c r="O160" s="2115">
        <f>SUM(O161:O163)</f>
        <v>0</v>
      </c>
      <c r="P160" s="2098"/>
      <c r="Q160" s="2098"/>
      <c r="R160" s="2098"/>
      <c r="S160" s="2098"/>
      <c r="T160" s="2098"/>
      <c r="U160" s="2098"/>
      <c r="V160" s="2098"/>
      <c r="W160" s="2098"/>
      <c r="X160" s="2098"/>
      <c r="Y160" s="2098"/>
      <c r="Z160" s="2098"/>
      <c r="AA160" s="2098"/>
      <c r="AB160" s="2098"/>
      <c r="AC160" s="2098"/>
      <c r="AD160" s="2098"/>
      <c r="AE160" s="2098"/>
      <c r="AF160" s="2098"/>
      <c r="AG160" s="2098"/>
      <c r="AH160" s="2098"/>
      <c r="AI160" s="2098"/>
      <c r="AJ160" s="2098"/>
      <c r="AK160" s="2098"/>
      <c r="AL160" s="2098"/>
      <c r="AM160" s="2098"/>
      <c r="AN160" s="2098"/>
      <c r="AO160" s="2098"/>
      <c r="AP160" s="2098"/>
      <c r="AQ160" s="2098"/>
      <c r="AR160" s="2098"/>
      <c r="AS160" s="2098"/>
      <c r="AT160" s="2098"/>
      <c r="AU160" s="2098"/>
      <c r="AV160" s="2098"/>
      <c r="AW160" s="2098"/>
      <c r="AX160" s="2098"/>
      <c r="AY160" s="2098"/>
      <c r="AZ160" s="2098"/>
    </row>
    <row r="161" spans="2:52" ht="12">
      <c r="B161" s="2113" t="s">
        <v>3709</v>
      </c>
      <c r="C161" s="2114" t="str">
        <f>'[39]Прил. 5 (НВВ)'!B23</f>
        <v xml:space="preserve"> - работы и услуги производственного характера</v>
      </c>
      <c r="D161" s="2109">
        <f t="shared" si="32"/>
        <v>10902.97</v>
      </c>
      <c r="E161" s="2108">
        <f t="shared" ref="E161:E167" si="40">SUM(H161:K161)</f>
        <v>10655.02</v>
      </c>
      <c r="F161" s="2109">
        <f>SUMIF($O$8:$O$147,$C161,$M$8:$M$147)</f>
        <v>9326.5267092651757</v>
      </c>
      <c r="G161" s="2107">
        <f t="shared" ca="1" si="33"/>
        <v>1769.44</v>
      </c>
      <c r="H161" s="2109">
        <f>SUMIF($O$8:$O$147,$C161,$F$8:$F$147)</f>
        <v>1328.4932907348243</v>
      </c>
      <c r="I161" s="2109">
        <f t="shared" si="34"/>
        <v>440.94670926517574</v>
      </c>
      <c r="J161" s="2109">
        <f t="shared" ref="J161:J167" si="41">SUMIF($O$8:$O$147,$C161,$H$8:$H$147)</f>
        <v>4891.7999999999993</v>
      </c>
      <c r="K161" s="2109">
        <f t="shared" si="27"/>
        <v>3993.7799999999997</v>
      </c>
      <c r="L161" s="2109">
        <f t="shared" si="36"/>
        <v>247.95000000000002</v>
      </c>
      <c r="M161" s="2098"/>
      <c r="N161" s="2109">
        <f>'[40]Приложение 5 (НВВ)'!P23*1000</f>
        <v>10655.02</v>
      </c>
      <c r="O161" s="2109">
        <f t="shared" ref="O161:O162" si="42">E161-N161</f>
        <v>0</v>
      </c>
      <c r="P161" s="2098"/>
      <c r="Q161" s="2098"/>
      <c r="R161" s="2098"/>
      <c r="S161" s="2098"/>
      <c r="T161" s="2098"/>
      <c r="U161" s="2098"/>
      <c r="V161" s="2098"/>
      <c r="W161" s="2098"/>
      <c r="X161" s="2098"/>
      <c r="Y161" s="2098"/>
      <c r="Z161" s="2098"/>
      <c r="AA161" s="2098"/>
      <c r="AB161" s="2098"/>
      <c r="AC161" s="2098"/>
      <c r="AD161" s="2098"/>
      <c r="AE161" s="2098"/>
      <c r="AF161" s="2098"/>
      <c r="AG161" s="2098"/>
      <c r="AH161" s="2098"/>
      <c r="AI161" s="2098"/>
      <c r="AJ161" s="2098"/>
      <c r="AK161" s="2098"/>
      <c r="AL161" s="2098"/>
      <c r="AM161" s="2098"/>
      <c r="AN161" s="2098"/>
      <c r="AO161" s="2098"/>
      <c r="AP161" s="2098"/>
      <c r="AQ161" s="2098"/>
      <c r="AR161" s="2098"/>
      <c r="AS161" s="2098"/>
      <c r="AT161" s="2098"/>
      <c r="AU161" s="2098"/>
      <c r="AV161" s="2098"/>
      <c r="AW161" s="2098"/>
      <c r="AX161" s="2098"/>
      <c r="AY161" s="2098"/>
      <c r="AZ161" s="2098"/>
    </row>
    <row r="162" spans="2:52" ht="24">
      <c r="B162" s="2113" t="s">
        <v>3711</v>
      </c>
      <c r="C162" s="2114" t="str">
        <f>'[39]Прил. 5 (НВВ)'!B24</f>
        <v xml:space="preserve"> - налоги и сборы, уменьшающие налогооблагаемую базу на прибыль организаций, всего</v>
      </c>
      <c r="D162" s="2109">
        <f t="shared" si="32"/>
        <v>48544.27</v>
      </c>
      <c r="E162" s="2108">
        <f t="shared" si="40"/>
        <v>47607.99</v>
      </c>
      <c r="F162" s="2109">
        <f>SUMIF($O$8:$O$147,$C162,$M$8:$M$147)</f>
        <v>42369.60725239617</v>
      </c>
      <c r="G162" s="2107">
        <f t="shared" ca="1" si="33"/>
        <v>6977.08</v>
      </c>
      <c r="H162" s="2109">
        <f>SUMIF($O$8:$O$147,$C162,$F$8:$F$147)</f>
        <v>5238.3827476038341</v>
      </c>
      <c r="I162" s="2109">
        <f t="shared" si="34"/>
        <v>1738.6972523961667</v>
      </c>
      <c r="J162" s="2109">
        <f t="shared" si="41"/>
        <v>28490.49</v>
      </c>
      <c r="K162" s="2109">
        <f t="shared" si="27"/>
        <v>12140.42</v>
      </c>
      <c r="L162" s="2109">
        <f t="shared" si="36"/>
        <v>936.28</v>
      </c>
      <c r="M162" s="2098"/>
      <c r="N162" s="2109">
        <f>'[40]Приложение 5 (НВВ)'!P24*1000</f>
        <v>47607.99</v>
      </c>
      <c r="O162" s="2109">
        <f t="shared" si="42"/>
        <v>0</v>
      </c>
      <c r="P162" s="2098"/>
      <c r="Q162" s="2098"/>
      <c r="R162" s="2098"/>
      <c r="S162" s="2098"/>
      <c r="T162" s="2098"/>
      <c r="U162" s="2098"/>
      <c r="V162" s="2098"/>
      <c r="W162" s="2098"/>
      <c r="X162" s="2098"/>
      <c r="Y162" s="2098"/>
      <c r="Z162" s="2098"/>
      <c r="AA162" s="2098"/>
      <c r="AB162" s="2098"/>
      <c r="AC162" s="2098"/>
      <c r="AD162" s="2098"/>
      <c r="AE162" s="2098"/>
      <c r="AF162" s="2098"/>
      <c r="AG162" s="2098"/>
      <c r="AH162" s="2098"/>
      <c r="AI162" s="2098"/>
      <c r="AJ162" s="2098"/>
      <c r="AK162" s="2098"/>
      <c r="AL162" s="2098"/>
      <c r="AM162" s="2098"/>
      <c r="AN162" s="2098"/>
      <c r="AO162" s="2098"/>
      <c r="AP162" s="2098"/>
      <c r="AQ162" s="2098"/>
      <c r="AR162" s="2098"/>
      <c r="AS162" s="2098"/>
      <c r="AT162" s="2098"/>
      <c r="AU162" s="2098"/>
      <c r="AV162" s="2098"/>
      <c r="AW162" s="2098"/>
      <c r="AX162" s="2098"/>
      <c r="AY162" s="2098"/>
      <c r="AZ162" s="2098"/>
    </row>
    <row r="163" spans="2:52" ht="12">
      <c r="B163" s="2113" t="s">
        <v>3713</v>
      </c>
      <c r="C163" s="2114" t="str">
        <f>'[39]Прил. 5 (НВВ)'!B25</f>
        <v xml:space="preserve"> - работы и услуги непроизводственного характера, в.ч. :</v>
      </c>
      <c r="D163" s="2115">
        <f>SUM(D164:D168)</f>
        <v>3305486.8900000006</v>
      </c>
      <c r="E163" s="2115">
        <f>SUM(E164:E168)</f>
        <v>3204670.2890718733</v>
      </c>
      <c r="F163" s="2115">
        <f>SUM(F164:F168)</f>
        <v>3110979.104649893</v>
      </c>
      <c r="G163" s="2115">
        <f t="shared" ref="G163:L163" ca="1" si="43">SUM(G164:G168)</f>
        <v>445328.95306799345</v>
      </c>
      <c r="H163" s="2115">
        <f t="shared" si="43"/>
        <v>190841.46535010744</v>
      </c>
      <c r="I163" s="2115">
        <f t="shared" si="43"/>
        <v>254487.48771788605</v>
      </c>
      <c r="J163" s="2115">
        <f>SUM(J164:J168)</f>
        <v>1659308.0921424346</v>
      </c>
      <c r="K163" s="2115">
        <f t="shared" si="43"/>
        <v>1100033.2438614457</v>
      </c>
      <c r="L163" s="2115">
        <f t="shared" si="43"/>
        <v>100816.60092812654</v>
      </c>
      <c r="M163" s="2098"/>
      <c r="N163" s="2115">
        <f>SUM(N164:N168)</f>
        <v>3204670.2890718738</v>
      </c>
      <c r="O163" s="2115">
        <f>SUM(O164:O168)</f>
        <v>0</v>
      </c>
      <c r="P163" s="2098"/>
      <c r="Q163" s="2098"/>
      <c r="R163" s="2098"/>
      <c r="S163" s="2098"/>
      <c r="T163" s="2098"/>
      <c r="U163" s="2098"/>
      <c r="V163" s="2098"/>
      <c r="W163" s="2098"/>
      <c r="X163" s="2098"/>
      <c r="Y163" s="2098"/>
      <c r="Z163" s="2098"/>
      <c r="AA163" s="2098"/>
      <c r="AB163" s="2098"/>
      <c r="AC163" s="2098"/>
      <c r="AD163" s="2098"/>
      <c r="AE163" s="2098"/>
      <c r="AF163" s="2098"/>
      <c r="AG163" s="2098"/>
      <c r="AH163" s="2098"/>
      <c r="AI163" s="2098"/>
      <c r="AJ163" s="2098"/>
      <c r="AK163" s="2098"/>
      <c r="AL163" s="2098"/>
      <c r="AM163" s="2098"/>
      <c r="AN163" s="2098"/>
      <c r="AO163" s="2098"/>
      <c r="AP163" s="2098"/>
      <c r="AQ163" s="2098"/>
      <c r="AR163" s="2098"/>
      <c r="AS163" s="2098"/>
      <c r="AT163" s="2098"/>
      <c r="AU163" s="2098"/>
      <c r="AV163" s="2098"/>
      <c r="AW163" s="2098"/>
      <c r="AX163" s="2098"/>
      <c r="AY163" s="2098"/>
      <c r="AZ163" s="2098"/>
    </row>
    <row r="164" spans="2:52" ht="12">
      <c r="B164" s="2113" t="s">
        <v>3715</v>
      </c>
      <c r="C164" s="2114" t="str">
        <f>'[39]Прил. 5 (НВВ)'!B26</f>
        <v>услуги связи</v>
      </c>
      <c r="D164" s="2109">
        <f t="shared" si="32"/>
        <v>10300.810000000001</v>
      </c>
      <c r="E164" s="2108">
        <f t="shared" si="40"/>
        <v>10147.700000000001</v>
      </c>
      <c r="F164" s="2109">
        <f>SUMIF($O$8:$O$147,$C164,$M$8:$M$147)</f>
        <v>8935.1075079872207</v>
      </c>
      <c r="G164" s="2107">
        <f t="shared" ca="1" si="33"/>
        <v>1615.07</v>
      </c>
      <c r="H164" s="2109">
        <f t="shared" ref="H164:H167" si="44">SUMIF($O$8:$O$147,$C164,$F$8:$F$147)</f>
        <v>1212.5924920127795</v>
      </c>
      <c r="I164" s="2109">
        <f t="shared" si="34"/>
        <v>402.47750798722052</v>
      </c>
      <c r="J164" s="2109">
        <f t="shared" si="41"/>
        <v>5719.87</v>
      </c>
      <c r="K164" s="2109">
        <f t="shared" si="27"/>
        <v>2812.76</v>
      </c>
      <c r="L164" s="2109">
        <f t="shared" si="36"/>
        <v>153.10999999999999</v>
      </c>
      <c r="M164" s="2098"/>
      <c r="N164" s="2109">
        <f>'[40]Приложение 5 (НВВ)'!P26*1000</f>
        <v>10147.699999999999</v>
      </c>
      <c r="O164" s="2109">
        <f t="shared" ref="O164:O167" si="45">E164-N164</f>
        <v>0</v>
      </c>
      <c r="P164" s="2098"/>
      <c r="Q164" s="2098"/>
      <c r="R164" s="2098"/>
      <c r="S164" s="2098"/>
      <c r="T164" s="2098"/>
      <c r="U164" s="2098"/>
      <c r="V164" s="2098"/>
      <c r="W164" s="2098"/>
      <c r="X164" s="2098"/>
      <c r="Y164" s="2098"/>
      <c r="Z164" s="2098"/>
      <c r="AA164" s="2098"/>
      <c r="AB164" s="2098"/>
      <c r="AC164" s="2098"/>
      <c r="AD164" s="2098"/>
      <c r="AE164" s="2098"/>
      <c r="AF164" s="2098"/>
      <c r="AG164" s="2098"/>
      <c r="AH164" s="2098"/>
      <c r="AI164" s="2098"/>
      <c r="AJ164" s="2098"/>
      <c r="AK164" s="2098"/>
      <c r="AL164" s="2098"/>
      <c r="AM164" s="2098"/>
      <c r="AN164" s="2098"/>
      <c r="AO164" s="2098"/>
      <c r="AP164" s="2098"/>
      <c r="AQ164" s="2098"/>
      <c r="AR164" s="2098"/>
      <c r="AS164" s="2098"/>
      <c r="AT164" s="2098"/>
      <c r="AU164" s="2098"/>
      <c r="AV164" s="2098"/>
      <c r="AW164" s="2098"/>
      <c r="AX164" s="2098"/>
      <c r="AY164" s="2098"/>
      <c r="AZ164" s="2098"/>
    </row>
    <row r="165" spans="2:52" ht="12">
      <c r="B165" s="2113" t="s">
        <v>3717</v>
      </c>
      <c r="C165" s="2114" t="str">
        <f>'[39]Прил. 5 (НВВ)'!B27</f>
        <v>расходы на охрану и пожарную безопасность</v>
      </c>
      <c r="D165" s="2109">
        <f t="shared" si="32"/>
        <v>17370.650000000001</v>
      </c>
      <c r="E165" s="2108">
        <f t="shared" si="40"/>
        <v>17107.560000000001</v>
      </c>
      <c r="F165" s="2109">
        <f>SUMIF($O$8:$O$147,$C165,$M$8:$M$147)</f>
        <v>15064.291309904154</v>
      </c>
      <c r="G165" s="2107">
        <f t="shared" ca="1" si="33"/>
        <v>2721.46</v>
      </c>
      <c r="H165" s="2109">
        <f t="shared" si="44"/>
        <v>2043.268690095847</v>
      </c>
      <c r="I165" s="2109">
        <f t="shared" si="34"/>
        <v>678.19130990415317</v>
      </c>
      <c r="J165" s="2109">
        <f t="shared" si="41"/>
        <v>9663.0500000000011</v>
      </c>
      <c r="K165" s="2109">
        <f t="shared" si="27"/>
        <v>4723.05</v>
      </c>
      <c r="L165" s="2109">
        <f t="shared" si="36"/>
        <v>263.08999999999997</v>
      </c>
      <c r="M165" s="2098"/>
      <c r="N165" s="2109">
        <f>'[40]Приложение 5 (НВВ)'!P27*1000</f>
        <v>17107.560000000001</v>
      </c>
      <c r="O165" s="2109">
        <f t="shared" si="45"/>
        <v>0</v>
      </c>
      <c r="P165" s="2098"/>
      <c r="Q165" s="2098"/>
      <c r="R165" s="2098"/>
      <c r="S165" s="2098"/>
      <c r="T165" s="2098"/>
      <c r="U165" s="2098"/>
      <c r="V165" s="2098"/>
      <c r="W165" s="2098"/>
      <c r="X165" s="2098"/>
      <c r="Y165" s="2098"/>
      <c r="Z165" s="2098"/>
      <c r="AA165" s="2098"/>
      <c r="AB165" s="2098"/>
      <c r="AC165" s="2098"/>
      <c r="AD165" s="2098"/>
      <c r="AE165" s="2098"/>
      <c r="AF165" s="2098"/>
      <c r="AG165" s="2098"/>
      <c r="AH165" s="2098"/>
      <c r="AI165" s="2098"/>
      <c r="AJ165" s="2098"/>
      <c r="AK165" s="2098"/>
      <c r="AL165" s="2098"/>
      <c r="AM165" s="2098"/>
      <c r="AN165" s="2098"/>
      <c r="AO165" s="2098"/>
      <c r="AP165" s="2098"/>
      <c r="AQ165" s="2098"/>
      <c r="AR165" s="2098"/>
      <c r="AS165" s="2098"/>
      <c r="AT165" s="2098"/>
      <c r="AU165" s="2098"/>
      <c r="AV165" s="2098"/>
      <c r="AW165" s="2098"/>
      <c r="AX165" s="2098"/>
      <c r="AY165" s="2098"/>
      <c r="AZ165" s="2098"/>
    </row>
    <row r="166" spans="2:52" ht="24">
      <c r="B166" s="2113" t="s">
        <v>3719</v>
      </c>
      <c r="C166" s="2114" t="str">
        <f>'[39]Прил. 5 (НВВ)'!B28</f>
        <v>расходы на информационное обслуживание, консультационные и юридические услуги</v>
      </c>
      <c r="D166" s="2109">
        <f t="shared" si="32"/>
        <v>21997.410000000003</v>
      </c>
      <c r="E166" s="2108">
        <f>SUM(H166:K166)</f>
        <v>21685.59</v>
      </c>
      <c r="F166" s="2109">
        <f>SUMIF($O$8:$O$147,$C166,$M$8:$M$147)</f>
        <v>19097.241437699678</v>
      </c>
      <c r="G166" s="2107">
        <f t="shared" ca="1" si="33"/>
        <v>3447.46</v>
      </c>
      <c r="H166" s="2109">
        <f t="shared" si="44"/>
        <v>2588.3485623003198</v>
      </c>
      <c r="I166" s="2109">
        <f t="shared" si="34"/>
        <v>859.11143769968055</v>
      </c>
      <c r="J166" s="2109">
        <f t="shared" si="41"/>
        <v>12453.06</v>
      </c>
      <c r="K166" s="2109">
        <f t="shared" si="27"/>
        <v>5785.07</v>
      </c>
      <c r="L166" s="2109">
        <f t="shared" si="36"/>
        <v>311.82</v>
      </c>
      <c r="M166" s="2098"/>
      <c r="N166" s="2109">
        <f>'[40]Приложение 5 (НВВ)'!P28*1000</f>
        <v>21685.59</v>
      </c>
      <c r="O166" s="2109">
        <f t="shared" si="45"/>
        <v>0</v>
      </c>
      <c r="P166" s="2098"/>
      <c r="Q166" s="2098"/>
      <c r="R166" s="2098"/>
      <c r="S166" s="2098"/>
      <c r="T166" s="2098"/>
      <c r="U166" s="2098"/>
      <c r="V166" s="2098"/>
      <c r="W166" s="2098"/>
      <c r="X166" s="2098"/>
      <c r="Y166" s="2098"/>
      <c r="Z166" s="2098"/>
      <c r="AA166" s="2098"/>
      <c r="AB166" s="2098"/>
      <c r="AC166" s="2098"/>
      <c r="AD166" s="2098"/>
      <c r="AE166" s="2098"/>
      <c r="AF166" s="2098"/>
      <c r="AG166" s="2098"/>
      <c r="AH166" s="2098"/>
      <c r="AI166" s="2098"/>
      <c r="AJ166" s="2098"/>
      <c r="AK166" s="2098"/>
      <c r="AL166" s="2098"/>
      <c r="AM166" s="2098"/>
      <c r="AN166" s="2098"/>
      <c r="AO166" s="2098"/>
      <c r="AP166" s="2098"/>
      <c r="AQ166" s="2098"/>
      <c r="AR166" s="2098"/>
      <c r="AS166" s="2098"/>
      <c r="AT166" s="2098"/>
      <c r="AU166" s="2098"/>
      <c r="AV166" s="2098"/>
      <c r="AW166" s="2098"/>
      <c r="AX166" s="2098"/>
      <c r="AY166" s="2098"/>
      <c r="AZ166" s="2098"/>
    </row>
    <row r="167" spans="2:52" ht="12">
      <c r="B167" s="2113" t="s">
        <v>3721</v>
      </c>
      <c r="C167" s="2114" t="str">
        <f>'[39]Прил. 5 (НВВ)'!B29</f>
        <v>плата за аренду имущества</v>
      </c>
      <c r="D167" s="2109">
        <f t="shared" si="32"/>
        <v>617.76</v>
      </c>
      <c r="E167" s="2108">
        <f t="shared" si="40"/>
        <v>609.07999999999993</v>
      </c>
      <c r="F167" s="2109">
        <f>SUMIF($O$8:$O$147,$C167,$M$8:$M$147)</f>
        <v>537.33367412140581</v>
      </c>
      <c r="G167" s="2107">
        <f t="shared" ca="1" si="33"/>
        <v>95.56</v>
      </c>
      <c r="H167" s="2109">
        <f t="shared" si="44"/>
        <v>71.746325878594263</v>
      </c>
      <c r="I167" s="2109">
        <f t="shared" si="34"/>
        <v>23.813674121405747</v>
      </c>
      <c r="J167" s="2109">
        <f t="shared" si="41"/>
        <v>327.91999999999996</v>
      </c>
      <c r="K167" s="2109">
        <f t="shared" si="27"/>
        <v>185.6</v>
      </c>
      <c r="L167" s="2109">
        <f t="shared" si="36"/>
        <v>8.68</v>
      </c>
      <c r="M167" s="2098"/>
      <c r="N167" s="2109">
        <f>'[40]Приложение 5 (НВВ)'!P29*1000</f>
        <v>609.08000000000004</v>
      </c>
      <c r="O167" s="2109">
        <f t="shared" si="45"/>
        <v>0</v>
      </c>
      <c r="P167" s="2098"/>
      <c r="Q167" s="2098"/>
      <c r="R167" s="2098"/>
      <c r="S167" s="2098"/>
      <c r="T167" s="2098"/>
      <c r="U167" s="2098"/>
      <c r="V167" s="2098"/>
      <c r="W167" s="2098"/>
      <c r="X167" s="2098"/>
      <c r="Y167" s="2098"/>
      <c r="Z167" s="2098"/>
      <c r="AA167" s="2098"/>
      <c r="AB167" s="2098"/>
      <c r="AC167" s="2098"/>
      <c r="AD167" s="2098"/>
      <c r="AE167" s="2098"/>
      <c r="AF167" s="2098"/>
      <c r="AG167" s="2098"/>
      <c r="AH167" s="2098"/>
      <c r="AI167" s="2098"/>
      <c r="AJ167" s="2098"/>
      <c r="AK167" s="2098"/>
      <c r="AL167" s="2098"/>
      <c r="AM167" s="2098"/>
      <c r="AN167" s="2098"/>
      <c r="AO167" s="2098"/>
      <c r="AP167" s="2098"/>
      <c r="AQ167" s="2098"/>
      <c r="AR167" s="2098"/>
      <c r="AS167" s="2098"/>
      <c r="AT167" s="2098"/>
      <c r="AU167" s="2098"/>
      <c r="AV167" s="2098"/>
      <c r="AW167" s="2098"/>
      <c r="AX167" s="2098"/>
      <c r="AY167" s="2098"/>
      <c r="AZ167" s="2098"/>
    </row>
    <row r="168" spans="2:52" ht="12">
      <c r="B168" s="2113" t="s">
        <v>3723</v>
      </c>
      <c r="C168" s="2114" t="str">
        <f>'[39]Прил. 5 (НВВ)'!B30</f>
        <v xml:space="preserve">другие прочие расходы, связанные с производством и реализацией </v>
      </c>
      <c r="D168" s="2112">
        <f>D178</f>
        <v>3255200.2600000007</v>
      </c>
      <c r="E168" s="2112">
        <f>E178</f>
        <v>3155120.3590718731</v>
      </c>
      <c r="F168" s="2112">
        <f>F178</f>
        <v>3067345.1307201805</v>
      </c>
      <c r="G168" s="2112">
        <f>G178</f>
        <v>437449.40306799347</v>
      </c>
      <c r="H168" s="2112">
        <f t="shared" ref="H168:O168" si="46">H178</f>
        <v>184925.5092798199</v>
      </c>
      <c r="I168" s="2112">
        <f t="shared" si="46"/>
        <v>252523.89378817359</v>
      </c>
      <c r="J168" s="2112">
        <f t="shared" si="46"/>
        <v>1631144.1921424347</v>
      </c>
      <c r="K168" s="2112">
        <f t="shared" si="46"/>
        <v>1086526.7638614457</v>
      </c>
      <c r="L168" s="2112">
        <f t="shared" si="46"/>
        <v>100079.90092812655</v>
      </c>
      <c r="M168" s="2098"/>
      <c r="N168" s="2112">
        <f t="shared" si="46"/>
        <v>3155120.3590718736</v>
      </c>
      <c r="O168" s="2112">
        <f t="shared" si="46"/>
        <v>0</v>
      </c>
      <c r="P168" s="2098"/>
      <c r="Q168" s="2098"/>
      <c r="R168" s="2098"/>
      <c r="S168" s="2098"/>
      <c r="T168" s="2098"/>
      <c r="U168" s="2098"/>
      <c r="V168" s="2098"/>
      <c r="W168" s="2098"/>
      <c r="X168" s="2098"/>
      <c r="Y168" s="2098"/>
      <c r="Z168" s="2098"/>
      <c r="AA168" s="2098"/>
      <c r="AB168" s="2098"/>
      <c r="AC168" s="2098"/>
      <c r="AD168" s="2098"/>
      <c r="AE168" s="2098"/>
      <c r="AF168" s="2098"/>
      <c r="AG168" s="2098"/>
      <c r="AH168" s="2098"/>
      <c r="AI168" s="2098"/>
      <c r="AJ168" s="2098"/>
      <c r="AK168" s="2098"/>
      <c r="AL168" s="2098"/>
      <c r="AM168" s="2098"/>
      <c r="AN168" s="2098"/>
      <c r="AO168" s="2098"/>
      <c r="AP168" s="2098"/>
      <c r="AQ168" s="2098"/>
      <c r="AR168" s="2098"/>
      <c r="AS168" s="2098"/>
      <c r="AT168" s="2098"/>
      <c r="AU168" s="2098"/>
      <c r="AV168" s="2098"/>
      <c r="AW168" s="2098"/>
      <c r="AX168" s="2098"/>
      <c r="AY168" s="2098"/>
      <c r="AZ168" s="2098"/>
    </row>
    <row r="169" spans="2:52" ht="12">
      <c r="B169" s="2113" t="s">
        <v>3725</v>
      </c>
      <c r="C169" s="2114" t="str">
        <f>'[39]Прил. 5 (НВВ)'!B31</f>
        <v>Внереализационные расходы, всего</v>
      </c>
      <c r="D169" s="2115">
        <f>SUM(D170:D173)</f>
        <v>2640814.6800000002</v>
      </c>
      <c r="E169" s="2115">
        <f>SUM(E170:E173)</f>
        <v>2631012.660649925</v>
      </c>
      <c r="F169" s="2115">
        <f>SUM(F170:F173)</f>
        <v>406229.00570224028</v>
      </c>
      <c r="G169" s="2115">
        <f t="shared" ref="G169:O169" si="47">SUM(G170:G173)</f>
        <v>245596.72718470084</v>
      </c>
      <c r="H169" s="2115">
        <f t="shared" si="47"/>
        <v>154150.73345124198</v>
      </c>
      <c r="I169" s="2115">
        <f t="shared" si="47"/>
        <v>228867.11798523768</v>
      </c>
      <c r="J169" s="2115">
        <f t="shared" si="47"/>
        <v>1277211.6961631419</v>
      </c>
      <c r="K169" s="2115">
        <f t="shared" si="47"/>
        <v>970783.11305030319</v>
      </c>
      <c r="L169" s="2115">
        <f t="shared" si="47"/>
        <v>9802.0193500753558</v>
      </c>
      <c r="M169" s="2098"/>
      <c r="N169" s="2115">
        <f t="shared" si="47"/>
        <v>2529892.3083049958</v>
      </c>
      <c r="O169" s="2115">
        <f t="shared" si="47"/>
        <v>101120.35234492946</v>
      </c>
      <c r="P169" s="2098"/>
      <c r="Q169" s="2098"/>
      <c r="R169" s="2098"/>
      <c r="S169" s="2098"/>
      <c r="T169" s="2098"/>
      <c r="U169" s="2098"/>
      <c r="V169" s="2098"/>
      <c r="W169" s="2098"/>
      <c r="X169" s="2098"/>
      <c r="Y169" s="2098"/>
      <c r="Z169" s="2098"/>
      <c r="AA169" s="2098"/>
      <c r="AB169" s="2098"/>
      <c r="AC169" s="2098"/>
      <c r="AD169" s="2098"/>
      <c r="AE169" s="2098"/>
      <c r="AF169" s="2098"/>
      <c r="AG169" s="2098"/>
      <c r="AH169" s="2098"/>
      <c r="AI169" s="2098"/>
      <c r="AJ169" s="2098"/>
      <c r="AK169" s="2098"/>
      <c r="AL169" s="2098"/>
      <c r="AM169" s="2098"/>
      <c r="AN169" s="2098"/>
      <c r="AO169" s="2098"/>
      <c r="AP169" s="2098"/>
      <c r="AQ169" s="2098"/>
      <c r="AR169" s="2098"/>
      <c r="AS169" s="2098"/>
      <c r="AT169" s="2098"/>
      <c r="AU169" s="2098"/>
      <c r="AV169" s="2098"/>
      <c r="AW169" s="2098"/>
      <c r="AX169" s="2098"/>
      <c r="AY169" s="2098"/>
      <c r="AZ169" s="2098"/>
    </row>
    <row r="170" spans="2:52" ht="12">
      <c r="B170" s="2113" t="s">
        <v>3727</v>
      </c>
      <c r="C170" s="2114" t="str">
        <f>'[39]Прил. 5 (НВВ)'!B32</f>
        <v xml:space="preserve"> - расходы на услуги банков</v>
      </c>
      <c r="D170" s="2109">
        <f t="shared" si="32"/>
        <v>0</v>
      </c>
      <c r="E170" s="2108">
        <f t="shared" ref="E170" si="48">SUM(H170:K170)</f>
        <v>0</v>
      </c>
      <c r="F170" s="2109">
        <f>SUMIF($O$8:$O$147,$C170,$F$8:$F$147)</f>
        <v>0</v>
      </c>
      <c r="G170" s="2107">
        <f t="shared" ref="G170" si="49">SUMIF($O$8:$O$147,$C170,$E$8:$E$147)</f>
        <v>0</v>
      </c>
      <c r="H170" s="2109">
        <f>SUMIF($O$8:$O$147,$C170,$H$8:$H$147)</f>
        <v>0</v>
      </c>
      <c r="I170" s="2109">
        <f t="shared" si="34"/>
        <v>0</v>
      </c>
      <c r="J170" s="2109">
        <f t="shared" ref="J170" si="50">SUMIF($O$8:$O$147,$C170,$H$8:$H$147)</f>
        <v>0</v>
      </c>
      <c r="K170" s="2109">
        <f t="shared" ref="K170" si="51">SUMIF($O$8:$O$147,$C170,$I$8:$I$147)</f>
        <v>0</v>
      </c>
      <c r="L170" s="2109">
        <f t="shared" ref="L170" si="52">SUMIF($O$8:$O$147,$C170,$J$8:$J$147)</f>
        <v>0</v>
      </c>
      <c r="M170" s="2098"/>
      <c r="N170" s="2109">
        <f>'[40]Приложение 5 (НВВ)'!P32*1000</f>
        <v>0</v>
      </c>
      <c r="O170" s="2109">
        <f t="shared" ref="O170:O171" si="53">E170-N170</f>
        <v>0</v>
      </c>
      <c r="P170" s="2098"/>
      <c r="Q170" s="2098"/>
      <c r="R170" s="2098"/>
      <c r="S170" s="2098"/>
      <c r="T170" s="2098"/>
      <c r="U170" s="2098"/>
      <c r="V170" s="2098"/>
      <c r="W170" s="2098"/>
      <c r="X170" s="2098"/>
      <c r="Y170" s="2098"/>
      <c r="Z170" s="2098"/>
      <c r="AA170" s="2098"/>
      <c r="AB170" s="2098"/>
      <c r="AC170" s="2098"/>
      <c r="AD170" s="2098"/>
      <c r="AE170" s="2098"/>
      <c r="AF170" s="2098"/>
      <c r="AG170" s="2098"/>
      <c r="AH170" s="2098"/>
      <c r="AI170" s="2098"/>
      <c r="AJ170" s="2098"/>
      <c r="AK170" s="2098"/>
      <c r="AL170" s="2098"/>
      <c r="AM170" s="2098"/>
      <c r="AN170" s="2098"/>
      <c r="AO170" s="2098"/>
      <c r="AP170" s="2098"/>
      <c r="AQ170" s="2098"/>
      <c r="AR170" s="2098"/>
      <c r="AS170" s="2098"/>
      <c r="AT170" s="2098"/>
      <c r="AU170" s="2098"/>
      <c r="AV170" s="2098"/>
      <c r="AW170" s="2098"/>
      <c r="AX170" s="2098"/>
      <c r="AY170" s="2098"/>
      <c r="AZ170" s="2098"/>
    </row>
    <row r="171" spans="2:52" ht="12">
      <c r="B171" s="2113" t="s">
        <v>3729</v>
      </c>
      <c r="C171" s="2114" t="str">
        <f>'[39]Прил. 5 (НВВ)'!B33</f>
        <v xml:space="preserve"> - % за пользование кредитом</v>
      </c>
      <c r="D171" s="2109">
        <f>'Выручка, УО_ 2015'!B27*1000</f>
        <v>2345475.1700000004</v>
      </c>
      <c r="E171" s="2108">
        <f>SUM(H171:K171)</f>
        <v>2345475.1700000004</v>
      </c>
      <c r="F171" s="2108">
        <f>'Выручка, УО_ 2015'!G27*1000</f>
        <v>137421.12425177882</v>
      </c>
      <c r="G171" s="2116">
        <f>'Выручка, УО_ 2015'!H27*1000</f>
        <v>204028.71886265729</v>
      </c>
      <c r="H171" s="2117">
        <f>'Выручка, УО_ 2015'!G27*1000</f>
        <v>137421.12425177882</v>
      </c>
      <c r="I171" s="2117">
        <f>'Выручка, УО_ 2015'!H27*1000</f>
        <v>204028.71886265729</v>
      </c>
      <c r="J171" s="2117">
        <f>'Выручка, УО_ 2015'!I27*1000</f>
        <v>1138598.9755914859</v>
      </c>
      <c r="K171" s="2117">
        <f>'Выручка, УО_ 2015'!J27*1000</f>
        <v>865426.35129407828</v>
      </c>
      <c r="L171" s="2117">
        <f>'Выручка, УО_ 2015'!K27*1000</f>
        <v>0</v>
      </c>
      <c r="M171" s="2098"/>
      <c r="N171" s="2109">
        <f>'[40]Приложение 5 (НВВ)'!P33*1000</f>
        <v>2345475.1700000004</v>
      </c>
      <c r="O171" s="2109">
        <f t="shared" si="53"/>
        <v>0</v>
      </c>
      <c r="P171" s="2098"/>
      <c r="Q171" s="2098"/>
      <c r="R171" s="2098"/>
      <c r="S171" s="2098"/>
      <c r="T171" s="2098"/>
      <c r="U171" s="2098"/>
      <c r="V171" s="2098"/>
      <c r="W171" s="2098"/>
      <c r="X171" s="2098"/>
      <c r="Y171" s="2098"/>
      <c r="Z171" s="2098"/>
      <c r="AA171" s="2098"/>
      <c r="AB171" s="2098"/>
      <c r="AC171" s="2098"/>
      <c r="AD171" s="2098"/>
      <c r="AE171" s="2098"/>
      <c r="AF171" s="2098"/>
      <c r="AG171" s="2098"/>
      <c r="AH171" s="2098"/>
      <c r="AI171" s="2098"/>
      <c r="AJ171" s="2098"/>
      <c r="AK171" s="2098"/>
      <c r="AL171" s="2098"/>
      <c r="AM171" s="2098"/>
      <c r="AN171" s="2098"/>
      <c r="AO171" s="2098"/>
      <c r="AP171" s="2098"/>
      <c r="AQ171" s="2098"/>
      <c r="AR171" s="2098"/>
      <c r="AS171" s="2098"/>
      <c r="AT171" s="2098"/>
      <c r="AU171" s="2098"/>
      <c r="AV171" s="2098"/>
      <c r="AW171" s="2098"/>
      <c r="AX171" s="2098"/>
      <c r="AY171" s="2098"/>
      <c r="AZ171" s="2098"/>
    </row>
    <row r="172" spans="2:52" ht="12">
      <c r="B172" s="2113" t="s">
        <v>3731</v>
      </c>
      <c r="C172" s="2114" t="str">
        <f>'[39]Прил. 5 (НВВ)'!B34</f>
        <v xml:space="preserve"> - прочие обоснованные расходы*</v>
      </c>
      <c r="D172" s="2112">
        <f>D194-D173</f>
        <v>256101.05900000001</v>
      </c>
      <c r="E172" s="2112">
        <f t="shared" ref="E172:F172" si="54">E194-E173</f>
        <v>247601.3241155858</v>
      </c>
      <c r="F172" s="2112">
        <f t="shared" si="54"/>
        <v>233094.39061170525</v>
      </c>
      <c r="G172" s="2112">
        <f>G194-G173</f>
        <v>36045.332884164964</v>
      </c>
      <c r="H172" s="2112">
        <f t="shared" ref="H172:L172" si="55">H194-H173</f>
        <v>14506.933503880526</v>
      </c>
      <c r="I172" s="2112">
        <f t="shared" si="55"/>
        <v>21538.399380284438</v>
      </c>
      <c r="J172" s="2112">
        <f t="shared" si="55"/>
        <v>120196.8017393684</v>
      </c>
      <c r="K172" s="2112">
        <f t="shared" si="55"/>
        <v>91359.189492052436</v>
      </c>
      <c r="L172" s="2112">
        <f t="shared" si="55"/>
        <v>8499.7348844141798</v>
      </c>
      <c r="M172" s="2098"/>
      <c r="N172" s="2112">
        <f t="shared" ref="N172:O172" si="56">N194</f>
        <v>184417.13830499517</v>
      </c>
      <c r="O172" s="2112">
        <f t="shared" si="56"/>
        <v>101120.35234492946</v>
      </c>
      <c r="P172" s="2098"/>
      <c r="Q172" s="2098"/>
      <c r="R172" s="2098"/>
      <c r="S172" s="2098"/>
      <c r="T172" s="2098"/>
      <c r="U172" s="2098"/>
      <c r="V172" s="2098"/>
      <c r="W172" s="2098"/>
      <c r="X172" s="2098"/>
      <c r="Y172" s="2098"/>
      <c r="Z172" s="2098"/>
      <c r="AA172" s="2098"/>
      <c r="AB172" s="2098"/>
      <c r="AC172" s="2098"/>
      <c r="AD172" s="2098"/>
      <c r="AE172" s="2098"/>
      <c r="AF172" s="2098"/>
      <c r="AG172" s="2098"/>
      <c r="AH172" s="2098"/>
      <c r="AI172" s="2098"/>
      <c r="AJ172" s="2098"/>
      <c r="AK172" s="2098"/>
      <c r="AL172" s="2098"/>
      <c r="AM172" s="2098"/>
      <c r="AN172" s="2098"/>
      <c r="AO172" s="2098"/>
      <c r="AP172" s="2098"/>
      <c r="AQ172" s="2098"/>
      <c r="AR172" s="2098"/>
      <c r="AS172" s="2098"/>
      <c r="AT172" s="2098"/>
      <c r="AU172" s="2098"/>
      <c r="AV172" s="2098"/>
      <c r="AW172" s="2098"/>
      <c r="AX172" s="2098"/>
      <c r="AY172" s="2098"/>
      <c r="AZ172" s="2098"/>
    </row>
    <row r="173" spans="2:52" ht="12">
      <c r="B173" s="2118" t="s">
        <v>3733</v>
      </c>
      <c r="C173" s="2119" t="str">
        <f>'[39]Прил. 5 (НВВ)'!B35</f>
        <v xml:space="preserve"> - денежные выплаты социального характера (по Коллективному договору)</v>
      </c>
      <c r="D173" s="2120">
        <f>'[30]Затраты 2015'!B34*1000</f>
        <v>39238.451000000001</v>
      </c>
      <c r="E173" s="2120">
        <f>D173-L173</f>
        <v>37936.166534338823</v>
      </c>
      <c r="F173" s="2120">
        <f>E173-H173</f>
        <v>35713.490838756188</v>
      </c>
      <c r="G173" s="2121">
        <f>H173+I173</f>
        <v>5522.6754378785899</v>
      </c>
      <c r="H173" s="2120">
        <f>'Выручка, УО_ 2015'!G34*1000</f>
        <v>2222.6756955826349</v>
      </c>
      <c r="I173" s="2120">
        <f>'Выручка, УО_ 2015'!H34*1000</f>
        <v>3299.9997422959555</v>
      </c>
      <c r="J173" s="2120">
        <f>'Выручка, УО_ 2015'!I34*1000</f>
        <v>18415.918832287698</v>
      </c>
      <c r="K173" s="2120">
        <f>'Выручка, УО_ 2015'!J34*1000</f>
        <v>13997.572264172535</v>
      </c>
      <c r="L173" s="2120">
        <f>'Выручка, УО_ 2015'!E34*1000</f>
        <v>1302.2844656611765</v>
      </c>
      <c r="M173" s="2098"/>
      <c r="N173" s="2120">
        <f>'[40]Приложение 5 (НВВ)'!P35*1000</f>
        <v>0</v>
      </c>
      <c r="O173" s="2120">
        <f>'[40]Приложение 5 (НВВ)'!Q35*1000</f>
        <v>0</v>
      </c>
      <c r="P173" s="2098"/>
      <c r="Q173" s="2098"/>
      <c r="R173" s="2098"/>
      <c r="S173" s="2098"/>
      <c r="T173" s="2098"/>
      <c r="U173" s="2098"/>
      <c r="V173" s="2098"/>
      <c r="W173" s="2098"/>
      <c r="X173" s="2098"/>
      <c r="Y173" s="2098"/>
      <c r="Z173" s="2098"/>
      <c r="AA173" s="2098"/>
      <c r="AB173" s="2098"/>
      <c r="AC173" s="2098"/>
      <c r="AD173" s="2098"/>
      <c r="AE173" s="2098"/>
      <c r="AF173" s="2098"/>
      <c r="AG173" s="2098"/>
      <c r="AH173" s="2098"/>
      <c r="AI173" s="2098"/>
      <c r="AJ173" s="2098"/>
      <c r="AK173" s="2098"/>
      <c r="AL173" s="2098"/>
      <c r="AM173" s="2098"/>
      <c r="AN173" s="2098"/>
      <c r="AO173" s="2098"/>
      <c r="AP173" s="2098"/>
      <c r="AQ173" s="2098"/>
      <c r="AR173" s="2098"/>
      <c r="AS173" s="2098"/>
      <c r="AT173" s="2098"/>
      <c r="AU173" s="2098"/>
      <c r="AV173" s="2098"/>
      <c r="AW173" s="2098"/>
      <c r="AX173" s="2098"/>
      <c r="AY173" s="2098"/>
      <c r="AZ173" s="2098"/>
    </row>
    <row r="174" spans="2:52">
      <c r="C174" s="2096"/>
      <c r="D174" s="2097">
        <f>D152-D4</f>
        <v>5567998.9000000004</v>
      </c>
      <c r="E174" s="2097"/>
      <c r="F174" s="2097"/>
      <c r="G174" s="2098"/>
      <c r="H174" s="2098"/>
      <c r="I174" s="2098"/>
      <c r="J174" s="2098"/>
      <c r="K174" s="2098"/>
      <c r="L174" s="2098"/>
      <c r="M174" s="2098"/>
      <c r="N174" s="2098"/>
      <c r="O174" s="2098"/>
      <c r="P174" s="2098"/>
      <c r="Q174" s="2098"/>
      <c r="R174" s="2098"/>
      <c r="S174" s="2098"/>
      <c r="T174" s="2098"/>
      <c r="U174" s="2098"/>
      <c r="V174" s="2098"/>
      <c r="W174" s="2098"/>
      <c r="X174" s="2098"/>
      <c r="Y174" s="2098"/>
      <c r="Z174" s="2098"/>
      <c r="AA174" s="2098"/>
      <c r="AB174" s="2098"/>
      <c r="AC174" s="2098"/>
      <c r="AD174" s="2098"/>
      <c r="AE174" s="2098"/>
      <c r="AF174" s="2098"/>
      <c r="AG174" s="2098"/>
      <c r="AH174" s="2098"/>
      <c r="AI174" s="2098"/>
      <c r="AJ174" s="2098"/>
      <c r="AK174" s="2098"/>
      <c r="AL174" s="2098"/>
      <c r="AM174" s="2098"/>
      <c r="AN174" s="2098"/>
      <c r="AO174" s="2098"/>
      <c r="AP174" s="2098"/>
      <c r="AQ174" s="2098"/>
      <c r="AR174" s="2098"/>
      <c r="AS174" s="2098"/>
      <c r="AT174" s="2098"/>
      <c r="AU174" s="2098"/>
      <c r="AV174" s="2098"/>
      <c r="AW174" s="2098"/>
      <c r="AX174" s="2098"/>
      <c r="AY174" s="2098"/>
      <c r="AZ174" s="2098"/>
    </row>
    <row r="175" spans="2:52" ht="20.100000000000001" customHeight="1">
      <c r="B175" s="3394" t="s">
        <v>3817</v>
      </c>
      <c r="C175" s="3394" t="s">
        <v>3818</v>
      </c>
      <c r="D175" s="2122"/>
      <c r="E175" s="3395" t="str">
        <f>L$4</f>
        <v>Факт без индивидуальных проектов</v>
      </c>
      <c r="F175" s="3395" t="str">
        <f>M$4</f>
        <v>Факт без индивидуальных и льготников</v>
      </c>
      <c r="G175" s="3391" t="s">
        <v>2936</v>
      </c>
      <c r="H175" s="3396" t="s">
        <v>3795</v>
      </c>
      <c r="I175" s="3397"/>
      <c r="J175" s="3391" t="s">
        <v>2915</v>
      </c>
      <c r="K175" s="3391" t="s">
        <v>1465</v>
      </c>
      <c r="L175" s="3391" t="s">
        <v>3741</v>
      </c>
      <c r="M175" s="2098"/>
      <c r="N175" s="3391"/>
      <c r="O175" s="3391"/>
      <c r="P175" s="2098"/>
      <c r="Q175" s="2098"/>
      <c r="R175" s="2098"/>
      <c r="S175" s="2098"/>
      <c r="T175" s="2098"/>
      <c r="U175" s="2098"/>
      <c r="V175" s="2098"/>
      <c r="W175" s="2098"/>
      <c r="X175" s="2098"/>
      <c r="Y175" s="2098"/>
      <c r="Z175" s="2098"/>
      <c r="AA175" s="2098"/>
      <c r="AB175" s="2098"/>
      <c r="AC175" s="2098"/>
      <c r="AD175" s="2098"/>
      <c r="AE175" s="2098"/>
      <c r="AF175" s="2098"/>
      <c r="AG175" s="2098"/>
      <c r="AH175" s="2098"/>
      <c r="AI175" s="2098"/>
      <c r="AJ175" s="2098"/>
      <c r="AK175" s="2098"/>
      <c r="AL175" s="2098"/>
      <c r="AM175" s="2098"/>
      <c r="AN175" s="2098"/>
      <c r="AO175" s="2098"/>
      <c r="AP175" s="2098"/>
      <c r="AQ175" s="2098"/>
      <c r="AR175" s="2098"/>
      <c r="AS175" s="2098"/>
      <c r="AT175" s="2098"/>
      <c r="AU175" s="2098"/>
      <c r="AV175" s="2098"/>
      <c r="AW175" s="2098"/>
      <c r="AX175" s="2098"/>
      <c r="AY175" s="2098"/>
      <c r="AZ175" s="2098"/>
    </row>
    <row r="176" spans="2:52" ht="20.100000000000001" customHeight="1">
      <c r="B176" s="3394"/>
      <c r="C176" s="3394"/>
      <c r="D176" s="2122"/>
      <c r="E176" s="3395"/>
      <c r="F176" s="3395"/>
      <c r="G176" s="3391"/>
      <c r="H176" s="2075" t="s">
        <v>3798</v>
      </c>
      <c r="I176" s="2075" t="s">
        <v>3799</v>
      </c>
      <c r="J176" s="3391"/>
      <c r="K176" s="3391"/>
      <c r="L176" s="3391"/>
      <c r="M176" s="2098"/>
      <c r="N176" s="3391"/>
      <c r="O176" s="3391"/>
      <c r="P176" s="2098"/>
      <c r="Q176" s="2098"/>
      <c r="R176" s="2098"/>
      <c r="S176" s="2098"/>
      <c r="T176" s="2098"/>
      <c r="U176" s="2098"/>
      <c r="V176" s="2098"/>
      <c r="W176" s="2098"/>
      <c r="X176" s="2098"/>
      <c r="Y176" s="2098"/>
      <c r="Z176" s="2098"/>
      <c r="AA176" s="2098"/>
      <c r="AB176" s="2098"/>
      <c r="AC176" s="2098"/>
      <c r="AD176" s="2098"/>
      <c r="AE176" s="2098"/>
      <c r="AF176" s="2098"/>
      <c r="AG176" s="2098"/>
      <c r="AH176" s="2098"/>
      <c r="AI176" s="2098"/>
      <c r="AJ176" s="2098"/>
      <c r="AK176" s="2098"/>
      <c r="AL176" s="2098"/>
      <c r="AM176" s="2098"/>
      <c r="AN176" s="2098"/>
      <c r="AO176" s="2098"/>
      <c r="AP176" s="2098"/>
      <c r="AQ176" s="2098"/>
      <c r="AR176" s="2098"/>
      <c r="AS176" s="2098"/>
      <c r="AT176" s="2098"/>
      <c r="AU176" s="2098"/>
      <c r="AV176" s="2098"/>
      <c r="AW176" s="2098"/>
      <c r="AX176" s="2098"/>
      <c r="AY176" s="2098"/>
      <c r="AZ176" s="2098"/>
    </row>
    <row r="177" spans="2:52" ht="12">
      <c r="B177" s="2123">
        <v>1</v>
      </c>
      <c r="C177" s="2123">
        <v>2</v>
      </c>
      <c r="D177" s="2097"/>
      <c r="E177" s="2097"/>
      <c r="F177" s="2097"/>
      <c r="G177" s="2098"/>
      <c r="H177" s="2098"/>
      <c r="I177" s="2098"/>
      <c r="J177" s="2098"/>
      <c r="K177" s="2098"/>
      <c r="L177" s="2098"/>
      <c r="M177" s="2098"/>
      <c r="N177" s="2098"/>
      <c r="O177" s="2098"/>
      <c r="P177" s="2098"/>
      <c r="Q177" s="2098"/>
      <c r="R177" s="2098"/>
      <c r="S177" s="2098"/>
      <c r="T177" s="2098"/>
      <c r="U177" s="2098"/>
      <c r="V177" s="2098"/>
      <c r="W177" s="2098"/>
      <c r="X177" s="2098"/>
      <c r="Y177" s="2098"/>
      <c r="Z177" s="2098"/>
      <c r="AA177" s="2098"/>
      <c r="AB177" s="2098"/>
      <c r="AC177" s="2098"/>
      <c r="AD177" s="2098"/>
      <c r="AE177" s="2098"/>
      <c r="AF177" s="2098"/>
      <c r="AG177" s="2098"/>
      <c r="AH177" s="2098"/>
      <c r="AI177" s="2098"/>
      <c r="AJ177" s="2098"/>
      <c r="AK177" s="2098"/>
      <c r="AL177" s="2098"/>
      <c r="AM177" s="2098"/>
      <c r="AN177" s="2098"/>
      <c r="AO177" s="2098"/>
      <c r="AP177" s="2098"/>
      <c r="AQ177" s="2098"/>
      <c r="AR177" s="2098"/>
      <c r="AS177" s="2098"/>
      <c r="AT177" s="2098"/>
      <c r="AU177" s="2098"/>
      <c r="AV177" s="2098"/>
      <c r="AW177" s="2098"/>
      <c r="AX177" s="2098"/>
      <c r="AY177" s="2098"/>
      <c r="AZ177" s="2098"/>
    </row>
    <row r="178" spans="2:52" ht="24" customHeight="1">
      <c r="B178" s="3392" t="s">
        <v>3819</v>
      </c>
      <c r="C178" s="3393"/>
      <c r="D178" s="2124">
        <f>SUM(D179:D193)</f>
        <v>3255200.2600000007</v>
      </c>
      <c r="E178" s="2124">
        <f>SUM(E179:E193)</f>
        <v>3155120.3590718731</v>
      </c>
      <c r="F178" s="2124">
        <f>SUM(F179:F193)</f>
        <v>3067345.1307201805</v>
      </c>
      <c r="G178" s="2124">
        <f t="shared" ref="G178:O178" si="57">SUM(G179:G193)</f>
        <v>437449.40306799347</v>
      </c>
      <c r="H178" s="2124">
        <f>SUM(H179:H193)</f>
        <v>184925.5092798199</v>
      </c>
      <c r="I178" s="2124">
        <f t="shared" si="57"/>
        <v>252523.89378817359</v>
      </c>
      <c r="J178" s="2124">
        <f t="shared" si="57"/>
        <v>1631144.1921424347</v>
      </c>
      <c r="K178" s="2124">
        <f t="shared" si="57"/>
        <v>1086526.7638614457</v>
      </c>
      <c r="L178" s="2124">
        <f t="shared" si="57"/>
        <v>100079.90092812655</v>
      </c>
      <c r="M178" s="2098"/>
      <c r="N178" s="2124">
        <f t="shared" si="57"/>
        <v>3155120.3590718736</v>
      </c>
      <c r="O178" s="2124">
        <f t="shared" si="57"/>
        <v>0</v>
      </c>
      <c r="P178" s="2098"/>
      <c r="Q178" s="2098"/>
      <c r="R178" s="2098"/>
      <c r="S178" s="2098"/>
      <c r="T178" s="2098"/>
      <c r="U178" s="2098"/>
      <c r="V178" s="2098"/>
      <c r="W178" s="2098"/>
      <c r="X178" s="2098"/>
      <c r="Y178" s="2098"/>
      <c r="Z178" s="2098"/>
      <c r="AA178" s="2098"/>
      <c r="AB178" s="2098"/>
      <c r="AC178" s="2098"/>
      <c r="AD178" s="2098"/>
      <c r="AE178" s="2098"/>
      <c r="AF178" s="2098"/>
      <c r="AG178" s="2098"/>
      <c r="AH178" s="2098"/>
      <c r="AI178" s="2098"/>
      <c r="AJ178" s="2098"/>
      <c r="AK178" s="2098"/>
      <c r="AL178" s="2098"/>
      <c r="AM178" s="2098"/>
      <c r="AN178" s="2098"/>
      <c r="AO178" s="2098"/>
      <c r="AP178" s="2098"/>
      <c r="AQ178" s="2098"/>
      <c r="AR178" s="2098"/>
      <c r="AS178" s="2098"/>
      <c r="AT178" s="2098"/>
      <c r="AU178" s="2098"/>
      <c r="AV178" s="2098"/>
      <c r="AW178" s="2098"/>
      <c r="AX178" s="2098"/>
      <c r="AY178" s="2098"/>
      <c r="AZ178" s="2098"/>
    </row>
    <row r="179" spans="2:52" ht="12">
      <c r="B179" s="2125">
        <v>1</v>
      </c>
      <c r="C179" s="2126" t="str">
        <f>'[39]Прил. 5 (НВВ)'!B51</f>
        <v>Затраты по исполнительному аппарату ПАО "МРСК Юга"</v>
      </c>
      <c r="D179" s="2127">
        <f>'Выручка, УО_ 2015'!B23*1000</f>
        <v>2927184.22</v>
      </c>
      <c r="E179" s="2108">
        <f>SUM(H179:K179)</f>
        <v>2830033.9390718732</v>
      </c>
      <c r="F179" s="2108">
        <f>SUM(I179:L179)</f>
        <v>2761372.8524134709</v>
      </c>
      <c r="G179" s="2116">
        <f t="shared" ref="G179" si="58">H179+I179</f>
        <v>411990.99306799343</v>
      </c>
      <c r="H179" s="2127">
        <f>'[30]Затраты 2015'!G23*1000</f>
        <v>165811.36758652914</v>
      </c>
      <c r="I179" s="2127">
        <f>'[30]Затраты 2015'!H23*1000</f>
        <v>246179.62548146429</v>
      </c>
      <c r="J179" s="2127">
        <f>'[30]Затраты 2015'!I23*1000</f>
        <v>1373825.5621424345</v>
      </c>
      <c r="K179" s="2127">
        <f>'[30]Затраты 2015'!J23*1000</f>
        <v>1044217.3838614454</v>
      </c>
      <c r="L179" s="2127">
        <f>'[30]Затраты 2015'!E23*1000</f>
        <v>97150.280928126551</v>
      </c>
      <c r="M179" s="2098"/>
      <c r="N179" s="2127">
        <f>'[40]Приложение 5 (НВВ)'!P51*1000</f>
        <v>2830033.9390718737</v>
      </c>
      <c r="O179" s="2109">
        <f t="shared" ref="O179:O193" si="59">E179-N179</f>
        <v>0</v>
      </c>
      <c r="P179" s="2098"/>
      <c r="Q179" s="2098"/>
      <c r="R179" s="2098"/>
      <c r="S179" s="2098"/>
      <c r="T179" s="2098"/>
      <c r="U179" s="2098"/>
      <c r="V179" s="2098"/>
      <c r="W179" s="2098"/>
      <c r="X179" s="2098"/>
      <c r="Y179" s="2098"/>
      <c r="Z179" s="2098"/>
      <c r="AA179" s="2098"/>
      <c r="AB179" s="2098"/>
      <c r="AC179" s="2098"/>
      <c r="AD179" s="2098"/>
      <c r="AE179" s="2098"/>
      <c r="AF179" s="2098"/>
      <c r="AG179" s="2098"/>
      <c r="AH179" s="2098"/>
      <c r="AI179" s="2098"/>
      <c r="AJ179" s="2098"/>
      <c r="AK179" s="2098"/>
      <c r="AL179" s="2098"/>
      <c r="AM179" s="2098"/>
      <c r="AN179" s="2098"/>
      <c r="AO179" s="2098"/>
      <c r="AP179" s="2098"/>
      <c r="AQ179" s="2098"/>
      <c r="AR179" s="2098"/>
      <c r="AS179" s="2098"/>
      <c r="AT179" s="2098"/>
      <c r="AU179" s="2098"/>
      <c r="AV179" s="2098"/>
      <c r="AW179" s="2098"/>
      <c r="AX179" s="2098"/>
      <c r="AY179" s="2098"/>
      <c r="AZ179" s="2098"/>
    </row>
    <row r="180" spans="2:52" ht="12">
      <c r="B180" s="2128">
        <v>2</v>
      </c>
      <c r="C180" s="2129" t="str">
        <f>'[39]Прил. 5 (НВВ)'!B52</f>
        <v>Амортизация прочих ОС</v>
      </c>
      <c r="D180" s="2109">
        <f t="shared" ref="D180:D193" si="60">SUMIF($O$8:$O$147,$C180,$D$8:$D$147)</f>
        <v>24686.91</v>
      </c>
      <c r="E180" s="2108">
        <f t="shared" ref="E180:E189" si="61">SUM(H180:K180)</f>
        <v>24390.7</v>
      </c>
      <c r="F180" s="2109">
        <f>SUMIF($O$8:$O$147,$C180,$M$8:$M$147)</f>
        <v>19430.345527156551</v>
      </c>
      <c r="G180" s="2109">
        <f>SUMIF($O$8:$O$147,$C180,$E$8:$E$147)</f>
        <v>6606.77</v>
      </c>
      <c r="H180" s="2107">
        <f>SUMIF($O$8:$O$147,$C180,$F$8:$F$147)</f>
        <v>4960.3544728434508</v>
      </c>
      <c r="I180" s="2107">
        <f>SUMIF($O$8:$O$147,$C180,$G$8:$G$147)</f>
        <v>1646.4155271565494</v>
      </c>
      <c r="J180" s="2107">
        <f>SUMIF($O$8:$O$147,$C180,$H$8:$H$147)</f>
        <v>12175.59</v>
      </c>
      <c r="K180" s="2107">
        <f>SUMIF($O$8:$O$147,$C180,$I$8:$I$147)</f>
        <v>5608.34</v>
      </c>
      <c r="L180" s="2107">
        <f>SUMIF($O$8:$O$147,$C180,$J$8:$J$147)</f>
        <v>296.20999999999998</v>
      </c>
      <c r="M180" s="2098"/>
      <c r="N180" s="2107">
        <f>'[40]Приложение 5 (НВВ)'!P52*1000</f>
        <v>24390.7</v>
      </c>
      <c r="O180" s="2109">
        <f t="shared" si="59"/>
        <v>0</v>
      </c>
      <c r="P180" s="2098"/>
      <c r="Q180" s="2098"/>
      <c r="R180" s="2098"/>
      <c r="S180" s="2098"/>
      <c r="T180" s="2098"/>
      <c r="U180" s="2098"/>
      <c r="V180" s="2098"/>
      <c r="W180" s="2098"/>
      <c r="X180" s="2098"/>
      <c r="Y180" s="2098"/>
      <c r="Z180" s="2098"/>
      <c r="AA180" s="2098"/>
      <c r="AB180" s="2098"/>
      <c r="AC180" s="2098"/>
      <c r="AD180" s="2098"/>
      <c r="AE180" s="2098"/>
      <c r="AF180" s="2098"/>
      <c r="AG180" s="2098"/>
      <c r="AH180" s="2098"/>
      <c r="AI180" s="2098"/>
      <c r="AJ180" s="2098"/>
      <c r="AK180" s="2098"/>
      <c r="AL180" s="2098"/>
      <c r="AM180" s="2098"/>
      <c r="AN180" s="2098"/>
      <c r="AO180" s="2098"/>
      <c r="AP180" s="2098"/>
      <c r="AQ180" s="2098"/>
      <c r="AR180" s="2098"/>
      <c r="AS180" s="2098"/>
      <c r="AT180" s="2098"/>
      <c r="AU180" s="2098"/>
      <c r="AV180" s="2098"/>
      <c r="AW180" s="2098"/>
      <c r="AX180" s="2098"/>
      <c r="AY180" s="2098"/>
      <c r="AZ180" s="2098"/>
    </row>
    <row r="181" spans="2:52" ht="12">
      <c r="B181" s="2128">
        <v>3</v>
      </c>
      <c r="C181" s="2129" t="str">
        <f>'[39]Прил. 5 (НВВ)'!B53</f>
        <v>Страхование</v>
      </c>
      <c r="D181" s="2109">
        <f t="shared" si="60"/>
        <v>19005.900000000001</v>
      </c>
      <c r="E181" s="2108">
        <f t="shared" si="61"/>
        <v>18741.719999999998</v>
      </c>
      <c r="F181" s="2109">
        <f t="shared" ref="F181:F193" si="62">SUMIF($O$8:$O$147,$C181,$M$8:$M$147)</f>
        <v>16247.228785942494</v>
      </c>
      <c r="G181" s="2109">
        <f t="shared" ref="G181:G195" si="63">SUMIF($O$8:$O$147,$C181,$E$8:$E$147)</f>
        <v>3322.4500000000003</v>
      </c>
      <c r="H181" s="2107">
        <f t="shared" ref="H181:H195" si="64">SUMIF($O$8:$O$147,$C181,$F$8:$F$147)</f>
        <v>2494.4912140575079</v>
      </c>
      <c r="I181" s="2107">
        <f t="shared" ref="I181:I195" si="65">SUMIF($O$8:$O$147,$C181,$G$8:$G$147)</f>
        <v>827.958785942492</v>
      </c>
      <c r="J181" s="2107">
        <f t="shared" ref="J181:J195" si="66">SUMIF($O$8:$O$147,$C181,$H$8:$H$147)</f>
        <v>10490.319999999998</v>
      </c>
      <c r="K181" s="2107">
        <f t="shared" ref="K181:K195" si="67">SUMIF($O$8:$O$147,$C181,$I$8:$I$147)</f>
        <v>4928.95</v>
      </c>
      <c r="L181" s="2107">
        <f t="shared" ref="L181:L195" si="68">SUMIF($O$8:$O$147,$C181,$J$8:$J$147)</f>
        <v>264.18</v>
      </c>
      <c r="M181" s="2098"/>
      <c r="N181" s="2107">
        <f>'[40]Приложение 5 (НВВ)'!P53*1000</f>
        <v>18741.72</v>
      </c>
      <c r="O181" s="2109">
        <f t="shared" si="59"/>
        <v>0</v>
      </c>
      <c r="P181" s="2098"/>
      <c r="Q181" s="2098"/>
      <c r="R181" s="2098"/>
      <c r="S181" s="2098"/>
      <c r="T181" s="2098"/>
      <c r="U181" s="2098"/>
      <c r="V181" s="2098"/>
      <c r="W181" s="2098"/>
      <c r="X181" s="2098"/>
      <c r="Y181" s="2098"/>
      <c r="Z181" s="2098"/>
      <c r="AA181" s="2098"/>
      <c r="AB181" s="2098"/>
      <c r="AC181" s="2098"/>
      <c r="AD181" s="2098"/>
      <c r="AE181" s="2098"/>
      <c r="AF181" s="2098"/>
      <c r="AG181" s="2098"/>
      <c r="AH181" s="2098"/>
      <c r="AI181" s="2098"/>
      <c r="AJ181" s="2098"/>
      <c r="AK181" s="2098"/>
      <c r="AL181" s="2098"/>
      <c r="AM181" s="2098"/>
      <c r="AN181" s="2098"/>
      <c r="AO181" s="2098"/>
      <c r="AP181" s="2098"/>
      <c r="AQ181" s="2098"/>
      <c r="AR181" s="2098"/>
      <c r="AS181" s="2098"/>
      <c r="AT181" s="2098"/>
      <c r="AU181" s="2098"/>
      <c r="AV181" s="2098"/>
      <c r="AW181" s="2098"/>
      <c r="AX181" s="2098"/>
      <c r="AY181" s="2098"/>
      <c r="AZ181" s="2098"/>
    </row>
    <row r="182" spans="2:52" ht="24">
      <c r="B182" s="2128">
        <v>4</v>
      </c>
      <c r="C182" s="2129" t="str">
        <f>'[39]Прил. 5 (НВВ)'!B54</f>
        <v xml:space="preserve">Затраты на охрану труда - мероприятия по предупреждению заболеваний на производстве </v>
      </c>
      <c r="D182" s="2109">
        <f t="shared" si="60"/>
        <v>1827.16</v>
      </c>
      <c r="E182" s="2108">
        <f t="shared" si="61"/>
        <v>1756.9</v>
      </c>
      <c r="F182" s="2109">
        <f t="shared" si="62"/>
        <v>1543.132587859425</v>
      </c>
      <c r="G182" s="2109">
        <f t="shared" si="63"/>
        <v>284.72000000000003</v>
      </c>
      <c r="H182" s="2107">
        <f t="shared" si="64"/>
        <v>213.76741214057509</v>
      </c>
      <c r="I182" s="2107">
        <f t="shared" si="65"/>
        <v>70.952587859424938</v>
      </c>
      <c r="J182" s="2107">
        <f t="shared" si="66"/>
        <v>762.07</v>
      </c>
      <c r="K182" s="2107">
        <f t="shared" si="67"/>
        <v>710.11</v>
      </c>
      <c r="L182" s="2107">
        <f t="shared" si="68"/>
        <v>70.260000000000005</v>
      </c>
      <c r="M182" s="2098"/>
      <c r="N182" s="2107">
        <f>'[40]Приложение 5 (НВВ)'!P54*1000</f>
        <v>1756.9</v>
      </c>
      <c r="O182" s="2109">
        <f t="shared" si="59"/>
        <v>0</v>
      </c>
      <c r="P182" s="2098"/>
      <c r="Q182" s="2098"/>
      <c r="R182" s="2098"/>
      <c r="S182" s="2098"/>
      <c r="T182" s="2098"/>
      <c r="U182" s="2098"/>
      <c r="V182" s="2098"/>
      <c r="W182" s="2098"/>
      <c r="X182" s="2098"/>
      <c r="Y182" s="2098"/>
      <c r="Z182" s="2098"/>
      <c r="AA182" s="2098"/>
      <c r="AB182" s="2098"/>
      <c r="AC182" s="2098"/>
      <c r="AD182" s="2098"/>
      <c r="AE182" s="2098"/>
      <c r="AF182" s="2098"/>
      <c r="AG182" s="2098"/>
      <c r="AH182" s="2098"/>
      <c r="AI182" s="2098"/>
      <c r="AJ182" s="2098"/>
      <c r="AK182" s="2098"/>
      <c r="AL182" s="2098"/>
      <c r="AM182" s="2098"/>
      <c r="AN182" s="2098"/>
      <c r="AO182" s="2098"/>
      <c r="AP182" s="2098"/>
      <c r="AQ182" s="2098"/>
      <c r="AR182" s="2098"/>
      <c r="AS182" s="2098"/>
      <c r="AT182" s="2098"/>
      <c r="AU182" s="2098"/>
      <c r="AV182" s="2098"/>
      <c r="AW182" s="2098"/>
      <c r="AX182" s="2098"/>
      <c r="AY182" s="2098"/>
      <c r="AZ182" s="2098"/>
    </row>
    <row r="183" spans="2:52" ht="12">
      <c r="B183" s="2128">
        <v>5</v>
      </c>
      <c r="C183" s="2129" t="str">
        <f>'[39]Прил. 5 (НВВ)'!B55</f>
        <v>Затраты на экологию (кроме налогов и сборов)</v>
      </c>
      <c r="D183" s="2109">
        <f t="shared" si="60"/>
        <v>1168.8899999999999</v>
      </c>
      <c r="E183" s="2108">
        <f t="shared" si="61"/>
        <v>1129.8699999999999</v>
      </c>
      <c r="F183" s="2109">
        <f t="shared" si="62"/>
        <v>1016.2140894568688</v>
      </c>
      <c r="G183" s="2109">
        <f t="shared" si="63"/>
        <v>151.38</v>
      </c>
      <c r="H183" s="2107">
        <f t="shared" si="64"/>
        <v>113.65591054313099</v>
      </c>
      <c r="I183" s="2107">
        <f t="shared" si="65"/>
        <v>37.724089456869009</v>
      </c>
      <c r="J183" s="2107">
        <f t="shared" si="66"/>
        <v>570.88</v>
      </c>
      <c r="K183" s="2107">
        <f t="shared" si="67"/>
        <v>407.61</v>
      </c>
      <c r="L183" s="2107">
        <f t="shared" si="68"/>
        <v>39.020000000000003</v>
      </c>
      <c r="M183" s="2098"/>
      <c r="N183" s="2107">
        <f>'[40]Приложение 5 (НВВ)'!P55*1000</f>
        <v>1129.8699999999999</v>
      </c>
      <c r="O183" s="2109">
        <f t="shared" si="59"/>
        <v>0</v>
      </c>
      <c r="P183" s="2098"/>
      <c r="Q183" s="2098"/>
      <c r="R183" s="2098"/>
      <c r="S183" s="2098"/>
      <c r="T183" s="2098"/>
      <c r="U183" s="2098"/>
      <c r="V183" s="2098"/>
      <c r="W183" s="2098"/>
      <c r="X183" s="2098"/>
      <c r="Y183" s="2098"/>
      <c r="Z183" s="2098"/>
      <c r="AA183" s="2098"/>
      <c r="AB183" s="2098"/>
      <c r="AC183" s="2098"/>
      <c r="AD183" s="2098"/>
      <c r="AE183" s="2098"/>
      <c r="AF183" s="2098"/>
      <c r="AG183" s="2098"/>
      <c r="AH183" s="2098"/>
      <c r="AI183" s="2098"/>
      <c r="AJ183" s="2098"/>
      <c r="AK183" s="2098"/>
      <c r="AL183" s="2098"/>
      <c r="AM183" s="2098"/>
      <c r="AN183" s="2098"/>
      <c r="AO183" s="2098"/>
      <c r="AP183" s="2098"/>
      <c r="AQ183" s="2098"/>
      <c r="AR183" s="2098"/>
      <c r="AS183" s="2098"/>
      <c r="AT183" s="2098"/>
      <c r="AU183" s="2098"/>
      <c r="AV183" s="2098"/>
      <c r="AW183" s="2098"/>
      <c r="AX183" s="2098"/>
      <c r="AY183" s="2098"/>
      <c r="AZ183" s="2098"/>
    </row>
    <row r="184" spans="2:52" ht="12">
      <c r="B184" s="2128">
        <v>6</v>
      </c>
      <c r="C184" s="2129" t="str">
        <f>'[39]Прил. 5 (НВВ)'!B56</f>
        <v>Канцелярские расходы</v>
      </c>
      <c r="D184" s="2109">
        <f t="shared" si="60"/>
        <v>6363.4100000000008</v>
      </c>
      <c r="E184" s="2108">
        <f t="shared" si="61"/>
        <v>6316.1900000000005</v>
      </c>
      <c r="F184" s="2109">
        <f>SUMIF($O$8:$O$147,$C184,$M$8:$M$147)</f>
        <v>5643.3316932907355</v>
      </c>
      <c r="G184" s="2109">
        <f t="shared" si="63"/>
        <v>896.19</v>
      </c>
      <c r="H184" s="2107">
        <f t="shared" si="64"/>
        <v>672.85830670926521</v>
      </c>
      <c r="I184" s="2107">
        <f t="shared" si="65"/>
        <v>223.33169329073485</v>
      </c>
      <c r="J184" s="2107">
        <f t="shared" si="66"/>
        <v>3945.16</v>
      </c>
      <c r="K184" s="2107">
        <f t="shared" si="67"/>
        <v>1474.84</v>
      </c>
      <c r="L184" s="2107">
        <f t="shared" si="68"/>
        <v>47.22</v>
      </c>
      <c r="M184" s="2098"/>
      <c r="N184" s="2107">
        <f>'[40]Приложение 5 (НВВ)'!P56*1000</f>
        <v>6316.1900000000005</v>
      </c>
      <c r="O184" s="2109">
        <f t="shared" si="59"/>
        <v>0</v>
      </c>
      <c r="P184" s="2098"/>
      <c r="Q184" s="2098"/>
      <c r="R184" s="2098"/>
      <c r="S184" s="2098"/>
      <c r="T184" s="2098"/>
      <c r="U184" s="2098"/>
      <c r="V184" s="2098"/>
      <c r="W184" s="2098"/>
      <c r="X184" s="2098"/>
      <c r="Y184" s="2098"/>
      <c r="Z184" s="2098"/>
      <c r="AA184" s="2098"/>
      <c r="AB184" s="2098"/>
      <c r="AC184" s="2098"/>
      <c r="AD184" s="2098"/>
      <c r="AE184" s="2098"/>
      <c r="AF184" s="2098"/>
      <c r="AG184" s="2098"/>
      <c r="AH184" s="2098"/>
      <c r="AI184" s="2098"/>
      <c r="AJ184" s="2098"/>
      <c r="AK184" s="2098"/>
      <c r="AL184" s="2098"/>
      <c r="AM184" s="2098"/>
      <c r="AN184" s="2098"/>
      <c r="AO184" s="2098"/>
      <c r="AP184" s="2098"/>
      <c r="AQ184" s="2098"/>
      <c r="AR184" s="2098"/>
      <c r="AS184" s="2098"/>
      <c r="AT184" s="2098"/>
      <c r="AU184" s="2098"/>
      <c r="AV184" s="2098"/>
      <c r="AW184" s="2098"/>
      <c r="AX184" s="2098"/>
      <c r="AY184" s="2098"/>
      <c r="AZ184" s="2098"/>
    </row>
    <row r="185" spans="2:52" ht="12">
      <c r="B185" s="2128">
        <v>7</v>
      </c>
      <c r="C185" s="2129" t="str">
        <f>'[39]Прил. 5 (НВВ)'!B57</f>
        <v>Командировочные расходы</v>
      </c>
      <c r="D185" s="2109">
        <f t="shared" si="60"/>
        <v>9227.7199999999993</v>
      </c>
      <c r="E185" s="2108">
        <f t="shared" si="61"/>
        <v>9084.380000000001</v>
      </c>
      <c r="F185" s="2109">
        <f t="shared" si="62"/>
        <v>7909.3349520766787</v>
      </c>
      <c r="G185" s="2109">
        <f t="shared" si="63"/>
        <v>1565.06</v>
      </c>
      <c r="H185" s="2107">
        <f t="shared" si="64"/>
        <v>1175.0450479233227</v>
      </c>
      <c r="I185" s="2107">
        <f t="shared" si="65"/>
        <v>390.01495207667733</v>
      </c>
      <c r="J185" s="2107">
        <f t="shared" si="66"/>
        <v>5215.2699999999995</v>
      </c>
      <c r="K185" s="2107">
        <f t="shared" si="67"/>
        <v>2304.0500000000002</v>
      </c>
      <c r="L185" s="2107">
        <f t="shared" si="68"/>
        <v>143.33999999999997</v>
      </c>
      <c r="M185" s="2098"/>
      <c r="N185" s="2107">
        <f>'[40]Приложение 5 (НВВ)'!P57*1000</f>
        <v>9084.380000000001</v>
      </c>
      <c r="O185" s="2109">
        <f t="shared" si="59"/>
        <v>0</v>
      </c>
      <c r="P185" s="2098"/>
      <c r="Q185" s="2098"/>
      <c r="R185" s="2098"/>
      <c r="S185" s="2098"/>
      <c r="T185" s="2098"/>
      <c r="U185" s="2098"/>
      <c r="V185" s="2098"/>
      <c r="W185" s="2098"/>
      <c r="X185" s="2098"/>
      <c r="Y185" s="2098"/>
      <c r="Z185" s="2098"/>
      <c r="AA185" s="2098"/>
      <c r="AB185" s="2098"/>
      <c r="AC185" s="2098"/>
      <c r="AD185" s="2098"/>
      <c r="AE185" s="2098"/>
      <c r="AF185" s="2098"/>
      <c r="AG185" s="2098"/>
      <c r="AH185" s="2098"/>
      <c r="AI185" s="2098"/>
      <c r="AJ185" s="2098"/>
      <c r="AK185" s="2098"/>
      <c r="AL185" s="2098"/>
      <c r="AM185" s="2098"/>
      <c r="AN185" s="2098"/>
      <c r="AO185" s="2098"/>
      <c r="AP185" s="2098"/>
      <c r="AQ185" s="2098"/>
      <c r="AR185" s="2098"/>
      <c r="AS185" s="2098"/>
      <c r="AT185" s="2098"/>
      <c r="AU185" s="2098"/>
      <c r="AV185" s="2098"/>
      <c r="AW185" s="2098"/>
      <c r="AX185" s="2098"/>
      <c r="AY185" s="2098"/>
      <c r="AZ185" s="2098"/>
    </row>
    <row r="186" spans="2:52" ht="12">
      <c r="B186" s="2128">
        <v>8</v>
      </c>
      <c r="C186" s="2129" t="str">
        <f>'[39]Прил. 5 (НВВ)'!B58</f>
        <v>Оплата дней нетрудоспособности</v>
      </c>
      <c r="D186" s="2109">
        <f t="shared" si="60"/>
        <v>18221.13</v>
      </c>
      <c r="E186" s="2108">
        <f t="shared" si="61"/>
        <v>18044.11</v>
      </c>
      <c r="F186" s="2109">
        <f t="shared" si="62"/>
        <v>15715.395143769969</v>
      </c>
      <c r="G186" s="2109">
        <f t="shared" si="63"/>
        <v>3101.65</v>
      </c>
      <c r="H186" s="2107">
        <f t="shared" si="64"/>
        <v>2328.7148562300322</v>
      </c>
      <c r="I186" s="2107">
        <f t="shared" si="65"/>
        <v>772.93514376996791</v>
      </c>
      <c r="J186" s="2107">
        <f t="shared" si="66"/>
        <v>10977.9</v>
      </c>
      <c r="K186" s="2107">
        <f t="shared" si="67"/>
        <v>3964.56</v>
      </c>
      <c r="L186" s="2107">
        <f t="shared" si="68"/>
        <v>177.02</v>
      </c>
      <c r="M186" s="2098"/>
      <c r="N186" s="2107">
        <f>'[40]Приложение 5 (НВВ)'!P58*1000</f>
        <v>18044.11</v>
      </c>
      <c r="O186" s="2109">
        <f t="shared" si="59"/>
        <v>0</v>
      </c>
      <c r="P186" s="2098"/>
      <c r="Q186" s="2098"/>
      <c r="R186" s="2098"/>
      <c r="S186" s="2098"/>
      <c r="T186" s="2098"/>
      <c r="U186" s="2098"/>
      <c r="V186" s="2098"/>
      <c r="W186" s="2098"/>
      <c r="X186" s="2098"/>
      <c r="Y186" s="2098"/>
      <c r="Z186" s="2098"/>
      <c r="AA186" s="2098"/>
      <c r="AB186" s="2098"/>
      <c r="AC186" s="2098"/>
      <c r="AD186" s="2098"/>
      <c r="AE186" s="2098"/>
      <c r="AF186" s="2098"/>
      <c r="AG186" s="2098"/>
      <c r="AH186" s="2098"/>
      <c r="AI186" s="2098"/>
      <c r="AJ186" s="2098"/>
      <c r="AK186" s="2098"/>
      <c r="AL186" s="2098"/>
      <c r="AM186" s="2098"/>
      <c r="AN186" s="2098"/>
      <c r="AO186" s="2098"/>
      <c r="AP186" s="2098"/>
      <c r="AQ186" s="2098"/>
      <c r="AR186" s="2098"/>
      <c r="AS186" s="2098"/>
      <c r="AT186" s="2098"/>
      <c r="AU186" s="2098"/>
      <c r="AV186" s="2098"/>
      <c r="AW186" s="2098"/>
      <c r="AX186" s="2098"/>
      <c r="AY186" s="2098"/>
      <c r="AZ186" s="2098"/>
    </row>
    <row r="187" spans="2:52" ht="12">
      <c r="B187" s="2128">
        <v>9</v>
      </c>
      <c r="C187" s="2129" t="str">
        <f>'[39]Прил. 5 (НВВ)'!B59</f>
        <v>Повышение квалификации</v>
      </c>
      <c r="D187" s="2109">
        <f t="shared" si="60"/>
        <v>9517.81</v>
      </c>
      <c r="E187" s="2108">
        <f t="shared" si="61"/>
        <v>9366.75</v>
      </c>
      <c r="F187" s="2109">
        <f t="shared" si="62"/>
        <v>8319.1380191693297</v>
      </c>
      <c r="G187" s="2109">
        <f t="shared" si="63"/>
        <v>1395.33</v>
      </c>
      <c r="H187" s="2107">
        <f t="shared" si="64"/>
        <v>1047.611980830671</v>
      </c>
      <c r="I187" s="2107">
        <f t="shared" si="65"/>
        <v>347.71801916932901</v>
      </c>
      <c r="J187" s="2107">
        <f t="shared" si="66"/>
        <v>5182.01</v>
      </c>
      <c r="K187" s="2107">
        <f t="shared" si="67"/>
        <v>2789.41</v>
      </c>
      <c r="L187" s="2107">
        <f t="shared" si="68"/>
        <v>151.06</v>
      </c>
      <c r="M187" s="2098"/>
      <c r="N187" s="2107">
        <f>'[40]Приложение 5 (НВВ)'!P59*1000</f>
        <v>9366.75</v>
      </c>
      <c r="O187" s="2109">
        <f t="shared" si="59"/>
        <v>0</v>
      </c>
      <c r="P187" s="2098"/>
      <c r="Q187" s="2098"/>
      <c r="R187" s="2098"/>
      <c r="S187" s="2098"/>
      <c r="T187" s="2098"/>
      <c r="U187" s="2098"/>
      <c r="V187" s="2098"/>
      <c r="W187" s="2098"/>
      <c r="X187" s="2098"/>
      <c r="Y187" s="2098"/>
      <c r="Z187" s="2098"/>
      <c r="AA187" s="2098"/>
      <c r="AB187" s="2098"/>
      <c r="AC187" s="2098"/>
      <c r="AD187" s="2098"/>
      <c r="AE187" s="2098"/>
      <c r="AF187" s="2098"/>
      <c r="AG187" s="2098"/>
      <c r="AH187" s="2098"/>
      <c r="AI187" s="2098"/>
      <c r="AJ187" s="2098"/>
      <c r="AK187" s="2098"/>
      <c r="AL187" s="2098"/>
      <c r="AM187" s="2098"/>
      <c r="AN187" s="2098"/>
      <c r="AO187" s="2098"/>
      <c r="AP187" s="2098"/>
      <c r="AQ187" s="2098"/>
      <c r="AR187" s="2098"/>
      <c r="AS187" s="2098"/>
      <c r="AT187" s="2098"/>
      <c r="AU187" s="2098"/>
      <c r="AV187" s="2098"/>
      <c r="AW187" s="2098"/>
      <c r="AX187" s="2098"/>
      <c r="AY187" s="2098"/>
      <c r="AZ187" s="2098"/>
    </row>
    <row r="188" spans="2:52" ht="12">
      <c r="B188" s="2128">
        <v>10</v>
      </c>
      <c r="C188" s="2129" t="str">
        <f>'[39]Прил. 5 (НВВ)'!B60</f>
        <v>Расходы по управлению собственностью - межевание земельных участков</v>
      </c>
      <c r="D188" s="2109">
        <f t="shared" si="60"/>
        <v>41645.67</v>
      </c>
      <c r="E188" s="2108">
        <f t="shared" si="61"/>
        <v>40241.279999999999</v>
      </c>
      <c r="F188" s="2109">
        <f t="shared" si="62"/>
        <v>35954.121693290734</v>
      </c>
      <c r="G188" s="2109">
        <f t="shared" si="63"/>
        <v>5710.130000000001</v>
      </c>
      <c r="H188" s="2107">
        <f t="shared" si="64"/>
        <v>4287.1583067092652</v>
      </c>
      <c r="I188" s="2107">
        <f t="shared" si="65"/>
        <v>1422.9716932907347</v>
      </c>
      <c r="J188" s="2107">
        <f t="shared" si="66"/>
        <v>19172</v>
      </c>
      <c r="K188" s="2107">
        <f t="shared" si="67"/>
        <v>15359.15</v>
      </c>
      <c r="L188" s="2107">
        <f t="shared" si="68"/>
        <v>1404.3899999999999</v>
      </c>
      <c r="M188" s="2098"/>
      <c r="N188" s="2107">
        <f>'[40]Приложение 5 (НВВ)'!P60*1000</f>
        <v>40241.279999999999</v>
      </c>
      <c r="O188" s="2109">
        <f t="shared" si="59"/>
        <v>0</v>
      </c>
      <c r="P188" s="2098"/>
      <c r="Q188" s="2098"/>
      <c r="R188" s="2098"/>
      <c r="S188" s="2098"/>
      <c r="T188" s="2098"/>
      <c r="U188" s="2098"/>
      <c r="V188" s="2098"/>
      <c r="W188" s="2098"/>
      <c r="X188" s="2098"/>
      <c r="Y188" s="2098"/>
      <c r="Z188" s="2098"/>
      <c r="AA188" s="2098"/>
      <c r="AB188" s="2098"/>
      <c r="AC188" s="2098"/>
      <c r="AD188" s="2098"/>
      <c r="AE188" s="2098"/>
      <c r="AF188" s="2098"/>
      <c r="AG188" s="2098"/>
      <c r="AH188" s="2098"/>
      <c r="AI188" s="2098"/>
      <c r="AJ188" s="2098"/>
      <c r="AK188" s="2098"/>
      <c r="AL188" s="2098"/>
      <c r="AM188" s="2098"/>
      <c r="AN188" s="2098"/>
      <c r="AO188" s="2098"/>
      <c r="AP188" s="2098"/>
      <c r="AQ188" s="2098"/>
      <c r="AR188" s="2098"/>
      <c r="AS188" s="2098"/>
      <c r="AT188" s="2098"/>
      <c r="AU188" s="2098"/>
      <c r="AV188" s="2098"/>
      <c r="AW188" s="2098"/>
      <c r="AX188" s="2098"/>
      <c r="AY188" s="2098"/>
      <c r="AZ188" s="2098"/>
    </row>
    <row r="189" spans="2:52" ht="12">
      <c r="B189" s="2128">
        <v>11</v>
      </c>
      <c r="C189" s="2129" t="str">
        <f>'[39]Прил. 5 (НВВ)'!B61</f>
        <v xml:space="preserve">Услуги PR, СМИ, рекламы </v>
      </c>
      <c r="D189" s="2109">
        <f t="shared" si="60"/>
        <v>553.39</v>
      </c>
      <c r="E189" s="2108">
        <f t="shared" si="61"/>
        <v>547.78</v>
      </c>
      <c r="F189" s="2109">
        <f t="shared" si="62"/>
        <v>482.52808306709261</v>
      </c>
      <c r="G189" s="2109">
        <f t="shared" si="63"/>
        <v>86.91</v>
      </c>
      <c r="H189" s="2107">
        <f t="shared" si="64"/>
        <v>65.251916932907349</v>
      </c>
      <c r="I189" s="2107">
        <f t="shared" si="65"/>
        <v>21.658083067092647</v>
      </c>
      <c r="J189" s="2107">
        <f t="shared" si="66"/>
        <v>323.77999999999997</v>
      </c>
      <c r="K189" s="2107">
        <f t="shared" si="67"/>
        <v>137.09</v>
      </c>
      <c r="L189" s="2107">
        <f t="shared" si="68"/>
        <v>5.61</v>
      </c>
      <c r="M189" s="2098"/>
      <c r="N189" s="2107">
        <f>'[40]Приложение 5 (НВВ)'!P61*1000</f>
        <v>547.78</v>
      </c>
      <c r="O189" s="2109">
        <f t="shared" si="59"/>
        <v>0</v>
      </c>
      <c r="P189" s="2098"/>
      <c r="Q189" s="2098"/>
      <c r="R189" s="2098"/>
      <c r="S189" s="2098"/>
      <c r="T189" s="2098"/>
      <c r="U189" s="2098"/>
      <c r="V189" s="2098"/>
      <c r="W189" s="2098"/>
      <c r="X189" s="2098"/>
      <c r="Y189" s="2098"/>
      <c r="Z189" s="2098"/>
      <c r="AA189" s="2098"/>
      <c r="AB189" s="2098"/>
      <c r="AC189" s="2098"/>
      <c r="AD189" s="2098"/>
      <c r="AE189" s="2098"/>
      <c r="AF189" s="2098"/>
      <c r="AG189" s="2098"/>
      <c r="AH189" s="2098"/>
      <c r="AI189" s="2098"/>
      <c r="AJ189" s="2098"/>
      <c r="AK189" s="2098"/>
      <c r="AL189" s="2098"/>
      <c r="AM189" s="2098"/>
      <c r="AN189" s="2098"/>
      <c r="AO189" s="2098"/>
      <c r="AP189" s="2098"/>
      <c r="AQ189" s="2098"/>
      <c r="AR189" s="2098"/>
      <c r="AS189" s="2098"/>
      <c r="AT189" s="2098"/>
      <c r="AU189" s="2098"/>
      <c r="AV189" s="2098"/>
      <c r="AW189" s="2098"/>
      <c r="AX189" s="2098"/>
      <c r="AY189" s="2098"/>
      <c r="AZ189" s="2098"/>
    </row>
    <row r="190" spans="2:52" ht="12">
      <c r="B190" s="2128">
        <v>12</v>
      </c>
      <c r="C190" s="2129" t="str">
        <f>'[39]Прил. 5 (НВВ)'!B62</f>
        <v>Услуги коммунального хозяйства</v>
      </c>
      <c r="D190" s="2109">
        <f t="shared" si="60"/>
        <v>3133.98</v>
      </c>
      <c r="E190" s="2108">
        <f>SUM(H190:K190)</f>
        <v>3078.6899999999996</v>
      </c>
      <c r="F190" s="2109">
        <f t="shared" si="62"/>
        <v>2686.8256230031948</v>
      </c>
      <c r="G190" s="2109">
        <f t="shared" si="63"/>
        <v>521.93000000000006</v>
      </c>
      <c r="H190" s="2107">
        <f t="shared" si="64"/>
        <v>391.86437699680511</v>
      </c>
      <c r="I190" s="2107">
        <f t="shared" si="65"/>
        <v>130.0656230031949</v>
      </c>
      <c r="J190" s="2107">
        <f t="shared" si="66"/>
        <v>1833.1</v>
      </c>
      <c r="K190" s="2107">
        <f t="shared" si="67"/>
        <v>723.66</v>
      </c>
      <c r="L190" s="2107">
        <f t="shared" si="68"/>
        <v>55.290000000000006</v>
      </c>
      <c r="M190" s="2098"/>
      <c r="N190" s="2107">
        <f>'[40]Приложение 5 (НВВ)'!P62*1000</f>
        <v>3078.69</v>
      </c>
      <c r="O190" s="2109">
        <f t="shared" si="59"/>
        <v>0</v>
      </c>
      <c r="P190" s="2098"/>
      <c r="Q190" s="2098"/>
      <c r="R190" s="2098"/>
      <c r="S190" s="2098"/>
      <c r="T190" s="2098"/>
      <c r="U190" s="2098"/>
      <c r="V190" s="2098"/>
      <c r="W190" s="2098"/>
      <c r="X190" s="2098"/>
      <c r="Y190" s="2098"/>
      <c r="Z190" s="2098"/>
      <c r="AA190" s="2098"/>
      <c r="AB190" s="2098"/>
      <c r="AC190" s="2098"/>
      <c r="AD190" s="2098"/>
      <c r="AE190" s="2098"/>
      <c r="AF190" s="2098"/>
      <c r="AG190" s="2098"/>
      <c r="AH190" s="2098"/>
      <c r="AI190" s="2098"/>
      <c r="AJ190" s="2098"/>
      <c r="AK190" s="2098"/>
      <c r="AL190" s="2098"/>
      <c r="AM190" s="2098"/>
      <c r="AN190" s="2098"/>
      <c r="AO190" s="2098"/>
      <c r="AP190" s="2098"/>
      <c r="AQ190" s="2098"/>
      <c r="AR190" s="2098"/>
      <c r="AS190" s="2098"/>
      <c r="AT190" s="2098"/>
      <c r="AU190" s="2098"/>
      <c r="AV190" s="2098"/>
      <c r="AW190" s="2098"/>
      <c r="AX190" s="2098"/>
      <c r="AY190" s="2098"/>
      <c r="AZ190" s="2098"/>
    </row>
    <row r="191" spans="2:52" ht="12">
      <c r="B191" s="2128">
        <v>13</v>
      </c>
      <c r="C191" s="2129" t="str">
        <f>'[39]Прил. 5 (НВВ)'!B63</f>
        <v>Услуги по организации функционирования и развитию ЕЭС России</v>
      </c>
      <c r="D191" s="2109">
        <f t="shared" si="60"/>
        <v>180633.12</v>
      </c>
      <c r="E191" s="2108">
        <f>SUM(H191:K191)</f>
        <v>180633.12</v>
      </c>
      <c r="F191" s="2109">
        <f t="shared" si="62"/>
        <v>180633.12</v>
      </c>
      <c r="G191" s="2109">
        <f t="shared" si="63"/>
        <v>0</v>
      </c>
      <c r="H191" s="2107">
        <f t="shared" si="64"/>
        <v>0</v>
      </c>
      <c r="I191" s="2107">
        <f t="shared" si="65"/>
        <v>0</v>
      </c>
      <c r="J191" s="2107">
        <f t="shared" si="66"/>
        <v>180633.12</v>
      </c>
      <c r="K191" s="2107">
        <f t="shared" si="67"/>
        <v>0</v>
      </c>
      <c r="L191" s="2107">
        <f t="shared" si="68"/>
        <v>0</v>
      </c>
      <c r="M191" s="2098"/>
      <c r="N191" s="2107">
        <f>'[40]Приложение 5 (НВВ)'!P63*1000</f>
        <v>180633.12</v>
      </c>
      <c r="O191" s="2109">
        <f t="shared" si="59"/>
        <v>0</v>
      </c>
      <c r="P191" s="2098"/>
      <c r="Q191" s="2098"/>
      <c r="R191" s="2098"/>
      <c r="S191" s="2098"/>
      <c r="T191" s="2098"/>
      <c r="U191" s="2098"/>
      <c r="V191" s="2098"/>
      <c r="W191" s="2098"/>
      <c r="X191" s="2098"/>
      <c r="Y191" s="2098"/>
      <c r="Z191" s="2098"/>
      <c r="AA191" s="2098"/>
      <c r="AB191" s="2098"/>
      <c r="AC191" s="2098"/>
      <c r="AD191" s="2098"/>
      <c r="AE191" s="2098"/>
      <c r="AF191" s="2098"/>
      <c r="AG191" s="2098"/>
      <c r="AH191" s="2098"/>
      <c r="AI191" s="2098"/>
      <c r="AJ191" s="2098"/>
      <c r="AK191" s="2098"/>
      <c r="AL191" s="2098"/>
      <c r="AM191" s="2098"/>
      <c r="AN191" s="2098"/>
      <c r="AO191" s="2098"/>
      <c r="AP191" s="2098"/>
      <c r="AQ191" s="2098"/>
      <c r="AR191" s="2098"/>
      <c r="AS191" s="2098"/>
      <c r="AT191" s="2098"/>
      <c r="AU191" s="2098"/>
      <c r="AV191" s="2098"/>
      <c r="AW191" s="2098"/>
      <c r="AX191" s="2098"/>
      <c r="AY191" s="2098"/>
      <c r="AZ191" s="2098"/>
    </row>
    <row r="192" spans="2:52" ht="24">
      <c r="B192" s="2128">
        <v>14</v>
      </c>
      <c r="C192" s="2129" t="str">
        <f>'[39]Прил. 5 (НВВ)'!B64</f>
        <v>Услуги по аккредитации (аттестации) и экспертизе в области метрологического обеспечения и качества э/э</v>
      </c>
      <c r="D192" s="2109">
        <f t="shared" si="60"/>
        <v>2378.3399999999997</v>
      </c>
      <c r="E192" s="2130">
        <f>SUM(H192:K192)</f>
        <v>2286.06</v>
      </c>
      <c r="F192" s="2109">
        <f t="shared" si="62"/>
        <v>2049.0478594249198</v>
      </c>
      <c r="G192" s="2109">
        <f t="shared" si="63"/>
        <v>315.68</v>
      </c>
      <c r="H192" s="2107">
        <f t="shared" si="64"/>
        <v>237.01214057507985</v>
      </c>
      <c r="I192" s="2107">
        <f t="shared" si="65"/>
        <v>78.667859424920138</v>
      </c>
      <c r="J192" s="2107">
        <f t="shared" si="66"/>
        <v>1029.04</v>
      </c>
      <c r="K192" s="2107">
        <f t="shared" si="67"/>
        <v>941.33999999999992</v>
      </c>
      <c r="L192" s="2107">
        <f t="shared" si="68"/>
        <v>92.28</v>
      </c>
      <c r="M192" s="2098"/>
      <c r="N192" s="2107">
        <f>'[40]Приложение 5 (НВВ)'!P64*1000</f>
        <v>2286.0599999999995</v>
      </c>
      <c r="O192" s="2109">
        <f t="shared" si="59"/>
        <v>0</v>
      </c>
      <c r="P192" s="2098"/>
      <c r="Q192" s="2098"/>
      <c r="R192" s="2098"/>
      <c r="S192" s="2098"/>
      <c r="T192" s="2098"/>
      <c r="U192" s="2098"/>
      <c r="V192" s="2098"/>
      <c r="W192" s="2098"/>
      <c r="X192" s="2098"/>
      <c r="Y192" s="2098"/>
      <c r="Z192" s="2098"/>
      <c r="AA192" s="2098"/>
      <c r="AB192" s="2098"/>
      <c r="AC192" s="2098"/>
      <c r="AD192" s="2098"/>
      <c r="AE192" s="2098"/>
      <c r="AF192" s="2098"/>
      <c r="AG192" s="2098"/>
      <c r="AH192" s="2098"/>
      <c r="AI192" s="2098"/>
      <c r="AJ192" s="2098"/>
      <c r="AK192" s="2098"/>
      <c r="AL192" s="2098"/>
      <c r="AM192" s="2098"/>
      <c r="AN192" s="2098"/>
      <c r="AO192" s="2098"/>
      <c r="AP192" s="2098"/>
      <c r="AQ192" s="2098"/>
      <c r="AR192" s="2098"/>
      <c r="AS192" s="2098"/>
      <c r="AT192" s="2098"/>
      <c r="AU192" s="2098"/>
      <c r="AV192" s="2098"/>
      <c r="AW192" s="2098"/>
      <c r="AX192" s="2098"/>
      <c r="AY192" s="2098"/>
      <c r="AZ192" s="2098"/>
    </row>
    <row r="193" spans="2:52" ht="12">
      <c r="B193" s="2131">
        <v>15</v>
      </c>
      <c r="C193" s="2132" t="str">
        <f>'[39]Прил. 5 (НВВ)'!B65</f>
        <v>прочие</v>
      </c>
      <c r="D193" s="2120">
        <f t="shared" si="60"/>
        <v>9652.6099999999988</v>
      </c>
      <c r="E193" s="2108">
        <f>SUM(H193:K193)</f>
        <v>9468.8700000000008</v>
      </c>
      <c r="F193" s="2120">
        <f t="shared" si="62"/>
        <v>8342.5142492012783</v>
      </c>
      <c r="G193" s="2109">
        <f t="shared" si="63"/>
        <v>1500.2099999999998</v>
      </c>
      <c r="H193" s="2107">
        <f t="shared" si="64"/>
        <v>1126.3557507987218</v>
      </c>
      <c r="I193" s="2107">
        <f t="shared" si="65"/>
        <v>373.85424920127804</v>
      </c>
      <c r="J193" s="2107">
        <f t="shared" si="66"/>
        <v>5008.3900000000012</v>
      </c>
      <c r="K193" s="2107">
        <f t="shared" si="67"/>
        <v>2960.27</v>
      </c>
      <c r="L193" s="2107">
        <f t="shared" si="68"/>
        <v>183.73999999999998</v>
      </c>
      <c r="M193" s="2098"/>
      <c r="N193" s="2107">
        <f>'[40]Приложение 5 (НВВ)'!P65*1000</f>
        <v>9468.8700000000008</v>
      </c>
      <c r="O193" s="2109">
        <f t="shared" si="59"/>
        <v>0</v>
      </c>
      <c r="P193" s="2098"/>
      <c r="Q193" s="2098"/>
      <c r="R193" s="2098"/>
      <c r="S193" s="2098"/>
      <c r="T193" s="2098"/>
      <c r="U193" s="2098"/>
      <c r="V193" s="2098"/>
      <c r="W193" s="2098"/>
      <c r="X193" s="2098"/>
      <c r="Y193" s="2098"/>
      <c r="Z193" s="2098"/>
      <c r="AA193" s="2098"/>
      <c r="AB193" s="2098"/>
      <c r="AC193" s="2098"/>
      <c r="AD193" s="2098"/>
      <c r="AE193" s="2098"/>
      <c r="AF193" s="2098"/>
      <c r="AG193" s="2098"/>
      <c r="AH193" s="2098"/>
      <c r="AI193" s="2098"/>
      <c r="AJ193" s="2098"/>
      <c r="AK193" s="2098"/>
      <c r="AL193" s="2098"/>
      <c r="AM193" s="2098"/>
      <c r="AN193" s="2098"/>
      <c r="AO193" s="2098"/>
      <c r="AP193" s="2098"/>
      <c r="AQ193" s="2098"/>
      <c r="AR193" s="2098"/>
      <c r="AS193" s="2098"/>
      <c r="AT193" s="2098"/>
      <c r="AU193" s="2098"/>
      <c r="AV193" s="2098"/>
      <c r="AW193" s="2098"/>
      <c r="AX193" s="2098"/>
      <c r="AY193" s="2098"/>
      <c r="AZ193" s="2098"/>
    </row>
    <row r="194" spans="2:52" ht="12" customHeight="1">
      <c r="B194" s="3392" t="s">
        <v>3820</v>
      </c>
      <c r="C194" s="3393"/>
      <c r="D194" s="2133">
        <f>SUM(D195:D197)</f>
        <v>295339.51</v>
      </c>
      <c r="E194" s="2133">
        <f>SUM(E195:E197)</f>
        <v>285537.49064992461</v>
      </c>
      <c r="F194" s="2133">
        <f>SUM(F195:F197)</f>
        <v>268807.88145046146</v>
      </c>
      <c r="G194" s="2134">
        <f>SUM(G195:G198)</f>
        <v>41568.008322043555</v>
      </c>
      <c r="H194" s="2134">
        <f t="shared" ref="H194:K194" si="69">SUM(H195:H198)</f>
        <v>16729.609199463161</v>
      </c>
      <c r="I194" s="2134">
        <f>SUM(I195:I198)</f>
        <v>24838.399122580395</v>
      </c>
      <c r="J194" s="2134">
        <f t="shared" si="69"/>
        <v>138612.7205716561</v>
      </c>
      <c r="K194" s="2134">
        <f t="shared" si="69"/>
        <v>105356.76175622497</v>
      </c>
      <c r="L194" s="2134">
        <f>SUM(L195:L198)</f>
        <v>9802.0193500753558</v>
      </c>
      <c r="M194" s="2098"/>
      <c r="N194" s="2133">
        <f t="shared" ref="N194:O194" si="70">SUM(N195:N197)</f>
        <v>184417.13830499517</v>
      </c>
      <c r="O194" s="2133">
        <f t="shared" si="70"/>
        <v>101120.35234492946</v>
      </c>
      <c r="P194" s="2098"/>
      <c r="Q194" s="2098"/>
      <c r="R194" s="2098"/>
      <c r="S194" s="2098"/>
      <c r="T194" s="2098"/>
      <c r="U194" s="2098"/>
      <c r="V194" s="2098"/>
      <c r="W194" s="2098"/>
      <c r="X194" s="2098"/>
      <c r="Y194" s="2098"/>
      <c r="Z194" s="2098"/>
      <c r="AA194" s="2098"/>
      <c r="AB194" s="2098"/>
      <c r="AC194" s="2098"/>
      <c r="AD194" s="2098"/>
      <c r="AE194" s="2098"/>
      <c r="AF194" s="2098"/>
      <c r="AG194" s="2098"/>
      <c r="AH194" s="2098"/>
      <c r="AI194" s="2098"/>
      <c r="AJ194" s="2098"/>
      <c r="AK194" s="2098"/>
      <c r="AL194" s="2098"/>
      <c r="AM194" s="2098"/>
      <c r="AN194" s="2098"/>
      <c r="AO194" s="2098"/>
      <c r="AP194" s="2098"/>
      <c r="AQ194" s="2098"/>
      <c r="AR194" s="2098"/>
      <c r="AS194" s="2098"/>
      <c r="AT194" s="2098"/>
      <c r="AU194" s="2098"/>
      <c r="AV194" s="2098"/>
      <c r="AW194" s="2098"/>
      <c r="AX194" s="2098"/>
      <c r="AY194" s="2098"/>
      <c r="AZ194" s="2098"/>
    </row>
    <row r="195" spans="2:52" ht="12">
      <c r="B195" s="2125">
        <v>1</v>
      </c>
      <c r="C195" s="2135" t="s">
        <v>3821</v>
      </c>
      <c r="D195" s="2107">
        <f>SUMIF($O$8:$O$147,$C195,$D$8:$D$147)</f>
        <v>0</v>
      </c>
      <c r="E195" s="2107">
        <f>SUMIF($O$8:$O$147,$C195,$L$8:$L$147)</f>
        <v>0</v>
      </c>
      <c r="F195" s="2107">
        <f>SUMIF($O$8:$O$147,$C195,$M$8:$M$147)</f>
        <v>0</v>
      </c>
      <c r="G195" s="2109">
        <f t="shared" si="63"/>
        <v>0</v>
      </c>
      <c r="H195" s="2107">
        <f t="shared" si="64"/>
        <v>0</v>
      </c>
      <c r="I195" s="2107">
        <f t="shared" si="65"/>
        <v>0</v>
      </c>
      <c r="J195" s="2107">
        <f t="shared" si="66"/>
        <v>0</v>
      </c>
      <c r="K195" s="2107">
        <f t="shared" si="67"/>
        <v>0</v>
      </c>
      <c r="L195" s="2107">
        <f t="shared" si="68"/>
        <v>0</v>
      </c>
      <c r="M195" s="2098"/>
      <c r="N195" s="2107">
        <f>'[40]Приложение 5 (НВВ)'!P67*1000</f>
        <v>0</v>
      </c>
      <c r="O195" s="2107">
        <f t="shared" ref="O195:O197" si="71">E195-N195</f>
        <v>0</v>
      </c>
      <c r="P195" s="2098"/>
      <c r="Q195" s="2098"/>
      <c r="R195" s="2098"/>
      <c r="S195" s="2098"/>
      <c r="T195" s="2098"/>
      <c r="U195" s="2098"/>
      <c r="V195" s="2098"/>
      <c r="W195" s="2098"/>
      <c r="X195" s="2098"/>
      <c r="Y195" s="2098"/>
      <c r="Z195" s="2098"/>
      <c r="AA195" s="2098"/>
      <c r="AB195" s="2098"/>
      <c r="AC195" s="2098"/>
      <c r="AD195" s="2098"/>
      <c r="AE195" s="2098"/>
      <c r="AF195" s="2098"/>
      <c r="AG195" s="2098"/>
      <c r="AH195" s="2098"/>
      <c r="AI195" s="2098"/>
      <c r="AJ195" s="2098"/>
      <c r="AK195" s="2098"/>
      <c r="AL195" s="2098"/>
      <c r="AM195" s="2098"/>
      <c r="AN195" s="2098"/>
      <c r="AO195" s="2098"/>
      <c r="AP195" s="2098"/>
      <c r="AQ195" s="2098"/>
      <c r="AR195" s="2098"/>
      <c r="AS195" s="2098"/>
      <c r="AT195" s="2098"/>
      <c r="AU195" s="2098"/>
      <c r="AV195" s="2098"/>
      <c r="AW195" s="2098"/>
      <c r="AX195" s="2098"/>
      <c r="AY195" s="2098"/>
      <c r="AZ195" s="2098"/>
    </row>
    <row r="196" spans="2:52" ht="12">
      <c r="B196" s="2128">
        <v>2</v>
      </c>
      <c r="C196" s="2136" t="str">
        <f>'[39]Затраты 2015'!A22</f>
        <v xml:space="preserve">Прочие расходы РСК </v>
      </c>
      <c r="D196" s="2112">
        <f>'Выручка, УО_ 2015'!B22*1000</f>
        <v>206599.81</v>
      </c>
      <c r="E196" s="2130">
        <f>SUM(H196:K196)</f>
        <v>199742.97145732789</v>
      </c>
      <c r="F196" s="2108">
        <f>E196-H196</f>
        <v>188040.0534089322</v>
      </c>
      <c r="G196" s="2116">
        <f>H196+I196</f>
        <v>29078.204339854892</v>
      </c>
      <c r="H196" s="2112">
        <f>'[30]Затраты 2015'!G22*1000</f>
        <v>11702.918048395697</v>
      </c>
      <c r="I196" s="2112">
        <f>'[30]Затраты 2015'!H22*1000</f>
        <v>17375.286291459197</v>
      </c>
      <c r="J196" s="2112">
        <f>'[30]Затраты 2015'!I22*1000</f>
        <v>96964.208187679469</v>
      </c>
      <c r="K196" s="2112">
        <f>'[30]Затраты 2015'!J22*1000</f>
        <v>73700.558929793522</v>
      </c>
      <c r="L196" s="2112">
        <f>'[30]Затраты 2015'!E22*1000</f>
        <v>6856.8385426720997</v>
      </c>
      <c r="M196" s="2098"/>
      <c r="N196" s="2112">
        <f>'[40]Приложение 5 (НВВ)'!P68*1000</f>
        <v>0</v>
      </c>
      <c r="O196" s="2112">
        <f>E196-N196</f>
        <v>199742.97145732789</v>
      </c>
      <c r="P196" s="2098"/>
      <c r="Q196" s="2098"/>
      <c r="R196" s="2098"/>
      <c r="S196" s="2098"/>
      <c r="T196" s="2098"/>
      <c r="U196" s="2098"/>
      <c r="V196" s="2098"/>
      <c r="W196" s="2098"/>
      <c r="X196" s="2098"/>
      <c r="Y196" s="2098"/>
      <c r="Z196" s="2098"/>
      <c r="AA196" s="2098"/>
      <c r="AB196" s="2098"/>
      <c r="AC196" s="2098"/>
      <c r="AD196" s="2098"/>
      <c r="AE196" s="2098"/>
      <c r="AF196" s="2098"/>
      <c r="AG196" s="2098"/>
      <c r="AH196" s="2098"/>
      <c r="AI196" s="2098"/>
      <c r="AJ196" s="2098"/>
      <c r="AK196" s="2098"/>
      <c r="AL196" s="2098"/>
      <c r="AM196" s="2098"/>
      <c r="AN196" s="2098"/>
      <c r="AO196" s="2098"/>
      <c r="AP196" s="2098"/>
      <c r="AQ196" s="2098"/>
      <c r="AR196" s="2098"/>
      <c r="AS196" s="2098"/>
      <c r="AT196" s="2098"/>
      <c r="AU196" s="2098"/>
      <c r="AV196" s="2098"/>
      <c r="AW196" s="2098"/>
      <c r="AX196" s="2098"/>
      <c r="AY196" s="2098"/>
      <c r="AZ196" s="2098"/>
    </row>
    <row r="197" spans="2:52" ht="12">
      <c r="B197" s="2131">
        <v>3</v>
      </c>
      <c r="C197" s="2137" t="s">
        <v>2924</v>
      </c>
      <c r="D197" s="2138">
        <f>'Выручка, УО_ 2015'!B25*1000</f>
        <v>88739.7</v>
      </c>
      <c r="E197" s="2130">
        <f>SUM(H197:K197)</f>
        <v>85794.519192596737</v>
      </c>
      <c r="F197" s="2108">
        <f>E197-H197</f>
        <v>80767.828041529268</v>
      </c>
      <c r="G197" s="2116">
        <f>H197+I197</f>
        <v>12489.803982188663</v>
      </c>
      <c r="H197" s="2138">
        <f>'[30]Затраты 2015'!G25*1000</f>
        <v>5026.6911510674645</v>
      </c>
      <c r="I197" s="2138">
        <f>'[30]Затраты 2015'!H25*1000</f>
        <v>7463.1128311211987</v>
      </c>
      <c r="J197" s="2138">
        <f>'[30]Затраты 2015'!I25*1000</f>
        <v>41648.512383976638</v>
      </c>
      <c r="K197" s="2138">
        <f>'[30]Затраты 2015'!J25*1000</f>
        <v>31656.202826431436</v>
      </c>
      <c r="L197" s="2112">
        <f>'[30]Затраты 2015'!E25*1000</f>
        <v>2945.1808074032565</v>
      </c>
      <c r="M197" s="2098"/>
      <c r="N197" s="2138">
        <f>'[40]Приложение 5 (НВВ)'!P69*1000</f>
        <v>184417.13830499517</v>
      </c>
      <c r="O197" s="2138">
        <f t="shared" si="71"/>
        <v>-98622.619112398432</v>
      </c>
      <c r="P197" s="2098"/>
      <c r="Q197" s="2098"/>
      <c r="R197" s="2098"/>
      <c r="S197" s="2098"/>
      <c r="T197" s="2098"/>
      <c r="U197" s="2098"/>
      <c r="V197" s="2098"/>
      <c r="W197" s="2098"/>
      <c r="X197" s="2098"/>
      <c r="Y197" s="2098"/>
      <c r="Z197" s="2098"/>
      <c r="AA197" s="2098"/>
      <c r="AB197" s="2098"/>
      <c r="AC197" s="2098"/>
      <c r="AD197" s="2098"/>
      <c r="AE197" s="2098"/>
      <c r="AF197" s="2098"/>
      <c r="AG197" s="2098"/>
      <c r="AH197" s="2098"/>
      <c r="AI197" s="2098"/>
      <c r="AJ197" s="2098"/>
      <c r="AK197" s="2098"/>
      <c r="AL197" s="2098"/>
      <c r="AM197" s="2098"/>
      <c r="AN197" s="2098"/>
      <c r="AO197" s="2098"/>
      <c r="AP197" s="2098"/>
      <c r="AQ197" s="2098"/>
      <c r="AR197" s="2098"/>
      <c r="AS197" s="2098"/>
      <c r="AT197" s="2098"/>
      <c r="AU197" s="2098"/>
      <c r="AV197" s="2098"/>
      <c r="AW197" s="2098"/>
      <c r="AX197" s="2098"/>
      <c r="AY197" s="2098"/>
      <c r="AZ197" s="2098"/>
    </row>
    <row r="198" spans="2:52">
      <c r="C198" s="2096" t="s">
        <v>3822</v>
      </c>
      <c r="D198" s="2097"/>
      <c r="E198" s="2098"/>
      <c r="F198" s="2098"/>
      <c r="G198" s="2116"/>
      <c r="H198" s="2098"/>
      <c r="I198" s="2098"/>
      <c r="J198" s="2098"/>
      <c r="K198" s="2098"/>
      <c r="L198" s="2098"/>
      <c r="M198" s="2098"/>
      <c r="N198" s="2098"/>
      <c r="O198" s="2098"/>
      <c r="P198" s="2098"/>
      <c r="Q198" s="2098"/>
      <c r="R198" s="2098"/>
      <c r="S198" s="2098"/>
      <c r="T198" s="2098"/>
      <c r="U198" s="2098"/>
      <c r="V198" s="2098"/>
      <c r="W198" s="2098"/>
      <c r="X198" s="2098"/>
      <c r="Y198" s="2098"/>
      <c r="Z198" s="2098"/>
      <c r="AA198" s="2098"/>
      <c r="AB198" s="2098"/>
      <c r="AC198" s="2098"/>
      <c r="AD198" s="2098"/>
      <c r="AE198" s="2098"/>
      <c r="AF198" s="2098"/>
      <c r="AG198" s="2098"/>
      <c r="AH198" s="2098"/>
      <c r="AI198" s="2098"/>
      <c r="AJ198" s="2098"/>
      <c r="AK198" s="2098"/>
      <c r="AL198" s="2098"/>
      <c r="AM198" s="2098"/>
      <c r="AN198" s="2098"/>
      <c r="AO198" s="2098"/>
      <c r="AP198" s="2098"/>
      <c r="AQ198" s="2098"/>
      <c r="AR198" s="2098"/>
      <c r="AS198" s="2098"/>
      <c r="AT198" s="2098"/>
      <c r="AU198" s="2098"/>
      <c r="AV198" s="2098"/>
      <c r="AW198" s="2098"/>
      <c r="AX198" s="2098"/>
      <c r="AY198" s="2098"/>
      <c r="AZ198" s="2098"/>
    </row>
    <row r="199" spans="2:52">
      <c r="C199" s="2096"/>
      <c r="D199" s="2097"/>
      <c r="E199" s="2098"/>
      <c r="F199" s="2098"/>
      <c r="G199" s="2098"/>
      <c r="H199" s="2098"/>
      <c r="I199" s="2098"/>
      <c r="J199" s="2098"/>
      <c r="K199" s="2098"/>
      <c r="L199" s="2098"/>
      <c r="M199" s="2098"/>
      <c r="N199" s="2098"/>
      <c r="O199" s="2098"/>
      <c r="P199" s="2098"/>
      <c r="Q199" s="2098"/>
      <c r="R199" s="2098"/>
      <c r="S199" s="2098"/>
      <c r="T199" s="2098"/>
      <c r="U199" s="2098"/>
      <c r="V199" s="2098"/>
      <c r="W199" s="2098"/>
      <c r="X199" s="2098"/>
      <c r="Y199" s="2098"/>
      <c r="Z199" s="2098"/>
      <c r="AA199" s="2098"/>
      <c r="AB199" s="2098"/>
      <c r="AC199" s="2098"/>
      <c r="AD199" s="2098"/>
      <c r="AE199" s="2098"/>
      <c r="AF199" s="2098"/>
      <c r="AG199" s="2098"/>
      <c r="AH199" s="2098"/>
      <c r="AI199" s="2098"/>
      <c r="AJ199" s="2098"/>
      <c r="AK199" s="2098"/>
      <c r="AL199" s="2098"/>
      <c r="AM199" s="2098"/>
      <c r="AN199" s="2098"/>
      <c r="AO199" s="2098"/>
      <c r="AP199" s="2098"/>
      <c r="AQ199" s="2098"/>
      <c r="AR199" s="2098"/>
      <c r="AS199" s="2098"/>
      <c r="AT199" s="2098"/>
      <c r="AU199" s="2098"/>
      <c r="AV199" s="2098"/>
      <c r="AW199" s="2098"/>
      <c r="AX199" s="2098"/>
      <c r="AY199" s="2098"/>
      <c r="AZ199" s="2098"/>
    </row>
    <row r="200" spans="2:52">
      <c r="C200" s="2096" t="s">
        <v>3675</v>
      </c>
      <c r="D200" s="2097">
        <v>39238.451000000001</v>
      </c>
      <c r="E200" s="2098"/>
      <c r="F200" s="2098"/>
      <c r="G200" s="2098"/>
      <c r="H200" s="2098"/>
      <c r="I200" s="2098"/>
      <c r="J200" s="2098"/>
      <c r="K200" s="2098"/>
      <c r="L200" s="2098" t="e">
        <f>-SUM('[39]Затраты 2015'!E21,'[39]Затраты 2015'!E24)*1000</f>
        <v>#REF!</v>
      </c>
      <c r="M200" s="2098"/>
      <c r="N200" s="2098"/>
      <c r="O200" s="2098"/>
      <c r="P200" s="2098"/>
      <c r="Q200" s="2098"/>
      <c r="R200" s="2098"/>
      <c r="S200" s="2098"/>
      <c r="T200" s="2098"/>
      <c r="U200" s="2098"/>
      <c r="V200" s="2098"/>
      <c r="W200" s="2098"/>
      <c r="X200" s="2098"/>
      <c r="Y200" s="2098"/>
      <c r="Z200" s="2098"/>
      <c r="AA200" s="2098"/>
      <c r="AB200" s="2098"/>
      <c r="AC200" s="2098"/>
      <c r="AD200" s="2098"/>
      <c r="AE200" s="2098"/>
      <c r="AF200" s="2098"/>
      <c r="AG200" s="2098"/>
      <c r="AH200" s="2098"/>
      <c r="AI200" s="2098"/>
      <c r="AJ200" s="2098"/>
      <c r="AK200" s="2098"/>
      <c r="AL200" s="2098"/>
      <c r="AM200" s="2098"/>
      <c r="AN200" s="2098"/>
      <c r="AO200" s="2098"/>
      <c r="AP200" s="2098"/>
      <c r="AQ200" s="2098"/>
      <c r="AR200" s="2098"/>
      <c r="AS200" s="2098"/>
      <c r="AT200" s="2098"/>
      <c r="AU200" s="2098"/>
      <c r="AV200" s="2098"/>
      <c r="AW200" s="2098"/>
      <c r="AX200" s="2098"/>
      <c r="AY200" s="2098"/>
      <c r="AZ200" s="2098"/>
    </row>
    <row r="201" spans="2:52">
      <c r="C201" s="2096" t="s">
        <v>3823</v>
      </c>
      <c r="F201" s="2098"/>
      <c r="G201" s="2098"/>
      <c r="H201" s="2098"/>
      <c r="I201" s="2098"/>
      <c r="J201" s="2098"/>
      <c r="K201" s="2098"/>
      <c r="L201" s="2098"/>
      <c r="M201" s="2098"/>
      <c r="N201" s="2098"/>
      <c r="O201" s="2098"/>
      <c r="P201" s="2098"/>
      <c r="Q201" s="2098"/>
      <c r="R201" s="2098"/>
      <c r="S201" s="2098"/>
      <c r="T201" s="2098"/>
      <c r="U201" s="2098"/>
      <c r="V201" s="2098"/>
      <c r="W201" s="2098"/>
      <c r="X201" s="2098"/>
      <c r="Y201" s="2098"/>
      <c r="Z201" s="2098"/>
      <c r="AA201" s="2098"/>
      <c r="AB201" s="2098"/>
      <c r="AC201" s="2098"/>
      <c r="AD201" s="2098"/>
      <c r="AE201" s="2098"/>
      <c r="AF201" s="2098"/>
      <c r="AG201" s="2098"/>
      <c r="AH201" s="2098"/>
      <c r="AI201" s="2098"/>
      <c r="AJ201" s="2098"/>
      <c r="AK201" s="2098"/>
      <c r="AL201" s="2098"/>
      <c r="AM201" s="2098"/>
      <c r="AN201" s="2098"/>
      <c r="AO201" s="2098"/>
      <c r="AP201" s="2098"/>
      <c r="AQ201" s="2098"/>
      <c r="AR201" s="2098"/>
      <c r="AS201" s="2098"/>
      <c r="AT201" s="2098"/>
      <c r="AU201" s="2098"/>
      <c r="AV201" s="2098"/>
      <c r="AW201" s="2098"/>
      <c r="AX201" s="2098"/>
      <c r="AY201" s="2098"/>
      <c r="AZ201" s="2098"/>
    </row>
    <row r="202" spans="2:52">
      <c r="C202" s="2096"/>
      <c r="D202" s="2097">
        <v>97986.42</v>
      </c>
      <c r="F202" s="2098"/>
      <c r="G202" s="2098"/>
      <c r="H202" s="2098"/>
      <c r="I202" s="2098"/>
      <c r="J202" s="2098"/>
      <c r="K202" s="2098"/>
      <c r="L202" s="2098"/>
      <c r="M202" s="2098"/>
      <c r="N202" s="2098"/>
      <c r="O202" s="2098"/>
      <c r="P202" s="2098"/>
      <c r="Q202" s="2098"/>
      <c r="R202" s="2098"/>
      <c r="S202" s="2098"/>
      <c r="T202" s="2098"/>
      <c r="U202" s="2098"/>
      <c r="V202" s="2098"/>
      <c r="W202" s="2098"/>
      <c r="X202" s="2098"/>
      <c r="Y202" s="2098"/>
      <c r="Z202" s="2098"/>
      <c r="AA202" s="2098"/>
      <c r="AB202" s="2098"/>
      <c r="AC202" s="2098"/>
      <c r="AD202" s="2098"/>
      <c r="AE202" s="2098"/>
      <c r="AF202" s="2098"/>
      <c r="AG202" s="2098"/>
      <c r="AH202" s="2098"/>
      <c r="AI202" s="2098"/>
      <c r="AJ202" s="2098"/>
      <c r="AK202" s="2098"/>
      <c r="AL202" s="2098"/>
      <c r="AM202" s="2098"/>
      <c r="AN202" s="2098"/>
      <c r="AO202" s="2098"/>
      <c r="AP202" s="2098"/>
      <c r="AQ202" s="2098"/>
      <c r="AR202" s="2098"/>
      <c r="AS202" s="2098"/>
      <c r="AT202" s="2098"/>
      <c r="AU202" s="2098"/>
      <c r="AV202" s="2098"/>
      <c r="AW202" s="2098"/>
      <c r="AX202" s="2098"/>
      <c r="AY202" s="2098"/>
      <c r="AZ202" s="2098"/>
    </row>
    <row r="203" spans="2:52">
      <c r="C203" s="2096"/>
      <c r="D203" s="2097"/>
      <c r="F203" s="2098"/>
      <c r="G203" s="2098"/>
      <c r="H203" s="2098"/>
      <c r="I203" s="2098"/>
      <c r="J203" s="2098"/>
      <c r="K203" s="2098"/>
      <c r="L203" s="2098"/>
      <c r="M203" s="2098"/>
      <c r="N203" s="2098"/>
      <c r="O203" s="2098"/>
      <c r="P203" s="2098"/>
      <c r="Q203" s="2098"/>
      <c r="R203" s="2098"/>
      <c r="S203" s="2098"/>
      <c r="T203" s="2098"/>
      <c r="U203" s="2098"/>
      <c r="V203" s="2098"/>
      <c r="W203" s="2098"/>
      <c r="X203" s="2098"/>
      <c r="Y203" s="2098"/>
      <c r="Z203" s="2098"/>
      <c r="AA203" s="2098"/>
      <c r="AB203" s="2098"/>
      <c r="AC203" s="2098"/>
      <c r="AD203" s="2098"/>
      <c r="AE203" s="2098"/>
      <c r="AF203" s="2098"/>
      <c r="AG203" s="2098"/>
      <c r="AH203" s="2098"/>
      <c r="AI203" s="2098"/>
      <c r="AJ203" s="2098"/>
      <c r="AK203" s="2098"/>
      <c r="AL203" s="2098"/>
      <c r="AM203" s="2098"/>
      <c r="AN203" s="2098"/>
      <c r="AO203" s="2098"/>
      <c r="AP203" s="2098"/>
      <c r="AQ203" s="2098"/>
      <c r="AR203" s="2098"/>
      <c r="AS203" s="2098"/>
      <c r="AT203" s="2098"/>
      <c r="AU203" s="2098"/>
      <c r="AV203" s="2098"/>
      <c r="AW203" s="2098"/>
      <c r="AX203" s="2098"/>
      <c r="AY203" s="2098"/>
      <c r="AZ203" s="2098"/>
    </row>
    <row r="204" spans="2:52">
      <c r="C204" s="2096"/>
      <c r="D204" s="2097"/>
      <c r="F204" s="2098"/>
      <c r="G204" s="2098"/>
      <c r="H204" s="2098"/>
      <c r="I204" s="2098"/>
      <c r="J204" s="2098"/>
      <c r="K204" s="2098"/>
      <c r="L204" s="2098"/>
      <c r="M204" s="2098"/>
      <c r="N204" s="2098"/>
      <c r="O204" s="2098"/>
      <c r="P204" s="2098"/>
      <c r="Q204" s="2098"/>
      <c r="R204" s="2098"/>
      <c r="S204" s="2098"/>
      <c r="T204" s="2098"/>
      <c r="U204" s="2098"/>
      <c r="V204" s="2098"/>
      <c r="W204" s="2098"/>
      <c r="X204" s="2098"/>
      <c r="Y204" s="2098"/>
      <c r="Z204" s="2098"/>
      <c r="AA204" s="2098"/>
      <c r="AB204" s="2098"/>
      <c r="AC204" s="2098"/>
      <c r="AD204" s="2098"/>
      <c r="AE204" s="2098"/>
      <c r="AF204" s="2098"/>
      <c r="AG204" s="2098"/>
      <c r="AH204" s="2098"/>
      <c r="AI204" s="2098"/>
      <c r="AJ204" s="2098"/>
      <c r="AK204" s="2098"/>
      <c r="AL204" s="2098"/>
      <c r="AM204" s="2098"/>
      <c r="AN204" s="2098"/>
      <c r="AO204" s="2098"/>
      <c r="AP204" s="2098"/>
      <c r="AQ204" s="2098"/>
      <c r="AR204" s="2098"/>
      <c r="AS204" s="2098"/>
      <c r="AT204" s="2098"/>
      <c r="AU204" s="2098"/>
      <c r="AV204" s="2098"/>
      <c r="AW204" s="2098"/>
      <c r="AX204" s="2098"/>
      <c r="AY204" s="2098"/>
      <c r="AZ204" s="2098"/>
    </row>
    <row r="205" spans="2:52">
      <c r="C205" s="2096"/>
      <c r="D205" s="2097"/>
      <c r="F205" s="2098"/>
      <c r="G205" s="2098"/>
      <c r="H205" s="2098"/>
      <c r="I205" s="2098"/>
      <c r="J205" s="2098"/>
      <c r="K205" s="2098"/>
      <c r="L205" s="2098"/>
      <c r="M205" s="2098"/>
      <c r="N205" s="2098"/>
      <c r="O205" s="2098"/>
      <c r="P205" s="2098"/>
      <c r="Q205" s="2098"/>
      <c r="R205" s="2098"/>
      <c r="S205" s="2098"/>
      <c r="T205" s="2098"/>
      <c r="U205" s="2098"/>
      <c r="V205" s="2098"/>
      <c r="W205" s="2098"/>
      <c r="X205" s="2098"/>
      <c r="Y205" s="2098"/>
      <c r="Z205" s="2098"/>
      <c r="AA205" s="2098"/>
      <c r="AB205" s="2098"/>
      <c r="AC205" s="2098"/>
      <c r="AD205" s="2098"/>
      <c r="AE205" s="2098"/>
      <c r="AF205" s="2098"/>
      <c r="AG205" s="2098"/>
      <c r="AH205" s="2098"/>
      <c r="AI205" s="2098"/>
      <c r="AJ205" s="2098"/>
      <c r="AK205" s="2098"/>
      <c r="AL205" s="2098"/>
      <c r="AM205" s="2098"/>
      <c r="AN205" s="2098"/>
      <c r="AO205" s="2098"/>
      <c r="AP205" s="2098"/>
      <c r="AQ205" s="2098"/>
      <c r="AR205" s="2098"/>
      <c r="AS205" s="2098"/>
      <c r="AT205" s="2098"/>
      <c r="AU205" s="2098"/>
      <c r="AV205" s="2098"/>
      <c r="AW205" s="2098"/>
      <c r="AX205" s="2098"/>
      <c r="AY205" s="2098"/>
      <c r="AZ205" s="2098"/>
    </row>
    <row r="206" spans="2:52">
      <c r="C206" s="2096"/>
      <c r="D206" s="2097"/>
      <c r="E206" s="2098"/>
      <c r="F206" s="2098"/>
      <c r="G206" s="2098"/>
      <c r="H206" s="2098"/>
      <c r="I206" s="2098"/>
      <c r="J206" s="2098"/>
      <c r="K206" s="2098"/>
      <c r="L206" s="2098"/>
      <c r="M206" s="2098"/>
      <c r="N206" s="2098"/>
      <c r="O206" s="2098"/>
      <c r="P206" s="2098"/>
      <c r="Q206" s="2098"/>
      <c r="R206" s="2098"/>
      <c r="S206" s="2098"/>
      <c r="T206" s="2098"/>
      <c r="U206" s="2098"/>
      <c r="V206" s="2098"/>
      <c r="W206" s="2098"/>
      <c r="X206" s="2098"/>
      <c r="Y206" s="2098"/>
      <c r="Z206" s="2098"/>
      <c r="AA206" s="2098"/>
      <c r="AB206" s="2098"/>
      <c r="AC206" s="2098"/>
      <c r="AD206" s="2098"/>
      <c r="AE206" s="2098"/>
      <c r="AF206" s="2098"/>
      <c r="AG206" s="2098"/>
      <c r="AH206" s="2098"/>
      <c r="AI206" s="2098"/>
      <c r="AJ206" s="2098"/>
      <c r="AK206" s="2098"/>
      <c r="AL206" s="2098"/>
      <c r="AM206" s="2098"/>
      <c r="AN206" s="2098"/>
      <c r="AO206" s="2098"/>
      <c r="AP206" s="2098"/>
      <c r="AQ206" s="2098"/>
      <c r="AR206" s="2098"/>
      <c r="AS206" s="2098"/>
      <c r="AT206" s="2098"/>
      <c r="AU206" s="2098"/>
      <c r="AV206" s="2098"/>
      <c r="AW206" s="2098"/>
      <c r="AX206" s="2098"/>
      <c r="AY206" s="2098"/>
      <c r="AZ206" s="2098"/>
    </row>
    <row r="207" spans="2:52">
      <c r="C207" s="2096"/>
      <c r="D207" s="2097"/>
      <c r="E207" s="2098"/>
      <c r="F207" s="2098"/>
      <c r="G207" s="2098"/>
      <c r="H207" s="2098"/>
      <c r="I207" s="2098"/>
      <c r="J207" s="2098"/>
      <c r="K207" s="2098"/>
      <c r="L207" s="2098"/>
      <c r="M207" s="2098"/>
      <c r="N207" s="2098"/>
      <c r="O207" s="2098"/>
      <c r="P207" s="2098"/>
      <c r="Q207" s="2098"/>
      <c r="R207" s="2098"/>
      <c r="S207" s="2098"/>
      <c r="T207" s="2098"/>
      <c r="U207" s="2098"/>
      <c r="V207" s="2098"/>
      <c r="W207" s="2098"/>
      <c r="X207" s="2098"/>
      <c r="Y207" s="2098"/>
      <c r="Z207" s="2098"/>
      <c r="AA207" s="2098"/>
      <c r="AB207" s="2098"/>
      <c r="AC207" s="2098"/>
      <c r="AD207" s="2098"/>
      <c r="AE207" s="2098"/>
      <c r="AF207" s="2098"/>
      <c r="AG207" s="2098"/>
      <c r="AH207" s="2098"/>
      <c r="AI207" s="2098"/>
      <c r="AJ207" s="2098"/>
      <c r="AK207" s="2098"/>
      <c r="AL207" s="2098"/>
      <c r="AM207" s="2098"/>
      <c r="AN207" s="2098"/>
      <c r="AO207" s="2098"/>
      <c r="AP207" s="2098"/>
      <c r="AQ207" s="2098"/>
      <c r="AR207" s="2098"/>
      <c r="AS207" s="2098"/>
      <c r="AT207" s="2098"/>
      <c r="AU207" s="2098"/>
      <c r="AV207" s="2098"/>
      <c r="AW207" s="2098"/>
      <c r="AX207" s="2098"/>
      <c r="AY207" s="2098"/>
      <c r="AZ207" s="2098"/>
    </row>
    <row r="208" spans="2:52">
      <c r="C208" s="2096"/>
      <c r="D208" s="2097"/>
      <c r="E208" s="2098"/>
      <c r="F208" s="2098"/>
      <c r="G208" s="2098"/>
      <c r="H208" s="2098"/>
      <c r="I208" s="2098"/>
      <c r="J208" s="2098"/>
      <c r="K208" s="2098"/>
      <c r="L208" s="2098"/>
      <c r="M208" s="2098"/>
      <c r="N208" s="2098"/>
      <c r="O208" s="2098"/>
      <c r="P208" s="2098"/>
      <c r="Q208" s="2098"/>
      <c r="R208" s="2098"/>
      <c r="S208" s="2098"/>
      <c r="T208" s="2098"/>
      <c r="U208" s="2098"/>
      <c r="V208" s="2098"/>
      <c r="W208" s="2098"/>
      <c r="X208" s="2098"/>
      <c r="Y208" s="2098"/>
      <c r="Z208" s="2098"/>
      <c r="AA208" s="2098"/>
      <c r="AB208" s="2098"/>
      <c r="AC208" s="2098"/>
      <c r="AD208" s="2098"/>
      <c r="AE208" s="2098"/>
      <c r="AF208" s="2098"/>
      <c r="AG208" s="2098"/>
      <c r="AH208" s="2098"/>
      <c r="AI208" s="2098"/>
      <c r="AJ208" s="2098"/>
      <c r="AK208" s="2098"/>
      <c r="AL208" s="2098"/>
      <c r="AM208" s="2098"/>
      <c r="AN208" s="2098"/>
      <c r="AO208" s="2098"/>
      <c r="AP208" s="2098"/>
      <c r="AQ208" s="2098"/>
      <c r="AR208" s="2098"/>
      <c r="AS208" s="2098"/>
      <c r="AT208" s="2098"/>
      <c r="AU208" s="2098"/>
      <c r="AV208" s="2098"/>
      <c r="AW208" s="2098"/>
      <c r="AX208" s="2098"/>
      <c r="AY208" s="2098"/>
      <c r="AZ208" s="2098"/>
    </row>
    <row r="209" spans="3:52">
      <c r="C209" s="2096"/>
      <c r="D209" s="2097"/>
      <c r="E209" s="2098"/>
      <c r="F209" s="2098"/>
      <c r="G209" s="2098"/>
      <c r="H209" s="2098"/>
      <c r="I209" s="2098"/>
      <c r="J209" s="2098"/>
      <c r="K209" s="2098"/>
      <c r="L209" s="2098"/>
      <c r="M209" s="2098"/>
      <c r="N209" s="2098"/>
      <c r="O209" s="2098"/>
      <c r="P209" s="2098"/>
      <c r="Q209" s="2098"/>
      <c r="R209" s="2098"/>
      <c r="S209" s="2098"/>
      <c r="T209" s="2098"/>
      <c r="U209" s="2098"/>
      <c r="V209" s="2098"/>
      <c r="W209" s="2098"/>
      <c r="X209" s="2098"/>
      <c r="Y209" s="2098"/>
      <c r="Z209" s="2098"/>
      <c r="AA209" s="2098"/>
      <c r="AB209" s="2098"/>
      <c r="AC209" s="2098"/>
      <c r="AD209" s="2098"/>
      <c r="AE209" s="2098"/>
      <c r="AF209" s="2098"/>
      <c r="AG209" s="2098"/>
      <c r="AH209" s="2098"/>
      <c r="AI209" s="2098"/>
      <c r="AJ209" s="2098"/>
      <c r="AK209" s="2098"/>
      <c r="AL209" s="2098"/>
      <c r="AM209" s="2098"/>
      <c r="AN209" s="2098"/>
      <c r="AO209" s="2098"/>
      <c r="AP209" s="2098"/>
      <c r="AQ209" s="2098"/>
      <c r="AR209" s="2098"/>
      <c r="AS209" s="2098"/>
      <c r="AT209" s="2098"/>
      <c r="AU209" s="2098"/>
      <c r="AV209" s="2098"/>
      <c r="AW209" s="2098"/>
      <c r="AX209" s="2098"/>
      <c r="AY209" s="2098"/>
      <c r="AZ209" s="2098"/>
    </row>
    <row r="210" spans="3:52">
      <c r="C210" s="2096"/>
      <c r="D210" s="2097"/>
      <c r="E210" s="2098"/>
      <c r="F210" s="2098"/>
      <c r="G210" s="2098"/>
      <c r="H210" s="2098"/>
      <c r="I210" s="2098"/>
      <c r="J210" s="2098"/>
      <c r="K210" s="2098"/>
      <c r="L210" s="2098"/>
      <c r="M210" s="2098"/>
      <c r="N210" s="2098"/>
      <c r="O210" s="2098"/>
      <c r="P210" s="2098"/>
      <c r="Q210" s="2098"/>
      <c r="R210" s="2098"/>
      <c r="S210" s="2098"/>
      <c r="T210" s="2098"/>
      <c r="U210" s="2098"/>
      <c r="V210" s="2098"/>
      <c r="W210" s="2098"/>
      <c r="X210" s="2098"/>
      <c r="Y210" s="2098"/>
      <c r="Z210" s="2098"/>
      <c r="AA210" s="2098"/>
      <c r="AB210" s="2098"/>
      <c r="AC210" s="2098"/>
      <c r="AD210" s="2098"/>
      <c r="AE210" s="2098"/>
      <c r="AF210" s="2098"/>
      <c r="AG210" s="2098"/>
      <c r="AH210" s="2098"/>
      <c r="AI210" s="2098"/>
      <c r="AJ210" s="2098"/>
      <c r="AK210" s="2098"/>
      <c r="AL210" s="2098"/>
      <c r="AM210" s="2098"/>
      <c r="AN210" s="2098"/>
      <c r="AO210" s="2098"/>
      <c r="AP210" s="2098"/>
      <c r="AQ210" s="2098"/>
      <c r="AR210" s="2098"/>
      <c r="AS210" s="2098"/>
      <c r="AT210" s="2098"/>
      <c r="AU210" s="2098"/>
      <c r="AV210" s="2098"/>
      <c r="AW210" s="2098"/>
      <c r="AX210" s="2098"/>
      <c r="AY210" s="2098"/>
      <c r="AZ210" s="2098"/>
    </row>
    <row r="211" spans="3:52">
      <c r="C211" s="2096"/>
      <c r="D211" s="2097"/>
      <c r="E211" s="2098"/>
      <c r="F211" s="2098"/>
      <c r="G211" s="2098"/>
      <c r="H211" s="2098"/>
      <c r="I211" s="2098"/>
      <c r="J211" s="2098"/>
      <c r="K211" s="2098"/>
      <c r="L211" s="2098"/>
      <c r="M211" s="2098"/>
      <c r="N211" s="2098"/>
      <c r="O211" s="2098"/>
      <c r="P211" s="2098"/>
      <c r="Q211" s="2098"/>
      <c r="R211" s="2098"/>
      <c r="S211" s="2098"/>
      <c r="T211" s="2098"/>
      <c r="U211" s="2098"/>
      <c r="V211" s="2098"/>
      <c r="W211" s="2098"/>
      <c r="X211" s="2098"/>
      <c r="Y211" s="2098"/>
      <c r="Z211" s="2098"/>
      <c r="AA211" s="2098"/>
      <c r="AB211" s="2098"/>
      <c r="AC211" s="2098"/>
      <c r="AD211" s="2098"/>
      <c r="AE211" s="2098"/>
      <c r="AF211" s="2098"/>
      <c r="AG211" s="2098"/>
      <c r="AH211" s="2098"/>
      <c r="AI211" s="2098"/>
      <c r="AJ211" s="2098"/>
      <c r="AK211" s="2098"/>
      <c r="AL211" s="2098"/>
      <c r="AM211" s="2098"/>
      <c r="AN211" s="2098"/>
      <c r="AO211" s="2098"/>
      <c r="AP211" s="2098"/>
      <c r="AQ211" s="2098"/>
      <c r="AR211" s="2098"/>
      <c r="AS211" s="2098"/>
      <c r="AT211" s="2098"/>
      <c r="AU211" s="2098"/>
      <c r="AV211" s="2098"/>
      <c r="AW211" s="2098"/>
      <c r="AX211" s="2098"/>
      <c r="AY211" s="2098"/>
      <c r="AZ211" s="2098"/>
    </row>
    <row r="212" spans="3:52">
      <c r="C212" s="2096"/>
      <c r="D212" s="2097"/>
      <c r="E212" s="2098"/>
      <c r="F212" s="2098"/>
      <c r="G212" s="2098"/>
      <c r="H212" s="2098"/>
      <c r="I212" s="2098"/>
      <c r="J212" s="2098"/>
      <c r="K212" s="2098"/>
      <c r="L212" s="2098"/>
      <c r="M212" s="2098"/>
      <c r="N212" s="2098"/>
      <c r="O212" s="2098"/>
      <c r="P212" s="2098"/>
      <c r="Q212" s="2098"/>
      <c r="R212" s="2098"/>
      <c r="S212" s="2098"/>
      <c r="T212" s="2098"/>
      <c r="U212" s="2098"/>
      <c r="V212" s="2098"/>
      <c r="W212" s="2098"/>
      <c r="X212" s="2098"/>
      <c r="Y212" s="2098"/>
      <c r="Z212" s="2098"/>
      <c r="AA212" s="2098"/>
      <c r="AB212" s="2098"/>
      <c r="AC212" s="2098"/>
      <c r="AD212" s="2098"/>
      <c r="AE212" s="2098"/>
      <c r="AF212" s="2098"/>
      <c r="AG212" s="2098"/>
      <c r="AH212" s="2098"/>
      <c r="AI212" s="2098"/>
      <c r="AJ212" s="2098"/>
      <c r="AK212" s="2098"/>
      <c r="AL212" s="2098"/>
      <c r="AM212" s="2098"/>
      <c r="AN212" s="2098"/>
      <c r="AO212" s="2098"/>
      <c r="AP212" s="2098"/>
      <c r="AQ212" s="2098"/>
      <c r="AR212" s="2098"/>
      <c r="AS212" s="2098"/>
      <c r="AT212" s="2098"/>
      <c r="AU212" s="2098"/>
      <c r="AV212" s="2098"/>
      <c r="AW212" s="2098"/>
      <c r="AX212" s="2098"/>
      <c r="AY212" s="2098"/>
      <c r="AZ212" s="2098"/>
    </row>
    <row r="213" spans="3:52">
      <c r="C213" s="2096"/>
      <c r="D213" s="2097"/>
      <c r="E213" s="2098"/>
      <c r="F213" s="2098"/>
      <c r="G213" s="2098"/>
      <c r="H213" s="2098"/>
      <c r="I213" s="2098"/>
      <c r="J213" s="2098"/>
      <c r="K213" s="2098"/>
      <c r="L213" s="2098"/>
      <c r="M213" s="2098"/>
      <c r="N213" s="2098"/>
      <c r="O213" s="2098"/>
      <c r="P213" s="2098"/>
      <c r="Q213" s="2098"/>
      <c r="R213" s="2098"/>
      <c r="S213" s="2098"/>
      <c r="T213" s="2098"/>
      <c r="U213" s="2098"/>
      <c r="V213" s="2098"/>
      <c r="W213" s="2098"/>
      <c r="X213" s="2098"/>
      <c r="Y213" s="2098"/>
      <c r="Z213" s="2098"/>
      <c r="AA213" s="2098"/>
      <c r="AB213" s="2098"/>
      <c r="AC213" s="2098"/>
      <c r="AD213" s="2098"/>
      <c r="AE213" s="2098"/>
      <c r="AF213" s="2098"/>
      <c r="AG213" s="2098"/>
      <c r="AH213" s="2098"/>
      <c r="AI213" s="2098"/>
      <c r="AJ213" s="2098"/>
      <c r="AK213" s="2098"/>
      <c r="AL213" s="2098"/>
      <c r="AM213" s="2098"/>
      <c r="AN213" s="2098"/>
      <c r="AO213" s="2098"/>
      <c r="AP213" s="2098"/>
      <c r="AQ213" s="2098"/>
      <c r="AR213" s="2098"/>
      <c r="AS213" s="2098"/>
      <c r="AT213" s="2098"/>
      <c r="AU213" s="2098"/>
      <c r="AV213" s="2098"/>
      <c r="AW213" s="2098"/>
      <c r="AX213" s="2098"/>
      <c r="AY213" s="2098"/>
      <c r="AZ213" s="2098"/>
    </row>
    <row r="214" spans="3:52">
      <c r="C214" s="2096"/>
      <c r="D214" s="2097"/>
      <c r="E214" s="2098"/>
      <c r="F214" s="2098"/>
      <c r="G214" s="2098"/>
      <c r="H214" s="2098"/>
      <c r="I214" s="2098"/>
      <c r="J214" s="2098"/>
      <c r="K214" s="2098"/>
      <c r="L214" s="2098"/>
      <c r="M214" s="2098"/>
      <c r="N214" s="2098"/>
      <c r="O214" s="2098"/>
      <c r="P214" s="2098"/>
      <c r="Q214" s="2098"/>
      <c r="R214" s="2098"/>
      <c r="S214" s="2098"/>
      <c r="T214" s="2098"/>
      <c r="U214" s="2098"/>
      <c r="V214" s="2098"/>
      <c r="W214" s="2098"/>
      <c r="X214" s="2098"/>
      <c r="Y214" s="2098"/>
      <c r="Z214" s="2098"/>
      <c r="AA214" s="2098"/>
      <c r="AB214" s="2098"/>
      <c r="AC214" s="2098"/>
      <c r="AD214" s="2098"/>
      <c r="AE214" s="2098"/>
      <c r="AF214" s="2098"/>
      <c r="AG214" s="2098"/>
      <c r="AH214" s="2098"/>
      <c r="AI214" s="2098"/>
      <c r="AJ214" s="2098"/>
      <c r="AK214" s="2098"/>
      <c r="AL214" s="2098"/>
      <c r="AM214" s="2098"/>
      <c r="AN214" s="2098"/>
      <c r="AO214" s="2098"/>
      <c r="AP214" s="2098"/>
      <c r="AQ214" s="2098"/>
      <c r="AR214" s="2098"/>
      <c r="AS214" s="2098"/>
      <c r="AT214" s="2098"/>
      <c r="AU214" s="2098"/>
      <c r="AV214" s="2098"/>
      <c r="AW214" s="2098"/>
      <c r="AX214" s="2098"/>
      <c r="AY214" s="2098"/>
      <c r="AZ214" s="2098"/>
    </row>
    <row r="215" spans="3:52">
      <c r="C215" s="2096"/>
      <c r="D215" s="2097"/>
      <c r="E215" s="2098"/>
      <c r="F215" s="2098"/>
      <c r="G215" s="2098"/>
      <c r="H215" s="2098"/>
      <c r="I215" s="2098"/>
      <c r="J215" s="2098"/>
      <c r="K215" s="2098"/>
      <c r="L215" s="2098"/>
      <c r="M215" s="2098"/>
      <c r="N215" s="2098"/>
      <c r="O215" s="2098"/>
      <c r="P215" s="2098"/>
      <c r="Q215" s="2098"/>
      <c r="R215" s="2098"/>
      <c r="S215" s="2098"/>
      <c r="T215" s="2098"/>
      <c r="U215" s="2098"/>
      <c r="V215" s="2098"/>
      <c r="W215" s="2098"/>
      <c r="X215" s="2098"/>
      <c r="Y215" s="2098"/>
      <c r="Z215" s="2098"/>
      <c r="AA215" s="2098"/>
      <c r="AB215" s="2098"/>
      <c r="AC215" s="2098"/>
      <c r="AD215" s="2098"/>
      <c r="AE215" s="2098"/>
      <c r="AF215" s="2098"/>
      <c r="AG215" s="2098"/>
      <c r="AH215" s="2098"/>
      <c r="AI215" s="2098"/>
      <c r="AJ215" s="2098"/>
      <c r="AK215" s="2098"/>
      <c r="AL215" s="2098"/>
      <c r="AM215" s="2098"/>
      <c r="AN215" s="2098"/>
      <c r="AO215" s="2098"/>
      <c r="AP215" s="2098"/>
      <c r="AQ215" s="2098"/>
      <c r="AR215" s="2098"/>
      <c r="AS215" s="2098"/>
      <c r="AT215" s="2098"/>
      <c r="AU215" s="2098"/>
      <c r="AV215" s="2098"/>
      <c r="AW215" s="2098"/>
      <c r="AX215" s="2098"/>
      <c r="AY215" s="2098"/>
      <c r="AZ215" s="2098"/>
    </row>
    <row r="216" spans="3:52">
      <c r="C216" s="2096"/>
      <c r="D216" s="2097"/>
      <c r="E216" s="2098"/>
      <c r="F216" s="2098"/>
      <c r="G216" s="2098"/>
      <c r="H216" s="2098"/>
      <c r="I216" s="2098"/>
      <c r="J216" s="2098"/>
      <c r="K216" s="2098"/>
      <c r="L216" s="2098"/>
      <c r="M216" s="2098"/>
      <c r="N216" s="2098"/>
      <c r="O216" s="2098"/>
      <c r="P216" s="2098"/>
      <c r="Q216" s="2098"/>
      <c r="R216" s="2098"/>
      <c r="S216" s="2098"/>
      <c r="T216" s="2098"/>
      <c r="U216" s="2098"/>
      <c r="V216" s="2098"/>
      <c r="W216" s="2098"/>
      <c r="X216" s="2098"/>
      <c r="Y216" s="2098"/>
      <c r="Z216" s="2098"/>
      <c r="AA216" s="2098"/>
      <c r="AB216" s="2098"/>
      <c r="AC216" s="2098"/>
      <c r="AD216" s="2098"/>
      <c r="AE216" s="2098"/>
      <c r="AF216" s="2098"/>
      <c r="AG216" s="2098"/>
      <c r="AH216" s="2098"/>
      <c r="AI216" s="2098"/>
      <c r="AJ216" s="2098"/>
      <c r="AK216" s="2098"/>
      <c r="AL216" s="2098"/>
      <c r="AM216" s="2098"/>
      <c r="AN216" s="2098"/>
      <c r="AO216" s="2098"/>
      <c r="AP216" s="2098"/>
      <c r="AQ216" s="2098"/>
      <c r="AR216" s="2098"/>
      <c r="AS216" s="2098"/>
      <c r="AT216" s="2098"/>
      <c r="AU216" s="2098"/>
      <c r="AV216" s="2098"/>
      <c r="AW216" s="2098"/>
      <c r="AX216" s="2098"/>
      <c r="AY216" s="2098"/>
      <c r="AZ216" s="2098"/>
    </row>
    <row r="217" spans="3:52">
      <c r="C217" s="2096"/>
      <c r="D217" s="2097"/>
      <c r="E217" s="2098"/>
      <c r="F217" s="2098"/>
      <c r="G217" s="2098"/>
      <c r="H217" s="2098"/>
      <c r="I217" s="2098"/>
      <c r="J217" s="2098"/>
      <c r="K217" s="2098"/>
      <c r="L217" s="2098"/>
      <c r="M217" s="2098"/>
      <c r="N217" s="2098"/>
      <c r="O217" s="2098"/>
      <c r="P217" s="2098"/>
      <c r="Q217" s="2098"/>
      <c r="R217" s="2098"/>
      <c r="S217" s="2098"/>
      <c r="T217" s="2098"/>
      <c r="U217" s="2098"/>
      <c r="V217" s="2098"/>
      <c r="W217" s="2098"/>
      <c r="X217" s="2098"/>
      <c r="Y217" s="2098"/>
      <c r="Z217" s="2098"/>
      <c r="AA217" s="2098"/>
      <c r="AB217" s="2098"/>
      <c r="AC217" s="2098"/>
      <c r="AD217" s="2098"/>
      <c r="AE217" s="2098"/>
      <c r="AF217" s="2098"/>
      <c r="AG217" s="2098"/>
      <c r="AH217" s="2098"/>
      <c r="AI217" s="2098"/>
      <c r="AJ217" s="2098"/>
      <c r="AK217" s="2098"/>
      <c r="AL217" s="2098"/>
      <c r="AM217" s="2098"/>
      <c r="AN217" s="2098"/>
      <c r="AO217" s="2098"/>
      <c r="AP217" s="2098"/>
      <c r="AQ217" s="2098"/>
      <c r="AR217" s="2098"/>
      <c r="AS217" s="2098"/>
      <c r="AT217" s="2098"/>
      <c r="AU217" s="2098"/>
      <c r="AV217" s="2098"/>
      <c r="AW217" s="2098"/>
      <c r="AX217" s="2098"/>
      <c r="AY217" s="2098"/>
      <c r="AZ217" s="2098"/>
    </row>
    <row r="218" spans="3:52">
      <c r="C218" s="2096"/>
      <c r="D218" s="2097"/>
      <c r="E218" s="2098"/>
      <c r="F218" s="2098"/>
      <c r="G218" s="2098"/>
      <c r="H218" s="2098"/>
      <c r="I218" s="2098"/>
      <c r="J218" s="2098"/>
      <c r="K218" s="2098"/>
      <c r="L218" s="2098"/>
      <c r="M218" s="2098"/>
      <c r="N218" s="2098"/>
      <c r="O218" s="2098"/>
      <c r="P218" s="2098"/>
      <c r="Q218" s="2098"/>
      <c r="R218" s="2098"/>
      <c r="S218" s="2098"/>
      <c r="T218" s="2098"/>
      <c r="U218" s="2098"/>
      <c r="V218" s="2098"/>
      <c r="W218" s="2098"/>
      <c r="X218" s="2098"/>
      <c r="Y218" s="2098"/>
      <c r="Z218" s="2098"/>
      <c r="AA218" s="2098"/>
      <c r="AB218" s="2098"/>
      <c r="AC218" s="2098"/>
      <c r="AD218" s="2098"/>
      <c r="AE218" s="2098"/>
      <c r="AF218" s="2098"/>
      <c r="AG218" s="2098"/>
      <c r="AH218" s="2098"/>
      <c r="AI218" s="2098"/>
      <c r="AJ218" s="2098"/>
      <c r="AK218" s="2098"/>
      <c r="AL218" s="2098"/>
      <c r="AM218" s="2098"/>
      <c r="AN218" s="2098"/>
      <c r="AO218" s="2098"/>
      <c r="AP218" s="2098"/>
      <c r="AQ218" s="2098"/>
      <c r="AR218" s="2098"/>
      <c r="AS218" s="2098"/>
      <c r="AT218" s="2098"/>
      <c r="AU218" s="2098"/>
      <c r="AV218" s="2098"/>
      <c r="AW218" s="2098"/>
      <c r="AX218" s="2098"/>
      <c r="AY218" s="2098"/>
      <c r="AZ218" s="2098"/>
    </row>
    <row r="219" spans="3:52">
      <c r="C219" s="2096"/>
      <c r="D219" s="2097"/>
      <c r="E219" s="2098"/>
      <c r="F219" s="2098"/>
      <c r="G219" s="2098"/>
      <c r="H219" s="2098"/>
      <c r="I219" s="2098"/>
      <c r="J219" s="2098"/>
      <c r="K219" s="2098"/>
      <c r="L219" s="2098"/>
      <c r="M219" s="2098"/>
      <c r="N219" s="2098"/>
      <c r="O219" s="2098"/>
      <c r="P219" s="2098"/>
      <c r="Q219" s="2098"/>
      <c r="R219" s="2098"/>
      <c r="S219" s="2098"/>
      <c r="T219" s="2098"/>
      <c r="U219" s="2098"/>
      <c r="V219" s="2098"/>
      <c r="W219" s="2098"/>
      <c r="X219" s="2098"/>
      <c r="Y219" s="2098"/>
      <c r="Z219" s="2098"/>
      <c r="AA219" s="2098"/>
      <c r="AB219" s="2098"/>
      <c r="AC219" s="2098"/>
      <c r="AD219" s="2098"/>
      <c r="AE219" s="2098"/>
      <c r="AF219" s="2098"/>
      <c r="AG219" s="2098"/>
      <c r="AH219" s="2098"/>
      <c r="AI219" s="2098"/>
      <c r="AJ219" s="2098"/>
      <c r="AK219" s="2098"/>
      <c r="AL219" s="2098"/>
      <c r="AM219" s="2098"/>
      <c r="AN219" s="2098"/>
      <c r="AO219" s="2098"/>
      <c r="AP219" s="2098"/>
      <c r="AQ219" s="2098"/>
      <c r="AR219" s="2098"/>
      <c r="AS219" s="2098"/>
      <c r="AT219" s="2098"/>
      <c r="AU219" s="2098"/>
      <c r="AV219" s="2098"/>
      <c r="AW219" s="2098"/>
      <c r="AX219" s="2098"/>
      <c r="AY219" s="2098"/>
      <c r="AZ219" s="2098"/>
    </row>
    <row r="220" spans="3:52">
      <c r="C220" s="2096"/>
      <c r="D220" s="2097"/>
      <c r="E220" s="2098"/>
      <c r="F220" s="2098"/>
      <c r="G220" s="2098"/>
      <c r="H220" s="2098"/>
      <c r="I220" s="2098"/>
      <c r="J220" s="2098"/>
      <c r="K220" s="2098"/>
      <c r="L220" s="2098"/>
      <c r="M220" s="2098"/>
      <c r="N220" s="2098"/>
      <c r="O220" s="2098"/>
      <c r="P220" s="2098"/>
      <c r="Q220" s="2098"/>
      <c r="R220" s="2098"/>
      <c r="S220" s="2098"/>
      <c r="T220" s="2098"/>
      <c r="U220" s="2098"/>
      <c r="V220" s="2098"/>
      <c r="W220" s="2098"/>
      <c r="X220" s="2098"/>
      <c r="Y220" s="2098"/>
      <c r="Z220" s="2098"/>
      <c r="AA220" s="2098"/>
      <c r="AB220" s="2098"/>
      <c r="AC220" s="2098"/>
      <c r="AD220" s="2098"/>
      <c r="AE220" s="2098"/>
      <c r="AF220" s="2098"/>
      <c r="AG220" s="2098"/>
      <c r="AH220" s="2098"/>
      <c r="AI220" s="2098"/>
      <c r="AJ220" s="2098"/>
      <c r="AK220" s="2098"/>
      <c r="AL220" s="2098"/>
      <c r="AM220" s="2098"/>
      <c r="AN220" s="2098"/>
      <c r="AO220" s="2098"/>
      <c r="AP220" s="2098"/>
      <c r="AQ220" s="2098"/>
      <c r="AR220" s="2098"/>
      <c r="AS220" s="2098"/>
      <c r="AT220" s="2098"/>
      <c r="AU220" s="2098"/>
      <c r="AV220" s="2098"/>
      <c r="AW220" s="2098"/>
      <c r="AX220" s="2098"/>
      <c r="AY220" s="2098"/>
      <c r="AZ220" s="2098"/>
    </row>
    <row r="221" spans="3:52">
      <c r="C221" s="2096"/>
      <c r="D221" s="2097"/>
      <c r="E221" s="2098"/>
      <c r="F221" s="2098"/>
      <c r="G221" s="2098"/>
      <c r="H221" s="2098"/>
      <c r="I221" s="2098"/>
      <c r="J221" s="2098"/>
      <c r="K221" s="2098"/>
      <c r="L221" s="2098"/>
      <c r="M221" s="2098"/>
      <c r="N221" s="2098"/>
      <c r="O221" s="2098"/>
      <c r="P221" s="2098"/>
      <c r="Q221" s="2098"/>
      <c r="R221" s="2098"/>
      <c r="S221" s="2098"/>
      <c r="T221" s="2098"/>
      <c r="U221" s="2098"/>
      <c r="V221" s="2098"/>
      <c r="W221" s="2098"/>
      <c r="X221" s="2098"/>
      <c r="Y221" s="2098"/>
      <c r="Z221" s="2098"/>
      <c r="AA221" s="2098"/>
      <c r="AB221" s="2098"/>
      <c r="AC221" s="2098"/>
      <c r="AD221" s="2098"/>
      <c r="AE221" s="2098"/>
      <c r="AF221" s="2098"/>
      <c r="AG221" s="2098"/>
      <c r="AH221" s="2098"/>
      <c r="AI221" s="2098"/>
      <c r="AJ221" s="2098"/>
      <c r="AK221" s="2098"/>
      <c r="AL221" s="2098"/>
      <c r="AM221" s="2098"/>
      <c r="AN221" s="2098"/>
      <c r="AO221" s="2098"/>
      <c r="AP221" s="2098"/>
      <c r="AQ221" s="2098"/>
      <c r="AR221" s="2098"/>
      <c r="AS221" s="2098"/>
      <c r="AT221" s="2098"/>
      <c r="AU221" s="2098"/>
      <c r="AV221" s="2098"/>
      <c r="AW221" s="2098"/>
      <c r="AX221" s="2098"/>
      <c r="AY221" s="2098"/>
      <c r="AZ221" s="2098"/>
    </row>
    <row r="222" spans="3:52">
      <c r="C222" s="2096"/>
      <c r="D222" s="2097"/>
      <c r="E222" s="2098"/>
      <c r="F222" s="2098"/>
      <c r="G222" s="2098"/>
      <c r="H222" s="2098"/>
      <c r="I222" s="2098"/>
      <c r="J222" s="2098"/>
      <c r="K222" s="2098"/>
      <c r="L222" s="2098"/>
      <c r="M222" s="2098"/>
      <c r="N222" s="2098"/>
      <c r="O222" s="2098"/>
      <c r="P222" s="2098"/>
      <c r="Q222" s="2098"/>
      <c r="R222" s="2098"/>
      <c r="S222" s="2098"/>
      <c r="T222" s="2098"/>
      <c r="U222" s="2098"/>
      <c r="V222" s="2098"/>
      <c r="W222" s="2098"/>
      <c r="X222" s="2098"/>
      <c r="Y222" s="2098"/>
      <c r="Z222" s="2098"/>
      <c r="AA222" s="2098"/>
      <c r="AB222" s="2098"/>
      <c r="AC222" s="2098"/>
      <c r="AD222" s="2098"/>
      <c r="AE222" s="2098"/>
      <c r="AF222" s="2098"/>
      <c r="AG222" s="2098"/>
      <c r="AH222" s="2098"/>
      <c r="AI222" s="2098"/>
      <c r="AJ222" s="2098"/>
      <c r="AK222" s="2098"/>
      <c r="AL222" s="2098"/>
      <c r="AM222" s="2098"/>
      <c r="AN222" s="2098"/>
      <c r="AO222" s="2098"/>
      <c r="AP222" s="2098"/>
      <c r="AQ222" s="2098"/>
      <c r="AR222" s="2098"/>
      <c r="AS222" s="2098"/>
      <c r="AT222" s="2098"/>
      <c r="AU222" s="2098"/>
      <c r="AV222" s="2098"/>
      <c r="AW222" s="2098"/>
      <c r="AX222" s="2098"/>
      <c r="AY222" s="2098"/>
      <c r="AZ222" s="2098"/>
    </row>
    <row r="223" spans="3:52">
      <c r="C223" s="2096"/>
      <c r="D223" s="2097"/>
      <c r="E223" s="2098"/>
      <c r="F223" s="2098"/>
      <c r="G223" s="2098"/>
      <c r="H223" s="2098"/>
      <c r="I223" s="2098"/>
      <c r="J223" s="2098"/>
      <c r="K223" s="2098"/>
      <c r="L223" s="2098"/>
      <c r="M223" s="2098"/>
      <c r="N223" s="2098"/>
      <c r="O223" s="2098"/>
      <c r="P223" s="2098"/>
      <c r="Q223" s="2098"/>
      <c r="R223" s="2098"/>
      <c r="S223" s="2098"/>
      <c r="T223" s="2098"/>
      <c r="U223" s="2098"/>
      <c r="V223" s="2098"/>
      <c r="W223" s="2098"/>
      <c r="X223" s="2098"/>
      <c r="Y223" s="2098"/>
      <c r="Z223" s="2098"/>
      <c r="AA223" s="2098"/>
      <c r="AB223" s="2098"/>
      <c r="AC223" s="2098"/>
      <c r="AD223" s="2098"/>
      <c r="AE223" s="2098"/>
      <c r="AF223" s="2098"/>
      <c r="AG223" s="2098"/>
      <c r="AH223" s="2098"/>
      <c r="AI223" s="2098"/>
      <c r="AJ223" s="2098"/>
      <c r="AK223" s="2098"/>
      <c r="AL223" s="2098"/>
      <c r="AM223" s="2098"/>
      <c r="AN223" s="2098"/>
      <c r="AO223" s="2098"/>
      <c r="AP223" s="2098"/>
      <c r="AQ223" s="2098"/>
      <c r="AR223" s="2098"/>
      <c r="AS223" s="2098"/>
      <c r="AT223" s="2098"/>
      <c r="AU223" s="2098"/>
      <c r="AV223" s="2098"/>
      <c r="AW223" s="2098"/>
      <c r="AX223" s="2098"/>
      <c r="AY223" s="2098"/>
      <c r="AZ223" s="2098"/>
    </row>
    <row r="224" spans="3:52">
      <c r="C224" s="2096"/>
      <c r="D224" s="2097"/>
      <c r="E224" s="2098"/>
      <c r="F224" s="2098"/>
      <c r="G224" s="2098"/>
      <c r="H224" s="2098"/>
      <c r="I224" s="2098"/>
      <c r="J224" s="2098"/>
      <c r="K224" s="2098"/>
      <c r="L224" s="2098"/>
      <c r="M224" s="2098"/>
      <c r="N224" s="2098"/>
      <c r="O224" s="2098"/>
      <c r="P224" s="2098"/>
      <c r="Q224" s="2098"/>
      <c r="R224" s="2098"/>
      <c r="S224" s="2098"/>
      <c r="T224" s="2098"/>
      <c r="U224" s="2098"/>
      <c r="V224" s="2098"/>
      <c r="W224" s="2098"/>
      <c r="X224" s="2098"/>
      <c r="Y224" s="2098"/>
      <c r="Z224" s="2098"/>
      <c r="AA224" s="2098"/>
      <c r="AB224" s="2098"/>
      <c r="AC224" s="2098"/>
      <c r="AD224" s="2098"/>
      <c r="AE224" s="2098"/>
      <c r="AF224" s="2098"/>
      <c r="AG224" s="2098"/>
      <c r="AH224" s="2098"/>
      <c r="AI224" s="2098"/>
      <c r="AJ224" s="2098"/>
      <c r="AK224" s="2098"/>
      <c r="AL224" s="2098"/>
      <c r="AM224" s="2098"/>
      <c r="AN224" s="2098"/>
      <c r="AO224" s="2098"/>
      <c r="AP224" s="2098"/>
      <c r="AQ224" s="2098"/>
      <c r="AR224" s="2098"/>
      <c r="AS224" s="2098"/>
      <c r="AT224" s="2098"/>
      <c r="AU224" s="2098"/>
      <c r="AV224" s="2098"/>
      <c r="AW224" s="2098"/>
      <c r="AX224" s="2098"/>
      <c r="AY224" s="2098"/>
      <c r="AZ224" s="2098"/>
    </row>
    <row r="225" spans="3:52">
      <c r="C225" s="2096"/>
      <c r="D225" s="2097"/>
      <c r="E225" s="2098"/>
      <c r="F225" s="2098"/>
      <c r="G225" s="2098"/>
      <c r="H225" s="2098"/>
      <c r="I225" s="2098"/>
      <c r="J225" s="2098"/>
      <c r="K225" s="2098"/>
      <c r="L225" s="2098"/>
      <c r="M225" s="2098"/>
      <c r="N225" s="2098"/>
      <c r="O225" s="2098"/>
      <c r="P225" s="2098"/>
      <c r="Q225" s="2098"/>
      <c r="R225" s="2098"/>
      <c r="S225" s="2098"/>
      <c r="T225" s="2098"/>
      <c r="U225" s="2098"/>
      <c r="V225" s="2098"/>
      <c r="W225" s="2098"/>
      <c r="X225" s="2098"/>
      <c r="Y225" s="2098"/>
      <c r="Z225" s="2098"/>
      <c r="AA225" s="2098"/>
      <c r="AB225" s="2098"/>
      <c r="AC225" s="2098"/>
      <c r="AD225" s="2098"/>
      <c r="AE225" s="2098"/>
      <c r="AF225" s="2098"/>
      <c r="AG225" s="2098"/>
      <c r="AH225" s="2098"/>
      <c r="AI225" s="2098"/>
      <c r="AJ225" s="2098"/>
      <c r="AK225" s="2098"/>
      <c r="AL225" s="2098"/>
      <c r="AM225" s="2098"/>
      <c r="AN225" s="2098"/>
      <c r="AO225" s="2098"/>
      <c r="AP225" s="2098"/>
      <c r="AQ225" s="2098"/>
      <c r="AR225" s="2098"/>
      <c r="AS225" s="2098"/>
      <c r="AT225" s="2098"/>
      <c r="AU225" s="2098"/>
      <c r="AV225" s="2098"/>
      <c r="AW225" s="2098"/>
      <c r="AX225" s="2098"/>
      <c r="AY225" s="2098"/>
      <c r="AZ225" s="2098"/>
    </row>
    <row r="226" spans="3:52">
      <c r="C226" s="2096"/>
      <c r="D226" s="2097"/>
      <c r="E226" s="2098"/>
      <c r="F226" s="2098"/>
      <c r="G226" s="2098"/>
      <c r="H226" s="2098"/>
      <c r="I226" s="2098"/>
      <c r="J226" s="2098"/>
      <c r="K226" s="2098"/>
      <c r="L226" s="2098"/>
      <c r="M226" s="2098"/>
      <c r="N226" s="2098"/>
      <c r="O226" s="2098"/>
      <c r="P226" s="2098"/>
      <c r="Q226" s="2098"/>
      <c r="R226" s="2098"/>
      <c r="S226" s="2098"/>
      <c r="T226" s="2098"/>
      <c r="U226" s="2098"/>
      <c r="V226" s="2098"/>
      <c r="W226" s="2098"/>
      <c r="X226" s="2098"/>
      <c r="Y226" s="2098"/>
      <c r="Z226" s="2098"/>
      <c r="AA226" s="2098"/>
      <c r="AB226" s="2098"/>
      <c r="AC226" s="2098"/>
      <c r="AD226" s="2098"/>
      <c r="AE226" s="2098"/>
      <c r="AF226" s="2098"/>
      <c r="AG226" s="2098"/>
      <c r="AH226" s="2098"/>
      <c r="AI226" s="2098"/>
      <c r="AJ226" s="2098"/>
      <c r="AK226" s="2098"/>
      <c r="AL226" s="2098"/>
      <c r="AM226" s="2098"/>
      <c r="AN226" s="2098"/>
      <c r="AO226" s="2098"/>
      <c r="AP226" s="2098"/>
      <c r="AQ226" s="2098"/>
      <c r="AR226" s="2098"/>
      <c r="AS226" s="2098"/>
      <c r="AT226" s="2098"/>
      <c r="AU226" s="2098"/>
      <c r="AV226" s="2098"/>
      <c r="AW226" s="2098"/>
      <c r="AX226" s="2098"/>
      <c r="AY226" s="2098"/>
      <c r="AZ226" s="2098"/>
    </row>
    <row r="227" spans="3:52">
      <c r="C227" s="2096"/>
      <c r="D227" s="2097"/>
      <c r="E227" s="2098"/>
      <c r="F227" s="2098"/>
      <c r="G227" s="2098"/>
      <c r="H227" s="2098"/>
      <c r="I227" s="2098"/>
      <c r="J227" s="2098"/>
      <c r="K227" s="2098"/>
      <c r="L227" s="2098"/>
      <c r="M227" s="2098"/>
      <c r="N227" s="2098"/>
      <c r="O227" s="2098"/>
      <c r="P227" s="2098"/>
      <c r="Q227" s="2098"/>
      <c r="R227" s="2098"/>
      <c r="S227" s="2098"/>
      <c r="T227" s="2098"/>
      <c r="U227" s="2098"/>
      <c r="V227" s="2098"/>
      <c r="W227" s="2098"/>
      <c r="X227" s="2098"/>
      <c r="Y227" s="2098"/>
      <c r="Z227" s="2098"/>
      <c r="AA227" s="2098"/>
      <c r="AB227" s="2098"/>
      <c r="AC227" s="2098"/>
      <c r="AD227" s="2098"/>
      <c r="AE227" s="2098"/>
      <c r="AF227" s="2098"/>
      <c r="AG227" s="2098"/>
      <c r="AH227" s="2098"/>
      <c r="AI227" s="2098"/>
      <c r="AJ227" s="2098"/>
      <c r="AK227" s="2098"/>
      <c r="AL227" s="2098"/>
      <c r="AM227" s="2098"/>
      <c r="AN227" s="2098"/>
      <c r="AO227" s="2098"/>
      <c r="AP227" s="2098"/>
      <c r="AQ227" s="2098"/>
      <c r="AR227" s="2098"/>
      <c r="AS227" s="2098"/>
      <c r="AT227" s="2098"/>
      <c r="AU227" s="2098"/>
      <c r="AV227" s="2098"/>
      <c r="AW227" s="2098"/>
      <c r="AX227" s="2098"/>
      <c r="AY227" s="2098"/>
      <c r="AZ227" s="2098"/>
    </row>
    <row r="228" spans="3:52">
      <c r="C228" s="2096"/>
      <c r="D228" s="2097"/>
      <c r="E228" s="2098"/>
      <c r="F228" s="2098"/>
      <c r="G228" s="2098"/>
      <c r="H228" s="2098"/>
      <c r="I228" s="2098"/>
      <c r="J228" s="2098"/>
      <c r="K228" s="2098"/>
      <c r="L228" s="2098"/>
      <c r="M228" s="2098"/>
      <c r="N228" s="2098"/>
      <c r="O228" s="2098"/>
      <c r="P228" s="2098"/>
      <c r="Q228" s="2098"/>
      <c r="R228" s="2098"/>
      <c r="S228" s="2098"/>
      <c r="T228" s="2098"/>
      <c r="U228" s="2098"/>
      <c r="V228" s="2098"/>
      <c r="W228" s="2098"/>
      <c r="X228" s="2098"/>
      <c r="Y228" s="2098"/>
      <c r="Z228" s="2098"/>
      <c r="AA228" s="2098"/>
      <c r="AB228" s="2098"/>
      <c r="AC228" s="2098"/>
      <c r="AD228" s="2098"/>
      <c r="AE228" s="2098"/>
      <c r="AF228" s="2098"/>
      <c r="AG228" s="2098"/>
      <c r="AH228" s="2098"/>
      <c r="AI228" s="2098"/>
      <c r="AJ228" s="2098"/>
      <c r="AK228" s="2098"/>
      <c r="AL228" s="2098"/>
      <c r="AM228" s="2098"/>
      <c r="AN228" s="2098"/>
      <c r="AO228" s="2098"/>
      <c r="AP228" s="2098"/>
      <c r="AQ228" s="2098"/>
      <c r="AR228" s="2098"/>
      <c r="AS228" s="2098"/>
      <c r="AT228" s="2098"/>
      <c r="AU228" s="2098"/>
      <c r="AV228" s="2098"/>
      <c r="AW228" s="2098"/>
      <c r="AX228" s="2098"/>
      <c r="AY228" s="2098"/>
      <c r="AZ228" s="2098"/>
    </row>
    <row r="229" spans="3:52">
      <c r="C229" s="2096"/>
      <c r="D229" s="2097"/>
      <c r="E229" s="2098"/>
      <c r="F229" s="2098"/>
      <c r="G229" s="2098"/>
      <c r="H229" s="2098"/>
      <c r="I229" s="2098"/>
      <c r="J229" s="2098"/>
      <c r="K229" s="2098"/>
      <c r="L229" s="2098"/>
      <c r="M229" s="2098"/>
      <c r="N229" s="2098"/>
      <c r="O229" s="2098"/>
      <c r="P229" s="2098"/>
      <c r="Q229" s="2098"/>
      <c r="R229" s="2098"/>
      <c r="S229" s="2098"/>
      <c r="T229" s="2098"/>
      <c r="U229" s="2098"/>
      <c r="V229" s="2098"/>
      <c r="W229" s="2098"/>
      <c r="X229" s="2098"/>
      <c r="Y229" s="2098"/>
      <c r="Z229" s="2098"/>
      <c r="AA229" s="2098"/>
      <c r="AB229" s="2098"/>
      <c r="AC229" s="2098"/>
      <c r="AD229" s="2098"/>
      <c r="AE229" s="2098"/>
      <c r="AF229" s="2098"/>
      <c r="AG229" s="2098"/>
      <c r="AH229" s="2098"/>
      <c r="AI229" s="2098"/>
      <c r="AJ229" s="2098"/>
      <c r="AK229" s="2098"/>
      <c r="AL229" s="2098"/>
      <c r="AM229" s="2098"/>
      <c r="AN229" s="2098"/>
      <c r="AO229" s="2098"/>
      <c r="AP229" s="2098"/>
      <c r="AQ229" s="2098"/>
      <c r="AR229" s="2098"/>
      <c r="AS229" s="2098"/>
      <c r="AT229" s="2098"/>
      <c r="AU229" s="2098"/>
      <c r="AV229" s="2098"/>
      <c r="AW229" s="2098"/>
      <c r="AX229" s="2098"/>
      <c r="AY229" s="2098"/>
      <c r="AZ229" s="2098"/>
    </row>
    <row r="230" spans="3:52">
      <c r="C230" s="2096"/>
      <c r="D230" s="2097"/>
      <c r="E230" s="2098"/>
      <c r="F230" s="2098"/>
      <c r="G230" s="2098"/>
      <c r="H230" s="2098"/>
      <c r="I230" s="2098"/>
      <c r="J230" s="2098"/>
      <c r="K230" s="2098"/>
      <c r="L230" s="2098"/>
      <c r="M230" s="2098"/>
      <c r="N230" s="2098"/>
      <c r="O230" s="2098"/>
      <c r="P230" s="2098"/>
      <c r="Q230" s="2098"/>
      <c r="R230" s="2098"/>
      <c r="S230" s="2098"/>
      <c r="T230" s="2098"/>
      <c r="U230" s="2098"/>
      <c r="V230" s="2098"/>
      <c r="W230" s="2098"/>
      <c r="X230" s="2098"/>
      <c r="Y230" s="2098"/>
      <c r="Z230" s="2098"/>
      <c r="AA230" s="2098"/>
      <c r="AB230" s="2098"/>
      <c r="AC230" s="2098"/>
      <c r="AD230" s="2098"/>
      <c r="AE230" s="2098"/>
      <c r="AF230" s="2098"/>
      <c r="AG230" s="2098"/>
      <c r="AH230" s="2098"/>
      <c r="AI230" s="2098"/>
      <c r="AJ230" s="2098"/>
      <c r="AK230" s="2098"/>
      <c r="AL230" s="2098"/>
      <c r="AM230" s="2098"/>
      <c r="AN230" s="2098"/>
      <c r="AO230" s="2098"/>
      <c r="AP230" s="2098"/>
      <c r="AQ230" s="2098"/>
      <c r="AR230" s="2098"/>
      <c r="AS230" s="2098"/>
      <c r="AT230" s="2098"/>
      <c r="AU230" s="2098"/>
      <c r="AV230" s="2098"/>
      <c r="AW230" s="2098"/>
      <c r="AX230" s="2098"/>
      <c r="AY230" s="2098"/>
      <c r="AZ230" s="2098"/>
    </row>
    <row r="231" spans="3:52">
      <c r="C231" s="2096"/>
      <c r="D231" s="2097"/>
      <c r="E231" s="2098"/>
      <c r="F231" s="2098"/>
      <c r="G231" s="2098"/>
      <c r="H231" s="2098"/>
      <c r="I231" s="2098"/>
      <c r="J231" s="2098"/>
      <c r="K231" s="2098"/>
      <c r="L231" s="2098"/>
      <c r="M231" s="2098"/>
      <c r="N231" s="2098"/>
      <c r="O231" s="2098"/>
      <c r="P231" s="2098"/>
      <c r="Q231" s="2098"/>
      <c r="R231" s="2098"/>
      <c r="S231" s="2098"/>
      <c r="T231" s="2098"/>
      <c r="U231" s="2098"/>
      <c r="V231" s="2098"/>
      <c r="W231" s="2098"/>
      <c r="X231" s="2098"/>
      <c r="Y231" s="2098"/>
      <c r="Z231" s="2098"/>
      <c r="AA231" s="2098"/>
      <c r="AB231" s="2098"/>
      <c r="AC231" s="2098"/>
      <c r="AD231" s="2098"/>
      <c r="AE231" s="2098"/>
      <c r="AF231" s="2098"/>
      <c r="AG231" s="2098"/>
      <c r="AH231" s="2098"/>
      <c r="AI231" s="2098"/>
      <c r="AJ231" s="2098"/>
      <c r="AK231" s="2098"/>
      <c r="AL231" s="2098"/>
      <c r="AM231" s="2098"/>
      <c r="AN231" s="2098"/>
      <c r="AO231" s="2098"/>
      <c r="AP231" s="2098"/>
      <c r="AQ231" s="2098"/>
      <c r="AR231" s="2098"/>
      <c r="AS231" s="2098"/>
      <c r="AT231" s="2098"/>
      <c r="AU231" s="2098"/>
      <c r="AV231" s="2098"/>
      <c r="AW231" s="2098"/>
      <c r="AX231" s="2098"/>
      <c r="AY231" s="2098"/>
      <c r="AZ231" s="2098"/>
    </row>
    <row r="232" spans="3:52">
      <c r="C232" s="2096"/>
      <c r="D232" s="2097"/>
      <c r="E232" s="2098"/>
      <c r="F232" s="2098"/>
      <c r="G232" s="2098"/>
      <c r="H232" s="2098"/>
      <c r="I232" s="2098"/>
      <c r="J232" s="2098"/>
      <c r="K232" s="2098"/>
      <c r="L232" s="2098"/>
      <c r="M232" s="2098"/>
      <c r="N232" s="2098"/>
      <c r="O232" s="2098"/>
      <c r="P232" s="2098"/>
      <c r="Q232" s="2098"/>
      <c r="R232" s="2098"/>
      <c r="S232" s="2098"/>
      <c r="T232" s="2098"/>
      <c r="U232" s="2098"/>
      <c r="V232" s="2098"/>
      <c r="W232" s="2098"/>
      <c r="X232" s="2098"/>
      <c r="Y232" s="2098"/>
      <c r="Z232" s="2098"/>
      <c r="AA232" s="2098"/>
      <c r="AB232" s="2098"/>
      <c r="AC232" s="2098"/>
      <c r="AD232" s="2098"/>
      <c r="AE232" s="2098"/>
      <c r="AF232" s="2098"/>
      <c r="AG232" s="2098"/>
      <c r="AH232" s="2098"/>
      <c r="AI232" s="2098"/>
      <c r="AJ232" s="2098"/>
      <c r="AK232" s="2098"/>
      <c r="AL232" s="2098"/>
      <c r="AM232" s="2098"/>
      <c r="AN232" s="2098"/>
      <c r="AO232" s="2098"/>
      <c r="AP232" s="2098"/>
      <c r="AQ232" s="2098"/>
      <c r="AR232" s="2098"/>
      <c r="AS232" s="2098"/>
      <c r="AT232" s="2098"/>
      <c r="AU232" s="2098"/>
      <c r="AV232" s="2098"/>
      <c r="AW232" s="2098"/>
      <c r="AX232" s="2098"/>
      <c r="AY232" s="2098"/>
      <c r="AZ232" s="2098"/>
    </row>
    <row r="233" spans="3:52">
      <c r="C233" s="2096"/>
      <c r="D233" s="2097"/>
      <c r="E233" s="2098"/>
      <c r="F233" s="2098"/>
      <c r="G233" s="2098"/>
      <c r="H233" s="2098"/>
      <c r="I233" s="2098"/>
      <c r="J233" s="2098"/>
      <c r="K233" s="2098"/>
      <c r="L233" s="2098"/>
      <c r="M233" s="2098"/>
      <c r="N233" s="2098"/>
      <c r="O233" s="2098"/>
      <c r="P233" s="2098"/>
      <c r="Q233" s="2098"/>
      <c r="R233" s="2098"/>
      <c r="S233" s="2098"/>
      <c r="T233" s="2098"/>
      <c r="U233" s="2098"/>
      <c r="V233" s="2098"/>
      <c r="W233" s="2098"/>
      <c r="X233" s="2098"/>
      <c r="Y233" s="2098"/>
      <c r="Z233" s="2098"/>
      <c r="AA233" s="2098"/>
      <c r="AB233" s="2098"/>
      <c r="AC233" s="2098"/>
      <c r="AD233" s="2098"/>
      <c r="AE233" s="2098"/>
      <c r="AF233" s="2098"/>
      <c r="AG233" s="2098"/>
      <c r="AH233" s="2098"/>
      <c r="AI233" s="2098"/>
      <c r="AJ233" s="2098"/>
      <c r="AK233" s="2098"/>
      <c r="AL233" s="2098"/>
      <c r="AM233" s="2098"/>
      <c r="AN233" s="2098"/>
      <c r="AO233" s="2098"/>
      <c r="AP233" s="2098"/>
      <c r="AQ233" s="2098"/>
      <c r="AR233" s="2098"/>
      <c r="AS233" s="2098"/>
      <c r="AT233" s="2098"/>
      <c r="AU233" s="2098"/>
      <c r="AV233" s="2098"/>
      <c r="AW233" s="2098"/>
      <c r="AX233" s="2098"/>
      <c r="AY233" s="2098"/>
      <c r="AZ233" s="2098"/>
    </row>
    <row r="234" spans="3:52">
      <c r="C234" s="2096"/>
      <c r="D234" s="2097"/>
      <c r="E234" s="2098"/>
      <c r="F234" s="2098"/>
      <c r="G234" s="2098"/>
      <c r="H234" s="2098"/>
      <c r="I234" s="2098"/>
      <c r="J234" s="2098"/>
      <c r="K234" s="2098"/>
      <c r="L234" s="2098"/>
      <c r="M234" s="2098"/>
      <c r="N234" s="2098"/>
      <c r="O234" s="2098"/>
      <c r="P234" s="2098"/>
      <c r="Q234" s="2098"/>
      <c r="R234" s="2098"/>
      <c r="S234" s="2098"/>
      <c r="T234" s="2098"/>
      <c r="U234" s="2098"/>
      <c r="V234" s="2098"/>
      <c r="W234" s="2098"/>
      <c r="X234" s="2098"/>
      <c r="Y234" s="2098"/>
      <c r="Z234" s="2098"/>
      <c r="AA234" s="2098"/>
      <c r="AB234" s="2098"/>
      <c r="AC234" s="2098"/>
      <c r="AD234" s="2098"/>
      <c r="AE234" s="2098"/>
      <c r="AF234" s="2098"/>
      <c r="AG234" s="2098"/>
      <c r="AH234" s="2098"/>
      <c r="AI234" s="2098"/>
      <c r="AJ234" s="2098"/>
      <c r="AK234" s="2098"/>
      <c r="AL234" s="2098"/>
      <c r="AM234" s="2098"/>
      <c r="AN234" s="2098"/>
      <c r="AO234" s="2098"/>
      <c r="AP234" s="2098"/>
      <c r="AQ234" s="2098"/>
      <c r="AR234" s="2098"/>
      <c r="AS234" s="2098"/>
      <c r="AT234" s="2098"/>
      <c r="AU234" s="2098"/>
      <c r="AV234" s="2098"/>
      <c r="AW234" s="2098"/>
      <c r="AX234" s="2098"/>
      <c r="AY234" s="2098"/>
      <c r="AZ234" s="2098"/>
    </row>
    <row r="235" spans="3:52">
      <c r="C235" s="2096"/>
      <c r="D235" s="2097"/>
      <c r="E235" s="2098"/>
      <c r="F235" s="2098"/>
      <c r="G235" s="2098"/>
      <c r="H235" s="2098"/>
      <c r="I235" s="2098"/>
      <c r="J235" s="2098"/>
      <c r="K235" s="2098"/>
      <c r="L235" s="2098"/>
      <c r="M235" s="2098"/>
      <c r="N235" s="2098"/>
      <c r="O235" s="2098"/>
      <c r="P235" s="2098"/>
      <c r="Q235" s="2098"/>
      <c r="R235" s="2098"/>
      <c r="S235" s="2098"/>
      <c r="T235" s="2098"/>
      <c r="U235" s="2098"/>
      <c r="V235" s="2098"/>
      <c r="W235" s="2098"/>
      <c r="X235" s="2098"/>
      <c r="Y235" s="2098"/>
      <c r="Z235" s="2098"/>
      <c r="AA235" s="2098"/>
      <c r="AB235" s="2098"/>
      <c r="AC235" s="2098"/>
      <c r="AD235" s="2098"/>
      <c r="AE235" s="2098"/>
      <c r="AF235" s="2098"/>
      <c r="AG235" s="2098"/>
      <c r="AH235" s="2098"/>
      <c r="AI235" s="2098"/>
      <c r="AJ235" s="2098"/>
      <c r="AK235" s="2098"/>
      <c r="AL235" s="2098"/>
      <c r="AM235" s="2098"/>
      <c r="AN235" s="2098"/>
      <c r="AO235" s="2098"/>
      <c r="AP235" s="2098"/>
      <c r="AQ235" s="2098"/>
      <c r="AR235" s="2098"/>
      <c r="AS235" s="2098"/>
      <c r="AT235" s="2098"/>
      <c r="AU235" s="2098"/>
      <c r="AV235" s="2098"/>
      <c r="AW235" s="2098"/>
      <c r="AX235" s="2098"/>
      <c r="AY235" s="2098"/>
      <c r="AZ235" s="2098"/>
    </row>
    <row r="236" spans="3:52">
      <c r="C236" s="2096"/>
      <c r="D236" s="2097"/>
      <c r="E236" s="2098"/>
      <c r="F236" s="2098"/>
      <c r="G236" s="2098"/>
      <c r="H236" s="2098"/>
      <c r="I236" s="2098"/>
      <c r="J236" s="2098"/>
      <c r="K236" s="2098"/>
      <c r="L236" s="2098"/>
      <c r="M236" s="2098"/>
      <c r="N236" s="2098"/>
      <c r="O236" s="2098"/>
      <c r="P236" s="2098"/>
      <c r="Q236" s="2098"/>
      <c r="R236" s="2098"/>
      <c r="S236" s="2098"/>
      <c r="T236" s="2098"/>
      <c r="U236" s="2098"/>
      <c r="V236" s="2098"/>
      <c r="W236" s="2098"/>
      <c r="X236" s="2098"/>
      <c r="Y236" s="2098"/>
      <c r="Z236" s="2098"/>
      <c r="AA236" s="2098"/>
      <c r="AB236" s="2098"/>
      <c r="AC236" s="2098"/>
      <c r="AD236" s="2098"/>
      <c r="AE236" s="2098"/>
      <c r="AF236" s="2098"/>
      <c r="AG236" s="2098"/>
      <c r="AH236" s="2098"/>
      <c r="AI236" s="2098"/>
      <c r="AJ236" s="2098"/>
      <c r="AK236" s="2098"/>
      <c r="AL236" s="2098"/>
      <c r="AM236" s="2098"/>
      <c r="AN236" s="2098"/>
      <c r="AO236" s="2098"/>
      <c r="AP236" s="2098"/>
      <c r="AQ236" s="2098"/>
      <c r="AR236" s="2098"/>
      <c r="AS236" s="2098"/>
      <c r="AT236" s="2098"/>
      <c r="AU236" s="2098"/>
      <c r="AV236" s="2098"/>
      <c r="AW236" s="2098"/>
      <c r="AX236" s="2098"/>
      <c r="AY236" s="2098"/>
      <c r="AZ236" s="2098"/>
    </row>
    <row r="237" spans="3:52">
      <c r="C237" s="2096"/>
      <c r="D237" s="2097"/>
      <c r="E237" s="2098"/>
      <c r="F237" s="2098"/>
      <c r="G237" s="2098"/>
      <c r="H237" s="2098"/>
      <c r="I237" s="2098"/>
      <c r="J237" s="2098"/>
      <c r="K237" s="2098"/>
      <c r="L237" s="2098"/>
      <c r="M237" s="2098"/>
      <c r="N237" s="2098"/>
      <c r="O237" s="2098"/>
      <c r="P237" s="2098"/>
      <c r="Q237" s="2098"/>
      <c r="R237" s="2098"/>
      <c r="S237" s="2098"/>
      <c r="T237" s="2098"/>
      <c r="U237" s="2098"/>
      <c r="V237" s="2098"/>
      <c r="W237" s="2098"/>
      <c r="X237" s="2098"/>
      <c r="Y237" s="2098"/>
      <c r="Z237" s="2098"/>
      <c r="AA237" s="2098"/>
      <c r="AB237" s="2098"/>
      <c r="AC237" s="2098"/>
      <c r="AD237" s="2098"/>
      <c r="AE237" s="2098"/>
      <c r="AF237" s="2098"/>
      <c r="AG237" s="2098"/>
      <c r="AH237" s="2098"/>
      <c r="AI237" s="2098"/>
      <c r="AJ237" s="2098"/>
      <c r="AK237" s="2098"/>
      <c r="AL237" s="2098"/>
      <c r="AM237" s="2098"/>
      <c r="AN237" s="2098"/>
      <c r="AO237" s="2098"/>
      <c r="AP237" s="2098"/>
      <c r="AQ237" s="2098"/>
      <c r="AR237" s="2098"/>
      <c r="AS237" s="2098"/>
      <c r="AT237" s="2098"/>
      <c r="AU237" s="2098"/>
      <c r="AV237" s="2098"/>
      <c r="AW237" s="2098"/>
      <c r="AX237" s="2098"/>
      <c r="AY237" s="2098"/>
      <c r="AZ237" s="2098"/>
    </row>
    <row r="238" spans="3:52">
      <c r="C238" s="2096"/>
      <c r="D238" s="2097"/>
      <c r="E238" s="2098"/>
      <c r="F238" s="2098"/>
      <c r="G238" s="2098"/>
      <c r="H238" s="2098"/>
      <c r="I238" s="2098"/>
      <c r="J238" s="2098"/>
      <c r="K238" s="2098"/>
      <c r="L238" s="2098"/>
      <c r="M238" s="2098"/>
      <c r="N238" s="2098"/>
      <c r="O238" s="2098"/>
      <c r="P238" s="2098"/>
      <c r="Q238" s="2098"/>
      <c r="R238" s="2098"/>
      <c r="S238" s="2098"/>
      <c r="T238" s="2098"/>
      <c r="U238" s="2098"/>
      <c r="V238" s="2098"/>
      <c r="W238" s="2098"/>
      <c r="X238" s="2098"/>
      <c r="Y238" s="2098"/>
      <c r="Z238" s="2098"/>
      <c r="AA238" s="2098"/>
      <c r="AB238" s="2098"/>
      <c r="AC238" s="2098"/>
      <c r="AD238" s="2098"/>
      <c r="AE238" s="2098"/>
      <c r="AF238" s="2098"/>
      <c r="AG238" s="2098"/>
      <c r="AH238" s="2098"/>
      <c r="AI238" s="2098"/>
      <c r="AJ238" s="2098"/>
      <c r="AK238" s="2098"/>
      <c r="AL238" s="2098"/>
      <c r="AM238" s="2098"/>
      <c r="AN238" s="2098"/>
      <c r="AO238" s="2098"/>
      <c r="AP238" s="2098"/>
      <c r="AQ238" s="2098"/>
      <c r="AR238" s="2098"/>
      <c r="AS238" s="2098"/>
      <c r="AT238" s="2098"/>
      <c r="AU238" s="2098"/>
      <c r="AV238" s="2098"/>
      <c r="AW238" s="2098"/>
      <c r="AX238" s="2098"/>
      <c r="AY238" s="2098"/>
      <c r="AZ238" s="2098"/>
    </row>
    <row r="239" spans="3:52">
      <c r="C239" s="2096"/>
      <c r="D239" s="2097"/>
      <c r="E239" s="2098"/>
      <c r="F239" s="2098"/>
      <c r="G239" s="2098"/>
      <c r="H239" s="2098"/>
      <c r="I239" s="2098"/>
      <c r="J239" s="2098"/>
      <c r="K239" s="2098"/>
      <c r="L239" s="2098"/>
      <c r="M239" s="2098"/>
      <c r="N239" s="2098"/>
      <c r="O239" s="2098"/>
      <c r="P239" s="2098"/>
      <c r="Q239" s="2098"/>
      <c r="R239" s="2098"/>
      <c r="S239" s="2098"/>
      <c r="T239" s="2098"/>
      <c r="U239" s="2098"/>
      <c r="V239" s="2098"/>
      <c r="W239" s="2098"/>
      <c r="X239" s="2098"/>
      <c r="Y239" s="2098"/>
      <c r="Z239" s="2098"/>
      <c r="AA239" s="2098"/>
      <c r="AB239" s="2098"/>
      <c r="AC239" s="2098"/>
      <c r="AD239" s="2098"/>
      <c r="AE239" s="2098"/>
      <c r="AF239" s="2098"/>
      <c r="AG239" s="2098"/>
      <c r="AH239" s="2098"/>
      <c r="AI239" s="2098"/>
      <c r="AJ239" s="2098"/>
      <c r="AK239" s="2098"/>
      <c r="AL239" s="2098"/>
      <c r="AM239" s="2098"/>
      <c r="AN239" s="2098"/>
      <c r="AO239" s="2098"/>
      <c r="AP239" s="2098"/>
      <c r="AQ239" s="2098"/>
      <c r="AR239" s="2098"/>
      <c r="AS239" s="2098"/>
      <c r="AT239" s="2098"/>
      <c r="AU239" s="2098"/>
      <c r="AV239" s="2098"/>
      <c r="AW239" s="2098"/>
      <c r="AX239" s="2098"/>
      <c r="AY239" s="2098"/>
      <c r="AZ239" s="2098"/>
    </row>
    <row r="240" spans="3:52">
      <c r="C240" s="2096"/>
      <c r="D240" s="2097"/>
      <c r="E240" s="2098"/>
      <c r="F240" s="2098"/>
      <c r="G240" s="2098"/>
      <c r="H240" s="2098"/>
      <c r="I240" s="2098"/>
      <c r="J240" s="2098"/>
      <c r="K240" s="2098"/>
      <c r="L240" s="2098"/>
      <c r="M240" s="2098"/>
      <c r="N240" s="2098"/>
      <c r="O240" s="2098"/>
      <c r="P240" s="2098"/>
      <c r="Q240" s="2098"/>
      <c r="R240" s="2098"/>
      <c r="S240" s="2098"/>
      <c r="T240" s="2098"/>
      <c r="U240" s="2098"/>
      <c r="V240" s="2098"/>
      <c r="W240" s="2098"/>
      <c r="X240" s="2098"/>
      <c r="Y240" s="2098"/>
      <c r="Z240" s="2098"/>
      <c r="AA240" s="2098"/>
      <c r="AB240" s="2098"/>
      <c r="AC240" s="2098"/>
      <c r="AD240" s="2098"/>
      <c r="AE240" s="2098"/>
      <c r="AF240" s="2098"/>
      <c r="AG240" s="2098"/>
      <c r="AH240" s="2098"/>
      <c r="AI240" s="2098"/>
      <c r="AJ240" s="2098"/>
      <c r="AK240" s="2098"/>
      <c r="AL240" s="2098"/>
      <c r="AM240" s="2098"/>
      <c r="AN240" s="2098"/>
      <c r="AO240" s="2098"/>
      <c r="AP240" s="2098"/>
      <c r="AQ240" s="2098"/>
      <c r="AR240" s="2098"/>
      <c r="AS240" s="2098"/>
      <c r="AT240" s="2098"/>
      <c r="AU240" s="2098"/>
      <c r="AV240" s="2098"/>
      <c r="AW240" s="2098"/>
      <c r="AX240" s="2098"/>
      <c r="AY240" s="2098"/>
      <c r="AZ240" s="2098"/>
    </row>
    <row r="241" spans="3:52">
      <c r="C241" s="2096"/>
      <c r="D241" s="2097"/>
      <c r="E241" s="2098"/>
      <c r="F241" s="2098"/>
      <c r="G241" s="2098"/>
      <c r="H241" s="2098"/>
      <c r="I241" s="2098"/>
      <c r="J241" s="2098"/>
      <c r="K241" s="2098"/>
      <c r="L241" s="2098"/>
      <c r="M241" s="2098"/>
      <c r="N241" s="2098"/>
      <c r="O241" s="2098"/>
      <c r="P241" s="2098"/>
      <c r="Q241" s="2098"/>
      <c r="R241" s="2098"/>
      <c r="S241" s="2098"/>
      <c r="T241" s="2098"/>
      <c r="U241" s="2098"/>
      <c r="V241" s="2098"/>
      <c r="W241" s="2098"/>
      <c r="X241" s="2098"/>
      <c r="Y241" s="2098"/>
      <c r="Z241" s="2098"/>
      <c r="AA241" s="2098"/>
      <c r="AB241" s="2098"/>
      <c r="AC241" s="2098"/>
      <c r="AD241" s="2098"/>
      <c r="AE241" s="2098"/>
      <c r="AF241" s="2098"/>
      <c r="AG241" s="2098"/>
      <c r="AH241" s="2098"/>
      <c r="AI241" s="2098"/>
      <c r="AJ241" s="2098"/>
      <c r="AK241" s="2098"/>
      <c r="AL241" s="2098"/>
      <c r="AM241" s="2098"/>
      <c r="AN241" s="2098"/>
      <c r="AO241" s="2098"/>
      <c r="AP241" s="2098"/>
      <c r="AQ241" s="2098"/>
      <c r="AR241" s="2098"/>
      <c r="AS241" s="2098"/>
      <c r="AT241" s="2098"/>
      <c r="AU241" s="2098"/>
      <c r="AV241" s="2098"/>
      <c r="AW241" s="2098"/>
      <c r="AX241" s="2098"/>
      <c r="AY241" s="2098"/>
      <c r="AZ241" s="2098"/>
    </row>
    <row r="242" spans="3:52">
      <c r="C242" s="2096"/>
      <c r="D242" s="2097"/>
      <c r="E242" s="2098"/>
      <c r="F242" s="2098"/>
      <c r="G242" s="2098"/>
      <c r="H242" s="2098"/>
      <c r="I242" s="2098"/>
      <c r="J242" s="2098"/>
      <c r="K242" s="2098"/>
      <c r="L242" s="2098"/>
      <c r="M242" s="2098"/>
      <c r="N242" s="2098"/>
      <c r="O242" s="2098"/>
      <c r="P242" s="2098"/>
      <c r="Q242" s="2098"/>
      <c r="R242" s="2098"/>
      <c r="S242" s="2098"/>
      <c r="T242" s="2098"/>
      <c r="U242" s="2098"/>
      <c r="V242" s="2098"/>
      <c r="W242" s="2098"/>
      <c r="X242" s="2098"/>
      <c r="Y242" s="2098"/>
      <c r="Z242" s="2098"/>
      <c r="AA242" s="2098"/>
      <c r="AB242" s="2098"/>
      <c r="AC242" s="2098"/>
      <c r="AD242" s="2098"/>
      <c r="AE242" s="2098"/>
      <c r="AF242" s="2098"/>
      <c r="AG242" s="2098"/>
      <c r="AH242" s="2098"/>
      <c r="AI242" s="2098"/>
      <c r="AJ242" s="2098"/>
      <c r="AK242" s="2098"/>
      <c r="AL242" s="2098"/>
      <c r="AM242" s="2098"/>
      <c r="AN242" s="2098"/>
      <c r="AO242" s="2098"/>
      <c r="AP242" s="2098"/>
      <c r="AQ242" s="2098"/>
      <c r="AR242" s="2098"/>
      <c r="AS242" s="2098"/>
      <c r="AT242" s="2098"/>
      <c r="AU242" s="2098"/>
      <c r="AV242" s="2098"/>
      <c r="AW242" s="2098"/>
      <c r="AX242" s="2098"/>
      <c r="AY242" s="2098"/>
      <c r="AZ242" s="2098"/>
    </row>
    <row r="243" spans="3:52">
      <c r="C243" s="2096"/>
      <c r="D243" s="2097"/>
      <c r="E243" s="2098"/>
      <c r="F243" s="2098"/>
      <c r="G243" s="2098"/>
      <c r="H243" s="2098"/>
      <c r="I243" s="2098"/>
      <c r="J243" s="2098"/>
      <c r="K243" s="2098"/>
      <c r="L243" s="2098"/>
      <c r="M243" s="2098"/>
      <c r="N243" s="2098"/>
      <c r="O243" s="2098"/>
      <c r="P243" s="2098"/>
      <c r="Q243" s="2098"/>
      <c r="R243" s="2098"/>
      <c r="S243" s="2098"/>
      <c r="T243" s="2098"/>
      <c r="U243" s="2098"/>
      <c r="V243" s="2098"/>
      <c r="W243" s="2098"/>
      <c r="X243" s="2098"/>
      <c r="Y243" s="2098"/>
      <c r="Z243" s="2098"/>
      <c r="AA243" s="2098"/>
      <c r="AB243" s="2098"/>
      <c r="AC243" s="2098"/>
      <c r="AD243" s="2098"/>
      <c r="AE243" s="2098"/>
      <c r="AF243" s="2098"/>
      <c r="AG243" s="2098"/>
      <c r="AH243" s="2098"/>
      <c r="AI243" s="2098"/>
      <c r="AJ243" s="2098"/>
      <c r="AK243" s="2098"/>
      <c r="AL243" s="2098"/>
      <c r="AM243" s="2098"/>
      <c r="AN243" s="2098"/>
      <c r="AO243" s="2098"/>
      <c r="AP243" s="2098"/>
      <c r="AQ243" s="2098"/>
      <c r="AR243" s="2098"/>
      <c r="AS243" s="2098"/>
      <c r="AT243" s="2098"/>
      <c r="AU243" s="2098"/>
      <c r="AV243" s="2098"/>
      <c r="AW243" s="2098"/>
      <c r="AX243" s="2098"/>
      <c r="AY243" s="2098"/>
      <c r="AZ243" s="2098"/>
    </row>
    <row r="244" spans="3:52">
      <c r="C244" s="2096"/>
      <c r="D244" s="2097"/>
      <c r="E244" s="2098"/>
      <c r="F244" s="2098"/>
      <c r="G244" s="2098"/>
      <c r="H244" s="2098"/>
      <c r="I244" s="2098"/>
      <c r="J244" s="2098"/>
      <c r="K244" s="2098"/>
      <c r="L244" s="2098"/>
      <c r="M244" s="2098"/>
      <c r="N244" s="2098"/>
      <c r="O244" s="2098"/>
      <c r="P244" s="2098"/>
      <c r="Q244" s="2098"/>
      <c r="R244" s="2098"/>
      <c r="S244" s="2098"/>
      <c r="T244" s="2098"/>
      <c r="U244" s="2098"/>
      <c r="V244" s="2098"/>
      <c r="W244" s="2098"/>
      <c r="X244" s="2098"/>
      <c r="Y244" s="2098"/>
      <c r="Z244" s="2098"/>
      <c r="AA244" s="2098"/>
      <c r="AB244" s="2098"/>
      <c r="AC244" s="2098"/>
      <c r="AD244" s="2098"/>
      <c r="AE244" s="2098"/>
      <c r="AF244" s="2098"/>
      <c r="AG244" s="2098"/>
      <c r="AH244" s="2098"/>
      <c r="AI244" s="2098"/>
      <c r="AJ244" s="2098"/>
      <c r="AK244" s="2098"/>
      <c r="AL244" s="2098"/>
      <c r="AM244" s="2098"/>
      <c r="AN244" s="2098"/>
      <c r="AO244" s="2098"/>
      <c r="AP244" s="2098"/>
      <c r="AQ244" s="2098"/>
      <c r="AR244" s="2098"/>
      <c r="AS244" s="2098"/>
      <c r="AT244" s="2098"/>
      <c r="AU244" s="2098"/>
      <c r="AV244" s="2098"/>
      <c r="AW244" s="2098"/>
      <c r="AX244" s="2098"/>
      <c r="AY244" s="2098"/>
      <c r="AZ244" s="2098"/>
    </row>
    <row r="245" spans="3:52">
      <c r="C245" s="2096"/>
      <c r="D245" s="2097"/>
      <c r="E245" s="2098"/>
      <c r="F245" s="2098"/>
      <c r="G245" s="2098"/>
      <c r="H245" s="2098"/>
      <c r="I245" s="2098"/>
      <c r="J245" s="2098"/>
      <c r="K245" s="2098"/>
      <c r="L245" s="2098"/>
      <c r="M245" s="2098"/>
      <c r="N245" s="2098"/>
      <c r="O245" s="2098"/>
      <c r="P245" s="2098"/>
      <c r="Q245" s="2098"/>
      <c r="R245" s="2098"/>
      <c r="S245" s="2098"/>
      <c r="T245" s="2098"/>
      <c r="U245" s="2098"/>
      <c r="V245" s="2098"/>
      <c r="W245" s="2098"/>
      <c r="X245" s="2098"/>
      <c r="Y245" s="2098"/>
      <c r="Z245" s="2098"/>
      <c r="AA245" s="2098"/>
      <c r="AB245" s="2098"/>
      <c r="AC245" s="2098"/>
      <c r="AD245" s="2098"/>
      <c r="AE245" s="2098"/>
      <c r="AF245" s="2098"/>
      <c r="AG245" s="2098"/>
      <c r="AH245" s="2098"/>
      <c r="AI245" s="2098"/>
      <c r="AJ245" s="2098"/>
      <c r="AK245" s="2098"/>
      <c r="AL245" s="2098"/>
      <c r="AM245" s="2098"/>
      <c r="AN245" s="2098"/>
      <c r="AO245" s="2098"/>
      <c r="AP245" s="2098"/>
      <c r="AQ245" s="2098"/>
      <c r="AR245" s="2098"/>
      <c r="AS245" s="2098"/>
      <c r="AT245" s="2098"/>
      <c r="AU245" s="2098"/>
      <c r="AV245" s="2098"/>
      <c r="AW245" s="2098"/>
      <c r="AX245" s="2098"/>
      <c r="AY245" s="2098"/>
      <c r="AZ245" s="2098"/>
    </row>
    <row r="246" spans="3:52">
      <c r="C246" s="2096"/>
      <c r="D246" s="2097"/>
      <c r="E246" s="2098"/>
      <c r="F246" s="2098"/>
      <c r="G246" s="2098"/>
      <c r="H246" s="2098"/>
      <c r="I246" s="2098"/>
      <c r="J246" s="2098"/>
      <c r="K246" s="2098"/>
      <c r="L246" s="2098"/>
      <c r="M246" s="2098"/>
      <c r="N246" s="2098"/>
      <c r="O246" s="2098"/>
      <c r="P246" s="2098"/>
      <c r="Q246" s="2098"/>
      <c r="R246" s="2098"/>
      <c r="S246" s="2098"/>
      <c r="T246" s="2098"/>
      <c r="U246" s="2098"/>
      <c r="V246" s="2098"/>
      <c r="W246" s="2098"/>
      <c r="X246" s="2098"/>
      <c r="Y246" s="2098"/>
      <c r="Z246" s="2098"/>
      <c r="AA246" s="2098"/>
      <c r="AB246" s="2098"/>
      <c r="AC246" s="2098"/>
      <c r="AD246" s="2098"/>
      <c r="AE246" s="2098"/>
      <c r="AF246" s="2098"/>
      <c r="AG246" s="2098"/>
      <c r="AH246" s="2098"/>
      <c r="AI246" s="2098"/>
      <c r="AJ246" s="2098"/>
      <c r="AK246" s="2098"/>
      <c r="AL246" s="2098"/>
      <c r="AM246" s="2098"/>
      <c r="AN246" s="2098"/>
      <c r="AO246" s="2098"/>
      <c r="AP246" s="2098"/>
      <c r="AQ246" s="2098"/>
      <c r="AR246" s="2098"/>
      <c r="AS246" s="2098"/>
      <c r="AT246" s="2098"/>
      <c r="AU246" s="2098"/>
      <c r="AV246" s="2098"/>
      <c r="AW246" s="2098"/>
      <c r="AX246" s="2098"/>
      <c r="AY246" s="2098"/>
      <c r="AZ246" s="2098"/>
    </row>
    <row r="247" spans="3:52">
      <c r="C247" s="2096"/>
      <c r="D247" s="2097"/>
      <c r="E247" s="2098"/>
      <c r="F247" s="2098"/>
      <c r="G247" s="2098"/>
      <c r="H247" s="2098"/>
      <c r="I247" s="2098"/>
      <c r="J247" s="2098"/>
      <c r="K247" s="2098"/>
      <c r="L247" s="2098"/>
      <c r="M247" s="2098"/>
      <c r="N247" s="2098"/>
      <c r="O247" s="2098"/>
      <c r="P247" s="2098"/>
      <c r="Q247" s="2098"/>
      <c r="R247" s="2098"/>
      <c r="S247" s="2098"/>
      <c r="T247" s="2098"/>
      <c r="U247" s="2098"/>
      <c r="V247" s="2098"/>
      <c r="W247" s="2098"/>
      <c r="X247" s="2098"/>
      <c r="Y247" s="2098"/>
      <c r="Z247" s="2098"/>
      <c r="AA247" s="2098"/>
      <c r="AB247" s="2098"/>
      <c r="AC247" s="2098"/>
      <c r="AD247" s="2098"/>
      <c r="AE247" s="2098"/>
      <c r="AF247" s="2098"/>
      <c r="AG247" s="2098"/>
      <c r="AH247" s="2098"/>
      <c r="AI247" s="2098"/>
      <c r="AJ247" s="2098"/>
      <c r="AK247" s="2098"/>
      <c r="AL247" s="2098"/>
      <c r="AM247" s="2098"/>
      <c r="AN247" s="2098"/>
      <c r="AO247" s="2098"/>
      <c r="AP247" s="2098"/>
      <c r="AQ247" s="2098"/>
      <c r="AR247" s="2098"/>
      <c r="AS247" s="2098"/>
      <c r="AT247" s="2098"/>
      <c r="AU247" s="2098"/>
      <c r="AV247" s="2098"/>
      <c r="AW247" s="2098"/>
      <c r="AX247" s="2098"/>
      <c r="AY247" s="2098"/>
      <c r="AZ247" s="2098"/>
    </row>
    <row r="248" spans="3:52">
      <c r="C248" s="2096"/>
      <c r="D248" s="2097"/>
      <c r="E248" s="2098"/>
      <c r="F248" s="2098"/>
      <c r="G248" s="2098"/>
      <c r="H248" s="2098"/>
      <c r="I248" s="2098"/>
      <c r="J248" s="2098"/>
      <c r="K248" s="2098"/>
      <c r="L248" s="2098"/>
      <c r="M248" s="2098"/>
      <c r="N248" s="2098"/>
      <c r="O248" s="2098"/>
      <c r="P248" s="2098"/>
      <c r="Q248" s="2098"/>
      <c r="R248" s="2098"/>
      <c r="S248" s="2098"/>
      <c r="T248" s="2098"/>
      <c r="U248" s="2098"/>
      <c r="V248" s="2098"/>
      <c r="W248" s="2098"/>
      <c r="X248" s="2098"/>
      <c r="Y248" s="2098"/>
      <c r="Z248" s="2098"/>
      <c r="AA248" s="2098"/>
      <c r="AB248" s="2098"/>
      <c r="AC248" s="2098"/>
      <c r="AD248" s="2098"/>
      <c r="AE248" s="2098"/>
      <c r="AF248" s="2098"/>
      <c r="AG248" s="2098"/>
      <c r="AH248" s="2098"/>
      <c r="AI248" s="2098"/>
      <c r="AJ248" s="2098"/>
      <c r="AK248" s="2098"/>
      <c r="AL248" s="2098"/>
      <c r="AM248" s="2098"/>
      <c r="AN248" s="2098"/>
      <c r="AO248" s="2098"/>
      <c r="AP248" s="2098"/>
      <c r="AQ248" s="2098"/>
      <c r="AR248" s="2098"/>
      <c r="AS248" s="2098"/>
      <c r="AT248" s="2098"/>
      <c r="AU248" s="2098"/>
      <c r="AV248" s="2098"/>
      <c r="AW248" s="2098"/>
      <c r="AX248" s="2098"/>
      <c r="AY248" s="2098"/>
      <c r="AZ248" s="2098"/>
    </row>
    <row r="249" spans="3:52">
      <c r="C249" s="2096"/>
      <c r="D249" s="2097"/>
      <c r="E249" s="2098"/>
      <c r="F249" s="2098"/>
      <c r="G249" s="2098"/>
      <c r="H249" s="2098"/>
      <c r="I249" s="2098"/>
      <c r="J249" s="2098"/>
      <c r="K249" s="2098"/>
      <c r="L249" s="2098"/>
      <c r="M249" s="2098"/>
      <c r="N249" s="2098"/>
      <c r="O249" s="2098"/>
      <c r="P249" s="2098"/>
      <c r="Q249" s="2098"/>
      <c r="R249" s="2098"/>
      <c r="S249" s="2098"/>
      <c r="T249" s="2098"/>
      <c r="U249" s="2098"/>
      <c r="V249" s="2098"/>
      <c r="W249" s="2098"/>
      <c r="X249" s="2098"/>
      <c r="Y249" s="2098"/>
      <c r="Z249" s="2098"/>
      <c r="AA249" s="2098"/>
      <c r="AB249" s="2098"/>
      <c r="AC249" s="2098"/>
      <c r="AD249" s="2098"/>
      <c r="AE249" s="2098"/>
      <c r="AF249" s="2098"/>
      <c r="AG249" s="2098"/>
      <c r="AH249" s="2098"/>
      <c r="AI249" s="2098"/>
      <c r="AJ249" s="2098"/>
      <c r="AK249" s="2098"/>
      <c r="AL249" s="2098"/>
      <c r="AM249" s="2098"/>
      <c r="AN249" s="2098"/>
      <c r="AO249" s="2098"/>
      <c r="AP249" s="2098"/>
      <c r="AQ249" s="2098"/>
      <c r="AR249" s="2098"/>
      <c r="AS249" s="2098"/>
      <c r="AT249" s="2098"/>
      <c r="AU249" s="2098"/>
      <c r="AV249" s="2098"/>
      <c r="AW249" s="2098"/>
      <c r="AX249" s="2098"/>
      <c r="AY249" s="2098"/>
      <c r="AZ249" s="2098"/>
    </row>
    <row r="250" spans="3:52">
      <c r="C250" s="2096"/>
      <c r="D250" s="2097"/>
      <c r="E250" s="2098"/>
      <c r="F250" s="2098"/>
      <c r="G250" s="2098"/>
      <c r="H250" s="2098"/>
      <c r="I250" s="2098"/>
      <c r="J250" s="2098"/>
      <c r="K250" s="2098"/>
      <c r="L250" s="2098"/>
      <c r="M250" s="2098"/>
      <c r="N250" s="2098"/>
      <c r="O250" s="2098"/>
      <c r="P250" s="2098"/>
      <c r="Q250" s="2098"/>
      <c r="R250" s="2098"/>
      <c r="S250" s="2098"/>
      <c r="T250" s="2098"/>
      <c r="U250" s="2098"/>
      <c r="V250" s="2098"/>
      <c r="W250" s="2098"/>
      <c r="X250" s="2098"/>
      <c r="Y250" s="2098"/>
      <c r="Z250" s="2098"/>
      <c r="AA250" s="2098"/>
      <c r="AB250" s="2098"/>
      <c r="AC250" s="2098"/>
      <c r="AD250" s="2098"/>
      <c r="AE250" s="2098"/>
      <c r="AF250" s="2098"/>
      <c r="AG250" s="2098"/>
      <c r="AH250" s="2098"/>
      <c r="AI250" s="2098"/>
      <c r="AJ250" s="2098"/>
      <c r="AK250" s="2098"/>
      <c r="AL250" s="2098"/>
      <c r="AM250" s="2098"/>
      <c r="AN250" s="2098"/>
      <c r="AO250" s="2098"/>
      <c r="AP250" s="2098"/>
      <c r="AQ250" s="2098"/>
      <c r="AR250" s="2098"/>
      <c r="AS250" s="2098"/>
      <c r="AT250" s="2098"/>
      <c r="AU250" s="2098"/>
      <c r="AV250" s="2098"/>
      <c r="AW250" s="2098"/>
      <c r="AX250" s="2098"/>
      <c r="AY250" s="2098"/>
      <c r="AZ250" s="2098"/>
    </row>
    <row r="251" spans="3:52">
      <c r="C251" s="2096"/>
      <c r="D251" s="2097"/>
      <c r="E251" s="2098"/>
      <c r="F251" s="2098"/>
      <c r="G251" s="2098"/>
      <c r="H251" s="2098"/>
      <c r="I251" s="2098"/>
      <c r="J251" s="2098"/>
      <c r="K251" s="2098"/>
      <c r="L251" s="2098"/>
      <c r="M251" s="2098"/>
      <c r="N251" s="2098"/>
      <c r="O251" s="2098"/>
      <c r="P251" s="2098"/>
      <c r="Q251" s="2098"/>
      <c r="R251" s="2098"/>
      <c r="S251" s="2098"/>
      <c r="T251" s="2098"/>
      <c r="U251" s="2098"/>
      <c r="V251" s="2098"/>
      <c r="W251" s="2098"/>
      <c r="X251" s="2098"/>
      <c r="Y251" s="2098"/>
      <c r="Z251" s="2098"/>
      <c r="AA251" s="2098"/>
      <c r="AB251" s="2098"/>
      <c r="AC251" s="2098"/>
      <c r="AD251" s="2098"/>
      <c r="AE251" s="2098"/>
      <c r="AF251" s="2098"/>
      <c r="AG251" s="2098"/>
      <c r="AH251" s="2098"/>
      <c r="AI251" s="2098"/>
      <c r="AJ251" s="2098"/>
      <c r="AK251" s="2098"/>
      <c r="AL251" s="2098"/>
      <c r="AM251" s="2098"/>
      <c r="AN251" s="2098"/>
      <c r="AO251" s="2098"/>
      <c r="AP251" s="2098"/>
      <c r="AQ251" s="2098"/>
      <c r="AR251" s="2098"/>
      <c r="AS251" s="2098"/>
      <c r="AT251" s="2098"/>
      <c r="AU251" s="2098"/>
      <c r="AV251" s="2098"/>
      <c r="AW251" s="2098"/>
      <c r="AX251" s="2098"/>
      <c r="AY251" s="2098"/>
      <c r="AZ251" s="2098"/>
    </row>
    <row r="252" spans="3:52">
      <c r="C252" s="2096"/>
      <c r="D252" s="2097"/>
      <c r="E252" s="2098"/>
      <c r="F252" s="2098"/>
      <c r="G252" s="2098"/>
      <c r="H252" s="2098"/>
      <c r="I252" s="2098"/>
      <c r="J252" s="2098"/>
      <c r="K252" s="2098"/>
      <c r="L252" s="2098"/>
      <c r="M252" s="2098"/>
      <c r="N252" s="2098"/>
      <c r="O252" s="2098"/>
      <c r="P252" s="2098"/>
      <c r="Q252" s="2098"/>
      <c r="R252" s="2098"/>
      <c r="S252" s="2098"/>
      <c r="T252" s="2098"/>
      <c r="U252" s="2098"/>
      <c r="V252" s="2098"/>
      <c r="W252" s="2098"/>
      <c r="X252" s="2098"/>
      <c r="Y252" s="2098"/>
      <c r="Z252" s="2098"/>
      <c r="AA252" s="2098"/>
      <c r="AB252" s="2098"/>
      <c r="AC252" s="2098"/>
      <c r="AD252" s="2098"/>
      <c r="AE252" s="2098"/>
      <c r="AF252" s="2098"/>
      <c r="AG252" s="2098"/>
      <c r="AH252" s="2098"/>
      <c r="AI252" s="2098"/>
      <c r="AJ252" s="2098"/>
      <c r="AK252" s="2098"/>
      <c r="AL252" s="2098"/>
      <c r="AM252" s="2098"/>
      <c r="AN252" s="2098"/>
      <c r="AO252" s="2098"/>
      <c r="AP252" s="2098"/>
      <c r="AQ252" s="2098"/>
      <c r="AR252" s="2098"/>
      <c r="AS252" s="2098"/>
      <c r="AT252" s="2098"/>
      <c r="AU252" s="2098"/>
      <c r="AV252" s="2098"/>
      <c r="AW252" s="2098"/>
      <c r="AX252" s="2098"/>
      <c r="AY252" s="2098"/>
      <c r="AZ252" s="2098"/>
    </row>
    <row r="253" spans="3:52">
      <c r="C253" s="2096"/>
      <c r="D253" s="2097"/>
      <c r="E253" s="2098"/>
      <c r="F253" s="2098"/>
      <c r="G253" s="2098"/>
      <c r="H253" s="2098"/>
      <c r="I253" s="2098"/>
      <c r="J253" s="2098"/>
      <c r="K253" s="2098"/>
      <c r="L253" s="2098"/>
      <c r="M253" s="2098"/>
      <c r="N253" s="2098"/>
      <c r="O253" s="2098"/>
      <c r="P253" s="2098"/>
      <c r="Q253" s="2098"/>
      <c r="R253" s="2098"/>
      <c r="S253" s="2098"/>
      <c r="T253" s="2098"/>
      <c r="U253" s="2098"/>
      <c r="V253" s="2098"/>
      <c r="W253" s="2098"/>
      <c r="X253" s="2098"/>
      <c r="Y253" s="2098"/>
      <c r="Z253" s="2098"/>
      <c r="AA253" s="2098"/>
      <c r="AB253" s="2098"/>
      <c r="AC253" s="2098"/>
      <c r="AD253" s="2098"/>
      <c r="AE253" s="2098"/>
      <c r="AF253" s="2098"/>
      <c r="AG253" s="2098"/>
      <c r="AH253" s="2098"/>
      <c r="AI253" s="2098"/>
      <c r="AJ253" s="2098"/>
      <c r="AK253" s="2098"/>
      <c r="AL253" s="2098"/>
      <c r="AM253" s="2098"/>
      <c r="AN253" s="2098"/>
      <c r="AO253" s="2098"/>
      <c r="AP253" s="2098"/>
      <c r="AQ253" s="2098"/>
      <c r="AR253" s="2098"/>
      <c r="AS253" s="2098"/>
      <c r="AT253" s="2098"/>
      <c r="AU253" s="2098"/>
      <c r="AV253" s="2098"/>
      <c r="AW253" s="2098"/>
      <c r="AX253" s="2098"/>
      <c r="AY253" s="2098"/>
      <c r="AZ253" s="2098"/>
    </row>
    <row r="254" spans="3:52">
      <c r="C254" s="2096"/>
      <c r="D254" s="2097"/>
      <c r="E254" s="2098"/>
      <c r="F254" s="2098"/>
      <c r="G254" s="2098"/>
      <c r="H254" s="2098"/>
      <c r="I254" s="2098"/>
      <c r="J254" s="2098"/>
      <c r="K254" s="2098"/>
      <c r="L254" s="2098"/>
      <c r="M254" s="2098"/>
      <c r="N254" s="2098"/>
      <c r="O254" s="2098"/>
      <c r="P254" s="2098"/>
      <c r="Q254" s="2098"/>
      <c r="R254" s="2098"/>
      <c r="S254" s="2098"/>
      <c r="T254" s="2098"/>
      <c r="U254" s="2098"/>
      <c r="V254" s="2098"/>
      <c r="W254" s="2098"/>
      <c r="X254" s="2098"/>
      <c r="Y254" s="2098"/>
      <c r="Z254" s="2098"/>
      <c r="AA254" s="2098"/>
      <c r="AB254" s="2098"/>
      <c r="AC254" s="2098"/>
      <c r="AD254" s="2098"/>
      <c r="AE254" s="2098"/>
      <c r="AF254" s="2098"/>
      <c r="AG254" s="2098"/>
      <c r="AH254" s="2098"/>
      <c r="AI254" s="2098"/>
      <c r="AJ254" s="2098"/>
      <c r="AK254" s="2098"/>
      <c r="AL254" s="2098"/>
      <c r="AM254" s="2098"/>
      <c r="AN254" s="2098"/>
      <c r="AO254" s="2098"/>
      <c r="AP254" s="2098"/>
      <c r="AQ254" s="2098"/>
      <c r="AR254" s="2098"/>
      <c r="AS254" s="2098"/>
      <c r="AT254" s="2098"/>
      <c r="AU254" s="2098"/>
      <c r="AV254" s="2098"/>
      <c r="AW254" s="2098"/>
      <c r="AX254" s="2098"/>
      <c r="AY254" s="2098"/>
      <c r="AZ254" s="2098"/>
    </row>
    <row r="255" spans="3:52">
      <c r="C255" s="2096"/>
      <c r="D255" s="2097"/>
      <c r="E255" s="2098"/>
      <c r="F255" s="2098"/>
      <c r="G255" s="2098"/>
      <c r="H255" s="2098"/>
      <c r="I255" s="2098"/>
      <c r="J255" s="2098"/>
      <c r="K255" s="2098"/>
      <c r="L255" s="2098"/>
      <c r="M255" s="2098"/>
      <c r="N255" s="2098"/>
      <c r="O255" s="2098"/>
      <c r="P255" s="2098"/>
      <c r="Q255" s="2098"/>
      <c r="R255" s="2098"/>
      <c r="S255" s="2098"/>
      <c r="T255" s="2098"/>
      <c r="U255" s="2098"/>
      <c r="V255" s="2098"/>
      <c r="W255" s="2098"/>
      <c r="X255" s="2098"/>
      <c r="Y255" s="2098"/>
      <c r="Z255" s="2098"/>
      <c r="AA255" s="2098"/>
      <c r="AB255" s="2098"/>
      <c r="AC255" s="2098"/>
      <c r="AD255" s="2098"/>
      <c r="AE255" s="2098"/>
      <c r="AF255" s="2098"/>
      <c r="AG255" s="2098"/>
      <c r="AH255" s="2098"/>
      <c r="AI255" s="2098"/>
      <c r="AJ255" s="2098"/>
      <c r="AK255" s="2098"/>
      <c r="AL255" s="2098"/>
      <c r="AM255" s="2098"/>
      <c r="AN255" s="2098"/>
      <c r="AO255" s="2098"/>
      <c r="AP255" s="2098"/>
      <c r="AQ255" s="2098"/>
      <c r="AR255" s="2098"/>
      <c r="AS255" s="2098"/>
      <c r="AT255" s="2098"/>
      <c r="AU255" s="2098"/>
      <c r="AV255" s="2098"/>
      <c r="AW255" s="2098"/>
      <c r="AX255" s="2098"/>
      <c r="AY255" s="2098"/>
      <c r="AZ255" s="2098"/>
    </row>
    <row r="256" spans="3:52">
      <c r="C256" s="2096"/>
      <c r="D256" s="2097"/>
      <c r="E256" s="2098"/>
      <c r="F256" s="2098"/>
      <c r="G256" s="2098"/>
      <c r="H256" s="2098"/>
      <c r="I256" s="2098"/>
      <c r="J256" s="2098"/>
      <c r="K256" s="2098"/>
      <c r="L256" s="2098"/>
      <c r="M256" s="2098"/>
      <c r="N256" s="2098"/>
      <c r="O256" s="2098"/>
      <c r="P256" s="2098"/>
      <c r="Q256" s="2098"/>
      <c r="R256" s="2098"/>
      <c r="S256" s="2098"/>
      <c r="T256" s="2098"/>
      <c r="U256" s="2098"/>
      <c r="V256" s="2098"/>
      <c r="W256" s="2098"/>
      <c r="X256" s="2098"/>
      <c r="Y256" s="2098"/>
      <c r="Z256" s="2098"/>
      <c r="AA256" s="2098"/>
      <c r="AB256" s="2098"/>
      <c r="AC256" s="2098"/>
      <c r="AD256" s="2098"/>
      <c r="AE256" s="2098"/>
      <c r="AF256" s="2098"/>
      <c r="AG256" s="2098"/>
      <c r="AH256" s="2098"/>
      <c r="AI256" s="2098"/>
      <c r="AJ256" s="2098"/>
      <c r="AK256" s="2098"/>
      <c r="AL256" s="2098"/>
      <c r="AM256" s="2098"/>
      <c r="AN256" s="2098"/>
      <c r="AO256" s="2098"/>
      <c r="AP256" s="2098"/>
      <c r="AQ256" s="2098"/>
      <c r="AR256" s="2098"/>
      <c r="AS256" s="2098"/>
      <c r="AT256" s="2098"/>
      <c r="AU256" s="2098"/>
      <c r="AV256" s="2098"/>
      <c r="AW256" s="2098"/>
      <c r="AX256" s="2098"/>
      <c r="AY256" s="2098"/>
      <c r="AZ256" s="2098"/>
    </row>
    <row r="257" spans="3:52">
      <c r="C257" s="2096"/>
      <c r="D257" s="2097"/>
      <c r="E257" s="2098"/>
      <c r="F257" s="2098"/>
      <c r="G257" s="2098"/>
      <c r="H257" s="2098"/>
      <c r="I257" s="2098"/>
      <c r="J257" s="2098"/>
      <c r="K257" s="2098"/>
      <c r="L257" s="2098"/>
      <c r="M257" s="2098"/>
      <c r="N257" s="2098"/>
      <c r="O257" s="2098"/>
      <c r="P257" s="2098"/>
      <c r="Q257" s="2098"/>
      <c r="R257" s="2098"/>
      <c r="S257" s="2098"/>
      <c r="T257" s="2098"/>
      <c r="U257" s="2098"/>
      <c r="V257" s="2098"/>
      <c r="W257" s="2098"/>
      <c r="X257" s="2098"/>
      <c r="Y257" s="2098"/>
      <c r="Z257" s="2098"/>
      <c r="AA257" s="2098"/>
      <c r="AB257" s="2098"/>
      <c r="AC257" s="2098"/>
      <c r="AD257" s="2098"/>
      <c r="AE257" s="2098"/>
      <c r="AF257" s="2098"/>
      <c r="AG257" s="2098"/>
      <c r="AH257" s="2098"/>
      <c r="AI257" s="2098"/>
      <c r="AJ257" s="2098"/>
      <c r="AK257" s="2098"/>
      <c r="AL257" s="2098"/>
      <c r="AM257" s="2098"/>
      <c r="AN257" s="2098"/>
      <c r="AO257" s="2098"/>
      <c r="AP257" s="2098"/>
      <c r="AQ257" s="2098"/>
      <c r="AR257" s="2098"/>
      <c r="AS257" s="2098"/>
      <c r="AT257" s="2098"/>
      <c r="AU257" s="2098"/>
      <c r="AV257" s="2098"/>
      <c r="AW257" s="2098"/>
      <c r="AX257" s="2098"/>
      <c r="AY257" s="2098"/>
      <c r="AZ257" s="2098"/>
    </row>
    <row r="258" spans="3:52">
      <c r="C258" s="2096"/>
      <c r="D258" s="2097"/>
      <c r="E258" s="2098"/>
      <c r="F258" s="2098"/>
      <c r="G258" s="2098"/>
      <c r="H258" s="2098"/>
      <c r="I258" s="2098"/>
      <c r="J258" s="2098"/>
      <c r="K258" s="2098"/>
      <c r="L258" s="2098"/>
      <c r="M258" s="2098"/>
      <c r="N258" s="2098"/>
      <c r="O258" s="2098"/>
      <c r="P258" s="2098"/>
      <c r="Q258" s="2098"/>
      <c r="R258" s="2098"/>
      <c r="S258" s="2098"/>
      <c r="T258" s="2098"/>
      <c r="U258" s="2098"/>
      <c r="V258" s="2098"/>
      <c r="W258" s="2098"/>
      <c r="X258" s="2098"/>
      <c r="Y258" s="2098"/>
      <c r="Z258" s="2098"/>
      <c r="AA258" s="2098"/>
      <c r="AB258" s="2098"/>
      <c r="AC258" s="2098"/>
      <c r="AD258" s="2098"/>
      <c r="AE258" s="2098"/>
      <c r="AF258" s="2098"/>
      <c r="AG258" s="2098"/>
      <c r="AH258" s="2098"/>
      <c r="AI258" s="2098"/>
      <c r="AJ258" s="2098"/>
      <c r="AK258" s="2098"/>
      <c r="AL258" s="2098"/>
      <c r="AM258" s="2098"/>
      <c r="AN258" s="2098"/>
      <c r="AO258" s="2098"/>
      <c r="AP258" s="2098"/>
      <c r="AQ258" s="2098"/>
      <c r="AR258" s="2098"/>
      <c r="AS258" s="2098"/>
      <c r="AT258" s="2098"/>
      <c r="AU258" s="2098"/>
      <c r="AV258" s="2098"/>
      <c r="AW258" s="2098"/>
      <c r="AX258" s="2098"/>
      <c r="AY258" s="2098"/>
      <c r="AZ258" s="2098"/>
    </row>
    <row r="259" spans="3:52">
      <c r="C259" s="2096"/>
      <c r="D259" s="2097"/>
      <c r="E259" s="2098"/>
      <c r="F259" s="2098"/>
      <c r="G259" s="2098"/>
      <c r="H259" s="2098"/>
      <c r="I259" s="2098"/>
      <c r="J259" s="2098"/>
      <c r="K259" s="2098"/>
      <c r="L259" s="2098"/>
      <c r="M259" s="2098"/>
      <c r="N259" s="2098"/>
      <c r="O259" s="2098"/>
      <c r="P259" s="2098"/>
      <c r="Q259" s="2098"/>
      <c r="R259" s="2098"/>
      <c r="S259" s="2098"/>
      <c r="T259" s="2098"/>
      <c r="U259" s="2098"/>
      <c r="V259" s="2098"/>
      <c r="W259" s="2098"/>
      <c r="X259" s="2098"/>
      <c r="Y259" s="2098"/>
      <c r="Z259" s="2098"/>
      <c r="AA259" s="2098"/>
      <c r="AB259" s="2098"/>
      <c r="AC259" s="2098"/>
      <c r="AD259" s="2098"/>
      <c r="AE259" s="2098"/>
      <c r="AF259" s="2098"/>
      <c r="AG259" s="2098"/>
      <c r="AH259" s="2098"/>
      <c r="AI259" s="2098"/>
      <c r="AJ259" s="2098"/>
      <c r="AK259" s="2098"/>
      <c r="AL259" s="2098"/>
      <c r="AM259" s="2098"/>
      <c r="AN259" s="2098"/>
      <c r="AO259" s="2098"/>
      <c r="AP259" s="2098"/>
      <c r="AQ259" s="2098"/>
      <c r="AR259" s="2098"/>
      <c r="AS259" s="2098"/>
      <c r="AT259" s="2098"/>
      <c r="AU259" s="2098"/>
      <c r="AV259" s="2098"/>
      <c r="AW259" s="2098"/>
      <c r="AX259" s="2098"/>
      <c r="AY259" s="2098"/>
      <c r="AZ259" s="2098"/>
    </row>
    <row r="260" spans="3:52">
      <c r="C260" s="2096"/>
      <c r="D260" s="2097"/>
      <c r="E260" s="2098"/>
      <c r="F260" s="2098"/>
      <c r="G260" s="2098"/>
      <c r="H260" s="2098"/>
      <c r="I260" s="2098"/>
      <c r="J260" s="2098"/>
      <c r="K260" s="2098"/>
      <c r="L260" s="2098"/>
      <c r="M260" s="2098"/>
      <c r="N260" s="2098"/>
      <c r="O260" s="2098"/>
      <c r="P260" s="2098"/>
      <c r="Q260" s="2098"/>
      <c r="R260" s="2098"/>
      <c r="S260" s="2098"/>
      <c r="T260" s="2098"/>
      <c r="U260" s="2098"/>
      <c r="V260" s="2098"/>
      <c r="W260" s="2098"/>
      <c r="X260" s="2098"/>
      <c r="Y260" s="2098"/>
      <c r="Z260" s="2098"/>
      <c r="AA260" s="2098"/>
      <c r="AB260" s="2098"/>
      <c r="AC260" s="2098"/>
      <c r="AD260" s="2098"/>
      <c r="AE260" s="2098"/>
      <c r="AF260" s="2098"/>
      <c r="AG260" s="2098"/>
      <c r="AH260" s="2098"/>
      <c r="AI260" s="2098"/>
      <c r="AJ260" s="2098"/>
      <c r="AK260" s="2098"/>
      <c r="AL260" s="2098"/>
      <c r="AM260" s="2098"/>
      <c r="AN260" s="2098"/>
      <c r="AO260" s="2098"/>
      <c r="AP260" s="2098"/>
      <c r="AQ260" s="2098"/>
      <c r="AR260" s="2098"/>
      <c r="AS260" s="2098"/>
      <c r="AT260" s="2098"/>
      <c r="AU260" s="2098"/>
      <c r="AV260" s="2098"/>
      <c r="AW260" s="2098"/>
      <c r="AX260" s="2098"/>
      <c r="AY260" s="2098"/>
      <c r="AZ260" s="2098"/>
    </row>
    <row r="261" spans="3:52">
      <c r="C261" s="2096"/>
      <c r="D261" s="2097"/>
      <c r="E261" s="2098"/>
      <c r="F261" s="2098"/>
      <c r="G261" s="2098"/>
      <c r="H261" s="2098"/>
      <c r="I261" s="2098"/>
      <c r="J261" s="2098"/>
      <c r="K261" s="2098"/>
      <c r="L261" s="2098"/>
      <c r="M261" s="2098"/>
      <c r="N261" s="2098"/>
      <c r="O261" s="2098"/>
      <c r="P261" s="2098"/>
      <c r="Q261" s="2098"/>
      <c r="R261" s="2098"/>
      <c r="S261" s="2098"/>
      <c r="T261" s="2098"/>
      <c r="U261" s="2098"/>
      <c r="V261" s="2098"/>
      <c r="W261" s="2098"/>
      <c r="X261" s="2098"/>
      <c r="Y261" s="2098"/>
      <c r="Z261" s="2098"/>
      <c r="AA261" s="2098"/>
      <c r="AB261" s="2098"/>
      <c r="AC261" s="2098"/>
      <c r="AD261" s="2098"/>
      <c r="AE261" s="2098"/>
      <c r="AF261" s="2098"/>
      <c r="AG261" s="2098"/>
      <c r="AH261" s="2098"/>
      <c r="AI261" s="2098"/>
      <c r="AJ261" s="2098"/>
      <c r="AK261" s="2098"/>
      <c r="AL261" s="2098"/>
      <c r="AM261" s="2098"/>
      <c r="AN261" s="2098"/>
      <c r="AO261" s="2098"/>
      <c r="AP261" s="2098"/>
      <c r="AQ261" s="2098"/>
      <c r="AR261" s="2098"/>
      <c r="AS261" s="2098"/>
      <c r="AT261" s="2098"/>
      <c r="AU261" s="2098"/>
      <c r="AV261" s="2098"/>
      <c r="AW261" s="2098"/>
      <c r="AX261" s="2098"/>
      <c r="AY261" s="2098"/>
      <c r="AZ261" s="2098"/>
    </row>
    <row r="262" spans="3:52">
      <c r="C262" s="2096"/>
      <c r="D262" s="2097"/>
      <c r="E262" s="2098"/>
      <c r="F262" s="2098"/>
      <c r="G262" s="2098"/>
      <c r="H262" s="2098"/>
      <c r="I262" s="2098"/>
      <c r="J262" s="2098"/>
      <c r="K262" s="2098"/>
      <c r="L262" s="2098"/>
      <c r="M262" s="2098"/>
      <c r="N262" s="2098"/>
      <c r="O262" s="2098"/>
      <c r="P262" s="2098"/>
      <c r="Q262" s="2098"/>
      <c r="R262" s="2098"/>
      <c r="S262" s="2098"/>
      <c r="T262" s="2098"/>
      <c r="U262" s="2098"/>
      <c r="V262" s="2098"/>
      <c r="W262" s="2098"/>
      <c r="X262" s="2098"/>
      <c r="Y262" s="2098"/>
      <c r="Z262" s="2098"/>
      <c r="AA262" s="2098"/>
      <c r="AB262" s="2098"/>
      <c r="AC262" s="2098"/>
      <c r="AD262" s="2098"/>
      <c r="AE262" s="2098"/>
      <c r="AF262" s="2098"/>
      <c r="AG262" s="2098"/>
      <c r="AH262" s="2098"/>
      <c r="AI262" s="2098"/>
      <c r="AJ262" s="2098"/>
      <c r="AK262" s="2098"/>
      <c r="AL262" s="2098"/>
      <c r="AM262" s="2098"/>
      <c r="AN262" s="2098"/>
      <c r="AO262" s="2098"/>
      <c r="AP262" s="2098"/>
      <c r="AQ262" s="2098"/>
      <c r="AR262" s="2098"/>
      <c r="AS262" s="2098"/>
      <c r="AT262" s="2098"/>
      <c r="AU262" s="2098"/>
      <c r="AV262" s="2098"/>
      <c r="AW262" s="2098"/>
      <c r="AX262" s="2098"/>
      <c r="AY262" s="2098"/>
      <c r="AZ262" s="2098"/>
    </row>
    <row r="263" spans="3:52">
      <c r="C263" s="2096"/>
      <c r="D263" s="2097"/>
      <c r="E263" s="2098"/>
      <c r="F263" s="2098"/>
      <c r="G263" s="2098"/>
      <c r="H263" s="2098"/>
      <c r="I263" s="2098"/>
      <c r="J263" s="2098"/>
      <c r="K263" s="2098"/>
      <c r="L263" s="2098"/>
      <c r="M263" s="2098"/>
      <c r="N263" s="2098"/>
      <c r="O263" s="2098"/>
      <c r="P263" s="2098"/>
      <c r="Q263" s="2098"/>
      <c r="R263" s="2098"/>
      <c r="S263" s="2098"/>
      <c r="T263" s="2098"/>
      <c r="U263" s="2098"/>
      <c r="V263" s="2098"/>
      <c r="W263" s="2098"/>
      <c r="X263" s="2098"/>
      <c r="Y263" s="2098"/>
      <c r="Z263" s="2098"/>
      <c r="AA263" s="2098"/>
      <c r="AB263" s="2098"/>
      <c r="AC263" s="2098"/>
      <c r="AD263" s="2098"/>
      <c r="AE263" s="2098"/>
      <c r="AF263" s="2098"/>
      <c r="AG263" s="2098"/>
      <c r="AH263" s="2098"/>
      <c r="AI263" s="2098"/>
      <c r="AJ263" s="2098"/>
      <c r="AK263" s="2098"/>
      <c r="AL263" s="2098"/>
      <c r="AM263" s="2098"/>
      <c r="AN263" s="2098"/>
      <c r="AO263" s="2098"/>
      <c r="AP263" s="2098"/>
      <c r="AQ263" s="2098"/>
      <c r="AR263" s="2098"/>
      <c r="AS263" s="2098"/>
      <c r="AT263" s="2098"/>
      <c r="AU263" s="2098"/>
      <c r="AV263" s="2098"/>
      <c r="AW263" s="2098"/>
      <c r="AX263" s="2098"/>
      <c r="AY263" s="2098"/>
      <c r="AZ263" s="2098"/>
    </row>
    <row r="264" spans="3:52">
      <c r="C264" s="2096"/>
      <c r="D264" s="2097"/>
      <c r="E264" s="2098"/>
      <c r="F264" s="2098"/>
      <c r="G264" s="2098"/>
      <c r="H264" s="2098"/>
      <c r="I264" s="2098"/>
      <c r="J264" s="2098"/>
      <c r="K264" s="2098"/>
      <c r="L264" s="2098"/>
      <c r="M264" s="2098"/>
      <c r="N264" s="2098"/>
      <c r="O264" s="2098"/>
      <c r="P264" s="2098"/>
      <c r="Q264" s="2098"/>
      <c r="R264" s="2098"/>
      <c r="S264" s="2098"/>
      <c r="T264" s="2098"/>
      <c r="U264" s="2098"/>
      <c r="V264" s="2098"/>
      <c r="W264" s="2098"/>
      <c r="X264" s="2098"/>
      <c r="Y264" s="2098"/>
      <c r="Z264" s="2098"/>
      <c r="AA264" s="2098"/>
      <c r="AB264" s="2098"/>
      <c r="AC264" s="2098"/>
      <c r="AD264" s="2098"/>
      <c r="AE264" s="2098"/>
      <c r="AF264" s="2098"/>
      <c r="AG264" s="2098"/>
      <c r="AH264" s="2098"/>
      <c r="AI264" s="2098"/>
      <c r="AJ264" s="2098"/>
      <c r="AK264" s="2098"/>
      <c r="AL264" s="2098"/>
      <c r="AM264" s="2098"/>
      <c r="AN264" s="2098"/>
      <c r="AO264" s="2098"/>
      <c r="AP264" s="2098"/>
      <c r="AQ264" s="2098"/>
      <c r="AR264" s="2098"/>
      <c r="AS264" s="2098"/>
      <c r="AT264" s="2098"/>
      <c r="AU264" s="2098"/>
      <c r="AV264" s="2098"/>
      <c r="AW264" s="2098"/>
      <c r="AX264" s="2098"/>
      <c r="AY264" s="2098"/>
      <c r="AZ264" s="2098"/>
    </row>
    <row r="265" spans="3:52">
      <c r="C265" s="2096"/>
      <c r="D265" s="2097"/>
      <c r="E265" s="2098"/>
      <c r="F265" s="2098"/>
      <c r="G265" s="2098"/>
      <c r="H265" s="2098"/>
      <c r="I265" s="2098"/>
      <c r="J265" s="2098"/>
      <c r="K265" s="2098"/>
      <c r="L265" s="2098"/>
      <c r="M265" s="2098"/>
      <c r="N265" s="2098"/>
      <c r="O265" s="2098"/>
      <c r="P265" s="2098"/>
      <c r="Q265" s="2098"/>
      <c r="R265" s="2098"/>
      <c r="S265" s="2098"/>
      <c r="T265" s="2098"/>
      <c r="U265" s="2098"/>
      <c r="V265" s="2098"/>
      <c r="W265" s="2098"/>
      <c r="X265" s="2098"/>
      <c r="Y265" s="2098"/>
      <c r="Z265" s="2098"/>
      <c r="AA265" s="2098"/>
      <c r="AB265" s="2098"/>
      <c r="AC265" s="2098"/>
      <c r="AD265" s="2098"/>
      <c r="AE265" s="2098"/>
      <c r="AF265" s="2098"/>
      <c r="AG265" s="2098"/>
      <c r="AH265" s="2098"/>
      <c r="AI265" s="2098"/>
      <c r="AJ265" s="2098"/>
      <c r="AK265" s="2098"/>
      <c r="AL265" s="2098"/>
      <c r="AM265" s="2098"/>
      <c r="AN265" s="2098"/>
      <c r="AO265" s="2098"/>
      <c r="AP265" s="2098"/>
      <c r="AQ265" s="2098"/>
      <c r="AR265" s="2098"/>
      <c r="AS265" s="2098"/>
      <c r="AT265" s="2098"/>
      <c r="AU265" s="2098"/>
      <c r="AV265" s="2098"/>
      <c r="AW265" s="2098"/>
      <c r="AX265" s="2098"/>
      <c r="AY265" s="2098"/>
      <c r="AZ265" s="2098"/>
    </row>
    <row r="266" spans="3:52">
      <c r="C266" s="2096"/>
      <c r="D266" s="2097"/>
      <c r="E266" s="2098"/>
      <c r="F266" s="2098"/>
      <c r="G266" s="2098"/>
      <c r="H266" s="2098"/>
      <c r="I266" s="2098"/>
      <c r="J266" s="2098"/>
      <c r="K266" s="2098"/>
      <c r="L266" s="2098"/>
      <c r="M266" s="2098"/>
      <c r="N266" s="2098"/>
      <c r="O266" s="2098"/>
      <c r="P266" s="2098"/>
      <c r="Q266" s="2098"/>
      <c r="R266" s="2098"/>
      <c r="S266" s="2098"/>
      <c r="T266" s="2098"/>
      <c r="U266" s="2098"/>
      <c r="V266" s="2098"/>
      <c r="W266" s="2098"/>
      <c r="X266" s="2098"/>
      <c r="Y266" s="2098"/>
      <c r="Z266" s="2098"/>
      <c r="AA266" s="2098"/>
      <c r="AB266" s="2098"/>
      <c r="AC266" s="2098"/>
      <c r="AD266" s="2098"/>
      <c r="AE266" s="2098"/>
      <c r="AF266" s="2098"/>
      <c r="AG266" s="2098"/>
      <c r="AH266" s="2098"/>
      <c r="AI266" s="2098"/>
      <c r="AJ266" s="2098"/>
      <c r="AK266" s="2098"/>
      <c r="AL266" s="2098"/>
      <c r="AM266" s="2098"/>
      <c r="AN266" s="2098"/>
      <c r="AO266" s="2098"/>
      <c r="AP266" s="2098"/>
      <c r="AQ266" s="2098"/>
      <c r="AR266" s="2098"/>
      <c r="AS266" s="2098"/>
      <c r="AT266" s="2098"/>
      <c r="AU266" s="2098"/>
      <c r="AV266" s="2098"/>
      <c r="AW266" s="2098"/>
      <c r="AX266" s="2098"/>
      <c r="AY266" s="2098"/>
      <c r="AZ266" s="2098"/>
    </row>
    <row r="267" spans="3:52">
      <c r="C267" s="2096"/>
      <c r="D267" s="2097"/>
      <c r="E267" s="2098"/>
      <c r="F267" s="2098"/>
      <c r="G267" s="2098"/>
      <c r="H267" s="2098"/>
      <c r="I267" s="2098"/>
      <c r="J267" s="2098"/>
      <c r="K267" s="2098"/>
      <c r="L267" s="2098"/>
      <c r="M267" s="2098"/>
      <c r="N267" s="2098"/>
      <c r="O267" s="2098"/>
      <c r="P267" s="2098"/>
      <c r="Q267" s="2098"/>
      <c r="R267" s="2098"/>
      <c r="S267" s="2098"/>
      <c r="T267" s="2098"/>
      <c r="U267" s="2098"/>
      <c r="V267" s="2098"/>
      <c r="W267" s="2098"/>
      <c r="X267" s="2098"/>
      <c r="Y267" s="2098"/>
      <c r="Z267" s="2098"/>
      <c r="AA267" s="2098"/>
      <c r="AB267" s="2098"/>
      <c r="AC267" s="2098"/>
      <c r="AD267" s="2098"/>
      <c r="AE267" s="2098"/>
      <c r="AF267" s="2098"/>
      <c r="AG267" s="2098"/>
      <c r="AH267" s="2098"/>
      <c r="AI267" s="2098"/>
      <c r="AJ267" s="2098"/>
      <c r="AK267" s="2098"/>
      <c r="AL267" s="2098"/>
      <c r="AM267" s="2098"/>
      <c r="AN267" s="2098"/>
      <c r="AO267" s="2098"/>
      <c r="AP267" s="2098"/>
      <c r="AQ267" s="2098"/>
      <c r="AR267" s="2098"/>
      <c r="AS267" s="2098"/>
      <c r="AT267" s="2098"/>
      <c r="AU267" s="2098"/>
      <c r="AV267" s="2098"/>
      <c r="AW267" s="2098"/>
      <c r="AX267" s="2098"/>
      <c r="AY267" s="2098"/>
      <c r="AZ267" s="2098"/>
    </row>
    <row r="268" spans="3:52">
      <c r="C268" s="2096"/>
      <c r="D268" s="2097"/>
      <c r="E268" s="2098"/>
      <c r="F268" s="2098"/>
      <c r="G268" s="2098"/>
      <c r="H268" s="2098"/>
      <c r="I268" s="2098"/>
      <c r="J268" s="2098"/>
      <c r="K268" s="2098"/>
      <c r="L268" s="2098"/>
      <c r="M268" s="2098"/>
      <c r="N268" s="2098"/>
      <c r="O268" s="2098"/>
      <c r="P268" s="2098"/>
      <c r="Q268" s="2098"/>
      <c r="R268" s="2098"/>
      <c r="S268" s="2098"/>
      <c r="T268" s="2098"/>
      <c r="U268" s="2098"/>
      <c r="V268" s="2098"/>
      <c r="W268" s="2098"/>
      <c r="X268" s="2098"/>
      <c r="Y268" s="2098"/>
      <c r="Z268" s="2098"/>
      <c r="AA268" s="2098"/>
      <c r="AB268" s="2098"/>
      <c r="AC268" s="2098"/>
      <c r="AD268" s="2098"/>
      <c r="AE268" s="2098"/>
      <c r="AF268" s="2098"/>
      <c r="AG268" s="2098"/>
      <c r="AH268" s="2098"/>
      <c r="AI268" s="2098"/>
      <c r="AJ268" s="2098"/>
      <c r="AK268" s="2098"/>
      <c r="AL268" s="2098"/>
      <c r="AM268" s="2098"/>
      <c r="AN268" s="2098"/>
      <c r="AO268" s="2098"/>
      <c r="AP268" s="2098"/>
      <c r="AQ268" s="2098"/>
      <c r="AR268" s="2098"/>
      <c r="AS268" s="2098"/>
      <c r="AT268" s="2098"/>
      <c r="AU268" s="2098"/>
      <c r="AV268" s="2098"/>
      <c r="AW268" s="2098"/>
      <c r="AX268" s="2098"/>
      <c r="AY268" s="2098"/>
      <c r="AZ268" s="2098"/>
    </row>
    <row r="269" spans="3:52">
      <c r="C269" s="2096"/>
      <c r="D269" s="2097"/>
      <c r="E269" s="2098"/>
      <c r="F269" s="2098"/>
      <c r="G269" s="2098"/>
      <c r="H269" s="2098"/>
      <c r="I269" s="2098"/>
      <c r="J269" s="2098"/>
      <c r="K269" s="2098"/>
      <c r="L269" s="2098"/>
      <c r="M269" s="2098"/>
      <c r="N269" s="2098"/>
      <c r="O269" s="2098"/>
      <c r="P269" s="2098"/>
      <c r="Q269" s="2098"/>
      <c r="R269" s="2098"/>
      <c r="S269" s="2098"/>
      <c r="T269" s="2098"/>
      <c r="U269" s="2098"/>
      <c r="V269" s="2098"/>
      <c r="W269" s="2098"/>
      <c r="X269" s="2098"/>
      <c r="Y269" s="2098"/>
      <c r="Z269" s="2098"/>
      <c r="AA269" s="2098"/>
      <c r="AB269" s="2098"/>
      <c r="AC269" s="2098"/>
      <c r="AD269" s="2098"/>
      <c r="AE269" s="2098"/>
      <c r="AF269" s="2098"/>
      <c r="AG269" s="2098"/>
      <c r="AH269" s="2098"/>
      <c r="AI269" s="2098"/>
      <c r="AJ269" s="2098"/>
      <c r="AK269" s="2098"/>
      <c r="AL269" s="2098"/>
      <c r="AM269" s="2098"/>
      <c r="AN269" s="2098"/>
      <c r="AO269" s="2098"/>
      <c r="AP269" s="2098"/>
      <c r="AQ269" s="2098"/>
      <c r="AR269" s="2098"/>
      <c r="AS269" s="2098"/>
      <c r="AT269" s="2098"/>
      <c r="AU269" s="2098"/>
      <c r="AV269" s="2098"/>
      <c r="AW269" s="2098"/>
      <c r="AX269" s="2098"/>
      <c r="AY269" s="2098"/>
      <c r="AZ269" s="2098"/>
    </row>
    <row r="270" spans="3:52">
      <c r="C270" s="2096"/>
      <c r="D270" s="2097"/>
      <c r="E270" s="2098"/>
      <c r="F270" s="2098"/>
      <c r="G270" s="2098"/>
      <c r="H270" s="2098"/>
      <c r="I270" s="2098"/>
      <c r="J270" s="2098"/>
      <c r="K270" s="2098"/>
      <c r="L270" s="2098"/>
      <c r="M270" s="2098"/>
      <c r="N270" s="2098"/>
      <c r="O270" s="2098"/>
      <c r="P270" s="2098"/>
      <c r="Q270" s="2098"/>
      <c r="R270" s="2098"/>
      <c r="S270" s="2098"/>
      <c r="T270" s="2098"/>
      <c r="U270" s="2098"/>
      <c r="V270" s="2098"/>
      <c r="W270" s="2098"/>
      <c r="X270" s="2098"/>
      <c r="Y270" s="2098"/>
      <c r="Z270" s="2098"/>
      <c r="AA270" s="2098"/>
      <c r="AB270" s="2098"/>
      <c r="AC270" s="2098"/>
      <c r="AD270" s="2098"/>
      <c r="AE270" s="2098"/>
      <c r="AF270" s="2098"/>
      <c r="AG270" s="2098"/>
      <c r="AH270" s="2098"/>
      <c r="AI270" s="2098"/>
      <c r="AJ270" s="2098"/>
      <c r="AK270" s="2098"/>
      <c r="AL270" s="2098"/>
      <c r="AM270" s="2098"/>
      <c r="AN270" s="2098"/>
      <c r="AO270" s="2098"/>
      <c r="AP270" s="2098"/>
      <c r="AQ270" s="2098"/>
      <c r="AR270" s="2098"/>
      <c r="AS270" s="2098"/>
      <c r="AT270" s="2098"/>
      <c r="AU270" s="2098"/>
      <c r="AV270" s="2098"/>
      <c r="AW270" s="2098"/>
      <c r="AX270" s="2098"/>
      <c r="AY270" s="2098"/>
      <c r="AZ270" s="2098"/>
    </row>
    <row r="271" spans="3:52">
      <c r="C271" s="2096"/>
      <c r="D271" s="2097"/>
      <c r="E271" s="2098"/>
      <c r="F271" s="2098"/>
      <c r="G271" s="2098"/>
      <c r="H271" s="2098"/>
      <c r="I271" s="2098"/>
      <c r="J271" s="2098"/>
      <c r="K271" s="2098"/>
      <c r="L271" s="2098"/>
      <c r="M271" s="2098"/>
      <c r="N271" s="2098"/>
      <c r="O271" s="2098"/>
      <c r="P271" s="2098"/>
      <c r="Q271" s="2098"/>
      <c r="R271" s="2098"/>
      <c r="S271" s="2098"/>
      <c r="T271" s="2098"/>
      <c r="U271" s="2098"/>
      <c r="V271" s="2098"/>
      <c r="W271" s="2098"/>
      <c r="X271" s="2098"/>
      <c r="Y271" s="2098"/>
      <c r="Z271" s="2098"/>
      <c r="AA271" s="2098"/>
      <c r="AB271" s="2098"/>
      <c r="AC271" s="2098"/>
      <c r="AD271" s="2098"/>
      <c r="AE271" s="2098"/>
      <c r="AF271" s="2098"/>
      <c r="AG271" s="2098"/>
      <c r="AH271" s="2098"/>
      <c r="AI271" s="2098"/>
      <c r="AJ271" s="2098"/>
      <c r="AK271" s="2098"/>
      <c r="AL271" s="2098"/>
      <c r="AM271" s="2098"/>
      <c r="AN271" s="2098"/>
      <c r="AO271" s="2098"/>
      <c r="AP271" s="2098"/>
      <c r="AQ271" s="2098"/>
      <c r="AR271" s="2098"/>
      <c r="AS271" s="2098"/>
      <c r="AT271" s="2098"/>
      <c r="AU271" s="2098"/>
      <c r="AV271" s="2098"/>
      <c r="AW271" s="2098"/>
      <c r="AX271" s="2098"/>
      <c r="AY271" s="2098"/>
      <c r="AZ271" s="2098"/>
    </row>
    <row r="272" spans="3:52">
      <c r="C272" s="2096"/>
      <c r="D272" s="2097"/>
      <c r="E272" s="2098"/>
      <c r="F272" s="2098"/>
      <c r="G272" s="2098"/>
      <c r="H272" s="2098"/>
      <c r="I272" s="2098"/>
      <c r="J272" s="2098"/>
      <c r="K272" s="2098"/>
      <c r="L272" s="2098"/>
      <c r="M272" s="2098"/>
      <c r="N272" s="2098"/>
      <c r="O272" s="2098"/>
      <c r="P272" s="2098"/>
      <c r="Q272" s="2098"/>
      <c r="R272" s="2098"/>
      <c r="S272" s="2098"/>
      <c r="T272" s="2098"/>
      <c r="U272" s="2098"/>
      <c r="V272" s="2098"/>
      <c r="W272" s="2098"/>
      <c r="X272" s="2098"/>
      <c r="Y272" s="2098"/>
      <c r="Z272" s="2098"/>
      <c r="AA272" s="2098"/>
      <c r="AB272" s="2098"/>
      <c r="AC272" s="2098"/>
      <c r="AD272" s="2098"/>
      <c r="AE272" s="2098"/>
      <c r="AF272" s="2098"/>
      <c r="AG272" s="2098"/>
      <c r="AH272" s="2098"/>
      <c r="AI272" s="2098"/>
      <c r="AJ272" s="2098"/>
      <c r="AK272" s="2098"/>
      <c r="AL272" s="2098"/>
      <c r="AM272" s="2098"/>
      <c r="AN272" s="2098"/>
      <c r="AO272" s="2098"/>
      <c r="AP272" s="2098"/>
      <c r="AQ272" s="2098"/>
      <c r="AR272" s="2098"/>
      <c r="AS272" s="2098"/>
      <c r="AT272" s="2098"/>
      <c r="AU272" s="2098"/>
      <c r="AV272" s="2098"/>
      <c r="AW272" s="2098"/>
      <c r="AX272" s="2098"/>
      <c r="AY272" s="2098"/>
      <c r="AZ272" s="2098"/>
    </row>
    <row r="273" spans="3:52">
      <c r="C273" s="2096"/>
      <c r="D273" s="2097"/>
      <c r="E273" s="2098"/>
      <c r="F273" s="2098"/>
      <c r="G273" s="2098"/>
      <c r="H273" s="2098"/>
      <c r="I273" s="2098"/>
      <c r="J273" s="2098"/>
      <c r="K273" s="2098"/>
      <c r="L273" s="2098"/>
      <c r="M273" s="2098"/>
      <c r="N273" s="2098"/>
      <c r="O273" s="2098"/>
      <c r="P273" s="2098"/>
      <c r="Q273" s="2098"/>
      <c r="R273" s="2098"/>
      <c r="S273" s="2098"/>
      <c r="T273" s="2098"/>
      <c r="U273" s="2098"/>
      <c r="V273" s="2098"/>
      <c r="W273" s="2098"/>
      <c r="X273" s="2098"/>
      <c r="Y273" s="2098"/>
      <c r="Z273" s="2098"/>
      <c r="AA273" s="2098"/>
      <c r="AB273" s="2098"/>
      <c r="AC273" s="2098"/>
      <c r="AD273" s="2098"/>
      <c r="AE273" s="2098"/>
      <c r="AF273" s="2098"/>
      <c r="AG273" s="2098"/>
      <c r="AH273" s="2098"/>
      <c r="AI273" s="2098"/>
      <c r="AJ273" s="2098"/>
      <c r="AK273" s="2098"/>
      <c r="AL273" s="2098"/>
      <c r="AM273" s="2098"/>
      <c r="AN273" s="2098"/>
      <c r="AO273" s="2098"/>
      <c r="AP273" s="2098"/>
      <c r="AQ273" s="2098"/>
      <c r="AR273" s="2098"/>
      <c r="AS273" s="2098"/>
      <c r="AT273" s="2098"/>
      <c r="AU273" s="2098"/>
      <c r="AV273" s="2098"/>
      <c r="AW273" s="2098"/>
      <c r="AX273" s="2098"/>
      <c r="AY273" s="2098"/>
      <c r="AZ273" s="2098"/>
    </row>
    <row r="274" spans="3:52">
      <c r="C274" s="2096"/>
      <c r="D274" s="2097"/>
      <c r="E274" s="2098"/>
      <c r="F274" s="2098"/>
      <c r="G274" s="2098"/>
      <c r="H274" s="2098"/>
      <c r="I274" s="2098"/>
      <c r="J274" s="2098"/>
      <c r="K274" s="2098"/>
      <c r="L274" s="2098"/>
      <c r="M274" s="2098"/>
      <c r="N274" s="2098"/>
      <c r="O274" s="2098"/>
      <c r="P274" s="2098"/>
      <c r="Q274" s="2098"/>
      <c r="R274" s="2098"/>
      <c r="S274" s="2098"/>
      <c r="T274" s="2098"/>
      <c r="U274" s="2098"/>
      <c r="V274" s="2098"/>
      <c r="W274" s="2098"/>
      <c r="X274" s="2098"/>
      <c r="Y274" s="2098"/>
      <c r="Z274" s="2098"/>
      <c r="AA274" s="2098"/>
      <c r="AB274" s="2098"/>
      <c r="AC274" s="2098"/>
      <c r="AD274" s="2098"/>
      <c r="AE274" s="2098"/>
      <c r="AF274" s="2098"/>
      <c r="AG274" s="2098"/>
      <c r="AH274" s="2098"/>
      <c r="AI274" s="2098"/>
      <c r="AJ274" s="2098"/>
      <c r="AK274" s="2098"/>
      <c r="AL274" s="2098"/>
      <c r="AM274" s="2098"/>
      <c r="AN274" s="2098"/>
      <c r="AO274" s="2098"/>
      <c r="AP274" s="2098"/>
      <c r="AQ274" s="2098"/>
      <c r="AR274" s="2098"/>
      <c r="AS274" s="2098"/>
      <c r="AT274" s="2098"/>
      <c r="AU274" s="2098"/>
      <c r="AV274" s="2098"/>
      <c r="AW274" s="2098"/>
      <c r="AX274" s="2098"/>
      <c r="AY274" s="2098"/>
      <c r="AZ274" s="2098"/>
    </row>
    <row r="275" spans="3:52">
      <c r="C275" s="2096"/>
      <c r="D275" s="2097"/>
      <c r="E275" s="2098"/>
      <c r="F275" s="2098"/>
      <c r="G275" s="2098"/>
      <c r="H275" s="2098"/>
      <c r="I275" s="2098"/>
      <c r="J275" s="2098"/>
      <c r="K275" s="2098"/>
      <c r="L275" s="2098"/>
      <c r="M275" s="2098"/>
      <c r="N275" s="2098"/>
      <c r="O275" s="2098"/>
      <c r="P275" s="2098"/>
      <c r="Q275" s="2098"/>
      <c r="R275" s="2098"/>
      <c r="S275" s="2098"/>
      <c r="T275" s="2098"/>
      <c r="U275" s="2098"/>
      <c r="V275" s="2098"/>
      <c r="W275" s="2098"/>
      <c r="X275" s="2098"/>
      <c r="Y275" s="2098"/>
      <c r="Z275" s="2098"/>
      <c r="AA275" s="2098"/>
      <c r="AB275" s="2098"/>
      <c r="AC275" s="2098"/>
      <c r="AD275" s="2098"/>
      <c r="AE275" s="2098"/>
      <c r="AF275" s="2098"/>
      <c r="AG275" s="2098"/>
      <c r="AH275" s="2098"/>
      <c r="AI275" s="2098"/>
      <c r="AJ275" s="2098"/>
      <c r="AK275" s="2098"/>
      <c r="AL275" s="2098"/>
      <c r="AM275" s="2098"/>
      <c r="AN275" s="2098"/>
      <c r="AO275" s="2098"/>
      <c r="AP275" s="2098"/>
      <c r="AQ275" s="2098"/>
      <c r="AR275" s="2098"/>
      <c r="AS275" s="2098"/>
      <c r="AT275" s="2098"/>
      <c r="AU275" s="2098"/>
      <c r="AV275" s="2098"/>
      <c r="AW275" s="2098"/>
      <c r="AX275" s="2098"/>
      <c r="AY275" s="2098"/>
      <c r="AZ275" s="2098"/>
    </row>
    <row r="276" spans="3:52">
      <c r="C276" s="2096"/>
      <c r="D276" s="2097"/>
      <c r="E276" s="2098"/>
      <c r="F276" s="2098"/>
      <c r="G276" s="2098"/>
      <c r="H276" s="2098"/>
      <c r="I276" s="2098"/>
      <c r="J276" s="2098"/>
      <c r="K276" s="2098"/>
      <c r="L276" s="2098"/>
      <c r="M276" s="2098"/>
      <c r="N276" s="2098"/>
      <c r="O276" s="2098"/>
      <c r="P276" s="2098"/>
      <c r="Q276" s="2098"/>
      <c r="R276" s="2098"/>
      <c r="S276" s="2098"/>
      <c r="T276" s="2098"/>
      <c r="U276" s="2098"/>
      <c r="V276" s="2098"/>
      <c r="W276" s="2098"/>
      <c r="X276" s="2098"/>
      <c r="Y276" s="2098"/>
      <c r="Z276" s="2098"/>
      <c r="AA276" s="2098"/>
      <c r="AB276" s="2098"/>
      <c r="AC276" s="2098"/>
      <c r="AD276" s="2098"/>
      <c r="AE276" s="2098"/>
      <c r="AF276" s="2098"/>
      <c r="AG276" s="2098"/>
      <c r="AH276" s="2098"/>
      <c r="AI276" s="2098"/>
      <c r="AJ276" s="2098"/>
      <c r="AK276" s="2098"/>
      <c r="AL276" s="2098"/>
      <c r="AM276" s="2098"/>
      <c r="AN276" s="2098"/>
      <c r="AO276" s="2098"/>
      <c r="AP276" s="2098"/>
      <c r="AQ276" s="2098"/>
      <c r="AR276" s="2098"/>
      <c r="AS276" s="2098"/>
      <c r="AT276" s="2098"/>
      <c r="AU276" s="2098"/>
      <c r="AV276" s="2098"/>
      <c r="AW276" s="2098"/>
      <c r="AX276" s="2098"/>
      <c r="AY276" s="2098"/>
      <c r="AZ276" s="2098"/>
    </row>
    <row r="277" spans="3:52">
      <c r="C277" s="2096"/>
      <c r="D277" s="2097"/>
      <c r="E277" s="2098"/>
      <c r="F277" s="2098"/>
      <c r="G277" s="2098"/>
      <c r="H277" s="2098"/>
      <c r="I277" s="2098"/>
      <c r="J277" s="2098"/>
      <c r="K277" s="2098"/>
      <c r="L277" s="2098"/>
      <c r="M277" s="2098"/>
      <c r="N277" s="2098"/>
      <c r="O277" s="2098"/>
      <c r="P277" s="2098"/>
      <c r="Q277" s="2098"/>
      <c r="R277" s="2098"/>
      <c r="S277" s="2098"/>
      <c r="T277" s="2098"/>
      <c r="U277" s="2098"/>
      <c r="V277" s="2098"/>
      <c r="W277" s="2098"/>
      <c r="X277" s="2098"/>
      <c r="Y277" s="2098"/>
      <c r="Z277" s="2098"/>
      <c r="AA277" s="2098"/>
      <c r="AB277" s="2098"/>
      <c r="AC277" s="2098"/>
      <c r="AD277" s="2098"/>
      <c r="AE277" s="2098"/>
      <c r="AF277" s="2098"/>
      <c r="AG277" s="2098"/>
      <c r="AH277" s="2098"/>
      <c r="AI277" s="2098"/>
      <c r="AJ277" s="2098"/>
      <c r="AK277" s="2098"/>
      <c r="AL277" s="2098"/>
      <c r="AM277" s="2098"/>
      <c r="AN277" s="2098"/>
      <c r="AO277" s="2098"/>
      <c r="AP277" s="2098"/>
      <c r="AQ277" s="2098"/>
      <c r="AR277" s="2098"/>
      <c r="AS277" s="2098"/>
      <c r="AT277" s="2098"/>
      <c r="AU277" s="2098"/>
      <c r="AV277" s="2098"/>
      <c r="AW277" s="2098"/>
      <c r="AX277" s="2098"/>
      <c r="AY277" s="2098"/>
      <c r="AZ277" s="2098"/>
    </row>
    <row r="278" spans="3:52">
      <c r="C278" s="2096"/>
      <c r="D278" s="2097"/>
      <c r="E278" s="2098"/>
      <c r="F278" s="2098"/>
      <c r="G278" s="2098"/>
      <c r="H278" s="2098"/>
      <c r="I278" s="2098"/>
      <c r="J278" s="2098"/>
      <c r="K278" s="2098"/>
      <c r="L278" s="2098"/>
      <c r="M278" s="2098"/>
      <c r="N278" s="2098"/>
      <c r="O278" s="2098"/>
      <c r="P278" s="2098"/>
      <c r="Q278" s="2098"/>
      <c r="R278" s="2098"/>
      <c r="S278" s="2098"/>
      <c r="T278" s="2098"/>
      <c r="U278" s="2098"/>
      <c r="V278" s="2098"/>
      <c r="W278" s="2098"/>
      <c r="X278" s="2098"/>
      <c r="Y278" s="2098"/>
      <c r="Z278" s="2098"/>
      <c r="AA278" s="2098"/>
      <c r="AB278" s="2098"/>
      <c r="AC278" s="2098"/>
      <c r="AD278" s="2098"/>
      <c r="AE278" s="2098"/>
      <c r="AF278" s="2098"/>
      <c r="AG278" s="2098"/>
      <c r="AH278" s="2098"/>
      <c r="AI278" s="2098"/>
      <c r="AJ278" s="2098"/>
      <c r="AK278" s="2098"/>
      <c r="AL278" s="2098"/>
      <c r="AM278" s="2098"/>
      <c r="AN278" s="2098"/>
      <c r="AO278" s="2098"/>
      <c r="AP278" s="2098"/>
      <c r="AQ278" s="2098"/>
      <c r="AR278" s="2098"/>
      <c r="AS278" s="2098"/>
      <c r="AT278" s="2098"/>
      <c r="AU278" s="2098"/>
      <c r="AV278" s="2098"/>
      <c r="AW278" s="2098"/>
      <c r="AX278" s="2098"/>
      <c r="AY278" s="2098"/>
      <c r="AZ278" s="2098"/>
    </row>
    <row r="279" spans="3:52">
      <c r="C279" s="2096"/>
      <c r="D279" s="2097"/>
      <c r="E279" s="2098"/>
      <c r="F279" s="2098"/>
      <c r="G279" s="2098"/>
      <c r="H279" s="2098"/>
      <c r="I279" s="2098"/>
      <c r="J279" s="2098"/>
      <c r="K279" s="2098"/>
      <c r="L279" s="2098"/>
      <c r="M279" s="2098"/>
      <c r="N279" s="2098"/>
      <c r="O279" s="2098"/>
      <c r="P279" s="2098"/>
      <c r="Q279" s="2098"/>
      <c r="R279" s="2098"/>
      <c r="S279" s="2098"/>
      <c r="T279" s="2098"/>
      <c r="U279" s="2098"/>
      <c r="V279" s="2098"/>
      <c r="W279" s="2098"/>
      <c r="X279" s="2098"/>
      <c r="Y279" s="2098"/>
      <c r="Z279" s="2098"/>
      <c r="AA279" s="2098"/>
      <c r="AB279" s="2098"/>
      <c r="AC279" s="2098"/>
      <c r="AD279" s="2098"/>
      <c r="AE279" s="2098"/>
      <c r="AF279" s="2098"/>
      <c r="AG279" s="2098"/>
      <c r="AH279" s="2098"/>
      <c r="AI279" s="2098"/>
      <c r="AJ279" s="2098"/>
      <c r="AK279" s="2098"/>
      <c r="AL279" s="2098"/>
      <c r="AM279" s="2098"/>
      <c r="AN279" s="2098"/>
      <c r="AO279" s="2098"/>
      <c r="AP279" s="2098"/>
      <c r="AQ279" s="2098"/>
      <c r="AR279" s="2098"/>
      <c r="AS279" s="2098"/>
      <c r="AT279" s="2098"/>
      <c r="AU279" s="2098"/>
      <c r="AV279" s="2098"/>
      <c r="AW279" s="2098"/>
      <c r="AX279" s="2098"/>
      <c r="AY279" s="2098"/>
      <c r="AZ279" s="2098"/>
    </row>
    <row r="280" spans="3:52">
      <c r="C280" s="2096"/>
      <c r="D280" s="2097"/>
      <c r="E280" s="2098"/>
      <c r="F280" s="2098"/>
      <c r="G280" s="2098"/>
      <c r="H280" s="2098"/>
      <c r="I280" s="2098"/>
      <c r="J280" s="2098"/>
      <c r="K280" s="2098"/>
      <c r="L280" s="2098"/>
      <c r="M280" s="2098"/>
      <c r="N280" s="2098"/>
      <c r="O280" s="2098"/>
      <c r="P280" s="2098"/>
      <c r="Q280" s="2098"/>
      <c r="R280" s="2098"/>
      <c r="S280" s="2098"/>
      <c r="T280" s="2098"/>
      <c r="U280" s="2098"/>
      <c r="V280" s="2098"/>
      <c r="W280" s="2098"/>
      <c r="X280" s="2098"/>
      <c r="Y280" s="2098"/>
      <c r="Z280" s="2098"/>
      <c r="AA280" s="2098"/>
      <c r="AB280" s="2098"/>
      <c r="AC280" s="2098"/>
      <c r="AD280" s="2098"/>
      <c r="AE280" s="2098"/>
      <c r="AF280" s="2098"/>
      <c r="AG280" s="2098"/>
      <c r="AH280" s="2098"/>
      <c r="AI280" s="2098"/>
      <c r="AJ280" s="2098"/>
      <c r="AK280" s="2098"/>
      <c r="AL280" s="2098"/>
      <c r="AM280" s="2098"/>
      <c r="AN280" s="2098"/>
      <c r="AO280" s="2098"/>
      <c r="AP280" s="2098"/>
      <c r="AQ280" s="2098"/>
      <c r="AR280" s="2098"/>
      <c r="AS280" s="2098"/>
      <c r="AT280" s="2098"/>
      <c r="AU280" s="2098"/>
      <c r="AV280" s="2098"/>
      <c r="AW280" s="2098"/>
      <c r="AX280" s="2098"/>
      <c r="AY280" s="2098"/>
      <c r="AZ280" s="2098"/>
    </row>
    <row r="281" spans="3:52">
      <c r="C281" s="2096"/>
      <c r="D281" s="2097"/>
      <c r="E281" s="2098"/>
      <c r="F281" s="2098"/>
      <c r="G281" s="2098"/>
      <c r="H281" s="2098"/>
      <c r="I281" s="2098"/>
      <c r="J281" s="2098"/>
      <c r="K281" s="2098"/>
      <c r="L281" s="2098"/>
      <c r="M281" s="2098"/>
      <c r="N281" s="2098"/>
      <c r="O281" s="2098"/>
      <c r="P281" s="2098"/>
      <c r="Q281" s="2098"/>
      <c r="R281" s="2098"/>
      <c r="S281" s="2098"/>
      <c r="T281" s="2098"/>
      <c r="U281" s="2098"/>
      <c r="V281" s="2098"/>
      <c r="W281" s="2098"/>
      <c r="X281" s="2098"/>
      <c r="Y281" s="2098"/>
      <c r="Z281" s="2098"/>
      <c r="AA281" s="2098"/>
      <c r="AB281" s="2098"/>
      <c r="AC281" s="2098"/>
      <c r="AD281" s="2098"/>
      <c r="AE281" s="2098"/>
      <c r="AF281" s="2098"/>
      <c r="AG281" s="2098"/>
      <c r="AH281" s="2098"/>
      <c r="AI281" s="2098"/>
      <c r="AJ281" s="2098"/>
      <c r="AK281" s="2098"/>
      <c r="AL281" s="2098"/>
      <c r="AM281" s="2098"/>
      <c r="AN281" s="2098"/>
      <c r="AO281" s="2098"/>
      <c r="AP281" s="2098"/>
      <c r="AQ281" s="2098"/>
      <c r="AR281" s="2098"/>
      <c r="AS281" s="2098"/>
      <c r="AT281" s="2098"/>
      <c r="AU281" s="2098"/>
      <c r="AV281" s="2098"/>
      <c r="AW281" s="2098"/>
      <c r="AX281" s="2098"/>
      <c r="AY281" s="2098"/>
      <c r="AZ281" s="2098"/>
    </row>
    <row r="282" spans="3:52">
      <c r="C282" s="2096"/>
      <c r="D282" s="2097"/>
      <c r="E282" s="2098"/>
      <c r="F282" s="2098"/>
      <c r="G282" s="2098"/>
      <c r="H282" s="2098"/>
      <c r="I282" s="2098"/>
      <c r="J282" s="2098"/>
      <c r="K282" s="2098"/>
      <c r="L282" s="2098"/>
      <c r="M282" s="2098"/>
      <c r="N282" s="2098"/>
      <c r="O282" s="2098"/>
      <c r="P282" s="2098"/>
      <c r="Q282" s="2098"/>
      <c r="R282" s="2098"/>
      <c r="S282" s="2098"/>
      <c r="T282" s="2098"/>
      <c r="U282" s="2098"/>
      <c r="V282" s="2098"/>
      <c r="W282" s="2098"/>
      <c r="X282" s="2098"/>
      <c r="Y282" s="2098"/>
      <c r="Z282" s="2098"/>
      <c r="AA282" s="2098"/>
      <c r="AB282" s="2098"/>
      <c r="AC282" s="2098"/>
      <c r="AD282" s="2098"/>
      <c r="AE282" s="2098"/>
      <c r="AF282" s="2098"/>
      <c r="AG282" s="2098"/>
      <c r="AH282" s="2098"/>
      <c r="AI282" s="2098"/>
      <c r="AJ282" s="2098"/>
      <c r="AK282" s="2098"/>
      <c r="AL282" s="2098"/>
      <c r="AM282" s="2098"/>
      <c r="AN282" s="2098"/>
      <c r="AO282" s="2098"/>
      <c r="AP282" s="2098"/>
      <c r="AQ282" s="2098"/>
      <c r="AR282" s="2098"/>
      <c r="AS282" s="2098"/>
      <c r="AT282" s="2098"/>
      <c r="AU282" s="2098"/>
      <c r="AV282" s="2098"/>
      <c r="AW282" s="2098"/>
      <c r="AX282" s="2098"/>
      <c r="AY282" s="2098"/>
      <c r="AZ282" s="2098"/>
    </row>
    <row r="283" spans="3:52">
      <c r="C283" s="2096"/>
      <c r="D283" s="2097"/>
      <c r="E283" s="2098"/>
      <c r="F283" s="2098"/>
      <c r="G283" s="2098"/>
      <c r="H283" s="2098"/>
      <c r="I283" s="2098"/>
      <c r="J283" s="2098"/>
      <c r="K283" s="2098"/>
      <c r="L283" s="2098"/>
      <c r="M283" s="2098"/>
      <c r="N283" s="2098"/>
      <c r="O283" s="2098"/>
      <c r="P283" s="2098"/>
      <c r="Q283" s="2098"/>
      <c r="R283" s="2098"/>
      <c r="S283" s="2098"/>
      <c r="T283" s="2098"/>
      <c r="U283" s="2098"/>
      <c r="V283" s="2098"/>
      <c r="W283" s="2098"/>
      <c r="X283" s="2098"/>
      <c r="Y283" s="2098"/>
      <c r="Z283" s="2098"/>
      <c r="AA283" s="2098"/>
      <c r="AB283" s="2098"/>
      <c r="AC283" s="2098"/>
      <c r="AD283" s="2098"/>
      <c r="AE283" s="2098"/>
      <c r="AF283" s="2098"/>
      <c r="AG283" s="2098"/>
      <c r="AH283" s="2098"/>
      <c r="AI283" s="2098"/>
      <c r="AJ283" s="2098"/>
      <c r="AK283" s="2098"/>
      <c r="AL283" s="2098"/>
      <c r="AM283" s="2098"/>
      <c r="AN283" s="2098"/>
      <c r="AO283" s="2098"/>
      <c r="AP283" s="2098"/>
      <c r="AQ283" s="2098"/>
      <c r="AR283" s="2098"/>
      <c r="AS283" s="2098"/>
      <c r="AT283" s="2098"/>
      <c r="AU283" s="2098"/>
      <c r="AV283" s="2098"/>
      <c r="AW283" s="2098"/>
      <c r="AX283" s="2098"/>
      <c r="AY283" s="2098"/>
      <c r="AZ283" s="2098"/>
    </row>
    <row r="284" spans="3:52">
      <c r="C284" s="2096"/>
      <c r="D284" s="2097"/>
      <c r="E284" s="2098"/>
      <c r="F284" s="2098"/>
      <c r="G284" s="2098"/>
      <c r="H284" s="2098"/>
      <c r="I284" s="2098"/>
      <c r="J284" s="2098"/>
      <c r="K284" s="2098"/>
      <c r="L284" s="2098"/>
      <c r="M284" s="2098"/>
      <c r="N284" s="2098"/>
      <c r="O284" s="2098"/>
      <c r="P284" s="2098"/>
      <c r="Q284" s="2098"/>
      <c r="R284" s="2098"/>
      <c r="S284" s="2098"/>
      <c r="T284" s="2098"/>
      <c r="U284" s="2098"/>
      <c r="V284" s="2098"/>
      <c r="W284" s="2098"/>
      <c r="X284" s="2098"/>
      <c r="Y284" s="2098"/>
      <c r="Z284" s="2098"/>
      <c r="AA284" s="2098"/>
      <c r="AB284" s="2098"/>
      <c r="AC284" s="2098"/>
      <c r="AD284" s="2098"/>
      <c r="AE284" s="2098"/>
      <c r="AF284" s="2098"/>
      <c r="AG284" s="2098"/>
      <c r="AH284" s="2098"/>
      <c r="AI284" s="2098"/>
      <c r="AJ284" s="2098"/>
      <c r="AK284" s="2098"/>
      <c r="AL284" s="2098"/>
      <c r="AM284" s="2098"/>
      <c r="AN284" s="2098"/>
      <c r="AO284" s="2098"/>
      <c r="AP284" s="2098"/>
      <c r="AQ284" s="2098"/>
      <c r="AR284" s="2098"/>
      <c r="AS284" s="2098"/>
      <c r="AT284" s="2098"/>
      <c r="AU284" s="2098"/>
      <c r="AV284" s="2098"/>
      <c r="AW284" s="2098"/>
      <c r="AX284" s="2098"/>
      <c r="AY284" s="2098"/>
      <c r="AZ284" s="2098"/>
    </row>
    <row r="285" spans="3:52">
      <c r="C285" s="2096"/>
      <c r="D285" s="2097"/>
      <c r="E285" s="2098"/>
      <c r="F285" s="2098"/>
      <c r="G285" s="2098"/>
      <c r="H285" s="2098"/>
      <c r="I285" s="2098"/>
      <c r="J285" s="2098"/>
      <c r="K285" s="2098"/>
      <c r="L285" s="2098"/>
      <c r="M285" s="2098"/>
      <c r="N285" s="2098"/>
      <c r="O285" s="2098"/>
      <c r="P285" s="2098"/>
      <c r="Q285" s="2098"/>
      <c r="R285" s="2098"/>
      <c r="S285" s="2098"/>
      <c r="T285" s="2098"/>
      <c r="U285" s="2098"/>
      <c r="V285" s="2098"/>
      <c r="W285" s="2098"/>
      <c r="X285" s="2098"/>
      <c r="Y285" s="2098"/>
      <c r="Z285" s="2098"/>
      <c r="AA285" s="2098"/>
      <c r="AB285" s="2098"/>
      <c r="AC285" s="2098"/>
      <c r="AD285" s="2098"/>
      <c r="AE285" s="2098"/>
      <c r="AF285" s="2098"/>
      <c r="AG285" s="2098"/>
      <c r="AH285" s="2098"/>
      <c r="AI285" s="2098"/>
      <c r="AJ285" s="2098"/>
      <c r="AK285" s="2098"/>
      <c r="AL285" s="2098"/>
      <c r="AM285" s="2098"/>
      <c r="AN285" s="2098"/>
      <c r="AO285" s="2098"/>
      <c r="AP285" s="2098"/>
      <c r="AQ285" s="2098"/>
      <c r="AR285" s="2098"/>
      <c r="AS285" s="2098"/>
      <c r="AT285" s="2098"/>
      <c r="AU285" s="2098"/>
      <c r="AV285" s="2098"/>
      <c r="AW285" s="2098"/>
      <c r="AX285" s="2098"/>
      <c r="AY285" s="2098"/>
      <c r="AZ285" s="2098"/>
    </row>
    <row r="286" spans="3:52">
      <c r="C286" s="2096"/>
      <c r="D286" s="2097"/>
      <c r="E286" s="2098"/>
      <c r="F286" s="2098"/>
      <c r="G286" s="2098"/>
      <c r="H286" s="2098"/>
      <c r="I286" s="2098"/>
      <c r="J286" s="2098"/>
      <c r="K286" s="2098"/>
      <c r="L286" s="2098"/>
      <c r="M286" s="2098"/>
      <c r="N286" s="2098"/>
      <c r="O286" s="2098"/>
      <c r="P286" s="2098"/>
      <c r="Q286" s="2098"/>
      <c r="R286" s="2098"/>
      <c r="S286" s="2098"/>
      <c r="T286" s="2098"/>
      <c r="U286" s="2098"/>
      <c r="V286" s="2098"/>
      <c r="W286" s="2098"/>
      <c r="X286" s="2098"/>
      <c r="Y286" s="2098"/>
      <c r="Z286" s="2098"/>
      <c r="AA286" s="2098"/>
      <c r="AB286" s="2098"/>
      <c r="AC286" s="2098"/>
      <c r="AD286" s="2098"/>
      <c r="AE286" s="2098"/>
      <c r="AF286" s="2098"/>
      <c r="AG286" s="2098"/>
      <c r="AH286" s="2098"/>
      <c r="AI286" s="2098"/>
      <c r="AJ286" s="2098"/>
      <c r="AK286" s="2098"/>
      <c r="AL286" s="2098"/>
      <c r="AM286" s="2098"/>
      <c r="AN286" s="2098"/>
      <c r="AO286" s="2098"/>
      <c r="AP286" s="2098"/>
      <c r="AQ286" s="2098"/>
      <c r="AR286" s="2098"/>
      <c r="AS286" s="2098"/>
      <c r="AT286" s="2098"/>
      <c r="AU286" s="2098"/>
      <c r="AV286" s="2098"/>
      <c r="AW286" s="2098"/>
      <c r="AX286" s="2098"/>
      <c r="AY286" s="2098"/>
      <c r="AZ286" s="2098"/>
    </row>
    <row r="287" spans="3:52">
      <c r="C287" s="2096"/>
      <c r="D287" s="2097"/>
      <c r="E287" s="2098"/>
      <c r="F287" s="2098"/>
      <c r="G287" s="2098"/>
      <c r="H287" s="2098"/>
      <c r="I287" s="2098"/>
      <c r="J287" s="2098"/>
      <c r="K287" s="2098"/>
      <c r="L287" s="2098"/>
      <c r="M287" s="2098"/>
      <c r="N287" s="2098"/>
      <c r="O287" s="2098"/>
      <c r="P287" s="2098"/>
      <c r="Q287" s="2098"/>
      <c r="R287" s="2098"/>
      <c r="S287" s="2098"/>
      <c r="T287" s="2098"/>
      <c r="U287" s="2098"/>
      <c r="V287" s="2098"/>
      <c r="W287" s="2098"/>
      <c r="X287" s="2098"/>
      <c r="Y287" s="2098"/>
      <c r="Z287" s="2098"/>
      <c r="AA287" s="2098"/>
      <c r="AB287" s="2098"/>
      <c r="AC287" s="2098"/>
      <c r="AD287" s="2098"/>
      <c r="AE287" s="2098"/>
      <c r="AF287" s="2098"/>
      <c r="AG287" s="2098"/>
      <c r="AH287" s="2098"/>
      <c r="AI287" s="2098"/>
      <c r="AJ287" s="2098"/>
      <c r="AK287" s="2098"/>
      <c r="AL287" s="2098"/>
      <c r="AM287" s="2098"/>
      <c r="AN287" s="2098"/>
      <c r="AO287" s="2098"/>
      <c r="AP287" s="2098"/>
      <c r="AQ287" s="2098"/>
      <c r="AR287" s="2098"/>
      <c r="AS287" s="2098"/>
      <c r="AT287" s="2098"/>
      <c r="AU287" s="2098"/>
      <c r="AV287" s="2098"/>
      <c r="AW287" s="2098"/>
      <c r="AX287" s="2098"/>
      <c r="AY287" s="2098"/>
      <c r="AZ287" s="2098"/>
    </row>
    <row r="288" spans="3:52">
      <c r="C288" s="2096"/>
      <c r="D288" s="2097"/>
      <c r="E288" s="2098"/>
      <c r="F288" s="2098"/>
      <c r="G288" s="2098"/>
      <c r="H288" s="2098"/>
      <c r="I288" s="2098"/>
      <c r="J288" s="2098"/>
      <c r="K288" s="2098"/>
      <c r="L288" s="2098"/>
      <c r="M288" s="2098"/>
      <c r="N288" s="2098"/>
      <c r="O288" s="2098"/>
      <c r="P288" s="2098"/>
      <c r="Q288" s="2098"/>
      <c r="R288" s="2098"/>
      <c r="S288" s="2098"/>
      <c r="T288" s="2098"/>
      <c r="U288" s="2098"/>
      <c r="V288" s="2098"/>
      <c r="W288" s="2098"/>
      <c r="X288" s="2098"/>
      <c r="Y288" s="2098"/>
      <c r="Z288" s="2098"/>
      <c r="AA288" s="2098"/>
      <c r="AB288" s="2098"/>
      <c r="AC288" s="2098"/>
      <c r="AD288" s="2098"/>
      <c r="AE288" s="2098"/>
      <c r="AF288" s="2098"/>
      <c r="AG288" s="2098"/>
      <c r="AH288" s="2098"/>
      <c r="AI288" s="2098"/>
      <c r="AJ288" s="2098"/>
      <c r="AK288" s="2098"/>
      <c r="AL288" s="2098"/>
      <c r="AM288" s="2098"/>
      <c r="AN288" s="2098"/>
      <c r="AO288" s="2098"/>
      <c r="AP288" s="2098"/>
      <c r="AQ288" s="2098"/>
      <c r="AR288" s="2098"/>
      <c r="AS288" s="2098"/>
      <c r="AT288" s="2098"/>
      <c r="AU288" s="2098"/>
      <c r="AV288" s="2098"/>
      <c r="AW288" s="2098"/>
      <c r="AX288" s="2098"/>
      <c r="AY288" s="2098"/>
      <c r="AZ288" s="2098"/>
    </row>
    <row r="289" spans="3:52">
      <c r="C289" s="2096"/>
      <c r="D289" s="2097"/>
      <c r="E289" s="2098"/>
      <c r="F289" s="2098"/>
      <c r="G289" s="2098"/>
      <c r="H289" s="2098"/>
      <c r="I289" s="2098"/>
      <c r="J289" s="2098"/>
      <c r="K289" s="2098"/>
      <c r="L289" s="2098"/>
      <c r="M289" s="2098"/>
      <c r="N289" s="2098"/>
      <c r="O289" s="2098"/>
      <c r="P289" s="2098"/>
      <c r="Q289" s="2098"/>
      <c r="R289" s="2098"/>
      <c r="S289" s="2098"/>
      <c r="T289" s="2098"/>
      <c r="U289" s="2098"/>
      <c r="V289" s="2098"/>
      <c r="W289" s="2098"/>
      <c r="X289" s="2098"/>
      <c r="Y289" s="2098"/>
      <c r="Z289" s="2098"/>
      <c r="AA289" s="2098"/>
      <c r="AB289" s="2098"/>
      <c r="AC289" s="2098"/>
      <c r="AD289" s="2098"/>
      <c r="AE289" s="2098"/>
      <c r="AF289" s="2098"/>
      <c r="AG289" s="2098"/>
      <c r="AH289" s="2098"/>
      <c r="AI289" s="2098"/>
      <c r="AJ289" s="2098"/>
      <c r="AK289" s="2098"/>
      <c r="AL289" s="2098"/>
      <c r="AM289" s="2098"/>
      <c r="AN289" s="2098"/>
      <c r="AO289" s="2098"/>
      <c r="AP289" s="2098"/>
      <c r="AQ289" s="2098"/>
      <c r="AR289" s="2098"/>
      <c r="AS289" s="2098"/>
      <c r="AT289" s="2098"/>
      <c r="AU289" s="2098"/>
      <c r="AV289" s="2098"/>
      <c r="AW289" s="2098"/>
      <c r="AX289" s="2098"/>
      <c r="AY289" s="2098"/>
      <c r="AZ289" s="2098"/>
    </row>
    <row r="290" spans="3:52">
      <c r="C290" s="2096"/>
      <c r="D290" s="2097"/>
      <c r="E290" s="2098"/>
      <c r="F290" s="2098"/>
      <c r="G290" s="2098"/>
      <c r="H290" s="2098"/>
      <c r="I290" s="2098"/>
      <c r="J290" s="2098"/>
      <c r="K290" s="2098"/>
      <c r="L290" s="2098"/>
      <c r="M290" s="2098"/>
      <c r="N290" s="2098"/>
      <c r="O290" s="2098"/>
      <c r="P290" s="2098"/>
      <c r="Q290" s="2098"/>
      <c r="R290" s="2098"/>
      <c r="S290" s="2098"/>
      <c r="T290" s="2098"/>
      <c r="U290" s="2098"/>
      <c r="V290" s="2098"/>
      <c r="W290" s="2098"/>
      <c r="X290" s="2098"/>
      <c r="Y290" s="2098"/>
      <c r="Z290" s="2098"/>
      <c r="AA290" s="2098"/>
      <c r="AB290" s="2098"/>
      <c r="AC290" s="2098"/>
      <c r="AD290" s="2098"/>
      <c r="AE290" s="2098"/>
      <c r="AF290" s="2098"/>
      <c r="AG290" s="2098"/>
      <c r="AH290" s="2098"/>
      <c r="AI290" s="2098"/>
      <c r="AJ290" s="2098"/>
      <c r="AK290" s="2098"/>
      <c r="AL290" s="2098"/>
      <c r="AM290" s="2098"/>
      <c r="AN290" s="2098"/>
      <c r="AO290" s="2098"/>
      <c r="AP290" s="2098"/>
      <c r="AQ290" s="2098"/>
      <c r="AR290" s="2098"/>
      <c r="AS290" s="2098"/>
      <c r="AT290" s="2098"/>
      <c r="AU290" s="2098"/>
      <c r="AV290" s="2098"/>
      <c r="AW290" s="2098"/>
      <c r="AX290" s="2098"/>
      <c r="AY290" s="2098"/>
      <c r="AZ290" s="2098"/>
    </row>
    <row r="291" spans="3:52">
      <c r="C291" s="2096"/>
      <c r="D291" s="2097"/>
      <c r="E291" s="2098"/>
      <c r="F291" s="2098"/>
      <c r="G291" s="2098"/>
      <c r="H291" s="2098"/>
      <c r="I291" s="2098"/>
      <c r="J291" s="2098"/>
      <c r="K291" s="2098"/>
      <c r="L291" s="2098"/>
      <c r="M291" s="2098"/>
      <c r="N291" s="2098"/>
      <c r="O291" s="2098"/>
      <c r="P291" s="2098"/>
      <c r="Q291" s="2098"/>
      <c r="R291" s="2098"/>
      <c r="S291" s="2098"/>
      <c r="T291" s="2098"/>
      <c r="U291" s="2098"/>
      <c r="V291" s="2098"/>
      <c r="W291" s="2098"/>
      <c r="X291" s="2098"/>
      <c r="Y291" s="2098"/>
      <c r="Z291" s="2098"/>
      <c r="AA291" s="2098"/>
      <c r="AB291" s="2098"/>
      <c r="AC291" s="2098"/>
      <c r="AD291" s="2098"/>
      <c r="AE291" s="2098"/>
      <c r="AF291" s="2098"/>
      <c r="AG291" s="2098"/>
      <c r="AH291" s="2098"/>
      <c r="AI291" s="2098"/>
      <c r="AJ291" s="2098"/>
      <c r="AK291" s="2098"/>
      <c r="AL291" s="2098"/>
      <c r="AM291" s="2098"/>
      <c r="AN291" s="2098"/>
      <c r="AO291" s="2098"/>
      <c r="AP291" s="2098"/>
      <c r="AQ291" s="2098"/>
      <c r="AR291" s="2098"/>
      <c r="AS291" s="2098"/>
      <c r="AT291" s="2098"/>
      <c r="AU291" s="2098"/>
      <c r="AV291" s="2098"/>
      <c r="AW291" s="2098"/>
      <c r="AX291" s="2098"/>
      <c r="AY291" s="2098"/>
      <c r="AZ291" s="2098"/>
    </row>
    <row r="292" spans="3:52">
      <c r="C292" s="2096"/>
      <c r="D292" s="2097"/>
      <c r="E292" s="2098"/>
      <c r="F292" s="2098"/>
      <c r="G292" s="2098"/>
      <c r="H292" s="2098"/>
      <c r="I292" s="2098"/>
      <c r="J292" s="2098"/>
      <c r="K292" s="2098"/>
      <c r="L292" s="2098"/>
      <c r="M292" s="2098"/>
      <c r="N292" s="2098"/>
      <c r="O292" s="2098"/>
      <c r="P292" s="2098"/>
      <c r="Q292" s="2098"/>
      <c r="R292" s="2098"/>
      <c r="S292" s="2098"/>
      <c r="T292" s="2098"/>
      <c r="U292" s="2098"/>
      <c r="V292" s="2098"/>
      <c r="W292" s="2098"/>
      <c r="X292" s="2098"/>
      <c r="Y292" s="2098"/>
      <c r="Z292" s="2098"/>
      <c r="AA292" s="2098"/>
      <c r="AB292" s="2098"/>
      <c r="AC292" s="2098"/>
      <c r="AD292" s="2098"/>
      <c r="AE292" s="2098"/>
      <c r="AF292" s="2098"/>
      <c r="AG292" s="2098"/>
      <c r="AH292" s="2098"/>
      <c r="AI292" s="2098"/>
      <c r="AJ292" s="2098"/>
      <c r="AK292" s="2098"/>
      <c r="AL292" s="2098"/>
      <c r="AM292" s="2098"/>
      <c r="AN292" s="2098"/>
      <c r="AO292" s="2098"/>
      <c r="AP292" s="2098"/>
      <c r="AQ292" s="2098"/>
      <c r="AR292" s="2098"/>
      <c r="AS292" s="2098"/>
      <c r="AT292" s="2098"/>
      <c r="AU292" s="2098"/>
      <c r="AV292" s="2098"/>
      <c r="AW292" s="2098"/>
      <c r="AX292" s="2098"/>
      <c r="AY292" s="2098"/>
      <c r="AZ292" s="2098"/>
    </row>
    <row r="293" spans="3:52">
      <c r="C293" s="2096"/>
      <c r="D293" s="2097"/>
      <c r="E293" s="2098"/>
      <c r="F293" s="2098"/>
      <c r="G293" s="2098"/>
      <c r="H293" s="2098"/>
      <c r="I293" s="2098"/>
      <c r="J293" s="2098"/>
      <c r="K293" s="2098"/>
      <c r="L293" s="2098"/>
      <c r="M293" s="2098"/>
      <c r="N293" s="2098"/>
      <c r="O293" s="2098"/>
      <c r="P293" s="2098"/>
      <c r="Q293" s="2098"/>
      <c r="R293" s="2098"/>
      <c r="S293" s="2098"/>
      <c r="T293" s="2098"/>
      <c r="U293" s="2098"/>
      <c r="V293" s="2098"/>
      <c r="W293" s="2098"/>
      <c r="X293" s="2098"/>
      <c r="Y293" s="2098"/>
      <c r="Z293" s="2098"/>
      <c r="AA293" s="2098"/>
      <c r="AB293" s="2098"/>
      <c r="AC293" s="2098"/>
      <c r="AD293" s="2098"/>
      <c r="AE293" s="2098"/>
      <c r="AF293" s="2098"/>
      <c r="AG293" s="2098"/>
      <c r="AH293" s="2098"/>
      <c r="AI293" s="2098"/>
      <c r="AJ293" s="2098"/>
      <c r="AK293" s="2098"/>
      <c r="AL293" s="2098"/>
      <c r="AM293" s="2098"/>
      <c r="AN293" s="2098"/>
      <c r="AO293" s="2098"/>
      <c r="AP293" s="2098"/>
      <c r="AQ293" s="2098"/>
      <c r="AR293" s="2098"/>
      <c r="AS293" s="2098"/>
      <c r="AT293" s="2098"/>
      <c r="AU293" s="2098"/>
      <c r="AV293" s="2098"/>
      <c r="AW293" s="2098"/>
      <c r="AX293" s="2098"/>
      <c r="AY293" s="2098"/>
      <c r="AZ293" s="2098"/>
    </row>
    <row r="294" spans="3:52">
      <c r="C294" s="2096"/>
      <c r="D294" s="2097"/>
      <c r="E294" s="2098"/>
      <c r="F294" s="2098"/>
      <c r="G294" s="2098"/>
      <c r="H294" s="2098"/>
      <c r="I294" s="2098"/>
      <c r="J294" s="2098"/>
      <c r="K294" s="2098"/>
      <c r="L294" s="2098"/>
      <c r="M294" s="2098"/>
      <c r="N294" s="2098"/>
      <c r="O294" s="2098"/>
      <c r="P294" s="2098"/>
      <c r="Q294" s="2098"/>
      <c r="R294" s="2098"/>
      <c r="S294" s="2098"/>
      <c r="T294" s="2098"/>
      <c r="U294" s="2098"/>
      <c r="V294" s="2098"/>
      <c r="W294" s="2098"/>
      <c r="X294" s="2098"/>
      <c r="Y294" s="2098"/>
      <c r="Z294" s="2098"/>
      <c r="AA294" s="2098"/>
      <c r="AB294" s="2098"/>
      <c r="AC294" s="2098"/>
      <c r="AD294" s="2098"/>
      <c r="AE294" s="2098"/>
      <c r="AF294" s="2098"/>
      <c r="AG294" s="2098"/>
      <c r="AH294" s="2098"/>
      <c r="AI294" s="2098"/>
      <c r="AJ294" s="2098"/>
      <c r="AK294" s="2098"/>
      <c r="AL294" s="2098"/>
      <c r="AM294" s="2098"/>
      <c r="AN294" s="2098"/>
      <c r="AO294" s="2098"/>
      <c r="AP294" s="2098"/>
      <c r="AQ294" s="2098"/>
      <c r="AR294" s="2098"/>
      <c r="AS294" s="2098"/>
      <c r="AT294" s="2098"/>
      <c r="AU294" s="2098"/>
      <c r="AV294" s="2098"/>
      <c r="AW294" s="2098"/>
      <c r="AX294" s="2098"/>
      <c r="AY294" s="2098"/>
      <c r="AZ294" s="2098"/>
    </row>
    <row r="295" spans="3:52">
      <c r="C295" s="2096"/>
      <c r="D295" s="2097"/>
      <c r="E295" s="2098"/>
      <c r="F295" s="2098"/>
      <c r="G295" s="2098"/>
      <c r="H295" s="2098"/>
      <c r="I295" s="2098"/>
      <c r="J295" s="2098"/>
      <c r="K295" s="2098"/>
      <c r="L295" s="2098"/>
      <c r="M295" s="2098"/>
      <c r="N295" s="2098"/>
      <c r="O295" s="2098"/>
      <c r="P295" s="2098"/>
      <c r="Q295" s="2098"/>
      <c r="R295" s="2098"/>
      <c r="S295" s="2098"/>
      <c r="T295" s="2098"/>
      <c r="U295" s="2098"/>
      <c r="V295" s="2098"/>
      <c r="W295" s="2098"/>
      <c r="X295" s="2098"/>
      <c r="Y295" s="2098"/>
      <c r="Z295" s="2098"/>
      <c r="AA295" s="2098"/>
      <c r="AB295" s="2098"/>
      <c r="AC295" s="2098"/>
      <c r="AD295" s="2098"/>
      <c r="AE295" s="2098"/>
      <c r="AF295" s="2098"/>
      <c r="AG295" s="2098"/>
      <c r="AH295" s="2098"/>
      <c r="AI295" s="2098"/>
      <c r="AJ295" s="2098"/>
      <c r="AK295" s="2098"/>
      <c r="AL295" s="2098"/>
      <c r="AM295" s="2098"/>
      <c r="AN295" s="2098"/>
      <c r="AO295" s="2098"/>
      <c r="AP295" s="2098"/>
      <c r="AQ295" s="2098"/>
      <c r="AR295" s="2098"/>
      <c r="AS295" s="2098"/>
      <c r="AT295" s="2098"/>
      <c r="AU295" s="2098"/>
      <c r="AV295" s="2098"/>
      <c r="AW295" s="2098"/>
      <c r="AX295" s="2098"/>
      <c r="AY295" s="2098"/>
      <c r="AZ295" s="2098"/>
    </row>
    <row r="296" spans="3:52">
      <c r="C296" s="2096"/>
      <c r="D296" s="2097"/>
      <c r="E296" s="2098"/>
      <c r="F296" s="2098"/>
      <c r="G296" s="2098"/>
      <c r="H296" s="2098"/>
      <c r="I296" s="2098"/>
      <c r="J296" s="2098"/>
      <c r="K296" s="2098"/>
      <c r="L296" s="2098"/>
      <c r="M296" s="2098"/>
      <c r="N296" s="2098"/>
      <c r="O296" s="2098"/>
      <c r="P296" s="2098"/>
      <c r="Q296" s="2098"/>
      <c r="R296" s="2098"/>
      <c r="S296" s="2098"/>
      <c r="T296" s="2098"/>
      <c r="U296" s="2098"/>
      <c r="V296" s="2098"/>
      <c r="W296" s="2098"/>
      <c r="X296" s="2098"/>
      <c r="Y296" s="2098"/>
      <c r="Z296" s="2098"/>
      <c r="AA296" s="2098"/>
      <c r="AB296" s="2098"/>
      <c r="AC296" s="2098"/>
      <c r="AD296" s="2098"/>
      <c r="AE296" s="2098"/>
      <c r="AF296" s="2098"/>
      <c r="AG296" s="2098"/>
      <c r="AH296" s="2098"/>
      <c r="AI296" s="2098"/>
      <c r="AJ296" s="2098"/>
      <c r="AK296" s="2098"/>
      <c r="AL296" s="2098"/>
      <c r="AM296" s="2098"/>
      <c r="AN296" s="2098"/>
      <c r="AO296" s="2098"/>
      <c r="AP296" s="2098"/>
      <c r="AQ296" s="2098"/>
      <c r="AR296" s="2098"/>
      <c r="AS296" s="2098"/>
      <c r="AT296" s="2098"/>
      <c r="AU296" s="2098"/>
      <c r="AV296" s="2098"/>
      <c r="AW296" s="2098"/>
      <c r="AX296" s="2098"/>
      <c r="AY296" s="2098"/>
      <c r="AZ296" s="2098"/>
    </row>
    <row r="297" spans="3:52">
      <c r="C297" s="2096"/>
      <c r="D297" s="2097"/>
      <c r="E297" s="2098"/>
      <c r="F297" s="2098"/>
      <c r="G297" s="2098"/>
      <c r="H297" s="2098"/>
      <c r="I297" s="2098"/>
      <c r="J297" s="2098"/>
      <c r="K297" s="2098"/>
      <c r="L297" s="2098"/>
      <c r="M297" s="2098"/>
      <c r="N297" s="2098"/>
      <c r="O297" s="2098"/>
      <c r="P297" s="2098"/>
      <c r="Q297" s="2098"/>
      <c r="R297" s="2098"/>
      <c r="S297" s="2098"/>
      <c r="T297" s="2098"/>
      <c r="U297" s="2098"/>
      <c r="V297" s="2098"/>
      <c r="W297" s="2098"/>
      <c r="X297" s="2098"/>
      <c r="Y297" s="2098"/>
      <c r="Z297" s="2098"/>
      <c r="AA297" s="2098"/>
      <c r="AB297" s="2098"/>
      <c r="AC297" s="2098"/>
      <c r="AD297" s="2098"/>
      <c r="AE297" s="2098"/>
      <c r="AF297" s="2098"/>
      <c r="AG297" s="2098"/>
      <c r="AH297" s="2098"/>
      <c r="AI297" s="2098"/>
      <c r="AJ297" s="2098"/>
      <c r="AK297" s="2098"/>
      <c r="AL297" s="2098"/>
      <c r="AM297" s="2098"/>
      <c r="AN297" s="2098"/>
      <c r="AO297" s="2098"/>
      <c r="AP297" s="2098"/>
      <c r="AQ297" s="2098"/>
      <c r="AR297" s="2098"/>
      <c r="AS297" s="2098"/>
      <c r="AT297" s="2098"/>
      <c r="AU297" s="2098"/>
      <c r="AV297" s="2098"/>
      <c r="AW297" s="2098"/>
      <c r="AX297" s="2098"/>
      <c r="AY297" s="2098"/>
      <c r="AZ297" s="2098"/>
    </row>
    <row r="298" spans="3:52">
      <c r="C298" s="2096"/>
      <c r="D298" s="2097"/>
      <c r="E298" s="2098"/>
      <c r="F298" s="2098"/>
      <c r="G298" s="2098"/>
      <c r="H298" s="2098"/>
      <c r="I298" s="2098"/>
      <c r="J298" s="2098"/>
      <c r="K298" s="2098"/>
      <c r="L298" s="2098"/>
      <c r="M298" s="2098"/>
      <c r="N298" s="2098"/>
      <c r="O298" s="2098"/>
      <c r="P298" s="2098"/>
      <c r="Q298" s="2098"/>
      <c r="R298" s="2098"/>
      <c r="S298" s="2098"/>
      <c r="T298" s="2098"/>
      <c r="U298" s="2098"/>
      <c r="V298" s="2098"/>
      <c r="W298" s="2098"/>
      <c r="X298" s="2098"/>
      <c r="Y298" s="2098"/>
      <c r="Z298" s="2098"/>
      <c r="AA298" s="2098"/>
      <c r="AB298" s="2098"/>
      <c r="AC298" s="2098"/>
      <c r="AD298" s="2098"/>
      <c r="AE298" s="2098"/>
      <c r="AF298" s="2098"/>
      <c r="AG298" s="2098"/>
      <c r="AH298" s="2098"/>
      <c r="AI298" s="2098"/>
      <c r="AJ298" s="2098"/>
      <c r="AK298" s="2098"/>
      <c r="AL298" s="2098"/>
      <c r="AM298" s="2098"/>
      <c r="AN298" s="2098"/>
      <c r="AO298" s="2098"/>
      <c r="AP298" s="2098"/>
      <c r="AQ298" s="2098"/>
      <c r="AR298" s="2098"/>
      <c r="AS298" s="2098"/>
      <c r="AT298" s="2098"/>
      <c r="AU298" s="2098"/>
      <c r="AV298" s="2098"/>
      <c r="AW298" s="2098"/>
      <c r="AX298" s="2098"/>
      <c r="AY298" s="2098"/>
      <c r="AZ298" s="2098"/>
    </row>
    <row r="299" spans="3:52">
      <c r="C299" s="2096"/>
      <c r="D299" s="2097"/>
      <c r="E299" s="2098"/>
      <c r="F299" s="2098"/>
      <c r="G299" s="2098"/>
      <c r="H299" s="2098"/>
      <c r="I299" s="2098"/>
      <c r="J299" s="2098"/>
      <c r="K299" s="2098"/>
      <c r="L299" s="2098"/>
      <c r="M299" s="2098"/>
      <c r="N299" s="2098"/>
      <c r="O299" s="2098"/>
      <c r="P299" s="2098"/>
      <c r="Q299" s="2098"/>
      <c r="R299" s="2098"/>
      <c r="S299" s="2098"/>
      <c r="T299" s="2098"/>
      <c r="U299" s="2098"/>
      <c r="V299" s="2098"/>
      <c r="W299" s="2098"/>
      <c r="X299" s="2098"/>
      <c r="Y299" s="2098"/>
      <c r="Z299" s="2098"/>
      <c r="AA299" s="2098"/>
      <c r="AB299" s="2098"/>
      <c r="AC299" s="2098"/>
      <c r="AD299" s="2098"/>
      <c r="AE299" s="2098"/>
      <c r="AF299" s="2098"/>
      <c r="AG299" s="2098"/>
      <c r="AH299" s="2098"/>
      <c r="AI299" s="2098"/>
      <c r="AJ299" s="2098"/>
      <c r="AK299" s="2098"/>
      <c r="AL299" s="2098"/>
      <c r="AM299" s="2098"/>
      <c r="AN299" s="2098"/>
      <c r="AO299" s="2098"/>
      <c r="AP299" s="2098"/>
      <c r="AQ299" s="2098"/>
      <c r="AR299" s="2098"/>
      <c r="AS299" s="2098"/>
      <c r="AT299" s="2098"/>
      <c r="AU299" s="2098"/>
      <c r="AV299" s="2098"/>
      <c r="AW299" s="2098"/>
      <c r="AX299" s="2098"/>
      <c r="AY299" s="2098"/>
      <c r="AZ299" s="2098"/>
    </row>
    <row r="300" spans="3:52">
      <c r="C300" s="2096"/>
      <c r="D300" s="2097"/>
      <c r="E300" s="2098"/>
      <c r="F300" s="2098"/>
      <c r="G300" s="2098"/>
      <c r="H300" s="2098"/>
      <c r="I300" s="2098"/>
      <c r="J300" s="2098"/>
      <c r="K300" s="2098"/>
      <c r="L300" s="2098"/>
      <c r="M300" s="2098"/>
      <c r="N300" s="2098"/>
      <c r="O300" s="2098"/>
      <c r="P300" s="2098"/>
      <c r="Q300" s="2098"/>
      <c r="R300" s="2098"/>
      <c r="S300" s="2098"/>
      <c r="T300" s="2098"/>
      <c r="U300" s="2098"/>
      <c r="V300" s="2098"/>
      <c r="W300" s="2098"/>
      <c r="X300" s="2098"/>
      <c r="Y300" s="2098"/>
      <c r="Z300" s="2098"/>
      <c r="AA300" s="2098"/>
      <c r="AB300" s="2098"/>
      <c r="AC300" s="2098"/>
      <c r="AD300" s="2098"/>
      <c r="AE300" s="2098"/>
      <c r="AF300" s="2098"/>
      <c r="AG300" s="2098"/>
      <c r="AH300" s="2098"/>
      <c r="AI300" s="2098"/>
      <c r="AJ300" s="2098"/>
      <c r="AK300" s="2098"/>
      <c r="AL300" s="2098"/>
      <c r="AM300" s="2098"/>
      <c r="AN300" s="2098"/>
      <c r="AO300" s="2098"/>
      <c r="AP300" s="2098"/>
      <c r="AQ300" s="2098"/>
      <c r="AR300" s="2098"/>
      <c r="AS300" s="2098"/>
      <c r="AT300" s="2098"/>
      <c r="AU300" s="2098"/>
      <c r="AV300" s="2098"/>
      <c r="AW300" s="2098"/>
      <c r="AX300" s="2098"/>
      <c r="AY300" s="2098"/>
      <c r="AZ300" s="2098"/>
    </row>
    <row r="301" spans="3:52">
      <c r="C301" s="2096"/>
      <c r="D301" s="2097"/>
      <c r="E301" s="2098"/>
      <c r="F301" s="2098"/>
      <c r="G301" s="2098"/>
      <c r="H301" s="2098"/>
      <c r="I301" s="2098"/>
      <c r="J301" s="2098"/>
      <c r="K301" s="2098"/>
      <c r="L301" s="2098"/>
      <c r="M301" s="2098"/>
      <c r="N301" s="2098"/>
      <c r="O301" s="2098"/>
      <c r="P301" s="2098"/>
      <c r="Q301" s="2098"/>
      <c r="R301" s="2098"/>
      <c r="S301" s="2098"/>
      <c r="T301" s="2098"/>
      <c r="U301" s="2098"/>
      <c r="V301" s="2098"/>
      <c r="W301" s="2098"/>
      <c r="X301" s="2098"/>
      <c r="Y301" s="2098"/>
      <c r="Z301" s="2098"/>
      <c r="AA301" s="2098"/>
      <c r="AB301" s="2098"/>
      <c r="AC301" s="2098"/>
      <c r="AD301" s="2098"/>
      <c r="AE301" s="2098"/>
      <c r="AF301" s="2098"/>
      <c r="AG301" s="2098"/>
      <c r="AH301" s="2098"/>
      <c r="AI301" s="2098"/>
      <c r="AJ301" s="2098"/>
      <c r="AK301" s="2098"/>
      <c r="AL301" s="2098"/>
      <c r="AM301" s="2098"/>
      <c r="AN301" s="2098"/>
      <c r="AO301" s="2098"/>
      <c r="AP301" s="2098"/>
      <c r="AQ301" s="2098"/>
      <c r="AR301" s="2098"/>
      <c r="AS301" s="2098"/>
      <c r="AT301" s="2098"/>
      <c r="AU301" s="2098"/>
      <c r="AV301" s="2098"/>
      <c r="AW301" s="2098"/>
      <c r="AX301" s="2098"/>
      <c r="AY301" s="2098"/>
      <c r="AZ301" s="2098"/>
    </row>
    <row r="302" spans="3:52">
      <c r="C302" s="2096"/>
      <c r="D302" s="2097"/>
      <c r="E302" s="2098"/>
      <c r="F302" s="2098"/>
      <c r="G302" s="2098"/>
      <c r="H302" s="2098"/>
      <c r="I302" s="2098"/>
      <c r="J302" s="2098"/>
      <c r="K302" s="2098"/>
      <c r="L302" s="2098"/>
      <c r="M302" s="2098"/>
      <c r="N302" s="2098"/>
      <c r="O302" s="2098"/>
      <c r="P302" s="2098"/>
      <c r="Q302" s="2098"/>
      <c r="R302" s="2098"/>
      <c r="S302" s="2098"/>
      <c r="T302" s="2098"/>
      <c r="U302" s="2098"/>
      <c r="V302" s="2098"/>
      <c r="W302" s="2098"/>
      <c r="X302" s="2098"/>
      <c r="Y302" s="2098"/>
      <c r="Z302" s="2098"/>
      <c r="AA302" s="2098"/>
      <c r="AB302" s="2098"/>
      <c r="AC302" s="2098"/>
      <c r="AD302" s="2098"/>
      <c r="AE302" s="2098"/>
      <c r="AF302" s="2098"/>
      <c r="AG302" s="2098"/>
      <c r="AH302" s="2098"/>
      <c r="AI302" s="2098"/>
      <c r="AJ302" s="2098"/>
      <c r="AK302" s="2098"/>
      <c r="AL302" s="2098"/>
      <c r="AM302" s="2098"/>
      <c r="AN302" s="2098"/>
      <c r="AO302" s="2098"/>
      <c r="AP302" s="2098"/>
      <c r="AQ302" s="2098"/>
      <c r="AR302" s="2098"/>
      <c r="AS302" s="2098"/>
      <c r="AT302" s="2098"/>
      <c r="AU302" s="2098"/>
      <c r="AV302" s="2098"/>
      <c r="AW302" s="2098"/>
      <c r="AX302" s="2098"/>
      <c r="AY302" s="2098"/>
      <c r="AZ302" s="2098"/>
    </row>
    <row r="303" spans="3:52">
      <c r="C303" s="2096"/>
      <c r="D303" s="2097"/>
      <c r="E303" s="2098"/>
      <c r="F303" s="2098"/>
      <c r="G303" s="2098"/>
      <c r="H303" s="2098"/>
      <c r="I303" s="2098"/>
      <c r="J303" s="2098"/>
      <c r="K303" s="2098"/>
      <c r="L303" s="2098"/>
      <c r="M303" s="2098"/>
      <c r="N303" s="2098"/>
      <c r="O303" s="2098"/>
      <c r="P303" s="2098"/>
      <c r="Q303" s="2098"/>
      <c r="R303" s="2098"/>
      <c r="S303" s="2098"/>
      <c r="T303" s="2098"/>
      <c r="U303" s="2098"/>
      <c r="V303" s="2098"/>
      <c r="W303" s="2098"/>
      <c r="X303" s="2098"/>
      <c r="Y303" s="2098"/>
      <c r="Z303" s="2098"/>
      <c r="AA303" s="2098"/>
      <c r="AB303" s="2098"/>
      <c r="AC303" s="2098"/>
      <c r="AD303" s="2098"/>
      <c r="AE303" s="2098"/>
      <c r="AF303" s="2098"/>
      <c r="AG303" s="2098"/>
      <c r="AH303" s="2098"/>
      <c r="AI303" s="2098"/>
      <c r="AJ303" s="2098"/>
      <c r="AK303" s="2098"/>
      <c r="AL303" s="2098"/>
      <c r="AM303" s="2098"/>
      <c r="AN303" s="2098"/>
      <c r="AO303" s="2098"/>
      <c r="AP303" s="2098"/>
      <c r="AQ303" s="2098"/>
      <c r="AR303" s="2098"/>
      <c r="AS303" s="2098"/>
      <c r="AT303" s="2098"/>
      <c r="AU303" s="2098"/>
      <c r="AV303" s="2098"/>
      <c r="AW303" s="2098"/>
      <c r="AX303" s="2098"/>
      <c r="AY303" s="2098"/>
      <c r="AZ303" s="2098"/>
    </row>
    <row r="304" spans="3:52">
      <c r="C304" s="2096"/>
      <c r="D304" s="2097"/>
      <c r="E304" s="2098"/>
      <c r="F304" s="2098"/>
      <c r="G304" s="2098"/>
      <c r="H304" s="2098"/>
      <c r="I304" s="2098"/>
      <c r="J304" s="2098"/>
      <c r="K304" s="2098"/>
      <c r="L304" s="2098"/>
      <c r="M304" s="2098"/>
      <c r="N304" s="2098"/>
      <c r="O304" s="2098"/>
      <c r="P304" s="2098"/>
      <c r="Q304" s="2098"/>
      <c r="R304" s="2098"/>
      <c r="S304" s="2098"/>
      <c r="T304" s="2098"/>
      <c r="U304" s="2098"/>
      <c r="V304" s="2098"/>
      <c r="W304" s="2098"/>
      <c r="X304" s="2098"/>
      <c r="Y304" s="2098"/>
      <c r="Z304" s="2098"/>
      <c r="AA304" s="2098"/>
      <c r="AB304" s="2098"/>
      <c r="AC304" s="2098"/>
      <c r="AD304" s="2098"/>
      <c r="AE304" s="2098"/>
      <c r="AF304" s="2098"/>
      <c r="AG304" s="2098"/>
      <c r="AH304" s="2098"/>
      <c r="AI304" s="2098"/>
      <c r="AJ304" s="2098"/>
      <c r="AK304" s="2098"/>
      <c r="AL304" s="2098"/>
      <c r="AM304" s="2098"/>
      <c r="AN304" s="2098"/>
      <c r="AO304" s="2098"/>
      <c r="AP304" s="2098"/>
      <c r="AQ304" s="2098"/>
      <c r="AR304" s="2098"/>
      <c r="AS304" s="2098"/>
      <c r="AT304" s="2098"/>
      <c r="AU304" s="2098"/>
      <c r="AV304" s="2098"/>
      <c r="AW304" s="2098"/>
      <c r="AX304" s="2098"/>
      <c r="AY304" s="2098"/>
      <c r="AZ304" s="2098"/>
    </row>
    <row r="305" spans="3:52">
      <c r="C305" s="2096"/>
      <c r="D305" s="2097"/>
      <c r="E305" s="2098"/>
      <c r="F305" s="2098"/>
      <c r="G305" s="2098"/>
      <c r="H305" s="2098"/>
      <c r="I305" s="2098"/>
      <c r="J305" s="2098"/>
      <c r="K305" s="2098"/>
      <c r="L305" s="2098"/>
      <c r="M305" s="2098"/>
      <c r="N305" s="2098"/>
      <c r="O305" s="2098"/>
      <c r="P305" s="2098"/>
      <c r="Q305" s="2098"/>
      <c r="R305" s="2098"/>
      <c r="S305" s="2098"/>
      <c r="T305" s="2098"/>
      <c r="U305" s="2098"/>
      <c r="V305" s="2098"/>
      <c r="W305" s="2098"/>
      <c r="X305" s="2098"/>
      <c r="Y305" s="2098"/>
      <c r="Z305" s="2098"/>
      <c r="AA305" s="2098"/>
      <c r="AB305" s="2098"/>
      <c r="AC305" s="2098"/>
      <c r="AD305" s="2098"/>
      <c r="AE305" s="2098"/>
      <c r="AF305" s="2098"/>
      <c r="AG305" s="2098"/>
      <c r="AH305" s="2098"/>
      <c r="AI305" s="2098"/>
      <c r="AJ305" s="2098"/>
      <c r="AK305" s="2098"/>
      <c r="AL305" s="2098"/>
      <c r="AM305" s="2098"/>
      <c r="AN305" s="2098"/>
      <c r="AO305" s="2098"/>
      <c r="AP305" s="2098"/>
      <c r="AQ305" s="2098"/>
      <c r="AR305" s="2098"/>
      <c r="AS305" s="2098"/>
      <c r="AT305" s="2098"/>
      <c r="AU305" s="2098"/>
      <c r="AV305" s="2098"/>
      <c r="AW305" s="2098"/>
      <c r="AX305" s="2098"/>
      <c r="AY305" s="2098"/>
      <c r="AZ305" s="2098"/>
    </row>
    <row r="306" spans="3:52">
      <c r="C306" s="2096"/>
      <c r="D306" s="2097"/>
      <c r="E306" s="2098"/>
      <c r="F306" s="2098"/>
      <c r="G306" s="2098"/>
      <c r="H306" s="2098"/>
      <c r="I306" s="2098"/>
      <c r="J306" s="2098"/>
      <c r="K306" s="2098"/>
      <c r="L306" s="2098"/>
      <c r="M306" s="2098"/>
      <c r="N306" s="2098"/>
      <c r="O306" s="2098"/>
      <c r="P306" s="2098"/>
      <c r="Q306" s="2098"/>
      <c r="R306" s="2098"/>
      <c r="S306" s="2098"/>
      <c r="T306" s="2098"/>
      <c r="U306" s="2098"/>
      <c r="V306" s="2098"/>
      <c r="W306" s="2098"/>
      <c r="X306" s="2098"/>
      <c r="Y306" s="2098"/>
      <c r="Z306" s="2098"/>
      <c r="AA306" s="2098"/>
      <c r="AB306" s="2098"/>
      <c r="AC306" s="2098"/>
      <c r="AD306" s="2098"/>
      <c r="AE306" s="2098"/>
      <c r="AF306" s="2098"/>
      <c r="AG306" s="2098"/>
      <c r="AH306" s="2098"/>
      <c r="AI306" s="2098"/>
      <c r="AJ306" s="2098"/>
      <c r="AK306" s="2098"/>
      <c r="AL306" s="2098"/>
      <c r="AM306" s="2098"/>
      <c r="AN306" s="2098"/>
      <c r="AO306" s="2098"/>
      <c r="AP306" s="2098"/>
      <c r="AQ306" s="2098"/>
      <c r="AR306" s="2098"/>
      <c r="AS306" s="2098"/>
      <c r="AT306" s="2098"/>
      <c r="AU306" s="2098"/>
      <c r="AV306" s="2098"/>
      <c r="AW306" s="2098"/>
      <c r="AX306" s="2098"/>
      <c r="AY306" s="2098"/>
      <c r="AZ306" s="2098"/>
    </row>
    <row r="307" spans="3:52">
      <c r="C307" s="2096"/>
      <c r="D307" s="2097"/>
      <c r="E307" s="2098"/>
      <c r="F307" s="2098"/>
      <c r="G307" s="2098"/>
      <c r="H307" s="2098"/>
      <c r="I307" s="2098"/>
      <c r="J307" s="2098"/>
      <c r="K307" s="2098"/>
      <c r="L307" s="2098"/>
      <c r="M307" s="2098"/>
      <c r="N307" s="2098"/>
      <c r="O307" s="2098"/>
      <c r="P307" s="2098"/>
      <c r="Q307" s="2098"/>
      <c r="R307" s="2098"/>
      <c r="S307" s="2098"/>
      <c r="T307" s="2098"/>
      <c r="U307" s="2098"/>
      <c r="V307" s="2098"/>
      <c r="W307" s="2098"/>
      <c r="X307" s="2098"/>
      <c r="Y307" s="2098"/>
      <c r="Z307" s="2098"/>
      <c r="AA307" s="2098"/>
      <c r="AB307" s="2098"/>
      <c r="AC307" s="2098"/>
      <c r="AD307" s="2098"/>
      <c r="AE307" s="2098"/>
      <c r="AF307" s="2098"/>
      <c r="AG307" s="2098"/>
      <c r="AH307" s="2098"/>
      <c r="AI307" s="2098"/>
      <c r="AJ307" s="2098"/>
      <c r="AK307" s="2098"/>
      <c r="AL307" s="2098"/>
      <c r="AM307" s="2098"/>
      <c r="AN307" s="2098"/>
      <c r="AO307" s="2098"/>
      <c r="AP307" s="2098"/>
      <c r="AQ307" s="2098"/>
      <c r="AR307" s="2098"/>
      <c r="AS307" s="2098"/>
      <c r="AT307" s="2098"/>
      <c r="AU307" s="2098"/>
      <c r="AV307" s="2098"/>
      <c r="AW307" s="2098"/>
      <c r="AX307" s="2098"/>
      <c r="AY307" s="2098"/>
      <c r="AZ307" s="2098"/>
    </row>
    <row r="308" spans="3:52">
      <c r="C308" s="2096"/>
      <c r="D308" s="2097"/>
      <c r="E308" s="2098"/>
      <c r="F308" s="2098"/>
      <c r="G308" s="2098"/>
      <c r="H308" s="2098"/>
      <c r="I308" s="2098"/>
      <c r="J308" s="2098"/>
      <c r="K308" s="2098"/>
      <c r="L308" s="2098"/>
      <c r="M308" s="2098"/>
      <c r="N308" s="2098"/>
      <c r="O308" s="2098"/>
      <c r="P308" s="2098"/>
      <c r="Q308" s="2098"/>
      <c r="R308" s="2098"/>
      <c r="S308" s="2098"/>
      <c r="T308" s="2098"/>
      <c r="U308" s="2098"/>
      <c r="V308" s="2098"/>
      <c r="W308" s="2098"/>
      <c r="X308" s="2098"/>
      <c r="Y308" s="2098"/>
      <c r="Z308" s="2098"/>
      <c r="AA308" s="2098"/>
      <c r="AB308" s="2098"/>
      <c r="AC308" s="2098"/>
      <c r="AD308" s="2098"/>
      <c r="AE308" s="2098"/>
      <c r="AF308" s="2098"/>
      <c r="AG308" s="2098"/>
      <c r="AH308" s="2098"/>
      <c r="AI308" s="2098"/>
      <c r="AJ308" s="2098"/>
      <c r="AK308" s="2098"/>
      <c r="AL308" s="2098"/>
      <c r="AM308" s="2098"/>
      <c r="AN308" s="2098"/>
      <c r="AO308" s="2098"/>
      <c r="AP308" s="2098"/>
      <c r="AQ308" s="2098"/>
      <c r="AR308" s="2098"/>
      <c r="AS308" s="2098"/>
      <c r="AT308" s="2098"/>
      <c r="AU308" s="2098"/>
      <c r="AV308" s="2098"/>
      <c r="AW308" s="2098"/>
      <c r="AX308" s="2098"/>
      <c r="AY308" s="2098"/>
      <c r="AZ308" s="2098"/>
    </row>
    <row r="309" spans="3:52">
      <c r="C309" s="2096"/>
      <c r="D309" s="2097"/>
      <c r="E309" s="2098"/>
      <c r="F309" s="2098"/>
      <c r="G309" s="2098"/>
      <c r="H309" s="2098"/>
      <c r="I309" s="2098"/>
      <c r="J309" s="2098"/>
      <c r="K309" s="2098"/>
      <c r="L309" s="2098"/>
      <c r="M309" s="2098"/>
      <c r="N309" s="2098"/>
      <c r="O309" s="2098"/>
      <c r="P309" s="2098"/>
      <c r="Q309" s="2098"/>
      <c r="R309" s="2098"/>
      <c r="S309" s="2098"/>
      <c r="T309" s="2098"/>
      <c r="U309" s="2098"/>
      <c r="V309" s="2098"/>
      <c r="W309" s="2098"/>
      <c r="X309" s="2098"/>
      <c r="Y309" s="2098"/>
      <c r="Z309" s="2098"/>
      <c r="AA309" s="2098"/>
      <c r="AB309" s="2098"/>
      <c r="AC309" s="2098"/>
      <c r="AD309" s="2098"/>
      <c r="AE309" s="2098"/>
      <c r="AF309" s="2098"/>
      <c r="AG309" s="2098"/>
      <c r="AH309" s="2098"/>
      <c r="AI309" s="2098"/>
      <c r="AJ309" s="2098"/>
      <c r="AK309" s="2098"/>
      <c r="AL309" s="2098"/>
      <c r="AM309" s="2098"/>
      <c r="AN309" s="2098"/>
      <c r="AO309" s="2098"/>
      <c r="AP309" s="2098"/>
      <c r="AQ309" s="2098"/>
      <c r="AR309" s="2098"/>
      <c r="AS309" s="2098"/>
      <c r="AT309" s="2098"/>
      <c r="AU309" s="2098"/>
      <c r="AV309" s="2098"/>
      <c r="AW309" s="2098"/>
      <c r="AX309" s="2098"/>
      <c r="AY309" s="2098"/>
      <c r="AZ309" s="2098"/>
    </row>
    <row r="310" spans="3:52">
      <c r="C310" s="2096"/>
      <c r="D310" s="2097"/>
      <c r="E310" s="2098"/>
      <c r="F310" s="2098"/>
      <c r="G310" s="2098"/>
      <c r="H310" s="2098"/>
      <c r="I310" s="2098"/>
      <c r="J310" s="2098"/>
      <c r="K310" s="2098"/>
      <c r="L310" s="2098"/>
      <c r="M310" s="2098"/>
      <c r="N310" s="2098"/>
      <c r="O310" s="2098"/>
      <c r="P310" s="2098"/>
      <c r="Q310" s="2098"/>
      <c r="R310" s="2098"/>
      <c r="S310" s="2098"/>
      <c r="T310" s="2098"/>
      <c r="U310" s="2098"/>
      <c r="V310" s="2098"/>
      <c r="W310" s="2098"/>
      <c r="X310" s="2098"/>
      <c r="Y310" s="2098"/>
      <c r="Z310" s="2098"/>
      <c r="AA310" s="2098"/>
      <c r="AB310" s="2098"/>
      <c r="AC310" s="2098"/>
      <c r="AD310" s="2098"/>
      <c r="AE310" s="2098"/>
      <c r="AF310" s="2098"/>
      <c r="AG310" s="2098"/>
      <c r="AH310" s="2098"/>
      <c r="AI310" s="2098"/>
      <c r="AJ310" s="2098"/>
      <c r="AK310" s="2098"/>
      <c r="AL310" s="2098"/>
      <c r="AM310" s="2098"/>
      <c r="AN310" s="2098"/>
      <c r="AO310" s="2098"/>
      <c r="AP310" s="2098"/>
      <c r="AQ310" s="2098"/>
      <c r="AR310" s="2098"/>
      <c r="AS310" s="2098"/>
      <c r="AT310" s="2098"/>
      <c r="AU310" s="2098"/>
      <c r="AV310" s="2098"/>
      <c r="AW310" s="2098"/>
      <c r="AX310" s="2098"/>
      <c r="AY310" s="2098"/>
      <c r="AZ310" s="2098"/>
    </row>
    <row r="311" spans="3:52">
      <c r="C311" s="2096"/>
      <c r="D311" s="2097"/>
      <c r="E311" s="2098"/>
      <c r="F311" s="2098"/>
      <c r="G311" s="2098"/>
      <c r="H311" s="2098"/>
      <c r="I311" s="2098"/>
      <c r="J311" s="2098"/>
      <c r="K311" s="2098"/>
      <c r="L311" s="2098"/>
      <c r="M311" s="2098"/>
      <c r="N311" s="2098"/>
      <c r="O311" s="2098"/>
      <c r="P311" s="2098"/>
      <c r="Q311" s="2098"/>
      <c r="R311" s="2098"/>
      <c r="S311" s="2098"/>
      <c r="T311" s="2098"/>
      <c r="U311" s="2098"/>
      <c r="V311" s="2098"/>
      <c r="W311" s="2098"/>
      <c r="X311" s="2098"/>
      <c r="Y311" s="2098"/>
      <c r="Z311" s="2098"/>
      <c r="AA311" s="2098"/>
      <c r="AB311" s="2098"/>
      <c r="AC311" s="2098"/>
      <c r="AD311" s="2098"/>
      <c r="AE311" s="2098"/>
      <c r="AF311" s="2098"/>
      <c r="AG311" s="2098"/>
      <c r="AH311" s="2098"/>
      <c r="AI311" s="2098"/>
      <c r="AJ311" s="2098"/>
      <c r="AK311" s="2098"/>
      <c r="AL311" s="2098"/>
      <c r="AM311" s="2098"/>
      <c r="AN311" s="2098"/>
      <c r="AO311" s="2098"/>
      <c r="AP311" s="2098"/>
      <c r="AQ311" s="2098"/>
      <c r="AR311" s="2098"/>
      <c r="AS311" s="2098"/>
      <c r="AT311" s="2098"/>
      <c r="AU311" s="2098"/>
      <c r="AV311" s="2098"/>
      <c r="AW311" s="2098"/>
      <c r="AX311" s="2098"/>
      <c r="AY311" s="2098"/>
      <c r="AZ311" s="2098"/>
    </row>
    <row r="312" spans="3:52">
      <c r="C312" s="2096"/>
      <c r="D312" s="2097"/>
      <c r="E312" s="2098"/>
      <c r="F312" s="2098"/>
      <c r="G312" s="2098"/>
      <c r="H312" s="2098"/>
      <c r="I312" s="2098"/>
      <c r="J312" s="2098"/>
      <c r="K312" s="2098"/>
      <c r="L312" s="2098"/>
      <c r="M312" s="2098"/>
      <c r="N312" s="2098"/>
      <c r="O312" s="2098"/>
      <c r="P312" s="2098"/>
      <c r="Q312" s="2098"/>
      <c r="R312" s="2098"/>
      <c r="S312" s="2098"/>
      <c r="T312" s="2098"/>
      <c r="U312" s="2098"/>
      <c r="V312" s="2098"/>
      <c r="W312" s="2098"/>
      <c r="X312" s="2098"/>
      <c r="Y312" s="2098"/>
      <c r="Z312" s="2098"/>
      <c r="AA312" s="2098"/>
      <c r="AB312" s="2098"/>
      <c r="AC312" s="2098"/>
      <c r="AD312" s="2098"/>
      <c r="AE312" s="2098"/>
      <c r="AF312" s="2098"/>
      <c r="AG312" s="2098"/>
      <c r="AH312" s="2098"/>
      <c r="AI312" s="2098"/>
      <c r="AJ312" s="2098"/>
      <c r="AK312" s="2098"/>
      <c r="AL312" s="2098"/>
      <c r="AM312" s="2098"/>
      <c r="AN312" s="2098"/>
      <c r="AO312" s="2098"/>
      <c r="AP312" s="2098"/>
      <c r="AQ312" s="2098"/>
      <c r="AR312" s="2098"/>
      <c r="AS312" s="2098"/>
      <c r="AT312" s="2098"/>
      <c r="AU312" s="2098"/>
      <c r="AV312" s="2098"/>
      <c r="AW312" s="2098"/>
      <c r="AX312" s="2098"/>
      <c r="AY312" s="2098"/>
      <c r="AZ312" s="2098"/>
    </row>
    <row r="313" spans="3:52">
      <c r="C313" s="2096"/>
      <c r="D313" s="2097"/>
      <c r="E313" s="2098"/>
      <c r="F313" s="2098"/>
      <c r="G313" s="2098"/>
      <c r="H313" s="2098"/>
      <c r="I313" s="2098"/>
      <c r="J313" s="2098"/>
      <c r="K313" s="2098"/>
      <c r="L313" s="2098"/>
      <c r="M313" s="2098"/>
      <c r="N313" s="2098"/>
      <c r="O313" s="2098"/>
      <c r="P313" s="2098"/>
      <c r="Q313" s="2098"/>
      <c r="R313" s="2098"/>
      <c r="S313" s="2098"/>
      <c r="T313" s="2098"/>
      <c r="U313" s="2098"/>
      <c r="V313" s="2098"/>
      <c r="W313" s="2098"/>
      <c r="X313" s="2098"/>
      <c r="Y313" s="2098"/>
      <c r="Z313" s="2098"/>
      <c r="AA313" s="2098"/>
      <c r="AB313" s="2098"/>
      <c r="AC313" s="2098"/>
      <c r="AD313" s="2098"/>
      <c r="AE313" s="2098"/>
      <c r="AF313" s="2098"/>
      <c r="AG313" s="2098"/>
      <c r="AH313" s="2098"/>
      <c r="AI313" s="2098"/>
      <c r="AJ313" s="2098"/>
      <c r="AK313" s="2098"/>
      <c r="AL313" s="2098"/>
      <c r="AM313" s="2098"/>
      <c r="AN313" s="2098"/>
      <c r="AO313" s="2098"/>
      <c r="AP313" s="2098"/>
      <c r="AQ313" s="2098"/>
      <c r="AR313" s="2098"/>
      <c r="AS313" s="2098"/>
      <c r="AT313" s="2098"/>
      <c r="AU313" s="2098"/>
      <c r="AV313" s="2098"/>
      <c r="AW313" s="2098"/>
      <c r="AX313" s="2098"/>
      <c r="AY313" s="2098"/>
      <c r="AZ313" s="2098"/>
    </row>
    <row r="314" spans="3:52">
      <c r="C314" s="2096"/>
      <c r="D314" s="2097"/>
      <c r="E314" s="2098"/>
      <c r="F314" s="2098"/>
      <c r="G314" s="2098"/>
      <c r="H314" s="2098"/>
      <c r="I314" s="2098"/>
      <c r="J314" s="2098"/>
      <c r="K314" s="2098"/>
      <c r="L314" s="2098"/>
      <c r="M314" s="2098"/>
      <c r="N314" s="2098"/>
      <c r="O314" s="2098"/>
      <c r="P314" s="2098"/>
      <c r="Q314" s="2098"/>
      <c r="R314" s="2098"/>
      <c r="S314" s="2098"/>
      <c r="T314" s="2098"/>
      <c r="U314" s="2098"/>
      <c r="V314" s="2098"/>
      <c r="W314" s="2098"/>
      <c r="X314" s="2098"/>
      <c r="Y314" s="2098"/>
      <c r="Z314" s="2098"/>
      <c r="AA314" s="2098"/>
      <c r="AB314" s="2098"/>
      <c r="AC314" s="2098"/>
      <c r="AD314" s="2098"/>
      <c r="AE314" s="2098"/>
      <c r="AF314" s="2098"/>
      <c r="AG314" s="2098"/>
      <c r="AH314" s="2098"/>
      <c r="AI314" s="2098"/>
      <c r="AJ314" s="2098"/>
      <c r="AK314" s="2098"/>
      <c r="AL314" s="2098"/>
      <c r="AM314" s="2098"/>
      <c r="AN314" s="2098"/>
      <c r="AO314" s="2098"/>
      <c r="AP314" s="2098"/>
      <c r="AQ314" s="2098"/>
      <c r="AR314" s="2098"/>
      <c r="AS314" s="2098"/>
      <c r="AT314" s="2098"/>
      <c r="AU314" s="2098"/>
      <c r="AV314" s="2098"/>
      <c r="AW314" s="2098"/>
      <c r="AX314" s="2098"/>
      <c r="AY314" s="2098"/>
      <c r="AZ314" s="2098"/>
    </row>
    <row r="315" spans="3:52">
      <c r="C315" s="2096"/>
      <c r="D315" s="2097"/>
      <c r="E315" s="2098"/>
      <c r="F315" s="2098"/>
      <c r="G315" s="2098"/>
      <c r="H315" s="2098"/>
      <c r="I315" s="2098"/>
      <c r="J315" s="2098"/>
      <c r="K315" s="2098"/>
      <c r="L315" s="2098"/>
      <c r="M315" s="2098"/>
      <c r="N315" s="2098"/>
      <c r="O315" s="2098"/>
      <c r="P315" s="2098"/>
      <c r="Q315" s="2098"/>
      <c r="R315" s="2098"/>
      <c r="S315" s="2098"/>
      <c r="T315" s="2098"/>
      <c r="U315" s="2098"/>
      <c r="V315" s="2098"/>
      <c r="W315" s="2098"/>
      <c r="X315" s="2098"/>
      <c r="Y315" s="2098"/>
      <c r="Z315" s="2098"/>
      <c r="AA315" s="2098"/>
      <c r="AB315" s="2098"/>
      <c r="AC315" s="2098"/>
      <c r="AD315" s="2098"/>
      <c r="AE315" s="2098"/>
      <c r="AF315" s="2098"/>
      <c r="AG315" s="2098"/>
      <c r="AH315" s="2098"/>
      <c r="AI315" s="2098"/>
      <c r="AJ315" s="2098"/>
      <c r="AK315" s="2098"/>
      <c r="AL315" s="2098"/>
      <c r="AM315" s="2098"/>
      <c r="AN315" s="2098"/>
      <c r="AO315" s="2098"/>
      <c r="AP315" s="2098"/>
      <c r="AQ315" s="2098"/>
      <c r="AR315" s="2098"/>
      <c r="AS315" s="2098"/>
      <c r="AT315" s="2098"/>
      <c r="AU315" s="2098"/>
      <c r="AV315" s="2098"/>
      <c r="AW315" s="2098"/>
      <c r="AX315" s="2098"/>
      <c r="AY315" s="2098"/>
      <c r="AZ315" s="2098"/>
    </row>
    <row r="316" spans="3:52">
      <c r="C316" s="2096"/>
      <c r="D316" s="2097"/>
      <c r="E316" s="2098"/>
      <c r="F316" s="2098"/>
      <c r="G316" s="2098"/>
      <c r="H316" s="2098"/>
      <c r="I316" s="2098"/>
      <c r="J316" s="2098"/>
      <c r="K316" s="2098"/>
      <c r="L316" s="2098"/>
      <c r="M316" s="2098"/>
      <c r="N316" s="2098"/>
      <c r="O316" s="2098"/>
      <c r="P316" s="2098"/>
      <c r="Q316" s="2098"/>
      <c r="R316" s="2098"/>
      <c r="S316" s="2098"/>
      <c r="T316" s="2098"/>
      <c r="U316" s="2098"/>
      <c r="V316" s="2098"/>
      <c r="W316" s="2098"/>
      <c r="X316" s="2098"/>
      <c r="Y316" s="2098"/>
      <c r="Z316" s="2098"/>
      <c r="AA316" s="2098"/>
      <c r="AB316" s="2098"/>
      <c r="AC316" s="2098"/>
      <c r="AD316" s="2098"/>
      <c r="AE316" s="2098"/>
      <c r="AF316" s="2098"/>
      <c r="AG316" s="2098"/>
      <c r="AH316" s="2098"/>
      <c r="AI316" s="2098"/>
      <c r="AJ316" s="2098"/>
      <c r="AK316" s="2098"/>
      <c r="AL316" s="2098"/>
      <c r="AM316" s="2098"/>
      <c r="AN316" s="2098"/>
      <c r="AO316" s="2098"/>
      <c r="AP316" s="2098"/>
      <c r="AQ316" s="2098"/>
      <c r="AR316" s="2098"/>
      <c r="AS316" s="2098"/>
      <c r="AT316" s="2098"/>
      <c r="AU316" s="2098"/>
      <c r="AV316" s="2098"/>
      <c r="AW316" s="2098"/>
      <c r="AX316" s="2098"/>
      <c r="AY316" s="2098"/>
      <c r="AZ316" s="2098"/>
    </row>
    <row r="317" spans="3:52">
      <c r="C317" s="2096"/>
      <c r="D317" s="2097"/>
      <c r="E317" s="2098"/>
      <c r="F317" s="2098"/>
      <c r="G317" s="2098"/>
      <c r="H317" s="2098"/>
      <c r="I317" s="2098"/>
      <c r="J317" s="2098"/>
      <c r="K317" s="2098"/>
      <c r="L317" s="2098"/>
      <c r="M317" s="2098"/>
      <c r="N317" s="2098"/>
      <c r="O317" s="2098"/>
      <c r="P317" s="2098"/>
      <c r="Q317" s="2098"/>
      <c r="R317" s="2098"/>
      <c r="S317" s="2098"/>
      <c r="T317" s="2098"/>
      <c r="U317" s="2098"/>
      <c r="V317" s="2098"/>
      <c r="W317" s="2098"/>
      <c r="X317" s="2098"/>
      <c r="Y317" s="2098"/>
      <c r="Z317" s="2098"/>
      <c r="AA317" s="2098"/>
      <c r="AB317" s="2098"/>
      <c r="AC317" s="2098"/>
      <c r="AD317" s="2098"/>
      <c r="AE317" s="2098"/>
      <c r="AF317" s="2098"/>
      <c r="AG317" s="2098"/>
      <c r="AH317" s="2098"/>
      <c r="AI317" s="2098"/>
      <c r="AJ317" s="2098"/>
      <c r="AK317" s="2098"/>
      <c r="AL317" s="2098"/>
      <c r="AM317" s="2098"/>
      <c r="AN317" s="2098"/>
      <c r="AO317" s="2098"/>
      <c r="AP317" s="2098"/>
      <c r="AQ317" s="2098"/>
      <c r="AR317" s="2098"/>
      <c r="AS317" s="2098"/>
      <c r="AT317" s="2098"/>
      <c r="AU317" s="2098"/>
      <c r="AV317" s="2098"/>
      <c r="AW317" s="2098"/>
      <c r="AX317" s="2098"/>
      <c r="AY317" s="2098"/>
      <c r="AZ317" s="2098"/>
    </row>
    <row r="318" spans="3:52">
      <c r="C318" s="2096"/>
      <c r="D318" s="2097"/>
      <c r="E318" s="2098"/>
      <c r="F318" s="2098"/>
      <c r="G318" s="2098"/>
      <c r="H318" s="2098"/>
      <c r="I318" s="2098"/>
      <c r="J318" s="2098"/>
      <c r="K318" s="2098"/>
      <c r="L318" s="2098"/>
      <c r="M318" s="2098"/>
      <c r="N318" s="2098"/>
      <c r="O318" s="2098"/>
      <c r="P318" s="2098"/>
      <c r="Q318" s="2098"/>
      <c r="R318" s="2098"/>
      <c r="S318" s="2098"/>
      <c r="T318" s="2098"/>
      <c r="U318" s="2098"/>
      <c r="V318" s="2098"/>
      <c r="W318" s="2098"/>
      <c r="X318" s="2098"/>
      <c r="Y318" s="2098"/>
      <c r="Z318" s="2098"/>
      <c r="AA318" s="2098"/>
      <c r="AB318" s="2098"/>
      <c r="AC318" s="2098"/>
      <c r="AD318" s="2098"/>
      <c r="AE318" s="2098"/>
      <c r="AF318" s="2098"/>
      <c r="AG318" s="2098"/>
      <c r="AH318" s="2098"/>
      <c r="AI318" s="2098"/>
      <c r="AJ318" s="2098"/>
      <c r="AK318" s="2098"/>
      <c r="AL318" s="2098"/>
      <c r="AM318" s="2098"/>
      <c r="AN318" s="2098"/>
      <c r="AO318" s="2098"/>
      <c r="AP318" s="2098"/>
      <c r="AQ318" s="2098"/>
      <c r="AR318" s="2098"/>
      <c r="AS318" s="2098"/>
      <c r="AT318" s="2098"/>
      <c r="AU318" s="2098"/>
      <c r="AV318" s="2098"/>
      <c r="AW318" s="2098"/>
      <c r="AX318" s="2098"/>
      <c r="AY318" s="2098"/>
      <c r="AZ318" s="2098"/>
    </row>
    <row r="319" spans="3:52">
      <c r="C319" s="2096"/>
      <c r="D319" s="2097"/>
      <c r="E319" s="2098"/>
      <c r="F319" s="2098"/>
      <c r="G319" s="2098"/>
      <c r="H319" s="2098"/>
      <c r="I319" s="2098"/>
      <c r="J319" s="2098"/>
      <c r="K319" s="2098"/>
      <c r="L319" s="2098"/>
      <c r="M319" s="2098"/>
      <c r="N319" s="2098"/>
      <c r="O319" s="2098"/>
      <c r="P319" s="2098"/>
      <c r="Q319" s="2098"/>
      <c r="R319" s="2098"/>
      <c r="S319" s="2098"/>
      <c r="T319" s="2098"/>
      <c r="U319" s="2098"/>
      <c r="V319" s="2098"/>
      <c r="W319" s="2098"/>
      <c r="X319" s="2098"/>
      <c r="Y319" s="2098"/>
      <c r="Z319" s="2098"/>
      <c r="AA319" s="2098"/>
      <c r="AB319" s="2098"/>
      <c r="AC319" s="2098"/>
      <c r="AD319" s="2098"/>
      <c r="AE319" s="2098"/>
      <c r="AF319" s="2098"/>
      <c r="AG319" s="2098"/>
      <c r="AH319" s="2098"/>
      <c r="AI319" s="2098"/>
      <c r="AJ319" s="2098"/>
      <c r="AK319" s="2098"/>
      <c r="AL319" s="2098"/>
      <c r="AM319" s="2098"/>
      <c r="AN319" s="2098"/>
      <c r="AO319" s="2098"/>
      <c r="AP319" s="2098"/>
      <c r="AQ319" s="2098"/>
      <c r="AR319" s="2098"/>
      <c r="AS319" s="2098"/>
      <c r="AT319" s="2098"/>
      <c r="AU319" s="2098"/>
      <c r="AV319" s="2098"/>
      <c r="AW319" s="2098"/>
      <c r="AX319" s="2098"/>
      <c r="AY319" s="2098"/>
      <c r="AZ319" s="2098"/>
    </row>
    <row r="320" spans="3:52">
      <c r="C320" s="2096"/>
      <c r="D320" s="2097"/>
      <c r="E320" s="2098"/>
      <c r="F320" s="2098"/>
      <c r="G320" s="2098"/>
      <c r="H320" s="2098"/>
      <c r="I320" s="2098"/>
      <c r="J320" s="2098"/>
      <c r="K320" s="2098"/>
      <c r="L320" s="2098"/>
      <c r="M320" s="2098"/>
      <c r="N320" s="2098"/>
      <c r="O320" s="2098"/>
      <c r="P320" s="2098"/>
      <c r="Q320" s="2098"/>
      <c r="R320" s="2098"/>
      <c r="S320" s="2098"/>
      <c r="T320" s="2098"/>
      <c r="U320" s="2098"/>
      <c r="V320" s="2098"/>
      <c r="W320" s="2098"/>
      <c r="X320" s="2098"/>
      <c r="Y320" s="2098"/>
      <c r="Z320" s="2098"/>
      <c r="AA320" s="2098"/>
      <c r="AB320" s="2098"/>
      <c r="AC320" s="2098"/>
      <c r="AD320" s="2098"/>
      <c r="AE320" s="2098"/>
      <c r="AF320" s="2098"/>
      <c r="AG320" s="2098"/>
      <c r="AH320" s="2098"/>
      <c r="AI320" s="2098"/>
      <c r="AJ320" s="2098"/>
      <c r="AK320" s="2098"/>
      <c r="AL320" s="2098"/>
      <c r="AM320" s="2098"/>
      <c r="AN320" s="2098"/>
      <c r="AO320" s="2098"/>
      <c r="AP320" s="2098"/>
      <c r="AQ320" s="2098"/>
      <c r="AR320" s="2098"/>
      <c r="AS320" s="2098"/>
      <c r="AT320" s="2098"/>
      <c r="AU320" s="2098"/>
      <c r="AV320" s="2098"/>
      <c r="AW320" s="2098"/>
      <c r="AX320" s="2098"/>
      <c r="AY320" s="2098"/>
      <c r="AZ320" s="2098"/>
    </row>
    <row r="321" spans="3:52">
      <c r="C321" s="2096"/>
      <c r="D321" s="2097"/>
      <c r="E321" s="2098"/>
      <c r="F321" s="2098"/>
      <c r="G321" s="2098"/>
      <c r="H321" s="2098"/>
      <c r="I321" s="2098"/>
      <c r="J321" s="2098"/>
      <c r="K321" s="2098"/>
      <c r="L321" s="2098"/>
      <c r="M321" s="2098"/>
      <c r="N321" s="2098"/>
      <c r="O321" s="2098"/>
      <c r="P321" s="2098"/>
      <c r="Q321" s="2098"/>
      <c r="R321" s="2098"/>
      <c r="S321" s="2098"/>
      <c r="T321" s="2098"/>
      <c r="U321" s="2098"/>
      <c r="V321" s="2098"/>
      <c r="W321" s="2098"/>
      <c r="X321" s="2098"/>
      <c r="Y321" s="2098"/>
      <c r="Z321" s="2098"/>
      <c r="AA321" s="2098"/>
      <c r="AB321" s="2098"/>
      <c r="AC321" s="2098"/>
      <c r="AD321" s="2098"/>
      <c r="AE321" s="2098"/>
      <c r="AF321" s="2098"/>
      <c r="AG321" s="2098"/>
      <c r="AH321" s="2098"/>
      <c r="AI321" s="2098"/>
      <c r="AJ321" s="2098"/>
      <c r="AK321" s="2098"/>
      <c r="AL321" s="2098"/>
      <c r="AM321" s="2098"/>
      <c r="AN321" s="2098"/>
      <c r="AO321" s="2098"/>
      <c r="AP321" s="2098"/>
      <c r="AQ321" s="2098"/>
      <c r="AR321" s="2098"/>
      <c r="AS321" s="2098"/>
      <c r="AT321" s="2098"/>
      <c r="AU321" s="2098"/>
      <c r="AV321" s="2098"/>
      <c r="AW321" s="2098"/>
      <c r="AX321" s="2098"/>
      <c r="AY321" s="2098"/>
      <c r="AZ321" s="2098"/>
    </row>
    <row r="322" spans="3:52">
      <c r="C322" s="2096"/>
      <c r="D322" s="2097"/>
      <c r="E322" s="2098"/>
      <c r="F322" s="2098"/>
      <c r="G322" s="2098"/>
      <c r="H322" s="2098"/>
      <c r="I322" s="2098"/>
      <c r="J322" s="2098"/>
      <c r="K322" s="2098"/>
      <c r="L322" s="2098"/>
      <c r="M322" s="2098"/>
      <c r="N322" s="2098"/>
      <c r="O322" s="2098"/>
      <c r="P322" s="2098"/>
      <c r="Q322" s="2098"/>
      <c r="R322" s="2098"/>
      <c r="S322" s="2098"/>
      <c r="T322" s="2098"/>
      <c r="U322" s="2098"/>
      <c r="V322" s="2098"/>
      <c r="W322" s="2098"/>
      <c r="X322" s="2098"/>
      <c r="Y322" s="2098"/>
      <c r="Z322" s="2098"/>
      <c r="AA322" s="2098"/>
      <c r="AB322" s="2098"/>
      <c r="AC322" s="2098"/>
      <c r="AD322" s="2098"/>
      <c r="AE322" s="2098"/>
      <c r="AF322" s="2098"/>
      <c r="AG322" s="2098"/>
      <c r="AH322" s="2098"/>
      <c r="AI322" s="2098"/>
      <c r="AJ322" s="2098"/>
      <c r="AK322" s="2098"/>
      <c r="AL322" s="2098"/>
      <c r="AM322" s="2098"/>
      <c r="AN322" s="2098"/>
      <c r="AO322" s="2098"/>
      <c r="AP322" s="2098"/>
      <c r="AQ322" s="2098"/>
      <c r="AR322" s="2098"/>
      <c r="AS322" s="2098"/>
      <c r="AT322" s="2098"/>
      <c r="AU322" s="2098"/>
      <c r="AV322" s="2098"/>
      <c r="AW322" s="2098"/>
      <c r="AX322" s="2098"/>
      <c r="AY322" s="2098"/>
      <c r="AZ322" s="2098"/>
    </row>
    <row r="323" spans="3:52">
      <c r="C323" s="2096"/>
      <c r="D323" s="2097"/>
      <c r="E323" s="2098"/>
      <c r="F323" s="2098"/>
      <c r="G323" s="2098"/>
      <c r="H323" s="2098"/>
      <c r="I323" s="2098"/>
      <c r="J323" s="2098"/>
      <c r="K323" s="2098"/>
      <c r="L323" s="2098"/>
      <c r="M323" s="2098"/>
      <c r="N323" s="2098"/>
      <c r="O323" s="2098"/>
      <c r="P323" s="2098"/>
      <c r="Q323" s="2098"/>
      <c r="R323" s="2098"/>
      <c r="S323" s="2098"/>
      <c r="T323" s="2098"/>
      <c r="U323" s="2098"/>
      <c r="V323" s="2098"/>
      <c r="W323" s="2098"/>
      <c r="X323" s="2098"/>
      <c r="Y323" s="2098"/>
      <c r="Z323" s="2098"/>
      <c r="AA323" s="2098"/>
      <c r="AB323" s="2098"/>
      <c r="AC323" s="2098"/>
      <c r="AD323" s="2098"/>
      <c r="AE323" s="2098"/>
      <c r="AF323" s="2098"/>
      <c r="AG323" s="2098"/>
      <c r="AH323" s="2098"/>
      <c r="AI323" s="2098"/>
      <c r="AJ323" s="2098"/>
      <c r="AK323" s="2098"/>
      <c r="AL323" s="2098"/>
      <c r="AM323" s="2098"/>
      <c r="AN323" s="2098"/>
      <c r="AO323" s="2098"/>
      <c r="AP323" s="2098"/>
      <c r="AQ323" s="2098"/>
      <c r="AR323" s="2098"/>
      <c r="AS323" s="2098"/>
      <c r="AT323" s="2098"/>
      <c r="AU323" s="2098"/>
      <c r="AV323" s="2098"/>
      <c r="AW323" s="2098"/>
      <c r="AX323" s="2098"/>
      <c r="AY323" s="2098"/>
      <c r="AZ323" s="2098"/>
    </row>
    <row r="324" spans="3:52">
      <c r="C324" s="2096"/>
      <c r="D324" s="2097"/>
      <c r="E324" s="2098"/>
      <c r="F324" s="2098"/>
      <c r="G324" s="2098"/>
      <c r="H324" s="2098"/>
      <c r="I324" s="2098"/>
      <c r="J324" s="2098"/>
      <c r="K324" s="2098"/>
      <c r="L324" s="2098"/>
      <c r="M324" s="2098"/>
      <c r="N324" s="2098"/>
      <c r="O324" s="2098"/>
      <c r="P324" s="2098"/>
      <c r="Q324" s="2098"/>
      <c r="R324" s="2098"/>
      <c r="S324" s="2098"/>
      <c r="T324" s="2098"/>
      <c r="U324" s="2098"/>
      <c r="V324" s="2098"/>
      <c r="W324" s="2098"/>
      <c r="X324" s="2098"/>
      <c r="Y324" s="2098"/>
      <c r="Z324" s="2098"/>
      <c r="AA324" s="2098"/>
      <c r="AB324" s="2098"/>
      <c r="AC324" s="2098"/>
      <c r="AD324" s="2098"/>
      <c r="AE324" s="2098"/>
      <c r="AF324" s="2098"/>
      <c r="AG324" s="2098"/>
      <c r="AH324" s="2098"/>
      <c r="AI324" s="2098"/>
      <c r="AJ324" s="2098"/>
      <c r="AK324" s="2098"/>
      <c r="AL324" s="2098"/>
      <c r="AM324" s="2098"/>
      <c r="AN324" s="2098"/>
      <c r="AO324" s="2098"/>
      <c r="AP324" s="2098"/>
      <c r="AQ324" s="2098"/>
      <c r="AR324" s="2098"/>
      <c r="AS324" s="2098"/>
      <c r="AT324" s="2098"/>
      <c r="AU324" s="2098"/>
      <c r="AV324" s="2098"/>
      <c r="AW324" s="2098"/>
      <c r="AX324" s="2098"/>
      <c r="AY324" s="2098"/>
      <c r="AZ324" s="2098"/>
    </row>
    <row r="325" spans="3:52">
      <c r="C325" s="2096"/>
      <c r="D325" s="2097"/>
      <c r="E325" s="2098"/>
      <c r="F325" s="2098"/>
      <c r="G325" s="2098"/>
      <c r="H325" s="2098"/>
      <c r="I325" s="2098"/>
      <c r="J325" s="2098"/>
      <c r="K325" s="2098"/>
      <c r="L325" s="2098"/>
      <c r="M325" s="2098"/>
      <c r="N325" s="2098"/>
      <c r="O325" s="2098"/>
      <c r="P325" s="2098"/>
      <c r="Q325" s="2098"/>
      <c r="R325" s="2098"/>
      <c r="S325" s="2098"/>
      <c r="T325" s="2098"/>
      <c r="U325" s="2098"/>
      <c r="V325" s="2098"/>
      <c r="W325" s="2098"/>
      <c r="X325" s="2098"/>
      <c r="Y325" s="2098"/>
      <c r="Z325" s="2098"/>
      <c r="AA325" s="2098"/>
      <c r="AB325" s="2098"/>
      <c r="AC325" s="2098"/>
      <c r="AD325" s="2098"/>
      <c r="AE325" s="2098"/>
      <c r="AF325" s="2098"/>
      <c r="AG325" s="2098"/>
      <c r="AH325" s="2098"/>
      <c r="AI325" s="2098"/>
      <c r="AJ325" s="2098"/>
      <c r="AK325" s="2098"/>
      <c r="AL325" s="2098"/>
      <c r="AM325" s="2098"/>
      <c r="AN325" s="2098"/>
      <c r="AO325" s="2098"/>
      <c r="AP325" s="2098"/>
      <c r="AQ325" s="2098"/>
      <c r="AR325" s="2098"/>
      <c r="AS325" s="2098"/>
      <c r="AT325" s="2098"/>
      <c r="AU325" s="2098"/>
      <c r="AV325" s="2098"/>
      <c r="AW325" s="2098"/>
      <c r="AX325" s="2098"/>
      <c r="AY325" s="2098"/>
      <c r="AZ325" s="2098"/>
    </row>
    <row r="326" spans="3:52">
      <c r="C326" s="2096"/>
      <c r="D326" s="2097"/>
      <c r="E326" s="2098"/>
      <c r="F326" s="2098"/>
      <c r="G326" s="2098"/>
      <c r="H326" s="2098"/>
      <c r="I326" s="2098"/>
      <c r="J326" s="2098"/>
      <c r="K326" s="2098"/>
      <c r="L326" s="2098"/>
      <c r="M326" s="2098"/>
      <c r="N326" s="2098"/>
      <c r="O326" s="2098"/>
      <c r="P326" s="2098"/>
      <c r="Q326" s="2098"/>
      <c r="R326" s="2098"/>
      <c r="S326" s="2098"/>
      <c r="T326" s="2098"/>
      <c r="U326" s="2098"/>
      <c r="V326" s="2098"/>
      <c r="W326" s="2098"/>
      <c r="X326" s="2098"/>
      <c r="Y326" s="2098"/>
      <c r="Z326" s="2098"/>
      <c r="AA326" s="2098"/>
      <c r="AB326" s="2098"/>
      <c r="AC326" s="2098"/>
      <c r="AD326" s="2098"/>
      <c r="AE326" s="2098"/>
      <c r="AF326" s="2098"/>
      <c r="AG326" s="2098"/>
      <c r="AH326" s="2098"/>
      <c r="AI326" s="2098"/>
      <c r="AJ326" s="2098"/>
      <c r="AK326" s="2098"/>
      <c r="AL326" s="2098"/>
      <c r="AM326" s="2098"/>
      <c r="AN326" s="2098"/>
      <c r="AO326" s="2098"/>
      <c r="AP326" s="2098"/>
      <c r="AQ326" s="2098"/>
      <c r="AR326" s="2098"/>
      <c r="AS326" s="2098"/>
      <c r="AT326" s="2098"/>
      <c r="AU326" s="2098"/>
      <c r="AV326" s="2098"/>
      <c r="AW326" s="2098"/>
      <c r="AX326" s="2098"/>
      <c r="AY326" s="2098"/>
      <c r="AZ326" s="2098"/>
    </row>
    <row r="327" spans="3:52">
      <c r="C327" s="2096"/>
      <c r="D327" s="2097"/>
      <c r="E327" s="2098"/>
      <c r="F327" s="2098"/>
      <c r="G327" s="2098"/>
      <c r="H327" s="2098"/>
      <c r="I327" s="2098"/>
      <c r="J327" s="2098"/>
      <c r="K327" s="2098"/>
      <c r="L327" s="2098"/>
      <c r="M327" s="2098"/>
      <c r="N327" s="2098"/>
      <c r="O327" s="2098"/>
      <c r="P327" s="2098"/>
      <c r="Q327" s="2098"/>
      <c r="R327" s="2098"/>
      <c r="S327" s="2098"/>
      <c r="T327" s="2098"/>
      <c r="U327" s="2098"/>
      <c r="V327" s="2098"/>
      <c r="W327" s="2098"/>
      <c r="X327" s="2098"/>
      <c r="Y327" s="2098"/>
      <c r="Z327" s="2098"/>
      <c r="AA327" s="2098"/>
      <c r="AB327" s="2098"/>
      <c r="AC327" s="2098"/>
      <c r="AD327" s="2098"/>
      <c r="AE327" s="2098"/>
      <c r="AF327" s="2098"/>
      <c r="AG327" s="2098"/>
      <c r="AH327" s="2098"/>
      <c r="AI327" s="2098"/>
      <c r="AJ327" s="2098"/>
      <c r="AK327" s="2098"/>
      <c r="AL327" s="2098"/>
      <c r="AM327" s="2098"/>
      <c r="AN327" s="2098"/>
      <c r="AO327" s="2098"/>
      <c r="AP327" s="2098"/>
      <c r="AQ327" s="2098"/>
      <c r="AR327" s="2098"/>
      <c r="AS327" s="2098"/>
      <c r="AT327" s="2098"/>
      <c r="AU327" s="2098"/>
      <c r="AV327" s="2098"/>
      <c r="AW327" s="2098"/>
      <c r="AX327" s="2098"/>
      <c r="AY327" s="2098"/>
      <c r="AZ327" s="2098"/>
    </row>
    <row r="328" spans="3:52">
      <c r="C328" s="2096"/>
      <c r="D328" s="2097"/>
      <c r="E328" s="2098"/>
      <c r="F328" s="2098"/>
      <c r="G328" s="2098"/>
      <c r="H328" s="2098"/>
      <c r="I328" s="2098"/>
      <c r="J328" s="2098"/>
      <c r="K328" s="2098"/>
      <c r="L328" s="2098"/>
      <c r="M328" s="2098"/>
      <c r="N328" s="2098"/>
      <c r="O328" s="2098"/>
      <c r="P328" s="2098"/>
      <c r="Q328" s="2098"/>
      <c r="R328" s="2098"/>
      <c r="S328" s="2098"/>
      <c r="T328" s="2098"/>
      <c r="U328" s="2098"/>
      <c r="V328" s="2098"/>
      <c r="W328" s="2098"/>
      <c r="X328" s="2098"/>
      <c r="Y328" s="2098"/>
      <c r="Z328" s="2098"/>
      <c r="AA328" s="2098"/>
      <c r="AB328" s="2098"/>
      <c r="AC328" s="2098"/>
      <c r="AD328" s="2098"/>
      <c r="AE328" s="2098"/>
      <c r="AF328" s="2098"/>
      <c r="AG328" s="2098"/>
      <c r="AH328" s="2098"/>
      <c r="AI328" s="2098"/>
      <c r="AJ328" s="2098"/>
      <c r="AK328" s="2098"/>
      <c r="AL328" s="2098"/>
      <c r="AM328" s="2098"/>
      <c r="AN328" s="2098"/>
      <c r="AO328" s="2098"/>
      <c r="AP328" s="2098"/>
      <c r="AQ328" s="2098"/>
      <c r="AR328" s="2098"/>
      <c r="AS328" s="2098"/>
      <c r="AT328" s="2098"/>
      <c r="AU328" s="2098"/>
      <c r="AV328" s="2098"/>
      <c r="AW328" s="2098"/>
      <c r="AX328" s="2098"/>
      <c r="AY328" s="2098"/>
      <c r="AZ328" s="2098"/>
    </row>
    <row r="329" spans="3:52">
      <c r="C329" s="2096"/>
      <c r="D329" s="2097"/>
      <c r="E329" s="2098"/>
      <c r="F329" s="2098"/>
      <c r="G329" s="2098"/>
      <c r="H329" s="2098"/>
      <c r="I329" s="2098"/>
      <c r="J329" s="2098"/>
      <c r="K329" s="2098"/>
      <c r="L329" s="2098"/>
      <c r="M329" s="2098"/>
      <c r="N329" s="2098"/>
      <c r="O329" s="2098"/>
      <c r="P329" s="2098"/>
      <c r="Q329" s="2098"/>
      <c r="R329" s="2098"/>
      <c r="S329" s="2098"/>
      <c r="T329" s="2098"/>
      <c r="U329" s="2098"/>
      <c r="V329" s="2098"/>
      <c r="W329" s="2098"/>
      <c r="X329" s="2098"/>
      <c r="Y329" s="2098"/>
      <c r="Z329" s="2098"/>
      <c r="AA329" s="2098"/>
      <c r="AB329" s="2098"/>
      <c r="AC329" s="2098"/>
      <c r="AD329" s="2098"/>
      <c r="AE329" s="2098"/>
      <c r="AF329" s="2098"/>
      <c r="AG329" s="2098"/>
      <c r="AH329" s="2098"/>
      <c r="AI329" s="2098"/>
      <c r="AJ329" s="2098"/>
      <c r="AK329" s="2098"/>
      <c r="AL329" s="2098"/>
      <c r="AM329" s="2098"/>
      <c r="AN329" s="2098"/>
      <c r="AO329" s="2098"/>
      <c r="AP329" s="2098"/>
      <c r="AQ329" s="2098"/>
      <c r="AR329" s="2098"/>
      <c r="AS329" s="2098"/>
      <c r="AT329" s="2098"/>
      <c r="AU329" s="2098"/>
      <c r="AV329" s="2098"/>
      <c r="AW329" s="2098"/>
      <c r="AX329" s="2098"/>
      <c r="AY329" s="2098"/>
      <c r="AZ329" s="2098"/>
    </row>
    <row r="330" spans="3:52">
      <c r="C330" s="2096"/>
      <c r="D330" s="2097"/>
      <c r="E330" s="2098"/>
      <c r="F330" s="2098"/>
      <c r="G330" s="2098"/>
      <c r="H330" s="2098"/>
      <c r="I330" s="2098"/>
      <c r="J330" s="2098"/>
      <c r="K330" s="2098"/>
      <c r="L330" s="2098"/>
      <c r="M330" s="2098"/>
      <c r="N330" s="2098"/>
      <c r="O330" s="2098"/>
      <c r="P330" s="2098"/>
      <c r="Q330" s="2098"/>
      <c r="R330" s="2098"/>
      <c r="S330" s="2098"/>
      <c r="T330" s="2098"/>
      <c r="U330" s="2098"/>
      <c r="V330" s="2098"/>
      <c r="W330" s="2098"/>
      <c r="X330" s="2098"/>
      <c r="Y330" s="2098"/>
      <c r="Z330" s="2098"/>
      <c r="AA330" s="2098"/>
      <c r="AB330" s="2098"/>
      <c r="AC330" s="2098"/>
      <c r="AD330" s="2098"/>
      <c r="AE330" s="2098"/>
      <c r="AF330" s="2098"/>
      <c r="AG330" s="2098"/>
      <c r="AH330" s="2098"/>
      <c r="AI330" s="2098"/>
      <c r="AJ330" s="2098"/>
      <c r="AK330" s="2098"/>
      <c r="AL330" s="2098"/>
      <c r="AM330" s="2098"/>
      <c r="AN330" s="2098"/>
      <c r="AO330" s="2098"/>
      <c r="AP330" s="2098"/>
      <c r="AQ330" s="2098"/>
      <c r="AR330" s="2098"/>
      <c r="AS330" s="2098"/>
      <c r="AT330" s="2098"/>
      <c r="AU330" s="2098"/>
      <c r="AV330" s="2098"/>
      <c r="AW330" s="2098"/>
      <c r="AX330" s="2098"/>
      <c r="AY330" s="2098"/>
      <c r="AZ330" s="2098"/>
    </row>
    <row r="331" spans="3:52">
      <c r="C331" s="2096"/>
      <c r="D331" s="2097"/>
      <c r="E331" s="2098"/>
      <c r="F331" s="2098"/>
      <c r="G331" s="2098"/>
      <c r="H331" s="2098"/>
      <c r="I331" s="2098"/>
      <c r="J331" s="2098"/>
      <c r="K331" s="2098"/>
      <c r="L331" s="2098"/>
      <c r="M331" s="2098"/>
      <c r="N331" s="2098"/>
      <c r="O331" s="2098"/>
      <c r="P331" s="2098"/>
      <c r="Q331" s="2098"/>
      <c r="R331" s="2098"/>
      <c r="S331" s="2098"/>
      <c r="T331" s="2098"/>
      <c r="U331" s="2098"/>
      <c r="V331" s="2098"/>
      <c r="W331" s="2098"/>
      <c r="X331" s="2098"/>
      <c r="Y331" s="2098"/>
      <c r="Z331" s="2098"/>
      <c r="AA331" s="2098"/>
      <c r="AB331" s="2098"/>
      <c r="AC331" s="2098"/>
      <c r="AD331" s="2098"/>
      <c r="AE331" s="2098"/>
      <c r="AF331" s="2098"/>
      <c r="AG331" s="2098"/>
      <c r="AH331" s="2098"/>
      <c r="AI331" s="2098"/>
      <c r="AJ331" s="2098"/>
      <c r="AK331" s="2098"/>
      <c r="AL331" s="2098"/>
      <c r="AM331" s="2098"/>
      <c r="AN331" s="2098"/>
      <c r="AO331" s="2098"/>
      <c r="AP331" s="2098"/>
      <c r="AQ331" s="2098"/>
      <c r="AR331" s="2098"/>
      <c r="AS331" s="2098"/>
      <c r="AT331" s="2098"/>
      <c r="AU331" s="2098"/>
      <c r="AV331" s="2098"/>
      <c r="AW331" s="2098"/>
      <c r="AX331" s="2098"/>
      <c r="AY331" s="2098"/>
      <c r="AZ331" s="2098"/>
    </row>
    <row r="332" spans="3:52">
      <c r="C332" s="2096"/>
      <c r="D332" s="2097"/>
      <c r="E332" s="2098"/>
      <c r="F332" s="2098"/>
      <c r="G332" s="2098"/>
      <c r="H332" s="2098"/>
      <c r="I332" s="2098"/>
      <c r="J332" s="2098"/>
      <c r="K332" s="2098"/>
      <c r="L332" s="2098"/>
      <c r="M332" s="2098"/>
      <c r="N332" s="2098"/>
      <c r="O332" s="2098"/>
      <c r="P332" s="2098"/>
      <c r="Q332" s="2098"/>
      <c r="R332" s="2098"/>
      <c r="S332" s="2098"/>
      <c r="T332" s="2098"/>
      <c r="U332" s="2098"/>
      <c r="V332" s="2098"/>
      <c r="W332" s="2098"/>
      <c r="X332" s="2098"/>
      <c r="Y332" s="2098"/>
      <c r="Z332" s="2098"/>
      <c r="AA332" s="2098"/>
      <c r="AB332" s="2098"/>
      <c r="AC332" s="2098"/>
      <c r="AD332" s="2098"/>
      <c r="AE332" s="2098"/>
      <c r="AF332" s="2098"/>
      <c r="AG332" s="2098"/>
      <c r="AH332" s="2098"/>
      <c r="AI332" s="2098"/>
      <c r="AJ332" s="2098"/>
      <c r="AK332" s="2098"/>
      <c r="AL332" s="2098"/>
      <c r="AM332" s="2098"/>
      <c r="AN332" s="2098"/>
      <c r="AO332" s="2098"/>
      <c r="AP332" s="2098"/>
      <c r="AQ332" s="2098"/>
      <c r="AR332" s="2098"/>
      <c r="AS332" s="2098"/>
      <c r="AT332" s="2098"/>
      <c r="AU332" s="2098"/>
      <c r="AV332" s="2098"/>
      <c r="AW332" s="2098"/>
      <c r="AX332" s="2098"/>
      <c r="AY332" s="2098"/>
      <c r="AZ332" s="2098"/>
    </row>
    <row r="333" spans="3:52">
      <c r="C333" s="2096"/>
      <c r="D333" s="2097"/>
      <c r="E333" s="2098"/>
      <c r="F333" s="2098"/>
      <c r="G333" s="2098"/>
      <c r="H333" s="2098"/>
      <c r="I333" s="2098"/>
      <c r="J333" s="2098"/>
      <c r="K333" s="2098"/>
      <c r="L333" s="2098"/>
      <c r="M333" s="2098"/>
      <c r="N333" s="2098"/>
      <c r="O333" s="2098"/>
      <c r="P333" s="2098"/>
      <c r="Q333" s="2098"/>
      <c r="R333" s="2098"/>
      <c r="S333" s="2098"/>
      <c r="T333" s="2098"/>
      <c r="U333" s="2098"/>
      <c r="V333" s="2098"/>
      <c r="W333" s="2098"/>
      <c r="X333" s="2098"/>
      <c r="Y333" s="2098"/>
      <c r="Z333" s="2098"/>
      <c r="AA333" s="2098"/>
      <c r="AB333" s="2098"/>
      <c r="AC333" s="2098"/>
      <c r="AD333" s="2098"/>
      <c r="AE333" s="2098"/>
      <c r="AF333" s="2098"/>
      <c r="AG333" s="2098"/>
      <c r="AH333" s="2098"/>
      <c r="AI333" s="2098"/>
      <c r="AJ333" s="2098"/>
      <c r="AK333" s="2098"/>
      <c r="AL333" s="2098"/>
      <c r="AM333" s="2098"/>
      <c r="AN333" s="2098"/>
      <c r="AO333" s="2098"/>
      <c r="AP333" s="2098"/>
      <c r="AQ333" s="2098"/>
      <c r="AR333" s="2098"/>
      <c r="AS333" s="2098"/>
      <c r="AT333" s="2098"/>
      <c r="AU333" s="2098"/>
      <c r="AV333" s="2098"/>
      <c r="AW333" s="2098"/>
      <c r="AX333" s="2098"/>
      <c r="AY333" s="2098"/>
      <c r="AZ333" s="2098"/>
    </row>
    <row r="334" spans="3:52">
      <c r="C334" s="2096"/>
      <c r="D334" s="2097"/>
      <c r="E334" s="2098"/>
      <c r="F334" s="2098"/>
      <c r="G334" s="2098"/>
      <c r="H334" s="2098"/>
      <c r="I334" s="2098"/>
      <c r="J334" s="2098"/>
      <c r="K334" s="2098"/>
      <c r="L334" s="2098"/>
      <c r="M334" s="2098"/>
      <c r="N334" s="2098"/>
      <c r="O334" s="2098"/>
      <c r="P334" s="2098"/>
      <c r="Q334" s="2098"/>
      <c r="R334" s="2098"/>
      <c r="S334" s="2098"/>
      <c r="T334" s="2098"/>
      <c r="U334" s="2098"/>
      <c r="V334" s="2098"/>
      <c r="W334" s="2098"/>
      <c r="X334" s="2098"/>
      <c r="Y334" s="2098"/>
      <c r="Z334" s="2098"/>
      <c r="AA334" s="2098"/>
      <c r="AB334" s="2098"/>
      <c r="AC334" s="2098"/>
      <c r="AD334" s="2098"/>
      <c r="AE334" s="2098"/>
      <c r="AF334" s="2098"/>
      <c r="AG334" s="2098"/>
      <c r="AH334" s="2098"/>
      <c r="AI334" s="2098"/>
      <c r="AJ334" s="2098"/>
      <c r="AK334" s="2098"/>
      <c r="AL334" s="2098"/>
      <c r="AM334" s="2098"/>
      <c r="AN334" s="2098"/>
      <c r="AO334" s="2098"/>
      <c r="AP334" s="2098"/>
      <c r="AQ334" s="2098"/>
      <c r="AR334" s="2098"/>
      <c r="AS334" s="2098"/>
      <c r="AT334" s="2098"/>
      <c r="AU334" s="2098"/>
      <c r="AV334" s="2098"/>
      <c r="AW334" s="2098"/>
      <c r="AX334" s="2098"/>
      <c r="AY334" s="2098"/>
      <c r="AZ334" s="2098"/>
    </row>
    <row r="335" spans="3:52">
      <c r="C335" s="2096"/>
      <c r="D335" s="2097"/>
      <c r="E335" s="2098"/>
      <c r="F335" s="2098"/>
      <c r="G335" s="2098"/>
      <c r="H335" s="2098"/>
      <c r="I335" s="2098"/>
      <c r="J335" s="2098"/>
      <c r="K335" s="2098"/>
      <c r="L335" s="2098"/>
      <c r="M335" s="2098"/>
      <c r="N335" s="2098"/>
      <c r="O335" s="2098"/>
      <c r="P335" s="2098"/>
      <c r="Q335" s="2098"/>
      <c r="R335" s="2098"/>
      <c r="S335" s="2098"/>
      <c r="T335" s="2098"/>
      <c r="U335" s="2098"/>
      <c r="V335" s="2098"/>
      <c r="W335" s="2098"/>
      <c r="X335" s="2098"/>
      <c r="Y335" s="2098"/>
      <c r="Z335" s="2098"/>
      <c r="AA335" s="2098"/>
      <c r="AB335" s="2098"/>
      <c r="AC335" s="2098"/>
      <c r="AD335" s="2098"/>
      <c r="AE335" s="2098"/>
      <c r="AF335" s="2098"/>
      <c r="AG335" s="2098"/>
      <c r="AH335" s="2098"/>
      <c r="AI335" s="2098"/>
      <c r="AJ335" s="2098"/>
      <c r="AK335" s="2098"/>
      <c r="AL335" s="2098"/>
      <c r="AM335" s="2098"/>
      <c r="AN335" s="2098"/>
      <c r="AO335" s="2098"/>
      <c r="AP335" s="2098"/>
      <c r="AQ335" s="2098"/>
      <c r="AR335" s="2098"/>
      <c r="AS335" s="2098"/>
      <c r="AT335" s="2098"/>
      <c r="AU335" s="2098"/>
      <c r="AV335" s="2098"/>
      <c r="AW335" s="2098"/>
      <c r="AX335" s="2098"/>
      <c r="AY335" s="2098"/>
      <c r="AZ335" s="2098"/>
    </row>
    <row r="336" spans="3:52">
      <c r="C336" s="2096"/>
      <c r="D336" s="2097"/>
      <c r="E336" s="2098"/>
      <c r="F336" s="2098"/>
      <c r="G336" s="2098"/>
      <c r="H336" s="2098"/>
      <c r="I336" s="2098"/>
      <c r="J336" s="2098"/>
      <c r="K336" s="2098"/>
      <c r="L336" s="2098"/>
      <c r="M336" s="2098"/>
      <c r="N336" s="2098"/>
      <c r="O336" s="2098"/>
      <c r="P336" s="2098"/>
      <c r="Q336" s="2098"/>
      <c r="R336" s="2098"/>
      <c r="S336" s="2098"/>
      <c r="T336" s="2098"/>
      <c r="U336" s="2098"/>
      <c r="V336" s="2098"/>
      <c r="W336" s="2098"/>
      <c r="X336" s="2098"/>
      <c r="Y336" s="2098"/>
      <c r="Z336" s="2098"/>
      <c r="AA336" s="2098"/>
      <c r="AB336" s="2098"/>
      <c r="AC336" s="2098"/>
      <c r="AD336" s="2098"/>
      <c r="AE336" s="2098"/>
      <c r="AF336" s="2098"/>
      <c r="AG336" s="2098"/>
      <c r="AH336" s="2098"/>
      <c r="AI336" s="2098"/>
      <c r="AJ336" s="2098"/>
      <c r="AK336" s="2098"/>
      <c r="AL336" s="2098"/>
      <c r="AM336" s="2098"/>
      <c r="AN336" s="2098"/>
      <c r="AO336" s="2098"/>
      <c r="AP336" s="2098"/>
      <c r="AQ336" s="2098"/>
      <c r="AR336" s="2098"/>
      <c r="AS336" s="2098"/>
      <c r="AT336" s="2098"/>
      <c r="AU336" s="2098"/>
      <c r="AV336" s="2098"/>
      <c r="AW336" s="2098"/>
      <c r="AX336" s="2098"/>
      <c r="AY336" s="2098"/>
      <c r="AZ336" s="2098"/>
    </row>
    <row r="337" spans="3:52">
      <c r="C337" s="2096"/>
      <c r="D337" s="2097"/>
      <c r="E337" s="2098"/>
      <c r="F337" s="2098"/>
      <c r="G337" s="2098"/>
      <c r="H337" s="2098"/>
      <c r="I337" s="2098"/>
      <c r="J337" s="2098"/>
      <c r="K337" s="2098"/>
      <c r="L337" s="2098"/>
      <c r="M337" s="2098"/>
      <c r="N337" s="2098"/>
      <c r="O337" s="2098"/>
      <c r="P337" s="2098"/>
      <c r="Q337" s="2098"/>
      <c r="R337" s="2098"/>
      <c r="S337" s="2098"/>
      <c r="T337" s="2098"/>
      <c r="U337" s="2098"/>
      <c r="V337" s="2098"/>
      <c r="W337" s="2098"/>
      <c r="X337" s="2098"/>
      <c r="Y337" s="2098"/>
      <c r="Z337" s="2098"/>
      <c r="AA337" s="2098"/>
      <c r="AB337" s="2098"/>
      <c r="AC337" s="2098"/>
      <c r="AD337" s="2098"/>
      <c r="AE337" s="2098"/>
      <c r="AF337" s="2098"/>
      <c r="AG337" s="2098"/>
      <c r="AH337" s="2098"/>
      <c r="AI337" s="2098"/>
      <c r="AJ337" s="2098"/>
      <c r="AK337" s="2098"/>
      <c r="AL337" s="2098"/>
      <c r="AM337" s="2098"/>
      <c r="AN337" s="2098"/>
      <c r="AO337" s="2098"/>
      <c r="AP337" s="2098"/>
      <c r="AQ337" s="2098"/>
      <c r="AR337" s="2098"/>
      <c r="AS337" s="2098"/>
      <c r="AT337" s="2098"/>
      <c r="AU337" s="2098"/>
      <c r="AV337" s="2098"/>
      <c r="AW337" s="2098"/>
      <c r="AX337" s="2098"/>
      <c r="AY337" s="2098"/>
      <c r="AZ337" s="2098"/>
    </row>
    <row r="338" spans="3:52">
      <c r="C338" s="2096"/>
      <c r="D338" s="2097"/>
      <c r="E338" s="2098"/>
      <c r="F338" s="2098"/>
      <c r="G338" s="2098"/>
      <c r="H338" s="2098"/>
      <c r="I338" s="2098"/>
      <c r="J338" s="2098"/>
      <c r="K338" s="2098"/>
      <c r="L338" s="2098"/>
      <c r="M338" s="2098"/>
      <c r="N338" s="2098"/>
      <c r="O338" s="2098"/>
      <c r="P338" s="2098"/>
      <c r="Q338" s="2098"/>
      <c r="R338" s="2098"/>
      <c r="S338" s="2098"/>
      <c r="T338" s="2098"/>
      <c r="U338" s="2098"/>
      <c r="V338" s="2098"/>
      <c r="W338" s="2098"/>
      <c r="X338" s="2098"/>
      <c r="Y338" s="2098"/>
      <c r="Z338" s="2098"/>
      <c r="AA338" s="2098"/>
      <c r="AB338" s="2098"/>
      <c r="AC338" s="2098"/>
      <c r="AD338" s="2098"/>
      <c r="AE338" s="2098"/>
      <c r="AF338" s="2098"/>
      <c r="AG338" s="2098"/>
      <c r="AH338" s="2098"/>
      <c r="AI338" s="2098"/>
      <c r="AJ338" s="2098"/>
      <c r="AK338" s="2098"/>
      <c r="AL338" s="2098"/>
      <c r="AM338" s="2098"/>
      <c r="AN338" s="2098"/>
      <c r="AO338" s="2098"/>
      <c r="AP338" s="2098"/>
      <c r="AQ338" s="2098"/>
      <c r="AR338" s="2098"/>
      <c r="AS338" s="2098"/>
      <c r="AT338" s="2098"/>
      <c r="AU338" s="2098"/>
      <c r="AV338" s="2098"/>
      <c r="AW338" s="2098"/>
      <c r="AX338" s="2098"/>
      <c r="AY338" s="2098"/>
      <c r="AZ338" s="2098"/>
    </row>
    <row r="339" spans="3:52">
      <c r="C339" s="2096"/>
      <c r="D339" s="2097"/>
      <c r="E339" s="2098"/>
      <c r="F339" s="2098"/>
      <c r="G339" s="2098"/>
      <c r="H339" s="2098"/>
      <c r="I339" s="2098"/>
      <c r="J339" s="2098"/>
      <c r="K339" s="2098"/>
      <c r="L339" s="2098"/>
      <c r="M339" s="2098"/>
      <c r="N339" s="2098"/>
      <c r="O339" s="2098"/>
      <c r="P339" s="2098"/>
      <c r="Q339" s="2098"/>
      <c r="R339" s="2098"/>
      <c r="S339" s="2098"/>
      <c r="T339" s="2098"/>
      <c r="U339" s="2098"/>
      <c r="V339" s="2098"/>
      <c r="W339" s="2098"/>
      <c r="X339" s="2098"/>
      <c r="Y339" s="2098"/>
      <c r="Z339" s="2098"/>
      <c r="AA339" s="2098"/>
      <c r="AB339" s="2098"/>
      <c r="AC339" s="2098"/>
      <c r="AD339" s="2098"/>
      <c r="AE339" s="2098"/>
      <c r="AF339" s="2098"/>
      <c r="AG339" s="2098"/>
      <c r="AH339" s="2098"/>
      <c r="AI339" s="2098"/>
      <c r="AJ339" s="2098"/>
      <c r="AK339" s="2098"/>
      <c r="AL339" s="2098"/>
      <c r="AM339" s="2098"/>
      <c r="AN339" s="2098"/>
      <c r="AO339" s="2098"/>
      <c r="AP339" s="2098"/>
      <c r="AQ339" s="2098"/>
      <c r="AR339" s="2098"/>
      <c r="AS339" s="2098"/>
      <c r="AT339" s="2098"/>
      <c r="AU339" s="2098"/>
      <c r="AV339" s="2098"/>
      <c r="AW339" s="2098"/>
      <c r="AX339" s="2098"/>
      <c r="AY339" s="2098"/>
      <c r="AZ339" s="2098"/>
    </row>
    <row r="340" spans="3:52">
      <c r="C340" s="2096"/>
      <c r="D340" s="2097"/>
      <c r="E340" s="2098"/>
      <c r="F340" s="2098"/>
      <c r="G340" s="2098"/>
      <c r="H340" s="2098"/>
      <c r="I340" s="2098"/>
      <c r="J340" s="2098"/>
      <c r="K340" s="2098"/>
      <c r="L340" s="2098"/>
      <c r="M340" s="2098"/>
      <c r="N340" s="2098"/>
      <c r="O340" s="2098"/>
      <c r="P340" s="2098"/>
      <c r="Q340" s="2098"/>
      <c r="R340" s="2098"/>
      <c r="S340" s="2098"/>
      <c r="T340" s="2098"/>
      <c r="U340" s="2098"/>
      <c r="V340" s="2098"/>
      <c r="W340" s="2098"/>
      <c r="X340" s="2098"/>
      <c r="Y340" s="2098"/>
      <c r="Z340" s="2098"/>
      <c r="AA340" s="2098"/>
      <c r="AB340" s="2098"/>
      <c r="AC340" s="2098"/>
      <c r="AD340" s="2098"/>
      <c r="AE340" s="2098"/>
      <c r="AF340" s="2098"/>
      <c r="AG340" s="2098"/>
      <c r="AH340" s="2098"/>
      <c r="AI340" s="2098"/>
      <c r="AJ340" s="2098"/>
      <c r="AK340" s="2098"/>
      <c r="AL340" s="2098"/>
      <c r="AM340" s="2098"/>
      <c r="AN340" s="2098"/>
      <c r="AO340" s="2098"/>
      <c r="AP340" s="2098"/>
      <c r="AQ340" s="2098"/>
      <c r="AR340" s="2098"/>
      <c r="AS340" s="2098"/>
      <c r="AT340" s="2098"/>
      <c r="AU340" s="2098"/>
      <c r="AV340" s="2098"/>
      <c r="AW340" s="2098"/>
      <c r="AX340" s="2098"/>
      <c r="AY340" s="2098"/>
      <c r="AZ340" s="2098"/>
    </row>
    <row r="341" spans="3:52">
      <c r="C341" s="2096"/>
      <c r="D341" s="2097"/>
      <c r="E341" s="2098"/>
      <c r="F341" s="2098"/>
      <c r="G341" s="2098"/>
      <c r="H341" s="2098"/>
      <c r="I341" s="2098"/>
      <c r="J341" s="2098"/>
      <c r="K341" s="2098"/>
      <c r="L341" s="2098"/>
      <c r="M341" s="2098"/>
      <c r="N341" s="2098"/>
      <c r="O341" s="2098"/>
      <c r="P341" s="2098"/>
      <c r="Q341" s="2098"/>
      <c r="R341" s="2098"/>
      <c r="S341" s="2098"/>
      <c r="T341" s="2098"/>
      <c r="U341" s="2098"/>
      <c r="V341" s="2098"/>
      <c r="W341" s="2098"/>
      <c r="X341" s="2098"/>
      <c r="Y341" s="2098"/>
      <c r="Z341" s="2098"/>
      <c r="AA341" s="2098"/>
      <c r="AB341" s="2098"/>
      <c r="AC341" s="2098"/>
      <c r="AD341" s="2098"/>
      <c r="AE341" s="2098"/>
      <c r="AF341" s="2098"/>
      <c r="AG341" s="2098"/>
      <c r="AH341" s="2098"/>
      <c r="AI341" s="2098"/>
      <c r="AJ341" s="2098"/>
      <c r="AK341" s="2098"/>
      <c r="AL341" s="2098"/>
      <c r="AM341" s="2098"/>
      <c r="AN341" s="2098"/>
      <c r="AO341" s="2098"/>
      <c r="AP341" s="2098"/>
      <c r="AQ341" s="2098"/>
      <c r="AR341" s="2098"/>
      <c r="AS341" s="2098"/>
      <c r="AT341" s="2098"/>
      <c r="AU341" s="2098"/>
      <c r="AV341" s="2098"/>
      <c r="AW341" s="2098"/>
      <c r="AX341" s="2098"/>
      <c r="AY341" s="2098"/>
      <c r="AZ341" s="2098"/>
    </row>
    <row r="342" spans="3:52">
      <c r="C342" s="2096"/>
      <c r="D342" s="2097"/>
      <c r="E342" s="2098"/>
      <c r="F342" s="2098"/>
      <c r="G342" s="2098"/>
      <c r="H342" s="2098"/>
      <c r="I342" s="2098"/>
      <c r="J342" s="2098"/>
      <c r="K342" s="2098"/>
      <c r="L342" s="2098"/>
      <c r="M342" s="2098"/>
      <c r="N342" s="2098"/>
      <c r="O342" s="2098"/>
      <c r="P342" s="2098"/>
      <c r="Q342" s="2098"/>
      <c r="R342" s="2098"/>
      <c r="S342" s="2098"/>
      <c r="T342" s="2098"/>
      <c r="U342" s="2098"/>
      <c r="V342" s="2098"/>
      <c r="W342" s="2098"/>
      <c r="X342" s="2098"/>
      <c r="Y342" s="2098"/>
      <c r="Z342" s="2098"/>
      <c r="AA342" s="2098"/>
      <c r="AB342" s="2098"/>
      <c r="AC342" s="2098"/>
      <c r="AD342" s="2098"/>
      <c r="AE342" s="2098"/>
      <c r="AF342" s="2098"/>
      <c r="AG342" s="2098"/>
      <c r="AH342" s="2098"/>
      <c r="AI342" s="2098"/>
      <c r="AJ342" s="2098"/>
      <c r="AK342" s="2098"/>
      <c r="AL342" s="2098"/>
      <c r="AM342" s="2098"/>
      <c r="AN342" s="2098"/>
      <c r="AO342" s="2098"/>
      <c r="AP342" s="2098"/>
      <c r="AQ342" s="2098"/>
      <c r="AR342" s="2098"/>
      <c r="AS342" s="2098"/>
      <c r="AT342" s="2098"/>
      <c r="AU342" s="2098"/>
      <c r="AV342" s="2098"/>
      <c r="AW342" s="2098"/>
      <c r="AX342" s="2098"/>
      <c r="AY342" s="2098"/>
      <c r="AZ342" s="2098"/>
    </row>
    <row r="343" spans="3:52">
      <c r="C343" s="2096"/>
      <c r="D343" s="2097"/>
      <c r="E343" s="2098"/>
      <c r="F343" s="2098"/>
      <c r="G343" s="2098"/>
      <c r="H343" s="2098"/>
      <c r="I343" s="2098"/>
      <c r="J343" s="2098"/>
      <c r="K343" s="2098"/>
      <c r="L343" s="2098"/>
      <c r="M343" s="2098"/>
      <c r="N343" s="2098"/>
      <c r="O343" s="2098"/>
      <c r="P343" s="2098"/>
      <c r="Q343" s="2098"/>
      <c r="R343" s="2098"/>
      <c r="S343" s="2098"/>
      <c r="T343" s="2098"/>
      <c r="U343" s="2098"/>
      <c r="V343" s="2098"/>
      <c r="W343" s="2098"/>
      <c r="X343" s="2098"/>
      <c r="Y343" s="2098"/>
      <c r="Z343" s="2098"/>
      <c r="AA343" s="2098"/>
      <c r="AB343" s="2098"/>
      <c r="AC343" s="2098"/>
      <c r="AD343" s="2098"/>
      <c r="AE343" s="2098"/>
      <c r="AF343" s="2098"/>
      <c r="AG343" s="2098"/>
      <c r="AH343" s="2098"/>
      <c r="AI343" s="2098"/>
      <c r="AJ343" s="2098"/>
      <c r="AK343" s="2098"/>
      <c r="AL343" s="2098"/>
      <c r="AM343" s="2098"/>
      <c r="AN343" s="2098"/>
      <c r="AO343" s="2098"/>
      <c r="AP343" s="2098"/>
      <c r="AQ343" s="2098"/>
      <c r="AR343" s="2098"/>
      <c r="AS343" s="2098"/>
      <c r="AT343" s="2098"/>
      <c r="AU343" s="2098"/>
      <c r="AV343" s="2098"/>
      <c r="AW343" s="2098"/>
      <c r="AX343" s="2098"/>
      <c r="AY343" s="2098"/>
      <c r="AZ343" s="2098"/>
    </row>
    <row r="344" spans="3:52">
      <c r="C344" s="2096"/>
      <c r="D344" s="2097"/>
      <c r="E344" s="2098"/>
      <c r="F344" s="2098"/>
      <c r="G344" s="2098"/>
      <c r="H344" s="2098"/>
      <c r="I344" s="2098"/>
      <c r="J344" s="2098"/>
      <c r="K344" s="2098"/>
      <c r="L344" s="2098"/>
      <c r="M344" s="2098"/>
      <c r="N344" s="2098"/>
      <c r="O344" s="2098"/>
      <c r="P344" s="2098"/>
      <c r="Q344" s="2098"/>
      <c r="R344" s="2098"/>
      <c r="S344" s="2098"/>
      <c r="T344" s="2098"/>
      <c r="U344" s="2098"/>
      <c r="V344" s="2098"/>
      <c r="W344" s="2098"/>
      <c r="X344" s="2098"/>
      <c r="Y344" s="2098"/>
      <c r="Z344" s="2098"/>
      <c r="AA344" s="2098"/>
      <c r="AB344" s="2098"/>
      <c r="AC344" s="2098"/>
      <c r="AD344" s="2098"/>
      <c r="AE344" s="2098"/>
      <c r="AF344" s="2098"/>
      <c r="AG344" s="2098"/>
      <c r="AH344" s="2098"/>
      <c r="AI344" s="2098"/>
      <c r="AJ344" s="2098"/>
      <c r="AK344" s="2098"/>
      <c r="AL344" s="2098"/>
      <c r="AM344" s="2098"/>
      <c r="AN344" s="2098"/>
      <c r="AO344" s="2098"/>
      <c r="AP344" s="2098"/>
      <c r="AQ344" s="2098"/>
      <c r="AR344" s="2098"/>
      <c r="AS344" s="2098"/>
      <c r="AT344" s="2098"/>
      <c r="AU344" s="2098"/>
      <c r="AV344" s="2098"/>
      <c r="AW344" s="2098"/>
      <c r="AX344" s="2098"/>
      <c r="AY344" s="2098"/>
      <c r="AZ344" s="2098"/>
    </row>
    <row r="345" spans="3:52">
      <c r="C345" s="2096"/>
      <c r="D345" s="2097"/>
      <c r="E345" s="2098"/>
      <c r="F345" s="2098"/>
      <c r="G345" s="2098"/>
      <c r="H345" s="2098"/>
      <c r="I345" s="2098"/>
      <c r="J345" s="2098"/>
      <c r="K345" s="2098"/>
      <c r="L345" s="2098"/>
      <c r="M345" s="2098"/>
      <c r="N345" s="2098"/>
      <c r="O345" s="2098"/>
      <c r="P345" s="2098"/>
      <c r="Q345" s="2098"/>
      <c r="R345" s="2098"/>
      <c r="S345" s="2098"/>
      <c r="T345" s="2098"/>
      <c r="U345" s="2098"/>
      <c r="V345" s="2098"/>
      <c r="W345" s="2098"/>
      <c r="X345" s="2098"/>
      <c r="Y345" s="2098"/>
      <c r="Z345" s="2098"/>
      <c r="AA345" s="2098"/>
      <c r="AB345" s="2098"/>
      <c r="AC345" s="2098"/>
      <c r="AD345" s="2098"/>
      <c r="AE345" s="2098"/>
      <c r="AF345" s="2098"/>
      <c r="AG345" s="2098"/>
      <c r="AH345" s="2098"/>
      <c r="AI345" s="2098"/>
      <c r="AJ345" s="2098"/>
      <c r="AK345" s="2098"/>
      <c r="AL345" s="2098"/>
      <c r="AM345" s="2098"/>
      <c r="AN345" s="2098"/>
      <c r="AO345" s="2098"/>
      <c r="AP345" s="2098"/>
      <c r="AQ345" s="2098"/>
      <c r="AR345" s="2098"/>
      <c r="AS345" s="2098"/>
      <c r="AT345" s="2098"/>
      <c r="AU345" s="2098"/>
      <c r="AV345" s="2098"/>
      <c r="AW345" s="2098"/>
      <c r="AX345" s="2098"/>
      <c r="AY345" s="2098"/>
      <c r="AZ345" s="2098"/>
    </row>
    <row r="346" spans="3:52">
      <c r="C346" s="2096"/>
      <c r="D346" s="2097"/>
      <c r="E346" s="2098"/>
      <c r="F346" s="2098"/>
      <c r="G346" s="2098"/>
      <c r="H346" s="2098"/>
      <c r="I346" s="2098"/>
      <c r="J346" s="2098"/>
      <c r="K346" s="2098"/>
      <c r="L346" s="2098"/>
      <c r="M346" s="2098"/>
      <c r="N346" s="2098"/>
      <c r="O346" s="2098"/>
      <c r="P346" s="2098"/>
      <c r="Q346" s="2098"/>
      <c r="R346" s="2098"/>
      <c r="S346" s="2098"/>
      <c r="T346" s="2098"/>
      <c r="U346" s="2098"/>
      <c r="V346" s="2098"/>
      <c r="W346" s="2098"/>
      <c r="X346" s="2098"/>
      <c r="Y346" s="2098"/>
      <c r="Z346" s="2098"/>
      <c r="AA346" s="2098"/>
      <c r="AB346" s="2098"/>
      <c r="AC346" s="2098"/>
      <c r="AD346" s="2098"/>
      <c r="AE346" s="2098"/>
      <c r="AF346" s="2098"/>
      <c r="AG346" s="2098"/>
      <c r="AH346" s="2098"/>
      <c r="AI346" s="2098"/>
      <c r="AJ346" s="2098"/>
      <c r="AK346" s="2098"/>
      <c r="AL346" s="2098"/>
      <c r="AM346" s="2098"/>
      <c r="AN346" s="2098"/>
      <c r="AO346" s="2098"/>
      <c r="AP346" s="2098"/>
      <c r="AQ346" s="2098"/>
      <c r="AR346" s="2098"/>
      <c r="AS346" s="2098"/>
      <c r="AT346" s="2098"/>
      <c r="AU346" s="2098"/>
      <c r="AV346" s="2098"/>
      <c r="AW346" s="2098"/>
      <c r="AX346" s="2098"/>
      <c r="AY346" s="2098"/>
      <c r="AZ346" s="2098"/>
    </row>
    <row r="347" spans="3:52">
      <c r="C347" s="2096"/>
      <c r="D347" s="2097"/>
      <c r="E347" s="2098"/>
      <c r="F347" s="2098"/>
      <c r="G347" s="2098"/>
      <c r="H347" s="2098"/>
      <c r="I347" s="2098"/>
      <c r="J347" s="2098"/>
      <c r="K347" s="2098"/>
      <c r="L347" s="2098"/>
      <c r="M347" s="2098"/>
      <c r="N347" s="2098"/>
      <c r="O347" s="2098"/>
      <c r="P347" s="2098"/>
      <c r="Q347" s="2098"/>
      <c r="R347" s="2098"/>
      <c r="S347" s="2098"/>
      <c r="T347" s="2098"/>
      <c r="U347" s="2098"/>
      <c r="V347" s="2098"/>
      <c r="W347" s="2098"/>
      <c r="X347" s="2098"/>
      <c r="Y347" s="2098"/>
      <c r="Z347" s="2098"/>
      <c r="AA347" s="2098"/>
      <c r="AB347" s="2098"/>
      <c r="AC347" s="2098"/>
      <c r="AD347" s="2098"/>
      <c r="AE347" s="2098"/>
      <c r="AF347" s="2098"/>
      <c r="AG347" s="2098"/>
      <c r="AH347" s="2098"/>
      <c r="AI347" s="2098"/>
      <c r="AJ347" s="2098"/>
      <c r="AK347" s="2098"/>
      <c r="AL347" s="2098"/>
      <c r="AM347" s="2098"/>
      <c r="AN347" s="2098"/>
      <c r="AO347" s="2098"/>
      <c r="AP347" s="2098"/>
      <c r="AQ347" s="2098"/>
      <c r="AR347" s="2098"/>
      <c r="AS347" s="2098"/>
      <c r="AT347" s="2098"/>
      <c r="AU347" s="2098"/>
      <c r="AV347" s="2098"/>
      <c r="AW347" s="2098"/>
      <c r="AX347" s="2098"/>
      <c r="AY347" s="2098"/>
      <c r="AZ347" s="2098"/>
    </row>
    <row r="348" spans="3:52">
      <c r="C348" s="2096"/>
      <c r="D348" s="2097"/>
      <c r="E348" s="2098"/>
      <c r="F348" s="2098"/>
      <c r="G348" s="2098"/>
      <c r="H348" s="2098"/>
      <c r="I348" s="2098"/>
      <c r="J348" s="2098"/>
      <c r="K348" s="2098"/>
      <c r="L348" s="2098"/>
      <c r="M348" s="2098"/>
      <c r="N348" s="2098"/>
      <c r="O348" s="2098"/>
      <c r="P348" s="2098"/>
      <c r="Q348" s="2098"/>
      <c r="R348" s="2098"/>
      <c r="S348" s="2098"/>
      <c r="T348" s="2098"/>
      <c r="U348" s="2098"/>
      <c r="V348" s="2098"/>
      <c r="W348" s="2098"/>
      <c r="X348" s="2098"/>
      <c r="Y348" s="2098"/>
      <c r="Z348" s="2098"/>
      <c r="AA348" s="2098"/>
      <c r="AB348" s="2098"/>
      <c r="AC348" s="2098"/>
      <c r="AD348" s="2098"/>
      <c r="AE348" s="2098"/>
      <c r="AF348" s="2098"/>
      <c r="AG348" s="2098"/>
      <c r="AH348" s="2098"/>
      <c r="AI348" s="2098"/>
      <c r="AJ348" s="2098"/>
      <c r="AK348" s="2098"/>
      <c r="AL348" s="2098"/>
      <c r="AM348" s="2098"/>
      <c r="AN348" s="2098"/>
      <c r="AO348" s="2098"/>
      <c r="AP348" s="2098"/>
      <c r="AQ348" s="2098"/>
      <c r="AR348" s="2098"/>
      <c r="AS348" s="2098"/>
      <c r="AT348" s="2098"/>
      <c r="AU348" s="2098"/>
      <c r="AV348" s="2098"/>
      <c r="AW348" s="2098"/>
      <c r="AX348" s="2098"/>
      <c r="AY348" s="2098"/>
      <c r="AZ348" s="2098"/>
    </row>
    <row r="349" spans="3:52">
      <c r="C349" s="2096"/>
      <c r="D349" s="2097"/>
      <c r="E349" s="2098"/>
      <c r="F349" s="2098"/>
      <c r="G349" s="2098"/>
      <c r="H349" s="2098"/>
      <c r="I349" s="2098"/>
      <c r="J349" s="2098"/>
      <c r="K349" s="2098"/>
      <c r="L349" s="2098"/>
      <c r="M349" s="2098"/>
      <c r="N349" s="2098"/>
      <c r="O349" s="2098"/>
      <c r="P349" s="2098"/>
      <c r="Q349" s="2098"/>
      <c r="R349" s="2098"/>
      <c r="S349" s="2098"/>
      <c r="T349" s="2098"/>
      <c r="U349" s="2098"/>
      <c r="V349" s="2098"/>
      <c r="W349" s="2098"/>
      <c r="X349" s="2098"/>
      <c r="Y349" s="2098"/>
      <c r="Z349" s="2098"/>
      <c r="AA349" s="2098"/>
      <c r="AB349" s="2098"/>
      <c r="AC349" s="2098"/>
      <c r="AD349" s="2098"/>
      <c r="AE349" s="2098"/>
      <c r="AF349" s="2098"/>
      <c r="AG349" s="2098"/>
      <c r="AH349" s="2098"/>
      <c r="AI349" s="2098"/>
      <c r="AJ349" s="2098"/>
      <c r="AK349" s="2098"/>
      <c r="AL349" s="2098"/>
      <c r="AM349" s="2098"/>
      <c r="AN349" s="2098"/>
      <c r="AO349" s="2098"/>
      <c r="AP349" s="2098"/>
      <c r="AQ349" s="2098"/>
      <c r="AR349" s="2098"/>
      <c r="AS349" s="2098"/>
      <c r="AT349" s="2098"/>
      <c r="AU349" s="2098"/>
      <c r="AV349" s="2098"/>
      <c r="AW349" s="2098"/>
      <c r="AX349" s="2098"/>
      <c r="AY349" s="2098"/>
      <c r="AZ349" s="2098"/>
    </row>
    <row r="350" spans="3:52">
      <c r="C350" s="2096"/>
      <c r="D350" s="2097"/>
      <c r="E350" s="2098"/>
      <c r="F350" s="2098"/>
      <c r="G350" s="2098"/>
      <c r="H350" s="2098"/>
      <c r="I350" s="2098"/>
      <c r="J350" s="2098"/>
      <c r="K350" s="2098"/>
      <c r="L350" s="2098"/>
      <c r="M350" s="2098"/>
      <c r="N350" s="2098"/>
      <c r="O350" s="2098"/>
      <c r="P350" s="2098"/>
      <c r="Q350" s="2098"/>
      <c r="R350" s="2098"/>
      <c r="S350" s="2098"/>
      <c r="T350" s="2098"/>
      <c r="U350" s="2098"/>
      <c r="V350" s="2098"/>
      <c r="W350" s="2098"/>
      <c r="X350" s="2098"/>
      <c r="Y350" s="2098"/>
      <c r="Z350" s="2098"/>
      <c r="AA350" s="2098"/>
      <c r="AB350" s="2098"/>
      <c r="AC350" s="2098"/>
      <c r="AD350" s="2098"/>
      <c r="AE350" s="2098"/>
      <c r="AF350" s="2098"/>
      <c r="AG350" s="2098"/>
      <c r="AH350" s="2098"/>
      <c r="AI350" s="2098"/>
      <c r="AJ350" s="2098"/>
      <c r="AK350" s="2098"/>
      <c r="AL350" s="2098"/>
      <c r="AM350" s="2098"/>
      <c r="AN350" s="2098"/>
      <c r="AO350" s="2098"/>
      <c r="AP350" s="2098"/>
      <c r="AQ350" s="2098"/>
      <c r="AR350" s="2098"/>
      <c r="AS350" s="2098"/>
      <c r="AT350" s="2098"/>
      <c r="AU350" s="2098"/>
      <c r="AV350" s="2098"/>
      <c r="AW350" s="2098"/>
      <c r="AX350" s="2098"/>
      <c r="AY350" s="2098"/>
      <c r="AZ350" s="2098"/>
    </row>
    <row r="351" spans="3:52">
      <c r="C351" s="2096"/>
      <c r="D351" s="2097"/>
      <c r="E351" s="2098"/>
      <c r="F351" s="2098"/>
      <c r="G351" s="2098"/>
      <c r="H351" s="2098"/>
      <c r="I351" s="2098"/>
      <c r="J351" s="2098"/>
      <c r="K351" s="2098"/>
      <c r="L351" s="2098"/>
      <c r="M351" s="2098"/>
      <c r="N351" s="2098"/>
      <c r="O351" s="2098"/>
      <c r="P351" s="2098"/>
      <c r="Q351" s="2098"/>
      <c r="R351" s="2098"/>
      <c r="S351" s="2098"/>
      <c r="T351" s="2098"/>
      <c r="U351" s="2098"/>
      <c r="V351" s="2098"/>
      <c r="W351" s="2098"/>
      <c r="X351" s="2098"/>
      <c r="Y351" s="2098"/>
      <c r="Z351" s="2098"/>
      <c r="AA351" s="2098"/>
      <c r="AB351" s="2098"/>
      <c r="AC351" s="2098"/>
      <c r="AD351" s="2098"/>
      <c r="AE351" s="2098"/>
      <c r="AF351" s="2098"/>
      <c r="AG351" s="2098"/>
      <c r="AH351" s="2098"/>
      <c r="AI351" s="2098"/>
      <c r="AJ351" s="2098"/>
      <c r="AK351" s="2098"/>
      <c r="AL351" s="2098"/>
      <c r="AM351" s="2098"/>
      <c r="AN351" s="2098"/>
      <c r="AO351" s="2098"/>
      <c r="AP351" s="2098"/>
      <c r="AQ351" s="2098"/>
      <c r="AR351" s="2098"/>
      <c r="AS351" s="2098"/>
      <c r="AT351" s="2098"/>
      <c r="AU351" s="2098"/>
      <c r="AV351" s="2098"/>
      <c r="AW351" s="2098"/>
      <c r="AX351" s="2098"/>
      <c r="AY351" s="2098"/>
      <c r="AZ351" s="2098"/>
    </row>
    <row r="352" spans="3:52">
      <c r="C352" s="2096"/>
      <c r="D352" s="2097"/>
      <c r="E352" s="2098"/>
      <c r="F352" s="2098"/>
      <c r="G352" s="2098"/>
      <c r="H352" s="2098"/>
      <c r="I352" s="2098"/>
      <c r="J352" s="2098"/>
      <c r="K352" s="2098"/>
      <c r="L352" s="2098"/>
      <c r="M352" s="2098"/>
      <c r="N352" s="2098"/>
      <c r="O352" s="2098"/>
      <c r="P352" s="2098"/>
      <c r="Q352" s="2098"/>
      <c r="R352" s="2098"/>
      <c r="S352" s="2098"/>
      <c r="T352" s="2098"/>
      <c r="U352" s="2098"/>
      <c r="V352" s="2098"/>
      <c r="W352" s="2098"/>
      <c r="X352" s="2098"/>
      <c r="Y352" s="2098"/>
      <c r="Z352" s="2098"/>
      <c r="AA352" s="2098"/>
      <c r="AB352" s="2098"/>
      <c r="AC352" s="2098"/>
      <c r="AD352" s="2098"/>
      <c r="AE352" s="2098"/>
      <c r="AF352" s="2098"/>
      <c r="AG352" s="2098"/>
      <c r="AH352" s="2098"/>
      <c r="AI352" s="2098"/>
      <c r="AJ352" s="2098"/>
      <c r="AK352" s="2098"/>
      <c r="AL352" s="2098"/>
      <c r="AM352" s="2098"/>
      <c r="AN352" s="2098"/>
      <c r="AO352" s="2098"/>
      <c r="AP352" s="2098"/>
      <c r="AQ352" s="2098"/>
      <c r="AR352" s="2098"/>
      <c r="AS352" s="2098"/>
      <c r="AT352" s="2098"/>
      <c r="AU352" s="2098"/>
      <c r="AV352" s="2098"/>
      <c r="AW352" s="2098"/>
      <c r="AX352" s="2098"/>
      <c r="AY352" s="2098"/>
      <c r="AZ352" s="2098"/>
    </row>
    <row r="353" spans="3:52">
      <c r="C353" s="2096"/>
      <c r="D353" s="2097"/>
      <c r="E353" s="2098"/>
      <c r="F353" s="2098"/>
      <c r="G353" s="2098"/>
      <c r="H353" s="2098"/>
      <c r="I353" s="2098"/>
      <c r="J353" s="2098"/>
      <c r="K353" s="2098"/>
      <c r="L353" s="2098"/>
      <c r="M353" s="2098"/>
      <c r="N353" s="2098"/>
      <c r="O353" s="2098"/>
      <c r="P353" s="2098"/>
      <c r="Q353" s="2098"/>
      <c r="R353" s="2098"/>
      <c r="S353" s="2098"/>
      <c r="T353" s="2098"/>
      <c r="U353" s="2098"/>
      <c r="V353" s="2098"/>
      <c r="W353" s="2098"/>
      <c r="X353" s="2098"/>
      <c r="Y353" s="2098"/>
      <c r="Z353" s="2098"/>
      <c r="AA353" s="2098"/>
      <c r="AB353" s="2098"/>
      <c r="AC353" s="2098"/>
      <c r="AD353" s="2098"/>
      <c r="AE353" s="2098"/>
      <c r="AF353" s="2098"/>
      <c r="AG353" s="2098"/>
      <c r="AH353" s="2098"/>
      <c r="AI353" s="2098"/>
      <c r="AJ353" s="2098"/>
      <c r="AK353" s="2098"/>
      <c r="AL353" s="2098"/>
      <c r="AM353" s="2098"/>
      <c r="AN353" s="2098"/>
      <c r="AO353" s="2098"/>
      <c r="AP353" s="2098"/>
      <c r="AQ353" s="2098"/>
      <c r="AR353" s="2098"/>
      <c r="AS353" s="2098"/>
      <c r="AT353" s="2098"/>
      <c r="AU353" s="2098"/>
      <c r="AV353" s="2098"/>
      <c r="AW353" s="2098"/>
      <c r="AX353" s="2098"/>
      <c r="AY353" s="2098"/>
      <c r="AZ353" s="2098"/>
    </row>
    <row r="354" spans="3:52">
      <c r="C354" s="2096"/>
      <c r="D354" s="2097"/>
      <c r="E354" s="2098"/>
      <c r="F354" s="2098"/>
      <c r="G354" s="2098"/>
      <c r="H354" s="2098"/>
      <c r="I354" s="2098"/>
      <c r="J354" s="2098"/>
      <c r="K354" s="2098"/>
      <c r="L354" s="2098"/>
      <c r="M354" s="2098"/>
      <c r="N354" s="2098"/>
      <c r="O354" s="2098"/>
      <c r="P354" s="2098"/>
      <c r="Q354" s="2098"/>
      <c r="R354" s="2098"/>
      <c r="S354" s="2098"/>
      <c r="T354" s="2098"/>
      <c r="U354" s="2098"/>
      <c r="V354" s="2098"/>
      <c r="W354" s="2098"/>
      <c r="X354" s="2098"/>
      <c r="Y354" s="2098"/>
      <c r="Z354" s="2098"/>
      <c r="AA354" s="2098"/>
      <c r="AB354" s="2098"/>
      <c r="AC354" s="2098"/>
      <c r="AD354" s="2098"/>
      <c r="AE354" s="2098"/>
      <c r="AF354" s="2098"/>
      <c r="AG354" s="2098"/>
      <c r="AH354" s="2098"/>
      <c r="AI354" s="2098"/>
      <c r="AJ354" s="2098"/>
      <c r="AK354" s="2098"/>
      <c r="AL354" s="2098"/>
      <c r="AM354" s="2098"/>
      <c r="AN354" s="2098"/>
      <c r="AO354" s="2098"/>
      <c r="AP354" s="2098"/>
      <c r="AQ354" s="2098"/>
      <c r="AR354" s="2098"/>
      <c r="AS354" s="2098"/>
      <c r="AT354" s="2098"/>
      <c r="AU354" s="2098"/>
      <c r="AV354" s="2098"/>
      <c r="AW354" s="2098"/>
      <c r="AX354" s="2098"/>
      <c r="AY354" s="2098"/>
      <c r="AZ354" s="2098"/>
    </row>
    <row r="355" spans="3:52">
      <c r="C355" s="2096"/>
      <c r="D355" s="2097"/>
      <c r="E355" s="2098"/>
      <c r="F355" s="2098"/>
      <c r="G355" s="2098"/>
      <c r="H355" s="2098"/>
      <c r="I355" s="2098"/>
      <c r="J355" s="2098"/>
      <c r="K355" s="2098"/>
      <c r="L355" s="2098"/>
      <c r="M355" s="2098"/>
      <c r="N355" s="2098"/>
      <c r="O355" s="2098"/>
      <c r="P355" s="2098"/>
      <c r="Q355" s="2098"/>
      <c r="R355" s="2098"/>
      <c r="S355" s="2098"/>
      <c r="T355" s="2098"/>
      <c r="U355" s="2098"/>
      <c r="V355" s="2098"/>
      <c r="W355" s="2098"/>
      <c r="X355" s="2098"/>
      <c r="Y355" s="2098"/>
      <c r="Z355" s="2098"/>
      <c r="AA355" s="2098"/>
      <c r="AB355" s="2098"/>
      <c r="AC355" s="2098"/>
      <c r="AD355" s="2098"/>
      <c r="AE355" s="2098"/>
      <c r="AF355" s="2098"/>
      <c r="AG355" s="2098"/>
      <c r="AH355" s="2098"/>
      <c r="AI355" s="2098"/>
      <c r="AJ355" s="2098"/>
      <c r="AK355" s="2098"/>
      <c r="AL355" s="2098"/>
      <c r="AM355" s="2098"/>
      <c r="AN355" s="2098"/>
      <c r="AO355" s="2098"/>
      <c r="AP355" s="2098"/>
      <c r="AQ355" s="2098"/>
      <c r="AR355" s="2098"/>
      <c r="AS355" s="2098"/>
      <c r="AT355" s="2098"/>
      <c r="AU355" s="2098"/>
      <c r="AV355" s="2098"/>
      <c r="AW355" s="2098"/>
      <c r="AX355" s="2098"/>
      <c r="AY355" s="2098"/>
      <c r="AZ355" s="2098"/>
    </row>
    <row r="356" spans="3:52">
      <c r="C356" s="2096"/>
      <c r="D356" s="2097"/>
      <c r="E356" s="2098"/>
      <c r="F356" s="2098"/>
      <c r="G356" s="2098"/>
      <c r="H356" s="2098"/>
      <c r="I356" s="2098"/>
      <c r="J356" s="2098"/>
      <c r="K356" s="2098"/>
      <c r="L356" s="2098"/>
      <c r="M356" s="2098"/>
      <c r="N356" s="2098"/>
      <c r="O356" s="2098"/>
      <c r="P356" s="2098"/>
      <c r="Q356" s="2098"/>
      <c r="R356" s="2098"/>
      <c r="S356" s="2098"/>
      <c r="T356" s="2098"/>
      <c r="U356" s="2098"/>
      <c r="V356" s="2098"/>
      <c r="W356" s="2098"/>
      <c r="X356" s="2098"/>
      <c r="Y356" s="2098"/>
      <c r="Z356" s="2098"/>
      <c r="AA356" s="2098"/>
      <c r="AB356" s="2098"/>
      <c r="AC356" s="2098"/>
      <c r="AD356" s="2098"/>
      <c r="AE356" s="2098"/>
      <c r="AF356" s="2098"/>
      <c r="AG356" s="2098"/>
      <c r="AH356" s="2098"/>
      <c r="AI356" s="2098"/>
      <c r="AJ356" s="2098"/>
      <c r="AK356" s="2098"/>
      <c r="AL356" s="2098"/>
      <c r="AM356" s="2098"/>
      <c r="AN356" s="2098"/>
      <c r="AO356" s="2098"/>
      <c r="AP356" s="2098"/>
      <c r="AQ356" s="2098"/>
      <c r="AR356" s="2098"/>
      <c r="AS356" s="2098"/>
      <c r="AT356" s="2098"/>
      <c r="AU356" s="2098"/>
      <c r="AV356" s="2098"/>
      <c r="AW356" s="2098"/>
      <c r="AX356" s="2098"/>
      <c r="AY356" s="2098"/>
      <c r="AZ356" s="2098"/>
    </row>
    <row r="357" spans="3:52">
      <c r="C357" s="2096"/>
      <c r="D357" s="2097"/>
      <c r="E357" s="2098"/>
      <c r="F357" s="2098"/>
      <c r="G357" s="2098"/>
      <c r="H357" s="2098"/>
      <c r="I357" s="2098"/>
      <c r="J357" s="2098"/>
      <c r="K357" s="2098"/>
      <c r="L357" s="2098"/>
      <c r="M357" s="2098"/>
      <c r="N357" s="2098"/>
      <c r="O357" s="2098"/>
      <c r="P357" s="2098"/>
      <c r="Q357" s="2098"/>
      <c r="R357" s="2098"/>
      <c r="S357" s="2098"/>
      <c r="T357" s="2098"/>
      <c r="U357" s="2098"/>
      <c r="V357" s="2098"/>
      <c r="W357" s="2098"/>
      <c r="X357" s="2098"/>
      <c r="Y357" s="2098"/>
      <c r="Z357" s="2098"/>
      <c r="AA357" s="2098"/>
      <c r="AB357" s="2098"/>
      <c r="AC357" s="2098"/>
      <c r="AD357" s="2098"/>
      <c r="AE357" s="2098"/>
      <c r="AF357" s="2098"/>
      <c r="AG357" s="2098"/>
      <c r="AH357" s="2098"/>
      <c r="AI357" s="2098"/>
      <c r="AJ357" s="2098"/>
      <c r="AK357" s="2098"/>
      <c r="AL357" s="2098"/>
      <c r="AM357" s="2098"/>
      <c r="AN357" s="2098"/>
      <c r="AO357" s="2098"/>
      <c r="AP357" s="2098"/>
      <c r="AQ357" s="2098"/>
      <c r="AR357" s="2098"/>
      <c r="AS357" s="2098"/>
      <c r="AT357" s="2098"/>
      <c r="AU357" s="2098"/>
      <c r="AV357" s="2098"/>
      <c r="AW357" s="2098"/>
      <c r="AX357" s="2098"/>
      <c r="AY357" s="2098"/>
      <c r="AZ357" s="2098"/>
    </row>
    <row r="358" spans="3:52">
      <c r="C358" s="2096"/>
      <c r="D358" s="2097"/>
      <c r="E358" s="2098"/>
      <c r="F358" s="2098"/>
      <c r="G358" s="2098"/>
      <c r="H358" s="2098"/>
      <c r="I358" s="2098"/>
      <c r="J358" s="2098"/>
      <c r="K358" s="2098"/>
      <c r="L358" s="2098"/>
      <c r="M358" s="2098"/>
      <c r="N358" s="2098"/>
      <c r="O358" s="2098"/>
      <c r="P358" s="2098"/>
      <c r="Q358" s="2098"/>
      <c r="R358" s="2098"/>
      <c r="S358" s="2098"/>
      <c r="T358" s="2098"/>
      <c r="U358" s="2098"/>
      <c r="V358" s="2098"/>
      <c r="W358" s="2098"/>
      <c r="X358" s="2098"/>
      <c r="Y358" s="2098"/>
      <c r="Z358" s="2098"/>
      <c r="AA358" s="2098"/>
      <c r="AB358" s="2098"/>
      <c r="AC358" s="2098"/>
      <c r="AD358" s="2098"/>
      <c r="AE358" s="2098"/>
      <c r="AF358" s="2098"/>
      <c r="AG358" s="2098"/>
      <c r="AH358" s="2098"/>
      <c r="AI358" s="2098"/>
      <c r="AJ358" s="2098"/>
      <c r="AK358" s="2098"/>
      <c r="AL358" s="2098"/>
      <c r="AM358" s="2098"/>
      <c r="AN358" s="2098"/>
      <c r="AO358" s="2098"/>
      <c r="AP358" s="2098"/>
      <c r="AQ358" s="2098"/>
      <c r="AR358" s="2098"/>
      <c r="AS358" s="2098"/>
      <c r="AT358" s="2098"/>
      <c r="AU358" s="2098"/>
      <c r="AV358" s="2098"/>
      <c r="AW358" s="2098"/>
      <c r="AX358" s="2098"/>
      <c r="AY358" s="2098"/>
      <c r="AZ358" s="2098"/>
    </row>
    <row r="359" spans="3:52">
      <c r="C359" s="2096"/>
      <c r="D359" s="2097"/>
      <c r="E359" s="2098"/>
      <c r="F359" s="2098"/>
      <c r="G359" s="2098"/>
      <c r="H359" s="2098"/>
      <c r="I359" s="2098"/>
      <c r="J359" s="2098"/>
      <c r="K359" s="2098"/>
      <c r="L359" s="2098"/>
      <c r="M359" s="2098"/>
      <c r="N359" s="2098"/>
      <c r="O359" s="2098"/>
      <c r="P359" s="2098"/>
      <c r="Q359" s="2098"/>
      <c r="R359" s="2098"/>
      <c r="S359" s="2098"/>
      <c r="T359" s="2098"/>
      <c r="U359" s="2098"/>
      <c r="V359" s="2098"/>
      <c r="W359" s="2098"/>
      <c r="X359" s="2098"/>
      <c r="Y359" s="2098"/>
      <c r="Z359" s="2098"/>
      <c r="AA359" s="2098"/>
      <c r="AB359" s="2098"/>
      <c r="AC359" s="2098"/>
      <c r="AD359" s="2098"/>
      <c r="AE359" s="2098"/>
      <c r="AF359" s="2098"/>
      <c r="AG359" s="2098"/>
      <c r="AH359" s="2098"/>
      <c r="AI359" s="2098"/>
      <c r="AJ359" s="2098"/>
      <c r="AK359" s="2098"/>
      <c r="AL359" s="2098"/>
      <c r="AM359" s="2098"/>
      <c r="AN359" s="2098"/>
      <c r="AO359" s="2098"/>
      <c r="AP359" s="2098"/>
      <c r="AQ359" s="2098"/>
      <c r="AR359" s="2098"/>
      <c r="AS359" s="2098"/>
      <c r="AT359" s="2098"/>
      <c r="AU359" s="2098"/>
      <c r="AV359" s="2098"/>
      <c r="AW359" s="2098"/>
      <c r="AX359" s="2098"/>
      <c r="AY359" s="2098"/>
      <c r="AZ359" s="2098"/>
    </row>
    <row r="360" spans="3:52">
      <c r="C360" s="2096"/>
      <c r="D360" s="2097"/>
      <c r="E360" s="2098"/>
      <c r="F360" s="2098"/>
      <c r="G360" s="2098"/>
      <c r="H360" s="2098"/>
      <c r="I360" s="2098"/>
      <c r="J360" s="2098"/>
      <c r="K360" s="2098"/>
      <c r="L360" s="2098"/>
      <c r="M360" s="2098"/>
      <c r="N360" s="2098"/>
      <c r="O360" s="2098"/>
      <c r="P360" s="2098"/>
      <c r="Q360" s="2098"/>
      <c r="R360" s="2098"/>
      <c r="S360" s="2098"/>
      <c r="T360" s="2098"/>
      <c r="U360" s="2098"/>
      <c r="V360" s="2098"/>
      <c r="W360" s="2098"/>
      <c r="X360" s="2098"/>
      <c r="Y360" s="2098"/>
      <c r="Z360" s="2098"/>
      <c r="AA360" s="2098"/>
      <c r="AB360" s="2098"/>
      <c r="AC360" s="2098"/>
      <c r="AD360" s="2098"/>
      <c r="AE360" s="2098"/>
      <c r="AF360" s="2098"/>
      <c r="AG360" s="2098"/>
      <c r="AH360" s="2098"/>
      <c r="AI360" s="2098"/>
      <c r="AJ360" s="2098"/>
      <c r="AK360" s="2098"/>
      <c r="AL360" s="2098"/>
      <c r="AM360" s="2098"/>
      <c r="AN360" s="2098"/>
      <c r="AO360" s="2098"/>
      <c r="AP360" s="2098"/>
      <c r="AQ360" s="2098"/>
      <c r="AR360" s="2098"/>
      <c r="AS360" s="2098"/>
      <c r="AT360" s="2098"/>
      <c r="AU360" s="2098"/>
      <c r="AV360" s="2098"/>
      <c r="AW360" s="2098"/>
      <c r="AX360" s="2098"/>
      <c r="AY360" s="2098"/>
      <c r="AZ360" s="2098"/>
    </row>
    <row r="361" spans="3:52">
      <c r="C361" s="2096"/>
      <c r="D361" s="2097"/>
      <c r="E361" s="2098"/>
      <c r="F361" s="2098"/>
      <c r="G361" s="2098"/>
      <c r="H361" s="2098"/>
      <c r="I361" s="2098"/>
      <c r="J361" s="2098"/>
      <c r="K361" s="2098"/>
      <c r="L361" s="2098"/>
      <c r="M361" s="2098"/>
      <c r="N361" s="2098"/>
      <c r="O361" s="2098"/>
      <c r="P361" s="2098"/>
      <c r="Q361" s="2098"/>
      <c r="R361" s="2098"/>
      <c r="S361" s="2098"/>
      <c r="T361" s="2098"/>
      <c r="U361" s="2098"/>
      <c r="V361" s="2098"/>
      <c r="W361" s="2098"/>
      <c r="X361" s="2098"/>
      <c r="Y361" s="2098"/>
      <c r="Z361" s="2098"/>
      <c r="AA361" s="2098"/>
      <c r="AB361" s="2098"/>
      <c r="AC361" s="2098"/>
      <c r="AD361" s="2098"/>
      <c r="AE361" s="2098"/>
      <c r="AF361" s="2098"/>
      <c r="AG361" s="2098"/>
      <c r="AH361" s="2098"/>
      <c r="AI361" s="2098"/>
      <c r="AJ361" s="2098"/>
      <c r="AK361" s="2098"/>
      <c r="AL361" s="2098"/>
      <c r="AM361" s="2098"/>
      <c r="AN361" s="2098"/>
      <c r="AO361" s="2098"/>
      <c r="AP361" s="2098"/>
      <c r="AQ361" s="2098"/>
      <c r="AR361" s="2098"/>
      <c r="AS361" s="2098"/>
      <c r="AT361" s="2098"/>
      <c r="AU361" s="2098"/>
      <c r="AV361" s="2098"/>
      <c r="AW361" s="2098"/>
      <c r="AX361" s="2098"/>
      <c r="AY361" s="2098"/>
      <c r="AZ361" s="2098"/>
    </row>
    <row r="362" spans="3:52">
      <c r="C362" s="2096"/>
      <c r="D362" s="2097"/>
      <c r="E362" s="2098"/>
      <c r="F362" s="2098"/>
      <c r="G362" s="2098"/>
      <c r="H362" s="2098"/>
      <c r="I362" s="2098"/>
      <c r="J362" s="2098"/>
      <c r="K362" s="2098"/>
      <c r="L362" s="2098"/>
      <c r="M362" s="2098"/>
      <c r="N362" s="2098"/>
      <c r="O362" s="2098"/>
      <c r="P362" s="2098"/>
      <c r="Q362" s="2098"/>
      <c r="R362" s="2098"/>
      <c r="S362" s="2098"/>
      <c r="T362" s="2098"/>
      <c r="U362" s="2098"/>
      <c r="V362" s="2098"/>
      <c r="W362" s="2098"/>
      <c r="X362" s="2098"/>
      <c r="Y362" s="2098"/>
      <c r="Z362" s="2098"/>
      <c r="AA362" s="2098"/>
      <c r="AB362" s="2098"/>
      <c r="AC362" s="2098"/>
      <c r="AD362" s="2098"/>
      <c r="AE362" s="2098"/>
      <c r="AF362" s="2098"/>
      <c r="AG362" s="2098"/>
      <c r="AH362" s="2098"/>
      <c r="AI362" s="2098"/>
      <c r="AJ362" s="2098"/>
      <c r="AK362" s="2098"/>
      <c r="AL362" s="2098"/>
      <c r="AM362" s="2098"/>
      <c r="AN362" s="2098"/>
      <c r="AO362" s="2098"/>
      <c r="AP362" s="2098"/>
      <c r="AQ362" s="2098"/>
      <c r="AR362" s="2098"/>
      <c r="AS362" s="2098"/>
      <c r="AT362" s="2098"/>
      <c r="AU362" s="2098"/>
      <c r="AV362" s="2098"/>
      <c r="AW362" s="2098"/>
      <c r="AX362" s="2098"/>
      <c r="AY362" s="2098"/>
      <c r="AZ362" s="2098"/>
    </row>
    <row r="363" spans="3:52">
      <c r="C363" s="2096"/>
      <c r="D363" s="2097"/>
      <c r="E363" s="2098"/>
      <c r="F363" s="2098"/>
      <c r="G363" s="2098"/>
      <c r="H363" s="2098"/>
      <c r="I363" s="2098"/>
      <c r="J363" s="2098"/>
      <c r="K363" s="2098"/>
      <c r="L363" s="2098"/>
      <c r="M363" s="2098"/>
      <c r="N363" s="2098"/>
      <c r="O363" s="2098"/>
      <c r="P363" s="2098"/>
      <c r="Q363" s="2098"/>
      <c r="R363" s="2098"/>
      <c r="S363" s="2098"/>
      <c r="T363" s="2098"/>
      <c r="U363" s="2098"/>
      <c r="V363" s="2098"/>
      <c r="W363" s="2098"/>
      <c r="X363" s="2098"/>
      <c r="Y363" s="2098"/>
      <c r="Z363" s="2098"/>
      <c r="AA363" s="2098"/>
      <c r="AB363" s="2098"/>
      <c r="AC363" s="2098"/>
      <c r="AD363" s="2098"/>
      <c r="AE363" s="2098"/>
      <c r="AF363" s="2098"/>
      <c r="AG363" s="2098"/>
      <c r="AH363" s="2098"/>
      <c r="AI363" s="2098"/>
      <c r="AJ363" s="2098"/>
      <c r="AK363" s="2098"/>
      <c r="AL363" s="2098"/>
      <c r="AM363" s="2098"/>
      <c r="AN363" s="2098"/>
      <c r="AO363" s="2098"/>
      <c r="AP363" s="2098"/>
      <c r="AQ363" s="2098"/>
      <c r="AR363" s="2098"/>
      <c r="AS363" s="2098"/>
      <c r="AT363" s="2098"/>
      <c r="AU363" s="2098"/>
      <c r="AV363" s="2098"/>
      <c r="AW363" s="2098"/>
      <c r="AX363" s="2098"/>
      <c r="AY363" s="2098"/>
      <c r="AZ363" s="2098"/>
    </row>
    <row r="364" spans="3:52">
      <c r="C364" s="2096"/>
      <c r="D364" s="2097"/>
      <c r="E364" s="2098"/>
      <c r="F364" s="2098"/>
      <c r="G364" s="2098"/>
      <c r="H364" s="2098"/>
      <c r="I364" s="2098"/>
      <c r="J364" s="2098"/>
      <c r="K364" s="2098"/>
      <c r="L364" s="2098"/>
      <c r="M364" s="2098"/>
      <c r="N364" s="2098"/>
      <c r="O364" s="2098"/>
      <c r="P364" s="2098"/>
      <c r="Q364" s="2098"/>
      <c r="R364" s="2098"/>
      <c r="S364" s="2098"/>
      <c r="T364" s="2098"/>
      <c r="U364" s="2098"/>
      <c r="V364" s="2098"/>
      <c r="W364" s="2098"/>
      <c r="X364" s="2098"/>
      <c r="Y364" s="2098"/>
      <c r="Z364" s="2098"/>
      <c r="AA364" s="2098"/>
      <c r="AB364" s="2098"/>
      <c r="AC364" s="2098"/>
      <c r="AD364" s="2098"/>
      <c r="AE364" s="2098"/>
      <c r="AF364" s="2098"/>
      <c r="AG364" s="2098"/>
      <c r="AH364" s="2098"/>
      <c r="AI364" s="2098"/>
      <c r="AJ364" s="2098"/>
      <c r="AK364" s="2098"/>
      <c r="AL364" s="2098"/>
      <c r="AM364" s="2098"/>
      <c r="AN364" s="2098"/>
      <c r="AO364" s="2098"/>
      <c r="AP364" s="2098"/>
      <c r="AQ364" s="2098"/>
      <c r="AR364" s="2098"/>
      <c r="AS364" s="2098"/>
      <c r="AT364" s="2098"/>
      <c r="AU364" s="2098"/>
      <c r="AV364" s="2098"/>
      <c r="AW364" s="2098"/>
      <c r="AX364" s="2098"/>
      <c r="AY364" s="2098"/>
      <c r="AZ364" s="2098"/>
    </row>
    <row r="365" spans="3:52">
      <c r="C365" s="2096"/>
      <c r="D365" s="2097"/>
      <c r="E365" s="2098"/>
      <c r="F365" s="2098"/>
      <c r="G365" s="2098"/>
      <c r="H365" s="2098"/>
      <c r="I365" s="2098"/>
      <c r="J365" s="2098"/>
      <c r="K365" s="2098"/>
      <c r="L365" s="2098"/>
      <c r="M365" s="2098"/>
      <c r="N365" s="2098"/>
      <c r="O365" s="2098"/>
      <c r="P365" s="2098"/>
      <c r="Q365" s="2098"/>
      <c r="R365" s="2098"/>
      <c r="S365" s="2098"/>
      <c r="T365" s="2098"/>
      <c r="U365" s="2098"/>
      <c r="V365" s="2098"/>
      <c r="W365" s="2098"/>
      <c r="X365" s="2098"/>
      <c r="Y365" s="2098"/>
      <c r="Z365" s="2098"/>
      <c r="AA365" s="2098"/>
      <c r="AB365" s="2098"/>
      <c r="AC365" s="2098"/>
      <c r="AD365" s="2098"/>
      <c r="AE365" s="2098"/>
      <c r="AF365" s="2098"/>
      <c r="AG365" s="2098"/>
      <c r="AH365" s="2098"/>
      <c r="AI365" s="2098"/>
      <c r="AJ365" s="2098"/>
      <c r="AK365" s="2098"/>
      <c r="AL365" s="2098"/>
      <c r="AM365" s="2098"/>
      <c r="AN365" s="2098"/>
      <c r="AO365" s="2098"/>
      <c r="AP365" s="2098"/>
      <c r="AQ365" s="2098"/>
      <c r="AR365" s="2098"/>
      <c r="AS365" s="2098"/>
      <c r="AT365" s="2098"/>
      <c r="AU365" s="2098"/>
      <c r="AV365" s="2098"/>
      <c r="AW365" s="2098"/>
      <c r="AX365" s="2098"/>
      <c r="AY365" s="2098"/>
      <c r="AZ365" s="2098"/>
    </row>
    <row r="366" spans="3:52">
      <c r="C366" s="2096"/>
      <c r="D366" s="2097"/>
      <c r="E366" s="2098"/>
      <c r="F366" s="2098"/>
      <c r="G366" s="2098"/>
      <c r="H366" s="2098"/>
      <c r="I366" s="2098"/>
      <c r="J366" s="2098"/>
      <c r="K366" s="2098"/>
      <c r="L366" s="2098"/>
      <c r="M366" s="2098"/>
      <c r="N366" s="2098"/>
      <c r="O366" s="2098"/>
      <c r="P366" s="2098"/>
      <c r="Q366" s="2098"/>
      <c r="R366" s="2098"/>
      <c r="S366" s="2098"/>
      <c r="T366" s="2098"/>
      <c r="U366" s="2098"/>
      <c r="V366" s="2098"/>
      <c r="W366" s="2098"/>
      <c r="X366" s="2098"/>
      <c r="Y366" s="2098"/>
      <c r="Z366" s="2098"/>
      <c r="AA366" s="2098"/>
      <c r="AB366" s="2098"/>
      <c r="AC366" s="2098"/>
      <c r="AD366" s="2098"/>
      <c r="AE366" s="2098"/>
      <c r="AF366" s="2098"/>
      <c r="AG366" s="2098"/>
      <c r="AH366" s="2098"/>
      <c r="AI366" s="2098"/>
      <c r="AJ366" s="2098"/>
      <c r="AK366" s="2098"/>
      <c r="AL366" s="2098"/>
      <c r="AM366" s="2098"/>
      <c r="AN366" s="2098"/>
      <c r="AO366" s="2098"/>
      <c r="AP366" s="2098"/>
      <c r="AQ366" s="2098"/>
      <c r="AR366" s="2098"/>
      <c r="AS366" s="2098"/>
      <c r="AT366" s="2098"/>
      <c r="AU366" s="2098"/>
      <c r="AV366" s="2098"/>
      <c r="AW366" s="2098"/>
      <c r="AX366" s="2098"/>
      <c r="AY366" s="2098"/>
      <c r="AZ366" s="2098"/>
    </row>
    <row r="367" spans="3:52">
      <c r="C367" s="2096"/>
      <c r="D367" s="2097"/>
      <c r="E367" s="2098"/>
      <c r="F367" s="2098"/>
      <c r="G367" s="2098"/>
      <c r="H367" s="2098"/>
      <c r="I367" s="2098"/>
      <c r="J367" s="2098"/>
      <c r="K367" s="2098"/>
      <c r="L367" s="2098"/>
      <c r="M367" s="2098"/>
      <c r="N367" s="2098"/>
      <c r="O367" s="2098"/>
      <c r="P367" s="2098"/>
      <c r="Q367" s="2098"/>
      <c r="R367" s="2098"/>
      <c r="S367" s="2098"/>
      <c r="T367" s="2098"/>
      <c r="U367" s="2098"/>
      <c r="V367" s="2098"/>
      <c r="W367" s="2098"/>
      <c r="X367" s="2098"/>
      <c r="Y367" s="2098"/>
      <c r="Z367" s="2098"/>
      <c r="AA367" s="2098"/>
      <c r="AB367" s="2098"/>
      <c r="AC367" s="2098"/>
      <c r="AD367" s="2098"/>
      <c r="AE367" s="2098"/>
      <c r="AF367" s="2098"/>
      <c r="AG367" s="2098"/>
      <c r="AH367" s="2098"/>
      <c r="AI367" s="2098"/>
      <c r="AJ367" s="2098"/>
      <c r="AK367" s="2098"/>
      <c r="AL367" s="2098"/>
      <c r="AM367" s="2098"/>
      <c r="AN367" s="2098"/>
      <c r="AO367" s="2098"/>
      <c r="AP367" s="2098"/>
      <c r="AQ367" s="2098"/>
      <c r="AR367" s="2098"/>
      <c r="AS367" s="2098"/>
      <c r="AT367" s="2098"/>
      <c r="AU367" s="2098"/>
      <c r="AV367" s="2098"/>
      <c r="AW367" s="2098"/>
      <c r="AX367" s="2098"/>
      <c r="AY367" s="2098"/>
      <c r="AZ367" s="2098"/>
    </row>
    <row r="368" spans="3:52">
      <c r="C368" s="2096"/>
      <c r="D368" s="2097"/>
      <c r="E368" s="2098"/>
      <c r="F368" s="2098"/>
      <c r="G368" s="2098"/>
      <c r="H368" s="2098"/>
      <c r="I368" s="2098"/>
      <c r="J368" s="2098"/>
      <c r="K368" s="2098"/>
      <c r="L368" s="2098"/>
      <c r="M368" s="2098"/>
      <c r="N368" s="2098"/>
      <c r="O368" s="2098"/>
      <c r="P368" s="2098"/>
      <c r="Q368" s="2098"/>
      <c r="R368" s="2098"/>
      <c r="S368" s="2098"/>
      <c r="T368" s="2098"/>
      <c r="U368" s="2098"/>
      <c r="V368" s="2098"/>
      <c r="W368" s="2098"/>
      <c r="X368" s="2098"/>
      <c r="Y368" s="2098"/>
      <c r="Z368" s="2098"/>
      <c r="AA368" s="2098"/>
      <c r="AB368" s="2098"/>
      <c r="AC368" s="2098"/>
      <c r="AD368" s="2098"/>
      <c r="AE368" s="2098"/>
      <c r="AF368" s="2098"/>
      <c r="AG368" s="2098"/>
      <c r="AH368" s="2098"/>
      <c r="AI368" s="2098"/>
      <c r="AJ368" s="2098"/>
      <c r="AK368" s="2098"/>
      <c r="AL368" s="2098"/>
      <c r="AM368" s="2098"/>
      <c r="AN368" s="2098"/>
      <c r="AO368" s="2098"/>
      <c r="AP368" s="2098"/>
      <c r="AQ368" s="2098"/>
      <c r="AR368" s="2098"/>
      <c r="AS368" s="2098"/>
      <c r="AT368" s="2098"/>
      <c r="AU368" s="2098"/>
      <c r="AV368" s="2098"/>
      <c r="AW368" s="2098"/>
      <c r="AX368" s="2098"/>
      <c r="AY368" s="2098"/>
      <c r="AZ368" s="2098"/>
    </row>
    <row r="369" spans="3:52">
      <c r="C369" s="2096"/>
      <c r="D369" s="2097"/>
      <c r="E369" s="2098"/>
      <c r="F369" s="2098"/>
      <c r="G369" s="2098"/>
      <c r="H369" s="2098"/>
      <c r="I369" s="2098"/>
      <c r="J369" s="2098"/>
      <c r="K369" s="2098"/>
      <c r="L369" s="2098"/>
      <c r="M369" s="2098"/>
      <c r="N369" s="2098"/>
      <c r="O369" s="2098"/>
      <c r="P369" s="2098"/>
      <c r="Q369" s="2098"/>
      <c r="R369" s="2098"/>
      <c r="S369" s="2098"/>
      <c r="T369" s="2098"/>
      <c r="U369" s="2098"/>
      <c r="V369" s="2098"/>
      <c r="W369" s="2098"/>
      <c r="X369" s="2098"/>
      <c r="Y369" s="2098"/>
      <c r="Z369" s="2098"/>
      <c r="AA369" s="2098"/>
      <c r="AB369" s="2098"/>
      <c r="AC369" s="2098"/>
      <c r="AD369" s="2098"/>
      <c r="AE369" s="2098"/>
      <c r="AF369" s="2098"/>
      <c r="AG369" s="2098"/>
      <c r="AH369" s="2098"/>
      <c r="AI369" s="2098"/>
      <c r="AJ369" s="2098"/>
      <c r="AK369" s="2098"/>
      <c r="AL369" s="2098"/>
      <c r="AM369" s="2098"/>
      <c r="AN369" s="2098"/>
      <c r="AO369" s="2098"/>
      <c r="AP369" s="2098"/>
      <c r="AQ369" s="2098"/>
      <c r="AR369" s="2098"/>
      <c r="AS369" s="2098"/>
      <c r="AT369" s="2098"/>
      <c r="AU369" s="2098"/>
      <c r="AV369" s="2098"/>
      <c r="AW369" s="2098"/>
      <c r="AX369" s="2098"/>
      <c r="AY369" s="2098"/>
      <c r="AZ369" s="2098"/>
    </row>
    <row r="370" spans="3:52">
      <c r="C370" s="2096"/>
      <c r="D370" s="2097"/>
      <c r="E370" s="2098"/>
      <c r="F370" s="2098"/>
      <c r="G370" s="2098"/>
      <c r="H370" s="2098"/>
      <c r="I370" s="2098"/>
      <c r="J370" s="2098"/>
      <c r="K370" s="2098"/>
      <c r="L370" s="2098"/>
      <c r="M370" s="2098"/>
      <c r="N370" s="2098"/>
      <c r="O370" s="2098"/>
      <c r="P370" s="2098"/>
      <c r="Q370" s="2098"/>
      <c r="R370" s="2098"/>
      <c r="S370" s="2098"/>
      <c r="T370" s="2098"/>
      <c r="U370" s="2098"/>
      <c r="V370" s="2098"/>
      <c r="W370" s="2098"/>
      <c r="X370" s="2098"/>
      <c r="Y370" s="2098"/>
      <c r="Z370" s="2098"/>
      <c r="AA370" s="2098"/>
      <c r="AB370" s="2098"/>
      <c r="AC370" s="2098"/>
      <c r="AD370" s="2098"/>
      <c r="AE370" s="2098"/>
      <c r="AF370" s="2098"/>
      <c r="AG370" s="2098"/>
      <c r="AH370" s="2098"/>
      <c r="AI370" s="2098"/>
      <c r="AJ370" s="2098"/>
      <c r="AK370" s="2098"/>
      <c r="AL370" s="2098"/>
      <c r="AM370" s="2098"/>
      <c r="AN370" s="2098"/>
      <c r="AO370" s="2098"/>
      <c r="AP370" s="2098"/>
      <c r="AQ370" s="2098"/>
      <c r="AR370" s="2098"/>
      <c r="AS370" s="2098"/>
      <c r="AT370" s="2098"/>
      <c r="AU370" s="2098"/>
      <c r="AV370" s="2098"/>
      <c r="AW370" s="2098"/>
      <c r="AX370" s="2098"/>
      <c r="AY370" s="2098"/>
      <c r="AZ370" s="2098"/>
    </row>
    <row r="371" spans="3:52">
      <c r="C371" s="2096"/>
      <c r="D371" s="2097"/>
      <c r="E371" s="2098"/>
      <c r="F371" s="2098"/>
      <c r="G371" s="2098"/>
      <c r="H371" s="2098"/>
      <c r="I371" s="2098"/>
      <c r="J371" s="2098"/>
      <c r="K371" s="2098"/>
      <c r="L371" s="2098"/>
      <c r="M371" s="2098"/>
      <c r="N371" s="2098"/>
      <c r="O371" s="2098"/>
      <c r="P371" s="2098"/>
      <c r="Q371" s="2098"/>
      <c r="R371" s="2098"/>
      <c r="S371" s="2098"/>
      <c r="T371" s="2098"/>
      <c r="U371" s="2098"/>
      <c r="V371" s="2098"/>
      <c r="W371" s="2098"/>
      <c r="X371" s="2098"/>
      <c r="Y371" s="2098"/>
      <c r="Z371" s="2098"/>
      <c r="AA371" s="2098"/>
      <c r="AB371" s="2098"/>
      <c r="AC371" s="2098"/>
      <c r="AD371" s="2098"/>
      <c r="AE371" s="2098"/>
      <c r="AF371" s="2098"/>
      <c r="AG371" s="2098"/>
      <c r="AH371" s="2098"/>
      <c r="AI371" s="2098"/>
      <c r="AJ371" s="2098"/>
      <c r="AK371" s="2098"/>
      <c r="AL371" s="2098"/>
      <c r="AM371" s="2098"/>
      <c r="AN371" s="2098"/>
      <c r="AO371" s="2098"/>
      <c r="AP371" s="2098"/>
      <c r="AQ371" s="2098"/>
      <c r="AR371" s="2098"/>
      <c r="AS371" s="2098"/>
      <c r="AT371" s="2098"/>
      <c r="AU371" s="2098"/>
      <c r="AV371" s="2098"/>
      <c r="AW371" s="2098"/>
      <c r="AX371" s="2098"/>
      <c r="AY371" s="2098"/>
      <c r="AZ371" s="2098"/>
    </row>
    <row r="372" spans="3:52">
      <c r="C372" s="2096"/>
      <c r="D372" s="2097"/>
      <c r="E372" s="2098"/>
      <c r="F372" s="2098"/>
      <c r="G372" s="2098"/>
      <c r="H372" s="2098"/>
      <c r="I372" s="2098"/>
      <c r="J372" s="2098"/>
      <c r="K372" s="2098"/>
      <c r="L372" s="2098"/>
      <c r="M372" s="2098"/>
      <c r="N372" s="2098"/>
      <c r="O372" s="2098"/>
      <c r="P372" s="2098"/>
      <c r="Q372" s="2098"/>
      <c r="R372" s="2098"/>
      <c r="S372" s="2098"/>
      <c r="T372" s="2098"/>
      <c r="U372" s="2098"/>
      <c r="V372" s="2098"/>
      <c r="W372" s="2098"/>
      <c r="X372" s="2098"/>
      <c r="Y372" s="2098"/>
      <c r="Z372" s="2098"/>
      <c r="AA372" s="2098"/>
      <c r="AB372" s="2098"/>
      <c r="AC372" s="2098"/>
      <c r="AD372" s="2098"/>
      <c r="AE372" s="2098"/>
      <c r="AF372" s="2098"/>
      <c r="AG372" s="2098"/>
      <c r="AH372" s="2098"/>
      <c r="AI372" s="2098"/>
      <c r="AJ372" s="2098"/>
      <c r="AK372" s="2098"/>
      <c r="AL372" s="2098"/>
      <c r="AM372" s="2098"/>
      <c r="AN372" s="2098"/>
      <c r="AO372" s="2098"/>
      <c r="AP372" s="2098"/>
      <c r="AQ372" s="2098"/>
      <c r="AR372" s="2098"/>
      <c r="AS372" s="2098"/>
      <c r="AT372" s="2098"/>
      <c r="AU372" s="2098"/>
      <c r="AV372" s="2098"/>
      <c r="AW372" s="2098"/>
      <c r="AX372" s="2098"/>
      <c r="AY372" s="2098"/>
      <c r="AZ372" s="2098"/>
    </row>
    <row r="373" spans="3:52">
      <c r="C373" s="2096"/>
      <c r="D373" s="2097"/>
      <c r="E373" s="2098"/>
      <c r="F373" s="2098"/>
      <c r="G373" s="2098"/>
      <c r="H373" s="2098"/>
      <c r="I373" s="2098"/>
      <c r="J373" s="2098"/>
      <c r="K373" s="2098"/>
      <c r="L373" s="2098"/>
      <c r="M373" s="2098"/>
      <c r="N373" s="2098"/>
      <c r="O373" s="2098"/>
      <c r="P373" s="2098"/>
      <c r="Q373" s="2098"/>
      <c r="R373" s="2098"/>
      <c r="S373" s="2098"/>
      <c r="T373" s="2098"/>
      <c r="U373" s="2098"/>
      <c r="V373" s="2098"/>
      <c r="W373" s="2098"/>
      <c r="X373" s="2098"/>
      <c r="Y373" s="2098"/>
      <c r="Z373" s="2098"/>
      <c r="AA373" s="2098"/>
      <c r="AB373" s="2098"/>
      <c r="AC373" s="2098"/>
      <c r="AD373" s="2098"/>
      <c r="AE373" s="2098"/>
      <c r="AF373" s="2098"/>
      <c r="AG373" s="2098"/>
      <c r="AH373" s="2098"/>
      <c r="AI373" s="2098"/>
      <c r="AJ373" s="2098"/>
      <c r="AK373" s="2098"/>
      <c r="AL373" s="2098"/>
      <c r="AM373" s="2098"/>
      <c r="AN373" s="2098"/>
      <c r="AO373" s="2098"/>
      <c r="AP373" s="2098"/>
      <c r="AQ373" s="2098"/>
      <c r="AR373" s="2098"/>
      <c r="AS373" s="2098"/>
      <c r="AT373" s="2098"/>
      <c r="AU373" s="2098"/>
      <c r="AV373" s="2098"/>
      <c r="AW373" s="2098"/>
      <c r="AX373" s="2098"/>
      <c r="AY373" s="2098"/>
      <c r="AZ373" s="2098"/>
    </row>
    <row r="374" spans="3:52">
      <c r="C374" s="2096"/>
      <c r="D374" s="2097"/>
      <c r="E374" s="2098"/>
      <c r="F374" s="2098"/>
      <c r="G374" s="2098"/>
      <c r="H374" s="2098"/>
      <c r="I374" s="2098"/>
      <c r="J374" s="2098"/>
      <c r="K374" s="2098"/>
      <c r="L374" s="2098"/>
      <c r="M374" s="2098"/>
      <c r="N374" s="2098"/>
      <c r="O374" s="2098"/>
      <c r="P374" s="2098"/>
      <c r="Q374" s="2098"/>
      <c r="R374" s="2098"/>
      <c r="S374" s="2098"/>
      <c r="T374" s="2098"/>
      <c r="U374" s="2098"/>
      <c r="V374" s="2098"/>
      <c r="W374" s="2098"/>
      <c r="X374" s="2098"/>
      <c r="Y374" s="2098"/>
      <c r="Z374" s="2098"/>
      <c r="AA374" s="2098"/>
      <c r="AB374" s="2098"/>
      <c r="AC374" s="2098"/>
      <c r="AD374" s="2098"/>
      <c r="AE374" s="2098"/>
      <c r="AF374" s="2098"/>
      <c r="AG374" s="2098"/>
      <c r="AH374" s="2098"/>
      <c r="AI374" s="2098"/>
      <c r="AJ374" s="2098"/>
      <c r="AK374" s="2098"/>
      <c r="AL374" s="2098"/>
      <c r="AM374" s="2098"/>
      <c r="AN374" s="2098"/>
      <c r="AO374" s="2098"/>
      <c r="AP374" s="2098"/>
      <c r="AQ374" s="2098"/>
      <c r="AR374" s="2098"/>
      <c r="AS374" s="2098"/>
      <c r="AT374" s="2098"/>
      <c r="AU374" s="2098"/>
      <c r="AV374" s="2098"/>
      <c r="AW374" s="2098"/>
      <c r="AX374" s="2098"/>
      <c r="AY374" s="2098"/>
      <c r="AZ374" s="2098"/>
    </row>
    <row r="375" spans="3:52">
      <c r="C375" s="2096"/>
      <c r="D375" s="2097"/>
      <c r="E375" s="2098"/>
      <c r="F375" s="2098"/>
      <c r="G375" s="2098"/>
      <c r="H375" s="2098"/>
      <c r="I375" s="2098"/>
      <c r="J375" s="2098"/>
      <c r="K375" s="2098"/>
      <c r="L375" s="2098"/>
      <c r="M375" s="2098"/>
      <c r="N375" s="2098"/>
      <c r="O375" s="2098"/>
      <c r="P375" s="2098"/>
      <c r="Q375" s="2098"/>
      <c r="R375" s="2098"/>
      <c r="S375" s="2098"/>
      <c r="T375" s="2098"/>
      <c r="U375" s="2098"/>
      <c r="V375" s="2098"/>
      <c r="W375" s="2098"/>
      <c r="X375" s="2098"/>
      <c r="Y375" s="2098"/>
      <c r="Z375" s="2098"/>
      <c r="AA375" s="2098"/>
      <c r="AB375" s="2098"/>
      <c r="AC375" s="2098"/>
      <c r="AD375" s="2098"/>
      <c r="AE375" s="2098"/>
      <c r="AF375" s="2098"/>
      <c r="AG375" s="2098"/>
      <c r="AH375" s="2098"/>
      <c r="AI375" s="2098"/>
      <c r="AJ375" s="2098"/>
      <c r="AK375" s="2098"/>
      <c r="AL375" s="2098"/>
      <c r="AM375" s="2098"/>
      <c r="AN375" s="2098"/>
      <c r="AO375" s="2098"/>
      <c r="AP375" s="2098"/>
      <c r="AQ375" s="2098"/>
      <c r="AR375" s="2098"/>
      <c r="AS375" s="2098"/>
      <c r="AT375" s="2098"/>
      <c r="AU375" s="2098"/>
      <c r="AV375" s="2098"/>
      <c r="AW375" s="2098"/>
      <c r="AX375" s="2098"/>
      <c r="AY375" s="2098"/>
      <c r="AZ375" s="2098"/>
    </row>
    <row r="376" spans="3:52">
      <c r="C376" s="2096"/>
      <c r="D376" s="2097"/>
      <c r="E376" s="2098"/>
      <c r="F376" s="2098"/>
      <c r="G376" s="2098"/>
      <c r="H376" s="2098"/>
      <c r="I376" s="2098"/>
      <c r="J376" s="2098"/>
      <c r="K376" s="2098"/>
      <c r="L376" s="2098"/>
      <c r="M376" s="2098"/>
      <c r="N376" s="2098"/>
      <c r="O376" s="2098"/>
      <c r="P376" s="2098"/>
      <c r="Q376" s="2098"/>
      <c r="R376" s="2098"/>
      <c r="S376" s="2098"/>
      <c r="T376" s="2098"/>
      <c r="U376" s="2098"/>
      <c r="V376" s="2098"/>
      <c r="W376" s="2098"/>
      <c r="X376" s="2098"/>
      <c r="Y376" s="2098"/>
      <c r="Z376" s="2098"/>
      <c r="AA376" s="2098"/>
      <c r="AB376" s="2098"/>
      <c r="AC376" s="2098"/>
      <c r="AD376" s="2098"/>
      <c r="AE376" s="2098"/>
      <c r="AF376" s="2098"/>
      <c r="AG376" s="2098"/>
      <c r="AH376" s="2098"/>
      <c r="AI376" s="2098"/>
      <c r="AJ376" s="2098"/>
      <c r="AK376" s="2098"/>
      <c r="AL376" s="2098"/>
      <c r="AM376" s="2098"/>
      <c r="AN376" s="2098"/>
      <c r="AO376" s="2098"/>
      <c r="AP376" s="2098"/>
      <c r="AQ376" s="2098"/>
      <c r="AR376" s="2098"/>
      <c r="AS376" s="2098"/>
      <c r="AT376" s="2098"/>
      <c r="AU376" s="2098"/>
      <c r="AV376" s="2098"/>
      <c r="AW376" s="2098"/>
      <c r="AX376" s="2098"/>
      <c r="AY376" s="2098"/>
      <c r="AZ376" s="2098"/>
    </row>
    <row r="377" spans="3:52">
      <c r="C377" s="2096"/>
      <c r="D377" s="2097"/>
      <c r="E377" s="2098"/>
      <c r="F377" s="2098"/>
      <c r="G377" s="2098"/>
      <c r="H377" s="2098"/>
      <c r="I377" s="2098"/>
      <c r="J377" s="2098"/>
      <c r="K377" s="2098"/>
      <c r="L377" s="2098"/>
      <c r="M377" s="2098"/>
      <c r="N377" s="2098"/>
      <c r="O377" s="2098"/>
      <c r="P377" s="2098"/>
      <c r="Q377" s="2098"/>
      <c r="R377" s="2098"/>
      <c r="S377" s="2098"/>
      <c r="T377" s="2098"/>
      <c r="U377" s="2098"/>
      <c r="V377" s="2098"/>
      <c r="W377" s="2098"/>
      <c r="X377" s="2098"/>
      <c r="Y377" s="2098"/>
      <c r="Z377" s="2098"/>
      <c r="AA377" s="2098"/>
      <c r="AB377" s="2098"/>
      <c r="AC377" s="2098"/>
      <c r="AD377" s="2098"/>
      <c r="AE377" s="2098"/>
      <c r="AF377" s="2098"/>
      <c r="AG377" s="2098"/>
      <c r="AH377" s="2098"/>
      <c r="AI377" s="2098"/>
      <c r="AJ377" s="2098"/>
      <c r="AK377" s="2098"/>
      <c r="AL377" s="2098"/>
      <c r="AM377" s="2098"/>
      <c r="AN377" s="2098"/>
      <c r="AO377" s="2098"/>
      <c r="AP377" s="2098"/>
      <c r="AQ377" s="2098"/>
      <c r="AR377" s="2098"/>
      <c r="AS377" s="2098"/>
      <c r="AT377" s="2098"/>
      <c r="AU377" s="2098"/>
      <c r="AV377" s="2098"/>
      <c r="AW377" s="2098"/>
      <c r="AX377" s="2098"/>
      <c r="AY377" s="2098"/>
      <c r="AZ377" s="2098"/>
    </row>
    <row r="378" spans="3:52">
      <c r="C378" s="2096"/>
      <c r="D378" s="2097"/>
      <c r="E378" s="2098"/>
      <c r="F378" s="2098"/>
      <c r="G378" s="2098"/>
      <c r="H378" s="2098"/>
      <c r="I378" s="2098"/>
      <c r="J378" s="2098"/>
      <c r="K378" s="2098"/>
      <c r="L378" s="2098"/>
      <c r="M378" s="2098"/>
      <c r="N378" s="2098"/>
      <c r="O378" s="2098"/>
      <c r="P378" s="2098"/>
      <c r="Q378" s="2098"/>
      <c r="R378" s="2098"/>
      <c r="S378" s="2098"/>
      <c r="T378" s="2098"/>
      <c r="U378" s="2098"/>
      <c r="V378" s="2098"/>
      <c r="W378" s="2098"/>
      <c r="X378" s="2098"/>
      <c r="Y378" s="2098"/>
      <c r="Z378" s="2098"/>
      <c r="AA378" s="2098"/>
      <c r="AB378" s="2098"/>
      <c r="AC378" s="2098"/>
      <c r="AD378" s="2098"/>
      <c r="AE378" s="2098"/>
      <c r="AF378" s="2098"/>
      <c r="AG378" s="2098"/>
      <c r="AH378" s="2098"/>
      <c r="AI378" s="2098"/>
      <c r="AJ378" s="2098"/>
      <c r="AK378" s="2098"/>
      <c r="AL378" s="2098"/>
      <c r="AM378" s="2098"/>
      <c r="AN378" s="2098"/>
      <c r="AO378" s="2098"/>
      <c r="AP378" s="2098"/>
      <c r="AQ378" s="2098"/>
      <c r="AR378" s="2098"/>
      <c r="AS378" s="2098"/>
      <c r="AT378" s="2098"/>
      <c r="AU378" s="2098"/>
      <c r="AV378" s="2098"/>
      <c r="AW378" s="2098"/>
      <c r="AX378" s="2098"/>
      <c r="AY378" s="2098"/>
      <c r="AZ378" s="2098"/>
    </row>
    <row r="379" spans="3:52">
      <c r="C379" s="2096"/>
      <c r="D379" s="2097"/>
      <c r="E379" s="2098"/>
      <c r="F379" s="2098"/>
      <c r="G379" s="2098"/>
      <c r="H379" s="2098"/>
      <c r="I379" s="2098"/>
      <c r="J379" s="2098"/>
      <c r="K379" s="2098"/>
      <c r="L379" s="2098"/>
      <c r="M379" s="2098"/>
      <c r="N379" s="2098"/>
      <c r="O379" s="2098"/>
      <c r="P379" s="2098"/>
      <c r="Q379" s="2098"/>
      <c r="R379" s="2098"/>
      <c r="S379" s="2098"/>
      <c r="T379" s="2098"/>
      <c r="U379" s="2098"/>
      <c r="V379" s="2098"/>
      <c r="W379" s="2098"/>
      <c r="X379" s="2098"/>
      <c r="Y379" s="2098"/>
      <c r="Z379" s="2098"/>
      <c r="AA379" s="2098"/>
      <c r="AB379" s="2098"/>
      <c r="AC379" s="2098"/>
      <c r="AD379" s="2098"/>
      <c r="AE379" s="2098"/>
      <c r="AF379" s="2098"/>
      <c r="AG379" s="2098"/>
      <c r="AH379" s="2098"/>
      <c r="AI379" s="2098"/>
      <c r="AJ379" s="2098"/>
      <c r="AK379" s="2098"/>
      <c r="AL379" s="2098"/>
      <c r="AM379" s="2098"/>
      <c r="AN379" s="2098"/>
      <c r="AO379" s="2098"/>
      <c r="AP379" s="2098"/>
      <c r="AQ379" s="2098"/>
      <c r="AR379" s="2098"/>
      <c r="AS379" s="2098"/>
      <c r="AT379" s="2098"/>
      <c r="AU379" s="2098"/>
      <c r="AV379" s="2098"/>
      <c r="AW379" s="2098"/>
      <c r="AX379" s="2098"/>
      <c r="AY379" s="2098"/>
      <c r="AZ379" s="2098"/>
    </row>
    <row r="380" spans="3:52">
      <c r="C380" s="2096"/>
      <c r="D380" s="2097"/>
      <c r="E380" s="2098"/>
      <c r="F380" s="2098"/>
      <c r="G380" s="2098"/>
      <c r="H380" s="2098"/>
      <c r="I380" s="2098"/>
      <c r="J380" s="2098"/>
      <c r="K380" s="2098"/>
      <c r="L380" s="2098"/>
      <c r="M380" s="2098"/>
      <c r="N380" s="2098"/>
      <c r="O380" s="2098"/>
      <c r="P380" s="2098"/>
      <c r="Q380" s="2098"/>
      <c r="R380" s="2098"/>
      <c r="S380" s="2098"/>
      <c r="T380" s="2098"/>
      <c r="U380" s="2098"/>
      <c r="V380" s="2098"/>
      <c r="W380" s="2098"/>
      <c r="X380" s="2098"/>
      <c r="Y380" s="2098"/>
      <c r="Z380" s="2098"/>
      <c r="AA380" s="2098"/>
      <c r="AB380" s="2098"/>
      <c r="AC380" s="2098"/>
      <c r="AD380" s="2098"/>
      <c r="AE380" s="2098"/>
      <c r="AF380" s="2098"/>
      <c r="AG380" s="2098"/>
      <c r="AH380" s="2098"/>
      <c r="AI380" s="2098"/>
      <c r="AJ380" s="2098"/>
      <c r="AK380" s="2098"/>
      <c r="AL380" s="2098"/>
      <c r="AM380" s="2098"/>
      <c r="AN380" s="2098"/>
      <c r="AO380" s="2098"/>
      <c r="AP380" s="2098"/>
      <c r="AQ380" s="2098"/>
      <c r="AR380" s="2098"/>
      <c r="AS380" s="2098"/>
      <c r="AT380" s="2098"/>
      <c r="AU380" s="2098"/>
      <c r="AV380" s="2098"/>
      <c r="AW380" s="2098"/>
      <c r="AX380" s="2098"/>
      <c r="AY380" s="2098"/>
      <c r="AZ380" s="2098"/>
    </row>
    <row r="381" spans="3:52">
      <c r="C381" s="2096"/>
      <c r="D381" s="2097"/>
      <c r="E381" s="2098"/>
      <c r="F381" s="2098"/>
      <c r="G381" s="2098"/>
      <c r="H381" s="2098"/>
      <c r="I381" s="2098"/>
      <c r="J381" s="2098"/>
      <c r="K381" s="2098"/>
      <c r="L381" s="2098"/>
      <c r="M381" s="2098"/>
      <c r="N381" s="2098"/>
      <c r="O381" s="2098"/>
      <c r="P381" s="2098"/>
      <c r="Q381" s="2098"/>
      <c r="R381" s="2098"/>
      <c r="S381" s="2098"/>
      <c r="T381" s="2098"/>
      <c r="U381" s="2098"/>
      <c r="V381" s="2098"/>
      <c r="W381" s="2098"/>
      <c r="X381" s="2098"/>
      <c r="Y381" s="2098"/>
      <c r="Z381" s="2098"/>
      <c r="AA381" s="2098"/>
      <c r="AB381" s="2098"/>
      <c r="AC381" s="2098"/>
      <c r="AD381" s="2098"/>
      <c r="AE381" s="2098"/>
      <c r="AF381" s="2098"/>
      <c r="AG381" s="2098"/>
      <c r="AH381" s="2098"/>
      <c r="AI381" s="2098"/>
      <c r="AJ381" s="2098"/>
      <c r="AK381" s="2098"/>
      <c r="AL381" s="2098"/>
      <c r="AM381" s="2098"/>
      <c r="AN381" s="2098"/>
      <c r="AO381" s="2098"/>
      <c r="AP381" s="2098"/>
      <c r="AQ381" s="2098"/>
      <c r="AR381" s="2098"/>
      <c r="AS381" s="2098"/>
      <c r="AT381" s="2098"/>
      <c r="AU381" s="2098"/>
      <c r="AV381" s="2098"/>
      <c r="AW381" s="2098"/>
      <c r="AX381" s="2098"/>
      <c r="AY381" s="2098"/>
      <c r="AZ381" s="2098"/>
    </row>
    <row r="382" spans="3:52">
      <c r="C382" s="2096"/>
      <c r="D382" s="2097"/>
      <c r="E382" s="2098"/>
      <c r="F382" s="2098"/>
      <c r="G382" s="2098"/>
      <c r="H382" s="2098"/>
      <c r="I382" s="2098"/>
      <c r="J382" s="2098"/>
      <c r="K382" s="2098"/>
      <c r="L382" s="2098"/>
      <c r="M382" s="2098"/>
      <c r="N382" s="2098"/>
      <c r="O382" s="2098"/>
      <c r="P382" s="2098"/>
      <c r="Q382" s="2098"/>
      <c r="R382" s="2098"/>
      <c r="S382" s="2098"/>
      <c r="T382" s="2098"/>
      <c r="U382" s="2098"/>
      <c r="V382" s="2098"/>
      <c r="W382" s="2098"/>
      <c r="X382" s="2098"/>
      <c r="Y382" s="2098"/>
      <c r="Z382" s="2098"/>
      <c r="AA382" s="2098"/>
      <c r="AB382" s="2098"/>
      <c r="AC382" s="2098"/>
      <c r="AD382" s="2098"/>
      <c r="AE382" s="2098"/>
      <c r="AF382" s="2098"/>
      <c r="AG382" s="2098"/>
      <c r="AH382" s="2098"/>
      <c r="AI382" s="2098"/>
      <c r="AJ382" s="2098"/>
      <c r="AK382" s="2098"/>
      <c r="AL382" s="2098"/>
      <c r="AM382" s="2098"/>
      <c r="AN382" s="2098"/>
      <c r="AO382" s="2098"/>
      <c r="AP382" s="2098"/>
      <c r="AQ382" s="2098"/>
      <c r="AR382" s="2098"/>
      <c r="AS382" s="2098"/>
      <c r="AT382" s="2098"/>
      <c r="AU382" s="2098"/>
      <c r="AV382" s="2098"/>
      <c r="AW382" s="2098"/>
      <c r="AX382" s="2098"/>
      <c r="AY382" s="2098"/>
      <c r="AZ382" s="2098"/>
    </row>
    <row r="383" spans="3:52">
      <c r="C383" s="2096"/>
      <c r="D383" s="2097"/>
      <c r="E383" s="2098"/>
      <c r="F383" s="2098"/>
      <c r="G383" s="2098"/>
      <c r="H383" s="2098"/>
      <c r="I383" s="2098"/>
      <c r="J383" s="2098"/>
      <c r="K383" s="2098"/>
      <c r="L383" s="2098"/>
      <c r="M383" s="2098"/>
      <c r="N383" s="2098"/>
      <c r="O383" s="2098"/>
      <c r="P383" s="2098"/>
      <c r="Q383" s="2098"/>
      <c r="R383" s="2098"/>
      <c r="S383" s="2098"/>
      <c r="T383" s="2098"/>
      <c r="U383" s="2098"/>
      <c r="V383" s="2098"/>
      <c r="W383" s="2098"/>
      <c r="X383" s="2098"/>
      <c r="Y383" s="2098"/>
      <c r="Z383" s="2098"/>
      <c r="AA383" s="2098"/>
      <c r="AB383" s="2098"/>
      <c r="AC383" s="2098"/>
      <c r="AD383" s="2098"/>
      <c r="AE383" s="2098"/>
      <c r="AF383" s="2098"/>
      <c r="AG383" s="2098"/>
      <c r="AH383" s="2098"/>
      <c r="AI383" s="2098"/>
      <c r="AJ383" s="2098"/>
      <c r="AK383" s="2098"/>
      <c r="AL383" s="2098"/>
      <c r="AM383" s="2098"/>
      <c r="AN383" s="2098"/>
      <c r="AO383" s="2098"/>
      <c r="AP383" s="2098"/>
      <c r="AQ383" s="2098"/>
      <c r="AR383" s="2098"/>
      <c r="AS383" s="2098"/>
      <c r="AT383" s="2098"/>
      <c r="AU383" s="2098"/>
      <c r="AV383" s="2098"/>
      <c r="AW383" s="2098"/>
      <c r="AX383" s="2098"/>
      <c r="AY383" s="2098"/>
      <c r="AZ383" s="2098"/>
    </row>
    <row r="384" spans="3:52">
      <c r="C384" s="2096"/>
      <c r="D384" s="2097"/>
      <c r="E384" s="2098"/>
      <c r="F384" s="2098"/>
      <c r="G384" s="2098"/>
      <c r="H384" s="2098"/>
      <c r="I384" s="2098"/>
      <c r="J384" s="2098"/>
      <c r="K384" s="2098"/>
      <c r="L384" s="2098"/>
      <c r="M384" s="2098"/>
      <c r="N384" s="2098"/>
      <c r="O384" s="2098"/>
      <c r="P384" s="2098"/>
      <c r="Q384" s="2098"/>
      <c r="R384" s="2098"/>
      <c r="S384" s="2098"/>
      <c r="T384" s="2098"/>
      <c r="U384" s="2098"/>
      <c r="V384" s="2098"/>
      <c r="W384" s="2098"/>
      <c r="X384" s="2098"/>
      <c r="Y384" s="2098"/>
      <c r="Z384" s="2098"/>
      <c r="AA384" s="2098"/>
      <c r="AB384" s="2098"/>
      <c r="AC384" s="2098"/>
      <c r="AD384" s="2098"/>
      <c r="AE384" s="2098"/>
      <c r="AF384" s="2098"/>
      <c r="AG384" s="2098"/>
      <c r="AH384" s="2098"/>
      <c r="AI384" s="2098"/>
      <c r="AJ384" s="2098"/>
      <c r="AK384" s="2098"/>
      <c r="AL384" s="2098"/>
      <c r="AM384" s="2098"/>
      <c r="AN384" s="2098"/>
      <c r="AO384" s="2098"/>
      <c r="AP384" s="2098"/>
      <c r="AQ384" s="2098"/>
      <c r="AR384" s="2098"/>
      <c r="AS384" s="2098"/>
      <c r="AT384" s="2098"/>
      <c r="AU384" s="2098"/>
      <c r="AV384" s="2098"/>
      <c r="AW384" s="2098"/>
      <c r="AX384" s="2098"/>
      <c r="AY384" s="2098"/>
      <c r="AZ384" s="2098"/>
    </row>
    <row r="385" spans="3:52">
      <c r="C385" s="2096"/>
      <c r="D385" s="2097"/>
      <c r="E385" s="2098"/>
      <c r="F385" s="2098"/>
      <c r="G385" s="2098"/>
      <c r="H385" s="2098"/>
      <c r="I385" s="2098"/>
      <c r="J385" s="2098"/>
      <c r="K385" s="2098"/>
      <c r="L385" s="2098"/>
      <c r="M385" s="2098"/>
      <c r="N385" s="2098"/>
      <c r="O385" s="2098"/>
      <c r="P385" s="2098"/>
      <c r="Q385" s="2098"/>
      <c r="R385" s="2098"/>
      <c r="S385" s="2098"/>
      <c r="T385" s="2098"/>
      <c r="U385" s="2098"/>
      <c r="V385" s="2098"/>
      <c r="W385" s="2098"/>
      <c r="X385" s="2098"/>
      <c r="Y385" s="2098"/>
      <c r="Z385" s="2098"/>
      <c r="AA385" s="2098"/>
      <c r="AB385" s="2098"/>
      <c r="AC385" s="2098"/>
      <c r="AD385" s="2098"/>
      <c r="AE385" s="2098"/>
      <c r="AF385" s="2098"/>
      <c r="AG385" s="2098"/>
      <c r="AH385" s="2098"/>
      <c r="AI385" s="2098"/>
      <c r="AJ385" s="2098"/>
      <c r="AK385" s="2098"/>
      <c r="AL385" s="2098"/>
      <c r="AM385" s="2098"/>
      <c r="AN385" s="2098"/>
      <c r="AO385" s="2098"/>
      <c r="AP385" s="2098"/>
      <c r="AQ385" s="2098"/>
      <c r="AR385" s="2098"/>
      <c r="AS385" s="2098"/>
      <c r="AT385" s="2098"/>
      <c r="AU385" s="2098"/>
      <c r="AV385" s="2098"/>
      <c r="AW385" s="2098"/>
      <c r="AX385" s="2098"/>
      <c r="AY385" s="2098"/>
      <c r="AZ385" s="2098"/>
    </row>
    <row r="386" spans="3:52">
      <c r="C386" s="2096"/>
      <c r="D386" s="2097"/>
      <c r="E386" s="2098"/>
      <c r="F386" s="2098"/>
      <c r="G386" s="2098"/>
      <c r="H386" s="2098"/>
      <c r="I386" s="2098"/>
      <c r="J386" s="2098"/>
      <c r="K386" s="2098"/>
      <c r="L386" s="2098"/>
      <c r="M386" s="2098"/>
      <c r="N386" s="2098"/>
      <c r="O386" s="2098"/>
      <c r="P386" s="2098"/>
      <c r="Q386" s="2098"/>
      <c r="R386" s="2098"/>
      <c r="S386" s="2098"/>
      <c r="T386" s="2098"/>
      <c r="U386" s="2098"/>
      <c r="V386" s="2098"/>
      <c r="W386" s="2098"/>
      <c r="X386" s="2098"/>
      <c r="Y386" s="2098"/>
      <c r="Z386" s="2098"/>
      <c r="AA386" s="2098"/>
      <c r="AB386" s="2098"/>
      <c r="AC386" s="2098"/>
      <c r="AD386" s="2098"/>
      <c r="AE386" s="2098"/>
      <c r="AF386" s="2098"/>
      <c r="AG386" s="2098"/>
      <c r="AH386" s="2098"/>
      <c r="AI386" s="2098"/>
      <c r="AJ386" s="2098"/>
      <c r="AK386" s="2098"/>
      <c r="AL386" s="2098"/>
      <c r="AM386" s="2098"/>
      <c r="AN386" s="2098"/>
      <c r="AO386" s="2098"/>
      <c r="AP386" s="2098"/>
      <c r="AQ386" s="2098"/>
      <c r="AR386" s="2098"/>
      <c r="AS386" s="2098"/>
      <c r="AT386" s="2098"/>
      <c r="AU386" s="2098"/>
      <c r="AV386" s="2098"/>
      <c r="AW386" s="2098"/>
      <c r="AX386" s="2098"/>
      <c r="AY386" s="2098"/>
      <c r="AZ386" s="2098"/>
    </row>
    <row r="387" spans="3:52">
      <c r="C387" s="2096"/>
      <c r="D387" s="2097"/>
      <c r="E387" s="2098"/>
      <c r="F387" s="2098"/>
      <c r="G387" s="2098"/>
      <c r="H387" s="2098"/>
      <c r="I387" s="2098"/>
      <c r="J387" s="2098"/>
      <c r="K387" s="2098"/>
      <c r="L387" s="2098"/>
      <c r="M387" s="2098"/>
      <c r="N387" s="2098"/>
      <c r="O387" s="2098"/>
      <c r="P387" s="2098"/>
      <c r="Q387" s="2098"/>
      <c r="R387" s="2098"/>
      <c r="S387" s="2098"/>
      <c r="T387" s="2098"/>
      <c r="U387" s="2098"/>
      <c r="V387" s="2098"/>
      <c r="W387" s="2098"/>
      <c r="X387" s="2098"/>
      <c r="Y387" s="2098"/>
      <c r="Z387" s="2098"/>
      <c r="AA387" s="2098"/>
      <c r="AB387" s="2098"/>
      <c r="AC387" s="2098"/>
      <c r="AD387" s="2098"/>
      <c r="AE387" s="2098"/>
      <c r="AF387" s="2098"/>
      <c r="AG387" s="2098"/>
      <c r="AH387" s="2098"/>
      <c r="AI387" s="2098"/>
      <c r="AJ387" s="2098"/>
      <c r="AK387" s="2098"/>
      <c r="AL387" s="2098"/>
      <c r="AM387" s="2098"/>
      <c r="AN387" s="2098"/>
      <c r="AO387" s="2098"/>
      <c r="AP387" s="2098"/>
      <c r="AQ387" s="2098"/>
      <c r="AR387" s="2098"/>
      <c r="AS387" s="2098"/>
      <c r="AT387" s="2098"/>
      <c r="AU387" s="2098"/>
      <c r="AV387" s="2098"/>
      <c r="AW387" s="2098"/>
      <c r="AX387" s="2098"/>
      <c r="AY387" s="2098"/>
      <c r="AZ387" s="2098"/>
    </row>
    <row r="388" spans="3:52">
      <c r="C388" s="2096"/>
      <c r="D388" s="2097"/>
      <c r="E388" s="2098"/>
      <c r="F388" s="2098"/>
      <c r="G388" s="2098"/>
      <c r="H388" s="2098"/>
      <c r="I388" s="2098"/>
      <c r="J388" s="2098"/>
      <c r="K388" s="2098"/>
      <c r="L388" s="2098"/>
      <c r="M388" s="2098"/>
      <c r="N388" s="2098"/>
      <c r="O388" s="2098"/>
      <c r="P388" s="2098"/>
      <c r="Q388" s="2098"/>
      <c r="R388" s="2098"/>
      <c r="S388" s="2098"/>
      <c r="T388" s="2098"/>
      <c r="U388" s="2098"/>
      <c r="V388" s="2098"/>
      <c r="W388" s="2098"/>
      <c r="X388" s="2098"/>
      <c r="Y388" s="2098"/>
      <c r="Z388" s="2098"/>
      <c r="AA388" s="2098"/>
      <c r="AB388" s="2098"/>
      <c r="AC388" s="2098"/>
      <c r="AD388" s="2098"/>
      <c r="AE388" s="2098"/>
      <c r="AF388" s="2098"/>
      <c r="AG388" s="2098"/>
      <c r="AH388" s="2098"/>
      <c r="AI388" s="2098"/>
      <c r="AJ388" s="2098"/>
      <c r="AK388" s="2098"/>
      <c r="AL388" s="2098"/>
      <c r="AM388" s="2098"/>
      <c r="AN388" s="2098"/>
      <c r="AO388" s="2098"/>
      <c r="AP388" s="2098"/>
      <c r="AQ388" s="2098"/>
      <c r="AR388" s="2098"/>
      <c r="AS388" s="2098"/>
      <c r="AT388" s="2098"/>
      <c r="AU388" s="2098"/>
      <c r="AV388" s="2098"/>
      <c r="AW388" s="2098"/>
      <c r="AX388" s="2098"/>
      <c r="AY388" s="2098"/>
      <c r="AZ388" s="2098"/>
    </row>
    <row r="389" spans="3:52">
      <c r="C389" s="2096"/>
      <c r="D389" s="2097"/>
      <c r="E389" s="2098"/>
      <c r="F389" s="2098"/>
      <c r="G389" s="2098"/>
      <c r="H389" s="2098"/>
      <c r="I389" s="2098"/>
      <c r="J389" s="2098"/>
      <c r="K389" s="2098"/>
      <c r="L389" s="2098"/>
      <c r="M389" s="2098"/>
      <c r="N389" s="2098"/>
      <c r="O389" s="2098"/>
      <c r="P389" s="2098"/>
      <c r="Q389" s="2098"/>
      <c r="R389" s="2098"/>
      <c r="S389" s="2098"/>
      <c r="T389" s="2098"/>
      <c r="U389" s="2098"/>
      <c r="V389" s="2098"/>
      <c r="W389" s="2098"/>
      <c r="X389" s="2098"/>
      <c r="Y389" s="2098"/>
      <c r="Z389" s="2098"/>
      <c r="AA389" s="2098"/>
      <c r="AB389" s="2098"/>
      <c r="AC389" s="2098"/>
      <c r="AD389" s="2098"/>
      <c r="AE389" s="2098"/>
      <c r="AF389" s="2098"/>
      <c r="AG389" s="2098"/>
      <c r="AH389" s="2098"/>
      <c r="AI389" s="2098"/>
      <c r="AJ389" s="2098"/>
      <c r="AK389" s="2098"/>
      <c r="AL389" s="2098"/>
      <c r="AM389" s="2098"/>
      <c r="AN389" s="2098"/>
      <c r="AO389" s="2098"/>
      <c r="AP389" s="2098"/>
      <c r="AQ389" s="2098"/>
      <c r="AR389" s="2098"/>
      <c r="AS389" s="2098"/>
      <c r="AT389" s="2098"/>
      <c r="AU389" s="2098"/>
      <c r="AV389" s="2098"/>
      <c r="AW389" s="2098"/>
      <c r="AX389" s="2098"/>
      <c r="AY389" s="2098"/>
      <c r="AZ389" s="2098"/>
    </row>
    <row r="390" spans="3:52">
      <c r="C390" s="2096"/>
      <c r="D390" s="2097"/>
      <c r="E390" s="2098"/>
      <c r="F390" s="2098"/>
      <c r="G390" s="2098"/>
      <c r="H390" s="2098"/>
      <c r="I390" s="2098"/>
      <c r="J390" s="2098"/>
      <c r="K390" s="2098"/>
      <c r="L390" s="2098"/>
      <c r="M390" s="2098"/>
      <c r="N390" s="2098"/>
      <c r="O390" s="2098"/>
      <c r="P390" s="2098"/>
      <c r="Q390" s="2098"/>
      <c r="R390" s="2098"/>
      <c r="S390" s="2098"/>
      <c r="T390" s="2098"/>
      <c r="U390" s="2098"/>
      <c r="V390" s="2098"/>
      <c r="W390" s="2098"/>
      <c r="X390" s="2098"/>
      <c r="Y390" s="2098"/>
      <c r="Z390" s="2098"/>
      <c r="AA390" s="2098"/>
      <c r="AB390" s="2098"/>
      <c r="AC390" s="2098"/>
      <c r="AD390" s="2098"/>
      <c r="AE390" s="2098"/>
      <c r="AF390" s="2098"/>
      <c r="AG390" s="2098"/>
      <c r="AH390" s="2098"/>
      <c r="AI390" s="2098"/>
      <c r="AJ390" s="2098"/>
      <c r="AK390" s="2098"/>
      <c r="AL390" s="2098"/>
      <c r="AM390" s="2098"/>
      <c r="AN390" s="2098"/>
      <c r="AO390" s="2098"/>
      <c r="AP390" s="2098"/>
      <c r="AQ390" s="2098"/>
      <c r="AR390" s="2098"/>
      <c r="AS390" s="2098"/>
      <c r="AT390" s="2098"/>
      <c r="AU390" s="2098"/>
      <c r="AV390" s="2098"/>
      <c r="AW390" s="2098"/>
      <c r="AX390" s="2098"/>
      <c r="AY390" s="2098"/>
      <c r="AZ390" s="2098"/>
    </row>
    <row r="391" spans="3:52">
      <c r="C391" s="2096"/>
      <c r="D391" s="2097"/>
      <c r="E391" s="2098"/>
      <c r="F391" s="2098"/>
      <c r="G391" s="2098"/>
      <c r="H391" s="2098"/>
      <c r="I391" s="2098"/>
      <c r="J391" s="2098"/>
      <c r="K391" s="2098"/>
      <c r="L391" s="2098"/>
      <c r="M391" s="2098"/>
      <c r="N391" s="2098"/>
      <c r="O391" s="2098"/>
      <c r="P391" s="2098"/>
      <c r="Q391" s="2098"/>
      <c r="R391" s="2098"/>
      <c r="S391" s="2098"/>
      <c r="T391" s="2098"/>
      <c r="U391" s="2098"/>
      <c r="V391" s="2098"/>
      <c r="W391" s="2098"/>
      <c r="X391" s="2098"/>
      <c r="Y391" s="2098"/>
      <c r="Z391" s="2098"/>
      <c r="AA391" s="2098"/>
      <c r="AB391" s="2098"/>
      <c r="AC391" s="2098"/>
      <c r="AD391" s="2098"/>
      <c r="AE391" s="2098"/>
      <c r="AF391" s="2098"/>
      <c r="AG391" s="2098"/>
      <c r="AH391" s="2098"/>
      <c r="AI391" s="2098"/>
      <c r="AJ391" s="2098"/>
      <c r="AK391" s="2098"/>
      <c r="AL391" s="2098"/>
      <c r="AM391" s="2098"/>
      <c r="AN391" s="2098"/>
      <c r="AO391" s="2098"/>
      <c r="AP391" s="2098"/>
      <c r="AQ391" s="2098"/>
      <c r="AR391" s="2098"/>
      <c r="AS391" s="2098"/>
      <c r="AT391" s="2098"/>
      <c r="AU391" s="2098"/>
      <c r="AV391" s="2098"/>
      <c r="AW391" s="2098"/>
      <c r="AX391" s="2098"/>
      <c r="AY391" s="2098"/>
      <c r="AZ391" s="2098"/>
    </row>
    <row r="392" spans="3:52">
      <c r="C392" s="2096"/>
      <c r="D392" s="2097"/>
      <c r="E392" s="2098"/>
      <c r="F392" s="2098"/>
      <c r="G392" s="2098"/>
      <c r="H392" s="2098"/>
      <c r="I392" s="2098"/>
      <c r="J392" s="2098"/>
      <c r="K392" s="2098"/>
      <c r="L392" s="2098"/>
      <c r="M392" s="2098"/>
      <c r="N392" s="2098"/>
      <c r="O392" s="2098"/>
      <c r="P392" s="2098"/>
      <c r="Q392" s="2098"/>
      <c r="R392" s="2098"/>
      <c r="S392" s="2098"/>
      <c r="T392" s="2098"/>
      <c r="U392" s="2098"/>
      <c r="V392" s="2098"/>
      <c r="W392" s="2098"/>
      <c r="X392" s="2098"/>
      <c r="Y392" s="2098"/>
      <c r="Z392" s="2098"/>
      <c r="AA392" s="2098"/>
      <c r="AB392" s="2098"/>
      <c r="AC392" s="2098"/>
      <c r="AD392" s="2098"/>
      <c r="AE392" s="2098"/>
      <c r="AF392" s="2098"/>
      <c r="AG392" s="2098"/>
      <c r="AH392" s="2098"/>
      <c r="AI392" s="2098"/>
      <c r="AJ392" s="2098"/>
      <c r="AK392" s="2098"/>
      <c r="AL392" s="2098"/>
      <c r="AM392" s="2098"/>
      <c r="AN392" s="2098"/>
      <c r="AO392" s="2098"/>
      <c r="AP392" s="2098"/>
      <c r="AQ392" s="2098"/>
      <c r="AR392" s="2098"/>
      <c r="AS392" s="2098"/>
      <c r="AT392" s="2098"/>
      <c r="AU392" s="2098"/>
      <c r="AV392" s="2098"/>
      <c r="AW392" s="2098"/>
      <c r="AX392" s="2098"/>
      <c r="AY392" s="2098"/>
      <c r="AZ392" s="2098"/>
    </row>
    <row r="393" spans="3:52">
      <c r="C393" s="2096"/>
      <c r="D393" s="2097"/>
      <c r="E393" s="2098"/>
      <c r="F393" s="2098"/>
      <c r="G393" s="2098"/>
      <c r="H393" s="2098"/>
      <c r="I393" s="2098"/>
      <c r="J393" s="2098"/>
      <c r="K393" s="2098"/>
      <c r="L393" s="2098"/>
      <c r="M393" s="2098"/>
      <c r="N393" s="2098"/>
      <c r="O393" s="2098"/>
      <c r="P393" s="2098"/>
      <c r="Q393" s="2098"/>
      <c r="R393" s="2098"/>
      <c r="S393" s="2098"/>
      <c r="T393" s="2098"/>
      <c r="U393" s="2098"/>
      <c r="V393" s="2098"/>
      <c r="W393" s="2098"/>
      <c r="X393" s="2098"/>
      <c r="Y393" s="2098"/>
      <c r="Z393" s="2098"/>
      <c r="AA393" s="2098"/>
      <c r="AB393" s="2098"/>
      <c r="AC393" s="2098"/>
      <c r="AD393" s="2098"/>
      <c r="AE393" s="2098"/>
      <c r="AF393" s="2098"/>
      <c r="AG393" s="2098"/>
      <c r="AH393" s="2098"/>
      <c r="AI393" s="2098"/>
      <c r="AJ393" s="2098"/>
      <c r="AK393" s="2098"/>
      <c r="AL393" s="2098"/>
      <c r="AM393" s="2098"/>
      <c r="AN393" s="2098"/>
      <c r="AO393" s="2098"/>
      <c r="AP393" s="2098"/>
      <c r="AQ393" s="2098"/>
      <c r="AR393" s="2098"/>
      <c r="AS393" s="2098"/>
      <c r="AT393" s="2098"/>
      <c r="AU393" s="2098"/>
      <c r="AV393" s="2098"/>
      <c r="AW393" s="2098"/>
      <c r="AX393" s="2098"/>
      <c r="AY393" s="2098"/>
      <c r="AZ393" s="2098"/>
    </row>
    <row r="394" spans="3:52">
      <c r="C394" s="2096"/>
      <c r="D394" s="2097"/>
      <c r="E394" s="2098"/>
      <c r="F394" s="2098"/>
      <c r="G394" s="2098"/>
      <c r="H394" s="2098"/>
      <c r="I394" s="2098"/>
      <c r="J394" s="2098"/>
      <c r="K394" s="2098"/>
      <c r="L394" s="2098"/>
      <c r="M394" s="2098"/>
      <c r="N394" s="2098"/>
      <c r="O394" s="2098"/>
      <c r="P394" s="2098"/>
      <c r="Q394" s="2098"/>
      <c r="R394" s="2098"/>
      <c r="S394" s="2098"/>
      <c r="T394" s="2098"/>
      <c r="U394" s="2098"/>
      <c r="V394" s="2098"/>
      <c r="W394" s="2098"/>
      <c r="X394" s="2098"/>
      <c r="Y394" s="2098"/>
      <c r="Z394" s="2098"/>
      <c r="AA394" s="2098"/>
      <c r="AB394" s="2098"/>
      <c r="AC394" s="2098"/>
      <c r="AD394" s="2098"/>
      <c r="AE394" s="2098"/>
      <c r="AF394" s="2098"/>
      <c r="AG394" s="2098"/>
      <c r="AH394" s="2098"/>
      <c r="AI394" s="2098"/>
      <c r="AJ394" s="2098"/>
      <c r="AK394" s="2098"/>
      <c r="AL394" s="2098"/>
      <c r="AM394" s="2098"/>
      <c r="AN394" s="2098"/>
      <c r="AO394" s="2098"/>
      <c r="AP394" s="2098"/>
      <c r="AQ394" s="2098"/>
      <c r="AR394" s="2098"/>
      <c r="AS394" s="2098"/>
      <c r="AT394" s="2098"/>
      <c r="AU394" s="2098"/>
      <c r="AV394" s="2098"/>
      <c r="AW394" s="2098"/>
      <c r="AX394" s="2098"/>
      <c r="AY394" s="2098"/>
      <c r="AZ394" s="2098"/>
    </row>
    <row r="395" spans="3:52">
      <c r="C395" s="2096"/>
      <c r="D395" s="2097"/>
      <c r="E395" s="2098"/>
      <c r="F395" s="2098"/>
      <c r="G395" s="2098"/>
      <c r="H395" s="2098"/>
      <c r="I395" s="2098"/>
      <c r="J395" s="2098"/>
      <c r="K395" s="2098"/>
      <c r="L395" s="2098"/>
      <c r="M395" s="2098"/>
      <c r="N395" s="2098"/>
      <c r="O395" s="2098"/>
      <c r="P395" s="2098"/>
      <c r="Q395" s="2098"/>
      <c r="R395" s="2098"/>
      <c r="S395" s="2098"/>
      <c r="T395" s="2098"/>
      <c r="U395" s="2098"/>
      <c r="V395" s="2098"/>
      <c r="W395" s="2098"/>
      <c r="X395" s="2098"/>
      <c r="Y395" s="2098"/>
      <c r="Z395" s="2098"/>
      <c r="AA395" s="2098"/>
      <c r="AB395" s="2098"/>
      <c r="AC395" s="2098"/>
      <c r="AD395" s="2098"/>
      <c r="AE395" s="2098"/>
      <c r="AF395" s="2098"/>
      <c r="AG395" s="2098"/>
      <c r="AH395" s="2098"/>
      <c r="AI395" s="2098"/>
      <c r="AJ395" s="2098"/>
      <c r="AK395" s="2098"/>
      <c r="AL395" s="2098"/>
      <c r="AM395" s="2098"/>
      <c r="AN395" s="2098"/>
      <c r="AO395" s="2098"/>
      <c r="AP395" s="2098"/>
      <c r="AQ395" s="2098"/>
      <c r="AR395" s="2098"/>
      <c r="AS395" s="2098"/>
      <c r="AT395" s="2098"/>
      <c r="AU395" s="2098"/>
      <c r="AV395" s="2098"/>
      <c r="AW395" s="2098"/>
      <c r="AX395" s="2098"/>
      <c r="AY395" s="2098"/>
      <c r="AZ395" s="2098"/>
    </row>
    <row r="396" spans="3:52">
      <c r="C396" s="2096"/>
      <c r="D396" s="2097"/>
      <c r="E396" s="2098"/>
      <c r="F396" s="2098"/>
      <c r="G396" s="2098"/>
      <c r="H396" s="2098"/>
      <c r="I396" s="2098"/>
      <c r="J396" s="2098"/>
      <c r="K396" s="2098"/>
      <c r="L396" s="2098"/>
      <c r="M396" s="2098"/>
      <c r="N396" s="2098"/>
      <c r="O396" s="2098"/>
      <c r="P396" s="2098"/>
      <c r="Q396" s="2098"/>
      <c r="R396" s="2098"/>
      <c r="S396" s="2098"/>
      <c r="T396" s="2098"/>
      <c r="U396" s="2098"/>
      <c r="V396" s="2098"/>
      <c r="W396" s="2098"/>
      <c r="X396" s="2098"/>
      <c r="Y396" s="2098"/>
      <c r="Z396" s="2098"/>
      <c r="AA396" s="2098"/>
      <c r="AB396" s="2098"/>
      <c r="AC396" s="2098"/>
      <c r="AD396" s="2098"/>
      <c r="AE396" s="2098"/>
      <c r="AF396" s="2098"/>
      <c r="AG396" s="2098"/>
      <c r="AH396" s="2098"/>
      <c r="AI396" s="2098"/>
      <c r="AJ396" s="2098"/>
      <c r="AK396" s="2098"/>
      <c r="AL396" s="2098"/>
      <c r="AM396" s="2098"/>
      <c r="AN396" s="2098"/>
      <c r="AO396" s="2098"/>
      <c r="AP396" s="2098"/>
      <c r="AQ396" s="2098"/>
      <c r="AR396" s="2098"/>
      <c r="AS396" s="2098"/>
      <c r="AT396" s="2098"/>
      <c r="AU396" s="2098"/>
      <c r="AV396" s="2098"/>
      <c r="AW396" s="2098"/>
      <c r="AX396" s="2098"/>
      <c r="AY396" s="2098"/>
      <c r="AZ396" s="2098"/>
    </row>
    <row r="397" spans="3:52">
      <c r="C397" s="2096"/>
      <c r="D397" s="2097"/>
      <c r="E397" s="2098"/>
      <c r="F397" s="2098"/>
      <c r="G397" s="2098"/>
      <c r="H397" s="2098"/>
      <c r="I397" s="2098"/>
      <c r="J397" s="2098"/>
      <c r="K397" s="2098"/>
      <c r="L397" s="2098"/>
      <c r="M397" s="2098"/>
      <c r="N397" s="2098"/>
      <c r="O397" s="2098"/>
      <c r="P397" s="2098"/>
      <c r="Q397" s="2098"/>
      <c r="R397" s="2098"/>
      <c r="S397" s="2098"/>
      <c r="T397" s="2098"/>
      <c r="U397" s="2098"/>
      <c r="V397" s="2098"/>
      <c r="W397" s="2098"/>
      <c r="X397" s="2098"/>
      <c r="Y397" s="2098"/>
      <c r="Z397" s="2098"/>
      <c r="AA397" s="2098"/>
      <c r="AB397" s="2098"/>
      <c r="AC397" s="2098"/>
      <c r="AD397" s="2098"/>
      <c r="AE397" s="2098"/>
      <c r="AF397" s="2098"/>
      <c r="AG397" s="2098"/>
      <c r="AH397" s="2098"/>
      <c r="AI397" s="2098"/>
      <c r="AJ397" s="2098"/>
      <c r="AK397" s="2098"/>
      <c r="AL397" s="2098"/>
      <c r="AM397" s="2098"/>
      <c r="AN397" s="2098"/>
      <c r="AO397" s="2098"/>
      <c r="AP397" s="2098"/>
      <c r="AQ397" s="2098"/>
      <c r="AR397" s="2098"/>
      <c r="AS397" s="2098"/>
      <c r="AT397" s="2098"/>
      <c r="AU397" s="2098"/>
      <c r="AV397" s="2098"/>
      <c r="AW397" s="2098"/>
      <c r="AX397" s="2098"/>
      <c r="AY397" s="2098"/>
      <c r="AZ397" s="2098"/>
    </row>
    <row r="398" spans="3:52">
      <c r="C398" s="2096"/>
      <c r="D398" s="2097"/>
      <c r="E398" s="2098"/>
      <c r="F398" s="2098"/>
      <c r="G398" s="2098"/>
      <c r="H398" s="2098"/>
      <c r="I398" s="2098"/>
      <c r="J398" s="2098"/>
      <c r="K398" s="2098"/>
      <c r="L398" s="2098"/>
      <c r="M398" s="2098"/>
      <c r="N398" s="2098"/>
      <c r="O398" s="2098"/>
      <c r="P398" s="2098"/>
      <c r="Q398" s="2098"/>
      <c r="R398" s="2098"/>
      <c r="S398" s="2098"/>
      <c r="T398" s="2098"/>
      <c r="U398" s="2098"/>
      <c r="V398" s="2098"/>
      <c r="W398" s="2098"/>
      <c r="X398" s="2098"/>
      <c r="Y398" s="2098"/>
      <c r="Z398" s="2098"/>
      <c r="AA398" s="2098"/>
      <c r="AB398" s="2098"/>
      <c r="AC398" s="2098"/>
      <c r="AD398" s="2098"/>
      <c r="AE398" s="2098"/>
      <c r="AF398" s="2098"/>
      <c r="AG398" s="2098"/>
      <c r="AH398" s="2098"/>
      <c r="AI398" s="2098"/>
      <c r="AJ398" s="2098"/>
      <c r="AK398" s="2098"/>
      <c r="AL398" s="2098"/>
      <c r="AM398" s="2098"/>
      <c r="AN398" s="2098"/>
      <c r="AO398" s="2098"/>
      <c r="AP398" s="2098"/>
      <c r="AQ398" s="2098"/>
      <c r="AR398" s="2098"/>
      <c r="AS398" s="2098"/>
      <c r="AT398" s="2098"/>
      <c r="AU398" s="2098"/>
      <c r="AV398" s="2098"/>
      <c r="AW398" s="2098"/>
      <c r="AX398" s="2098"/>
      <c r="AY398" s="2098"/>
      <c r="AZ398" s="2098"/>
    </row>
    <row r="399" spans="3:52">
      <c r="C399" s="2096"/>
      <c r="D399" s="2097"/>
      <c r="E399" s="2098"/>
      <c r="F399" s="2098"/>
      <c r="G399" s="2098"/>
      <c r="H399" s="2098"/>
      <c r="I399" s="2098"/>
      <c r="J399" s="2098"/>
      <c r="K399" s="2098"/>
      <c r="L399" s="2098"/>
      <c r="M399" s="2098"/>
      <c r="N399" s="2098"/>
      <c r="O399" s="2098"/>
      <c r="P399" s="2098"/>
      <c r="Q399" s="2098"/>
      <c r="R399" s="2098"/>
      <c r="S399" s="2098"/>
      <c r="T399" s="2098"/>
      <c r="U399" s="2098"/>
      <c r="V399" s="2098"/>
      <c r="W399" s="2098"/>
      <c r="X399" s="2098"/>
      <c r="Y399" s="2098"/>
      <c r="Z399" s="2098"/>
      <c r="AA399" s="2098"/>
      <c r="AB399" s="2098"/>
      <c r="AC399" s="2098"/>
      <c r="AD399" s="2098"/>
      <c r="AE399" s="2098"/>
      <c r="AF399" s="2098"/>
      <c r="AG399" s="2098"/>
      <c r="AH399" s="2098"/>
      <c r="AI399" s="2098"/>
      <c r="AJ399" s="2098"/>
      <c r="AK399" s="2098"/>
      <c r="AL399" s="2098"/>
      <c r="AM399" s="2098"/>
      <c r="AN399" s="2098"/>
      <c r="AO399" s="2098"/>
      <c r="AP399" s="2098"/>
      <c r="AQ399" s="2098"/>
      <c r="AR399" s="2098"/>
      <c r="AS399" s="2098"/>
      <c r="AT399" s="2098"/>
      <c r="AU399" s="2098"/>
      <c r="AV399" s="2098"/>
      <c r="AW399" s="2098"/>
      <c r="AX399" s="2098"/>
      <c r="AY399" s="2098"/>
      <c r="AZ399" s="2098"/>
    </row>
    <row r="400" spans="3:52">
      <c r="C400" s="2096"/>
      <c r="D400" s="2097"/>
      <c r="E400" s="2098"/>
      <c r="F400" s="2098"/>
      <c r="G400" s="2098"/>
      <c r="H400" s="2098"/>
      <c r="I400" s="2098"/>
      <c r="J400" s="2098"/>
      <c r="K400" s="2098"/>
      <c r="L400" s="2098"/>
      <c r="M400" s="2098"/>
      <c r="N400" s="2098"/>
      <c r="O400" s="2098"/>
      <c r="P400" s="2098"/>
      <c r="Q400" s="2098"/>
      <c r="R400" s="2098"/>
      <c r="S400" s="2098"/>
      <c r="T400" s="2098"/>
      <c r="U400" s="2098"/>
      <c r="V400" s="2098"/>
      <c r="W400" s="2098"/>
      <c r="X400" s="2098"/>
      <c r="Y400" s="2098"/>
      <c r="Z400" s="2098"/>
      <c r="AA400" s="2098"/>
      <c r="AB400" s="2098"/>
      <c r="AC400" s="2098"/>
      <c r="AD400" s="2098"/>
      <c r="AE400" s="2098"/>
      <c r="AF400" s="2098"/>
      <c r="AG400" s="2098"/>
      <c r="AH400" s="2098"/>
      <c r="AI400" s="2098"/>
      <c r="AJ400" s="2098"/>
      <c r="AK400" s="2098"/>
      <c r="AL400" s="2098"/>
      <c r="AM400" s="2098"/>
      <c r="AN400" s="2098"/>
      <c r="AO400" s="2098"/>
      <c r="AP400" s="2098"/>
      <c r="AQ400" s="2098"/>
      <c r="AR400" s="2098"/>
      <c r="AS400" s="2098"/>
      <c r="AT400" s="2098"/>
      <c r="AU400" s="2098"/>
      <c r="AV400" s="2098"/>
      <c r="AW400" s="2098"/>
      <c r="AX400" s="2098"/>
      <c r="AY400" s="2098"/>
      <c r="AZ400" s="2098"/>
    </row>
    <row r="401" spans="3:52">
      <c r="C401" s="2096"/>
      <c r="D401" s="2097"/>
      <c r="E401" s="2098"/>
      <c r="F401" s="2098"/>
      <c r="G401" s="2098"/>
      <c r="H401" s="2098"/>
      <c r="I401" s="2098"/>
      <c r="J401" s="2098"/>
      <c r="K401" s="2098"/>
      <c r="L401" s="2098"/>
      <c r="M401" s="2098"/>
      <c r="N401" s="2098"/>
      <c r="O401" s="2098"/>
      <c r="P401" s="2098"/>
      <c r="Q401" s="2098"/>
      <c r="R401" s="2098"/>
      <c r="S401" s="2098"/>
      <c r="T401" s="2098"/>
      <c r="U401" s="2098"/>
      <c r="V401" s="2098"/>
      <c r="W401" s="2098"/>
      <c r="X401" s="2098"/>
      <c r="Y401" s="2098"/>
      <c r="Z401" s="2098"/>
      <c r="AA401" s="2098"/>
      <c r="AB401" s="2098"/>
      <c r="AC401" s="2098"/>
      <c r="AD401" s="2098"/>
      <c r="AE401" s="2098"/>
      <c r="AF401" s="2098"/>
      <c r="AG401" s="2098"/>
      <c r="AH401" s="2098"/>
      <c r="AI401" s="2098"/>
      <c r="AJ401" s="2098"/>
      <c r="AK401" s="2098"/>
      <c r="AL401" s="2098"/>
      <c r="AM401" s="2098"/>
      <c r="AN401" s="2098"/>
      <c r="AO401" s="2098"/>
      <c r="AP401" s="2098"/>
      <c r="AQ401" s="2098"/>
      <c r="AR401" s="2098"/>
      <c r="AS401" s="2098"/>
      <c r="AT401" s="2098"/>
      <c r="AU401" s="2098"/>
      <c r="AV401" s="2098"/>
      <c r="AW401" s="2098"/>
      <c r="AX401" s="2098"/>
      <c r="AY401" s="2098"/>
      <c r="AZ401" s="2098"/>
    </row>
    <row r="402" spans="3:52">
      <c r="C402" s="2096"/>
      <c r="D402" s="2097"/>
      <c r="E402" s="2098"/>
      <c r="F402" s="2098"/>
      <c r="G402" s="2098"/>
      <c r="H402" s="2098"/>
      <c r="I402" s="2098"/>
      <c r="J402" s="2098"/>
      <c r="K402" s="2098"/>
      <c r="L402" s="2098"/>
      <c r="M402" s="2098"/>
      <c r="N402" s="2098"/>
      <c r="O402" s="2098"/>
      <c r="P402" s="2098"/>
      <c r="Q402" s="2098"/>
      <c r="R402" s="2098"/>
      <c r="S402" s="2098"/>
      <c r="T402" s="2098"/>
      <c r="U402" s="2098"/>
      <c r="V402" s="2098"/>
      <c r="W402" s="2098"/>
      <c r="X402" s="2098"/>
      <c r="Y402" s="2098"/>
      <c r="Z402" s="2098"/>
      <c r="AA402" s="2098"/>
      <c r="AB402" s="2098"/>
      <c r="AC402" s="2098"/>
      <c r="AD402" s="2098"/>
      <c r="AE402" s="2098"/>
      <c r="AF402" s="2098"/>
      <c r="AG402" s="2098"/>
      <c r="AH402" s="2098"/>
      <c r="AI402" s="2098"/>
      <c r="AJ402" s="2098"/>
      <c r="AK402" s="2098"/>
      <c r="AL402" s="2098"/>
      <c r="AM402" s="2098"/>
      <c r="AN402" s="2098"/>
      <c r="AO402" s="2098"/>
      <c r="AP402" s="2098"/>
      <c r="AQ402" s="2098"/>
      <c r="AR402" s="2098"/>
      <c r="AS402" s="2098"/>
      <c r="AT402" s="2098"/>
      <c r="AU402" s="2098"/>
      <c r="AV402" s="2098"/>
      <c r="AW402" s="2098"/>
      <c r="AX402" s="2098"/>
      <c r="AY402" s="2098"/>
      <c r="AZ402" s="2098"/>
    </row>
    <row r="403" spans="3:52">
      <c r="C403" s="2096"/>
      <c r="D403" s="2097"/>
      <c r="E403" s="2098"/>
      <c r="F403" s="2098"/>
      <c r="G403" s="2098"/>
      <c r="H403" s="2098"/>
      <c r="I403" s="2098"/>
      <c r="J403" s="2098"/>
      <c r="K403" s="2098"/>
      <c r="L403" s="2098"/>
      <c r="M403" s="2098"/>
      <c r="N403" s="2098"/>
      <c r="O403" s="2098"/>
      <c r="P403" s="2098"/>
      <c r="Q403" s="2098"/>
      <c r="R403" s="2098"/>
      <c r="S403" s="2098"/>
      <c r="T403" s="2098"/>
      <c r="U403" s="2098"/>
      <c r="V403" s="2098"/>
      <c r="W403" s="2098"/>
      <c r="X403" s="2098"/>
      <c r="Y403" s="2098"/>
      <c r="Z403" s="2098"/>
      <c r="AA403" s="2098"/>
      <c r="AB403" s="2098"/>
      <c r="AC403" s="2098"/>
      <c r="AD403" s="2098"/>
      <c r="AE403" s="2098"/>
      <c r="AF403" s="2098"/>
      <c r="AG403" s="2098"/>
      <c r="AH403" s="2098"/>
      <c r="AI403" s="2098"/>
      <c r="AJ403" s="2098"/>
      <c r="AK403" s="2098"/>
      <c r="AL403" s="2098"/>
      <c r="AM403" s="2098"/>
      <c r="AN403" s="2098"/>
      <c r="AO403" s="2098"/>
      <c r="AP403" s="2098"/>
      <c r="AQ403" s="2098"/>
      <c r="AR403" s="2098"/>
      <c r="AS403" s="2098"/>
      <c r="AT403" s="2098"/>
      <c r="AU403" s="2098"/>
      <c r="AV403" s="2098"/>
      <c r="AW403" s="2098"/>
      <c r="AX403" s="2098"/>
      <c r="AY403" s="2098"/>
      <c r="AZ403" s="2098"/>
    </row>
    <row r="404" spans="3:52">
      <c r="C404" s="2096"/>
      <c r="D404" s="2097"/>
      <c r="E404" s="2098"/>
      <c r="F404" s="2098"/>
      <c r="G404" s="2098"/>
      <c r="H404" s="2098"/>
      <c r="I404" s="2098"/>
      <c r="J404" s="2098"/>
      <c r="K404" s="2098"/>
      <c r="L404" s="2098"/>
      <c r="M404" s="2098"/>
      <c r="N404" s="2098"/>
      <c r="O404" s="2098"/>
      <c r="P404" s="2098"/>
      <c r="Q404" s="2098"/>
      <c r="R404" s="2098"/>
      <c r="S404" s="2098"/>
      <c r="T404" s="2098"/>
      <c r="U404" s="2098"/>
      <c r="V404" s="2098"/>
      <c r="W404" s="2098"/>
      <c r="X404" s="2098"/>
      <c r="Y404" s="2098"/>
      <c r="Z404" s="2098"/>
      <c r="AA404" s="2098"/>
      <c r="AB404" s="2098"/>
      <c r="AC404" s="2098"/>
      <c r="AD404" s="2098"/>
      <c r="AE404" s="2098"/>
      <c r="AF404" s="2098"/>
      <c r="AG404" s="2098"/>
      <c r="AH404" s="2098"/>
      <c r="AI404" s="2098"/>
      <c r="AJ404" s="2098"/>
      <c r="AK404" s="2098"/>
      <c r="AL404" s="2098"/>
      <c r="AM404" s="2098"/>
      <c r="AN404" s="2098"/>
      <c r="AO404" s="2098"/>
      <c r="AP404" s="2098"/>
      <c r="AQ404" s="2098"/>
      <c r="AR404" s="2098"/>
      <c r="AS404" s="2098"/>
      <c r="AT404" s="2098"/>
      <c r="AU404" s="2098"/>
      <c r="AV404" s="2098"/>
      <c r="AW404" s="2098"/>
      <c r="AX404" s="2098"/>
      <c r="AY404" s="2098"/>
      <c r="AZ404" s="2098"/>
    </row>
    <row r="405" spans="3:52">
      <c r="C405" s="2096"/>
      <c r="D405" s="2097"/>
      <c r="E405" s="2098"/>
      <c r="F405" s="2098"/>
      <c r="G405" s="2098"/>
      <c r="H405" s="2098"/>
      <c r="I405" s="2098"/>
      <c r="J405" s="2098"/>
      <c r="K405" s="2098"/>
      <c r="L405" s="2098"/>
      <c r="M405" s="2098"/>
      <c r="N405" s="2098"/>
      <c r="O405" s="2098"/>
      <c r="P405" s="2098"/>
      <c r="Q405" s="2098"/>
      <c r="R405" s="2098"/>
      <c r="S405" s="2098"/>
      <c r="T405" s="2098"/>
      <c r="U405" s="2098"/>
      <c r="V405" s="2098"/>
      <c r="W405" s="2098"/>
      <c r="X405" s="2098"/>
      <c r="Y405" s="2098"/>
      <c r="Z405" s="2098"/>
      <c r="AA405" s="2098"/>
      <c r="AB405" s="2098"/>
      <c r="AC405" s="2098"/>
      <c r="AD405" s="2098"/>
      <c r="AE405" s="2098"/>
      <c r="AF405" s="2098"/>
      <c r="AG405" s="2098"/>
      <c r="AH405" s="2098"/>
      <c r="AI405" s="2098"/>
      <c r="AJ405" s="2098"/>
      <c r="AK405" s="2098"/>
      <c r="AL405" s="2098"/>
      <c r="AM405" s="2098"/>
      <c r="AN405" s="2098"/>
      <c r="AO405" s="2098"/>
      <c r="AP405" s="2098"/>
      <c r="AQ405" s="2098"/>
      <c r="AR405" s="2098"/>
      <c r="AS405" s="2098"/>
      <c r="AT405" s="2098"/>
      <c r="AU405" s="2098"/>
      <c r="AV405" s="2098"/>
      <c r="AW405" s="2098"/>
      <c r="AX405" s="2098"/>
      <c r="AY405" s="2098"/>
      <c r="AZ405" s="2098"/>
    </row>
    <row r="406" spans="3:52">
      <c r="C406" s="2096"/>
      <c r="D406" s="2097"/>
      <c r="E406" s="2098"/>
      <c r="F406" s="2098"/>
      <c r="G406" s="2098"/>
      <c r="H406" s="2098"/>
      <c r="I406" s="2098"/>
      <c r="J406" s="2098"/>
      <c r="K406" s="2098"/>
      <c r="L406" s="2098"/>
      <c r="M406" s="2098"/>
      <c r="N406" s="2098"/>
      <c r="O406" s="2098"/>
      <c r="P406" s="2098"/>
      <c r="Q406" s="2098"/>
      <c r="R406" s="2098"/>
      <c r="S406" s="2098"/>
      <c r="T406" s="2098"/>
      <c r="U406" s="2098"/>
      <c r="V406" s="2098"/>
      <c r="W406" s="2098"/>
      <c r="X406" s="2098"/>
      <c r="Y406" s="2098"/>
      <c r="Z406" s="2098"/>
      <c r="AA406" s="2098"/>
      <c r="AB406" s="2098"/>
      <c r="AC406" s="2098"/>
      <c r="AD406" s="2098"/>
      <c r="AE406" s="2098"/>
      <c r="AF406" s="2098"/>
      <c r="AG406" s="2098"/>
      <c r="AH406" s="2098"/>
      <c r="AI406" s="2098"/>
      <c r="AJ406" s="2098"/>
      <c r="AK406" s="2098"/>
      <c r="AL406" s="2098"/>
      <c r="AM406" s="2098"/>
      <c r="AN406" s="2098"/>
      <c r="AO406" s="2098"/>
      <c r="AP406" s="2098"/>
      <c r="AQ406" s="2098"/>
      <c r="AR406" s="2098"/>
      <c r="AS406" s="2098"/>
      <c r="AT406" s="2098"/>
      <c r="AU406" s="2098"/>
      <c r="AV406" s="2098"/>
      <c r="AW406" s="2098"/>
      <c r="AX406" s="2098"/>
      <c r="AY406" s="2098"/>
      <c r="AZ406" s="2098"/>
    </row>
    <row r="407" spans="3:52">
      <c r="C407" s="2096"/>
      <c r="D407" s="2097"/>
      <c r="E407" s="2098"/>
      <c r="F407" s="2098"/>
      <c r="G407" s="2098"/>
      <c r="H407" s="2098"/>
      <c r="I407" s="2098"/>
      <c r="J407" s="2098"/>
      <c r="K407" s="2098"/>
      <c r="L407" s="2098"/>
      <c r="M407" s="2098"/>
      <c r="N407" s="2098"/>
      <c r="O407" s="2098"/>
      <c r="P407" s="2098"/>
      <c r="Q407" s="2098"/>
      <c r="R407" s="2098"/>
      <c r="S407" s="2098"/>
      <c r="T407" s="2098"/>
      <c r="U407" s="2098"/>
      <c r="V407" s="2098"/>
      <c r="W407" s="2098"/>
      <c r="X407" s="2098"/>
      <c r="Y407" s="2098"/>
      <c r="Z407" s="2098"/>
      <c r="AA407" s="2098"/>
      <c r="AB407" s="2098"/>
      <c r="AC407" s="2098"/>
      <c r="AD407" s="2098"/>
      <c r="AE407" s="2098"/>
      <c r="AF407" s="2098"/>
      <c r="AG407" s="2098"/>
      <c r="AH407" s="2098"/>
      <c r="AI407" s="2098"/>
      <c r="AJ407" s="2098"/>
      <c r="AK407" s="2098"/>
      <c r="AL407" s="2098"/>
      <c r="AM407" s="2098"/>
      <c r="AN407" s="2098"/>
      <c r="AO407" s="2098"/>
      <c r="AP407" s="2098"/>
      <c r="AQ407" s="2098"/>
      <c r="AR407" s="2098"/>
      <c r="AS407" s="2098"/>
      <c r="AT407" s="2098"/>
      <c r="AU407" s="2098"/>
      <c r="AV407" s="2098"/>
      <c r="AW407" s="2098"/>
      <c r="AX407" s="2098"/>
      <c r="AY407" s="2098"/>
      <c r="AZ407" s="2098"/>
    </row>
    <row r="408" spans="3:52">
      <c r="C408" s="2096"/>
      <c r="D408" s="2097"/>
      <c r="E408" s="2098"/>
      <c r="F408" s="2098"/>
      <c r="G408" s="2098"/>
      <c r="H408" s="2098"/>
      <c r="I408" s="2098"/>
      <c r="J408" s="2098"/>
      <c r="K408" s="2098"/>
      <c r="L408" s="2098"/>
      <c r="M408" s="2098"/>
      <c r="N408" s="2098"/>
      <c r="O408" s="2098"/>
      <c r="P408" s="2098"/>
      <c r="Q408" s="2098"/>
      <c r="R408" s="2098"/>
      <c r="S408" s="2098"/>
      <c r="T408" s="2098"/>
      <c r="U408" s="2098"/>
      <c r="V408" s="2098"/>
      <c r="W408" s="2098"/>
      <c r="X408" s="2098"/>
      <c r="Y408" s="2098"/>
      <c r="Z408" s="2098"/>
      <c r="AA408" s="2098"/>
      <c r="AB408" s="2098"/>
      <c r="AC408" s="2098"/>
      <c r="AD408" s="2098"/>
      <c r="AE408" s="2098"/>
      <c r="AF408" s="2098"/>
      <c r="AG408" s="2098"/>
      <c r="AH408" s="2098"/>
      <c r="AI408" s="2098"/>
      <c r="AJ408" s="2098"/>
      <c r="AK408" s="2098"/>
      <c r="AL408" s="2098"/>
      <c r="AM408" s="2098"/>
      <c r="AN408" s="2098"/>
      <c r="AO408" s="2098"/>
      <c r="AP408" s="2098"/>
      <c r="AQ408" s="2098"/>
      <c r="AR408" s="2098"/>
      <c r="AS408" s="2098"/>
      <c r="AT408" s="2098"/>
      <c r="AU408" s="2098"/>
      <c r="AV408" s="2098"/>
      <c r="AW408" s="2098"/>
      <c r="AX408" s="2098"/>
      <c r="AY408" s="2098"/>
      <c r="AZ408" s="2098"/>
    </row>
    <row r="409" spans="3:52">
      <c r="C409" s="2096"/>
      <c r="D409" s="2097"/>
      <c r="E409" s="2098"/>
      <c r="F409" s="2098"/>
      <c r="G409" s="2098"/>
      <c r="H409" s="2098"/>
      <c r="I409" s="2098"/>
      <c r="J409" s="2098"/>
      <c r="K409" s="2098"/>
      <c r="L409" s="2098"/>
      <c r="M409" s="2098"/>
      <c r="N409" s="2098"/>
      <c r="O409" s="2098"/>
      <c r="P409" s="2098"/>
      <c r="Q409" s="2098"/>
      <c r="R409" s="2098"/>
      <c r="S409" s="2098"/>
      <c r="T409" s="2098"/>
      <c r="U409" s="2098"/>
      <c r="V409" s="2098"/>
      <c r="W409" s="2098"/>
      <c r="X409" s="2098"/>
      <c r="Y409" s="2098"/>
      <c r="Z409" s="2098"/>
      <c r="AA409" s="2098"/>
      <c r="AB409" s="2098"/>
      <c r="AC409" s="2098"/>
      <c r="AD409" s="2098"/>
      <c r="AE409" s="2098"/>
      <c r="AF409" s="2098"/>
      <c r="AG409" s="2098"/>
      <c r="AH409" s="2098"/>
      <c r="AI409" s="2098"/>
      <c r="AJ409" s="2098"/>
      <c r="AK409" s="2098"/>
      <c r="AL409" s="2098"/>
      <c r="AM409" s="2098"/>
      <c r="AN409" s="2098"/>
      <c r="AO409" s="2098"/>
      <c r="AP409" s="2098"/>
      <c r="AQ409" s="2098"/>
      <c r="AR409" s="2098"/>
      <c r="AS409" s="2098"/>
      <c r="AT409" s="2098"/>
      <c r="AU409" s="2098"/>
      <c r="AV409" s="2098"/>
      <c r="AW409" s="2098"/>
      <c r="AX409" s="2098"/>
      <c r="AY409" s="2098"/>
      <c r="AZ409" s="2098"/>
    </row>
    <row r="410" spans="3:52">
      <c r="C410" s="2096"/>
      <c r="D410" s="2097"/>
      <c r="E410" s="2098"/>
      <c r="F410" s="2098"/>
      <c r="G410" s="2098"/>
      <c r="H410" s="2098"/>
      <c r="I410" s="2098"/>
      <c r="J410" s="2098"/>
      <c r="K410" s="2098"/>
      <c r="L410" s="2098"/>
      <c r="M410" s="2098"/>
      <c r="N410" s="2098"/>
      <c r="O410" s="2098"/>
      <c r="P410" s="2098"/>
      <c r="Q410" s="2098"/>
      <c r="R410" s="2098"/>
      <c r="S410" s="2098"/>
      <c r="T410" s="2098"/>
      <c r="U410" s="2098"/>
      <c r="V410" s="2098"/>
      <c r="W410" s="2098"/>
      <c r="X410" s="2098"/>
      <c r="Y410" s="2098"/>
      <c r="Z410" s="2098"/>
      <c r="AA410" s="2098"/>
      <c r="AB410" s="2098"/>
      <c r="AC410" s="2098"/>
      <c r="AD410" s="2098"/>
      <c r="AE410" s="2098"/>
      <c r="AF410" s="2098"/>
      <c r="AG410" s="2098"/>
      <c r="AH410" s="2098"/>
      <c r="AI410" s="2098"/>
      <c r="AJ410" s="2098"/>
      <c r="AK410" s="2098"/>
      <c r="AL410" s="2098"/>
      <c r="AM410" s="2098"/>
      <c r="AN410" s="2098"/>
      <c r="AO410" s="2098"/>
      <c r="AP410" s="2098"/>
      <c r="AQ410" s="2098"/>
      <c r="AR410" s="2098"/>
      <c r="AS410" s="2098"/>
      <c r="AT410" s="2098"/>
      <c r="AU410" s="2098"/>
      <c r="AV410" s="2098"/>
      <c r="AW410" s="2098"/>
      <c r="AX410" s="2098"/>
      <c r="AY410" s="2098"/>
      <c r="AZ410" s="2098"/>
    </row>
    <row r="411" spans="3:52">
      <c r="C411" s="2096"/>
      <c r="D411" s="2097"/>
      <c r="E411" s="2098"/>
      <c r="F411" s="2098"/>
      <c r="G411" s="2098"/>
      <c r="H411" s="2098"/>
      <c r="I411" s="2098"/>
      <c r="J411" s="2098"/>
      <c r="K411" s="2098"/>
      <c r="L411" s="2098"/>
      <c r="M411" s="2098"/>
      <c r="N411" s="2098"/>
      <c r="O411" s="2098"/>
      <c r="P411" s="2098"/>
      <c r="Q411" s="2098"/>
      <c r="R411" s="2098"/>
      <c r="S411" s="2098"/>
      <c r="T411" s="2098"/>
      <c r="U411" s="2098"/>
      <c r="V411" s="2098"/>
      <c r="W411" s="2098"/>
      <c r="X411" s="2098"/>
      <c r="Y411" s="2098"/>
      <c r="Z411" s="2098"/>
      <c r="AA411" s="2098"/>
      <c r="AB411" s="2098"/>
      <c r="AC411" s="2098"/>
      <c r="AD411" s="2098"/>
      <c r="AE411" s="2098"/>
      <c r="AF411" s="2098"/>
      <c r="AG411" s="2098"/>
      <c r="AH411" s="2098"/>
      <c r="AI411" s="2098"/>
      <c r="AJ411" s="2098"/>
      <c r="AK411" s="2098"/>
      <c r="AL411" s="2098"/>
      <c r="AM411" s="2098"/>
      <c r="AN411" s="2098"/>
      <c r="AO411" s="2098"/>
      <c r="AP411" s="2098"/>
      <c r="AQ411" s="2098"/>
      <c r="AR411" s="2098"/>
      <c r="AS411" s="2098"/>
      <c r="AT411" s="2098"/>
      <c r="AU411" s="2098"/>
      <c r="AV411" s="2098"/>
      <c r="AW411" s="2098"/>
      <c r="AX411" s="2098"/>
      <c r="AY411" s="2098"/>
      <c r="AZ411" s="2098"/>
    </row>
    <row r="412" spans="3:52">
      <c r="C412" s="2096"/>
      <c r="D412" s="2097"/>
      <c r="E412" s="2098"/>
      <c r="F412" s="2098"/>
      <c r="G412" s="2098"/>
      <c r="H412" s="2098"/>
      <c r="I412" s="2098"/>
      <c r="J412" s="2098"/>
      <c r="K412" s="2098"/>
      <c r="L412" s="2098"/>
      <c r="M412" s="2098"/>
      <c r="N412" s="2098"/>
      <c r="O412" s="2098"/>
      <c r="P412" s="2098"/>
      <c r="Q412" s="2098"/>
      <c r="R412" s="2098"/>
      <c r="S412" s="2098"/>
      <c r="T412" s="2098"/>
      <c r="U412" s="2098"/>
      <c r="V412" s="2098"/>
      <c r="W412" s="2098"/>
      <c r="X412" s="2098"/>
      <c r="Y412" s="2098"/>
      <c r="Z412" s="2098"/>
      <c r="AA412" s="2098"/>
      <c r="AB412" s="2098"/>
      <c r="AC412" s="2098"/>
      <c r="AD412" s="2098"/>
      <c r="AE412" s="2098"/>
      <c r="AF412" s="2098"/>
      <c r="AG412" s="2098"/>
      <c r="AH412" s="2098"/>
      <c r="AI412" s="2098"/>
      <c r="AJ412" s="2098"/>
      <c r="AK412" s="2098"/>
      <c r="AL412" s="2098"/>
      <c r="AM412" s="2098"/>
      <c r="AN412" s="2098"/>
      <c r="AO412" s="2098"/>
      <c r="AP412" s="2098"/>
      <c r="AQ412" s="2098"/>
      <c r="AR412" s="2098"/>
      <c r="AS412" s="2098"/>
      <c r="AT412" s="2098"/>
      <c r="AU412" s="2098"/>
      <c r="AV412" s="2098"/>
      <c r="AW412" s="2098"/>
      <c r="AX412" s="2098"/>
      <c r="AY412" s="2098"/>
      <c r="AZ412" s="2098"/>
    </row>
    <row r="413" spans="3:52">
      <c r="C413" s="2096"/>
      <c r="D413" s="2097"/>
      <c r="E413" s="2098"/>
      <c r="F413" s="2098"/>
      <c r="G413" s="2098"/>
      <c r="H413" s="2098"/>
      <c r="I413" s="2098"/>
      <c r="J413" s="2098"/>
      <c r="K413" s="2098"/>
      <c r="L413" s="2098"/>
      <c r="M413" s="2098"/>
      <c r="N413" s="2098"/>
      <c r="O413" s="2098"/>
      <c r="P413" s="2098"/>
      <c r="Q413" s="2098"/>
      <c r="R413" s="2098"/>
      <c r="S413" s="2098"/>
      <c r="T413" s="2098"/>
      <c r="U413" s="2098"/>
      <c r="V413" s="2098"/>
      <c r="W413" s="2098"/>
      <c r="X413" s="2098"/>
      <c r="Y413" s="2098"/>
      <c r="Z413" s="2098"/>
      <c r="AA413" s="2098"/>
      <c r="AB413" s="2098"/>
      <c r="AC413" s="2098"/>
      <c r="AD413" s="2098"/>
      <c r="AE413" s="2098"/>
      <c r="AF413" s="2098"/>
      <c r="AG413" s="2098"/>
      <c r="AH413" s="2098"/>
      <c r="AI413" s="2098"/>
      <c r="AJ413" s="2098"/>
      <c r="AK413" s="2098"/>
      <c r="AL413" s="2098"/>
      <c r="AM413" s="2098"/>
      <c r="AN413" s="2098"/>
      <c r="AO413" s="2098"/>
      <c r="AP413" s="2098"/>
      <c r="AQ413" s="2098"/>
      <c r="AR413" s="2098"/>
      <c r="AS413" s="2098"/>
      <c r="AT413" s="2098"/>
      <c r="AU413" s="2098"/>
      <c r="AV413" s="2098"/>
      <c r="AW413" s="2098"/>
      <c r="AX413" s="2098"/>
      <c r="AY413" s="2098"/>
      <c r="AZ413" s="2098"/>
    </row>
    <row r="414" spans="3:52">
      <c r="C414" s="2096"/>
      <c r="D414" s="2097"/>
      <c r="E414" s="2098"/>
      <c r="F414" s="2098"/>
      <c r="G414" s="2098"/>
      <c r="H414" s="2098"/>
      <c r="I414" s="2098"/>
      <c r="J414" s="2098"/>
      <c r="K414" s="2098"/>
      <c r="L414" s="2098"/>
      <c r="M414" s="2098"/>
      <c r="N414" s="2098"/>
      <c r="O414" s="2098"/>
      <c r="P414" s="2098"/>
      <c r="Q414" s="2098"/>
      <c r="R414" s="2098"/>
      <c r="S414" s="2098"/>
      <c r="T414" s="2098"/>
      <c r="U414" s="2098"/>
      <c r="V414" s="2098"/>
      <c r="W414" s="2098"/>
      <c r="X414" s="2098"/>
      <c r="Y414" s="2098"/>
      <c r="Z414" s="2098"/>
      <c r="AA414" s="2098"/>
      <c r="AB414" s="2098"/>
      <c r="AC414" s="2098"/>
      <c r="AD414" s="2098"/>
      <c r="AE414" s="2098"/>
      <c r="AF414" s="2098"/>
      <c r="AG414" s="2098"/>
      <c r="AH414" s="2098"/>
      <c r="AI414" s="2098"/>
      <c r="AJ414" s="2098"/>
      <c r="AK414" s="2098"/>
      <c r="AL414" s="2098"/>
      <c r="AM414" s="2098"/>
      <c r="AN414" s="2098"/>
      <c r="AO414" s="2098"/>
      <c r="AP414" s="2098"/>
      <c r="AQ414" s="2098"/>
      <c r="AR414" s="2098"/>
      <c r="AS414" s="2098"/>
      <c r="AT414" s="2098"/>
      <c r="AU414" s="2098"/>
      <c r="AV414" s="2098"/>
      <c r="AW414" s="2098"/>
      <c r="AX414" s="2098"/>
      <c r="AY414" s="2098"/>
      <c r="AZ414" s="2098"/>
    </row>
    <row r="415" spans="3:52">
      <c r="C415" s="2096"/>
      <c r="D415" s="2097"/>
      <c r="E415" s="2098"/>
      <c r="F415" s="2098"/>
      <c r="G415" s="2098"/>
      <c r="H415" s="2098"/>
      <c r="I415" s="2098"/>
      <c r="J415" s="2098"/>
      <c r="K415" s="2098"/>
      <c r="L415" s="2098"/>
      <c r="M415" s="2098"/>
      <c r="N415" s="2098"/>
      <c r="O415" s="2098"/>
      <c r="P415" s="2098"/>
      <c r="Q415" s="2098"/>
      <c r="R415" s="2098"/>
      <c r="S415" s="2098"/>
      <c r="T415" s="2098"/>
      <c r="U415" s="2098"/>
      <c r="V415" s="2098"/>
      <c r="W415" s="2098"/>
      <c r="X415" s="2098"/>
      <c r="Y415" s="2098"/>
      <c r="Z415" s="2098"/>
      <c r="AA415" s="2098"/>
      <c r="AB415" s="2098"/>
      <c r="AC415" s="2098"/>
      <c r="AD415" s="2098"/>
      <c r="AE415" s="2098"/>
      <c r="AF415" s="2098"/>
      <c r="AG415" s="2098"/>
      <c r="AH415" s="2098"/>
      <c r="AI415" s="2098"/>
      <c r="AJ415" s="2098"/>
      <c r="AK415" s="2098"/>
      <c r="AL415" s="2098"/>
      <c r="AM415" s="2098"/>
      <c r="AN415" s="2098"/>
      <c r="AO415" s="2098"/>
      <c r="AP415" s="2098"/>
      <c r="AQ415" s="2098"/>
      <c r="AR415" s="2098"/>
      <c r="AS415" s="2098"/>
      <c r="AT415" s="2098"/>
      <c r="AU415" s="2098"/>
      <c r="AV415" s="2098"/>
      <c r="AW415" s="2098"/>
      <c r="AX415" s="2098"/>
      <c r="AY415" s="2098"/>
      <c r="AZ415" s="2098"/>
    </row>
    <row r="416" spans="3:52">
      <c r="C416" s="2096"/>
      <c r="D416" s="2097"/>
      <c r="E416" s="2098"/>
      <c r="F416" s="2098"/>
      <c r="G416" s="2098"/>
      <c r="H416" s="2098"/>
      <c r="I416" s="2098"/>
      <c r="J416" s="2098"/>
      <c r="K416" s="2098"/>
      <c r="L416" s="2098"/>
      <c r="M416" s="2098"/>
      <c r="N416" s="2098"/>
      <c r="O416" s="2098"/>
      <c r="P416" s="2098"/>
      <c r="Q416" s="2098"/>
      <c r="R416" s="2098"/>
      <c r="S416" s="2098"/>
      <c r="T416" s="2098"/>
      <c r="U416" s="2098"/>
      <c r="V416" s="2098"/>
      <c r="W416" s="2098"/>
      <c r="X416" s="2098"/>
      <c r="Y416" s="2098"/>
      <c r="Z416" s="2098"/>
      <c r="AA416" s="2098"/>
      <c r="AB416" s="2098"/>
      <c r="AC416" s="2098"/>
      <c r="AD416" s="2098"/>
      <c r="AE416" s="2098"/>
      <c r="AF416" s="2098"/>
      <c r="AG416" s="2098"/>
      <c r="AH416" s="2098"/>
      <c r="AI416" s="2098"/>
      <c r="AJ416" s="2098"/>
      <c r="AK416" s="2098"/>
      <c r="AL416" s="2098"/>
      <c r="AM416" s="2098"/>
      <c r="AN416" s="2098"/>
      <c r="AO416" s="2098"/>
      <c r="AP416" s="2098"/>
      <c r="AQ416" s="2098"/>
      <c r="AR416" s="2098"/>
      <c r="AS416" s="2098"/>
      <c r="AT416" s="2098"/>
      <c r="AU416" s="2098"/>
      <c r="AV416" s="2098"/>
      <c r="AW416" s="2098"/>
      <c r="AX416" s="2098"/>
      <c r="AY416" s="2098"/>
      <c r="AZ416" s="2098"/>
    </row>
    <row r="417" spans="3:52">
      <c r="C417" s="2096"/>
      <c r="D417" s="2097"/>
      <c r="E417" s="2098"/>
      <c r="F417" s="2098"/>
      <c r="G417" s="2098"/>
      <c r="H417" s="2098"/>
      <c r="I417" s="2098"/>
      <c r="J417" s="2098"/>
      <c r="K417" s="2098"/>
      <c r="L417" s="2098"/>
      <c r="M417" s="2098"/>
      <c r="N417" s="2098"/>
      <c r="O417" s="2098"/>
      <c r="P417" s="2098"/>
      <c r="Q417" s="2098"/>
      <c r="R417" s="2098"/>
      <c r="S417" s="2098"/>
      <c r="T417" s="2098"/>
      <c r="U417" s="2098"/>
      <c r="V417" s="2098"/>
      <c r="W417" s="2098"/>
      <c r="X417" s="2098"/>
      <c r="Y417" s="2098"/>
      <c r="Z417" s="2098"/>
      <c r="AA417" s="2098"/>
      <c r="AB417" s="2098"/>
      <c r="AC417" s="2098"/>
      <c r="AD417" s="2098"/>
      <c r="AE417" s="2098"/>
      <c r="AF417" s="2098"/>
      <c r="AG417" s="2098"/>
      <c r="AH417" s="2098"/>
      <c r="AI417" s="2098"/>
      <c r="AJ417" s="2098"/>
      <c r="AK417" s="2098"/>
      <c r="AL417" s="2098"/>
      <c r="AM417" s="2098"/>
      <c r="AN417" s="2098"/>
      <c r="AO417" s="2098"/>
      <c r="AP417" s="2098"/>
      <c r="AQ417" s="2098"/>
      <c r="AR417" s="2098"/>
      <c r="AS417" s="2098"/>
      <c r="AT417" s="2098"/>
      <c r="AU417" s="2098"/>
      <c r="AV417" s="2098"/>
      <c r="AW417" s="2098"/>
      <c r="AX417" s="2098"/>
      <c r="AY417" s="2098"/>
      <c r="AZ417" s="2098"/>
    </row>
    <row r="418" spans="3:52">
      <c r="C418" s="2096"/>
      <c r="D418" s="2097"/>
      <c r="E418" s="2098"/>
      <c r="F418" s="2098"/>
      <c r="G418" s="2098"/>
      <c r="H418" s="2098"/>
      <c r="I418" s="2098"/>
      <c r="J418" s="2098"/>
      <c r="K418" s="2098"/>
      <c r="L418" s="2098"/>
      <c r="M418" s="2098"/>
      <c r="N418" s="2098"/>
      <c r="O418" s="2098"/>
      <c r="P418" s="2098"/>
      <c r="Q418" s="2098"/>
      <c r="R418" s="2098"/>
      <c r="S418" s="2098"/>
      <c r="T418" s="2098"/>
      <c r="U418" s="2098"/>
      <c r="V418" s="2098"/>
      <c r="W418" s="2098"/>
      <c r="X418" s="2098"/>
      <c r="Y418" s="2098"/>
      <c r="Z418" s="2098"/>
      <c r="AA418" s="2098"/>
      <c r="AB418" s="2098"/>
      <c r="AC418" s="2098"/>
      <c r="AD418" s="2098"/>
      <c r="AE418" s="2098"/>
      <c r="AF418" s="2098"/>
      <c r="AG418" s="2098"/>
      <c r="AH418" s="2098"/>
      <c r="AI418" s="2098"/>
      <c r="AJ418" s="2098"/>
      <c r="AK418" s="2098"/>
      <c r="AL418" s="2098"/>
      <c r="AM418" s="2098"/>
      <c r="AN418" s="2098"/>
      <c r="AO418" s="2098"/>
      <c r="AP418" s="2098"/>
      <c r="AQ418" s="2098"/>
      <c r="AR418" s="2098"/>
      <c r="AS418" s="2098"/>
      <c r="AT418" s="2098"/>
      <c r="AU418" s="2098"/>
      <c r="AV418" s="2098"/>
      <c r="AW418" s="2098"/>
      <c r="AX418" s="2098"/>
      <c r="AY418" s="2098"/>
      <c r="AZ418" s="2098"/>
    </row>
    <row r="419" spans="3:52">
      <c r="C419" s="2096"/>
      <c r="D419" s="2097"/>
      <c r="E419" s="2098"/>
      <c r="F419" s="2098"/>
      <c r="G419" s="2098"/>
      <c r="H419" s="2098"/>
      <c r="I419" s="2098"/>
      <c r="J419" s="2098"/>
      <c r="K419" s="2098"/>
      <c r="L419" s="2098"/>
      <c r="M419" s="2098"/>
      <c r="N419" s="2098"/>
      <c r="O419" s="2098"/>
      <c r="P419" s="2098"/>
      <c r="Q419" s="2098"/>
      <c r="R419" s="2098"/>
      <c r="S419" s="2098"/>
      <c r="T419" s="2098"/>
      <c r="U419" s="2098"/>
      <c r="V419" s="2098"/>
      <c r="W419" s="2098"/>
      <c r="X419" s="2098"/>
      <c r="Y419" s="2098"/>
      <c r="Z419" s="2098"/>
      <c r="AA419" s="2098"/>
      <c r="AB419" s="2098"/>
      <c r="AC419" s="2098"/>
      <c r="AD419" s="2098"/>
      <c r="AE419" s="2098"/>
      <c r="AF419" s="2098"/>
      <c r="AG419" s="2098"/>
      <c r="AH419" s="2098"/>
      <c r="AI419" s="2098"/>
      <c r="AJ419" s="2098"/>
      <c r="AK419" s="2098"/>
      <c r="AL419" s="2098"/>
      <c r="AM419" s="2098"/>
      <c r="AN419" s="2098"/>
      <c r="AO419" s="2098"/>
      <c r="AP419" s="2098"/>
      <c r="AQ419" s="2098"/>
      <c r="AR419" s="2098"/>
      <c r="AS419" s="2098"/>
      <c r="AT419" s="2098"/>
      <c r="AU419" s="2098"/>
      <c r="AV419" s="2098"/>
      <c r="AW419" s="2098"/>
      <c r="AX419" s="2098"/>
      <c r="AY419" s="2098"/>
      <c r="AZ419" s="2098"/>
    </row>
    <row r="420" spans="3:52">
      <c r="C420" s="2096"/>
      <c r="D420" s="2097"/>
      <c r="E420" s="2098"/>
      <c r="F420" s="2098"/>
      <c r="G420" s="2098"/>
      <c r="H420" s="2098"/>
      <c r="I420" s="2098"/>
      <c r="J420" s="2098"/>
      <c r="K420" s="2098"/>
      <c r="L420" s="2098"/>
      <c r="M420" s="2098"/>
      <c r="N420" s="2098"/>
      <c r="O420" s="2098"/>
      <c r="P420" s="2098"/>
      <c r="Q420" s="2098"/>
      <c r="R420" s="2098"/>
      <c r="S420" s="2098"/>
      <c r="T420" s="2098"/>
      <c r="U420" s="2098"/>
      <c r="V420" s="2098"/>
      <c r="W420" s="2098"/>
      <c r="X420" s="2098"/>
      <c r="Y420" s="2098"/>
      <c r="Z420" s="2098"/>
      <c r="AA420" s="2098"/>
      <c r="AB420" s="2098"/>
      <c r="AC420" s="2098"/>
      <c r="AD420" s="2098"/>
      <c r="AE420" s="2098"/>
      <c r="AF420" s="2098"/>
      <c r="AG420" s="2098"/>
      <c r="AH420" s="2098"/>
      <c r="AI420" s="2098"/>
      <c r="AJ420" s="2098"/>
      <c r="AK420" s="2098"/>
      <c r="AL420" s="2098"/>
      <c r="AM420" s="2098"/>
      <c r="AN420" s="2098"/>
      <c r="AO420" s="2098"/>
      <c r="AP420" s="2098"/>
      <c r="AQ420" s="2098"/>
      <c r="AR420" s="2098"/>
      <c r="AS420" s="2098"/>
      <c r="AT420" s="2098"/>
      <c r="AU420" s="2098"/>
      <c r="AV420" s="2098"/>
      <c r="AW420" s="2098"/>
      <c r="AX420" s="2098"/>
      <c r="AY420" s="2098"/>
      <c r="AZ420" s="2098"/>
    </row>
    <row r="421" spans="3:52">
      <c r="C421" s="2096"/>
      <c r="D421" s="2097"/>
      <c r="E421" s="2098"/>
      <c r="F421" s="2098"/>
      <c r="G421" s="2098"/>
      <c r="H421" s="2098"/>
      <c r="I421" s="2098"/>
      <c r="J421" s="2098"/>
      <c r="K421" s="2098"/>
      <c r="L421" s="2098"/>
      <c r="M421" s="2098"/>
      <c r="N421" s="2098"/>
      <c r="O421" s="2098"/>
      <c r="P421" s="2098"/>
      <c r="Q421" s="2098"/>
      <c r="R421" s="2098"/>
      <c r="S421" s="2098"/>
      <c r="T421" s="2098"/>
      <c r="U421" s="2098"/>
      <c r="V421" s="2098"/>
      <c r="W421" s="2098"/>
      <c r="X421" s="2098"/>
      <c r="Y421" s="2098"/>
      <c r="Z421" s="2098"/>
      <c r="AA421" s="2098"/>
      <c r="AB421" s="2098"/>
      <c r="AC421" s="2098"/>
      <c r="AD421" s="2098"/>
      <c r="AE421" s="2098"/>
      <c r="AF421" s="2098"/>
      <c r="AG421" s="2098"/>
      <c r="AH421" s="2098"/>
      <c r="AI421" s="2098"/>
      <c r="AJ421" s="2098"/>
      <c r="AK421" s="2098"/>
      <c r="AL421" s="2098"/>
      <c r="AM421" s="2098"/>
      <c r="AN421" s="2098"/>
      <c r="AO421" s="2098"/>
      <c r="AP421" s="2098"/>
      <c r="AQ421" s="2098"/>
      <c r="AR421" s="2098"/>
      <c r="AS421" s="2098"/>
      <c r="AT421" s="2098"/>
      <c r="AU421" s="2098"/>
      <c r="AV421" s="2098"/>
      <c r="AW421" s="2098"/>
      <c r="AX421" s="2098"/>
      <c r="AY421" s="2098"/>
      <c r="AZ421" s="2098"/>
    </row>
    <row r="422" spans="3:52">
      <c r="C422" s="2096"/>
      <c r="D422" s="2097"/>
      <c r="E422" s="2098"/>
      <c r="F422" s="2098"/>
      <c r="G422" s="2098"/>
      <c r="H422" s="2098"/>
      <c r="I422" s="2098"/>
      <c r="J422" s="2098"/>
      <c r="K422" s="2098"/>
      <c r="L422" s="2098"/>
      <c r="M422" s="2098"/>
      <c r="N422" s="2098"/>
      <c r="O422" s="2098"/>
      <c r="P422" s="2098"/>
      <c r="Q422" s="2098"/>
      <c r="R422" s="2098"/>
      <c r="S422" s="2098"/>
      <c r="T422" s="2098"/>
      <c r="U422" s="2098"/>
      <c r="V422" s="2098"/>
      <c r="W422" s="2098"/>
      <c r="X422" s="2098"/>
      <c r="Y422" s="2098"/>
      <c r="Z422" s="2098"/>
      <c r="AA422" s="2098"/>
      <c r="AB422" s="2098"/>
      <c r="AC422" s="2098"/>
      <c r="AD422" s="2098"/>
      <c r="AE422" s="2098"/>
      <c r="AF422" s="2098"/>
      <c r="AG422" s="2098"/>
      <c r="AH422" s="2098"/>
      <c r="AI422" s="2098"/>
      <c r="AJ422" s="2098"/>
      <c r="AK422" s="2098"/>
      <c r="AL422" s="2098"/>
      <c r="AM422" s="2098"/>
      <c r="AN422" s="2098"/>
      <c r="AO422" s="2098"/>
      <c r="AP422" s="2098"/>
      <c r="AQ422" s="2098"/>
      <c r="AR422" s="2098"/>
      <c r="AS422" s="2098"/>
      <c r="AT422" s="2098"/>
      <c r="AU422" s="2098"/>
      <c r="AV422" s="2098"/>
      <c r="AW422" s="2098"/>
      <c r="AX422" s="2098"/>
      <c r="AY422" s="2098"/>
      <c r="AZ422" s="2098"/>
    </row>
    <row r="423" spans="3:52">
      <c r="C423" s="2096"/>
      <c r="D423" s="2097"/>
      <c r="E423" s="2098"/>
      <c r="F423" s="2098"/>
      <c r="G423" s="2098"/>
      <c r="H423" s="2098"/>
      <c r="I423" s="2098"/>
      <c r="J423" s="2098"/>
      <c r="K423" s="2098"/>
      <c r="L423" s="2098"/>
      <c r="M423" s="2098"/>
      <c r="N423" s="2098"/>
      <c r="O423" s="2098"/>
      <c r="P423" s="2098"/>
      <c r="Q423" s="2098"/>
      <c r="R423" s="2098"/>
      <c r="S423" s="2098"/>
      <c r="T423" s="2098"/>
      <c r="U423" s="2098"/>
      <c r="V423" s="2098"/>
      <c r="W423" s="2098"/>
      <c r="X423" s="2098"/>
      <c r="Y423" s="2098"/>
      <c r="Z423" s="2098"/>
      <c r="AA423" s="2098"/>
      <c r="AB423" s="2098"/>
      <c r="AC423" s="2098"/>
      <c r="AD423" s="2098"/>
      <c r="AE423" s="2098"/>
      <c r="AF423" s="2098"/>
      <c r="AG423" s="2098"/>
      <c r="AH423" s="2098"/>
      <c r="AI423" s="2098"/>
      <c r="AJ423" s="2098"/>
      <c r="AK423" s="2098"/>
      <c r="AL423" s="2098"/>
      <c r="AM423" s="2098"/>
      <c r="AN423" s="2098"/>
      <c r="AO423" s="2098"/>
      <c r="AP423" s="2098"/>
      <c r="AQ423" s="2098"/>
      <c r="AR423" s="2098"/>
      <c r="AS423" s="2098"/>
      <c r="AT423" s="2098"/>
      <c r="AU423" s="2098"/>
      <c r="AV423" s="2098"/>
      <c r="AW423" s="2098"/>
      <c r="AX423" s="2098"/>
      <c r="AY423" s="2098"/>
      <c r="AZ423" s="2098"/>
    </row>
    <row r="424" spans="3:52">
      <c r="C424" s="2096"/>
      <c r="D424" s="2097"/>
      <c r="E424" s="2098"/>
      <c r="F424" s="2098"/>
      <c r="G424" s="2098"/>
      <c r="H424" s="2098"/>
      <c r="I424" s="2098"/>
      <c r="J424" s="2098"/>
      <c r="K424" s="2098"/>
      <c r="L424" s="2098"/>
      <c r="M424" s="2098"/>
      <c r="N424" s="2098"/>
      <c r="O424" s="2098"/>
      <c r="P424" s="2098"/>
      <c r="Q424" s="2098"/>
      <c r="R424" s="2098"/>
      <c r="S424" s="2098"/>
      <c r="T424" s="2098"/>
      <c r="U424" s="2098"/>
      <c r="V424" s="2098"/>
      <c r="W424" s="2098"/>
      <c r="X424" s="2098"/>
      <c r="Y424" s="2098"/>
      <c r="Z424" s="2098"/>
      <c r="AA424" s="2098"/>
      <c r="AB424" s="2098"/>
      <c r="AC424" s="2098"/>
      <c r="AD424" s="2098"/>
      <c r="AE424" s="2098"/>
      <c r="AF424" s="2098"/>
      <c r="AG424" s="2098"/>
      <c r="AH424" s="2098"/>
      <c r="AI424" s="2098"/>
      <c r="AJ424" s="2098"/>
      <c r="AK424" s="2098"/>
      <c r="AL424" s="2098"/>
      <c r="AM424" s="2098"/>
      <c r="AN424" s="2098"/>
      <c r="AO424" s="2098"/>
      <c r="AP424" s="2098"/>
      <c r="AQ424" s="2098"/>
      <c r="AR424" s="2098"/>
      <c r="AS424" s="2098"/>
      <c r="AT424" s="2098"/>
      <c r="AU424" s="2098"/>
      <c r="AV424" s="2098"/>
      <c r="AW424" s="2098"/>
      <c r="AX424" s="2098"/>
      <c r="AY424" s="2098"/>
      <c r="AZ424" s="2098"/>
    </row>
    <row r="425" spans="3:52">
      <c r="C425" s="2096"/>
      <c r="D425" s="2097"/>
      <c r="E425" s="2098"/>
      <c r="F425" s="2098"/>
      <c r="G425" s="2098"/>
      <c r="H425" s="2098"/>
      <c r="I425" s="2098"/>
      <c r="J425" s="2098"/>
      <c r="K425" s="2098"/>
      <c r="L425" s="2098"/>
      <c r="M425" s="2098"/>
      <c r="N425" s="2098"/>
      <c r="O425" s="2098"/>
      <c r="P425" s="2098"/>
      <c r="Q425" s="2098"/>
      <c r="R425" s="2098"/>
      <c r="S425" s="2098"/>
      <c r="T425" s="2098"/>
      <c r="U425" s="2098"/>
      <c r="V425" s="2098"/>
      <c r="W425" s="2098"/>
      <c r="X425" s="2098"/>
      <c r="Y425" s="2098"/>
      <c r="Z425" s="2098"/>
      <c r="AA425" s="2098"/>
      <c r="AB425" s="2098"/>
      <c r="AC425" s="2098"/>
      <c r="AD425" s="2098"/>
      <c r="AE425" s="2098"/>
      <c r="AF425" s="2098"/>
      <c r="AG425" s="2098"/>
      <c r="AH425" s="2098"/>
      <c r="AI425" s="2098"/>
      <c r="AJ425" s="2098"/>
      <c r="AK425" s="2098"/>
      <c r="AL425" s="2098"/>
      <c r="AM425" s="2098"/>
      <c r="AN425" s="2098"/>
      <c r="AO425" s="2098"/>
      <c r="AP425" s="2098"/>
      <c r="AQ425" s="2098"/>
      <c r="AR425" s="2098"/>
      <c r="AS425" s="2098"/>
      <c r="AT425" s="2098"/>
      <c r="AU425" s="2098"/>
      <c r="AV425" s="2098"/>
      <c r="AW425" s="2098"/>
      <c r="AX425" s="2098"/>
      <c r="AY425" s="2098"/>
      <c r="AZ425" s="2098"/>
    </row>
    <row r="426" spans="3:52">
      <c r="C426" s="2096"/>
      <c r="D426" s="2097"/>
      <c r="E426" s="2098"/>
      <c r="F426" s="2098"/>
      <c r="G426" s="2098"/>
      <c r="H426" s="2098"/>
      <c r="I426" s="2098"/>
      <c r="J426" s="2098"/>
      <c r="K426" s="2098"/>
      <c r="L426" s="2098"/>
      <c r="M426" s="2098"/>
      <c r="N426" s="2098"/>
      <c r="O426" s="2098"/>
      <c r="P426" s="2098"/>
      <c r="Q426" s="2098"/>
      <c r="R426" s="2098"/>
      <c r="S426" s="2098"/>
      <c r="T426" s="2098"/>
      <c r="U426" s="2098"/>
      <c r="V426" s="2098"/>
      <c r="W426" s="2098"/>
      <c r="X426" s="2098"/>
      <c r="Y426" s="2098"/>
      <c r="Z426" s="2098"/>
      <c r="AA426" s="2098"/>
      <c r="AB426" s="2098"/>
      <c r="AC426" s="2098"/>
      <c r="AD426" s="2098"/>
      <c r="AE426" s="2098"/>
      <c r="AF426" s="2098"/>
      <c r="AG426" s="2098"/>
      <c r="AH426" s="2098"/>
      <c r="AI426" s="2098"/>
      <c r="AJ426" s="2098"/>
      <c r="AK426" s="2098"/>
      <c r="AL426" s="2098"/>
      <c r="AM426" s="2098"/>
      <c r="AN426" s="2098"/>
      <c r="AO426" s="2098"/>
      <c r="AP426" s="2098"/>
      <c r="AQ426" s="2098"/>
      <c r="AR426" s="2098"/>
      <c r="AS426" s="2098"/>
      <c r="AT426" s="2098"/>
      <c r="AU426" s="2098"/>
      <c r="AV426" s="2098"/>
      <c r="AW426" s="2098"/>
      <c r="AX426" s="2098"/>
      <c r="AY426" s="2098"/>
      <c r="AZ426" s="2098"/>
    </row>
    <row r="427" spans="3:52">
      <c r="C427" s="2096"/>
      <c r="D427" s="2097"/>
      <c r="E427" s="2098"/>
      <c r="F427" s="2098"/>
      <c r="G427" s="2098"/>
      <c r="H427" s="2098"/>
      <c r="I427" s="2098"/>
      <c r="J427" s="2098"/>
      <c r="K427" s="2098"/>
      <c r="L427" s="2098"/>
      <c r="M427" s="2098"/>
      <c r="N427" s="2098"/>
      <c r="O427" s="2098"/>
      <c r="P427" s="2098"/>
      <c r="Q427" s="2098"/>
      <c r="R427" s="2098"/>
      <c r="S427" s="2098"/>
      <c r="T427" s="2098"/>
      <c r="U427" s="2098"/>
      <c r="V427" s="2098"/>
      <c r="W427" s="2098"/>
      <c r="X427" s="2098"/>
      <c r="Y427" s="2098"/>
      <c r="Z427" s="2098"/>
      <c r="AA427" s="2098"/>
      <c r="AB427" s="2098"/>
      <c r="AC427" s="2098"/>
      <c r="AD427" s="2098"/>
      <c r="AE427" s="2098"/>
      <c r="AF427" s="2098"/>
      <c r="AG427" s="2098"/>
      <c r="AH427" s="2098"/>
      <c r="AI427" s="2098"/>
      <c r="AJ427" s="2098"/>
      <c r="AK427" s="2098"/>
      <c r="AL427" s="2098"/>
      <c r="AM427" s="2098"/>
      <c r="AN427" s="2098"/>
      <c r="AO427" s="2098"/>
      <c r="AP427" s="2098"/>
      <c r="AQ427" s="2098"/>
      <c r="AR427" s="2098"/>
      <c r="AS427" s="2098"/>
      <c r="AT427" s="2098"/>
      <c r="AU427" s="2098"/>
      <c r="AV427" s="2098"/>
      <c r="AW427" s="2098"/>
      <c r="AX427" s="2098"/>
      <c r="AY427" s="2098"/>
      <c r="AZ427" s="2098"/>
    </row>
    <row r="428" spans="3:52">
      <c r="C428" s="2096"/>
      <c r="D428" s="2097"/>
      <c r="E428" s="2098"/>
      <c r="F428" s="2098"/>
      <c r="G428" s="2098"/>
      <c r="H428" s="2098"/>
      <c r="I428" s="2098"/>
      <c r="J428" s="2098"/>
      <c r="K428" s="2098"/>
      <c r="L428" s="2098"/>
      <c r="M428" s="2098"/>
      <c r="N428" s="2098"/>
      <c r="O428" s="2098"/>
      <c r="P428" s="2098"/>
      <c r="Q428" s="2098"/>
      <c r="R428" s="2098"/>
      <c r="S428" s="2098"/>
      <c r="T428" s="2098"/>
      <c r="U428" s="2098"/>
      <c r="V428" s="2098"/>
      <c r="W428" s="2098"/>
      <c r="X428" s="2098"/>
      <c r="Y428" s="2098"/>
      <c r="Z428" s="2098"/>
      <c r="AA428" s="2098"/>
      <c r="AB428" s="2098"/>
      <c r="AC428" s="2098"/>
      <c r="AD428" s="2098"/>
      <c r="AE428" s="2098"/>
      <c r="AF428" s="2098"/>
      <c r="AG428" s="2098"/>
      <c r="AH428" s="2098"/>
      <c r="AI428" s="2098"/>
      <c r="AJ428" s="2098"/>
      <c r="AK428" s="2098"/>
      <c r="AL428" s="2098"/>
      <c r="AM428" s="2098"/>
      <c r="AN428" s="2098"/>
      <c r="AO428" s="2098"/>
      <c r="AP428" s="2098"/>
      <c r="AQ428" s="2098"/>
      <c r="AR428" s="2098"/>
      <c r="AS428" s="2098"/>
      <c r="AT428" s="2098"/>
      <c r="AU428" s="2098"/>
      <c r="AV428" s="2098"/>
      <c r="AW428" s="2098"/>
      <c r="AX428" s="2098"/>
      <c r="AY428" s="2098"/>
      <c r="AZ428" s="2098"/>
    </row>
    <row r="429" spans="3:52">
      <c r="C429" s="2096"/>
      <c r="D429" s="2097"/>
      <c r="E429" s="2098"/>
      <c r="F429" s="2098"/>
      <c r="G429" s="2098"/>
      <c r="H429" s="2098"/>
      <c r="I429" s="2098"/>
      <c r="J429" s="2098"/>
      <c r="K429" s="2098"/>
      <c r="L429" s="2098"/>
      <c r="M429" s="2098"/>
      <c r="N429" s="2098"/>
      <c r="O429" s="2098"/>
      <c r="P429" s="2098"/>
      <c r="Q429" s="2098"/>
      <c r="R429" s="2098"/>
      <c r="S429" s="2098"/>
      <c r="T429" s="2098"/>
      <c r="U429" s="2098"/>
      <c r="V429" s="2098"/>
      <c r="W429" s="2098"/>
      <c r="X429" s="2098"/>
      <c r="Y429" s="2098"/>
      <c r="Z429" s="2098"/>
      <c r="AA429" s="2098"/>
      <c r="AB429" s="2098"/>
      <c r="AC429" s="2098"/>
      <c r="AD429" s="2098"/>
      <c r="AE429" s="2098"/>
      <c r="AF429" s="2098"/>
      <c r="AG429" s="2098"/>
      <c r="AH429" s="2098"/>
      <c r="AI429" s="2098"/>
      <c r="AJ429" s="2098"/>
      <c r="AK429" s="2098"/>
      <c r="AL429" s="2098"/>
      <c r="AM429" s="2098"/>
      <c r="AN429" s="2098"/>
      <c r="AO429" s="2098"/>
      <c r="AP429" s="2098"/>
      <c r="AQ429" s="2098"/>
      <c r="AR429" s="2098"/>
      <c r="AS429" s="2098"/>
      <c r="AT429" s="2098"/>
      <c r="AU429" s="2098"/>
      <c r="AV429" s="2098"/>
      <c r="AW429" s="2098"/>
      <c r="AX429" s="2098"/>
      <c r="AY429" s="2098"/>
      <c r="AZ429" s="2098"/>
    </row>
    <row r="430" spans="3:52">
      <c r="C430" s="2096"/>
      <c r="D430" s="2097"/>
      <c r="E430" s="2098"/>
      <c r="F430" s="2098"/>
      <c r="G430" s="2098"/>
      <c r="H430" s="2098"/>
      <c r="I430" s="2098"/>
      <c r="J430" s="2098"/>
      <c r="K430" s="2098"/>
      <c r="L430" s="2098"/>
      <c r="M430" s="2098"/>
      <c r="N430" s="2098"/>
      <c r="O430" s="2098"/>
      <c r="P430" s="2098"/>
      <c r="Q430" s="2098"/>
      <c r="R430" s="2098"/>
      <c r="S430" s="2098"/>
      <c r="T430" s="2098"/>
      <c r="U430" s="2098"/>
      <c r="V430" s="2098"/>
      <c r="W430" s="2098"/>
      <c r="X430" s="2098"/>
      <c r="Y430" s="2098"/>
      <c r="Z430" s="2098"/>
      <c r="AA430" s="2098"/>
      <c r="AB430" s="2098"/>
      <c r="AC430" s="2098"/>
      <c r="AD430" s="2098"/>
      <c r="AE430" s="2098"/>
      <c r="AF430" s="2098"/>
      <c r="AG430" s="2098"/>
      <c r="AH430" s="2098"/>
      <c r="AI430" s="2098"/>
      <c r="AJ430" s="2098"/>
      <c r="AK430" s="2098"/>
      <c r="AL430" s="2098"/>
      <c r="AM430" s="2098"/>
      <c r="AN430" s="2098"/>
      <c r="AO430" s="2098"/>
      <c r="AP430" s="2098"/>
      <c r="AQ430" s="2098"/>
      <c r="AR430" s="2098"/>
      <c r="AS430" s="2098"/>
      <c r="AT430" s="2098"/>
      <c r="AU430" s="2098"/>
      <c r="AV430" s="2098"/>
      <c r="AW430" s="2098"/>
      <c r="AX430" s="2098"/>
      <c r="AY430" s="2098"/>
      <c r="AZ430" s="2098"/>
    </row>
    <row r="431" spans="3:52">
      <c r="C431" s="2096"/>
      <c r="D431" s="2097"/>
      <c r="E431" s="2098"/>
      <c r="F431" s="2098"/>
      <c r="G431" s="2098"/>
      <c r="H431" s="2098"/>
      <c r="I431" s="2098"/>
      <c r="J431" s="2098"/>
      <c r="K431" s="2098"/>
      <c r="L431" s="2098"/>
      <c r="M431" s="2098"/>
      <c r="N431" s="2098"/>
      <c r="O431" s="2098"/>
      <c r="P431" s="2098"/>
      <c r="Q431" s="2098"/>
      <c r="R431" s="2098"/>
      <c r="S431" s="2098"/>
      <c r="T431" s="2098"/>
      <c r="U431" s="2098"/>
      <c r="V431" s="2098"/>
      <c r="W431" s="2098"/>
      <c r="X431" s="2098"/>
      <c r="Y431" s="2098"/>
      <c r="Z431" s="2098"/>
      <c r="AA431" s="2098"/>
      <c r="AB431" s="2098"/>
      <c r="AC431" s="2098"/>
      <c r="AD431" s="2098"/>
      <c r="AE431" s="2098"/>
      <c r="AF431" s="2098"/>
      <c r="AG431" s="2098"/>
      <c r="AH431" s="2098"/>
      <c r="AI431" s="2098"/>
      <c r="AJ431" s="2098"/>
      <c r="AK431" s="2098"/>
      <c r="AL431" s="2098"/>
      <c r="AM431" s="2098"/>
      <c r="AN431" s="2098"/>
      <c r="AO431" s="2098"/>
      <c r="AP431" s="2098"/>
      <c r="AQ431" s="2098"/>
      <c r="AR431" s="2098"/>
      <c r="AS431" s="2098"/>
      <c r="AT431" s="2098"/>
      <c r="AU431" s="2098"/>
      <c r="AV431" s="2098"/>
      <c r="AW431" s="2098"/>
      <c r="AX431" s="2098"/>
      <c r="AY431" s="2098"/>
      <c r="AZ431" s="2098"/>
    </row>
    <row r="432" spans="3:52">
      <c r="C432" s="2096"/>
      <c r="D432" s="2097"/>
      <c r="E432" s="2098"/>
      <c r="F432" s="2098"/>
      <c r="G432" s="2098"/>
      <c r="H432" s="2098"/>
      <c r="I432" s="2098"/>
      <c r="J432" s="2098"/>
      <c r="K432" s="2098"/>
      <c r="L432" s="2098"/>
      <c r="M432" s="2098"/>
      <c r="N432" s="2098"/>
      <c r="O432" s="2098"/>
      <c r="P432" s="2098"/>
      <c r="Q432" s="2098"/>
      <c r="R432" s="2098"/>
      <c r="S432" s="2098"/>
      <c r="T432" s="2098"/>
      <c r="U432" s="2098"/>
      <c r="V432" s="2098"/>
      <c r="W432" s="2098"/>
      <c r="X432" s="2098"/>
      <c r="Y432" s="2098"/>
      <c r="Z432" s="2098"/>
      <c r="AA432" s="2098"/>
      <c r="AB432" s="2098"/>
      <c r="AC432" s="2098"/>
      <c r="AD432" s="2098"/>
      <c r="AE432" s="2098"/>
      <c r="AF432" s="2098"/>
      <c r="AG432" s="2098"/>
      <c r="AH432" s="2098"/>
      <c r="AI432" s="2098"/>
      <c r="AJ432" s="2098"/>
      <c r="AK432" s="2098"/>
      <c r="AL432" s="2098"/>
      <c r="AM432" s="2098"/>
      <c r="AN432" s="2098"/>
      <c r="AO432" s="2098"/>
      <c r="AP432" s="2098"/>
      <c r="AQ432" s="2098"/>
      <c r="AR432" s="2098"/>
      <c r="AS432" s="2098"/>
      <c r="AT432" s="2098"/>
      <c r="AU432" s="2098"/>
      <c r="AV432" s="2098"/>
      <c r="AW432" s="2098"/>
      <c r="AX432" s="2098"/>
      <c r="AY432" s="2098"/>
      <c r="AZ432" s="2098"/>
    </row>
    <row r="433" spans="3:52">
      <c r="C433" s="2096"/>
      <c r="D433" s="2097"/>
      <c r="E433" s="2098"/>
      <c r="F433" s="2098"/>
      <c r="G433" s="2098"/>
      <c r="H433" s="2098"/>
      <c r="I433" s="2098"/>
      <c r="J433" s="2098"/>
      <c r="K433" s="2098"/>
      <c r="L433" s="2098"/>
      <c r="M433" s="2098"/>
      <c r="N433" s="2098"/>
      <c r="O433" s="2098"/>
      <c r="P433" s="2098"/>
      <c r="Q433" s="2098"/>
      <c r="R433" s="2098"/>
      <c r="S433" s="2098"/>
      <c r="T433" s="2098"/>
      <c r="U433" s="2098"/>
      <c r="V433" s="2098"/>
      <c r="W433" s="2098"/>
      <c r="X433" s="2098"/>
      <c r="Y433" s="2098"/>
      <c r="Z433" s="2098"/>
      <c r="AA433" s="2098"/>
      <c r="AB433" s="2098"/>
      <c r="AC433" s="2098"/>
      <c r="AD433" s="2098"/>
      <c r="AE433" s="2098"/>
      <c r="AF433" s="2098"/>
      <c r="AG433" s="2098"/>
      <c r="AH433" s="2098"/>
      <c r="AI433" s="2098"/>
      <c r="AJ433" s="2098"/>
      <c r="AK433" s="2098"/>
      <c r="AL433" s="2098"/>
      <c r="AM433" s="2098"/>
      <c r="AN433" s="2098"/>
      <c r="AO433" s="2098"/>
      <c r="AP433" s="2098"/>
      <c r="AQ433" s="2098"/>
      <c r="AR433" s="2098"/>
      <c r="AS433" s="2098"/>
      <c r="AT433" s="2098"/>
      <c r="AU433" s="2098"/>
      <c r="AV433" s="2098"/>
      <c r="AW433" s="2098"/>
      <c r="AX433" s="2098"/>
      <c r="AY433" s="2098"/>
      <c r="AZ433" s="2098"/>
    </row>
    <row r="434" spans="3:52">
      <c r="C434" s="2096"/>
      <c r="D434" s="2097"/>
      <c r="E434" s="2098"/>
      <c r="F434" s="2098"/>
      <c r="G434" s="2098"/>
      <c r="H434" s="2098"/>
      <c r="I434" s="2098"/>
      <c r="J434" s="2098"/>
      <c r="K434" s="2098"/>
      <c r="L434" s="2098"/>
      <c r="M434" s="2098"/>
      <c r="N434" s="2098"/>
      <c r="O434" s="2098"/>
      <c r="P434" s="2098"/>
      <c r="Q434" s="2098"/>
      <c r="R434" s="2098"/>
      <c r="S434" s="2098"/>
      <c r="T434" s="2098"/>
      <c r="U434" s="2098"/>
      <c r="V434" s="2098"/>
      <c r="W434" s="2098"/>
      <c r="X434" s="2098"/>
      <c r="Y434" s="2098"/>
      <c r="Z434" s="2098"/>
      <c r="AA434" s="2098"/>
      <c r="AB434" s="2098"/>
      <c r="AC434" s="2098"/>
      <c r="AD434" s="2098"/>
      <c r="AE434" s="2098"/>
      <c r="AF434" s="2098"/>
      <c r="AG434" s="2098"/>
      <c r="AH434" s="2098"/>
      <c r="AI434" s="2098"/>
      <c r="AJ434" s="2098"/>
      <c r="AK434" s="2098"/>
      <c r="AL434" s="2098"/>
      <c r="AM434" s="2098"/>
      <c r="AN434" s="2098"/>
      <c r="AO434" s="2098"/>
      <c r="AP434" s="2098"/>
      <c r="AQ434" s="2098"/>
      <c r="AR434" s="2098"/>
      <c r="AS434" s="2098"/>
      <c r="AT434" s="2098"/>
      <c r="AU434" s="2098"/>
      <c r="AV434" s="2098"/>
      <c r="AW434" s="2098"/>
      <c r="AX434" s="2098"/>
      <c r="AY434" s="2098"/>
      <c r="AZ434" s="2098"/>
    </row>
    <row r="435" spans="3:52">
      <c r="C435" s="2096"/>
      <c r="D435" s="2097"/>
      <c r="E435" s="2098"/>
      <c r="F435" s="2098"/>
      <c r="G435" s="2098"/>
      <c r="H435" s="2098"/>
      <c r="I435" s="2098"/>
      <c r="J435" s="2098"/>
      <c r="K435" s="2098"/>
      <c r="L435" s="2098"/>
      <c r="M435" s="2098"/>
      <c r="N435" s="2098"/>
      <c r="O435" s="2098"/>
      <c r="P435" s="2098"/>
      <c r="Q435" s="2098"/>
      <c r="R435" s="2098"/>
      <c r="S435" s="2098"/>
      <c r="T435" s="2098"/>
      <c r="U435" s="2098"/>
      <c r="V435" s="2098"/>
      <c r="W435" s="2098"/>
      <c r="X435" s="2098"/>
      <c r="Y435" s="2098"/>
      <c r="Z435" s="2098"/>
      <c r="AA435" s="2098"/>
      <c r="AB435" s="2098"/>
      <c r="AC435" s="2098"/>
      <c r="AD435" s="2098"/>
      <c r="AE435" s="2098"/>
      <c r="AF435" s="2098"/>
      <c r="AG435" s="2098"/>
      <c r="AH435" s="2098"/>
      <c r="AI435" s="2098"/>
      <c r="AJ435" s="2098"/>
      <c r="AK435" s="2098"/>
      <c r="AL435" s="2098"/>
      <c r="AM435" s="2098"/>
      <c r="AN435" s="2098"/>
      <c r="AO435" s="2098"/>
      <c r="AP435" s="2098"/>
      <c r="AQ435" s="2098"/>
      <c r="AR435" s="2098"/>
      <c r="AS435" s="2098"/>
      <c r="AT435" s="2098"/>
      <c r="AU435" s="2098"/>
      <c r="AV435" s="2098"/>
      <c r="AW435" s="2098"/>
      <c r="AX435" s="2098"/>
      <c r="AY435" s="2098"/>
      <c r="AZ435" s="2098"/>
    </row>
    <row r="436" spans="3:52">
      <c r="C436" s="2096"/>
      <c r="D436" s="2097"/>
      <c r="E436" s="2098"/>
      <c r="F436" s="2098"/>
      <c r="G436" s="2098"/>
      <c r="H436" s="2098"/>
      <c r="I436" s="2098"/>
      <c r="J436" s="2098"/>
      <c r="K436" s="2098"/>
      <c r="L436" s="2098"/>
      <c r="M436" s="2098"/>
      <c r="N436" s="2098"/>
      <c r="O436" s="2098"/>
      <c r="P436" s="2098"/>
      <c r="Q436" s="2098"/>
      <c r="R436" s="2098"/>
      <c r="S436" s="2098"/>
      <c r="T436" s="2098"/>
      <c r="U436" s="2098"/>
      <c r="V436" s="2098"/>
      <c r="W436" s="2098"/>
      <c r="X436" s="2098"/>
      <c r="Y436" s="2098"/>
      <c r="Z436" s="2098"/>
      <c r="AA436" s="2098"/>
      <c r="AB436" s="2098"/>
      <c r="AC436" s="2098"/>
      <c r="AD436" s="2098"/>
      <c r="AE436" s="2098"/>
      <c r="AF436" s="2098"/>
      <c r="AG436" s="2098"/>
      <c r="AH436" s="2098"/>
      <c r="AI436" s="2098"/>
      <c r="AJ436" s="2098"/>
      <c r="AK436" s="2098"/>
      <c r="AL436" s="2098"/>
      <c r="AM436" s="2098"/>
      <c r="AN436" s="2098"/>
      <c r="AO436" s="2098"/>
      <c r="AP436" s="2098"/>
      <c r="AQ436" s="2098"/>
      <c r="AR436" s="2098"/>
      <c r="AS436" s="2098"/>
      <c r="AT436" s="2098"/>
      <c r="AU436" s="2098"/>
      <c r="AV436" s="2098"/>
      <c r="AW436" s="2098"/>
      <c r="AX436" s="2098"/>
      <c r="AY436" s="2098"/>
      <c r="AZ436" s="2098"/>
    </row>
    <row r="437" spans="3:52">
      <c r="C437" s="2096"/>
      <c r="D437" s="2097"/>
      <c r="E437" s="2098"/>
      <c r="F437" s="2098"/>
      <c r="G437" s="2098"/>
      <c r="H437" s="2098"/>
      <c r="I437" s="2098"/>
      <c r="J437" s="2098"/>
      <c r="K437" s="2098"/>
      <c r="L437" s="2098"/>
      <c r="M437" s="2098"/>
      <c r="N437" s="2098"/>
      <c r="O437" s="2098"/>
      <c r="P437" s="2098"/>
      <c r="Q437" s="2098"/>
      <c r="R437" s="2098"/>
      <c r="S437" s="2098"/>
      <c r="T437" s="2098"/>
      <c r="U437" s="2098"/>
      <c r="V437" s="2098"/>
      <c r="W437" s="2098"/>
      <c r="X437" s="2098"/>
      <c r="Y437" s="2098"/>
      <c r="Z437" s="2098"/>
      <c r="AA437" s="2098"/>
      <c r="AB437" s="2098"/>
      <c r="AC437" s="2098"/>
      <c r="AD437" s="2098"/>
      <c r="AE437" s="2098"/>
      <c r="AF437" s="2098"/>
      <c r="AG437" s="2098"/>
      <c r="AH437" s="2098"/>
      <c r="AI437" s="2098"/>
      <c r="AJ437" s="2098"/>
      <c r="AK437" s="2098"/>
      <c r="AL437" s="2098"/>
      <c r="AM437" s="2098"/>
      <c r="AN437" s="2098"/>
      <c r="AO437" s="2098"/>
      <c r="AP437" s="2098"/>
      <c r="AQ437" s="2098"/>
      <c r="AR437" s="2098"/>
      <c r="AS437" s="2098"/>
      <c r="AT437" s="2098"/>
      <c r="AU437" s="2098"/>
      <c r="AV437" s="2098"/>
      <c r="AW437" s="2098"/>
      <c r="AX437" s="2098"/>
      <c r="AY437" s="2098"/>
      <c r="AZ437" s="2098"/>
    </row>
    <row r="438" spans="3:52">
      <c r="C438" s="2096"/>
      <c r="D438" s="2097"/>
      <c r="E438" s="2098"/>
      <c r="F438" s="2098"/>
      <c r="G438" s="2098"/>
      <c r="H438" s="2098"/>
      <c r="I438" s="2098"/>
      <c r="J438" s="2098"/>
      <c r="K438" s="2098"/>
      <c r="L438" s="2098"/>
      <c r="M438" s="2098"/>
      <c r="N438" s="2098"/>
      <c r="O438" s="2098"/>
      <c r="P438" s="2098"/>
      <c r="Q438" s="2098"/>
      <c r="R438" s="2098"/>
      <c r="S438" s="2098"/>
      <c r="T438" s="2098"/>
      <c r="U438" s="2098"/>
      <c r="V438" s="2098"/>
      <c r="W438" s="2098"/>
      <c r="X438" s="2098"/>
      <c r="Y438" s="2098"/>
      <c r="Z438" s="2098"/>
      <c r="AA438" s="2098"/>
      <c r="AB438" s="2098"/>
      <c r="AC438" s="2098"/>
      <c r="AD438" s="2098"/>
      <c r="AE438" s="2098"/>
      <c r="AF438" s="2098"/>
      <c r="AG438" s="2098"/>
      <c r="AH438" s="2098"/>
      <c r="AI438" s="2098"/>
      <c r="AJ438" s="2098"/>
      <c r="AK438" s="2098"/>
      <c r="AL438" s="2098"/>
      <c r="AM438" s="2098"/>
      <c r="AN438" s="2098"/>
      <c r="AO438" s="2098"/>
      <c r="AP438" s="2098"/>
      <c r="AQ438" s="2098"/>
      <c r="AR438" s="2098"/>
      <c r="AS438" s="2098"/>
      <c r="AT438" s="2098"/>
      <c r="AU438" s="2098"/>
      <c r="AV438" s="2098"/>
      <c r="AW438" s="2098"/>
      <c r="AX438" s="2098"/>
      <c r="AY438" s="2098"/>
      <c r="AZ438" s="2098"/>
    </row>
    <row r="439" spans="3:52">
      <c r="C439" s="2096"/>
      <c r="D439" s="2097"/>
      <c r="E439" s="2098"/>
      <c r="F439" s="2098"/>
      <c r="G439" s="2098"/>
      <c r="H439" s="2098"/>
      <c r="I439" s="2098"/>
      <c r="J439" s="2098"/>
      <c r="K439" s="2098"/>
      <c r="L439" s="2098"/>
      <c r="M439" s="2098"/>
      <c r="N439" s="2098"/>
      <c r="O439" s="2098"/>
      <c r="P439" s="2098"/>
      <c r="Q439" s="2098"/>
      <c r="R439" s="2098"/>
      <c r="S439" s="2098"/>
      <c r="T439" s="2098"/>
      <c r="U439" s="2098"/>
      <c r="V439" s="2098"/>
      <c r="W439" s="2098"/>
      <c r="X439" s="2098"/>
      <c r="Y439" s="2098"/>
      <c r="Z439" s="2098"/>
      <c r="AA439" s="2098"/>
      <c r="AB439" s="2098"/>
      <c r="AC439" s="2098"/>
      <c r="AD439" s="2098"/>
      <c r="AE439" s="2098"/>
      <c r="AF439" s="2098"/>
      <c r="AG439" s="2098"/>
      <c r="AH439" s="2098"/>
      <c r="AI439" s="2098"/>
      <c r="AJ439" s="2098"/>
      <c r="AK439" s="2098"/>
      <c r="AL439" s="2098"/>
      <c r="AM439" s="2098"/>
      <c r="AN439" s="2098"/>
      <c r="AO439" s="2098"/>
      <c r="AP439" s="2098"/>
      <c r="AQ439" s="2098"/>
      <c r="AR439" s="2098"/>
      <c r="AS439" s="2098"/>
      <c r="AT439" s="2098"/>
      <c r="AU439" s="2098"/>
      <c r="AV439" s="2098"/>
      <c r="AW439" s="2098"/>
      <c r="AX439" s="2098"/>
      <c r="AY439" s="2098"/>
      <c r="AZ439" s="2098"/>
    </row>
    <row r="440" spans="3:52">
      <c r="C440" s="2096"/>
      <c r="D440" s="2097"/>
      <c r="E440" s="2098"/>
      <c r="F440" s="2098"/>
      <c r="G440" s="2098"/>
      <c r="H440" s="2098"/>
      <c r="I440" s="2098"/>
      <c r="J440" s="2098"/>
      <c r="K440" s="2098"/>
      <c r="L440" s="2098"/>
      <c r="M440" s="2098"/>
      <c r="N440" s="2098"/>
      <c r="O440" s="2098"/>
      <c r="P440" s="2098"/>
      <c r="Q440" s="2098"/>
      <c r="R440" s="2098"/>
      <c r="S440" s="2098"/>
      <c r="T440" s="2098"/>
      <c r="U440" s="2098"/>
      <c r="V440" s="2098"/>
      <c r="W440" s="2098"/>
      <c r="X440" s="2098"/>
      <c r="Y440" s="2098"/>
      <c r="Z440" s="2098"/>
      <c r="AA440" s="2098"/>
      <c r="AB440" s="2098"/>
      <c r="AC440" s="2098"/>
      <c r="AD440" s="2098"/>
      <c r="AE440" s="2098"/>
      <c r="AF440" s="2098"/>
      <c r="AG440" s="2098"/>
      <c r="AH440" s="2098"/>
      <c r="AI440" s="2098"/>
      <c r="AJ440" s="2098"/>
      <c r="AK440" s="2098"/>
      <c r="AL440" s="2098"/>
      <c r="AM440" s="2098"/>
      <c r="AN440" s="2098"/>
      <c r="AO440" s="2098"/>
      <c r="AP440" s="2098"/>
      <c r="AQ440" s="2098"/>
      <c r="AR440" s="2098"/>
      <c r="AS440" s="2098"/>
      <c r="AT440" s="2098"/>
      <c r="AU440" s="2098"/>
      <c r="AV440" s="2098"/>
      <c r="AW440" s="2098"/>
      <c r="AX440" s="2098"/>
      <c r="AY440" s="2098"/>
      <c r="AZ440" s="2098"/>
    </row>
    <row r="441" spans="3:52">
      <c r="C441" s="2096"/>
      <c r="D441" s="2097"/>
      <c r="E441" s="2098"/>
      <c r="F441" s="2098"/>
      <c r="G441" s="2098"/>
      <c r="H441" s="2098"/>
      <c r="I441" s="2098"/>
      <c r="J441" s="2098"/>
      <c r="K441" s="2098"/>
      <c r="L441" s="2098"/>
      <c r="M441" s="2098"/>
      <c r="N441" s="2098"/>
      <c r="O441" s="2098"/>
      <c r="P441" s="2098"/>
      <c r="Q441" s="2098"/>
      <c r="R441" s="2098"/>
      <c r="S441" s="2098"/>
      <c r="T441" s="2098"/>
      <c r="U441" s="2098"/>
      <c r="V441" s="2098"/>
      <c r="W441" s="2098"/>
      <c r="X441" s="2098"/>
      <c r="Y441" s="2098"/>
      <c r="Z441" s="2098"/>
      <c r="AA441" s="2098"/>
      <c r="AB441" s="2098"/>
      <c r="AC441" s="2098"/>
      <c r="AD441" s="2098"/>
      <c r="AE441" s="2098"/>
      <c r="AF441" s="2098"/>
      <c r="AG441" s="2098"/>
      <c r="AH441" s="2098"/>
      <c r="AI441" s="2098"/>
      <c r="AJ441" s="2098"/>
      <c r="AK441" s="2098"/>
      <c r="AL441" s="2098"/>
      <c r="AM441" s="2098"/>
      <c r="AN441" s="2098"/>
      <c r="AO441" s="2098"/>
      <c r="AP441" s="2098"/>
      <c r="AQ441" s="2098"/>
      <c r="AR441" s="2098"/>
      <c r="AS441" s="2098"/>
      <c r="AT441" s="2098"/>
      <c r="AU441" s="2098"/>
      <c r="AV441" s="2098"/>
      <c r="AW441" s="2098"/>
      <c r="AX441" s="2098"/>
      <c r="AY441" s="2098"/>
      <c r="AZ441" s="2098"/>
    </row>
    <row r="442" spans="3:52">
      <c r="C442" s="2096"/>
      <c r="D442" s="2097"/>
      <c r="E442" s="2098"/>
      <c r="F442" s="2098"/>
      <c r="G442" s="2098"/>
      <c r="H442" s="2098"/>
      <c r="I442" s="2098"/>
      <c r="J442" s="2098"/>
      <c r="K442" s="2098"/>
      <c r="L442" s="2098"/>
      <c r="M442" s="2098"/>
      <c r="N442" s="2098"/>
      <c r="O442" s="2098"/>
      <c r="P442" s="2098"/>
      <c r="Q442" s="2098"/>
      <c r="R442" s="2098"/>
      <c r="S442" s="2098"/>
      <c r="T442" s="2098"/>
      <c r="U442" s="2098"/>
      <c r="V442" s="2098"/>
      <c r="W442" s="2098"/>
      <c r="X442" s="2098"/>
      <c r="Y442" s="2098"/>
      <c r="Z442" s="2098"/>
      <c r="AA442" s="2098"/>
      <c r="AB442" s="2098"/>
      <c r="AC442" s="2098"/>
      <c r="AD442" s="2098"/>
      <c r="AE442" s="2098"/>
      <c r="AF442" s="2098"/>
      <c r="AG442" s="2098"/>
      <c r="AH442" s="2098"/>
      <c r="AI442" s="2098"/>
      <c r="AJ442" s="2098"/>
      <c r="AK442" s="2098"/>
      <c r="AL442" s="2098"/>
      <c r="AM442" s="2098"/>
      <c r="AN442" s="2098"/>
      <c r="AO442" s="2098"/>
      <c r="AP442" s="2098"/>
      <c r="AQ442" s="2098"/>
      <c r="AR442" s="2098"/>
      <c r="AS442" s="2098"/>
      <c r="AT442" s="2098"/>
      <c r="AU442" s="2098"/>
      <c r="AV442" s="2098"/>
      <c r="AW442" s="2098"/>
      <c r="AX442" s="2098"/>
      <c r="AY442" s="2098"/>
      <c r="AZ442" s="2098"/>
    </row>
    <row r="443" spans="3:52">
      <c r="C443" s="2096"/>
      <c r="D443" s="2097"/>
      <c r="E443" s="2098"/>
      <c r="F443" s="2098"/>
      <c r="G443" s="2098"/>
      <c r="H443" s="2098"/>
      <c r="I443" s="2098"/>
      <c r="J443" s="2098"/>
      <c r="K443" s="2098"/>
      <c r="L443" s="2098"/>
      <c r="M443" s="2098"/>
      <c r="N443" s="2098"/>
      <c r="O443" s="2098"/>
      <c r="P443" s="2098"/>
      <c r="Q443" s="2098"/>
      <c r="R443" s="2098"/>
      <c r="S443" s="2098"/>
      <c r="T443" s="2098"/>
      <c r="U443" s="2098"/>
      <c r="V443" s="2098"/>
      <c r="W443" s="2098"/>
      <c r="X443" s="2098"/>
      <c r="Y443" s="2098"/>
      <c r="Z443" s="2098"/>
      <c r="AA443" s="2098"/>
      <c r="AB443" s="2098"/>
      <c r="AC443" s="2098"/>
      <c r="AD443" s="2098"/>
      <c r="AE443" s="2098"/>
      <c r="AF443" s="2098"/>
      <c r="AG443" s="2098"/>
      <c r="AH443" s="2098"/>
      <c r="AI443" s="2098"/>
      <c r="AJ443" s="2098"/>
      <c r="AK443" s="2098"/>
      <c r="AL443" s="2098"/>
      <c r="AM443" s="2098"/>
      <c r="AN443" s="2098"/>
      <c r="AO443" s="2098"/>
      <c r="AP443" s="2098"/>
      <c r="AQ443" s="2098"/>
      <c r="AR443" s="2098"/>
      <c r="AS443" s="2098"/>
      <c r="AT443" s="2098"/>
      <c r="AU443" s="2098"/>
      <c r="AV443" s="2098"/>
      <c r="AW443" s="2098"/>
      <c r="AX443" s="2098"/>
      <c r="AY443" s="2098"/>
      <c r="AZ443" s="2098"/>
    </row>
    <row r="444" spans="3:52">
      <c r="C444" s="2096"/>
      <c r="D444" s="2097"/>
      <c r="E444" s="2098"/>
      <c r="F444" s="2098"/>
      <c r="G444" s="2098"/>
      <c r="H444" s="2098"/>
      <c r="I444" s="2098"/>
      <c r="J444" s="2098"/>
      <c r="K444" s="2098"/>
      <c r="L444" s="2098"/>
      <c r="M444" s="2098"/>
      <c r="N444" s="2098"/>
      <c r="O444" s="2098"/>
      <c r="P444" s="2098"/>
      <c r="Q444" s="2098"/>
      <c r="R444" s="2098"/>
      <c r="S444" s="2098"/>
      <c r="T444" s="2098"/>
      <c r="U444" s="2098"/>
      <c r="V444" s="2098"/>
      <c r="W444" s="2098"/>
      <c r="X444" s="2098"/>
      <c r="Y444" s="2098"/>
      <c r="Z444" s="2098"/>
      <c r="AA444" s="2098"/>
      <c r="AB444" s="2098"/>
      <c r="AC444" s="2098"/>
      <c r="AD444" s="2098"/>
      <c r="AE444" s="2098"/>
      <c r="AF444" s="2098"/>
      <c r="AG444" s="2098"/>
      <c r="AH444" s="2098"/>
      <c r="AI444" s="2098"/>
      <c r="AJ444" s="2098"/>
      <c r="AK444" s="2098"/>
      <c r="AL444" s="2098"/>
      <c r="AM444" s="2098"/>
      <c r="AN444" s="2098"/>
      <c r="AO444" s="2098"/>
      <c r="AP444" s="2098"/>
      <c r="AQ444" s="2098"/>
      <c r="AR444" s="2098"/>
      <c r="AS444" s="2098"/>
      <c r="AT444" s="2098"/>
      <c r="AU444" s="2098"/>
      <c r="AV444" s="2098"/>
      <c r="AW444" s="2098"/>
      <c r="AX444" s="2098"/>
      <c r="AY444" s="2098"/>
      <c r="AZ444" s="2098"/>
    </row>
    <row r="445" spans="3:52">
      <c r="C445" s="2096"/>
      <c r="D445" s="2097"/>
      <c r="E445" s="2098"/>
      <c r="F445" s="2098"/>
      <c r="G445" s="2098"/>
      <c r="H445" s="2098"/>
      <c r="I445" s="2098"/>
      <c r="J445" s="2098"/>
      <c r="K445" s="2098"/>
      <c r="L445" s="2098"/>
      <c r="M445" s="2098"/>
      <c r="N445" s="2098"/>
      <c r="O445" s="2098"/>
      <c r="P445" s="2098"/>
      <c r="Q445" s="2098"/>
      <c r="R445" s="2098"/>
      <c r="S445" s="2098"/>
      <c r="T445" s="2098"/>
      <c r="U445" s="2098"/>
      <c r="V445" s="2098"/>
      <c r="W445" s="2098"/>
      <c r="X445" s="2098"/>
      <c r="Y445" s="2098"/>
      <c r="Z445" s="2098"/>
      <c r="AA445" s="2098"/>
      <c r="AB445" s="2098"/>
      <c r="AC445" s="2098"/>
      <c r="AD445" s="2098"/>
      <c r="AE445" s="2098"/>
      <c r="AF445" s="2098"/>
      <c r="AG445" s="2098"/>
      <c r="AH445" s="2098"/>
      <c r="AI445" s="2098"/>
      <c r="AJ445" s="2098"/>
      <c r="AK445" s="2098"/>
      <c r="AL445" s="2098"/>
      <c r="AM445" s="2098"/>
      <c r="AN445" s="2098"/>
      <c r="AO445" s="2098"/>
      <c r="AP445" s="2098"/>
      <c r="AQ445" s="2098"/>
      <c r="AR445" s="2098"/>
      <c r="AS445" s="2098"/>
      <c r="AT445" s="2098"/>
      <c r="AU445" s="2098"/>
      <c r="AV445" s="2098"/>
      <c r="AW445" s="2098"/>
      <c r="AX445" s="2098"/>
      <c r="AY445" s="2098"/>
      <c r="AZ445" s="2098"/>
    </row>
    <row r="446" spans="3:52">
      <c r="C446" s="2096"/>
      <c r="D446" s="2097"/>
      <c r="E446" s="2098"/>
      <c r="F446" s="2098"/>
      <c r="G446" s="2098"/>
      <c r="H446" s="2098"/>
      <c r="I446" s="2098"/>
      <c r="J446" s="2098"/>
      <c r="K446" s="2098"/>
      <c r="L446" s="2098"/>
      <c r="M446" s="2098"/>
      <c r="N446" s="2098"/>
      <c r="O446" s="2098"/>
      <c r="P446" s="2098"/>
      <c r="Q446" s="2098"/>
      <c r="R446" s="2098"/>
      <c r="S446" s="2098"/>
      <c r="T446" s="2098"/>
      <c r="U446" s="2098"/>
      <c r="V446" s="2098"/>
      <c r="W446" s="2098"/>
      <c r="X446" s="2098"/>
      <c r="Y446" s="2098"/>
      <c r="Z446" s="2098"/>
      <c r="AA446" s="2098"/>
      <c r="AB446" s="2098"/>
      <c r="AC446" s="2098"/>
      <c r="AD446" s="2098"/>
      <c r="AE446" s="2098"/>
      <c r="AF446" s="2098"/>
      <c r="AG446" s="2098"/>
      <c r="AH446" s="2098"/>
      <c r="AI446" s="2098"/>
      <c r="AJ446" s="2098"/>
      <c r="AK446" s="2098"/>
      <c r="AL446" s="2098"/>
      <c r="AM446" s="2098"/>
      <c r="AN446" s="2098"/>
      <c r="AO446" s="2098"/>
      <c r="AP446" s="2098"/>
      <c r="AQ446" s="2098"/>
      <c r="AR446" s="2098"/>
      <c r="AS446" s="2098"/>
      <c r="AT446" s="2098"/>
      <c r="AU446" s="2098"/>
      <c r="AV446" s="2098"/>
      <c r="AW446" s="2098"/>
      <c r="AX446" s="2098"/>
      <c r="AY446" s="2098"/>
      <c r="AZ446" s="2098"/>
    </row>
    <row r="447" spans="3:52">
      <c r="C447" s="2096"/>
      <c r="D447" s="2097"/>
      <c r="E447" s="2098"/>
      <c r="F447" s="2098"/>
      <c r="G447" s="2098"/>
      <c r="H447" s="2098"/>
      <c r="I447" s="2098"/>
      <c r="J447" s="2098"/>
      <c r="K447" s="2098"/>
      <c r="L447" s="2098"/>
      <c r="M447" s="2098"/>
      <c r="N447" s="2098"/>
      <c r="O447" s="2098"/>
      <c r="P447" s="2098"/>
      <c r="Q447" s="2098"/>
      <c r="R447" s="2098"/>
      <c r="S447" s="2098"/>
      <c r="T447" s="2098"/>
      <c r="U447" s="2098"/>
      <c r="V447" s="2098"/>
      <c r="W447" s="2098"/>
      <c r="X447" s="2098"/>
      <c r="Y447" s="2098"/>
      <c r="Z447" s="2098"/>
      <c r="AA447" s="2098"/>
      <c r="AB447" s="2098"/>
      <c r="AC447" s="2098"/>
      <c r="AD447" s="2098"/>
      <c r="AE447" s="2098"/>
      <c r="AF447" s="2098"/>
      <c r="AG447" s="2098"/>
      <c r="AH447" s="2098"/>
      <c r="AI447" s="2098"/>
      <c r="AJ447" s="2098"/>
      <c r="AK447" s="2098"/>
      <c r="AL447" s="2098"/>
      <c r="AM447" s="2098"/>
      <c r="AN447" s="2098"/>
      <c r="AO447" s="2098"/>
      <c r="AP447" s="2098"/>
      <c r="AQ447" s="2098"/>
      <c r="AR447" s="2098"/>
      <c r="AS447" s="2098"/>
      <c r="AT447" s="2098"/>
      <c r="AU447" s="2098"/>
      <c r="AV447" s="2098"/>
      <c r="AW447" s="2098"/>
      <c r="AX447" s="2098"/>
      <c r="AY447" s="2098"/>
      <c r="AZ447" s="2098"/>
    </row>
    <row r="448" spans="3:52">
      <c r="C448" s="2096"/>
      <c r="D448" s="2097"/>
      <c r="E448" s="2098"/>
      <c r="F448" s="2098"/>
      <c r="G448" s="2098"/>
      <c r="H448" s="2098"/>
      <c r="I448" s="2098"/>
      <c r="J448" s="2098"/>
      <c r="K448" s="2098"/>
      <c r="L448" s="2098"/>
      <c r="M448" s="2098"/>
      <c r="N448" s="2098"/>
      <c r="O448" s="2098"/>
      <c r="P448" s="2098"/>
      <c r="Q448" s="2098"/>
      <c r="R448" s="2098"/>
      <c r="S448" s="2098"/>
      <c r="T448" s="2098"/>
      <c r="U448" s="2098"/>
      <c r="V448" s="2098"/>
      <c r="W448" s="2098"/>
      <c r="X448" s="2098"/>
      <c r="Y448" s="2098"/>
      <c r="Z448" s="2098"/>
      <c r="AA448" s="2098"/>
      <c r="AB448" s="2098"/>
      <c r="AC448" s="2098"/>
      <c r="AD448" s="2098"/>
      <c r="AE448" s="2098"/>
      <c r="AF448" s="2098"/>
      <c r="AG448" s="2098"/>
      <c r="AH448" s="2098"/>
      <c r="AI448" s="2098"/>
      <c r="AJ448" s="2098"/>
      <c r="AK448" s="2098"/>
      <c r="AL448" s="2098"/>
      <c r="AM448" s="2098"/>
      <c r="AN448" s="2098"/>
      <c r="AO448" s="2098"/>
      <c r="AP448" s="2098"/>
      <c r="AQ448" s="2098"/>
      <c r="AR448" s="2098"/>
      <c r="AS448" s="2098"/>
      <c r="AT448" s="2098"/>
      <c r="AU448" s="2098"/>
      <c r="AV448" s="2098"/>
      <c r="AW448" s="2098"/>
      <c r="AX448" s="2098"/>
      <c r="AY448" s="2098"/>
      <c r="AZ448" s="2098"/>
    </row>
    <row r="449" spans="3:52">
      <c r="C449" s="2096"/>
      <c r="D449" s="2097"/>
      <c r="E449" s="2098"/>
      <c r="F449" s="2098"/>
      <c r="G449" s="2098"/>
      <c r="H449" s="2098"/>
      <c r="I449" s="2098"/>
      <c r="J449" s="2098"/>
      <c r="K449" s="2098"/>
      <c r="L449" s="2098"/>
      <c r="M449" s="2098"/>
      <c r="N449" s="2098"/>
      <c r="O449" s="2098"/>
      <c r="P449" s="2098"/>
      <c r="Q449" s="2098"/>
      <c r="R449" s="2098"/>
      <c r="S449" s="2098"/>
      <c r="T449" s="2098"/>
      <c r="U449" s="2098"/>
      <c r="V449" s="2098"/>
      <c r="W449" s="2098"/>
      <c r="X449" s="2098"/>
      <c r="Y449" s="2098"/>
      <c r="Z449" s="2098"/>
      <c r="AA449" s="2098"/>
      <c r="AB449" s="2098"/>
      <c r="AC449" s="2098"/>
      <c r="AD449" s="2098"/>
      <c r="AE449" s="2098"/>
      <c r="AF449" s="2098"/>
      <c r="AG449" s="2098"/>
      <c r="AH449" s="2098"/>
      <c r="AI449" s="2098"/>
      <c r="AJ449" s="2098"/>
      <c r="AK449" s="2098"/>
      <c r="AL449" s="2098"/>
      <c r="AM449" s="2098"/>
      <c r="AN449" s="2098"/>
      <c r="AO449" s="2098"/>
      <c r="AP449" s="2098"/>
      <c r="AQ449" s="2098"/>
      <c r="AR449" s="2098"/>
      <c r="AS449" s="2098"/>
      <c r="AT449" s="2098"/>
      <c r="AU449" s="2098"/>
      <c r="AV449" s="2098"/>
      <c r="AW449" s="2098"/>
      <c r="AX449" s="2098"/>
      <c r="AY449" s="2098"/>
      <c r="AZ449" s="2098"/>
    </row>
    <row r="450" spans="3:52">
      <c r="C450" s="2096"/>
      <c r="D450" s="2097"/>
      <c r="E450" s="2098"/>
      <c r="F450" s="2098"/>
      <c r="G450" s="2098"/>
      <c r="H450" s="2098"/>
      <c r="I450" s="2098"/>
      <c r="J450" s="2098"/>
      <c r="K450" s="2098"/>
      <c r="L450" s="2098"/>
      <c r="M450" s="2098"/>
      <c r="N450" s="2098"/>
      <c r="O450" s="2098"/>
      <c r="P450" s="2098"/>
      <c r="Q450" s="2098"/>
      <c r="R450" s="2098"/>
      <c r="S450" s="2098"/>
      <c r="T450" s="2098"/>
      <c r="U450" s="2098"/>
      <c r="V450" s="2098"/>
      <c r="W450" s="2098"/>
      <c r="X450" s="2098"/>
      <c r="Y450" s="2098"/>
      <c r="Z450" s="2098"/>
      <c r="AA450" s="2098"/>
      <c r="AB450" s="2098"/>
      <c r="AC450" s="2098"/>
      <c r="AD450" s="2098"/>
      <c r="AE450" s="2098"/>
      <c r="AF450" s="2098"/>
      <c r="AG450" s="2098"/>
      <c r="AH450" s="2098"/>
      <c r="AI450" s="2098"/>
      <c r="AJ450" s="2098"/>
      <c r="AK450" s="2098"/>
      <c r="AL450" s="2098"/>
      <c r="AM450" s="2098"/>
      <c r="AN450" s="2098"/>
      <c r="AO450" s="2098"/>
      <c r="AP450" s="2098"/>
      <c r="AQ450" s="2098"/>
      <c r="AR450" s="2098"/>
      <c r="AS450" s="2098"/>
      <c r="AT450" s="2098"/>
      <c r="AU450" s="2098"/>
      <c r="AV450" s="2098"/>
      <c r="AW450" s="2098"/>
      <c r="AX450" s="2098"/>
      <c r="AY450" s="2098"/>
      <c r="AZ450" s="2098"/>
    </row>
    <row r="451" spans="3:52">
      <c r="C451" s="2096"/>
      <c r="D451" s="2097"/>
      <c r="E451" s="2098"/>
      <c r="F451" s="2098"/>
      <c r="G451" s="2098"/>
      <c r="H451" s="2098"/>
      <c r="I451" s="2098"/>
      <c r="J451" s="2098"/>
      <c r="K451" s="2098"/>
      <c r="L451" s="2098"/>
      <c r="M451" s="2098"/>
      <c r="N451" s="2098"/>
      <c r="O451" s="2098"/>
      <c r="P451" s="2098"/>
      <c r="Q451" s="2098"/>
      <c r="R451" s="2098"/>
      <c r="S451" s="2098"/>
      <c r="T451" s="2098"/>
      <c r="U451" s="2098"/>
      <c r="V451" s="2098"/>
      <c r="W451" s="2098"/>
      <c r="X451" s="2098"/>
      <c r="Y451" s="2098"/>
      <c r="Z451" s="2098"/>
      <c r="AA451" s="2098"/>
      <c r="AB451" s="2098"/>
      <c r="AC451" s="2098"/>
      <c r="AD451" s="2098"/>
      <c r="AE451" s="2098"/>
      <c r="AF451" s="2098"/>
      <c r="AG451" s="2098"/>
      <c r="AH451" s="2098"/>
      <c r="AI451" s="2098"/>
      <c r="AJ451" s="2098"/>
      <c r="AK451" s="2098"/>
      <c r="AL451" s="2098"/>
      <c r="AM451" s="2098"/>
      <c r="AN451" s="2098"/>
      <c r="AO451" s="2098"/>
      <c r="AP451" s="2098"/>
      <c r="AQ451" s="2098"/>
      <c r="AR451" s="2098"/>
      <c r="AS451" s="2098"/>
      <c r="AT451" s="2098"/>
      <c r="AU451" s="2098"/>
      <c r="AV451" s="2098"/>
      <c r="AW451" s="2098"/>
      <c r="AX451" s="2098"/>
      <c r="AY451" s="2098"/>
      <c r="AZ451" s="2098"/>
    </row>
    <row r="452" spans="3:52">
      <c r="C452" s="2096"/>
      <c r="D452" s="2097"/>
      <c r="E452" s="2098"/>
      <c r="F452" s="2098"/>
      <c r="G452" s="2098"/>
      <c r="H452" s="2098"/>
      <c r="I452" s="2098"/>
      <c r="J452" s="2098"/>
      <c r="K452" s="2098"/>
      <c r="L452" s="2098"/>
      <c r="M452" s="2098"/>
      <c r="N452" s="2098"/>
      <c r="O452" s="2098"/>
      <c r="P452" s="2098"/>
      <c r="Q452" s="2098"/>
      <c r="R452" s="2098"/>
      <c r="S452" s="2098"/>
      <c r="T452" s="2098"/>
      <c r="U452" s="2098"/>
      <c r="V452" s="2098"/>
      <c r="W452" s="2098"/>
      <c r="X452" s="2098"/>
      <c r="Y452" s="2098"/>
      <c r="Z452" s="2098"/>
      <c r="AA452" s="2098"/>
      <c r="AB452" s="2098"/>
      <c r="AC452" s="2098"/>
      <c r="AD452" s="2098"/>
      <c r="AE452" s="2098"/>
      <c r="AF452" s="2098"/>
      <c r="AG452" s="2098"/>
      <c r="AH452" s="2098"/>
      <c r="AI452" s="2098"/>
      <c r="AJ452" s="2098"/>
      <c r="AK452" s="2098"/>
      <c r="AL452" s="2098"/>
      <c r="AM452" s="2098"/>
      <c r="AN452" s="2098"/>
      <c r="AO452" s="2098"/>
      <c r="AP452" s="2098"/>
      <c r="AQ452" s="2098"/>
      <c r="AR452" s="2098"/>
      <c r="AS452" s="2098"/>
      <c r="AT452" s="2098"/>
      <c r="AU452" s="2098"/>
      <c r="AV452" s="2098"/>
      <c r="AW452" s="2098"/>
      <c r="AX452" s="2098"/>
      <c r="AY452" s="2098"/>
      <c r="AZ452" s="2098"/>
    </row>
    <row r="453" spans="3:52">
      <c r="C453" s="2096"/>
      <c r="D453" s="2097"/>
      <c r="E453" s="2098"/>
      <c r="F453" s="2098"/>
      <c r="G453" s="2098"/>
      <c r="H453" s="2098"/>
      <c r="I453" s="2098"/>
      <c r="J453" s="2098"/>
      <c r="K453" s="2098"/>
      <c r="L453" s="2098"/>
      <c r="M453" s="2098"/>
      <c r="N453" s="2098"/>
      <c r="O453" s="2098"/>
      <c r="P453" s="2098"/>
      <c r="Q453" s="2098"/>
      <c r="R453" s="2098"/>
      <c r="S453" s="2098"/>
      <c r="T453" s="2098"/>
      <c r="U453" s="2098"/>
      <c r="V453" s="2098"/>
      <c r="W453" s="2098"/>
      <c r="X453" s="2098"/>
      <c r="Y453" s="2098"/>
      <c r="Z453" s="2098"/>
      <c r="AA453" s="2098"/>
      <c r="AB453" s="2098"/>
      <c r="AC453" s="2098"/>
      <c r="AD453" s="2098"/>
      <c r="AE453" s="2098"/>
      <c r="AF453" s="2098"/>
      <c r="AG453" s="2098"/>
      <c r="AH453" s="2098"/>
      <c r="AI453" s="2098"/>
      <c r="AJ453" s="2098"/>
      <c r="AK453" s="2098"/>
      <c r="AL453" s="2098"/>
      <c r="AM453" s="2098"/>
      <c r="AN453" s="2098"/>
      <c r="AO453" s="2098"/>
      <c r="AP453" s="2098"/>
      <c r="AQ453" s="2098"/>
      <c r="AR453" s="2098"/>
      <c r="AS453" s="2098"/>
      <c r="AT453" s="2098"/>
      <c r="AU453" s="2098"/>
      <c r="AV453" s="2098"/>
      <c r="AW453" s="2098"/>
      <c r="AX453" s="2098"/>
      <c r="AY453" s="2098"/>
      <c r="AZ453" s="2098"/>
    </row>
    <row r="454" spans="3:52">
      <c r="C454" s="2096"/>
      <c r="D454" s="2097"/>
      <c r="E454" s="2098"/>
      <c r="F454" s="2098"/>
      <c r="G454" s="2098"/>
      <c r="H454" s="2098"/>
      <c r="I454" s="2098"/>
      <c r="J454" s="2098"/>
      <c r="K454" s="2098"/>
      <c r="L454" s="2098"/>
      <c r="M454" s="2098"/>
      <c r="N454" s="2098"/>
      <c r="O454" s="2098"/>
      <c r="P454" s="2098"/>
      <c r="Q454" s="2098"/>
      <c r="R454" s="2098"/>
      <c r="S454" s="2098"/>
      <c r="T454" s="2098"/>
      <c r="U454" s="2098"/>
      <c r="V454" s="2098"/>
      <c r="W454" s="2098"/>
      <c r="X454" s="2098"/>
      <c r="Y454" s="2098"/>
      <c r="Z454" s="2098"/>
      <c r="AA454" s="2098"/>
      <c r="AB454" s="2098"/>
      <c r="AC454" s="2098"/>
      <c r="AD454" s="2098"/>
      <c r="AE454" s="2098"/>
      <c r="AF454" s="2098"/>
      <c r="AG454" s="2098"/>
      <c r="AH454" s="2098"/>
      <c r="AI454" s="2098"/>
      <c r="AJ454" s="2098"/>
      <c r="AK454" s="2098"/>
      <c r="AL454" s="2098"/>
      <c r="AM454" s="2098"/>
      <c r="AN454" s="2098"/>
      <c r="AO454" s="2098"/>
      <c r="AP454" s="2098"/>
      <c r="AQ454" s="2098"/>
      <c r="AR454" s="2098"/>
      <c r="AS454" s="2098"/>
      <c r="AT454" s="2098"/>
      <c r="AU454" s="2098"/>
      <c r="AV454" s="2098"/>
      <c r="AW454" s="2098"/>
      <c r="AX454" s="2098"/>
      <c r="AY454" s="2098"/>
      <c r="AZ454" s="2098"/>
    </row>
    <row r="455" spans="3:52">
      <c r="C455" s="2096"/>
      <c r="D455" s="2097"/>
      <c r="E455" s="2098"/>
      <c r="F455" s="2098"/>
      <c r="G455" s="2098"/>
      <c r="H455" s="2098"/>
      <c r="I455" s="2098"/>
      <c r="J455" s="2098"/>
      <c r="K455" s="2098"/>
      <c r="L455" s="2098"/>
      <c r="M455" s="2098"/>
      <c r="N455" s="2098"/>
      <c r="O455" s="2098"/>
      <c r="P455" s="2098"/>
      <c r="Q455" s="2098"/>
      <c r="R455" s="2098"/>
      <c r="S455" s="2098"/>
      <c r="T455" s="2098"/>
      <c r="U455" s="2098"/>
      <c r="V455" s="2098"/>
      <c r="W455" s="2098"/>
      <c r="X455" s="2098"/>
      <c r="Y455" s="2098"/>
      <c r="Z455" s="2098"/>
      <c r="AA455" s="2098"/>
      <c r="AB455" s="2098"/>
      <c r="AC455" s="2098"/>
      <c r="AD455" s="2098"/>
      <c r="AE455" s="2098"/>
      <c r="AF455" s="2098"/>
      <c r="AG455" s="2098"/>
      <c r="AH455" s="2098"/>
      <c r="AI455" s="2098"/>
      <c r="AJ455" s="2098"/>
      <c r="AK455" s="2098"/>
      <c r="AL455" s="2098"/>
      <c r="AM455" s="2098"/>
      <c r="AN455" s="2098"/>
      <c r="AO455" s="2098"/>
      <c r="AP455" s="2098"/>
      <c r="AQ455" s="2098"/>
      <c r="AR455" s="2098"/>
      <c r="AS455" s="2098"/>
      <c r="AT455" s="2098"/>
      <c r="AU455" s="2098"/>
      <c r="AV455" s="2098"/>
      <c r="AW455" s="2098"/>
      <c r="AX455" s="2098"/>
      <c r="AY455" s="2098"/>
      <c r="AZ455" s="2098"/>
    </row>
    <row r="456" spans="3:52">
      <c r="C456" s="2096"/>
      <c r="D456" s="2097"/>
      <c r="E456" s="2098"/>
      <c r="F456" s="2098"/>
      <c r="G456" s="2098"/>
      <c r="H456" s="2098"/>
      <c r="I456" s="2098"/>
      <c r="J456" s="2098"/>
      <c r="K456" s="2098"/>
      <c r="L456" s="2098"/>
      <c r="M456" s="2098"/>
      <c r="N456" s="2098"/>
      <c r="O456" s="2098"/>
      <c r="P456" s="2098"/>
      <c r="Q456" s="2098"/>
      <c r="R456" s="2098"/>
      <c r="S456" s="2098"/>
      <c r="T456" s="2098"/>
      <c r="U456" s="2098"/>
      <c r="V456" s="2098"/>
      <c r="W456" s="2098"/>
      <c r="X456" s="2098"/>
      <c r="Y456" s="2098"/>
      <c r="Z456" s="2098"/>
      <c r="AA456" s="2098"/>
      <c r="AB456" s="2098"/>
      <c r="AC456" s="2098"/>
      <c r="AD456" s="2098"/>
      <c r="AE456" s="2098"/>
      <c r="AF456" s="2098"/>
      <c r="AG456" s="2098"/>
      <c r="AH456" s="2098"/>
      <c r="AI456" s="2098"/>
      <c r="AJ456" s="2098"/>
      <c r="AK456" s="2098"/>
      <c r="AL456" s="2098"/>
      <c r="AM456" s="2098"/>
      <c r="AN456" s="2098"/>
      <c r="AO456" s="2098"/>
      <c r="AP456" s="2098"/>
      <c r="AQ456" s="2098"/>
      <c r="AR456" s="2098"/>
      <c r="AS456" s="2098"/>
      <c r="AT456" s="2098"/>
      <c r="AU456" s="2098"/>
      <c r="AV456" s="2098"/>
      <c r="AW456" s="2098"/>
      <c r="AX456" s="2098"/>
      <c r="AY456" s="2098"/>
      <c r="AZ456" s="2098"/>
    </row>
    <row r="457" spans="3:52">
      <c r="C457" s="2096"/>
      <c r="D457" s="2097"/>
      <c r="E457" s="2098"/>
      <c r="F457" s="2098"/>
      <c r="G457" s="2098"/>
      <c r="H457" s="2098"/>
      <c r="I457" s="2098"/>
      <c r="J457" s="2098"/>
      <c r="K457" s="2098"/>
      <c r="L457" s="2098"/>
      <c r="M457" s="2098"/>
      <c r="N457" s="2098"/>
      <c r="O457" s="2098"/>
      <c r="P457" s="2098"/>
      <c r="Q457" s="2098"/>
      <c r="R457" s="2098"/>
      <c r="S457" s="2098"/>
      <c r="T457" s="2098"/>
      <c r="U457" s="2098"/>
      <c r="V457" s="2098"/>
      <c r="W457" s="2098"/>
      <c r="X457" s="2098"/>
      <c r="Y457" s="2098"/>
      <c r="Z457" s="2098"/>
      <c r="AA457" s="2098"/>
      <c r="AB457" s="2098"/>
      <c r="AC457" s="2098"/>
      <c r="AD457" s="2098"/>
      <c r="AE457" s="2098"/>
      <c r="AF457" s="2098"/>
      <c r="AG457" s="2098"/>
      <c r="AH457" s="2098"/>
      <c r="AI457" s="2098"/>
      <c r="AJ457" s="2098"/>
      <c r="AK457" s="2098"/>
      <c r="AL457" s="2098"/>
      <c r="AM457" s="2098"/>
      <c r="AN457" s="2098"/>
      <c r="AO457" s="2098"/>
      <c r="AP457" s="2098"/>
      <c r="AQ457" s="2098"/>
      <c r="AR457" s="2098"/>
      <c r="AS457" s="2098"/>
      <c r="AT457" s="2098"/>
      <c r="AU457" s="2098"/>
      <c r="AV457" s="2098"/>
      <c r="AW457" s="2098"/>
      <c r="AX457" s="2098"/>
      <c r="AY457" s="2098"/>
      <c r="AZ457" s="2098"/>
    </row>
    <row r="458" spans="3:52">
      <c r="C458" s="2096"/>
      <c r="D458" s="2097"/>
      <c r="E458" s="2098"/>
      <c r="F458" s="2098"/>
      <c r="G458" s="2098"/>
      <c r="H458" s="2098"/>
      <c r="I458" s="2098"/>
      <c r="J458" s="2098"/>
      <c r="K458" s="2098"/>
      <c r="L458" s="2098"/>
      <c r="M458" s="2098"/>
      <c r="N458" s="2098"/>
      <c r="O458" s="2098"/>
      <c r="P458" s="2098"/>
      <c r="Q458" s="2098"/>
      <c r="R458" s="2098"/>
      <c r="S458" s="2098"/>
      <c r="T458" s="2098"/>
      <c r="U458" s="2098"/>
      <c r="V458" s="2098"/>
      <c r="W458" s="2098"/>
      <c r="X458" s="2098"/>
      <c r="Y458" s="2098"/>
      <c r="Z458" s="2098"/>
      <c r="AA458" s="2098"/>
      <c r="AB458" s="2098"/>
      <c r="AC458" s="2098"/>
      <c r="AD458" s="2098"/>
      <c r="AE458" s="2098"/>
      <c r="AF458" s="2098"/>
      <c r="AG458" s="2098"/>
      <c r="AH458" s="2098"/>
      <c r="AI458" s="2098"/>
      <c r="AJ458" s="2098"/>
      <c r="AK458" s="2098"/>
      <c r="AL458" s="2098"/>
      <c r="AM458" s="2098"/>
      <c r="AN458" s="2098"/>
      <c r="AO458" s="2098"/>
      <c r="AP458" s="2098"/>
      <c r="AQ458" s="2098"/>
      <c r="AR458" s="2098"/>
      <c r="AS458" s="2098"/>
      <c r="AT458" s="2098"/>
      <c r="AU458" s="2098"/>
      <c r="AV458" s="2098"/>
      <c r="AW458" s="2098"/>
      <c r="AX458" s="2098"/>
      <c r="AY458" s="2098"/>
      <c r="AZ458" s="2098"/>
    </row>
    <row r="459" spans="3:52">
      <c r="C459" s="2096"/>
      <c r="D459" s="2097"/>
      <c r="E459" s="2098"/>
      <c r="F459" s="2098"/>
      <c r="G459" s="2098"/>
      <c r="H459" s="2098"/>
      <c r="I459" s="2098"/>
      <c r="J459" s="2098"/>
      <c r="K459" s="2098"/>
      <c r="L459" s="2098"/>
      <c r="M459" s="2098"/>
      <c r="N459" s="2098"/>
      <c r="O459" s="2098"/>
      <c r="P459" s="2098"/>
      <c r="Q459" s="2098"/>
      <c r="R459" s="2098"/>
      <c r="S459" s="2098"/>
      <c r="T459" s="2098"/>
      <c r="U459" s="2098"/>
      <c r="V459" s="2098"/>
      <c r="W459" s="2098"/>
      <c r="X459" s="2098"/>
      <c r="Y459" s="2098"/>
      <c r="Z459" s="2098"/>
      <c r="AA459" s="2098"/>
      <c r="AB459" s="2098"/>
      <c r="AC459" s="2098"/>
      <c r="AD459" s="2098"/>
      <c r="AE459" s="2098"/>
      <c r="AF459" s="2098"/>
      <c r="AG459" s="2098"/>
      <c r="AH459" s="2098"/>
      <c r="AI459" s="2098"/>
      <c r="AJ459" s="2098"/>
      <c r="AK459" s="2098"/>
      <c r="AL459" s="2098"/>
      <c r="AM459" s="2098"/>
      <c r="AN459" s="2098"/>
      <c r="AO459" s="2098"/>
      <c r="AP459" s="2098"/>
      <c r="AQ459" s="2098"/>
      <c r="AR459" s="2098"/>
      <c r="AS459" s="2098"/>
      <c r="AT459" s="2098"/>
      <c r="AU459" s="2098"/>
      <c r="AV459" s="2098"/>
      <c r="AW459" s="2098"/>
      <c r="AX459" s="2098"/>
      <c r="AY459" s="2098"/>
      <c r="AZ459" s="2098"/>
    </row>
    <row r="460" spans="3:52">
      <c r="C460" s="2096"/>
      <c r="D460" s="2097"/>
      <c r="E460" s="2098"/>
      <c r="F460" s="2098"/>
      <c r="G460" s="2098"/>
      <c r="H460" s="2098"/>
      <c r="I460" s="2098"/>
      <c r="J460" s="2098"/>
      <c r="K460" s="2098"/>
      <c r="L460" s="2098"/>
      <c r="M460" s="2098"/>
      <c r="N460" s="2098"/>
      <c r="O460" s="2098"/>
      <c r="P460" s="2098"/>
      <c r="Q460" s="2098"/>
      <c r="R460" s="2098"/>
      <c r="S460" s="2098"/>
      <c r="T460" s="2098"/>
      <c r="U460" s="2098"/>
      <c r="V460" s="2098"/>
      <c r="W460" s="2098"/>
      <c r="X460" s="2098"/>
      <c r="Y460" s="2098"/>
      <c r="Z460" s="2098"/>
      <c r="AA460" s="2098"/>
      <c r="AB460" s="2098"/>
      <c r="AC460" s="2098"/>
      <c r="AD460" s="2098"/>
      <c r="AE460" s="2098"/>
      <c r="AF460" s="2098"/>
      <c r="AG460" s="2098"/>
      <c r="AH460" s="2098"/>
      <c r="AI460" s="2098"/>
      <c r="AJ460" s="2098"/>
      <c r="AK460" s="2098"/>
      <c r="AL460" s="2098"/>
      <c r="AM460" s="2098"/>
      <c r="AN460" s="2098"/>
      <c r="AO460" s="2098"/>
      <c r="AP460" s="2098"/>
      <c r="AQ460" s="2098"/>
      <c r="AR460" s="2098"/>
      <c r="AS460" s="2098"/>
      <c r="AT460" s="2098"/>
      <c r="AU460" s="2098"/>
      <c r="AV460" s="2098"/>
      <c r="AW460" s="2098"/>
      <c r="AX460" s="2098"/>
      <c r="AY460" s="2098"/>
      <c r="AZ460" s="2098"/>
    </row>
    <row r="461" spans="3:52">
      <c r="C461" s="2096"/>
      <c r="D461" s="2097"/>
      <c r="E461" s="2098"/>
      <c r="F461" s="2098"/>
      <c r="G461" s="2098"/>
      <c r="H461" s="2098"/>
      <c r="I461" s="2098"/>
      <c r="J461" s="2098"/>
      <c r="K461" s="2098"/>
      <c r="L461" s="2098"/>
      <c r="M461" s="2098"/>
      <c r="N461" s="2098"/>
      <c r="O461" s="2098"/>
      <c r="P461" s="2098"/>
      <c r="Q461" s="2098"/>
      <c r="R461" s="2098"/>
      <c r="S461" s="2098"/>
      <c r="T461" s="2098"/>
      <c r="U461" s="2098"/>
      <c r="V461" s="2098"/>
      <c r="W461" s="2098"/>
      <c r="X461" s="2098"/>
      <c r="Y461" s="2098"/>
      <c r="Z461" s="2098"/>
      <c r="AA461" s="2098"/>
      <c r="AB461" s="2098"/>
      <c r="AC461" s="2098"/>
      <c r="AD461" s="2098"/>
      <c r="AE461" s="2098"/>
      <c r="AF461" s="2098"/>
      <c r="AG461" s="2098"/>
      <c r="AH461" s="2098"/>
      <c r="AI461" s="2098"/>
      <c r="AJ461" s="2098"/>
      <c r="AK461" s="2098"/>
      <c r="AL461" s="2098"/>
      <c r="AM461" s="2098"/>
      <c r="AN461" s="2098"/>
      <c r="AO461" s="2098"/>
      <c r="AP461" s="2098"/>
      <c r="AQ461" s="2098"/>
      <c r="AR461" s="2098"/>
      <c r="AS461" s="2098"/>
      <c r="AT461" s="2098"/>
      <c r="AU461" s="2098"/>
      <c r="AV461" s="2098"/>
      <c r="AW461" s="2098"/>
      <c r="AX461" s="2098"/>
      <c r="AY461" s="2098"/>
      <c r="AZ461" s="2098"/>
    </row>
    <row r="462" spans="3:52">
      <c r="C462" s="2096"/>
      <c r="D462" s="2097"/>
      <c r="E462" s="2098"/>
      <c r="F462" s="2098"/>
      <c r="G462" s="2098"/>
      <c r="H462" s="2098"/>
      <c r="I462" s="2098"/>
      <c r="J462" s="2098"/>
      <c r="K462" s="2098"/>
      <c r="L462" s="2098"/>
      <c r="M462" s="2098"/>
      <c r="N462" s="2098"/>
      <c r="O462" s="2098"/>
      <c r="P462" s="2098"/>
      <c r="Q462" s="2098"/>
      <c r="R462" s="2098"/>
      <c r="S462" s="2098"/>
      <c r="T462" s="2098"/>
      <c r="U462" s="2098"/>
      <c r="V462" s="2098"/>
      <c r="W462" s="2098"/>
      <c r="X462" s="2098"/>
      <c r="Y462" s="2098"/>
      <c r="Z462" s="2098"/>
      <c r="AA462" s="2098"/>
      <c r="AB462" s="2098"/>
      <c r="AC462" s="2098"/>
      <c r="AD462" s="2098"/>
      <c r="AE462" s="2098"/>
      <c r="AF462" s="2098"/>
      <c r="AG462" s="2098"/>
      <c r="AH462" s="2098"/>
      <c r="AI462" s="2098"/>
      <c r="AJ462" s="2098"/>
      <c r="AK462" s="2098"/>
      <c r="AL462" s="2098"/>
      <c r="AM462" s="2098"/>
      <c r="AN462" s="2098"/>
      <c r="AO462" s="2098"/>
      <c r="AP462" s="2098"/>
      <c r="AQ462" s="2098"/>
      <c r="AR462" s="2098"/>
      <c r="AS462" s="2098"/>
      <c r="AT462" s="2098"/>
      <c r="AU462" s="2098"/>
      <c r="AV462" s="2098"/>
      <c r="AW462" s="2098"/>
      <c r="AX462" s="2098"/>
      <c r="AY462" s="2098"/>
      <c r="AZ462" s="2098"/>
    </row>
    <row r="463" spans="3:52">
      <c r="C463" s="2096"/>
      <c r="D463" s="2097"/>
      <c r="E463" s="2098"/>
      <c r="F463" s="2098"/>
      <c r="G463" s="2098"/>
      <c r="H463" s="2098"/>
      <c r="I463" s="2098"/>
      <c r="J463" s="2098"/>
      <c r="K463" s="2098"/>
      <c r="L463" s="2098"/>
      <c r="M463" s="2098"/>
      <c r="N463" s="2098"/>
      <c r="O463" s="2098"/>
      <c r="P463" s="2098"/>
      <c r="Q463" s="2098"/>
      <c r="R463" s="2098"/>
      <c r="S463" s="2098"/>
      <c r="T463" s="2098"/>
      <c r="U463" s="2098"/>
      <c r="V463" s="2098"/>
      <c r="W463" s="2098"/>
      <c r="X463" s="2098"/>
      <c r="Y463" s="2098"/>
      <c r="Z463" s="2098"/>
      <c r="AA463" s="2098"/>
      <c r="AB463" s="2098"/>
      <c r="AC463" s="2098"/>
      <c r="AD463" s="2098"/>
      <c r="AE463" s="2098"/>
      <c r="AF463" s="2098"/>
      <c r="AG463" s="2098"/>
      <c r="AH463" s="2098"/>
      <c r="AI463" s="2098"/>
      <c r="AJ463" s="2098"/>
      <c r="AK463" s="2098"/>
      <c r="AL463" s="2098"/>
      <c r="AM463" s="2098"/>
      <c r="AN463" s="2098"/>
      <c r="AO463" s="2098"/>
      <c r="AP463" s="2098"/>
      <c r="AQ463" s="2098"/>
      <c r="AR463" s="2098"/>
      <c r="AS463" s="2098"/>
      <c r="AT463" s="2098"/>
      <c r="AU463" s="2098"/>
      <c r="AV463" s="2098"/>
      <c r="AW463" s="2098"/>
      <c r="AX463" s="2098"/>
      <c r="AY463" s="2098"/>
      <c r="AZ463" s="2098"/>
    </row>
    <row r="464" spans="3:52">
      <c r="C464" s="2096"/>
      <c r="D464" s="2097"/>
      <c r="E464" s="2098"/>
      <c r="F464" s="2098"/>
      <c r="G464" s="2098"/>
      <c r="H464" s="2098"/>
      <c r="I464" s="2098"/>
      <c r="J464" s="2098"/>
      <c r="K464" s="2098"/>
      <c r="L464" s="2098"/>
      <c r="M464" s="2098"/>
      <c r="N464" s="2098"/>
      <c r="O464" s="2098"/>
      <c r="P464" s="2098"/>
      <c r="Q464" s="2098"/>
      <c r="R464" s="2098"/>
      <c r="S464" s="2098"/>
      <c r="T464" s="2098"/>
      <c r="U464" s="2098"/>
      <c r="V464" s="2098"/>
      <c r="W464" s="2098"/>
      <c r="X464" s="2098"/>
      <c r="Y464" s="2098"/>
      <c r="Z464" s="2098"/>
      <c r="AA464" s="2098"/>
      <c r="AB464" s="2098"/>
      <c r="AC464" s="2098"/>
      <c r="AD464" s="2098"/>
      <c r="AE464" s="2098"/>
      <c r="AF464" s="2098"/>
      <c r="AG464" s="2098"/>
      <c r="AH464" s="2098"/>
      <c r="AI464" s="2098"/>
      <c r="AJ464" s="2098"/>
      <c r="AK464" s="2098"/>
      <c r="AL464" s="2098"/>
      <c r="AM464" s="2098"/>
      <c r="AN464" s="2098"/>
      <c r="AO464" s="2098"/>
      <c r="AP464" s="2098"/>
      <c r="AQ464" s="2098"/>
      <c r="AR464" s="2098"/>
      <c r="AS464" s="2098"/>
      <c r="AT464" s="2098"/>
      <c r="AU464" s="2098"/>
      <c r="AV464" s="2098"/>
      <c r="AW464" s="2098"/>
      <c r="AX464" s="2098"/>
      <c r="AY464" s="2098"/>
      <c r="AZ464" s="2098"/>
    </row>
    <row r="465" spans="3:52">
      <c r="C465" s="2096"/>
      <c r="D465" s="2097"/>
      <c r="E465" s="2098"/>
      <c r="F465" s="2098"/>
      <c r="G465" s="2098"/>
      <c r="H465" s="2098"/>
      <c r="I465" s="2098"/>
      <c r="J465" s="2098"/>
      <c r="K465" s="2098"/>
      <c r="L465" s="2098"/>
      <c r="M465" s="2098"/>
      <c r="N465" s="2098"/>
      <c r="O465" s="2098"/>
      <c r="P465" s="2098"/>
      <c r="Q465" s="2098"/>
      <c r="R465" s="2098"/>
      <c r="S465" s="2098"/>
      <c r="T465" s="2098"/>
      <c r="U465" s="2098"/>
      <c r="V465" s="2098"/>
      <c r="W465" s="2098"/>
      <c r="X465" s="2098"/>
      <c r="Y465" s="2098"/>
      <c r="Z465" s="2098"/>
      <c r="AA465" s="2098"/>
      <c r="AB465" s="2098"/>
      <c r="AC465" s="2098"/>
      <c r="AD465" s="2098"/>
      <c r="AE465" s="2098"/>
      <c r="AF465" s="2098"/>
      <c r="AG465" s="2098"/>
      <c r="AH465" s="2098"/>
      <c r="AI465" s="2098"/>
      <c r="AJ465" s="2098"/>
      <c r="AK465" s="2098"/>
      <c r="AL465" s="2098"/>
      <c r="AM465" s="2098"/>
      <c r="AN465" s="2098"/>
      <c r="AO465" s="2098"/>
      <c r="AP465" s="2098"/>
      <c r="AQ465" s="2098"/>
      <c r="AR465" s="2098"/>
      <c r="AS465" s="2098"/>
      <c r="AT465" s="2098"/>
      <c r="AU465" s="2098"/>
      <c r="AV465" s="2098"/>
      <c r="AW465" s="2098"/>
      <c r="AX465" s="2098"/>
      <c r="AY465" s="2098"/>
      <c r="AZ465" s="2098"/>
    </row>
    <row r="466" spans="3:52">
      <c r="C466" s="2096"/>
      <c r="D466" s="2097"/>
      <c r="E466" s="2098"/>
      <c r="F466" s="2098"/>
      <c r="G466" s="2098"/>
      <c r="H466" s="2098"/>
      <c r="I466" s="2098"/>
      <c r="J466" s="2098"/>
      <c r="K466" s="2098"/>
      <c r="L466" s="2098"/>
      <c r="M466" s="2098"/>
      <c r="N466" s="2098"/>
      <c r="O466" s="2098"/>
      <c r="P466" s="2098"/>
      <c r="Q466" s="2098"/>
      <c r="R466" s="2098"/>
      <c r="S466" s="2098"/>
      <c r="T466" s="2098"/>
      <c r="U466" s="2098"/>
      <c r="V466" s="2098"/>
      <c r="W466" s="2098"/>
      <c r="X466" s="2098"/>
      <c r="Y466" s="2098"/>
      <c r="Z466" s="2098"/>
      <c r="AA466" s="2098"/>
      <c r="AB466" s="2098"/>
      <c r="AC466" s="2098"/>
      <c r="AD466" s="2098"/>
      <c r="AE466" s="2098"/>
      <c r="AF466" s="2098"/>
      <c r="AG466" s="2098"/>
      <c r="AH466" s="2098"/>
      <c r="AI466" s="2098"/>
      <c r="AJ466" s="2098"/>
      <c r="AK466" s="2098"/>
      <c r="AL466" s="2098"/>
      <c r="AM466" s="2098"/>
      <c r="AN466" s="2098"/>
      <c r="AO466" s="2098"/>
      <c r="AP466" s="2098"/>
      <c r="AQ466" s="2098"/>
      <c r="AR466" s="2098"/>
      <c r="AS466" s="2098"/>
      <c r="AT466" s="2098"/>
      <c r="AU466" s="2098"/>
      <c r="AV466" s="2098"/>
      <c r="AW466" s="2098"/>
      <c r="AX466" s="2098"/>
      <c r="AY466" s="2098"/>
      <c r="AZ466" s="2098"/>
    </row>
    <row r="467" spans="3:52">
      <c r="C467" s="2096"/>
      <c r="D467" s="2097"/>
      <c r="E467" s="2098"/>
      <c r="F467" s="2098"/>
      <c r="G467" s="2098"/>
      <c r="H467" s="2098"/>
      <c r="I467" s="2098"/>
      <c r="J467" s="2098"/>
      <c r="K467" s="2098"/>
      <c r="L467" s="2098"/>
      <c r="M467" s="2098"/>
      <c r="N467" s="2098"/>
      <c r="O467" s="2098"/>
      <c r="P467" s="2098"/>
      <c r="Q467" s="2098"/>
      <c r="R467" s="2098"/>
      <c r="S467" s="2098"/>
      <c r="T467" s="2098"/>
      <c r="U467" s="2098"/>
      <c r="V467" s="2098"/>
      <c r="W467" s="2098"/>
      <c r="X467" s="2098"/>
      <c r="Y467" s="2098"/>
      <c r="Z467" s="2098"/>
      <c r="AA467" s="2098"/>
      <c r="AB467" s="2098"/>
      <c r="AC467" s="2098"/>
      <c r="AD467" s="2098"/>
      <c r="AE467" s="2098"/>
      <c r="AF467" s="2098"/>
      <c r="AG467" s="2098"/>
      <c r="AH467" s="2098"/>
      <c r="AI467" s="2098"/>
      <c r="AJ467" s="2098"/>
      <c r="AK467" s="2098"/>
      <c r="AL467" s="2098"/>
      <c r="AM467" s="2098"/>
      <c r="AN467" s="2098"/>
      <c r="AO467" s="2098"/>
      <c r="AP467" s="2098"/>
      <c r="AQ467" s="2098"/>
      <c r="AR467" s="2098"/>
      <c r="AS467" s="2098"/>
      <c r="AT467" s="2098"/>
      <c r="AU467" s="2098"/>
      <c r="AV467" s="2098"/>
      <c r="AW467" s="2098"/>
      <c r="AX467" s="2098"/>
      <c r="AY467" s="2098"/>
      <c r="AZ467" s="2098"/>
    </row>
    <row r="468" spans="3:52">
      <c r="C468" s="2096"/>
      <c r="D468" s="2097"/>
      <c r="E468" s="2098"/>
      <c r="F468" s="2098"/>
      <c r="G468" s="2098"/>
      <c r="H468" s="2098"/>
      <c r="I468" s="2098"/>
      <c r="J468" s="2098"/>
      <c r="K468" s="2098"/>
      <c r="L468" s="2098"/>
      <c r="M468" s="2098"/>
      <c r="N468" s="2098"/>
      <c r="O468" s="2098"/>
      <c r="P468" s="2098"/>
      <c r="Q468" s="2098"/>
      <c r="R468" s="2098"/>
      <c r="S468" s="2098"/>
      <c r="T468" s="2098"/>
      <c r="U468" s="2098"/>
      <c r="V468" s="2098"/>
      <c r="W468" s="2098"/>
      <c r="X468" s="2098"/>
      <c r="Y468" s="2098"/>
      <c r="Z468" s="2098"/>
      <c r="AA468" s="2098"/>
      <c r="AB468" s="2098"/>
      <c r="AC468" s="2098"/>
      <c r="AD468" s="2098"/>
      <c r="AE468" s="2098"/>
      <c r="AF468" s="2098"/>
      <c r="AG468" s="2098"/>
      <c r="AH468" s="2098"/>
      <c r="AI468" s="2098"/>
      <c r="AJ468" s="2098"/>
      <c r="AK468" s="2098"/>
      <c r="AL468" s="2098"/>
      <c r="AM468" s="2098"/>
      <c r="AN468" s="2098"/>
      <c r="AO468" s="2098"/>
      <c r="AP468" s="2098"/>
      <c r="AQ468" s="2098"/>
      <c r="AR468" s="2098"/>
      <c r="AS468" s="2098"/>
      <c r="AT468" s="2098"/>
      <c r="AU468" s="2098"/>
      <c r="AV468" s="2098"/>
      <c r="AW468" s="2098"/>
      <c r="AX468" s="2098"/>
      <c r="AY468" s="2098"/>
      <c r="AZ468" s="2098"/>
    </row>
    <row r="469" spans="3:52">
      <c r="C469" s="2096"/>
      <c r="D469" s="2097"/>
      <c r="E469" s="2098"/>
      <c r="F469" s="2098"/>
      <c r="G469" s="2098"/>
      <c r="H469" s="2098"/>
      <c r="I469" s="2098"/>
      <c r="J469" s="2098"/>
      <c r="K469" s="2098"/>
      <c r="L469" s="2098"/>
      <c r="M469" s="2098"/>
      <c r="N469" s="2098"/>
      <c r="O469" s="2098"/>
      <c r="P469" s="2098"/>
      <c r="Q469" s="2098"/>
      <c r="R469" s="2098"/>
      <c r="S469" s="2098"/>
      <c r="T469" s="2098"/>
      <c r="U469" s="2098"/>
      <c r="V469" s="2098"/>
      <c r="W469" s="2098"/>
      <c r="X469" s="2098"/>
      <c r="Y469" s="2098"/>
      <c r="Z469" s="2098"/>
      <c r="AA469" s="2098"/>
      <c r="AB469" s="2098"/>
      <c r="AC469" s="2098"/>
      <c r="AD469" s="2098"/>
      <c r="AE469" s="2098"/>
      <c r="AF469" s="2098"/>
      <c r="AG469" s="2098"/>
      <c r="AH469" s="2098"/>
      <c r="AI469" s="2098"/>
      <c r="AJ469" s="2098"/>
      <c r="AK469" s="2098"/>
      <c r="AL469" s="2098"/>
      <c r="AM469" s="2098"/>
      <c r="AN469" s="2098"/>
      <c r="AO469" s="2098"/>
      <c r="AP469" s="2098"/>
      <c r="AQ469" s="2098"/>
      <c r="AR469" s="2098"/>
      <c r="AS469" s="2098"/>
      <c r="AT469" s="2098"/>
      <c r="AU469" s="2098"/>
      <c r="AV469" s="2098"/>
      <c r="AW469" s="2098"/>
      <c r="AX469" s="2098"/>
      <c r="AY469" s="2098"/>
      <c r="AZ469" s="2098"/>
    </row>
    <row r="470" spans="3:52">
      <c r="C470" s="2096"/>
      <c r="D470" s="2097"/>
      <c r="E470" s="2098"/>
      <c r="F470" s="2098"/>
      <c r="G470" s="2098"/>
      <c r="H470" s="2098"/>
      <c r="I470" s="2098"/>
      <c r="J470" s="2098"/>
      <c r="K470" s="2098"/>
      <c r="L470" s="2098"/>
      <c r="M470" s="2098"/>
      <c r="N470" s="2098"/>
      <c r="O470" s="2098"/>
      <c r="P470" s="2098"/>
      <c r="Q470" s="2098"/>
      <c r="R470" s="2098"/>
      <c r="S470" s="2098"/>
      <c r="T470" s="2098"/>
      <c r="U470" s="2098"/>
      <c r="V470" s="2098"/>
      <c r="W470" s="2098"/>
      <c r="X470" s="2098"/>
      <c r="Y470" s="2098"/>
      <c r="Z470" s="2098"/>
      <c r="AA470" s="2098"/>
      <c r="AB470" s="2098"/>
      <c r="AC470" s="2098"/>
      <c r="AD470" s="2098"/>
      <c r="AE470" s="2098"/>
      <c r="AF470" s="2098"/>
      <c r="AG470" s="2098"/>
      <c r="AH470" s="2098"/>
      <c r="AI470" s="2098"/>
      <c r="AJ470" s="2098"/>
      <c r="AK470" s="2098"/>
      <c r="AL470" s="2098"/>
      <c r="AM470" s="2098"/>
      <c r="AN470" s="2098"/>
      <c r="AO470" s="2098"/>
      <c r="AP470" s="2098"/>
      <c r="AQ470" s="2098"/>
      <c r="AR470" s="2098"/>
      <c r="AS470" s="2098"/>
      <c r="AT470" s="2098"/>
      <c r="AU470" s="2098"/>
      <c r="AV470" s="2098"/>
      <c r="AW470" s="2098"/>
      <c r="AX470" s="2098"/>
      <c r="AY470" s="2098"/>
      <c r="AZ470" s="2098"/>
    </row>
    <row r="471" spans="3:52">
      <c r="C471" s="2096"/>
      <c r="D471" s="2097"/>
      <c r="E471" s="2098"/>
      <c r="F471" s="2098"/>
      <c r="G471" s="2098"/>
      <c r="H471" s="2098"/>
      <c r="I471" s="2098"/>
      <c r="J471" s="2098"/>
      <c r="K471" s="2098"/>
      <c r="L471" s="2098"/>
      <c r="M471" s="2098"/>
      <c r="N471" s="2098"/>
      <c r="O471" s="2098"/>
      <c r="P471" s="2098"/>
      <c r="Q471" s="2098"/>
      <c r="R471" s="2098"/>
      <c r="S471" s="2098"/>
      <c r="T471" s="2098"/>
      <c r="U471" s="2098"/>
      <c r="V471" s="2098"/>
      <c r="W471" s="2098"/>
      <c r="X471" s="2098"/>
      <c r="Y471" s="2098"/>
      <c r="Z471" s="2098"/>
      <c r="AA471" s="2098"/>
      <c r="AB471" s="2098"/>
      <c r="AC471" s="2098"/>
      <c r="AD471" s="2098"/>
      <c r="AE471" s="2098"/>
      <c r="AF471" s="2098"/>
      <c r="AG471" s="2098"/>
      <c r="AH471" s="2098"/>
      <c r="AI471" s="2098"/>
      <c r="AJ471" s="2098"/>
      <c r="AK471" s="2098"/>
      <c r="AL471" s="2098"/>
      <c r="AM471" s="2098"/>
      <c r="AN471" s="2098"/>
      <c r="AO471" s="2098"/>
      <c r="AP471" s="2098"/>
      <c r="AQ471" s="2098"/>
      <c r="AR471" s="2098"/>
      <c r="AS471" s="2098"/>
      <c r="AT471" s="2098"/>
      <c r="AU471" s="2098"/>
      <c r="AV471" s="2098"/>
      <c r="AW471" s="2098"/>
      <c r="AX471" s="2098"/>
      <c r="AY471" s="2098"/>
      <c r="AZ471" s="2098"/>
    </row>
    <row r="472" spans="3:52">
      <c r="C472" s="2096"/>
      <c r="D472" s="2097"/>
      <c r="E472" s="2098"/>
      <c r="F472" s="2098"/>
      <c r="G472" s="2098"/>
      <c r="H472" s="2098"/>
      <c r="I472" s="2098"/>
      <c r="J472" s="2098"/>
      <c r="K472" s="2098"/>
      <c r="L472" s="2098"/>
      <c r="M472" s="2098"/>
      <c r="N472" s="2098"/>
      <c r="O472" s="2098"/>
      <c r="P472" s="2098"/>
      <c r="Q472" s="2098"/>
      <c r="R472" s="2098"/>
      <c r="S472" s="2098"/>
      <c r="T472" s="2098"/>
      <c r="U472" s="2098"/>
      <c r="V472" s="2098"/>
      <c r="W472" s="2098"/>
      <c r="X472" s="2098"/>
      <c r="Y472" s="2098"/>
      <c r="Z472" s="2098"/>
      <c r="AA472" s="2098"/>
      <c r="AB472" s="2098"/>
      <c r="AC472" s="2098"/>
      <c r="AD472" s="2098"/>
      <c r="AE472" s="2098"/>
      <c r="AF472" s="2098"/>
      <c r="AG472" s="2098"/>
      <c r="AH472" s="2098"/>
      <c r="AI472" s="2098"/>
      <c r="AJ472" s="2098"/>
      <c r="AK472" s="2098"/>
      <c r="AL472" s="2098"/>
      <c r="AM472" s="2098"/>
      <c r="AN472" s="2098"/>
      <c r="AO472" s="2098"/>
      <c r="AP472" s="2098"/>
      <c r="AQ472" s="2098"/>
      <c r="AR472" s="2098"/>
      <c r="AS472" s="2098"/>
      <c r="AT472" s="2098"/>
      <c r="AU472" s="2098"/>
      <c r="AV472" s="2098"/>
      <c r="AW472" s="2098"/>
      <c r="AX472" s="2098"/>
      <c r="AY472" s="2098"/>
      <c r="AZ472" s="2098"/>
    </row>
    <row r="473" spans="3:52">
      <c r="C473" s="2096"/>
      <c r="D473" s="2097"/>
      <c r="E473" s="2098"/>
      <c r="F473" s="2098"/>
      <c r="G473" s="2098"/>
      <c r="H473" s="2098"/>
      <c r="I473" s="2098"/>
      <c r="J473" s="2098"/>
      <c r="K473" s="2098"/>
      <c r="L473" s="2098"/>
      <c r="M473" s="2098"/>
      <c r="N473" s="2098"/>
      <c r="O473" s="2098"/>
      <c r="P473" s="2098"/>
      <c r="Q473" s="2098"/>
      <c r="R473" s="2098"/>
      <c r="S473" s="2098"/>
      <c r="T473" s="2098"/>
      <c r="U473" s="2098"/>
      <c r="V473" s="2098"/>
      <c r="W473" s="2098"/>
      <c r="X473" s="2098"/>
      <c r="Y473" s="2098"/>
      <c r="Z473" s="2098"/>
      <c r="AA473" s="2098"/>
      <c r="AB473" s="2098"/>
      <c r="AC473" s="2098"/>
      <c r="AD473" s="2098"/>
      <c r="AE473" s="2098"/>
      <c r="AF473" s="2098"/>
      <c r="AG473" s="2098"/>
      <c r="AH473" s="2098"/>
      <c r="AI473" s="2098"/>
      <c r="AJ473" s="2098"/>
      <c r="AK473" s="2098"/>
      <c r="AL473" s="2098"/>
      <c r="AM473" s="2098"/>
      <c r="AN473" s="2098"/>
      <c r="AO473" s="2098"/>
      <c r="AP473" s="2098"/>
      <c r="AQ473" s="2098"/>
      <c r="AR473" s="2098"/>
      <c r="AS473" s="2098"/>
      <c r="AT473" s="2098"/>
      <c r="AU473" s="2098"/>
      <c r="AV473" s="2098"/>
      <c r="AW473" s="2098"/>
      <c r="AX473" s="2098"/>
      <c r="AY473" s="2098"/>
      <c r="AZ473" s="2098"/>
    </row>
    <row r="474" spans="3:52">
      <c r="C474" s="2096"/>
      <c r="D474" s="2097"/>
      <c r="E474" s="2098"/>
      <c r="F474" s="2098"/>
      <c r="G474" s="2098"/>
      <c r="H474" s="2098"/>
      <c r="I474" s="2098"/>
      <c r="J474" s="2098"/>
      <c r="K474" s="2098"/>
      <c r="L474" s="2098"/>
      <c r="M474" s="2098"/>
      <c r="N474" s="2098"/>
      <c r="O474" s="2098"/>
      <c r="P474" s="2098"/>
      <c r="Q474" s="2098"/>
      <c r="R474" s="2098"/>
      <c r="S474" s="2098"/>
      <c r="T474" s="2098"/>
      <c r="U474" s="2098"/>
      <c r="V474" s="2098"/>
      <c r="W474" s="2098"/>
      <c r="X474" s="2098"/>
      <c r="Y474" s="2098"/>
      <c r="Z474" s="2098"/>
      <c r="AA474" s="2098"/>
      <c r="AB474" s="2098"/>
      <c r="AC474" s="2098"/>
      <c r="AD474" s="2098"/>
      <c r="AE474" s="2098"/>
      <c r="AF474" s="2098"/>
      <c r="AG474" s="2098"/>
      <c r="AH474" s="2098"/>
      <c r="AI474" s="2098"/>
      <c r="AJ474" s="2098"/>
      <c r="AK474" s="2098"/>
      <c r="AL474" s="2098"/>
      <c r="AM474" s="2098"/>
      <c r="AN474" s="2098"/>
      <c r="AO474" s="2098"/>
      <c r="AP474" s="2098"/>
      <c r="AQ474" s="2098"/>
      <c r="AR474" s="2098"/>
      <c r="AS474" s="2098"/>
      <c r="AT474" s="2098"/>
      <c r="AU474" s="2098"/>
      <c r="AV474" s="2098"/>
      <c r="AW474" s="2098"/>
      <c r="AX474" s="2098"/>
      <c r="AY474" s="2098"/>
      <c r="AZ474" s="2098"/>
    </row>
    <row r="475" spans="3:52">
      <c r="C475" s="2096"/>
      <c r="D475" s="2097"/>
      <c r="E475" s="2098"/>
      <c r="F475" s="2098"/>
      <c r="G475" s="2098"/>
      <c r="H475" s="2098"/>
      <c r="I475" s="2098"/>
      <c r="J475" s="2098"/>
      <c r="K475" s="2098"/>
      <c r="L475" s="2098"/>
      <c r="M475" s="2098"/>
      <c r="N475" s="2098"/>
      <c r="O475" s="2098"/>
      <c r="P475" s="2098"/>
      <c r="Q475" s="2098"/>
      <c r="R475" s="2098"/>
      <c r="S475" s="2098"/>
      <c r="T475" s="2098"/>
      <c r="U475" s="2098"/>
      <c r="V475" s="2098"/>
      <c r="W475" s="2098"/>
      <c r="X475" s="2098"/>
      <c r="Y475" s="2098"/>
      <c r="Z475" s="2098"/>
      <c r="AA475" s="2098"/>
      <c r="AB475" s="2098"/>
      <c r="AC475" s="2098"/>
      <c r="AD475" s="2098"/>
      <c r="AE475" s="2098"/>
      <c r="AF475" s="2098"/>
      <c r="AG475" s="2098"/>
      <c r="AH475" s="2098"/>
      <c r="AI475" s="2098"/>
      <c r="AJ475" s="2098"/>
      <c r="AK475" s="2098"/>
      <c r="AL475" s="2098"/>
      <c r="AM475" s="2098"/>
      <c r="AN475" s="2098"/>
      <c r="AO475" s="2098"/>
      <c r="AP475" s="2098"/>
      <c r="AQ475" s="2098"/>
      <c r="AR475" s="2098"/>
      <c r="AS475" s="2098"/>
      <c r="AT475" s="2098"/>
      <c r="AU475" s="2098"/>
      <c r="AV475" s="2098"/>
      <c r="AW475" s="2098"/>
      <c r="AX475" s="2098"/>
      <c r="AY475" s="2098"/>
      <c r="AZ475" s="2098"/>
    </row>
    <row r="476" spans="3:52">
      <c r="C476" s="2096"/>
      <c r="D476" s="2097"/>
      <c r="E476" s="2098"/>
      <c r="F476" s="2098"/>
      <c r="G476" s="2098"/>
      <c r="H476" s="2098"/>
      <c r="I476" s="2098"/>
      <c r="J476" s="2098"/>
      <c r="K476" s="2098"/>
      <c r="L476" s="2098"/>
      <c r="M476" s="2098"/>
      <c r="N476" s="2098"/>
      <c r="O476" s="2098"/>
      <c r="P476" s="2098"/>
      <c r="Q476" s="2098"/>
      <c r="R476" s="2098"/>
      <c r="S476" s="2098"/>
      <c r="T476" s="2098"/>
      <c r="U476" s="2098"/>
      <c r="V476" s="2098"/>
      <c r="W476" s="2098"/>
      <c r="X476" s="2098"/>
      <c r="Y476" s="2098"/>
      <c r="Z476" s="2098"/>
      <c r="AA476" s="2098"/>
      <c r="AB476" s="2098"/>
      <c r="AC476" s="2098"/>
      <c r="AD476" s="2098"/>
      <c r="AE476" s="2098"/>
      <c r="AF476" s="2098"/>
      <c r="AG476" s="2098"/>
      <c r="AH476" s="2098"/>
      <c r="AI476" s="2098"/>
      <c r="AJ476" s="2098"/>
      <c r="AK476" s="2098"/>
      <c r="AL476" s="2098"/>
      <c r="AM476" s="2098"/>
      <c r="AN476" s="2098"/>
      <c r="AO476" s="2098"/>
      <c r="AP476" s="2098"/>
      <c r="AQ476" s="2098"/>
      <c r="AR476" s="2098"/>
      <c r="AS476" s="2098"/>
      <c r="AT476" s="2098"/>
      <c r="AU476" s="2098"/>
      <c r="AV476" s="2098"/>
      <c r="AW476" s="2098"/>
      <c r="AX476" s="2098"/>
      <c r="AY476" s="2098"/>
      <c r="AZ476" s="2098"/>
    </row>
    <row r="477" spans="3:52">
      <c r="C477" s="2096"/>
      <c r="D477" s="2097"/>
      <c r="E477" s="2098"/>
      <c r="F477" s="2098"/>
      <c r="G477" s="2098"/>
      <c r="H477" s="2098"/>
      <c r="I477" s="2098"/>
      <c r="J477" s="2098"/>
      <c r="K477" s="2098"/>
      <c r="L477" s="2098"/>
      <c r="M477" s="2098"/>
      <c r="N477" s="2098"/>
      <c r="O477" s="2098"/>
      <c r="P477" s="2098"/>
      <c r="Q477" s="2098"/>
      <c r="R477" s="2098"/>
      <c r="S477" s="2098"/>
      <c r="T477" s="2098"/>
      <c r="U477" s="2098"/>
      <c r="V477" s="2098"/>
      <c r="W477" s="2098"/>
      <c r="X477" s="2098"/>
      <c r="Y477" s="2098"/>
      <c r="Z477" s="2098"/>
      <c r="AA477" s="2098"/>
      <c r="AB477" s="2098"/>
      <c r="AC477" s="2098"/>
      <c r="AD477" s="2098"/>
      <c r="AE477" s="2098"/>
      <c r="AF477" s="2098"/>
      <c r="AG477" s="2098"/>
      <c r="AH477" s="2098"/>
      <c r="AI477" s="2098"/>
      <c r="AJ477" s="2098"/>
      <c r="AK477" s="2098"/>
      <c r="AL477" s="2098"/>
      <c r="AM477" s="2098"/>
      <c r="AN477" s="2098"/>
      <c r="AO477" s="2098"/>
      <c r="AP477" s="2098"/>
      <c r="AQ477" s="2098"/>
      <c r="AR477" s="2098"/>
      <c r="AS477" s="2098"/>
      <c r="AT477" s="2098"/>
      <c r="AU477" s="2098"/>
      <c r="AV477" s="2098"/>
      <c r="AW477" s="2098"/>
      <c r="AX477" s="2098"/>
      <c r="AY477" s="2098"/>
      <c r="AZ477" s="2098"/>
    </row>
    <row r="478" spans="3:52">
      <c r="C478" s="2096"/>
      <c r="D478" s="2097"/>
      <c r="E478" s="2098"/>
      <c r="F478" s="2098"/>
      <c r="G478" s="2098"/>
      <c r="H478" s="2098"/>
      <c r="I478" s="2098"/>
      <c r="J478" s="2098"/>
      <c r="K478" s="2098"/>
      <c r="L478" s="2098"/>
      <c r="M478" s="2098"/>
      <c r="N478" s="2098"/>
      <c r="O478" s="2098"/>
      <c r="P478" s="2098"/>
      <c r="Q478" s="2098"/>
      <c r="R478" s="2098"/>
      <c r="S478" s="2098"/>
      <c r="T478" s="2098"/>
      <c r="U478" s="2098"/>
      <c r="V478" s="2098"/>
      <c r="W478" s="2098"/>
      <c r="X478" s="2098"/>
      <c r="Y478" s="2098"/>
      <c r="Z478" s="2098"/>
      <c r="AA478" s="2098"/>
      <c r="AB478" s="2098"/>
      <c r="AC478" s="2098"/>
      <c r="AD478" s="2098"/>
      <c r="AE478" s="2098"/>
      <c r="AF478" s="2098"/>
      <c r="AG478" s="2098"/>
      <c r="AH478" s="2098"/>
      <c r="AI478" s="2098"/>
      <c r="AJ478" s="2098"/>
      <c r="AK478" s="2098"/>
      <c r="AL478" s="2098"/>
      <c r="AM478" s="2098"/>
      <c r="AN478" s="2098"/>
      <c r="AO478" s="2098"/>
      <c r="AP478" s="2098"/>
      <c r="AQ478" s="2098"/>
      <c r="AR478" s="2098"/>
      <c r="AS478" s="2098"/>
      <c r="AT478" s="2098"/>
      <c r="AU478" s="2098"/>
      <c r="AV478" s="2098"/>
      <c r="AW478" s="2098"/>
      <c r="AX478" s="2098"/>
      <c r="AY478" s="2098"/>
      <c r="AZ478" s="2098"/>
    </row>
    <row r="479" spans="3:52">
      <c r="C479" s="2096"/>
      <c r="D479" s="2097"/>
      <c r="E479" s="2098"/>
      <c r="F479" s="2098"/>
      <c r="G479" s="2098"/>
      <c r="H479" s="2098"/>
      <c r="I479" s="2098"/>
      <c r="J479" s="2098"/>
      <c r="K479" s="2098"/>
      <c r="L479" s="2098"/>
      <c r="M479" s="2098"/>
      <c r="N479" s="2098"/>
      <c r="O479" s="2098"/>
      <c r="P479" s="2098"/>
      <c r="Q479" s="2098"/>
      <c r="R479" s="2098"/>
      <c r="S479" s="2098"/>
      <c r="T479" s="2098"/>
      <c r="U479" s="2098"/>
      <c r="V479" s="2098"/>
      <c r="W479" s="2098"/>
      <c r="X479" s="2098"/>
      <c r="Y479" s="2098"/>
      <c r="Z479" s="2098"/>
      <c r="AA479" s="2098"/>
      <c r="AB479" s="2098"/>
      <c r="AC479" s="2098"/>
      <c r="AD479" s="2098"/>
      <c r="AE479" s="2098"/>
      <c r="AF479" s="2098"/>
      <c r="AG479" s="2098"/>
      <c r="AH479" s="2098"/>
      <c r="AI479" s="2098"/>
      <c r="AJ479" s="2098"/>
      <c r="AK479" s="2098"/>
      <c r="AL479" s="2098"/>
      <c r="AM479" s="2098"/>
      <c r="AN479" s="2098"/>
      <c r="AO479" s="2098"/>
      <c r="AP479" s="2098"/>
      <c r="AQ479" s="2098"/>
      <c r="AR479" s="2098"/>
      <c r="AS479" s="2098"/>
      <c r="AT479" s="2098"/>
      <c r="AU479" s="2098"/>
      <c r="AV479" s="2098"/>
      <c r="AW479" s="2098"/>
      <c r="AX479" s="2098"/>
      <c r="AY479" s="2098"/>
      <c r="AZ479" s="2098"/>
    </row>
    <row r="480" spans="3:52">
      <c r="C480" s="2096"/>
      <c r="D480" s="2097"/>
      <c r="E480" s="2098"/>
      <c r="F480" s="2098"/>
      <c r="G480" s="2098"/>
      <c r="H480" s="2098"/>
      <c r="I480" s="2098"/>
      <c r="J480" s="2098"/>
      <c r="K480" s="2098"/>
      <c r="L480" s="2098"/>
      <c r="M480" s="2098"/>
      <c r="N480" s="2098"/>
      <c r="O480" s="2098"/>
      <c r="P480" s="2098"/>
      <c r="Q480" s="2098"/>
      <c r="R480" s="2098"/>
      <c r="S480" s="2098"/>
      <c r="T480" s="2098"/>
      <c r="U480" s="2098"/>
      <c r="V480" s="2098"/>
      <c r="W480" s="2098"/>
      <c r="X480" s="2098"/>
      <c r="Y480" s="2098"/>
      <c r="Z480" s="2098"/>
      <c r="AA480" s="2098"/>
      <c r="AB480" s="2098"/>
      <c r="AC480" s="2098"/>
      <c r="AD480" s="2098"/>
      <c r="AE480" s="2098"/>
      <c r="AF480" s="2098"/>
      <c r="AG480" s="2098"/>
      <c r="AH480" s="2098"/>
      <c r="AI480" s="2098"/>
      <c r="AJ480" s="2098"/>
      <c r="AK480" s="2098"/>
      <c r="AL480" s="2098"/>
      <c r="AM480" s="2098"/>
      <c r="AN480" s="2098"/>
      <c r="AO480" s="2098"/>
      <c r="AP480" s="2098"/>
      <c r="AQ480" s="2098"/>
      <c r="AR480" s="2098"/>
      <c r="AS480" s="2098"/>
      <c r="AT480" s="2098"/>
      <c r="AU480" s="2098"/>
      <c r="AV480" s="2098"/>
      <c r="AW480" s="2098"/>
      <c r="AX480" s="2098"/>
      <c r="AY480" s="2098"/>
      <c r="AZ480" s="2098"/>
    </row>
    <row r="481" spans="3:52">
      <c r="C481" s="2096"/>
      <c r="D481" s="2097"/>
      <c r="E481" s="2098"/>
      <c r="F481" s="2098"/>
      <c r="G481" s="2098"/>
      <c r="H481" s="2098"/>
      <c r="I481" s="2098"/>
      <c r="J481" s="2098"/>
      <c r="K481" s="2098"/>
      <c r="L481" s="2098"/>
      <c r="M481" s="2098"/>
      <c r="N481" s="2098"/>
      <c r="O481" s="2098"/>
      <c r="P481" s="2098"/>
      <c r="Q481" s="2098"/>
      <c r="R481" s="2098"/>
      <c r="S481" s="2098"/>
      <c r="T481" s="2098"/>
      <c r="U481" s="2098"/>
      <c r="V481" s="2098"/>
      <c r="W481" s="2098"/>
      <c r="X481" s="2098"/>
      <c r="Y481" s="2098"/>
      <c r="Z481" s="2098"/>
      <c r="AA481" s="2098"/>
      <c r="AB481" s="2098"/>
      <c r="AC481" s="2098"/>
      <c r="AD481" s="2098"/>
      <c r="AE481" s="2098"/>
      <c r="AF481" s="2098"/>
      <c r="AG481" s="2098"/>
      <c r="AH481" s="2098"/>
      <c r="AI481" s="2098"/>
      <c r="AJ481" s="2098"/>
      <c r="AK481" s="2098"/>
      <c r="AL481" s="2098"/>
      <c r="AM481" s="2098"/>
      <c r="AN481" s="2098"/>
      <c r="AO481" s="2098"/>
      <c r="AP481" s="2098"/>
      <c r="AQ481" s="2098"/>
      <c r="AR481" s="2098"/>
      <c r="AS481" s="2098"/>
      <c r="AT481" s="2098"/>
      <c r="AU481" s="2098"/>
      <c r="AV481" s="2098"/>
      <c r="AW481" s="2098"/>
      <c r="AX481" s="2098"/>
      <c r="AY481" s="2098"/>
      <c r="AZ481" s="2098"/>
    </row>
    <row r="482" spans="3:52">
      <c r="C482" s="2096"/>
      <c r="D482" s="2097"/>
      <c r="E482" s="2098"/>
      <c r="F482" s="2098"/>
      <c r="G482" s="2098"/>
      <c r="H482" s="2098"/>
      <c r="I482" s="2098"/>
      <c r="J482" s="2098"/>
      <c r="K482" s="2098"/>
      <c r="L482" s="2098"/>
      <c r="M482" s="2098"/>
      <c r="N482" s="2098"/>
      <c r="O482" s="2098"/>
      <c r="P482" s="2098"/>
      <c r="Q482" s="2098"/>
      <c r="R482" s="2098"/>
      <c r="S482" s="2098"/>
      <c r="T482" s="2098"/>
      <c r="U482" s="2098"/>
      <c r="V482" s="2098"/>
      <c r="W482" s="2098"/>
      <c r="X482" s="2098"/>
      <c r="Y482" s="2098"/>
      <c r="Z482" s="2098"/>
      <c r="AA482" s="2098"/>
      <c r="AB482" s="2098"/>
      <c r="AC482" s="2098"/>
      <c r="AD482" s="2098"/>
      <c r="AE482" s="2098"/>
      <c r="AF482" s="2098"/>
      <c r="AG482" s="2098"/>
      <c r="AH482" s="2098"/>
      <c r="AI482" s="2098"/>
      <c r="AJ482" s="2098"/>
      <c r="AK482" s="2098"/>
      <c r="AL482" s="2098"/>
      <c r="AM482" s="2098"/>
      <c r="AN482" s="2098"/>
      <c r="AO482" s="2098"/>
      <c r="AP482" s="2098"/>
      <c r="AQ482" s="2098"/>
      <c r="AR482" s="2098"/>
      <c r="AS482" s="2098"/>
      <c r="AT482" s="2098"/>
      <c r="AU482" s="2098"/>
      <c r="AV482" s="2098"/>
      <c r="AW482" s="2098"/>
      <c r="AX482" s="2098"/>
      <c r="AY482" s="2098"/>
      <c r="AZ482" s="2098"/>
    </row>
    <row r="483" spans="3:52">
      <c r="C483" s="2096"/>
      <c r="D483" s="2097"/>
      <c r="E483" s="2098"/>
      <c r="F483" s="2098"/>
      <c r="G483" s="2098"/>
      <c r="H483" s="2098"/>
      <c r="I483" s="2098"/>
      <c r="J483" s="2098"/>
      <c r="K483" s="2098"/>
      <c r="L483" s="2098"/>
      <c r="M483" s="2098"/>
      <c r="N483" s="2098"/>
      <c r="O483" s="2098"/>
      <c r="P483" s="2098"/>
      <c r="Q483" s="2098"/>
      <c r="R483" s="2098"/>
      <c r="S483" s="2098"/>
      <c r="T483" s="2098"/>
      <c r="U483" s="2098"/>
      <c r="V483" s="2098"/>
      <c r="W483" s="2098"/>
      <c r="X483" s="2098"/>
      <c r="Y483" s="2098"/>
      <c r="Z483" s="2098"/>
      <c r="AA483" s="2098"/>
      <c r="AB483" s="2098"/>
      <c r="AC483" s="2098"/>
      <c r="AD483" s="2098"/>
      <c r="AE483" s="2098"/>
      <c r="AF483" s="2098"/>
      <c r="AG483" s="2098"/>
      <c r="AH483" s="2098"/>
      <c r="AI483" s="2098"/>
      <c r="AJ483" s="2098"/>
      <c r="AK483" s="2098"/>
      <c r="AL483" s="2098"/>
      <c r="AM483" s="2098"/>
      <c r="AN483" s="2098"/>
      <c r="AO483" s="2098"/>
      <c r="AP483" s="2098"/>
      <c r="AQ483" s="2098"/>
      <c r="AR483" s="2098"/>
      <c r="AS483" s="2098"/>
      <c r="AT483" s="2098"/>
      <c r="AU483" s="2098"/>
      <c r="AV483" s="2098"/>
      <c r="AW483" s="2098"/>
      <c r="AX483" s="2098"/>
      <c r="AY483" s="2098"/>
      <c r="AZ483" s="2098"/>
    </row>
    <row r="484" spans="3:52">
      <c r="C484" s="2096"/>
      <c r="D484" s="2097"/>
      <c r="E484" s="2098"/>
      <c r="F484" s="2098"/>
      <c r="G484" s="2098"/>
      <c r="H484" s="2098"/>
      <c r="I484" s="2098"/>
      <c r="J484" s="2098"/>
      <c r="K484" s="2098"/>
      <c r="L484" s="2098"/>
      <c r="M484" s="2098"/>
      <c r="N484" s="2098"/>
      <c r="O484" s="2098"/>
      <c r="P484" s="2098"/>
      <c r="Q484" s="2098"/>
      <c r="R484" s="2098"/>
      <c r="S484" s="2098"/>
      <c r="T484" s="2098"/>
      <c r="U484" s="2098"/>
      <c r="V484" s="2098"/>
      <c r="W484" s="2098"/>
      <c r="X484" s="2098"/>
      <c r="Y484" s="2098"/>
      <c r="Z484" s="2098"/>
      <c r="AA484" s="2098"/>
      <c r="AB484" s="2098"/>
      <c r="AC484" s="2098"/>
      <c r="AD484" s="2098"/>
      <c r="AE484" s="2098"/>
      <c r="AF484" s="2098"/>
      <c r="AG484" s="2098"/>
      <c r="AH484" s="2098"/>
      <c r="AI484" s="2098"/>
      <c r="AJ484" s="2098"/>
      <c r="AK484" s="2098"/>
      <c r="AL484" s="2098"/>
      <c r="AM484" s="2098"/>
      <c r="AN484" s="2098"/>
      <c r="AO484" s="2098"/>
      <c r="AP484" s="2098"/>
      <c r="AQ484" s="2098"/>
      <c r="AR484" s="2098"/>
      <c r="AS484" s="2098"/>
      <c r="AT484" s="2098"/>
      <c r="AU484" s="2098"/>
      <c r="AV484" s="2098"/>
      <c r="AW484" s="2098"/>
      <c r="AX484" s="2098"/>
      <c r="AY484" s="2098"/>
      <c r="AZ484" s="2098"/>
    </row>
    <row r="485" spans="3:52">
      <c r="C485" s="2096"/>
      <c r="D485" s="2097"/>
      <c r="E485" s="2098"/>
      <c r="F485" s="2098"/>
      <c r="G485" s="2098"/>
      <c r="H485" s="2098"/>
      <c r="I485" s="2098"/>
      <c r="J485" s="2098"/>
      <c r="K485" s="2098"/>
      <c r="L485" s="2098"/>
      <c r="M485" s="2098"/>
      <c r="N485" s="2098"/>
      <c r="O485" s="2098"/>
      <c r="P485" s="2098"/>
      <c r="Q485" s="2098"/>
      <c r="R485" s="2098"/>
      <c r="S485" s="2098"/>
      <c r="T485" s="2098"/>
      <c r="U485" s="2098"/>
      <c r="V485" s="2098"/>
      <c r="W485" s="2098"/>
      <c r="X485" s="2098"/>
      <c r="Y485" s="2098"/>
      <c r="Z485" s="2098"/>
      <c r="AA485" s="2098"/>
      <c r="AB485" s="2098"/>
      <c r="AC485" s="2098"/>
      <c r="AD485" s="2098"/>
      <c r="AE485" s="2098"/>
      <c r="AF485" s="2098"/>
      <c r="AG485" s="2098"/>
      <c r="AH485" s="2098"/>
      <c r="AI485" s="2098"/>
      <c r="AJ485" s="2098"/>
      <c r="AK485" s="2098"/>
      <c r="AL485" s="2098"/>
      <c r="AM485" s="2098"/>
      <c r="AN485" s="2098"/>
      <c r="AO485" s="2098"/>
      <c r="AP485" s="2098"/>
      <c r="AQ485" s="2098"/>
      <c r="AR485" s="2098"/>
      <c r="AS485" s="2098"/>
      <c r="AT485" s="2098"/>
      <c r="AU485" s="2098"/>
      <c r="AV485" s="2098"/>
      <c r="AW485" s="2098"/>
      <c r="AX485" s="2098"/>
      <c r="AY485" s="2098"/>
      <c r="AZ485" s="2098"/>
    </row>
    <row r="486" spans="3:52">
      <c r="C486" s="2096"/>
      <c r="D486" s="2097"/>
      <c r="E486" s="2098"/>
      <c r="F486" s="2098"/>
      <c r="G486" s="2098"/>
      <c r="H486" s="2098"/>
      <c r="I486" s="2098"/>
      <c r="J486" s="2098"/>
      <c r="K486" s="2098"/>
      <c r="L486" s="2098"/>
      <c r="M486" s="2098"/>
      <c r="N486" s="2098"/>
      <c r="O486" s="2098"/>
      <c r="P486" s="2098"/>
      <c r="Q486" s="2098"/>
      <c r="R486" s="2098"/>
      <c r="S486" s="2098"/>
      <c r="T486" s="2098"/>
      <c r="U486" s="2098"/>
      <c r="V486" s="2098"/>
      <c r="W486" s="2098"/>
      <c r="X486" s="2098"/>
      <c r="Y486" s="2098"/>
      <c r="Z486" s="2098"/>
      <c r="AA486" s="2098"/>
      <c r="AB486" s="2098"/>
      <c r="AC486" s="2098"/>
      <c r="AD486" s="2098"/>
      <c r="AE486" s="2098"/>
      <c r="AF486" s="2098"/>
      <c r="AG486" s="2098"/>
      <c r="AH486" s="2098"/>
      <c r="AI486" s="2098"/>
      <c r="AJ486" s="2098"/>
      <c r="AK486" s="2098"/>
      <c r="AL486" s="2098"/>
      <c r="AM486" s="2098"/>
      <c r="AN486" s="2098"/>
      <c r="AO486" s="2098"/>
      <c r="AP486" s="2098"/>
      <c r="AQ486" s="2098"/>
      <c r="AR486" s="2098"/>
      <c r="AS486" s="2098"/>
      <c r="AT486" s="2098"/>
      <c r="AU486" s="2098"/>
      <c r="AV486" s="2098"/>
      <c r="AW486" s="2098"/>
      <c r="AX486" s="2098"/>
      <c r="AY486" s="2098"/>
      <c r="AZ486" s="2098"/>
    </row>
    <row r="487" spans="3:52">
      <c r="C487" s="2096"/>
      <c r="D487" s="2097"/>
      <c r="E487" s="2098"/>
      <c r="F487" s="2098"/>
      <c r="G487" s="2098"/>
      <c r="H487" s="2098"/>
      <c r="I487" s="2098"/>
      <c r="J487" s="2098"/>
      <c r="K487" s="2098"/>
      <c r="L487" s="2098"/>
      <c r="M487" s="2098"/>
      <c r="N487" s="2098"/>
      <c r="O487" s="2098"/>
      <c r="P487" s="2098"/>
      <c r="Q487" s="2098"/>
      <c r="R487" s="2098"/>
      <c r="S487" s="2098"/>
      <c r="T487" s="2098"/>
      <c r="U487" s="2098"/>
      <c r="V487" s="2098"/>
      <c r="W487" s="2098"/>
      <c r="X487" s="2098"/>
      <c r="Y487" s="2098"/>
      <c r="Z487" s="2098"/>
      <c r="AA487" s="2098"/>
      <c r="AB487" s="2098"/>
      <c r="AC487" s="2098"/>
      <c r="AD487" s="2098"/>
      <c r="AE487" s="2098"/>
      <c r="AF487" s="2098"/>
      <c r="AG487" s="2098"/>
      <c r="AH487" s="2098"/>
      <c r="AI487" s="2098"/>
      <c r="AJ487" s="2098"/>
      <c r="AK487" s="2098"/>
      <c r="AL487" s="2098"/>
      <c r="AM487" s="2098"/>
      <c r="AN487" s="2098"/>
      <c r="AO487" s="2098"/>
      <c r="AP487" s="2098"/>
      <c r="AQ487" s="2098"/>
      <c r="AR487" s="2098"/>
      <c r="AS487" s="2098"/>
      <c r="AT487" s="2098"/>
      <c r="AU487" s="2098"/>
      <c r="AV487" s="2098"/>
      <c r="AW487" s="2098"/>
      <c r="AX487" s="2098"/>
      <c r="AY487" s="2098"/>
      <c r="AZ487" s="2098"/>
    </row>
    <row r="488" spans="3:52">
      <c r="C488" s="2096"/>
      <c r="D488" s="2097"/>
      <c r="E488" s="2098"/>
      <c r="F488" s="2098"/>
      <c r="G488" s="2098"/>
      <c r="H488" s="2098"/>
      <c r="I488" s="2098"/>
      <c r="J488" s="2098"/>
      <c r="K488" s="2098"/>
      <c r="L488" s="2098"/>
      <c r="M488" s="2098"/>
      <c r="N488" s="2098"/>
      <c r="O488" s="2098"/>
      <c r="P488" s="2098"/>
      <c r="Q488" s="2098"/>
      <c r="R488" s="2098"/>
      <c r="S488" s="2098"/>
      <c r="T488" s="2098"/>
      <c r="U488" s="2098"/>
      <c r="V488" s="2098"/>
      <c r="W488" s="2098"/>
      <c r="X488" s="2098"/>
      <c r="Y488" s="2098"/>
      <c r="Z488" s="2098"/>
      <c r="AA488" s="2098"/>
      <c r="AB488" s="2098"/>
      <c r="AC488" s="2098"/>
      <c r="AD488" s="2098"/>
      <c r="AE488" s="2098"/>
      <c r="AF488" s="2098"/>
      <c r="AG488" s="2098"/>
      <c r="AH488" s="2098"/>
      <c r="AI488" s="2098"/>
      <c r="AJ488" s="2098"/>
      <c r="AK488" s="2098"/>
      <c r="AL488" s="2098"/>
      <c r="AM488" s="2098"/>
      <c r="AN488" s="2098"/>
      <c r="AO488" s="2098"/>
      <c r="AP488" s="2098"/>
      <c r="AQ488" s="2098"/>
      <c r="AR488" s="2098"/>
      <c r="AS488" s="2098"/>
      <c r="AT488" s="2098"/>
      <c r="AU488" s="2098"/>
      <c r="AV488" s="2098"/>
      <c r="AW488" s="2098"/>
      <c r="AX488" s="2098"/>
      <c r="AY488" s="2098"/>
      <c r="AZ488" s="2098"/>
    </row>
    <row r="489" spans="3:52">
      <c r="C489" s="2096"/>
      <c r="D489" s="2097"/>
      <c r="E489" s="2098"/>
      <c r="F489" s="2098"/>
      <c r="G489" s="2098"/>
      <c r="H489" s="2098"/>
      <c r="I489" s="2098"/>
      <c r="J489" s="2098"/>
      <c r="K489" s="2098"/>
      <c r="L489" s="2098"/>
      <c r="M489" s="2098"/>
      <c r="N489" s="2098"/>
      <c r="O489" s="2098"/>
      <c r="P489" s="2098"/>
      <c r="Q489" s="2098"/>
      <c r="R489" s="2098"/>
      <c r="S489" s="2098"/>
      <c r="T489" s="2098"/>
      <c r="U489" s="2098"/>
      <c r="V489" s="2098"/>
      <c r="W489" s="2098"/>
      <c r="X489" s="2098"/>
      <c r="Y489" s="2098"/>
      <c r="Z489" s="2098"/>
      <c r="AA489" s="2098"/>
      <c r="AB489" s="2098"/>
      <c r="AC489" s="2098"/>
      <c r="AD489" s="2098"/>
      <c r="AE489" s="2098"/>
      <c r="AF489" s="2098"/>
      <c r="AG489" s="2098"/>
      <c r="AH489" s="2098"/>
      <c r="AI489" s="2098"/>
      <c r="AJ489" s="2098"/>
      <c r="AK489" s="2098"/>
      <c r="AL489" s="2098"/>
      <c r="AM489" s="2098"/>
      <c r="AN489" s="2098"/>
      <c r="AO489" s="2098"/>
      <c r="AP489" s="2098"/>
      <c r="AQ489" s="2098"/>
      <c r="AR489" s="2098"/>
      <c r="AS489" s="2098"/>
      <c r="AT489" s="2098"/>
      <c r="AU489" s="2098"/>
      <c r="AV489" s="2098"/>
      <c r="AW489" s="2098"/>
      <c r="AX489" s="2098"/>
      <c r="AY489" s="2098"/>
      <c r="AZ489" s="2098"/>
    </row>
    <row r="490" spans="3:52">
      <c r="C490" s="2096"/>
      <c r="D490" s="2097"/>
      <c r="E490" s="2098"/>
      <c r="F490" s="2098"/>
      <c r="G490" s="2098"/>
      <c r="H490" s="2098"/>
      <c r="I490" s="2098"/>
      <c r="J490" s="2098"/>
      <c r="K490" s="2098"/>
      <c r="L490" s="2098"/>
      <c r="M490" s="2098"/>
      <c r="N490" s="2098"/>
      <c r="O490" s="2098"/>
      <c r="P490" s="2098"/>
      <c r="Q490" s="2098"/>
      <c r="R490" s="2098"/>
      <c r="S490" s="2098"/>
      <c r="T490" s="2098"/>
      <c r="U490" s="2098"/>
      <c r="V490" s="2098"/>
      <c r="W490" s="2098"/>
      <c r="X490" s="2098"/>
      <c r="Y490" s="2098"/>
      <c r="Z490" s="2098"/>
      <c r="AA490" s="2098"/>
      <c r="AB490" s="2098"/>
      <c r="AC490" s="2098"/>
      <c r="AD490" s="2098"/>
      <c r="AE490" s="2098"/>
      <c r="AF490" s="2098"/>
      <c r="AG490" s="2098"/>
      <c r="AH490" s="2098"/>
      <c r="AI490" s="2098"/>
      <c r="AJ490" s="2098"/>
      <c r="AK490" s="2098"/>
      <c r="AL490" s="2098"/>
      <c r="AM490" s="2098"/>
      <c r="AN490" s="2098"/>
      <c r="AO490" s="2098"/>
      <c r="AP490" s="2098"/>
      <c r="AQ490" s="2098"/>
      <c r="AR490" s="2098"/>
      <c r="AS490" s="2098"/>
      <c r="AT490" s="2098"/>
      <c r="AU490" s="2098"/>
      <c r="AV490" s="2098"/>
      <c r="AW490" s="2098"/>
      <c r="AX490" s="2098"/>
      <c r="AY490" s="2098"/>
      <c r="AZ490" s="2098"/>
    </row>
    <row r="491" spans="3:52">
      <c r="C491" s="2096"/>
      <c r="D491" s="2097"/>
      <c r="E491" s="2098"/>
      <c r="F491" s="2098"/>
      <c r="G491" s="2098"/>
      <c r="H491" s="2098"/>
      <c r="I491" s="2098"/>
      <c r="J491" s="2098"/>
      <c r="K491" s="2098"/>
      <c r="L491" s="2098"/>
      <c r="M491" s="2098"/>
      <c r="N491" s="2098"/>
      <c r="O491" s="2098"/>
      <c r="P491" s="2098"/>
      <c r="Q491" s="2098"/>
      <c r="R491" s="2098"/>
      <c r="S491" s="2098"/>
      <c r="T491" s="2098"/>
      <c r="U491" s="2098"/>
      <c r="V491" s="2098"/>
      <c r="W491" s="2098"/>
      <c r="X491" s="2098"/>
      <c r="Y491" s="2098"/>
      <c r="Z491" s="2098"/>
      <c r="AA491" s="2098"/>
      <c r="AB491" s="2098"/>
      <c r="AC491" s="2098"/>
      <c r="AD491" s="2098"/>
      <c r="AE491" s="2098"/>
      <c r="AF491" s="2098"/>
      <c r="AG491" s="2098"/>
      <c r="AH491" s="2098"/>
      <c r="AI491" s="2098"/>
      <c r="AJ491" s="2098"/>
      <c r="AK491" s="2098"/>
      <c r="AL491" s="2098"/>
      <c r="AM491" s="2098"/>
      <c r="AN491" s="2098"/>
      <c r="AO491" s="2098"/>
      <c r="AP491" s="2098"/>
      <c r="AQ491" s="2098"/>
      <c r="AR491" s="2098"/>
      <c r="AS491" s="2098"/>
      <c r="AT491" s="2098"/>
      <c r="AU491" s="2098"/>
      <c r="AV491" s="2098"/>
      <c r="AW491" s="2098"/>
      <c r="AX491" s="2098"/>
      <c r="AY491" s="2098"/>
      <c r="AZ491" s="2098"/>
    </row>
    <row r="492" spans="3:52">
      <c r="C492" s="2096"/>
      <c r="D492" s="2097"/>
      <c r="E492" s="2098"/>
      <c r="F492" s="2098"/>
      <c r="G492" s="2098"/>
      <c r="H492" s="2098"/>
      <c r="I492" s="2098"/>
      <c r="J492" s="2098"/>
      <c r="K492" s="2098"/>
      <c r="L492" s="2098"/>
      <c r="M492" s="2098"/>
      <c r="N492" s="2098"/>
      <c r="O492" s="2098"/>
      <c r="P492" s="2098"/>
      <c r="Q492" s="2098"/>
      <c r="R492" s="2098"/>
      <c r="S492" s="2098"/>
      <c r="T492" s="2098"/>
      <c r="U492" s="2098"/>
      <c r="V492" s="2098"/>
      <c r="W492" s="2098"/>
      <c r="X492" s="2098"/>
      <c r="Y492" s="2098"/>
      <c r="Z492" s="2098"/>
      <c r="AA492" s="2098"/>
      <c r="AB492" s="2098"/>
      <c r="AC492" s="2098"/>
      <c r="AD492" s="2098"/>
      <c r="AE492" s="2098"/>
      <c r="AF492" s="2098"/>
      <c r="AG492" s="2098"/>
      <c r="AH492" s="2098"/>
      <c r="AI492" s="2098"/>
      <c r="AJ492" s="2098"/>
      <c r="AK492" s="2098"/>
      <c r="AL492" s="2098"/>
      <c r="AM492" s="2098"/>
      <c r="AN492" s="2098"/>
      <c r="AO492" s="2098"/>
      <c r="AP492" s="2098"/>
      <c r="AQ492" s="2098"/>
      <c r="AR492" s="2098"/>
      <c r="AS492" s="2098"/>
      <c r="AT492" s="2098"/>
      <c r="AU492" s="2098"/>
      <c r="AV492" s="2098"/>
      <c r="AW492" s="2098"/>
      <c r="AX492" s="2098"/>
      <c r="AY492" s="2098"/>
      <c r="AZ492" s="2098"/>
    </row>
    <row r="493" spans="3:52">
      <c r="C493" s="2096"/>
      <c r="D493" s="2097"/>
      <c r="E493" s="2098"/>
      <c r="F493" s="2098"/>
      <c r="G493" s="2098"/>
      <c r="H493" s="2098"/>
      <c r="I493" s="2098"/>
      <c r="J493" s="2098"/>
      <c r="K493" s="2098"/>
      <c r="L493" s="2098"/>
      <c r="M493" s="2098"/>
      <c r="N493" s="2098"/>
      <c r="O493" s="2098"/>
      <c r="P493" s="2098"/>
      <c r="Q493" s="2098"/>
      <c r="R493" s="2098"/>
      <c r="S493" s="2098"/>
      <c r="T493" s="2098"/>
      <c r="U493" s="2098"/>
      <c r="V493" s="2098"/>
      <c r="W493" s="2098"/>
      <c r="X493" s="2098"/>
      <c r="Y493" s="2098"/>
      <c r="Z493" s="2098"/>
      <c r="AA493" s="2098"/>
      <c r="AB493" s="2098"/>
      <c r="AC493" s="2098"/>
      <c r="AD493" s="2098"/>
      <c r="AE493" s="2098"/>
      <c r="AF493" s="2098"/>
      <c r="AG493" s="2098"/>
      <c r="AH493" s="2098"/>
      <c r="AI493" s="2098"/>
      <c r="AJ493" s="2098"/>
      <c r="AK493" s="2098"/>
      <c r="AL493" s="2098"/>
      <c r="AM493" s="2098"/>
      <c r="AN493" s="2098"/>
      <c r="AO493" s="2098"/>
      <c r="AP493" s="2098"/>
      <c r="AQ493" s="2098"/>
      <c r="AR493" s="2098"/>
      <c r="AS493" s="2098"/>
      <c r="AT493" s="2098"/>
      <c r="AU493" s="2098"/>
      <c r="AV493" s="2098"/>
      <c r="AW493" s="2098"/>
      <c r="AX493" s="2098"/>
      <c r="AY493" s="2098"/>
      <c r="AZ493" s="2098"/>
    </row>
    <row r="494" spans="3:52">
      <c r="C494" s="2096"/>
      <c r="D494" s="2097"/>
      <c r="E494" s="2098"/>
      <c r="F494" s="2098"/>
      <c r="G494" s="2098"/>
      <c r="H494" s="2098"/>
      <c r="I494" s="2098"/>
      <c r="J494" s="2098"/>
      <c r="K494" s="2098"/>
      <c r="L494" s="2098"/>
      <c r="M494" s="2098"/>
      <c r="N494" s="2098"/>
      <c r="O494" s="2098"/>
      <c r="P494" s="2098"/>
      <c r="Q494" s="2098"/>
      <c r="R494" s="2098"/>
      <c r="S494" s="2098"/>
      <c r="T494" s="2098"/>
      <c r="U494" s="2098"/>
      <c r="V494" s="2098"/>
      <c r="W494" s="2098"/>
      <c r="X494" s="2098"/>
      <c r="Y494" s="2098"/>
      <c r="Z494" s="2098"/>
      <c r="AA494" s="2098"/>
      <c r="AB494" s="2098"/>
      <c r="AC494" s="2098"/>
      <c r="AD494" s="2098"/>
      <c r="AE494" s="2098"/>
      <c r="AF494" s="2098"/>
      <c r="AG494" s="2098"/>
      <c r="AH494" s="2098"/>
      <c r="AI494" s="2098"/>
      <c r="AJ494" s="2098"/>
      <c r="AK494" s="2098"/>
      <c r="AL494" s="2098"/>
      <c r="AM494" s="2098"/>
      <c r="AN494" s="2098"/>
      <c r="AO494" s="2098"/>
      <c r="AP494" s="2098"/>
      <c r="AQ494" s="2098"/>
      <c r="AR494" s="2098"/>
      <c r="AS494" s="2098"/>
      <c r="AT494" s="2098"/>
      <c r="AU494" s="2098"/>
      <c r="AV494" s="2098"/>
      <c r="AW494" s="2098"/>
      <c r="AX494" s="2098"/>
      <c r="AY494" s="2098"/>
      <c r="AZ494" s="2098"/>
    </row>
    <row r="495" spans="3:52">
      <c r="C495" s="2096"/>
      <c r="D495" s="2097"/>
      <c r="E495" s="2098"/>
      <c r="F495" s="2098"/>
      <c r="G495" s="2098"/>
      <c r="H495" s="2098"/>
      <c r="I495" s="2098"/>
      <c r="J495" s="2098"/>
      <c r="K495" s="2098"/>
      <c r="L495" s="2098"/>
      <c r="M495" s="2098"/>
      <c r="N495" s="2098"/>
      <c r="O495" s="2098"/>
      <c r="P495" s="2098"/>
      <c r="Q495" s="2098"/>
      <c r="R495" s="2098"/>
      <c r="S495" s="2098"/>
      <c r="T495" s="2098"/>
      <c r="U495" s="2098"/>
      <c r="V495" s="2098"/>
      <c r="W495" s="2098"/>
      <c r="X495" s="2098"/>
      <c r="Y495" s="2098"/>
      <c r="Z495" s="2098"/>
      <c r="AA495" s="2098"/>
      <c r="AB495" s="2098"/>
      <c r="AC495" s="2098"/>
      <c r="AD495" s="2098"/>
      <c r="AE495" s="2098"/>
      <c r="AF495" s="2098"/>
      <c r="AG495" s="2098"/>
      <c r="AH495" s="2098"/>
      <c r="AI495" s="2098"/>
      <c r="AJ495" s="2098"/>
      <c r="AK495" s="2098"/>
      <c r="AL495" s="2098"/>
      <c r="AM495" s="2098"/>
      <c r="AN495" s="2098"/>
      <c r="AO495" s="2098"/>
      <c r="AP495" s="2098"/>
      <c r="AQ495" s="2098"/>
      <c r="AR495" s="2098"/>
      <c r="AS495" s="2098"/>
      <c r="AT495" s="2098"/>
      <c r="AU495" s="2098"/>
      <c r="AV495" s="2098"/>
      <c r="AW495" s="2098"/>
      <c r="AX495" s="2098"/>
      <c r="AY495" s="2098"/>
      <c r="AZ495" s="2098"/>
    </row>
    <row r="496" spans="3:52">
      <c r="C496" s="2096"/>
      <c r="D496" s="2097"/>
      <c r="E496" s="2098"/>
      <c r="F496" s="2098"/>
      <c r="G496" s="2098"/>
      <c r="H496" s="2098"/>
      <c r="I496" s="2098"/>
      <c r="J496" s="2098"/>
      <c r="K496" s="2098"/>
      <c r="L496" s="2098"/>
      <c r="M496" s="2098"/>
      <c r="N496" s="2098"/>
      <c r="O496" s="2098"/>
      <c r="P496" s="2098"/>
      <c r="Q496" s="2098"/>
      <c r="R496" s="2098"/>
      <c r="S496" s="2098"/>
      <c r="T496" s="2098"/>
      <c r="U496" s="2098"/>
      <c r="V496" s="2098"/>
      <c r="W496" s="2098"/>
      <c r="X496" s="2098"/>
      <c r="Y496" s="2098"/>
      <c r="Z496" s="2098"/>
      <c r="AA496" s="2098"/>
      <c r="AB496" s="2098"/>
      <c r="AC496" s="2098"/>
      <c r="AD496" s="2098"/>
      <c r="AE496" s="2098"/>
      <c r="AF496" s="2098"/>
      <c r="AG496" s="2098"/>
      <c r="AH496" s="2098"/>
      <c r="AI496" s="2098"/>
      <c r="AJ496" s="2098"/>
      <c r="AK496" s="2098"/>
      <c r="AL496" s="2098"/>
      <c r="AM496" s="2098"/>
      <c r="AN496" s="2098"/>
      <c r="AO496" s="2098"/>
      <c r="AP496" s="2098"/>
      <c r="AQ496" s="2098"/>
      <c r="AR496" s="2098"/>
      <c r="AS496" s="2098"/>
      <c r="AT496" s="2098"/>
      <c r="AU496" s="2098"/>
      <c r="AV496" s="2098"/>
      <c r="AW496" s="2098"/>
      <c r="AX496" s="2098"/>
      <c r="AY496" s="2098"/>
      <c r="AZ496" s="2098"/>
    </row>
    <row r="497" spans="3:52">
      <c r="C497" s="2096"/>
      <c r="D497" s="2097"/>
      <c r="E497" s="2098"/>
      <c r="F497" s="2098"/>
      <c r="G497" s="2098"/>
      <c r="H497" s="2098"/>
      <c r="I497" s="2098"/>
      <c r="J497" s="2098"/>
      <c r="K497" s="2098"/>
      <c r="L497" s="2098"/>
      <c r="M497" s="2098"/>
      <c r="N497" s="2098"/>
      <c r="O497" s="2098"/>
      <c r="P497" s="2098"/>
      <c r="Q497" s="2098"/>
      <c r="R497" s="2098"/>
      <c r="S497" s="2098"/>
      <c r="T497" s="2098"/>
      <c r="U497" s="2098"/>
      <c r="V497" s="2098"/>
      <c r="W497" s="2098"/>
      <c r="X497" s="2098"/>
      <c r="Y497" s="2098"/>
      <c r="Z497" s="2098"/>
      <c r="AA497" s="2098"/>
      <c r="AB497" s="2098"/>
      <c r="AC497" s="2098"/>
      <c r="AD497" s="2098"/>
      <c r="AE497" s="2098"/>
      <c r="AF497" s="2098"/>
      <c r="AG497" s="2098"/>
      <c r="AH497" s="2098"/>
      <c r="AI497" s="2098"/>
      <c r="AJ497" s="2098"/>
      <c r="AK497" s="2098"/>
      <c r="AL497" s="2098"/>
      <c r="AM497" s="2098"/>
      <c r="AN497" s="2098"/>
      <c r="AO497" s="2098"/>
      <c r="AP497" s="2098"/>
      <c r="AQ497" s="2098"/>
      <c r="AR497" s="2098"/>
      <c r="AS497" s="2098"/>
      <c r="AT497" s="2098"/>
      <c r="AU497" s="2098"/>
      <c r="AV497" s="2098"/>
      <c r="AW497" s="2098"/>
      <c r="AX497" s="2098"/>
      <c r="AY497" s="2098"/>
      <c r="AZ497" s="2098"/>
    </row>
    <row r="498" spans="3:52">
      <c r="C498" s="2096"/>
      <c r="D498" s="2097"/>
      <c r="E498" s="2098"/>
      <c r="F498" s="2098"/>
      <c r="G498" s="2098"/>
      <c r="H498" s="2098"/>
      <c r="I498" s="2098"/>
      <c r="J498" s="2098"/>
      <c r="K498" s="2098"/>
      <c r="L498" s="2098"/>
      <c r="M498" s="2098"/>
      <c r="N498" s="2098"/>
      <c r="O498" s="2098"/>
      <c r="P498" s="2098"/>
      <c r="Q498" s="2098"/>
      <c r="R498" s="2098"/>
      <c r="S498" s="2098"/>
      <c r="T498" s="2098"/>
      <c r="U498" s="2098"/>
      <c r="V498" s="2098"/>
      <c r="W498" s="2098"/>
      <c r="X498" s="2098"/>
      <c r="Y498" s="2098"/>
      <c r="Z498" s="2098"/>
      <c r="AA498" s="2098"/>
      <c r="AB498" s="2098"/>
      <c r="AC498" s="2098"/>
      <c r="AD498" s="2098"/>
      <c r="AE498" s="2098"/>
      <c r="AF498" s="2098"/>
      <c r="AG498" s="2098"/>
      <c r="AH498" s="2098"/>
      <c r="AI498" s="2098"/>
      <c r="AJ498" s="2098"/>
      <c r="AK498" s="2098"/>
      <c r="AL498" s="2098"/>
      <c r="AM498" s="2098"/>
      <c r="AN498" s="2098"/>
      <c r="AO498" s="2098"/>
      <c r="AP498" s="2098"/>
      <c r="AQ498" s="2098"/>
      <c r="AR498" s="2098"/>
      <c r="AS498" s="2098"/>
      <c r="AT498" s="2098"/>
      <c r="AU498" s="2098"/>
      <c r="AV498" s="2098"/>
      <c r="AW498" s="2098"/>
      <c r="AX498" s="2098"/>
      <c r="AY498" s="2098"/>
      <c r="AZ498" s="2098"/>
    </row>
    <row r="499" spans="3:52">
      <c r="C499" s="2096"/>
      <c r="D499" s="2097"/>
      <c r="E499" s="2098"/>
      <c r="F499" s="2098"/>
      <c r="G499" s="2098"/>
      <c r="H499" s="2098"/>
      <c r="I499" s="2098"/>
      <c r="J499" s="2098"/>
      <c r="K499" s="2098"/>
      <c r="L499" s="2098"/>
      <c r="M499" s="2098"/>
      <c r="N499" s="2098"/>
      <c r="O499" s="2098"/>
      <c r="P499" s="2098"/>
      <c r="Q499" s="2098"/>
      <c r="R499" s="2098"/>
      <c r="S499" s="2098"/>
      <c r="T499" s="2098"/>
      <c r="U499" s="2098"/>
      <c r="V499" s="2098"/>
      <c r="W499" s="2098"/>
      <c r="X499" s="2098"/>
      <c r="Y499" s="2098"/>
      <c r="Z499" s="2098"/>
      <c r="AA499" s="2098"/>
      <c r="AB499" s="2098"/>
      <c r="AC499" s="2098"/>
      <c r="AD499" s="2098"/>
      <c r="AE499" s="2098"/>
      <c r="AF499" s="2098"/>
      <c r="AG499" s="2098"/>
      <c r="AH499" s="2098"/>
      <c r="AI499" s="2098"/>
      <c r="AJ499" s="2098"/>
      <c r="AK499" s="2098"/>
      <c r="AL499" s="2098"/>
      <c r="AM499" s="2098"/>
      <c r="AN499" s="2098"/>
      <c r="AO499" s="2098"/>
      <c r="AP499" s="2098"/>
      <c r="AQ499" s="2098"/>
      <c r="AR499" s="2098"/>
      <c r="AS499" s="2098"/>
      <c r="AT499" s="2098"/>
      <c r="AU499" s="2098"/>
      <c r="AV499" s="2098"/>
      <c r="AW499" s="2098"/>
      <c r="AX499" s="2098"/>
      <c r="AY499" s="2098"/>
      <c r="AZ499" s="2098"/>
    </row>
    <row r="500" spans="3:52">
      <c r="C500" s="2096"/>
      <c r="D500" s="2097"/>
      <c r="E500" s="2098"/>
      <c r="F500" s="2098"/>
      <c r="G500" s="2098"/>
      <c r="H500" s="2098"/>
      <c r="I500" s="2098"/>
      <c r="J500" s="2098"/>
      <c r="K500" s="2098"/>
      <c r="L500" s="2098"/>
      <c r="M500" s="2098"/>
      <c r="N500" s="2098"/>
      <c r="O500" s="2098"/>
      <c r="P500" s="2098"/>
      <c r="Q500" s="2098"/>
      <c r="R500" s="2098"/>
      <c r="S500" s="2098"/>
      <c r="T500" s="2098"/>
      <c r="U500" s="2098"/>
      <c r="V500" s="2098"/>
      <c r="W500" s="2098"/>
      <c r="X500" s="2098"/>
      <c r="Y500" s="2098"/>
      <c r="Z500" s="2098"/>
      <c r="AA500" s="2098"/>
      <c r="AB500" s="2098"/>
      <c r="AC500" s="2098"/>
      <c r="AD500" s="2098"/>
      <c r="AE500" s="2098"/>
      <c r="AF500" s="2098"/>
      <c r="AG500" s="2098"/>
      <c r="AH500" s="2098"/>
      <c r="AI500" s="2098"/>
      <c r="AJ500" s="2098"/>
      <c r="AK500" s="2098"/>
      <c r="AL500" s="2098"/>
      <c r="AM500" s="2098"/>
      <c r="AN500" s="2098"/>
      <c r="AO500" s="2098"/>
      <c r="AP500" s="2098"/>
      <c r="AQ500" s="2098"/>
      <c r="AR500" s="2098"/>
      <c r="AS500" s="2098"/>
      <c r="AT500" s="2098"/>
      <c r="AU500" s="2098"/>
      <c r="AV500" s="2098"/>
      <c r="AW500" s="2098"/>
      <c r="AX500" s="2098"/>
      <c r="AY500" s="2098"/>
      <c r="AZ500" s="2098"/>
    </row>
    <row r="501" spans="3:52">
      <c r="C501" s="2096"/>
      <c r="D501" s="2097"/>
      <c r="E501" s="2098"/>
      <c r="F501" s="2098"/>
      <c r="G501" s="2098"/>
      <c r="H501" s="2098"/>
      <c r="I501" s="2098"/>
      <c r="J501" s="2098"/>
      <c r="K501" s="2098"/>
      <c r="L501" s="2098"/>
      <c r="M501" s="2098"/>
      <c r="N501" s="2098"/>
      <c r="O501" s="2098"/>
      <c r="P501" s="2098"/>
      <c r="Q501" s="2098"/>
      <c r="R501" s="2098"/>
      <c r="S501" s="2098"/>
      <c r="T501" s="2098"/>
      <c r="U501" s="2098"/>
      <c r="V501" s="2098"/>
      <c r="W501" s="2098"/>
      <c r="X501" s="2098"/>
      <c r="Y501" s="2098"/>
      <c r="Z501" s="2098"/>
      <c r="AA501" s="2098"/>
      <c r="AB501" s="2098"/>
      <c r="AC501" s="2098"/>
      <c r="AD501" s="2098"/>
      <c r="AE501" s="2098"/>
      <c r="AF501" s="2098"/>
      <c r="AG501" s="2098"/>
      <c r="AH501" s="2098"/>
      <c r="AI501" s="2098"/>
      <c r="AJ501" s="2098"/>
      <c r="AK501" s="2098"/>
      <c r="AL501" s="2098"/>
      <c r="AM501" s="2098"/>
      <c r="AN501" s="2098"/>
      <c r="AO501" s="2098"/>
      <c r="AP501" s="2098"/>
      <c r="AQ501" s="2098"/>
      <c r="AR501" s="2098"/>
      <c r="AS501" s="2098"/>
      <c r="AT501" s="2098"/>
      <c r="AU501" s="2098"/>
      <c r="AV501" s="2098"/>
      <c r="AW501" s="2098"/>
      <c r="AX501" s="2098"/>
      <c r="AY501" s="2098"/>
      <c r="AZ501" s="2098"/>
    </row>
    <row r="502" spans="3:52">
      <c r="C502" s="2096"/>
      <c r="D502" s="2097"/>
      <c r="E502" s="2098"/>
      <c r="F502" s="2098"/>
      <c r="G502" s="2098"/>
      <c r="H502" s="2098"/>
      <c r="I502" s="2098"/>
      <c r="J502" s="2098"/>
      <c r="K502" s="2098"/>
      <c r="L502" s="2098"/>
      <c r="M502" s="2098"/>
      <c r="N502" s="2098"/>
      <c r="O502" s="2098"/>
      <c r="P502" s="2098"/>
      <c r="Q502" s="2098"/>
      <c r="R502" s="2098"/>
      <c r="S502" s="2098"/>
      <c r="T502" s="2098"/>
      <c r="U502" s="2098"/>
      <c r="V502" s="2098"/>
      <c r="W502" s="2098"/>
      <c r="X502" s="2098"/>
      <c r="Y502" s="2098"/>
      <c r="Z502" s="2098"/>
      <c r="AA502" s="2098"/>
      <c r="AB502" s="2098"/>
      <c r="AC502" s="2098"/>
      <c r="AD502" s="2098"/>
      <c r="AE502" s="2098"/>
      <c r="AF502" s="2098"/>
      <c r="AG502" s="2098"/>
      <c r="AH502" s="2098"/>
      <c r="AI502" s="2098"/>
      <c r="AJ502" s="2098"/>
      <c r="AK502" s="2098"/>
      <c r="AL502" s="2098"/>
      <c r="AM502" s="2098"/>
      <c r="AN502" s="2098"/>
      <c r="AO502" s="2098"/>
      <c r="AP502" s="2098"/>
      <c r="AQ502" s="2098"/>
      <c r="AR502" s="2098"/>
      <c r="AS502" s="2098"/>
      <c r="AT502" s="2098"/>
      <c r="AU502" s="2098"/>
      <c r="AV502" s="2098"/>
      <c r="AW502" s="2098"/>
      <c r="AX502" s="2098"/>
      <c r="AY502" s="2098"/>
      <c r="AZ502" s="2098"/>
    </row>
    <row r="503" spans="3:52">
      <c r="C503" s="2096"/>
      <c r="D503" s="2097"/>
      <c r="E503" s="2098"/>
      <c r="F503" s="2098"/>
      <c r="G503" s="2098"/>
      <c r="H503" s="2098"/>
      <c r="I503" s="2098"/>
      <c r="J503" s="2098"/>
      <c r="K503" s="2098"/>
      <c r="L503" s="2098"/>
      <c r="M503" s="2098"/>
      <c r="N503" s="2098"/>
      <c r="O503" s="2098"/>
      <c r="P503" s="2098"/>
      <c r="Q503" s="2098"/>
      <c r="R503" s="2098"/>
      <c r="S503" s="2098"/>
      <c r="T503" s="2098"/>
      <c r="U503" s="2098"/>
      <c r="V503" s="2098"/>
      <c r="W503" s="2098"/>
      <c r="X503" s="2098"/>
      <c r="Y503" s="2098"/>
      <c r="Z503" s="2098"/>
      <c r="AA503" s="2098"/>
      <c r="AB503" s="2098"/>
      <c r="AC503" s="2098"/>
      <c r="AD503" s="2098"/>
      <c r="AE503" s="2098"/>
      <c r="AF503" s="2098"/>
      <c r="AG503" s="2098"/>
      <c r="AH503" s="2098"/>
      <c r="AI503" s="2098"/>
      <c r="AJ503" s="2098"/>
      <c r="AK503" s="2098"/>
      <c r="AL503" s="2098"/>
      <c r="AM503" s="2098"/>
      <c r="AN503" s="2098"/>
      <c r="AO503" s="2098"/>
      <c r="AP503" s="2098"/>
      <c r="AQ503" s="2098"/>
      <c r="AR503" s="2098"/>
      <c r="AS503" s="2098"/>
      <c r="AT503" s="2098"/>
      <c r="AU503" s="2098"/>
      <c r="AV503" s="2098"/>
      <c r="AW503" s="2098"/>
      <c r="AX503" s="2098"/>
      <c r="AY503" s="2098"/>
      <c r="AZ503" s="2098"/>
    </row>
    <row r="504" spans="3:52">
      <c r="C504" s="2096"/>
      <c r="D504" s="2097"/>
      <c r="E504" s="2098"/>
      <c r="F504" s="2098"/>
      <c r="G504" s="2098"/>
      <c r="H504" s="2098"/>
      <c r="I504" s="2098"/>
      <c r="J504" s="2098"/>
      <c r="K504" s="2098"/>
      <c r="L504" s="2098"/>
      <c r="M504" s="2098"/>
      <c r="N504" s="2098"/>
      <c r="O504" s="2098"/>
      <c r="P504" s="2098"/>
      <c r="Q504" s="2098"/>
      <c r="R504" s="2098"/>
      <c r="S504" s="2098"/>
      <c r="T504" s="2098"/>
      <c r="U504" s="2098"/>
      <c r="V504" s="2098"/>
      <c r="W504" s="2098"/>
      <c r="X504" s="2098"/>
      <c r="Y504" s="2098"/>
      <c r="Z504" s="2098"/>
      <c r="AA504" s="2098"/>
      <c r="AB504" s="2098"/>
      <c r="AC504" s="2098"/>
      <c r="AD504" s="2098"/>
      <c r="AE504" s="2098"/>
      <c r="AF504" s="2098"/>
      <c r="AG504" s="2098"/>
      <c r="AH504" s="2098"/>
      <c r="AI504" s="2098"/>
      <c r="AJ504" s="2098"/>
      <c r="AK504" s="2098"/>
      <c r="AL504" s="2098"/>
      <c r="AM504" s="2098"/>
      <c r="AN504" s="2098"/>
      <c r="AO504" s="2098"/>
      <c r="AP504" s="2098"/>
      <c r="AQ504" s="2098"/>
      <c r="AR504" s="2098"/>
      <c r="AS504" s="2098"/>
      <c r="AT504" s="2098"/>
      <c r="AU504" s="2098"/>
      <c r="AV504" s="2098"/>
      <c r="AW504" s="2098"/>
      <c r="AX504" s="2098"/>
      <c r="AY504" s="2098"/>
      <c r="AZ504" s="2098"/>
    </row>
    <row r="505" spans="3:52">
      <c r="C505" s="2096"/>
      <c r="D505" s="2097"/>
      <c r="E505" s="2098"/>
      <c r="F505" s="2098"/>
      <c r="G505" s="2098"/>
      <c r="H505" s="2098"/>
      <c r="I505" s="2098"/>
      <c r="J505" s="2098"/>
      <c r="K505" s="2098"/>
      <c r="L505" s="2098"/>
      <c r="M505" s="2098"/>
      <c r="N505" s="2098"/>
      <c r="O505" s="2098"/>
      <c r="P505" s="2098"/>
      <c r="Q505" s="2098"/>
      <c r="R505" s="2098"/>
      <c r="S505" s="2098"/>
      <c r="T505" s="2098"/>
      <c r="U505" s="2098"/>
      <c r="V505" s="2098"/>
      <c r="W505" s="2098"/>
      <c r="X505" s="2098"/>
      <c r="Y505" s="2098"/>
      <c r="Z505" s="2098"/>
      <c r="AA505" s="2098"/>
      <c r="AB505" s="2098"/>
      <c r="AC505" s="2098"/>
      <c r="AD505" s="2098"/>
      <c r="AE505" s="2098"/>
      <c r="AF505" s="2098"/>
      <c r="AG505" s="2098"/>
      <c r="AH505" s="2098"/>
      <c r="AI505" s="2098"/>
      <c r="AJ505" s="2098"/>
      <c r="AK505" s="2098"/>
      <c r="AL505" s="2098"/>
      <c r="AM505" s="2098"/>
      <c r="AN505" s="2098"/>
      <c r="AO505" s="2098"/>
      <c r="AP505" s="2098"/>
      <c r="AQ505" s="2098"/>
      <c r="AR505" s="2098"/>
      <c r="AS505" s="2098"/>
      <c r="AT505" s="2098"/>
      <c r="AU505" s="2098"/>
      <c r="AV505" s="2098"/>
      <c r="AW505" s="2098"/>
      <c r="AX505" s="2098"/>
      <c r="AY505" s="2098"/>
      <c r="AZ505" s="2098"/>
    </row>
    <row r="506" spans="3:52">
      <c r="C506" s="2096"/>
      <c r="D506" s="2097"/>
      <c r="E506" s="2098"/>
      <c r="F506" s="2098"/>
      <c r="G506" s="2098"/>
      <c r="H506" s="2098"/>
      <c r="I506" s="2098"/>
      <c r="J506" s="2098"/>
      <c r="K506" s="2098"/>
      <c r="L506" s="2098"/>
      <c r="M506" s="2098"/>
      <c r="N506" s="2098"/>
      <c r="O506" s="2098"/>
      <c r="P506" s="2098"/>
      <c r="Q506" s="2098"/>
      <c r="R506" s="2098"/>
      <c r="S506" s="2098"/>
      <c r="T506" s="2098"/>
      <c r="U506" s="2098"/>
      <c r="V506" s="2098"/>
      <c r="W506" s="2098"/>
      <c r="X506" s="2098"/>
      <c r="Y506" s="2098"/>
      <c r="Z506" s="2098"/>
      <c r="AA506" s="2098"/>
      <c r="AB506" s="2098"/>
      <c r="AC506" s="2098"/>
      <c r="AD506" s="2098"/>
      <c r="AE506" s="2098"/>
      <c r="AF506" s="2098"/>
      <c r="AG506" s="2098"/>
      <c r="AH506" s="2098"/>
      <c r="AI506" s="2098"/>
      <c r="AJ506" s="2098"/>
      <c r="AK506" s="2098"/>
      <c r="AL506" s="2098"/>
      <c r="AM506" s="2098"/>
      <c r="AN506" s="2098"/>
      <c r="AO506" s="2098"/>
      <c r="AP506" s="2098"/>
      <c r="AQ506" s="2098"/>
      <c r="AR506" s="2098"/>
      <c r="AS506" s="2098"/>
      <c r="AT506" s="2098"/>
      <c r="AU506" s="2098"/>
      <c r="AV506" s="2098"/>
      <c r="AW506" s="2098"/>
      <c r="AX506" s="2098"/>
      <c r="AY506" s="2098"/>
      <c r="AZ506" s="2098"/>
    </row>
    <row r="507" spans="3:52">
      <c r="C507" s="2096"/>
      <c r="D507" s="2097"/>
      <c r="E507" s="2098"/>
      <c r="F507" s="2098"/>
      <c r="G507" s="2098"/>
      <c r="H507" s="2098"/>
      <c r="I507" s="2098"/>
      <c r="J507" s="2098"/>
      <c r="K507" s="2098"/>
      <c r="L507" s="2098"/>
      <c r="M507" s="2098"/>
      <c r="N507" s="2098"/>
      <c r="O507" s="2098"/>
      <c r="P507" s="2098"/>
      <c r="Q507" s="2098"/>
      <c r="R507" s="2098"/>
      <c r="S507" s="2098"/>
      <c r="T507" s="2098"/>
      <c r="U507" s="2098"/>
      <c r="V507" s="2098"/>
      <c r="W507" s="2098"/>
      <c r="X507" s="2098"/>
      <c r="Y507" s="2098"/>
      <c r="Z507" s="2098"/>
      <c r="AA507" s="2098"/>
      <c r="AB507" s="2098"/>
      <c r="AC507" s="2098"/>
      <c r="AD507" s="2098"/>
      <c r="AE507" s="2098"/>
      <c r="AF507" s="2098"/>
      <c r="AG507" s="2098"/>
      <c r="AH507" s="2098"/>
      <c r="AI507" s="2098"/>
      <c r="AJ507" s="2098"/>
      <c r="AK507" s="2098"/>
      <c r="AL507" s="2098"/>
      <c r="AM507" s="2098"/>
      <c r="AN507" s="2098"/>
      <c r="AO507" s="2098"/>
      <c r="AP507" s="2098"/>
      <c r="AQ507" s="2098"/>
      <c r="AR507" s="2098"/>
      <c r="AS507" s="2098"/>
      <c r="AT507" s="2098"/>
      <c r="AU507" s="2098"/>
      <c r="AV507" s="2098"/>
      <c r="AW507" s="2098"/>
      <c r="AX507" s="2098"/>
      <c r="AY507" s="2098"/>
      <c r="AZ507" s="2098"/>
    </row>
    <row r="508" spans="3:52">
      <c r="C508" s="2096"/>
      <c r="D508" s="2097"/>
      <c r="E508" s="2098"/>
      <c r="F508" s="2098"/>
      <c r="G508" s="2098"/>
      <c r="H508" s="2098"/>
      <c r="I508" s="2098"/>
      <c r="J508" s="2098"/>
      <c r="K508" s="2098"/>
      <c r="L508" s="2098"/>
      <c r="M508" s="2098"/>
      <c r="N508" s="2098"/>
      <c r="O508" s="2098"/>
      <c r="P508" s="2098"/>
      <c r="Q508" s="2098"/>
      <c r="R508" s="2098"/>
      <c r="S508" s="2098"/>
      <c r="T508" s="2098"/>
      <c r="U508" s="2098"/>
      <c r="V508" s="2098"/>
      <c r="W508" s="2098"/>
      <c r="X508" s="2098"/>
      <c r="Y508" s="2098"/>
      <c r="Z508" s="2098"/>
      <c r="AA508" s="2098"/>
      <c r="AB508" s="2098"/>
      <c r="AC508" s="2098"/>
      <c r="AD508" s="2098"/>
      <c r="AE508" s="2098"/>
      <c r="AF508" s="2098"/>
      <c r="AG508" s="2098"/>
      <c r="AH508" s="2098"/>
      <c r="AI508" s="2098"/>
      <c r="AJ508" s="2098"/>
      <c r="AK508" s="2098"/>
      <c r="AL508" s="2098"/>
      <c r="AM508" s="2098"/>
      <c r="AN508" s="2098"/>
      <c r="AO508" s="2098"/>
      <c r="AP508" s="2098"/>
      <c r="AQ508" s="2098"/>
      <c r="AR508" s="2098"/>
      <c r="AS508" s="2098"/>
      <c r="AT508" s="2098"/>
      <c r="AU508" s="2098"/>
      <c r="AV508" s="2098"/>
      <c r="AW508" s="2098"/>
      <c r="AX508" s="2098"/>
      <c r="AY508" s="2098"/>
      <c r="AZ508" s="2098"/>
    </row>
    <row r="509" spans="3:52">
      <c r="C509" s="2096"/>
      <c r="D509" s="2097"/>
      <c r="E509" s="2098"/>
      <c r="F509" s="2098"/>
      <c r="G509" s="2098"/>
      <c r="H509" s="2098"/>
      <c r="I509" s="2098"/>
      <c r="J509" s="2098"/>
      <c r="K509" s="2098"/>
      <c r="L509" s="2098"/>
      <c r="M509" s="2098"/>
      <c r="N509" s="2098"/>
      <c r="O509" s="2098"/>
      <c r="P509" s="2098"/>
      <c r="Q509" s="2098"/>
      <c r="R509" s="2098"/>
      <c r="S509" s="2098"/>
      <c r="T509" s="2098"/>
      <c r="U509" s="2098"/>
      <c r="V509" s="2098"/>
      <c r="W509" s="2098"/>
      <c r="X509" s="2098"/>
      <c r="Y509" s="2098"/>
      <c r="Z509" s="2098"/>
      <c r="AA509" s="2098"/>
      <c r="AB509" s="2098"/>
      <c r="AC509" s="2098"/>
      <c r="AD509" s="2098"/>
      <c r="AE509" s="2098"/>
      <c r="AF509" s="2098"/>
      <c r="AG509" s="2098"/>
      <c r="AH509" s="2098"/>
      <c r="AI509" s="2098"/>
      <c r="AJ509" s="2098"/>
      <c r="AK509" s="2098"/>
      <c r="AL509" s="2098"/>
      <c r="AM509" s="2098"/>
      <c r="AN509" s="2098"/>
      <c r="AO509" s="2098"/>
      <c r="AP509" s="2098"/>
      <c r="AQ509" s="2098"/>
      <c r="AR509" s="2098"/>
      <c r="AS509" s="2098"/>
      <c r="AT509" s="2098"/>
      <c r="AU509" s="2098"/>
      <c r="AV509" s="2098"/>
      <c r="AW509" s="2098"/>
      <c r="AX509" s="2098"/>
      <c r="AY509" s="2098"/>
      <c r="AZ509" s="2098"/>
    </row>
    <row r="510" spans="3:52">
      <c r="C510" s="2096"/>
      <c r="D510" s="2097"/>
      <c r="E510" s="2098"/>
      <c r="F510" s="2098"/>
      <c r="G510" s="2098"/>
      <c r="H510" s="2098"/>
      <c r="I510" s="2098"/>
      <c r="J510" s="2098"/>
      <c r="K510" s="2098"/>
      <c r="L510" s="2098"/>
      <c r="M510" s="2098"/>
      <c r="N510" s="2098"/>
      <c r="O510" s="2098"/>
      <c r="P510" s="2098"/>
      <c r="Q510" s="2098"/>
      <c r="R510" s="2098"/>
      <c r="S510" s="2098"/>
      <c r="T510" s="2098"/>
      <c r="U510" s="2098"/>
      <c r="V510" s="2098"/>
      <c r="W510" s="2098"/>
      <c r="X510" s="2098"/>
      <c r="Y510" s="2098"/>
      <c r="Z510" s="2098"/>
      <c r="AA510" s="2098"/>
      <c r="AB510" s="2098"/>
      <c r="AC510" s="2098"/>
      <c r="AD510" s="2098"/>
      <c r="AE510" s="2098"/>
      <c r="AF510" s="2098"/>
      <c r="AG510" s="2098"/>
      <c r="AH510" s="2098"/>
      <c r="AI510" s="2098"/>
      <c r="AJ510" s="2098"/>
      <c r="AK510" s="2098"/>
      <c r="AL510" s="2098"/>
      <c r="AM510" s="2098"/>
      <c r="AN510" s="2098"/>
      <c r="AO510" s="2098"/>
      <c r="AP510" s="2098"/>
      <c r="AQ510" s="2098"/>
      <c r="AR510" s="2098"/>
      <c r="AS510" s="2098"/>
      <c r="AT510" s="2098"/>
      <c r="AU510" s="2098"/>
      <c r="AV510" s="2098"/>
      <c r="AW510" s="2098"/>
      <c r="AX510" s="2098"/>
      <c r="AY510" s="2098"/>
      <c r="AZ510" s="2098"/>
    </row>
    <row r="511" spans="3:52">
      <c r="C511" s="2096"/>
      <c r="D511" s="2097"/>
      <c r="E511" s="2098"/>
      <c r="F511" s="2098"/>
      <c r="G511" s="2098"/>
      <c r="H511" s="2098"/>
      <c r="I511" s="2098"/>
      <c r="J511" s="2098"/>
      <c r="K511" s="2098"/>
      <c r="L511" s="2098"/>
      <c r="M511" s="2098"/>
      <c r="N511" s="2098"/>
      <c r="O511" s="2098"/>
      <c r="P511" s="2098"/>
      <c r="Q511" s="2098"/>
      <c r="R511" s="2098"/>
      <c r="S511" s="2098"/>
      <c r="T511" s="2098"/>
      <c r="U511" s="2098"/>
      <c r="V511" s="2098"/>
      <c r="W511" s="2098"/>
      <c r="X511" s="2098"/>
      <c r="Y511" s="2098"/>
      <c r="Z511" s="2098"/>
      <c r="AA511" s="2098"/>
      <c r="AB511" s="2098"/>
      <c r="AC511" s="2098"/>
      <c r="AD511" s="2098"/>
      <c r="AE511" s="2098"/>
      <c r="AF511" s="2098"/>
      <c r="AG511" s="2098"/>
      <c r="AH511" s="2098"/>
      <c r="AI511" s="2098"/>
      <c r="AJ511" s="2098"/>
      <c r="AK511" s="2098"/>
      <c r="AL511" s="2098"/>
      <c r="AM511" s="2098"/>
      <c r="AN511" s="2098"/>
      <c r="AO511" s="2098"/>
      <c r="AP511" s="2098"/>
      <c r="AQ511" s="2098"/>
      <c r="AR511" s="2098"/>
      <c r="AS511" s="2098"/>
      <c r="AT511" s="2098"/>
      <c r="AU511" s="2098"/>
      <c r="AV511" s="2098"/>
      <c r="AW511" s="2098"/>
      <c r="AX511" s="2098"/>
      <c r="AY511" s="2098"/>
      <c r="AZ511" s="2098"/>
    </row>
    <row r="512" spans="3:52">
      <c r="C512" s="2096"/>
      <c r="D512" s="2097"/>
      <c r="E512" s="2098"/>
      <c r="F512" s="2098"/>
      <c r="G512" s="2098"/>
      <c r="H512" s="2098"/>
      <c r="I512" s="2098"/>
      <c r="J512" s="2098"/>
      <c r="K512" s="2098"/>
      <c r="L512" s="2098"/>
      <c r="M512" s="2098"/>
      <c r="N512" s="2098"/>
      <c r="O512" s="2098"/>
      <c r="P512" s="2098"/>
      <c r="Q512" s="2098"/>
      <c r="R512" s="2098"/>
      <c r="S512" s="2098"/>
      <c r="T512" s="2098"/>
      <c r="U512" s="2098"/>
      <c r="V512" s="2098"/>
      <c r="W512" s="2098"/>
      <c r="X512" s="2098"/>
      <c r="Y512" s="2098"/>
      <c r="Z512" s="2098"/>
      <c r="AA512" s="2098"/>
      <c r="AB512" s="2098"/>
      <c r="AC512" s="2098"/>
      <c r="AD512" s="2098"/>
      <c r="AE512" s="2098"/>
      <c r="AF512" s="2098"/>
      <c r="AG512" s="2098"/>
      <c r="AH512" s="2098"/>
      <c r="AI512" s="2098"/>
      <c r="AJ512" s="2098"/>
      <c r="AK512" s="2098"/>
      <c r="AL512" s="2098"/>
      <c r="AM512" s="2098"/>
      <c r="AN512" s="2098"/>
      <c r="AO512" s="2098"/>
      <c r="AP512" s="2098"/>
      <c r="AQ512" s="2098"/>
      <c r="AR512" s="2098"/>
      <c r="AS512" s="2098"/>
      <c r="AT512" s="2098"/>
      <c r="AU512" s="2098"/>
      <c r="AV512" s="2098"/>
      <c r="AW512" s="2098"/>
      <c r="AX512" s="2098"/>
      <c r="AY512" s="2098"/>
      <c r="AZ512" s="2098"/>
    </row>
    <row r="513" spans="3:52">
      <c r="C513" s="2096"/>
      <c r="D513" s="2097"/>
      <c r="E513" s="2098"/>
      <c r="F513" s="2098"/>
      <c r="G513" s="2098"/>
      <c r="H513" s="2098"/>
      <c r="I513" s="2098"/>
      <c r="J513" s="2098"/>
      <c r="K513" s="2098"/>
      <c r="L513" s="2098"/>
      <c r="M513" s="2098"/>
      <c r="N513" s="2098"/>
      <c r="O513" s="2098"/>
      <c r="P513" s="2098"/>
      <c r="Q513" s="2098"/>
      <c r="R513" s="2098"/>
      <c r="S513" s="2098"/>
      <c r="T513" s="2098"/>
      <c r="U513" s="2098"/>
      <c r="V513" s="2098"/>
      <c r="W513" s="2098"/>
      <c r="X513" s="2098"/>
      <c r="Y513" s="2098"/>
      <c r="Z513" s="2098"/>
      <c r="AA513" s="2098"/>
      <c r="AB513" s="2098"/>
      <c r="AC513" s="2098"/>
      <c r="AD513" s="2098"/>
      <c r="AE513" s="2098"/>
      <c r="AF513" s="2098"/>
      <c r="AG513" s="2098"/>
      <c r="AH513" s="2098"/>
      <c r="AI513" s="2098"/>
      <c r="AJ513" s="2098"/>
      <c r="AK513" s="2098"/>
      <c r="AL513" s="2098"/>
      <c r="AM513" s="2098"/>
      <c r="AN513" s="2098"/>
      <c r="AO513" s="2098"/>
      <c r="AP513" s="2098"/>
      <c r="AQ513" s="2098"/>
      <c r="AR513" s="2098"/>
      <c r="AS513" s="2098"/>
      <c r="AT513" s="2098"/>
      <c r="AU513" s="2098"/>
      <c r="AV513" s="2098"/>
      <c r="AW513" s="2098"/>
      <c r="AX513" s="2098"/>
      <c r="AY513" s="2098"/>
      <c r="AZ513" s="2098"/>
    </row>
    <row r="514" spans="3:52">
      <c r="C514" s="2096"/>
      <c r="D514" s="2097"/>
      <c r="E514" s="2098"/>
      <c r="F514" s="2098"/>
      <c r="G514" s="2098"/>
      <c r="H514" s="2098"/>
      <c r="I514" s="2098"/>
      <c r="J514" s="2098"/>
      <c r="K514" s="2098"/>
      <c r="L514" s="2098"/>
      <c r="M514" s="2098"/>
      <c r="N514" s="2098"/>
      <c r="O514" s="2098"/>
      <c r="P514" s="2098"/>
      <c r="Q514" s="2098"/>
      <c r="R514" s="2098"/>
      <c r="S514" s="2098"/>
      <c r="T514" s="2098"/>
      <c r="U514" s="2098"/>
      <c r="V514" s="2098"/>
      <c r="W514" s="2098"/>
      <c r="X514" s="2098"/>
      <c r="Y514" s="2098"/>
      <c r="Z514" s="2098"/>
      <c r="AA514" s="2098"/>
      <c r="AB514" s="2098"/>
      <c r="AC514" s="2098"/>
      <c r="AD514" s="2098"/>
      <c r="AE514" s="2098"/>
      <c r="AF514" s="2098"/>
      <c r="AG514" s="2098"/>
      <c r="AH514" s="2098"/>
      <c r="AI514" s="2098"/>
      <c r="AJ514" s="2098"/>
      <c r="AK514" s="2098"/>
      <c r="AL514" s="2098"/>
      <c r="AM514" s="2098"/>
      <c r="AN514" s="2098"/>
      <c r="AO514" s="2098"/>
      <c r="AP514" s="2098"/>
      <c r="AQ514" s="2098"/>
      <c r="AR514" s="2098"/>
      <c r="AS514" s="2098"/>
      <c r="AT514" s="2098"/>
      <c r="AU514" s="2098"/>
      <c r="AV514" s="2098"/>
      <c r="AW514" s="2098"/>
      <c r="AX514" s="2098"/>
      <c r="AY514" s="2098"/>
      <c r="AZ514" s="2098"/>
    </row>
    <row r="515" spans="3:52">
      <c r="C515" s="2096"/>
      <c r="D515" s="2097"/>
      <c r="E515" s="2098"/>
      <c r="F515" s="2098"/>
      <c r="G515" s="2098"/>
      <c r="H515" s="2098"/>
      <c r="I515" s="2098"/>
      <c r="J515" s="2098"/>
      <c r="K515" s="2098"/>
      <c r="L515" s="2098"/>
      <c r="M515" s="2098"/>
      <c r="N515" s="2098"/>
      <c r="O515" s="2098"/>
      <c r="P515" s="2098"/>
      <c r="Q515" s="2098"/>
      <c r="R515" s="2098"/>
      <c r="S515" s="2098"/>
      <c r="T515" s="2098"/>
      <c r="U515" s="2098"/>
      <c r="V515" s="2098"/>
      <c r="W515" s="2098"/>
      <c r="X515" s="2098"/>
      <c r="Y515" s="2098"/>
      <c r="Z515" s="2098"/>
      <c r="AA515" s="2098"/>
      <c r="AB515" s="2098"/>
      <c r="AC515" s="2098"/>
      <c r="AD515" s="2098"/>
      <c r="AE515" s="2098"/>
      <c r="AF515" s="2098"/>
      <c r="AG515" s="2098"/>
      <c r="AH515" s="2098"/>
      <c r="AI515" s="2098"/>
      <c r="AJ515" s="2098"/>
      <c r="AK515" s="2098"/>
      <c r="AL515" s="2098"/>
      <c r="AM515" s="2098"/>
      <c r="AN515" s="2098"/>
      <c r="AO515" s="2098"/>
      <c r="AP515" s="2098"/>
      <c r="AQ515" s="2098"/>
      <c r="AR515" s="2098"/>
      <c r="AS515" s="2098"/>
      <c r="AT515" s="2098"/>
      <c r="AU515" s="2098"/>
      <c r="AV515" s="2098"/>
      <c r="AW515" s="2098"/>
      <c r="AX515" s="2098"/>
      <c r="AY515" s="2098"/>
      <c r="AZ515" s="2098"/>
    </row>
    <row r="516" spans="3:52">
      <c r="C516" s="2096"/>
      <c r="D516" s="2097"/>
      <c r="E516" s="2098"/>
      <c r="F516" s="2098"/>
      <c r="G516" s="2098"/>
      <c r="H516" s="2098"/>
      <c r="I516" s="2098"/>
      <c r="J516" s="2098"/>
      <c r="K516" s="2098"/>
      <c r="L516" s="2098"/>
      <c r="M516" s="2098"/>
      <c r="N516" s="2098"/>
      <c r="O516" s="2098"/>
      <c r="P516" s="2098"/>
      <c r="Q516" s="2098"/>
      <c r="R516" s="2098"/>
      <c r="S516" s="2098"/>
      <c r="T516" s="2098"/>
      <c r="U516" s="2098"/>
      <c r="V516" s="2098"/>
      <c r="W516" s="2098"/>
      <c r="X516" s="2098"/>
      <c r="Y516" s="2098"/>
      <c r="Z516" s="2098"/>
      <c r="AA516" s="2098"/>
      <c r="AB516" s="2098"/>
      <c r="AC516" s="2098"/>
      <c r="AD516" s="2098"/>
      <c r="AE516" s="2098"/>
      <c r="AF516" s="2098"/>
      <c r="AG516" s="2098"/>
      <c r="AH516" s="2098"/>
      <c r="AI516" s="2098"/>
      <c r="AJ516" s="2098"/>
      <c r="AK516" s="2098"/>
      <c r="AL516" s="2098"/>
      <c r="AM516" s="2098"/>
      <c r="AN516" s="2098"/>
      <c r="AO516" s="2098"/>
      <c r="AP516" s="2098"/>
      <c r="AQ516" s="2098"/>
      <c r="AR516" s="2098"/>
      <c r="AS516" s="2098"/>
      <c r="AT516" s="2098"/>
      <c r="AU516" s="2098"/>
      <c r="AV516" s="2098"/>
      <c r="AW516" s="2098"/>
      <c r="AX516" s="2098"/>
      <c r="AY516" s="2098"/>
      <c r="AZ516" s="2098"/>
    </row>
    <row r="517" spans="3:52">
      <c r="C517" s="2096"/>
      <c r="D517" s="2097"/>
      <c r="E517" s="2098"/>
      <c r="F517" s="2098"/>
      <c r="G517" s="2098"/>
      <c r="H517" s="2098"/>
      <c r="I517" s="2098"/>
      <c r="J517" s="2098"/>
      <c r="K517" s="2098"/>
      <c r="L517" s="2098"/>
      <c r="M517" s="2098"/>
      <c r="N517" s="2098"/>
      <c r="O517" s="2098"/>
      <c r="P517" s="2098"/>
      <c r="Q517" s="2098"/>
      <c r="R517" s="2098"/>
      <c r="S517" s="2098"/>
      <c r="T517" s="2098"/>
      <c r="U517" s="2098"/>
      <c r="V517" s="2098"/>
      <c r="W517" s="2098"/>
      <c r="X517" s="2098"/>
      <c r="Y517" s="2098"/>
      <c r="Z517" s="2098"/>
      <c r="AA517" s="2098"/>
      <c r="AB517" s="2098"/>
      <c r="AC517" s="2098"/>
      <c r="AD517" s="2098"/>
      <c r="AE517" s="2098"/>
      <c r="AF517" s="2098"/>
      <c r="AG517" s="2098"/>
      <c r="AH517" s="2098"/>
      <c r="AI517" s="2098"/>
      <c r="AJ517" s="2098"/>
      <c r="AK517" s="2098"/>
      <c r="AL517" s="2098"/>
      <c r="AM517" s="2098"/>
      <c r="AN517" s="2098"/>
      <c r="AO517" s="2098"/>
      <c r="AP517" s="2098"/>
      <c r="AQ517" s="2098"/>
      <c r="AR517" s="2098"/>
      <c r="AS517" s="2098"/>
      <c r="AT517" s="2098"/>
      <c r="AU517" s="2098"/>
      <c r="AV517" s="2098"/>
      <c r="AW517" s="2098"/>
      <c r="AX517" s="2098"/>
      <c r="AY517" s="2098"/>
      <c r="AZ517" s="2098"/>
    </row>
    <row r="518" spans="3:52">
      <c r="C518" s="2096"/>
      <c r="D518" s="2097"/>
      <c r="E518" s="2098"/>
      <c r="F518" s="2098"/>
      <c r="G518" s="2098"/>
      <c r="H518" s="2098"/>
      <c r="I518" s="2098"/>
      <c r="J518" s="2098"/>
      <c r="K518" s="2098"/>
      <c r="L518" s="2098"/>
      <c r="M518" s="2098"/>
      <c r="N518" s="2098"/>
      <c r="O518" s="2098"/>
      <c r="P518" s="2098"/>
      <c r="Q518" s="2098"/>
      <c r="R518" s="2098"/>
      <c r="S518" s="2098"/>
      <c r="T518" s="2098"/>
      <c r="U518" s="2098"/>
      <c r="V518" s="2098"/>
      <c r="W518" s="2098"/>
      <c r="X518" s="2098"/>
      <c r="Y518" s="2098"/>
      <c r="Z518" s="2098"/>
      <c r="AA518" s="2098"/>
      <c r="AB518" s="2098"/>
      <c r="AC518" s="2098"/>
      <c r="AD518" s="2098"/>
      <c r="AE518" s="2098"/>
      <c r="AF518" s="2098"/>
      <c r="AG518" s="2098"/>
      <c r="AH518" s="2098"/>
      <c r="AI518" s="2098"/>
      <c r="AJ518" s="2098"/>
      <c r="AK518" s="2098"/>
      <c r="AL518" s="2098"/>
      <c r="AM518" s="2098"/>
      <c r="AN518" s="2098"/>
      <c r="AO518" s="2098"/>
      <c r="AP518" s="2098"/>
      <c r="AQ518" s="2098"/>
      <c r="AR518" s="2098"/>
      <c r="AS518" s="2098"/>
      <c r="AT518" s="2098"/>
      <c r="AU518" s="2098"/>
      <c r="AV518" s="2098"/>
      <c r="AW518" s="2098"/>
      <c r="AX518" s="2098"/>
      <c r="AY518" s="2098"/>
      <c r="AZ518" s="2098"/>
    </row>
    <row r="519" spans="3:52">
      <c r="C519" s="2096"/>
      <c r="D519" s="2097"/>
      <c r="E519" s="2098"/>
      <c r="F519" s="2098"/>
      <c r="G519" s="2098"/>
      <c r="H519" s="2098"/>
      <c r="I519" s="2098"/>
      <c r="J519" s="2098"/>
      <c r="K519" s="2098"/>
      <c r="L519" s="2098"/>
      <c r="M519" s="2098"/>
      <c r="N519" s="2098"/>
      <c r="O519" s="2098"/>
      <c r="P519" s="2098"/>
      <c r="Q519" s="2098"/>
      <c r="R519" s="2098"/>
      <c r="S519" s="2098"/>
      <c r="T519" s="2098"/>
      <c r="U519" s="2098"/>
      <c r="V519" s="2098"/>
      <c r="W519" s="2098"/>
      <c r="X519" s="2098"/>
      <c r="Y519" s="2098"/>
      <c r="Z519" s="2098"/>
      <c r="AA519" s="2098"/>
      <c r="AB519" s="2098"/>
      <c r="AC519" s="2098"/>
      <c r="AD519" s="2098"/>
      <c r="AE519" s="2098"/>
      <c r="AF519" s="2098"/>
      <c r="AG519" s="2098"/>
      <c r="AH519" s="2098"/>
      <c r="AI519" s="2098"/>
      <c r="AJ519" s="2098"/>
      <c r="AK519" s="2098"/>
      <c r="AL519" s="2098"/>
      <c r="AM519" s="2098"/>
      <c r="AN519" s="2098"/>
      <c r="AO519" s="2098"/>
      <c r="AP519" s="2098"/>
      <c r="AQ519" s="2098"/>
      <c r="AR519" s="2098"/>
      <c r="AS519" s="2098"/>
      <c r="AT519" s="2098"/>
      <c r="AU519" s="2098"/>
      <c r="AV519" s="2098"/>
      <c r="AW519" s="2098"/>
      <c r="AX519" s="2098"/>
      <c r="AY519" s="2098"/>
      <c r="AZ519" s="2098"/>
    </row>
    <row r="520" spans="3:52">
      <c r="C520" s="2096"/>
      <c r="D520" s="2097"/>
      <c r="E520" s="2098"/>
      <c r="F520" s="2098"/>
      <c r="G520" s="2098"/>
      <c r="H520" s="2098"/>
      <c r="I520" s="2098"/>
      <c r="J520" s="2098"/>
      <c r="K520" s="2098"/>
      <c r="L520" s="2098"/>
      <c r="M520" s="2098"/>
      <c r="N520" s="2098"/>
      <c r="O520" s="2098"/>
      <c r="P520" s="2098"/>
      <c r="Q520" s="2098"/>
      <c r="R520" s="2098"/>
      <c r="S520" s="2098"/>
      <c r="T520" s="2098"/>
      <c r="U520" s="2098"/>
      <c r="V520" s="2098"/>
      <c r="W520" s="2098"/>
      <c r="X520" s="2098"/>
      <c r="Y520" s="2098"/>
      <c r="Z520" s="2098"/>
      <c r="AA520" s="2098"/>
      <c r="AB520" s="2098"/>
      <c r="AC520" s="2098"/>
      <c r="AD520" s="2098"/>
      <c r="AE520" s="2098"/>
      <c r="AF520" s="2098"/>
      <c r="AG520" s="2098"/>
      <c r="AH520" s="2098"/>
      <c r="AI520" s="2098"/>
      <c r="AJ520" s="2098"/>
      <c r="AK520" s="2098"/>
      <c r="AL520" s="2098"/>
      <c r="AM520" s="2098"/>
      <c r="AN520" s="2098"/>
      <c r="AO520" s="2098"/>
      <c r="AP520" s="2098"/>
      <c r="AQ520" s="2098"/>
      <c r="AR520" s="2098"/>
      <c r="AS520" s="2098"/>
      <c r="AT520" s="2098"/>
      <c r="AU520" s="2098"/>
      <c r="AV520" s="2098"/>
      <c r="AW520" s="2098"/>
      <c r="AX520" s="2098"/>
      <c r="AY520" s="2098"/>
      <c r="AZ520" s="2098"/>
    </row>
    <row r="521" spans="3:52">
      <c r="C521" s="2096"/>
      <c r="D521" s="2097"/>
      <c r="E521" s="2098"/>
      <c r="F521" s="2098"/>
      <c r="G521" s="2098"/>
      <c r="H521" s="2098"/>
      <c r="I521" s="2098"/>
      <c r="J521" s="2098"/>
      <c r="K521" s="2098"/>
      <c r="L521" s="2098"/>
      <c r="M521" s="2098"/>
      <c r="N521" s="2098"/>
      <c r="O521" s="2098"/>
      <c r="P521" s="2098"/>
      <c r="Q521" s="2098"/>
      <c r="R521" s="2098"/>
      <c r="S521" s="2098"/>
      <c r="T521" s="2098"/>
      <c r="U521" s="2098"/>
      <c r="V521" s="2098"/>
      <c r="W521" s="2098"/>
      <c r="X521" s="2098"/>
      <c r="Y521" s="2098"/>
      <c r="Z521" s="2098"/>
      <c r="AA521" s="2098"/>
      <c r="AB521" s="2098"/>
      <c r="AC521" s="2098"/>
      <c r="AD521" s="2098"/>
      <c r="AE521" s="2098"/>
      <c r="AF521" s="2098"/>
      <c r="AG521" s="2098"/>
      <c r="AH521" s="2098"/>
      <c r="AI521" s="2098"/>
      <c r="AJ521" s="2098"/>
      <c r="AK521" s="2098"/>
      <c r="AL521" s="2098"/>
      <c r="AM521" s="2098"/>
      <c r="AN521" s="2098"/>
      <c r="AO521" s="2098"/>
      <c r="AP521" s="2098"/>
      <c r="AQ521" s="2098"/>
      <c r="AR521" s="2098"/>
      <c r="AS521" s="2098"/>
      <c r="AT521" s="2098"/>
      <c r="AU521" s="2098"/>
      <c r="AV521" s="2098"/>
      <c r="AW521" s="2098"/>
      <c r="AX521" s="2098"/>
      <c r="AY521" s="2098"/>
      <c r="AZ521" s="2098"/>
    </row>
    <row r="522" spans="3:52">
      <c r="C522" s="2096"/>
      <c r="D522" s="2097"/>
      <c r="E522" s="2098"/>
      <c r="F522" s="2098"/>
      <c r="G522" s="2098"/>
      <c r="H522" s="2098"/>
      <c r="I522" s="2098"/>
      <c r="J522" s="2098"/>
      <c r="K522" s="2098"/>
      <c r="L522" s="2098"/>
      <c r="M522" s="2098"/>
      <c r="N522" s="2098"/>
      <c r="O522" s="2098"/>
      <c r="P522" s="2098"/>
      <c r="Q522" s="2098"/>
      <c r="R522" s="2098"/>
      <c r="S522" s="2098"/>
      <c r="T522" s="2098"/>
      <c r="U522" s="2098"/>
      <c r="V522" s="2098"/>
      <c r="W522" s="2098"/>
      <c r="X522" s="2098"/>
      <c r="Y522" s="2098"/>
      <c r="Z522" s="2098"/>
      <c r="AA522" s="2098"/>
      <c r="AB522" s="2098"/>
      <c r="AC522" s="2098"/>
      <c r="AD522" s="2098"/>
      <c r="AE522" s="2098"/>
      <c r="AF522" s="2098"/>
      <c r="AG522" s="2098"/>
      <c r="AH522" s="2098"/>
      <c r="AI522" s="2098"/>
      <c r="AJ522" s="2098"/>
      <c r="AK522" s="2098"/>
      <c r="AL522" s="2098"/>
      <c r="AM522" s="2098"/>
      <c r="AN522" s="2098"/>
      <c r="AO522" s="2098"/>
      <c r="AP522" s="2098"/>
      <c r="AQ522" s="2098"/>
      <c r="AR522" s="2098"/>
      <c r="AS522" s="2098"/>
      <c r="AT522" s="2098"/>
      <c r="AU522" s="2098"/>
      <c r="AV522" s="2098"/>
      <c r="AW522" s="2098"/>
      <c r="AX522" s="2098"/>
      <c r="AY522" s="2098"/>
      <c r="AZ522" s="2098"/>
    </row>
    <row r="523" spans="3:52">
      <c r="C523" s="2096"/>
      <c r="D523" s="2097"/>
      <c r="E523" s="2098"/>
      <c r="F523" s="2098"/>
      <c r="G523" s="2098"/>
      <c r="H523" s="2098"/>
      <c r="I523" s="2098"/>
      <c r="J523" s="2098"/>
      <c r="K523" s="2098"/>
      <c r="L523" s="2098"/>
      <c r="M523" s="2098"/>
      <c r="N523" s="2098"/>
      <c r="O523" s="2098"/>
      <c r="P523" s="2098"/>
      <c r="Q523" s="2098"/>
      <c r="R523" s="2098"/>
      <c r="S523" s="2098"/>
      <c r="T523" s="2098"/>
      <c r="U523" s="2098"/>
      <c r="V523" s="2098"/>
      <c r="W523" s="2098"/>
      <c r="X523" s="2098"/>
      <c r="Y523" s="2098"/>
      <c r="Z523" s="2098"/>
      <c r="AA523" s="2098"/>
      <c r="AB523" s="2098"/>
      <c r="AC523" s="2098"/>
      <c r="AD523" s="2098"/>
      <c r="AE523" s="2098"/>
      <c r="AF523" s="2098"/>
      <c r="AG523" s="2098"/>
      <c r="AH523" s="2098"/>
      <c r="AI523" s="2098"/>
      <c r="AJ523" s="2098"/>
      <c r="AK523" s="2098"/>
      <c r="AL523" s="2098"/>
      <c r="AM523" s="2098"/>
      <c r="AN523" s="2098"/>
      <c r="AO523" s="2098"/>
      <c r="AP523" s="2098"/>
      <c r="AQ523" s="2098"/>
      <c r="AR523" s="2098"/>
      <c r="AS523" s="2098"/>
      <c r="AT523" s="2098"/>
      <c r="AU523" s="2098"/>
      <c r="AV523" s="2098"/>
      <c r="AW523" s="2098"/>
      <c r="AX523" s="2098"/>
      <c r="AY523" s="2098"/>
      <c r="AZ523" s="2098"/>
    </row>
    <row r="524" spans="3:52">
      <c r="C524" s="2096"/>
      <c r="D524" s="2097"/>
      <c r="E524" s="2098"/>
      <c r="F524" s="2098"/>
      <c r="G524" s="2098"/>
      <c r="H524" s="2098"/>
      <c r="I524" s="2098"/>
      <c r="J524" s="2098"/>
      <c r="K524" s="2098"/>
      <c r="L524" s="2098"/>
      <c r="M524" s="2098"/>
      <c r="N524" s="2098"/>
      <c r="O524" s="2098"/>
      <c r="P524" s="2098"/>
      <c r="Q524" s="2098"/>
      <c r="R524" s="2098"/>
      <c r="S524" s="2098"/>
      <c r="T524" s="2098"/>
      <c r="U524" s="2098"/>
      <c r="V524" s="2098"/>
      <c r="W524" s="2098"/>
      <c r="X524" s="2098"/>
      <c r="Y524" s="2098"/>
      <c r="Z524" s="2098"/>
      <c r="AA524" s="2098"/>
      <c r="AB524" s="2098"/>
      <c r="AC524" s="2098"/>
      <c r="AD524" s="2098"/>
      <c r="AE524" s="2098"/>
      <c r="AF524" s="2098"/>
      <c r="AG524" s="2098"/>
      <c r="AH524" s="2098"/>
      <c r="AI524" s="2098"/>
      <c r="AJ524" s="2098"/>
      <c r="AK524" s="2098"/>
      <c r="AL524" s="2098"/>
      <c r="AM524" s="2098"/>
      <c r="AN524" s="2098"/>
      <c r="AO524" s="2098"/>
      <c r="AP524" s="2098"/>
      <c r="AQ524" s="2098"/>
      <c r="AR524" s="2098"/>
      <c r="AS524" s="2098"/>
      <c r="AT524" s="2098"/>
      <c r="AU524" s="2098"/>
      <c r="AV524" s="2098"/>
      <c r="AW524" s="2098"/>
      <c r="AX524" s="2098"/>
      <c r="AY524" s="2098"/>
      <c r="AZ524" s="2098"/>
    </row>
    <row r="525" spans="3:52">
      <c r="C525" s="2096"/>
      <c r="D525" s="2097"/>
      <c r="E525" s="2098"/>
      <c r="F525" s="2098"/>
      <c r="G525" s="2098"/>
      <c r="H525" s="2098"/>
      <c r="I525" s="2098"/>
      <c r="J525" s="2098"/>
      <c r="K525" s="2098"/>
      <c r="L525" s="2098"/>
      <c r="M525" s="2098"/>
      <c r="N525" s="2098"/>
      <c r="O525" s="2098"/>
      <c r="P525" s="2098"/>
      <c r="Q525" s="2098"/>
      <c r="R525" s="2098"/>
      <c r="S525" s="2098"/>
      <c r="T525" s="2098"/>
      <c r="U525" s="2098"/>
      <c r="V525" s="2098"/>
      <c r="W525" s="2098"/>
      <c r="X525" s="2098"/>
      <c r="Y525" s="2098"/>
      <c r="Z525" s="2098"/>
      <c r="AA525" s="2098"/>
      <c r="AB525" s="2098"/>
      <c r="AC525" s="2098"/>
      <c r="AD525" s="2098"/>
      <c r="AE525" s="2098"/>
      <c r="AF525" s="2098"/>
      <c r="AG525" s="2098"/>
      <c r="AH525" s="2098"/>
      <c r="AI525" s="2098"/>
      <c r="AJ525" s="2098"/>
      <c r="AK525" s="2098"/>
      <c r="AL525" s="2098"/>
      <c r="AM525" s="2098"/>
      <c r="AN525" s="2098"/>
      <c r="AO525" s="2098"/>
      <c r="AP525" s="2098"/>
      <c r="AQ525" s="2098"/>
      <c r="AR525" s="2098"/>
      <c r="AS525" s="2098"/>
      <c r="AT525" s="2098"/>
      <c r="AU525" s="2098"/>
      <c r="AV525" s="2098"/>
      <c r="AW525" s="2098"/>
      <c r="AX525" s="2098"/>
      <c r="AY525" s="2098"/>
      <c r="AZ525" s="2098"/>
    </row>
    <row r="526" spans="3:52">
      <c r="C526" s="2096"/>
      <c r="D526" s="2097"/>
      <c r="E526" s="2098"/>
      <c r="F526" s="2098"/>
      <c r="G526" s="2098"/>
      <c r="H526" s="2098"/>
      <c r="I526" s="2098"/>
      <c r="J526" s="2098"/>
      <c r="K526" s="2098"/>
      <c r="L526" s="2098"/>
      <c r="M526" s="2098"/>
      <c r="N526" s="2098"/>
      <c r="O526" s="2098"/>
      <c r="P526" s="2098"/>
      <c r="Q526" s="2098"/>
      <c r="R526" s="2098"/>
      <c r="S526" s="2098"/>
      <c r="T526" s="2098"/>
      <c r="U526" s="2098"/>
      <c r="V526" s="2098"/>
      <c r="W526" s="2098"/>
      <c r="X526" s="2098"/>
      <c r="Y526" s="2098"/>
      <c r="Z526" s="2098"/>
      <c r="AA526" s="2098"/>
      <c r="AB526" s="2098"/>
      <c r="AC526" s="2098"/>
      <c r="AD526" s="2098"/>
      <c r="AE526" s="2098"/>
      <c r="AF526" s="2098"/>
      <c r="AG526" s="2098"/>
      <c r="AH526" s="2098"/>
      <c r="AI526" s="2098"/>
      <c r="AJ526" s="2098"/>
      <c r="AK526" s="2098"/>
      <c r="AL526" s="2098"/>
      <c r="AM526" s="2098"/>
      <c r="AN526" s="2098"/>
      <c r="AO526" s="2098"/>
      <c r="AP526" s="2098"/>
      <c r="AQ526" s="2098"/>
      <c r="AR526" s="2098"/>
      <c r="AS526" s="2098"/>
      <c r="AT526" s="2098"/>
      <c r="AU526" s="2098"/>
      <c r="AV526" s="2098"/>
      <c r="AW526" s="2098"/>
      <c r="AX526" s="2098"/>
      <c r="AY526" s="2098"/>
      <c r="AZ526" s="2098"/>
    </row>
    <row r="527" spans="3:52">
      <c r="C527" s="2096"/>
      <c r="D527" s="2097"/>
      <c r="E527" s="2098"/>
      <c r="F527" s="2098"/>
      <c r="G527" s="2098"/>
      <c r="H527" s="2098"/>
      <c r="I527" s="2098"/>
      <c r="J527" s="2098"/>
      <c r="K527" s="2098"/>
      <c r="L527" s="2098"/>
      <c r="M527" s="2098"/>
      <c r="N527" s="2098"/>
      <c r="O527" s="2098"/>
      <c r="P527" s="2098"/>
      <c r="Q527" s="2098"/>
      <c r="R527" s="2098"/>
      <c r="S527" s="2098"/>
      <c r="T527" s="2098"/>
      <c r="U527" s="2098"/>
      <c r="V527" s="2098"/>
      <c r="W527" s="2098"/>
      <c r="X527" s="2098"/>
      <c r="Y527" s="2098"/>
      <c r="Z527" s="2098"/>
      <c r="AA527" s="2098"/>
      <c r="AB527" s="2098"/>
      <c r="AC527" s="2098"/>
      <c r="AD527" s="2098"/>
      <c r="AE527" s="2098"/>
      <c r="AF527" s="2098"/>
      <c r="AG527" s="2098"/>
      <c r="AH527" s="2098"/>
      <c r="AI527" s="2098"/>
      <c r="AJ527" s="2098"/>
      <c r="AK527" s="2098"/>
      <c r="AL527" s="2098"/>
      <c r="AM527" s="2098"/>
      <c r="AN527" s="2098"/>
      <c r="AO527" s="2098"/>
      <c r="AP527" s="2098"/>
      <c r="AQ527" s="2098"/>
      <c r="AR527" s="2098"/>
      <c r="AS527" s="2098"/>
      <c r="AT527" s="2098"/>
      <c r="AU527" s="2098"/>
      <c r="AV527" s="2098"/>
      <c r="AW527" s="2098"/>
      <c r="AX527" s="2098"/>
      <c r="AY527" s="2098"/>
      <c r="AZ527" s="2098"/>
    </row>
    <row r="528" spans="3:52">
      <c r="C528" s="2096"/>
      <c r="D528" s="2097"/>
      <c r="E528" s="2098"/>
      <c r="F528" s="2098"/>
      <c r="G528" s="2098"/>
      <c r="H528" s="2098"/>
      <c r="I528" s="2098"/>
      <c r="J528" s="2098"/>
      <c r="K528" s="2098"/>
      <c r="L528" s="2098"/>
      <c r="M528" s="2098"/>
      <c r="N528" s="2098"/>
      <c r="O528" s="2098"/>
      <c r="P528" s="2098"/>
      <c r="Q528" s="2098"/>
      <c r="R528" s="2098"/>
      <c r="S528" s="2098"/>
      <c r="T528" s="2098"/>
      <c r="U528" s="2098"/>
      <c r="V528" s="2098"/>
      <c r="W528" s="2098"/>
      <c r="X528" s="2098"/>
      <c r="Y528" s="2098"/>
      <c r="Z528" s="2098"/>
      <c r="AA528" s="2098"/>
      <c r="AB528" s="2098"/>
      <c r="AC528" s="2098"/>
      <c r="AD528" s="2098"/>
      <c r="AE528" s="2098"/>
      <c r="AF528" s="2098"/>
      <c r="AG528" s="2098"/>
      <c r="AH528" s="2098"/>
      <c r="AI528" s="2098"/>
      <c r="AJ528" s="2098"/>
      <c r="AK528" s="2098"/>
      <c r="AL528" s="2098"/>
      <c r="AM528" s="2098"/>
      <c r="AN528" s="2098"/>
      <c r="AO528" s="2098"/>
      <c r="AP528" s="2098"/>
      <c r="AQ528" s="2098"/>
      <c r="AR528" s="2098"/>
      <c r="AS528" s="2098"/>
      <c r="AT528" s="2098"/>
      <c r="AU528" s="2098"/>
      <c r="AV528" s="2098"/>
      <c r="AW528" s="2098"/>
      <c r="AX528" s="2098"/>
      <c r="AY528" s="2098"/>
      <c r="AZ528" s="2098"/>
    </row>
    <row r="529" spans="3:52">
      <c r="C529" s="2096"/>
      <c r="D529" s="2097"/>
      <c r="E529" s="2098"/>
      <c r="F529" s="2098"/>
      <c r="G529" s="2098"/>
      <c r="H529" s="2098"/>
      <c r="I529" s="2098"/>
      <c r="J529" s="2098"/>
      <c r="K529" s="2098"/>
      <c r="L529" s="2098"/>
      <c r="M529" s="2098"/>
      <c r="N529" s="2098"/>
      <c r="O529" s="2098"/>
      <c r="P529" s="2098"/>
      <c r="Q529" s="2098"/>
      <c r="R529" s="2098"/>
      <c r="S529" s="2098"/>
      <c r="T529" s="2098"/>
      <c r="U529" s="2098"/>
      <c r="V529" s="2098"/>
      <c r="W529" s="2098"/>
      <c r="X529" s="2098"/>
      <c r="Y529" s="2098"/>
      <c r="Z529" s="2098"/>
      <c r="AA529" s="2098"/>
      <c r="AB529" s="2098"/>
      <c r="AC529" s="2098"/>
      <c r="AD529" s="2098"/>
      <c r="AE529" s="2098"/>
      <c r="AF529" s="2098"/>
      <c r="AG529" s="2098"/>
      <c r="AH529" s="2098"/>
      <c r="AI529" s="2098"/>
      <c r="AJ529" s="2098"/>
      <c r="AK529" s="2098"/>
      <c r="AL529" s="2098"/>
      <c r="AM529" s="2098"/>
      <c r="AN529" s="2098"/>
      <c r="AO529" s="2098"/>
      <c r="AP529" s="2098"/>
      <c r="AQ529" s="2098"/>
      <c r="AR529" s="2098"/>
      <c r="AS529" s="2098"/>
      <c r="AT529" s="2098"/>
      <c r="AU529" s="2098"/>
      <c r="AV529" s="2098"/>
      <c r="AW529" s="2098"/>
      <c r="AX529" s="2098"/>
      <c r="AY529" s="2098"/>
      <c r="AZ529" s="2098"/>
    </row>
    <row r="530" spans="3:52">
      <c r="C530" s="2096"/>
      <c r="D530" s="2097"/>
      <c r="E530" s="2098"/>
      <c r="F530" s="2098"/>
      <c r="G530" s="2098"/>
      <c r="H530" s="2098"/>
      <c r="I530" s="2098"/>
      <c r="J530" s="2098"/>
      <c r="K530" s="2098"/>
      <c r="L530" s="2098"/>
      <c r="M530" s="2098"/>
      <c r="N530" s="2098"/>
      <c r="O530" s="2098"/>
      <c r="P530" s="2098"/>
      <c r="Q530" s="2098"/>
      <c r="R530" s="2098"/>
      <c r="S530" s="2098"/>
      <c r="T530" s="2098"/>
      <c r="U530" s="2098"/>
      <c r="V530" s="2098"/>
      <c r="W530" s="2098"/>
      <c r="X530" s="2098"/>
      <c r="Y530" s="2098"/>
      <c r="Z530" s="2098"/>
      <c r="AA530" s="2098"/>
      <c r="AB530" s="2098"/>
      <c r="AC530" s="2098"/>
      <c r="AD530" s="2098"/>
      <c r="AE530" s="2098"/>
      <c r="AF530" s="2098"/>
      <c r="AG530" s="2098"/>
      <c r="AH530" s="2098"/>
      <c r="AI530" s="2098"/>
      <c r="AJ530" s="2098"/>
      <c r="AK530" s="2098"/>
      <c r="AL530" s="2098"/>
      <c r="AM530" s="2098"/>
      <c r="AN530" s="2098"/>
      <c r="AO530" s="2098"/>
      <c r="AP530" s="2098"/>
      <c r="AQ530" s="2098"/>
      <c r="AR530" s="2098"/>
      <c r="AS530" s="2098"/>
      <c r="AT530" s="2098"/>
      <c r="AU530" s="2098"/>
      <c r="AV530" s="2098"/>
      <c r="AW530" s="2098"/>
      <c r="AX530" s="2098"/>
      <c r="AY530" s="2098"/>
      <c r="AZ530" s="2098"/>
    </row>
    <row r="531" spans="3:52">
      <c r="C531" s="2096"/>
      <c r="D531" s="2097"/>
      <c r="E531" s="2098"/>
      <c r="F531" s="2098"/>
      <c r="G531" s="2098"/>
      <c r="H531" s="2098"/>
      <c r="I531" s="2098"/>
      <c r="J531" s="2098"/>
      <c r="K531" s="2098"/>
      <c r="L531" s="2098"/>
      <c r="M531" s="2098"/>
      <c r="N531" s="2098"/>
      <c r="O531" s="2098"/>
      <c r="P531" s="2098"/>
      <c r="Q531" s="2098"/>
      <c r="R531" s="2098"/>
      <c r="S531" s="2098"/>
      <c r="T531" s="2098"/>
      <c r="U531" s="2098"/>
      <c r="V531" s="2098"/>
      <c r="W531" s="2098"/>
      <c r="X531" s="2098"/>
      <c r="Y531" s="2098"/>
      <c r="Z531" s="2098"/>
      <c r="AA531" s="2098"/>
      <c r="AB531" s="2098"/>
      <c r="AC531" s="2098"/>
      <c r="AD531" s="2098"/>
      <c r="AE531" s="2098"/>
      <c r="AF531" s="2098"/>
      <c r="AG531" s="2098"/>
      <c r="AH531" s="2098"/>
      <c r="AI531" s="2098"/>
      <c r="AJ531" s="2098"/>
      <c r="AK531" s="2098"/>
      <c r="AL531" s="2098"/>
      <c r="AM531" s="2098"/>
      <c r="AN531" s="2098"/>
      <c r="AO531" s="2098"/>
      <c r="AP531" s="2098"/>
      <c r="AQ531" s="2098"/>
      <c r="AR531" s="2098"/>
      <c r="AS531" s="2098"/>
      <c r="AT531" s="2098"/>
      <c r="AU531" s="2098"/>
      <c r="AV531" s="2098"/>
      <c r="AW531" s="2098"/>
      <c r="AX531" s="2098"/>
      <c r="AY531" s="2098"/>
      <c r="AZ531" s="2098"/>
    </row>
    <row r="532" spans="3:52">
      <c r="C532" s="2096"/>
      <c r="D532" s="2097"/>
      <c r="E532" s="2098"/>
      <c r="F532" s="2098"/>
      <c r="G532" s="2098"/>
      <c r="H532" s="2098"/>
      <c r="I532" s="2098"/>
      <c r="J532" s="2098"/>
      <c r="K532" s="2098"/>
      <c r="L532" s="2098"/>
      <c r="M532" s="2098"/>
      <c r="N532" s="2098"/>
      <c r="O532" s="2098"/>
      <c r="P532" s="2098"/>
      <c r="Q532" s="2098"/>
      <c r="R532" s="2098"/>
      <c r="S532" s="2098"/>
      <c r="T532" s="2098"/>
      <c r="U532" s="2098"/>
      <c r="V532" s="2098"/>
      <c r="W532" s="2098"/>
      <c r="X532" s="2098"/>
      <c r="Y532" s="2098"/>
      <c r="Z532" s="2098"/>
      <c r="AA532" s="2098"/>
      <c r="AB532" s="2098"/>
      <c r="AC532" s="2098"/>
      <c r="AD532" s="2098"/>
      <c r="AE532" s="2098"/>
      <c r="AF532" s="2098"/>
      <c r="AG532" s="2098"/>
      <c r="AH532" s="2098"/>
      <c r="AI532" s="2098"/>
      <c r="AJ532" s="2098"/>
      <c r="AK532" s="2098"/>
      <c r="AL532" s="2098"/>
      <c r="AM532" s="2098"/>
      <c r="AN532" s="2098"/>
      <c r="AO532" s="2098"/>
      <c r="AP532" s="2098"/>
      <c r="AQ532" s="2098"/>
      <c r="AR532" s="2098"/>
      <c r="AS532" s="2098"/>
      <c r="AT532" s="2098"/>
      <c r="AU532" s="2098"/>
      <c r="AV532" s="2098"/>
      <c r="AW532" s="2098"/>
      <c r="AX532" s="2098"/>
      <c r="AY532" s="2098"/>
      <c r="AZ532" s="2098"/>
    </row>
    <row r="533" spans="3:52">
      <c r="C533" s="2096"/>
      <c r="D533" s="2097"/>
      <c r="E533" s="2098"/>
      <c r="F533" s="2098"/>
      <c r="G533" s="2098"/>
      <c r="H533" s="2098"/>
      <c r="I533" s="2098"/>
      <c r="J533" s="2098"/>
      <c r="K533" s="2098"/>
      <c r="L533" s="2098"/>
      <c r="M533" s="2098"/>
      <c r="N533" s="2098"/>
      <c r="O533" s="2098"/>
      <c r="P533" s="2098"/>
      <c r="Q533" s="2098"/>
      <c r="R533" s="2098"/>
      <c r="S533" s="2098"/>
      <c r="T533" s="2098"/>
      <c r="U533" s="2098"/>
      <c r="V533" s="2098"/>
      <c r="W533" s="2098"/>
      <c r="X533" s="2098"/>
      <c r="Y533" s="2098"/>
      <c r="Z533" s="2098"/>
      <c r="AA533" s="2098"/>
      <c r="AB533" s="2098"/>
      <c r="AC533" s="2098"/>
      <c r="AD533" s="2098"/>
      <c r="AE533" s="2098"/>
      <c r="AF533" s="2098"/>
      <c r="AG533" s="2098"/>
      <c r="AH533" s="2098"/>
      <c r="AI533" s="2098"/>
      <c r="AJ533" s="2098"/>
      <c r="AK533" s="2098"/>
      <c r="AL533" s="2098"/>
      <c r="AM533" s="2098"/>
      <c r="AN533" s="2098"/>
      <c r="AO533" s="2098"/>
      <c r="AP533" s="2098"/>
      <c r="AQ533" s="2098"/>
      <c r="AR533" s="2098"/>
      <c r="AS533" s="2098"/>
      <c r="AT533" s="2098"/>
      <c r="AU533" s="2098"/>
      <c r="AV533" s="2098"/>
      <c r="AW533" s="2098"/>
      <c r="AX533" s="2098"/>
      <c r="AY533" s="2098"/>
      <c r="AZ533" s="2098"/>
    </row>
    <row r="534" spans="3:52">
      <c r="C534" s="2096"/>
      <c r="D534" s="2097"/>
      <c r="E534" s="2098"/>
      <c r="F534" s="2098"/>
      <c r="G534" s="2098"/>
      <c r="H534" s="2098"/>
      <c r="I534" s="2098"/>
      <c r="J534" s="2098"/>
      <c r="K534" s="2098"/>
      <c r="L534" s="2098"/>
      <c r="M534" s="2098"/>
      <c r="N534" s="2098"/>
      <c r="O534" s="2098"/>
      <c r="P534" s="2098"/>
      <c r="Q534" s="2098"/>
      <c r="R534" s="2098"/>
      <c r="S534" s="2098"/>
      <c r="T534" s="2098"/>
      <c r="U534" s="2098"/>
      <c r="V534" s="2098"/>
      <c r="W534" s="2098"/>
      <c r="X534" s="2098"/>
      <c r="Y534" s="2098"/>
      <c r="Z534" s="2098"/>
      <c r="AA534" s="2098"/>
      <c r="AB534" s="2098"/>
      <c r="AC534" s="2098"/>
      <c r="AD534" s="2098"/>
      <c r="AE534" s="2098"/>
      <c r="AF534" s="2098"/>
      <c r="AG534" s="2098"/>
      <c r="AH534" s="2098"/>
      <c r="AI534" s="2098"/>
      <c r="AJ534" s="2098"/>
      <c r="AK534" s="2098"/>
      <c r="AL534" s="2098"/>
      <c r="AM534" s="2098"/>
      <c r="AN534" s="2098"/>
      <c r="AO534" s="2098"/>
      <c r="AP534" s="2098"/>
      <c r="AQ534" s="2098"/>
      <c r="AR534" s="2098"/>
      <c r="AS534" s="2098"/>
      <c r="AT534" s="2098"/>
      <c r="AU534" s="2098"/>
      <c r="AV534" s="2098"/>
      <c r="AW534" s="2098"/>
      <c r="AX534" s="2098"/>
      <c r="AY534" s="2098"/>
      <c r="AZ534" s="2098"/>
    </row>
    <row r="535" spans="3:52">
      <c r="C535" s="2096"/>
      <c r="D535" s="2097"/>
      <c r="E535" s="2098"/>
      <c r="F535" s="2098"/>
      <c r="G535" s="2098"/>
      <c r="H535" s="2098"/>
      <c r="I535" s="2098"/>
      <c r="J535" s="2098"/>
      <c r="K535" s="2098"/>
      <c r="L535" s="2098"/>
      <c r="M535" s="2098"/>
      <c r="N535" s="2098"/>
      <c r="O535" s="2098"/>
      <c r="P535" s="2098"/>
      <c r="Q535" s="2098"/>
      <c r="R535" s="2098"/>
      <c r="S535" s="2098"/>
      <c r="T535" s="2098"/>
      <c r="U535" s="2098"/>
      <c r="V535" s="2098"/>
      <c r="W535" s="2098"/>
      <c r="X535" s="2098"/>
      <c r="Y535" s="2098"/>
      <c r="Z535" s="2098"/>
      <c r="AA535" s="2098"/>
      <c r="AB535" s="2098"/>
      <c r="AC535" s="2098"/>
      <c r="AD535" s="2098"/>
      <c r="AE535" s="2098"/>
      <c r="AF535" s="2098"/>
      <c r="AG535" s="2098"/>
      <c r="AH535" s="2098"/>
      <c r="AI535" s="2098"/>
      <c r="AJ535" s="2098"/>
      <c r="AK535" s="2098"/>
      <c r="AL535" s="2098"/>
      <c r="AM535" s="2098"/>
      <c r="AN535" s="2098"/>
      <c r="AO535" s="2098"/>
      <c r="AP535" s="2098"/>
      <c r="AQ535" s="2098"/>
      <c r="AR535" s="2098"/>
      <c r="AS535" s="2098"/>
      <c r="AT535" s="2098"/>
      <c r="AU535" s="2098"/>
      <c r="AV535" s="2098"/>
      <c r="AW535" s="2098"/>
      <c r="AX535" s="2098"/>
      <c r="AY535" s="2098"/>
      <c r="AZ535" s="2098"/>
    </row>
    <row r="536" spans="3:52">
      <c r="C536" s="2096"/>
      <c r="D536" s="2097"/>
      <c r="E536" s="2098"/>
      <c r="F536" s="2098"/>
      <c r="G536" s="2098"/>
      <c r="H536" s="2098"/>
      <c r="I536" s="2098"/>
      <c r="J536" s="2098"/>
      <c r="K536" s="2098"/>
      <c r="L536" s="2098"/>
      <c r="M536" s="2098"/>
      <c r="N536" s="2098"/>
      <c r="O536" s="2098"/>
      <c r="P536" s="2098"/>
      <c r="Q536" s="2098"/>
      <c r="R536" s="2098"/>
      <c r="S536" s="2098"/>
      <c r="T536" s="2098"/>
      <c r="U536" s="2098"/>
      <c r="V536" s="2098"/>
      <c r="W536" s="2098"/>
      <c r="X536" s="2098"/>
      <c r="Y536" s="2098"/>
      <c r="Z536" s="2098"/>
      <c r="AA536" s="2098"/>
      <c r="AB536" s="2098"/>
      <c r="AC536" s="2098"/>
      <c r="AD536" s="2098"/>
      <c r="AE536" s="2098"/>
      <c r="AF536" s="2098"/>
      <c r="AG536" s="2098"/>
      <c r="AH536" s="2098"/>
      <c r="AI536" s="2098"/>
      <c r="AJ536" s="2098"/>
      <c r="AK536" s="2098"/>
      <c r="AL536" s="2098"/>
      <c r="AM536" s="2098"/>
      <c r="AN536" s="2098"/>
      <c r="AO536" s="2098"/>
      <c r="AP536" s="2098"/>
      <c r="AQ536" s="2098"/>
      <c r="AR536" s="2098"/>
      <c r="AS536" s="2098"/>
      <c r="AT536" s="2098"/>
      <c r="AU536" s="2098"/>
      <c r="AV536" s="2098"/>
      <c r="AW536" s="2098"/>
      <c r="AX536" s="2098"/>
      <c r="AY536" s="2098"/>
      <c r="AZ536" s="2098"/>
    </row>
    <row r="537" spans="3:52">
      <c r="C537" s="2096"/>
      <c r="D537" s="2097"/>
      <c r="E537" s="2098"/>
      <c r="F537" s="2098"/>
      <c r="G537" s="2098"/>
      <c r="H537" s="2098"/>
      <c r="I537" s="2098"/>
      <c r="J537" s="2098"/>
      <c r="K537" s="2098"/>
      <c r="L537" s="2098"/>
      <c r="M537" s="2098"/>
      <c r="N537" s="2098"/>
      <c r="O537" s="2098"/>
      <c r="P537" s="2098"/>
      <c r="Q537" s="2098"/>
      <c r="R537" s="2098"/>
      <c r="S537" s="2098"/>
      <c r="T537" s="2098"/>
      <c r="U537" s="2098"/>
      <c r="V537" s="2098"/>
      <c r="W537" s="2098"/>
      <c r="X537" s="2098"/>
      <c r="Y537" s="2098"/>
      <c r="Z537" s="2098"/>
      <c r="AA537" s="2098"/>
      <c r="AB537" s="2098"/>
      <c r="AC537" s="2098"/>
      <c r="AD537" s="2098"/>
      <c r="AE537" s="2098"/>
      <c r="AF537" s="2098"/>
      <c r="AG537" s="2098"/>
      <c r="AH537" s="2098"/>
      <c r="AI537" s="2098"/>
      <c r="AJ537" s="2098"/>
      <c r="AK537" s="2098"/>
      <c r="AL537" s="2098"/>
      <c r="AM537" s="2098"/>
      <c r="AN537" s="2098"/>
      <c r="AO537" s="2098"/>
      <c r="AP537" s="2098"/>
      <c r="AQ537" s="2098"/>
      <c r="AR537" s="2098"/>
      <c r="AS537" s="2098"/>
      <c r="AT537" s="2098"/>
      <c r="AU537" s="2098"/>
      <c r="AV537" s="2098"/>
      <c r="AW537" s="2098"/>
      <c r="AX537" s="2098"/>
      <c r="AY537" s="2098"/>
      <c r="AZ537" s="2098"/>
    </row>
    <row r="538" spans="3:52">
      <c r="C538" s="2096"/>
      <c r="D538" s="2097"/>
      <c r="E538" s="2098"/>
      <c r="F538" s="2098"/>
      <c r="G538" s="2098"/>
      <c r="H538" s="2098"/>
      <c r="I538" s="2098"/>
      <c r="J538" s="2098"/>
      <c r="K538" s="2098"/>
      <c r="L538" s="2098"/>
      <c r="M538" s="2098"/>
      <c r="N538" s="2098"/>
      <c r="O538" s="2098"/>
      <c r="P538" s="2098"/>
      <c r="Q538" s="2098"/>
      <c r="R538" s="2098"/>
      <c r="S538" s="2098"/>
      <c r="T538" s="2098"/>
      <c r="U538" s="2098"/>
      <c r="V538" s="2098"/>
      <c r="W538" s="2098"/>
      <c r="X538" s="2098"/>
      <c r="Y538" s="2098"/>
      <c r="Z538" s="2098"/>
      <c r="AA538" s="2098"/>
      <c r="AB538" s="2098"/>
      <c r="AC538" s="2098"/>
      <c r="AD538" s="2098"/>
      <c r="AE538" s="2098"/>
      <c r="AF538" s="2098"/>
      <c r="AG538" s="2098"/>
      <c r="AH538" s="2098"/>
      <c r="AI538" s="2098"/>
      <c r="AJ538" s="2098"/>
      <c r="AK538" s="2098"/>
      <c r="AL538" s="2098"/>
      <c r="AM538" s="2098"/>
      <c r="AN538" s="2098"/>
      <c r="AO538" s="2098"/>
      <c r="AP538" s="2098"/>
      <c r="AQ538" s="2098"/>
      <c r="AR538" s="2098"/>
      <c r="AS538" s="2098"/>
      <c r="AT538" s="2098"/>
      <c r="AU538" s="2098"/>
      <c r="AV538" s="2098"/>
      <c r="AW538" s="2098"/>
      <c r="AX538" s="2098"/>
      <c r="AY538" s="2098"/>
      <c r="AZ538" s="2098"/>
    </row>
    <row r="539" spans="3:52">
      <c r="C539" s="2096"/>
      <c r="D539" s="2097"/>
      <c r="E539" s="2098"/>
      <c r="F539" s="2098"/>
      <c r="G539" s="2098"/>
      <c r="H539" s="2098"/>
      <c r="I539" s="2098"/>
      <c r="J539" s="2098"/>
      <c r="K539" s="2098"/>
      <c r="L539" s="2098"/>
      <c r="M539" s="2098"/>
      <c r="N539" s="2098"/>
      <c r="O539" s="2098"/>
      <c r="P539" s="2098"/>
      <c r="Q539" s="2098"/>
      <c r="R539" s="2098"/>
      <c r="S539" s="2098"/>
      <c r="T539" s="2098"/>
      <c r="U539" s="2098"/>
      <c r="V539" s="2098"/>
      <c r="W539" s="2098"/>
      <c r="X539" s="2098"/>
      <c r="Y539" s="2098"/>
      <c r="Z539" s="2098"/>
      <c r="AA539" s="2098"/>
      <c r="AB539" s="2098"/>
      <c r="AC539" s="2098"/>
      <c r="AD539" s="2098"/>
      <c r="AE539" s="2098"/>
      <c r="AF539" s="2098"/>
      <c r="AG539" s="2098"/>
      <c r="AH539" s="2098"/>
      <c r="AI539" s="2098"/>
      <c r="AJ539" s="2098"/>
      <c r="AK539" s="2098"/>
      <c r="AL539" s="2098"/>
      <c r="AM539" s="2098"/>
      <c r="AN539" s="2098"/>
      <c r="AO539" s="2098"/>
      <c r="AP539" s="2098"/>
      <c r="AQ539" s="2098"/>
      <c r="AR539" s="2098"/>
      <c r="AS539" s="2098"/>
      <c r="AT539" s="2098"/>
      <c r="AU539" s="2098"/>
      <c r="AV539" s="2098"/>
      <c r="AW539" s="2098"/>
      <c r="AX539" s="2098"/>
      <c r="AY539" s="2098"/>
      <c r="AZ539" s="2098"/>
    </row>
    <row r="540" spans="3:52">
      <c r="C540" s="2096"/>
      <c r="D540" s="2097"/>
      <c r="E540" s="2098"/>
      <c r="F540" s="2098"/>
      <c r="G540" s="2098"/>
      <c r="H540" s="2098"/>
      <c r="I540" s="2098"/>
      <c r="J540" s="2098"/>
      <c r="K540" s="2098"/>
      <c r="L540" s="2098"/>
      <c r="M540" s="2098"/>
      <c r="N540" s="2098"/>
      <c r="O540" s="2098"/>
      <c r="P540" s="2098"/>
      <c r="Q540" s="2098"/>
      <c r="R540" s="2098"/>
      <c r="S540" s="2098"/>
      <c r="T540" s="2098"/>
      <c r="U540" s="2098"/>
      <c r="V540" s="2098"/>
      <c r="W540" s="2098"/>
      <c r="X540" s="2098"/>
      <c r="Y540" s="2098"/>
      <c r="Z540" s="2098"/>
      <c r="AA540" s="2098"/>
      <c r="AB540" s="2098"/>
      <c r="AC540" s="2098"/>
      <c r="AD540" s="2098"/>
      <c r="AE540" s="2098"/>
      <c r="AF540" s="2098"/>
      <c r="AG540" s="2098"/>
      <c r="AH540" s="2098"/>
      <c r="AI540" s="2098"/>
      <c r="AJ540" s="2098"/>
      <c r="AK540" s="2098"/>
      <c r="AL540" s="2098"/>
      <c r="AM540" s="2098"/>
      <c r="AN540" s="2098"/>
      <c r="AO540" s="2098"/>
      <c r="AP540" s="2098"/>
      <c r="AQ540" s="2098"/>
      <c r="AR540" s="2098"/>
      <c r="AS540" s="2098"/>
      <c r="AT540" s="2098"/>
      <c r="AU540" s="2098"/>
      <c r="AV540" s="2098"/>
      <c r="AW540" s="2098"/>
      <c r="AX540" s="2098"/>
      <c r="AY540" s="2098"/>
      <c r="AZ540" s="2098"/>
    </row>
    <row r="541" spans="3:52">
      <c r="C541" s="2096"/>
      <c r="D541" s="2097"/>
      <c r="E541" s="2098"/>
      <c r="F541" s="2098"/>
      <c r="G541" s="2098"/>
      <c r="H541" s="2098"/>
      <c r="I541" s="2098"/>
      <c r="J541" s="2098"/>
      <c r="K541" s="2098"/>
      <c r="L541" s="2098"/>
      <c r="M541" s="2098"/>
      <c r="N541" s="2098"/>
      <c r="O541" s="2098"/>
      <c r="P541" s="2098"/>
      <c r="Q541" s="2098"/>
      <c r="R541" s="2098"/>
      <c r="S541" s="2098"/>
      <c r="T541" s="2098"/>
      <c r="U541" s="2098"/>
      <c r="V541" s="2098"/>
      <c r="W541" s="2098"/>
      <c r="X541" s="2098"/>
      <c r="Y541" s="2098"/>
      <c r="Z541" s="2098"/>
      <c r="AA541" s="2098"/>
      <c r="AB541" s="2098"/>
      <c r="AC541" s="2098"/>
      <c r="AD541" s="2098"/>
      <c r="AE541" s="2098"/>
      <c r="AF541" s="2098"/>
      <c r="AG541" s="2098"/>
      <c r="AH541" s="2098"/>
      <c r="AI541" s="2098"/>
      <c r="AJ541" s="2098"/>
      <c r="AK541" s="2098"/>
      <c r="AL541" s="2098"/>
      <c r="AM541" s="2098"/>
      <c r="AN541" s="2098"/>
      <c r="AO541" s="2098"/>
      <c r="AP541" s="2098"/>
      <c r="AQ541" s="2098"/>
      <c r="AR541" s="2098"/>
      <c r="AS541" s="2098"/>
      <c r="AT541" s="2098"/>
      <c r="AU541" s="2098"/>
      <c r="AV541" s="2098"/>
      <c r="AW541" s="2098"/>
      <c r="AX541" s="2098"/>
      <c r="AY541" s="2098"/>
      <c r="AZ541" s="2098"/>
    </row>
    <row r="542" spans="3:52">
      <c r="C542" s="2096"/>
      <c r="D542" s="2097"/>
      <c r="E542" s="2098"/>
      <c r="F542" s="2098"/>
      <c r="G542" s="2098"/>
      <c r="H542" s="2098"/>
      <c r="I542" s="2098"/>
      <c r="J542" s="2098"/>
      <c r="K542" s="2098"/>
      <c r="L542" s="2098"/>
      <c r="M542" s="2098"/>
      <c r="N542" s="2098"/>
      <c r="O542" s="2098"/>
      <c r="P542" s="2098"/>
      <c r="Q542" s="2098"/>
      <c r="R542" s="2098"/>
      <c r="S542" s="2098"/>
      <c r="T542" s="2098"/>
      <c r="U542" s="2098"/>
      <c r="V542" s="2098"/>
      <c r="W542" s="2098"/>
      <c r="X542" s="2098"/>
      <c r="Y542" s="2098"/>
      <c r="Z542" s="2098"/>
      <c r="AA542" s="2098"/>
      <c r="AB542" s="2098"/>
      <c r="AC542" s="2098"/>
      <c r="AD542" s="2098"/>
      <c r="AE542" s="2098"/>
      <c r="AF542" s="2098"/>
      <c r="AG542" s="2098"/>
      <c r="AH542" s="2098"/>
      <c r="AI542" s="2098"/>
      <c r="AJ542" s="2098"/>
      <c r="AK542" s="2098"/>
      <c r="AL542" s="2098"/>
      <c r="AM542" s="2098"/>
      <c r="AN542" s="2098"/>
      <c r="AO542" s="2098"/>
      <c r="AP542" s="2098"/>
      <c r="AQ542" s="2098"/>
      <c r="AR542" s="2098"/>
      <c r="AS542" s="2098"/>
      <c r="AT542" s="2098"/>
      <c r="AU542" s="2098"/>
      <c r="AV542" s="2098"/>
      <c r="AW542" s="2098"/>
      <c r="AX542" s="2098"/>
      <c r="AY542" s="2098"/>
      <c r="AZ542" s="2098"/>
    </row>
    <row r="543" spans="3:52">
      <c r="C543" s="2096"/>
      <c r="D543" s="2097"/>
      <c r="E543" s="2098"/>
      <c r="F543" s="2098"/>
      <c r="G543" s="2098"/>
      <c r="H543" s="2098"/>
      <c r="I543" s="2098"/>
      <c r="J543" s="2098"/>
      <c r="K543" s="2098"/>
      <c r="L543" s="2098"/>
      <c r="M543" s="2098"/>
      <c r="N543" s="2098"/>
      <c r="O543" s="2098"/>
      <c r="P543" s="2098"/>
      <c r="Q543" s="2098"/>
      <c r="R543" s="2098"/>
      <c r="S543" s="2098"/>
      <c r="T543" s="2098"/>
      <c r="U543" s="2098"/>
      <c r="V543" s="2098"/>
      <c r="W543" s="2098"/>
      <c r="X543" s="2098"/>
      <c r="Y543" s="2098"/>
      <c r="Z543" s="2098"/>
      <c r="AA543" s="2098"/>
      <c r="AB543" s="2098"/>
      <c r="AC543" s="2098"/>
      <c r="AD543" s="2098"/>
      <c r="AE543" s="2098"/>
      <c r="AF543" s="2098"/>
      <c r="AG543" s="2098"/>
      <c r="AH543" s="2098"/>
      <c r="AI543" s="2098"/>
      <c r="AJ543" s="2098"/>
      <c r="AK543" s="2098"/>
      <c r="AL543" s="2098"/>
      <c r="AM543" s="2098"/>
      <c r="AN543" s="2098"/>
      <c r="AO543" s="2098"/>
      <c r="AP543" s="2098"/>
      <c r="AQ543" s="2098"/>
      <c r="AR543" s="2098"/>
      <c r="AS543" s="2098"/>
      <c r="AT543" s="2098"/>
      <c r="AU543" s="2098"/>
      <c r="AV543" s="2098"/>
      <c r="AW543" s="2098"/>
      <c r="AX543" s="2098"/>
      <c r="AY543" s="2098"/>
      <c r="AZ543" s="2098"/>
    </row>
    <row r="544" spans="3:52">
      <c r="C544" s="2096"/>
      <c r="D544" s="2097"/>
      <c r="E544" s="2098"/>
      <c r="F544" s="2098"/>
      <c r="G544" s="2098"/>
      <c r="H544" s="2098"/>
      <c r="I544" s="2098"/>
      <c r="J544" s="2098"/>
      <c r="K544" s="2098"/>
      <c r="L544" s="2098"/>
      <c r="M544" s="2098"/>
      <c r="N544" s="2098"/>
      <c r="O544" s="2098"/>
      <c r="P544" s="2098"/>
      <c r="Q544" s="2098"/>
      <c r="R544" s="2098"/>
      <c r="S544" s="2098"/>
      <c r="T544" s="2098"/>
      <c r="U544" s="2098"/>
      <c r="V544" s="2098"/>
      <c r="W544" s="2098"/>
      <c r="X544" s="2098"/>
      <c r="Y544" s="2098"/>
      <c r="Z544" s="2098"/>
      <c r="AA544" s="2098"/>
      <c r="AB544" s="2098"/>
      <c r="AC544" s="2098"/>
      <c r="AD544" s="2098"/>
      <c r="AE544" s="2098"/>
      <c r="AF544" s="2098"/>
      <c r="AG544" s="2098"/>
      <c r="AH544" s="2098"/>
      <c r="AI544" s="2098"/>
      <c r="AJ544" s="2098"/>
      <c r="AK544" s="2098"/>
      <c r="AL544" s="2098"/>
      <c r="AM544" s="2098"/>
      <c r="AN544" s="2098"/>
      <c r="AO544" s="2098"/>
      <c r="AP544" s="2098"/>
      <c r="AQ544" s="2098"/>
      <c r="AR544" s="2098"/>
      <c r="AS544" s="2098"/>
      <c r="AT544" s="2098"/>
      <c r="AU544" s="2098"/>
      <c r="AV544" s="2098"/>
      <c r="AW544" s="2098"/>
      <c r="AX544" s="2098"/>
      <c r="AY544" s="2098"/>
      <c r="AZ544" s="2098"/>
    </row>
    <row r="545" spans="3:52">
      <c r="C545" s="2096"/>
      <c r="D545" s="2097"/>
      <c r="E545" s="2098"/>
      <c r="F545" s="2098"/>
      <c r="G545" s="2098"/>
      <c r="H545" s="2098"/>
      <c r="I545" s="2098"/>
      <c r="J545" s="2098"/>
      <c r="K545" s="2098"/>
      <c r="L545" s="2098"/>
      <c r="M545" s="2098"/>
      <c r="N545" s="2098"/>
      <c r="O545" s="2098"/>
      <c r="P545" s="2098"/>
      <c r="Q545" s="2098"/>
      <c r="R545" s="2098"/>
      <c r="S545" s="2098"/>
      <c r="T545" s="2098"/>
      <c r="U545" s="2098"/>
      <c r="V545" s="2098"/>
      <c r="W545" s="2098"/>
      <c r="X545" s="2098"/>
      <c r="Y545" s="2098"/>
      <c r="Z545" s="2098"/>
      <c r="AA545" s="2098"/>
      <c r="AB545" s="2098"/>
      <c r="AC545" s="2098"/>
      <c r="AD545" s="2098"/>
      <c r="AE545" s="2098"/>
      <c r="AF545" s="2098"/>
      <c r="AG545" s="2098"/>
      <c r="AH545" s="2098"/>
      <c r="AI545" s="2098"/>
      <c r="AJ545" s="2098"/>
      <c r="AK545" s="2098"/>
      <c r="AL545" s="2098"/>
      <c r="AM545" s="2098"/>
      <c r="AN545" s="2098"/>
      <c r="AO545" s="2098"/>
      <c r="AP545" s="2098"/>
      <c r="AQ545" s="2098"/>
      <c r="AR545" s="2098"/>
      <c r="AS545" s="2098"/>
      <c r="AT545" s="2098"/>
      <c r="AU545" s="2098"/>
      <c r="AV545" s="2098"/>
      <c r="AW545" s="2098"/>
      <c r="AX545" s="2098"/>
      <c r="AY545" s="2098"/>
      <c r="AZ545" s="2098"/>
    </row>
    <row r="546" spans="3:52">
      <c r="C546" s="2096"/>
      <c r="D546" s="2097"/>
      <c r="E546" s="2098"/>
      <c r="F546" s="2098"/>
      <c r="G546" s="2098"/>
      <c r="H546" s="2098"/>
      <c r="I546" s="2098"/>
      <c r="J546" s="2098"/>
      <c r="K546" s="2098"/>
      <c r="L546" s="2098"/>
      <c r="M546" s="2098"/>
      <c r="N546" s="2098"/>
      <c r="O546" s="2098"/>
      <c r="P546" s="2098"/>
      <c r="Q546" s="2098"/>
      <c r="R546" s="2098"/>
      <c r="S546" s="2098"/>
      <c r="T546" s="2098"/>
      <c r="U546" s="2098"/>
      <c r="V546" s="2098"/>
      <c r="W546" s="2098"/>
      <c r="X546" s="2098"/>
      <c r="Y546" s="2098"/>
      <c r="Z546" s="2098"/>
      <c r="AA546" s="2098"/>
      <c r="AB546" s="2098"/>
      <c r="AC546" s="2098"/>
      <c r="AD546" s="2098"/>
      <c r="AE546" s="2098"/>
      <c r="AF546" s="2098"/>
      <c r="AG546" s="2098"/>
      <c r="AH546" s="2098"/>
      <c r="AI546" s="2098"/>
      <c r="AJ546" s="2098"/>
      <c r="AK546" s="2098"/>
      <c r="AL546" s="2098"/>
      <c r="AM546" s="2098"/>
      <c r="AN546" s="2098"/>
      <c r="AO546" s="2098"/>
      <c r="AP546" s="2098"/>
      <c r="AQ546" s="2098"/>
      <c r="AR546" s="2098"/>
      <c r="AS546" s="2098"/>
      <c r="AT546" s="2098"/>
      <c r="AU546" s="2098"/>
      <c r="AV546" s="2098"/>
      <c r="AW546" s="2098"/>
      <c r="AX546" s="2098"/>
      <c r="AY546" s="2098"/>
      <c r="AZ546" s="2098"/>
    </row>
    <row r="547" spans="3:52">
      <c r="C547" s="2096"/>
      <c r="D547" s="2097"/>
      <c r="E547" s="2098"/>
      <c r="F547" s="2098"/>
      <c r="G547" s="2098"/>
      <c r="H547" s="2098"/>
      <c r="I547" s="2098"/>
      <c r="J547" s="2098"/>
      <c r="K547" s="2098"/>
      <c r="L547" s="2098"/>
      <c r="M547" s="2098"/>
      <c r="N547" s="2098"/>
      <c r="O547" s="2098"/>
      <c r="P547" s="2098"/>
      <c r="Q547" s="2098"/>
      <c r="R547" s="2098"/>
      <c r="S547" s="2098"/>
      <c r="T547" s="2098"/>
      <c r="U547" s="2098"/>
      <c r="V547" s="2098"/>
      <c r="W547" s="2098"/>
      <c r="X547" s="2098"/>
      <c r="Y547" s="2098"/>
      <c r="Z547" s="2098"/>
      <c r="AA547" s="2098"/>
      <c r="AB547" s="2098"/>
      <c r="AC547" s="2098"/>
      <c r="AD547" s="2098"/>
      <c r="AE547" s="2098"/>
      <c r="AF547" s="2098"/>
      <c r="AG547" s="2098"/>
      <c r="AH547" s="2098"/>
      <c r="AI547" s="2098"/>
      <c r="AJ547" s="2098"/>
      <c r="AK547" s="2098"/>
      <c r="AL547" s="2098"/>
      <c r="AM547" s="2098"/>
      <c r="AN547" s="2098"/>
      <c r="AO547" s="2098"/>
      <c r="AP547" s="2098"/>
      <c r="AQ547" s="2098"/>
      <c r="AR547" s="2098"/>
      <c r="AS547" s="2098"/>
      <c r="AT547" s="2098"/>
      <c r="AU547" s="2098"/>
      <c r="AV547" s="2098"/>
      <c r="AW547" s="2098"/>
      <c r="AX547" s="2098"/>
      <c r="AY547" s="2098"/>
      <c r="AZ547" s="2098"/>
    </row>
    <row r="548" spans="3:52">
      <c r="C548" s="2096"/>
      <c r="D548" s="2097"/>
      <c r="E548" s="2098"/>
      <c r="F548" s="2098"/>
      <c r="G548" s="2098"/>
      <c r="H548" s="2098"/>
      <c r="I548" s="2098"/>
      <c r="J548" s="2098"/>
      <c r="K548" s="2098"/>
      <c r="L548" s="2098"/>
      <c r="M548" s="2098"/>
      <c r="N548" s="2098"/>
      <c r="O548" s="2098"/>
      <c r="P548" s="2098"/>
      <c r="Q548" s="2098"/>
      <c r="R548" s="2098"/>
      <c r="S548" s="2098"/>
      <c r="T548" s="2098"/>
      <c r="U548" s="2098"/>
      <c r="V548" s="2098"/>
      <c r="W548" s="2098"/>
      <c r="X548" s="2098"/>
      <c r="Y548" s="2098"/>
      <c r="Z548" s="2098"/>
      <c r="AA548" s="2098"/>
      <c r="AB548" s="2098"/>
      <c r="AC548" s="2098"/>
      <c r="AD548" s="2098"/>
      <c r="AE548" s="2098"/>
      <c r="AF548" s="2098"/>
      <c r="AG548" s="2098"/>
      <c r="AH548" s="2098"/>
      <c r="AI548" s="2098"/>
      <c r="AJ548" s="2098"/>
      <c r="AK548" s="2098"/>
      <c r="AL548" s="2098"/>
      <c r="AM548" s="2098"/>
      <c r="AN548" s="2098"/>
      <c r="AO548" s="2098"/>
      <c r="AP548" s="2098"/>
      <c r="AQ548" s="2098"/>
      <c r="AR548" s="2098"/>
      <c r="AS548" s="2098"/>
      <c r="AT548" s="2098"/>
      <c r="AU548" s="2098"/>
      <c r="AV548" s="2098"/>
      <c r="AW548" s="2098"/>
      <c r="AX548" s="2098"/>
      <c r="AY548" s="2098"/>
      <c r="AZ548" s="2098"/>
    </row>
    <row r="549" spans="3:52">
      <c r="C549" s="2096"/>
      <c r="D549" s="2097"/>
      <c r="E549" s="2098"/>
      <c r="F549" s="2098"/>
      <c r="G549" s="2098"/>
      <c r="H549" s="2098"/>
      <c r="I549" s="2098"/>
      <c r="J549" s="2098"/>
      <c r="K549" s="2098"/>
      <c r="L549" s="2098"/>
      <c r="M549" s="2098"/>
      <c r="N549" s="2098"/>
      <c r="O549" s="2098"/>
      <c r="P549" s="2098"/>
      <c r="Q549" s="2098"/>
      <c r="R549" s="2098"/>
      <c r="S549" s="2098"/>
      <c r="T549" s="2098"/>
      <c r="U549" s="2098"/>
      <c r="V549" s="2098"/>
      <c r="W549" s="2098"/>
      <c r="X549" s="2098"/>
      <c r="Y549" s="2098"/>
      <c r="Z549" s="2098"/>
      <c r="AA549" s="2098"/>
      <c r="AB549" s="2098"/>
      <c r="AC549" s="2098"/>
      <c r="AD549" s="2098"/>
      <c r="AE549" s="2098"/>
      <c r="AF549" s="2098"/>
      <c r="AG549" s="2098"/>
      <c r="AH549" s="2098"/>
      <c r="AI549" s="2098"/>
      <c r="AJ549" s="2098"/>
      <c r="AK549" s="2098"/>
      <c r="AL549" s="2098"/>
      <c r="AM549" s="2098"/>
      <c r="AN549" s="2098"/>
      <c r="AO549" s="2098"/>
      <c r="AP549" s="2098"/>
      <c r="AQ549" s="2098"/>
      <c r="AR549" s="2098"/>
      <c r="AS549" s="2098"/>
      <c r="AT549" s="2098"/>
      <c r="AU549" s="2098"/>
      <c r="AV549" s="2098"/>
      <c r="AW549" s="2098"/>
      <c r="AX549" s="2098"/>
      <c r="AY549" s="2098"/>
      <c r="AZ549" s="2098"/>
    </row>
    <row r="550" spans="3:52">
      <c r="C550" s="2096"/>
      <c r="D550" s="2097"/>
      <c r="E550" s="2098"/>
      <c r="F550" s="2098"/>
      <c r="G550" s="2098"/>
      <c r="H550" s="2098"/>
      <c r="I550" s="2098"/>
      <c r="J550" s="2098"/>
      <c r="K550" s="2098"/>
      <c r="L550" s="2098"/>
      <c r="M550" s="2098"/>
      <c r="N550" s="2098"/>
      <c r="O550" s="2098"/>
      <c r="P550" s="2098"/>
      <c r="Q550" s="2098"/>
      <c r="R550" s="2098"/>
      <c r="S550" s="2098"/>
      <c r="T550" s="2098"/>
      <c r="U550" s="2098"/>
      <c r="V550" s="2098"/>
      <c r="W550" s="2098"/>
      <c r="X550" s="2098"/>
      <c r="Y550" s="2098"/>
      <c r="Z550" s="2098"/>
      <c r="AA550" s="2098"/>
      <c r="AB550" s="2098"/>
      <c r="AC550" s="2098"/>
      <c r="AD550" s="2098"/>
      <c r="AE550" s="2098"/>
      <c r="AF550" s="2098"/>
      <c r="AG550" s="2098"/>
      <c r="AH550" s="2098"/>
      <c r="AI550" s="2098"/>
      <c r="AJ550" s="2098"/>
      <c r="AK550" s="2098"/>
      <c r="AL550" s="2098"/>
      <c r="AM550" s="2098"/>
      <c r="AN550" s="2098"/>
      <c r="AO550" s="2098"/>
      <c r="AP550" s="2098"/>
      <c r="AQ550" s="2098"/>
      <c r="AR550" s="2098"/>
      <c r="AS550" s="2098"/>
      <c r="AT550" s="2098"/>
      <c r="AU550" s="2098"/>
      <c r="AV550" s="2098"/>
      <c r="AW550" s="2098"/>
      <c r="AX550" s="2098"/>
      <c r="AY550" s="2098"/>
      <c r="AZ550" s="2098"/>
    </row>
    <row r="551" spans="3:52">
      <c r="C551" s="2096"/>
      <c r="D551" s="2097"/>
      <c r="E551" s="2098"/>
      <c r="F551" s="2098"/>
      <c r="G551" s="2098"/>
      <c r="H551" s="2098"/>
      <c r="I551" s="2098"/>
      <c r="J551" s="2098"/>
      <c r="K551" s="2098"/>
      <c r="L551" s="2098"/>
      <c r="M551" s="2098"/>
      <c r="N551" s="2098"/>
      <c r="O551" s="2098"/>
      <c r="P551" s="2098"/>
      <c r="Q551" s="2098"/>
      <c r="R551" s="2098"/>
      <c r="S551" s="2098"/>
      <c r="T551" s="2098"/>
      <c r="U551" s="2098"/>
      <c r="V551" s="2098"/>
      <c r="W551" s="2098"/>
      <c r="X551" s="2098"/>
      <c r="Y551" s="2098"/>
      <c r="Z551" s="2098"/>
      <c r="AA551" s="2098"/>
      <c r="AB551" s="2098"/>
      <c r="AC551" s="2098"/>
      <c r="AD551" s="2098"/>
      <c r="AE551" s="2098"/>
      <c r="AF551" s="2098"/>
      <c r="AG551" s="2098"/>
      <c r="AH551" s="2098"/>
      <c r="AI551" s="2098"/>
      <c r="AJ551" s="2098"/>
      <c r="AK551" s="2098"/>
      <c r="AL551" s="2098"/>
      <c r="AM551" s="2098"/>
      <c r="AN551" s="2098"/>
      <c r="AO551" s="2098"/>
      <c r="AP551" s="2098"/>
      <c r="AQ551" s="2098"/>
      <c r="AR551" s="2098"/>
      <c r="AS551" s="2098"/>
      <c r="AT551" s="2098"/>
      <c r="AU551" s="2098"/>
      <c r="AV551" s="2098"/>
      <c r="AW551" s="2098"/>
      <c r="AX551" s="2098"/>
      <c r="AY551" s="2098"/>
      <c r="AZ551" s="2098"/>
    </row>
    <row r="552" spans="3:52">
      <c r="C552" s="2096"/>
      <c r="D552" s="2097"/>
      <c r="E552" s="2098"/>
      <c r="F552" s="2098"/>
      <c r="G552" s="2098"/>
      <c r="H552" s="2098"/>
      <c r="I552" s="2098"/>
      <c r="J552" s="2098"/>
      <c r="K552" s="2098"/>
      <c r="L552" s="2098"/>
      <c r="M552" s="2098"/>
      <c r="N552" s="2098"/>
      <c r="O552" s="2098"/>
      <c r="P552" s="2098"/>
      <c r="Q552" s="2098"/>
      <c r="R552" s="2098"/>
      <c r="S552" s="2098"/>
      <c r="T552" s="2098"/>
      <c r="U552" s="2098"/>
      <c r="V552" s="2098"/>
      <c r="W552" s="2098"/>
      <c r="X552" s="2098"/>
      <c r="Y552" s="2098"/>
      <c r="Z552" s="2098"/>
      <c r="AA552" s="2098"/>
      <c r="AB552" s="2098"/>
      <c r="AC552" s="2098"/>
      <c r="AD552" s="2098"/>
      <c r="AE552" s="2098"/>
      <c r="AF552" s="2098"/>
      <c r="AG552" s="2098"/>
      <c r="AH552" s="2098"/>
      <c r="AI552" s="2098"/>
      <c r="AJ552" s="2098"/>
      <c r="AK552" s="2098"/>
      <c r="AL552" s="2098"/>
      <c r="AM552" s="2098"/>
      <c r="AN552" s="2098"/>
      <c r="AO552" s="2098"/>
      <c r="AP552" s="2098"/>
      <c r="AQ552" s="2098"/>
      <c r="AR552" s="2098"/>
      <c r="AS552" s="2098"/>
      <c r="AT552" s="2098"/>
      <c r="AU552" s="2098"/>
      <c r="AV552" s="2098"/>
      <c r="AW552" s="2098"/>
      <c r="AX552" s="2098"/>
      <c r="AY552" s="2098"/>
      <c r="AZ552" s="2098"/>
    </row>
    <row r="553" spans="3:52">
      <c r="C553" s="2096"/>
      <c r="D553" s="2097"/>
      <c r="E553" s="2098"/>
      <c r="F553" s="2098"/>
      <c r="G553" s="2098"/>
      <c r="H553" s="2098"/>
      <c r="I553" s="2098"/>
      <c r="J553" s="2098"/>
      <c r="K553" s="2098"/>
      <c r="L553" s="2098"/>
      <c r="M553" s="2098"/>
      <c r="N553" s="2098"/>
      <c r="O553" s="2098"/>
      <c r="P553" s="2098"/>
      <c r="Q553" s="2098"/>
      <c r="R553" s="2098"/>
      <c r="S553" s="2098"/>
      <c r="T553" s="2098"/>
      <c r="U553" s="2098"/>
      <c r="V553" s="2098"/>
      <c r="W553" s="2098"/>
      <c r="X553" s="2098"/>
      <c r="Y553" s="2098"/>
      <c r="Z553" s="2098"/>
      <c r="AA553" s="2098"/>
      <c r="AB553" s="2098"/>
      <c r="AC553" s="2098"/>
      <c r="AD553" s="2098"/>
      <c r="AE553" s="2098"/>
      <c r="AF553" s="2098"/>
      <c r="AG553" s="2098"/>
      <c r="AH553" s="2098"/>
      <c r="AI553" s="2098"/>
      <c r="AJ553" s="2098"/>
      <c r="AK553" s="2098"/>
      <c r="AL553" s="2098"/>
      <c r="AM553" s="2098"/>
      <c r="AN553" s="2098"/>
      <c r="AO553" s="2098"/>
      <c r="AP553" s="2098"/>
      <c r="AQ553" s="2098"/>
      <c r="AR553" s="2098"/>
      <c r="AS553" s="2098"/>
      <c r="AT553" s="2098"/>
      <c r="AU553" s="2098"/>
      <c r="AV553" s="2098"/>
      <c r="AW553" s="2098"/>
      <c r="AX553" s="2098"/>
      <c r="AY553" s="2098"/>
      <c r="AZ553" s="2098"/>
    </row>
    <row r="554" spans="3:52">
      <c r="C554" s="2096"/>
      <c r="D554" s="2097"/>
      <c r="E554" s="2098"/>
      <c r="F554" s="2098"/>
      <c r="G554" s="2098"/>
      <c r="H554" s="2098"/>
      <c r="I554" s="2098"/>
      <c r="J554" s="2098"/>
      <c r="K554" s="2098"/>
      <c r="L554" s="2098"/>
      <c r="M554" s="2098"/>
      <c r="N554" s="2098"/>
      <c r="O554" s="2098"/>
      <c r="P554" s="2098"/>
      <c r="Q554" s="2098"/>
      <c r="R554" s="2098"/>
      <c r="S554" s="2098"/>
      <c r="T554" s="2098"/>
      <c r="U554" s="2098"/>
      <c r="V554" s="2098"/>
      <c r="W554" s="2098"/>
      <c r="X554" s="2098"/>
      <c r="Y554" s="2098"/>
      <c r="Z554" s="2098"/>
      <c r="AA554" s="2098"/>
      <c r="AB554" s="2098"/>
      <c r="AC554" s="2098"/>
      <c r="AD554" s="2098"/>
      <c r="AE554" s="2098"/>
      <c r="AF554" s="2098"/>
      <c r="AG554" s="2098"/>
      <c r="AH554" s="2098"/>
      <c r="AI554" s="2098"/>
      <c r="AJ554" s="2098"/>
      <c r="AK554" s="2098"/>
      <c r="AL554" s="2098"/>
      <c r="AM554" s="2098"/>
      <c r="AN554" s="2098"/>
      <c r="AO554" s="2098"/>
      <c r="AP554" s="2098"/>
      <c r="AQ554" s="2098"/>
      <c r="AR554" s="2098"/>
      <c r="AS554" s="2098"/>
      <c r="AT554" s="2098"/>
      <c r="AU554" s="2098"/>
      <c r="AV554" s="2098"/>
      <c r="AW554" s="2098"/>
      <c r="AX554" s="2098"/>
      <c r="AY554" s="2098"/>
      <c r="AZ554" s="2098"/>
    </row>
    <row r="555" spans="3:52">
      <c r="C555" s="2096"/>
      <c r="D555" s="2097"/>
      <c r="E555" s="2098"/>
      <c r="F555" s="2098"/>
      <c r="G555" s="2098"/>
      <c r="H555" s="2098"/>
      <c r="I555" s="2098"/>
      <c r="J555" s="2098"/>
      <c r="K555" s="2098"/>
      <c r="L555" s="2098"/>
      <c r="M555" s="2098"/>
      <c r="N555" s="2098"/>
      <c r="O555" s="2098"/>
      <c r="P555" s="2098"/>
      <c r="Q555" s="2098"/>
      <c r="R555" s="2098"/>
      <c r="S555" s="2098"/>
      <c r="T555" s="2098"/>
      <c r="U555" s="2098"/>
      <c r="V555" s="2098"/>
      <c r="W555" s="2098"/>
      <c r="X555" s="2098"/>
      <c r="Y555" s="2098"/>
      <c r="Z555" s="2098"/>
      <c r="AA555" s="2098"/>
      <c r="AB555" s="2098"/>
      <c r="AC555" s="2098"/>
      <c r="AD555" s="2098"/>
      <c r="AE555" s="2098"/>
      <c r="AF555" s="2098"/>
      <c r="AG555" s="2098"/>
      <c r="AH555" s="2098"/>
      <c r="AI555" s="2098"/>
      <c r="AJ555" s="2098"/>
      <c r="AK555" s="2098"/>
      <c r="AL555" s="2098"/>
      <c r="AM555" s="2098"/>
      <c r="AN555" s="2098"/>
      <c r="AO555" s="2098"/>
      <c r="AP555" s="2098"/>
      <c r="AQ555" s="2098"/>
      <c r="AR555" s="2098"/>
      <c r="AS555" s="2098"/>
      <c r="AT555" s="2098"/>
      <c r="AU555" s="2098"/>
      <c r="AV555" s="2098"/>
      <c r="AW555" s="2098"/>
      <c r="AX555" s="2098"/>
      <c r="AY555" s="2098"/>
      <c r="AZ555" s="2098"/>
    </row>
    <row r="556" spans="3:52">
      <c r="C556" s="2096"/>
      <c r="D556" s="2097"/>
      <c r="E556" s="2098"/>
      <c r="F556" s="2098"/>
      <c r="G556" s="2098"/>
      <c r="H556" s="2098"/>
      <c r="I556" s="2098"/>
      <c r="J556" s="2098"/>
      <c r="K556" s="2098"/>
      <c r="L556" s="2098"/>
      <c r="M556" s="2098"/>
      <c r="N556" s="2098"/>
      <c r="O556" s="2098"/>
      <c r="P556" s="2098"/>
      <c r="Q556" s="2098"/>
      <c r="R556" s="2098"/>
      <c r="S556" s="2098"/>
      <c r="T556" s="2098"/>
      <c r="U556" s="2098"/>
      <c r="V556" s="2098"/>
      <c r="W556" s="2098"/>
      <c r="X556" s="2098"/>
      <c r="Y556" s="2098"/>
      <c r="Z556" s="2098"/>
      <c r="AA556" s="2098"/>
      <c r="AB556" s="2098"/>
      <c r="AC556" s="2098"/>
      <c r="AD556" s="2098"/>
      <c r="AE556" s="2098"/>
      <c r="AF556" s="2098"/>
      <c r="AG556" s="2098"/>
      <c r="AH556" s="2098"/>
      <c r="AI556" s="2098"/>
      <c r="AJ556" s="2098"/>
      <c r="AK556" s="2098"/>
      <c r="AL556" s="2098"/>
      <c r="AM556" s="2098"/>
      <c r="AN556" s="2098"/>
      <c r="AO556" s="2098"/>
      <c r="AP556" s="2098"/>
      <c r="AQ556" s="2098"/>
      <c r="AR556" s="2098"/>
      <c r="AS556" s="2098"/>
      <c r="AT556" s="2098"/>
      <c r="AU556" s="2098"/>
      <c r="AV556" s="2098"/>
      <c r="AW556" s="2098"/>
      <c r="AX556" s="2098"/>
      <c r="AY556" s="2098"/>
      <c r="AZ556" s="2098"/>
    </row>
    <row r="557" spans="3:52">
      <c r="C557" s="2096"/>
      <c r="D557" s="2097"/>
      <c r="E557" s="2098"/>
      <c r="F557" s="2098"/>
      <c r="G557" s="2098"/>
      <c r="H557" s="2098"/>
      <c r="I557" s="2098"/>
      <c r="J557" s="2098"/>
      <c r="K557" s="2098"/>
      <c r="L557" s="2098"/>
      <c r="M557" s="2098"/>
      <c r="N557" s="2098"/>
      <c r="O557" s="2098"/>
      <c r="P557" s="2098"/>
      <c r="Q557" s="2098"/>
      <c r="R557" s="2098"/>
      <c r="S557" s="2098"/>
      <c r="T557" s="2098"/>
      <c r="U557" s="2098"/>
      <c r="V557" s="2098"/>
      <c r="W557" s="2098"/>
      <c r="X557" s="2098"/>
      <c r="Y557" s="2098"/>
      <c r="Z557" s="2098"/>
      <c r="AA557" s="2098"/>
      <c r="AB557" s="2098"/>
      <c r="AC557" s="2098"/>
      <c r="AD557" s="2098"/>
      <c r="AE557" s="2098"/>
      <c r="AF557" s="2098"/>
      <c r="AG557" s="2098"/>
      <c r="AH557" s="2098"/>
      <c r="AI557" s="2098"/>
      <c r="AJ557" s="2098"/>
      <c r="AK557" s="2098"/>
      <c r="AL557" s="2098"/>
      <c r="AM557" s="2098"/>
      <c r="AN557" s="2098"/>
      <c r="AO557" s="2098"/>
      <c r="AP557" s="2098"/>
      <c r="AQ557" s="2098"/>
      <c r="AR557" s="2098"/>
      <c r="AS557" s="2098"/>
      <c r="AT557" s="2098"/>
      <c r="AU557" s="2098"/>
      <c r="AV557" s="2098"/>
      <c r="AW557" s="2098"/>
      <c r="AX557" s="2098"/>
      <c r="AY557" s="2098"/>
      <c r="AZ557" s="2098"/>
    </row>
    <row r="558" spans="3:52">
      <c r="C558" s="2096"/>
      <c r="D558" s="2097"/>
      <c r="E558" s="2098"/>
      <c r="F558" s="2098"/>
      <c r="G558" s="2098"/>
      <c r="H558" s="2098"/>
      <c r="I558" s="2098"/>
      <c r="J558" s="2098"/>
      <c r="K558" s="2098"/>
      <c r="L558" s="2098"/>
      <c r="M558" s="2098"/>
      <c r="N558" s="2098"/>
      <c r="O558" s="2098"/>
      <c r="P558" s="2098"/>
      <c r="Q558" s="2098"/>
      <c r="R558" s="2098"/>
      <c r="S558" s="2098"/>
      <c r="T558" s="2098"/>
      <c r="U558" s="2098"/>
      <c r="V558" s="2098"/>
      <c r="W558" s="2098"/>
      <c r="X558" s="2098"/>
      <c r="Y558" s="2098"/>
      <c r="Z558" s="2098"/>
      <c r="AA558" s="2098"/>
      <c r="AB558" s="2098"/>
      <c r="AC558" s="2098"/>
      <c r="AD558" s="2098"/>
      <c r="AE558" s="2098"/>
      <c r="AF558" s="2098"/>
      <c r="AG558" s="2098"/>
      <c r="AH558" s="2098"/>
      <c r="AI558" s="2098"/>
      <c r="AJ558" s="2098"/>
      <c r="AK558" s="2098"/>
      <c r="AL558" s="2098"/>
      <c r="AM558" s="2098"/>
      <c r="AN558" s="2098"/>
      <c r="AO558" s="2098"/>
      <c r="AP558" s="2098"/>
      <c r="AQ558" s="2098"/>
      <c r="AR558" s="2098"/>
      <c r="AS558" s="2098"/>
      <c r="AT558" s="2098"/>
      <c r="AU558" s="2098"/>
      <c r="AV558" s="2098"/>
      <c r="AW558" s="2098"/>
      <c r="AX558" s="2098"/>
      <c r="AY558" s="2098"/>
      <c r="AZ558" s="2098"/>
    </row>
    <row r="559" spans="3:52">
      <c r="C559" s="2096"/>
      <c r="D559" s="2097"/>
      <c r="E559" s="2098"/>
      <c r="F559" s="2098"/>
      <c r="G559" s="2098"/>
      <c r="H559" s="2098"/>
      <c r="I559" s="2098"/>
      <c r="J559" s="2098"/>
      <c r="K559" s="2098"/>
      <c r="L559" s="2098"/>
      <c r="M559" s="2098"/>
      <c r="N559" s="2098"/>
      <c r="O559" s="2098"/>
      <c r="P559" s="2098"/>
      <c r="Q559" s="2098"/>
      <c r="R559" s="2098"/>
      <c r="S559" s="2098"/>
      <c r="T559" s="2098"/>
      <c r="U559" s="2098"/>
      <c r="V559" s="2098"/>
      <c r="W559" s="2098"/>
      <c r="X559" s="2098"/>
      <c r="Y559" s="2098"/>
      <c r="Z559" s="2098"/>
      <c r="AA559" s="2098"/>
      <c r="AB559" s="2098"/>
      <c r="AC559" s="2098"/>
      <c r="AD559" s="2098"/>
      <c r="AE559" s="2098"/>
      <c r="AF559" s="2098"/>
      <c r="AG559" s="2098"/>
      <c r="AH559" s="2098"/>
      <c r="AI559" s="2098"/>
      <c r="AJ559" s="2098"/>
      <c r="AK559" s="2098"/>
      <c r="AL559" s="2098"/>
      <c r="AM559" s="2098"/>
      <c r="AN559" s="2098"/>
      <c r="AO559" s="2098"/>
      <c r="AP559" s="2098"/>
      <c r="AQ559" s="2098"/>
      <c r="AR559" s="2098"/>
      <c r="AS559" s="2098"/>
      <c r="AT559" s="2098"/>
      <c r="AU559" s="2098"/>
      <c r="AV559" s="2098"/>
      <c r="AW559" s="2098"/>
      <c r="AX559" s="2098"/>
      <c r="AY559" s="2098"/>
      <c r="AZ559" s="2098"/>
    </row>
    <row r="560" spans="3:52">
      <c r="C560" s="2096"/>
      <c r="D560" s="2097"/>
      <c r="E560" s="2098"/>
      <c r="F560" s="2098"/>
      <c r="G560" s="2098"/>
      <c r="H560" s="2098"/>
      <c r="I560" s="2098"/>
      <c r="J560" s="2098"/>
      <c r="K560" s="2098"/>
      <c r="L560" s="2098"/>
      <c r="M560" s="2098"/>
      <c r="N560" s="2098"/>
      <c r="O560" s="2098"/>
      <c r="P560" s="2098"/>
      <c r="Q560" s="2098"/>
      <c r="R560" s="2098"/>
      <c r="S560" s="2098"/>
      <c r="T560" s="2098"/>
      <c r="U560" s="2098"/>
      <c r="V560" s="2098"/>
      <c r="W560" s="2098"/>
      <c r="X560" s="2098"/>
      <c r="Y560" s="2098"/>
      <c r="Z560" s="2098"/>
      <c r="AA560" s="2098"/>
      <c r="AB560" s="2098"/>
      <c r="AC560" s="2098"/>
      <c r="AD560" s="2098"/>
      <c r="AE560" s="2098"/>
      <c r="AF560" s="2098"/>
      <c r="AG560" s="2098"/>
      <c r="AH560" s="2098"/>
      <c r="AI560" s="2098"/>
      <c r="AJ560" s="2098"/>
      <c r="AK560" s="2098"/>
      <c r="AL560" s="2098"/>
      <c r="AM560" s="2098"/>
      <c r="AN560" s="2098"/>
      <c r="AO560" s="2098"/>
      <c r="AP560" s="2098"/>
      <c r="AQ560" s="2098"/>
      <c r="AR560" s="2098"/>
      <c r="AS560" s="2098"/>
      <c r="AT560" s="2098"/>
      <c r="AU560" s="2098"/>
      <c r="AV560" s="2098"/>
      <c r="AW560" s="2098"/>
      <c r="AX560" s="2098"/>
      <c r="AY560" s="2098"/>
      <c r="AZ560" s="2098"/>
    </row>
    <row r="561" spans="3:52">
      <c r="C561" s="2096"/>
      <c r="D561" s="2097"/>
      <c r="E561" s="2098"/>
      <c r="F561" s="2098"/>
      <c r="G561" s="2098"/>
      <c r="H561" s="2098"/>
      <c r="I561" s="2098"/>
      <c r="J561" s="2098"/>
      <c r="K561" s="2098"/>
      <c r="L561" s="2098"/>
      <c r="M561" s="2098"/>
      <c r="N561" s="2098"/>
      <c r="O561" s="2098"/>
      <c r="P561" s="2098"/>
      <c r="Q561" s="2098"/>
      <c r="R561" s="2098"/>
      <c r="S561" s="2098"/>
      <c r="T561" s="2098"/>
      <c r="U561" s="2098"/>
      <c r="V561" s="2098"/>
      <c r="W561" s="2098"/>
      <c r="X561" s="2098"/>
      <c r="Y561" s="2098"/>
      <c r="Z561" s="2098"/>
      <c r="AA561" s="2098"/>
      <c r="AB561" s="2098"/>
      <c r="AC561" s="2098"/>
      <c r="AD561" s="2098"/>
      <c r="AE561" s="2098"/>
      <c r="AF561" s="2098"/>
      <c r="AG561" s="2098"/>
      <c r="AH561" s="2098"/>
      <c r="AI561" s="2098"/>
      <c r="AJ561" s="2098"/>
      <c r="AK561" s="2098"/>
      <c r="AL561" s="2098"/>
      <c r="AM561" s="2098"/>
      <c r="AN561" s="2098"/>
      <c r="AO561" s="2098"/>
      <c r="AP561" s="2098"/>
      <c r="AQ561" s="2098"/>
      <c r="AR561" s="2098"/>
      <c r="AS561" s="2098"/>
      <c r="AT561" s="2098"/>
      <c r="AU561" s="2098"/>
      <c r="AV561" s="2098"/>
      <c r="AW561" s="2098"/>
      <c r="AX561" s="2098"/>
      <c r="AY561" s="2098"/>
      <c r="AZ561" s="2098"/>
    </row>
    <row r="562" spans="3:52">
      <c r="C562" s="2096"/>
      <c r="D562" s="2097"/>
      <c r="E562" s="2098"/>
      <c r="F562" s="2098"/>
      <c r="G562" s="2098"/>
      <c r="H562" s="2098"/>
      <c r="I562" s="2098"/>
      <c r="J562" s="2098"/>
      <c r="K562" s="2098"/>
      <c r="L562" s="2098"/>
      <c r="M562" s="2098"/>
      <c r="N562" s="2098"/>
      <c r="O562" s="2098"/>
      <c r="P562" s="2098"/>
      <c r="Q562" s="2098"/>
      <c r="R562" s="2098"/>
      <c r="S562" s="2098"/>
      <c r="T562" s="2098"/>
      <c r="U562" s="2098"/>
      <c r="V562" s="2098"/>
      <c r="W562" s="2098"/>
      <c r="X562" s="2098"/>
      <c r="Y562" s="2098"/>
      <c r="Z562" s="2098"/>
      <c r="AA562" s="2098"/>
      <c r="AB562" s="2098"/>
      <c r="AC562" s="2098"/>
      <c r="AD562" s="2098"/>
      <c r="AE562" s="2098"/>
      <c r="AF562" s="2098"/>
      <c r="AG562" s="2098"/>
      <c r="AH562" s="2098"/>
      <c r="AI562" s="2098"/>
      <c r="AJ562" s="2098"/>
      <c r="AK562" s="2098"/>
      <c r="AL562" s="2098"/>
      <c r="AM562" s="2098"/>
      <c r="AN562" s="2098"/>
      <c r="AO562" s="2098"/>
      <c r="AP562" s="2098"/>
      <c r="AQ562" s="2098"/>
      <c r="AR562" s="2098"/>
      <c r="AS562" s="2098"/>
      <c r="AT562" s="2098"/>
      <c r="AU562" s="2098"/>
      <c r="AV562" s="2098"/>
      <c r="AW562" s="2098"/>
      <c r="AX562" s="2098"/>
      <c r="AY562" s="2098"/>
      <c r="AZ562" s="2098"/>
    </row>
    <row r="563" spans="3:52">
      <c r="C563" s="2096"/>
      <c r="D563" s="2097"/>
      <c r="E563" s="2098"/>
      <c r="F563" s="2098"/>
      <c r="G563" s="2098"/>
      <c r="H563" s="2098"/>
      <c r="I563" s="2098"/>
      <c r="J563" s="2098"/>
      <c r="K563" s="2098"/>
      <c r="L563" s="2098"/>
      <c r="M563" s="2098"/>
      <c r="N563" s="2098"/>
      <c r="O563" s="2098"/>
      <c r="P563" s="2098"/>
      <c r="Q563" s="2098"/>
      <c r="R563" s="2098"/>
      <c r="S563" s="2098"/>
      <c r="T563" s="2098"/>
      <c r="U563" s="2098"/>
      <c r="V563" s="2098"/>
      <c r="W563" s="2098"/>
      <c r="X563" s="2098"/>
      <c r="Y563" s="2098"/>
      <c r="Z563" s="2098"/>
      <c r="AA563" s="2098"/>
      <c r="AB563" s="2098"/>
      <c r="AC563" s="2098"/>
      <c r="AD563" s="2098"/>
      <c r="AE563" s="2098"/>
      <c r="AF563" s="2098"/>
      <c r="AG563" s="2098"/>
      <c r="AH563" s="2098"/>
      <c r="AI563" s="2098"/>
      <c r="AJ563" s="2098"/>
      <c r="AK563" s="2098"/>
      <c r="AL563" s="2098"/>
      <c r="AM563" s="2098"/>
      <c r="AN563" s="2098"/>
      <c r="AO563" s="2098"/>
      <c r="AP563" s="2098"/>
      <c r="AQ563" s="2098"/>
      <c r="AR563" s="2098"/>
      <c r="AS563" s="2098"/>
      <c r="AT563" s="2098"/>
      <c r="AU563" s="2098"/>
      <c r="AV563" s="2098"/>
      <c r="AW563" s="2098"/>
      <c r="AX563" s="2098"/>
      <c r="AY563" s="2098"/>
      <c r="AZ563" s="2098"/>
    </row>
    <row r="564" spans="3:52">
      <c r="C564" s="2096"/>
      <c r="D564" s="2097"/>
      <c r="E564" s="2098"/>
      <c r="F564" s="2098"/>
      <c r="G564" s="2098"/>
      <c r="H564" s="2098"/>
      <c r="I564" s="2098"/>
      <c r="J564" s="2098"/>
      <c r="K564" s="2098"/>
      <c r="L564" s="2098"/>
      <c r="M564" s="2098"/>
      <c r="N564" s="2098"/>
      <c r="O564" s="2098"/>
      <c r="P564" s="2098"/>
      <c r="Q564" s="2098"/>
      <c r="R564" s="2098"/>
      <c r="S564" s="2098"/>
      <c r="T564" s="2098"/>
      <c r="U564" s="2098"/>
      <c r="V564" s="2098"/>
      <c r="W564" s="2098"/>
      <c r="X564" s="2098"/>
      <c r="Y564" s="2098"/>
      <c r="Z564" s="2098"/>
      <c r="AA564" s="2098"/>
      <c r="AB564" s="2098"/>
      <c r="AC564" s="2098"/>
      <c r="AD564" s="2098"/>
      <c r="AE564" s="2098"/>
      <c r="AF564" s="2098"/>
      <c r="AG564" s="2098"/>
      <c r="AH564" s="2098"/>
      <c r="AI564" s="2098"/>
      <c r="AJ564" s="2098"/>
      <c r="AK564" s="2098"/>
      <c r="AL564" s="2098"/>
      <c r="AM564" s="2098"/>
      <c r="AN564" s="2098"/>
      <c r="AO564" s="2098"/>
      <c r="AP564" s="2098"/>
      <c r="AQ564" s="2098"/>
      <c r="AR564" s="2098"/>
      <c r="AS564" s="2098"/>
      <c r="AT564" s="2098"/>
      <c r="AU564" s="2098"/>
      <c r="AV564" s="2098"/>
      <c r="AW564" s="2098"/>
      <c r="AX564" s="2098"/>
      <c r="AY564" s="2098"/>
      <c r="AZ564" s="2098"/>
    </row>
    <row r="565" spans="3:52">
      <c r="C565" s="2096"/>
      <c r="D565" s="2097"/>
      <c r="E565" s="2098"/>
      <c r="F565" s="2098"/>
      <c r="G565" s="2098"/>
      <c r="H565" s="2098"/>
      <c r="I565" s="2098"/>
      <c r="J565" s="2098"/>
      <c r="K565" s="2098"/>
      <c r="L565" s="2098"/>
      <c r="M565" s="2098"/>
      <c r="N565" s="2098"/>
      <c r="O565" s="2098"/>
      <c r="P565" s="2098"/>
      <c r="Q565" s="2098"/>
      <c r="R565" s="2098"/>
      <c r="S565" s="2098"/>
      <c r="T565" s="2098"/>
      <c r="U565" s="2098"/>
      <c r="V565" s="2098"/>
      <c r="W565" s="2098"/>
      <c r="X565" s="2098"/>
      <c r="Y565" s="2098"/>
      <c r="Z565" s="2098"/>
      <c r="AA565" s="2098"/>
      <c r="AB565" s="2098"/>
      <c r="AC565" s="2098"/>
      <c r="AD565" s="2098"/>
      <c r="AE565" s="2098"/>
      <c r="AF565" s="2098"/>
      <c r="AG565" s="2098"/>
      <c r="AH565" s="2098"/>
      <c r="AI565" s="2098"/>
      <c r="AJ565" s="2098"/>
      <c r="AK565" s="2098"/>
      <c r="AL565" s="2098"/>
      <c r="AM565" s="2098"/>
      <c r="AN565" s="2098"/>
      <c r="AO565" s="2098"/>
      <c r="AP565" s="2098"/>
      <c r="AQ565" s="2098"/>
      <c r="AR565" s="2098"/>
      <c r="AS565" s="2098"/>
      <c r="AT565" s="2098"/>
      <c r="AU565" s="2098"/>
      <c r="AV565" s="2098"/>
      <c r="AW565" s="2098"/>
      <c r="AX565" s="2098"/>
      <c r="AY565" s="2098"/>
      <c r="AZ565" s="2098"/>
    </row>
    <row r="566" spans="3:52">
      <c r="C566" s="2096"/>
      <c r="D566" s="2097"/>
      <c r="E566" s="2098"/>
      <c r="F566" s="2098"/>
      <c r="G566" s="2098"/>
      <c r="H566" s="2098"/>
      <c r="I566" s="2098"/>
      <c r="J566" s="2098"/>
      <c r="K566" s="2098"/>
      <c r="L566" s="2098"/>
      <c r="M566" s="2098"/>
      <c r="N566" s="2098"/>
      <c r="O566" s="2098"/>
      <c r="P566" s="2098"/>
      <c r="Q566" s="2098"/>
      <c r="R566" s="2098"/>
      <c r="S566" s="2098"/>
      <c r="T566" s="2098"/>
      <c r="U566" s="2098"/>
      <c r="V566" s="2098"/>
      <c r="W566" s="2098"/>
      <c r="X566" s="2098"/>
      <c r="Y566" s="2098"/>
      <c r="Z566" s="2098"/>
      <c r="AA566" s="2098"/>
      <c r="AB566" s="2098"/>
      <c r="AC566" s="2098"/>
      <c r="AD566" s="2098"/>
      <c r="AE566" s="2098"/>
      <c r="AF566" s="2098"/>
      <c r="AG566" s="2098"/>
      <c r="AH566" s="2098"/>
      <c r="AI566" s="2098"/>
      <c r="AJ566" s="2098"/>
      <c r="AK566" s="2098"/>
      <c r="AL566" s="2098"/>
      <c r="AM566" s="2098"/>
      <c r="AN566" s="2098"/>
      <c r="AO566" s="2098"/>
      <c r="AP566" s="2098"/>
      <c r="AQ566" s="2098"/>
      <c r="AR566" s="2098"/>
      <c r="AS566" s="2098"/>
      <c r="AT566" s="2098"/>
      <c r="AU566" s="2098"/>
      <c r="AV566" s="2098"/>
      <c r="AW566" s="2098"/>
      <c r="AX566" s="2098"/>
      <c r="AY566" s="2098"/>
      <c r="AZ566" s="2098"/>
    </row>
    <row r="567" spans="3:52">
      <c r="C567" s="2096"/>
      <c r="D567" s="2097"/>
      <c r="E567" s="2098"/>
      <c r="F567" s="2098"/>
      <c r="G567" s="2098"/>
      <c r="H567" s="2098"/>
      <c r="I567" s="2098"/>
      <c r="J567" s="2098"/>
      <c r="K567" s="2098"/>
      <c r="L567" s="2098"/>
      <c r="M567" s="2098"/>
      <c r="N567" s="2098"/>
      <c r="O567" s="2098"/>
      <c r="P567" s="2098"/>
      <c r="Q567" s="2098"/>
      <c r="R567" s="2098"/>
      <c r="S567" s="2098"/>
      <c r="T567" s="2098"/>
      <c r="U567" s="2098"/>
      <c r="V567" s="2098"/>
      <c r="W567" s="2098"/>
      <c r="X567" s="2098"/>
      <c r="Y567" s="2098"/>
      <c r="Z567" s="2098"/>
      <c r="AA567" s="2098"/>
      <c r="AB567" s="2098"/>
      <c r="AC567" s="2098"/>
      <c r="AD567" s="2098"/>
      <c r="AE567" s="2098"/>
      <c r="AF567" s="2098"/>
      <c r="AG567" s="2098"/>
      <c r="AH567" s="2098"/>
      <c r="AI567" s="2098"/>
      <c r="AJ567" s="2098"/>
      <c r="AK567" s="2098"/>
      <c r="AL567" s="2098"/>
      <c r="AM567" s="2098"/>
      <c r="AN567" s="2098"/>
      <c r="AO567" s="2098"/>
      <c r="AP567" s="2098"/>
      <c r="AQ567" s="2098"/>
      <c r="AR567" s="2098"/>
      <c r="AS567" s="2098"/>
      <c r="AT567" s="2098"/>
      <c r="AU567" s="2098"/>
      <c r="AV567" s="2098"/>
      <c r="AW567" s="2098"/>
      <c r="AX567" s="2098"/>
      <c r="AY567" s="2098"/>
      <c r="AZ567" s="2098"/>
    </row>
    <row r="568" spans="3:52">
      <c r="C568" s="2096"/>
      <c r="D568" s="2097"/>
      <c r="E568" s="2098"/>
      <c r="F568" s="2098"/>
      <c r="G568" s="2098"/>
      <c r="H568" s="2098"/>
      <c r="I568" s="2098"/>
      <c r="J568" s="2098"/>
      <c r="K568" s="2098"/>
      <c r="L568" s="2098"/>
      <c r="M568" s="2098"/>
      <c r="N568" s="2098"/>
      <c r="O568" s="2098"/>
      <c r="P568" s="2098"/>
      <c r="Q568" s="2098"/>
      <c r="R568" s="2098"/>
      <c r="S568" s="2098"/>
      <c r="T568" s="2098"/>
      <c r="U568" s="2098"/>
      <c r="V568" s="2098"/>
      <c r="W568" s="2098"/>
      <c r="X568" s="2098"/>
      <c r="Y568" s="2098"/>
      <c r="Z568" s="2098"/>
      <c r="AA568" s="2098"/>
      <c r="AB568" s="2098"/>
      <c r="AC568" s="2098"/>
      <c r="AD568" s="2098"/>
      <c r="AE568" s="2098"/>
      <c r="AF568" s="2098"/>
      <c r="AG568" s="2098"/>
      <c r="AH568" s="2098"/>
      <c r="AI568" s="2098"/>
      <c r="AJ568" s="2098"/>
      <c r="AK568" s="2098"/>
      <c r="AL568" s="2098"/>
      <c r="AM568" s="2098"/>
      <c r="AN568" s="2098"/>
      <c r="AO568" s="2098"/>
      <c r="AP568" s="2098"/>
      <c r="AQ568" s="2098"/>
      <c r="AR568" s="2098"/>
      <c r="AS568" s="2098"/>
      <c r="AT568" s="2098"/>
      <c r="AU568" s="2098"/>
      <c r="AV568" s="2098"/>
      <c r="AW568" s="2098"/>
      <c r="AX568" s="2098"/>
      <c r="AY568" s="2098"/>
      <c r="AZ568" s="2098"/>
    </row>
    <row r="569" spans="3:52">
      <c r="C569" s="2096"/>
      <c r="D569" s="2097"/>
      <c r="E569" s="2098"/>
      <c r="F569" s="2098"/>
      <c r="G569" s="2098"/>
      <c r="H569" s="2098"/>
      <c r="I569" s="2098"/>
      <c r="J569" s="2098"/>
      <c r="K569" s="2098"/>
      <c r="L569" s="2098"/>
      <c r="M569" s="2098"/>
      <c r="N569" s="2098"/>
      <c r="O569" s="2098"/>
      <c r="P569" s="2098"/>
      <c r="Q569" s="2098"/>
      <c r="R569" s="2098"/>
      <c r="S569" s="2098"/>
      <c r="T569" s="2098"/>
      <c r="U569" s="2098"/>
      <c r="V569" s="2098"/>
      <c r="W569" s="2098"/>
      <c r="X569" s="2098"/>
      <c r="Y569" s="2098"/>
      <c r="Z569" s="2098"/>
      <c r="AA569" s="2098"/>
      <c r="AB569" s="2098"/>
      <c r="AC569" s="2098"/>
      <c r="AD569" s="2098"/>
      <c r="AE569" s="2098"/>
      <c r="AF569" s="2098"/>
      <c r="AG569" s="2098"/>
      <c r="AH569" s="2098"/>
      <c r="AI569" s="2098"/>
      <c r="AJ569" s="2098"/>
      <c r="AK569" s="2098"/>
      <c r="AL569" s="2098"/>
      <c r="AM569" s="2098"/>
      <c r="AN569" s="2098"/>
      <c r="AO569" s="2098"/>
      <c r="AP569" s="2098"/>
      <c r="AQ569" s="2098"/>
      <c r="AR569" s="2098"/>
      <c r="AS569" s="2098"/>
      <c r="AT569" s="2098"/>
      <c r="AU569" s="2098"/>
      <c r="AV569" s="2098"/>
      <c r="AW569" s="2098"/>
      <c r="AX569" s="2098"/>
      <c r="AY569" s="2098"/>
      <c r="AZ569" s="2098"/>
    </row>
    <row r="570" spans="3:52">
      <c r="C570" s="2096"/>
      <c r="D570" s="2097"/>
      <c r="E570" s="2098"/>
      <c r="F570" s="2098"/>
      <c r="G570" s="2098"/>
      <c r="H570" s="2098"/>
      <c r="I570" s="2098"/>
      <c r="J570" s="2098"/>
      <c r="K570" s="2098"/>
      <c r="L570" s="2098"/>
      <c r="M570" s="2098"/>
      <c r="N570" s="2098"/>
      <c r="O570" s="2098"/>
      <c r="P570" s="2098"/>
      <c r="Q570" s="2098"/>
      <c r="R570" s="2098"/>
      <c r="S570" s="2098"/>
      <c r="T570" s="2098"/>
      <c r="U570" s="2098"/>
      <c r="V570" s="2098"/>
      <c r="W570" s="2098"/>
      <c r="X570" s="2098"/>
      <c r="Y570" s="2098"/>
      <c r="Z570" s="2098"/>
      <c r="AA570" s="2098"/>
      <c r="AB570" s="2098"/>
      <c r="AC570" s="2098"/>
      <c r="AD570" s="2098"/>
      <c r="AE570" s="2098"/>
      <c r="AF570" s="2098"/>
      <c r="AG570" s="2098"/>
      <c r="AH570" s="2098"/>
      <c r="AI570" s="2098"/>
      <c r="AJ570" s="2098"/>
      <c r="AK570" s="2098"/>
      <c r="AL570" s="2098"/>
      <c r="AM570" s="2098"/>
      <c r="AN570" s="2098"/>
      <c r="AO570" s="2098"/>
      <c r="AP570" s="2098"/>
      <c r="AQ570" s="2098"/>
      <c r="AR570" s="2098"/>
      <c r="AS570" s="2098"/>
      <c r="AT570" s="2098"/>
      <c r="AU570" s="2098"/>
      <c r="AV570" s="2098"/>
      <c r="AW570" s="2098"/>
      <c r="AX570" s="2098"/>
      <c r="AY570" s="2098"/>
      <c r="AZ570" s="2098"/>
    </row>
    <row r="571" spans="3:52">
      <c r="C571" s="2096"/>
      <c r="D571" s="2097"/>
      <c r="E571" s="2098"/>
      <c r="F571" s="2098"/>
      <c r="G571" s="2098"/>
      <c r="H571" s="2098"/>
      <c r="I571" s="2098"/>
      <c r="J571" s="2098"/>
      <c r="K571" s="2098"/>
      <c r="L571" s="2098"/>
      <c r="M571" s="2098"/>
      <c r="N571" s="2098"/>
      <c r="O571" s="2098"/>
      <c r="P571" s="2098"/>
      <c r="Q571" s="2098"/>
      <c r="R571" s="2098"/>
      <c r="S571" s="2098"/>
      <c r="T571" s="2098"/>
      <c r="U571" s="2098"/>
      <c r="V571" s="2098"/>
      <c r="W571" s="2098"/>
      <c r="X571" s="2098"/>
      <c r="Y571" s="2098"/>
      <c r="Z571" s="2098"/>
      <c r="AA571" s="2098"/>
      <c r="AB571" s="2098"/>
      <c r="AC571" s="2098"/>
      <c r="AD571" s="2098"/>
      <c r="AE571" s="2098"/>
      <c r="AF571" s="2098"/>
      <c r="AG571" s="2098"/>
      <c r="AH571" s="2098"/>
      <c r="AI571" s="2098"/>
      <c r="AJ571" s="2098"/>
      <c r="AK571" s="2098"/>
      <c r="AL571" s="2098"/>
      <c r="AM571" s="2098"/>
      <c r="AN571" s="2098"/>
      <c r="AO571" s="2098"/>
      <c r="AP571" s="2098"/>
      <c r="AQ571" s="2098"/>
      <c r="AR571" s="2098"/>
      <c r="AS571" s="2098"/>
      <c r="AT571" s="2098"/>
      <c r="AU571" s="2098"/>
      <c r="AV571" s="2098"/>
      <c r="AW571" s="2098"/>
      <c r="AX571" s="2098"/>
      <c r="AY571" s="2098"/>
      <c r="AZ571" s="2098"/>
    </row>
    <row r="572" spans="3:52">
      <c r="C572" s="2096"/>
      <c r="D572" s="2097"/>
      <c r="E572" s="2098"/>
      <c r="F572" s="2098"/>
      <c r="G572" s="2098"/>
      <c r="H572" s="2098"/>
      <c r="I572" s="2098"/>
      <c r="J572" s="2098"/>
      <c r="K572" s="2098"/>
      <c r="L572" s="2098"/>
      <c r="M572" s="2098"/>
      <c r="N572" s="2098"/>
      <c r="O572" s="2098"/>
      <c r="P572" s="2098"/>
      <c r="Q572" s="2098"/>
      <c r="R572" s="2098"/>
      <c r="S572" s="2098"/>
      <c r="T572" s="2098"/>
      <c r="U572" s="2098"/>
      <c r="V572" s="2098"/>
      <c r="W572" s="2098"/>
      <c r="X572" s="2098"/>
      <c r="Y572" s="2098"/>
      <c r="Z572" s="2098"/>
      <c r="AA572" s="2098"/>
      <c r="AB572" s="2098"/>
      <c r="AC572" s="2098"/>
      <c r="AD572" s="2098"/>
      <c r="AE572" s="2098"/>
      <c r="AF572" s="2098"/>
      <c r="AG572" s="2098"/>
      <c r="AH572" s="2098"/>
      <c r="AI572" s="2098"/>
      <c r="AJ572" s="2098"/>
      <c r="AK572" s="2098"/>
      <c r="AL572" s="2098"/>
      <c r="AM572" s="2098"/>
      <c r="AN572" s="2098"/>
      <c r="AO572" s="2098"/>
      <c r="AP572" s="2098"/>
      <c r="AQ572" s="2098"/>
      <c r="AR572" s="2098"/>
      <c r="AS572" s="2098"/>
      <c r="AT572" s="2098"/>
      <c r="AU572" s="2098"/>
      <c r="AV572" s="2098"/>
      <c r="AW572" s="2098"/>
      <c r="AX572" s="2098"/>
      <c r="AY572" s="2098"/>
      <c r="AZ572" s="2098"/>
    </row>
    <row r="573" spans="3:52">
      <c r="C573" s="2096"/>
      <c r="D573" s="2097"/>
      <c r="E573" s="2098"/>
      <c r="F573" s="2098"/>
      <c r="G573" s="2098"/>
      <c r="H573" s="2098"/>
      <c r="I573" s="2098"/>
      <c r="J573" s="2098"/>
      <c r="K573" s="2098"/>
      <c r="L573" s="2098"/>
      <c r="M573" s="2098"/>
      <c r="N573" s="2098"/>
      <c r="O573" s="2098"/>
      <c r="P573" s="2098"/>
      <c r="Q573" s="2098"/>
      <c r="R573" s="2098"/>
      <c r="S573" s="2098"/>
      <c r="T573" s="2098"/>
      <c r="U573" s="2098"/>
      <c r="V573" s="2098"/>
      <c r="W573" s="2098"/>
      <c r="X573" s="2098"/>
      <c r="Y573" s="2098"/>
      <c r="Z573" s="2098"/>
      <c r="AA573" s="2098"/>
      <c r="AB573" s="2098"/>
      <c r="AC573" s="2098"/>
      <c r="AD573" s="2098"/>
      <c r="AE573" s="2098"/>
      <c r="AF573" s="2098"/>
      <c r="AG573" s="2098"/>
      <c r="AH573" s="2098"/>
      <c r="AI573" s="2098"/>
      <c r="AJ573" s="2098"/>
      <c r="AK573" s="2098"/>
      <c r="AL573" s="2098"/>
      <c r="AM573" s="2098"/>
      <c r="AN573" s="2098"/>
      <c r="AO573" s="2098"/>
      <c r="AP573" s="2098"/>
      <c r="AQ573" s="2098"/>
      <c r="AR573" s="2098"/>
      <c r="AS573" s="2098"/>
      <c r="AT573" s="2098"/>
      <c r="AU573" s="2098"/>
      <c r="AV573" s="2098"/>
      <c r="AW573" s="2098"/>
      <c r="AX573" s="2098"/>
      <c r="AY573" s="2098"/>
      <c r="AZ573" s="2098"/>
    </row>
    <row r="574" spans="3:52">
      <c r="C574" s="2096"/>
      <c r="D574" s="2097"/>
      <c r="E574" s="2098"/>
      <c r="F574" s="2098"/>
      <c r="G574" s="2098"/>
      <c r="H574" s="2098"/>
      <c r="I574" s="2098"/>
      <c r="J574" s="2098"/>
      <c r="K574" s="2098"/>
      <c r="L574" s="2098"/>
      <c r="M574" s="2098"/>
      <c r="N574" s="2098"/>
      <c r="O574" s="2098"/>
      <c r="P574" s="2098"/>
      <c r="Q574" s="2098"/>
      <c r="R574" s="2098"/>
      <c r="S574" s="2098"/>
      <c r="T574" s="2098"/>
      <c r="U574" s="2098"/>
      <c r="V574" s="2098"/>
      <c r="W574" s="2098"/>
      <c r="X574" s="2098"/>
      <c r="Y574" s="2098"/>
      <c r="Z574" s="2098"/>
      <c r="AA574" s="2098"/>
      <c r="AB574" s="2098"/>
      <c r="AC574" s="2098"/>
      <c r="AD574" s="2098"/>
      <c r="AE574" s="2098"/>
      <c r="AF574" s="2098"/>
      <c r="AG574" s="2098"/>
      <c r="AH574" s="2098"/>
      <c r="AI574" s="2098"/>
      <c r="AJ574" s="2098"/>
      <c r="AK574" s="2098"/>
      <c r="AL574" s="2098"/>
      <c r="AM574" s="2098"/>
      <c r="AN574" s="2098"/>
      <c r="AO574" s="2098"/>
      <c r="AP574" s="2098"/>
      <c r="AQ574" s="2098"/>
      <c r="AR574" s="2098"/>
      <c r="AS574" s="2098"/>
      <c r="AT574" s="2098"/>
      <c r="AU574" s="2098"/>
      <c r="AV574" s="2098"/>
      <c r="AW574" s="2098"/>
      <c r="AX574" s="2098"/>
      <c r="AY574" s="2098"/>
      <c r="AZ574" s="2098"/>
    </row>
    <row r="575" spans="3:52">
      <c r="C575" s="2096"/>
      <c r="D575" s="2097"/>
      <c r="E575" s="2098"/>
      <c r="F575" s="2098"/>
      <c r="G575" s="2098"/>
      <c r="H575" s="2098"/>
      <c r="I575" s="2098"/>
      <c r="J575" s="2098"/>
      <c r="K575" s="2098"/>
      <c r="L575" s="2098"/>
      <c r="M575" s="2098"/>
      <c r="N575" s="2098"/>
      <c r="O575" s="2098"/>
      <c r="P575" s="2098"/>
      <c r="Q575" s="2098"/>
      <c r="R575" s="2098"/>
      <c r="S575" s="2098"/>
      <c r="T575" s="2098"/>
      <c r="U575" s="2098"/>
      <c r="V575" s="2098"/>
      <c r="W575" s="2098"/>
      <c r="X575" s="2098"/>
      <c r="Y575" s="2098"/>
      <c r="Z575" s="2098"/>
      <c r="AA575" s="2098"/>
      <c r="AB575" s="2098"/>
      <c r="AC575" s="2098"/>
      <c r="AD575" s="2098"/>
      <c r="AE575" s="2098"/>
      <c r="AF575" s="2098"/>
      <c r="AG575" s="2098"/>
      <c r="AH575" s="2098"/>
      <c r="AI575" s="2098"/>
      <c r="AJ575" s="2098"/>
      <c r="AK575" s="2098"/>
      <c r="AL575" s="2098"/>
      <c r="AM575" s="2098"/>
      <c r="AN575" s="2098"/>
      <c r="AO575" s="2098"/>
      <c r="AP575" s="2098"/>
      <c r="AQ575" s="2098"/>
      <c r="AR575" s="2098"/>
      <c r="AS575" s="2098"/>
      <c r="AT575" s="2098"/>
      <c r="AU575" s="2098"/>
      <c r="AV575" s="2098"/>
      <c r="AW575" s="2098"/>
      <c r="AX575" s="2098"/>
      <c r="AY575" s="2098"/>
      <c r="AZ575" s="2098"/>
    </row>
    <row r="576" spans="3:52">
      <c r="C576" s="2096"/>
      <c r="D576" s="2097"/>
      <c r="E576" s="2098"/>
      <c r="F576" s="2098"/>
      <c r="G576" s="2098"/>
      <c r="H576" s="2098"/>
      <c r="I576" s="2098"/>
      <c r="J576" s="2098"/>
      <c r="K576" s="2098"/>
      <c r="L576" s="2098"/>
      <c r="M576" s="2098"/>
      <c r="N576" s="2098"/>
      <c r="O576" s="2098"/>
      <c r="P576" s="2098"/>
      <c r="Q576" s="2098"/>
      <c r="R576" s="2098"/>
      <c r="S576" s="2098"/>
      <c r="T576" s="2098"/>
      <c r="U576" s="2098"/>
      <c r="V576" s="2098"/>
      <c r="W576" s="2098"/>
      <c r="X576" s="2098"/>
      <c r="Y576" s="2098"/>
      <c r="Z576" s="2098"/>
      <c r="AA576" s="2098"/>
      <c r="AB576" s="2098"/>
      <c r="AC576" s="2098"/>
      <c r="AD576" s="2098"/>
      <c r="AE576" s="2098"/>
      <c r="AF576" s="2098"/>
      <c r="AG576" s="2098"/>
      <c r="AH576" s="2098"/>
      <c r="AI576" s="2098"/>
      <c r="AJ576" s="2098"/>
      <c r="AK576" s="2098"/>
      <c r="AL576" s="2098"/>
      <c r="AM576" s="2098"/>
      <c r="AN576" s="2098"/>
      <c r="AO576" s="2098"/>
      <c r="AP576" s="2098"/>
      <c r="AQ576" s="2098"/>
      <c r="AR576" s="2098"/>
      <c r="AS576" s="2098"/>
      <c r="AT576" s="2098"/>
      <c r="AU576" s="2098"/>
      <c r="AV576" s="2098"/>
      <c r="AW576" s="2098"/>
      <c r="AX576" s="2098"/>
      <c r="AY576" s="2098"/>
      <c r="AZ576" s="2098"/>
    </row>
    <row r="577" spans="3:52">
      <c r="C577" s="2096"/>
      <c r="D577" s="2097"/>
      <c r="E577" s="2098"/>
      <c r="F577" s="2098"/>
      <c r="G577" s="2098"/>
      <c r="H577" s="2098"/>
      <c r="I577" s="2098"/>
      <c r="J577" s="2098"/>
      <c r="K577" s="2098"/>
      <c r="L577" s="2098"/>
      <c r="M577" s="2098"/>
      <c r="N577" s="2098"/>
      <c r="O577" s="2098"/>
      <c r="P577" s="2098"/>
      <c r="Q577" s="2098"/>
      <c r="R577" s="2098"/>
      <c r="S577" s="2098"/>
      <c r="T577" s="2098"/>
      <c r="U577" s="2098"/>
      <c r="V577" s="2098"/>
      <c r="W577" s="2098"/>
      <c r="X577" s="2098"/>
      <c r="Y577" s="2098"/>
      <c r="Z577" s="2098"/>
      <c r="AA577" s="2098"/>
      <c r="AB577" s="2098"/>
      <c r="AC577" s="2098"/>
      <c r="AD577" s="2098"/>
      <c r="AE577" s="2098"/>
      <c r="AF577" s="2098"/>
      <c r="AG577" s="2098"/>
      <c r="AH577" s="2098"/>
      <c r="AI577" s="2098"/>
      <c r="AJ577" s="2098"/>
      <c r="AK577" s="2098"/>
      <c r="AL577" s="2098"/>
      <c r="AM577" s="2098"/>
      <c r="AN577" s="2098"/>
      <c r="AO577" s="2098"/>
      <c r="AP577" s="2098"/>
      <c r="AQ577" s="2098"/>
      <c r="AR577" s="2098"/>
      <c r="AS577" s="2098"/>
      <c r="AT577" s="2098"/>
      <c r="AU577" s="2098"/>
      <c r="AV577" s="2098"/>
      <c r="AW577" s="2098"/>
      <c r="AX577" s="2098"/>
      <c r="AY577" s="2098"/>
      <c r="AZ577" s="2098"/>
    </row>
    <row r="578" spans="3:52">
      <c r="C578" s="2096"/>
      <c r="D578" s="2097"/>
      <c r="E578" s="2098"/>
      <c r="F578" s="2098"/>
      <c r="G578" s="2098"/>
      <c r="H578" s="2098"/>
      <c r="I578" s="2098"/>
      <c r="J578" s="2098"/>
      <c r="K578" s="2098"/>
      <c r="L578" s="2098"/>
      <c r="M578" s="2098"/>
      <c r="N578" s="2098"/>
      <c r="O578" s="2098"/>
      <c r="P578" s="2098"/>
      <c r="Q578" s="2098"/>
      <c r="R578" s="2098"/>
      <c r="S578" s="2098"/>
      <c r="T578" s="2098"/>
      <c r="U578" s="2098"/>
      <c r="V578" s="2098"/>
      <c r="W578" s="2098"/>
      <c r="X578" s="2098"/>
      <c r="Y578" s="2098"/>
      <c r="Z578" s="2098"/>
      <c r="AA578" s="2098"/>
      <c r="AB578" s="2098"/>
      <c r="AC578" s="2098"/>
      <c r="AD578" s="2098"/>
      <c r="AE578" s="2098"/>
      <c r="AF578" s="2098"/>
      <c r="AG578" s="2098"/>
      <c r="AH578" s="2098"/>
      <c r="AI578" s="2098"/>
      <c r="AJ578" s="2098"/>
      <c r="AK578" s="2098"/>
      <c r="AL578" s="2098"/>
      <c r="AM578" s="2098"/>
      <c r="AN578" s="2098"/>
      <c r="AO578" s="2098"/>
      <c r="AP578" s="2098"/>
      <c r="AQ578" s="2098"/>
      <c r="AR578" s="2098"/>
      <c r="AS578" s="2098"/>
      <c r="AT578" s="2098"/>
      <c r="AU578" s="2098"/>
      <c r="AV578" s="2098"/>
      <c r="AW578" s="2098"/>
      <c r="AX578" s="2098"/>
      <c r="AY578" s="2098"/>
      <c r="AZ578" s="2098"/>
    </row>
    <row r="579" spans="3:52">
      <c r="C579" s="2096"/>
      <c r="D579" s="2097"/>
      <c r="E579" s="2098"/>
      <c r="F579" s="2098"/>
      <c r="G579" s="2098"/>
      <c r="H579" s="2098"/>
      <c r="I579" s="2098"/>
      <c r="J579" s="2098"/>
      <c r="K579" s="2098"/>
      <c r="L579" s="2098"/>
      <c r="M579" s="2098"/>
      <c r="N579" s="2098"/>
      <c r="O579" s="2098"/>
      <c r="P579" s="2098"/>
      <c r="Q579" s="2098"/>
      <c r="R579" s="2098"/>
      <c r="S579" s="2098"/>
      <c r="T579" s="2098"/>
      <c r="U579" s="2098"/>
      <c r="V579" s="2098"/>
      <c r="W579" s="2098"/>
      <c r="X579" s="2098"/>
      <c r="Y579" s="2098"/>
      <c r="Z579" s="2098"/>
      <c r="AA579" s="2098"/>
      <c r="AB579" s="2098"/>
      <c r="AC579" s="2098"/>
      <c r="AD579" s="2098"/>
      <c r="AE579" s="2098"/>
      <c r="AF579" s="2098"/>
      <c r="AG579" s="2098"/>
      <c r="AH579" s="2098"/>
      <c r="AI579" s="2098"/>
      <c r="AJ579" s="2098"/>
      <c r="AK579" s="2098"/>
      <c r="AL579" s="2098"/>
      <c r="AM579" s="2098"/>
      <c r="AN579" s="2098"/>
      <c r="AO579" s="2098"/>
      <c r="AP579" s="2098"/>
      <c r="AQ579" s="2098"/>
      <c r="AR579" s="2098"/>
      <c r="AS579" s="2098"/>
      <c r="AT579" s="2098"/>
      <c r="AU579" s="2098"/>
      <c r="AV579" s="2098"/>
      <c r="AW579" s="2098"/>
      <c r="AX579" s="2098"/>
      <c r="AY579" s="2098"/>
      <c r="AZ579" s="2098"/>
    </row>
    <row r="580" spans="3:52">
      <c r="C580" s="2096"/>
      <c r="D580" s="2097"/>
      <c r="E580" s="2098"/>
      <c r="F580" s="2098"/>
      <c r="G580" s="2098"/>
      <c r="H580" s="2098"/>
      <c r="I580" s="2098"/>
      <c r="J580" s="2098"/>
      <c r="K580" s="2098"/>
      <c r="L580" s="2098"/>
      <c r="M580" s="2098"/>
      <c r="N580" s="2098"/>
      <c r="O580" s="2098"/>
      <c r="P580" s="2098"/>
      <c r="Q580" s="2098"/>
      <c r="R580" s="2098"/>
      <c r="S580" s="2098"/>
      <c r="T580" s="2098"/>
      <c r="U580" s="2098"/>
      <c r="V580" s="2098"/>
      <c r="W580" s="2098"/>
      <c r="X580" s="2098"/>
      <c r="Y580" s="2098"/>
      <c r="Z580" s="2098"/>
      <c r="AA580" s="2098"/>
      <c r="AB580" s="2098"/>
      <c r="AC580" s="2098"/>
      <c r="AD580" s="2098"/>
      <c r="AE580" s="2098"/>
      <c r="AF580" s="2098"/>
      <c r="AG580" s="2098"/>
      <c r="AH580" s="2098"/>
      <c r="AI580" s="2098"/>
      <c r="AJ580" s="2098"/>
      <c r="AK580" s="2098"/>
      <c r="AL580" s="2098"/>
      <c r="AM580" s="2098"/>
      <c r="AN580" s="2098"/>
      <c r="AO580" s="2098"/>
      <c r="AP580" s="2098"/>
      <c r="AQ580" s="2098"/>
      <c r="AR580" s="2098"/>
      <c r="AS580" s="2098"/>
      <c r="AT580" s="2098"/>
      <c r="AU580" s="2098"/>
      <c r="AV580" s="2098"/>
      <c r="AW580" s="2098"/>
      <c r="AX580" s="2098"/>
      <c r="AY580" s="2098"/>
      <c r="AZ580" s="2098"/>
    </row>
    <row r="581" spans="3:52">
      <c r="C581" s="2096"/>
      <c r="D581" s="2097"/>
      <c r="E581" s="2098"/>
      <c r="F581" s="2098"/>
      <c r="G581" s="2098"/>
      <c r="H581" s="2098"/>
      <c r="I581" s="2098"/>
      <c r="J581" s="2098"/>
      <c r="K581" s="2098"/>
      <c r="L581" s="2098"/>
      <c r="M581" s="2098"/>
      <c r="N581" s="2098"/>
      <c r="O581" s="2098"/>
      <c r="P581" s="2098"/>
      <c r="Q581" s="2098"/>
      <c r="R581" s="2098"/>
      <c r="S581" s="2098"/>
      <c r="T581" s="2098"/>
      <c r="U581" s="2098"/>
      <c r="V581" s="2098"/>
      <c r="W581" s="2098"/>
      <c r="X581" s="2098"/>
      <c r="Y581" s="2098"/>
      <c r="Z581" s="2098"/>
      <c r="AA581" s="2098"/>
      <c r="AB581" s="2098"/>
      <c r="AC581" s="2098"/>
      <c r="AD581" s="2098"/>
      <c r="AE581" s="2098"/>
      <c r="AF581" s="2098"/>
      <c r="AG581" s="2098"/>
      <c r="AH581" s="2098"/>
      <c r="AI581" s="2098"/>
      <c r="AJ581" s="2098"/>
      <c r="AK581" s="2098"/>
      <c r="AL581" s="2098"/>
      <c r="AM581" s="2098"/>
      <c r="AN581" s="2098"/>
      <c r="AO581" s="2098"/>
      <c r="AP581" s="2098"/>
      <c r="AQ581" s="2098"/>
      <c r="AR581" s="2098"/>
      <c r="AS581" s="2098"/>
      <c r="AT581" s="2098"/>
      <c r="AU581" s="2098"/>
      <c r="AV581" s="2098"/>
      <c r="AW581" s="2098"/>
      <c r="AX581" s="2098"/>
      <c r="AY581" s="2098"/>
      <c r="AZ581" s="2098"/>
    </row>
    <row r="582" spans="3:52">
      <c r="C582" s="2096"/>
      <c r="D582" s="2097"/>
      <c r="E582" s="2098"/>
      <c r="F582" s="2098"/>
      <c r="G582" s="2098"/>
      <c r="H582" s="2098"/>
      <c r="I582" s="2098"/>
      <c r="J582" s="2098"/>
      <c r="K582" s="2098"/>
      <c r="L582" s="2098"/>
      <c r="M582" s="2098"/>
      <c r="N582" s="2098"/>
      <c r="O582" s="2098"/>
      <c r="P582" s="2098"/>
      <c r="Q582" s="2098"/>
      <c r="R582" s="2098"/>
      <c r="S582" s="2098"/>
      <c r="T582" s="2098"/>
      <c r="U582" s="2098"/>
      <c r="V582" s="2098"/>
      <c r="W582" s="2098"/>
      <c r="X582" s="2098"/>
      <c r="Y582" s="2098"/>
      <c r="Z582" s="2098"/>
      <c r="AA582" s="2098"/>
      <c r="AB582" s="2098"/>
      <c r="AC582" s="2098"/>
      <c r="AD582" s="2098"/>
      <c r="AE582" s="2098"/>
      <c r="AF582" s="2098"/>
      <c r="AG582" s="2098"/>
      <c r="AH582" s="2098"/>
      <c r="AI582" s="2098"/>
      <c r="AJ582" s="2098"/>
      <c r="AK582" s="2098"/>
      <c r="AL582" s="2098"/>
      <c r="AM582" s="2098"/>
      <c r="AN582" s="2098"/>
      <c r="AO582" s="2098"/>
      <c r="AP582" s="2098"/>
      <c r="AQ582" s="2098"/>
      <c r="AR582" s="2098"/>
      <c r="AS582" s="2098"/>
      <c r="AT582" s="2098"/>
      <c r="AU582" s="2098"/>
      <c r="AV582" s="2098"/>
      <c r="AW582" s="2098"/>
      <c r="AX582" s="2098"/>
      <c r="AY582" s="2098"/>
      <c r="AZ582" s="2098"/>
    </row>
    <row r="583" spans="3:52">
      <c r="C583" s="2096"/>
      <c r="D583" s="2097"/>
      <c r="E583" s="2098"/>
      <c r="F583" s="2098"/>
      <c r="G583" s="2098"/>
      <c r="H583" s="2098"/>
      <c r="I583" s="2098"/>
      <c r="J583" s="2098"/>
      <c r="K583" s="2098"/>
      <c r="L583" s="2098"/>
      <c r="M583" s="2098"/>
      <c r="N583" s="2098"/>
      <c r="O583" s="2098"/>
      <c r="P583" s="2098"/>
      <c r="Q583" s="2098"/>
      <c r="R583" s="2098"/>
      <c r="S583" s="2098"/>
      <c r="T583" s="2098"/>
      <c r="U583" s="2098"/>
      <c r="V583" s="2098"/>
      <c r="W583" s="2098"/>
      <c r="X583" s="2098"/>
      <c r="Y583" s="2098"/>
      <c r="Z583" s="2098"/>
      <c r="AA583" s="2098"/>
      <c r="AB583" s="2098"/>
      <c r="AC583" s="2098"/>
      <c r="AD583" s="2098"/>
      <c r="AE583" s="2098"/>
      <c r="AF583" s="2098"/>
      <c r="AG583" s="2098"/>
      <c r="AH583" s="2098"/>
      <c r="AI583" s="2098"/>
      <c r="AJ583" s="2098"/>
      <c r="AK583" s="2098"/>
      <c r="AL583" s="2098"/>
      <c r="AM583" s="2098"/>
      <c r="AN583" s="2098"/>
      <c r="AO583" s="2098"/>
      <c r="AP583" s="2098"/>
      <c r="AQ583" s="2098"/>
      <c r="AR583" s="2098"/>
      <c r="AS583" s="2098"/>
      <c r="AT583" s="2098"/>
      <c r="AU583" s="2098"/>
      <c r="AV583" s="2098"/>
      <c r="AW583" s="2098"/>
      <c r="AX583" s="2098"/>
      <c r="AY583" s="2098"/>
      <c r="AZ583" s="2098"/>
    </row>
    <row r="584" spans="3:52">
      <c r="C584" s="2096"/>
      <c r="D584" s="2097"/>
      <c r="E584" s="2098"/>
      <c r="F584" s="2098"/>
      <c r="G584" s="2098"/>
      <c r="H584" s="2098"/>
      <c r="I584" s="2098"/>
      <c r="J584" s="2098"/>
      <c r="K584" s="2098"/>
      <c r="L584" s="2098"/>
      <c r="M584" s="2098"/>
      <c r="N584" s="2098"/>
      <c r="O584" s="2098"/>
      <c r="P584" s="2098"/>
      <c r="Q584" s="2098"/>
      <c r="R584" s="2098"/>
      <c r="S584" s="2098"/>
      <c r="T584" s="2098"/>
      <c r="U584" s="2098"/>
      <c r="V584" s="2098"/>
      <c r="W584" s="2098"/>
      <c r="X584" s="2098"/>
      <c r="Y584" s="2098"/>
      <c r="Z584" s="2098"/>
      <c r="AA584" s="2098"/>
      <c r="AB584" s="2098"/>
      <c r="AC584" s="2098"/>
      <c r="AD584" s="2098"/>
      <c r="AE584" s="2098"/>
      <c r="AF584" s="2098"/>
      <c r="AG584" s="2098"/>
      <c r="AH584" s="2098"/>
      <c r="AI584" s="2098"/>
      <c r="AJ584" s="2098"/>
      <c r="AK584" s="2098"/>
      <c r="AL584" s="2098"/>
      <c r="AM584" s="2098"/>
      <c r="AN584" s="2098"/>
      <c r="AO584" s="2098"/>
      <c r="AP584" s="2098"/>
      <c r="AQ584" s="2098"/>
      <c r="AR584" s="2098"/>
      <c r="AS584" s="2098"/>
      <c r="AT584" s="2098"/>
      <c r="AU584" s="2098"/>
      <c r="AV584" s="2098"/>
      <c r="AW584" s="2098"/>
      <c r="AX584" s="2098"/>
      <c r="AY584" s="2098"/>
      <c r="AZ584" s="2098"/>
    </row>
    <row r="585" spans="3:52">
      <c r="C585" s="2096"/>
      <c r="D585" s="2097"/>
      <c r="E585" s="2098"/>
      <c r="F585" s="2098"/>
      <c r="G585" s="2098"/>
      <c r="H585" s="2098"/>
      <c r="I585" s="2098"/>
      <c r="J585" s="2098"/>
      <c r="K585" s="2098"/>
      <c r="L585" s="2098"/>
      <c r="M585" s="2098"/>
      <c r="N585" s="2098"/>
      <c r="O585" s="2098"/>
      <c r="P585" s="2098"/>
      <c r="Q585" s="2098"/>
      <c r="R585" s="2098"/>
      <c r="S585" s="2098"/>
      <c r="T585" s="2098"/>
      <c r="U585" s="2098"/>
      <c r="V585" s="2098"/>
      <c r="W585" s="2098"/>
      <c r="X585" s="2098"/>
      <c r="Y585" s="2098"/>
      <c r="Z585" s="2098"/>
      <c r="AA585" s="2098"/>
      <c r="AB585" s="2098"/>
      <c r="AC585" s="2098"/>
      <c r="AD585" s="2098"/>
      <c r="AE585" s="2098"/>
      <c r="AF585" s="2098"/>
      <c r="AG585" s="2098"/>
      <c r="AH585" s="2098"/>
      <c r="AI585" s="2098"/>
      <c r="AJ585" s="2098"/>
      <c r="AK585" s="2098"/>
      <c r="AL585" s="2098"/>
      <c r="AM585" s="2098"/>
      <c r="AN585" s="2098"/>
      <c r="AO585" s="2098"/>
      <c r="AP585" s="2098"/>
      <c r="AQ585" s="2098"/>
      <c r="AR585" s="2098"/>
      <c r="AS585" s="2098"/>
      <c r="AT585" s="2098"/>
      <c r="AU585" s="2098"/>
      <c r="AV585" s="2098"/>
      <c r="AW585" s="2098"/>
      <c r="AX585" s="2098"/>
      <c r="AY585" s="2098"/>
      <c r="AZ585" s="2098"/>
    </row>
    <row r="586" spans="3:52">
      <c r="C586" s="2096"/>
      <c r="D586" s="2097"/>
      <c r="E586" s="2098"/>
      <c r="F586" s="2098"/>
      <c r="G586" s="2098"/>
      <c r="H586" s="2098"/>
      <c r="I586" s="2098"/>
      <c r="J586" s="2098"/>
      <c r="K586" s="2098"/>
      <c r="L586" s="2098"/>
      <c r="M586" s="2098"/>
      <c r="N586" s="2098"/>
      <c r="O586" s="2098"/>
      <c r="P586" s="2098"/>
      <c r="Q586" s="2098"/>
      <c r="R586" s="2098"/>
      <c r="S586" s="2098"/>
      <c r="T586" s="2098"/>
      <c r="U586" s="2098"/>
      <c r="V586" s="2098"/>
      <c r="W586" s="2098"/>
      <c r="X586" s="2098"/>
      <c r="Y586" s="2098"/>
      <c r="Z586" s="2098"/>
      <c r="AA586" s="2098"/>
      <c r="AB586" s="2098"/>
      <c r="AC586" s="2098"/>
      <c r="AD586" s="2098"/>
      <c r="AE586" s="2098"/>
      <c r="AF586" s="2098"/>
      <c r="AG586" s="2098"/>
      <c r="AH586" s="2098"/>
      <c r="AI586" s="2098"/>
      <c r="AJ586" s="2098"/>
      <c r="AK586" s="2098"/>
      <c r="AL586" s="2098"/>
      <c r="AM586" s="2098"/>
      <c r="AN586" s="2098"/>
      <c r="AO586" s="2098"/>
      <c r="AP586" s="2098"/>
      <c r="AQ586" s="2098"/>
      <c r="AR586" s="2098"/>
      <c r="AS586" s="2098"/>
      <c r="AT586" s="2098"/>
      <c r="AU586" s="2098"/>
      <c r="AV586" s="2098"/>
      <c r="AW586" s="2098"/>
      <c r="AX586" s="2098"/>
      <c r="AY586" s="2098"/>
      <c r="AZ586" s="2098"/>
    </row>
    <row r="587" spans="3:52">
      <c r="C587" s="2096"/>
      <c r="D587" s="2097"/>
      <c r="E587" s="2098"/>
      <c r="F587" s="2098"/>
      <c r="G587" s="2098"/>
      <c r="H587" s="2098"/>
      <c r="I587" s="2098"/>
      <c r="J587" s="2098"/>
      <c r="K587" s="2098"/>
      <c r="L587" s="2098"/>
      <c r="M587" s="2098"/>
      <c r="N587" s="2098"/>
      <c r="O587" s="2098"/>
      <c r="P587" s="2098"/>
      <c r="Q587" s="2098"/>
      <c r="R587" s="2098"/>
      <c r="S587" s="2098"/>
      <c r="T587" s="2098"/>
      <c r="U587" s="2098"/>
      <c r="V587" s="2098"/>
      <c r="W587" s="2098"/>
      <c r="X587" s="2098"/>
      <c r="Y587" s="2098"/>
      <c r="Z587" s="2098"/>
      <c r="AA587" s="2098"/>
      <c r="AB587" s="2098"/>
      <c r="AC587" s="2098"/>
      <c r="AD587" s="2098"/>
      <c r="AE587" s="2098"/>
      <c r="AF587" s="2098"/>
      <c r="AG587" s="2098"/>
      <c r="AH587" s="2098"/>
      <c r="AI587" s="2098"/>
      <c r="AJ587" s="2098"/>
      <c r="AK587" s="2098"/>
      <c r="AL587" s="2098"/>
      <c r="AM587" s="2098"/>
      <c r="AN587" s="2098"/>
      <c r="AO587" s="2098"/>
      <c r="AP587" s="2098"/>
      <c r="AQ587" s="2098"/>
      <c r="AR587" s="2098"/>
      <c r="AS587" s="2098"/>
      <c r="AT587" s="2098"/>
      <c r="AU587" s="2098"/>
      <c r="AV587" s="2098"/>
      <c r="AW587" s="2098"/>
      <c r="AX587" s="2098"/>
      <c r="AY587" s="2098"/>
      <c r="AZ587" s="2098"/>
    </row>
    <row r="588" spans="3:52">
      <c r="C588" s="2096"/>
      <c r="D588" s="2097"/>
      <c r="E588" s="2098"/>
      <c r="F588" s="2098"/>
      <c r="G588" s="2098"/>
      <c r="H588" s="2098"/>
      <c r="I588" s="2098"/>
      <c r="J588" s="2098"/>
      <c r="K588" s="2098"/>
      <c r="L588" s="2098"/>
      <c r="M588" s="2098"/>
      <c r="N588" s="2098"/>
      <c r="O588" s="2098"/>
      <c r="P588" s="2098"/>
      <c r="Q588" s="2098"/>
      <c r="R588" s="2098"/>
      <c r="S588" s="2098"/>
      <c r="T588" s="2098"/>
      <c r="U588" s="2098"/>
      <c r="V588" s="2098"/>
      <c r="W588" s="2098"/>
      <c r="X588" s="2098"/>
      <c r="Y588" s="2098"/>
      <c r="Z588" s="2098"/>
      <c r="AA588" s="2098"/>
      <c r="AB588" s="2098"/>
      <c r="AC588" s="2098"/>
      <c r="AD588" s="2098"/>
      <c r="AE588" s="2098"/>
      <c r="AF588" s="2098"/>
      <c r="AG588" s="2098"/>
      <c r="AH588" s="2098"/>
      <c r="AI588" s="2098"/>
      <c r="AJ588" s="2098"/>
      <c r="AK588" s="2098"/>
      <c r="AL588" s="2098"/>
      <c r="AM588" s="2098"/>
      <c r="AN588" s="2098"/>
      <c r="AO588" s="2098"/>
      <c r="AP588" s="2098"/>
      <c r="AQ588" s="2098"/>
      <c r="AR588" s="2098"/>
      <c r="AS588" s="2098"/>
      <c r="AT588" s="2098"/>
      <c r="AU588" s="2098"/>
      <c r="AV588" s="2098"/>
      <c r="AW588" s="2098"/>
      <c r="AX588" s="2098"/>
      <c r="AY588" s="2098"/>
      <c r="AZ588" s="2098"/>
    </row>
    <row r="589" spans="3:52">
      <c r="C589" s="2096"/>
      <c r="D589" s="2097"/>
      <c r="E589" s="2098"/>
      <c r="F589" s="2098"/>
      <c r="G589" s="2098"/>
      <c r="H589" s="2098"/>
      <c r="I589" s="2098"/>
      <c r="J589" s="2098"/>
      <c r="K589" s="2098"/>
      <c r="L589" s="2098"/>
      <c r="M589" s="2098"/>
      <c r="N589" s="2098"/>
      <c r="O589" s="2098"/>
      <c r="P589" s="2098"/>
      <c r="Q589" s="2098"/>
      <c r="R589" s="2098"/>
      <c r="S589" s="2098"/>
      <c r="T589" s="2098"/>
      <c r="U589" s="2098"/>
      <c r="V589" s="2098"/>
      <c r="W589" s="2098"/>
      <c r="X589" s="2098"/>
      <c r="Y589" s="2098"/>
      <c r="Z589" s="2098"/>
      <c r="AA589" s="2098"/>
      <c r="AB589" s="2098"/>
      <c r="AC589" s="2098"/>
      <c r="AD589" s="2098"/>
      <c r="AE589" s="2098"/>
      <c r="AF589" s="2098"/>
      <c r="AG589" s="2098"/>
      <c r="AH589" s="2098"/>
      <c r="AI589" s="2098"/>
      <c r="AJ589" s="2098"/>
      <c r="AK589" s="2098"/>
      <c r="AL589" s="2098"/>
      <c r="AM589" s="2098"/>
      <c r="AN589" s="2098"/>
      <c r="AO589" s="2098"/>
      <c r="AP589" s="2098"/>
      <c r="AQ589" s="2098"/>
      <c r="AR589" s="2098"/>
      <c r="AS589" s="2098"/>
      <c r="AT589" s="2098"/>
      <c r="AU589" s="2098"/>
      <c r="AV589" s="2098"/>
      <c r="AW589" s="2098"/>
      <c r="AX589" s="2098"/>
      <c r="AY589" s="2098"/>
      <c r="AZ589" s="2098"/>
    </row>
    <row r="590" spans="3:52">
      <c r="C590" s="2096"/>
      <c r="D590" s="2097"/>
      <c r="E590" s="2098"/>
      <c r="F590" s="2098"/>
      <c r="G590" s="2098"/>
      <c r="H590" s="2098"/>
      <c r="I590" s="2098"/>
      <c r="J590" s="2098"/>
      <c r="K590" s="2098"/>
      <c r="L590" s="2098"/>
      <c r="M590" s="2098"/>
      <c r="N590" s="2098"/>
      <c r="O590" s="2098"/>
      <c r="P590" s="2098"/>
      <c r="Q590" s="2098"/>
      <c r="R590" s="2098"/>
      <c r="S590" s="2098"/>
      <c r="T590" s="2098"/>
      <c r="U590" s="2098"/>
      <c r="V590" s="2098"/>
      <c r="W590" s="2098"/>
      <c r="X590" s="2098"/>
      <c r="Y590" s="2098"/>
      <c r="Z590" s="2098"/>
      <c r="AA590" s="2098"/>
      <c r="AB590" s="2098"/>
      <c r="AC590" s="2098"/>
      <c r="AD590" s="2098"/>
      <c r="AE590" s="2098"/>
      <c r="AF590" s="2098"/>
      <c r="AG590" s="2098"/>
      <c r="AH590" s="2098"/>
      <c r="AI590" s="2098"/>
      <c r="AJ590" s="2098"/>
      <c r="AK590" s="2098"/>
      <c r="AL590" s="2098"/>
      <c r="AM590" s="2098"/>
      <c r="AN590" s="2098"/>
      <c r="AO590" s="2098"/>
      <c r="AP590" s="2098"/>
      <c r="AQ590" s="2098"/>
      <c r="AR590" s="2098"/>
      <c r="AS590" s="2098"/>
      <c r="AT590" s="2098"/>
      <c r="AU590" s="2098"/>
      <c r="AV590" s="2098"/>
      <c r="AW590" s="2098"/>
      <c r="AX590" s="2098"/>
      <c r="AY590" s="2098"/>
      <c r="AZ590" s="2098"/>
    </row>
    <row r="591" spans="3:52">
      <c r="C591" s="2096"/>
      <c r="D591" s="2097"/>
      <c r="E591" s="2098"/>
      <c r="F591" s="2098"/>
      <c r="G591" s="2098"/>
      <c r="H591" s="2098"/>
      <c r="I591" s="2098"/>
      <c r="J591" s="2098"/>
      <c r="K591" s="2098"/>
      <c r="L591" s="2098"/>
      <c r="M591" s="2098"/>
      <c r="N591" s="2098"/>
      <c r="O591" s="2098"/>
      <c r="P591" s="2098"/>
      <c r="Q591" s="2098"/>
      <c r="R591" s="2098"/>
      <c r="S591" s="2098"/>
      <c r="T591" s="2098"/>
      <c r="U591" s="2098"/>
      <c r="V591" s="2098"/>
      <c r="W591" s="2098"/>
      <c r="X591" s="2098"/>
      <c r="Y591" s="2098"/>
      <c r="Z591" s="2098"/>
      <c r="AA591" s="2098"/>
      <c r="AB591" s="2098"/>
      <c r="AC591" s="2098"/>
      <c r="AD591" s="2098"/>
      <c r="AE591" s="2098"/>
      <c r="AF591" s="2098"/>
      <c r="AG591" s="2098"/>
      <c r="AH591" s="2098"/>
      <c r="AI591" s="2098"/>
      <c r="AJ591" s="2098"/>
      <c r="AK591" s="2098"/>
      <c r="AL591" s="2098"/>
      <c r="AM591" s="2098"/>
      <c r="AN591" s="2098"/>
      <c r="AO591" s="2098"/>
      <c r="AP591" s="2098"/>
      <c r="AQ591" s="2098"/>
      <c r="AR591" s="2098"/>
      <c r="AS591" s="2098"/>
      <c r="AT591" s="2098"/>
      <c r="AU591" s="2098"/>
      <c r="AV591" s="2098"/>
      <c r="AW591" s="2098"/>
      <c r="AX591" s="2098"/>
      <c r="AY591" s="2098"/>
      <c r="AZ591" s="2098"/>
    </row>
    <row r="592" spans="3:52">
      <c r="C592" s="2096"/>
      <c r="D592" s="2097"/>
      <c r="E592" s="2098"/>
      <c r="F592" s="2098"/>
      <c r="G592" s="2098"/>
      <c r="H592" s="2098"/>
      <c r="I592" s="2098"/>
      <c r="J592" s="2098"/>
      <c r="K592" s="2098"/>
      <c r="L592" s="2098"/>
      <c r="M592" s="2098"/>
      <c r="N592" s="2098"/>
      <c r="O592" s="2098"/>
      <c r="P592" s="2098"/>
      <c r="Q592" s="2098"/>
      <c r="R592" s="2098"/>
      <c r="S592" s="2098"/>
      <c r="T592" s="2098"/>
      <c r="U592" s="2098"/>
      <c r="V592" s="2098"/>
      <c r="W592" s="2098"/>
      <c r="X592" s="2098"/>
      <c r="Y592" s="2098"/>
      <c r="Z592" s="2098"/>
      <c r="AA592" s="2098"/>
      <c r="AB592" s="2098"/>
      <c r="AC592" s="2098"/>
      <c r="AD592" s="2098"/>
      <c r="AE592" s="2098"/>
      <c r="AF592" s="2098"/>
      <c r="AG592" s="2098"/>
      <c r="AH592" s="2098"/>
      <c r="AI592" s="2098"/>
      <c r="AJ592" s="2098"/>
      <c r="AK592" s="2098"/>
      <c r="AL592" s="2098"/>
      <c r="AM592" s="2098"/>
      <c r="AN592" s="2098"/>
      <c r="AO592" s="2098"/>
      <c r="AP592" s="2098"/>
      <c r="AQ592" s="2098"/>
      <c r="AR592" s="2098"/>
      <c r="AS592" s="2098"/>
      <c r="AT592" s="2098"/>
      <c r="AU592" s="2098"/>
      <c r="AV592" s="2098"/>
      <c r="AW592" s="2098"/>
      <c r="AX592" s="2098"/>
      <c r="AY592" s="2098"/>
      <c r="AZ592" s="2098"/>
    </row>
    <row r="593" spans="3:52">
      <c r="C593" s="2096"/>
      <c r="D593" s="2097"/>
      <c r="E593" s="2098"/>
      <c r="F593" s="2098"/>
      <c r="G593" s="2098"/>
      <c r="H593" s="2098"/>
      <c r="I593" s="2098"/>
      <c r="J593" s="2098"/>
      <c r="K593" s="2098"/>
      <c r="L593" s="2098"/>
      <c r="M593" s="2098"/>
      <c r="N593" s="2098"/>
      <c r="O593" s="2098"/>
      <c r="P593" s="2098"/>
      <c r="Q593" s="2098"/>
      <c r="R593" s="2098"/>
      <c r="S593" s="2098"/>
      <c r="T593" s="2098"/>
      <c r="U593" s="2098"/>
      <c r="V593" s="2098"/>
      <c r="W593" s="2098"/>
      <c r="X593" s="2098"/>
      <c r="Y593" s="2098"/>
      <c r="Z593" s="2098"/>
      <c r="AA593" s="2098"/>
      <c r="AB593" s="2098"/>
      <c r="AC593" s="2098"/>
      <c r="AD593" s="2098"/>
      <c r="AE593" s="2098"/>
      <c r="AF593" s="2098"/>
      <c r="AG593" s="2098"/>
      <c r="AH593" s="2098"/>
      <c r="AI593" s="2098"/>
      <c r="AJ593" s="2098"/>
      <c r="AK593" s="2098"/>
      <c r="AL593" s="2098"/>
      <c r="AM593" s="2098"/>
      <c r="AN593" s="2098"/>
      <c r="AO593" s="2098"/>
      <c r="AP593" s="2098"/>
      <c r="AQ593" s="2098"/>
      <c r="AR593" s="2098"/>
      <c r="AS593" s="2098"/>
      <c r="AT593" s="2098"/>
      <c r="AU593" s="2098"/>
      <c r="AV593" s="2098"/>
      <c r="AW593" s="2098"/>
      <c r="AX593" s="2098"/>
      <c r="AY593" s="2098"/>
      <c r="AZ593" s="2098"/>
    </row>
    <row r="594" spans="3:52">
      <c r="C594" s="2096"/>
      <c r="D594" s="2097"/>
      <c r="E594" s="2098"/>
      <c r="F594" s="2098"/>
      <c r="G594" s="2098"/>
      <c r="H594" s="2098"/>
      <c r="I594" s="2098"/>
      <c r="J594" s="2098"/>
      <c r="K594" s="2098"/>
      <c r="L594" s="2098"/>
      <c r="M594" s="2098"/>
      <c r="N594" s="2098"/>
      <c r="O594" s="2098"/>
      <c r="P594" s="2098"/>
      <c r="Q594" s="2098"/>
      <c r="R594" s="2098"/>
      <c r="S594" s="2098"/>
      <c r="T594" s="2098"/>
      <c r="U594" s="2098"/>
      <c r="V594" s="2098"/>
      <c r="W594" s="2098"/>
      <c r="X594" s="2098"/>
      <c r="Y594" s="2098"/>
      <c r="Z594" s="2098"/>
      <c r="AA594" s="2098"/>
      <c r="AB594" s="2098"/>
      <c r="AC594" s="2098"/>
      <c r="AD594" s="2098"/>
      <c r="AE594" s="2098"/>
      <c r="AF594" s="2098"/>
      <c r="AG594" s="2098"/>
      <c r="AH594" s="2098"/>
      <c r="AI594" s="2098"/>
      <c r="AJ594" s="2098"/>
      <c r="AK594" s="2098"/>
      <c r="AL594" s="2098"/>
      <c r="AM594" s="2098"/>
      <c r="AN594" s="2098"/>
      <c r="AO594" s="2098"/>
      <c r="AP594" s="2098"/>
      <c r="AQ594" s="2098"/>
      <c r="AR594" s="2098"/>
      <c r="AS594" s="2098"/>
      <c r="AT594" s="2098"/>
      <c r="AU594" s="2098"/>
      <c r="AV594" s="2098"/>
      <c r="AW594" s="2098"/>
      <c r="AX594" s="2098"/>
      <c r="AY594" s="2098"/>
      <c r="AZ594" s="2098"/>
    </row>
    <row r="595" spans="3:52">
      <c r="C595" s="2096"/>
      <c r="D595" s="2097"/>
      <c r="E595" s="2098"/>
      <c r="F595" s="2098"/>
      <c r="G595" s="2098"/>
      <c r="H595" s="2098"/>
      <c r="I595" s="2098"/>
      <c r="J595" s="2098"/>
      <c r="K595" s="2098"/>
      <c r="L595" s="2098"/>
      <c r="M595" s="2098"/>
      <c r="N595" s="2098"/>
      <c r="O595" s="2098"/>
      <c r="P595" s="2098"/>
      <c r="Q595" s="2098"/>
      <c r="R595" s="2098"/>
      <c r="S595" s="2098"/>
      <c r="T595" s="2098"/>
      <c r="U595" s="2098"/>
      <c r="V595" s="2098"/>
      <c r="W595" s="2098"/>
      <c r="X595" s="2098"/>
      <c r="Y595" s="2098"/>
      <c r="Z595" s="2098"/>
      <c r="AA595" s="2098"/>
      <c r="AB595" s="2098"/>
      <c r="AC595" s="2098"/>
      <c r="AD595" s="2098"/>
      <c r="AE595" s="2098"/>
      <c r="AF595" s="2098"/>
      <c r="AG595" s="2098"/>
      <c r="AH595" s="2098"/>
      <c r="AI595" s="2098"/>
      <c r="AJ595" s="2098"/>
      <c r="AK595" s="2098"/>
      <c r="AL595" s="2098"/>
      <c r="AM595" s="2098"/>
      <c r="AN595" s="2098"/>
      <c r="AO595" s="2098"/>
      <c r="AP595" s="2098"/>
      <c r="AQ595" s="2098"/>
      <c r="AR595" s="2098"/>
      <c r="AS595" s="2098"/>
      <c r="AT595" s="2098"/>
      <c r="AU595" s="2098"/>
      <c r="AV595" s="2098"/>
      <c r="AW595" s="2098"/>
      <c r="AX595" s="2098"/>
      <c r="AY595" s="2098"/>
      <c r="AZ595" s="2098"/>
    </row>
    <row r="596" spans="3:52">
      <c r="C596" s="2096"/>
      <c r="D596" s="2097"/>
      <c r="E596" s="2098"/>
      <c r="F596" s="2098"/>
      <c r="G596" s="2098"/>
      <c r="H596" s="2098"/>
      <c r="I596" s="2098"/>
      <c r="J596" s="2098"/>
      <c r="K596" s="2098"/>
      <c r="L596" s="2098"/>
      <c r="M596" s="2098"/>
      <c r="N596" s="2098"/>
      <c r="O596" s="2098"/>
      <c r="P596" s="2098"/>
      <c r="Q596" s="2098"/>
      <c r="R596" s="2098"/>
      <c r="S596" s="2098"/>
      <c r="T596" s="2098"/>
      <c r="U596" s="2098"/>
      <c r="V596" s="2098"/>
      <c r="W596" s="2098"/>
      <c r="X596" s="2098"/>
      <c r="Y596" s="2098"/>
      <c r="Z596" s="2098"/>
      <c r="AA596" s="2098"/>
      <c r="AB596" s="2098"/>
      <c r="AC596" s="2098"/>
      <c r="AD596" s="2098"/>
      <c r="AE596" s="2098"/>
      <c r="AF596" s="2098"/>
      <c r="AG596" s="2098"/>
      <c r="AH596" s="2098"/>
      <c r="AI596" s="2098"/>
      <c r="AJ596" s="2098"/>
      <c r="AK596" s="2098"/>
      <c r="AL596" s="2098"/>
      <c r="AM596" s="2098"/>
      <c r="AN596" s="2098"/>
      <c r="AO596" s="2098"/>
      <c r="AP596" s="2098"/>
      <c r="AQ596" s="2098"/>
      <c r="AR596" s="2098"/>
      <c r="AS596" s="2098"/>
      <c r="AT596" s="2098"/>
      <c r="AU596" s="2098"/>
      <c r="AV596" s="2098"/>
      <c r="AW596" s="2098"/>
      <c r="AX596" s="2098"/>
      <c r="AY596" s="2098"/>
      <c r="AZ596" s="2098"/>
    </row>
    <row r="597" spans="3:52">
      <c r="C597" s="2096"/>
      <c r="D597" s="2097"/>
      <c r="E597" s="2098"/>
      <c r="F597" s="2098"/>
      <c r="G597" s="2098"/>
      <c r="H597" s="2098"/>
      <c r="I597" s="2098"/>
      <c r="J597" s="2098"/>
      <c r="K597" s="2098"/>
      <c r="L597" s="2098"/>
      <c r="M597" s="2098"/>
      <c r="N597" s="2098"/>
      <c r="O597" s="2098"/>
      <c r="P597" s="2098"/>
      <c r="Q597" s="2098"/>
      <c r="R597" s="2098"/>
      <c r="S597" s="2098"/>
      <c r="T597" s="2098"/>
      <c r="U597" s="2098"/>
      <c r="V597" s="2098"/>
      <c r="W597" s="2098"/>
      <c r="X597" s="2098"/>
      <c r="Y597" s="2098"/>
      <c r="Z597" s="2098"/>
      <c r="AA597" s="2098"/>
      <c r="AB597" s="2098"/>
      <c r="AC597" s="2098"/>
      <c r="AD597" s="2098"/>
      <c r="AE597" s="2098"/>
      <c r="AF597" s="2098"/>
      <c r="AG597" s="2098"/>
      <c r="AH597" s="2098"/>
      <c r="AI597" s="2098"/>
      <c r="AJ597" s="2098"/>
      <c r="AK597" s="2098"/>
      <c r="AL597" s="2098"/>
      <c r="AM597" s="2098"/>
      <c r="AN597" s="2098"/>
      <c r="AO597" s="2098"/>
      <c r="AP597" s="2098"/>
      <c r="AQ597" s="2098"/>
      <c r="AR597" s="2098"/>
      <c r="AS597" s="2098"/>
      <c r="AT597" s="2098"/>
      <c r="AU597" s="2098"/>
      <c r="AV597" s="2098"/>
      <c r="AW597" s="2098"/>
      <c r="AX597" s="2098"/>
      <c r="AY597" s="2098"/>
      <c r="AZ597" s="2098"/>
    </row>
    <row r="598" spans="3:52">
      <c r="C598" s="2096"/>
      <c r="D598" s="2097"/>
      <c r="E598" s="2098"/>
      <c r="F598" s="2098"/>
      <c r="G598" s="2098"/>
      <c r="H598" s="2098"/>
      <c r="I598" s="2098"/>
      <c r="J598" s="2098"/>
      <c r="K598" s="2098"/>
      <c r="L598" s="2098"/>
      <c r="M598" s="2098"/>
      <c r="N598" s="2098"/>
      <c r="O598" s="2098"/>
      <c r="P598" s="2098"/>
      <c r="Q598" s="2098"/>
      <c r="R598" s="2098"/>
      <c r="S598" s="2098"/>
      <c r="T598" s="2098"/>
      <c r="U598" s="2098"/>
      <c r="V598" s="2098"/>
      <c r="W598" s="2098"/>
      <c r="X598" s="2098"/>
      <c r="Y598" s="2098"/>
      <c r="Z598" s="2098"/>
      <c r="AA598" s="2098"/>
      <c r="AB598" s="2098"/>
      <c r="AC598" s="2098"/>
      <c r="AD598" s="2098"/>
      <c r="AE598" s="2098"/>
      <c r="AF598" s="2098"/>
      <c r="AG598" s="2098"/>
      <c r="AH598" s="2098"/>
      <c r="AI598" s="2098"/>
      <c r="AJ598" s="2098"/>
      <c r="AK598" s="2098"/>
      <c r="AL598" s="2098"/>
      <c r="AM598" s="2098"/>
      <c r="AN598" s="2098"/>
      <c r="AO598" s="2098"/>
      <c r="AP598" s="2098"/>
      <c r="AQ598" s="2098"/>
      <c r="AR598" s="2098"/>
      <c r="AS598" s="2098"/>
      <c r="AT598" s="2098"/>
      <c r="AU598" s="2098"/>
      <c r="AV598" s="2098"/>
      <c r="AW598" s="2098"/>
      <c r="AX598" s="2098"/>
      <c r="AY598" s="2098"/>
      <c r="AZ598" s="2098"/>
    </row>
    <row r="599" spans="3:52">
      <c r="C599" s="2096"/>
      <c r="D599" s="2097"/>
      <c r="E599" s="2098"/>
      <c r="F599" s="2098"/>
      <c r="G599" s="2098"/>
      <c r="H599" s="2098"/>
      <c r="I599" s="2098"/>
      <c r="J599" s="2098"/>
      <c r="K599" s="2098"/>
      <c r="L599" s="2098"/>
      <c r="M599" s="2098"/>
      <c r="N599" s="2098"/>
      <c r="O599" s="2098"/>
      <c r="P599" s="2098"/>
      <c r="Q599" s="2098"/>
      <c r="R599" s="2098"/>
      <c r="S599" s="2098"/>
      <c r="T599" s="2098"/>
      <c r="U599" s="2098"/>
      <c r="V599" s="2098"/>
      <c r="W599" s="2098"/>
      <c r="X599" s="2098"/>
      <c r="Y599" s="2098"/>
      <c r="Z599" s="2098"/>
      <c r="AA599" s="2098"/>
      <c r="AB599" s="2098"/>
      <c r="AC599" s="2098"/>
      <c r="AD599" s="2098"/>
      <c r="AE599" s="2098"/>
      <c r="AF599" s="2098"/>
      <c r="AG599" s="2098"/>
      <c r="AH599" s="2098"/>
      <c r="AI599" s="2098"/>
      <c r="AJ599" s="2098"/>
      <c r="AK599" s="2098"/>
      <c r="AL599" s="2098"/>
      <c r="AM599" s="2098"/>
      <c r="AN599" s="2098"/>
      <c r="AO599" s="2098"/>
      <c r="AP599" s="2098"/>
      <c r="AQ599" s="2098"/>
      <c r="AR599" s="2098"/>
      <c r="AS599" s="2098"/>
      <c r="AT599" s="2098"/>
      <c r="AU599" s="2098"/>
      <c r="AV599" s="2098"/>
      <c r="AW599" s="2098"/>
      <c r="AX599" s="2098"/>
      <c r="AY599" s="2098"/>
      <c r="AZ599" s="2098"/>
    </row>
    <row r="600" spans="3:52">
      <c r="C600" s="2096"/>
      <c r="D600" s="2097"/>
      <c r="E600" s="2098"/>
      <c r="F600" s="2098"/>
      <c r="G600" s="2098"/>
      <c r="H600" s="2098"/>
      <c r="I600" s="2098"/>
      <c r="J600" s="2098"/>
      <c r="K600" s="2098"/>
      <c r="L600" s="2098"/>
      <c r="M600" s="2098"/>
      <c r="N600" s="2098"/>
      <c r="O600" s="2098"/>
      <c r="P600" s="2098"/>
      <c r="Q600" s="2098"/>
      <c r="R600" s="2098"/>
      <c r="S600" s="2098"/>
      <c r="T600" s="2098"/>
      <c r="U600" s="2098"/>
      <c r="V600" s="2098"/>
      <c r="W600" s="2098"/>
      <c r="X600" s="2098"/>
      <c r="Y600" s="2098"/>
      <c r="Z600" s="2098"/>
      <c r="AA600" s="2098"/>
      <c r="AB600" s="2098"/>
      <c r="AC600" s="2098"/>
      <c r="AD600" s="2098"/>
      <c r="AE600" s="2098"/>
      <c r="AF600" s="2098"/>
      <c r="AG600" s="2098"/>
      <c r="AH600" s="2098"/>
      <c r="AI600" s="2098"/>
      <c r="AJ600" s="2098"/>
      <c r="AK600" s="2098"/>
      <c r="AL600" s="2098"/>
      <c r="AM600" s="2098"/>
      <c r="AN600" s="2098"/>
      <c r="AO600" s="2098"/>
      <c r="AP600" s="2098"/>
      <c r="AQ600" s="2098"/>
      <c r="AR600" s="2098"/>
      <c r="AS600" s="2098"/>
      <c r="AT600" s="2098"/>
      <c r="AU600" s="2098"/>
      <c r="AV600" s="2098"/>
      <c r="AW600" s="2098"/>
      <c r="AX600" s="2098"/>
      <c r="AY600" s="2098"/>
      <c r="AZ600" s="2098"/>
    </row>
    <row r="601" spans="3:52">
      <c r="C601" s="2096"/>
      <c r="D601" s="2097"/>
      <c r="E601" s="2098"/>
      <c r="F601" s="2098"/>
      <c r="G601" s="2098"/>
      <c r="H601" s="2098"/>
      <c r="I601" s="2098"/>
      <c r="J601" s="2098"/>
      <c r="K601" s="2098"/>
      <c r="L601" s="2098"/>
      <c r="M601" s="2098"/>
      <c r="N601" s="2098"/>
      <c r="O601" s="2098"/>
      <c r="P601" s="2098"/>
      <c r="Q601" s="2098"/>
      <c r="R601" s="2098"/>
      <c r="S601" s="2098"/>
      <c r="T601" s="2098"/>
      <c r="U601" s="2098"/>
      <c r="V601" s="2098"/>
      <c r="W601" s="2098"/>
      <c r="X601" s="2098"/>
      <c r="Y601" s="2098"/>
      <c r="Z601" s="2098"/>
      <c r="AA601" s="2098"/>
      <c r="AB601" s="2098"/>
      <c r="AC601" s="2098"/>
      <c r="AD601" s="2098"/>
      <c r="AE601" s="2098"/>
      <c r="AF601" s="2098"/>
      <c r="AG601" s="2098"/>
      <c r="AH601" s="2098"/>
      <c r="AI601" s="2098"/>
      <c r="AJ601" s="2098"/>
      <c r="AK601" s="2098"/>
      <c r="AL601" s="2098"/>
      <c r="AM601" s="2098"/>
      <c r="AN601" s="2098"/>
      <c r="AO601" s="2098"/>
      <c r="AP601" s="2098"/>
      <c r="AQ601" s="2098"/>
      <c r="AR601" s="2098"/>
      <c r="AS601" s="2098"/>
      <c r="AT601" s="2098"/>
      <c r="AU601" s="2098"/>
      <c r="AV601" s="2098"/>
      <c r="AW601" s="2098"/>
      <c r="AX601" s="2098"/>
      <c r="AY601" s="2098"/>
      <c r="AZ601" s="2098"/>
    </row>
    <row r="602" spans="3:52">
      <c r="C602" s="2096"/>
      <c r="D602" s="2097"/>
      <c r="E602" s="2098"/>
      <c r="F602" s="2098"/>
      <c r="G602" s="2098"/>
      <c r="H602" s="2098"/>
      <c r="I602" s="2098"/>
      <c r="J602" s="2098"/>
      <c r="K602" s="2098"/>
      <c r="L602" s="2098"/>
      <c r="M602" s="2098"/>
      <c r="N602" s="2098"/>
      <c r="O602" s="2098"/>
      <c r="P602" s="2098"/>
      <c r="Q602" s="2098"/>
      <c r="R602" s="2098"/>
      <c r="S602" s="2098"/>
      <c r="T602" s="2098"/>
      <c r="U602" s="2098"/>
      <c r="V602" s="2098"/>
      <c r="W602" s="2098"/>
      <c r="X602" s="2098"/>
      <c r="Y602" s="2098"/>
      <c r="Z602" s="2098"/>
      <c r="AA602" s="2098"/>
      <c r="AB602" s="2098"/>
      <c r="AC602" s="2098"/>
      <c r="AD602" s="2098"/>
      <c r="AE602" s="2098"/>
      <c r="AF602" s="2098"/>
      <c r="AG602" s="2098"/>
      <c r="AH602" s="2098"/>
      <c r="AI602" s="2098"/>
      <c r="AJ602" s="2098"/>
      <c r="AK602" s="2098"/>
      <c r="AL602" s="2098"/>
      <c r="AM602" s="2098"/>
      <c r="AN602" s="2098"/>
      <c r="AO602" s="2098"/>
      <c r="AP602" s="2098"/>
      <c r="AQ602" s="2098"/>
      <c r="AR602" s="2098"/>
      <c r="AS602" s="2098"/>
      <c r="AT602" s="2098"/>
      <c r="AU602" s="2098"/>
      <c r="AV602" s="2098"/>
      <c r="AW602" s="2098"/>
      <c r="AX602" s="2098"/>
      <c r="AY602" s="2098"/>
      <c r="AZ602" s="2098"/>
    </row>
    <row r="603" spans="3:52">
      <c r="C603" s="2096"/>
      <c r="D603" s="2097"/>
      <c r="E603" s="2098"/>
      <c r="F603" s="2098"/>
      <c r="G603" s="2098"/>
      <c r="H603" s="2098"/>
      <c r="I603" s="2098"/>
      <c r="J603" s="2098"/>
      <c r="K603" s="2098"/>
      <c r="L603" s="2098"/>
      <c r="M603" s="2098"/>
      <c r="N603" s="2098"/>
      <c r="O603" s="2098"/>
      <c r="P603" s="2098"/>
      <c r="Q603" s="2098"/>
      <c r="R603" s="2098"/>
      <c r="S603" s="2098"/>
      <c r="T603" s="2098"/>
      <c r="U603" s="2098"/>
      <c r="V603" s="2098"/>
      <c r="W603" s="2098"/>
      <c r="X603" s="2098"/>
      <c r="Y603" s="2098"/>
      <c r="Z603" s="2098"/>
      <c r="AA603" s="2098"/>
      <c r="AB603" s="2098"/>
      <c r="AC603" s="2098"/>
      <c r="AD603" s="2098"/>
      <c r="AE603" s="2098"/>
      <c r="AF603" s="2098"/>
      <c r="AG603" s="2098"/>
      <c r="AH603" s="2098"/>
      <c r="AI603" s="2098"/>
      <c r="AJ603" s="2098"/>
      <c r="AK603" s="2098"/>
      <c r="AL603" s="2098"/>
      <c r="AM603" s="2098"/>
      <c r="AN603" s="2098"/>
      <c r="AO603" s="2098"/>
      <c r="AP603" s="2098"/>
      <c r="AQ603" s="2098"/>
      <c r="AR603" s="2098"/>
      <c r="AS603" s="2098"/>
      <c r="AT603" s="2098"/>
      <c r="AU603" s="2098"/>
      <c r="AV603" s="2098"/>
      <c r="AW603" s="2098"/>
      <c r="AX603" s="2098"/>
      <c r="AY603" s="2098"/>
      <c r="AZ603" s="2098"/>
    </row>
    <row r="604" spans="3:52">
      <c r="C604" s="2096"/>
      <c r="D604" s="2097"/>
      <c r="E604" s="2098"/>
      <c r="F604" s="2098"/>
      <c r="G604" s="2098"/>
      <c r="H604" s="2098"/>
      <c r="I604" s="2098"/>
      <c r="J604" s="2098"/>
      <c r="K604" s="2098"/>
      <c r="L604" s="2098"/>
      <c r="M604" s="2098"/>
      <c r="N604" s="2098"/>
      <c r="O604" s="2098"/>
      <c r="P604" s="2098"/>
      <c r="Q604" s="2098"/>
      <c r="R604" s="2098"/>
      <c r="S604" s="2098"/>
      <c r="T604" s="2098"/>
      <c r="U604" s="2098"/>
      <c r="V604" s="2098"/>
      <c r="W604" s="2098"/>
      <c r="X604" s="2098"/>
      <c r="Y604" s="2098"/>
      <c r="Z604" s="2098"/>
      <c r="AA604" s="2098"/>
      <c r="AB604" s="2098"/>
      <c r="AC604" s="2098"/>
      <c r="AD604" s="2098"/>
      <c r="AE604" s="2098"/>
      <c r="AF604" s="2098"/>
      <c r="AG604" s="2098"/>
      <c r="AH604" s="2098"/>
      <c r="AI604" s="2098"/>
      <c r="AJ604" s="2098"/>
      <c r="AK604" s="2098"/>
      <c r="AL604" s="2098"/>
      <c r="AM604" s="2098"/>
      <c r="AN604" s="2098"/>
      <c r="AO604" s="2098"/>
      <c r="AP604" s="2098"/>
      <c r="AQ604" s="2098"/>
      <c r="AR604" s="2098"/>
      <c r="AS604" s="2098"/>
      <c r="AT604" s="2098"/>
      <c r="AU604" s="2098"/>
      <c r="AV604" s="2098"/>
      <c r="AW604" s="2098"/>
      <c r="AX604" s="2098"/>
      <c r="AY604" s="2098"/>
      <c r="AZ604" s="2098"/>
    </row>
    <row r="605" spans="3:52">
      <c r="C605" s="2096"/>
      <c r="D605" s="2097"/>
      <c r="E605" s="2098"/>
      <c r="F605" s="2098"/>
      <c r="G605" s="2098"/>
      <c r="H605" s="2098"/>
      <c r="I605" s="2098"/>
      <c r="J605" s="2098"/>
      <c r="K605" s="2098"/>
      <c r="L605" s="2098"/>
      <c r="M605" s="2098"/>
      <c r="N605" s="2098"/>
      <c r="O605" s="2098"/>
      <c r="P605" s="2098"/>
      <c r="Q605" s="2098"/>
      <c r="R605" s="2098"/>
      <c r="S605" s="2098"/>
      <c r="T605" s="2098"/>
      <c r="U605" s="2098"/>
      <c r="V605" s="2098"/>
      <c r="W605" s="2098"/>
      <c r="X605" s="2098"/>
      <c r="Y605" s="2098"/>
      <c r="Z605" s="2098"/>
      <c r="AA605" s="2098"/>
      <c r="AB605" s="2098"/>
      <c r="AC605" s="2098"/>
      <c r="AD605" s="2098"/>
      <c r="AE605" s="2098"/>
      <c r="AF605" s="2098"/>
      <c r="AG605" s="2098"/>
      <c r="AH605" s="2098"/>
      <c r="AI605" s="2098"/>
      <c r="AJ605" s="2098"/>
      <c r="AK605" s="2098"/>
      <c r="AL605" s="2098"/>
      <c r="AM605" s="2098"/>
      <c r="AN605" s="2098"/>
      <c r="AO605" s="2098"/>
      <c r="AP605" s="2098"/>
      <c r="AQ605" s="2098"/>
      <c r="AR605" s="2098"/>
      <c r="AS605" s="2098"/>
      <c r="AT605" s="2098"/>
      <c r="AU605" s="2098"/>
      <c r="AV605" s="2098"/>
      <c r="AW605" s="2098"/>
      <c r="AX605" s="2098"/>
      <c r="AY605" s="2098"/>
      <c r="AZ605" s="2098"/>
    </row>
    <row r="606" spans="3:52">
      <c r="C606" s="2096"/>
      <c r="D606" s="2097"/>
      <c r="E606" s="2098"/>
      <c r="F606" s="2098"/>
      <c r="G606" s="2098"/>
      <c r="H606" s="2098"/>
      <c r="I606" s="2098"/>
      <c r="J606" s="2098"/>
      <c r="K606" s="2098"/>
      <c r="L606" s="2098"/>
      <c r="M606" s="2098"/>
      <c r="N606" s="2098"/>
      <c r="O606" s="2098"/>
      <c r="P606" s="2098"/>
      <c r="Q606" s="2098"/>
      <c r="R606" s="2098"/>
      <c r="S606" s="2098"/>
      <c r="T606" s="2098"/>
      <c r="U606" s="2098"/>
      <c r="V606" s="2098"/>
      <c r="W606" s="2098"/>
      <c r="X606" s="2098"/>
      <c r="Y606" s="2098"/>
      <c r="Z606" s="2098"/>
      <c r="AA606" s="2098"/>
      <c r="AB606" s="2098"/>
      <c r="AC606" s="2098"/>
      <c r="AD606" s="2098"/>
      <c r="AE606" s="2098"/>
      <c r="AF606" s="2098"/>
      <c r="AG606" s="2098"/>
      <c r="AH606" s="2098"/>
      <c r="AI606" s="2098"/>
      <c r="AJ606" s="2098"/>
      <c r="AK606" s="2098"/>
      <c r="AL606" s="2098"/>
      <c r="AM606" s="2098"/>
      <c r="AN606" s="2098"/>
      <c r="AO606" s="2098"/>
      <c r="AP606" s="2098"/>
      <c r="AQ606" s="2098"/>
      <c r="AR606" s="2098"/>
      <c r="AS606" s="2098"/>
      <c r="AT606" s="2098"/>
      <c r="AU606" s="2098"/>
      <c r="AV606" s="2098"/>
      <c r="AW606" s="2098"/>
      <c r="AX606" s="2098"/>
      <c r="AY606" s="2098"/>
      <c r="AZ606" s="2098"/>
    </row>
    <row r="607" spans="3:52">
      <c r="C607" s="2096"/>
      <c r="D607" s="2097"/>
      <c r="E607" s="2098"/>
      <c r="F607" s="2098"/>
      <c r="G607" s="2098"/>
      <c r="H607" s="2098"/>
      <c r="I607" s="2098"/>
      <c r="J607" s="2098"/>
      <c r="K607" s="2098"/>
      <c r="L607" s="2098"/>
      <c r="M607" s="2098"/>
      <c r="N607" s="2098"/>
      <c r="O607" s="2098"/>
      <c r="P607" s="2098"/>
      <c r="Q607" s="2098"/>
      <c r="R607" s="2098"/>
      <c r="S607" s="2098"/>
      <c r="T607" s="2098"/>
      <c r="U607" s="2098"/>
      <c r="V607" s="2098"/>
      <c r="W607" s="2098"/>
      <c r="X607" s="2098"/>
      <c r="Y607" s="2098"/>
      <c r="Z607" s="2098"/>
      <c r="AA607" s="2098"/>
      <c r="AB607" s="2098"/>
      <c r="AC607" s="2098"/>
      <c r="AD607" s="2098"/>
      <c r="AE607" s="2098"/>
      <c r="AF607" s="2098"/>
      <c r="AG607" s="2098"/>
      <c r="AH607" s="2098"/>
      <c r="AI607" s="2098"/>
      <c r="AJ607" s="2098"/>
      <c r="AK607" s="2098"/>
      <c r="AL607" s="2098"/>
      <c r="AM607" s="2098"/>
      <c r="AN607" s="2098"/>
      <c r="AO607" s="2098"/>
      <c r="AP607" s="2098"/>
      <c r="AQ607" s="2098"/>
      <c r="AR607" s="2098"/>
      <c r="AS607" s="2098"/>
      <c r="AT607" s="2098"/>
      <c r="AU607" s="2098"/>
      <c r="AV607" s="2098"/>
      <c r="AW607" s="2098"/>
      <c r="AX607" s="2098"/>
      <c r="AY607" s="2098"/>
      <c r="AZ607" s="2098"/>
    </row>
    <row r="608" spans="3:52">
      <c r="C608" s="2096"/>
      <c r="D608" s="2097"/>
      <c r="E608" s="2098"/>
      <c r="F608" s="2098"/>
      <c r="G608" s="2098"/>
      <c r="H608" s="2098"/>
      <c r="I608" s="2098"/>
      <c r="J608" s="2098"/>
      <c r="K608" s="2098"/>
      <c r="L608" s="2098"/>
      <c r="M608" s="2098"/>
      <c r="N608" s="2098"/>
      <c r="O608" s="2098"/>
      <c r="P608" s="2098"/>
      <c r="Q608" s="2098"/>
      <c r="R608" s="2098"/>
      <c r="S608" s="2098"/>
      <c r="T608" s="2098"/>
      <c r="U608" s="2098"/>
      <c r="V608" s="2098"/>
      <c r="W608" s="2098"/>
      <c r="X608" s="2098"/>
      <c r="Y608" s="2098"/>
      <c r="Z608" s="2098"/>
      <c r="AA608" s="2098"/>
      <c r="AB608" s="2098"/>
      <c r="AC608" s="2098"/>
      <c r="AD608" s="2098"/>
      <c r="AE608" s="2098"/>
      <c r="AF608" s="2098"/>
      <c r="AG608" s="2098"/>
      <c r="AH608" s="2098"/>
      <c r="AI608" s="2098"/>
      <c r="AJ608" s="2098"/>
      <c r="AK608" s="2098"/>
      <c r="AL608" s="2098"/>
      <c r="AM608" s="2098"/>
      <c r="AN608" s="2098"/>
      <c r="AO608" s="2098"/>
      <c r="AP608" s="2098"/>
      <c r="AQ608" s="2098"/>
      <c r="AR608" s="2098"/>
      <c r="AS608" s="2098"/>
      <c r="AT608" s="2098"/>
      <c r="AU608" s="2098"/>
      <c r="AV608" s="2098"/>
      <c r="AW608" s="2098"/>
      <c r="AX608" s="2098"/>
      <c r="AY608" s="2098"/>
      <c r="AZ608" s="2098"/>
    </row>
    <row r="609" spans="3:52">
      <c r="C609" s="2096"/>
      <c r="D609" s="2097"/>
      <c r="E609" s="2098"/>
      <c r="F609" s="2098"/>
      <c r="G609" s="2098"/>
      <c r="H609" s="2098"/>
      <c r="I609" s="2098"/>
      <c r="J609" s="2098"/>
      <c r="K609" s="2098"/>
      <c r="L609" s="2098"/>
      <c r="M609" s="2098"/>
      <c r="N609" s="2098"/>
      <c r="O609" s="2098"/>
      <c r="P609" s="2098"/>
      <c r="Q609" s="2098"/>
      <c r="R609" s="2098"/>
      <c r="S609" s="2098"/>
      <c r="T609" s="2098"/>
      <c r="U609" s="2098"/>
      <c r="V609" s="2098"/>
      <c r="W609" s="2098"/>
      <c r="X609" s="2098"/>
      <c r="Y609" s="2098"/>
      <c r="Z609" s="2098"/>
      <c r="AA609" s="2098"/>
      <c r="AB609" s="2098"/>
      <c r="AC609" s="2098"/>
      <c r="AD609" s="2098"/>
      <c r="AE609" s="2098"/>
      <c r="AF609" s="2098"/>
      <c r="AG609" s="2098"/>
      <c r="AH609" s="2098"/>
      <c r="AI609" s="2098"/>
      <c r="AJ609" s="2098"/>
      <c r="AK609" s="2098"/>
      <c r="AL609" s="2098"/>
      <c r="AM609" s="2098"/>
      <c r="AN609" s="2098"/>
      <c r="AO609" s="2098"/>
      <c r="AP609" s="2098"/>
      <c r="AQ609" s="2098"/>
      <c r="AR609" s="2098"/>
      <c r="AS609" s="2098"/>
      <c r="AT609" s="2098"/>
      <c r="AU609" s="2098"/>
      <c r="AV609" s="2098"/>
      <c r="AW609" s="2098"/>
      <c r="AX609" s="2098"/>
      <c r="AY609" s="2098"/>
      <c r="AZ609" s="2098"/>
    </row>
    <row r="610" spans="3:52">
      <c r="C610" s="2096"/>
      <c r="D610" s="2097"/>
      <c r="E610" s="2098"/>
      <c r="F610" s="2098"/>
      <c r="G610" s="2098"/>
      <c r="H610" s="2098"/>
      <c r="I610" s="2098"/>
      <c r="J610" s="2098"/>
      <c r="K610" s="2098"/>
      <c r="L610" s="2098"/>
      <c r="M610" s="2098"/>
      <c r="N610" s="2098"/>
      <c r="O610" s="2098"/>
      <c r="P610" s="2098"/>
      <c r="Q610" s="2098"/>
      <c r="R610" s="2098"/>
      <c r="S610" s="2098"/>
      <c r="T610" s="2098"/>
      <c r="U610" s="2098"/>
      <c r="V610" s="2098"/>
      <c r="W610" s="2098"/>
      <c r="X610" s="2098"/>
      <c r="Y610" s="2098"/>
      <c r="Z610" s="2098"/>
      <c r="AA610" s="2098"/>
      <c r="AB610" s="2098"/>
      <c r="AC610" s="2098"/>
      <c r="AD610" s="2098"/>
      <c r="AE610" s="2098"/>
      <c r="AF610" s="2098"/>
      <c r="AG610" s="2098"/>
      <c r="AH610" s="2098"/>
      <c r="AI610" s="2098"/>
      <c r="AJ610" s="2098"/>
      <c r="AK610" s="2098"/>
      <c r="AL610" s="2098"/>
      <c r="AM610" s="2098"/>
      <c r="AN610" s="2098"/>
      <c r="AO610" s="2098"/>
      <c r="AP610" s="2098"/>
      <c r="AQ610" s="2098"/>
      <c r="AR610" s="2098"/>
      <c r="AS610" s="2098"/>
      <c r="AT610" s="2098"/>
      <c r="AU610" s="2098"/>
      <c r="AV610" s="2098"/>
      <c r="AW610" s="2098"/>
      <c r="AX610" s="2098"/>
      <c r="AY610" s="2098"/>
      <c r="AZ610" s="2098"/>
    </row>
    <row r="611" spans="3:52">
      <c r="C611" s="2096"/>
      <c r="D611" s="2097"/>
      <c r="E611" s="2098"/>
      <c r="F611" s="2098"/>
      <c r="G611" s="2098"/>
      <c r="H611" s="2098"/>
      <c r="I611" s="2098"/>
      <c r="J611" s="2098"/>
      <c r="K611" s="2098"/>
      <c r="L611" s="2098"/>
      <c r="M611" s="2098"/>
      <c r="N611" s="2098"/>
      <c r="O611" s="2098"/>
      <c r="P611" s="2098"/>
      <c r="Q611" s="2098"/>
      <c r="R611" s="2098"/>
      <c r="S611" s="2098"/>
      <c r="T611" s="2098"/>
      <c r="U611" s="2098"/>
      <c r="V611" s="2098"/>
      <c r="W611" s="2098"/>
      <c r="X611" s="2098"/>
      <c r="Y611" s="2098"/>
      <c r="Z611" s="2098"/>
      <c r="AA611" s="2098"/>
      <c r="AB611" s="2098"/>
      <c r="AC611" s="2098"/>
      <c r="AD611" s="2098"/>
      <c r="AE611" s="2098"/>
      <c r="AF611" s="2098"/>
      <c r="AG611" s="2098"/>
      <c r="AH611" s="2098"/>
      <c r="AI611" s="2098"/>
      <c r="AJ611" s="2098"/>
      <c r="AK611" s="2098"/>
      <c r="AL611" s="2098"/>
      <c r="AM611" s="2098"/>
      <c r="AN611" s="2098"/>
      <c r="AO611" s="2098"/>
      <c r="AP611" s="2098"/>
      <c r="AQ611" s="2098"/>
      <c r="AR611" s="2098"/>
      <c r="AS611" s="2098"/>
      <c r="AT611" s="2098"/>
      <c r="AU611" s="2098"/>
      <c r="AV611" s="2098"/>
      <c r="AW611" s="2098"/>
      <c r="AX611" s="2098"/>
      <c r="AY611" s="2098"/>
      <c r="AZ611" s="2098"/>
    </row>
    <row r="612" spans="3:52">
      <c r="C612" s="2096"/>
      <c r="D612" s="2097"/>
      <c r="E612" s="2098"/>
      <c r="F612" s="2098"/>
      <c r="G612" s="2098"/>
      <c r="H612" s="2098"/>
      <c r="I612" s="2098"/>
      <c r="J612" s="2098"/>
      <c r="K612" s="2098"/>
      <c r="L612" s="2098"/>
      <c r="M612" s="2098"/>
      <c r="N612" s="2098"/>
      <c r="O612" s="2098"/>
      <c r="P612" s="2098"/>
      <c r="Q612" s="2098"/>
      <c r="R612" s="2098"/>
      <c r="S612" s="2098"/>
      <c r="T612" s="2098"/>
      <c r="U612" s="2098"/>
      <c r="V612" s="2098"/>
      <c r="W612" s="2098"/>
      <c r="X612" s="2098"/>
      <c r="Y612" s="2098"/>
      <c r="Z612" s="2098"/>
      <c r="AA612" s="2098"/>
      <c r="AB612" s="2098"/>
      <c r="AC612" s="2098"/>
      <c r="AD612" s="2098"/>
      <c r="AE612" s="2098"/>
      <c r="AF612" s="2098"/>
      <c r="AG612" s="2098"/>
      <c r="AH612" s="2098"/>
      <c r="AI612" s="2098"/>
      <c r="AJ612" s="2098"/>
      <c r="AK612" s="2098"/>
      <c r="AL612" s="2098"/>
      <c r="AM612" s="2098"/>
      <c r="AN612" s="2098"/>
      <c r="AO612" s="2098"/>
      <c r="AP612" s="2098"/>
      <c r="AQ612" s="2098"/>
      <c r="AR612" s="2098"/>
      <c r="AS612" s="2098"/>
      <c r="AT612" s="2098"/>
      <c r="AU612" s="2098"/>
      <c r="AV612" s="2098"/>
      <c r="AW612" s="2098"/>
      <c r="AX612" s="2098"/>
      <c r="AY612" s="2098"/>
      <c r="AZ612" s="2098"/>
    </row>
    <row r="613" spans="3:52">
      <c r="C613" s="2096"/>
      <c r="D613" s="2097"/>
      <c r="E613" s="2098"/>
      <c r="F613" s="2098"/>
      <c r="G613" s="2098"/>
      <c r="H613" s="2098"/>
      <c r="I613" s="2098"/>
      <c r="J613" s="2098"/>
      <c r="K613" s="2098"/>
      <c r="L613" s="2098"/>
      <c r="M613" s="2098"/>
      <c r="N613" s="2098"/>
      <c r="O613" s="2098"/>
      <c r="P613" s="2098"/>
      <c r="Q613" s="2098"/>
      <c r="R613" s="2098"/>
      <c r="S613" s="2098"/>
      <c r="T613" s="2098"/>
      <c r="U613" s="2098"/>
      <c r="V613" s="2098"/>
      <c r="W613" s="2098"/>
      <c r="X613" s="2098"/>
      <c r="Y613" s="2098"/>
      <c r="Z613" s="2098"/>
      <c r="AA613" s="2098"/>
      <c r="AB613" s="2098"/>
      <c r="AC613" s="2098"/>
      <c r="AD613" s="2098"/>
      <c r="AE613" s="2098"/>
      <c r="AF613" s="2098"/>
      <c r="AG613" s="2098"/>
      <c r="AH613" s="2098"/>
      <c r="AI613" s="2098"/>
      <c r="AJ613" s="2098"/>
      <c r="AK613" s="2098"/>
      <c r="AL613" s="2098"/>
      <c r="AM613" s="2098"/>
      <c r="AN613" s="2098"/>
      <c r="AO613" s="2098"/>
      <c r="AP613" s="2098"/>
      <c r="AQ613" s="2098"/>
      <c r="AR613" s="2098"/>
      <c r="AS613" s="2098"/>
      <c r="AT613" s="2098"/>
      <c r="AU613" s="2098"/>
      <c r="AV613" s="2098"/>
      <c r="AW613" s="2098"/>
      <c r="AX613" s="2098"/>
      <c r="AY613" s="2098"/>
      <c r="AZ613" s="2098"/>
    </row>
    <row r="614" spans="3:52">
      <c r="C614" s="2096"/>
      <c r="D614" s="2097"/>
      <c r="E614" s="2098"/>
      <c r="F614" s="2098"/>
      <c r="G614" s="2098"/>
      <c r="H614" s="2098"/>
      <c r="I614" s="2098"/>
      <c r="J614" s="2098"/>
      <c r="K614" s="2098"/>
      <c r="L614" s="2098"/>
      <c r="M614" s="2098"/>
      <c r="N614" s="2098"/>
      <c r="O614" s="2098"/>
      <c r="P614" s="2098"/>
      <c r="Q614" s="2098"/>
      <c r="R614" s="2098"/>
      <c r="S614" s="2098"/>
      <c r="T614" s="2098"/>
      <c r="U614" s="2098"/>
      <c r="V614" s="2098"/>
      <c r="W614" s="2098"/>
      <c r="X614" s="2098"/>
      <c r="Y614" s="2098"/>
      <c r="Z614" s="2098"/>
      <c r="AA614" s="2098"/>
      <c r="AB614" s="2098"/>
      <c r="AC614" s="2098"/>
      <c r="AD614" s="2098"/>
      <c r="AE614" s="2098"/>
      <c r="AF614" s="2098"/>
      <c r="AG614" s="2098"/>
      <c r="AH614" s="2098"/>
      <c r="AI614" s="2098"/>
      <c r="AJ614" s="2098"/>
      <c r="AK614" s="2098"/>
      <c r="AL614" s="2098"/>
      <c r="AM614" s="2098"/>
      <c r="AN614" s="2098"/>
      <c r="AO614" s="2098"/>
      <c r="AP614" s="2098"/>
      <c r="AQ614" s="2098"/>
      <c r="AR614" s="2098"/>
      <c r="AS614" s="2098"/>
      <c r="AT614" s="2098"/>
      <c r="AU614" s="2098"/>
      <c r="AV614" s="2098"/>
      <c r="AW614" s="2098"/>
      <c r="AX614" s="2098"/>
      <c r="AY614" s="2098"/>
      <c r="AZ614" s="2098"/>
    </row>
    <row r="615" spans="3:52">
      <c r="C615" s="2096"/>
      <c r="D615" s="2097"/>
      <c r="E615" s="2098"/>
      <c r="F615" s="2098"/>
      <c r="G615" s="2098"/>
      <c r="H615" s="2098"/>
      <c r="I615" s="2098"/>
      <c r="J615" s="2098"/>
      <c r="K615" s="2098"/>
      <c r="L615" s="2098"/>
      <c r="M615" s="2098"/>
      <c r="N615" s="2098"/>
      <c r="O615" s="2098"/>
      <c r="P615" s="2098"/>
      <c r="Q615" s="2098"/>
      <c r="R615" s="2098"/>
      <c r="S615" s="2098"/>
      <c r="T615" s="2098"/>
      <c r="U615" s="2098"/>
      <c r="V615" s="2098"/>
      <c r="W615" s="2098"/>
      <c r="X615" s="2098"/>
      <c r="Y615" s="2098"/>
      <c r="Z615" s="2098"/>
      <c r="AA615" s="2098"/>
      <c r="AB615" s="2098"/>
      <c r="AC615" s="2098"/>
      <c r="AD615" s="2098"/>
      <c r="AE615" s="2098"/>
      <c r="AF615" s="2098"/>
      <c r="AG615" s="2098"/>
      <c r="AH615" s="2098"/>
      <c r="AI615" s="2098"/>
      <c r="AJ615" s="2098"/>
      <c r="AK615" s="2098"/>
      <c r="AL615" s="2098"/>
      <c r="AM615" s="2098"/>
      <c r="AN615" s="2098"/>
      <c r="AO615" s="2098"/>
      <c r="AP615" s="2098"/>
      <c r="AQ615" s="2098"/>
      <c r="AR615" s="2098"/>
      <c r="AS615" s="2098"/>
      <c r="AT615" s="2098"/>
      <c r="AU615" s="2098"/>
      <c r="AV615" s="2098"/>
      <c r="AW615" s="2098"/>
      <c r="AX615" s="2098"/>
      <c r="AY615" s="2098"/>
      <c r="AZ615" s="2098"/>
    </row>
    <row r="616" spans="3:52">
      <c r="C616" s="2096"/>
      <c r="D616" s="2097"/>
      <c r="E616" s="2098"/>
      <c r="F616" s="2098"/>
      <c r="G616" s="2098"/>
      <c r="H616" s="2098"/>
      <c r="I616" s="2098"/>
      <c r="J616" s="2098"/>
      <c r="K616" s="2098"/>
      <c r="L616" s="2098"/>
      <c r="M616" s="2098"/>
      <c r="N616" s="2098"/>
      <c r="O616" s="2098"/>
      <c r="P616" s="2098"/>
      <c r="Q616" s="2098"/>
      <c r="R616" s="2098"/>
      <c r="S616" s="2098"/>
      <c r="T616" s="2098"/>
      <c r="U616" s="2098"/>
      <c r="V616" s="2098"/>
      <c r="W616" s="2098"/>
      <c r="X616" s="2098"/>
      <c r="Y616" s="2098"/>
      <c r="Z616" s="2098"/>
      <c r="AA616" s="2098"/>
      <c r="AB616" s="2098"/>
      <c r="AC616" s="2098"/>
      <c r="AD616" s="2098"/>
      <c r="AE616" s="2098"/>
      <c r="AF616" s="2098"/>
      <c r="AG616" s="2098"/>
      <c r="AH616" s="2098"/>
      <c r="AI616" s="2098"/>
      <c r="AJ616" s="2098"/>
      <c r="AK616" s="2098"/>
      <c r="AL616" s="2098"/>
      <c r="AM616" s="2098"/>
      <c r="AN616" s="2098"/>
      <c r="AO616" s="2098"/>
      <c r="AP616" s="2098"/>
      <c r="AQ616" s="2098"/>
      <c r="AR616" s="2098"/>
      <c r="AS616" s="2098"/>
      <c r="AT616" s="2098"/>
      <c r="AU616" s="2098"/>
      <c r="AV616" s="2098"/>
      <c r="AW616" s="2098"/>
      <c r="AX616" s="2098"/>
      <c r="AY616" s="2098"/>
      <c r="AZ616" s="2098"/>
    </row>
    <row r="617" spans="3:52">
      <c r="C617" s="2096"/>
      <c r="D617" s="2097"/>
      <c r="E617" s="2098"/>
      <c r="F617" s="2098"/>
      <c r="G617" s="2098"/>
      <c r="H617" s="2098"/>
      <c r="I617" s="2098"/>
      <c r="J617" s="2098"/>
      <c r="K617" s="2098"/>
      <c r="L617" s="2098"/>
      <c r="M617" s="2098"/>
      <c r="N617" s="2098"/>
      <c r="O617" s="2098"/>
      <c r="P617" s="2098"/>
      <c r="Q617" s="2098"/>
      <c r="R617" s="2098"/>
      <c r="S617" s="2098"/>
      <c r="T617" s="2098"/>
      <c r="U617" s="2098"/>
      <c r="V617" s="2098"/>
      <c r="W617" s="2098"/>
      <c r="X617" s="2098"/>
      <c r="Y617" s="2098"/>
      <c r="Z617" s="2098"/>
      <c r="AA617" s="2098"/>
      <c r="AB617" s="2098"/>
      <c r="AC617" s="2098"/>
      <c r="AD617" s="2098"/>
      <c r="AE617" s="2098"/>
      <c r="AF617" s="2098"/>
      <c r="AG617" s="2098"/>
      <c r="AH617" s="2098"/>
      <c r="AI617" s="2098"/>
      <c r="AJ617" s="2098"/>
      <c r="AK617" s="2098"/>
      <c r="AL617" s="2098"/>
      <c r="AM617" s="2098"/>
      <c r="AN617" s="2098"/>
      <c r="AO617" s="2098"/>
      <c r="AP617" s="2098"/>
      <c r="AQ617" s="2098"/>
      <c r="AR617" s="2098"/>
      <c r="AS617" s="2098"/>
      <c r="AT617" s="2098"/>
      <c r="AU617" s="2098"/>
      <c r="AV617" s="2098"/>
      <c r="AW617" s="2098"/>
      <c r="AX617" s="2098"/>
      <c r="AY617" s="2098"/>
      <c r="AZ617" s="2098"/>
    </row>
    <row r="618" spans="3:52">
      <c r="C618" s="2096"/>
      <c r="D618" s="2097"/>
      <c r="E618" s="2098"/>
      <c r="F618" s="2098"/>
      <c r="G618" s="2098"/>
      <c r="H618" s="2098"/>
      <c r="I618" s="2098"/>
      <c r="J618" s="2098"/>
      <c r="K618" s="2098"/>
      <c r="L618" s="2098"/>
      <c r="M618" s="2098"/>
      <c r="N618" s="2098"/>
      <c r="O618" s="2098"/>
      <c r="P618" s="2098"/>
      <c r="Q618" s="2098"/>
      <c r="R618" s="2098"/>
      <c r="S618" s="2098"/>
      <c r="T618" s="2098"/>
      <c r="U618" s="2098"/>
      <c r="V618" s="2098"/>
      <c r="W618" s="2098"/>
      <c r="X618" s="2098"/>
      <c r="Y618" s="2098"/>
      <c r="Z618" s="2098"/>
      <c r="AA618" s="2098"/>
      <c r="AB618" s="2098"/>
      <c r="AC618" s="2098"/>
      <c r="AD618" s="2098"/>
      <c r="AE618" s="2098"/>
      <c r="AF618" s="2098"/>
      <c r="AG618" s="2098"/>
      <c r="AH618" s="2098"/>
      <c r="AI618" s="2098"/>
      <c r="AJ618" s="2098"/>
      <c r="AK618" s="2098"/>
      <c r="AL618" s="2098"/>
      <c r="AM618" s="2098"/>
      <c r="AN618" s="2098"/>
      <c r="AO618" s="2098"/>
      <c r="AP618" s="2098"/>
      <c r="AQ618" s="2098"/>
      <c r="AR618" s="2098"/>
      <c r="AS618" s="2098"/>
      <c r="AT618" s="2098"/>
      <c r="AU618" s="2098"/>
      <c r="AV618" s="2098"/>
      <c r="AW618" s="2098"/>
      <c r="AX618" s="2098"/>
      <c r="AY618" s="2098"/>
      <c r="AZ618" s="2098"/>
    </row>
    <row r="619" spans="3:52">
      <c r="C619" s="2096"/>
      <c r="D619" s="2097"/>
      <c r="E619" s="2098"/>
      <c r="F619" s="2098"/>
      <c r="G619" s="2098"/>
      <c r="H619" s="2098"/>
      <c r="I619" s="2098"/>
      <c r="J619" s="2098"/>
      <c r="K619" s="2098"/>
      <c r="L619" s="2098"/>
      <c r="M619" s="2098"/>
      <c r="N619" s="2098"/>
      <c r="O619" s="2098"/>
      <c r="P619" s="2098"/>
      <c r="Q619" s="2098"/>
      <c r="R619" s="2098"/>
      <c r="S619" s="2098"/>
      <c r="T619" s="2098"/>
      <c r="U619" s="2098"/>
      <c r="V619" s="2098"/>
      <c r="W619" s="2098"/>
      <c r="X619" s="2098"/>
      <c r="Y619" s="2098"/>
      <c r="Z619" s="2098"/>
      <c r="AA619" s="2098"/>
      <c r="AB619" s="2098"/>
      <c r="AC619" s="2098"/>
      <c r="AD619" s="2098"/>
      <c r="AE619" s="2098"/>
      <c r="AF619" s="2098"/>
      <c r="AG619" s="2098"/>
      <c r="AH619" s="2098"/>
      <c r="AI619" s="2098"/>
      <c r="AJ619" s="2098"/>
      <c r="AK619" s="2098"/>
      <c r="AL619" s="2098"/>
      <c r="AM619" s="2098"/>
      <c r="AN619" s="2098"/>
      <c r="AO619" s="2098"/>
      <c r="AP619" s="2098"/>
      <c r="AQ619" s="2098"/>
      <c r="AR619" s="2098"/>
      <c r="AS619" s="2098"/>
      <c r="AT619" s="2098"/>
      <c r="AU619" s="2098"/>
      <c r="AV619" s="2098"/>
      <c r="AW619" s="2098"/>
      <c r="AX619" s="2098"/>
      <c r="AY619" s="2098"/>
      <c r="AZ619" s="2098"/>
    </row>
    <row r="620" spans="3:52">
      <c r="C620" s="2096"/>
      <c r="D620" s="2097"/>
      <c r="E620" s="2098"/>
      <c r="F620" s="2098"/>
      <c r="G620" s="2098"/>
      <c r="H620" s="2098"/>
      <c r="I620" s="2098"/>
      <c r="J620" s="2098"/>
      <c r="K620" s="2098"/>
      <c r="L620" s="2098"/>
      <c r="M620" s="2098"/>
      <c r="N620" s="2098"/>
      <c r="O620" s="2098"/>
      <c r="P620" s="2098"/>
      <c r="Q620" s="2098"/>
      <c r="R620" s="2098"/>
      <c r="S620" s="2098"/>
      <c r="T620" s="2098"/>
      <c r="U620" s="2098"/>
      <c r="V620" s="2098"/>
      <c r="W620" s="2098"/>
      <c r="X620" s="2098"/>
      <c r="Y620" s="2098"/>
      <c r="Z620" s="2098"/>
      <c r="AA620" s="2098"/>
      <c r="AB620" s="2098"/>
      <c r="AC620" s="2098"/>
      <c r="AD620" s="2098"/>
      <c r="AE620" s="2098"/>
      <c r="AF620" s="2098"/>
      <c r="AG620" s="2098"/>
      <c r="AH620" s="2098"/>
      <c r="AI620" s="2098"/>
      <c r="AJ620" s="2098"/>
      <c r="AK620" s="2098"/>
      <c r="AL620" s="2098"/>
      <c r="AM620" s="2098"/>
      <c r="AN620" s="2098"/>
      <c r="AO620" s="2098"/>
      <c r="AP620" s="2098"/>
      <c r="AQ620" s="2098"/>
      <c r="AR620" s="2098"/>
      <c r="AS620" s="2098"/>
      <c r="AT620" s="2098"/>
      <c r="AU620" s="2098"/>
      <c r="AV620" s="2098"/>
      <c r="AW620" s="2098"/>
      <c r="AX620" s="2098"/>
      <c r="AY620" s="2098"/>
      <c r="AZ620" s="2098"/>
    </row>
    <row r="621" spans="3:52">
      <c r="C621" s="2096"/>
      <c r="D621" s="2097"/>
      <c r="E621" s="2098"/>
      <c r="F621" s="2098"/>
      <c r="G621" s="2098"/>
      <c r="H621" s="2098"/>
      <c r="I621" s="2098"/>
      <c r="J621" s="2098"/>
      <c r="K621" s="2098"/>
      <c r="L621" s="2098"/>
      <c r="M621" s="2098"/>
      <c r="N621" s="2098"/>
      <c r="O621" s="2098"/>
      <c r="P621" s="2098"/>
      <c r="Q621" s="2098"/>
      <c r="R621" s="2098"/>
      <c r="S621" s="2098"/>
      <c r="T621" s="2098"/>
      <c r="U621" s="2098"/>
      <c r="V621" s="2098"/>
      <c r="W621" s="2098"/>
      <c r="X621" s="2098"/>
      <c r="Y621" s="2098"/>
      <c r="Z621" s="2098"/>
      <c r="AA621" s="2098"/>
      <c r="AB621" s="2098"/>
      <c r="AC621" s="2098"/>
      <c r="AD621" s="2098"/>
      <c r="AE621" s="2098"/>
      <c r="AF621" s="2098"/>
      <c r="AG621" s="2098"/>
      <c r="AH621" s="2098"/>
      <c r="AI621" s="2098"/>
      <c r="AJ621" s="2098"/>
      <c r="AK621" s="2098"/>
      <c r="AL621" s="2098"/>
      <c r="AM621" s="2098"/>
      <c r="AN621" s="2098"/>
      <c r="AO621" s="2098"/>
      <c r="AP621" s="2098"/>
      <c r="AQ621" s="2098"/>
      <c r="AR621" s="2098"/>
      <c r="AS621" s="2098"/>
      <c r="AT621" s="2098"/>
      <c r="AU621" s="2098"/>
      <c r="AV621" s="2098"/>
      <c r="AW621" s="2098"/>
      <c r="AX621" s="2098"/>
      <c r="AY621" s="2098"/>
      <c r="AZ621" s="2098"/>
    </row>
    <row r="622" spans="3:52">
      <c r="C622" s="2096"/>
      <c r="D622" s="2097"/>
      <c r="E622" s="2098"/>
      <c r="F622" s="2098"/>
      <c r="G622" s="2098"/>
      <c r="H622" s="2098"/>
      <c r="I622" s="2098"/>
      <c r="J622" s="2098"/>
      <c r="K622" s="2098"/>
      <c r="L622" s="2098"/>
      <c r="M622" s="2098"/>
      <c r="N622" s="2098"/>
      <c r="O622" s="2098"/>
      <c r="P622" s="2098"/>
      <c r="Q622" s="2098"/>
      <c r="R622" s="2098"/>
      <c r="S622" s="2098"/>
      <c r="T622" s="2098"/>
      <c r="U622" s="2098"/>
      <c r="V622" s="2098"/>
      <c r="W622" s="2098"/>
      <c r="X622" s="2098"/>
      <c r="Y622" s="2098"/>
      <c r="Z622" s="2098"/>
      <c r="AA622" s="2098"/>
      <c r="AB622" s="2098"/>
      <c r="AC622" s="2098"/>
      <c r="AD622" s="2098"/>
      <c r="AE622" s="2098"/>
      <c r="AF622" s="2098"/>
      <c r="AG622" s="2098"/>
      <c r="AH622" s="2098"/>
      <c r="AI622" s="2098"/>
      <c r="AJ622" s="2098"/>
      <c r="AK622" s="2098"/>
      <c r="AL622" s="2098"/>
      <c r="AM622" s="2098"/>
      <c r="AN622" s="2098"/>
      <c r="AO622" s="2098"/>
      <c r="AP622" s="2098"/>
      <c r="AQ622" s="2098"/>
      <c r="AR622" s="2098"/>
      <c r="AS622" s="2098"/>
      <c r="AT622" s="2098"/>
      <c r="AU622" s="2098"/>
      <c r="AV622" s="2098"/>
      <c r="AW622" s="2098"/>
      <c r="AX622" s="2098"/>
      <c r="AY622" s="2098"/>
      <c r="AZ622" s="2098"/>
    </row>
    <row r="623" spans="3:52">
      <c r="C623" s="2096"/>
      <c r="D623" s="2097"/>
      <c r="E623" s="2098"/>
      <c r="F623" s="2098"/>
      <c r="G623" s="2098"/>
      <c r="H623" s="2098"/>
      <c r="I623" s="2098"/>
      <c r="J623" s="2098"/>
      <c r="K623" s="2098"/>
      <c r="L623" s="2098"/>
      <c r="M623" s="2098"/>
      <c r="N623" s="2098"/>
      <c r="O623" s="2098"/>
      <c r="P623" s="2098"/>
      <c r="Q623" s="2098"/>
      <c r="R623" s="2098"/>
      <c r="S623" s="2098"/>
      <c r="T623" s="2098"/>
      <c r="U623" s="2098"/>
      <c r="V623" s="2098"/>
      <c r="W623" s="2098"/>
      <c r="X623" s="2098"/>
      <c r="Y623" s="2098"/>
      <c r="Z623" s="2098"/>
      <c r="AA623" s="2098"/>
      <c r="AB623" s="2098"/>
      <c r="AC623" s="2098"/>
      <c r="AD623" s="2098"/>
      <c r="AE623" s="2098"/>
      <c r="AF623" s="2098"/>
      <c r="AG623" s="2098"/>
      <c r="AH623" s="2098"/>
      <c r="AI623" s="2098"/>
      <c r="AJ623" s="2098"/>
      <c r="AK623" s="2098"/>
      <c r="AL623" s="2098"/>
      <c r="AM623" s="2098"/>
      <c r="AN623" s="2098"/>
      <c r="AO623" s="2098"/>
      <c r="AP623" s="2098"/>
      <c r="AQ623" s="2098"/>
      <c r="AR623" s="2098"/>
      <c r="AS623" s="2098"/>
      <c r="AT623" s="2098"/>
      <c r="AU623" s="2098"/>
      <c r="AV623" s="2098"/>
      <c r="AW623" s="2098"/>
      <c r="AX623" s="2098"/>
      <c r="AY623" s="2098"/>
      <c r="AZ623" s="2098"/>
    </row>
    <row r="624" spans="3:52">
      <c r="C624" s="2096"/>
      <c r="D624" s="2097"/>
      <c r="E624" s="2098"/>
      <c r="F624" s="2098"/>
      <c r="G624" s="2098"/>
      <c r="H624" s="2098"/>
      <c r="I624" s="2098"/>
      <c r="J624" s="2098"/>
      <c r="K624" s="2098"/>
      <c r="L624" s="2098"/>
      <c r="M624" s="2098"/>
      <c r="N624" s="2098"/>
      <c r="O624" s="2098"/>
      <c r="P624" s="2098"/>
      <c r="Q624" s="2098"/>
      <c r="R624" s="2098"/>
      <c r="S624" s="2098"/>
      <c r="T624" s="2098"/>
      <c r="U624" s="2098"/>
      <c r="V624" s="2098"/>
      <c r="W624" s="2098"/>
      <c r="X624" s="2098"/>
      <c r="Y624" s="2098"/>
      <c r="Z624" s="2098"/>
      <c r="AA624" s="2098"/>
      <c r="AB624" s="2098"/>
      <c r="AC624" s="2098"/>
      <c r="AD624" s="2098"/>
      <c r="AE624" s="2098"/>
      <c r="AF624" s="2098"/>
      <c r="AG624" s="2098"/>
      <c r="AH624" s="2098"/>
      <c r="AI624" s="2098"/>
      <c r="AJ624" s="2098"/>
      <c r="AK624" s="2098"/>
      <c r="AL624" s="2098"/>
      <c r="AM624" s="2098"/>
      <c r="AN624" s="2098"/>
      <c r="AO624" s="2098"/>
      <c r="AP624" s="2098"/>
      <c r="AQ624" s="2098"/>
      <c r="AR624" s="2098"/>
      <c r="AS624" s="2098"/>
      <c r="AT624" s="2098"/>
      <c r="AU624" s="2098"/>
      <c r="AV624" s="2098"/>
      <c r="AW624" s="2098"/>
      <c r="AX624" s="2098"/>
      <c r="AY624" s="2098"/>
      <c r="AZ624" s="2098"/>
    </row>
    <row r="625" spans="3:52">
      <c r="C625" s="2096"/>
      <c r="D625" s="2097"/>
      <c r="E625" s="2098"/>
      <c r="F625" s="2098"/>
      <c r="G625" s="2098"/>
      <c r="H625" s="2098"/>
      <c r="I625" s="2098"/>
      <c r="J625" s="2098"/>
      <c r="K625" s="2098"/>
      <c r="L625" s="2098"/>
      <c r="M625" s="2098"/>
      <c r="N625" s="2098"/>
      <c r="O625" s="2098"/>
      <c r="P625" s="2098"/>
      <c r="Q625" s="2098"/>
      <c r="R625" s="2098"/>
      <c r="S625" s="2098"/>
      <c r="T625" s="2098"/>
      <c r="U625" s="2098"/>
      <c r="V625" s="2098"/>
      <c r="W625" s="2098"/>
      <c r="X625" s="2098"/>
      <c r="Y625" s="2098"/>
      <c r="Z625" s="2098"/>
      <c r="AA625" s="2098"/>
      <c r="AB625" s="2098"/>
      <c r="AC625" s="2098"/>
      <c r="AD625" s="2098"/>
      <c r="AE625" s="2098"/>
      <c r="AF625" s="2098"/>
      <c r="AG625" s="2098"/>
      <c r="AH625" s="2098"/>
      <c r="AI625" s="2098"/>
      <c r="AJ625" s="2098"/>
      <c r="AK625" s="2098"/>
      <c r="AL625" s="2098"/>
      <c r="AM625" s="2098"/>
      <c r="AN625" s="2098"/>
      <c r="AO625" s="2098"/>
      <c r="AP625" s="2098"/>
      <c r="AQ625" s="2098"/>
      <c r="AR625" s="2098"/>
      <c r="AS625" s="2098"/>
      <c r="AT625" s="2098"/>
      <c r="AU625" s="2098"/>
      <c r="AV625" s="2098"/>
      <c r="AW625" s="2098"/>
      <c r="AX625" s="2098"/>
      <c r="AY625" s="2098"/>
      <c r="AZ625" s="2098"/>
    </row>
    <row r="626" spans="3:52">
      <c r="C626" s="2096"/>
      <c r="D626" s="2097"/>
      <c r="E626" s="2098"/>
      <c r="F626" s="2098"/>
      <c r="G626" s="2098"/>
      <c r="H626" s="2098"/>
      <c r="I626" s="2098"/>
      <c r="J626" s="2098"/>
      <c r="K626" s="2098"/>
      <c r="L626" s="2098"/>
      <c r="M626" s="2098"/>
      <c r="N626" s="2098"/>
      <c r="O626" s="2098"/>
      <c r="P626" s="2098"/>
      <c r="Q626" s="2098"/>
      <c r="R626" s="2098"/>
      <c r="S626" s="2098"/>
      <c r="T626" s="2098"/>
      <c r="U626" s="2098"/>
      <c r="V626" s="2098"/>
      <c r="W626" s="2098"/>
      <c r="X626" s="2098"/>
      <c r="Y626" s="2098"/>
      <c r="Z626" s="2098"/>
      <c r="AA626" s="2098"/>
      <c r="AB626" s="2098"/>
      <c r="AC626" s="2098"/>
      <c r="AD626" s="2098"/>
      <c r="AE626" s="2098"/>
      <c r="AF626" s="2098"/>
      <c r="AG626" s="2098"/>
      <c r="AH626" s="2098"/>
      <c r="AI626" s="2098"/>
      <c r="AJ626" s="2098"/>
      <c r="AK626" s="2098"/>
      <c r="AL626" s="2098"/>
      <c r="AM626" s="2098"/>
      <c r="AN626" s="2098"/>
      <c r="AO626" s="2098"/>
      <c r="AP626" s="2098"/>
      <c r="AQ626" s="2098"/>
      <c r="AR626" s="2098"/>
      <c r="AS626" s="2098"/>
      <c r="AT626" s="2098"/>
      <c r="AU626" s="2098"/>
      <c r="AV626" s="2098"/>
      <c r="AW626" s="2098"/>
      <c r="AX626" s="2098"/>
      <c r="AY626" s="2098"/>
      <c r="AZ626" s="2098"/>
    </row>
    <row r="627" spans="3:52">
      <c r="C627" s="2096"/>
      <c r="D627" s="2097"/>
      <c r="E627" s="2098"/>
      <c r="F627" s="2098"/>
      <c r="G627" s="2098"/>
      <c r="H627" s="2098"/>
      <c r="I627" s="2098"/>
      <c r="J627" s="2098"/>
      <c r="K627" s="2098"/>
      <c r="L627" s="2098"/>
      <c r="M627" s="2098"/>
      <c r="N627" s="2098"/>
      <c r="O627" s="2098"/>
      <c r="P627" s="2098"/>
      <c r="Q627" s="2098"/>
      <c r="R627" s="2098"/>
      <c r="S627" s="2098"/>
      <c r="T627" s="2098"/>
      <c r="U627" s="2098"/>
      <c r="V627" s="2098"/>
      <c r="W627" s="2098"/>
      <c r="X627" s="2098"/>
      <c r="Y627" s="2098"/>
      <c r="Z627" s="2098"/>
      <c r="AA627" s="2098"/>
      <c r="AB627" s="2098"/>
      <c r="AC627" s="2098"/>
      <c r="AD627" s="2098"/>
      <c r="AE627" s="2098"/>
      <c r="AF627" s="2098"/>
      <c r="AG627" s="2098"/>
      <c r="AH627" s="2098"/>
      <c r="AI627" s="2098"/>
      <c r="AJ627" s="2098"/>
      <c r="AK627" s="2098"/>
      <c r="AL627" s="2098"/>
      <c r="AM627" s="2098"/>
      <c r="AN627" s="2098"/>
      <c r="AO627" s="2098"/>
      <c r="AP627" s="2098"/>
      <c r="AQ627" s="2098"/>
      <c r="AR627" s="2098"/>
      <c r="AS627" s="2098"/>
      <c r="AT627" s="2098"/>
      <c r="AU627" s="2098"/>
      <c r="AV627" s="2098"/>
      <c r="AW627" s="2098"/>
      <c r="AX627" s="2098"/>
      <c r="AY627" s="2098"/>
      <c r="AZ627" s="2098"/>
    </row>
    <row r="628" spans="3:52">
      <c r="C628" s="2096"/>
      <c r="D628" s="2097"/>
      <c r="E628" s="2098"/>
      <c r="F628" s="2098"/>
      <c r="G628" s="2098"/>
      <c r="H628" s="2098"/>
      <c r="I628" s="2098"/>
      <c r="J628" s="2098"/>
      <c r="K628" s="2098"/>
      <c r="L628" s="2098"/>
      <c r="M628" s="2098"/>
      <c r="N628" s="2098"/>
      <c r="O628" s="2098"/>
      <c r="P628" s="2098"/>
      <c r="Q628" s="2098"/>
      <c r="R628" s="2098"/>
      <c r="S628" s="2098"/>
      <c r="T628" s="2098"/>
      <c r="U628" s="2098"/>
      <c r="V628" s="2098"/>
      <c r="W628" s="2098"/>
      <c r="X628" s="2098"/>
      <c r="Y628" s="2098"/>
      <c r="Z628" s="2098"/>
      <c r="AA628" s="2098"/>
      <c r="AB628" s="2098"/>
      <c r="AC628" s="2098"/>
      <c r="AD628" s="2098"/>
      <c r="AE628" s="2098"/>
      <c r="AF628" s="2098"/>
      <c r="AG628" s="2098"/>
      <c r="AH628" s="2098"/>
      <c r="AI628" s="2098"/>
      <c r="AJ628" s="2098"/>
      <c r="AK628" s="2098"/>
      <c r="AL628" s="2098"/>
      <c r="AM628" s="2098"/>
      <c r="AN628" s="2098"/>
      <c r="AO628" s="2098"/>
      <c r="AP628" s="2098"/>
      <c r="AQ628" s="2098"/>
      <c r="AR628" s="2098"/>
      <c r="AS628" s="2098"/>
      <c r="AT628" s="2098"/>
      <c r="AU628" s="2098"/>
      <c r="AV628" s="2098"/>
      <c r="AW628" s="2098"/>
      <c r="AX628" s="2098"/>
      <c r="AY628" s="2098"/>
      <c r="AZ628" s="2098"/>
    </row>
    <row r="629" spans="3:52">
      <c r="C629" s="2096"/>
      <c r="D629" s="2097"/>
      <c r="E629" s="2098"/>
      <c r="F629" s="2098"/>
      <c r="G629" s="2098"/>
      <c r="H629" s="2098"/>
      <c r="I629" s="2098"/>
      <c r="J629" s="2098"/>
      <c r="K629" s="2098"/>
      <c r="L629" s="2098"/>
      <c r="M629" s="2098"/>
      <c r="N629" s="2098"/>
      <c r="O629" s="2098"/>
      <c r="P629" s="2098"/>
      <c r="Q629" s="2098"/>
      <c r="R629" s="2098"/>
      <c r="S629" s="2098"/>
      <c r="T629" s="2098"/>
      <c r="U629" s="2098"/>
      <c r="V629" s="2098"/>
      <c r="W629" s="2098"/>
      <c r="X629" s="2098"/>
      <c r="Y629" s="2098"/>
      <c r="Z629" s="2098"/>
      <c r="AA629" s="2098"/>
      <c r="AB629" s="2098"/>
      <c r="AC629" s="2098"/>
      <c r="AD629" s="2098"/>
      <c r="AE629" s="2098"/>
      <c r="AF629" s="2098"/>
      <c r="AG629" s="2098"/>
      <c r="AH629" s="2098"/>
      <c r="AI629" s="2098"/>
      <c r="AJ629" s="2098"/>
      <c r="AK629" s="2098"/>
      <c r="AL629" s="2098"/>
      <c r="AM629" s="2098"/>
      <c r="AN629" s="2098"/>
      <c r="AO629" s="2098"/>
      <c r="AP629" s="2098"/>
      <c r="AQ629" s="2098"/>
      <c r="AR629" s="2098"/>
      <c r="AS629" s="2098"/>
      <c r="AT629" s="2098"/>
      <c r="AU629" s="2098"/>
      <c r="AV629" s="2098"/>
      <c r="AW629" s="2098"/>
      <c r="AX629" s="2098"/>
      <c r="AY629" s="2098"/>
      <c r="AZ629" s="2098"/>
    </row>
    <row r="630" spans="3:52">
      <c r="C630" s="2096"/>
      <c r="D630" s="2097"/>
      <c r="E630" s="2098"/>
      <c r="F630" s="2098"/>
      <c r="G630" s="2098"/>
      <c r="H630" s="2098"/>
      <c r="I630" s="2098"/>
      <c r="J630" s="2098"/>
      <c r="K630" s="2098"/>
      <c r="L630" s="2098"/>
      <c r="M630" s="2098"/>
      <c r="N630" s="2098"/>
      <c r="O630" s="2098"/>
      <c r="P630" s="2098"/>
      <c r="Q630" s="2098"/>
      <c r="R630" s="2098"/>
      <c r="S630" s="2098"/>
      <c r="T630" s="2098"/>
      <c r="U630" s="2098"/>
      <c r="V630" s="2098"/>
      <c r="W630" s="2098"/>
      <c r="X630" s="2098"/>
      <c r="Y630" s="2098"/>
      <c r="Z630" s="2098"/>
      <c r="AA630" s="2098"/>
      <c r="AB630" s="2098"/>
      <c r="AC630" s="2098"/>
      <c r="AD630" s="2098"/>
      <c r="AE630" s="2098"/>
      <c r="AF630" s="2098"/>
      <c r="AG630" s="2098"/>
      <c r="AH630" s="2098"/>
      <c r="AI630" s="2098"/>
      <c r="AJ630" s="2098"/>
      <c r="AK630" s="2098"/>
      <c r="AL630" s="2098"/>
      <c r="AM630" s="2098"/>
      <c r="AN630" s="2098"/>
      <c r="AO630" s="2098"/>
      <c r="AP630" s="2098"/>
      <c r="AQ630" s="2098"/>
      <c r="AR630" s="2098"/>
      <c r="AS630" s="2098"/>
      <c r="AT630" s="2098"/>
      <c r="AU630" s="2098"/>
      <c r="AV630" s="2098"/>
      <c r="AW630" s="2098"/>
      <c r="AX630" s="2098"/>
      <c r="AY630" s="2098"/>
      <c r="AZ630" s="2098"/>
    </row>
    <row r="631" spans="3:52">
      <c r="C631" s="2096"/>
      <c r="D631" s="2097"/>
      <c r="E631" s="2098"/>
      <c r="F631" s="2098"/>
      <c r="G631" s="2098"/>
      <c r="H631" s="2098"/>
      <c r="I631" s="2098"/>
      <c r="J631" s="2098"/>
      <c r="K631" s="2098"/>
      <c r="L631" s="2098"/>
      <c r="M631" s="2098"/>
      <c r="N631" s="2098"/>
      <c r="O631" s="2098"/>
      <c r="P631" s="2098"/>
      <c r="Q631" s="2098"/>
      <c r="R631" s="2098"/>
      <c r="S631" s="2098"/>
      <c r="T631" s="2098"/>
      <c r="U631" s="2098"/>
      <c r="V631" s="2098"/>
      <c r="W631" s="2098"/>
      <c r="X631" s="2098"/>
      <c r="Y631" s="2098"/>
      <c r="Z631" s="2098"/>
      <c r="AA631" s="2098"/>
      <c r="AB631" s="2098"/>
      <c r="AC631" s="2098"/>
      <c r="AD631" s="2098"/>
      <c r="AE631" s="2098"/>
      <c r="AF631" s="2098"/>
      <c r="AG631" s="2098"/>
      <c r="AH631" s="2098"/>
      <c r="AI631" s="2098"/>
      <c r="AJ631" s="2098"/>
      <c r="AK631" s="2098"/>
      <c r="AL631" s="2098"/>
      <c r="AM631" s="2098"/>
      <c r="AN631" s="2098"/>
      <c r="AO631" s="2098"/>
      <c r="AP631" s="2098"/>
      <c r="AQ631" s="2098"/>
      <c r="AR631" s="2098"/>
      <c r="AS631" s="2098"/>
      <c r="AT631" s="2098"/>
      <c r="AU631" s="2098"/>
      <c r="AV631" s="2098"/>
      <c r="AW631" s="2098"/>
      <c r="AX631" s="2098"/>
      <c r="AY631" s="2098"/>
      <c r="AZ631" s="2098"/>
    </row>
    <row r="632" spans="3:52">
      <c r="C632" s="2096"/>
      <c r="D632" s="2097"/>
      <c r="E632" s="2098"/>
      <c r="F632" s="2098"/>
      <c r="G632" s="2098"/>
      <c r="H632" s="2098"/>
      <c r="I632" s="2098"/>
      <c r="J632" s="2098"/>
      <c r="K632" s="2098"/>
      <c r="L632" s="2098"/>
      <c r="M632" s="2098"/>
      <c r="N632" s="2098"/>
      <c r="O632" s="2098"/>
      <c r="P632" s="2098"/>
      <c r="Q632" s="2098"/>
      <c r="R632" s="2098"/>
      <c r="S632" s="2098"/>
      <c r="T632" s="2098"/>
      <c r="U632" s="2098"/>
      <c r="V632" s="2098"/>
      <c r="W632" s="2098"/>
      <c r="X632" s="2098"/>
      <c r="Y632" s="2098"/>
      <c r="Z632" s="2098"/>
      <c r="AA632" s="2098"/>
      <c r="AB632" s="2098"/>
      <c r="AC632" s="2098"/>
      <c r="AD632" s="2098"/>
      <c r="AE632" s="2098"/>
      <c r="AF632" s="2098"/>
      <c r="AG632" s="2098"/>
      <c r="AH632" s="2098"/>
      <c r="AI632" s="2098"/>
      <c r="AJ632" s="2098"/>
      <c r="AK632" s="2098"/>
      <c r="AL632" s="2098"/>
      <c r="AM632" s="2098"/>
      <c r="AN632" s="2098"/>
      <c r="AO632" s="2098"/>
      <c r="AP632" s="2098"/>
      <c r="AQ632" s="2098"/>
      <c r="AR632" s="2098"/>
      <c r="AS632" s="2098"/>
      <c r="AT632" s="2098"/>
      <c r="AU632" s="2098"/>
      <c r="AV632" s="2098"/>
      <c r="AW632" s="2098"/>
      <c r="AX632" s="2098"/>
      <c r="AY632" s="2098"/>
      <c r="AZ632" s="2098"/>
    </row>
    <row r="633" spans="3:52">
      <c r="C633" s="2096"/>
      <c r="D633" s="2097"/>
      <c r="E633" s="2098"/>
      <c r="F633" s="2098"/>
      <c r="G633" s="2098"/>
      <c r="H633" s="2098"/>
      <c r="I633" s="2098"/>
      <c r="J633" s="2098"/>
      <c r="K633" s="2098"/>
      <c r="L633" s="2098"/>
      <c r="M633" s="2098"/>
      <c r="N633" s="2098"/>
      <c r="O633" s="2098"/>
      <c r="P633" s="2098"/>
      <c r="Q633" s="2098"/>
      <c r="R633" s="2098"/>
      <c r="S633" s="2098"/>
      <c r="T633" s="2098"/>
      <c r="U633" s="2098"/>
      <c r="V633" s="2098"/>
      <c r="W633" s="2098"/>
      <c r="X633" s="2098"/>
      <c r="Y633" s="2098"/>
      <c r="Z633" s="2098"/>
      <c r="AA633" s="2098"/>
      <c r="AB633" s="2098"/>
      <c r="AC633" s="2098"/>
      <c r="AD633" s="2098"/>
      <c r="AE633" s="2098"/>
      <c r="AF633" s="2098"/>
      <c r="AG633" s="2098"/>
      <c r="AH633" s="2098"/>
      <c r="AI633" s="2098"/>
      <c r="AJ633" s="2098"/>
      <c r="AK633" s="2098"/>
      <c r="AL633" s="2098"/>
      <c r="AM633" s="2098"/>
      <c r="AN633" s="2098"/>
      <c r="AO633" s="2098"/>
      <c r="AP633" s="2098"/>
      <c r="AQ633" s="2098"/>
      <c r="AR633" s="2098"/>
      <c r="AS633" s="2098"/>
      <c r="AT633" s="2098"/>
      <c r="AU633" s="2098"/>
      <c r="AV633" s="2098"/>
      <c r="AW633" s="2098"/>
      <c r="AX633" s="2098"/>
      <c r="AY633" s="2098"/>
      <c r="AZ633" s="2098"/>
    </row>
    <row r="634" spans="3:52">
      <c r="C634" s="2096"/>
      <c r="D634" s="2097"/>
      <c r="E634" s="2098"/>
      <c r="F634" s="2098"/>
      <c r="G634" s="2098"/>
      <c r="H634" s="2098"/>
      <c r="I634" s="2098"/>
      <c r="J634" s="2098"/>
      <c r="K634" s="2098"/>
      <c r="L634" s="2098"/>
      <c r="M634" s="2098"/>
      <c r="N634" s="2098"/>
      <c r="O634" s="2098"/>
      <c r="P634" s="2098"/>
      <c r="Q634" s="2098"/>
      <c r="R634" s="2098"/>
      <c r="S634" s="2098"/>
      <c r="T634" s="2098"/>
      <c r="U634" s="2098"/>
      <c r="V634" s="2098"/>
      <c r="W634" s="2098"/>
      <c r="X634" s="2098"/>
      <c r="Y634" s="2098"/>
      <c r="Z634" s="2098"/>
      <c r="AA634" s="2098"/>
      <c r="AB634" s="2098"/>
      <c r="AC634" s="2098"/>
      <c r="AD634" s="2098"/>
      <c r="AE634" s="2098"/>
      <c r="AF634" s="2098"/>
      <c r="AG634" s="2098"/>
      <c r="AH634" s="2098"/>
      <c r="AI634" s="2098"/>
      <c r="AJ634" s="2098"/>
      <c r="AK634" s="2098"/>
      <c r="AL634" s="2098"/>
      <c r="AM634" s="2098"/>
      <c r="AN634" s="2098"/>
      <c r="AO634" s="2098"/>
      <c r="AP634" s="2098"/>
      <c r="AQ634" s="2098"/>
      <c r="AR634" s="2098"/>
      <c r="AS634" s="2098"/>
      <c r="AT634" s="2098"/>
      <c r="AU634" s="2098"/>
      <c r="AV634" s="2098"/>
      <c r="AW634" s="2098"/>
      <c r="AX634" s="2098"/>
      <c r="AY634" s="2098"/>
      <c r="AZ634" s="2098"/>
    </row>
    <row r="635" spans="3:52">
      <c r="C635" s="2096"/>
      <c r="D635" s="2097"/>
      <c r="E635" s="2098"/>
      <c r="F635" s="2098"/>
      <c r="G635" s="2098"/>
      <c r="H635" s="2098"/>
      <c r="I635" s="2098"/>
      <c r="J635" s="2098"/>
      <c r="K635" s="2098"/>
      <c r="L635" s="2098"/>
      <c r="M635" s="2098"/>
      <c r="N635" s="2098"/>
      <c r="O635" s="2098"/>
      <c r="P635" s="2098"/>
      <c r="Q635" s="2098"/>
      <c r="R635" s="2098"/>
      <c r="S635" s="2098"/>
      <c r="T635" s="2098"/>
      <c r="U635" s="2098"/>
      <c r="V635" s="2098"/>
      <c r="W635" s="2098"/>
      <c r="X635" s="2098"/>
      <c r="Y635" s="2098"/>
      <c r="Z635" s="2098"/>
      <c r="AA635" s="2098"/>
      <c r="AB635" s="2098"/>
      <c r="AC635" s="2098"/>
      <c r="AD635" s="2098"/>
      <c r="AE635" s="2098"/>
      <c r="AF635" s="2098"/>
      <c r="AG635" s="2098"/>
      <c r="AH635" s="2098"/>
      <c r="AI635" s="2098"/>
      <c r="AJ635" s="2098"/>
      <c r="AK635" s="2098"/>
      <c r="AL635" s="2098"/>
      <c r="AM635" s="2098"/>
      <c r="AN635" s="2098"/>
      <c r="AO635" s="2098"/>
      <c r="AP635" s="2098"/>
      <c r="AQ635" s="2098"/>
      <c r="AR635" s="2098"/>
      <c r="AS635" s="2098"/>
      <c r="AT635" s="2098"/>
      <c r="AU635" s="2098"/>
      <c r="AV635" s="2098"/>
      <c r="AW635" s="2098"/>
      <c r="AX635" s="2098"/>
      <c r="AY635" s="2098"/>
      <c r="AZ635" s="2098"/>
    </row>
    <row r="636" spans="3:52">
      <c r="C636" s="2096"/>
      <c r="D636" s="2097"/>
      <c r="E636" s="2098"/>
      <c r="F636" s="2098"/>
      <c r="G636" s="2098"/>
      <c r="H636" s="2098"/>
      <c r="I636" s="2098"/>
      <c r="J636" s="2098"/>
      <c r="K636" s="2098"/>
      <c r="L636" s="2098"/>
      <c r="M636" s="2098"/>
      <c r="N636" s="2098"/>
      <c r="O636" s="2098"/>
      <c r="P636" s="2098"/>
      <c r="Q636" s="2098"/>
      <c r="R636" s="2098"/>
      <c r="S636" s="2098"/>
      <c r="T636" s="2098"/>
      <c r="U636" s="2098"/>
      <c r="V636" s="2098"/>
      <c r="W636" s="2098"/>
      <c r="X636" s="2098"/>
      <c r="Y636" s="2098"/>
      <c r="Z636" s="2098"/>
      <c r="AA636" s="2098"/>
      <c r="AB636" s="2098"/>
      <c r="AC636" s="2098"/>
      <c r="AD636" s="2098"/>
      <c r="AE636" s="2098"/>
      <c r="AF636" s="2098"/>
      <c r="AG636" s="2098"/>
      <c r="AH636" s="2098"/>
      <c r="AI636" s="2098"/>
      <c r="AJ636" s="2098"/>
      <c r="AK636" s="2098"/>
      <c r="AL636" s="2098"/>
      <c r="AM636" s="2098"/>
      <c r="AN636" s="2098"/>
      <c r="AO636" s="2098"/>
      <c r="AP636" s="2098"/>
      <c r="AQ636" s="2098"/>
      <c r="AR636" s="2098"/>
      <c r="AS636" s="2098"/>
      <c r="AT636" s="2098"/>
      <c r="AU636" s="2098"/>
      <c r="AV636" s="2098"/>
      <c r="AW636" s="2098"/>
      <c r="AX636" s="2098"/>
      <c r="AY636" s="2098"/>
      <c r="AZ636" s="2098"/>
    </row>
    <row r="637" spans="3:52">
      <c r="C637" s="2096"/>
      <c r="D637" s="2097"/>
      <c r="E637" s="2098"/>
      <c r="F637" s="2098"/>
      <c r="G637" s="2098"/>
      <c r="H637" s="2098"/>
      <c r="I637" s="2098"/>
      <c r="J637" s="2098"/>
      <c r="K637" s="2098"/>
      <c r="L637" s="2098"/>
      <c r="M637" s="2098"/>
      <c r="N637" s="2098"/>
      <c r="O637" s="2098"/>
      <c r="P637" s="2098"/>
      <c r="Q637" s="2098"/>
      <c r="R637" s="2098"/>
      <c r="S637" s="2098"/>
      <c r="T637" s="2098"/>
      <c r="U637" s="2098"/>
      <c r="V637" s="2098"/>
      <c r="W637" s="2098"/>
      <c r="X637" s="2098"/>
      <c r="Y637" s="2098"/>
      <c r="Z637" s="2098"/>
      <c r="AA637" s="2098"/>
      <c r="AB637" s="2098"/>
      <c r="AC637" s="2098"/>
      <c r="AD637" s="2098"/>
      <c r="AE637" s="2098"/>
      <c r="AF637" s="2098"/>
      <c r="AG637" s="2098"/>
      <c r="AH637" s="2098"/>
      <c r="AI637" s="2098"/>
      <c r="AJ637" s="2098"/>
      <c r="AK637" s="2098"/>
      <c r="AL637" s="2098"/>
      <c r="AM637" s="2098"/>
      <c r="AN637" s="2098"/>
      <c r="AO637" s="2098"/>
      <c r="AP637" s="2098"/>
      <c r="AQ637" s="2098"/>
      <c r="AR637" s="2098"/>
      <c r="AS637" s="2098"/>
      <c r="AT637" s="2098"/>
      <c r="AU637" s="2098"/>
      <c r="AV637" s="2098"/>
      <c r="AW637" s="2098"/>
      <c r="AX637" s="2098"/>
      <c r="AY637" s="2098"/>
      <c r="AZ637" s="2098"/>
    </row>
    <row r="638" spans="3:52">
      <c r="C638" s="2096"/>
      <c r="D638" s="2097"/>
      <c r="E638" s="2098"/>
      <c r="F638" s="2098"/>
      <c r="G638" s="2098"/>
      <c r="H638" s="2098"/>
      <c r="I638" s="2098"/>
      <c r="J638" s="2098"/>
      <c r="K638" s="2098"/>
      <c r="L638" s="2098"/>
      <c r="M638" s="2098"/>
      <c r="N638" s="2098"/>
      <c r="O638" s="2098"/>
      <c r="P638" s="2098"/>
      <c r="Q638" s="2098"/>
      <c r="R638" s="2098"/>
      <c r="S638" s="2098"/>
      <c r="T638" s="2098"/>
      <c r="U638" s="2098"/>
      <c r="V638" s="2098"/>
      <c r="W638" s="2098"/>
      <c r="X638" s="2098"/>
      <c r="Y638" s="2098"/>
      <c r="Z638" s="2098"/>
      <c r="AA638" s="2098"/>
      <c r="AB638" s="2098"/>
      <c r="AC638" s="2098"/>
      <c r="AD638" s="2098"/>
      <c r="AE638" s="2098"/>
      <c r="AF638" s="2098"/>
      <c r="AG638" s="2098"/>
      <c r="AH638" s="2098"/>
      <c r="AI638" s="2098"/>
      <c r="AJ638" s="2098"/>
      <c r="AK638" s="2098"/>
      <c r="AL638" s="2098"/>
      <c r="AM638" s="2098"/>
      <c r="AN638" s="2098"/>
      <c r="AO638" s="2098"/>
      <c r="AP638" s="2098"/>
      <c r="AQ638" s="2098"/>
      <c r="AR638" s="2098"/>
      <c r="AS638" s="2098"/>
      <c r="AT638" s="2098"/>
      <c r="AU638" s="2098"/>
      <c r="AV638" s="2098"/>
      <c r="AW638" s="2098"/>
      <c r="AX638" s="2098"/>
      <c r="AY638" s="2098"/>
      <c r="AZ638" s="2098"/>
    </row>
    <row r="639" spans="3:52">
      <c r="C639" s="2096"/>
      <c r="D639" s="2097"/>
      <c r="E639" s="2098"/>
      <c r="F639" s="2098"/>
      <c r="G639" s="2098"/>
      <c r="H639" s="2098"/>
      <c r="I639" s="2098"/>
      <c r="J639" s="2098"/>
      <c r="K639" s="2098"/>
      <c r="L639" s="2098"/>
      <c r="M639" s="2098"/>
      <c r="N639" s="2098"/>
      <c r="O639" s="2098"/>
      <c r="P639" s="2098"/>
      <c r="Q639" s="2098"/>
      <c r="R639" s="2098"/>
      <c r="S639" s="2098"/>
      <c r="T639" s="2098"/>
      <c r="U639" s="2098"/>
      <c r="V639" s="2098"/>
      <c r="W639" s="2098"/>
      <c r="X639" s="2098"/>
      <c r="Y639" s="2098"/>
      <c r="Z639" s="2098"/>
      <c r="AA639" s="2098"/>
      <c r="AB639" s="2098"/>
      <c r="AC639" s="2098"/>
      <c r="AD639" s="2098"/>
      <c r="AE639" s="2098"/>
      <c r="AF639" s="2098"/>
      <c r="AG639" s="2098"/>
      <c r="AH639" s="2098"/>
      <c r="AI639" s="2098"/>
      <c r="AJ639" s="2098"/>
      <c r="AK639" s="2098"/>
      <c r="AL639" s="2098"/>
      <c r="AM639" s="2098"/>
      <c r="AN639" s="2098"/>
      <c r="AO639" s="2098"/>
      <c r="AP639" s="2098"/>
      <c r="AQ639" s="2098"/>
      <c r="AR639" s="2098"/>
      <c r="AS639" s="2098"/>
      <c r="AT639" s="2098"/>
      <c r="AU639" s="2098"/>
      <c r="AV639" s="2098"/>
      <c r="AW639" s="2098"/>
      <c r="AX639" s="2098"/>
      <c r="AY639" s="2098"/>
      <c r="AZ639" s="2098"/>
    </row>
    <row r="640" spans="3:52">
      <c r="C640" s="2096"/>
      <c r="D640" s="2097"/>
      <c r="E640" s="2098"/>
      <c r="F640" s="2098"/>
      <c r="G640" s="2098"/>
      <c r="H640" s="2098"/>
      <c r="I640" s="2098"/>
      <c r="J640" s="2098"/>
      <c r="K640" s="2098"/>
      <c r="L640" s="2098"/>
      <c r="M640" s="2098"/>
      <c r="N640" s="2098"/>
      <c r="O640" s="2098"/>
      <c r="P640" s="2098"/>
      <c r="Q640" s="2098"/>
      <c r="R640" s="2098"/>
      <c r="S640" s="2098"/>
      <c r="T640" s="2098"/>
      <c r="U640" s="2098"/>
      <c r="V640" s="2098"/>
      <c r="W640" s="2098"/>
      <c r="X640" s="2098"/>
      <c r="Y640" s="2098"/>
      <c r="Z640" s="2098"/>
      <c r="AA640" s="2098"/>
      <c r="AB640" s="2098"/>
      <c r="AC640" s="2098"/>
      <c r="AD640" s="2098"/>
      <c r="AE640" s="2098"/>
      <c r="AF640" s="2098"/>
      <c r="AG640" s="2098"/>
      <c r="AH640" s="2098"/>
      <c r="AI640" s="2098"/>
      <c r="AJ640" s="2098"/>
      <c r="AK640" s="2098"/>
      <c r="AL640" s="2098"/>
      <c r="AM640" s="2098"/>
      <c r="AN640" s="2098"/>
      <c r="AO640" s="2098"/>
      <c r="AP640" s="2098"/>
      <c r="AQ640" s="2098"/>
      <c r="AR640" s="2098"/>
      <c r="AS640" s="2098"/>
      <c r="AT640" s="2098"/>
      <c r="AU640" s="2098"/>
      <c r="AV640" s="2098"/>
      <c r="AW640" s="2098"/>
      <c r="AX640" s="2098"/>
      <c r="AY640" s="2098"/>
      <c r="AZ640" s="2098"/>
    </row>
    <row r="641" spans="3:52">
      <c r="C641" s="2096"/>
      <c r="D641" s="2097"/>
      <c r="E641" s="2098"/>
      <c r="F641" s="2098"/>
      <c r="G641" s="2098"/>
      <c r="H641" s="2098"/>
      <c r="I641" s="2098"/>
      <c r="J641" s="2098"/>
      <c r="K641" s="2098"/>
      <c r="L641" s="2098"/>
      <c r="M641" s="2098"/>
      <c r="N641" s="2098"/>
      <c r="O641" s="2098"/>
      <c r="P641" s="2098"/>
      <c r="Q641" s="2098"/>
      <c r="R641" s="2098"/>
      <c r="S641" s="2098"/>
      <c r="T641" s="2098"/>
      <c r="U641" s="2098"/>
      <c r="V641" s="2098"/>
      <c r="W641" s="2098"/>
      <c r="X641" s="2098"/>
      <c r="Y641" s="2098"/>
      <c r="Z641" s="2098"/>
      <c r="AA641" s="2098"/>
      <c r="AB641" s="2098"/>
      <c r="AC641" s="2098"/>
      <c r="AD641" s="2098"/>
      <c r="AE641" s="2098"/>
      <c r="AF641" s="2098"/>
      <c r="AG641" s="2098"/>
      <c r="AH641" s="2098"/>
      <c r="AI641" s="2098"/>
      <c r="AJ641" s="2098"/>
      <c r="AK641" s="2098"/>
      <c r="AL641" s="2098"/>
      <c r="AM641" s="2098"/>
      <c r="AN641" s="2098"/>
      <c r="AO641" s="2098"/>
      <c r="AP641" s="2098"/>
      <c r="AQ641" s="2098"/>
      <c r="AR641" s="2098"/>
      <c r="AS641" s="2098"/>
      <c r="AT641" s="2098"/>
      <c r="AU641" s="2098"/>
      <c r="AV641" s="2098"/>
      <c r="AW641" s="2098"/>
      <c r="AX641" s="2098"/>
      <c r="AY641" s="2098"/>
      <c r="AZ641" s="2098"/>
    </row>
    <row r="642" spans="3:52">
      <c r="C642" s="2096"/>
      <c r="D642" s="2097"/>
      <c r="E642" s="2098"/>
      <c r="F642" s="2098"/>
      <c r="G642" s="2098"/>
      <c r="H642" s="2098"/>
      <c r="I642" s="2098"/>
      <c r="J642" s="2098"/>
      <c r="K642" s="2098"/>
      <c r="L642" s="2098"/>
      <c r="M642" s="2098"/>
      <c r="N642" s="2098"/>
      <c r="O642" s="2098"/>
      <c r="P642" s="2098"/>
      <c r="Q642" s="2098"/>
      <c r="R642" s="2098"/>
      <c r="S642" s="2098"/>
      <c r="T642" s="2098"/>
      <c r="U642" s="2098"/>
      <c r="V642" s="2098"/>
      <c r="W642" s="2098"/>
      <c r="X642" s="2098"/>
      <c r="Y642" s="2098"/>
      <c r="Z642" s="2098"/>
      <c r="AA642" s="2098"/>
      <c r="AB642" s="2098"/>
      <c r="AC642" s="2098"/>
      <c r="AD642" s="2098"/>
      <c r="AE642" s="2098"/>
      <c r="AF642" s="2098"/>
      <c r="AG642" s="2098"/>
      <c r="AH642" s="2098"/>
      <c r="AI642" s="2098"/>
      <c r="AJ642" s="2098"/>
      <c r="AK642" s="2098"/>
      <c r="AL642" s="2098"/>
      <c r="AM642" s="2098"/>
      <c r="AN642" s="2098"/>
      <c r="AO642" s="2098"/>
      <c r="AP642" s="2098"/>
      <c r="AQ642" s="2098"/>
      <c r="AR642" s="2098"/>
      <c r="AS642" s="2098"/>
      <c r="AT642" s="2098"/>
      <c r="AU642" s="2098"/>
      <c r="AV642" s="2098"/>
      <c r="AW642" s="2098"/>
      <c r="AX642" s="2098"/>
      <c r="AY642" s="2098"/>
      <c r="AZ642" s="2098"/>
    </row>
    <row r="643" spans="3:52">
      <c r="C643" s="2096"/>
      <c r="D643" s="2097"/>
      <c r="E643" s="2098"/>
      <c r="F643" s="2098"/>
      <c r="G643" s="2098"/>
      <c r="H643" s="2098"/>
      <c r="I643" s="2098"/>
      <c r="J643" s="2098"/>
      <c r="K643" s="2098"/>
      <c r="L643" s="2098"/>
      <c r="M643" s="2098"/>
      <c r="N643" s="2098"/>
      <c r="O643" s="2098"/>
      <c r="P643" s="2098"/>
      <c r="Q643" s="2098"/>
      <c r="R643" s="2098"/>
      <c r="S643" s="2098"/>
      <c r="T643" s="2098"/>
      <c r="U643" s="2098"/>
      <c r="V643" s="2098"/>
      <c r="W643" s="2098"/>
      <c r="X643" s="2098"/>
      <c r="Y643" s="2098"/>
      <c r="Z643" s="2098"/>
      <c r="AA643" s="2098"/>
      <c r="AB643" s="2098"/>
      <c r="AC643" s="2098"/>
      <c r="AD643" s="2098"/>
      <c r="AE643" s="2098"/>
      <c r="AF643" s="2098"/>
      <c r="AG643" s="2098"/>
      <c r="AH643" s="2098"/>
      <c r="AI643" s="2098"/>
      <c r="AJ643" s="2098"/>
      <c r="AK643" s="2098"/>
      <c r="AL643" s="2098"/>
      <c r="AM643" s="2098"/>
      <c r="AN643" s="2098"/>
      <c r="AO643" s="2098"/>
      <c r="AP643" s="2098"/>
      <c r="AQ643" s="2098"/>
      <c r="AR643" s="2098"/>
      <c r="AS643" s="2098"/>
      <c r="AT643" s="2098"/>
      <c r="AU643" s="2098"/>
      <c r="AV643" s="2098"/>
      <c r="AW643" s="2098"/>
      <c r="AX643" s="2098"/>
      <c r="AY643" s="2098"/>
      <c r="AZ643" s="2098"/>
    </row>
    <row r="644" spans="3:52">
      <c r="C644" s="2096"/>
      <c r="D644" s="2097"/>
      <c r="E644" s="2098"/>
      <c r="F644" s="2098"/>
      <c r="G644" s="2098"/>
      <c r="H644" s="2098"/>
      <c r="I644" s="2098"/>
      <c r="J644" s="2098"/>
      <c r="K644" s="2098"/>
      <c r="L644" s="2098"/>
      <c r="M644" s="2098"/>
      <c r="N644" s="2098"/>
      <c r="O644" s="2098"/>
      <c r="P644" s="2098"/>
      <c r="Q644" s="2098"/>
      <c r="R644" s="2098"/>
      <c r="S644" s="2098"/>
      <c r="T644" s="2098"/>
      <c r="U644" s="2098"/>
      <c r="V644" s="2098"/>
      <c r="W644" s="2098"/>
      <c r="X644" s="2098"/>
      <c r="Y644" s="2098"/>
      <c r="Z644" s="2098"/>
      <c r="AA644" s="2098"/>
      <c r="AB644" s="2098"/>
      <c r="AC644" s="2098"/>
      <c r="AD644" s="2098"/>
      <c r="AE644" s="2098"/>
      <c r="AF644" s="2098"/>
      <c r="AG644" s="2098"/>
      <c r="AH644" s="2098"/>
      <c r="AI644" s="2098"/>
      <c r="AJ644" s="2098"/>
      <c r="AK644" s="2098"/>
      <c r="AL644" s="2098"/>
      <c r="AM644" s="2098"/>
      <c r="AN644" s="2098"/>
      <c r="AO644" s="2098"/>
      <c r="AP644" s="2098"/>
      <c r="AQ644" s="2098"/>
      <c r="AR644" s="2098"/>
      <c r="AS644" s="2098"/>
      <c r="AT644" s="2098"/>
      <c r="AU644" s="2098"/>
      <c r="AV644" s="2098"/>
      <c r="AW644" s="2098"/>
      <c r="AX644" s="2098"/>
      <c r="AY644" s="2098"/>
      <c r="AZ644" s="2098"/>
    </row>
    <row r="645" spans="3:52">
      <c r="C645" s="2096"/>
      <c r="D645" s="2097"/>
      <c r="E645" s="2098"/>
      <c r="F645" s="2098"/>
      <c r="G645" s="2098"/>
      <c r="H645" s="2098"/>
      <c r="I645" s="2098"/>
      <c r="J645" s="2098"/>
      <c r="K645" s="2098"/>
      <c r="L645" s="2098"/>
      <c r="M645" s="2098"/>
      <c r="N645" s="2098"/>
      <c r="O645" s="2098"/>
      <c r="P645" s="2098"/>
      <c r="Q645" s="2098"/>
      <c r="R645" s="2098"/>
      <c r="S645" s="2098"/>
      <c r="T645" s="2098"/>
      <c r="U645" s="2098"/>
      <c r="V645" s="2098"/>
      <c r="W645" s="2098"/>
      <c r="X645" s="2098"/>
      <c r="Y645" s="2098"/>
      <c r="Z645" s="2098"/>
      <c r="AA645" s="2098"/>
      <c r="AB645" s="2098"/>
      <c r="AC645" s="2098"/>
      <c r="AD645" s="2098"/>
      <c r="AE645" s="2098"/>
      <c r="AF645" s="2098"/>
      <c r="AG645" s="2098"/>
      <c r="AH645" s="2098"/>
      <c r="AI645" s="2098"/>
      <c r="AJ645" s="2098"/>
      <c r="AK645" s="2098"/>
      <c r="AL645" s="2098"/>
      <c r="AM645" s="2098"/>
      <c r="AN645" s="2098"/>
      <c r="AO645" s="2098"/>
      <c r="AP645" s="2098"/>
      <c r="AQ645" s="2098"/>
      <c r="AR645" s="2098"/>
      <c r="AS645" s="2098"/>
      <c r="AT645" s="2098"/>
      <c r="AU645" s="2098"/>
      <c r="AV645" s="2098"/>
      <c r="AW645" s="2098"/>
      <c r="AX645" s="2098"/>
      <c r="AY645" s="2098"/>
      <c r="AZ645" s="2098"/>
    </row>
    <row r="646" spans="3:52">
      <c r="C646" s="2096"/>
      <c r="D646" s="2097"/>
      <c r="E646" s="2098"/>
      <c r="F646" s="2098"/>
      <c r="G646" s="2098"/>
      <c r="H646" s="2098"/>
      <c r="I646" s="2098"/>
      <c r="J646" s="2098"/>
      <c r="K646" s="2098"/>
      <c r="L646" s="2098"/>
      <c r="M646" s="2098"/>
      <c r="N646" s="2098"/>
      <c r="O646" s="2098"/>
      <c r="P646" s="2098"/>
      <c r="Q646" s="2098"/>
      <c r="R646" s="2098"/>
      <c r="S646" s="2098"/>
      <c r="T646" s="2098"/>
      <c r="U646" s="2098"/>
      <c r="V646" s="2098"/>
      <c r="W646" s="2098"/>
      <c r="X646" s="2098"/>
      <c r="Y646" s="2098"/>
      <c r="Z646" s="2098"/>
      <c r="AA646" s="2098"/>
      <c r="AB646" s="2098"/>
      <c r="AC646" s="2098"/>
      <c r="AD646" s="2098"/>
      <c r="AE646" s="2098"/>
      <c r="AF646" s="2098"/>
      <c r="AG646" s="2098"/>
      <c r="AH646" s="2098"/>
      <c r="AI646" s="2098"/>
      <c r="AJ646" s="2098"/>
      <c r="AK646" s="2098"/>
      <c r="AL646" s="2098"/>
      <c r="AM646" s="2098"/>
      <c r="AN646" s="2098"/>
      <c r="AO646" s="2098"/>
      <c r="AP646" s="2098"/>
      <c r="AQ646" s="2098"/>
      <c r="AR646" s="2098"/>
      <c r="AS646" s="2098"/>
      <c r="AT646" s="2098"/>
      <c r="AU646" s="2098"/>
      <c r="AV646" s="2098"/>
      <c r="AW646" s="2098"/>
      <c r="AX646" s="2098"/>
      <c r="AY646" s="2098"/>
      <c r="AZ646" s="2098"/>
    </row>
    <row r="647" spans="3:52">
      <c r="C647" s="2096"/>
      <c r="D647" s="2097"/>
      <c r="E647" s="2098"/>
      <c r="F647" s="2098"/>
      <c r="G647" s="2098"/>
      <c r="H647" s="2098"/>
      <c r="I647" s="2098"/>
      <c r="J647" s="2098"/>
      <c r="K647" s="2098"/>
      <c r="L647" s="2098"/>
      <c r="M647" s="2098"/>
      <c r="N647" s="2098"/>
      <c r="O647" s="2098"/>
      <c r="P647" s="2098"/>
      <c r="Q647" s="2098"/>
      <c r="R647" s="2098"/>
      <c r="S647" s="2098"/>
      <c r="T647" s="2098"/>
      <c r="U647" s="2098"/>
      <c r="V647" s="2098"/>
      <c r="W647" s="2098"/>
      <c r="X647" s="2098"/>
      <c r="Y647" s="2098"/>
      <c r="Z647" s="2098"/>
      <c r="AA647" s="2098"/>
      <c r="AB647" s="2098"/>
      <c r="AC647" s="2098"/>
      <c r="AD647" s="2098"/>
      <c r="AE647" s="2098"/>
      <c r="AF647" s="2098"/>
      <c r="AG647" s="2098"/>
      <c r="AH647" s="2098"/>
      <c r="AI647" s="2098"/>
      <c r="AJ647" s="2098"/>
      <c r="AK647" s="2098"/>
      <c r="AL647" s="2098"/>
      <c r="AM647" s="2098"/>
      <c r="AN647" s="2098"/>
      <c r="AO647" s="2098"/>
      <c r="AP647" s="2098"/>
      <c r="AQ647" s="2098"/>
      <c r="AR647" s="2098"/>
      <c r="AS647" s="2098"/>
      <c r="AT647" s="2098"/>
      <c r="AU647" s="2098"/>
      <c r="AV647" s="2098"/>
      <c r="AW647" s="2098"/>
      <c r="AX647" s="2098"/>
      <c r="AY647" s="2098"/>
      <c r="AZ647" s="2098"/>
    </row>
    <row r="648" spans="3:52">
      <c r="C648" s="2096"/>
      <c r="D648" s="2097"/>
      <c r="E648" s="2098"/>
      <c r="F648" s="2098"/>
      <c r="G648" s="2098"/>
      <c r="H648" s="2098"/>
      <c r="I648" s="2098"/>
      <c r="J648" s="2098"/>
      <c r="K648" s="2098"/>
      <c r="L648" s="2098"/>
      <c r="M648" s="2098"/>
      <c r="N648" s="2098"/>
      <c r="O648" s="2098"/>
      <c r="P648" s="2098"/>
      <c r="Q648" s="2098"/>
      <c r="R648" s="2098"/>
      <c r="S648" s="2098"/>
      <c r="T648" s="2098"/>
      <c r="U648" s="2098"/>
      <c r="V648" s="2098"/>
      <c r="W648" s="2098"/>
      <c r="X648" s="2098"/>
      <c r="Y648" s="2098"/>
      <c r="Z648" s="2098"/>
      <c r="AA648" s="2098"/>
      <c r="AB648" s="2098"/>
      <c r="AC648" s="2098"/>
      <c r="AD648" s="2098"/>
      <c r="AE648" s="2098"/>
      <c r="AF648" s="2098"/>
      <c r="AG648" s="2098"/>
      <c r="AH648" s="2098"/>
      <c r="AI648" s="2098"/>
      <c r="AJ648" s="2098"/>
      <c r="AK648" s="2098"/>
      <c r="AL648" s="2098"/>
      <c r="AM648" s="2098"/>
      <c r="AN648" s="2098"/>
      <c r="AO648" s="2098"/>
      <c r="AP648" s="2098"/>
      <c r="AQ648" s="2098"/>
      <c r="AR648" s="2098"/>
      <c r="AS648" s="2098"/>
      <c r="AT648" s="2098"/>
      <c r="AU648" s="2098"/>
      <c r="AV648" s="2098"/>
      <c r="AW648" s="2098"/>
      <c r="AX648" s="2098"/>
      <c r="AY648" s="2098"/>
      <c r="AZ648" s="2098"/>
    </row>
    <row r="649" spans="3:52">
      <c r="C649" s="2096"/>
      <c r="D649" s="2097"/>
      <c r="E649" s="2098"/>
      <c r="F649" s="2098"/>
      <c r="G649" s="2098"/>
      <c r="H649" s="2098"/>
      <c r="I649" s="2098"/>
      <c r="J649" s="2098"/>
      <c r="K649" s="2098"/>
      <c r="L649" s="2098"/>
      <c r="M649" s="2098"/>
      <c r="N649" s="2098"/>
      <c r="O649" s="2098"/>
      <c r="P649" s="2098"/>
      <c r="Q649" s="2098"/>
      <c r="R649" s="2098"/>
      <c r="S649" s="2098"/>
      <c r="T649" s="2098"/>
      <c r="U649" s="2098"/>
      <c r="V649" s="2098"/>
      <c r="W649" s="2098"/>
      <c r="X649" s="2098"/>
      <c r="Y649" s="2098"/>
      <c r="Z649" s="2098"/>
      <c r="AA649" s="2098"/>
      <c r="AB649" s="2098"/>
      <c r="AC649" s="2098"/>
      <c r="AD649" s="2098"/>
      <c r="AE649" s="2098"/>
      <c r="AF649" s="2098"/>
      <c r="AG649" s="2098"/>
      <c r="AH649" s="2098"/>
      <c r="AI649" s="2098"/>
      <c r="AJ649" s="2098"/>
      <c r="AK649" s="2098"/>
      <c r="AL649" s="2098"/>
      <c r="AM649" s="2098"/>
      <c r="AN649" s="2098"/>
      <c r="AO649" s="2098"/>
      <c r="AP649" s="2098"/>
      <c r="AQ649" s="2098"/>
      <c r="AR649" s="2098"/>
      <c r="AS649" s="2098"/>
      <c r="AT649" s="2098"/>
      <c r="AU649" s="2098"/>
      <c r="AV649" s="2098"/>
      <c r="AW649" s="2098"/>
      <c r="AX649" s="2098"/>
      <c r="AY649" s="2098"/>
      <c r="AZ649" s="2098"/>
    </row>
    <row r="650" spans="3:52">
      <c r="C650" s="2096"/>
      <c r="D650" s="2097"/>
      <c r="E650" s="2098"/>
      <c r="F650" s="2098"/>
      <c r="G650" s="2098"/>
      <c r="H650" s="2098"/>
      <c r="I650" s="2098"/>
      <c r="J650" s="2098"/>
      <c r="K650" s="2098"/>
      <c r="L650" s="2098"/>
      <c r="M650" s="2098"/>
      <c r="N650" s="2098"/>
      <c r="O650" s="2098"/>
      <c r="P650" s="2098"/>
      <c r="Q650" s="2098"/>
      <c r="R650" s="2098"/>
      <c r="S650" s="2098"/>
      <c r="T650" s="2098"/>
      <c r="U650" s="2098"/>
      <c r="V650" s="2098"/>
      <c r="W650" s="2098"/>
      <c r="X650" s="2098"/>
      <c r="Y650" s="2098"/>
      <c r="Z650" s="2098"/>
      <c r="AA650" s="2098"/>
      <c r="AB650" s="2098"/>
      <c r="AC650" s="2098"/>
      <c r="AD650" s="2098"/>
      <c r="AE650" s="2098"/>
      <c r="AF650" s="2098"/>
      <c r="AG650" s="2098"/>
      <c r="AH650" s="2098"/>
      <c r="AI650" s="2098"/>
      <c r="AJ650" s="2098"/>
      <c r="AK650" s="2098"/>
      <c r="AL650" s="2098"/>
      <c r="AM650" s="2098"/>
      <c r="AN650" s="2098"/>
      <c r="AO650" s="2098"/>
      <c r="AP650" s="2098"/>
      <c r="AQ650" s="2098"/>
      <c r="AR650" s="2098"/>
      <c r="AS650" s="2098"/>
      <c r="AT650" s="2098"/>
      <c r="AU650" s="2098"/>
      <c r="AV650" s="2098"/>
      <c r="AW650" s="2098"/>
      <c r="AX650" s="2098"/>
      <c r="AY650" s="2098"/>
      <c r="AZ650" s="2098"/>
    </row>
    <row r="651" spans="3:52">
      <c r="C651" s="2096"/>
      <c r="D651" s="2097"/>
      <c r="E651" s="2098"/>
      <c r="F651" s="2098"/>
      <c r="G651" s="2098"/>
      <c r="H651" s="2098"/>
      <c r="I651" s="2098"/>
      <c r="J651" s="2098"/>
      <c r="K651" s="2098"/>
      <c r="L651" s="2098"/>
      <c r="M651" s="2098"/>
      <c r="N651" s="2098"/>
      <c r="O651" s="2098"/>
      <c r="P651" s="2098"/>
      <c r="Q651" s="2098"/>
      <c r="R651" s="2098"/>
      <c r="S651" s="2098"/>
      <c r="T651" s="2098"/>
      <c r="U651" s="2098"/>
      <c r="V651" s="2098"/>
      <c r="W651" s="2098"/>
      <c r="X651" s="2098"/>
      <c r="Y651" s="2098"/>
      <c r="Z651" s="2098"/>
      <c r="AA651" s="2098"/>
      <c r="AB651" s="2098"/>
      <c r="AC651" s="2098"/>
      <c r="AD651" s="2098"/>
      <c r="AE651" s="2098"/>
      <c r="AF651" s="2098"/>
      <c r="AG651" s="2098"/>
      <c r="AH651" s="2098"/>
      <c r="AI651" s="2098"/>
      <c r="AJ651" s="2098"/>
      <c r="AK651" s="2098"/>
      <c r="AL651" s="2098"/>
      <c r="AM651" s="2098"/>
      <c r="AN651" s="2098"/>
      <c r="AO651" s="2098"/>
      <c r="AP651" s="2098"/>
      <c r="AQ651" s="2098"/>
      <c r="AR651" s="2098"/>
      <c r="AS651" s="2098"/>
      <c r="AT651" s="2098"/>
      <c r="AU651" s="2098"/>
      <c r="AV651" s="2098"/>
      <c r="AW651" s="2098"/>
      <c r="AX651" s="2098"/>
      <c r="AY651" s="2098"/>
      <c r="AZ651" s="2098"/>
    </row>
    <row r="652" spans="3:52">
      <c r="C652" s="2096"/>
      <c r="D652" s="2097"/>
      <c r="E652" s="2098"/>
      <c r="F652" s="2098"/>
      <c r="G652" s="2098"/>
      <c r="H652" s="2098"/>
      <c r="I652" s="2098"/>
      <c r="J652" s="2098"/>
      <c r="K652" s="2098"/>
      <c r="L652" s="2098"/>
      <c r="M652" s="2098"/>
      <c r="N652" s="2098"/>
      <c r="O652" s="2098"/>
      <c r="P652" s="2098"/>
      <c r="Q652" s="2098"/>
      <c r="R652" s="2098"/>
      <c r="S652" s="2098"/>
      <c r="T652" s="2098"/>
      <c r="U652" s="2098"/>
      <c r="V652" s="2098"/>
      <c r="W652" s="2098"/>
      <c r="X652" s="2098"/>
      <c r="Y652" s="2098"/>
      <c r="Z652" s="2098"/>
      <c r="AA652" s="2098"/>
      <c r="AB652" s="2098"/>
      <c r="AC652" s="2098"/>
      <c r="AD652" s="2098"/>
      <c r="AE652" s="2098"/>
      <c r="AF652" s="2098"/>
      <c r="AG652" s="2098"/>
      <c r="AH652" s="2098"/>
      <c r="AI652" s="2098"/>
      <c r="AJ652" s="2098"/>
      <c r="AK652" s="2098"/>
      <c r="AL652" s="2098"/>
      <c r="AM652" s="2098"/>
      <c r="AN652" s="2098"/>
      <c r="AO652" s="2098"/>
      <c r="AP652" s="2098"/>
      <c r="AQ652" s="2098"/>
      <c r="AR652" s="2098"/>
      <c r="AS652" s="2098"/>
      <c r="AT652" s="2098"/>
      <c r="AU652" s="2098"/>
      <c r="AV652" s="2098"/>
      <c r="AW652" s="2098"/>
      <c r="AX652" s="2098"/>
      <c r="AY652" s="2098"/>
      <c r="AZ652" s="2098"/>
    </row>
    <row r="653" spans="3:52">
      <c r="C653" s="2096"/>
      <c r="D653" s="2097"/>
      <c r="E653" s="2098"/>
      <c r="F653" s="2098"/>
      <c r="G653" s="2098"/>
      <c r="H653" s="2098"/>
      <c r="I653" s="2098"/>
      <c r="J653" s="2098"/>
      <c r="K653" s="2098"/>
      <c r="L653" s="2098"/>
      <c r="M653" s="2098"/>
      <c r="N653" s="2098"/>
      <c r="O653" s="2098"/>
      <c r="P653" s="2098"/>
      <c r="Q653" s="2098"/>
      <c r="R653" s="2098"/>
      <c r="S653" s="2098"/>
      <c r="T653" s="2098"/>
      <c r="U653" s="2098"/>
      <c r="V653" s="2098"/>
      <c r="W653" s="2098"/>
      <c r="X653" s="2098"/>
      <c r="Y653" s="2098"/>
      <c r="Z653" s="2098"/>
      <c r="AA653" s="2098"/>
      <c r="AB653" s="2098"/>
      <c r="AC653" s="2098"/>
      <c r="AD653" s="2098"/>
      <c r="AE653" s="2098"/>
      <c r="AF653" s="2098"/>
      <c r="AG653" s="2098"/>
      <c r="AH653" s="2098"/>
      <c r="AI653" s="2098"/>
      <c r="AJ653" s="2098"/>
      <c r="AK653" s="2098"/>
      <c r="AL653" s="2098"/>
      <c r="AM653" s="2098"/>
      <c r="AN653" s="2098"/>
      <c r="AO653" s="2098"/>
      <c r="AP653" s="2098"/>
      <c r="AQ653" s="2098"/>
      <c r="AR653" s="2098"/>
      <c r="AS653" s="2098"/>
      <c r="AT653" s="2098"/>
      <c r="AU653" s="2098"/>
      <c r="AV653" s="2098"/>
      <c r="AW653" s="2098"/>
      <c r="AX653" s="2098"/>
      <c r="AY653" s="2098"/>
      <c r="AZ653" s="2098"/>
    </row>
    <row r="654" spans="3:52">
      <c r="C654" s="2096"/>
      <c r="D654" s="2097"/>
      <c r="E654" s="2098"/>
      <c r="F654" s="2098"/>
      <c r="G654" s="2098"/>
      <c r="H654" s="2098"/>
      <c r="I654" s="2098"/>
      <c r="J654" s="2098"/>
      <c r="K654" s="2098"/>
      <c r="L654" s="2098"/>
      <c r="M654" s="2098"/>
      <c r="N654" s="2098"/>
      <c r="O654" s="2098"/>
      <c r="P654" s="2098"/>
      <c r="Q654" s="2098"/>
      <c r="R654" s="2098"/>
      <c r="S654" s="2098"/>
      <c r="T654" s="2098"/>
      <c r="U654" s="2098"/>
      <c r="V654" s="2098"/>
      <c r="W654" s="2098"/>
      <c r="X654" s="2098"/>
      <c r="Y654" s="2098"/>
      <c r="Z654" s="2098"/>
      <c r="AA654" s="2098"/>
      <c r="AB654" s="2098"/>
      <c r="AC654" s="2098"/>
      <c r="AD654" s="2098"/>
      <c r="AE654" s="2098"/>
      <c r="AF654" s="2098"/>
      <c r="AG654" s="2098"/>
      <c r="AH654" s="2098"/>
      <c r="AI654" s="2098"/>
      <c r="AJ654" s="2098"/>
      <c r="AK654" s="2098"/>
      <c r="AL654" s="2098"/>
      <c r="AM654" s="2098"/>
      <c r="AN654" s="2098"/>
      <c r="AO654" s="2098"/>
      <c r="AP654" s="2098"/>
      <c r="AQ654" s="2098"/>
      <c r="AR654" s="2098"/>
      <c r="AS654" s="2098"/>
      <c r="AT654" s="2098"/>
      <c r="AU654" s="2098"/>
      <c r="AV654" s="2098"/>
      <c r="AW654" s="2098"/>
      <c r="AX654" s="2098"/>
      <c r="AY654" s="2098"/>
      <c r="AZ654" s="2098"/>
    </row>
    <row r="655" spans="3:52">
      <c r="C655" s="2096"/>
      <c r="D655" s="2097"/>
      <c r="E655" s="2098"/>
      <c r="F655" s="2098"/>
      <c r="G655" s="2098"/>
      <c r="H655" s="2098"/>
      <c r="I655" s="2098"/>
      <c r="J655" s="2098"/>
      <c r="K655" s="2098"/>
      <c r="L655" s="2098"/>
      <c r="M655" s="2098"/>
      <c r="N655" s="2098"/>
      <c r="O655" s="2098"/>
      <c r="P655" s="2098"/>
      <c r="Q655" s="2098"/>
      <c r="R655" s="2098"/>
      <c r="S655" s="2098"/>
      <c r="T655" s="2098"/>
      <c r="U655" s="2098"/>
      <c r="V655" s="2098"/>
      <c r="W655" s="2098"/>
      <c r="X655" s="2098"/>
      <c r="Y655" s="2098"/>
      <c r="Z655" s="2098"/>
      <c r="AA655" s="2098"/>
      <c r="AB655" s="2098"/>
      <c r="AC655" s="2098"/>
      <c r="AD655" s="2098"/>
      <c r="AE655" s="2098"/>
      <c r="AF655" s="2098"/>
      <c r="AG655" s="2098"/>
      <c r="AH655" s="2098"/>
      <c r="AI655" s="2098"/>
      <c r="AJ655" s="2098"/>
      <c r="AK655" s="2098"/>
      <c r="AL655" s="2098"/>
      <c r="AM655" s="2098"/>
      <c r="AN655" s="2098"/>
      <c r="AO655" s="2098"/>
      <c r="AP655" s="2098"/>
      <c r="AQ655" s="2098"/>
      <c r="AR655" s="2098"/>
      <c r="AS655" s="2098"/>
      <c r="AT655" s="2098"/>
      <c r="AU655" s="2098"/>
      <c r="AV655" s="2098"/>
      <c r="AW655" s="2098"/>
      <c r="AX655" s="2098"/>
      <c r="AY655" s="2098"/>
      <c r="AZ655" s="2098"/>
    </row>
    <row r="656" spans="3:52">
      <c r="C656" s="2096"/>
      <c r="D656" s="2097"/>
      <c r="E656" s="2098"/>
      <c r="F656" s="2098"/>
      <c r="G656" s="2098"/>
      <c r="H656" s="2098"/>
      <c r="I656" s="2098"/>
      <c r="J656" s="2098"/>
      <c r="K656" s="2098"/>
      <c r="L656" s="2098"/>
      <c r="M656" s="2098"/>
      <c r="N656" s="2098"/>
      <c r="O656" s="2098"/>
      <c r="P656" s="2098"/>
      <c r="Q656" s="2098"/>
      <c r="R656" s="2098"/>
      <c r="S656" s="2098"/>
      <c r="T656" s="2098"/>
      <c r="U656" s="2098"/>
      <c r="V656" s="2098"/>
      <c r="W656" s="2098"/>
      <c r="X656" s="2098"/>
      <c r="Y656" s="2098"/>
      <c r="Z656" s="2098"/>
      <c r="AA656" s="2098"/>
      <c r="AB656" s="2098"/>
      <c r="AC656" s="2098"/>
      <c r="AD656" s="2098"/>
      <c r="AE656" s="2098"/>
      <c r="AF656" s="2098"/>
      <c r="AG656" s="2098"/>
      <c r="AH656" s="2098"/>
      <c r="AI656" s="2098"/>
      <c r="AJ656" s="2098"/>
      <c r="AK656" s="2098"/>
      <c r="AL656" s="2098"/>
      <c r="AM656" s="2098"/>
      <c r="AN656" s="2098"/>
      <c r="AO656" s="2098"/>
      <c r="AP656" s="2098"/>
      <c r="AQ656" s="2098"/>
      <c r="AR656" s="2098"/>
      <c r="AS656" s="2098"/>
      <c r="AT656" s="2098"/>
      <c r="AU656" s="2098"/>
      <c r="AV656" s="2098"/>
      <c r="AW656" s="2098"/>
      <c r="AX656" s="2098"/>
      <c r="AY656" s="2098"/>
      <c r="AZ656" s="2098"/>
    </row>
    <row r="657" spans="3:52">
      <c r="C657" s="2096"/>
      <c r="D657" s="2097"/>
      <c r="E657" s="2098"/>
      <c r="F657" s="2098"/>
      <c r="G657" s="2098"/>
      <c r="H657" s="2098"/>
      <c r="I657" s="2098"/>
      <c r="J657" s="2098"/>
      <c r="K657" s="2098"/>
      <c r="L657" s="2098"/>
      <c r="M657" s="2098"/>
      <c r="N657" s="2098"/>
      <c r="O657" s="2098"/>
      <c r="P657" s="2098"/>
      <c r="Q657" s="2098"/>
      <c r="R657" s="2098"/>
      <c r="S657" s="2098"/>
      <c r="T657" s="2098"/>
      <c r="U657" s="2098"/>
      <c r="V657" s="2098"/>
      <c r="W657" s="2098"/>
      <c r="X657" s="2098"/>
      <c r="Y657" s="2098"/>
      <c r="Z657" s="2098"/>
      <c r="AA657" s="2098"/>
      <c r="AB657" s="2098"/>
      <c r="AC657" s="2098"/>
      <c r="AD657" s="2098"/>
      <c r="AE657" s="2098"/>
      <c r="AF657" s="2098"/>
      <c r="AG657" s="2098"/>
      <c r="AH657" s="2098"/>
      <c r="AI657" s="2098"/>
      <c r="AJ657" s="2098"/>
      <c r="AK657" s="2098"/>
      <c r="AL657" s="2098"/>
      <c r="AM657" s="2098"/>
      <c r="AN657" s="2098"/>
      <c r="AO657" s="2098"/>
      <c r="AP657" s="2098"/>
      <c r="AQ657" s="2098"/>
      <c r="AR657" s="2098"/>
      <c r="AS657" s="2098"/>
      <c r="AT657" s="2098"/>
      <c r="AU657" s="2098"/>
      <c r="AV657" s="2098"/>
      <c r="AW657" s="2098"/>
      <c r="AX657" s="2098"/>
      <c r="AY657" s="2098"/>
      <c r="AZ657" s="2098"/>
    </row>
    <row r="658" spans="3:52">
      <c r="C658" s="2096"/>
      <c r="D658" s="2097"/>
      <c r="E658" s="2098"/>
      <c r="F658" s="2098"/>
      <c r="G658" s="2098"/>
      <c r="H658" s="2098"/>
      <c r="I658" s="2098"/>
      <c r="J658" s="2098"/>
      <c r="K658" s="2098"/>
      <c r="L658" s="2098"/>
      <c r="M658" s="2098"/>
      <c r="N658" s="2098"/>
      <c r="O658" s="2098"/>
      <c r="P658" s="2098"/>
      <c r="Q658" s="2098"/>
      <c r="R658" s="2098"/>
      <c r="S658" s="2098"/>
      <c r="T658" s="2098"/>
      <c r="U658" s="2098"/>
      <c r="V658" s="2098"/>
      <c r="W658" s="2098"/>
      <c r="X658" s="2098"/>
      <c r="Y658" s="2098"/>
      <c r="Z658" s="2098"/>
      <c r="AA658" s="2098"/>
      <c r="AB658" s="2098"/>
      <c r="AC658" s="2098"/>
      <c r="AD658" s="2098"/>
      <c r="AE658" s="2098"/>
      <c r="AF658" s="2098"/>
      <c r="AG658" s="2098"/>
      <c r="AH658" s="2098"/>
      <c r="AI658" s="2098"/>
      <c r="AJ658" s="2098"/>
      <c r="AK658" s="2098"/>
      <c r="AL658" s="2098"/>
      <c r="AM658" s="2098"/>
      <c r="AN658" s="2098"/>
      <c r="AO658" s="2098"/>
      <c r="AP658" s="2098"/>
      <c r="AQ658" s="2098"/>
      <c r="AR658" s="2098"/>
      <c r="AS658" s="2098"/>
      <c r="AT658" s="2098"/>
      <c r="AU658" s="2098"/>
      <c r="AV658" s="2098"/>
      <c r="AW658" s="2098"/>
      <c r="AX658" s="2098"/>
      <c r="AY658" s="2098"/>
      <c r="AZ658" s="2098"/>
    </row>
    <row r="659" spans="3:52">
      <c r="C659" s="2096"/>
      <c r="D659" s="2097"/>
      <c r="E659" s="2098"/>
      <c r="F659" s="2098"/>
      <c r="G659" s="2098"/>
      <c r="H659" s="2098"/>
      <c r="I659" s="2098"/>
      <c r="J659" s="2098"/>
      <c r="K659" s="2098"/>
      <c r="L659" s="2098"/>
      <c r="M659" s="2098"/>
      <c r="N659" s="2098"/>
      <c r="O659" s="2098"/>
      <c r="P659" s="2098"/>
      <c r="Q659" s="2098"/>
      <c r="R659" s="2098"/>
      <c r="S659" s="2098"/>
      <c r="T659" s="2098"/>
      <c r="U659" s="2098"/>
      <c r="V659" s="2098"/>
      <c r="W659" s="2098"/>
      <c r="X659" s="2098"/>
      <c r="Y659" s="2098"/>
      <c r="Z659" s="2098"/>
      <c r="AA659" s="2098"/>
      <c r="AB659" s="2098"/>
      <c r="AC659" s="2098"/>
      <c r="AD659" s="2098"/>
      <c r="AE659" s="2098"/>
      <c r="AF659" s="2098"/>
      <c r="AG659" s="2098"/>
      <c r="AH659" s="2098"/>
      <c r="AI659" s="2098"/>
      <c r="AJ659" s="2098"/>
      <c r="AK659" s="2098"/>
      <c r="AL659" s="2098"/>
      <c r="AM659" s="2098"/>
      <c r="AN659" s="2098"/>
      <c r="AO659" s="2098"/>
      <c r="AP659" s="2098"/>
      <c r="AQ659" s="2098"/>
      <c r="AR659" s="2098"/>
      <c r="AS659" s="2098"/>
      <c r="AT659" s="2098"/>
      <c r="AU659" s="2098"/>
      <c r="AV659" s="2098"/>
      <c r="AW659" s="2098"/>
      <c r="AX659" s="2098"/>
      <c r="AY659" s="2098"/>
      <c r="AZ659" s="2098"/>
    </row>
    <row r="660" spans="3:52">
      <c r="C660" s="2096"/>
      <c r="D660" s="2097"/>
      <c r="E660" s="2098"/>
      <c r="F660" s="2098"/>
      <c r="G660" s="2098"/>
      <c r="H660" s="2098"/>
      <c r="I660" s="2098"/>
      <c r="J660" s="2098"/>
      <c r="K660" s="2098"/>
      <c r="L660" s="2098"/>
      <c r="M660" s="2098"/>
      <c r="N660" s="2098"/>
      <c r="O660" s="2098"/>
      <c r="P660" s="2098"/>
      <c r="Q660" s="2098"/>
      <c r="R660" s="2098"/>
      <c r="S660" s="2098"/>
      <c r="T660" s="2098"/>
      <c r="U660" s="2098"/>
      <c r="V660" s="2098"/>
      <c r="W660" s="2098"/>
      <c r="X660" s="2098"/>
      <c r="Y660" s="2098"/>
      <c r="Z660" s="2098"/>
      <c r="AA660" s="2098"/>
      <c r="AB660" s="2098"/>
      <c r="AC660" s="2098"/>
      <c r="AD660" s="2098"/>
      <c r="AE660" s="2098"/>
      <c r="AF660" s="2098"/>
      <c r="AG660" s="2098"/>
      <c r="AH660" s="2098"/>
      <c r="AI660" s="2098"/>
      <c r="AJ660" s="2098"/>
      <c r="AK660" s="2098"/>
      <c r="AL660" s="2098"/>
      <c r="AM660" s="2098"/>
      <c r="AN660" s="2098"/>
      <c r="AO660" s="2098"/>
      <c r="AP660" s="2098"/>
      <c r="AQ660" s="2098"/>
      <c r="AR660" s="2098"/>
      <c r="AS660" s="2098"/>
      <c r="AT660" s="2098"/>
      <c r="AU660" s="2098"/>
      <c r="AV660" s="2098"/>
      <c r="AW660" s="2098"/>
      <c r="AX660" s="2098"/>
      <c r="AY660" s="2098"/>
      <c r="AZ660" s="2098"/>
    </row>
    <row r="661" spans="3:52">
      <c r="C661" s="2096"/>
      <c r="D661" s="2097"/>
      <c r="E661" s="2098"/>
      <c r="F661" s="2098"/>
      <c r="G661" s="2098"/>
      <c r="H661" s="2098"/>
      <c r="I661" s="2098"/>
      <c r="J661" s="2098"/>
      <c r="K661" s="2098"/>
      <c r="L661" s="2098"/>
      <c r="M661" s="2098"/>
      <c r="N661" s="2098"/>
      <c r="O661" s="2098"/>
      <c r="P661" s="2098"/>
      <c r="Q661" s="2098"/>
      <c r="R661" s="2098"/>
      <c r="S661" s="2098"/>
      <c r="T661" s="2098"/>
      <c r="U661" s="2098"/>
      <c r="V661" s="2098"/>
      <c r="W661" s="2098"/>
      <c r="X661" s="2098"/>
      <c r="Y661" s="2098"/>
      <c r="Z661" s="2098"/>
      <c r="AA661" s="2098"/>
      <c r="AB661" s="2098"/>
      <c r="AC661" s="2098"/>
      <c r="AD661" s="2098"/>
      <c r="AE661" s="2098"/>
      <c r="AF661" s="2098"/>
      <c r="AG661" s="2098"/>
      <c r="AH661" s="2098"/>
      <c r="AI661" s="2098"/>
      <c r="AJ661" s="2098"/>
      <c r="AK661" s="2098"/>
      <c r="AL661" s="2098"/>
      <c r="AM661" s="2098"/>
      <c r="AN661" s="2098"/>
      <c r="AO661" s="2098"/>
      <c r="AP661" s="2098"/>
      <c r="AQ661" s="2098"/>
      <c r="AR661" s="2098"/>
      <c r="AS661" s="2098"/>
      <c r="AT661" s="2098"/>
      <c r="AU661" s="2098"/>
      <c r="AV661" s="2098"/>
      <c r="AW661" s="2098"/>
      <c r="AX661" s="2098"/>
      <c r="AY661" s="2098"/>
      <c r="AZ661" s="2098"/>
    </row>
    <row r="662" spans="3:52">
      <c r="C662" s="2096"/>
      <c r="D662" s="2097"/>
      <c r="E662" s="2098"/>
      <c r="F662" s="2098"/>
      <c r="G662" s="2098"/>
      <c r="H662" s="2098"/>
      <c r="I662" s="2098"/>
      <c r="J662" s="2098"/>
      <c r="K662" s="2098"/>
      <c r="L662" s="2098"/>
      <c r="M662" s="2098"/>
      <c r="N662" s="2098"/>
      <c r="O662" s="2098"/>
      <c r="P662" s="2098"/>
      <c r="Q662" s="2098"/>
      <c r="R662" s="2098"/>
      <c r="S662" s="2098"/>
      <c r="T662" s="2098"/>
      <c r="U662" s="2098"/>
      <c r="V662" s="2098"/>
      <c r="W662" s="2098"/>
      <c r="X662" s="2098"/>
      <c r="Y662" s="2098"/>
      <c r="Z662" s="2098"/>
      <c r="AA662" s="2098"/>
      <c r="AB662" s="2098"/>
      <c r="AC662" s="2098"/>
      <c r="AD662" s="2098"/>
      <c r="AE662" s="2098"/>
      <c r="AF662" s="2098"/>
      <c r="AG662" s="2098"/>
      <c r="AH662" s="2098"/>
      <c r="AI662" s="2098"/>
      <c r="AJ662" s="2098"/>
      <c r="AK662" s="2098"/>
      <c r="AL662" s="2098"/>
      <c r="AM662" s="2098"/>
      <c r="AN662" s="2098"/>
      <c r="AO662" s="2098"/>
      <c r="AP662" s="2098"/>
      <c r="AQ662" s="2098"/>
      <c r="AR662" s="2098"/>
      <c r="AS662" s="2098"/>
      <c r="AT662" s="2098"/>
      <c r="AU662" s="2098"/>
      <c r="AV662" s="2098"/>
      <c r="AW662" s="2098"/>
      <c r="AX662" s="2098"/>
      <c r="AY662" s="2098"/>
      <c r="AZ662" s="2098"/>
    </row>
    <row r="663" spans="3:52">
      <c r="C663" s="2096"/>
      <c r="D663" s="2097"/>
      <c r="E663" s="2098"/>
      <c r="F663" s="2098"/>
      <c r="G663" s="2098"/>
      <c r="H663" s="2098"/>
      <c r="I663" s="2098"/>
      <c r="J663" s="2098"/>
      <c r="K663" s="2098"/>
      <c r="L663" s="2098"/>
      <c r="M663" s="2098"/>
      <c r="N663" s="2098"/>
      <c r="O663" s="2098"/>
      <c r="P663" s="2098"/>
      <c r="Q663" s="2098"/>
      <c r="R663" s="2098"/>
      <c r="S663" s="2098"/>
      <c r="T663" s="2098"/>
      <c r="U663" s="2098"/>
      <c r="V663" s="2098"/>
      <c r="W663" s="2098"/>
      <c r="X663" s="2098"/>
      <c r="Y663" s="2098"/>
      <c r="Z663" s="2098"/>
      <c r="AA663" s="2098"/>
      <c r="AB663" s="2098"/>
      <c r="AC663" s="2098"/>
      <c r="AD663" s="2098"/>
      <c r="AE663" s="2098"/>
      <c r="AF663" s="2098"/>
      <c r="AG663" s="2098"/>
      <c r="AH663" s="2098"/>
      <c r="AI663" s="2098"/>
      <c r="AJ663" s="2098"/>
      <c r="AK663" s="2098"/>
      <c r="AL663" s="2098"/>
      <c r="AM663" s="2098"/>
      <c r="AN663" s="2098"/>
      <c r="AO663" s="2098"/>
      <c r="AP663" s="2098"/>
      <c r="AQ663" s="2098"/>
      <c r="AR663" s="2098"/>
      <c r="AS663" s="2098"/>
      <c r="AT663" s="2098"/>
      <c r="AU663" s="2098"/>
      <c r="AV663" s="2098"/>
      <c r="AW663" s="2098"/>
      <c r="AX663" s="2098"/>
      <c r="AY663" s="2098"/>
      <c r="AZ663" s="2098"/>
    </row>
    <row r="664" spans="3:52">
      <c r="C664" s="2096"/>
      <c r="D664" s="2097"/>
      <c r="E664" s="2098"/>
      <c r="F664" s="2098"/>
      <c r="G664" s="2098"/>
      <c r="H664" s="2098"/>
      <c r="I664" s="2098"/>
      <c r="J664" s="2098"/>
      <c r="K664" s="2098"/>
      <c r="L664" s="2098"/>
      <c r="M664" s="2098"/>
      <c r="N664" s="2098"/>
      <c r="O664" s="2098"/>
      <c r="P664" s="2098"/>
      <c r="Q664" s="2098"/>
      <c r="R664" s="2098"/>
      <c r="S664" s="2098"/>
      <c r="T664" s="2098"/>
      <c r="U664" s="2098"/>
      <c r="V664" s="2098"/>
      <c r="W664" s="2098"/>
      <c r="X664" s="2098"/>
      <c r="Y664" s="2098"/>
      <c r="Z664" s="2098"/>
      <c r="AA664" s="2098"/>
      <c r="AB664" s="2098"/>
      <c r="AC664" s="2098"/>
      <c r="AD664" s="2098"/>
      <c r="AE664" s="2098"/>
      <c r="AF664" s="2098"/>
      <c r="AG664" s="2098"/>
      <c r="AH664" s="2098"/>
      <c r="AI664" s="2098"/>
      <c r="AJ664" s="2098"/>
      <c r="AK664" s="2098"/>
      <c r="AL664" s="2098"/>
      <c r="AM664" s="2098"/>
      <c r="AN664" s="2098"/>
      <c r="AO664" s="2098"/>
      <c r="AP664" s="2098"/>
      <c r="AQ664" s="2098"/>
      <c r="AR664" s="2098"/>
      <c r="AS664" s="2098"/>
      <c r="AT664" s="2098"/>
      <c r="AU664" s="2098"/>
      <c r="AV664" s="2098"/>
      <c r="AW664" s="2098"/>
      <c r="AX664" s="2098"/>
      <c r="AY664" s="2098"/>
      <c r="AZ664" s="2098"/>
    </row>
    <row r="665" spans="3:52">
      <c r="C665" s="2096"/>
      <c r="D665" s="2097"/>
      <c r="E665" s="2098"/>
      <c r="F665" s="2098"/>
      <c r="G665" s="2098"/>
      <c r="H665" s="2098"/>
      <c r="I665" s="2098"/>
      <c r="J665" s="2098"/>
      <c r="K665" s="2098"/>
      <c r="L665" s="2098"/>
      <c r="M665" s="2098"/>
      <c r="N665" s="2098"/>
      <c r="O665" s="2098"/>
      <c r="P665" s="2098"/>
      <c r="Q665" s="2098"/>
      <c r="R665" s="2098"/>
      <c r="S665" s="2098"/>
      <c r="T665" s="2098"/>
      <c r="U665" s="2098"/>
      <c r="V665" s="2098"/>
      <c r="W665" s="2098"/>
      <c r="X665" s="2098"/>
      <c r="Y665" s="2098"/>
      <c r="Z665" s="2098"/>
      <c r="AA665" s="2098"/>
      <c r="AB665" s="2098"/>
      <c r="AC665" s="2098"/>
      <c r="AD665" s="2098"/>
      <c r="AE665" s="2098"/>
      <c r="AF665" s="2098"/>
      <c r="AG665" s="2098"/>
      <c r="AH665" s="2098"/>
      <c r="AI665" s="2098"/>
      <c r="AJ665" s="2098"/>
      <c r="AK665" s="2098"/>
      <c r="AL665" s="2098"/>
      <c r="AM665" s="2098"/>
      <c r="AN665" s="2098"/>
      <c r="AO665" s="2098"/>
      <c r="AP665" s="2098"/>
      <c r="AQ665" s="2098"/>
      <c r="AR665" s="2098"/>
      <c r="AS665" s="2098"/>
      <c r="AT665" s="2098"/>
      <c r="AU665" s="2098"/>
      <c r="AV665" s="2098"/>
      <c r="AW665" s="2098"/>
      <c r="AX665" s="2098"/>
      <c r="AY665" s="2098"/>
      <c r="AZ665" s="2098"/>
    </row>
    <row r="666" spans="3:52">
      <c r="C666" s="2096"/>
      <c r="D666" s="2097"/>
      <c r="E666" s="2098"/>
      <c r="F666" s="2098"/>
      <c r="G666" s="2098"/>
      <c r="H666" s="2098"/>
      <c r="I666" s="2098"/>
      <c r="J666" s="2098"/>
      <c r="K666" s="2098"/>
      <c r="L666" s="2098"/>
      <c r="M666" s="2098"/>
      <c r="N666" s="2098"/>
      <c r="O666" s="2098"/>
      <c r="P666" s="2098"/>
      <c r="Q666" s="2098"/>
      <c r="R666" s="2098"/>
      <c r="S666" s="2098"/>
      <c r="T666" s="2098"/>
      <c r="U666" s="2098"/>
      <c r="V666" s="2098"/>
      <c r="W666" s="2098"/>
      <c r="X666" s="2098"/>
      <c r="Y666" s="2098"/>
      <c r="Z666" s="2098"/>
      <c r="AA666" s="2098"/>
      <c r="AB666" s="2098"/>
      <c r="AC666" s="2098"/>
      <c r="AD666" s="2098"/>
      <c r="AE666" s="2098"/>
      <c r="AF666" s="2098"/>
      <c r="AG666" s="2098"/>
      <c r="AH666" s="2098"/>
      <c r="AI666" s="2098"/>
      <c r="AJ666" s="2098"/>
      <c r="AK666" s="2098"/>
      <c r="AL666" s="2098"/>
      <c r="AM666" s="2098"/>
      <c r="AN666" s="2098"/>
      <c r="AO666" s="2098"/>
      <c r="AP666" s="2098"/>
      <c r="AQ666" s="2098"/>
      <c r="AR666" s="2098"/>
      <c r="AS666" s="2098"/>
      <c r="AT666" s="2098"/>
      <c r="AU666" s="2098"/>
      <c r="AV666" s="2098"/>
      <c r="AW666" s="2098"/>
      <c r="AX666" s="2098"/>
      <c r="AY666" s="2098"/>
      <c r="AZ666" s="2098"/>
    </row>
    <row r="667" spans="3:52">
      <c r="C667" s="2096"/>
      <c r="D667" s="2097"/>
      <c r="E667" s="2098"/>
      <c r="F667" s="2098"/>
      <c r="G667" s="2098"/>
      <c r="H667" s="2098"/>
      <c r="I667" s="2098"/>
      <c r="J667" s="2098"/>
      <c r="K667" s="2098"/>
      <c r="L667" s="2098"/>
      <c r="M667" s="2098"/>
      <c r="N667" s="2098"/>
      <c r="O667" s="2098"/>
      <c r="P667" s="2098"/>
      <c r="Q667" s="2098"/>
      <c r="R667" s="2098"/>
      <c r="S667" s="2098"/>
      <c r="T667" s="2098"/>
      <c r="U667" s="2098"/>
      <c r="V667" s="2098"/>
      <c r="W667" s="2098"/>
      <c r="X667" s="2098"/>
      <c r="Y667" s="2098"/>
      <c r="Z667" s="2098"/>
      <c r="AA667" s="2098"/>
      <c r="AB667" s="2098"/>
      <c r="AC667" s="2098"/>
      <c r="AD667" s="2098"/>
      <c r="AE667" s="2098"/>
      <c r="AF667" s="2098"/>
      <c r="AG667" s="2098"/>
      <c r="AH667" s="2098"/>
      <c r="AI667" s="2098"/>
      <c r="AJ667" s="2098"/>
      <c r="AK667" s="2098"/>
      <c r="AL667" s="2098"/>
      <c r="AM667" s="2098"/>
      <c r="AN667" s="2098"/>
      <c r="AO667" s="2098"/>
      <c r="AP667" s="2098"/>
      <c r="AQ667" s="2098"/>
      <c r="AR667" s="2098"/>
      <c r="AS667" s="2098"/>
      <c r="AT667" s="2098"/>
      <c r="AU667" s="2098"/>
      <c r="AV667" s="2098"/>
      <c r="AW667" s="2098"/>
      <c r="AX667" s="2098"/>
      <c r="AY667" s="2098"/>
      <c r="AZ667" s="2098"/>
    </row>
    <row r="668" spans="3:52">
      <c r="C668" s="2096"/>
      <c r="D668" s="2097"/>
      <c r="E668" s="2098"/>
      <c r="F668" s="2098"/>
      <c r="G668" s="2098"/>
      <c r="H668" s="2098"/>
      <c r="I668" s="2098"/>
      <c r="J668" s="2098"/>
      <c r="K668" s="2098"/>
      <c r="L668" s="2098"/>
      <c r="M668" s="2098"/>
      <c r="N668" s="2098"/>
      <c r="O668" s="2098"/>
      <c r="P668" s="2098"/>
      <c r="Q668" s="2098"/>
      <c r="R668" s="2098"/>
      <c r="S668" s="2098"/>
      <c r="T668" s="2098"/>
      <c r="U668" s="2098"/>
      <c r="V668" s="2098"/>
      <c r="W668" s="2098"/>
      <c r="X668" s="2098"/>
      <c r="Y668" s="2098"/>
      <c r="Z668" s="2098"/>
      <c r="AA668" s="2098"/>
      <c r="AB668" s="2098"/>
      <c r="AC668" s="2098"/>
      <c r="AD668" s="2098"/>
      <c r="AE668" s="2098"/>
      <c r="AF668" s="2098"/>
      <c r="AG668" s="2098"/>
      <c r="AH668" s="2098"/>
      <c r="AI668" s="2098"/>
      <c r="AJ668" s="2098"/>
      <c r="AK668" s="2098"/>
      <c r="AL668" s="2098"/>
      <c r="AM668" s="2098"/>
      <c r="AN668" s="2098"/>
      <c r="AO668" s="2098"/>
      <c r="AP668" s="2098"/>
      <c r="AQ668" s="2098"/>
      <c r="AR668" s="2098"/>
      <c r="AS668" s="2098"/>
      <c r="AT668" s="2098"/>
      <c r="AU668" s="2098"/>
      <c r="AV668" s="2098"/>
      <c r="AW668" s="2098"/>
      <c r="AX668" s="2098"/>
      <c r="AY668" s="2098"/>
      <c r="AZ668" s="2098"/>
    </row>
    <row r="669" spans="3:52">
      <c r="C669" s="2096"/>
      <c r="D669" s="2097"/>
      <c r="E669" s="2098"/>
      <c r="F669" s="2098"/>
      <c r="G669" s="2098"/>
      <c r="H669" s="2098"/>
      <c r="I669" s="2098"/>
      <c r="J669" s="2098"/>
      <c r="K669" s="2098"/>
      <c r="L669" s="2098"/>
      <c r="M669" s="2098"/>
      <c r="N669" s="2098"/>
      <c r="O669" s="2098"/>
      <c r="P669" s="2098"/>
      <c r="Q669" s="2098"/>
      <c r="R669" s="2098"/>
      <c r="S669" s="2098"/>
      <c r="T669" s="2098"/>
      <c r="U669" s="2098"/>
      <c r="V669" s="2098"/>
      <c r="W669" s="2098"/>
      <c r="X669" s="2098"/>
      <c r="Y669" s="2098"/>
      <c r="Z669" s="2098"/>
      <c r="AA669" s="2098"/>
      <c r="AB669" s="2098"/>
      <c r="AC669" s="2098"/>
      <c r="AD669" s="2098"/>
      <c r="AE669" s="2098"/>
      <c r="AF669" s="2098"/>
      <c r="AG669" s="2098"/>
      <c r="AH669" s="2098"/>
      <c r="AI669" s="2098"/>
      <c r="AJ669" s="2098"/>
      <c r="AK669" s="2098"/>
      <c r="AL669" s="2098"/>
      <c r="AM669" s="2098"/>
      <c r="AN669" s="2098"/>
      <c r="AO669" s="2098"/>
      <c r="AP669" s="2098"/>
      <c r="AQ669" s="2098"/>
      <c r="AR669" s="2098"/>
      <c r="AS669" s="2098"/>
      <c r="AT669" s="2098"/>
      <c r="AU669" s="2098"/>
      <c r="AV669" s="2098"/>
      <c r="AW669" s="2098"/>
      <c r="AX669" s="2098"/>
      <c r="AY669" s="2098"/>
      <c r="AZ669" s="2098"/>
    </row>
    <row r="670" spans="3:52">
      <c r="C670" s="2096"/>
      <c r="D670" s="2097"/>
      <c r="E670" s="2098"/>
      <c r="F670" s="2098"/>
      <c r="G670" s="2098"/>
      <c r="H670" s="2098"/>
      <c r="I670" s="2098"/>
      <c r="J670" s="2098"/>
      <c r="K670" s="2098"/>
      <c r="L670" s="2098"/>
      <c r="M670" s="2098"/>
      <c r="N670" s="2098"/>
      <c r="O670" s="2098"/>
      <c r="P670" s="2098"/>
      <c r="Q670" s="2098"/>
      <c r="R670" s="2098"/>
      <c r="S670" s="2098"/>
      <c r="T670" s="2098"/>
      <c r="U670" s="2098"/>
      <c r="V670" s="2098"/>
      <c r="W670" s="2098"/>
      <c r="X670" s="2098"/>
      <c r="Y670" s="2098"/>
      <c r="Z670" s="2098"/>
      <c r="AA670" s="2098"/>
      <c r="AB670" s="2098"/>
      <c r="AC670" s="2098"/>
      <c r="AD670" s="2098"/>
      <c r="AE670" s="2098"/>
      <c r="AF670" s="2098"/>
      <c r="AG670" s="2098"/>
      <c r="AH670" s="2098"/>
      <c r="AI670" s="2098"/>
      <c r="AJ670" s="2098"/>
      <c r="AK670" s="2098"/>
      <c r="AL670" s="2098"/>
      <c r="AM670" s="2098"/>
      <c r="AN670" s="2098"/>
      <c r="AO670" s="2098"/>
      <c r="AP670" s="2098"/>
      <c r="AQ670" s="2098"/>
      <c r="AR670" s="2098"/>
      <c r="AS670" s="2098"/>
      <c r="AT670" s="2098"/>
      <c r="AU670" s="2098"/>
      <c r="AV670" s="2098"/>
      <c r="AW670" s="2098"/>
      <c r="AX670" s="2098"/>
      <c r="AY670" s="2098"/>
      <c r="AZ670" s="2098"/>
    </row>
    <row r="671" spans="3:52">
      <c r="C671" s="2096"/>
      <c r="D671" s="2097"/>
      <c r="E671" s="2098"/>
      <c r="F671" s="2098"/>
      <c r="G671" s="2098"/>
      <c r="H671" s="2098"/>
      <c r="I671" s="2098"/>
      <c r="J671" s="2098"/>
      <c r="K671" s="2098"/>
      <c r="L671" s="2098"/>
      <c r="M671" s="2098"/>
      <c r="N671" s="2098"/>
      <c r="O671" s="2098"/>
      <c r="P671" s="2098"/>
      <c r="Q671" s="2098"/>
      <c r="R671" s="2098"/>
      <c r="S671" s="2098"/>
      <c r="T671" s="2098"/>
      <c r="U671" s="2098"/>
      <c r="V671" s="2098"/>
      <c r="W671" s="2098"/>
      <c r="X671" s="2098"/>
      <c r="Y671" s="2098"/>
      <c r="Z671" s="2098"/>
      <c r="AA671" s="2098"/>
      <c r="AB671" s="2098"/>
      <c r="AC671" s="2098"/>
      <c r="AD671" s="2098"/>
      <c r="AE671" s="2098"/>
      <c r="AF671" s="2098"/>
      <c r="AG671" s="2098"/>
      <c r="AH671" s="2098"/>
      <c r="AI671" s="2098"/>
      <c r="AJ671" s="2098"/>
      <c r="AK671" s="2098"/>
      <c r="AL671" s="2098"/>
      <c r="AM671" s="2098"/>
      <c r="AN671" s="2098"/>
      <c r="AO671" s="2098"/>
      <c r="AP671" s="2098"/>
      <c r="AQ671" s="2098"/>
      <c r="AR671" s="2098"/>
      <c r="AS671" s="2098"/>
      <c r="AT671" s="2098"/>
      <c r="AU671" s="2098"/>
      <c r="AV671" s="2098"/>
      <c r="AW671" s="2098"/>
      <c r="AX671" s="2098"/>
      <c r="AY671" s="2098"/>
      <c r="AZ671" s="2098"/>
    </row>
    <row r="672" spans="3:52">
      <c r="C672" s="2096"/>
      <c r="D672" s="2097"/>
      <c r="E672" s="2098"/>
      <c r="F672" s="2098"/>
      <c r="G672" s="2098"/>
      <c r="H672" s="2098"/>
      <c r="I672" s="2098"/>
      <c r="J672" s="2098"/>
      <c r="K672" s="2098"/>
      <c r="L672" s="2098"/>
      <c r="M672" s="2098"/>
      <c r="N672" s="2098"/>
      <c r="O672" s="2098"/>
      <c r="P672" s="2098"/>
      <c r="Q672" s="2098"/>
      <c r="R672" s="2098"/>
      <c r="S672" s="2098"/>
      <c r="T672" s="2098"/>
      <c r="U672" s="2098"/>
      <c r="V672" s="2098"/>
      <c r="W672" s="2098"/>
      <c r="X672" s="2098"/>
      <c r="Y672" s="2098"/>
      <c r="Z672" s="2098"/>
      <c r="AA672" s="2098"/>
      <c r="AB672" s="2098"/>
      <c r="AC672" s="2098"/>
      <c r="AD672" s="2098"/>
      <c r="AE672" s="2098"/>
      <c r="AF672" s="2098"/>
      <c r="AG672" s="2098"/>
      <c r="AH672" s="2098"/>
      <c r="AI672" s="2098"/>
      <c r="AJ672" s="2098"/>
      <c r="AK672" s="2098"/>
      <c r="AL672" s="2098"/>
      <c r="AM672" s="2098"/>
      <c r="AN672" s="2098"/>
      <c r="AO672" s="2098"/>
      <c r="AP672" s="2098"/>
      <c r="AQ672" s="2098"/>
      <c r="AR672" s="2098"/>
      <c r="AS672" s="2098"/>
      <c r="AT672" s="2098"/>
      <c r="AU672" s="2098"/>
      <c r="AV672" s="2098"/>
      <c r="AW672" s="2098"/>
      <c r="AX672" s="2098"/>
      <c r="AY672" s="2098"/>
      <c r="AZ672" s="2098"/>
    </row>
    <row r="673" spans="3:52">
      <c r="C673" s="2096"/>
      <c r="D673" s="2097"/>
      <c r="E673" s="2098"/>
      <c r="F673" s="2098"/>
      <c r="G673" s="2098"/>
      <c r="H673" s="2098"/>
      <c r="I673" s="2098"/>
      <c r="J673" s="2098"/>
      <c r="K673" s="2098"/>
      <c r="L673" s="2098"/>
      <c r="M673" s="2098"/>
      <c r="N673" s="2098"/>
      <c r="O673" s="2098"/>
      <c r="P673" s="2098"/>
      <c r="Q673" s="2098"/>
      <c r="R673" s="2098"/>
      <c r="S673" s="2098"/>
      <c r="T673" s="2098"/>
      <c r="U673" s="2098"/>
      <c r="V673" s="2098"/>
      <c r="W673" s="2098"/>
      <c r="X673" s="2098"/>
      <c r="Y673" s="2098"/>
      <c r="Z673" s="2098"/>
      <c r="AA673" s="2098"/>
      <c r="AB673" s="2098"/>
      <c r="AC673" s="2098"/>
      <c r="AD673" s="2098"/>
      <c r="AE673" s="2098"/>
      <c r="AF673" s="2098"/>
      <c r="AG673" s="2098"/>
      <c r="AH673" s="2098"/>
      <c r="AI673" s="2098"/>
      <c r="AJ673" s="2098"/>
      <c r="AK673" s="2098"/>
      <c r="AL673" s="2098"/>
      <c r="AM673" s="2098"/>
      <c r="AN673" s="2098"/>
      <c r="AO673" s="2098"/>
      <c r="AP673" s="2098"/>
      <c r="AQ673" s="2098"/>
      <c r="AR673" s="2098"/>
      <c r="AS673" s="2098"/>
      <c r="AT673" s="2098"/>
      <c r="AU673" s="2098"/>
      <c r="AV673" s="2098"/>
      <c r="AW673" s="2098"/>
      <c r="AX673" s="2098"/>
      <c r="AY673" s="2098"/>
      <c r="AZ673" s="2098"/>
    </row>
    <row r="674" spans="3:52">
      <c r="C674" s="2096"/>
      <c r="D674" s="2097"/>
      <c r="E674" s="2098"/>
      <c r="F674" s="2098"/>
      <c r="G674" s="2098"/>
      <c r="H674" s="2098"/>
      <c r="I674" s="2098"/>
      <c r="J674" s="2098"/>
      <c r="K674" s="2098"/>
      <c r="L674" s="2098"/>
      <c r="M674" s="2098"/>
      <c r="N674" s="2098"/>
      <c r="O674" s="2098"/>
      <c r="P674" s="2098"/>
      <c r="Q674" s="2098"/>
      <c r="R674" s="2098"/>
      <c r="S674" s="2098"/>
      <c r="T674" s="2098"/>
      <c r="U674" s="2098"/>
      <c r="V674" s="2098"/>
      <c r="W674" s="2098"/>
      <c r="X674" s="2098"/>
      <c r="Y674" s="2098"/>
      <c r="Z674" s="2098"/>
      <c r="AA674" s="2098"/>
      <c r="AB674" s="2098"/>
      <c r="AC674" s="2098"/>
      <c r="AD674" s="2098"/>
      <c r="AE674" s="2098"/>
      <c r="AF674" s="2098"/>
      <c r="AG674" s="2098"/>
      <c r="AH674" s="2098"/>
      <c r="AI674" s="2098"/>
      <c r="AJ674" s="2098"/>
      <c r="AK674" s="2098"/>
      <c r="AL674" s="2098"/>
      <c r="AM674" s="2098"/>
      <c r="AN674" s="2098"/>
      <c r="AO674" s="2098"/>
      <c r="AP674" s="2098"/>
      <c r="AQ674" s="2098"/>
      <c r="AR674" s="2098"/>
      <c r="AS674" s="2098"/>
      <c r="AT674" s="2098"/>
      <c r="AU674" s="2098"/>
      <c r="AV674" s="2098"/>
      <c r="AW674" s="2098"/>
      <c r="AX674" s="2098"/>
      <c r="AY674" s="2098"/>
      <c r="AZ674" s="2098"/>
    </row>
    <row r="675" spans="3:52">
      <c r="C675" s="2096"/>
      <c r="D675" s="2097"/>
      <c r="E675" s="2098"/>
      <c r="F675" s="2098"/>
      <c r="G675" s="2098"/>
      <c r="H675" s="2098"/>
      <c r="I675" s="2098"/>
      <c r="J675" s="2098"/>
      <c r="K675" s="2098"/>
      <c r="L675" s="2098"/>
      <c r="M675" s="2098"/>
      <c r="N675" s="2098"/>
      <c r="O675" s="2098"/>
      <c r="P675" s="2098"/>
      <c r="Q675" s="2098"/>
      <c r="R675" s="2098"/>
      <c r="S675" s="2098"/>
      <c r="T675" s="2098"/>
      <c r="U675" s="2098"/>
      <c r="V675" s="2098"/>
      <c r="W675" s="2098"/>
      <c r="X675" s="2098"/>
      <c r="Y675" s="2098"/>
      <c r="Z675" s="2098"/>
      <c r="AA675" s="2098"/>
      <c r="AB675" s="2098"/>
      <c r="AC675" s="2098"/>
      <c r="AD675" s="2098"/>
      <c r="AE675" s="2098"/>
      <c r="AF675" s="2098"/>
      <c r="AG675" s="2098"/>
      <c r="AH675" s="2098"/>
      <c r="AI675" s="2098"/>
      <c r="AJ675" s="2098"/>
      <c r="AK675" s="2098"/>
      <c r="AL675" s="2098"/>
      <c r="AM675" s="2098"/>
      <c r="AN675" s="2098"/>
      <c r="AO675" s="2098"/>
      <c r="AP675" s="2098"/>
      <c r="AQ675" s="2098"/>
      <c r="AR675" s="2098"/>
      <c r="AS675" s="2098"/>
      <c r="AT675" s="2098"/>
      <c r="AU675" s="2098"/>
      <c r="AV675" s="2098"/>
      <c r="AW675" s="2098"/>
      <c r="AX675" s="2098"/>
      <c r="AY675" s="2098"/>
      <c r="AZ675" s="2098"/>
    </row>
    <row r="676" spans="3:52">
      <c r="C676" s="2096"/>
      <c r="D676" s="2097"/>
      <c r="E676" s="2098"/>
      <c r="F676" s="2098"/>
      <c r="G676" s="2098"/>
      <c r="H676" s="2098"/>
      <c r="I676" s="2098"/>
      <c r="J676" s="2098"/>
      <c r="K676" s="2098"/>
      <c r="L676" s="2098"/>
      <c r="M676" s="2098"/>
      <c r="N676" s="2098"/>
      <c r="O676" s="2098"/>
      <c r="P676" s="2098"/>
      <c r="Q676" s="2098"/>
      <c r="R676" s="2098"/>
      <c r="S676" s="2098"/>
      <c r="T676" s="2098"/>
      <c r="U676" s="2098"/>
      <c r="V676" s="2098"/>
      <c r="W676" s="2098"/>
      <c r="X676" s="2098"/>
      <c r="Y676" s="2098"/>
      <c r="Z676" s="2098"/>
      <c r="AA676" s="2098"/>
      <c r="AB676" s="2098"/>
      <c r="AC676" s="2098"/>
      <c r="AD676" s="2098"/>
      <c r="AE676" s="2098"/>
      <c r="AF676" s="2098"/>
      <c r="AG676" s="2098"/>
      <c r="AH676" s="2098"/>
      <c r="AI676" s="2098"/>
      <c r="AJ676" s="2098"/>
      <c r="AK676" s="2098"/>
      <c r="AL676" s="2098"/>
      <c r="AM676" s="2098"/>
      <c r="AN676" s="2098"/>
      <c r="AO676" s="2098"/>
      <c r="AP676" s="2098"/>
      <c r="AQ676" s="2098"/>
      <c r="AR676" s="2098"/>
      <c r="AS676" s="2098"/>
      <c r="AT676" s="2098"/>
      <c r="AU676" s="2098"/>
      <c r="AV676" s="2098"/>
      <c r="AW676" s="2098"/>
      <c r="AX676" s="2098"/>
      <c r="AY676" s="2098"/>
      <c r="AZ676" s="2098"/>
    </row>
    <row r="677" spans="3:52">
      <c r="C677" s="2096"/>
      <c r="D677" s="2097"/>
      <c r="E677" s="2098"/>
      <c r="F677" s="2098"/>
      <c r="G677" s="2098"/>
      <c r="H677" s="2098"/>
      <c r="I677" s="2098"/>
      <c r="J677" s="2098"/>
      <c r="K677" s="2098"/>
      <c r="L677" s="2098"/>
      <c r="M677" s="2098"/>
      <c r="N677" s="2098"/>
      <c r="O677" s="2098"/>
      <c r="P677" s="2098"/>
      <c r="Q677" s="2098"/>
      <c r="R677" s="2098"/>
      <c r="S677" s="2098"/>
      <c r="T677" s="2098"/>
      <c r="U677" s="2098"/>
      <c r="V677" s="2098"/>
      <c r="W677" s="2098"/>
      <c r="X677" s="2098"/>
      <c r="Y677" s="2098"/>
      <c r="Z677" s="2098"/>
      <c r="AA677" s="2098"/>
      <c r="AB677" s="2098"/>
      <c r="AC677" s="2098"/>
      <c r="AD677" s="2098"/>
      <c r="AE677" s="2098"/>
      <c r="AF677" s="2098"/>
      <c r="AG677" s="2098"/>
      <c r="AH677" s="2098"/>
      <c r="AI677" s="2098"/>
      <c r="AJ677" s="2098"/>
      <c r="AK677" s="2098"/>
      <c r="AL677" s="2098"/>
      <c r="AM677" s="2098"/>
      <c r="AN677" s="2098"/>
      <c r="AO677" s="2098"/>
      <c r="AP677" s="2098"/>
      <c r="AQ677" s="2098"/>
      <c r="AR677" s="2098"/>
      <c r="AS677" s="2098"/>
      <c r="AT677" s="2098"/>
      <c r="AU677" s="2098"/>
      <c r="AV677" s="2098"/>
      <c r="AW677" s="2098"/>
      <c r="AX677" s="2098"/>
      <c r="AY677" s="2098"/>
      <c r="AZ677" s="2098"/>
    </row>
    <row r="678" spans="3:52">
      <c r="C678" s="2096"/>
      <c r="D678" s="2097"/>
      <c r="E678" s="2098"/>
      <c r="F678" s="2098"/>
      <c r="G678" s="2098"/>
      <c r="H678" s="2098"/>
      <c r="I678" s="2098"/>
      <c r="J678" s="2098"/>
      <c r="K678" s="2098"/>
      <c r="L678" s="2098"/>
      <c r="M678" s="2098"/>
      <c r="N678" s="2098"/>
      <c r="O678" s="2098"/>
      <c r="P678" s="2098"/>
      <c r="Q678" s="2098"/>
      <c r="R678" s="2098"/>
      <c r="S678" s="2098"/>
      <c r="T678" s="2098"/>
      <c r="U678" s="2098"/>
      <c r="V678" s="2098"/>
      <c r="W678" s="2098"/>
      <c r="X678" s="2098"/>
      <c r="Y678" s="2098"/>
      <c r="Z678" s="2098"/>
      <c r="AA678" s="2098"/>
      <c r="AB678" s="2098"/>
      <c r="AC678" s="2098"/>
      <c r="AD678" s="2098"/>
      <c r="AE678" s="2098"/>
      <c r="AF678" s="2098"/>
      <c r="AG678" s="2098"/>
      <c r="AH678" s="2098"/>
      <c r="AI678" s="2098"/>
      <c r="AJ678" s="2098"/>
      <c r="AK678" s="2098"/>
      <c r="AL678" s="2098"/>
      <c r="AM678" s="2098"/>
      <c r="AN678" s="2098"/>
      <c r="AO678" s="2098"/>
      <c r="AP678" s="2098"/>
      <c r="AQ678" s="2098"/>
      <c r="AR678" s="2098"/>
      <c r="AS678" s="2098"/>
      <c r="AT678" s="2098"/>
      <c r="AU678" s="2098"/>
      <c r="AV678" s="2098"/>
      <c r="AW678" s="2098"/>
      <c r="AX678" s="2098"/>
      <c r="AY678" s="2098"/>
      <c r="AZ678" s="2098"/>
    </row>
    <row r="679" spans="3:52">
      <c r="C679" s="2096"/>
      <c r="D679" s="2097"/>
      <c r="E679" s="2098"/>
      <c r="F679" s="2098"/>
      <c r="G679" s="2098"/>
      <c r="H679" s="2098"/>
      <c r="I679" s="2098"/>
      <c r="J679" s="2098"/>
      <c r="K679" s="2098"/>
      <c r="L679" s="2098"/>
      <c r="M679" s="2098"/>
      <c r="N679" s="2098"/>
      <c r="O679" s="2098"/>
      <c r="P679" s="2098"/>
      <c r="Q679" s="2098"/>
      <c r="R679" s="2098"/>
      <c r="S679" s="2098"/>
      <c r="T679" s="2098"/>
      <c r="U679" s="2098"/>
      <c r="V679" s="2098"/>
      <c r="W679" s="2098"/>
      <c r="X679" s="2098"/>
      <c r="Y679" s="2098"/>
      <c r="Z679" s="2098"/>
      <c r="AA679" s="2098"/>
      <c r="AB679" s="2098"/>
      <c r="AC679" s="2098"/>
      <c r="AD679" s="2098"/>
      <c r="AE679" s="2098"/>
      <c r="AF679" s="2098"/>
      <c r="AG679" s="2098"/>
      <c r="AH679" s="2098"/>
      <c r="AI679" s="2098"/>
      <c r="AJ679" s="2098"/>
      <c r="AK679" s="2098"/>
      <c r="AL679" s="2098"/>
      <c r="AM679" s="2098"/>
      <c r="AN679" s="2098"/>
      <c r="AO679" s="2098"/>
      <c r="AP679" s="2098"/>
      <c r="AQ679" s="2098"/>
      <c r="AR679" s="2098"/>
      <c r="AS679" s="2098"/>
      <c r="AT679" s="2098"/>
      <c r="AU679" s="2098"/>
      <c r="AV679" s="2098"/>
      <c r="AW679" s="2098"/>
      <c r="AX679" s="2098"/>
      <c r="AY679" s="2098"/>
      <c r="AZ679" s="2098"/>
    </row>
    <row r="680" spans="3:52">
      <c r="C680" s="2096"/>
      <c r="D680" s="2097"/>
      <c r="E680" s="2098"/>
      <c r="F680" s="2098"/>
      <c r="G680" s="2098"/>
      <c r="H680" s="2098"/>
      <c r="I680" s="2098"/>
      <c r="J680" s="2098"/>
      <c r="K680" s="2098"/>
      <c r="L680" s="2098"/>
      <c r="M680" s="2098"/>
      <c r="N680" s="2098"/>
      <c r="O680" s="2098"/>
      <c r="P680" s="2098"/>
      <c r="Q680" s="2098"/>
      <c r="R680" s="2098"/>
      <c r="S680" s="2098"/>
      <c r="T680" s="2098"/>
      <c r="U680" s="2098"/>
      <c r="V680" s="2098"/>
      <c r="W680" s="2098"/>
      <c r="X680" s="2098"/>
      <c r="Y680" s="2098"/>
      <c r="Z680" s="2098"/>
      <c r="AA680" s="2098"/>
      <c r="AB680" s="2098"/>
      <c r="AC680" s="2098"/>
      <c r="AD680" s="2098"/>
      <c r="AE680" s="2098"/>
      <c r="AF680" s="2098"/>
      <c r="AG680" s="2098"/>
      <c r="AH680" s="2098"/>
      <c r="AI680" s="2098"/>
      <c r="AJ680" s="2098"/>
      <c r="AK680" s="2098"/>
      <c r="AL680" s="2098"/>
      <c r="AM680" s="2098"/>
      <c r="AN680" s="2098"/>
      <c r="AO680" s="2098"/>
      <c r="AP680" s="2098"/>
      <c r="AQ680" s="2098"/>
      <c r="AR680" s="2098"/>
      <c r="AS680" s="2098"/>
      <c r="AT680" s="2098"/>
      <c r="AU680" s="2098"/>
      <c r="AV680" s="2098"/>
      <c r="AW680" s="2098"/>
      <c r="AX680" s="2098"/>
      <c r="AY680" s="2098"/>
      <c r="AZ680" s="2098"/>
    </row>
    <row r="681" spans="3:52">
      <c r="C681" s="2096"/>
      <c r="D681" s="2097"/>
      <c r="E681" s="2098"/>
      <c r="F681" s="2098"/>
      <c r="G681" s="2098"/>
      <c r="H681" s="2098"/>
      <c r="I681" s="2098"/>
      <c r="J681" s="2098"/>
      <c r="K681" s="2098"/>
      <c r="L681" s="2098"/>
      <c r="M681" s="2098"/>
      <c r="N681" s="2098"/>
      <c r="O681" s="2098"/>
      <c r="P681" s="2098"/>
      <c r="Q681" s="2098"/>
      <c r="R681" s="2098"/>
      <c r="S681" s="2098"/>
      <c r="T681" s="2098"/>
      <c r="U681" s="2098"/>
      <c r="V681" s="2098"/>
      <c r="W681" s="2098"/>
      <c r="X681" s="2098"/>
      <c r="Y681" s="2098"/>
      <c r="Z681" s="2098"/>
      <c r="AA681" s="2098"/>
      <c r="AB681" s="2098"/>
      <c r="AC681" s="2098"/>
      <c r="AD681" s="2098"/>
      <c r="AE681" s="2098"/>
      <c r="AF681" s="2098"/>
      <c r="AG681" s="2098"/>
      <c r="AH681" s="2098"/>
      <c r="AI681" s="2098"/>
      <c r="AJ681" s="2098"/>
      <c r="AK681" s="2098"/>
      <c r="AL681" s="2098"/>
      <c r="AM681" s="2098"/>
      <c r="AN681" s="2098"/>
      <c r="AO681" s="2098"/>
      <c r="AP681" s="2098"/>
      <c r="AQ681" s="2098"/>
      <c r="AR681" s="2098"/>
      <c r="AS681" s="2098"/>
      <c r="AT681" s="2098"/>
      <c r="AU681" s="2098"/>
      <c r="AV681" s="2098"/>
      <c r="AW681" s="2098"/>
      <c r="AX681" s="2098"/>
      <c r="AY681" s="2098"/>
      <c r="AZ681" s="2098"/>
    </row>
    <row r="682" spans="3:52">
      <c r="C682" s="2096"/>
      <c r="D682" s="2097"/>
      <c r="E682" s="2098"/>
      <c r="F682" s="2098"/>
      <c r="G682" s="2098"/>
      <c r="H682" s="2098"/>
      <c r="I682" s="2098"/>
      <c r="J682" s="2098"/>
      <c r="K682" s="2098"/>
      <c r="L682" s="2098"/>
      <c r="M682" s="2098"/>
      <c r="N682" s="2098"/>
      <c r="O682" s="2098"/>
      <c r="P682" s="2098"/>
      <c r="Q682" s="2098"/>
      <c r="R682" s="2098"/>
      <c r="S682" s="2098"/>
      <c r="T682" s="2098"/>
      <c r="U682" s="2098"/>
      <c r="V682" s="2098"/>
      <c r="W682" s="2098"/>
      <c r="X682" s="2098"/>
      <c r="Y682" s="2098"/>
      <c r="Z682" s="2098"/>
      <c r="AA682" s="2098"/>
      <c r="AB682" s="2098"/>
      <c r="AC682" s="2098"/>
      <c r="AD682" s="2098"/>
      <c r="AE682" s="2098"/>
      <c r="AF682" s="2098"/>
      <c r="AG682" s="2098"/>
      <c r="AH682" s="2098"/>
      <c r="AI682" s="2098"/>
      <c r="AJ682" s="2098"/>
      <c r="AK682" s="2098"/>
      <c r="AL682" s="2098"/>
      <c r="AM682" s="2098"/>
      <c r="AN682" s="2098"/>
      <c r="AO682" s="2098"/>
      <c r="AP682" s="2098"/>
      <c r="AQ682" s="2098"/>
      <c r="AR682" s="2098"/>
      <c r="AS682" s="2098"/>
      <c r="AT682" s="2098"/>
      <c r="AU682" s="2098"/>
      <c r="AV682" s="2098"/>
      <c r="AW682" s="2098"/>
      <c r="AX682" s="2098"/>
      <c r="AY682" s="2098"/>
      <c r="AZ682" s="2098"/>
    </row>
    <row r="683" spans="3:52">
      <c r="C683" s="2096"/>
      <c r="D683" s="2097"/>
      <c r="E683" s="2098"/>
      <c r="F683" s="2098"/>
      <c r="G683" s="2098"/>
      <c r="H683" s="2098"/>
      <c r="I683" s="2098"/>
      <c r="J683" s="2098"/>
      <c r="K683" s="2098"/>
      <c r="L683" s="2098"/>
      <c r="M683" s="2098"/>
      <c r="N683" s="2098"/>
      <c r="O683" s="2098"/>
      <c r="P683" s="2098"/>
      <c r="Q683" s="2098"/>
      <c r="R683" s="2098"/>
      <c r="S683" s="2098"/>
      <c r="T683" s="2098"/>
      <c r="U683" s="2098"/>
      <c r="V683" s="2098"/>
      <c r="W683" s="2098"/>
      <c r="X683" s="2098"/>
      <c r="Y683" s="2098"/>
      <c r="Z683" s="2098"/>
      <c r="AA683" s="2098"/>
      <c r="AB683" s="2098"/>
      <c r="AC683" s="2098"/>
      <c r="AD683" s="2098"/>
      <c r="AE683" s="2098"/>
      <c r="AF683" s="2098"/>
      <c r="AG683" s="2098"/>
      <c r="AH683" s="2098"/>
      <c r="AI683" s="2098"/>
      <c r="AJ683" s="2098"/>
      <c r="AK683" s="2098"/>
      <c r="AL683" s="2098"/>
      <c r="AM683" s="2098"/>
      <c r="AN683" s="2098"/>
      <c r="AO683" s="2098"/>
      <c r="AP683" s="2098"/>
      <c r="AQ683" s="2098"/>
      <c r="AR683" s="2098"/>
      <c r="AS683" s="2098"/>
      <c r="AT683" s="2098"/>
      <c r="AU683" s="2098"/>
      <c r="AV683" s="2098"/>
      <c r="AW683" s="2098"/>
      <c r="AX683" s="2098"/>
      <c r="AY683" s="2098"/>
      <c r="AZ683" s="2098"/>
    </row>
    <row r="684" spans="3:52">
      <c r="C684" s="2096"/>
      <c r="D684" s="2097"/>
      <c r="E684" s="2098"/>
      <c r="F684" s="2098"/>
      <c r="G684" s="2098"/>
      <c r="H684" s="2098"/>
      <c r="I684" s="2098"/>
      <c r="J684" s="2098"/>
      <c r="K684" s="2098"/>
      <c r="L684" s="2098"/>
      <c r="M684" s="2098"/>
      <c r="N684" s="2098"/>
      <c r="O684" s="2098"/>
      <c r="P684" s="2098"/>
      <c r="Q684" s="2098"/>
      <c r="R684" s="2098"/>
      <c r="S684" s="2098"/>
      <c r="T684" s="2098"/>
      <c r="U684" s="2098"/>
      <c r="V684" s="2098"/>
      <c r="W684" s="2098"/>
      <c r="X684" s="2098"/>
      <c r="Y684" s="2098"/>
      <c r="Z684" s="2098"/>
      <c r="AA684" s="2098"/>
      <c r="AB684" s="2098"/>
      <c r="AC684" s="2098"/>
      <c r="AD684" s="2098"/>
      <c r="AE684" s="2098"/>
      <c r="AF684" s="2098"/>
      <c r="AG684" s="2098"/>
      <c r="AH684" s="2098"/>
      <c r="AI684" s="2098"/>
      <c r="AJ684" s="2098"/>
      <c r="AK684" s="2098"/>
      <c r="AL684" s="2098"/>
      <c r="AM684" s="2098"/>
      <c r="AN684" s="2098"/>
      <c r="AO684" s="2098"/>
      <c r="AP684" s="2098"/>
      <c r="AQ684" s="2098"/>
      <c r="AR684" s="2098"/>
      <c r="AS684" s="2098"/>
      <c r="AT684" s="2098"/>
      <c r="AU684" s="2098"/>
      <c r="AV684" s="2098"/>
      <c r="AW684" s="2098"/>
      <c r="AX684" s="2098"/>
      <c r="AY684" s="2098"/>
      <c r="AZ684" s="2098"/>
    </row>
    <row r="685" spans="3:52">
      <c r="C685" s="2096"/>
      <c r="D685" s="2097"/>
      <c r="E685" s="2098"/>
      <c r="F685" s="2098"/>
      <c r="G685" s="2098"/>
      <c r="H685" s="2098"/>
      <c r="I685" s="2098"/>
      <c r="J685" s="2098"/>
      <c r="K685" s="2098"/>
      <c r="L685" s="2098"/>
      <c r="M685" s="2098"/>
      <c r="N685" s="2098"/>
      <c r="O685" s="2098"/>
      <c r="P685" s="2098"/>
      <c r="Q685" s="2098"/>
      <c r="R685" s="2098"/>
      <c r="S685" s="2098"/>
      <c r="T685" s="2098"/>
      <c r="U685" s="2098"/>
      <c r="V685" s="2098"/>
      <c r="W685" s="2098"/>
      <c r="X685" s="2098"/>
      <c r="Y685" s="2098"/>
      <c r="Z685" s="2098"/>
      <c r="AA685" s="2098"/>
      <c r="AB685" s="2098"/>
      <c r="AC685" s="2098"/>
      <c r="AD685" s="2098"/>
      <c r="AE685" s="2098"/>
      <c r="AF685" s="2098"/>
      <c r="AG685" s="2098"/>
      <c r="AH685" s="2098"/>
      <c r="AI685" s="2098"/>
      <c r="AJ685" s="2098"/>
      <c r="AK685" s="2098"/>
      <c r="AL685" s="2098"/>
      <c r="AM685" s="2098"/>
      <c r="AN685" s="2098"/>
      <c r="AO685" s="2098"/>
      <c r="AP685" s="2098"/>
      <c r="AQ685" s="2098"/>
      <c r="AR685" s="2098"/>
      <c r="AS685" s="2098"/>
      <c r="AT685" s="2098"/>
      <c r="AU685" s="2098"/>
      <c r="AV685" s="2098"/>
      <c r="AW685" s="2098"/>
      <c r="AX685" s="2098"/>
      <c r="AY685" s="2098"/>
      <c r="AZ685" s="2098"/>
    </row>
    <row r="686" spans="3:52">
      <c r="C686" s="2096"/>
      <c r="D686" s="2097"/>
      <c r="E686" s="2098"/>
      <c r="F686" s="2098"/>
      <c r="G686" s="2098"/>
      <c r="H686" s="2098"/>
      <c r="I686" s="2098"/>
      <c r="J686" s="2098"/>
      <c r="K686" s="2098"/>
      <c r="L686" s="2098"/>
      <c r="M686" s="2098"/>
      <c r="N686" s="2098"/>
      <c r="O686" s="2098"/>
      <c r="P686" s="2098"/>
      <c r="Q686" s="2098"/>
      <c r="R686" s="2098"/>
      <c r="S686" s="2098"/>
      <c r="T686" s="2098"/>
      <c r="U686" s="2098"/>
      <c r="V686" s="2098"/>
      <c r="W686" s="2098"/>
      <c r="X686" s="2098"/>
      <c r="Y686" s="2098"/>
      <c r="Z686" s="2098"/>
      <c r="AA686" s="2098"/>
      <c r="AB686" s="2098"/>
      <c r="AC686" s="2098"/>
      <c r="AD686" s="2098"/>
      <c r="AE686" s="2098"/>
      <c r="AF686" s="2098"/>
      <c r="AG686" s="2098"/>
      <c r="AH686" s="2098"/>
      <c r="AI686" s="2098"/>
      <c r="AJ686" s="2098"/>
      <c r="AK686" s="2098"/>
      <c r="AL686" s="2098"/>
      <c r="AM686" s="2098"/>
      <c r="AN686" s="2098"/>
      <c r="AO686" s="2098"/>
      <c r="AP686" s="2098"/>
      <c r="AQ686" s="2098"/>
      <c r="AR686" s="2098"/>
      <c r="AS686" s="2098"/>
      <c r="AT686" s="2098"/>
      <c r="AU686" s="2098"/>
      <c r="AV686" s="2098"/>
      <c r="AW686" s="2098"/>
      <c r="AX686" s="2098"/>
      <c r="AY686" s="2098"/>
      <c r="AZ686" s="2098"/>
    </row>
    <row r="687" spans="3:52">
      <c r="C687" s="2096"/>
      <c r="D687" s="2097"/>
      <c r="E687" s="2098"/>
      <c r="F687" s="2098"/>
      <c r="G687" s="2098"/>
      <c r="H687" s="2098"/>
      <c r="I687" s="2098"/>
      <c r="J687" s="2098"/>
      <c r="K687" s="2098"/>
      <c r="L687" s="2098"/>
      <c r="M687" s="2098"/>
      <c r="N687" s="2098"/>
      <c r="O687" s="2098"/>
      <c r="P687" s="2098"/>
      <c r="Q687" s="2098"/>
      <c r="R687" s="2098"/>
      <c r="S687" s="2098"/>
      <c r="T687" s="2098"/>
      <c r="U687" s="2098"/>
      <c r="V687" s="2098"/>
      <c r="W687" s="2098"/>
      <c r="X687" s="2098"/>
      <c r="Y687" s="2098"/>
      <c r="Z687" s="2098"/>
      <c r="AA687" s="2098"/>
      <c r="AB687" s="2098"/>
      <c r="AC687" s="2098"/>
      <c r="AD687" s="2098"/>
      <c r="AE687" s="2098"/>
      <c r="AF687" s="2098"/>
      <c r="AG687" s="2098"/>
      <c r="AH687" s="2098"/>
      <c r="AI687" s="2098"/>
      <c r="AJ687" s="2098"/>
      <c r="AK687" s="2098"/>
      <c r="AL687" s="2098"/>
      <c r="AM687" s="2098"/>
      <c r="AN687" s="2098"/>
      <c r="AO687" s="2098"/>
      <c r="AP687" s="2098"/>
      <c r="AQ687" s="2098"/>
      <c r="AR687" s="2098"/>
      <c r="AS687" s="2098"/>
      <c r="AT687" s="2098"/>
      <c r="AU687" s="2098"/>
      <c r="AV687" s="2098"/>
      <c r="AW687" s="2098"/>
      <c r="AX687" s="2098"/>
      <c r="AY687" s="2098"/>
      <c r="AZ687" s="2098"/>
    </row>
    <row r="688" spans="3:52">
      <c r="C688" s="2096"/>
      <c r="D688" s="2097"/>
      <c r="E688" s="2098"/>
      <c r="F688" s="2098"/>
      <c r="G688" s="2098"/>
      <c r="H688" s="2098"/>
      <c r="I688" s="2098"/>
      <c r="J688" s="2098"/>
      <c r="K688" s="2098"/>
      <c r="L688" s="2098"/>
      <c r="M688" s="2098"/>
      <c r="N688" s="2098"/>
      <c r="O688" s="2098"/>
      <c r="P688" s="2098"/>
      <c r="Q688" s="2098"/>
      <c r="R688" s="2098"/>
      <c r="S688" s="2098"/>
      <c r="T688" s="2098"/>
      <c r="U688" s="2098"/>
      <c r="V688" s="2098"/>
      <c r="W688" s="2098"/>
      <c r="X688" s="2098"/>
      <c r="Y688" s="2098"/>
      <c r="Z688" s="2098"/>
      <c r="AA688" s="2098"/>
      <c r="AB688" s="2098"/>
      <c r="AC688" s="2098"/>
      <c r="AD688" s="2098"/>
      <c r="AE688" s="2098"/>
      <c r="AF688" s="2098"/>
      <c r="AG688" s="2098"/>
      <c r="AH688" s="2098"/>
      <c r="AI688" s="2098"/>
      <c r="AJ688" s="2098"/>
      <c r="AK688" s="2098"/>
      <c r="AL688" s="2098"/>
      <c r="AM688" s="2098"/>
      <c r="AN688" s="2098"/>
      <c r="AO688" s="2098"/>
      <c r="AP688" s="2098"/>
      <c r="AQ688" s="2098"/>
      <c r="AR688" s="2098"/>
      <c r="AS688" s="2098"/>
      <c r="AT688" s="2098"/>
      <c r="AU688" s="2098"/>
      <c r="AV688" s="2098"/>
      <c r="AW688" s="2098"/>
      <c r="AX688" s="2098"/>
      <c r="AY688" s="2098"/>
      <c r="AZ688" s="2098"/>
    </row>
    <row r="689" spans="3:52">
      <c r="C689" s="2096"/>
      <c r="D689" s="2097"/>
      <c r="E689" s="2098"/>
      <c r="F689" s="2098"/>
      <c r="G689" s="2098"/>
      <c r="H689" s="2098"/>
      <c r="I689" s="2098"/>
      <c r="J689" s="2098"/>
      <c r="K689" s="2098"/>
      <c r="L689" s="2098"/>
      <c r="M689" s="2098"/>
      <c r="N689" s="2098"/>
      <c r="O689" s="2098"/>
      <c r="P689" s="2098"/>
      <c r="Q689" s="2098"/>
      <c r="R689" s="2098"/>
      <c r="S689" s="2098"/>
      <c r="T689" s="2098"/>
      <c r="U689" s="2098"/>
      <c r="V689" s="2098"/>
      <c r="W689" s="2098"/>
      <c r="X689" s="2098"/>
      <c r="Y689" s="2098"/>
      <c r="Z689" s="2098"/>
      <c r="AA689" s="2098"/>
      <c r="AB689" s="2098"/>
      <c r="AC689" s="2098"/>
      <c r="AD689" s="2098"/>
      <c r="AE689" s="2098"/>
      <c r="AF689" s="2098"/>
      <c r="AG689" s="2098"/>
      <c r="AH689" s="2098"/>
      <c r="AI689" s="2098"/>
      <c r="AJ689" s="2098"/>
      <c r="AK689" s="2098"/>
      <c r="AL689" s="2098"/>
      <c r="AM689" s="2098"/>
      <c r="AN689" s="2098"/>
      <c r="AO689" s="2098"/>
      <c r="AP689" s="2098"/>
      <c r="AQ689" s="2098"/>
      <c r="AR689" s="2098"/>
      <c r="AS689" s="2098"/>
      <c r="AT689" s="2098"/>
      <c r="AU689" s="2098"/>
      <c r="AV689" s="2098"/>
      <c r="AW689" s="2098"/>
      <c r="AX689" s="2098"/>
      <c r="AY689" s="2098"/>
      <c r="AZ689" s="2098"/>
    </row>
    <row r="690" spans="3:52">
      <c r="C690" s="2096"/>
      <c r="D690" s="2097"/>
      <c r="E690" s="2098"/>
      <c r="F690" s="2098"/>
      <c r="G690" s="2098"/>
      <c r="H690" s="2098"/>
      <c r="I690" s="2098"/>
      <c r="J690" s="2098"/>
      <c r="K690" s="2098"/>
      <c r="L690" s="2098"/>
      <c r="M690" s="2098"/>
      <c r="N690" s="2098"/>
      <c r="O690" s="2098"/>
      <c r="P690" s="2098"/>
      <c r="Q690" s="2098"/>
      <c r="R690" s="2098"/>
      <c r="S690" s="2098"/>
      <c r="T690" s="2098"/>
      <c r="U690" s="2098"/>
      <c r="V690" s="2098"/>
      <c r="W690" s="2098"/>
      <c r="X690" s="2098"/>
      <c r="Y690" s="2098"/>
      <c r="Z690" s="2098"/>
      <c r="AA690" s="2098"/>
      <c r="AB690" s="2098"/>
      <c r="AC690" s="2098"/>
      <c r="AD690" s="2098"/>
      <c r="AE690" s="2098"/>
      <c r="AF690" s="2098"/>
      <c r="AG690" s="2098"/>
      <c r="AH690" s="2098"/>
      <c r="AI690" s="2098"/>
      <c r="AJ690" s="2098"/>
      <c r="AK690" s="2098"/>
      <c r="AL690" s="2098"/>
      <c r="AM690" s="2098"/>
      <c r="AN690" s="2098"/>
      <c r="AO690" s="2098"/>
      <c r="AP690" s="2098"/>
      <c r="AQ690" s="2098"/>
      <c r="AR690" s="2098"/>
      <c r="AS690" s="2098"/>
      <c r="AT690" s="2098"/>
      <c r="AU690" s="2098"/>
      <c r="AV690" s="2098"/>
      <c r="AW690" s="2098"/>
      <c r="AX690" s="2098"/>
      <c r="AY690" s="2098"/>
      <c r="AZ690" s="2098"/>
    </row>
    <row r="691" spans="3:52">
      <c r="C691" s="2096"/>
      <c r="D691" s="2097"/>
      <c r="E691" s="2098"/>
      <c r="F691" s="2098"/>
      <c r="G691" s="2098"/>
      <c r="H691" s="2098"/>
      <c r="I691" s="2098"/>
      <c r="J691" s="2098"/>
      <c r="K691" s="2098"/>
      <c r="L691" s="2098"/>
      <c r="M691" s="2098"/>
      <c r="N691" s="2098"/>
      <c r="O691" s="2098"/>
      <c r="P691" s="2098"/>
      <c r="Q691" s="2098"/>
      <c r="R691" s="2098"/>
      <c r="S691" s="2098"/>
      <c r="T691" s="2098"/>
      <c r="U691" s="2098"/>
      <c r="V691" s="2098"/>
      <c r="W691" s="2098"/>
      <c r="X691" s="2098"/>
      <c r="Y691" s="2098"/>
      <c r="Z691" s="2098"/>
      <c r="AA691" s="2098"/>
      <c r="AB691" s="2098"/>
      <c r="AC691" s="2098"/>
      <c r="AD691" s="2098"/>
      <c r="AE691" s="2098"/>
      <c r="AF691" s="2098"/>
      <c r="AG691" s="2098"/>
      <c r="AH691" s="2098"/>
      <c r="AI691" s="2098"/>
      <c r="AJ691" s="2098"/>
      <c r="AK691" s="2098"/>
      <c r="AL691" s="2098"/>
      <c r="AM691" s="2098"/>
      <c r="AN691" s="2098"/>
      <c r="AO691" s="2098"/>
      <c r="AP691" s="2098"/>
      <c r="AQ691" s="2098"/>
      <c r="AR691" s="2098"/>
      <c r="AS691" s="2098"/>
      <c r="AT691" s="2098"/>
      <c r="AU691" s="2098"/>
      <c r="AV691" s="2098"/>
      <c r="AW691" s="2098"/>
      <c r="AX691" s="2098"/>
      <c r="AY691" s="2098"/>
      <c r="AZ691" s="2098"/>
    </row>
    <row r="692" spans="3:52">
      <c r="C692" s="2096"/>
      <c r="D692" s="2097"/>
      <c r="E692" s="2098"/>
      <c r="F692" s="2098"/>
      <c r="G692" s="2098"/>
      <c r="H692" s="2098"/>
      <c r="I692" s="2098"/>
      <c r="J692" s="2098"/>
      <c r="K692" s="2098"/>
      <c r="L692" s="2098"/>
      <c r="M692" s="2098"/>
      <c r="N692" s="2098"/>
      <c r="O692" s="2098"/>
      <c r="P692" s="2098"/>
      <c r="Q692" s="2098"/>
      <c r="R692" s="2098"/>
      <c r="S692" s="2098"/>
      <c r="T692" s="2098"/>
      <c r="U692" s="2098"/>
      <c r="V692" s="2098"/>
      <c r="W692" s="2098"/>
      <c r="X692" s="2098"/>
      <c r="Y692" s="2098"/>
      <c r="Z692" s="2098"/>
      <c r="AA692" s="2098"/>
      <c r="AB692" s="2098"/>
      <c r="AC692" s="2098"/>
      <c r="AD692" s="2098"/>
      <c r="AE692" s="2098"/>
      <c r="AF692" s="2098"/>
      <c r="AG692" s="2098"/>
      <c r="AH692" s="2098"/>
      <c r="AI692" s="2098"/>
      <c r="AJ692" s="2098"/>
      <c r="AK692" s="2098"/>
      <c r="AL692" s="2098"/>
      <c r="AM692" s="2098"/>
      <c r="AN692" s="2098"/>
      <c r="AO692" s="2098"/>
      <c r="AP692" s="2098"/>
      <c r="AQ692" s="2098"/>
      <c r="AR692" s="2098"/>
      <c r="AS692" s="2098"/>
      <c r="AT692" s="2098"/>
      <c r="AU692" s="2098"/>
      <c r="AV692" s="2098"/>
      <c r="AW692" s="2098"/>
      <c r="AX692" s="2098"/>
      <c r="AY692" s="2098"/>
      <c r="AZ692" s="2098"/>
    </row>
    <row r="693" spans="3:52">
      <c r="C693" s="2096"/>
      <c r="D693" s="2097"/>
      <c r="E693" s="2098"/>
      <c r="F693" s="2098"/>
      <c r="G693" s="2098"/>
      <c r="H693" s="2098"/>
      <c r="I693" s="2098"/>
      <c r="J693" s="2098"/>
      <c r="K693" s="2098"/>
      <c r="L693" s="2098"/>
      <c r="M693" s="2098"/>
      <c r="N693" s="2098"/>
      <c r="O693" s="2098"/>
      <c r="P693" s="2098"/>
      <c r="Q693" s="2098"/>
      <c r="R693" s="2098"/>
      <c r="S693" s="2098"/>
      <c r="T693" s="2098"/>
      <c r="U693" s="2098"/>
      <c r="V693" s="2098"/>
      <c r="W693" s="2098"/>
      <c r="X693" s="2098"/>
      <c r="Y693" s="2098"/>
      <c r="Z693" s="2098"/>
      <c r="AA693" s="2098"/>
      <c r="AB693" s="2098"/>
      <c r="AC693" s="2098"/>
      <c r="AD693" s="2098"/>
      <c r="AE693" s="2098"/>
      <c r="AF693" s="2098"/>
      <c r="AG693" s="2098"/>
      <c r="AH693" s="2098"/>
      <c r="AI693" s="2098"/>
      <c r="AJ693" s="2098"/>
      <c r="AK693" s="2098"/>
      <c r="AL693" s="2098"/>
      <c r="AM693" s="2098"/>
      <c r="AN693" s="2098"/>
      <c r="AO693" s="2098"/>
      <c r="AP693" s="2098"/>
      <c r="AQ693" s="2098"/>
      <c r="AR693" s="2098"/>
      <c r="AS693" s="2098"/>
      <c r="AT693" s="2098"/>
      <c r="AU693" s="2098"/>
      <c r="AV693" s="2098"/>
      <c r="AW693" s="2098"/>
      <c r="AX693" s="2098"/>
      <c r="AY693" s="2098"/>
      <c r="AZ693" s="2098"/>
    </row>
    <row r="694" spans="3:52">
      <c r="C694" s="2096"/>
      <c r="D694" s="2097"/>
      <c r="E694" s="2098"/>
      <c r="F694" s="2098"/>
      <c r="G694" s="2098"/>
      <c r="H694" s="2098"/>
      <c r="I694" s="2098"/>
      <c r="J694" s="2098"/>
      <c r="K694" s="2098"/>
      <c r="L694" s="2098"/>
      <c r="M694" s="2098"/>
      <c r="N694" s="2098"/>
      <c r="O694" s="2098"/>
      <c r="P694" s="2098"/>
      <c r="Q694" s="2098"/>
      <c r="R694" s="2098"/>
      <c r="S694" s="2098"/>
      <c r="T694" s="2098"/>
      <c r="U694" s="2098"/>
      <c r="V694" s="2098"/>
      <c r="W694" s="2098"/>
      <c r="X694" s="2098"/>
      <c r="Y694" s="2098"/>
      <c r="Z694" s="2098"/>
      <c r="AA694" s="2098"/>
      <c r="AB694" s="2098"/>
      <c r="AC694" s="2098"/>
      <c r="AD694" s="2098"/>
      <c r="AE694" s="2098"/>
      <c r="AF694" s="2098"/>
      <c r="AG694" s="2098"/>
      <c r="AH694" s="2098"/>
      <c r="AI694" s="2098"/>
      <c r="AJ694" s="2098"/>
      <c r="AK694" s="2098"/>
      <c r="AL694" s="2098"/>
      <c r="AM694" s="2098"/>
      <c r="AN694" s="2098"/>
      <c r="AO694" s="2098"/>
      <c r="AP694" s="2098"/>
      <c r="AQ694" s="2098"/>
      <c r="AR694" s="2098"/>
      <c r="AS694" s="2098"/>
      <c r="AT694" s="2098"/>
      <c r="AU694" s="2098"/>
      <c r="AV694" s="2098"/>
      <c r="AW694" s="2098"/>
      <c r="AX694" s="2098"/>
      <c r="AY694" s="2098"/>
      <c r="AZ694" s="2098"/>
    </row>
    <row r="695" spans="3:52">
      <c r="C695" s="2096"/>
      <c r="D695" s="2097"/>
      <c r="E695" s="2098"/>
      <c r="F695" s="2098"/>
      <c r="G695" s="2098"/>
      <c r="H695" s="2098"/>
      <c r="I695" s="2098"/>
      <c r="J695" s="2098"/>
      <c r="K695" s="2098"/>
      <c r="L695" s="2098"/>
      <c r="M695" s="2098"/>
      <c r="N695" s="2098"/>
      <c r="O695" s="2098"/>
      <c r="P695" s="2098"/>
      <c r="Q695" s="2098"/>
      <c r="R695" s="2098"/>
      <c r="S695" s="2098"/>
      <c r="T695" s="2098"/>
      <c r="U695" s="2098"/>
      <c r="V695" s="2098"/>
      <c r="W695" s="2098"/>
      <c r="X695" s="2098"/>
      <c r="Y695" s="2098"/>
      <c r="Z695" s="2098"/>
      <c r="AA695" s="2098"/>
      <c r="AB695" s="2098"/>
      <c r="AC695" s="2098"/>
      <c r="AD695" s="2098"/>
      <c r="AE695" s="2098"/>
      <c r="AF695" s="2098"/>
      <c r="AG695" s="2098"/>
      <c r="AH695" s="2098"/>
      <c r="AI695" s="2098"/>
      <c r="AJ695" s="2098"/>
      <c r="AK695" s="2098"/>
      <c r="AL695" s="2098"/>
      <c r="AM695" s="2098"/>
      <c r="AN695" s="2098"/>
      <c r="AO695" s="2098"/>
      <c r="AP695" s="2098"/>
      <c r="AQ695" s="2098"/>
      <c r="AR695" s="2098"/>
      <c r="AS695" s="2098"/>
      <c r="AT695" s="2098"/>
      <c r="AU695" s="2098"/>
      <c r="AV695" s="2098"/>
      <c r="AW695" s="2098"/>
      <c r="AX695" s="2098"/>
      <c r="AY695" s="2098"/>
      <c r="AZ695" s="2098"/>
    </row>
    <row r="696" spans="3:52">
      <c r="C696" s="2096"/>
      <c r="D696" s="2097"/>
      <c r="E696" s="2098"/>
      <c r="F696" s="2098"/>
      <c r="G696" s="2098"/>
      <c r="H696" s="2098"/>
      <c r="I696" s="2098"/>
      <c r="J696" s="2098"/>
      <c r="K696" s="2098"/>
      <c r="L696" s="2098"/>
      <c r="M696" s="2098"/>
      <c r="N696" s="2098"/>
      <c r="O696" s="2098"/>
      <c r="P696" s="2098"/>
      <c r="Q696" s="2098"/>
      <c r="R696" s="2098"/>
      <c r="S696" s="2098"/>
      <c r="T696" s="2098"/>
      <c r="U696" s="2098"/>
      <c r="V696" s="2098"/>
      <c r="W696" s="2098"/>
      <c r="X696" s="2098"/>
      <c r="Y696" s="2098"/>
      <c r="Z696" s="2098"/>
      <c r="AA696" s="2098"/>
      <c r="AB696" s="2098"/>
      <c r="AC696" s="2098"/>
      <c r="AD696" s="2098"/>
      <c r="AE696" s="2098"/>
      <c r="AF696" s="2098"/>
      <c r="AG696" s="2098"/>
      <c r="AH696" s="2098"/>
      <c r="AI696" s="2098"/>
      <c r="AJ696" s="2098"/>
      <c r="AK696" s="2098"/>
      <c r="AL696" s="2098"/>
      <c r="AM696" s="2098"/>
      <c r="AN696" s="2098"/>
      <c r="AO696" s="2098"/>
      <c r="AP696" s="2098"/>
      <c r="AQ696" s="2098"/>
      <c r="AR696" s="2098"/>
      <c r="AS696" s="2098"/>
      <c r="AT696" s="2098"/>
      <c r="AU696" s="2098"/>
      <c r="AV696" s="2098"/>
      <c r="AW696" s="2098"/>
      <c r="AX696" s="2098"/>
      <c r="AY696" s="2098"/>
      <c r="AZ696" s="2098"/>
    </row>
    <row r="697" spans="3:52">
      <c r="C697" s="2096"/>
      <c r="D697" s="2097"/>
      <c r="E697" s="2098"/>
      <c r="F697" s="2098"/>
      <c r="G697" s="2098"/>
      <c r="H697" s="2098"/>
      <c r="I697" s="2098"/>
      <c r="J697" s="2098"/>
      <c r="K697" s="2098"/>
      <c r="L697" s="2098"/>
      <c r="M697" s="2098"/>
      <c r="N697" s="2098"/>
      <c r="O697" s="2098"/>
      <c r="P697" s="2098"/>
      <c r="Q697" s="2098"/>
      <c r="R697" s="2098"/>
      <c r="S697" s="2098"/>
      <c r="T697" s="2098"/>
      <c r="U697" s="2098"/>
      <c r="V697" s="2098"/>
      <c r="W697" s="2098"/>
      <c r="X697" s="2098"/>
      <c r="Y697" s="2098"/>
      <c r="Z697" s="2098"/>
      <c r="AA697" s="2098"/>
      <c r="AB697" s="2098"/>
      <c r="AC697" s="2098"/>
      <c r="AD697" s="2098"/>
      <c r="AE697" s="2098"/>
      <c r="AF697" s="2098"/>
      <c r="AG697" s="2098"/>
      <c r="AH697" s="2098"/>
      <c r="AI697" s="2098"/>
      <c r="AJ697" s="2098"/>
      <c r="AK697" s="2098"/>
      <c r="AL697" s="2098"/>
      <c r="AM697" s="2098"/>
      <c r="AN697" s="2098"/>
      <c r="AO697" s="2098"/>
      <c r="AP697" s="2098"/>
      <c r="AQ697" s="2098"/>
      <c r="AR697" s="2098"/>
      <c r="AS697" s="2098"/>
      <c r="AT697" s="2098"/>
      <c r="AU697" s="2098"/>
      <c r="AV697" s="2098"/>
      <c r="AW697" s="2098"/>
      <c r="AX697" s="2098"/>
      <c r="AY697" s="2098"/>
      <c r="AZ697" s="2098"/>
    </row>
    <row r="698" spans="3:52">
      <c r="C698" s="2096"/>
      <c r="D698" s="2097"/>
      <c r="E698" s="2098"/>
      <c r="F698" s="2098"/>
      <c r="G698" s="2098"/>
      <c r="H698" s="2098"/>
      <c r="I698" s="2098"/>
      <c r="J698" s="2098"/>
      <c r="K698" s="2098"/>
      <c r="L698" s="2098"/>
      <c r="M698" s="2098"/>
      <c r="N698" s="2098"/>
      <c r="O698" s="2098"/>
      <c r="P698" s="2098"/>
      <c r="Q698" s="2098"/>
      <c r="R698" s="2098"/>
      <c r="S698" s="2098"/>
      <c r="T698" s="2098"/>
      <c r="U698" s="2098"/>
      <c r="V698" s="2098"/>
      <c r="W698" s="2098"/>
      <c r="X698" s="2098"/>
      <c r="Y698" s="2098"/>
      <c r="Z698" s="2098"/>
      <c r="AA698" s="2098"/>
      <c r="AB698" s="2098"/>
      <c r="AC698" s="2098"/>
      <c r="AD698" s="2098"/>
      <c r="AE698" s="2098"/>
      <c r="AF698" s="2098"/>
      <c r="AG698" s="2098"/>
      <c r="AH698" s="2098"/>
      <c r="AI698" s="2098"/>
      <c r="AJ698" s="2098"/>
      <c r="AK698" s="2098"/>
      <c r="AL698" s="2098"/>
      <c r="AM698" s="2098"/>
      <c r="AN698" s="2098"/>
      <c r="AO698" s="2098"/>
      <c r="AP698" s="2098"/>
      <c r="AQ698" s="2098"/>
      <c r="AR698" s="2098"/>
      <c r="AS698" s="2098"/>
      <c r="AT698" s="2098"/>
      <c r="AU698" s="2098"/>
      <c r="AV698" s="2098"/>
      <c r="AW698" s="2098"/>
      <c r="AX698" s="2098"/>
      <c r="AY698" s="2098"/>
      <c r="AZ698" s="2098"/>
    </row>
    <row r="699" spans="3:52">
      <c r="C699" s="2096"/>
      <c r="D699" s="2097"/>
      <c r="E699" s="2098"/>
      <c r="F699" s="2098"/>
      <c r="G699" s="2098"/>
      <c r="H699" s="2098"/>
      <c r="I699" s="2098"/>
      <c r="J699" s="2098"/>
      <c r="K699" s="2098"/>
      <c r="L699" s="2098"/>
      <c r="M699" s="2098"/>
      <c r="N699" s="2098"/>
      <c r="O699" s="2098"/>
      <c r="P699" s="2098"/>
      <c r="Q699" s="2098"/>
      <c r="R699" s="2098"/>
      <c r="S699" s="2098"/>
      <c r="T699" s="2098"/>
      <c r="U699" s="2098"/>
      <c r="V699" s="2098"/>
      <c r="W699" s="2098"/>
      <c r="X699" s="2098"/>
      <c r="Y699" s="2098"/>
      <c r="Z699" s="2098"/>
      <c r="AA699" s="2098"/>
      <c r="AB699" s="2098"/>
      <c r="AC699" s="2098"/>
      <c r="AD699" s="2098"/>
      <c r="AE699" s="2098"/>
      <c r="AF699" s="2098"/>
      <c r="AG699" s="2098"/>
      <c r="AH699" s="2098"/>
      <c r="AI699" s="2098"/>
      <c r="AJ699" s="2098"/>
      <c r="AK699" s="2098"/>
      <c r="AL699" s="2098"/>
      <c r="AM699" s="2098"/>
      <c r="AN699" s="2098"/>
      <c r="AO699" s="2098"/>
      <c r="AP699" s="2098"/>
      <c r="AQ699" s="2098"/>
      <c r="AR699" s="2098"/>
      <c r="AS699" s="2098"/>
      <c r="AT699" s="2098"/>
      <c r="AU699" s="2098"/>
      <c r="AV699" s="2098"/>
      <c r="AW699" s="2098"/>
      <c r="AX699" s="2098"/>
      <c r="AY699" s="2098"/>
      <c r="AZ699" s="2098"/>
    </row>
    <row r="700" spans="3:52">
      <c r="C700" s="2096"/>
      <c r="D700" s="2097"/>
      <c r="E700" s="2098"/>
      <c r="F700" s="2098"/>
      <c r="G700" s="2098"/>
      <c r="H700" s="2098"/>
      <c r="I700" s="2098"/>
      <c r="J700" s="2098"/>
      <c r="K700" s="2098"/>
      <c r="L700" s="2098"/>
      <c r="M700" s="2098"/>
      <c r="N700" s="2098"/>
      <c r="O700" s="2098"/>
      <c r="P700" s="2098"/>
      <c r="Q700" s="2098"/>
      <c r="R700" s="2098"/>
      <c r="S700" s="2098"/>
      <c r="T700" s="2098"/>
      <c r="U700" s="2098"/>
      <c r="V700" s="2098"/>
      <c r="W700" s="2098"/>
      <c r="X700" s="2098"/>
      <c r="Y700" s="2098"/>
      <c r="Z700" s="2098"/>
      <c r="AA700" s="2098"/>
      <c r="AB700" s="2098"/>
      <c r="AC700" s="2098"/>
      <c r="AD700" s="2098"/>
      <c r="AE700" s="2098"/>
      <c r="AF700" s="2098"/>
      <c r="AG700" s="2098"/>
      <c r="AH700" s="2098"/>
      <c r="AI700" s="2098"/>
      <c r="AJ700" s="2098"/>
      <c r="AK700" s="2098"/>
      <c r="AL700" s="2098"/>
      <c r="AM700" s="2098"/>
      <c r="AN700" s="2098"/>
      <c r="AO700" s="2098"/>
      <c r="AP700" s="2098"/>
      <c r="AQ700" s="2098"/>
      <c r="AR700" s="2098"/>
      <c r="AS700" s="2098"/>
      <c r="AT700" s="2098"/>
      <c r="AU700" s="2098"/>
      <c r="AV700" s="2098"/>
      <c r="AW700" s="2098"/>
      <c r="AX700" s="2098"/>
      <c r="AY700" s="2098"/>
      <c r="AZ700" s="2098"/>
    </row>
    <row r="701" spans="3:52">
      <c r="C701" s="2096"/>
      <c r="D701" s="2097"/>
      <c r="E701" s="2098"/>
      <c r="F701" s="2098"/>
      <c r="G701" s="2098"/>
      <c r="H701" s="2098"/>
      <c r="I701" s="2098"/>
      <c r="J701" s="2098"/>
      <c r="K701" s="2098"/>
      <c r="L701" s="2098"/>
      <c r="M701" s="2098"/>
      <c r="N701" s="2098"/>
      <c r="O701" s="2098"/>
      <c r="P701" s="2098"/>
      <c r="Q701" s="2098"/>
      <c r="R701" s="2098"/>
      <c r="S701" s="2098"/>
      <c r="T701" s="2098"/>
      <c r="U701" s="2098"/>
      <c r="V701" s="2098"/>
      <c r="W701" s="2098"/>
      <c r="X701" s="2098"/>
      <c r="Y701" s="2098"/>
      <c r="Z701" s="2098"/>
      <c r="AA701" s="2098"/>
      <c r="AB701" s="2098"/>
      <c r="AC701" s="2098"/>
      <c r="AD701" s="2098"/>
      <c r="AE701" s="2098"/>
      <c r="AF701" s="2098"/>
      <c r="AG701" s="2098"/>
      <c r="AH701" s="2098"/>
      <c r="AI701" s="2098"/>
      <c r="AJ701" s="2098"/>
      <c r="AK701" s="2098"/>
      <c r="AL701" s="2098"/>
      <c r="AM701" s="2098"/>
      <c r="AN701" s="2098"/>
      <c r="AO701" s="2098"/>
      <c r="AP701" s="2098"/>
      <c r="AQ701" s="2098"/>
      <c r="AR701" s="2098"/>
      <c r="AS701" s="2098"/>
      <c r="AT701" s="2098"/>
      <c r="AU701" s="2098"/>
      <c r="AV701" s="2098"/>
      <c r="AW701" s="2098"/>
      <c r="AX701" s="2098"/>
      <c r="AY701" s="2098"/>
      <c r="AZ701" s="2098"/>
    </row>
    <row r="702" spans="3:52">
      <c r="C702" s="2096"/>
      <c r="D702" s="2097"/>
      <c r="E702" s="2098"/>
      <c r="F702" s="2098"/>
      <c r="G702" s="2098"/>
      <c r="H702" s="2098"/>
      <c r="I702" s="2098"/>
      <c r="J702" s="2098"/>
      <c r="K702" s="2098"/>
      <c r="L702" s="2098"/>
      <c r="M702" s="2098"/>
      <c r="N702" s="2098"/>
      <c r="O702" s="2098"/>
      <c r="P702" s="2098"/>
      <c r="Q702" s="2098"/>
      <c r="R702" s="2098"/>
      <c r="S702" s="2098"/>
      <c r="T702" s="2098"/>
      <c r="U702" s="2098"/>
      <c r="V702" s="2098"/>
      <c r="W702" s="2098"/>
      <c r="X702" s="2098"/>
      <c r="Y702" s="2098"/>
      <c r="Z702" s="2098"/>
      <c r="AA702" s="2098"/>
      <c r="AB702" s="2098"/>
      <c r="AC702" s="2098"/>
      <c r="AD702" s="2098"/>
      <c r="AE702" s="2098"/>
      <c r="AF702" s="2098"/>
      <c r="AG702" s="2098"/>
      <c r="AH702" s="2098"/>
      <c r="AI702" s="2098"/>
      <c r="AJ702" s="2098"/>
      <c r="AK702" s="2098"/>
      <c r="AL702" s="2098"/>
      <c r="AM702" s="2098"/>
      <c r="AN702" s="2098"/>
      <c r="AO702" s="2098"/>
      <c r="AP702" s="2098"/>
      <c r="AQ702" s="2098"/>
      <c r="AR702" s="2098"/>
      <c r="AS702" s="2098"/>
      <c r="AT702" s="2098"/>
      <c r="AU702" s="2098"/>
      <c r="AV702" s="2098"/>
      <c r="AW702" s="2098"/>
      <c r="AX702" s="2098"/>
      <c r="AY702" s="2098"/>
      <c r="AZ702" s="2098"/>
    </row>
    <row r="703" spans="3:52">
      <c r="C703" s="2096"/>
      <c r="D703" s="2097"/>
      <c r="E703" s="2098"/>
      <c r="F703" s="2098"/>
      <c r="G703" s="2098"/>
      <c r="H703" s="2098"/>
      <c r="I703" s="2098"/>
      <c r="J703" s="2098"/>
      <c r="K703" s="2098"/>
      <c r="L703" s="2098"/>
      <c r="M703" s="2098"/>
      <c r="N703" s="2098"/>
      <c r="O703" s="2098"/>
      <c r="P703" s="2098"/>
      <c r="Q703" s="2098"/>
      <c r="R703" s="2098"/>
      <c r="S703" s="2098"/>
      <c r="T703" s="2098"/>
      <c r="U703" s="2098"/>
      <c r="V703" s="2098"/>
      <c r="W703" s="2098"/>
      <c r="X703" s="2098"/>
      <c r="Y703" s="2098"/>
      <c r="Z703" s="2098"/>
      <c r="AA703" s="2098"/>
      <c r="AB703" s="2098"/>
      <c r="AC703" s="2098"/>
      <c r="AD703" s="2098"/>
      <c r="AE703" s="2098"/>
      <c r="AF703" s="2098"/>
      <c r="AG703" s="2098"/>
      <c r="AH703" s="2098"/>
      <c r="AI703" s="2098"/>
      <c r="AJ703" s="2098"/>
      <c r="AK703" s="2098"/>
      <c r="AL703" s="2098"/>
      <c r="AM703" s="2098"/>
      <c r="AN703" s="2098"/>
      <c r="AO703" s="2098"/>
      <c r="AP703" s="2098"/>
      <c r="AQ703" s="2098"/>
      <c r="AR703" s="2098"/>
      <c r="AS703" s="2098"/>
      <c r="AT703" s="2098"/>
      <c r="AU703" s="2098"/>
      <c r="AV703" s="2098"/>
      <c r="AW703" s="2098"/>
      <c r="AX703" s="2098"/>
      <c r="AY703" s="2098"/>
      <c r="AZ703" s="2098"/>
    </row>
    <row r="704" spans="3:52">
      <c r="C704" s="2096"/>
      <c r="D704" s="2097"/>
      <c r="E704" s="2098"/>
      <c r="F704" s="2098"/>
      <c r="G704" s="2098"/>
      <c r="H704" s="2098"/>
      <c r="I704" s="2098"/>
      <c r="J704" s="2098"/>
      <c r="K704" s="2098"/>
      <c r="L704" s="2098"/>
      <c r="M704" s="2098"/>
      <c r="N704" s="2098"/>
      <c r="O704" s="2098"/>
      <c r="P704" s="2098"/>
      <c r="Q704" s="2098"/>
      <c r="R704" s="2098"/>
      <c r="S704" s="2098"/>
      <c r="T704" s="2098"/>
      <c r="U704" s="2098"/>
      <c r="V704" s="2098"/>
      <c r="W704" s="2098"/>
      <c r="X704" s="2098"/>
      <c r="Y704" s="2098"/>
      <c r="Z704" s="2098"/>
      <c r="AA704" s="2098"/>
      <c r="AB704" s="2098"/>
      <c r="AC704" s="2098"/>
      <c r="AD704" s="2098"/>
      <c r="AE704" s="2098"/>
      <c r="AF704" s="2098"/>
      <c r="AG704" s="2098"/>
      <c r="AH704" s="2098"/>
      <c r="AI704" s="2098"/>
      <c r="AJ704" s="2098"/>
      <c r="AK704" s="2098"/>
      <c r="AL704" s="2098"/>
      <c r="AM704" s="2098"/>
      <c r="AN704" s="2098"/>
      <c r="AO704" s="2098"/>
      <c r="AP704" s="2098"/>
      <c r="AQ704" s="2098"/>
      <c r="AR704" s="2098"/>
      <c r="AS704" s="2098"/>
      <c r="AT704" s="2098"/>
      <c r="AU704" s="2098"/>
      <c r="AV704" s="2098"/>
      <c r="AW704" s="2098"/>
      <c r="AX704" s="2098"/>
      <c r="AY704" s="2098"/>
      <c r="AZ704" s="2098"/>
    </row>
    <row r="705" spans="3:52">
      <c r="C705" s="2096"/>
      <c r="D705" s="2097"/>
      <c r="E705" s="2098"/>
      <c r="F705" s="2098"/>
      <c r="G705" s="2098"/>
      <c r="H705" s="2098"/>
      <c r="I705" s="2098"/>
      <c r="J705" s="2098"/>
      <c r="K705" s="2098"/>
      <c r="L705" s="2098"/>
      <c r="M705" s="2098"/>
      <c r="N705" s="2098"/>
      <c r="O705" s="2098"/>
      <c r="P705" s="2098"/>
      <c r="Q705" s="2098"/>
      <c r="R705" s="2098"/>
      <c r="S705" s="2098"/>
      <c r="T705" s="2098"/>
      <c r="U705" s="2098"/>
      <c r="V705" s="2098"/>
      <c r="W705" s="2098"/>
      <c r="X705" s="2098"/>
      <c r="Y705" s="2098"/>
      <c r="Z705" s="2098"/>
      <c r="AA705" s="2098"/>
      <c r="AB705" s="2098"/>
      <c r="AC705" s="2098"/>
      <c r="AD705" s="2098"/>
      <c r="AE705" s="2098"/>
      <c r="AF705" s="2098"/>
      <c r="AG705" s="2098"/>
      <c r="AH705" s="2098"/>
      <c r="AI705" s="2098"/>
      <c r="AJ705" s="2098"/>
      <c r="AK705" s="2098"/>
      <c r="AL705" s="2098"/>
      <c r="AM705" s="2098"/>
      <c r="AN705" s="2098"/>
      <c r="AO705" s="2098"/>
      <c r="AP705" s="2098"/>
      <c r="AQ705" s="2098"/>
      <c r="AR705" s="2098"/>
      <c r="AS705" s="2098"/>
      <c r="AT705" s="2098"/>
      <c r="AU705" s="2098"/>
      <c r="AV705" s="2098"/>
      <c r="AW705" s="2098"/>
      <c r="AX705" s="2098"/>
      <c r="AY705" s="2098"/>
      <c r="AZ705" s="2098"/>
    </row>
    <row r="706" spans="3:52">
      <c r="C706" s="2096"/>
      <c r="D706" s="2097"/>
      <c r="E706" s="2098"/>
      <c r="F706" s="2098"/>
      <c r="G706" s="2098"/>
      <c r="H706" s="2098"/>
      <c r="I706" s="2098"/>
      <c r="J706" s="2098"/>
      <c r="K706" s="2098"/>
      <c r="L706" s="2098"/>
      <c r="M706" s="2098"/>
      <c r="N706" s="2098"/>
      <c r="O706" s="2098"/>
      <c r="P706" s="2098"/>
      <c r="Q706" s="2098"/>
      <c r="R706" s="2098"/>
      <c r="S706" s="2098"/>
      <c r="T706" s="2098"/>
      <c r="U706" s="2098"/>
      <c r="V706" s="2098"/>
      <c r="W706" s="2098"/>
      <c r="X706" s="2098"/>
      <c r="Y706" s="2098"/>
      <c r="Z706" s="2098"/>
      <c r="AA706" s="2098"/>
      <c r="AB706" s="2098"/>
      <c r="AC706" s="2098"/>
      <c r="AD706" s="2098"/>
      <c r="AE706" s="2098"/>
      <c r="AF706" s="2098"/>
      <c r="AG706" s="2098"/>
      <c r="AH706" s="2098"/>
      <c r="AI706" s="2098"/>
      <c r="AJ706" s="2098"/>
      <c r="AK706" s="2098"/>
      <c r="AL706" s="2098"/>
      <c r="AM706" s="2098"/>
      <c r="AN706" s="2098"/>
      <c r="AO706" s="2098"/>
      <c r="AP706" s="2098"/>
      <c r="AQ706" s="2098"/>
      <c r="AR706" s="2098"/>
      <c r="AS706" s="2098"/>
      <c r="AT706" s="2098"/>
      <c r="AU706" s="2098"/>
      <c r="AV706" s="2098"/>
      <c r="AW706" s="2098"/>
      <c r="AX706" s="2098"/>
      <c r="AY706" s="2098"/>
      <c r="AZ706" s="2098"/>
    </row>
    <row r="707" spans="3:52">
      <c r="C707" s="2096"/>
      <c r="D707" s="2097"/>
      <c r="E707" s="2098"/>
      <c r="F707" s="2098"/>
      <c r="G707" s="2098"/>
      <c r="H707" s="2098"/>
      <c r="I707" s="2098"/>
      <c r="J707" s="2098"/>
      <c r="K707" s="2098"/>
      <c r="L707" s="2098"/>
      <c r="M707" s="2098"/>
      <c r="N707" s="2098"/>
      <c r="O707" s="2098"/>
      <c r="P707" s="2098"/>
      <c r="Q707" s="2098"/>
      <c r="R707" s="2098"/>
      <c r="S707" s="2098"/>
      <c r="T707" s="2098"/>
      <c r="U707" s="2098"/>
      <c r="V707" s="2098"/>
      <c r="W707" s="2098"/>
      <c r="X707" s="2098"/>
      <c r="Y707" s="2098"/>
      <c r="Z707" s="2098"/>
      <c r="AA707" s="2098"/>
      <c r="AB707" s="2098"/>
      <c r="AC707" s="2098"/>
      <c r="AD707" s="2098"/>
      <c r="AE707" s="2098"/>
      <c r="AF707" s="2098"/>
      <c r="AG707" s="2098"/>
      <c r="AH707" s="2098"/>
      <c r="AI707" s="2098"/>
      <c r="AJ707" s="2098"/>
      <c r="AK707" s="2098"/>
      <c r="AL707" s="2098"/>
      <c r="AM707" s="2098"/>
      <c r="AN707" s="2098"/>
      <c r="AO707" s="2098"/>
      <c r="AP707" s="2098"/>
      <c r="AQ707" s="2098"/>
      <c r="AR707" s="2098"/>
      <c r="AS707" s="2098"/>
      <c r="AT707" s="2098"/>
      <c r="AU707" s="2098"/>
      <c r="AV707" s="2098"/>
      <c r="AW707" s="2098"/>
      <c r="AX707" s="2098"/>
      <c r="AY707" s="2098"/>
      <c r="AZ707" s="2098"/>
    </row>
    <row r="708" spans="3:52">
      <c r="C708" s="2096"/>
      <c r="D708" s="2097"/>
      <c r="E708" s="2098"/>
      <c r="F708" s="2098"/>
      <c r="G708" s="2098"/>
      <c r="H708" s="2098"/>
      <c r="I708" s="2098"/>
      <c r="J708" s="2098"/>
      <c r="K708" s="2098"/>
      <c r="L708" s="2098"/>
      <c r="M708" s="2098"/>
      <c r="N708" s="2098"/>
      <c r="O708" s="2098"/>
      <c r="P708" s="2098"/>
      <c r="Q708" s="2098"/>
      <c r="R708" s="2098"/>
      <c r="S708" s="2098"/>
      <c r="T708" s="2098"/>
      <c r="U708" s="2098"/>
      <c r="V708" s="2098"/>
      <c r="W708" s="2098"/>
      <c r="X708" s="2098"/>
      <c r="Y708" s="2098"/>
      <c r="Z708" s="2098"/>
      <c r="AA708" s="2098"/>
      <c r="AB708" s="2098"/>
      <c r="AC708" s="2098"/>
      <c r="AD708" s="2098"/>
      <c r="AE708" s="2098"/>
      <c r="AF708" s="2098"/>
      <c r="AG708" s="2098"/>
      <c r="AH708" s="2098"/>
      <c r="AI708" s="2098"/>
      <c r="AJ708" s="2098"/>
      <c r="AK708" s="2098"/>
      <c r="AL708" s="2098"/>
      <c r="AM708" s="2098"/>
      <c r="AN708" s="2098"/>
      <c r="AO708" s="2098"/>
      <c r="AP708" s="2098"/>
      <c r="AQ708" s="2098"/>
      <c r="AR708" s="2098"/>
      <c r="AS708" s="2098"/>
      <c r="AT708" s="2098"/>
      <c r="AU708" s="2098"/>
      <c r="AV708" s="2098"/>
      <c r="AW708" s="2098"/>
      <c r="AX708" s="2098"/>
      <c r="AY708" s="2098"/>
      <c r="AZ708" s="2098"/>
    </row>
    <row r="709" spans="3:52">
      <c r="C709" s="2096"/>
      <c r="D709" s="2097"/>
      <c r="E709" s="2098"/>
      <c r="F709" s="2098"/>
      <c r="G709" s="2098"/>
      <c r="H709" s="2098"/>
      <c r="I709" s="2098"/>
      <c r="J709" s="2098"/>
      <c r="K709" s="2098"/>
      <c r="L709" s="2098"/>
      <c r="M709" s="2098"/>
      <c r="N709" s="2098"/>
      <c r="O709" s="2098"/>
      <c r="P709" s="2098"/>
      <c r="Q709" s="2098"/>
      <c r="R709" s="2098"/>
      <c r="S709" s="2098"/>
      <c r="T709" s="2098"/>
      <c r="U709" s="2098"/>
      <c r="V709" s="2098"/>
      <c r="W709" s="2098"/>
      <c r="X709" s="2098"/>
      <c r="Y709" s="2098"/>
      <c r="Z709" s="2098"/>
      <c r="AA709" s="2098"/>
      <c r="AB709" s="2098"/>
      <c r="AC709" s="2098"/>
      <c r="AD709" s="2098"/>
      <c r="AE709" s="2098"/>
      <c r="AF709" s="2098"/>
      <c r="AG709" s="2098"/>
      <c r="AH709" s="2098"/>
      <c r="AI709" s="2098"/>
      <c r="AJ709" s="2098"/>
      <c r="AK709" s="2098"/>
      <c r="AL709" s="2098"/>
      <c r="AM709" s="2098"/>
      <c r="AN709" s="2098"/>
      <c r="AO709" s="2098"/>
      <c r="AP709" s="2098"/>
      <c r="AQ709" s="2098"/>
      <c r="AR709" s="2098"/>
      <c r="AS709" s="2098"/>
      <c r="AT709" s="2098"/>
      <c r="AU709" s="2098"/>
      <c r="AV709" s="2098"/>
      <c r="AW709" s="2098"/>
      <c r="AX709" s="2098"/>
      <c r="AY709" s="2098"/>
      <c r="AZ709" s="2098"/>
    </row>
    <row r="710" spans="3:52">
      <c r="C710" s="2096"/>
      <c r="D710" s="2097"/>
      <c r="E710" s="2098"/>
      <c r="F710" s="2098"/>
      <c r="G710" s="2098"/>
      <c r="H710" s="2098"/>
      <c r="I710" s="2098"/>
      <c r="J710" s="2098"/>
      <c r="K710" s="2098"/>
      <c r="L710" s="2098"/>
      <c r="M710" s="2098"/>
      <c r="N710" s="2098"/>
      <c r="O710" s="2098"/>
      <c r="P710" s="2098"/>
      <c r="Q710" s="2098"/>
      <c r="R710" s="2098"/>
      <c r="S710" s="2098"/>
      <c r="T710" s="2098"/>
      <c r="U710" s="2098"/>
      <c r="V710" s="2098"/>
      <c r="W710" s="2098"/>
      <c r="X710" s="2098"/>
      <c r="Y710" s="2098"/>
      <c r="Z710" s="2098"/>
      <c r="AA710" s="2098"/>
      <c r="AB710" s="2098"/>
      <c r="AC710" s="2098"/>
      <c r="AD710" s="2098"/>
      <c r="AE710" s="2098"/>
      <c r="AF710" s="2098"/>
      <c r="AG710" s="2098"/>
      <c r="AH710" s="2098"/>
      <c r="AI710" s="2098"/>
      <c r="AJ710" s="2098"/>
      <c r="AK710" s="2098"/>
      <c r="AL710" s="2098"/>
      <c r="AM710" s="2098"/>
      <c r="AN710" s="2098"/>
      <c r="AO710" s="2098"/>
      <c r="AP710" s="2098"/>
      <c r="AQ710" s="2098"/>
      <c r="AR710" s="2098"/>
      <c r="AS710" s="2098"/>
      <c r="AT710" s="2098"/>
      <c r="AU710" s="2098"/>
      <c r="AV710" s="2098"/>
      <c r="AW710" s="2098"/>
      <c r="AX710" s="2098"/>
      <c r="AY710" s="2098"/>
      <c r="AZ710" s="2098"/>
    </row>
    <row r="711" spans="3:52">
      <c r="C711" s="2096"/>
      <c r="D711" s="2097"/>
      <c r="E711" s="2098"/>
      <c r="F711" s="2098"/>
      <c r="G711" s="2098"/>
      <c r="H711" s="2098"/>
      <c r="I711" s="2098"/>
      <c r="J711" s="2098"/>
      <c r="K711" s="2098"/>
      <c r="L711" s="2098"/>
      <c r="M711" s="2098"/>
      <c r="N711" s="2098"/>
      <c r="O711" s="2098"/>
      <c r="P711" s="2098"/>
      <c r="Q711" s="2098"/>
      <c r="R711" s="2098"/>
      <c r="S711" s="2098"/>
      <c r="T711" s="2098"/>
      <c r="U711" s="2098"/>
      <c r="V711" s="2098"/>
      <c r="W711" s="2098"/>
      <c r="X711" s="2098"/>
      <c r="Y711" s="2098"/>
      <c r="Z711" s="2098"/>
      <c r="AA711" s="2098"/>
      <c r="AB711" s="2098"/>
      <c r="AC711" s="2098"/>
      <c r="AD711" s="2098"/>
      <c r="AE711" s="2098"/>
      <c r="AF711" s="2098"/>
      <c r="AG711" s="2098"/>
      <c r="AH711" s="2098"/>
      <c r="AI711" s="2098"/>
      <c r="AJ711" s="2098"/>
      <c r="AK711" s="2098"/>
      <c r="AL711" s="2098"/>
      <c r="AM711" s="2098"/>
      <c r="AN711" s="2098"/>
      <c r="AO711" s="2098"/>
      <c r="AP711" s="2098"/>
      <c r="AQ711" s="2098"/>
      <c r="AR711" s="2098"/>
      <c r="AS711" s="2098"/>
      <c r="AT711" s="2098"/>
      <c r="AU711" s="2098"/>
      <c r="AV711" s="2098"/>
      <c r="AW711" s="2098"/>
      <c r="AX711" s="2098"/>
      <c r="AY711" s="2098"/>
      <c r="AZ711" s="2098"/>
    </row>
    <row r="712" spans="3:52">
      <c r="C712" s="2096"/>
      <c r="D712" s="2097"/>
      <c r="E712" s="2098"/>
      <c r="F712" s="2098"/>
      <c r="G712" s="2098"/>
      <c r="H712" s="2098"/>
      <c r="I712" s="2098"/>
      <c r="J712" s="2098"/>
      <c r="K712" s="2098"/>
      <c r="L712" s="2098"/>
      <c r="M712" s="2098"/>
      <c r="N712" s="2098"/>
      <c r="O712" s="2098"/>
      <c r="P712" s="2098"/>
      <c r="Q712" s="2098"/>
      <c r="R712" s="2098"/>
      <c r="S712" s="2098"/>
      <c r="T712" s="2098"/>
      <c r="U712" s="2098"/>
      <c r="V712" s="2098"/>
      <c r="W712" s="2098"/>
      <c r="X712" s="2098"/>
      <c r="Y712" s="2098"/>
      <c r="Z712" s="2098"/>
      <c r="AA712" s="2098"/>
      <c r="AB712" s="2098"/>
      <c r="AC712" s="2098"/>
      <c r="AD712" s="2098"/>
      <c r="AE712" s="2098"/>
      <c r="AF712" s="2098"/>
      <c r="AG712" s="2098"/>
      <c r="AH712" s="2098"/>
      <c r="AI712" s="2098"/>
      <c r="AJ712" s="2098"/>
      <c r="AK712" s="2098"/>
      <c r="AL712" s="2098"/>
      <c r="AM712" s="2098"/>
      <c r="AN712" s="2098"/>
      <c r="AO712" s="2098"/>
      <c r="AP712" s="2098"/>
      <c r="AQ712" s="2098"/>
      <c r="AR712" s="2098"/>
      <c r="AS712" s="2098"/>
      <c r="AT712" s="2098"/>
      <c r="AU712" s="2098"/>
      <c r="AV712" s="2098"/>
      <c r="AW712" s="2098"/>
      <c r="AX712" s="2098"/>
      <c r="AY712" s="2098"/>
      <c r="AZ712" s="2098"/>
    </row>
    <row r="713" spans="3:52">
      <c r="C713" s="2096"/>
      <c r="D713" s="2097"/>
      <c r="E713" s="2098"/>
      <c r="F713" s="2098"/>
      <c r="G713" s="2098"/>
      <c r="H713" s="2098"/>
      <c r="I713" s="2098"/>
      <c r="J713" s="2098"/>
      <c r="K713" s="2098"/>
      <c r="L713" s="2098"/>
      <c r="M713" s="2098"/>
      <c r="N713" s="2098"/>
      <c r="O713" s="2098"/>
      <c r="P713" s="2098"/>
      <c r="Q713" s="2098"/>
      <c r="R713" s="2098"/>
      <c r="S713" s="2098"/>
      <c r="T713" s="2098"/>
      <c r="U713" s="2098"/>
      <c r="V713" s="2098"/>
      <c r="W713" s="2098"/>
      <c r="X713" s="2098"/>
      <c r="Y713" s="2098"/>
      <c r="Z713" s="2098"/>
      <c r="AA713" s="2098"/>
      <c r="AB713" s="2098"/>
      <c r="AC713" s="2098"/>
      <c r="AD713" s="2098"/>
      <c r="AE713" s="2098"/>
      <c r="AF713" s="2098"/>
      <c r="AG713" s="2098"/>
      <c r="AH713" s="2098"/>
      <c r="AI713" s="2098"/>
      <c r="AJ713" s="2098"/>
      <c r="AK713" s="2098"/>
      <c r="AL713" s="2098"/>
      <c r="AM713" s="2098"/>
      <c r="AN713" s="2098"/>
      <c r="AO713" s="2098"/>
      <c r="AP713" s="2098"/>
      <c r="AQ713" s="2098"/>
      <c r="AR713" s="2098"/>
      <c r="AS713" s="2098"/>
      <c r="AT713" s="2098"/>
      <c r="AU713" s="2098"/>
      <c r="AV713" s="2098"/>
      <c r="AW713" s="2098"/>
      <c r="AX713" s="2098"/>
      <c r="AY713" s="2098"/>
      <c r="AZ713" s="2098"/>
    </row>
    <row r="714" spans="3:52">
      <c r="C714" s="2096"/>
      <c r="D714" s="2097"/>
      <c r="E714" s="2098"/>
      <c r="F714" s="2098"/>
      <c r="G714" s="2098"/>
      <c r="H714" s="2098"/>
      <c r="I714" s="2098"/>
      <c r="J714" s="2098"/>
      <c r="K714" s="2098"/>
      <c r="L714" s="2098"/>
      <c r="M714" s="2098"/>
      <c r="N714" s="2098"/>
      <c r="O714" s="2098"/>
      <c r="P714" s="2098"/>
      <c r="Q714" s="2098"/>
      <c r="R714" s="2098"/>
      <c r="S714" s="2098"/>
      <c r="T714" s="2098"/>
      <c r="U714" s="2098"/>
      <c r="V714" s="2098"/>
      <c r="W714" s="2098"/>
      <c r="X714" s="2098"/>
      <c r="Y714" s="2098"/>
      <c r="Z714" s="2098"/>
      <c r="AA714" s="2098"/>
      <c r="AB714" s="2098"/>
      <c r="AC714" s="2098"/>
      <c r="AD714" s="2098"/>
      <c r="AE714" s="2098"/>
      <c r="AF714" s="2098"/>
      <c r="AG714" s="2098"/>
      <c r="AH714" s="2098"/>
      <c r="AI714" s="2098"/>
      <c r="AJ714" s="2098"/>
      <c r="AK714" s="2098"/>
      <c r="AL714" s="2098"/>
      <c r="AM714" s="2098"/>
      <c r="AN714" s="2098"/>
      <c r="AO714" s="2098"/>
      <c r="AP714" s="2098"/>
      <c r="AQ714" s="2098"/>
      <c r="AR714" s="2098"/>
      <c r="AS714" s="2098"/>
      <c r="AT714" s="2098"/>
      <c r="AU714" s="2098"/>
      <c r="AV714" s="2098"/>
      <c r="AW714" s="2098"/>
      <c r="AX714" s="2098"/>
      <c r="AY714" s="2098"/>
      <c r="AZ714" s="2098"/>
    </row>
    <row r="715" spans="3:52">
      <c r="C715" s="2096"/>
      <c r="D715" s="2097"/>
      <c r="E715" s="2098"/>
      <c r="F715" s="2098"/>
      <c r="G715" s="2098"/>
      <c r="H715" s="2098"/>
      <c r="I715" s="2098"/>
      <c r="J715" s="2098"/>
      <c r="K715" s="2098"/>
      <c r="L715" s="2098"/>
      <c r="M715" s="2098"/>
      <c r="N715" s="2098"/>
      <c r="O715" s="2098"/>
      <c r="P715" s="2098"/>
      <c r="Q715" s="2098"/>
      <c r="R715" s="2098"/>
      <c r="S715" s="2098"/>
      <c r="T715" s="2098"/>
      <c r="U715" s="2098"/>
      <c r="V715" s="2098"/>
      <c r="W715" s="2098"/>
      <c r="X715" s="2098"/>
      <c r="Y715" s="2098"/>
      <c r="Z715" s="2098"/>
      <c r="AA715" s="2098"/>
      <c r="AB715" s="2098"/>
      <c r="AC715" s="2098"/>
      <c r="AD715" s="2098"/>
      <c r="AE715" s="2098"/>
      <c r="AF715" s="2098"/>
      <c r="AG715" s="2098"/>
      <c r="AH715" s="2098"/>
      <c r="AI715" s="2098"/>
      <c r="AJ715" s="2098"/>
      <c r="AK715" s="2098"/>
      <c r="AL715" s="2098"/>
      <c r="AM715" s="2098"/>
      <c r="AN715" s="2098"/>
      <c r="AO715" s="2098"/>
      <c r="AP715" s="2098"/>
      <c r="AQ715" s="2098"/>
      <c r="AR715" s="2098"/>
      <c r="AS715" s="2098"/>
      <c r="AT715" s="2098"/>
      <c r="AU715" s="2098"/>
      <c r="AV715" s="2098"/>
      <c r="AW715" s="2098"/>
      <c r="AX715" s="2098"/>
      <c r="AY715" s="2098"/>
      <c r="AZ715" s="2098"/>
    </row>
    <row r="716" spans="3:52">
      <c r="C716" s="2096"/>
      <c r="D716" s="2097"/>
      <c r="E716" s="2098"/>
      <c r="F716" s="2098"/>
      <c r="G716" s="2098"/>
      <c r="H716" s="2098"/>
      <c r="I716" s="2098"/>
      <c r="J716" s="2098"/>
      <c r="K716" s="2098"/>
      <c r="L716" s="2098"/>
      <c r="M716" s="2098"/>
      <c r="N716" s="2098"/>
      <c r="O716" s="2098"/>
      <c r="P716" s="2098"/>
      <c r="Q716" s="2098"/>
      <c r="R716" s="2098"/>
      <c r="S716" s="2098"/>
      <c r="T716" s="2098"/>
      <c r="U716" s="2098"/>
      <c r="V716" s="2098"/>
      <c r="W716" s="2098"/>
      <c r="X716" s="2098"/>
      <c r="Y716" s="2098"/>
      <c r="Z716" s="2098"/>
      <c r="AA716" s="2098"/>
      <c r="AB716" s="2098"/>
      <c r="AC716" s="2098"/>
      <c r="AD716" s="2098"/>
      <c r="AE716" s="2098"/>
      <c r="AF716" s="2098"/>
      <c r="AG716" s="2098"/>
      <c r="AH716" s="2098"/>
      <c r="AI716" s="2098"/>
      <c r="AJ716" s="2098"/>
      <c r="AK716" s="2098"/>
      <c r="AL716" s="2098"/>
      <c r="AM716" s="2098"/>
      <c r="AN716" s="2098"/>
      <c r="AO716" s="2098"/>
      <c r="AP716" s="2098"/>
      <c r="AQ716" s="2098"/>
      <c r="AR716" s="2098"/>
      <c r="AS716" s="2098"/>
      <c r="AT716" s="2098"/>
      <c r="AU716" s="2098"/>
      <c r="AV716" s="2098"/>
      <c r="AW716" s="2098"/>
      <c r="AX716" s="2098"/>
      <c r="AY716" s="2098"/>
      <c r="AZ716" s="2098"/>
    </row>
    <row r="717" spans="3:52">
      <c r="C717" s="2096"/>
      <c r="D717" s="2097"/>
      <c r="E717" s="2098"/>
      <c r="F717" s="2098"/>
      <c r="G717" s="2098"/>
      <c r="H717" s="2098"/>
      <c r="I717" s="2098"/>
      <c r="J717" s="2098"/>
      <c r="K717" s="2098"/>
      <c r="L717" s="2098"/>
      <c r="M717" s="2098"/>
      <c r="N717" s="2098"/>
      <c r="O717" s="2098"/>
      <c r="P717" s="2098"/>
      <c r="Q717" s="2098"/>
      <c r="R717" s="2098"/>
      <c r="S717" s="2098"/>
      <c r="T717" s="2098"/>
      <c r="U717" s="2098"/>
      <c r="V717" s="2098"/>
      <c r="W717" s="2098"/>
      <c r="X717" s="2098"/>
      <c r="Y717" s="2098"/>
      <c r="Z717" s="2098"/>
      <c r="AA717" s="2098"/>
      <c r="AB717" s="2098"/>
      <c r="AC717" s="2098"/>
      <c r="AD717" s="2098"/>
      <c r="AE717" s="2098"/>
      <c r="AF717" s="2098"/>
      <c r="AG717" s="2098"/>
      <c r="AH717" s="2098"/>
      <c r="AI717" s="2098"/>
      <c r="AJ717" s="2098"/>
      <c r="AK717" s="2098"/>
      <c r="AL717" s="2098"/>
      <c r="AM717" s="2098"/>
      <c r="AN717" s="2098"/>
      <c r="AO717" s="2098"/>
      <c r="AP717" s="2098"/>
      <c r="AQ717" s="2098"/>
      <c r="AR717" s="2098"/>
      <c r="AS717" s="2098"/>
      <c r="AT717" s="2098"/>
      <c r="AU717" s="2098"/>
      <c r="AV717" s="2098"/>
      <c r="AW717" s="2098"/>
      <c r="AX717" s="2098"/>
      <c r="AY717" s="2098"/>
      <c r="AZ717" s="2098"/>
    </row>
    <row r="718" spans="3:52">
      <c r="C718" s="2096"/>
      <c r="D718" s="2097"/>
      <c r="E718" s="2098"/>
      <c r="F718" s="2098"/>
      <c r="G718" s="2098"/>
      <c r="H718" s="2098"/>
      <c r="I718" s="2098"/>
      <c r="J718" s="2098"/>
      <c r="K718" s="2098"/>
      <c r="L718" s="2098"/>
      <c r="M718" s="2098"/>
      <c r="N718" s="2098"/>
      <c r="O718" s="2098"/>
      <c r="P718" s="2098"/>
      <c r="Q718" s="2098"/>
      <c r="R718" s="2098"/>
      <c r="S718" s="2098"/>
      <c r="T718" s="2098"/>
      <c r="U718" s="2098"/>
      <c r="V718" s="2098"/>
      <c r="W718" s="2098"/>
      <c r="X718" s="2098"/>
      <c r="Y718" s="2098"/>
      <c r="Z718" s="2098"/>
      <c r="AA718" s="2098"/>
      <c r="AB718" s="2098"/>
      <c r="AC718" s="2098"/>
      <c r="AD718" s="2098"/>
      <c r="AE718" s="2098"/>
      <c r="AF718" s="2098"/>
      <c r="AG718" s="2098"/>
      <c r="AH718" s="2098"/>
      <c r="AI718" s="2098"/>
      <c r="AJ718" s="2098"/>
      <c r="AK718" s="2098"/>
      <c r="AL718" s="2098"/>
      <c r="AM718" s="2098"/>
      <c r="AN718" s="2098"/>
      <c r="AO718" s="2098"/>
      <c r="AP718" s="2098"/>
      <c r="AQ718" s="2098"/>
      <c r="AR718" s="2098"/>
      <c r="AS718" s="2098"/>
      <c r="AT718" s="2098"/>
      <c r="AU718" s="2098"/>
      <c r="AV718" s="2098"/>
      <c r="AW718" s="2098"/>
      <c r="AX718" s="2098"/>
      <c r="AY718" s="2098"/>
      <c r="AZ718" s="2098"/>
    </row>
    <row r="719" spans="3:52">
      <c r="C719" s="2096"/>
      <c r="D719" s="2097"/>
      <c r="E719" s="2098"/>
      <c r="F719" s="2098"/>
      <c r="G719" s="2098"/>
      <c r="H719" s="2098"/>
      <c r="I719" s="2098"/>
      <c r="J719" s="2098"/>
      <c r="K719" s="2098"/>
      <c r="L719" s="2098"/>
      <c r="M719" s="2098"/>
      <c r="N719" s="2098"/>
      <c r="O719" s="2098"/>
      <c r="P719" s="2098"/>
      <c r="Q719" s="2098"/>
      <c r="R719" s="2098"/>
      <c r="S719" s="2098"/>
      <c r="T719" s="2098"/>
      <c r="U719" s="2098"/>
      <c r="V719" s="2098"/>
      <c r="W719" s="2098"/>
      <c r="X719" s="2098"/>
      <c r="Y719" s="2098"/>
      <c r="Z719" s="2098"/>
      <c r="AA719" s="2098"/>
      <c r="AB719" s="2098"/>
      <c r="AC719" s="2098"/>
      <c r="AD719" s="2098"/>
      <c r="AE719" s="2098"/>
      <c r="AF719" s="2098"/>
      <c r="AG719" s="2098"/>
      <c r="AH719" s="2098"/>
      <c r="AI719" s="2098"/>
      <c r="AJ719" s="2098"/>
      <c r="AK719" s="2098"/>
      <c r="AL719" s="2098"/>
      <c r="AM719" s="2098"/>
      <c r="AN719" s="2098"/>
      <c r="AO719" s="2098"/>
      <c r="AP719" s="2098"/>
      <c r="AQ719" s="2098"/>
      <c r="AR719" s="2098"/>
      <c r="AS719" s="2098"/>
      <c r="AT719" s="2098"/>
      <c r="AU719" s="2098"/>
      <c r="AV719" s="2098"/>
      <c r="AW719" s="2098"/>
      <c r="AX719" s="2098"/>
      <c r="AY719" s="2098"/>
      <c r="AZ719" s="2098"/>
    </row>
    <row r="720" spans="3:52">
      <c r="C720" s="2096"/>
      <c r="D720" s="2097"/>
      <c r="E720" s="2098"/>
      <c r="F720" s="2098"/>
      <c r="G720" s="2098"/>
      <c r="H720" s="2098"/>
      <c r="I720" s="2098"/>
      <c r="J720" s="2098"/>
      <c r="K720" s="2098"/>
      <c r="L720" s="2098"/>
      <c r="M720" s="2098"/>
      <c r="N720" s="2098"/>
      <c r="O720" s="2098"/>
      <c r="P720" s="2098"/>
      <c r="Q720" s="2098"/>
      <c r="R720" s="2098"/>
      <c r="S720" s="2098"/>
      <c r="T720" s="2098"/>
      <c r="U720" s="2098"/>
      <c r="V720" s="2098"/>
      <c r="W720" s="2098"/>
      <c r="X720" s="2098"/>
      <c r="Y720" s="2098"/>
      <c r="Z720" s="2098"/>
      <c r="AA720" s="2098"/>
      <c r="AB720" s="2098"/>
      <c r="AC720" s="2098"/>
      <c r="AD720" s="2098"/>
      <c r="AE720" s="2098"/>
      <c r="AF720" s="2098"/>
      <c r="AG720" s="2098"/>
      <c r="AH720" s="2098"/>
      <c r="AI720" s="2098"/>
      <c r="AJ720" s="2098"/>
      <c r="AK720" s="2098"/>
      <c r="AL720" s="2098"/>
      <c r="AM720" s="2098"/>
      <c r="AN720" s="2098"/>
      <c r="AO720" s="2098"/>
      <c r="AP720" s="2098"/>
      <c r="AQ720" s="2098"/>
      <c r="AR720" s="2098"/>
      <c r="AS720" s="2098"/>
      <c r="AT720" s="2098"/>
      <c r="AU720" s="2098"/>
      <c r="AV720" s="2098"/>
      <c r="AW720" s="2098"/>
      <c r="AX720" s="2098"/>
      <c r="AY720" s="2098"/>
      <c r="AZ720" s="2098"/>
    </row>
    <row r="721" spans="3:52">
      <c r="C721" s="2096"/>
      <c r="D721" s="2097"/>
      <c r="E721" s="2098"/>
      <c r="F721" s="2098"/>
      <c r="G721" s="2098"/>
      <c r="H721" s="2098"/>
      <c r="I721" s="2098"/>
      <c r="J721" s="2098"/>
      <c r="K721" s="2098"/>
      <c r="L721" s="2098"/>
      <c r="M721" s="2098"/>
      <c r="N721" s="2098"/>
      <c r="O721" s="2098"/>
      <c r="P721" s="2098"/>
      <c r="Q721" s="2098"/>
      <c r="R721" s="2098"/>
      <c r="S721" s="2098"/>
      <c r="T721" s="2098"/>
      <c r="U721" s="2098"/>
      <c r="V721" s="2098"/>
      <c r="W721" s="2098"/>
      <c r="X721" s="2098"/>
      <c r="Y721" s="2098"/>
      <c r="Z721" s="2098"/>
      <c r="AA721" s="2098"/>
      <c r="AB721" s="2098"/>
      <c r="AC721" s="2098"/>
      <c r="AD721" s="2098"/>
      <c r="AE721" s="2098"/>
      <c r="AF721" s="2098"/>
      <c r="AG721" s="2098"/>
      <c r="AH721" s="2098"/>
      <c r="AI721" s="2098"/>
      <c r="AJ721" s="2098"/>
      <c r="AK721" s="2098"/>
      <c r="AL721" s="2098"/>
      <c r="AM721" s="2098"/>
      <c r="AN721" s="2098"/>
      <c r="AO721" s="2098"/>
      <c r="AP721" s="2098"/>
      <c r="AQ721" s="2098"/>
      <c r="AR721" s="2098"/>
      <c r="AS721" s="2098"/>
      <c r="AT721" s="2098"/>
      <c r="AU721" s="2098"/>
      <c r="AV721" s="2098"/>
      <c r="AW721" s="2098"/>
      <c r="AX721" s="2098"/>
      <c r="AY721" s="2098"/>
      <c r="AZ721" s="2098"/>
    </row>
    <row r="722" spans="3:52">
      <c r="C722" s="2096"/>
      <c r="D722" s="2097"/>
      <c r="E722" s="2098"/>
      <c r="F722" s="2098"/>
      <c r="G722" s="2098"/>
      <c r="H722" s="2098"/>
      <c r="I722" s="2098"/>
      <c r="J722" s="2098"/>
      <c r="K722" s="2098"/>
      <c r="L722" s="2098"/>
      <c r="M722" s="2098"/>
      <c r="N722" s="2098"/>
      <c r="O722" s="2098"/>
      <c r="P722" s="2098"/>
      <c r="Q722" s="2098"/>
      <c r="R722" s="2098"/>
      <c r="S722" s="2098"/>
      <c r="T722" s="2098"/>
      <c r="U722" s="2098"/>
      <c r="V722" s="2098"/>
      <c r="W722" s="2098"/>
      <c r="X722" s="2098"/>
      <c r="Y722" s="2098"/>
      <c r="Z722" s="2098"/>
      <c r="AA722" s="2098"/>
      <c r="AB722" s="2098"/>
      <c r="AC722" s="2098"/>
      <c r="AD722" s="2098"/>
      <c r="AE722" s="2098"/>
      <c r="AF722" s="2098"/>
      <c r="AG722" s="2098"/>
      <c r="AH722" s="2098"/>
      <c r="AI722" s="2098"/>
      <c r="AJ722" s="2098"/>
      <c r="AK722" s="2098"/>
      <c r="AL722" s="2098"/>
      <c r="AM722" s="2098"/>
      <c r="AN722" s="2098"/>
      <c r="AO722" s="2098"/>
      <c r="AP722" s="2098"/>
      <c r="AQ722" s="2098"/>
      <c r="AR722" s="2098"/>
      <c r="AS722" s="2098"/>
      <c r="AT722" s="2098"/>
      <c r="AU722" s="2098"/>
      <c r="AV722" s="2098"/>
      <c r="AW722" s="2098"/>
      <c r="AX722" s="2098"/>
      <c r="AY722" s="2098"/>
      <c r="AZ722" s="2098"/>
    </row>
    <row r="723" spans="3:52">
      <c r="C723" s="2096"/>
      <c r="D723" s="2097"/>
      <c r="E723" s="2098"/>
      <c r="F723" s="2098"/>
      <c r="G723" s="2098"/>
      <c r="H723" s="2098"/>
      <c r="I723" s="2098"/>
      <c r="J723" s="2098"/>
      <c r="K723" s="2098"/>
      <c r="L723" s="2098"/>
      <c r="M723" s="2098"/>
      <c r="N723" s="2098"/>
      <c r="O723" s="2098"/>
      <c r="P723" s="2098"/>
      <c r="Q723" s="2098"/>
      <c r="R723" s="2098"/>
      <c r="S723" s="2098"/>
      <c r="T723" s="2098"/>
      <c r="U723" s="2098"/>
      <c r="V723" s="2098"/>
      <c r="W723" s="2098"/>
      <c r="X723" s="2098"/>
      <c r="Y723" s="2098"/>
      <c r="Z723" s="2098"/>
      <c r="AA723" s="2098"/>
      <c r="AB723" s="2098"/>
      <c r="AC723" s="2098"/>
      <c r="AD723" s="2098"/>
      <c r="AE723" s="2098"/>
      <c r="AF723" s="2098"/>
      <c r="AG723" s="2098"/>
      <c r="AH723" s="2098"/>
      <c r="AI723" s="2098"/>
      <c r="AJ723" s="2098"/>
      <c r="AK723" s="2098"/>
      <c r="AL723" s="2098"/>
      <c r="AM723" s="2098"/>
      <c r="AN723" s="2098"/>
      <c r="AO723" s="2098"/>
      <c r="AP723" s="2098"/>
      <c r="AQ723" s="2098"/>
      <c r="AR723" s="2098"/>
      <c r="AS723" s="2098"/>
      <c r="AT723" s="2098"/>
      <c r="AU723" s="2098"/>
      <c r="AV723" s="2098"/>
      <c r="AW723" s="2098"/>
      <c r="AX723" s="2098"/>
      <c r="AY723" s="2098"/>
      <c r="AZ723" s="2098"/>
    </row>
    <row r="724" spans="3:52">
      <c r="C724" s="2096"/>
      <c r="D724" s="2097"/>
      <c r="E724" s="2098"/>
      <c r="F724" s="2098"/>
      <c r="G724" s="2098"/>
      <c r="H724" s="2098"/>
      <c r="I724" s="2098"/>
      <c r="J724" s="2098"/>
      <c r="K724" s="2098"/>
      <c r="L724" s="2098"/>
      <c r="M724" s="2098"/>
      <c r="N724" s="2098"/>
      <c r="O724" s="2098"/>
      <c r="P724" s="2098"/>
      <c r="Q724" s="2098"/>
      <c r="R724" s="2098"/>
      <c r="S724" s="2098"/>
      <c r="T724" s="2098"/>
      <c r="U724" s="2098"/>
      <c r="V724" s="2098"/>
      <c r="W724" s="2098"/>
      <c r="X724" s="2098"/>
      <c r="Y724" s="2098"/>
      <c r="Z724" s="2098"/>
      <c r="AA724" s="2098"/>
      <c r="AB724" s="2098"/>
      <c r="AC724" s="2098"/>
      <c r="AD724" s="2098"/>
      <c r="AE724" s="2098"/>
      <c r="AF724" s="2098"/>
      <c r="AG724" s="2098"/>
      <c r="AH724" s="2098"/>
      <c r="AI724" s="2098"/>
      <c r="AJ724" s="2098"/>
      <c r="AK724" s="2098"/>
      <c r="AL724" s="2098"/>
      <c r="AM724" s="2098"/>
      <c r="AN724" s="2098"/>
      <c r="AO724" s="2098"/>
      <c r="AP724" s="2098"/>
      <c r="AQ724" s="2098"/>
      <c r="AR724" s="2098"/>
      <c r="AS724" s="2098"/>
      <c r="AT724" s="2098"/>
      <c r="AU724" s="2098"/>
      <c r="AV724" s="2098"/>
      <c r="AW724" s="2098"/>
      <c r="AX724" s="2098"/>
      <c r="AY724" s="2098"/>
      <c r="AZ724" s="2098"/>
    </row>
    <row r="725" spans="3:52">
      <c r="C725" s="2096"/>
      <c r="D725" s="2097"/>
      <c r="E725" s="2098"/>
      <c r="F725" s="2098"/>
      <c r="G725" s="2098"/>
      <c r="H725" s="2098"/>
      <c r="I725" s="2098"/>
      <c r="J725" s="2098"/>
      <c r="K725" s="2098"/>
      <c r="L725" s="2098"/>
      <c r="M725" s="2098"/>
      <c r="N725" s="2098"/>
      <c r="O725" s="2098"/>
      <c r="P725" s="2098"/>
      <c r="Q725" s="2098"/>
      <c r="R725" s="2098"/>
      <c r="S725" s="2098"/>
      <c r="T725" s="2098"/>
      <c r="U725" s="2098"/>
      <c r="V725" s="2098"/>
      <c r="W725" s="2098"/>
      <c r="X725" s="2098"/>
      <c r="Y725" s="2098"/>
      <c r="Z725" s="2098"/>
      <c r="AA725" s="2098"/>
      <c r="AB725" s="2098"/>
      <c r="AC725" s="2098"/>
      <c r="AD725" s="2098"/>
      <c r="AE725" s="2098"/>
      <c r="AF725" s="2098"/>
      <c r="AG725" s="2098"/>
      <c r="AH725" s="2098"/>
      <c r="AI725" s="2098"/>
      <c r="AJ725" s="2098"/>
      <c r="AK725" s="2098"/>
      <c r="AL725" s="2098"/>
      <c r="AM725" s="2098"/>
      <c r="AN725" s="2098"/>
      <c r="AO725" s="2098"/>
      <c r="AP725" s="2098"/>
      <c r="AQ725" s="2098"/>
      <c r="AR725" s="2098"/>
      <c r="AS725" s="2098"/>
      <c r="AT725" s="2098"/>
      <c r="AU725" s="2098"/>
      <c r="AV725" s="2098"/>
      <c r="AW725" s="2098"/>
      <c r="AX725" s="2098"/>
      <c r="AY725" s="2098"/>
      <c r="AZ725" s="2098"/>
    </row>
    <row r="726" spans="3:52">
      <c r="C726" s="2096"/>
      <c r="D726" s="2097"/>
      <c r="E726" s="2098"/>
      <c r="F726" s="2098"/>
      <c r="G726" s="2098"/>
      <c r="H726" s="2098"/>
      <c r="I726" s="2098"/>
      <c r="J726" s="2098"/>
      <c r="K726" s="2098"/>
      <c r="L726" s="2098"/>
      <c r="M726" s="2098"/>
      <c r="N726" s="2098"/>
      <c r="O726" s="2098"/>
      <c r="P726" s="2098"/>
      <c r="Q726" s="2098"/>
      <c r="R726" s="2098"/>
      <c r="S726" s="2098"/>
      <c r="T726" s="2098"/>
      <c r="U726" s="2098"/>
      <c r="V726" s="2098"/>
      <c r="W726" s="2098"/>
      <c r="X726" s="2098"/>
      <c r="Y726" s="2098"/>
      <c r="Z726" s="2098"/>
      <c r="AA726" s="2098"/>
      <c r="AB726" s="2098"/>
      <c r="AC726" s="2098"/>
      <c r="AD726" s="2098"/>
      <c r="AE726" s="2098"/>
      <c r="AF726" s="2098"/>
      <c r="AG726" s="2098"/>
      <c r="AH726" s="2098"/>
      <c r="AI726" s="2098"/>
      <c r="AJ726" s="2098"/>
      <c r="AK726" s="2098"/>
      <c r="AL726" s="2098"/>
      <c r="AM726" s="2098"/>
      <c r="AN726" s="2098"/>
      <c r="AO726" s="2098"/>
      <c r="AP726" s="2098"/>
      <c r="AQ726" s="2098"/>
      <c r="AR726" s="2098"/>
      <c r="AS726" s="2098"/>
      <c r="AT726" s="2098"/>
      <c r="AU726" s="2098"/>
      <c r="AV726" s="2098"/>
      <c r="AW726" s="2098"/>
      <c r="AX726" s="2098"/>
      <c r="AY726" s="2098"/>
      <c r="AZ726" s="2098"/>
    </row>
    <row r="727" spans="3:52">
      <c r="C727" s="2096"/>
      <c r="D727" s="2097"/>
      <c r="E727" s="2098"/>
      <c r="F727" s="2098"/>
      <c r="G727" s="2098"/>
      <c r="H727" s="2098"/>
      <c r="I727" s="2098"/>
      <c r="J727" s="2098"/>
      <c r="K727" s="2098"/>
      <c r="L727" s="2098"/>
      <c r="M727" s="2098"/>
      <c r="N727" s="2098"/>
      <c r="O727" s="2098"/>
      <c r="P727" s="2098"/>
      <c r="Q727" s="2098"/>
      <c r="R727" s="2098"/>
      <c r="S727" s="2098"/>
      <c r="T727" s="2098"/>
      <c r="U727" s="2098"/>
      <c r="V727" s="2098"/>
      <c r="W727" s="2098"/>
      <c r="X727" s="2098"/>
      <c r="Y727" s="2098"/>
      <c r="Z727" s="2098"/>
      <c r="AA727" s="2098"/>
      <c r="AB727" s="2098"/>
      <c r="AC727" s="2098"/>
      <c r="AD727" s="2098"/>
      <c r="AE727" s="2098"/>
      <c r="AF727" s="2098"/>
      <c r="AG727" s="2098"/>
      <c r="AH727" s="2098"/>
      <c r="AI727" s="2098"/>
      <c r="AJ727" s="2098"/>
      <c r="AK727" s="2098"/>
      <c r="AL727" s="2098"/>
      <c r="AM727" s="2098"/>
      <c r="AN727" s="2098"/>
      <c r="AO727" s="2098"/>
      <c r="AP727" s="2098"/>
      <c r="AQ727" s="2098"/>
      <c r="AR727" s="2098"/>
      <c r="AS727" s="2098"/>
      <c r="AT727" s="2098"/>
      <c r="AU727" s="2098"/>
      <c r="AV727" s="2098"/>
      <c r="AW727" s="2098"/>
      <c r="AX727" s="2098"/>
      <c r="AY727" s="2098"/>
      <c r="AZ727" s="2098"/>
    </row>
    <row r="728" spans="3:52">
      <c r="C728" s="2096"/>
      <c r="D728" s="2097"/>
      <c r="E728" s="2098"/>
      <c r="F728" s="2098"/>
      <c r="G728" s="2098"/>
      <c r="H728" s="2098"/>
      <c r="I728" s="2098"/>
      <c r="J728" s="2098"/>
      <c r="K728" s="2098"/>
      <c r="L728" s="2098"/>
      <c r="M728" s="2098"/>
      <c r="N728" s="2098"/>
      <c r="O728" s="2098"/>
      <c r="P728" s="2098"/>
      <c r="Q728" s="2098"/>
      <c r="R728" s="2098"/>
      <c r="S728" s="2098"/>
      <c r="T728" s="2098"/>
      <c r="U728" s="2098"/>
      <c r="V728" s="2098"/>
      <c r="W728" s="2098"/>
      <c r="X728" s="2098"/>
      <c r="Y728" s="2098"/>
      <c r="Z728" s="2098"/>
      <c r="AA728" s="2098"/>
      <c r="AB728" s="2098"/>
      <c r="AC728" s="2098"/>
      <c r="AD728" s="2098"/>
      <c r="AE728" s="2098"/>
      <c r="AF728" s="2098"/>
      <c r="AG728" s="2098"/>
      <c r="AH728" s="2098"/>
      <c r="AI728" s="2098"/>
      <c r="AJ728" s="2098"/>
      <c r="AK728" s="2098"/>
      <c r="AL728" s="2098"/>
      <c r="AM728" s="2098"/>
      <c r="AN728" s="2098"/>
      <c r="AO728" s="2098"/>
      <c r="AP728" s="2098"/>
      <c r="AQ728" s="2098"/>
      <c r="AR728" s="2098"/>
      <c r="AS728" s="2098"/>
      <c r="AT728" s="2098"/>
      <c r="AU728" s="2098"/>
      <c r="AV728" s="2098"/>
      <c r="AW728" s="2098"/>
      <c r="AX728" s="2098"/>
      <c r="AY728" s="2098"/>
      <c r="AZ728" s="2098"/>
    </row>
    <row r="729" spans="3:52">
      <c r="C729" s="2096"/>
      <c r="D729" s="2097"/>
      <c r="E729" s="2098"/>
      <c r="F729" s="2098"/>
      <c r="G729" s="2098"/>
      <c r="H729" s="2098"/>
      <c r="I729" s="2098"/>
      <c r="J729" s="2098"/>
      <c r="K729" s="2098"/>
      <c r="L729" s="2098"/>
      <c r="M729" s="2098"/>
      <c r="N729" s="2098"/>
      <c r="O729" s="2098"/>
      <c r="P729" s="2098"/>
      <c r="Q729" s="2098"/>
      <c r="R729" s="2098"/>
      <c r="S729" s="2098"/>
      <c r="T729" s="2098"/>
      <c r="U729" s="2098"/>
      <c r="V729" s="2098"/>
      <c r="W729" s="2098"/>
      <c r="X729" s="2098"/>
      <c r="Y729" s="2098"/>
      <c r="Z729" s="2098"/>
      <c r="AA729" s="2098"/>
      <c r="AB729" s="2098"/>
      <c r="AC729" s="2098"/>
      <c r="AD729" s="2098"/>
      <c r="AE729" s="2098"/>
      <c r="AF729" s="2098"/>
      <c r="AG729" s="2098"/>
      <c r="AH729" s="2098"/>
      <c r="AI729" s="2098"/>
      <c r="AJ729" s="2098"/>
      <c r="AK729" s="2098"/>
      <c r="AL729" s="2098"/>
      <c r="AM729" s="2098"/>
      <c r="AN729" s="2098"/>
      <c r="AO729" s="2098"/>
      <c r="AP729" s="2098"/>
      <c r="AQ729" s="2098"/>
      <c r="AR729" s="2098"/>
      <c r="AS729" s="2098"/>
      <c r="AT729" s="2098"/>
      <c r="AU729" s="2098"/>
      <c r="AV729" s="2098"/>
      <c r="AW729" s="2098"/>
      <c r="AX729" s="2098"/>
      <c r="AY729" s="2098"/>
      <c r="AZ729" s="2098"/>
    </row>
    <row r="730" spans="3:52">
      <c r="C730" s="2096"/>
      <c r="D730" s="2097"/>
      <c r="E730" s="2098"/>
      <c r="F730" s="2098"/>
      <c r="G730" s="2098"/>
      <c r="H730" s="2098"/>
      <c r="I730" s="2098"/>
      <c r="J730" s="2098"/>
      <c r="K730" s="2098"/>
      <c r="L730" s="2098"/>
      <c r="M730" s="2098"/>
      <c r="N730" s="2098"/>
      <c r="O730" s="2098"/>
      <c r="P730" s="2098"/>
      <c r="Q730" s="2098"/>
      <c r="R730" s="2098"/>
      <c r="S730" s="2098"/>
      <c r="T730" s="2098"/>
      <c r="U730" s="2098"/>
      <c r="V730" s="2098"/>
      <c r="W730" s="2098"/>
      <c r="X730" s="2098"/>
      <c r="Y730" s="2098"/>
      <c r="Z730" s="2098"/>
      <c r="AA730" s="2098"/>
      <c r="AB730" s="2098"/>
      <c r="AC730" s="2098"/>
      <c r="AD730" s="2098"/>
      <c r="AE730" s="2098"/>
      <c r="AF730" s="2098"/>
      <c r="AG730" s="2098"/>
      <c r="AH730" s="2098"/>
      <c r="AI730" s="2098"/>
      <c r="AJ730" s="2098"/>
      <c r="AK730" s="2098"/>
      <c r="AL730" s="2098"/>
      <c r="AM730" s="2098"/>
      <c r="AN730" s="2098"/>
      <c r="AO730" s="2098"/>
      <c r="AP730" s="2098"/>
      <c r="AQ730" s="2098"/>
      <c r="AR730" s="2098"/>
      <c r="AS730" s="2098"/>
      <c r="AT730" s="2098"/>
      <c r="AU730" s="2098"/>
      <c r="AV730" s="2098"/>
      <c r="AW730" s="2098"/>
      <c r="AX730" s="2098"/>
      <c r="AY730" s="2098"/>
      <c r="AZ730" s="2098"/>
    </row>
    <row r="731" spans="3:52">
      <c r="C731" s="2096"/>
      <c r="D731" s="2097"/>
      <c r="E731" s="2098"/>
      <c r="F731" s="2098"/>
      <c r="G731" s="2098"/>
      <c r="H731" s="2098"/>
      <c r="I731" s="2098"/>
      <c r="J731" s="2098"/>
      <c r="K731" s="2098"/>
      <c r="L731" s="2098"/>
      <c r="M731" s="2098"/>
      <c r="N731" s="2098"/>
      <c r="O731" s="2098"/>
      <c r="P731" s="2098"/>
      <c r="Q731" s="2098"/>
      <c r="R731" s="2098"/>
      <c r="S731" s="2098"/>
      <c r="T731" s="2098"/>
      <c r="U731" s="2098"/>
      <c r="V731" s="2098"/>
      <c r="W731" s="2098"/>
      <c r="X731" s="2098"/>
      <c r="Y731" s="2098"/>
      <c r="Z731" s="2098"/>
      <c r="AA731" s="2098"/>
      <c r="AB731" s="2098"/>
      <c r="AC731" s="2098"/>
      <c r="AD731" s="2098"/>
      <c r="AE731" s="2098"/>
      <c r="AF731" s="2098"/>
      <c r="AG731" s="2098"/>
      <c r="AH731" s="2098"/>
      <c r="AI731" s="2098"/>
      <c r="AJ731" s="2098"/>
      <c r="AK731" s="2098"/>
      <c r="AL731" s="2098"/>
      <c r="AM731" s="2098"/>
      <c r="AN731" s="2098"/>
      <c r="AO731" s="2098"/>
      <c r="AP731" s="2098"/>
      <c r="AQ731" s="2098"/>
      <c r="AR731" s="2098"/>
      <c r="AS731" s="2098"/>
      <c r="AT731" s="2098"/>
      <c r="AU731" s="2098"/>
      <c r="AV731" s="2098"/>
      <c r="AW731" s="2098"/>
      <c r="AX731" s="2098"/>
      <c r="AY731" s="2098"/>
      <c r="AZ731" s="2098"/>
    </row>
    <row r="732" spans="3:52">
      <c r="C732" s="2096"/>
      <c r="D732" s="2097"/>
      <c r="E732" s="2098"/>
      <c r="F732" s="2098"/>
      <c r="G732" s="2098"/>
      <c r="H732" s="2098"/>
      <c r="I732" s="2098"/>
      <c r="J732" s="2098"/>
      <c r="K732" s="2098"/>
      <c r="L732" s="2098"/>
      <c r="M732" s="2098"/>
      <c r="N732" s="2098"/>
      <c r="O732" s="2098"/>
      <c r="P732" s="2098"/>
      <c r="Q732" s="2098"/>
      <c r="R732" s="2098"/>
      <c r="S732" s="2098"/>
      <c r="T732" s="2098"/>
      <c r="U732" s="2098"/>
      <c r="V732" s="2098"/>
      <c r="W732" s="2098"/>
      <c r="X732" s="2098"/>
      <c r="Y732" s="2098"/>
      <c r="Z732" s="2098"/>
      <c r="AA732" s="2098"/>
      <c r="AB732" s="2098"/>
      <c r="AC732" s="2098"/>
      <c r="AD732" s="2098"/>
      <c r="AE732" s="2098"/>
      <c r="AF732" s="2098"/>
      <c r="AG732" s="2098"/>
      <c r="AH732" s="2098"/>
      <c r="AI732" s="2098"/>
      <c r="AJ732" s="2098"/>
      <c r="AK732" s="2098"/>
      <c r="AL732" s="2098"/>
      <c r="AM732" s="2098"/>
      <c r="AN732" s="2098"/>
      <c r="AO732" s="2098"/>
      <c r="AP732" s="2098"/>
      <c r="AQ732" s="2098"/>
      <c r="AR732" s="2098"/>
      <c r="AS732" s="2098"/>
      <c r="AT732" s="2098"/>
      <c r="AU732" s="2098"/>
      <c r="AV732" s="2098"/>
      <c r="AW732" s="2098"/>
      <c r="AX732" s="2098"/>
      <c r="AY732" s="2098"/>
      <c r="AZ732" s="2098"/>
    </row>
    <row r="733" spans="3:52">
      <c r="C733" s="2096"/>
      <c r="D733" s="2097"/>
      <c r="E733" s="2098"/>
      <c r="F733" s="2098"/>
      <c r="G733" s="2098"/>
      <c r="H733" s="2098"/>
      <c r="I733" s="2098"/>
      <c r="J733" s="2098"/>
      <c r="K733" s="2098"/>
      <c r="L733" s="2098"/>
      <c r="M733" s="2098"/>
      <c r="N733" s="2098"/>
      <c r="O733" s="2098"/>
      <c r="P733" s="2098"/>
      <c r="Q733" s="2098"/>
      <c r="R733" s="2098"/>
      <c r="S733" s="2098"/>
      <c r="T733" s="2098"/>
      <c r="U733" s="2098"/>
      <c r="V733" s="2098"/>
      <c r="W733" s="2098"/>
      <c r="X733" s="2098"/>
      <c r="Y733" s="2098"/>
      <c r="Z733" s="2098"/>
      <c r="AA733" s="2098"/>
      <c r="AB733" s="2098"/>
      <c r="AC733" s="2098"/>
      <c r="AD733" s="2098"/>
      <c r="AE733" s="2098"/>
      <c r="AF733" s="2098"/>
      <c r="AG733" s="2098"/>
      <c r="AH733" s="2098"/>
      <c r="AI733" s="2098"/>
      <c r="AJ733" s="2098"/>
      <c r="AK733" s="2098"/>
      <c r="AL733" s="2098"/>
      <c r="AM733" s="2098"/>
      <c r="AN733" s="2098"/>
      <c r="AO733" s="2098"/>
      <c r="AP733" s="2098"/>
      <c r="AQ733" s="2098"/>
      <c r="AR733" s="2098"/>
      <c r="AS733" s="2098"/>
      <c r="AT733" s="2098"/>
      <c r="AU733" s="2098"/>
      <c r="AV733" s="2098"/>
      <c r="AW733" s="2098"/>
      <c r="AX733" s="2098"/>
      <c r="AY733" s="2098"/>
      <c r="AZ733" s="2098"/>
    </row>
    <row r="734" spans="3:52">
      <c r="C734" s="2096"/>
      <c r="D734" s="2097"/>
      <c r="E734" s="2098"/>
      <c r="F734" s="2098"/>
      <c r="G734" s="2098"/>
      <c r="H734" s="2098"/>
      <c r="I734" s="2098"/>
      <c r="J734" s="2098"/>
      <c r="K734" s="2098"/>
      <c r="L734" s="2098"/>
      <c r="M734" s="2098"/>
      <c r="N734" s="2098"/>
      <c r="O734" s="2098"/>
      <c r="P734" s="2098"/>
      <c r="Q734" s="2098"/>
      <c r="R734" s="2098"/>
      <c r="S734" s="2098"/>
      <c r="T734" s="2098"/>
      <c r="U734" s="2098"/>
      <c r="V734" s="2098"/>
      <c r="W734" s="2098"/>
      <c r="X734" s="2098"/>
      <c r="Y734" s="2098"/>
      <c r="Z734" s="2098"/>
      <c r="AA734" s="2098"/>
      <c r="AB734" s="2098"/>
      <c r="AC734" s="2098"/>
      <c r="AD734" s="2098"/>
      <c r="AE734" s="2098"/>
      <c r="AF734" s="2098"/>
      <c r="AG734" s="2098"/>
      <c r="AH734" s="2098"/>
      <c r="AI734" s="2098"/>
      <c r="AJ734" s="2098"/>
      <c r="AK734" s="2098"/>
      <c r="AL734" s="2098"/>
      <c r="AM734" s="2098"/>
      <c r="AN734" s="2098"/>
      <c r="AO734" s="2098"/>
      <c r="AP734" s="2098"/>
      <c r="AQ734" s="2098"/>
      <c r="AR734" s="2098"/>
      <c r="AS734" s="2098"/>
      <c r="AT734" s="2098"/>
      <c r="AU734" s="2098"/>
      <c r="AV734" s="2098"/>
      <c r="AW734" s="2098"/>
      <c r="AX734" s="2098"/>
      <c r="AY734" s="2098"/>
      <c r="AZ734" s="2098"/>
    </row>
    <row r="735" spans="3:52">
      <c r="C735" s="2096"/>
      <c r="D735" s="2097"/>
      <c r="E735" s="2098"/>
      <c r="F735" s="2098"/>
      <c r="G735" s="2098"/>
      <c r="H735" s="2098"/>
      <c r="I735" s="2098"/>
      <c r="J735" s="2098"/>
      <c r="K735" s="2098"/>
      <c r="L735" s="2098"/>
      <c r="M735" s="2098"/>
      <c r="N735" s="2098"/>
      <c r="O735" s="2098"/>
      <c r="P735" s="2098"/>
      <c r="Q735" s="2098"/>
      <c r="R735" s="2098"/>
      <c r="S735" s="2098"/>
      <c r="T735" s="2098"/>
      <c r="U735" s="2098"/>
      <c r="V735" s="2098"/>
      <c r="W735" s="2098"/>
      <c r="X735" s="2098"/>
      <c r="Y735" s="2098"/>
      <c r="Z735" s="2098"/>
      <c r="AA735" s="2098"/>
      <c r="AB735" s="2098"/>
      <c r="AC735" s="2098"/>
      <c r="AD735" s="2098"/>
      <c r="AE735" s="2098"/>
      <c r="AF735" s="2098"/>
      <c r="AG735" s="2098"/>
      <c r="AH735" s="2098"/>
      <c r="AI735" s="2098"/>
      <c r="AJ735" s="2098"/>
      <c r="AK735" s="2098"/>
      <c r="AL735" s="2098"/>
      <c r="AM735" s="2098"/>
      <c r="AN735" s="2098"/>
      <c r="AO735" s="2098"/>
      <c r="AP735" s="2098"/>
      <c r="AQ735" s="2098"/>
      <c r="AR735" s="2098"/>
      <c r="AS735" s="2098"/>
      <c r="AT735" s="2098"/>
      <c r="AU735" s="2098"/>
      <c r="AV735" s="2098"/>
      <c r="AW735" s="2098"/>
      <c r="AX735" s="2098"/>
      <c r="AY735" s="2098"/>
      <c r="AZ735" s="2098"/>
    </row>
    <row r="736" spans="3:52">
      <c r="C736" s="2096"/>
      <c r="D736" s="2097"/>
      <c r="E736" s="2098"/>
      <c r="F736" s="2098"/>
      <c r="G736" s="2098"/>
      <c r="H736" s="2098"/>
      <c r="I736" s="2098"/>
      <c r="J736" s="2098"/>
      <c r="K736" s="2098"/>
      <c r="L736" s="2098"/>
      <c r="M736" s="2098"/>
      <c r="N736" s="2098"/>
      <c r="O736" s="2098"/>
      <c r="P736" s="2098"/>
      <c r="Q736" s="2098"/>
      <c r="R736" s="2098"/>
      <c r="S736" s="2098"/>
      <c r="T736" s="2098"/>
      <c r="U736" s="2098"/>
      <c r="V736" s="2098"/>
      <c r="W736" s="2098"/>
      <c r="X736" s="2098"/>
      <c r="Y736" s="2098"/>
      <c r="Z736" s="2098"/>
      <c r="AA736" s="2098"/>
      <c r="AB736" s="2098"/>
      <c r="AC736" s="2098"/>
      <c r="AD736" s="2098"/>
      <c r="AE736" s="2098"/>
      <c r="AF736" s="2098"/>
      <c r="AG736" s="2098"/>
      <c r="AH736" s="2098"/>
      <c r="AI736" s="2098"/>
      <c r="AJ736" s="2098"/>
      <c r="AK736" s="2098"/>
      <c r="AL736" s="2098"/>
      <c r="AM736" s="2098"/>
      <c r="AN736" s="2098"/>
      <c r="AO736" s="2098"/>
      <c r="AP736" s="2098"/>
      <c r="AQ736" s="2098"/>
      <c r="AR736" s="2098"/>
      <c r="AS736" s="2098"/>
      <c r="AT736" s="2098"/>
      <c r="AU736" s="2098"/>
      <c r="AV736" s="2098"/>
      <c r="AW736" s="2098"/>
      <c r="AX736" s="2098"/>
      <c r="AY736" s="2098"/>
      <c r="AZ736" s="2098"/>
    </row>
    <row r="737" spans="3:52">
      <c r="C737" s="2096"/>
      <c r="D737" s="2097"/>
      <c r="E737" s="2098"/>
      <c r="F737" s="2098"/>
      <c r="G737" s="2098"/>
      <c r="H737" s="2098"/>
      <c r="I737" s="2098"/>
      <c r="J737" s="2098"/>
      <c r="K737" s="2098"/>
      <c r="L737" s="2098"/>
      <c r="M737" s="2098"/>
      <c r="N737" s="2098"/>
      <c r="O737" s="2098"/>
      <c r="P737" s="2098"/>
      <c r="Q737" s="2098"/>
      <c r="R737" s="2098"/>
      <c r="S737" s="2098"/>
      <c r="T737" s="2098"/>
      <c r="U737" s="2098"/>
      <c r="V737" s="2098"/>
      <c r="W737" s="2098"/>
      <c r="X737" s="2098"/>
      <c r="Y737" s="2098"/>
      <c r="Z737" s="2098"/>
      <c r="AA737" s="2098"/>
      <c r="AB737" s="2098"/>
      <c r="AC737" s="2098"/>
      <c r="AD737" s="2098"/>
      <c r="AE737" s="2098"/>
      <c r="AF737" s="2098"/>
      <c r="AG737" s="2098"/>
      <c r="AH737" s="2098"/>
      <c r="AI737" s="2098"/>
      <c r="AJ737" s="2098"/>
      <c r="AK737" s="2098"/>
      <c r="AL737" s="2098"/>
      <c r="AM737" s="2098"/>
      <c r="AN737" s="2098"/>
      <c r="AO737" s="2098"/>
      <c r="AP737" s="2098"/>
      <c r="AQ737" s="2098"/>
      <c r="AR737" s="2098"/>
      <c r="AS737" s="2098"/>
      <c r="AT737" s="2098"/>
      <c r="AU737" s="2098"/>
      <c r="AV737" s="2098"/>
      <c r="AW737" s="2098"/>
      <c r="AX737" s="2098"/>
      <c r="AY737" s="2098"/>
      <c r="AZ737" s="2098"/>
    </row>
    <row r="738" spans="3:52">
      <c r="C738" s="2096"/>
      <c r="D738" s="2097"/>
      <c r="E738" s="2098"/>
      <c r="F738" s="2098"/>
      <c r="G738" s="2098"/>
      <c r="H738" s="2098"/>
      <c r="I738" s="2098"/>
      <c r="J738" s="2098"/>
      <c r="K738" s="2098"/>
      <c r="L738" s="2098"/>
      <c r="M738" s="2098"/>
      <c r="N738" s="2098"/>
      <c r="O738" s="2098"/>
      <c r="P738" s="2098"/>
      <c r="Q738" s="2098"/>
      <c r="R738" s="2098"/>
      <c r="S738" s="2098"/>
      <c r="T738" s="2098"/>
      <c r="U738" s="2098"/>
      <c r="V738" s="2098"/>
      <c r="W738" s="2098"/>
      <c r="X738" s="2098"/>
      <c r="Y738" s="2098"/>
      <c r="Z738" s="2098"/>
      <c r="AA738" s="2098"/>
      <c r="AB738" s="2098"/>
      <c r="AC738" s="2098"/>
      <c r="AD738" s="2098"/>
      <c r="AE738" s="2098"/>
      <c r="AF738" s="2098"/>
      <c r="AG738" s="2098"/>
      <c r="AH738" s="2098"/>
      <c r="AI738" s="2098"/>
      <c r="AJ738" s="2098"/>
      <c r="AK738" s="2098"/>
      <c r="AL738" s="2098"/>
      <c r="AM738" s="2098"/>
      <c r="AN738" s="2098"/>
      <c r="AO738" s="2098"/>
      <c r="AP738" s="2098"/>
      <c r="AQ738" s="2098"/>
      <c r="AR738" s="2098"/>
      <c r="AS738" s="2098"/>
      <c r="AT738" s="2098"/>
      <c r="AU738" s="2098"/>
      <c r="AV738" s="2098"/>
      <c r="AW738" s="2098"/>
      <c r="AX738" s="2098"/>
      <c r="AY738" s="2098"/>
      <c r="AZ738" s="2098"/>
    </row>
    <row r="739" spans="3:52">
      <c r="C739" s="2096"/>
      <c r="D739" s="2097"/>
      <c r="E739" s="2098"/>
      <c r="F739" s="2098"/>
      <c r="G739" s="2098"/>
      <c r="H739" s="2098"/>
      <c r="I739" s="2098"/>
      <c r="J739" s="2098"/>
      <c r="K739" s="2098"/>
      <c r="L739" s="2098"/>
      <c r="M739" s="2098"/>
      <c r="N739" s="2098"/>
      <c r="O739" s="2098"/>
      <c r="P739" s="2098"/>
      <c r="Q739" s="2098"/>
      <c r="R739" s="2098"/>
      <c r="S739" s="2098"/>
      <c r="T739" s="2098"/>
      <c r="U739" s="2098"/>
      <c r="V739" s="2098"/>
      <c r="W739" s="2098"/>
      <c r="X739" s="2098"/>
      <c r="Y739" s="2098"/>
      <c r="Z739" s="2098"/>
      <c r="AA739" s="2098"/>
      <c r="AB739" s="2098"/>
      <c r="AC739" s="2098"/>
      <c r="AD739" s="2098"/>
      <c r="AE739" s="2098"/>
      <c r="AF739" s="2098"/>
      <c r="AG739" s="2098"/>
      <c r="AH739" s="2098"/>
      <c r="AI739" s="2098"/>
      <c r="AJ739" s="2098"/>
      <c r="AK739" s="2098"/>
      <c r="AL739" s="2098"/>
      <c r="AM739" s="2098"/>
      <c r="AN739" s="2098"/>
      <c r="AO739" s="2098"/>
      <c r="AP739" s="2098"/>
      <c r="AQ739" s="2098"/>
      <c r="AR739" s="2098"/>
      <c r="AS739" s="2098"/>
      <c r="AT739" s="2098"/>
      <c r="AU739" s="2098"/>
      <c r="AV739" s="2098"/>
      <c r="AW739" s="2098"/>
      <c r="AX739" s="2098"/>
      <c r="AY739" s="2098"/>
      <c r="AZ739" s="2098"/>
    </row>
    <row r="740" spans="3:52">
      <c r="C740" s="2096"/>
      <c r="D740" s="2097"/>
      <c r="E740" s="2098"/>
      <c r="F740" s="2098"/>
      <c r="G740" s="2098"/>
      <c r="H740" s="2098"/>
      <c r="I740" s="2098"/>
      <c r="J740" s="2098"/>
      <c r="K740" s="2098"/>
      <c r="L740" s="2098"/>
      <c r="M740" s="2098"/>
      <c r="N740" s="2098"/>
      <c r="O740" s="2098"/>
      <c r="P740" s="2098"/>
      <c r="Q740" s="2098"/>
      <c r="R740" s="2098"/>
      <c r="S740" s="2098"/>
      <c r="T740" s="2098"/>
      <c r="U740" s="2098"/>
      <c r="V740" s="2098"/>
      <c r="W740" s="2098"/>
      <c r="X740" s="2098"/>
      <c r="Y740" s="2098"/>
      <c r="Z740" s="2098"/>
      <c r="AA740" s="2098"/>
      <c r="AB740" s="2098"/>
      <c r="AC740" s="2098"/>
      <c r="AD740" s="2098"/>
      <c r="AE740" s="2098"/>
      <c r="AF740" s="2098"/>
      <c r="AG740" s="2098"/>
      <c r="AH740" s="2098"/>
      <c r="AI740" s="2098"/>
      <c r="AJ740" s="2098"/>
      <c r="AK740" s="2098"/>
      <c r="AL740" s="2098"/>
      <c r="AM740" s="2098"/>
      <c r="AN740" s="2098"/>
      <c r="AO740" s="2098"/>
      <c r="AP740" s="2098"/>
      <c r="AQ740" s="2098"/>
      <c r="AR740" s="2098"/>
      <c r="AS740" s="2098"/>
      <c r="AT740" s="2098"/>
      <c r="AU740" s="2098"/>
      <c r="AV740" s="2098"/>
      <c r="AW740" s="2098"/>
      <c r="AX740" s="2098"/>
      <c r="AY740" s="2098"/>
      <c r="AZ740" s="2098"/>
    </row>
    <row r="741" spans="3:52">
      <c r="C741" s="2096"/>
      <c r="D741" s="2097"/>
      <c r="E741" s="2098"/>
      <c r="F741" s="2098"/>
      <c r="G741" s="2098"/>
      <c r="H741" s="2098"/>
      <c r="I741" s="2098"/>
      <c r="J741" s="2098"/>
      <c r="K741" s="2098"/>
      <c r="L741" s="2098"/>
      <c r="M741" s="2098"/>
      <c r="N741" s="2098"/>
      <c r="O741" s="2098"/>
      <c r="P741" s="2098"/>
      <c r="Q741" s="2098"/>
      <c r="R741" s="2098"/>
      <c r="S741" s="2098"/>
      <c r="T741" s="2098"/>
      <c r="U741" s="2098"/>
      <c r="V741" s="2098"/>
      <c r="W741" s="2098"/>
      <c r="X741" s="2098"/>
      <c r="Y741" s="2098"/>
      <c r="Z741" s="2098"/>
      <c r="AA741" s="2098"/>
      <c r="AB741" s="2098"/>
      <c r="AC741" s="2098"/>
      <c r="AD741" s="2098"/>
      <c r="AE741" s="2098"/>
      <c r="AF741" s="2098"/>
      <c r="AG741" s="2098"/>
      <c r="AH741" s="2098"/>
      <c r="AI741" s="2098"/>
      <c r="AJ741" s="2098"/>
      <c r="AK741" s="2098"/>
      <c r="AL741" s="2098"/>
      <c r="AM741" s="2098"/>
      <c r="AN741" s="2098"/>
      <c r="AO741" s="2098"/>
      <c r="AP741" s="2098"/>
      <c r="AQ741" s="2098"/>
      <c r="AR741" s="2098"/>
      <c r="AS741" s="2098"/>
      <c r="AT741" s="2098"/>
      <c r="AU741" s="2098"/>
      <c r="AV741" s="2098"/>
      <c r="AW741" s="2098"/>
      <c r="AX741" s="2098"/>
      <c r="AY741" s="2098"/>
      <c r="AZ741" s="2098"/>
    </row>
    <row r="742" spans="3:52">
      <c r="C742" s="2096"/>
      <c r="D742" s="2097"/>
      <c r="E742" s="2098"/>
      <c r="F742" s="2098"/>
      <c r="G742" s="2098"/>
      <c r="H742" s="2098"/>
      <c r="I742" s="2098"/>
      <c r="J742" s="2098"/>
      <c r="K742" s="2098"/>
      <c r="L742" s="2098"/>
      <c r="M742" s="2098"/>
      <c r="N742" s="2098"/>
      <c r="O742" s="2098"/>
      <c r="P742" s="2098"/>
      <c r="Q742" s="2098"/>
      <c r="R742" s="2098"/>
      <c r="S742" s="2098"/>
      <c r="T742" s="2098"/>
      <c r="U742" s="2098"/>
      <c r="V742" s="2098"/>
      <c r="W742" s="2098"/>
      <c r="X742" s="2098"/>
      <c r="Y742" s="2098"/>
      <c r="Z742" s="2098"/>
      <c r="AA742" s="2098"/>
      <c r="AB742" s="2098"/>
      <c r="AC742" s="2098"/>
      <c r="AD742" s="2098"/>
      <c r="AE742" s="2098"/>
      <c r="AF742" s="2098"/>
      <c r="AG742" s="2098"/>
      <c r="AH742" s="2098"/>
      <c r="AI742" s="2098"/>
      <c r="AJ742" s="2098"/>
      <c r="AK742" s="2098"/>
      <c r="AL742" s="2098"/>
      <c r="AM742" s="2098"/>
      <c r="AN742" s="2098"/>
      <c r="AO742" s="2098"/>
      <c r="AP742" s="2098"/>
      <c r="AQ742" s="2098"/>
      <c r="AR742" s="2098"/>
      <c r="AS742" s="2098"/>
      <c r="AT742" s="2098"/>
      <c r="AU742" s="2098"/>
      <c r="AV742" s="2098"/>
      <c r="AW742" s="2098"/>
      <c r="AX742" s="2098"/>
      <c r="AY742" s="2098"/>
      <c r="AZ742" s="2098"/>
    </row>
    <row r="743" spans="3:52">
      <c r="C743" s="2096"/>
      <c r="D743" s="2097"/>
      <c r="E743" s="2098"/>
      <c r="F743" s="2098"/>
      <c r="G743" s="2098"/>
      <c r="H743" s="2098"/>
      <c r="I743" s="2098"/>
      <c r="J743" s="2098"/>
      <c r="K743" s="2098"/>
      <c r="L743" s="2098"/>
      <c r="M743" s="2098"/>
      <c r="N743" s="2098"/>
      <c r="O743" s="2098"/>
      <c r="P743" s="2098"/>
      <c r="Q743" s="2098"/>
      <c r="R743" s="2098"/>
      <c r="S743" s="2098"/>
      <c r="T743" s="2098"/>
      <c r="U743" s="2098"/>
      <c r="V743" s="2098"/>
      <c r="W743" s="2098"/>
      <c r="X743" s="2098"/>
      <c r="Y743" s="2098"/>
      <c r="Z743" s="2098"/>
      <c r="AA743" s="2098"/>
      <c r="AB743" s="2098"/>
      <c r="AC743" s="2098"/>
      <c r="AD743" s="2098"/>
      <c r="AE743" s="2098"/>
      <c r="AF743" s="2098"/>
      <c r="AG743" s="2098"/>
      <c r="AH743" s="2098"/>
      <c r="AI743" s="2098"/>
      <c r="AJ743" s="2098"/>
      <c r="AK743" s="2098"/>
      <c r="AL743" s="2098"/>
      <c r="AM743" s="2098"/>
      <c r="AN743" s="2098"/>
      <c r="AO743" s="2098"/>
      <c r="AP743" s="2098"/>
      <c r="AQ743" s="2098"/>
      <c r="AR743" s="2098"/>
      <c r="AS743" s="2098"/>
      <c r="AT743" s="2098"/>
      <c r="AU743" s="2098"/>
      <c r="AV743" s="2098"/>
      <c r="AW743" s="2098"/>
      <c r="AX743" s="2098"/>
      <c r="AY743" s="2098"/>
      <c r="AZ743" s="2098"/>
    </row>
    <row r="744" spans="3:52">
      <c r="C744" s="2096"/>
      <c r="D744" s="2097"/>
      <c r="E744" s="2098"/>
      <c r="F744" s="2098"/>
      <c r="G744" s="2098"/>
      <c r="H744" s="2098"/>
      <c r="I744" s="2098"/>
      <c r="J744" s="2098"/>
      <c r="K744" s="2098"/>
      <c r="L744" s="2098"/>
      <c r="M744" s="2098"/>
      <c r="N744" s="2098"/>
      <c r="O744" s="2098"/>
      <c r="P744" s="2098"/>
      <c r="Q744" s="2098"/>
      <c r="R744" s="2098"/>
      <c r="S744" s="2098"/>
      <c r="T744" s="2098"/>
      <c r="U744" s="2098"/>
      <c r="V744" s="2098"/>
      <c r="W744" s="2098"/>
      <c r="X744" s="2098"/>
      <c r="Y744" s="2098"/>
      <c r="Z744" s="2098"/>
      <c r="AA744" s="2098"/>
      <c r="AB744" s="2098"/>
      <c r="AC744" s="2098"/>
      <c r="AD744" s="2098"/>
      <c r="AE744" s="2098"/>
      <c r="AF744" s="2098"/>
      <c r="AG744" s="2098"/>
      <c r="AH744" s="2098"/>
      <c r="AI744" s="2098"/>
      <c r="AJ744" s="2098"/>
      <c r="AK744" s="2098"/>
      <c r="AL744" s="2098"/>
      <c r="AM744" s="2098"/>
      <c r="AN744" s="2098"/>
      <c r="AO744" s="2098"/>
      <c r="AP744" s="2098"/>
      <c r="AQ744" s="2098"/>
      <c r="AR744" s="2098"/>
      <c r="AS744" s="2098"/>
      <c r="AT744" s="2098"/>
      <c r="AU744" s="2098"/>
      <c r="AV744" s="2098"/>
      <c r="AW744" s="2098"/>
      <c r="AX744" s="2098"/>
      <c r="AY744" s="2098"/>
      <c r="AZ744" s="2098"/>
    </row>
    <row r="745" spans="3:52">
      <c r="C745" s="2096"/>
      <c r="D745" s="2097"/>
      <c r="E745" s="2098"/>
      <c r="F745" s="2098"/>
      <c r="G745" s="2098"/>
      <c r="H745" s="2098"/>
      <c r="I745" s="2098"/>
      <c r="J745" s="2098"/>
      <c r="K745" s="2098"/>
      <c r="L745" s="2098"/>
      <c r="M745" s="2098"/>
      <c r="N745" s="2098"/>
      <c r="O745" s="2098"/>
      <c r="P745" s="2098"/>
      <c r="Q745" s="2098"/>
      <c r="R745" s="2098"/>
      <c r="S745" s="2098"/>
      <c r="T745" s="2098"/>
      <c r="U745" s="2098"/>
      <c r="V745" s="2098"/>
      <c r="W745" s="2098"/>
      <c r="X745" s="2098"/>
      <c r="Y745" s="2098"/>
      <c r="Z745" s="2098"/>
      <c r="AA745" s="2098"/>
      <c r="AB745" s="2098"/>
      <c r="AC745" s="2098"/>
      <c r="AD745" s="2098"/>
      <c r="AE745" s="2098"/>
      <c r="AF745" s="2098"/>
      <c r="AG745" s="2098"/>
      <c r="AH745" s="2098"/>
      <c r="AI745" s="2098"/>
      <c r="AJ745" s="2098"/>
      <c r="AK745" s="2098"/>
      <c r="AL745" s="2098"/>
      <c r="AM745" s="2098"/>
      <c r="AN745" s="2098"/>
      <c r="AO745" s="2098"/>
      <c r="AP745" s="2098"/>
      <c r="AQ745" s="2098"/>
      <c r="AR745" s="2098"/>
      <c r="AS745" s="2098"/>
      <c r="AT745" s="2098"/>
      <c r="AU745" s="2098"/>
      <c r="AV745" s="2098"/>
      <c r="AW745" s="2098"/>
      <c r="AX745" s="2098"/>
      <c r="AY745" s="2098"/>
      <c r="AZ745" s="2098"/>
    </row>
    <row r="746" spans="3:52">
      <c r="C746" s="2096"/>
      <c r="D746" s="2097"/>
      <c r="E746" s="2098"/>
      <c r="F746" s="2098"/>
      <c r="G746" s="2098"/>
      <c r="H746" s="2098"/>
      <c r="I746" s="2098"/>
      <c r="J746" s="2098"/>
      <c r="K746" s="2098"/>
      <c r="L746" s="2098"/>
      <c r="M746" s="2098"/>
      <c r="N746" s="2098"/>
      <c r="O746" s="2098"/>
      <c r="P746" s="2098"/>
      <c r="Q746" s="2098"/>
      <c r="R746" s="2098"/>
      <c r="S746" s="2098"/>
      <c r="T746" s="2098"/>
      <c r="U746" s="2098"/>
      <c r="V746" s="2098"/>
      <c r="W746" s="2098"/>
      <c r="X746" s="2098"/>
      <c r="Y746" s="2098"/>
      <c r="Z746" s="2098"/>
      <c r="AA746" s="2098"/>
      <c r="AB746" s="2098"/>
      <c r="AC746" s="2098"/>
      <c r="AD746" s="2098"/>
      <c r="AE746" s="2098"/>
      <c r="AF746" s="2098"/>
      <c r="AG746" s="2098"/>
      <c r="AH746" s="2098"/>
      <c r="AI746" s="2098"/>
      <c r="AJ746" s="2098"/>
      <c r="AK746" s="2098"/>
      <c r="AL746" s="2098"/>
      <c r="AM746" s="2098"/>
      <c r="AN746" s="2098"/>
      <c r="AO746" s="2098"/>
      <c r="AP746" s="2098"/>
      <c r="AQ746" s="2098"/>
      <c r="AR746" s="2098"/>
      <c r="AS746" s="2098"/>
      <c r="AT746" s="2098"/>
      <c r="AU746" s="2098"/>
      <c r="AV746" s="2098"/>
      <c r="AW746" s="2098"/>
      <c r="AX746" s="2098"/>
      <c r="AY746" s="2098"/>
      <c r="AZ746" s="2098"/>
    </row>
    <row r="747" spans="3:52">
      <c r="C747" s="2096"/>
      <c r="D747" s="2097"/>
      <c r="E747" s="2098"/>
      <c r="F747" s="2098"/>
      <c r="G747" s="2098"/>
      <c r="H747" s="2098"/>
      <c r="I747" s="2098"/>
      <c r="J747" s="2098"/>
      <c r="K747" s="2098"/>
      <c r="L747" s="2098"/>
      <c r="M747" s="2098"/>
      <c r="N747" s="2098"/>
      <c r="O747" s="2098"/>
      <c r="P747" s="2098"/>
      <c r="Q747" s="2098"/>
      <c r="R747" s="2098"/>
      <c r="S747" s="2098"/>
      <c r="T747" s="2098"/>
      <c r="U747" s="2098"/>
      <c r="V747" s="2098"/>
      <c r="W747" s="2098"/>
      <c r="X747" s="2098"/>
      <c r="Y747" s="2098"/>
      <c r="Z747" s="2098"/>
      <c r="AA747" s="2098"/>
      <c r="AB747" s="2098"/>
      <c r="AC747" s="2098"/>
      <c r="AD747" s="2098"/>
      <c r="AE747" s="2098"/>
      <c r="AF747" s="2098"/>
      <c r="AG747" s="2098"/>
      <c r="AH747" s="2098"/>
      <c r="AI747" s="2098"/>
      <c r="AJ747" s="2098"/>
      <c r="AK747" s="2098"/>
      <c r="AL747" s="2098"/>
      <c r="AM747" s="2098"/>
      <c r="AN747" s="2098"/>
      <c r="AO747" s="2098"/>
      <c r="AP747" s="2098"/>
      <c r="AQ747" s="2098"/>
      <c r="AR747" s="2098"/>
      <c r="AS747" s="2098"/>
      <c r="AT747" s="2098"/>
      <c r="AU747" s="2098"/>
      <c r="AV747" s="2098"/>
      <c r="AW747" s="2098"/>
      <c r="AX747" s="2098"/>
      <c r="AY747" s="2098"/>
      <c r="AZ747" s="2098"/>
    </row>
    <row r="748" spans="3:52">
      <c r="C748" s="2096"/>
      <c r="D748" s="2097"/>
      <c r="E748" s="2098"/>
      <c r="F748" s="2098"/>
      <c r="G748" s="2098"/>
      <c r="H748" s="2098"/>
      <c r="I748" s="2098"/>
      <c r="J748" s="2098"/>
      <c r="K748" s="2098"/>
      <c r="L748" s="2098"/>
      <c r="M748" s="2098"/>
      <c r="N748" s="2098"/>
      <c r="O748" s="2098"/>
      <c r="P748" s="2098"/>
      <c r="Q748" s="2098"/>
      <c r="R748" s="2098"/>
      <c r="S748" s="2098"/>
      <c r="T748" s="2098"/>
      <c r="U748" s="2098"/>
      <c r="V748" s="2098"/>
      <c r="W748" s="2098"/>
      <c r="X748" s="2098"/>
      <c r="Y748" s="2098"/>
      <c r="Z748" s="2098"/>
      <c r="AA748" s="2098"/>
      <c r="AB748" s="2098"/>
      <c r="AC748" s="2098"/>
      <c r="AD748" s="2098"/>
      <c r="AE748" s="2098"/>
      <c r="AF748" s="2098"/>
      <c r="AG748" s="2098"/>
      <c r="AH748" s="2098"/>
      <c r="AI748" s="2098"/>
      <c r="AJ748" s="2098"/>
      <c r="AK748" s="2098"/>
      <c r="AL748" s="2098"/>
      <c r="AM748" s="2098"/>
      <c r="AN748" s="2098"/>
      <c r="AO748" s="2098"/>
      <c r="AP748" s="2098"/>
      <c r="AQ748" s="2098"/>
      <c r="AR748" s="2098"/>
      <c r="AS748" s="2098"/>
      <c r="AT748" s="2098"/>
      <c r="AU748" s="2098"/>
      <c r="AV748" s="2098"/>
      <c r="AW748" s="2098"/>
      <c r="AX748" s="2098"/>
      <c r="AY748" s="2098"/>
      <c r="AZ748" s="2098"/>
    </row>
    <row r="749" spans="3:52">
      <c r="C749" s="2096"/>
      <c r="D749" s="2097"/>
      <c r="E749" s="2098"/>
      <c r="F749" s="2098"/>
      <c r="G749" s="2098"/>
      <c r="H749" s="2098"/>
      <c r="I749" s="2098"/>
      <c r="J749" s="2098"/>
      <c r="K749" s="2098"/>
      <c r="L749" s="2098"/>
      <c r="M749" s="2098"/>
      <c r="N749" s="2098"/>
      <c r="O749" s="2098"/>
      <c r="P749" s="2098"/>
      <c r="Q749" s="2098"/>
      <c r="R749" s="2098"/>
      <c r="S749" s="2098"/>
      <c r="T749" s="2098"/>
      <c r="U749" s="2098"/>
      <c r="V749" s="2098"/>
      <c r="W749" s="2098"/>
      <c r="X749" s="2098"/>
      <c r="Y749" s="2098"/>
      <c r="Z749" s="2098"/>
      <c r="AA749" s="2098"/>
      <c r="AB749" s="2098"/>
      <c r="AC749" s="2098"/>
      <c r="AD749" s="2098"/>
      <c r="AE749" s="2098"/>
      <c r="AF749" s="2098"/>
      <c r="AG749" s="2098"/>
      <c r="AH749" s="2098"/>
      <c r="AI749" s="2098"/>
      <c r="AJ749" s="2098"/>
      <c r="AK749" s="2098"/>
      <c r="AL749" s="2098"/>
      <c r="AM749" s="2098"/>
      <c r="AN749" s="2098"/>
      <c r="AO749" s="2098"/>
      <c r="AP749" s="2098"/>
      <c r="AQ749" s="2098"/>
      <c r="AR749" s="2098"/>
      <c r="AS749" s="2098"/>
      <c r="AT749" s="2098"/>
      <c r="AU749" s="2098"/>
      <c r="AV749" s="2098"/>
      <c r="AW749" s="2098"/>
      <c r="AX749" s="2098"/>
      <c r="AY749" s="2098"/>
      <c r="AZ749" s="2098"/>
    </row>
    <row r="750" spans="3:52">
      <c r="C750" s="2096"/>
      <c r="D750" s="2097"/>
      <c r="E750" s="2098"/>
      <c r="F750" s="2098"/>
      <c r="G750" s="2098"/>
      <c r="H750" s="2098"/>
      <c r="I750" s="2098"/>
      <c r="J750" s="2098"/>
      <c r="K750" s="2098"/>
      <c r="L750" s="2098"/>
      <c r="M750" s="2098"/>
      <c r="N750" s="2098"/>
      <c r="O750" s="2098"/>
      <c r="P750" s="2098"/>
      <c r="Q750" s="2098"/>
      <c r="R750" s="2098"/>
      <c r="S750" s="2098"/>
      <c r="T750" s="2098"/>
      <c r="U750" s="2098"/>
      <c r="V750" s="2098"/>
      <c r="W750" s="2098"/>
      <c r="X750" s="2098"/>
      <c r="Y750" s="2098"/>
      <c r="Z750" s="2098"/>
      <c r="AA750" s="2098"/>
      <c r="AB750" s="2098"/>
      <c r="AC750" s="2098"/>
      <c r="AD750" s="2098"/>
      <c r="AE750" s="2098"/>
      <c r="AF750" s="2098"/>
      <c r="AG750" s="2098"/>
      <c r="AH750" s="2098"/>
      <c r="AI750" s="2098"/>
      <c r="AJ750" s="2098"/>
      <c r="AK750" s="2098"/>
      <c r="AL750" s="2098"/>
      <c r="AM750" s="2098"/>
      <c r="AN750" s="2098"/>
      <c r="AO750" s="2098"/>
      <c r="AP750" s="2098"/>
      <c r="AQ750" s="2098"/>
      <c r="AR750" s="2098"/>
      <c r="AS750" s="2098"/>
      <c r="AT750" s="2098"/>
      <c r="AU750" s="2098"/>
      <c r="AV750" s="2098"/>
      <c r="AW750" s="2098"/>
      <c r="AX750" s="2098"/>
      <c r="AY750" s="2098"/>
      <c r="AZ750" s="2098"/>
    </row>
    <row r="751" spans="3:52">
      <c r="C751" s="2096"/>
      <c r="D751" s="2097"/>
      <c r="E751" s="2098"/>
      <c r="F751" s="2098"/>
      <c r="G751" s="2098"/>
      <c r="H751" s="2098"/>
      <c r="I751" s="2098"/>
      <c r="J751" s="2098"/>
      <c r="K751" s="2098"/>
      <c r="L751" s="2098"/>
      <c r="M751" s="2098"/>
      <c r="N751" s="2098"/>
      <c r="O751" s="2098"/>
      <c r="P751" s="2098"/>
      <c r="Q751" s="2098"/>
      <c r="R751" s="2098"/>
      <c r="S751" s="2098"/>
      <c r="T751" s="2098"/>
      <c r="U751" s="2098"/>
      <c r="V751" s="2098"/>
      <c r="W751" s="2098"/>
      <c r="X751" s="2098"/>
      <c r="Y751" s="2098"/>
      <c r="Z751" s="2098"/>
      <c r="AA751" s="2098"/>
      <c r="AB751" s="2098"/>
      <c r="AC751" s="2098"/>
      <c r="AD751" s="2098"/>
      <c r="AE751" s="2098"/>
      <c r="AF751" s="2098"/>
      <c r="AG751" s="2098"/>
      <c r="AH751" s="2098"/>
      <c r="AI751" s="2098"/>
      <c r="AJ751" s="2098"/>
      <c r="AK751" s="2098"/>
      <c r="AL751" s="2098"/>
      <c r="AM751" s="2098"/>
      <c r="AN751" s="2098"/>
      <c r="AO751" s="2098"/>
      <c r="AP751" s="2098"/>
      <c r="AQ751" s="2098"/>
      <c r="AR751" s="2098"/>
      <c r="AS751" s="2098"/>
      <c r="AT751" s="2098"/>
      <c r="AU751" s="2098"/>
      <c r="AV751" s="2098"/>
      <c r="AW751" s="2098"/>
      <c r="AX751" s="2098"/>
      <c r="AY751" s="2098"/>
      <c r="AZ751" s="2098"/>
    </row>
    <row r="752" spans="3:52">
      <c r="C752" s="2096"/>
      <c r="D752" s="2097"/>
      <c r="E752" s="2098"/>
      <c r="F752" s="2098"/>
      <c r="G752" s="2098"/>
      <c r="H752" s="2098"/>
      <c r="I752" s="2098"/>
      <c r="J752" s="2098"/>
      <c r="K752" s="2098"/>
      <c r="L752" s="2098"/>
      <c r="M752" s="2098"/>
      <c r="N752" s="2098"/>
      <c r="O752" s="2098"/>
      <c r="P752" s="2098"/>
      <c r="Q752" s="2098"/>
      <c r="R752" s="2098"/>
      <c r="S752" s="2098"/>
      <c r="T752" s="2098"/>
      <c r="U752" s="2098"/>
      <c r="V752" s="2098"/>
      <c r="W752" s="2098"/>
      <c r="X752" s="2098"/>
      <c r="Y752" s="2098"/>
      <c r="Z752" s="2098"/>
      <c r="AA752" s="2098"/>
      <c r="AB752" s="2098"/>
      <c r="AC752" s="2098"/>
      <c r="AD752" s="2098"/>
      <c r="AE752" s="2098"/>
      <c r="AF752" s="2098"/>
      <c r="AG752" s="2098"/>
      <c r="AH752" s="2098"/>
      <c r="AI752" s="2098"/>
      <c r="AJ752" s="2098"/>
      <c r="AK752" s="2098"/>
      <c r="AL752" s="2098"/>
      <c r="AM752" s="2098"/>
      <c r="AN752" s="2098"/>
      <c r="AO752" s="2098"/>
      <c r="AP752" s="2098"/>
      <c r="AQ752" s="2098"/>
      <c r="AR752" s="2098"/>
      <c r="AS752" s="2098"/>
      <c r="AT752" s="2098"/>
      <c r="AU752" s="2098"/>
      <c r="AV752" s="2098"/>
      <c r="AW752" s="2098"/>
      <c r="AX752" s="2098"/>
      <c r="AY752" s="2098"/>
      <c r="AZ752" s="2098"/>
    </row>
    <row r="753" spans="3:52">
      <c r="C753" s="2096"/>
      <c r="D753" s="2097"/>
      <c r="E753" s="2098"/>
      <c r="F753" s="2098"/>
      <c r="G753" s="2098"/>
      <c r="H753" s="2098"/>
      <c r="I753" s="2098"/>
      <c r="J753" s="2098"/>
      <c r="K753" s="2098"/>
      <c r="L753" s="2098"/>
      <c r="M753" s="2098"/>
      <c r="N753" s="2098"/>
      <c r="O753" s="2098"/>
      <c r="P753" s="2098"/>
      <c r="Q753" s="2098"/>
      <c r="R753" s="2098"/>
      <c r="S753" s="2098"/>
      <c r="T753" s="2098"/>
      <c r="U753" s="2098"/>
      <c r="V753" s="2098"/>
      <c r="W753" s="2098"/>
      <c r="X753" s="2098"/>
      <c r="Y753" s="2098"/>
      <c r="Z753" s="2098"/>
      <c r="AA753" s="2098"/>
      <c r="AB753" s="2098"/>
      <c r="AC753" s="2098"/>
      <c r="AD753" s="2098"/>
      <c r="AE753" s="2098"/>
      <c r="AF753" s="2098"/>
      <c r="AG753" s="2098"/>
      <c r="AH753" s="2098"/>
      <c r="AI753" s="2098"/>
      <c r="AJ753" s="2098"/>
      <c r="AK753" s="2098"/>
      <c r="AL753" s="2098"/>
      <c r="AM753" s="2098"/>
      <c r="AN753" s="2098"/>
      <c r="AO753" s="2098"/>
      <c r="AP753" s="2098"/>
      <c r="AQ753" s="2098"/>
      <c r="AR753" s="2098"/>
      <c r="AS753" s="2098"/>
      <c r="AT753" s="2098"/>
      <c r="AU753" s="2098"/>
      <c r="AV753" s="2098"/>
      <c r="AW753" s="2098"/>
      <c r="AX753" s="2098"/>
      <c r="AY753" s="2098"/>
      <c r="AZ753" s="2098"/>
    </row>
    <row r="754" spans="3:52">
      <c r="C754" s="2096"/>
      <c r="D754" s="2097"/>
      <c r="E754" s="2098"/>
      <c r="F754" s="2098"/>
      <c r="G754" s="2098"/>
      <c r="H754" s="2098"/>
      <c r="I754" s="2098"/>
      <c r="J754" s="2098"/>
      <c r="K754" s="2098"/>
      <c r="L754" s="2098"/>
      <c r="M754" s="2098"/>
      <c r="N754" s="2098"/>
      <c r="O754" s="2098"/>
      <c r="P754" s="2098"/>
      <c r="Q754" s="2098"/>
      <c r="R754" s="2098"/>
      <c r="S754" s="2098"/>
      <c r="T754" s="2098"/>
      <c r="U754" s="2098"/>
      <c r="V754" s="2098"/>
      <c r="W754" s="2098"/>
      <c r="X754" s="2098"/>
      <c r="Y754" s="2098"/>
      <c r="Z754" s="2098"/>
      <c r="AA754" s="2098"/>
      <c r="AB754" s="2098"/>
      <c r="AC754" s="2098"/>
      <c r="AD754" s="2098"/>
      <c r="AE754" s="2098"/>
      <c r="AF754" s="2098"/>
      <c r="AG754" s="2098"/>
      <c r="AH754" s="2098"/>
      <c r="AI754" s="2098"/>
      <c r="AJ754" s="2098"/>
      <c r="AK754" s="2098"/>
      <c r="AL754" s="2098"/>
      <c r="AM754" s="2098"/>
      <c r="AN754" s="2098"/>
      <c r="AO754" s="2098"/>
      <c r="AP754" s="2098"/>
      <c r="AQ754" s="2098"/>
      <c r="AR754" s="2098"/>
      <c r="AS754" s="2098"/>
      <c r="AT754" s="2098"/>
      <c r="AU754" s="2098"/>
      <c r="AV754" s="2098"/>
      <c r="AW754" s="2098"/>
      <c r="AX754" s="2098"/>
      <c r="AY754" s="2098"/>
      <c r="AZ754" s="2098"/>
    </row>
    <row r="755" spans="3:52">
      <c r="C755" s="2096"/>
      <c r="D755" s="2097"/>
      <c r="E755" s="2098"/>
      <c r="F755" s="2098"/>
      <c r="G755" s="2098"/>
      <c r="H755" s="2098"/>
      <c r="I755" s="2098"/>
      <c r="J755" s="2098"/>
      <c r="K755" s="2098"/>
      <c r="L755" s="2098"/>
      <c r="M755" s="2098"/>
      <c r="N755" s="2098"/>
      <c r="O755" s="2098"/>
      <c r="P755" s="2098"/>
      <c r="Q755" s="2098"/>
      <c r="R755" s="2098"/>
      <c r="S755" s="2098"/>
      <c r="T755" s="2098"/>
      <c r="U755" s="2098"/>
      <c r="V755" s="2098"/>
      <c r="W755" s="2098"/>
      <c r="X755" s="2098"/>
      <c r="Y755" s="2098"/>
      <c r="Z755" s="2098"/>
      <c r="AA755" s="2098"/>
      <c r="AB755" s="2098"/>
      <c r="AC755" s="2098"/>
      <c r="AD755" s="2098"/>
      <c r="AE755" s="2098"/>
      <c r="AF755" s="2098"/>
      <c r="AG755" s="2098"/>
      <c r="AH755" s="2098"/>
      <c r="AI755" s="2098"/>
      <c r="AJ755" s="2098"/>
      <c r="AK755" s="2098"/>
      <c r="AL755" s="2098"/>
      <c r="AM755" s="2098"/>
      <c r="AN755" s="2098"/>
      <c r="AO755" s="2098"/>
      <c r="AP755" s="2098"/>
      <c r="AQ755" s="2098"/>
      <c r="AR755" s="2098"/>
      <c r="AS755" s="2098"/>
      <c r="AT755" s="2098"/>
      <c r="AU755" s="2098"/>
      <c r="AV755" s="2098"/>
      <c r="AW755" s="2098"/>
      <c r="AX755" s="2098"/>
      <c r="AY755" s="2098"/>
      <c r="AZ755" s="2098"/>
    </row>
    <row r="756" spans="3:52">
      <c r="C756" s="2096"/>
      <c r="D756" s="2097"/>
      <c r="E756" s="2098"/>
      <c r="F756" s="2098"/>
      <c r="G756" s="2098"/>
      <c r="H756" s="2098"/>
      <c r="I756" s="2098"/>
      <c r="J756" s="2098"/>
      <c r="K756" s="2098"/>
      <c r="L756" s="2098"/>
      <c r="M756" s="2098"/>
      <c r="N756" s="2098"/>
      <c r="O756" s="2098"/>
      <c r="P756" s="2098"/>
      <c r="Q756" s="2098"/>
      <c r="R756" s="2098"/>
      <c r="S756" s="2098"/>
      <c r="T756" s="2098"/>
      <c r="U756" s="2098"/>
      <c r="V756" s="2098"/>
      <c r="W756" s="2098"/>
      <c r="X756" s="2098"/>
      <c r="Y756" s="2098"/>
      <c r="Z756" s="2098"/>
      <c r="AA756" s="2098"/>
      <c r="AB756" s="2098"/>
      <c r="AC756" s="2098"/>
      <c r="AD756" s="2098"/>
      <c r="AE756" s="2098"/>
      <c r="AF756" s="2098"/>
      <c r="AG756" s="2098"/>
      <c r="AH756" s="2098"/>
      <c r="AI756" s="2098"/>
      <c r="AJ756" s="2098"/>
      <c r="AK756" s="2098"/>
      <c r="AL756" s="2098"/>
      <c r="AM756" s="2098"/>
      <c r="AN756" s="2098"/>
      <c r="AO756" s="2098"/>
      <c r="AP756" s="2098"/>
      <c r="AQ756" s="2098"/>
      <c r="AR756" s="2098"/>
      <c r="AS756" s="2098"/>
      <c r="AT756" s="2098"/>
      <c r="AU756" s="2098"/>
      <c r="AV756" s="2098"/>
      <c r="AW756" s="2098"/>
      <c r="AX756" s="2098"/>
      <c r="AY756" s="2098"/>
      <c r="AZ756" s="2098"/>
    </row>
    <row r="757" spans="3:52">
      <c r="C757" s="2096"/>
      <c r="D757" s="2097"/>
      <c r="E757" s="2098"/>
      <c r="F757" s="2098"/>
      <c r="G757" s="2098"/>
      <c r="H757" s="2098"/>
      <c r="I757" s="2098"/>
      <c r="J757" s="2098"/>
      <c r="K757" s="2098"/>
      <c r="L757" s="2098"/>
      <c r="M757" s="2098"/>
      <c r="N757" s="2098"/>
      <c r="O757" s="2098"/>
      <c r="P757" s="2098"/>
      <c r="Q757" s="2098"/>
      <c r="R757" s="2098"/>
      <c r="S757" s="2098"/>
      <c r="T757" s="2098"/>
      <c r="U757" s="2098"/>
      <c r="V757" s="2098"/>
      <c r="W757" s="2098"/>
      <c r="X757" s="2098"/>
      <c r="Y757" s="2098"/>
      <c r="Z757" s="2098"/>
      <c r="AA757" s="2098"/>
      <c r="AB757" s="2098"/>
      <c r="AC757" s="2098"/>
      <c r="AD757" s="2098"/>
      <c r="AE757" s="2098"/>
      <c r="AF757" s="2098"/>
      <c r="AG757" s="2098"/>
      <c r="AH757" s="2098"/>
      <c r="AI757" s="2098"/>
      <c r="AJ757" s="2098"/>
      <c r="AK757" s="2098"/>
      <c r="AL757" s="2098"/>
      <c r="AM757" s="2098"/>
      <c r="AN757" s="2098"/>
      <c r="AO757" s="2098"/>
      <c r="AP757" s="2098"/>
      <c r="AQ757" s="2098"/>
      <c r="AR757" s="2098"/>
      <c r="AS757" s="2098"/>
      <c r="AT757" s="2098"/>
      <c r="AU757" s="2098"/>
      <c r="AV757" s="2098"/>
      <c r="AW757" s="2098"/>
      <c r="AX757" s="2098"/>
      <c r="AY757" s="2098"/>
      <c r="AZ757" s="2098"/>
    </row>
    <row r="758" spans="3:52">
      <c r="C758" s="2096"/>
      <c r="D758" s="2097"/>
      <c r="E758" s="2098"/>
      <c r="F758" s="2098"/>
      <c r="G758" s="2098"/>
      <c r="H758" s="2098"/>
      <c r="I758" s="2098"/>
      <c r="J758" s="2098"/>
      <c r="K758" s="2098"/>
      <c r="L758" s="2098"/>
      <c r="M758" s="2098"/>
      <c r="N758" s="2098"/>
      <c r="O758" s="2098"/>
      <c r="P758" s="2098"/>
      <c r="Q758" s="2098"/>
      <c r="R758" s="2098"/>
      <c r="S758" s="2098"/>
      <c r="T758" s="2098"/>
      <c r="U758" s="2098"/>
      <c r="V758" s="2098"/>
      <c r="W758" s="2098"/>
      <c r="X758" s="2098"/>
      <c r="Y758" s="2098"/>
      <c r="Z758" s="2098"/>
      <c r="AA758" s="2098"/>
      <c r="AB758" s="2098"/>
      <c r="AC758" s="2098"/>
      <c r="AD758" s="2098"/>
      <c r="AE758" s="2098"/>
      <c r="AF758" s="2098"/>
      <c r="AG758" s="2098"/>
      <c r="AH758" s="2098"/>
      <c r="AI758" s="2098"/>
      <c r="AJ758" s="2098"/>
      <c r="AK758" s="2098"/>
      <c r="AL758" s="2098"/>
      <c r="AM758" s="2098"/>
      <c r="AN758" s="2098"/>
      <c r="AO758" s="2098"/>
      <c r="AP758" s="2098"/>
      <c r="AQ758" s="2098"/>
      <c r="AR758" s="2098"/>
      <c r="AS758" s="2098"/>
      <c r="AT758" s="2098"/>
      <c r="AU758" s="2098"/>
      <c r="AV758" s="2098"/>
      <c r="AW758" s="2098"/>
      <c r="AX758" s="2098"/>
      <c r="AY758" s="2098"/>
      <c r="AZ758" s="2098"/>
    </row>
    <row r="759" spans="3:52">
      <c r="C759" s="2096"/>
      <c r="D759" s="2097"/>
      <c r="E759" s="2098"/>
      <c r="F759" s="2098"/>
      <c r="G759" s="2098"/>
      <c r="H759" s="2098"/>
      <c r="I759" s="2098"/>
      <c r="J759" s="2098"/>
      <c r="K759" s="2098"/>
      <c r="L759" s="2098"/>
      <c r="M759" s="2098"/>
      <c r="N759" s="2098"/>
      <c r="O759" s="2098"/>
      <c r="P759" s="2098"/>
      <c r="Q759" s="2098"/>
      <c r="R759" s="2098"/>
      <c r="S759" s="2098"/>
      <c r="T759" s="2098"/>
      <c r="U759" s="2098"/>
      <c r="V759" s="2098"/>
      <c r="W759" s="2098"/>
      <c r="X759" s="2098"/>
      <c r="Y759" s="2098"/>
      <c r="Z759" s="2098"/>
      <c r="AA759" s="2098"/>
      <c r="AB759" s="2098"/>
      <c r="AC759" s="2098"/>
      <c r="AD759" s="2098"/>
      <c r="AE759" s="2098"/>
      <c r="AF759" s="2098"/>
      <c r="AG759" s="2098"/>
      <c r="AH759" s="2098"/>
      <c r="AI759" s="2098"/>
      <c r="AJ759" s="2098"/>
      <c r="AK759" s="2098"/>
      <c r="AL759" s="2098"/>
      <c r="AM759" s="2098"/>
      <c r="AN759" s="2098"/>
      <c r="AO759" s="2098"/>
      <c r="AP759" s="2098"/>
      <c r="AQ759" s="2098"/>
      <c r="AR759" s="2098"/>
      <c r="AS759" s="2098"/>
      <c r="AT759" s="2098"/>
      <c r="AU759" s="2098"/>
      <c r="AV759" s="2098"/>
      <c r="AW759" s="2098"/>
      <c r="AX759" s="2098"/>
      <c r="AY759" s="2098"/>
      <c r="AZ759" s="2098"/>
    </row>
    <row r="760" spans="3:52">
      <c r="C760" s="2096"/>
      <c r="D760" s="2097"/>
      <c r="E760" s="2098"/>
      <c r="F760" s="2098"/>
      <c r="G760" s="2098"/>
      <c r="H760" s="2098"/>
      <c r="I760" s="2098"/>
      <c r="J760" s="2098"/>
      <c r="K760" s="2098"/>
      <c r="L760" s="2098"/>
      <c r="M760" s="2098"/>
      <c r="N760" s="2098"/>
      <c r="O760" s="2098"/>
      <c r="P760" s="2098"/>
      <c r="Q760" s="2098"/>
      <c r="R760" s="2098"/>
      <c r="S760" s="2098"/>
      <c r="T760" s="2098"/>
      <c r="U760" s="2098"/>
      <c r="V760" s="2098"/>
      <c r="W760" s="2098"/>
      <c r="X760" s="2098"/>
      <c r="Y760" s="2098"/>
      <c r="Z760" s="2098"/>
      <c r="AA760" s="2098"/>
      <c r="AB760" s="2098"/>
      <c r="AC760" s="2098"/>
      <c r="AD760" s="2098"/>
      <c r="AE760" s="2098"/>
      <c r="AF760" s="2098"/>
      <c r="AG760" s="2098"/>
      <c r="AH760" s="2098"/>
      <c r="AI760" s="2098"/>
      <c r="AJ760" s="2098"/>
      <c r="AK760" s="2098"/>
      <c r="AL760" s="2098"/>
      <c r="AM760" s="2098"/>
      <c r="AN760" s="2098"/>
      <c r="AO760" s="2098"/>
      <c r="AP760" s="2098"/>
      <c r="AQ760" s="2098"/>
      <c r="AR760" s="2098"/>
      <c r="AS760" s="2098"/>
      <c r="AT760" s="2098"/>
      <c r="AU760" s="2098"/>
      <c r="AV760" s="2098"/>
      <c r="AW760" s="2098"/>
      <c r="AX760" s="2098"/>
      <c r="AY760" s="2098"/>
      <c r="AZ760" s="2098"/>
    </row>
    <row r="761" spans="3:52">
      <c r="C761" s="2096"/>
      <c r="D761" s="2097"/>
      <c r="E761" s="2098"/>
      <c r="F761" s="2098"/>
      <c r="G761" s="2098"/>
      <c r="H761" s="2098"/>
      <c r="I761" s="2098"/>
      <c r="J761" s="2098"/>
      <c r="K761" s="2098"/>
      <c r="L761" s="2098"/>
      <c r="M761" s="2098"/>
      <c r="N761" s="2098"/>
      <c r="O761" s="2098"/>
      <c r="P761" s="2098"/>
      <c r="Q761" s="2098"/>
      <c r="R761" s="2098"/>
      <c r="S761" s="2098"/>
      <c r="T761" s="2098"/>
      <c r="U761" s="2098"/>
      <c r="V761" s="2098"/>
      <c r="W761" s="2098"/>
      <c r="X761" s="2098"/>
      <c r="Y761" s="2098"/>
      <c r="Z761" s="2098"/>
      <c r="AA761" s="2098"/>
      <c r="AB761" s="2098"/>
      <c r="AC761" s="2098"/>
      <c r="AD761" s="2098"/>
      <c r="AE761" s="2098"/>
      <c r="AF761" s="2098"/>
      <c r="AG761" s="2098"/>
      <c r="AH761" s="2098"/>
      <c r="AI761" s="2098"/>
      <c r="AJ761" s="2098"/>
      <c r="AK761" s="2098"/>
      <c r="AL761" s="2098"/>
      <c r="AM761" s="2098"/>
      <c r="AN761" s="2098"/>
      <c r="AO761" s="2098"/>
      <c r="AP761" s="2098"/>
      <c r="AQ761" s="2098"/>
      <c r="AR761" s="2098"/>
      <c r="AS761" s="2098"/>
      <c r="AT761" s="2098"/>
      <c r="AU761" s="2098"/>
      <c r="AV761" s="2098"/>
      <c r="AW761" s="2098"/>
      <c r="AX761" s="2098"/>
      <c r="AY761" s="2098"/>
      <c r="AZ761" s="2098"/>
    </row>
    <row r="762" spans="3:52">
      <c r="C762" s="2096"/>
      <c r="D762" s="2097"/>
      <c r="E762" s="2098"/>
      <c r="F762" s="2098"/>
      <c r="G762" s="2098"/>
      <c r="H762" s="2098"/>
      <c r="I762" s="2098"/>
      <c r="J762" s="2098"/>
      <c r="K762" s="2098"/>
      <c r="L762" s="2098"/>
      <c r="M762" s="2098"/>
      <c r="N762" s="2098"/>
      <c r="O762" s="2098"/>
      <c r="P762" s="2098"/>
      <c r="Q762" s="2098"/>
      <c r="R762" s="2098"/>
      <c r="S762" s="2098"/>
      <c r="T762" s="2098"/>
      <c r="U762" s="2098"/>
      <c r="V762" s="2098"/>
      <c r="W762" s="2098"/>
      <c r="X762" s="2098"/>
      <c r="Y762" s="2098"/>
      <c r="Z762" s="2098"/>
      <c r="AA762" s="2098"/>
      <c r="AB762" s="2098"/>
      <c r="AC762" s="2098"/>
      <c r="AD762" s="2098"/>
      <c r="AE762" s="2098"/>
      <c r="AF762" s="2098"/>
      <c r="AG762" s="2098"/>
      <c r="AH762" s="2098"/>
      <c r="AI762" s="2098"/>
      <c r="AJ762" s="2098"/>
      <c r="AK762" s="2098"/>
      <c r="AL762" s="2098"/>
      <c r="AM762" s="2098"/>
      <c r="AN762" s="2098"/>
      <c r="AO762" s="2098"/>
      <c r="AP762" s="2098"/>
      <c r="AQ762" s="2098"/>
      <c r="AR762" s="2098"/>
      <c r="AS762" s="2098"/>
      <c r="AT762" s="2098"/>
      <c r="AU762" s="2098"/>
      <c r="AV762" s="2098"/>
      <c r="AW762" s="2098"/>
      <c r="AX762" s="2098"/>
      <c r="AY762" s="2098"/>
      <c r="AZ762" s="2098"/>
    </row>
    <row r="763" spans="3:52">
      <c r="C763" s="2096"/>
      <c r="D763" s="2097"/>
      <c r="E763" s="2098"/>
      <c r="F763" s="2098"/>
      <c r="G763" s="2098"/>
      <c r="H763" s="2098"/>
      <c r="I763" s="2098"/>
      <c r="J763" s="2098"/>
      <c r="K763" s="2098"/>
      <c r="L763" s="2098"/>
      <c r="M763" s="2098"/>
      <c r="N763" s="2098"/>
      <c r="O763" s="2098"/>
      <c r="P763" s="2098"/>
      <c r="Q763" s="2098"/>
      <c r="R763" s="2098"/>
      <c r="S763" s="2098"/>
      <c r="T763" s="2098"/>
      <c r="U763" s="2098"/>
      <c r="V763" s="2098"/>
      <c r="W763" s="2098"/>
      <c r="X763" s="2098"/>
      <c r="Y763" s="2098"/>
      <c r="Z763" s="2098"/>
      <c r="AA763" s="2098"/>
      <c r="AB763" s="2098"/>
      <c r="AC763" s="2098"/>
      <c r="AD763" s="2098"/>
      <c r="AE763" s="2098"/>
      <c r="AF763" s="2098"/>
      <c r="AG763" s="2098"/>
      <c r="AH763" s="2098"/>
      <c r="AI763" s="2098"/>
      <c r="AJ763" s="2098"/>
      <c r="AK763" s="2098"/>
      <c r="AL763" s="2098"/>
      <c r="AM763" s="2098"/>
      <c r="AN763" s="2098"/>
      <c r="AO763" s="2098"/>
      <c r="AP763" s="2098"/>
      <c r="AQ763" s="2098"/>
      <c r="AR763" s="2098"/>
      <c r="AS763" s="2098"/>
      <c r="AT763" s="2098"/>
      <c r="AU763" s="2098"/>
      <c r="AV763" s="2098"/>
      <c r="AW763" s="2098"/>
      <c r="AX763" s="2098"/>
      <c r="AY763" s="2098"/>
      <c r="AZ763" s="2098"/>
    </row>
    <row r="764" spans="3:52">
      <c r="C764" s="2096"/>
      <c r="D764" s="2097"/>
      <c r="E764" s="2098"/>
      <c r="F764" s="2098"/>
      <c r="G764" s="2098"/>
      <c r="H764" s="2098"/>
      <c r="I764" s="2098"/>
      <c r="J764" s="2098"/>
      <c r="K764" s="2098"/>
      <c r="L764" s="2098"/>
      <c r="M764" s="2098"/>
      <c r="N764" s="2098"/>
      <c r="O764" s="2098"/>
      <c r="P764" s="2098"/>
      <c r="Q764" s="2098"/>
      <c r="R764" s="2098"/>
      <c r="S764" s="2098"/>
      <c r="T764" s="2098"/>
      <c r="U764" s="2098"/>
      <c r="V764" s="2098"/>
      <c r="W764" s="2098"/>
      <c r="X764" s="2098"/>
      <c r="Y764" s="2098"/>
      <c r="Z764" s="2098"/>
      <c r="AA764" s="2098"/>
      <c r="AB764" s="2098"/>
      <c r="AC764" s="2098"/>
      <c r="AD764" s="2098"/>
      <c r="AE764" s="2098"/>
      <c r="AF764" s="2098"/>
      <c r="AG764" s="2098"/>
      <c r="AH764" s="2098"/>
      <c r="AI764" s="2098"/>
      <c r="AJ764" s="2098"/>
      <c r="AK764" s="2098"/>
      <c r="AL764" s="2098"/>
      <c r="AM764" s="2098"/>
      <c r="AN764" s="2098"/>
      <c r="AO764" s="2098"/>
      <c r="AP764" s="2098"/>
      <c r="AQ764" s="2098"/>
      <c r="AR764" s="2098"/>
      <c r="AS764" s="2098"/>
      <c r="AT764" s="2098"/>
      <c r="AU764" s="2098"/>
      <c r="AV764" s="2098"/>
      <c r="AW764" s="2098"/>
      <c r="AX764" s="2098"/>
      <c r="AY764" s="2098"/>
      <c r="AZ764" s="2098"/>
    </row>
    <row r="765" spans="3:52">
      <c r="C765" s="2096"/>
      <c r="D765" s="2097"/>
      <c r="E765" s="2098"/>
      <c r="F765" s="2098"/>
      <c r="G765" s="2098"/>
      <c r="H765" s="2098"/>
      <c r="I765" s="2098"/>
      <c r="J765" s="2098"/>
      <c r="K765" s="2098"/>
      <c r="L765" s="2098"/>
      <c r="M765" s="2098"/>
      <c r="N765" s="2098"/>
      <c r="O765" s="2098"/>
      <c r="P765" s="2098"/>
      <c r="Q765" s="2098"/>
      <c r="R765" s="2098"/>
      <c r="S765" s="2098"/>
      <c r="T765" s="2098"/>
      <c r="U765" s="2098"/>
      <c r="V765" s="2098"/>
      <c r="W765" s="2098"/>
      <c r="X765" s="2098"/>
      <c r="Y765" s="2098"/>
      <c r="Z765" s="2098"/>
      <c r="AA765" s="2098"/>
      <c r="AB765" s="2098"/>
      <c r="AC765" s="2098"/>
      <c r="AD765" s="2098"/>
      <c r="AE765" s="2098"/>
      <c r="AF765" s="2098"/>
      <c r="AG765" s="2098"/>
      <c r="AH765" s="2098"/>
      <c r="AI765" s="2098"/>
      <c r="AJ765" s="2098"/>
      <c r="AK765" s="2098"/>
      <c r="AL765" s="2098"/>
      <c r="AM765" s="2098"/>
      <c r="AN765" s="2098"/>
      <c r="AO765" s="2098"/>
      <c r="AP765" s="2098"/>
      <c r="AQ765" s="2098"/>
      <c r="AR765" s="2098"/>
      <c r="AS765" s="2098"/>
      <c r="AT765" s="2098"/>
      <c r="AU765" s="2098"/>
      <c r="AV765" s="2098"/>
      <c r="AW765" s="2098"/>
      <c r="AX765" s="2098"/>
      <c r="AY765" s="2098"/>
      <c r="AZ765" s="2098"/>
    </row>
    <row r="766" spans="3:52">
      <c r="C766" s="2096"/>
      <c r="D766" s="2097"/>
      <c r="E766" s="2098"/>
      <c r="F766" s="2098"/>
      <c r="G766" s="2098"/>
      <c r="H766" s="2098"/>
      <c r="I766" s="2098"/>
      <c r="J766" s="2098"/>
      <c r="K766" s="2098"/>
      <c r="L766" s="2098"/>
      <c r="M766" s="2098"/>
      <c r="N766" s="2098"/>
      <c r="O766" s="2098"/>
      <c r="P766" s="2098"/>
      <c r="Q766" s="2098"/>
      <c r="R766" s="2098"/>
      <c r="S766" s="2098"/>
      <c r="T766" s="2098"/>
      <c r="U766" s="2098"/>
      <c r="V766" s="2098"/>
      <c r="W766" s="2098"/>
      <c r="X766" s="2098"/>
      <c r="Y766" s="2098"/>
      <c r="Z766" s="2098"/>
      <c r="AA766" s="2098"/>
      <c r="AB766" s="2098"/>
      <c r="AC766" s="2098"/>
      <c r="AD766" s="2098"/>
      <c r="AE766" s="2098"/>
      <c r="AF766" s="2098"/>
      <c r="AG766" s="2098"/>
      <c r="AH766" s="2098"/>
      <c r="AI766" s="2098"/>
      <c r="AJ766" s="2098"/>
      <c r="AK766" s="2098"/>
      <c r="AL766" s="2098"/>
      <c r="AM766" s="2098"/>
      <c r="AN766" s="2098"/>
      <c r="AO766" s="2098"/>
      <c r="AP766" s="2098"/>
      <c r="AQ766" s="2098"/>
      <c r="AR766" s="2098"/>
      <c r="AS766" s="2098"/>
      <c r="AT766" s="2098"/>
      <c r="AU766" s="2098"/>
      <c r="AV766" s="2098"/>
      <c r="AW766" s="2098"/>
      <c r="AX766" s="2098"/>
      <c r="AY766" s="2098"/>
      <c r="AZ766" s="2098"/>
    </row>
    <row r="767" spans="3:52">
      <c r="C767" s="2096"/>
      <c r="D767" s="2097"/>
      <c r="E767" s="2098"/>
      <c r="F767" s="2098"/>
      <c r="G767" s="2098"/>
      <c r="H767" s="2098"/>
      <c r="I767" s="2098"/>
      <c r="J767" s="2098"/>
      <c r="K767" s="2098"/>
      <c r="L767" s="2098"/>
      <c r="M767" s="2098"/>
      <c r="N767" s="2098"/>
      <c r="O767" s="2098"/>
      <c r="P767" s="2098"/>
      <c r="Q767" s="2098"/>
      <c r="R767" s="2098"/>
      <c r="S767" s="2098"/>
      <c r="T767" s="2098"/>
      <c r="U767" s="2098"/>
      <c r="V767" s="2098"/>
      <c r="W767" s="2098"/>
      <c r="X767" s="2098"/>
      <c r="Y767" s="2098"/>
      <c r="Z767" s="2098"/>
      <c r="AA767" s="2098"/>
      <c r="AB767" s="2098"/>
      <c r="AC767" s="2098"/>
      <c r="AD767" s="2098"/>
      <c r="AE767" s="2098"/>
      <c r="AF767" s="2098"/>
      <c r="AG767" s="2098"/>
      <c r="AH767" s="2098"/>
      <c r="AI767" s="2098"/>
      <c r="AJ767" s="2098"/>
      <c r="AK767" s="2098"/>
      <c r="AL767" s="2098"/>
      <c r="AM767" s="2098"/>
      <c r="AN767" s="2098"/>
      <c r="AO767" s="2098"/>
      <c r="AP767" s="2098"/>
      <c r="AQ767" s="2098"/>
      <c r="AR767" s="2098"/>
      <c r="AS767" s="2098"/>
      <c r="AT767" s="2098"/>
      <c r="AU767" s="2098"/>
      <c r="AV767" s="2098"/>
      <c r="AW767" s="2098"/>
      <c r="AX767" s="2098"/>
      <c r="AY767" s="2098"/>
      <c r="AZ767" s="2098"/>
    </row>
    <row r="768" spans="3:52">
      <c r="C768" s="2096"/>
      <c r="D768" s="2097"/>
      <c r="E768" s="2098"/>
      <c r="F768" s="2098"/>
      <c r="G768" s="2098"/>
      <c r="H768" s="2098"/>
      <c r="I768" s="2098"/>
      <c r="J768" s="2098"/>
      <c r="K768" s="2098"/>
      <c r="L768" s="2098"/>
      <c r="M768" s="2098"/>
      <c r="N768" s="2098"/>
      <c r="O768" s="2098"/>
      <c r="P768" s="2098"/>
      <c r="Q768" s="2098"/>
      <c r="R768" s="2098"/>
      <c r="S768" s="2098"/>
      <c r="T768" s="2098"/>
      <c r="U768" s="2098"/>
      <c r="V768" s="2098"/>
      <c r="W768" s="2098"/>
      <c r="X768" s="2098"/>
      <c r="Y768" s="2098"/>
      <c r="Z768" s="2098"/>
      <c r="AA768" s="2098"/>
      <c r="AB768" s="2098"/>
      <c r="AC768" s="2098"/>
      <c r="AD768" s="2098"/>
      <c r="AE768" s="2098"/>
      <c r="AF768" s="2098"/>
      <c r="AG768" s="2098"/>
      <c r="AH768" s="2098"/>
      <c r="AI768" s="2098"/>
      <c r="AJ768" s="2098"/>
      <c r="AK768" s="2098"/>
      <c r="AL768" s="2098"/>
      <c r="AM768" s="2098"/>
      <c r="AN768" s="2098"/>
      <c r="AO768" s="2098"/>
      <c r="AP768" s="2098"/>
      <c r="AQ768" s="2098"/>
      <c r="AR768" s="2098"/>
      <c r="AS768" s="2098"/>
      <c r="AT768" s="2098"/>
      <c r="AU768" s="2098"/>
      <c r="AV768" s="2098"/>
      <c r="AW768" s="2098"/>
      <c r="AX768" s="2098"/>
      <c r="AY768" s="2098"/>
      <c r="AZ768" s="2098"/>
    </row>
    <row r="769" spans="3:52">
      <c r="C769" s="2096"/>
      <c r="D769" s="2097"/>
      <c r="E769" s="2098"/>
      <c r="F769" s="2098"/>
      <c r="G769" s="2098"/>
      <c r="H769" s="2098"/>
      <c r="I769" s="2098"/>
      <c r="J769" s="2098"/>
      <c r="K769" s="2098"/>
      <c r="L769" s="2098"/>
      <c r="M769" s="2098"/>
      <c r="N769" s="2098"/>
      <c r="O769" s="2098"/>
      <c r="P769" s="2098"/>
      <c r="Q769" s="2098"/>
      <c r="R769" s="2098"/>
      <c r="S769" s="2098"/>
      <c r="T769" s="2098"/>
      <c r="U769" s="2098"/>
      <c r="V769" s="2098"/>
      <c r="W769" s="2098"/>
      <c r="X769" s="2098"/>
      <c r="Y769" s="2098"/>
      <c r="Z769" s="2098"/>
      <c r="AA769" s="2098"/>
      <c r="AB769" s="2098"/>
      <c r="AC769" s="2098"/>
      <c r="AD769" s="2098"/>
      <c r="AE769" s="2098"/>
      <c r="AF769" s="2098"/>
      <c r="AG769" s="2098"/>
      <c r="AH769" s="2098"/>
      <c r="AI769" s="2098"/>
      <c r="AJ769" s="2098"/>
      <c r="AK769" s="2098"/>
      <c r="AL769" s="2098"/>
      <c r="AM769" s="2098"/>
      <c r="AN769" s="2098"/>
      <c r="AO769" s="2098"/>
      <c r="AP769" s="2098"/>
      <c r="AQ769" s="2098"/>
      <c r="AR769" s="2098"/>
      <c r="AS769" s="2098"/>
      <c r="AT769" s="2098"/>
      <c r="AU769" s="2098"/>
      <c r="AV769" s="2098"/>
      <c r="AW769" s="2098"/>
      <c r="AX769" s="2098"/>
      <c r="AY769" s="2098"/>
      <c r="AZ769" s="2098"/>
    </row>
    <row r="770" spans="3:52">
      <c r="C770" s="2096"/>
      <c r="D770" s="2097"/>
      <c r="E770" s="2098"/>
      <c r="F770" s="2098"/>
      <c r="G770" s="2098"/>
      <c r="H770" s="2098"/>
      <c r="I770" s="2098"/>
      <c r="J770" s="2098"/>
      <c r="K770" s="2098"/>
      <c r="L770" s="2098"/>
      <c r="M770" s="2098"/>
      <c r="N770" s="2098"/>
      <c r="O770" s="2098"/>
      <c r="P770" s="2098"/>
      <c r="Q770" s="2098"/>
      <c r="R770" s="2098"/>
      <c r="S770" s="2098"/>
      <c r="T770" s="2098"/>
      <c r="U770" s="2098"/>
      <c r="V770" s="2098"/>
      <c r="W770" s="2098"/>
      <c r="X770" s="2098"/>
      <c r="Y770" s="2098"/>
      <c r="Z770" s="2098"/>
      <c r="AA770" s="2098"/>
      <c r="AB770" s="2098"/>
      <c r="AC770" s="2098"/>
      <c r="AD770" s="2098"/>
      <c r="AE770" s="2098"/>
      <c r="AF770" s="2098"/>
      <c r="AG770" s="2098"/>
      <c r="AH770" s="2098"/>
      <c r="AI770" s="2098"/>
      <c r="AJ770" s="2098"/>
      <c r="AK770" s="2098"/>
      <c r="AL770" s="2098"/>
      <c r="AM770" s="2098"/>
      <c r="AN770" s="2098"/>
      <c r="AO770" s="2098"/>
      <c r="AP770" s="2098"/>
      <c r="AQ770" s="2098"/>
      <c r="AR770" s="2098"/>
      <c r="AS770" s="2098"/>
      <c r="AT770" s="2098"/>
      <c r="AU770" s="2098"/>
      <c r="AV770" s="2098"/>
      <c r="AW770" s="2098"/>
      <c r="AX770" s="2098"/>
      <c r="AY770" s="2098"/>
      <c r="AZ770" s="2098"/>
    </row>
    <row r="771" spans="3:52">
      <c r="C771" s="2096"/>
      <c r="D771" s="2097"/>
      <c r="E771" s="2098"/>
      <c r="F771" s="2098"/>
      <c r="G771" s="2098"/>
      <c r="H771" s="2098"/>
      <c r="I771" s="2098"/>
      <c r="J771" s="2098"/>
      <c r="K771" s="2098"/>
      <c r="L771" s="2098"/>
      <c r="M771" s="2098"/>
      <c r="N771" s="2098"/>
      <c r="O771" s="2098"/>
      <c r="P771" s="2098"/>
      <c r="Q771" s="2098"/>
      <c r="R771" s="2098"/>
      <c r="S771" s="2098"/>
      <c r="T771" s="2098"/>
      <c r="U771" s="2098"/>
      <c r="V771" s="2098"/>
      <c r="W771" s="2098"/>
      <c r="X771" s="2098"/>
      <c r="Y771" s="2098"/>
      <c r="Z771" s="2098"/>
      <c r="AA771" s="2098"/>
      <c r="AB771" s="2098"/>
      <c r="AC771" s="2098"/>
      <c r="AD771" s="2098"/>
      <c r="AE771" s="2098"/>
      <c r="AF771" s="2098"/>
      <c r="AG771" s="2098"/>
      <c r="AH771" s="2098"/>
      <c r="AI771" s="2098"/>
      <c r="AJ771" s="2098"/>
      <c r="AK771" s="2098"/>
      <c r="AL771" s="2098"/>
      <c r="AM771" s="2098"/>
      <c r="AN771" s="2098"/>
      <c r="AO771" s="2098"/>
      <c r="AP771" s="2098"/>
      <c r="AQ771" s="2098"/>
      <c r="AR771" s="2098"/>
      <c r="AS771" s="2098"/>
      <c r="AT771" s="2098"/>
      <c r="AU771" s="2098"/>
      <c r="AV771" s="2098"/>
      <c r="AW771" s="2098"/>
      <c r="AX771" s="2098"/>
      <c r="AY771" s="2098"/>
      <c r="AZ771" s="2098"/>
    </row>
    <row r="772" spans="3:52">
      <c r="C772" s="2096"/>
      <c r="D772" s="2097"/>
      <c r="E772" s="2098"/>
      <c r="F772" s="2098"/>
      <c r="G772" s="2098"/>
      <c r="H772" s="2098"/>
      <c r="I772" s="2098"/>
      <c r="J772" s="2098"/>
      <c r="K772" s="2098"/>
      <c r="L772" s="2098"/>
      <c r="M772" s="2098"/>
      <c r="N772" s="2098"/>
      <c r="O772" s="2098"/>
      <c r="P772" s="2098"/>
      <c r="Q772" s="2098"/>
      <c r="R772" s="2098"/>
      <c r="S772" s="2098"/>
      <c r="T772" s="2098"/>
      <c r="U772" s="2098"/>
      <c r="V772" s="2098"/>
      <c r="W772" s="2098"/>
      <c r="X772" s="2098"/>
      <c r="Y772" s="2098"/>
      <c r="Z772" s="2098"/>
      <c r="AA772" s="2098"/>
      <c r="AB772" s="2098"/>
      <c r="AC772" s="2098"/>
      <c r="AD772" s="2098"/>
      <c r="AE772" s="2098"/>
      <c r="AF772" s="2098"/>
      <c r="AG772" s="2098"/>
      <c r="AH772" s="2098"/>
      <c r="AI772" s="2098"/>
      <c r="AJ772" s="2098"/>
      <c r="AK772" s="2098"/>
      <c r="AL772" s="2098"/>
      <c r="AM772" s="2098"/>
      <c r="AN772" s="2098"/>
      <c r="AO772" s="2098"/>
      <c r="AP772" s="2098"/>
      <c r="AQ772" s="2098"/>
      <c r="AR772" s="2098"/>
      <c r="AS772" s="2098"/>
      <c r="AT772" s="2098"/>
      <c r="AU772" s="2098"/>
      <c r="AV772" s="2098"/>
      <c r="AW772" s="2098"/>
      <c r="AX772" s="2098"/>
      <c r="AY772" s="2098"/>
      <c r="AZ772" s="2098"/>
    </row>
    <row r="773" spans="3:52">
      <c r="C773" s="2096"/>
      <c r="D773" s="2097"/>
      <c r="E773" s="2098"/>
      <c r="F773" s="2098"/>
      <c r="G773" s="2098"/>
      <c r="H773" s="2098"/>
      <c r="I773" s="2098"/>
      <c r="J773" s="2098"/>
      <c r="K773" s="2098"/>
      <c r="L773" s="2098"/>
      <c r="M773" s="2098"/>
      <c r="N773" s="2098"/>
      <c r="O773" s="2098"/>
      <c r="P773" s="2098"/>
      <c r="Q773" s="2098"/>
      <c r="R773" s="2098"/>
      <c r="S773" s="2098"/>
      <c r="T773" s="2098"/>
      <c r="U773" s="2098"/>
      <c r="V773" s="2098"/>
      <c r="W773" s="2098"/>
      <c r="X773" s="2098"/>
      <c r="Y773" s="2098"/>
      <c r="Z773" s="2098"/>
      <c r="AA773" s="2098"/>
      <c r="AB773" s="2098"/>
      <c r="AC773" s="2098"/>
      <c r="AD773" s="2098"/>
      <c r="AE773" s="2098"/>
      <c r="AF773" s="2098"/>
      <c r="AG773" s="2098"/>
      <c r="AH773" s="2098"/>
      <c r="AI773" s="2098"/>
      <c r="AJ773" s="2098"/>
      <c r="AK773" s="2098"/>
      <c r="AL773" s="2098"/>
      <c r="AM773" s="2098"/>
      <c r="AN773" s="2098"/>
      <c r="AO773" s="2098"/>
      <c r="AP773" s="2098"/>
      <c r="AQ773" s="2098"/>
      <c r="AR773" s="2098"/>
      <c r="AS773" s="2098"/>
      <c r="AT773" s="2098"/>
      <c r="AU773" s="2098"/>
      <c r="AV773" s="2098"/>
      <c r="AW773" s="2098"/>
      <c r="AX773" s="2098"/>
      <c r="AY773" s="2098"/>
      <c r="AZ773" s="2098"/>
    </row>
    <row r="774" spans="3:52">
      <c r="C774" s="2096"/>
      <c r="D774" s="2097"/>
      <c r="E774" s="2098"/>
      <c r="F774" s="2098"/>
      <c r="G774" s="2098"/>
      <c r="H774" s="2098"/>
      <c r="I774" s="2098"/>
      <c r="J774" s="2098"/>
      <c r="K774" s="2098"/>
      <c r="L774" s="2098"/>
      <c r="M774" s="2098"/>
      <c r="N774" s="2098"/>
      <c r="O774" s="2098"/>
      <c r="P774" s="2098"/>
      <c r="Q774" s="2098"/>
      <c r="R774" s="2098"/>
      <c r="S774" s="2098"/>
      <c r="T774" s="2098"/>
      <c r="U774" s="2098"/>
      <c r="V774" s="2098"/>
      <c r="W774" s="2098"/>
      <c r="X774" s="2098"/>
      <c r="Y774" s="2098"/>
      <c r="Z774" s="2098"/>
      <c r="AA774" s="2098"/>
      <c r="AB774" s="2098"/>
      <c r="AC774" s="2098"/>
      <c r="AD774" s="2098"/>
      <c r="AE774" s="2098"/>
      <c r="AF774" s="2098"/>
      <c r="AG774" s="2098"/>
      <c r="AH774" s="2098"/>
      <c r="AI774" s="2098"/>
      <c r="AJ774" s="2098"/>
      <c r="AK774" s="2098"/>
      <c r="AL774" s="2098"/>
      <c r="AM774" s="2098"/>
      <c r="AN774" s="2098"/>
      <c r="AO774" s="2098"/>
      <c r="AP774" s="2098"/>
      <c r="AQ774" s="2098"/>
      <c r="AR774" s="2098"/>
      <c r="AS774" s="2098"/>
      <c r="AT774" s="2098"/>
      <c r="AU774" s="2098"/>
      <c r="AV774" s="2098"/>
      <c r="AW774" s="2098"/>
      <c r="AX774" s="2098"/>
      <c r="AY774" s="2098"/>
      <c r="AZ774" s="2098"/>
    </row>
    <row r="775" spans="3:52">
      <c r="C775" s="2096"/>
      <c r="D775" s="2097"/>
      <c r="E775" s="2098"/>
      <c r="F775" s="2098"/>
      <c r="G775" s="2098"/>
      <c r="H775" s="2098"/>
      <c r="I775" s="2098"/>
      <c r="J775" s="2098"/>
      <c r="K775" s="2098"/>
      <c r="L775" s="2098"/>
      <c r="M775" s="2098"/>
      <c r="N775" s="2098"/>
      <c r="O775" s="2098"/>
      <c r="P775" s="2098"/>
      <c r="Q775" s="2098"/>
      <c r="R775" s="2098"/>
      <c r="S775" s="2098"/>
      <c r="T775" s="2098"/>
      <c r="U775" s="2098"/>
      <c r="V775" s="2098"/>
      <c r="W775" s="2098"/>
      <c r="X775" s="2098"/>
      <c r="Y775" s="2098"/>
      <c r="Z775" s="2098"/>
      <c r="AA775" s="2098"/>
      <c r="AB775" s="2098"/>
      <c r="AC775" s="2098"/>
      <c r="AD775" s="2098"/>
      <c r="AE775" s="2098"/>
      <c r="AF775" s="2098"/>
      <c r="AG775" s="2098"/>
      <c r="AH775" s="2098"/>
      <c r="AI775" s="2098"/>
      <c r="AJ775" s="2098"/>
      <c r="AK775" s="2098"/>
      <c r="AL775" s="2098"/>
      <c r="AM775" s="2098"/>
      <c r="AN775" s="2098"/>
      <c r="AO775" s="2098"/>
      <c r="AP775" s="2098"/>
      <c r="AQ775" s="2098"/>
      <c r="AR775" s="2098"/>
      <c r="AS775" s="2098"/>
      <c r="AT775" s="2098"/>
      <c r="AU775" s="2098"/>
      <c r="AV775" s="2098"/>
      <c r="AW775" s="2098"/>
      <c r="AX775" s="2098"/>
      <c r="AY775" s="2098"/>
      <c r="AZ775" s="2098"/>
    </row>
    <row r="776" spans="3:52">
      <c r="C776" s="2096"/>
      <c r="D776" s="2097"/>
      <c r="E776" s="2098"/>
      <c r="F776" s="2098"/>
      <c r="G776" s="2098"/>
      <c r="H776" s="2098"/>
      <c r="I776" s="2098"/>
      <c r="J776" s="2098"/>
      <c r="K776" s="2098"/>
      <c r="L776" s="2098"/>
      <c r="M776" s="2098"/>
      <c r="N776" s="2098"/>
      <c r="O776" s="2098"/>
      <c r="P776" s="2098"/>
      <c r="Q776" s="2098"/>
      <c r="R776" s="2098"/>
      <c r="S776" s="2098"/>
      <c r="T776" s="2098"/>
      <c r="U776" s="2098"/>
      <c r="V776" s="2098"/>
      <c r="W776" s="2098"/>
      <c r="X776" s="2098"/>
      <c r="Y776" s="2098"/>
      <c r="Z776" s="2098"/>
      <c r="AA776" s="2098"/>
      <c r="AB776" s="2098"/>
      <c r="AC776" s="2098"/>
      <c r="AD776" s="2098"/>
      <c r="AE776" s="2098"/>
      <c r="AF776" s="2098"/>
      <c r="AG776" s="2098"/>
      <c r="AH776" s="2098"/>
      <c r="AI776" s="2098"/>
      <c r="AJ776" s="2098"/>
      <c r="AK776" s="2098"/>
      <c r="AL776" s="2098"/>
      <c r="AM776" s="2098"/>
      <c r="AN776" s="2098"/>
      <c r="AO776" s="2098"/>
      <c r="AP776" s="2098"/>
      <c r="AQ776" s="2098"/>
      <c r="AR776" s="2098"/>
      <c r="AS776" s="2098"/>
      <c r="AT776" s="2098"/>
      <c r="AU776" s="2098"/>
      <c r="AV776" s="2098"/>
      <c r="AW776" s="2098"/>
      <c r="AX776" s="2098"/>
      <c r="AY776" s="2098"/>
      <c r="AZ776" s="2098"/>
    </row>
    <row r="777" spans="3:52">
      <c r="C777" s="2096"/>
      <c r="D777" s="2097"/>
      <c r="E777" s="2098"/>
      <c r="F777" s="2098"/>
      <c r="G777" s="2098"/>
      <c r="H777" s="2098"/>
      <c r="I777" s="2098"/>
      <c r="J777" s="2098"/>
      <c r="K777" s="2098"/>
      <c r="L777" s="2098"/>
      <c r="M777" s="2098"/>
      <c r="N777" s="2098"/>
      <c r="O777" s="2098"/>
      <c r="P777" s="2098"/>
      <c r="Q777" s="2098"/>
      <c r="R777" s="2098"/>
      <c r="S777" s="2098"/>
      <c r="T777" s="2098"/>
      <c r="U777" s="2098"/>
      <c r="V777" s="2098"/>
      <c r="W777" s="2098"/>
      <c r="X777" s="2098"/>
      <c r="Y777" s="2098"/>
      <c r="Z777" s="2098"/>
      <c r="AA777" s="2098"/>
      <c r="AB777" s="2098"/>
      <c r="AC777" s="2098"/>
      <c r="AD777" s="2098"/>
      <c r="AE777" s="2098"/>
      <c r="AF777" s="2098"/>
      <c r="AG777" s="2098"/>
      <c r="AH777" s="2098"/>
      <c r="AI777" s="2098"/>
      <c r="AJ777" s="2098"/>
      <c r="AK777" s="2098"/>
      <c r="AL777" s="2098"/>
      <c r="AM777" s="2098"/>
      <c r="AN777" s="2098"/>
      <c r="AO777" s="2098"/>
      <c r="AP777" s="2098"/>
      <c r="AQ777" s="2098"/>
      <c r="AR777" s="2098"/>
      <c r="AS777" s="2098"/>
      <c r="AT777" s="2098"/>
      <c r="AU777" s="2098"/>
      <c r="AV777" s="2098"/>
      <c r="AW777" s="2098"/>
      <c r="AX777" s="2098"/>
      <c r="AY777" s="2098"/>
      <c r="AZ777" s="2098"/>
    </row>
    <row r="778" spans="3:52">
      <c r="C778" s="2096"/>
      <c r="D778" s="2097"/>
      <c r="E778" s="2098"/>
      <c r="F778" s="2098"/>
      <c r="G778" s="2098"/>
      <c r="H778" s="2098"/>
      <c r="I778" s="2098"/>
      <c r="J778" s="2098"/>
      <c r="K778" s="2098"/>
      <c r="L778" s="2098"/>
      <c r="M778" s="2098"/>
      <c r="N778" s="2098"/>
      <c r="O778" s="2098"/>
      <c r="P778" s="2098"/>
      <c r="Q778" s="2098"/>
      <c r="R778" s="2098"/>
      <c r="S778" s="2098"/>
      <c r="T778" s="2098"/>
      <c r="U778" s="2098"/>
      <c r="V778" s="2098"/>
      <c r="W778" s="2098"/>
      <c r="X778" s="2098"/>
      <c r="Y778" s="2098"/>
      <c r="Z778" s="2098"/>
      <c r="AA778" s="2098"/>
      <c r="AB778" s="2098"/>
      <c r="AC778" s="2098"/>
      <c r="AD778" s="2098"/>
      <c r="AE778" s="2098"/>
      <c r="AF778" s="2098"/>
      <c r="AG778" s="2098"/>
      <c r="AH778" s="2098"/>
      <c r="AI778" s="2098"/>
      <c r="AJ778" s="2098"/>
      <c r="AK778" s="2098"/>
      <c r="AL778" s="2098"/>
      <c r="AM778" s="2098"/>
      <c r="AN778" s="2098"/>
      <c r="AO778" s="2098"/>
      <c r="AP778" s="2098"/>
      <c r="AQ778" s="2098"/>
      <c r="AR778" s="2098"/>
      <c r="AS778" s="2098"/>
      <c r="AT778" s="2098"/>
      <c r="AU778" s="2098"/>
      <c r="AV778" s="2098"/>
      <c r="AW778" s="2098"/>
      <c r="AX778" s="2098"/>
      <c r="AY778" s="2098"/>
      <c r="AZ778" s="2098"/>
    </row>
    <row r="779" spans="3:52">
      <c r="C779" s="2096"/>
      <c r="D779" s="2097"/>
      <c r="E779" s="2098"/>
      <c r="F779" s="2098"/>
      <c r="G779" s="2098"/>
      <c r="H779" s="2098"/>
      <c r="I779" s="2098"/>
      <c r="J779" s="2098"/>
      <c r="K779" s="2098"/>
      <c r="L779" s="2098"/>
      <c r="M779" s="2098"/>
      <c r="N779" s="2098"/>
      <c r="O779" s="2098"/>
      <c r="P779" s="2098"/>
      <c r="Q779" s="2098"/>
      <c r="R779" s="2098"/>
      <c r="S779" s="2098"/>
      <c r="T779" s="2098"/>
      <c r="U779" s="2098"/>
      <c r="V779" s="2098"/>
      <c r="W779" s="2098"/>
      <c r="X779" s="2098"/>
      <c r="Y779" s="2098"/>
      <c r="Z779" s="2098"/>
      <c r="AA779" s="2098"/>
      <c r="AB779" s="2098"/>
      <c r="AC779" s="2098"/>
      <c r="AD779" s="2098"/>
      <c r="AE779" s="2098"/>
      <c r="AF779" s="2098"/>
      <c r="AG779" s="2098"/>
      <c r="AH779" s="2098"/>
      <c r="AI779" s="2098"/>
      <c r="AJ779" s="2098"/>
      <c r="AK779" s="2098"/>
      <c r="AL779" s="2098"/>
      <c r="AM779" s="2098"/>
      <c r="AN779" s="2098"/>
      <c r="AO779" s="2098"/>
      <c r="AP779" s="2098"/>
      <c r="AQ779" s="2098"/>
      <c r="AR779" s="2098"/>
      <c r="AS779" s="2098"/>
      <c r="AT779" s="2098"/>
      <c r="AU779" s="2098"/>
      <c r="AV779" s="2098"/>
      <c r="AW779" s="2098"/>
      <c r="AX779" s="2098"/>
      <c r="AY779" s="2098"/>
      <c r="AZ779" s="2098"/>
    </row>
    <row r="780" spans="3:52">
      <c r="C780" s="2096"/>
      <c r="D780" s="2097"/>
      <c r="E780" s="2098"/>
      <c r="F780" s="2098"/>
      <c r="G780" s="2098"/>
      <c r="H780" s="2098"/>
      <c r="I780" s="2098"/>
      <c r="J780" s="2098"/>
      <c r="K780" s="2098"/>
      <c r="L780" s="2098"/>
      <c r="M780" s="2098"/>
      <c r="N780" s="2098"/>
      <c r="O780" s="2098"/>
      <c r="P780" s="2098"/>
      <c r="Q780" s="2098"/>
      <c r="R780" s="2098"/>
      <c r="S780" s="2098"/>
      <c r="T780" s="2098"/>
      <c r="U780" s="2098"/>
      <c r="V780" s="2098"/>
      <c r="W780" s="2098"/>
      <c r="X780" s="2098"/>
      <c r="Y780" s="2098"/>
      <c r="Z780" s="2098"/>
      <c r="AA780" s="2098"/>
      <c r="AB780" s="2098"/>
      <c r="AC780" s="2098"/>
      <c r="AD780" s="2098"/>
      <c r="AE780" s="2098"/>
      <c r="AF780" s="2098"/>
      <c r="AG780" s="2098"/>
      <c r="AH780" s="2098"/>
      <c r="AI780" s="2098"/>
      <c r="AJ780" s="2098"/>
      <c r="AK780" s="2098"/>
      <c r="AL780" s="2098"/>
      <c r="AM780" s="2098"/>
      <c r="AN780" s="2098"/>
      <c r="AO780" s="2098"/>
      <c r="AP780" s="2098"/>
      <c r="AQ780" s="2098"/>
      <c r="AR780" s="2098"/>
      <c r="AS780" s="2098"/>
      <c r="AT780" s="2098"/>
      <c r="AU780" s="2098"/>
      <c r="AV780" s="2098"/>
      <c r="AW780" s="2098"/>
      <c r="AX780" s="2098"/>
      <c r="AY780" s="2098"/>
      <c r="AZ780" s="2098"/>
    </row>
    <row r="781" spans="3:52">
      <c r="C781" s="2096"/>
      <c r="D781" s="2097"/>
      <c r="E781" s="2098"/>
      <c r="F781" s="2098"/>
      <c r="G781" s="2098"/>
      <c r="H781" s="2098"/>
      <c r="I781" s="2098"/>
      <c r="J781" s="2098"/>
      <c r="K781" s="2098"/>
      <c r="L781" s="2098"/>
      <c r="M781" s="2098"/>
      <c r="N781" s="2098"/>
      <c r="O781" s="2098"/>
      <c r="P781" s="2098"/>
      <c r="Q781" s="2098"/>
      <c r="R781" s="2098"/>
      <c r="S781" s="2098"/>
      <c r="T781" s="2098"/>
      <c r="U781" s="2098"/>
      <c r="V781" s="2098"/>
      <c r="W781" s="2098"/>
      <c r="X781" s="2098"/>
      <c r="Y781" s="2098"/>
      <c r="Z781" s="2098"/>
      <c r="AA781" s="2098"/>
      <c r="AB781" s="2098"/>
      <c r="AC781" s="2098"/>
      <c r="AD781" s="2098"/>
      <c r="AE781" s="2098"/>
      <c r="AF781" s="2098"/>
      <c r="AG781" s="2098"/>
      <c r="AH781" s="2098"/>
      <c r="AI781" s="2098"/>
      <c r="AJ781" s="2098"/>
      <c r="AK781" s="2098"/>
      <c r="AL781" s="2098"/>
      <c r="AM781" s="2098"/>
      <c r="AN781" s="2098"/>
      <c r="AO781" s="2098"/>
      <c r="AP781" s="2098"/>
      <c r="AQ781" s="2098"/>
      <c r="AR781" s="2098"/>
      <c r="AS781" s="2098"/>
      <c r="AT781" s="2098"/>
      <c r="AU781" s="2098"/>
      <c r="AV781" s="2098"/>
      <c r="AW781" s="2098"/>
      <c r="AX781" s="2098"/>
      <c r="AY781" s="2098"/>
      <c r="AZ781" s="2098"/>
    </row>
    <row r="782" spans="3:52">
      <c r="C782" s="2096"/>
      <c r="D782" s="2097"/>
      <c r="E782" s="2098"/>
      <c r="F782" s="2098"/>
      <c r="G782" s="2098"/>
      <c r="H782" s="2098"/>
      <c r="I782" s="2098"/>
      <c r="J782" s="2098"/>
      <c r="K782" s="2098"/>
      <c r="L782" s="2098"/>
      <c r="M782" s="2098"/>
      <c r="N782" s="2098"/>
      <c r="O782" s="2098"/>
      <c r="P782" s="2098"/>
      <c r="Q782" s="2098"/>
      <c r="R782" s="2098"/>
      <c r="S782" s="2098"/>
      <c r="T782" s="2098"/>
      <c r="U782" s="2098"/>
      <c r="V782" s="2098"/>
      <c r="W782" s="2098"/>
      <c r="X782" s="2098"/>
      <c r="Y782" s="2098"/>
      <c r="Z782" s="2098"/>
      <c r="AA782" s="2098"/>
      <c r="AB782" s="2098"/>
      <c r="AC782" s="2098"/>
      <c r="AD782" s="2098"/>
      <c r="AE782" s="2098"/>
      <c r="AF782" s="2098"/>
      <c r="AG782" s="2098"/>
      <c r="AH782" s="2098"/>
      <c r="AI782" s="2098"/>
      <c r="AJ782" s="2098"/>
      <c r="AK782" s="2098"/>
      <c r="AL782" s="2098"/>
      <c r="AM782" s="2098"/>
      <c r="AN782" s="2098"/>
      <c r="AO782" s="2098"/>
      <c r="AP782" s="2098"/>
      <c r="AQ782" s="2098"/>
      <c r="AR782" s="2098"/>
      <c r="AS782" s="2098"/>
      <c r="AT782" s="2098"/>
      <c r="AU782" s="2098"/>
      <c r="AV782" s="2098"/>
      <c r="AW782" s="2098"/>
      <c r="AX782" s="2098"/>
      <c r="AY782" s="2098"/>
      <c r="AZ782" s="2098"/>
    </row>
    <row r="783" spans="3:52">
      <c r="C783" s="2096"/>
      <c r="D783" s="2097"/>
      <c r="E783" s="2098"/>
      <c r="F783" s="2098"/>
      <c r="G783" s="2098"/>
      <c r="H783" s="2098"/>
      <c r="I783" s="2098"/>
      <c r="J783" s="2098"/>
      <c r="K783" s="2098"/>
      <c r="L783" s="2098"/>
      <c r="M783" s="2098"/>
      <c r="N783" s="2098"/>
      <c r="O783" s="2098"/>
      <c r="P783" s="2098"/>
      <c r="Q783" s="2098"/>
      <c r="R783" s="2098"/>
      <c r="S783" s="2098"/>
      <c r="T783" s="2098"/>
      <c r="U783" s="2098"/>
      <c r="V783" s="2098"/>
      <c r="W783" s="2098"/>
      <c r="X783" s="2098"/>
      <c r="Y783" s="2098"/>
      <c r="Z783" s="2098"/>
      <c r="AA783" s="2098"/>
      <c r="AB783" s="2098"/>
      <c r="AC783" s="2098"/>
      <c r="AD783" s="2098"/>
      <c r="AE783" s="2098"/>
      <c r="AF783" s="2098"/>
      <c r="AG783" s="2098"/>
      <c r="AH783" s="2098"/>
      <c r="AI783" s="2098"/>
      <c r="AJ783" s="2098"/>
      <c r="AK783" s="2098"/>
      <c r="AL783" s="2098"/>
      <c r="AM783" s="2098"/>
      <c r="AN783" s="2098"/>
      <c r="AO783" s="2098"/>
      <c r="AP783" s="2098"/>
      <c r="AQ783" s="2098"/>
      <c r="AR783" s="2098"/>
      <c r="AS783" s="2098"/>
      <c r="AT783" s="2098"/>
      <c r="AU783" s="2098"/>
      <c r="AV783" s="2098"/>
      <c r="AW783" s="2098"/>
      <c r="AX783" s="2098"/>
      <c r="AY783" s="2098"/>
      <c r="AZ783" s="2098"/>
    </row>
    <row r="784" spans="3:52">
      <c r="C784" s="2096"/>
      <c r="D784" s="2097"/>
      <c r="E784" s="2098"/>
      <c r="F784" s="2098"/>
      <c r="G784" s="2098"/>
      <c r="H784" s="2098"/>
      <c r="I784" s="2098"/>
      <c r="J784" s="2098"/>
      <c r="K784" s="2098"/>
      <c r="L784" s="2098"/>
      <c r="M784" s="2098"/>
      <c r="N784" s="2098"/>
      <c r="O784" s="2098"/>
      <c r="P784" s="2098"/>
      <c r="Q784" s="2098"/>
      <c r="R784" s="2098"/>
      <c r="S784" s="2098"/>
      <c r="T784" s="2098"/>
      <c r="U784" s="2098"/>
      <c r="V784" s="2098"/>
      <c r="W784" s="2098"/>
      <c r="X784" s="2098"/>
      <c r="Y784" s="2098"/>
      <c r="Z784" s="2098"/>
      <c r="AA784" s="2098"/>
      <c r="AB784" s="2098"/>
      <c r="AC784" s="2098"/>
      <c r="AD784" s="2098"/>
      <c r="AE784" s="2098"/>
      <c r="AF784" s="2098"/>
      <c r="AG784" s="2098"/>
      <c r="AH784" s="2098"/>
      <c r="AI784" s="2098"/>
      <c r="AJ784" s="2098"/>
      <c r="AK784" s="2098"/>
      <c r="AL784" s="2098"/>
      <c r="AM784" s="2098"/>
      <c r="AN784" s="2098"/>
      <c r="AO784" s="2098"/>
      <c r="AP784" s="2098"/>
      <c r="AQ784" s="2098"/>
      <c r="AR784" s="2098"/>
      <c r="AS784" s="2098"/>
      <c r="AT784" s="2098"/>
      <c r="AU784" s="2098"/>
      <c r="AV784" s="2098"/>
      <c r="AW784" s="2098"/>
      <c r="AX784" s="2098"/>
      <c r="AY784" s="2098"/>
      <c r="AZ784" s="2098"/>
    </row>
    <row r="795" spans="3:7">
      <c r="C795" s="2066"/>
      <c r="D795" s="2066"/>
      <c r="E795" s="2066"/>
      <c r="F795" s="2066"/>
      <c r="G795" s="2066"/>
    </row>
    <row r="796" spans="3:7">
      <c r="C796" s="2066"/>
      <c r="D796" s="2066"/>
      <c r="E796" s="2066"/>
      <c r="F796" s="2066"/>
      <c r="G796" s="2066"/>
    </row>
    <row r="797" spans="3:7">
      <c r="C797" s="2066"/>
      <c r="D797" s="2066"/>
      <c r="E797" s="2066"/>
      <c r="F797" s="2066"/>
      <c r="G797" s="2066"/>
    </row>
    <row r="798" spans="3:7">
      <c r="C798" s="2066"/>
      <c r="D798" s="2066"/>
      <c r="E798" s="2066"/>
      <c r="F798" s="2066"/>
      <c r="G798" s="2066"/>
    </row>
    <row r="799" spans="3:7">
      <c r="C799" s="2066"/>
      <c r="D799" s="2066"/>
      <c r="E799" s="2066"/>
      <c r="F799" s="2066"/>
      <c r="G799" s="2066"/>
    </row>
    <row r="800" spans="3:7">
      <c r="C800" s="2066"/>
      <c r="D800" s="2066"/>
      <c r="E800" s="2066"/>
      <c r="F800" s="2066"/>
      <c r="G800" s="2066"/>
    </row>
    <row r="801" spans="3:7">
      <c r="C801" s="2066"/>
      <c r="D801" s="2066"/>
      <c r="E801" s="2066"/>
      <c r="F801" s="2066"/>
      <c r="G801" s="2066"/>
    </row>
    <row r="802" spans="3:7">
      <c r="C802" s="2066"/>
      <c r="D802" s="2066"/>
      <c r="E802" s="2066"/>
      <c r="F802" s="2066"/>
      <c r="G802" s="2066"/>
    </row>
    <row r="803" spans="3:7">
      <c r="C803" s="2066"/>
      <c r="D803" s="2066"/>
      <c r="E803" s="2066"/>
      <c r="F803" s="2066"/>
      <c r="G803" s="2066"/>
    </row>
    <row r="804" spans="3:7">
      <c r="C804" s="2066"/>
      <c r="D804" s="2066"/>
      <c r="E804" s="2066"/>
      <c r="F804" s="2066"/>
      <c r="G804" s="2066"/>
    </row>
    <row r="805" spans="3:7">
      <c r="C805" s="2066"/>
      <c r="D805" s="2066"/>
      <c r="E805" s="2066"/>
      <c r="F805" s="2066"/>
      <c r="G805" s="2066"/>
    </row>
    <row r="806" spans="3:7">
      <c r="C806" s="2066"/>
      <c r="D806" s="2066"/>
      <c r="E806" s="2066"/>
      <c r="F806" s="2066"/>
      <c r="G806" s="2066"/>
    </row>
    <row r="807" spans="3:7">
      <c r="C807" s="2066"/>
      <c r="D807" s="2066"/>
      <c r="E807" s="2066"/>
      <c r="F807" s="2066"/>
      <c r="G807" s="2066"/>
    </row>
    <row r="808" spans="3:7">
      <c r="C808" s="2066"/>
      <c r="D808" s="2066"/>
      <c r="E808" s="2066"/>
      <c r="F808" s="2066"/>
      <c r="G808" s="2066"/>
    </row>
    <row r="809" spans="3:7">
      <c r="C809" s="2066"/>
      <c r="D809" s="2066"/>
      <c r="E809" s="2066"/>
      <c r="F809" s="2066"/>
      <c r="G809" s="2066"/>
    </row>
    <row r="810" spans="3:7">
      <c r="C810" s="2066"/>
      <c r="D810" s="2066"/>
      <c r="E810" s="2066"/>
      <c r="F810" s="2066"/>
      <c r="G810" s="2066"/>
    </row>
    <row r="811" spans="3:7">
      <c r="C811" s="2066"/>
      <c r="D811" s="2066"/>
      <c r="E811" s="2066"/>
      <c r="F811" s="2066"/>
      <c r="G811" s="2066"/>
    </row>
    <row r="812" spans="3:7">
      <c r="C812" s="2066"/>
      <c r="D812" s="2066"/>
      <c r="E812" s="2066"/>
      <c r="F812" s="2066"/>
      <c r="G812" s="2066"/>
    </row>
    <row r="813" spans="3:7">
      <c r="C813" s="2066"/>
      <c r="D813" s="2066"/>
      <c r="E813" s="2066"/>
      <c r="F813" s="2066"/>
      <c r="G813" s="2066"/>
    </row>
    <row r="814" spans="3:7">
      <c r="C814" s="2066"/>
      <c r="D814" s="2066"/>
      <c r="E814" s="2066"/>
      <c r="F814" s="2066"/>
      <c r="G814" s="2066"/>
    </row>
    <row r="815" spans="3:7">
      <c r="C815" s="2066"/>
      <c r="D815" s="2066"/>
      <c r="E815" s="2066"/>
      <c r="F815" s="2066"/>
      <c r="G815" s="2066"/>
    </row>
    <row r="816" spans="3:7">
      <c r="C816" s="2066"/>
      <c r="D816" s="2066"/>
      <c r="E816" s="2066"/>
      <c r="F816" s="2066"/>
      <c r="G816" s="2066"/>
    </row>
    <row r="817" spans="3:7">
      <c r="C817" s="2066"/>
      <c r="D817" s="2066"/>
      <c r="E817" s="2066"/>
      <c r="F817" s="2066"/>
      <c r="G817" s="2066"/>
    </row>
    <row r="818" spans="3:7">
      <c r="C818" s="2066"/>
      <c r="D818" s="2066"/>
      <c r="E818" s="2066"/>
      <c r="F818" s="2066"/>
      <c r="G818" s="2066"/>
    </row>
    <row r="819" spans="3:7">
      <c r="C819" s="2066"/>
      <c r="D819" s="2066"/>
      <c r="E819" s="2066"/>
      <c r="F819" s="2066"/>
      <c r="G819" s="2066"/>
    </row>
    <row r="820" spans="3:7">
      <c r="C820" s="2066"/>
      <c r="D820" s="2066"/>
      <c r="E820" s="2066"/>
      <c r="F820" s="2066"/>
      <c r="G820" s="2066"/>
    </row>
    <row r="821" spans="3:7">
      <c r="C821" s="2066"/>
      <c r="D821" s="2066"/>
      <c r="E821" s="2066"/>
      <c r="F821" s="2066"/>
      <c r="G821" s="2066"/>
    </row>
    <row r="822" spans="3:7">
      <c r="C822" s="2066"/>
      <c r="D822" s="2066"/>
      <c r="E822" s="2066"/>
      <c r="F822" s="2066"/>
      <c r="G822" s="2066"/>
    </row>
    <row r="823" spans="3:7">
      <c r="C823" s="2066"/>
      <c r="D823" s="2066"/>
      <c r="E823" s="2066"/>
      <c r="F823" s="2066"/>
      <c r="G823" s="2066"/>
    </row>
    <row r="824" spans="3:7">
      <c r="C824" s="2066"/>
      <c r="D824" s="2066"/>
      <c r="E824" s="2066"/>
      <c r="F824" s="2066"/>
      <c r="G824" s="2066"/>
    </row>
    <row r="825" spans="3:7">
      <c r="C825" s="2066"/>
      <c r="D825" s="2066"/>
      <c r="E825" s="2066"/>
      <c r="F825" s="2066"/>
      <c r="G825" s="2066"/>
    </row>
    <row r="826" spans="3:7">
      <c r="C826" s="2066"/>
      <c r="D826" s="2066"/>
      <c r="E826" s="2066"/>
      <c r="F826" s="2066"/>
      <c r="G826" s="2066"/>
    </row>
    <row r="827" spans="3:7">
      <c r="C827" s="2066"/>
      <c r="D827" s="2066"/>
      <c r="E827" s="2066"/>
      <c r="F827" s="2066"/>
      <c r="G827" s="2066"/>
    </row>
    <row r="828" spans="3:7">
      <c r="C828" s="2066"/>
      <c r="D828" s="2066"/>
      <c r="E828" s="2066"/>
      <c r="F828" s="2066"/>
      <c r="G828" s="2066"/>
    </row>
    <row r="829" spans="3:7">
      <c r="C829" s="2066"/>
      <c r="D829" s="2066"/>
      <c r="E829" s="2066"/>
      <c r="F829" s="2066"/>
      <c r="G829" s="2066"/>
    </row>
    <row r="830" spans="3:7">
      <c r="C830" s="2066"/>
      <c r="D830" s="2066"/>
      <c r="E830" s="2066"/>
      <c r="F830" s="2066"/>
      <c r="G830" s="2066"/>
    </row>
    <row r="831" spans="3:7">
      <c r="C831" s="2066"/>
      <c r="D831" s="2066"/>
      <c r="E831" s="2066"/>
      <c r="F831" s="2066"/>
      <c r="G831" s="2066"/>
    </row>
    <row r="832" spans="3:7">
      <c r="C832" s="2066"/>
      <c r="D832" s="2066"/>
      <c r="E832" s="2066"/>
      <c r="F832" s="2066"/>
      <c r="G832" s="2066"/>
    </row>
    <row r="833" spans="3:7">
      <c r="C833" s="2066"/>
      <c r="D833" s="2066"/>
      <c r="E833" s="2066"/>
      <c r="F833" s="2066"/>
      <c r="G833" s="2066"/>
    </row>
    <row r="834" spans="3:7">
      <c r="C834" s="2066"/>
      <c r="D834" s="2066"/>
      <c r="E834" s="2066"/>
      <c r="F834" s="2066"/>
      <c r="G834" s="2066"/>
    </row>
    <row r="835" spans="3:7">
      <c r="C835" s="2066"/>
      <c r="D835" s="2066"/>
      <c r="E835" s="2066"/>
      <c r="F835" s="2066"/>
      <c r="G835" s="2066"/>
    </row>
    <row r="836" spans="3:7">
      <c r="C836" s="2066"/>
      <c r="D836" s="2066"/>
      <c r="E836" s="2066"/>
      <c r="F836" s="2066"/>
      <c r="G836" s="2066"/>
    </row>
    <row r="837" spans="3:7">
      <c r="C837" s="2066"/>
      <c r="D837" s="2066"/>
      <c r="E837" s="2066"/>
      <c r="F837" s="2066"/>
      <c r="G837" s="2066"/>
    </row>
    <row r="838" spans="3:7">
      <c r="C838" s="2066"/>
      <c r="D838" s="2066"/>
      <c r="E838" s="2066"/>
      <c r="F838" s="2066"/>
      <c r="G838" s="2066"/>
    </row>
    <row r="839" spans="3:7">
      <c r="C839" s="2066"/>
      <c r="D839" s="2066"/>
      <c r="E839" s="2066"/>
      <c r="F839" s="2066"/>
      <c r="G839" s="2066"/>
    </row>
    <row r="840" spans="3:7">
      <c r="C840" s="2066"/>
      <c r="D840" s="2066"/>
      <c r="E840" s="2066"/>
      <c r="F840" s="2066"/>
      <c r="G840" s="2066"/>
    </row>
    <row r="841" spans="3:7">
      <c r="C841" s="2066"/>
      <c r="D841" s="2066"/>
      <c r="E841" s="2066"/>
      <c r="F841" s="2066"/>
      <c r="G841" s="2066"/>
    </row>
    <row r="842" spans="3:7">
      <c r="C842" s="2066"/>
      <c r="D842" s="2066"/>
      <c r="E842" s="2066"/>
      <c r="F842" s="2066"/>
      <c r="G842" s="2066"/>
    </row>
    <row r="843" spans="3:7">
      <c r="C843" s="2066"/>
      <c r="D843" s="2066"/>
      <c r="E843" s="2066"/>
      <c r="F843" s="2066"/>
      <c r="G843" s="2066"/>
    </row>
    <row r="844" spans="3:7">
      <c r="C844" s="2066"/>
      <c r="D844" s="2066"/>
      <c r="E844" s="2066"/>
      <c r="F844" s="2066"/>
      <c r="G844" s="2066"/>
    </row>
    <row r="845" spans="3:7">
      <c r="C845" s="2066"/>
      <c r="D845" s="2066"/>
      <c r="E845" s="2066"/>
      <c r="F845" s="2066"/>
      <c r="G845" s="2066"/>
    </row>
    <row r="846" spans="3:7">
      <c r="C846" s="2066"/>
      <c r="D846" s="2066"/>
      <c r="E846" s="2066"/>
      <c r="F846" s="2066"/>
      <c r="G846" s="2066"/>
    </row>
    <row r="847" spans="3:7">
      <c r="C847" s="2066"/>
      <c r="D847" s="2066"/>
      <c r="E847" s="2066"/>
      <c r="F847" s="2066"/>
      <c r="G847" s="2066"/>
    </row>
    <row r="848" spans="3:7">
      <c r="C848" s="2066"/>
      <c r="D848" s="2066"/>
      <c r="E848" s="2066"/>
      <c r="F848" s="2066"/>
      <c r="G848" s="2066"/>
    </row>
    <row r="849" spans="3:7">
      <c r="C849" s="2066"/>
      <c r="D849" s="2066"/>
      <c r="E849" s="2066"/>
      <c r="F849" s="2066"/>
      <c r="G849" s="2066"/>
    </row>
    <row r="850" spans="3:7">
      <c r="C850" s="2066"/>
      <c r="D850" s="2066"/>
      <c r="E850" s="2066"/>
      <c r="F850" s="2066"/>
      <c r="G850" s="2066"/>
    </row>
    <row r="851" spans="3:7">
      <c r="C851" s="2066"/>
      <c r="D851" s="2066"/>
      <c r="E851" s="2066"/>
      <c r="F851" s="2066"/>
      <c r="G851" s="2066"/>
    </row>
    <row r="852" spans="3:7">
      <c r="C852" s="2066"/>
      <c r="D852" s="2066"/>
      <c r="E852" s="2066"/>
      <c r="F852" s="2066"/>
      <c r="G852" s="2066"/>
    </row>
    <row r="853" spans="3:7">
      <c r="C853" s="2066"/>
      <c r="D853" s="2066"/>
      <c r="E853" s="2066"/>
      <c r="F853" s="2066"/>
      <c r="G853" s="2066"/>
    </row>
    <row r="854" spans="3:7">
      <c r="C854" s="2066"/>
      <c r="D854" s="2066"/>
      <c r="E854" s="2066"/>
      <c r="F854" s="2066"/>
      <c r="G854" s="2066"/>
    </row>
    <row r="855" spans="3:7">
      <c r="C855" s="2066"/>
      <c r="D855" s="2066"/>
      <c r="E855" s="2066"/>
      <c r="F855" s="2066"/>
      <c r="G855" s="2066"/>
    </row>
    <row r="856" spans="3:7">
      <c r="C856" s="2066"/>
      <c r="D856" s="2066"/>
      <c r="E856" s="2066"/>
      <c r="F856" s="2066"/>
      <c r="G856" s="2066"/>
    </row>
    <row r="857" spans="3:7">
      <c r="C857" s="2066"/>
      <c r="D857" s="2066"/>
      <c r="E857" s="2066"/>
      <c r="F857" s="2066"/>
      <c r="G857" s="2066"/>
    </row>
    <row r="858" spans="3:7">
      <c r="C858" s="2066"/>
      <c r="D858" s="2066"/>
      <c r="E858" s="2066"/>
      <c r="F858" s="2066"/>
      <c r="G858" s="2066"/>
    </row>
    <row r="859" spans="3:7">
      <c r="C859" s="2066"/>
      <c r="D859" s="2066"/>
      <c r="E859" s="2066"/>
      <c r="F859" s="2066"/>
      <c r="G859" s="2066"/>
    </row>
    <row r="860" spans="3:7">
      <c r="C860" s="2066"/>
      <c r="D860" s="2066"/>
      <c r="E860" s="2066"/>
      <c r="F860" s="2066"/>
      <c r="G860" s="2066"/>
    </row>
    <row r="861" spans="3:7">
      <c r="C861" s="2066"/>
      <c r="D861" s="2066"/>
      <c r="E861" s="2066"/>
      <c r="F861" s="2066"/>
      <c r="G861" s="2066"/>
    </row>
    <row r="862" spans="3:7">
      <c r="C862" s="2066"/>
      <c r="D862" s="2066"/>
      <c r="E862" s="2066"/>
      <c r="F862" s="2066"/>
      <c r="G862" s="2066"/>
    </row>
    <row r="863" spans="3:7">
      <c r="C863" s="2066"/>
      <c r="D863" s="2066"/>
      <c r="E863" s="2066"/>
      <c r="F863" s="2066"/>
      <c r="G863" s="2066"/>
    </row>
    <row r="864" spans="3:7">
      <c r="C864" s="2066"/>
      <c r="D864" s="2066"/>
      <c r="E864" s="2066"/>
      <c r="F864" s="2066"/>
      <c r="G864" s="2066"/>
    </row>
    <row r="865" spans="3:7">
      <c r="C865" s="2066"/>
      <c r="D865" s="2066"/>
      <c r="E865" s="2066"/>
      <c r="F865" s="2066"/>
      <c r="G865" s="2066"/>
    </row>
    <row r="866" spans="3:7">
      <c r="C866" s="2066"/>
      <c r="D866" s="2066"/>
      <c r="E866" s="2066"/>
      <c r="F866" s="2066"/>
      <c r="G866" s="2066"/>
    </row>
    <row r="867" spans="3:7">
      <c r="C867" s="2066"/>
      <c r="D867" s="2066"/>
      <c r="E867" s="2066"/>
      <c r="F867" s="2066"/>
      <c r="G867" s="2066"/>
    </row>
    <row r="868" spans="3:7">
      <c r="C868" s="2066"/>
      <c r="D868" s="2066"/>
      <c r="E868" s="2066"/>
      <c r="F868" s="2066"/>
      <c r="G868" s="2066"/>
    </row>
    <row r="869" spans="3:7">
      <c r="C869" s="2066"/>
      <c r="D869" s="2066"/>
      <c r="E869" s="2066"/>
      <c r="F869" s="2066"/>
      <c r="G869" s="2066"/>
    </row>
    <row r="870" spans="3:7">
      <c r="C870" s="2066"/>
      <c r="D870" s="2066"/>
      <c r="E870" s="2066"/>
      <c r="F870" s="2066"/>
      <c r="G870" s="2066"/>
    </row>
    <row r="871" spans="3:7">
      <c r="C871" s="2066"/>
      <c r="D871" s="2066"/>
      <c r="E871" s="2066"/>
      <c r="F871" s="2066"/>
      <c r="G871" s="2066"/>
    </row>
    <row r="872" spans="3:7">
      <c r="C872" s="2066"/>
      <c r="D872" s="2066"/>
      <c r="E872" s="2066"/>
      <c r="F872" s="2066"/>
      <c r="G872" s="2066"/>
    </row>
    <row r="873" spans="3:7">
      <c r="C873" s="2066"/>
      <c r="D873" s="2066"/>
      <c r="E873" s="2066"/>
      <c r="F873" s="2066"/>
      <c r="G873" s="2066"/>
    </row>
    <row r="874" spans="3:7">
      <c r="C874" s="2066"/>
      <c r="D874" s="2066"/>
      <c r="E874" s="2066"/>
      <c r="F874" s="2066"/>
      <c r="G874" s="2066"/>
    </row>
    <row r="875" spans="3:7">
      <c r="C875" s="2066"/>
      <c r="D875" s="2066"/>
      <c r="E875" s="2066"/>
      <c r="F875" s="2066"/>
      <c r="G875" s="2066"/>
    </row>
    <row r="876" spans="3:7">
      <c r="C876" s="2066"/>
      <c r="D876" s="2066"/>
      <c r="E876" s="2066"/>
      <c r="F876" s="2066"/>
      <c r="G876" s="2066"/>
    </row>
    <row r="877" spans="3:7">
      <c r="C877" s="2066"/>
      <c r="D877" s="2066"/>
      <c r="E877" s="2066"/>
      <c r="F877" s="2066"/>
      <c r="G877" s="2066"/>
    </row>
    <row r="878" spans="3:7">
      <c r="C878" s="2066"/>
      <c r="D878" s="2066"/>
      <c r="E878" s="2066"/>
      <c r="F878" s="2066"/>
      <c r="G878" s="2066"/>
    </row>
    <row r="879" spans="3:7">
      <c r="C879" s="2066"/>
      <c r="D879" s="2066"/>
      <c r="E879" s="2066"/>
      <c r="F879" s="2066"/>
      <c r="G879" s="2066"/>
    </row>
    <row r="880" spans="3:7">
      <c r="C880" s="2066"/>
      <c r="D880" s="2066"/>
      <c r="E880" s="2066"/>
      <c r="F880" s="2066"/>
      <c r="G880" s="2066"/>
    </row>
    <row r="881" spans="3:7">
      <c r="C881" s="2066"/>
      <c r="D881" s="2066"/>
      <c r="E881" s="2066"/>
      <c r="F881" s="2066"/>
      <c r="G881" s="2066"/>
    </row>
    <row r="882" spans="3:7">
      <c r="C882" s="2066"/>
      <c r="D882" s="2066"/>
      <c r="E882" s="2066"/>
      <c r="F882" s="2066"/>
      <c r="G882" s="2066"/>
    </row>
    <row r="883" spans="3:7">
      <c r="C883" s="2066"/>
      <c r="D883" s="2066"/>
      <c r="E883" s="2066"/>
      <c r="F883" s="2066"/>
      <c r="G883" s="2066"/>
    </row>
    <row r="884" spans="3:7">
      <c r="C884" s="2066"/>
      <c r="D884" s="2066"/>
      <c r="E884" s="2066"/>
      <c r="F884" s="2066"/>
      <c r="G884" s="2066"/>
    </row>
    <row r="885" spans="3:7">
      <c r="C885" s="2066"/>
      <c r="D885" s="2066"/>
      <c r="E885" s="2066"/>
      <c r="F885" s="2066"/>
      <c r="G885" s="2066"/>
    </row>
    <row r="886" spans="3:7">
      <c r="C886" s="2066"/>
      <c r="D886" s="2066"/>
      <c r="E886" s="2066"/>
      <c r="F886" s="2066"/>
      <c r="G886" s="2066"/>
    </row>
    <row r="887" spans="3:7">
      <c r="C887" s="2066"/>
      <c r="D887" s="2066"/>
      <c r="E887" s="2066"/>
      <c r="F887" s="2066"/>
      <c r="G887" s="2066"/>
    </row>
    <row r="888" spans="3:7">
      <c r="C888" s="2066"/>
      <c r="D888" s="2066"/>
      <c r="E888" s="2066"/>
      <c r="F888" s="2066"/>
      <c r="G888" s="2066"/>
    </row>
    <row r="889" spans="3:7">
      <c r="C889" s="2066"/>
      <c r="D889" s="2066"/>
      <c r="E889" s="2066"/>
      <c r="F889" s="2066"/>
      <c r="G889" s="2066"/>
    </row>
  </sheetData>
  <autoFilter ref="C6:V147"/>
  <mergeCells count="31">
    <mergeCell ref="P2:Q2"/>
    <mergeCell ref="R2:S2"/>
    <mergeCell ref="D4:D5"/>
    <mergeCell ref="E4:E5"/>
    <mergeCell ref="F4:G4"/>
    <mergeCell ref="H4:H5"/>
    <mergeCell ref="I4:I5"/>
    <mergeCell ref="J4:J5"/>
    <mergeCell ref="L4:L5"/>
    <mergeCell ref="M4:M5"/>
    <mergeCell ref="J150:J151"/>
    <mergeCell ref="K150:K151"/>
    <mergeCell ref="L150:L151"/>
    <mergeCell ref="C1:E1"/>
    <mergeCell ref="C2:E2"/>
    <mergeCell ref="N175:N176"/>
    <mergeCell ref="O175:O176"/>
    <mergeCell ref="B178:C178"/>
    <mergeCell ref="B194:C194"/>
    <mergeCell ref="N150:N151"/>
    <mergeCell ref="B175:B176"/>
    <mergeCell ref="C175:C176"/>
    <mergeCell ref="E175:E176"/>
    <mergeCell ref="F175:F176"/>
    <mergeCell ref="G175:G176"/>
    <mergeCell ref="H175:I175"/>
    <mergeCell ref="J175:J176"/>
    <mergeCell ref="K175:K176"/>
    <mergeCell ref="L175:L176"/>
    <mergeCell ref="G150:G151"/>
    <mergeCell ref="H150:I150"/>
  </mergeCells>
  <pageMargins left="0.75" right="0.75" top="1" bottom="1" header="0.5" footer="0.5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autoPageBreaks="0"/>
  </sheetPr>
  <dimension ref="A1:BO1061"/>
  <sheetViews>
    <sheetView zoomScale="84" zoomScaleNormal="84" workbookViewId="0">
      <pane ySplit="8" topLeftCell="A189" activePane="bottomLeft" state="frozen"/>
      <selection pane="bottomLeft" activeCell="C197" sqref="C197"/>
    </sheetView>
  </sheetViews>
  <sheetFormatPr defaultColWidth="9.140625" defaultRowHeight="11.25" outlineLevelRow="7" outlineLevelCol="2"/>
  <cols>
    <col min="1" max="1" width="0.85546875" style="2150" customWidth="1"/>
    <col min="2" max="2" width="9.140625" style="2150"/>
    <col min="3" max="3" width="67.42578125" style="2153" customWidth="1"/>
    <col min="4" max="4" width="16" style="2154" customWidth="1"/>
    <col min="5" max="6" width="14.5703125" style="2141" customWidth="1" outlineLevel="1"/>
    <col min="7" max="7" width="15.28515625" style="2141" customWidth="1" outlineLevel="1"/>
    <col min="8" max="8" width="16" style="2141" customWidth="1" outlineLevel="1"/>
    <col min="9" max="9" width="16.140625" style="2141" customWidth="1" outlineLevel="1"/>
    <col min="10" max="10" width="15.5703125" style="2141" customWidth="1" outlineLevel="1"/>
    <col min="11" max="11" width="14.140625" style="2141" customWidth="1"/>
    <col min="12" max="12" width="16.7109375" style="2141" customWidth="1"/>
    <col min="13" max="14" width="16.140625" style="2066" customWidth="1"/>
    <col min="15" max="15" width="9.140625" style="2066"/>
    <col min="16" max="16" width="36.7109375" style="2066" customWidth="1"/>
    <col min="17" max="17" width="16.28515625" style="2141" customWidth="1" outlineLevel="1"/>
    <col min="18" max="21" width="11.42578125" style="2066" customWidth="1"/>
    <col min="22" max="28" width="9.140625" style="2141"/>
    <col min="29" max="29" width="9.140625" style="2141" collapsed="1"/>
    <col min="30" max="30" width="9.140625" style="2141" hidden="1" customWidth="1" outlineLevel="1"/>
    <col min="31" max="31" width="15.5703125" style="2154" hidden="1" customWidth="1" outlineLevel="1" collapsed="1"/>
    <col min="32" max="33" width="15.5703125" style="2154" hidden="1" customWidth="1" outlineLevel="2"/>
    <col min="34" max="34" width="11.140625" style="2154" hidden="1" customWidth="1" outlineLevel="2"/>
    <col min="35" max="35" width="4.5703125" style="2154" hidden="1" customWidth="1" outlineLevel="2"/>
    <col min="36" max="39" width="15.5703125" style="2154" hidden="1" customWidth="1" outlineLevel="2"/>
    <col min="40" max="40" width="15.5703125" style="2154" hidden="1" customWidth="1" outlineLevel="1" collapsed="1"/>
    <col min="41" max="41" width="15.5703125" style="2154" hidden="1" customWidth="1" outlineLevel="2"/>
    <col min="42" max="42" width="9.140625" style="2141" hidden="1" customWidth="1" outlineLevel="1"/>
    <col min="43" max="67" width="9.140625" style="2141"/>
    <col min="68" max="16384" width="9.140625" style="2150"/>
  </cols>
  <sheetData>
    <row r="1" spans="3:67" ht="12.75">
      <c r="C1" s="2065" t="s">
        <v>29</v>
      </c>
      <c r="D1" s="2141"/>
      <c r="I1" s="2142">
        <f>'[30]Затраты 2016'!U14</f>
        <v>0.92227141577952443</v>
      </c>
      <c r="P1" s="2143"/>
      <c r="Q1" s="2144" t="b">
        <f>E8=R1</f>
        <v>0</v>
      </c>
      <c r="R1" s="2145">
        <f>'[30]Затраты 2016'!G6</f>
        <v>3769870.8481658548</v>
      </c>
      <c r="S1" s="2146">
        <f>ROUND(R1-'[30]Об.сч.20 2016'!B13,2)</f>
        <v>84994.75</v>
      </c>
      <c r="T1" s="2147">
        <f>'[30]Затраты 2016'!G7</f>
        <v>298544.15224608785</v>
      </c>
      <c r="U1" s="2148">
        <f>T1/R1</f>
        <v>7.9192143251097774E-2</v>
      </c>
      <c r="V1" s="2149"/>
      <c r="AE1" s="2141"/>
      <c r="AF1" s="2141"/>
      <c r="AG1" s="2141"/>
      <c r="AH1" s="2141"/>
      <c r="AI1" s="2141"/>
      <c r="AJ1" s="2141"/>
      <c r="AK1" s="2141"/>
      <c r="AL1" s="2141"/>
      <c r="AM1" s="2141"/>
      <c r="AN1" s="2141"/>
      <c r="AO1" s="2141"/>
    </row>
    <row r="2" spans="3:67" ht="15.75">
      <c r="C2" s="2067" t="s">
        <v>3683</v>
      </c>
      <c r="D2" s="2141">
        <f>D3-D8</f>
        <v>-2.1810000762343407E-2</v>
      </c>
      <c r="E2" s="2141">
        <f>E3-E8</f>
        <v>906528.36181000061</v>
      </c>
      <c r="F2" s="2141">
        <f>F3-F8</f>
        <v>2.2246087843086571E-2</v>
      </c>
      <c r="G2" s="2141">
        <f t="shared" ref="G2:J2" si="0">G3-G8</f>
        <v>-3471326.7399999998</v>
      </c>
      <c r="H2" s="2141">
        <f t="shared" si="0"/>
        <v>74224.808190000011</v>
      </c>
      <c r="I2" s="2141">
        <f t="shared" si="0"/>
        <v>0</v>
      </c>
      <c r="J2" s="2141">
        <f t="shared" si="0"/>
        <v>10769.94</v>
      </c>
      <c r="Q2" s="2141">
        <f>Q3-Q8</f>
        <v>-3684876.1</v>
      </c>
      <c r="R2" s="3400" t="s">
        <v>3792</v>
      </c>
      <c r="S2" s="3400"/>
      <c r="T2" s="3400" t="s">
        <v>3793</v>
      </c>
      <c r="U2" s="3400"/>
      <c r="AE2" s="2141"/>
      <c r="AF2" s="2141"/>
      <c r="AG2" s="2141"/>
      <c r="AH2" s="2141"/>
      <c r="AI2" s="2141"/>
      <c r="AJ2" s="2141"/>
      <c r="AK2" s="2141"/>
      <c r="AL2" s="2141"/>
      <c r="AM2" s="2141"/>
      <c r="AN2" s="2141"/>
      <c r="AO2" s="2141"/>
    </row>
    <row r="3" spans="3:67" ht="12.75">
      <c r="C3" s="2151" t="s">
        <v>33</v>
      </c>
      <c r="D3" s="2141">
        <v>4676399.21</v>
      </c>
      <c r="E3" s="2141">
        <f>D8</f>
        <v>4676399.2318100007</v>
      </c>
      <c r="F3" s="2141">
        <f>T1</f>
        <v>298544.15224608785</v>
      </c>
      <c r="H3" s="2141">
        <f>D247</f>
        <v>954922.94</v>
      </c>
      <c r="I3" s="2141">
        <f>D419</f>
        <v>25830.23</v>
      </c>
      <c r="J3" s="2141">
        <f>D235</f>
        <v>10769.94</v>
      </c>
      <c r="M3" s="2068"/>
      <c r="N3" s="2068"/>
      <c r="O3" s="2068"/>
      <c r="P3" s="2068"/>
      <c r="Q3" s="2141">
        <f>P8</f>
        <v>0</v>
      </c>
      <c r="R3" s="2152" t="s">
        <v>3794</v>
      </c>
      <c r="S3" s="2152" t="s">
        <v>3655</v>
      </c>
      <c r="T3" s="2152" t="s">
        <v>3794</v>
      </c>
      <c r="U3" s="2152" t="s">
        <v>3655</v>
      </c>
      <c r="AE3" s="3419"/>
      <c r="AF3" s="3419"/>
      <c r="AG3" s="3419"/>
      <c r="AH3" s="3419"/>
      <c r="AI3" s="2141"/>
      <c r="AJ3" s="2141"/>
      <c r="AK3" s="2141"/>
      <c r="AL3" s="2141"/>
      <c r="AM3" s="2141"/>
      <c r="AN3" s="2141"/>
      <c r="AO3" s="2141"/>
    </row>
    <row r="4" spans="3:67" s="2153" customFormat="1" ht="15">
      <c r="D4" s="2154">
        <f>C4+1</f>
        <v>1</v>
      </c>
      <c r="E4" s="2154">
        <f>'[30]Затраты 2016'!G6</f>
        <v>3769870.8481658548</v>
      </c>
      <c r="F4" s="2154"/>
      <c r="G4" s="2154"/>
      <c r="H4" s="2154">
        <f>'[30]Затраты 2016'!G11</f>
        <v>880698.13183414598</v>
      </c>
      <c r="I4" s="2154">
        <f>'[30]Затраты 2016'!G14</f>
        <v>25830.23</v>
      </c>
      <c r="J4" s="2154"/>
      <c r="K4" s="2154"/>
      <c r="L4" s="2154"/>
      <c r="O4" s="2073"/>
      <c r="P4" s="2073"/>
      <c r="Q4" s="2154" t="b">
        <f>Q8='[30]Об.сч.20 2016'!B13</f>
        <v>1</v>
      </c>
      <c r="R4" s="2074" t="s">
        <v>3581</v>
      </c>
      <c r="S4" s="2074" t="s">
        <v>2552</v>
      </c>
      <c r="T4" s="2074" t="s">
        <v>3581</v>
      </c>
      <c r="U4" s="2074" t="s">
        <v>2552</v>
      </c>
      <c r="W4" s="2154"/>
      <c r="X4" s="2154"/>
      <c r="Y4" s="2154"/>
      <c r="Z4" s="2154"/>
      <c r="AA4" s="2154"/>
      <c r="AB4" s="2154"/>
      <c r="AC4" s="2154"/>
      <c r="AD4" s="2154"/>
      <c r="AE4" s="2154"/>
      <c r="AF4" s="2154"/>
      <c r="AG4" s="2154"/>
      <c r="AH4" s="2154"/>
      <c r="AI4" s="2154"/>
      <c r="AJ4" s="2154"/>
      <c r="AK4" s="2154"/>
      <c r="AL4" s="2154"/>
      <c r="AM4" s="2154"/>
      <c r="AN4" s="2154"/>
      <c r="AO4" s="2154"/>
      <c r="AP4" s="2154"/>
      <c r="AQ4" s="2154"/>
      <c r="AR4" s="2154"/>
      <c r="AS4" s="2154"/>
      <c r="AT4" s="2154"/>
      <c r="AU4" s="2154"/>
      <c r="AV4" s="2154"/>
      <c r="AW4" s="2154"/>
      <c r="AX4" s="2154"/>
      <c r="AY4" s="2154"/>
      <c r="AZ4" s="2154"/>
      <c r="BA4" s="2154"/>
      <c r="BB4" s="2154"/>
      <c r="BC4" s="2154"/>
      <c r="BD4" s="2154"/>
      <c r="BE4" s="2154"/>
      <c r="BF4" s="2154"/>
      <c r="BG4" s="2154"/>
      <c r="BH4" s="2154"/>
      <c r="BI4" s="2154"/>
      <c r="BJ4" s="2154"/>
      <c r="BK4" s="2154"/>
      <c r="BL4" s="2154"/>
      <c r="BM4" s="2154"/>
      <c r="BN4" s="2154"/>
      <c r="BO4" s="2154"/>
    </row>
    <row r="5" spans="3:67" ht="20.100000000000001" customHeight="1">
      <c r="C5" s="3420" t="s">
        <v>1461</v>
      </c>
      <c r="D5" s="3416" t="s">
        <v>39</v>
      </c>
      <c r="E5" s="3416" t="s">
        <v>1462</v>
      </c>
      <c r="F5" s="3422" t="s">
        <v>1463</v>
      </c>
      <c r="G5" s="3423"/>
      <c r="H5" s="3416" t="s">
        <v>1464</v>
      </c>
      <c r="I5" s="3416" t="s">
        <v>1465</v>
      </c>
      <c r="J5" s="3416" t="s">
        <v>2940</v>
      </c>
      <c r="L5" s="3414" t="s">
        <v>3824</v>
      </c>
      <c r="M5" s="3414" t="s">
        <v>3796</v>
      </c>
      <c r="N5" s="3414" t="s">
        <v>3797</v>
      </c>
      <c r="O5" s="2073"/>
      <c r="P5" s="3415" t="s">
        <v>3825</v>
      </c>
      <c r="Q5" s="3416" t="s">
        <v>1462</v>
      </c>
      <c r="R5" s="2155">
        <f>'[30]Затраты 2016'!C6</f>
        <v>202</v>
      </c>
      <c r="S5" s="2156">
        <f>'[30]Затраты 2016'!AD6</f>
        <v>1305.3969999999999</v>
      </c>
      <c r="T5" s="2155">
        <f>'[30]Затраты 2016'!C7</f>
        <v>183</v>
      </c>
      <c r="U5" s="2156">
        <f>'[30]Затраты 2016'!AD7</f>
        <v>1244.6130000000003</v>
      </c>
      <c r="AE5" s="2157" t="s">
        <v>38</v>
      </c>
      <c r="AF5" s="2158">
        <v>10</v>
      </c>
      <c r="AG5" s="2158">
        <v>23</v>
      </c>
      <c r="AH5" s="3418">
        <v>25</v>
      </c>
      <c r="AI5" s="3418"/>
      <c r="AJ5" s="2158">
        <v>26</v>
      </c>
      <c r="AK5" s="2158">
        <v>69</v>
      </c>
      <c r="AL5" s="2158">
        <v>70</v>
      </c>
      <c r="AM5" s="2158">
        <v>79</v>
      </c>
      <c r="AN5" s="2157" t="s">
        <v>39</v>
      </c>
      <c r="AO5" s="2158">
        <v>90</v>
      </c>
    </row>
    <row r="6" spans="3:67" ht="20.100000000000001" customHeight="1">
      <c r="C6" s="3421"/>
      <c r="D6" s="3417"/>
      <c r="E6" s="3417"/>
      <c r="F6" s="2159" t="s">
        <v>1466</v>
      </c>
      <c r="G6" s="2159" t="s">
        <v>1467</v>
      </c>
      <c r="H6" s="3417"/>
      <c r="I6" s="3417"/>
      <c r="J6" s="3417"/>
      <c r="L6" s="3414"/>
      <c r="M6" s="3414"/>
      <c r="N6" s="3414"/>
      <c r="O6" s="2073"/>
      <c r="P6" s="3415"/>
      <c r="Q6" s="3417"/>
      <c r="R6" s="2160"/>
      <c r="S6" s="2161"/>
      <c r="T6" s="2160"/>
      <c r="U6" s="2161"/>
      <c r="AE6" s="2162"/>
      <c r="AF6" s="2163"/>
      <c r="AG6" s="2163"/>
      <c r="AH6" s="2163"/>
      <c r="AI6" s="2163"/>
      <c r="AJ6" s="2163"/>
      <c r="AK6" s="2163"/>
      <c r="AL6" s="2163"/>
      <c r="AM6" s="2163"/>
      <c r="AN6" s="2162"/>
      <c r="AO6" s="2163"/>
    </row>
    <row r="7" spans="3:67" ht="12.75">
      <c r="C7" s="2164">
        <v>1</v>
      </c>
      <c r="D7" s="2165">
        <f>C7+1</f>
        <v>2</v>
      </c>
      <c r="E7" s="2165">
        <f t="shared" ref="E7:J7" si="1">D7+1</f>
        <v>3</v>
      </c>
      <c r="F7" s="2165">
        <f t="shared" si="1"/>
        <v>4</v>
      </c>
      <c r="G7" s="2165">
        <f t="shared" si="1"/>
        <v>5</v>
      </c>
      <c r="H7" s="2165">
        <f t="shared" si="1"/>
        <v>6</v>
      </c>
      <c r="I7" s="2165">
        <f t="shared" si="1"/>
        <v>7</v>
      </c>
      <c r="J7" s="2165">
        <f t="shared" si="1"/>
        <v>8</v>
      </c>
      <c r="L7" s="2166">
        <v>1</v>
      </c>
      <c r="M7" s="2166">
        <f>L7+1</f>
        <v>2</v>
      </c>
      <c r="N7" s="2166">
        <f>M7+1</f>
        <v>3</v>
      </c>
      <c r="O7" s="2073"/>
      <c r="P7" s="2073"/>
      <c r="Q7" s="2165">
        <f t="shared" ref="Q7" si="2">P7+1</f>
        <v>1</v>
      </c>
      <c r="R7" s="2167" t="b">
        <f>1=R8</f>
        <v>1</v>
      </c>
      <c r="S7" s="2167" t="b">
        <f>S1=S8</f>
        <v>0</v>
      </c>
      <c r="T7" s="2167"/>
      <c r="U7" s="2167"/>
      <c r="V7" s="2168"/>
      <c r="W7" s="2168"/>
      <c r="X7" s="2168"/>
      <c r="Y7" s="2168"/>
      <c r="Z7" s="2168"/>
      <c r="AA7" s="2168"/>
      <c r="AB7" s="2168"/>
      <c r="AC7" s="2168"/>
      <c r="AD7" s="2168"/>
      <c r="AE7" s="2169"/>
      <c r="AF7" s="2169"/>
      <c r="AG7" s="2169"/>
      <c r="AH7" s="2169"/>
      <c r="AI7" s="2169"/>
      <c r="AJ7" s="2169"/>
      <c r="AK7" s="2169"/>
      <c r="AL7" s="2169"/>
      <c r="AM7" s="2169"/>
      <c r="AN7" s="2169"/>
      <c r="AO7" s="2169"/>
      <c r="AP7" s="2168"/>
      <c r="AQ7" s="2168"/>
      <c r="AR7" s="2168"/>
      <c r="AS7" s="2168"/>
      <c r="AT7" s="2168"/>
      <c r="AU7" s="2168"/>
      <c r="AV7" s="2168"/>
    </row>
    <row r="8" spans="3:67" ht="12" customHeight="1" outlineLevel="2">
      <c r="C8" s="2170"/>
      <c r="D8" s="2171">
        <f>SUM(D9,D12,D27,D79,D159)</f>
        <v>4676399.2318100007</v>
      </c>
      <c r="E8" s="2171">
        <f>SUM(E9,E12,E27,E79,E159)</f>
        <v>3769870.87</v>
      </c>
      <c r="F8" s="2171">
        <f>SUM(F9,F12,F27,F79,F159)</f>
        <v>298544.13</v>
      </c>
      <c r="G8" s="2171">
        <f>SUM(G9,G12,G27,G79,G159)</f>
        <v>3471326.7399999998</v>
      </c>
      <c r="H8" s="2171">
        <f>SUM(H9,H12,H27,H79,H159)</f>
        <v>880698.13180999993</v>
      </c>
      <c r="I8" s="2171">
        <f t="shared" ref="I8" si="3">SUM(I9,I12,I27,I79,I159)</f>
        <v>25830.230000000003</v>
      </c>
      <c r="J8" s="2171">
        <f>SUM(J9,J12,J27,J79,J159)</f>
        <v>0</v>
      </c>
      <c r="L8" s="2172"/>
      <c r="M8" s="2088">
        <f>D8-L8</f>
        <v>4676399.2318100007</v>
      </c>
      <c r="N8" s="2088">
        <f>D8-F8-L8</f>
        <v>4377855.1018100008</v>
      </c>
      <c r="O8" s="2090"/>
      <c r="P8" s="2173"/>
      <c r="Q8" s="2171">
        <f>SUM(Q9,Q12,Q27,Q79,Q159)</f>
        <v>3684876.1</v>
      </c>
      <c r="R8" s="2174">
        <f>SUM(R9:R179)</f>
        <v>0.99999999999999978</v>
      </c>
      <c r="S8" s="2174">
        <f>SUM(S9:S179)</f>
        <v>84994.770000000033</v>
      </c>
      <c r="T8" s="2174"/>
      <c r="U8" s="2174"/>
      <c r="V8" s="2168"/>
      <c r="W8" s="2168"/>
      <c r="X8" s="2168"/>
      <c r="Y8" s="2168"/>
      <c r="Z8" s="2168"/>
      <c r="AA8" s="2168"/>
      <c r="AB8" s="2168"/>
      <c r="AC8" s="2168"/>
      <c r="AD8" s="2168"/>
      <c r="AE8" s="2175">
        <v>3684876.1</v>
      </c>
      <c r="AF8" s="2175">
        <v>8857.5400000000009</v>
      </c>
      <c r="AG8" s="2175">
        <v>101313.87</v>
      </c>
      <c r="AH8" s="3413">
        <v>3448507.77</v>
      </c>
      <c r="AI8" s="3413"/>
      <c r="AJ8" s="2175">
        <v>47488.65</v>
      </c>
      <c r="AK8" s="2175">
        <v>18349.22</v>
      </c>
      <c r="AL8" s="2175">
        <v>60359.05</v>
      </c>
      <c r="AM8" s="2175"/>
      <c r="AN8" s="2175">
        <v>3684876.1</v>
      </c>
      <c r="AO8" s="2175">
        <v>3684876.1</v>
      </c>
      <c r="AP8" s="2168"/>
      <c r="AQ8" s="2168"/>
      <c r="AR8" s="2168"/>
      <c r="AS8" s="2168"/>
      <c r="AT8" s="2168"/>
      <c r="AU8" s="2168"/>
      <c r="AV8" s="2168"/>
    </row>
    <row r="9" spans="3:67" ht="12" outlineLevel="3">
      <c r="C9" s="2176" t="s">
        <v>1469</v>
      </c>
      <c r="D9" s="2177">
        <f t="shared" ref="D9:J9" si="4">SUM(D10:D11)</f>
        <v>42972.512419999992</v>
      </c>
      <c r="E9" s="2178">
        <f t="shared" si="4"/>
        <v>36131.35</v>
      </c>
      <c r="F9" s="2178">
        <f>SUM(F10:F11)</f>
        <v>2861.32</v>
      </c>
      <c r="G9" s="2178">
        <f>SUM(G10:G11)</f>
        <v>33270.03</v>
      </c>
      <c r="H9" s="2178">
        <f t="shared" si="4"/>
        <v>6675.8524199999993</v>
      </c>
      <c r="I9" s="2178">
        <f t="shared" si="4"/>
        <v>165.30999999999997</v>
      </c>
      <c r="J9" s="2178">
        <f t="shared" si="4"/>
        <v>0</v>
      </c>
      <c r="L9" s="2172"/>
      <c r="M9" s="2088">
        <f>D9-L9</f>
        <v>42972.512419999992</v>
      </c>
      <c r="N9" s="2088">
        <f>D9-F9-L9</f>
        <v>40111.192419999992</v>
      </c>
      <c r="O9" s="2090"/>
      <c r="P9" s="2173"/>
      <c r="Q9" s="2178">
        <f t="shared" ref="Q9" si="5">SUM(Q10:Q11)</f>
        <v>35316.74</v>
      </c>
      <c r="R9" s="2179" t="str">
        <f>IF(P9="","",Q9/$Q$8)</f>
        <v/>
      </c>
      <c r="S9" s="2179" t="str">
        <f>IF(R9="","",ROUND(R9*$S$1,2))</f>
        <v/>
      </c>
      <c r="T9" s="2179"/>
      <c r="U9" s="2179"/>
      <c r="V9" s="2168"/>
      <c r="W9" s="2168"/>
      <c r="X9" s="2168"/>
      <c r="Y9" s="2168"/>
      <c r="Z9" s="2168"/>
      <c r="AA9" s="2168"/>
      <c r="AB9" s="2168"/>
      <c r="AC9" s="2168"/>
      <c r="AD9" s="2168"/>
      <c r="AE9" s="2180">
        <v>35316.74</v>
      </c>
      <c r="AF9" s="2180"/>
      <c r="AG9" s="2180">
        <v>9718.26</v>
      </c>
      <c r="AH9" s="3412">
        <v>25233.31</v>
      </c>
      <c r="AI9" s="3412"/>
      <c r="AJ9" s="2180">
        <v>365.17</v>
      </c>
      <c r="AK9" s="2180"/>
      <c r="AL9" s="2180"/>
      <c r="AM9" s="2180"/>
      <c r="AN9" s="2180">
        <v>35316.74</v>
      </c>
      <c r="AO9" s="2180">
        <v>35316.74</v>
      </c>
      <c r="AP9" s="2168"/>
      <c r="AQ9" s="2168"/>
      <c r="AR9" s="2168"/>
      <c r="AS9" s="2168"/>
      <c r="AT9" s="2168"/>
      <c r="AU9" s="2168"/>
      <c r="AV9" s="2168"/>
    </row>
    <row r="10" spans="3:67" ht="12" outlineLevel="4">
      <c r="C10" s="2181" t="s">
        <v>1319</v>
      </c>
      <c r="D10" s="2178">
        <f t="shared" ref="D10:D73" si="6">SUM(E10,H10:J10)</f>
        <v>66.572230000000005</v>
      </c>
      <c r="E10" s="2182">
        <f>SUM(Q10,S10)</f>
        <v>55.53</v>
      </c>
      <c r="F10" s="2088">
        <f>ROUND(E10*$U$1,2)</f>
        <v>4.4000000000000004</v>
      </c>
      <c r="G10" s="2088">
        <f>E10-F10</f>
        <v>51.13</v>
      </c>
      <c r="H10" s="2182">
        <f>ROUND(SUMIF($C$248:$C$418,$C10,$D$248:$D$418)*'[30]Затраты 2016'!$U$14,5)</f>
        <v>10.652229999999999</v>
      </c>
      <c r="I10" s="2182">
        <f>SUMIF($C$420:$C$570,$C10,$D$420:$D$570)</f>
        <v>0.39</v>
      </c>
      <c r="J10" s="2182">
        <f t="shared" ref="J10:J11" si="7">SUMIF($C$236:$C$246,$C10,$D$236:$D$246)*0</f>
        <v>0</v>
      </c>
      <c r="L10" s="2172"/>
      <c r="M10" s="2088">
        <f t="shared" ref="M10:M73" si="8">D10-L10</f>
        <v>66.572230000000005</v>
      </c>
      <c r="N10" s="2088">
        <f t="shared" ref="N10:N73" si="9">D10-F10-L10</f>
        <v>62.172230000000006</v>
      </c>
      <c r="O10" s="2090"/>
      <c r="P10" s="2091" t="str">
        <f>VLOOKUP('СС 2016'!$C10,'[30]СС 2015'!$C:$O,13,FALSE)</f>
        <v>Амортизация прочих ОС</v>
      </c>
      <c r="Q10" s="2182">
        <v>54.28</v>
      </c>
      <c r="R10" s="2179">
        <f>IF(P10="","",Q10/$Q$8)</f>
        <v>1.4730481711447503E-5</v>
      </c>
      <c r="S10" s="2179">
        <f>IF(R10="","",ROUND(R10*$S$1,2))</f>
        <v>1.25</v>
      </c>
      <c r="T10" s="2179"/>
      <c r="U10" s="2179"/>
      <c r="V10" s="2168"/>
      <c r="W10" s="2168"/>
      <c r="X10" s="2168"/>
      <c r="Y10" s="2168"/>
      <c r="Z10" s="2168"/>
      <c r="AA10" s="2168"/>
      <c r="AB10" s="2168"/>
      <c r="AC10" s="2168"/>
      <c r="AD10" s="2168"/>
      <c r="AE10" s="2183">
        <v>54.28</v>
      </c>
      <c r="AF10" s="2183"/>
      <c r="AG10" s="2183"/>
      <c r="AH10" s="3411">
        <v>54.28</v>
      </c>
      <c r="AI10" s="3411"/>
      <c r="AJ10" s="2183"/>
      <c r="AK10" s="2183"/>
      <c r="AL10" s="2183"/>
      <c r="AM10" s="2183"/>
      <c r="AN10" s="2183">
        <v>54.28</v>
      </c>
      <c r="AO10" s="2183">
        <v>54.28</v>
      </c>
      <c r="AP10" s="2168"/>
      <c r="AQ10" s="2168"/>
      <c r="AR10" s="2168"/>
      <c r="AS10" s="2168"/>
      <c r="AT10" s="2168"/>
      <c r="AU10" s="2168"/>
      <c r="AV10" s="2168"/>
    </row>
    <row r="11" spans="3:67" ht="12" outlineLevel="4">
      <c r="C11" s="2181" t="s">
        <v>1320</v>
      </c>
      <c r="D11" s="2178">
        <f t="shared" si="6"/>
        <v>42905.940189999994</v>
      </c>
      <c r="E11" s="2182">
        <f>SUM(Q11,S11)</f>
        <v>36075.82</v>
      </c>
      <c r="F11" s="2088">
        <f>ROUND(E11*$U$1,2)</f>
        <v>2856.92</v>
      </c>
      <c r="G11" s="2088">
        <f>E11-F11</f>
        <v>33218.9</v>
      </c>
      <c r="H11" s="2182">
        <f>ROUND(SUMIF($C$248:$C$418,$C11,$D$248:$D$418)*'[30]Затраты 2016'!$U$14,5)</f>
        <v>6665.2001899999996</v>
      </c>
      <c r="I11" s="2182">
        <f>SUMIF($C$420:$C$570,$C11,$D$420:$D$570)</f>
        <v>164.92</v>
      </c>
      <c r="J11" s="2182">
        <f t="shared" si="7"/>
        <v>0</v>
      </c>
      <c r="L11" s="2172"/>
      <c r="M11" s="2088">
        <f t="shared" si="8"/>
        <v>42905.940189999994</v>
      </c>
      <c r="N11" s="2088">
        <f t="shared" si="9"/>
        <v>40049.020189999996</v>
      </c>
      <c r="O11" s="2090"/>
      <c r="P11" s="2091" t="str">
        <f>VLOOKUP('СС 2016'!$C11,'[30]СС 2015'!$C:$O,13,FALSE)</f>
        <v>Амортизация прочих ОС</v>
      </c>
      <c r="Q11" s="2182">
        <v>35262.46</v>
      </c>
      <c r="R11" s="2179">
        <f t="shared" ref="R11:R74" si="10">IF(P11="","",Q11/$Q$8)</f>
        <v>9.5695103561283922E-3</v>
      </c>
      <c r="S11" s="2179">
        <f t="shared" ref="S11:S74" si="11">IF(R11="","",ROUND(R11*$S$1,2))</f>
        <v>813.36</v>
      </c>
      <c r="T11" s="2179"/>
      <c r="U11" s="2179"/>
      <c r="V11" s="2168"/>
      <c r="W11" s="2168"/>
      <c r="X11" s="2168"/>
      <c r="Y11" s="2168"/>
      <c r="Z11" s="2168"/>
      <c r="AA11" s="2168"/>
      <c r="AB11" s="2168"/>
      <c r="AC11" s="2168"/>
      <c r="AD11" s="2168"/>
      <c r="AE11" s="2183">
        <v>35262.46</v>
      </c>
      <c r="AF11" s="2183"/>
      <c r="AG11" s="2183">
        <v>9718.26</v>
      </c>
      <c r="AH11" s="3411">
        <v>25179.03</v>
      </c>
      <c r="AI11" s="3411"/>
      <c r="AJ11" s="2183">
        <v>365.17</v>
      </c>
      <c r="AK11" s="2183"/>
      <c r="AL11" s="2183"/>
      <c r="AM11" s="2183"/>
      <c r="AN11" s="2183">
        <v>35262.46</v>
      </c>
      <c r="AO11" s="2183">
        <v>35262.46</v>
      </c>
      <c r="AP11" s="2168"/>
      <c r="AQ11" s="2168"/>
      <c r="AR11" s="2168"/>
      <c r="AS11" s="2168"/>
      <c r="AT11" s="2168"/>
      <c r="AU11" s="2168"/>
      <c r="AV11" s="2168"/>
    </row>
    <row r="12" spans="3:67" ht="12" outlineLevel="3">
      <c r="C12" s="2176" t="s">
        <v>1470</v>
      </c>
      <c r="D12" s="2177">
        <f t="shared" ref="D12:J12" si="12">SUM(D13:D26)</f>
        <v>3392731.2942200005</v>
      </c>
      <c r="E12" s="2178">
        <f t="shared" si="12"/>
        <v>2761996.8500000006</v>
      </c>
      <c r="F12" s="2184">
        <f t="shared" si="12"/>
        <v>218728.43</v>
      </c>
      <c r="G12" s="2178">
        <f t="shared" si="12"/>
        <v>2543268.42</v>
      </c>
      <c r="H12" s="2178">
        <f t="shared" si="12"/>
        <v>611749.34421999997</v>
      </c>
      <c r="I12" s="2178">
        <f t="shared" si="12"/>
        <v>18985.099999999999</v>
      </c>
      <c r="J12" s="2178">
        <f t="shared" si="12"/>
        <v>0</v>
      </c>
      <c r="L12" s="2172"/>
      <c r="M12" s="2088">
        <f t="shared" si="8"/>
        <v>3392731.2942200005</v>
      </c>
      <c r="N12" s="2088">
        <f t="shared" si="9"/>
        <v>3174002.8642200003</v>
      </c>
      <c r="O12" s="2090"/>
      <c r="P12" s="2173"/>
      <c r="Q12" s="2178">
        <f>SUM(Q13:Q26)</f>
        <v>2699725.42</v>
      </c>
      <c r="R12" s="2179" t="str">
        <f t="shared" si="10"/>
        <v/>
      </c>
      <c r="S12" s="2179" t="str">
        <f t="shared" si="11"/>
        <v/>
      </c>
      <c r="T12" s="2179"/>
      <c r="U12" s="2179"/>
      <c r="V12" s="2168"/>
      <c r="W12" s="2168"/>
      <c r="X12" s="2168"/>
      <c r="Y12" s="2168"/>
      <c r="Z12" s="2168"/>
      <c r="AA12" s="2168"/>
      <c r="AB12" s="2168"/>
      <c r="AC12" s="2168"/>
      <c r="AD12" s="2168"/>
      <c r="AE12" s="2180">
        <v>2699725.42</v>
      </c>
      <c r="AF12" s="2180"/>
      <c r="AG12" s="2180">
        <v>47054.99</v>
      </c>
      <c r="AH12" s="3412">
        <v>2563301.41</v>
      </c>
      <c r="AI12" s="3412"/>
      <c r="AJ12" s="2180">
        <v>29009.97</v>
      </c>
      <c r="AK12" s="2180"/>
      <c r="AL12" s="2180">
        <v>60359.05</v>
      </c>
      <c r="AM12" s="2180"/>
      <c r="AN12" s="2180">
        <v>2699725.42</v>
      </c>
      <c r="AO12" s="2180">
        <v>2699725.42</v>
      </c>
      <c r="AP12" s="2168"/>
      <c r="AQ12" s="2168"/>
      <c r="AR12" s="2168"/>
      <c r="AS12" s="2168"/>
      <c r="AT12" s="2168"/>
      <c r="AU12" s="2168"/>
      <c r="AV12" s="2168"/>
    </row>
    <row r="13" spans="3:67" ht="24" outlineLevel="4">
      <c r="C13" s="2181" t="s">
        <v>1325</v>
      </c>
      <c r="D13" s="2178">
        <f t="shared" si="6"/>
        <v>306.66964999999999</v>
      </c>
      <c r="E13" s="2182">
        <f t="shared" ref="E13:E26" si="13">SUM(Q13,S13)</f>
        <v>233.54000000000002</v>
      </c>
      <c r="F13" s="2088">
        <f t="shared" ref="F13:F26" si="14">ROUND(E13*$U$1,2)</f>
        <v>18.489999999999998</v>
      </c>
      <c r="G13" s="2088">
        <f t="shared" ref="G13:G26" si="15">E13-F13</f>
        <v>215.05</v>
      </c>
      <c r="H13" s="2182">
        <f>ROUND(SUMIF($C$248:$C$418,$C13,$D$248:$D$418)*'[30]Затраты 2016'!$U$14,5)</f>
        <v>72.619649999999993</v>
      </c>
      <c r="I13" s="2182">
        <f t="shared" ref="I13:I26" si="16">SUMIF($C$420:$C$570,$C13,$D$420:$D$570)</f>
        <v>0.51</v>
      </c>
      <c r="J13" s="2182">
        <f>SUMIF($C$236:$C$246,$C13,$D$236:$D$246)*0</f>
        <v>0</v>
      </c>
      <c r="L13" s="2172"/>
      <c r="M13" s="2088">
        <f t="shared" si="8"/>
        <v>306.66964999999999</v>
      </c>
      <c r="N13" s="2088">
        <f t="shared" si="9"/>
        <v>288.17964999999998</v>
      </c>
      <c r="O13" s="2090"/>
      <c r="P13" s="2091" t="str">
        <f>C$189</f>
        <v>Оплата труда ППП (без соц. отчислений)</v>
      </c>
      <c r="Q13" s="2182">
        <v>228.27</v>
      </c>
      <c r="R13" s="2179">
        <f t="shared" si="10"/>
        <v>6.1947808774357431E-5</v>
      </c>
      <c r="S13" s="2179">
        <f t="shared" si="11"/>
        <v>5.27</v>
      </c>
      <c r="T13" s="2179"/>
      <c r="U13" s="2179"/>
      <c r="V13" s="2168"/>
      <c r="W13" s="2168"/>
      <c r="X13" s="2168"/>
      <c r="Y13" s="2168"/>
      <c r="Z13" s="2168"/>
      <c r="AA13" s="2168"/>
      <c r="AB13" s="2168"/>
      <c r="AC13" s="2168"/>
      <c r="AD13" s="2168"/>
      <c r="AE13" s="2183">
        <v>228.27</v>
      </c>
      <c r="AF13" s="2183"/>
      <c r="AG13" s="2183"/>
      <c r="AH13" s="3411">
        <v>102.74</v>
      </c>
      <c r="AI13" s="3411"/>
      <c r="AJ13" s="2183">
        <v>125.53</v>
      </c>
      <c r="AK13" s="2183"/>
      <c r="AL13" s="2183"/>
      <c r="AM13" s="2183"/>
      <c r="AN13" s="2183">
        <v>228.27</v>
      </c>
      <c r="AO13" s="2183">
        <v>228.27</v>
      </c>
      <c r="AP13" s="2168"/>
      <c r="AQ13" s="2168"/>
      <c r="AR13" s="2168"/>
      <c r="AS13" s="2168"/>
      <c r="AT13" s="2168"/>
      <c r="AU13" s="2168"/>
      <c r="AV13" s="2168"/>
    </row>
    <row r="14" spans="3:67" ht="12" outlineLevel="4">
      <c r="C14" s="2181" t="s">
        <v>1326</v>
      </c>
      <c r="D14" s="2178">
        <f>SUM(E14,H14:J14)</f>
        <v>7.8405500000000004</v>
      </c>
      <c r="E14" s="2182">
        <f t="shared" si="13"/>
        <v>5.83</v>
      </c>
      <c r="F14" s="2088">
        <f t="shared" si="14"/>
        <v>0.46</v>
      </c>
      <c r="G14" s="2088">
        <f t="shared" si="15"/>
        <v>5.37</v>
      </c>
      <c r="H14" s="2182">
        <f>ROUND(SUMIF($C$248:$C$418,$C14,$D$248:$D$418)*'[30]Затраты 2016'!$U$14,5)</f>
        <v>2.0105499999999998</v>
      </c>
      <c r="I14" s="2182">
        <f t="shared" si="16"/>
        <v>0</v>
      </c>
      <c r="J14" s="2182">
        <f t="shared" ref="J14:J26" si="17">SUMIF($C$236:$C$246,$C14,$D$236:$D$246)*0</f>
        <v>0</v>
      </c>
      <c r="L14" s="2172"/>
      <c r="M14" s="2088">
        <f t="shared" si="8"/>
        <v>7.8405500000000004</v>
      </c>
      <c r="N14" s="2088">
        <f t="shared" si="9"/>
        <v>7.3805500000000004</v>
      </c>
      <c r="O14" s="2090"/>
      <c r="P14" s="2091" t="str">
        <f t="shared" ref="P14:P26" si="18">C$189</f>
        <v>Оплата труда ППП (без соц. отчислений)</v>
      </c>
      <c r="Q14" s="2182">
        <v>5.7</v>
      </c>
      <c r="R14" s="2179">
        <f t="shared" si="10"/>
        <v>1.5468634074290856E-6</v>
      </c>
      <c r="S14" s="2179">
        <f t="shared" si="11"/>
        <v>0.13</v>
      </c>
      <c r="T14" s="2179"/>
      <c r="U14" s="2179"/>
      <c r="V14" s="2168"/>
      <c r="W14" s="2168"/>
      <c r="X14" s="2168"/>
      <c r="Y14" s="2168"/>
      <c r="Z14" s="2168"/>
      <c r="AA14" s="2168"/>
      <c r="AB14" s="2168"/>
      <c r="AC14" s="2168"/>
      <c r="AD14" s="2168"/>
      <c r="AE14" s="2183">
        <v>5.7</v>
      </c>
      <c r="AF14" s="2183"/>
      <c r="AG14" s="2183"/>
      <c r="AH14" s="3411">
        <v>2.88</v>
      </c>
      <c r="AI14" s="3411"/>
      <c r="AJ14" s="2183">
        <v>2.82</v>
      </c>
      <c r="AK14" s="2183"/>
      <c r="AL14" s="2183"/>
      <c r="AM14" s="2183"/>
      <c r="AN14" s="2183">
        <v>5.7</v>
      </c>
      <c r="AO14" s="2183">
        <v>5.7</v>
      </c>
      <c r="AP14" s="2168"/>
      <c r="AQ14" s="2168"/>
      <c r="AR14" s="2168"/>
      <c r="AS14" s="2168"/>
      <c r="AT14" s="2168"/>
      <c r="AU14" s="2168"/>
      <c r="AV14" s="2168"/>
    </row>
    <row r="15" spans="3:67" ht="24" outlineLevel="4">
      <c r="C15" s="2181" t="s">
        <v>1331</v>
      </c>
      <c r="D15" s="2178">
        <f t="shared" si="6"/>
        <v>172639.40743000002</v>
      </c>
      <c r="E15" s="2182">
        <f t="shared" si="13"/>
        <v>138859.46000000002</v>
      </c>
      <c r="F15" s="2088">
        <f t="shared" si="14"/>
        <v>10996.58</v>
      </c>
      <c r="G15" s="2088">
        <f t="shared" si="15"/>
        <v>127862.88000000002</v>
      </c>
      <c r="H15" s="2182">
        <f>ROUND(SUMIF($C$248:$C$418,$C15,$D$248:$D$418)*'[30]Затраты 2016'!$U$14,5)</f>
        <v>32650.077430000001</v>
      </c>
      <c r="I15" s="2182">
        <f t="shared" si="16"/>
        <v>1129.8699999999999</v>
      </c>
      <c r="J15" s="2182">
        <f t="shared" si="17"/>
        <v>0</v>
      </c>
      <c r="L15" s="2172"/>
      <c r="M15" s="2088">
        <f t="shared" si="8"/>
        <v>172639.40743000002</v>
      </c>
      <c r="N15" s="2088">
        <f t="shared" si="9"/>
        <v>161642.82743000003</v>
      </c>
      <c r="O15" s="2090"/>
      <c r="P15" s="2091" t="str">
        <f t="shared" si="18"/>
        <v>Оплата труда ППП (без соц. отчислений)</v>
      </c>
      <c r="Q15" s="2182">
        <v>135728.76</v>
      </c>
      <c r="R15" s="2179">
        <f t="shared" si="10"/>
        <v>3.6834009154337648E-2</v>
      </c>
      <c r="S15" s="2179">
        <f t="shared" si="11"/>
        <v>3130.7</v>
      </c>
      <c r="T15" s="2179"/>
      <c r="U15" s="2179"/>
      <c r="V15" s="2168"/>
      <c r="W15" s="2168"/>
      <c r="X15" s="2168"/>
      <c r="Y15" s="2168"/>
      <c r="Z15" s="2168"/>
      <c r="AA15" s="2168"/>
      <c r="AB15" s="2168"/>
      <c r="AC15" s="2168"/>
      <c r="AD15" s="2168"/>
      <c r="AE15" s="2183">
        <v>135728.76</v>
      </c>
      <c r="AF15" s="2183"/>
      <c r="AG15" s="2183">
        <v>2055.34</v>
      </c>
      <c r="AH15" s="3411">
        <v>129811.87</v>
      </c>
      <c r="AI15" s="3411"/>
      <c r="AJ15" s="2183">
        <v>802.74</v>
      </c>
      <c r="AK15" s="2183"/>
      <c r="AL15" s="2183">
        <v>3058.81</v>
      </c>
      <c r="AM15" s="2183"/>
      <c r="AN15" s="2183">
        <v>135728.76</v>
      </c>
      <c r="AO15" s="2183">
        <v>135728.76</v>
      </c>
      <c r="AP15" s="2168"/>
      <c r="AQ15" s="2168"/>
      <c r="AR15" s="2168"/>
      <c r="AS15" s="2168"/>
      <c r="AT15" s="2168"/>
      <c r="AU15" s="2168"/>
      <c r="AV15" s="2168"/>
    </row>
    <row r="16" spans="3:67" ht="24" outlineLevel="4">
      <c r="C16" s="2181" t="s">
        <v>1332</v>
      </c>
      <c r="D16" s="2178">
        <f t="shared" si="6"/>
        <v>245572.82661000002</v>
      </c>
      <c r="E16" s="2182">
        <f t="shared" si="13"/>
        <v>199579.05000000002</v>
      </c>
      <c r="F16" s="2088">
        <f t="shared" si="14"/>
        <v>15805.09</v>
      </c>
      <c r="G16" s="2088">
        <f t="shared" si="15"/>
        <v>183773.96000000002</v>
      </c>
      <c r="H16" s="2182">
        <f>ROUND(SUMIF($C$248:$C$418,$C16,$D$248:$D$418)*'[30]Затраты 2016'!$U$14,5)</f>
        <v>44639.596610000001</v>
      </c>
      <c r="I16" s="2182">
        <f t="shared" si="16"/>
        <v>1354.18</v>
      </c>
      <c r="J16" s="2182">
        <f t="shared" si="17"/>
        <v>0</v>
      </c>
      <c r="L16" s="2172"/>
      <c r="M16" s="2088">
        <f t="shared" si="8"/>
        <v>245572.82661000002</v>
      </c>
      <c r="N16" s="2088">
        <f t="shared" si="9"/>
        <v>229767.73661000002</v>
      </c>
      <c r="O16" s="2090"/>
      <c r="P16" s="2091" t="str">
        <f t="shared" si="18"/>
        <v>Оплата труда ППП (без соц. отчислений)</v>
      </c>
      <c r="Q16" s="2182">
        <v>195079.38</v>
      </c>
      <c r="R16" s="2179">
        <f t="shared" si="10"/>
        <v>5.2940553415079548E-2</v>
      </c>
      <c r="S16" s="2179">
        <f t="shared" si="11"/>
        <v>4499.67</v>
      </c>
      <c r="T16" s="2179"/>
      <c r="U16" s="2179"/>
      <c r="V16" s="2168"/>
      <c r="W16" s="2168"/>
      <c r="X16" s="2168"/>
      <c r="Y16" s="2168"/>
      <c r="Z16" s="2168"/>
      <c r="AA16" s="2168"/>
      <c r="AB16" s="2168"/>
      <c r="AC16" s="2168"/>
      <c r="AD16" s="2168"/>
      <c r="AE16" s="2183">
        <v>195079.38</v>
      </c>
      <c r="AF16" s="2183"/>
      <c r="AG16" s="2183">
        <v>6766.46</v>
      </c>
      <c r="AH16" s="3411">
        <v>179952.25</v>
      </c>
      <c r="AI16" s="3411"/>
      <c r="AJ16" s="2183">
        <v>828.88</v>
      </c>
      <c r="AK16" s="2183"/>
      <c r="AL16" s="2183">
        <v>7531.79</v>
      </c>
      <c r="AM16" s="2183"/>
      <c r="AN16" s="2183">
        <v>195079.38</v>
      </c>
      <c r="AO16" s="2183">
        <v>195079.38</v>
      </c>
      <c r="AP16" s="2168"/>
      <c r="AQ16" s="2168"/>
      <c r="AR16" s="2168"/>
      <c r="AS16" s="2168"/>
      <c r="AT16" s="2168"/>
      <c r="AU16" s="2168"/>
      <c r="AV16" s="2168"/>
    </row>
    <row r="17" spans="3:48" ht="12" outlineLevel="4">
      <c r="C17" s="2181" t="s">
        <v>1338</v>
      </c>
      <c r="D17" s="2178">
        <f t="shared" si="6"/>
        <v>103.74467000000001</v>
      </c>
      <c r="E17" s="2182">
        <f t="shared" si="13"/>
        <v>86.45</v>
      </c>
      <c r="F17" s="2088">
        <f t="shared" si="14"/>
        <v>6.85</v>
      </c>
      <c r="G17" s="2088">
        <f t="shared" si="15"/>
        <v>79.600000000000009</v>
      </c>
      <c r="H17" s="2182">
        <f>ROUND(SUMIF($C$248:$C$418,$C17,$D$248:$D$418)*'[30]Затраты 2016'!$U$14,5)</f>
        <v>16.674669999999999</v>
      </c>
      <c r="I17" s="2182">
        <f t="shared" si="16"/>
        <v>0.62</v>
      </c>
      <c r="J17" s="2182">
        <f t="shared" si="17"/>
        <v>0</v>
      </c>
      <c r="L17" s="2172"/>
      <c r="M17" s="2088">
        <f t="shared" si="8"/>
        <v>103.74467000000001</v>
      </c>
      <c r="N17" s="2088">
        <f t="shared" si="9"/>
        <v>96.894670000000019</v>
      </c>
      <c r="O17" s="2090"/>
      <c r="P17" s="2091" t="str">
        <f t="shared" si="18"/>
        <v>Оплата труда ППП (без соц. отчислений)</v>
      </c>
      <c r="Q17" s="2182">
        <v>84.5</v>
      </c>
      <c r="R17" s="2179">
        <f t="shared" si="10"/>
        <v>2.2931571566273285E-5</v>
      </c>
      <c r="S17" s="2179">
        <f t="shared" si="11"/>
        <v>1.95</v>
      </c>
      <c r="T17" s="2179"/>
      <c r="U17" s="2179"/>
      <c r="V17" s="2168"/>
      <c r="W17" s="2168"/>
      <c r="X17" s="2168"/>
      <c r="Y17" s="2168"/>
      <c r="Z17" s="2168"/>
      <c r="AA17" s="2168"/>
      <c r="AB17" s="2168"/>
      <c r="AC17" s="2168"/>
      <c r="AD17" s="2168"/>
      <c r="AE17" s="2183">
        <v>84.5</v>
      </c>
      <c r="AF17" s="2183"/>
      <c r="AG17" s="2183"/>
      <c r="AH17" s="2185"/>
      <c r="AI17" s="2186"/>
      <c r="AJ17" s="2183">
        <v>84.5</v>
      </c>
      <c r="AK17" s="2183"/>
      <c r="AL17" s="2183"/>
      <c r="AM17" s="2183"/>
      <c r="AN17" s="2183">
        <v>84.5</v>
      </c>
      <c r="AO17" s="2183">
        <v>84.5</v>
      </c>
      <c r="AP17" s="2168"/>
      <c r="AQ17" s="2168"/>
      <c r="AR17" s="2168"/>
      <c r="AS17" s="2168"/>
      <c r="AT17" s="2168"/>
      <c r="AU17" s="2168"/>
      <c r="AV17" s="2168"/>
    </row>
    <row r="18" spans="3:48" ht="12" outlineLevel="4">
      <c r="C18" s="2181" t="s">
        <v>1362</v>
      </c>
      <c r="D18" s="2178">
        <f t="shared" si="6"/>
        <v>23404.642960000001</v>
      </c>
      <c r="E18" s="2182">
        <f t="shared" si="13"/>
        <v>17582.32</v>
      </c>
      <c r="F18" s="2088">
        <f t="shared" si="14"/>
        <v>1392.38</v>
      </c>
      <c r="G18" s="2088">
        <f t="shared" si="15"/>
        <v>16189.939999999999</v>
      </c>
      <c r="H18" s="2182">
        <f>ROUND(SUMIF($C$248:$C$418,$C18,$D$248:$D$418)*'[30]Затраты 2016'!$U$14,5)</f>
        <v>5577.8329599999997</v>
      </c>
      <c r="I18" s="2182">
        <f t="shared" si="16"/>
        <v>244.49</v>
      </c>
      <c r="J18" s="2182">
        <f t="shared" si="17"/>
        <v>0</v>
      </c>
      <c r="L18" s="2172"/>
      <c r="M18" s="2088">
        <f t="shared" si="8"/>
        <v>23404.642960000001</v>
      </c>
      <c r="N18" s="2088">
        <f t="shared" si="9"/>
        <v>22012.26296</v>
      </c>
      <c r="O18" s="2090"/>
      <c r="P18" s="2091" t="str">
        <f t="shared" si="18"/>
        <v>Оплата труда ППП (без соц. отчислений)</v>
      </c>
      <c r="Q18" s="2182">
        <v>17185.91</v>
      </c>
      <c r="R18" s="2179">
        <f t="shared" si="10"/>
        <v>4.6639044390122094E-3</v>
      </c>
      <c r="S18" s="2179">
        <f t="shared" si="11"/>
        <v>396.41</v>
      </c>
      <c r="T18" s="2179"/>
      <c r="U18" s="2179"/>
      <c r="V18" s="2168"/>
      <c r="W18" s="2168"/>
      <c r="X18" s="2168"/>
      <c r="Y18" s="2168"/>
      <c r="Z18" s="2168"/>
      <c r="AA18" s="2168"/>
      <c r="AB18" s="2168"/>
      <c r="AC18" s="2168"/>
      <c r="AD18" s="2168"/>
      <c r="AE18" s="2183">
        <v>17185.91</v>
      </c>
      <c r="AF18" s="2183"/>
      <c r="AG18" s="2183">
        <v>317.48</v>
      </c>
      <c r="AH18" s="3411">
        <v>16819.02</v>
      </c>
      <c r="AI18" s="3411"/>
      <c r="AJ18" s="2183">
        <v>49.41</v>
      </c>
      <c r="AK18" s="2183"/>
      <c r="AL18" s="2183"/>
      <c r="AM18" s="2183"/>
      <c r="AN18" s="2183">
        <v>17185.91</v>
      </c>
      <c r="AO18" s="2183">
        <v>17185.91</v>
      </c>
      <c r="AP18" s="2168"/>
      <c r="AQ18" s="2168"/>
      <c r="AR18" s="2168"/>
      <c r="AS18" s="2168"/>
      <c r="AT18" s="2168"/>
      <c r="AU18" s="2168"/>
      <c r="AV18" s="2168"/>
    </row>
    <row r="19" spans="3:48" ht="12" outlineLevel="4">
      <c r="C19" s="2181" t="s">
        <v>1363</v>
      </c>
      <c r="D19" s="2178">
        <f t="shared" si="6"/>
        <v>14326.28443</v>
      </c>
      <c r="E19" s="2182">
        <f t="shared" si="13"/>
        <v>14304.72</v>
      </c>
      <c r="F19" s="2088">
        <f t="shared" si="14"/>
        <v>1132.82</v>
      </c>
      <c r="G19" s="2088">
        <f t="shared" si="15"/>
        <v>13171.9</v>
      </c>
      <c r="H19" s="2182">
        <f>ROUND(SUMIF($C$248:$C$418,$C19,$D$248:$D$418)*'[30]Затраты 2016'!$U$14,5)</f>
        <v>20.474430000000002</v>
      </c>
      <c r="I19" s="2182">
        <f t="shared" si="16"/>
        <v>1.0900000000000001</v>
      </c>
      <c r="J19" s="2182">
        <f t="shared" si="17"/>
        <v>0</v>
      </c>
      <c r="L19" s="2172"/>
      <c r="M19" s="2088">
        <f t="shared" si="8"/>
        <v>14326.28443</v>
      </c>
      <c r="N19" s="2088">
        <f t="shared" si="9"/>
        <v>13193.46443</v>
      </c>
      <c r="O19" s="2090"/>
      <c r="P19" s="2091" t="str">
        <f t="shared" si="18"/>
        <v>Оплата труда ППП (без соц. отчислений)</v>
      </c>
      <c r="Q19" s="2182">
        <v>13982.21</v>
      </c>
      <c r="R19" s="2179">
        <f t="shared" si="10"/>
        <v>3.7944857901735145E-3</v>
      </c>
      <c r="S19" s="2179">
        <f t="shared" si="11"/>
        <v>322.51</v>
      </c>
      <c r="T19" s="2179"/>
      <c r="U19" s="2179"/>
      <c r="V19" s="2168"/>
      <c r="W19" s="2168"/>
      <c r="X19" s="2168"/>
      <c r="Y19" s="2168"/>
      <c r="Z19" s="2168"/>
      <c r="AA19" s="2168"/>
      <c r="AB19" s="2168"/>
      <c r="AC19" s="2168"/>
      <c r="AD19" s="2168"/>
      <c r="AE19" s="2183">
        <v>13982.21</v>
      </c>
      <c r="AF19" s="2183"/>
      <c r="AG19" s="2183"/>
      <c r="AH19" s="3411">
        <v>13977.17</v>
      </c>
      <c r="AI19" s="3411"/>
      <c r="AJ19" s="2183">
        <v>5.04</v>
      </c>
      <c r="AK19" s="2183"/>
      <c r="AL19" s="2183"/>
      <c r="AM19" s="2183"/>
      <c r="AN19" s="2183">
        <v>13982.21</v>
      </c>
      <c r="AO19" s="2183">
        <v>13982.21</v>
      </c>
      <c r="AP19" s="2168"/>
      <c r="AQ19" s="2168"/>
      <c r="AR19" s="2168"/>
      <c r="AS19" s="2168"/>
      <c r="AT19" s="2168"/>
      <c r="AU19" s="2168"/>
      <c r="AV19" s="2168"/>
    </row>
    <row r="20" spans="3:48" ht="12" outlineLevel="4">
      <c r="C20" s="2181" t="s">
        <v>1364</v>
      </c>
      <c r="D20" s="2178">
        <f t="shared" si="6"/>
        <v>1820131.1358400001</v>
      </c>
      <c r="E20" s="2182">
        <f t="shared" si="13"/>
        <v>1465455.3900000001</v>
      </c>
      <c r="F20" s="2088">
        <f t="shared" si="14"/>
        <v>116052.55</v>
      </c>
      <c r="G20" s="2088">
        <f t="shared" si="15"/>
        <v>1349402.84</v>
      </c>
      <c r="H20" s="2182">
        <f>ROUND(SUMIF($C$248:$C$418,$C20,$D$248:$D$418)*'[30]Затраты 2016'!$U$14,5)</f>
        <v>343661.03584000003</v>
      </c>
      <c r="I20" s="2182">
        <f t="shared" si="16"/>
        <v>11014.71</v>
      </c>
      <c r="J20" s="2182">
        <f t="shared" si="17"/>
        <v>0</v>
      </c>
      <c r="L20" s="2172"/>
      <c r="M20" s="2088">
        <f t="shared" si="8"/>
        <v>1820131.1358400001</v>
      </c>
      <c r="N20" s="2088">
        <f t="shared" si="9"/>
        <v>1704078.5858400001</v>
      </c>
      <c r="O20" s="2090"/>
      <c r="P20" s="2091" t="str">
        <f t="shared" si="18"/>
        <v>Оплата труда ППП (без соц. отчислений)</v>
      </c>
      <c r="Q20" s="2182">
        <v>1432415.53</v>
      </c>
      <c r="R20" s="2179">
        <f t="shared" si="10"/>
        <v>0.38872827501581397</v>
      </c>
      <c r="S20" s="2179">
        <f t="shared" si="11"/>
        <v>33039.86</v>
      </c>
      <c r="T20" s="2179"/>
      <c r="U20" s="2179"/>
      <c r="V20" s="2168"/>
      <c r="W20" s="2168"/>
      <c r="X20" s="2168"/>
      <c r="Y20" s="2168"/>
      <c r="Z20" s="2168"/>
      <c r="AA20" s="2168"/>
      <c r="AB20" s="2168"/>
      <c r="AC20" s="2168"/>
      <c r="AD20" s="2168"/>
      <c r="AE20" s="2183">
        <v>1432415.53</v>
      </c>
      <c r="AF20" s="2183"/>
      <c r="AG20" s="2183">
        <v>22934.35</v>
      </c>
      <c r="AH20" s="3411">
        <v>1360554.98</v>
      </c>
      <c r="AI20" s="3411"/>
      <c r="AJ20" s="2183">
        <v>9475.91</v>
      </c>
      <c r="AK20" s="2183"/>
      <c r="AL20" s="2183">
        <v>39450.29</v>
      </c>
      <c r="AM20" s="2183"/>
      <c r="AN20" s="2183">
        <v>1432415.53</v>
      </c>
      <c r="AO20" s="2183">
        <v>1432415.53</v>
      </c>
      <c r="AP20" s="2168"/>
      <c r="AQ20" s="2168"/>
      <c r="AR20" s="2168"/>
      <c r="AS20" s="2168"/>
      <c r="AT20" s="2168"/>
      <c r="AU20" s="2168"/>
      <c r="AV20" s="2168"/>
    </row>
    <row r="21" spans="3:48" ht="24" outlineLevel="4">
      <c r="C21" s="2181" t="s">
        <v>1381</v>
      </c>
      <c r="D21" s="2178">
        <f t="shared" si="6"/>
        <v>161803.24755999999</v>
      </c>
      <c r="E21" s="2182">
        <f t="shared" si="13"/>
        <v>149673.07999999999</v>
      </c>
      <c r="F21" s="2088">
        <f t="shared" si="14"/>
        <v>11852.93</v>
      </c>
      <c r="G21" s="2088">
        <f t="shared" si="15"/>
        <v>137820.15</v>
      </c>
      <c r="H21" s="2182">
        <f>ROUND(SUMIF($C$248:$C$418,$C21,$D$248:$D$418)*'[30]Затраты 2016'!$U$14,5)</f>
        <v>11523.707560000001</v>
      </c>
      <c r="I21" s="2182">
        <f t="shared" si="16"/>
        <v>606.46</v>
      </c>
      <c r="J21" s="2182">
        <f t="shared" si="17"/>
        <v>0</v>
      </c>
      <c r="L21" s="2172"/>
      <c r="M21" s="2088">
        <f t="shared" si="8"/>
        <v>161803.24755999999</v>
      </c>
      <c r="N21" s="2088">
        <f t="shared" si="9"/>
        <v>149950.31756</v>
      </c>
      <c r="O21" s="2090"/>
      <c r="P21" s="2091" t="str">
        <f t="shared" si="18"/>
        <v>Оплата труда ППП (без соц. отчислений)</v>
      </c>
      <c r="Q21" s="2182">
        <v>146298.57999999999</v>
      </c>
      <c r="R21" s="2179">
        <f t="shared" si="10"/>
        <v>3.9702442098392396E-2</v>
      </c>
      <c r="S21" s="2179">
        <f t="shared" si="11"/>
        <v>3374.5</v>
      </c>
      <c r="T21" s="2179"/>
      <c r="U21" s="2179"/>
      <c r="V21" s="2168"/>
      <c r="W21" s="2168"/>
      <c r="X21" s="2168"/>
      <c r="Y21" s="2168"/>
      <c r="Z21" s="2168"/>
      <c r="AA21" s="2168"/>
      <c r="AB21" s="2168"/>
      <c r="AC21" s="2168"/>
      <c r="AD21" s="2168"/>
      <c r="AE21" s="2183">
        <v>146298.57999999999</v>
      </c>
      <c r="AF21" s="2183"/>
      <c r="AG21" s="2183">
        <v>266.85000000000002</v>
      </c>
      <c r="AH21" s="3411">
        <v>137130.21</v>
      </c>
      <c r="AI21" s="3411"/>
      <c r="AJ21" s="2183">
        <v>8901.52</v>
      </c>
      <c r="AK21" s="2183"/>
      <c r="AL21" s="2183"/>
      <c r="AM21" s="2183"/>
      <c r="AN21" s="2183">
        <v>146298.57999999999</v>
      </c>
      <c r="AO21" s="2183">
        <v>146298.57999999999</v>
      </c>
      <c r="AP21" s="2168"/>
      <c r="AQ21" s="2168"/>
      <c r="AR21" s="2168"/>
      <c r="AS21" s="2168"/>
      <c r="AT21" s="2168"/>
      <c r="AU21" s="2168"/>
      <c r="AV21" s="2168"/>
    </row>
    <row r="22" spans="3:48" ht="24" outlineLevel="4">
      <c r="C22" s="2181" t="s">
        <v>1382</v>
      </c>
      <c r="D22" s="2178">
        <f t="shared" si="6"/>
        <v>78118.802560000011</v>
      </c>
      <c r="E22" s="2182">
        <f t="shared" si="13"/>
        <v>65100.36</v>
      </c>
      <c r="F22" s="2088">
        <f t="shared" si="14"/>
        <v>5155.4399999999996</v>
      </c>
      <c r="G22" s="2088">
        <f t="shared" si="15"/>
        <v>59944.92</v>
      </c>
      <c r="H22" s="2182">
        <f>ROUND(SUMIF($C$248:$C$418,$C22,$D$248:$D$418)*'[30]Затраты 2016'!$U$14,5)</f>
        <v>12900.73256</v>
      </c>
      <c r="I22" s="2182">
        <f t="shared" si="16"/>
        <v>117.71</v>
      </c>
      <c r="J22" s="2182">
        <f t="shared" si="17"/>
        <v>0</v>
      </c>
      <c r="L22" s="2172"/>
      <c r="M22" s="2088">
        <f t="shared" si="8"/>
        <v>78118.802560000011</v>
      </c>
      <c r="N22" s="2088">
        <f t="shared" si="9"/>
        <v>72963.362560000009</v>
      </c>
      <c r="O22" s="2090"/>
      <c r="P22" s="2091" t="str">
        <f t="shared" si="18"/>
        <v>Оплата труда ППП (без соц. отчислений)</v>
      </c>
      <c r="Q22" s="2182">
        <v>63632.62</v>
      </c>
      <c r="R22" s="2179">
        <f t="shared" si="10"/>
        <v>1.7268591473129858E-2</v>
      </c>
      <c r="S22" s="2179">
        <f t="shared" si="11"/>
        <v>1467.74</v>
      </c>
      <c r="T22" s="2179"/>
      <c r="U22" s="2179"/>
      <c r="V22" s="2168"/>
      <c r="W22" s="2168"/>
      <c r="X22" s="2168"/>
      <c r="Y22" s="2168"/>
      <c r="Z22" s="2168"/>
      <c r="AA22" s="2168"/>
      <c r="AB22" s="2168"/>
      <c r="AC22" s="2168"/>
      <c r="AD22" s="2168"/>
      <c r="AE22" s="2183">
        <v>63632.62</v>
      </c>
      <c r="AF22" s="2183"/>
      <c r="AG22" s="2183">
        <v>547.53</v>
      </c>
      <c r="AH22" s="3411">
        <v>58972.53</v>
      </c>
      <c r="AI22" s="3411"/>
      <c r="AJ22" s="2183">
        <v>4112.5600000000004</v>
      </c>
      <c r="AK22" s="2183"/>
      <c r="AL22" s="2183"/>
      <c r="AM22" s="2183"/>
      <c r="AN22" s="2183">
        <v>63632.62</v>
      </c>
      <c r="AO22" s="2183">
        <v>63632.62</v>
      </c>
      <c r="AP22" s="2168"/>
      <c r="AQ22" s="2168"/>
      <c r="AR22" s="2168"/>
      <c r="AS22" s="2168"/>
      <c r="AT22" s="2168"/>
      <c r="AU22" s="2168"/>
      <c r="AV22" s="2168"/>
    </row>
    <row r="23" spans="3:48" ht="24" outlineLevel="4">
      <c r="C23" s="2181" t="s">
        <v>1383</v>
      </c>
      <c r="D23" s="2178">
        <f t="shared" si="6"/>
        <v>58782.104489999998</v>
      </c>
      <c r="E23" s="2182">
        <f t="shared" si="13"/>
        <v>54378.26</v>
      </c>
      <c r="F23" s="2088">
        <f t="shared" si="14"/>
        <v>4306.33</v>
      </c>
      <c r="G23" s="2088">
        <f t="shared" si="15"/>
        <v>50071.93</v>
      </c>
      <c r="H23" s="2182">
        <f>ROUND(SUMIF($C$248:$C$418,$C23,$D$248:$D$418)*'[30]Затраты 2016'!$U$14,5)</f>
        <v>4183.6444899999997</v>
      </c>
      <c r="I23" s="2182">
        <f t="shared" si="16"/>
        <v>220.2</v>
      </c>
      <c r="J23" s="2182">
        <f t="shared" si="17"/>
        <v>0</v>
      </c>
      <c r="L23" s="2172"/>
      <c r="M23" s="2088">
        <f t="shared" si="8"/>
        <v>58782.104489999998</v>
      </c>
      <c r="N23" s="2088">
        <f t="shared" si="9"/>
        <v>54475.774489999996</v>
      </c>
      <c r="O23" s="2090"/>
      <c r="P23" s="2091" t="str">
        <f t="shared" si="18"/>
        <v>Оплата труда ППП (без соц. отчислений)</v>
      </c>
      <c r="Q23" s="2182">
        <v>53152.26</v>
      </c>
      <c r="R23" s="2179">
        <f t="shared" si="10"/>
        <v>1.4424436143185384E-2</v>
      </c>
      <c r="S23" s="2179">
        <f t="shared" si="11"/>
        <v>1226</v>
      </c>
      <c r="T23" s="2179"/>
      <c r="U23" s="2179"/>
      <c r="V23" s="2168"/>
      <c r="W23" s="2168"/>
      <c r="X23" s="2168"/>
      <c r="Y23" s="2168"/>
      <c r="Z23" s="2168"/>
      <c r="AA23" s="2168"/>
      <c r="AB23" s="2168"/>
      <c r="AC23" s="2168"/>
      <c r="AD23" s="2168"/>
      <c r="AE23" s="2183">
        <v>53152.26</v>
      </c>
      <c r="AF23" s="2183"/>
      <c r="AG23" s="2183">
        <v>135.62</v>
      </c>
      <c r="AH23" s="3411">
        <v>51947.54</v>
      </c>
      <c r="AI23" s="3411"/>
      <c r="AJ23" s="2183">
        <v>1069.0999999999999</v>
      </c>
      <c r="AK23" s="2183"/>
      <c r="AL23" s="2183"/>
      <c r="AM23" s="2183"/>
      <c r="AN23" s="2183">
        <v>53152.26</v>
      </c>
      <c r="AO23" s="2183">
        <v>53152.26</v>
      </c>
      <c r="AP23" s="2168"/>
      <c r="AQ23" s="2168"/>
      <c r="AR23" s="2168"/>
      <c r="AS23" s="2168"/>
      <c r="AT23" s="2168"/>
      <c r="AU23" s="2168"/>
      <c r="AV23" s="2168"/>
    </row>
    <row r="24" spans="3:48" ht="12" outlineLevel="4">
      <c r="C24" s="2181" t="s">
        <v>1384</v>
      </c>
      <c r="D24" s="2178">
        <f t="shared" si="6"/>
        <v>272484.92087999993</v>
      </c>
      <c r="E24" s="2182">
        <f t="shared" si="13"/>
        <v>218184.94999999998</v>
      </c>
      <c r="F24" s="2088">
        <f t="shared" si="14"/>
        <v>17278.53</v>
      </c>
      <c r="G24" s="2088">
        <f t="shared" si="15"/>
        <v>200906.41999999998</v>
      </c>
      <c r="H24" s="2182">
        <f>ROUND(SUMIF($C$248:$C$418,$C24,$D$248:$D$418)*'[30]Затраты 2016'!$U$14,5)</f>
        <v>52606.25088</v>
      </c>
      <c r="I24" s="2182">
        <f t="shared" si="16"/>
        <v>1693.72</v>
      </c>
      <c r="J24" s="2182">
        <f t="shared" si="17"/>
        <v>0</v>
      </c>
      <c r="L24" s="2172"/>
      <c r="M24" s="2088">
        <f t="shared" si="8"/>
        <v>272484.92087999993</v>
      </c>
      <c r="N24" s="2088">
        <f t="shared" si="9"/>
        <v>255206.39087999993</v>
      </c>
      <c r="O24" s="2090"/>
      <c r="P24" s="2091" t="str">
        <f t="shared" si="18"/>
        <v>Оплата труда ППП (без соц. отчислений)</v>
      </c>
      <c r="Q24" s="2182">
        <v>213265.8</v>
      </c>
      <c r="R24" s="2179">
        <f t="shared" si="10"/>
        <v>5.7875975802822784E-2</v>
      </c>
      <c r="S24" s="2179">
        <f t="shared" si="11"/>
        <v>4919.1499999999996</v>
      </c>
      <c r="T24" s="2179"/>
      <c r="U24" s="2179"/>
      <c r="V24" s="2168"/>
      <c r="W24" s="2168"/>
      <c r="X24" s="2168"/>
      <c r="Y24" s="2168"/>
      <c r="Z24" s="2168"/>
      <c r="AA24" s="2168"/>
      <c r="AB24" s="2168"/>
      <c r="AC24" s="2168"/>
      <c r="AD24" s="2168"/>
      <c r="AE24" s="2183">
        <v>213265.8</v>
      </c>
      <c r="AF24" s="2183"/>
      <c r="AG24" s="2183">
        <v>4986.5200000000004</v>
      </c>
      <c r="AH24" s="3411">
        <v>206981.18</v>
      </c>
      <c r="AI24" s="3411"/>
      <c r="AJ24" s="2183">
        <v>1298.0999999999999</v>
      </c>
      <c r="AK24" s="2183"/>
      <c r="AL24" s="2183"/>
      <c r="AM24" s="2183"/>
      <c r="AN24" s="2183">
        <v>213265.8</v>
      </c>
      <c r="AO24" s="2183">
        <v>213265.8</v>
      </c>
      <c r="AP24" s="2168"/>
      <c r="AQ24" s="2168"/>
      <c r="AR24" s="2168"/>
      <c r="AS24" s="2168"/>
      <c r="AT24" s="2168"/>
      <c r="AU24" s="2168"/>
      <c r="AV24" s="2168"/>
    </row>
    <row r="25" spans="3:48" ht="12" outlineLevel="4">
      <c r="C25" s="2181" t="s">
        <v>1385</v>
      </c>
      <c r="D25" s="2178">
        <f t="shared" si="6"/>
        <v>1.17</v>
      </c>
      <c r="E25" s="2182">
        <f t="shared" si="13"/>
        <v>1.17</v>
      </c>
      <c r="F25" s="2088">
        <f t="shared" si="14"/>
        <v>0.09</v>
      </c>
      <c r="G25" s="2088">
        <f t="shared" si="15"/>
        <v>1.0799999999999998</v>
      </c>
      <c r="H25" s="2182">
        <f>ROUND(SUMIF($C$248:$C$418,$C25,$D$248:$D$418)*'[30]Затраты 2016'!$U$14,5)</f>
        <v>0</v>
      </c>
      <c r="I25" s="2182">
        <f t="shared" si="16"/>
        <v>0</v>
      </c>
      <c r="J25" s="2182">
        <f t="shared" si="17"/>
        <v>0</v>
      </c>
      <c r="L25" s="2172"/>
      <c r="M25" s="2088">
        <f t="shared" si="8"/>
        <v>1.17</v>
      </c>
      <c r="N25" s="2088">
        <f t="shared" si="9"/>
        <v>1.0799999999999998</v>
      </c>
      <c r="O25" s="2090"/>
      <c r="P25" s="2091" t="str">
        <f t="shared" si="18"/>
        <v>Оплата труда ППП (без соц. отчислений)</v>
      </c>
      <c r="Q25" s="2182">
        <v>1.1399999999999999</v>
      </c>
      <c r="R25" s="2179">
        <f t="shared" si="10"/>
        <v>3.0937268148581708E-7</v>
      </c>
      <c r="S25" s="2179">
        <f t="shared" si="11"/>
        <v>0.03</v>
      </c>
      <c r="T25" s="2179"/>
      <c r="U25" s="2179"/>
      <c r="V25" s="2168"/>
      <c r="W25" s="2168"/>
      <c r="X25" s="2168"/>
      <c r="Y25" s="2168"/>
      <c r="Z25" s="2168"/>
      <c r="AA25" s="2168"/>
      <c r="AB25" s="2168"/>
      <c r="AC25" s="2168"/>
      <c r="AD25" s="2168"/>
      <c r="AE25" s="2183">
        <v>1.1399999999999999</v>
      </c>
      <c r="AF25" s="2183"/>
      <c r="AG25" s="2183"/>
      <c r="AH25" s="3411">
        <v>0.01</v>
      </c>
      <c r="AI25" s="3411"/>
      <c r="AJ25" s="2183"/>
      <c r="AK25" s="2183"/>
      <c r="AL25" s="2183">
        <v>1.1299999999999999</v>
      </c>
      <c r="AM25" s="2183"/>
      <c r="AN25" s="2183">
        <v>1.1399999999999999</v>
      </c>
      <c r="AO25" s="2183">
        <v>1.1399999999999999</v>
      </c>
      <c r="AP25" s="2168"/>
      <c r="AQ25" s="2168"/>
      <c r="AR25" s="2168"/>
      <c r="AS25" s="2168"/>
      <c r="AT25" s="2168"/>
      <c r="AU25" s="2168"/>
      <c r="AV25" s="2168"/>
    </row>
    <row r="26" spans="3:48" ht="24" outlineLevel="4">
      <c r="C26" s="2181" t="s">
        <v>1386</v>
      </c>
      <c r="D26" s="2178">
        <f t="shared" si="6"/>
        <v>545048.49659000011</v>
      </c>
      <c r="E26" s="2182">
        <f t="shared" si="13"/>
        <v>438552.27</v>
      </c>
      <c r="F26" s="2088">
        <f t="shared" si="14"/>
        <v>34729.89</v>
      </c>
      <c r="G26" s="2088">
        <f t="shared" si="15"/>
        <v>403822.38</v>
      </c>
      <c r="H26" s="2182">
        <f>ROUND(SUMIF($C$248:$C$418,$C26,$D$248:$D$418)*'[30]Затраты 2016'!$U$14,5)</f>
        <v>103894.68659</v>
      </c>
      <c r="I26" s="2182">
        <f t="shared" si="16"/>
        <v>2601.54</v>
      </c>
      <c r="J26" s="2182">
        <f t="shared" si="17"/>
        <v>0</v>
      </c>
      <c r="L26" s="2172"/>
      <c r="M26" s="2088">
        <f t="shared" si="8"/>
        <v>545048.49659000011</v>
      </c>
      <c r="N26" s="2088">
        <f t="shared" si="9"/>
        <v>510318.6065900001</v>
      </c>
      <c r="O26" s="2090"/>
      <c r="P26" s="2091" t="str">
        <f t="shared" si="18"/>
        <v>Оплата труда ППП (без соц. отчислений)</v>
      </c>
      <c r="Q26" s="2182">
        <v>428664.76</v>
      </c>
      <c r="R26" s="2179">
        <f t="shared" si="10"/>
        <v>0.11633084759620547</v>
      </c>
      <c r="S26" s="2179">
        <f t="shared" si="11"/>
        <v>9887.51</v>
      </c>
      <c r="T26" s="2179"/>
      <c r="U26" s="2179"/>
      <c r="V26" s="2168"/>
      <c r="W26" s="2168"/>
      <c r="X26" s="2168"/>
      <c r="Y26" s="2168"/>
      <c r="Z26" s="2168"/>
      <c r="AA26" s="2168"/>
      <c r="AB26" s="2168"/>
      <c r="AC26" s="2168"/>
      <c r="AD26" s="2168"/>
      <c r="AE26" s="2183">
        <v>428664.76</v>
      </c>
      <c r="AF26" s="2183"/>
      <c r="AG26" s="2183">
        <v>9044.84</v>
      </c>
      <c r="AH26" s="3411">
        <v>407049.03</v>
      </c>
      <c r="AI26" s="3411"/>
      <c r="AJ26" s="2183">
        <v>2253.86</v>
      </c>
      <c r="AK26" s="2183"/>
      <c r="AL26" s="2183">
        <v>10317.030000000001</v>
      </c>
      <c r="AM26" s="2183"/>
      <c r="AN26" s="2183">
        <v>428664.76</v>
      </c>
      <c r="AO26" s="2183">
        <v>428664.76</v>
      </c>
      <c r="AP26" s="2168"/>
      <c r="AQ26" s="2168"/>
      <c r="AR26" s="2168"/>
      <c r="AS26" s="2168"/>
      <c r="AT26" s="2168"/>
      <c r="AU26" s="2168"/>
      <c r="AV26" s="2168"/>
    </row>
    <row r="27" spans="3:48" ht="12" outlineLevel="3">
      <c r="C27" s="2176" t="s">
        <v>1471</v>
      </c>
      <c r="D27" s="2178">
        <f t="shared" ref="D27:J27" si="19">SUM(D28,D31,D49)</f>
        <v>91469.283469999995</v>
      </c>
      <c r="E27" s="2178">
        <f t="shared" si="19"/>
        <v>80780.55</v>
      </c>
      <c r="F27" s="2178">
        <f t="shared" si="19"/>
        <v>6397.18</v>
      </c>
      <c r="G27" s="2178">
        <f t="shared" si="19"/>
        <v>74383.37000000001</v>
      </c>
      <c r="H27" s="2178">
        <f t="shared" si="19"/>
        <v>10566.583470000001</v>
      </c>
      <c r="I27" s="2178">
        <f t="shared" si="19"/>
        <v>122.15</v>
      </c>
      <c r="J27" s="2178">
        <f t="shared" si="19"/>
        <v>0</v>
      </c>
      <c r="L27" s="2172"/>
      <c r="M27" s="2088">
        <f t="shared" si="8"/>
        <v>91469.283469999995</v>
      </c>
      <c r="N27" s="2088">
        <f t="shared" si="9"/>
        <v>85072.103470000002</v>
      </c>
      <c r="O27" s="2090"/>
      <c r="P27" s="2173"/>
      <c r="Q27" s="2178">
        <f t="shared" ref="Q27" si="20">SUM(Q28,Q31,Q49)</f>
        <v>78959.31</v>
      </c>
      <c r="R27" s="2179" t="str">
        <f t="shared" si="10"/>
        <v/>
      </c>
      <c r="S27" s="2179" t="str">
        <f t="shared" si="11"/>
        <v/>
      </c>
      <c r="T27" s="2179"/>
      <c r="U27" s="2179"/>
      <c r="V27" s="2168"/>
      <c r="W27" s="2168"/>
      <c r="X27" s="2168"/>
      <c r="Y27" s="2168"/>
      <c r="Z27" s="2168"/>
      <c r="AA27" s="2168"/>
      <c r="AB27" s="2168"/>
      <c r="AC27" s="2168"/>
      <c r="AD27" s="2168"/>
      <c r="AE27" s="2180">
        <v>78959.31</v>
      </c>
      <c r="AF27" s="2180">
        <v>8857.5400000000009</v>
      </c>
      <c r="AG27" s="2180">
        <v>26458.3</v>
      </c>
      <c r="AH27" s="3412">
        <v>41562.19</v>
      </c>
      <c r="AI27" s="3412"/>
      <c r="AJ27" s="2180">
        <v>2081.2800000000002</v>
      </c>
      <c r="AK27" s="2180"/>
      <c r="AL27" s="2180"/>
      <c r="AM27" s="2180"/>
      <c r="AN27" s="2180">
        <v>78959.31</v>
      </c>
      <c r="AO27" s="2180">
        <v>78959.31</v>
      </c>
      <c r="AP27" s="2168"/>
      <c r="AQ27" s="2168"/>
      <c r="AR27" s="2168"/>
      <c r="AS27" s="2168"/>
      <c r="AT27" s="2168"/>
      <c r="AU27" s="2168"/>
      <c r="AV27" s="2168"/>
    </row>
    <row r="28" spans="3:48" ht="24" outlineLevel="4" collapsed="1">
      <c r="C28" s="2187" t="s">
        <v>1472</v>
      </c>
      <c r="D28" s="2177">
        <f t="shared" ref="D28:J28" si="21">SUM(D29:D30)</f>
        <v>4800.793819999999</v>
      </c>
      <c r="E28" s="2178">
        <f t="shared" si="21"/>
        <v>4184.03</v>
      </c>
      <c r="F28" s="2184">
        <f t="shared" si="21"/>
        <v>331.34000000000003</v>
      </c>
      <c r="G28" s="2178">
        <f t="shared" si="21"/>
        <v>3852.6899999999996</v>
      </c>
      <c r="H28" s="2178">
        <f t="shared" si="21"/>
        <v>588.35382000000004</v>
      </c>
      <c r="I28" s="2178">
        <f t="shared" si="21"/>
        <v>28.41</v>
      </c>
      <c r="J28" s="2178">
        <f t="shared" si="21"/>
        <v>0</v>
      </c>
      <c r="L28" s="2172"/>
      <c r="M28" s="2088">
        <f t="shared" si="8"/>
        <v>4800.793819999999</v>
      </c>
      <c r="N28" s="2088">
        <f t="shared" si="9"/>
        <v>4469.4538199999988</v>
      </c>
      <c r="O28" s="2090"/>
      <c r="P28" s="2173"/>
      <c r="Q28" s="2178">
        <f t="shared" ref="Q28" si="22">SUM(Q29:Q30)</f>
        <v>4089.7</v>
      </c>
      <c r="R28" s="2179" t="str">
        <f t="shared" si="10"/>
        <v/>
      </c>
      <c r="S28" s="2179" t="str">
        <f t="shared" si="11"/>
        <v/>
      </c>
      <c r="T28" s="2179"/>
      <c r="U28" s="2179"/>
      <c r="V28" s="2168"/>
      <c r="W28" s="2168"/>
      <c r="X28" s="2168"/>
      <c r="Y28" s="2168"/>
      <c r="Z28" s="2168"/>
      <c r="AA28" s="2168"/>
      <c r="AB28" s="2168"/>
      <c r="AC28" s="2168"/>
      <c r="AD28" s="2168"/>
      <c r="AE28" s="2180">
        <v>4089.7</v>
      </c>
      <c r="AF28" s="2180"/>
      <c r="AG28" s="2180"/>
      <c r="AH28" s="3412">
        <v>4089.7</v>
      </c>
      <c r="AI28" s="3412"/>
      <c r="AJ28" s="2180"/>
      <c r="AK28" s="2180"/>
      <c r="AL28" s="2180"/>
      <c r="AM28" s="2180"/>
      <c r="AN28" s="2180">
        <v>4089.7</v>
      </c>
      <c r="AO28" s="2180">
        <v>4089.7</v>
      </c>
      <c r="AP28" s="2168"/>
      <c r="AQ28" s="2168"/>
      <c r="AR28" s="2168"/>
      <c r="AS28" s="2168"/>
      <c r="AT28" s="2168"/>
      <c r="AU28" s="2168"/>
      <c r="AV28" s="2168"/>
    </row>
    <row r="29" spans="3:48" ht="24" hidden="1" outlineLevel="5">
      <c r="C29" s="2188" t="s">
        <v>1411</v>
      </c>
      <c r="D29" s="2178">
        <f t="shared" si="6"/>
        <v>399.76425999999992</v>
      </c>
      <c r="E29" s="2182">
        <f t="shared" ref="E29:E30" si="23">SUM(Q29,S29)</f>
        <v>358.85999999999996</v>
      </c>
      <c r="F29" s="2088">
        <f t="shared" ref="F29:F30" si="24">ROUND(E29*$U$1,2)</f>
        <v>28.42</v>
      </c>
      <c r="G29" s="2088">
        <f t="shared" ref="G29:G30" si="25">E29-F29</f>
        <v>330.43999999999994</v>
      </c>
      <c r="H29" s="2182">
        <f>ROUND(SUMIF($C$248:$C$418,$C29,$D$248:$D$418)*'[30]Затраты 2016'!$U$14,5)</f>
        <v>38.274259999999998</v>
      </c>
      <c r="I29" s="2182">
        <f>SUMIF($C$420:$C$570,$C29,$D$420:$D$570)</f>
        <v>2.63</v>
      </c>
      <c r="J29" s="2182">
        <f>SUMIF($C$236:$C$246,$C29,$D$236:$D$246)</f>
        <v>0</v>
      </c>
      <c r="L29" s="2172"/>
      <c r="M29" s="2088">
        <f t="shared" si="8"/>
        <v>399.76425999999992</v>
      </c>
      <c r="N29" s="2088">
        <f t="shared" si="9"/>
        <v>371.34425999999991</v>
      </c>
      <c r="O29" s="2090"/>
      <c r="P29" s="2091" t="str">
        <f>VLOOKUP('СС 2016'!$C29,'[30]СС 2015'!$C:$O,13,FALSE)</f>
        <v>Энергия на хозяйственные нужды</v>
      </c>
      <c r="Q29" s="2182">
        <v>350.77</v>
      </c>
      <c r="R29" s="2179">
        <f t="shared" si="10"/>
        <v>9.5191803056824615E-5</v>
      </c>
      <c r="S29" s="2179">
        <f t="shared" si="11"/>
        <v>8.09</v>
      </c>
      <c r="T29" s="2179"/>
      <c r="U29" s="2179"/>
      <c r="V29" s="2168"/>
      <c r="W29" s="2168"/>
      <c r="X29" s="2168"/>
      <c r="Y29" s="2168"/>
      <c r="Z29" s="2168"/>
      <c r="AA29" s="2168"/>
      <c r="AB29" s="2168"/>
      <c r="AC29" s="2168"/>
      <c r="AD29" s="2168"/>
      <c r="AE29" s="2183">
        <v>350.77</v>
      </c>
      <c r="AF29" s="2183"/>
      <c r="AG29" s="2183"/>
      <c r="AH29" s="3411">
        <v>350.77</v>
      </c>
      <c r="AI29" s="3411"/>
      <c r="AJ29" s="2183"/>
      <c r="AK29" s="2183"/>
      <c r="AL29" s="2183"/>
      <c r="AM29" s="2183"/>
      <c r="AN29" s="2183">
        <v>350.77</v>
      </c>
      <c r="AO29" s="2183">
        <v>350.77</v>
      </c>
      <c r="AP29" s="2168"/>
      <c r="AQ29" s="2168"/>
      <c r="AR29" s="2168"/>
      <c r="AS29" s="2168"/>
      <c r="AT29" s="2168"/>
      <c r="AU29" s="2168"/>
      <c r="AV29" s="2168"/>
    </row>
    <row r="30" spans="3:48" ht="24" hidden="1" outlineLevel="5">
      <c r="C30" s="2188" t="s">
        <v>1459</v>
      </c>
      <c r="D30" s="2178">
        <f t="shared" si="6"/>
        <v>4401.029559999999</v>
      </c>
      <c r="E30" s="2182">
        <f t="shared" si="23"/>
        <v>3825.1699999999996</v>
      </c>
      <c r="F30" s="2088">
        <f t="shared" si="24"/>
        <v>302.92</v>
      </c>
      <c r="G30" s="2088">
        <f t="shared" si="25"/>
        <v>3522.2499999999995</v>
      </c>
      <c r="H30" s="2182">
        <f>ROUND(SUMIF($C$248:$C$418,$C30,$D$248:$D$418)*'[30]Затраты 2016'!$U$14,5)</f>
        <v>550.07956000000001</v>
      </c>
      <c r="I30" s="2182">
        <f>SUMIF($C$420:$C$570,$C30,$D$420:$D$570)</f>
        <v>25.78</v>
      </c>
      <c r="J30" s="2182">
        <f>SUMIF($C$236:$C$246,$C30,$D$236:$D$246)</f>
        <v>0</v>
      </c>
      <c r="L30" s="2172"/>
      <c r="M30" s="2088">
        <f t="shared" si="8"/>
        <v>4401.029559999999</v>
      </c>
      <c r="N30" s="2088">
        <f t="shared" si="9"/>
        <v>4098.109559999999</v>
      </c>
      <c r="O30" s="2090"/>
      <c r="P30" s="2091" t="str">
        <f>VLOOKUP('СС 2016'!$C30,'[30]СС 2015'!$C:$O,13,FALSE)</f>
        <v>Энергия на хозяйственные нужды</v>
      </c>
      <c r="Q30" s="2182">
        <v>3738.93</v>
      </c>
      <c r="R30" s="2179">
        <f t="shared" si="10"/>
        <v>1.0146691227962861E-3</v>
      </c>
      <c r="S30" s="2179">
        <f t="shared" si="11"/>
        <v>86.24</v>
      </c>
      <c r="T30" s="2179"/>
      <c r="U30" s="2179"/>
      <c r="V30" s="2168"/>
      <c r="W30" s="2168"/>
      <c r="X30" s="2168"/>
      <c r="Y30" s="2168"/>
      <c r="Z30" s="2168"/>
      <c r="AA30" s="2168"/>
      <c r="AB30" s="2168"/>
      <c r="AC30" s="2168"/>
      <c r="AD30" s="2168"/>
      <c r="AE30" s="2183">
        <v>3738.93</v>
      </c>
      <c r="AF30" s="2183"/>
      <c r="AG30" s="2183"/>
      <c r="AH30" s="3411">
        <v>3738.93</v>
      </c>
      <c r="AI30" s="3411"/>
      <c r="AJ30" s="2183"/>
      <c r="AK30" s="2183"/>
      <c r="AL30" s="2183"/>
      <c r="AM30" s="2183"/>
      <c r="AN30" s="2183">
        <v>3738.93</v>
      </c>
      <c r="AO30" s="2183">
        <v>3738.93</v>
      </c>
      <c r="AP30" s="2168"/>
      <c r="AQ30" s="2168"/>
      <c r="AR30" s="2168"/>
      <c r="AS30" s="2168"/>
      <c r="AT30" s="2168"/>
      <c r="AU30" s="2168"/>
      <c r="AV30" s="2168"/>
    </row>
    <row r="31" spans="3:48" ht="24" outlineLevel="4" collapsed="1">
      <c r="C31" s="2187" t="s">
        <v>1473</v>
      </c>
      <c r="D31" s="2177">
        <f>SUM(D32,D35,D37,D38)</f>
        <v>14162.520849999997</v>
      </c>
      <c r="E31" s="2178">
        <f t="shared" ref="E31:J31" si="26">SUM(E32,E35,E37,E38)</f>
        <v>11430.15</v>
      </c>
      <c r="F31" s="2184">
        <f t="shared" si="26"/>
        <v>905.18000000000006</v>
      </c>
      <c r="G31" s="2178">
        <f t="shared" si="26"/>
        <v>10524.97</v>
      </c>
      <c r="H31" s="2178">
        <f t="shared" si="26"/>
        <v>2717.8508500000003</v>
      </c>
      <c r="I31" s="2178">
        <f t="shared" si="26"/>
        <v>14.520000000000001</v>
      </c>
      <c r="J31" s="2178">
        <f t="shared" si="26"/>
        <v>0</v>
      </c>
      <c r="L31" s="2172"/>
      <c r="M31" s="2088">
        <f t="shared" si="8"/>
        <v>14162.520849999997</v>
      </c>
      <c r="N31" s="2088">
        <f t="shared" si="9"/>
        <v>13257.340849999997</v>
      </c>
      <c r="O31" s="2090"/>
      <c r="P31" s="2173"/>
      <c r="Q31" s="2178">
        <f t="shared" ref="Q31" si="27">SUM(Q32,Q35,Q37,Q38)</f>
        <v>11172.44</v>
      </c>
      <c r="R31" s="2179" t="str">
        <f t="shared" si="10"/>
        <v/>
      </c>
      <c r="S31" s="2179" t="str">
        <f t="shared" si="11"/>
        <v/>
      </c>
      <c r="T31" s="2179"/>
      <c r="U31" s="2179"/>
      <c r="V31" s="2168"/>
      <c r="W31" s="2168"/>
      <c r="X31" s="2168"/>
      <c r="Y31" s="2168"/>
      <c r="Z31" s="2168"/>
      <c r="AA31" s="2168"/>
      <c r="AB31" s="2168"/>
      <c r="AC31" s="2168"/>
      <c r="AD31" s="2168"/>
      <c r="AE31" s="2180">
        <v>11172.44</v>
      </c>
      <c r="AF31" s="2180"/>
      <c r="AG31" s="2180">
        <v>392.93</v>
      </c>
      <c r="AH31" s="3412">
        <v>10216.59</v>
      </c>
      <c r="AI31" s="3412"/>
      <c r="AJ31" s="2180">
        <v>562.91999999999996</v>
      </c>
      <c r="AK31" s="2180"/>
      <c r="AL31" s="2180"/>
      <c r="AM31" s="2180"/>
      <c r="AN31" s="2180">
        <v>11172.44</v>
      </c>
      <c r="AO31" s="2180">
        <v>11172.44</v>
      </c>
      <c r="AP31" s="2168"/>
      <c r="AQ31" s="2168"/>
      <c r="AR31" s="2168"/>
      <c r="AS31" s="2168"/>
      <c r="AT31" s="2168"/>
      <c r="AU31" s="2168"/>
      <c r="AV31" s="2168"/>
    </row>
    <row r="32" spans="3:48" ht="12" hidden="1" outlineLevel="5">
      <c r="C32" s="2189" t="s">
        <v>1474</v>
      </c>
      <c r="D32" s="2178">
        <f t="shared" ref="D32:J32" si="28">SUM(D33:D34)</f>
        <v>568.03313000000003</v>
      </c>
      <c r="E32" s="2178">
        <f t="shared" si="28"/>
        <v>464.75</v>
      </c>
      <c r="F32" s="2178">
        <f t="shared" si="28"/>
        <v>36.81</v>
      </c>
      <c r="G32" s="2178">
        <f t="shared" si="28"/>
        <v>427.94</v>
      </c>
      <c r="H32" s="2178">
        <f t="shared" si="28"/>
        <v>100.34313</v>
      </c>
      <c r="I32" s="2178">
        <f t="shared" si="28"/>
        <v>2.94</v>
      </c>
      <c r="J32" s="2178">
        <f t="shared" si="28"/>
        <v>0</v>
      </c>
      <c r="L32" s="2172"/>
      <c r="M32" s="2088">
        <f t="shared" si="8"/>
        <v>568.03313000000003</v>
      </c>
      <c r="N32" s="2088">
        <f t="shared" si="9"/>
        <v>531.22313000000008</v>
      </c>
      <c r="O32" s="2090"/>
      <c r="P32" s="2173"/>
      <c r="Q32" s="2178">
        <f t="shared" ref="Q32" si="29">SUM(Q33:Q34)</f>
        <v>454.27</v>
      </c>
      <c r="R32" s="2179" t="str">
        <f t="shared" si="10"/>
        <v/>
      </c>
      <c r="S32" s="2179" t="str">
        <f t="shared" si="11"/>
        <v/>
      </c>
      <c r="T32" s="2179"/>
      <c r="U32" s="2179"/>
      <c r="V32" s="2168"/>
      <c r="W32" s="2168"/>
      <c r="X32" s="2168"/>
      <c r="Y32" s="2168"/>
      <c r="Z32" s="2168"/>
      <c r="AA32" s="2168"/>
      <c r="AB32" s="2168"/>
      <c r="AC32" s="2168"/>
      <c r="AD32" s="2168"/>
      <c r="AE32" s="2180">
        <v>454.27</v>
      </c>
      <c r="AF32" s="2180"/>
      <c r="AG32" s="2180"/>
      <c r="AH32" s="3412">
        <v>38.369999999999997</v>
      </c>
      <c r="AI32" s="3412"/>
      <c r="AJ32" s="2180">
        <v>415.9</v>
      </c>
      <c r="AK32" s="2180"/>
      <c r="AL32" s="2180"/>
      <c r="AM32" s="2180"/>
      <c r="AN32" s="2180">
        <v>454.27</v>
      </c>
      <c r="AO32" s="2180">
        <v>454.27</v>
      </c>
      <c r="AP32" s="2168"/>
      <c r="AQ32" s="2168"/>
      <c r="AR32" s="2168"/>
      <c r="AS32" s="2168"/>
      <c r="AT32" s="2168"/>
      <c r="AU32" s="2168"/>
      <c r="AV32" s="2168"/>
    </row>
    <row r="33" spans="3:48" ht="24" hidden="1" outlineLevel="6">
      <c r="C33" s="2190" t="s">
        <v>1426</v>
      </c>
      <c r="D33" s="2178">
        <f t="shared" si="6"/>
        <v>60.443249999999999</v>
      </c>
      <c r="E33" s="2182">
        <f t="shared" ref="E33:E34" si="30">SUM(Q33,S33)</f>
        <v>41.26</v>
      </c>
      <c r="F33" s="2088">
        <f t="shared" ref="F33:F34" si="31">ROUND(E33*$U$1,2)</f>
        <v>3.27</v>
      </c>
      <c r="G33" s="2088">
        <f t="shared" ref="G33:G34" si="32">E33-F33</f>
        <v>37.989999999999995</v>
      </c>
      <c r="H33" s="2182">
        <f>ROUND(SUMIF($C$248:$C$418,$C33,$D$248:$D$418)*'[30]Затраты 2016'!$U$14,5)</f>
        <v>19.183250000000001</v>
      </c>
      <c r="I33" s="2182">
        <f>SUMIF($C$420:$C$570,$C33,$D$420:$D$570)</f>
        <v>0</v>
      </c>
      <c r="J33" s="2182">
        <f>SUMIF($C$236:$C$246,$C33,$D$236:$D$246)</f>
        <v>0</v>
      </c>
      <c r="L33" s="2172"/>
      <c r="M33" s="2088">
        <f t="shared" si="8"/>
        <v>60.443249999999999</v>
      </c>
      <c r="N33" s="2088">
        <f t="shared" si="9"/>
        <v>57.173249999999996</v>
      </c>
      <c r="O33" s="2090"/>
      <c r="P33" s="2091" t="str">
        <f>C$192</f>
        <v xml:space="preserve"> - работы и услуги производственного характера</v>
      </c>
      <c r="Q33" s="2182">
        <v>40.33</v>
      </c>
      <c r="R33" s="2179">
        <f t="shared" si="10"/>
        <v>1.0944737056423687E-5</v>
      </c>
      <c r="S33" s="2179">
        <f t="shared" si="11"/>
        <v>0.93</v>
      </c>
      <c r="T33" s="2179"/>
      <c r="U33" s="2179"/>
      <c r="V33" s="2168"/>
      <c r="W33" s="2168"/>
      <c r="X33" s="2168"/>
      <c r="Y33" s="2168"/>
      <c r="Z33" s="2168"/>
      <c r="AA33" s="2168"/>
      <c r="AB33" s="2168"/>
      <c r="AC33" s="2168"/>
      <c r="AD33" s="2168"/>
      <c r="AE33" s="2183">
        <v>40.33</v>
      </c>
      <c r="AF33" s="2183"/>
      <c r="AG33" s="2183"/>
      <c r="AH33" s="3411">
        <v>38.369999999999997</v>
      </c>
      <c r="AI33" s="3411"/>
      <c r="AJ33" s="2183">
        <v>1.96</v>
      </c>
      <c r="AK33" s="2183"/>
      <c r="AL33" s="2183"/>
      <c r="AM33" s="2183"/>
      <c r="AN33" s="2183">
        <v>40.33</v>
      </c>
      <c r="AO33" s="2183">
        <v>40.33</v>
      </c>
      <c r="AP33" s="2168"/>
      <c r="AQ33" s="2168"/>
      <c r="AR33" s="2168"/>
      <c r="AS33" s="2168"/>
      <c r="AT33" s="2168"/>
      <c r="AU33" s="2168"/>
      <c r="AV33" s="2168"/>
    </row>
    <row r="34" spans="3:48" ht="24" hidden="1" outlineLevel="6">
      <c r="C34" s="2190" t="s">
        <v>1433</v>
      </c>
      <c r="D34" s="2178">
        <f t="shared" si="6"/>
        <v>507.58987999999999</v>
      </c>
      <c r="E34" s="2182">
        <f t="shared" si="30"/>
        <v>423.49</v>
      </c>
      <c r="F34" s="2088">
        <f t="shared" si="31"/>
        <v>33.54</v>
      </c>
      <c r="G34" s="2088">
        <f t="shared" si="32"/>
        <v>389.95</v>
      </c>
      <c r="H34" s="2182">
        <f>ROUND(SUMIF($C$248:$C$418,$C34,$D$248:$D$418)*'[30]Затраты 2016'!$U$14,5)</f>
        <v>81.159880000000001</v>
      </c>
      <c r="I34" s="2182">
        <f>SUMIF($C$420:$C$570,$C34,$D$420:$D$570)</f>
        <v>2.94</v>
      </c>
      <c r="J34" s="2182">
        <f>SUMIF($C$236:$C$246,$C34,$D$236:$D$246)</f>
        <v>0</v>
      </c>
      <c r="L34" s="2172"/>
      <c r="M34" s="2088">
        <f t="shared" si="8"/>
        <v>507.58987999999999</v>
      </c>
      <c r="N34" s="2088">
        <f t="shared" si="9"/>
        <v>474.04987999999997</v>
      </c>
      <c r="O34" s="2090"/>
      <c r="P34" s="2091" t="str">
        <f>C$192</f>
        <v xml:space="preserve"> - работы и услуги производственного характера</v>
      </c>
      <c r="Q34" s="2182">
        <v>413.94</v>
      </c>
      <c r="R34" s="2179">
        <f t="shared" si="10"/>
        <v>1.1233484892477118E-4</v>
      </c>
      <c r="S34" s="2179">
        <f t="shared" si="11"/>
        <v>9.5500000000000007</v>
      </c>
      <c r="T34" s="2179"/>
      <c r="U34" s="2179"/>
      <c r="V34" s="2168"/>
      <c r="W34" s="2168"/>
      <c r="X34" s="2168"/>
      <c r="Y34" s="2168"/>
      <c r="Z34" s="2168"/>
      <c r="AA34" s="2168"/>
      <c r="AB34" s="2168"/>
      <c r="AC34" s="2168"/>
      <c r="AD34" s="2168"/>
      <c r="AE34" s="2183">
        <v>413.94</v>
      </c>
      <c r="AF34" s="2183"/>
      <c r="AG34" s="2183"/>
      <c r="AH34" s="2185"/>
      <c r="AI34" s="2186"/>
      <c r="AJ34" s="2183">
        <v>413.94</v>
      </c>
      <c r="AK34" s="2183"/>
      <c r="AL34" s="2183"/>
      <c r="AM34" s="2183"/>
      <c r="AN34" s="2183">
        <v>413.94</v>
      </c>
      <c r="AO34" s="2183">
        <v>413.94</v>
      </c>
      <c r="AP34" s="2168"/>
      <c r="AQ34" s="2168"/>
      <c r="AR34" s="2168"/>
      <c r="AS34" s="2168"/>
      <c r="AT34" s="2168"/>
      <c r="AU34" s="2168"/>
      <c r="AV34" s="2168"/>
    </row>
    <row r="35" spans="3:48" ht="12" hidden="1" outlineLevel="5">
      <c r="C35" s="2189" t="s">
        <v>3826</v>
      </c>
      <c r="D35" s="2178">
        <f t="shared" ref="D35:J35" si="33">SUM(D36)</f>
        <v>16.07499</v>
      </c>
      <c r="E35" s="2178">
        <f t="shared" si="33"/>
        <v>11.969999999999999</v>
      </c>
      <c r="F35" s="2178">
        <f t="shared" si="33"/>
        <v>0.95</v>
      </c>
      <c r="G35" s="2178">
        <f t="shared" si="33"/>
        <v>11.02</v>
      </c>
      <c r="H35" s="2178">
        <f t="shared" si="33"/>
        <v>3.97499</v>
      </c>
      <c r="I35" s="2178">
        <f t="shared" si="33"/>
        <v>0.13</v>
      </c>
      <c r="J35" s="2178">
        <f t="shared" si="33"/>
        <v>0</v>
      </c>
      <c r="L35" s="2172"/>
      <c r="M35" s="2088">
        <f t="shared" si="8"/>
        <v>16.07499</v>
      </c>
      <c r="N35" s="2088">
        <f t="shared" si="9"/>
        <v>15.12499</v>
      </c>
      <c r="O35" s="2090"/>
      <c r="P35" s="2173"/>
      <c r="Q35" s="2178">
        <f t="shared" ref="Q35" si="34">SUM(Q36)</f>
        <v>11.7</v>
      </c>
      <c r="R35" s="2179" t="str">
        <f t="shared" si="10"/>
        <v/>
      </c>
      <c r="S35" s="2179" t="str">
        <f t="shared" si="11"/>
        <v/>
      </c>
      <c r="T35" s="2179"/>
      <c r="U35" s="2179"/>
      <c r="V35" s="2168"/>
      <c r="W35" s="2168"/>
      <c r="X35" s="2168"/>
      <c r="Y35" s="2168"/>
      <c r="Z35" s="2168"/>
      <c r="AA35" s="2168"/>
      <c r="AB35" s="2168"/>
      <c r="AC35" s="2168"/>
      <c r="AD35" s="2168"/>
      <c r="AE35" s="2180">
        <v>11.7</v>
      </c>
      <c r="AF35" s="2180"/>
      <c r="AG35" s="2180"/>
      <c r="AH35" s="3412">
        <v>8.17</v>
      </c>
      <c r="AI35" s="3412"/>
      <c r="AJ35" s="2180">
        <v>3.53</v>
      </c>
      <c r="AK35" s="2180"/>
      <c r="AL35" s="2180"/>
      <c r="AM35" s="2180"/>
      <c r="AN35" s="2180">
        <v>11.7</v>
      </c>
      <c r="AO35" s="2180">
        <v>11.7</v>
      </c>
      <c r="AP35" s="2168"/>
      <c r="AQ35" s="2168"/>
      <c r="AR35" s="2168"/>
      <c r="AS35" s="2168"/>
      <c r="AT35" s="2168"/>
      <c r="AU35" s="2168"/>
      <c r="AV35" s="2168"/>
    </row>
    <row r="36" spans="3:48" ht="24" hidden="1" outlineLevel="6">
      <c r="C36" s="2190" t="s">
        <v>3811</v>
      </c>
      <c r="D36" s="2178">
        <f t="shared" si="6"/>
        <v>16.07499</v>
      </c>
      <c r="E36" s="2182">
        <f t="shared" ref="E36:E37" si="35">SUM(Q36,S36)</f>
        <v>11.969999999999999</v>
      </c>
      <c r="F36" s="2088">
        <f t="shared" ref="F36:F37" si="36">ROUND(E36*$U$1,2)</f>
        <v>0.95</v>
      </c>
      <c r="G36" s="2088">
        <f t="shared" ref="G36:G37" si="37">E36-F36</f>
        <v>11.02</v>
      </c>
      <c r="H36" s="2182">
        <f>ROUND(SUMIF($C$248:$C$418,$C36,$D$248:$D$418)*'[30]Затраты 2016'!$U$14,5)</f>
        <v>3.97499</v>
      </c>
      <c r="I36" s="2182">
        <f>SUMIF($C$420:$C$570,$C36,$D$420:$D$570)</f>
        <v>0.13</v>
      </c>
      <c r="J36" s="2182">
        <f>SUMIF($C$236:$C$246,$C36,$D$236:$D$246)</f>
        <v>0</v>
      </c>
      <c r="L36" s="2172"/>
      <c r="M36" s="2088">
        <f t="shared" si="8"/>
        <v>16.07499</v>
      </c>
      <c r="N36" s="2088">
        <f t="shared" si="9"/>
        <v>15.12499</v>
      </c>
      <c r="O36" s="2090"/>
      <c r="P36" s="2091" t="str">
        <f>VLOOKUP('СС 2016'!$C36,'[30]СС 2015'!$C:$O,13,FALSE)</f>
        <v xml:space="preserve"> - работы и услуги производственного характера</v>
      </c>
      <c r="Q36" s="2182">
        <v>11.7</v>
      </c>
      <c r="R36" s="2179">
        <f t="shared" si="10"/>
        <v>3.1751406784070703E-6</v>
      </c>
      <c r="S36" s="2179">
        <f t="shared" si="11"/>
        <v>0.27</v>
      </c>
      <c r="T36" s="2179"/>
      <c r="U36" s="2179"/>
      <c r="V36" s="2168"/>
      <c r="W36" s="2168"/>
      <c r="X36" s="2168"/>
      <c r="Y36" s="2168"/>
      <c r="Z36" s="2168"/>
      <c r="AA36" s="2168"/>
      <c r="AB36" s="2168"/>
      <c r="AC36" s="2168"/>
      <c r="AD36" s="2168"/>
      <c r="AE36" s="2183">
        <v>11.7</v>
      </c>
      <c r="AF36" s="2183"/>
      <c r="AG36" s="2183"/>
      <c r="AH36" s="3411">
        <v>8.17</v>
      </c>
      <c r="AI36" s="3411"/>
      <c r="AJ36" s="2183">
        <v>3.53</v>
      </c>
      <c r="AK36" s="2183"/>
      <c r="AL36" s="2183"/>
      <c r="AM36" s="2183"/>
      <c r="AN36" s="2183">
        <v>11.7</v>
      </c>
      <c r="AO36" s="2183">
        <v>11.7</v>
      </c>
      <c r="AP36" s="2168"/>
      <c r="AQ36" s="2168"/>
      <c r="AR36" s="2168"/>
      <c r="AS36" s="2168"/>
      <c r="AT36" s="2168"/>
      <c r="AU36" s="2168"/>
      <c r="AV36" s="2168"/>
    </row>
    <row r="37" spans="3:48" ht="24" hidden="1" outlineLevel="5">
      <c r="C37" s="2188" t="s">
        <v>1427</v>
      </c>
      <c r="D37" s="2178">
        <f t="shared" si="6"/>
        <v>53.81758</v>
      </c>
      <c r="E37" s="2182">
        <f t="shared" si="35"/>
        <v>36.89</v>
      </c>
      <c r="F37" s="2088">
        <f t="shared" si="36"/>
        <v>2.92</v>
      </c>
      <c r="G37" s="2088">
        <f t="shared" si="37"/>
        <v>33.97</v>
      </c>
      <c r="H37" s="2182">
        <f>ROUND(SUMIF($C$248:$C$418,$C37,$D$248:$D$418)*'[30]Затраты 2016'!$U$14,5)</f>
        <v>15.097580000000001</v>
      </c>
      <c r="I37" s="2182">
        <f>SUMIF($C$420:$C$570,$C37,$D$420:$D$570)</f>
        <v>1.83</v>
      </c>
      <c r="J37" s="2182">
        <f>SUMIF($C$236:$C$246,$C37,$D$236:$D$246)</f>
        <v>0</v>
      </c>
      <c r="L37" s="2172"/>
      <c r="M37" s="2088">
        <f t="shared" si="8"/>
        <v>53.81758</v>
      </c>
      <c r="N37" s="2088">
        <f t="shared" si="9"/>
        <v>50.897579999999998</v>
      </c>
      <c r="O37" s="2090"/>
      <c r="P37" s="2091" t="str">
        <f>C$192</f>
        <v xml:space="preserve"> - работы и услуги производственного характера</v>
      </c>
      <c r="Q37" s="2182">
        <v>36.06</v>
      </c>
      <c r="R37" s="2179">
        <f t="shared" si="10"/>
        <v>9.7859463985776889E-6</v>
      </c>
      <c r="S37" s="2179">
        <f t="shared" si="11"/>
        <v>0.83</v>
      </c>
      <c r="T37" s="2179"/>
      <c r="U37" s="2179"/>
      <c r="V37" s="2168"/>
      <c r="W37" s="2168"/>
      <c r="X37" s="2168"/>
      <c r="Y37" s="2168"/>
      <c r="Z37" s="2168"/>
      <c r="AA37" s="2168"/>
      <c r="AB37" s="2168"/>
      <c r="AC37" s="2168"/>
      <c r="AD37" s="2168"/>
      <c r="AE37" s="2183">
        <v>36.06</v>
      </c>
      <c r="AF37" s="2183"/>
      <c r="AG37" s="2183"/>
      <c r="AH37" s="3411">
        <v>36.06</v>
      </c>
      <c r="AI37" s="3411"/>
      <c r="AJ37" s="2183"/>
      <c r="AK37" s="2183"/>
      <c r="AL37" s="2183"/>
      <c r="AM37" s="2183"/>
      <c r="AN37" s="2183">
        <v>36.06</v>
      </c>
      <c r="AO37" s="2183">
        <v>36.06</v>
      </c>
      <c r="AP37" s="2168"/>
      <c r="AQ37" s="2168"/>
      <c r="AR37" s="2168"/>
      <c r="AS37" s="2168"/>
      <c r="AT37" s="2168"/>
      <c r="AU37" s="2168"/>
      <c r="AV37" s="2168"/>
    </row>
    <row r="38" spans="3:48" ht="24" hidden="1" outlineLevel="5">
      <c r="C38" s="2189" t="s">
        <v>1475</v>
      </c>
      <c r="D38" s="2178">
        <f>SUM(D39,D43)</f>
        <v>13524.595149999997</v>
      </c>
      <c r="E38" s="2178">
        <f t="shared" ref="E38:J38" si="38">SUM(E39,E43)</f>
        <v>10916.539999999999</v>
      </c>
      <c r="F38" s="2178">
        <f t="shared" si="38"/>
        <v>864.5</v>
      </c>
      <c r="G38" s="2178">
        <f t="shared" si="38"/>
        <v>10052.039999999999</v>
      </c>
      <c r="H38" s="2178">
        <f t="shared" si="38"/>
        <v>2598.4351500000002</v>
      </c>
      <c r="I38" s="2178">
        <f t="shared" si="38"/>
        <v>9.620000000000001</v>
      </c>
      <c r="J38" s="2178">
        <f t="shared" si="38"/>
        <v>0</v>
      </c>
      <c r="L38" s="2172"/>
      <c r="M38" s="2088">
        <f t="shared" si="8"/>
        <v>13524.595149999997</v>
      </c>
      <c r="N38" s="2088">
        <f t="shared" si="9"/>
        <v>12660.095149999997</v>
      </c>
      <c r="O38" s="2090"/>
      <c r="P38" s="2173"/>
      <c r="Q38" s="2178">
        <f t="shared" ref="Q38" si="39">SUM(Q39,Q43)</f>
        <v>10670.41</v>
      </c>
      <c r="R38" s="2179" t="str">
        <f t="shared" si="10"/>
        <v/>
      </c>
      <c r="S38" s="2179" t="str">
        <f t="shared" si="11"/>
        <v/>
      </c>
      <c r="T38" s="2179"/>
      <c r="U38" s="2179"/>
      <c r="V38" s="2168"/>
      <c r="W38" s="2168"/>
      <c r="X38" s="2168"/>
      <c r="Y38" s="2168"/>
      <c r="Z38" s="2168"/>
      <c r="AA38" s="2168"/>
      <c r="AB38" s="2168"/>
      <c r="AC38" s="2168"/>
      <c r="AD38" s="2168"/>
      <c r="AE38" s="2180">
        <v>10670.41</v>
      </c>
      <c r="AF38" s="2180"/>
      <c r="AG38" s="2180">
        <v>392.93</v>
      </c>
      <c r="AH38" s="3412">
        <v>10133.99</v>
      </c>
      <c r="AI38" s="3412"/>
      <c r="AJ38" s="2180">
        <v>143.49</v>
      </c>
      <c r="AK38" s="2180"/>
      <c r="AL38" s="2180"/>
      <c r="AM38" s="2180"/>
      <c r="AN38" s="2180">
        <v>10670.41</v>
      </c>
      <c r="AO38" s="2180">
        <v>10670.41</v>
      </c>
      <c r="AP38" s="2168"/>
      <c r="AQ38" s="2168"/>
      <c r="AR38" s="2168"/>
      <c r="AS38" s="2168"/>
      <c r="AT38" s="2168"/>
      <c r="AU38" s="2168"/>
      <c r="AV38" s="2168"/>
    </row>
    <row r="39" spans="3:48" ht="12" hidden="1" outlineLevel="6">
      <c r="C39" s="2191" t="s">
        <v>1476</v>
      </c>
      <c r="D39" s="2178">
        <f t="shared" ref="D39:I39" si="40">SUM(D40:D42)</f>
        <v>13271.663969999998</v>
      </c>
      <c r="E39" s="2178">
        <f t="shared" si="40"/>
        <v>10725.529999999999</v>
      </c>
      <c r="F39" s="2178">
        <f t="shared" si="40"/>
        <v>849.37</v>
      </c>
      <c r="G39" s="2178">
        <f t="shared" si="40"/>
        <v>9876.16</v>
      </c>
      <c r="H39" s="2178">
        <f t="shared" si="40"/>
        <v>2540.7839700000004</v>
      </c>
      <c r="I39" s="2178">
        <f t="shared" si="40"/>
        <v>5.3500000000000005</v>
      </c>
      <c r="J39" s="2178">
        <f t="shared" ref="J39" si="41">SUM(J40:J42)</f>
        <v>0</v>
      </c>
      <c r="L39" s="2172"/>
      <c r="M39" s="2088">
        <f t="shared" si="8"/>
        <v>13271.663969999998</v>
      </c>
      <c r="N39" s="2088">
        <f t="shared" si="9"/>
        <v>12422.293969999997</v>
      </c>
      <c r="O39" s="2090"/>
      <c r="P39" s="2173"/>
      <c r="Q39" s="2178">
        <f t="shared" ref="Q39" si="42">SUM(Q40:Q42)</f>
        <v>10483.709999999999</v>
      </c>
      <c r="R39" s="2179" t="str">
        <f t="shared" si="10"/>
        <v/>
      </c>
      <c r="S39" s="2179" t="str">
        <f t="shared" si="11"/>
        <v/>
      </c>
      <c r="T39" s="2179"/>
      <c r="U39" s="2179"/>
      <c r="V39" s="2168"/>
      <c r="W39" s="2168"/>
      <c r="X39" s="2168"/>
      <c r="Y39" s="2168"/>
      <c r="Z39" s="2168"/>
      <c r="AA39" s="2168"/>
      <c r="AB39" s="2168"/>
      <c r="AC39" s="2168"/>
      <c r="AD39" s="2168"/>
      <c r="AE39" s="2180">
        <v>10483.709999999999</v>
      </c>
      <c r="AF39" s="2180"/>
      <c r="AG39" s="2180">
        <v>392.93</v>
      </c>
      <c r="AH39" s="3412">
        <v>9992.42</v>
      </c>
      <c r="AI39" s="3412"/>
      <c r="AJ39" s="2180">
        <v>98.36</v>
      </c>
      <c r="AK39" s="2180"/>
      <c r="AL39" s="2180"/>
      <c r="AM39" s="2180"/>
      <c r="AN39" s="2180">
        <v>10483.709999999999</v>
      </c>
      <c r="AO39" s="2180">
        <v>10483.709999999999</v>
      </c>
      <c r="AP39" s="2168"/>
      <c r="AQ39" s="2168"/>
      <c r="AR39" s="2168"/>
      <c r="AS39" s="2168"/>
      <c r="AT39" s="2168"/>
      <c r="AU39" s="2168"/>
      <c r="AV39" s="2168"/>
    </row>
    <row r="40" spans="3:48" ht="24" hidden="1" outlineLevel="7">
      <c r="C40" s="2192" t="s">
        <v>3827</v>
      </c>
      <c r="D40" s="2178">
        <f t="shared" si="6"/>
        <v>1.8355899999999998</v>
      </c>
      <c r="E40" s="2182">
        <f t="shared" ref="E40:E42" si="43">SUM(Q40,S40)</f>
        <v>1.19</v>
      </c>
      <c r="F40" s="2088">
        <f t="shared" ref="F40:F42" si="44">ROUND(E40*$U$1,2)</f>
        <v>0.09</v>
      </c>
      <c r="G40" s="2088">
        <f t="shared" ref="G40:G42" si="45">E40-F40</f>
        <v>1.0999999999999999</v>
      </c>
      <c r="H40" s="2182">
        <f>ROUND(SUMIF($C$248:$C$418,$C40,$D$248:$D$418)*'[30]Затраты 2016'!$U$14,5)</f>
        <v>0.64559</v>
      </c>
      <c r="I40" s="2182">
        <f>SUMIF($C$420:$C$570,$C40,$D$420:$D$570)</f>
        <v>0</v>
      </c>
      <c r="J40" s="2182">
        <f>SUMIF($C$236:$C$246,$C40,$D$236:$D$246)</f>
        <v>0</v>
      </c>
      <c r="L40" s="2172"/>
      <c r="M40" s="2088">
        <f t="shared" si="8"/>
        <v>1.8355899999999998</v>
      </c>
      <c r="N40" s="2088">
        <f t="shared" si="9"/>
        <v>1.7455899999999998</v>
      </c>
      <c r="O40" s="2090"/>
      <c r="P40" s="2193" t="str">
        <f>$C$192</f>
        <v xml:space="preserve"> - работы и услуги производственного характера</v>
      </c>
      <c r="Q40" s="2182">
        <v>1.1599999999999999</v>
      </c>
      <c r="R40" s="2179">
        <f t="shared" si="10"/>
        <v>3.1480027238907703E-7</v>
      </c>
      <c r="S40" s="2179">
        <f t="shared" si="11"/>
        <v>0.03</v>
      </c>
      <c r="T40" s="2179"/>
      <c r="U40" s="2179"/>
      <c r="V40" s="2168"/>
      <c r="W40" s="2168"/>
      <c r="X40" s="2168"/>
      <c r="Y40" s="2168"/>
      <c r="Z40" s="2168"/>
      <c r="AA40" s="2168"/>
      <c r="AB40" s="2168"/>
      <c r="AC40" s="2168"/>
      <c r="AD40" s="2168"/>
      <c r="AE40" s="2183">
        <v>1.1599999999999999</v>
      </c>
      <c r="AF40" s="2183"/>
      <c r="AG40" s="2183"/>
      <c r="AH40" s="3411">
        <v>1.1599999999999999</v>
      </c>
      <c r="AI40" s="3411"/>
      <c r="AJ40" s="2183"/>
      <c r="AK40" s="2183"/>
      <c r="AL40" s="2183"/>
      <c r="AM40" s="2183"/>
      <c r="AN40" s="2183">
        <v>1.1599999999999999</v>
      </c>
      <c r="AO40" s="2183">
        <v>1.1599999999999999</v>
      </c>
      <c r="AP40" s="2168"/>
      <c r="AQ40" s="2168"/>
      <c r="AR40" s="2168"/>
      <c r="AS40" s="2168"/>
      <c r="AT40" s="2168"/>
      <c r="AU40" s="2168"/>
      <c r="AV40" s="2168"/>
    </row>
    <row r="41" spans="3:48" ht="24" hidden="1" outlineLevel="7">
      <c r="C41" s="2192" t="s">
        <v>1437</v>
      </c>
      <c r="D41" s="2178">
        <f t="shared" si="6"/>
        <v>210.26739000000001</v>
      </c>
      <c r="E41" s="2182">
        <f t="shared" si="43"/>
        <v>146.63</v>
      </c>
      <c r="F41" s="2088">
        <f t="shared" si="44"/>
        <v>11.61</v>
      </c>
      <c r="G41" s="2088">
        <f t="shared" si="45"/>
        <v>135.01999999999998</v>
      </c>
      <c r="H41" s="2182">
        <f>ROUND(SUMIF($C$248:$C$418,$C41,$D$248:$D$418)*'[30]Затраты 2016'!$U$14,5)</f>
        <v>59.357390000000002</v>
      </c>
      <c r="I41" s="2182">
        <f>SUMIF($C$420:$C$570,$C41,$D$420:$D$570)</f>
        <v>4.28</v>
      </c>
      <c r="J41" s="2182">
        <f>SUMIF($C$236:$C$246,$C41,$D$236:$D$246)</f>
        <v>0</v>
      </c>
      <c r="L41" s="2172"/>
      <c r="M41" s="2088">
        <f t="shared" si="8"/>
        <v>210.26739000000001</v>
      </c>
      <c r="N41" s="2088">
        <f t="shared" si="9"/>
        <v>198.65739000000002</v>
      </c>
      <c r="O41" s="2090"/>
      <c r="P41" s="2091" t="str">
        <f>VLOOKUP('СС 2016'!$C41,'[30]СС 2015'!$C:$O,13,FALSE)</f>
        <v xml:space="preserve"> - работы и услуги производственного характера</v>
      </c>
      <c r="Q41" s="2182">
        <v>143.32</v>
      </c>
      <c r="R41" s="2179">
        <f t="shared" si="10"/>
        <v>3.8894116412760796E-5</v>
      </c>
      <c r="S41" s="2179">
        <f t="shared" si="11"/>
        <v>3.31</v>
      </c>
      <c r="T41" s="2179"/>
      <c r="U41" s="2179"/>
      <c r="V41" s="2168"/>
      <c r="W41" s="2168"/>
      <c r="X41" s="2168"/>
      <c r="Y41" s="2168"/>
      <c r="Z41" s="2168"/>
      <c r="AA41" s="2168"/>
      <c r="AB41" s="2168"/>
      <c r="AC41" s="2168"/>
      <c r="AD41" s="2168"/>
      <c r="AE41" s="2183">
        <v>143.32</v>
      </c>
      <c r="AF41" s="2183"/>
      <c r="AG41" s="2183"/>
      <c r="AH41" s="3411">
        <v>117.55</v>
      </c>
      <c r="AI41" s="3411"/>
      <c r="AJ41" s="2183">
        <v>25.77</v>
      </c>
      <c r="AK41" s="2183"/>
      <c r="AL41" s="2183"/>
      <c r="AM41" s="2183"/>
      <c r="AN41" s="2183">
        <v>143.32</v>
      </c>
      <c r="AO41" s="2183">
        <v>143.32</v>
      </c>
      <c r="AP41" s="2168"/>
      <c r="AQ41" s="2168"/>
      <c r="AR41" s="2168"/>
      <c r="AS41" s="2168"/>
      <c r="AT41" s="2168"/>
      <c r="AU41" s="2168"/>
      <c r="AV41" s="2168"/>
    </row>
    <row r="42" spans="3:48" ht="24" hidden="1" outlineLevel="7">
      <c r="C42" s="2192" t="s">
        <v>1438</v>
      </c>
      <c r="D42" s="2178">
        <f t="shared" si="6"/>
        <v>13059.560989999998</v>
      </c>
      <c r="E42" s="2182">
        <f t="shared" si="43"/>
        <v>10577.71</v>
      </c>
      <c r="F42" s="2088">
        <f t="shared" si="44"/>
        <v>837.67</v>
      </c>
      <c r="G42" s="2088">
        <f t="shared" si="45"/>
        <v>9740.0399999999991</v>
      </c>
      <c r="H42" s="2182">
        <f>ROUND(SUMIF($C$248:$C$418,$C42,$D$248:$D$418)*'[30]Затраты 2016'!$U$14,5)</f>
        <v>2480.7809900000002</v>
      </c>
      <c r="I42" s="2182">
        <f>SUMIF($C$420:$C$570,$C42,$D$420:$D$570)</f>
        <v>1.07</v>
      </c>
      <c r="J42" s="2182">
        <f>SUMIF($C$236:$C$246,$C42,$D$236:$D$246)</f>
        <v>0</v>
      </c>
      <c r="L42" s="2172"/>
      <c r="M42" s="2088">
        <f t="shared" si="8"/>
        <v>13059.560989999998</v>
      </c>
      <c r="N42" s="2088">
        <f t="shared" si="9"/>
        <v>12221.890989999998</v>
      </c>
      <c r="O42" s="2090"/>
      <c r="P42" s="2091" t="str">
        <f>VLOOKUP('СС 2016'!$C42,'[30]СС 2015'!$C:$O,13,FALSE)</f>
        <v xml:space="preserve"> - работы и услуги производственного характера</v>
      </c>
      <c r="Q42" s="2182">
        <v>10339.23</v>
      </c>
      <c r="R42" s="2179">
        <f t="shared" si="10"/>
        <v>2.8058555347356181E-3</v>
      </c>
      <c r="S42" s="2179">
        <f t="shared" si="11"/>
        <v>238.48</v>
      </c>
      <c r="T42" s="2179"/>
      <c r="U42" s="2179"/>
      <c r="V42" s="2168"/>
      <c r="W42" s="2168"/>
      <c r="X42" s="2168"/>
      <c r="Y42" s="2168"/>
      <c r="Z42" s="2168"/>
      <c r="AA42" s="2168"/>
      <c r="AB42" s="2168"/>
      <c r="AC42" s="2168"/>
      <c r="AD42" s="2168"/>
      <c r="AE42" s="2183">
        <v>10339.23</v>
      </c>
      <c r="AF42" s="2183"/>
      <c r="AG42" s="2183">
        <v>392.93</v>
      </c>
      <c r="AH42" s="3411">
        <v>9873.7099999999991</v>
      </c>
      <c r="AI42" s="3411"/>
      <c r="AJ42" s="2183">
        <v>72.59</v>
      </c>
      <c r="AK42" s="2183"/>
      <c r="AL42" s="2183"/>
      <c r="AM42" s="2183"/>
      <c r="AN42" s="2183">
        <v>10339.23</v>
      </c>
      <c r="AO42" s="2183">
        <v>10339.23</v>
      </c>
      <c r="AP42" s="2168"/>
      <c r="AQ42" s="2168"/>
      <c r="AR42" s="2168"/>
      <c r="AS42" s="2168"/>
      <c r="AT42" s="2168"/>
      <c r="AU42" s="2168"/>
      <c r="AV42" s="2168"/>
    </row>
    <row r="43" spans="3:48" ht="12" hidden="1" outlineLevel="6">
      <c r="C43" s="2191" t="s">
        <v>1477</v>
      </c>
      <c r="D43" s="2178">
        <f t="shared" ref="D43:J43" si="46">SUM(D44:D48)</f>
        <v>252.93118000000001</v>
      </c>
      <c r="E43" s="2178">
        <f t="shared" si="46"/>
        <v>191.01</v>
      </c>
      <c r="F43" s="2178">
        <f t="shared" si="46"/>
        <v>15.13</v>
      </c>
      <c r="G43" s="2178">
        <f t="shared" si="46"/>
        <v>175.88</v>
      </c>
      <c r="H43" s="2178">
        <f t="shared" si="46"/>
        <v>57.651179999999997</v>
      </c>
      <c r="I43" s="2178">
        <f t="shared" si="46"/>
        <v>4.2699999999999996</v>
      </c>
      <c r="J43" s="2178">
        <f t="shared" si="46"/>
        <v>0</v>
      </c>
      <c r="L43" s="2172"/>
      <c r="M43" s="2088">
        <f t="shared" si="8"/>
        <v>252.93118000000001</v>
      </c>
      <c r="N43" s="2088">
        <f t="shared" si="9"/>
        <v>237.80118000000002</v>
      </c>
      <c r="O43" s="2090"/>
      <c r="P43" s="2173"/>
      <c r="Q43" s="2178">
        <f t="shared" ref="Q43" si="47">SUM(Q44:Q48)</f>
        <v>186.70000000000002</v>
      </c>
      <c r="R43" s="2179" t="str">
        <f t="shared" si="10"/>
        <v/>
      </c>
      <c r="S43" s="2179" t="str">
        <f t="shared" si="11"/>
        <v/>
      </c>
      <c r="T43" s="2179"/>
      <c r="U43" s="2179"/>
      <c r="V43" s="2168"/>
      <c r="W43" s="2168"/>
      <c r="X43" s="2168"/>
      <c r="Y43" s="2168"/>
      <c r="Z43" s="2168"/>
      <c r="AA43" s="2168"/>
      <c r="AB43" s="2168"/>
      <c r="AC43" s="2168"/>
      <c r="AD43" s="2168"/>
      <c r="AE43" s="2180">
        <v>186.7</v>
      </c>
      <c r="AF43" s="2180"/>
      <c r="AG43" s="2180"/>
      <c r="AH43" s="3412">
        <v>141.57</v>
      </c>
      <c r="AI43" s="3412"/>
      <c r="AJ43" s="2180">
        <v>45.13</v>
      </c>
      <c r="AK43" s="2180"/>
      <c r="AL43" s="2180"/>
      <c r="AM43" s="2180"/>
      <c r="AN43" s="2180">
        <v>186.7</v>
      </c>
      <c r="AO43" s="2180">
        <v>186.7</v>
      </c>
      <c r="AP43" s="2168"/>
      <c r="AQ43" s="2168"/>
      <c r="AR43" s="2168"/>
      <c r="AS43" s="2168"/>
      <c r="AT43" s="2168"/>
      <c r="AU43" s="2168"/>
      <c r="AV43" s="2168"/>
    </row>
    <row r="44" spans="3:48" ht="24" hidden="1" outlineLevel="7">
      <c r="C44" s="2192" t="s">
        <v>1439</v>
      </c>
      <c r="D44" s="2178">
        <f t="shared" si="6"/>
        <v>58.597299999999997</v>
      </c>
      <c r="E44" s="2182">
        <f t="shared" ref="E44:E48" si="48">SUM(Q44,S44)</f>
        <v>46.589999999999996</v>
      </c>
      <c r="F44" s="2088">
        <f t="shared" ref="F44:F48" si="49">ROUND(E44*$U$1,2)</f>
        <v>3.69</v>
      </c>
      <c r="G44" s="2088">
        <f t="shared" ref="G44:G48" si="50">E44-F44</f>
        <v>42.9</v>
      </c>
      <c r="H44" s="2182">
        <f>ROUND(SUMIF($C$248:$C$418,$C44,$D$248:$D$418)*'[30]Затраты 2016'!$U$14,5)</f>
        <v>11.8973</v>
      </c>
      <c r="I44" s="2182">
        <f>SUMIF($C$420:$C$570,$C44,$D$420:$D$570)</f>
        <v>0.11</v>
      </c>
      <c r="J44" s="2182">
        <f>SUMIF($C$236:$C$246,$C44,$D$236:$D$246)</f>
        <v>0</v>
      </c>
      <c r="L44" s="2172"/>
      <c r="M44" s="2088">
        <f t="shared" si="8"/>
        <v>58.597299999999997</v>
      </c>
      <c r="N44" s="2088">
        <f t="shared" si="9"/>
        <v>54.907299999999999</v>
      </c>
      <c r="O44" s="2090"/>
      <c r="P44" s="2091" t="str">
        <f>VLOOKUP('СС 2016'!$C44,'[30]СС 2015'!$C:$O,13,FALSE)</f>
        <v xml:space="preserve"> - работы и услуги производственного характера</v>
      </c>
      <c r="Q44" s="2182">
        <v>45.54</v>
      </c>
      <c r="R44" s="2179">
        <f t="shared" si="10"/>
        <v>1.2358624486722905E-5</v>
      </c>
      <c r="S44" s="2179">
        <f t="shared" si="11"/>
        <v>1.05</v>
      </c>
      <c r="T44" s="2179"/>
      <c r="U44" s="2179"/>
      <c r="V44" s="2168"/>
      <c r="W44" s="2168"/>
      <c r="X44" s="2168"/>
      <c r="Y44" s="2168"/>
      <c r="Z44" s="2168"/>
      <c r="AA44" s="2168"/>
      <c r="AB44" s="2168"/>
      <c r="AC44" s="2168"/>
      <c r="AD44" s="2168"/>
      <c r="AE44" s="2183">
        <v>45.54</v>
      </c>
      <c r="AF44" s="2183"/>
      <c r="AG44" s="2183"/>
      <c r="AH44" s="3411">
        <v>45.54</v>
      </c>
      <c r="AI44" s="3411"/>
      <c r="AJ44" s="2183"/>
      <c r="AK44" s="2183"/>
      <c r="AL44" s="2183"/>
      <c r="AM44" s="2183"/>
      <c r="AN44" s="2183">
        <v>45.54</v>
      </c>
      <c r="AO44" s="2183">
        <v>45.54</v>
      </c>
      <c r="AP44" s="2168"/>
      <c r="AQ44" s="2168"/>
      <c r="AR44" s="2168"/>
      <c r="AS44" s="2168"/>
      <c r="AT44" s="2168"/>
      <c r="AU44" s="2168"/>
      <c r="AV44" s="2168"/>
    </row>
    <row r="45" spans="3:48" ht="24" hidden="1" outlineLevel="7">
      <c r="C45" s="2192" t="s">
        <v>1440</v>
      </c>
      <c r="D45" s="2178">
        <f t="shared" si="6"/>
        <v>12.05532</v>
      </c>
      <c r="E45" s="2182">
        <f t="shared" si="48"/>
        <v>10.17</v>
      </c>
      <c r="F45" s="2088">
        <f t="shared" si="49"/>
        <v>0.81</v>
      </c>
      <c r="G45" s="2088">
        <f t="shared" si="50"/>
        <v>9.36</v>
      </c>
      <c r="H45" s="2182">
        <f>ROUND(SUMIF($C$248:$C$418,$C45,$D$248:$D$418)*'[30]Затраты 2016'!$U$14,5)</f>
        <v>1.8353200000000001</v>
      </c>
      <c r="I45" s="2182">
        <f>SUMIF($C$420:$C$570,$C45,$D$420:$D$570)</f>
        <v>0.05</v>
      </c>
      <c r="J45" s="2182">
        <f>SUMIF($C$236:$C$246,$C45,$D$236:$D$246)</f>
        <v>0</v>
      </c>
      <c r="L45" s="2172"/>
      <c r="M45" s="2088">
        <f t="shared" si="8"/>
        <v>12.05532</v>
      </c>
      <c r="N45" s="2088">
        <f t="shared" si="9"/>
        <v>11.24532</v>
      </c>
      <c r="O45" s="2090"/>
      <c r="P45" s="2091" t="str">
        <f>VLOOKUP('СС 2016'!$C45,'[30]СС 2015'!$C:$O,13,FALSE)</f>
        <v xml:space="preserve"> - работы и услуги производственного характера</v>
      </c>
      <c r="Q45" s="2182">
        <v>9.94</v>
      </c>
      <c r="R45" s="2179">
        <f t="shared" si="10"/>
        <v>2.6975126789201946E-6</v>
      </c>
      <c r="S45" s="2179">
        <f t="shared" si="11"/>
        <v>0.23</v>
      </c>
      <c r="T45" s="2179"/>
      <c r="U45" s="2179"/>
      <c r="V45" s="2168"/>
      <c r="W45" s="2168"/>
      <c r="X45" s="2168"/>
      <c r="Y45" s="2168"/>
      <c r="Z45" s="2168"/>
      <c r="AA45" s="2168"/>
      <c r="AB45" s="2168"/>
      <c r="AC45" s="2168"/>
      <c r="AD45" s="2168"/>
      <c r="AE45" s="2183">
        <v>9.94</v>
      </c>
      <c r="AF45" s="2183"/>
      <c r="AG45" s="2183"/>
      <c r="AH45" s="3411">
        <v>0.3</v>
      </c>
      <c r="AI45" s="3411"/>
      <c r="AJ45" s="2183">
        <v>9.64</v>
      </c>
      <c r="AK45" s="2183"/>
      <c r="AL45" s="2183"/>
      <c r="AM45" s="2183"/>
      <c r="AN45" s="2183">
        <v>9.94</v>
      </c>
      <c r="AO45" s="2183">
        <v>9.94</v>
      </c>
      <c r="AP45" s="2168"/>
      <c r="AQ45" s="2168"/>
      <c r="AR45" s="2168"/>
      <c r="AS45" s="2168"/>
      <c r="AT45" s="2168"/>
      <c r="AU45" s="2168"/>
      <c r="AV45" s="2168"/>
    </row>
    <row r="46" spans="3:48" ht="24" hidden="1" outlineLevel="7">
      <c r="C46" s="2192" t="s">
        <v>1441</v>
      </c>
      <c r="D46" s="2178">
        <f t="shared" si="6"/>
        <v>1.4952300000000001</v>
      </c>
      <c r="E46" s="2182">
        <f t="shared" si="48"/>
        <v>1.31</v>
      </c>
      <c r="F46" s="2088">
        <f t="shared" si="49"/>
        <v>0.1</v>
      </c>
      <c r="G46" s="2088">
        <f t="shared" si="50"/>
        <v>1.21</v>
      </c>
      <c r="H46" s="2182">
        <f>ROUND(SUMIF($C$248:$C$418,$C46,$D$248:$D$418)*'[30]Затраты 2016'!$U$14,5)</f>
        <v>0.17523</v>
      </c>
      <c r="I46" s="2182">
        <f>SUMIF($C$420:$C$570,$C46,$D$420:$D$570)</f>
        <v>0.01</v>
      </c>
      <c r="J46" s="2182">
        <f>SUMIF($C$236:$C$246,$C46,$D$236:$D$246)</f>
        <v>0</v>
      </c>
      <c r="L46" s="2172"/>
      <c r="M46" s="2088">
        <f t="shared" si="8"/>
        <v>1.4952300000000001</v>
      </c>
      <c r="N46" s="2088">
        <f t="shared" si="9"/>
        <v>1.39523</v>
      </c>
      <c r="O46" s="2090"/>
      <c r="P46" s="2091" t="str">
        <f>VLOOKUP('СС 2016'!$C46,'[30]СС 2015'!$C:$O,13,FALSE)</f>
        <v xml:space="preserve"> - работы и услуги производственного характера</v>
      </c>
      <c r="Q46" s="2182">
        <v>1.28</v>
      </c>
      <c r="R46" s="2179">
        <f t="shared" si="10"/>
        <v>3.4736581780863677E-7</v>
      </c>
      <c r="S46" s="2179">
        <f t="shared" si="11"/>
        <v>0.03</v>
      </c>
      <c r="T46" s="2179"/>
      <c r="U46" s="2179"/>
      <c r="V46" s="2168"/>
      <c r="W46" s="2168"/>
      <c r="X46" s="2168"/>
      <c r="Y46" s="2168"/>
      <c r="Z46" s="2168"/>
      <c r="AA46" s="2168"/>
      <c r="AB46" s="2168"/>
      <c r="AC46" s="2168"/>
      <c r="AD46" s="2168"/>
      <c r="AE46" s="2183">
        <v>1.28</v>
      </c>
      <c r="AF46" s="2183"/>
      <c r="AG46" s="2183"/>
      <c r="AH46" s="2185"/>
      <c r="AI46" s="2186"/>
      <c r="AJ46" s="2183">
        <v>1.28</v>
      </c>
      <c r="AK46" s="2183"/>
      <c r="AL46" s="2183"/>
      <c r="AM46" s="2183"/>
      <c r="AN46" s="2183">
        <v>1.28</v>
      </c>
      <c r="AO46" s="2183">
        <v>1.28</v>
      </c>
      <c r="AP46" s="2168"/>
      <c r="AQ46" s="2168"/>
      <c r="AR46" s="2168"/>
      <c r="AS46" s="2168"/>
      <c r="AT46" s="2168"/>
      <c r="AU46" s="2168"/>
      <c r="AV46" s="2168"/>
    </row>
    <row r="47" spans="3:48" ht="36" hidden="1" outlineLevel="7">
      <c r="C47" s="2192" t="s">
        <v>1442</v>
      </c>
      <c r="D47" s="2178">
        <f t="shared" si="6"/>
        <v>155.02428</v>
      </c>
      <c r="E47" s="2182">
        <f t="shared" si="48"/>
        <v>115.3</v>
      </c>
      <c r="F47" s="2088">
        <f t="shared" si="49"/>
        <v>9.1300000000000008</v>
      </c>
      <c r="G47" s="2088">
        <f t="shared" si="50"/>
        <v>106.17</v>
      </c>
      <c r="H47" s="2182">
        <f>ROUND(SUMIF($C$248:$C$418,$C47,$D$248:$D$418)*'[30]Затраты 2016'!$U$14,5)</f>
        <v>36.494280000000003</v>
      </c>
      <c r="I47" s="2182">
        <f>SUMIF($C$420:$C$570,$C47,$D$420:$D$570)</f>
        <v>3.23</v>
      </c>
      <c r="J47" s="2182">
        <f>SUMIF($C$236:$C$246,$C47,$D$236:$D$246)</f>
        <v>0</v>
      </c>
      <c r="L47" s="2172"/>
      <c r="M47" s="2088">
        <f t="shared" si="8"/>
        <v>155.02428</v>
      </c>
      <c r="N47" s="2088">
        <f t="shared" si="9"/>
        <v>145.89428000000001</v>
      </c>
      <c r="O47" s="2090"/>
      <c r="P47" s="2091" t="str">
        <f>VLOOKUP('СС 2016'!$C47,'[30]СС 2015'!$C:$O,13,FALSE)</f>
        <v xml:space="preserve"> - работы и услуги производственного характера</v>
      </c>
      <c r="Q47" s="2182">
        <v>112.7</v>
      </c>
      <c r="R47" s="2179">
        <f t="shared" si="10"/>
        <v>3.0584474739869816E-5</v>
      </c>
      <c r="S47" s="2179">
        <f t="shared" si="11"/>
        <v>2.6</v>
      </c>
      <c r="T47" s="2179"/>
      <c r="U47" s="2179"/>
      <c r="V47" s="2168"/>
      <c r="W47" s="2168"/>
      <c r="X47" s="2168"/>
      <c r="Y47" s="2168"/>
      <c r="Z47" s="2168"/>
      <c r="AA47" s="2168"/>
      <c r="AB47" s="2168"/>
      <c r="AC47" s="2168"/>
      <c r="AD47" s="2168"/>
      <c r="AE47" s="2183">
        <v>112.7</v>
      </c>
      <c r="AF47" s="2183"/>
      <c r="AG47" s="2183"/>
      <c r="AH47" s="3411">
        <v>80.510000000000005</v>
      </c>
      <c r="AI47" s="3411"/>
      <c r="AJ47" s="2183">
        <v>32.19</v>
      </c>
      <c r="AK47" s="2183"/>
      <c r="AL47" s="2183"/>
      <c r="AM47" s="2183"/>
      <c r="AN47" s="2183">
        <v>112.7</v>
      </c>
      <c r="AO47" s="2183">
        <v>112.7</v>
      </c>
      <c r="AP47" s="2168"/>
      <c r="AQ47" s="2168"/>
      <c r="AR47" s="2168"/>
      <c r="AS47" s="2168"/>
      <c r="AT47" s="2168"/>
      <c r="AU47" s="2168"/>
      <c r="AV47" s="2168"/>
    </row>
    <row r="48" spans="3:48" ht="24" hidden="1" outlineLevel="7">
      <c r="C48" s="2192" t="s">
        <v>1443</v>
      </c>
      <c r="D48" s="2178">
        <f t="shared" si="6"/>
        <v>25.759049999999998</v>
      </c>
      <c r="E48" s="2182">
        <f t="shared" si="48"/>
        <v>17.639999999999997</v>
      </c>
      <c r="F48" s="2088">
        <f t="shared" si="49"/>
        <v>1.4</v>
      </c>
      <c r="G48" s="2088">
        <f t="shared" si="50"/>
        <v>16.239999999999998</v>
      </c>
      <c r="H48" s="2182">
        <f>ROUND(SUMIF($C$248:$C$418,$C48,$D$248:$D$418)*'[30]Затраты 2016'!$U$14,5)</f>
        <v>7.2490500000000004</v>
      </c>
      <c r="I48" s="2182">
        <f>SUMIF($C$420:$C$570,$C48,$D$420:$D$570)</f>
        <v>0.87</v>
      </c>
      <c r="J48" s="2182">
        <f>SUMIF($C$236:$C$246,$C48,$D$236:$D$246)</f>
        <v>0</v>
      </c>
      <c r="L48" s="2172"/>
      <c r="M48" s="2088">
        <f t="shared" si="8"/>
        <v>25.759049999999998</v>
      </c>
      <c r="N48" s="2088">
        <f t="shared" si="9"/>
        <v>24.35905</v>
      </c>
      <c r="O48" s="2090"/>
      <c r="P48" s="2193" t="str">
        <f>$C$192</f>
        <v xml:space="preserve"> - работы и услуги производственного характера</v>
      </c>
      <c r="Q48" s="2182">
        <v>17.239999999999998</v>
      </c>
      <c r="R48" s="2179">
        <f t="shared" si="10"/>
        <v>4.6785833586100759E-6</v>
      </c>
      <c r="S48" s="2179">
        <f t="shared" si="11"/>
        <v>0.4</v>
      </c>
      <c r="T48" s="2179"/>
      <c r="U48" s="2179"/>
      <c r="V48" s="2168"/>
      <c r="W48" s="2168"/>
      <c r="X48" s="2168"/>
      <c r="Y48" s="2168"/>
      <c r="Z48" s="2168"/>
      <c r="AA48" s="2168"/>
      <c r="AB48" s="2168"/>
      <c r="AC48" s="2168"/>
      <c r="AD48" s="2168"/>
      <c r="AE48" s="2183">
        <v>17.239999999999998</v>
      </c>
      <c r="AF48" s="2183"/>
      <c r="AG48" s="2183"/>
      <c r="AH48" s="3411">
        <v>15.22</v>
      </c>
      <c r="AI48" s="3411"/>
      <c r="AJ48" s="2183">
        <v>2.02</v>
      </c>
      <c r="AK48" s="2183"/>
      <c r="AL48" s="2183"/>
      <c r="AM48" s="2183"/>
      <c r="AN48" s="2183">
        <v>17.239999999999998</v>
      </c>
      <c r="AO48" s="2183">
        <v>17.239999999999998</v>
      </c>
      <c r="AP48" s="2168"/>
      <c r="AQ48" s="2168"/>
      <c r="AR48" s="2168"/>
      <c r="AS48" s="2168"/>
      <c r="AT48" s="2168"/>
      <c r="AU48" s="2168"/>
      <c r="AV48" s="2168"/>
    </row>
    <row r="49" spans="3:48" ht="12" outlineLevel="4" collapsed="1">
      <c r="C49" s="2187" t="s">
        <v>1478</v>
      </c>
      <c r="D49" s="2177">
        <f t="shared" ref="D49:J49" si="51">SUM(D50,D53,D54,D59,D68)</f>
        <v>72505.968800000002</v>
      </c>
      <c r="E49" s="2178">
        <f t="shared" si="51"/>
        <v>65166.37</v>
      </c>
      <c r="F49" s="2178">
        <f t="shared" si="51"/>
        <v>5160.66</v>
      </c>
      <c r="G49" s="2178">
        <f t="shared" si="51"/>
        <v>60005.710000000006</v>
      </c>
      <c r="H49" s="2178">
        <f t="shared" si="51"/>
        <v>7260.3788000000013</v>
      </c>
      <c r="I49" s="2178">
        <f t="shared" si="51"/>
        <v>79.22</v>
      </c>
      <c r="J49" s="2178">
        <f t="shared" si="51"/>
        <v>0</v>
      </c>
      <c r="L49" s="2172"/>
      <c r="M49" s="2088">
        <f t="shared" si="8"/>
        <v>72505.968800000002</v>
      </c>
      <c r="N49" s="2088">
        <f t="shared" si="9"/>
        <v>67345.308799999999</v>
      </c>
      <c r="O49" s="2090"/>
      <c r="P49" s="2173"/>
      <c r="Q49" s="2178">
        <f t="shared" ref="Q49" si="52">SUM(Q50,Q53,Q54,Q59,Q68)</f>
        <v>63697.170000000006</v>
      </c>
      <c r="R49" s="2179" t="str">
        <f t="shared" si="10"/>
        <v/>
      </c>
      <c r="S49" s="2179" t="str">
        <f t="shared" si="11"/>
        <v/>
      </c>
      <c r="T49" s="2179"/>
      <c r="U49" s="2179"/>
      <c r="V49" s="2168"/>
      <c r="W49" s="2168"/>
      <c r="X49" s="2168"/>
      <c r="Y49" s="2168"/>
      <c r="Z49" s="2168"/>
      <c r="AA49" s="2168"/>
      <c r="AB49" s="2168"/>
      <c r="AC49" s="2168"/>
      <c r="AD49" s="2168"/>
      <c r="AE49" s="2180">
        <v>63697.17</v>
      </c>
      <c r="AF49" s="2180">
        <v>8857.5400000000009</v>
      </c>
      <c r="AG49" s="2180">
        <v>26065.37</v>
      </c>
      <c r="AH49" s="3412">
        <v>27255.9</v>
      </c>
      <c r="AI49" s="3412"/>
      <c r="AJ49" s="2180">
        <v>1518.36</v>
      </c>
      <c r="AK49" s="2180"/>
      <c r="AL49" s="2180"/>
      <c r="AM49" s="2180"/>
      <c r="AN49" s="2180">
        <v>63697.17</v>
      </c>
      <c r="AO49" s="2180">
        <v>63697.17</v>
      </c>
      <c r="AP49" s="2168"/>
      <c r="AQ49" s="2168"/>
      <c r="AR49" s="2168"/>
      <c r="AS49" s="2168"/>
      <c r="AT49" s="2168"/>
      <c r="AU49" s="2168"/>
      <c r="AV49" s="2168"/>
    </row>
    <row r="50" spans="3:48" ht="12" hidden="1" outlineLevel="5">
      <c r="C50" s="2189" t="s">
        <v>1479</v>
      </c>
      <c r="D50" s="2178">
        <f t="shared" ref="D50:J50" si="53">SUM(D51:D52)</f>
        <v>39392.829420000002</v>
      </c>
      <c r="E50" s="2178">
        <f t="shared" si="53"/>
        <v>36008.89</v>
      </c>
      <c r="F50" s="2178">
        <f t="shared" si="53"/>
        <v>2851.62</v>
      </c>
      <c r="G50" s="2178">
        <f t="shared" si="53"/>
        <v>33157.270000000004</v>
      </c>
      <c r="H50" s="2178">
        <f t="shared" si="53"/>
        <v>3349.2194200000004</v>
      </c>
      <c r="I50" s="2178">
        <f t="shared" si="53"/>
        <v>34.72</v>
      </c>
      <c r="J50" s="2178">
        <f t="shared" si="53"/>
        <v>0</v>
      </c>
      <c r="L50" s="2172"/>
      <c r="M50" s="2088">
        <f t="shared" si="8"/>
        <v>39392.829420000002</v>
      </c>
      <c r="N50" s="2088">
        <f t="shared" si="9"/>
        <v>36541.209419999999</v>
      </c>
      <c r="O50" s="2090"/>
      <c r="P50" s="2173"/>
      <c r="Q50" s="2178">
        <f t="shared" ref="Q50" si="54">SUM(Q51:Q52)</f>
        <v>35197.040000000001</v>
      </c>
      <c r="R50" s="2179" t="str">
        <f t="shared" si="10"/>
        <v/>
      </c>
      <c r="S50" s="2179" t="str">
        <f t="shared" si="11"/>
        <v/>
      </c>
      <c r="T50" s="2179"/>
      <c r="U50" s="2179"/>
      <c r="V50" s="2168"/>
      <c r="W50" s="2168"/>
      <c r="X50" s="2093" t="s">
        <v>3766</v>
      </c>
      <c r="Y50" s="2168"/>
      <c r="Z50" s="2168"/>
      <c r="AA50" s="2168"/>
      <c r="AB50" s="2168"/>
      <c r="AC50" s="2168"/>
      <c r="AD50" s="2168"/>
      <c r="AE50" s="2180">
        <v>35197.040000000001</v>
      </c>
      <c r="AF50" s="2180"/>
      <c r="AG50" s="2180">
        <v>22457.73</v>
      </c>
      <c r="AH50" s="3412">
        <v>12202.71</v>
      </c>
      <c r="AI50" s="3412"/>
      <c r="AJ50" s="2180">
        <v>536.6</v>
      </c>
      <c r="AK50" s="2180"/>
      <c r="AL50" s="2180"/>
      <c r="AM50" s="2180"/>
      <c r="AN50" s="2180">
        <v>35197.040000000001</v>
      </c>
      <c r="AO50" s="2180">
        <v>35197.040000000001</v>
      </c>
      <c r="AP50" s="2168"/>
      <c r="AQ50" s="2168"/>
      <c r="AR50" s="2168"/>
      <c r="AS50" s="2168"/>
      <c r="AT50" s="2168"/>
      <c r="AU50" s="2168"/>
      <c r="AV50" s="2168"/>
    </row>
    <row r="51" spans="3:48" ht="24" hidden="1" outlineLevel="6">
      <c r="C51" s="2190" t="s">
        <v>1327</v>
      </c>
      <c r="D51" s="2178">
        <f t="shared" si="6"/>
        <v>37539.993580000002</v>
      </c>
      <c r="E51" s="2182">
        <f t="shared" ref="E51:E53" si="55">SUM(Q51,S51)</f>
        <v>34520.230000000003</v>
      </c>
      <c r="F51" s="2088">
        <f t="shared" ref="F51:F53" si="56">ROUND(E51*$U$1,2)</f>
        <v>2733.73</v>
      </c>
      <c r="G51" s="2088">
        <f t="shared" ref="G51:G53" si="57">E51-F51</f>
        <v>31786.500000000004</v>
      </c>
      <c r="H51" s="2182">
        <f>ROUND(SUMIF($C$248:$C$418,$C51,$D$248:$D$418)*'[30]Затраты 2016'!$U$14,5)</f>
        <v>3000.0935800000002</v>
      </c>
      <c r="I51" s="2182">
        <f>SUMIF($C$420:$C$570,$C51,$D$420:$D$570)</f>
        <v>19.670000000000002</v>
      </c>
      <c r="J51" s="2182">
        <f>SUMIF($C$236:$C$246,$C51,$D$236:$D$246)</f>
        <v>0</v>
      </c>
      <c r="L51" s="2172"/>
      <c r="M51" s="2088">
        <f t="shared" si="8"/>
        <v>37539.993580000002</v>
      </c>
      <c r="N51" s="2088">
        <f t="shared" si="9"/>
        <v>34806.263579999999</v>
      </c>
      <c r="O51" s="2090"/>
      <c r="P51" s="2091" t="str">
        <f>VLOOKUP('СС 2016'!$C51,'[30]СС 2015'!$C:$O,13,FALSE)</f>
        <v>Вспомогательные материалы</v>
      </c>
      <c r="Q51" s="2182">
        <v>33741.94</v>
      </c>
      <c r="R51" s="2179">
        <f t="shared" si="10"/>
        <v>9.1568723301171506E-3</v>
      </c>
      <c r="S51" s="2179">
        <f t="shared" si="11"/>
        <v>778.29</v>
      </c>
      <c r="T51" s="2179"/>
      <c r="U51" s="2179"/>
      <c r="V51" s="2168"/>
      <c r="W51" s="2168"/>
      <c r="X51" s="2093"/>
      <c r="Y51" s="2168"/>
      <c r="Z51" s="2168"/>
      <c r="AA51" s="2168"/>
      <c r="AB51" s="2168"/>
      <c r="AC51" s="2168"/>
      <c r="AD51" s="2168"/>
      <c r="AE51" s="2183">
        <v>33741.94</v>
      </c>
      <c r="AF51" s="2183"/>
      <c r="AG51" s="2183">
        <v>22457.73</v>
      </c>
      <c r="AH51" s="3411">
        <v>11123.45</v>
      </c>
      <c r="AI51" s="3411"/>
      <c r="AJ51" s="2183">
        <v>160.76</v>
      </c>
      <c r="AK51" s="2183"/>
      <c r="AL51" s="2183"/>
      <c r="AM51" s="2183"/>
      <c r="AN51" s="2183">
        <v>33741.94</v>
      </c>
      <c r="AO51" s="2183">
        <v>33741.94</v>
      </c>
      <c r="AP51" s="2168"/>
      <c r="AQ51" s="2168"/>
      <c r="AR51" s="2168"/>
      <c r="AS51" s="2168"/>
      <c r="AT51" s="2168"/>
      <c r="AU51" s="2168"/>
      <c r="AV51" s="2168"/>
    </row>
    <row r="52" spans="3:48" ht="24" hidden="1" outlineLevel="6">
      <c r="C52" s="2190" t="s">
        <v>1328</v>
      </c>
      <c r="D52" s="2178">
        <f t="shared" si="6"/>
        <v>1852.8358399999997</v>
      </c>
      <c r="E52" s="2182">
        <f t="shared" si="55"/>
        <v>1488.6599999999999</v>
      </c>
      <c r="F52" s="2088">
        <f t="shared" si="56"/>
        <v>117.89</v>
      </c>
      <c r="G52" s="2088">
        <f t="shared" si="57"/>
        <v>1370.7699999999998</v>
      </c>
      <c r="H52" s="2182">
        <f>ROUND(SUMIF($C$248:$C$418,$C52,$D$248:$D$418)*'[30]Затраты 2016'!$U$14,5)</f>
        <v>349.12583999999998</v>
      </c>
      <c r="I52" s="2182">
        <f>SUMIF($C$420:$C$570,$C52,$D$420:$D$570)</f>
        <v>15.05</v>
      </c>
      <c r="J52" s="2182">
        <f>SUMIF($C$236:$C$246,$C52,$D$236:$D$246)</f>
        <v>0</v>
      </c>
      <c r="L52" s="2172"/>
      <c r="M52" s="2088">
        <f t="shared" si="8"/>
        <v>1852.8358399999997</v>
      </c>
      <c r="N52" s="2088">
        <f t="shared" si="9"/>
        <v>1734.9458399999996</v>
      </c>
      <c r="O52" s="2090"/>
      <c r="P52" s="2091" t="str">
        <f>VLOOKUP('СС 2016'!$C52,'[30]СС 2015'!$C:$O,13,FALSE)</f>
        <v>Вспомогательные материалы</v>
      </c>
      <c r="Q52" s="2182">
        <v>1455.1</v>
      </c>
      <c r="R52" s="2179">
        <f t="shared" si="10"/>
        <v>3.9488437616667758E-4</v>
      </c>
      <c r="S52" s="2179">
        <f t="shared" si="11"/>
        <v>33.56</v>
      </c>
      <c r="T52" s="2179"/>
      <c r="U52" s="2179"/>
      <c r="V52" s="2168"/>
      <c r="W52" s="2168"/>
      <c r="X52" s="2168"/>
      <c r="Y52" s="2168"/>
      <c r="Z52" s="2168"/>
      <c r="AA52" s="2168"/>
      <c r="AB52" s="2168"/>
      <c r="AC52" s="2168"/>
      <c r="AD52" s="2168"/>
      <c r="AE52" s="2183">
        <v>1455.1</v>
      </c>
      <c r="AF52" s="2183"/>
      <c r="AG52" s="2183"/>
      <c r="AH52" s="3411">
        <v>1079.26</v>
      </c>
      <c r="AI52" s="3411"/>
      <c r="AJ52" s="2183">
        <v>375.84</v>
      </c>
      <c r="AK52" s="2183"/>
      <c r="AL52" s="2183"/>
      <c r="AM52" s="2183"/>
      <c r="AN52" s="2183">
        <v>1455.1</v>
      </c>
      <c r="AO52" s="2183">
        <v>1455.1</v>
      </c>
      <c r="AP52" s="2168"/>
      <c r="AQ52" s="2168"/>
      <c r="AR52" s="2168"/>
      <c r="AS52" s="2168"/>
      <c r="AT52" s="2168"/>
      <c r="AU52" s="2168"/>
      <c r="AV52" s="2168"/>
    </row>
    <row r="53" spans="3:48" ht="24" hidden="1" outlineLevel="5">
      <c r="C53" s="2188" t="s">
        <v>3828</v>
      </c>
      <c r="D53" s="2194">
        <f t="shared" si="6"/>
        <v>0</v>
      </c>
      <c r="E53" s="2182">
        <f t="shared" si="55"/>
        <v>0</v>
      </c>
      <c r="F53" s="2088">
        <f t="shared" si="56"/>
        <v>0</v>
      </c>
      <c r="G53" s="2088">
        <f t="shared" si="57"/>
        <v>0</v>
      </c>
      <c r="H53" s="2182">
        <f>ROUND(SUMIF($C$248:$C$418,$C53,$D$248:$D$418)*'[30]Затраты 2016'!$U$14,5)</f>
        <v>0</v>
      </c>
      <c r="I53" s="2182">
        <f>SUMIF($C$420:$C$570,$C53,$D$420:$D$570)</f>
        <v>0</v>
      </c>
      <c r="J53" s="2195">
        <f>SUMIF($C$236:$C$246,$C53,$D$236:$D$246)</f>
        <v>0</v>
      </c>
      <c r="L53" s="2172"/>
      <c r="M53" s="2088">
        <f t="shared" si="8"/>
        <v>0</v>
      </c>
      <c r="N53" s="2088">
        <f t="shared" si="9"/>
        <v>0</v>
      </c>
      <c r="O53" s="2090"/>
      <c r="P53" s="2193" t="str">
        <f>$C$184</f>
        <v>Вспомогательные материалы</v>
      </c>
      <c r="Q53" s="2195"/>
      <c r="R53" s="2179">
        <f t="shared" si="10"/>
        <v>0</v>
      </c>
      <c r="S53" s="2179">
        <f t="shared" si="11"/>
        <v>0</v>
      </c>
      <c r="T53" s="2179"/>
      <c r="U53" s="2179"/>
      <c r="V53" s="2168"/>
      <c r="W53" s="2168"/>
      <c r="X53" s="2168"/>
      <c r="Y53" s="2168"/>
      <c r="Z53" s="2168"/>
      <c r="AA53" s="2168"/>
      <c r="AB53" s="2168"/>
      <c r="AC53" s="2168"/>
      <c r="AD53" s="2168"/>
      <c r="AE53" s="2183"/>
      <c r="AF53" s="2183"/>
      <c r="AG53" s="2183"/>
      <c r="AH53" s="2185"/>
      <c r="AI53" s="2186"/>
      <c r="AJ53" s="2183"/>
      <c r="AK53" s="2183"/>
      <c r="AL53" s="2183"/>
      <c r="AM53" s="2183"/>
      <c r="AN53" s="2183"/>
      <c r="AO53" s="2183"/>
      <c r="AP53" s="2168"/>
      <c r="AQ53" s="2168"/>
      <c r="AR53" s="2168"/>
      <c r="AS53" s="2168"/>
      <c r="AT53" s="2168"/>
      <c r="AU53" s="2168"/>
      <c r="AV53" s="2168"/>
    </row>
    <row r="54" spans="3:48" ht="12" hidden="1" outlineLevel="5">
      <c r="C54" s="2189" t="s">
        <v>1480</v>
      </c>
      <c r="D54" s="2178">
        <f t="shared" ref="D54:J54" si="58">SUM(D55:D58)</f>
        <v>3494.2183000000005</v>
      </c>
      <c r="E54" s="2178">
        <f t="shared" si="58"/>
        <v>3103.73</v>
      </c>
      <c r="F54" s="2178">
        <f t="shared" si="58"/>
        <v>245.79</v>
      </c>
      <c r="G54" s="2178">
        <f t="shared" si="58"/>
        <v>2857.9400000000005</v>
      </c>
      <c r="H54" s="2178">
        <f t="shared" si="58"/>
        <v>380.6583</v>
      </c>
      <c r="I54" s="2178">
        <f t="shared" si="58"/>
        <v>9.83</v>
      </c>
      <c r="J54" s="2178">
        <f t="shared" si="58"/>
        <v>0</v>
      </c>
      <c r="L54" s="2172"/>
      <c r="M54" s="2088">
        <f t="shared" si="8"/>
        <v>3494.2183000000005</v>
      </c>
      <c r="N54" s="2088">
        <f t="shared" si="9"/>
        <v>3248.4283000000005</v>
      </c>
      <c r="O54" s="2090"/>
      <c r="P54" s="2173"/>
      <c r="Q54" s="2178">
        <f t="shared" ref="Q54" si="59">SUM(Q55:Q58)</f>
        <v>3033.76</v>
      </c>
      <c r="R54" s="2179" t="str">
        <f t="shared" si="10"/>
        <v/>
      </c>
      <c r="S54" s="2179" t="str">
        <f t="shared" si="11"/>
        <v/>
      </c>
      <c r="T54" s="2179"/>
      <c r="U54" s="2179"/>
      <c r="V54" s="2168"/>
      <c r="W54" s="2168"/>
      <c r="X54" s="2168" t="s">
        <v>3755</v>
      </c>
      <c r="Y54" s="2168"/>
      <c r="Z54" s="2168"/>
      <c r="AA54" s="2168"/>
      <c r="AB54" s="2168"/>
      <c r="AC54" s="2168"/>
      <c r="AD54" s="2168"/>
      <c r="AE54" s="2180">
        <v>3033.76</v>
      </c>
      <c r="AF54" s="2180"/>
      <c r="AG54" s="2180">
        <v>1778.83</v>
      </c>
      <c r="AH54" s="3412">
        <v>1198.81</v>
      </c>
      <c r="AI54" s="3412"/>
      <c r="AJ54" s="2180">
        <v>56.12</v>
      </c>
      <c r="AK54" s="2180"/>
      <c r="AL54" s="2180"/>
      <c r="AM54" s="2180"/>
      <c r="AN54" s="2180">
        <v>3033.76</v>
      </c>
      <c r="AO54" s="2180">
        <v>3033.76</v>
      </c>
      <c r="AP54" s="2168"/>
      <c r="AQ54" s="2168"/>
      <c r="AR54" s="2168"/>
      <c r="AS54" s="2168"/>
      <c r="AT54" s="2168"/>
      <c r="AU54" s="2168"/>
      <c r="AV54" s="2168"/>
    </row>
    <row r="55" spans="3:48" ht="36" hidden="1" outlineLevel="6">
      <c r="C55" s="2190" t="s">
        <v>1350</v>
      </c>
      <c r="D55" s="2178">
        <f t="shared" si="6"/>
        <v>292.82581999999996</v>
      </c>
      <c r="E55" s="2182">
        <f t="shared" ref="E55:E58" si="60">SUM(Q55,S55)</f>
        <v>202.43</v>
      </c>
      <c r="F55" s="2088">
        <f t="shared" ref="F55:F58" si="61">ROUND(E55*$U$1,2)</f>
        <v>16.03</v>
      </c>
      <c r="G55" s="2088">
        <f t="shared" ref="G55:G58" si="62">E55-F55</f>
        <v>186.4</v>
      </c>
      <c r="H55" s="2182">
        <f>ROUND(SUMIF($C$248:$C$418,$C55,$D$248:$D$418)*'[30]Затраты 2016'!$U$14,5)</f>
        <v>84.055819999999997</v>
      </c>
      <c r="I55" s="2182">
        <f>SUMIF($C$420:$C$570,$C55,$D$420:$D$570)</f>
        <v>6.34</v>
      </c>
      <c r="J55" s="2182">
        <f>SUMIF($C$236:$C$246,$C55,$D$236:$D$246)</f>
        <v>0</v>
      </c>
      <c r="L55" s="2172"/>
      <c r="M55" s="2088">
        <f t="shared" si="8"/>
        <v>292.82581999999996</v>
      </c>
      <c r="N55" s="2088">
        <f t="shared" si="9"/>
        <v>276.79581999999994</v>
      </c>
      <c r="O55" s="2090"/>
      <c r="P55" s="2091" t="str">
        <f>VLOOKUP('СС 2016'!$C55,'[30]СС 2015'!$C:$O,13,FALSE)</f>
        <v>Вспомогательные материалы</v>
      </c>
      <c r="Q55" s="2182">
        <v>197.87</v>
      </c>
      <c r="R55" s="2179">
        <f t="shared" si="10"/>
        <v>5.3697870601402308E-5</v>
      </c>
      <c r="S55" s="2179">
        <f t="shared" si="11"/>
        <v>4.5599999999999996</v>
      </c>
      <c r="T55" s="2179"/>
      <c r="U55" s="2179"/>
      <c r="V55" s="2168"/>
      <c r="W55" s="2168"/>
      <c r="X55" s="2168"/>
      <c r="Y55" s="2168"/>
      <c r="Z55" s="2168"/>
      <c r="AA55" s="2168"/>
      <c r="AB55" s="2168"/>
      <c r="AC55" s="2168"/>
      <c r="AD55" s="2168"/>
      <c r="AE55" s="2183">
        <v>197.87</v>
      </c>
      <c r="AF55" s="2183"/>
      <c r="AG55" s="2183"/>
      <c r="AH55" s="3411">
        <v>161.63999999999999</v>
      </c>
      <c r="AI55" s="3411"/>
      <c r="AJ55" s="2183">
        <v>36.229999999999997</v>
      </c>
      <c r="AK55" s="2183"/>
      <c r="AL55" s="2183"/>
      <c r="AM55" s="2183"/>
      <c r="AN55" s="2183">
        <v>197.87</v>
      </c>
      <c r="AO55" s="2183">
        <v>197.87</v>
      </c>
      <c r="AP55" s="2168"/>
      <c r="AQ55" s="2168"/>
      <c r="AR55" s="2168"/>
      <c r="AS55" s="2168"/>
      <c r="AT55" s="2168"/>
      <c r="AU55" s="2168"/>
      <c r="AV55" s="2168"/>
    </row>
    <row r="56" spans="3:48" ht="24" hidden="1" outlineLevel="6">
      <c r="C56" s="2190" t="s">
        <v>1352</v>
      </c>
      <c r="D56" s="2178">
        <f t="shared" si="6"/>
        <v>2478.0947300000003</v>
      </c>
      <c r="E56" s="2182">
        <f t="shared" si="60"/>
        <v>2296.11</v>
      </c>
      <c r="F56" s="2088">
        <f t="shared" si="61"/>
        <v>181.83</v>
      </c>
      <c r="G56" s="2088">
        <f t="shared" si="62"/>
        <v>2114.2800000000002</v>
      </c>
      <c r="H56" s="2182">
        <f>ROUND(SUMIF($C$248:$C$418,$C56,$D$248:$D$418)*'[30]Затраты 2016'!$U$14,5)</f>
        <v>180.41472999999999</v>
      </c>
      <c r="I56" s="2182">
        <f>SUMIF($C$420:$C$570,$C56,$D$420:$D$570)</f>
        <v>1.57</v>
      </c>
      <c r="J56" s="2182">
        <f>SUMIF($C$236:$C$246,$C56,$D$236:$D$246)</f>
        <v>0</v>
      </c>
      <c r="L56" s="2172"/>
      <c r="M56" s="2088">
        <f t="shared" si="8"/>
        <v>2478.0947300000003</v>
      </c>
      <c r="N56" s="2088">
        <f t="shared" si="9"/>
        <v>2296.2647300000003</v>
      </c>
      <c r="O56" s="2090"/>
      <c r="P56" s="2091" t="str">
        <f>VLOOKUP('СС 2016'!$C56,'[30]СС 2015'!$C:$O,13,FALSE)</f>
        <v>Вспомогательные материалы</v>
      </c>
      <c r="Q56" s="2182">
        <v>2244.34</v>
      </c>
      <c r="R56" s="2179">
        <f t="shared" si="10"/>
        <v>6.0906796839112177E-4</v>
      </c>
      <c r="S56" s="2179">
        <f t="shared" si="11"/>
        <v>51.77</v>
      </c>
      <c r="T56" s="2179"/>
      <c r="U56" s="2179"/>
      <c r="V56" s="2168"/>
      <c r="W56" s="2168"/>
      <c r="X56" s="2168"/>
      <c r="Y56" s="2168"/>
      <c r="Z56" s="2168"/>
      <c r="AA56" s="2168"/>
      <c r="AB56" s="2168"/>
      <c r="AC56" s="2168"/>
      <c r="AD56" s="2168"/>
      <c r="AE56" s="2183">
        <v>2244.34</v>
      </c>
      <c r="AF56" s="2183"/>
      <c r="AG56" s="2183">
        <v>1778.83</v>
      </c>
      <c r="AH56" s="3411">
        <v>447.75</v>
      </c>
      <c r="AI56" s="3411"/>
      <c r="AJ56" s="2183">
        <v>17.760000000000002</v>
      </c>
      <c r="AK56" s="2183"/>
      <c r="AL56" s="2183"/>
      <c r="AM56" s="2183"/>
      <c r="AN56" s="2183">
        <v>2244.34</v>
      </c>
      <c r="AO56" s="2183">
        <v>2244.34</v>
      </c>
      <c r="AP56" s="2168"/>
      <c r="AQ56" s="2168"/>
      <c r="AR56" s="2168"/>
      <c r="AS56" s="2168"/>
      <c r="AT56" s="2168"/>
      <c r="AU56" s="2168"/>
      <c r="AV56" s="2168"/>
    </row>
    <row r="57" spans="3:48" ht="24" hidden="1" outlineLevel="6">
      <c r="C57" s="2190" t="s">
        <v>1354</v>
      </c>
      <c r="D57" s="2178">
        <f t="shared" si="6"/>
        <v>668.16929999999991</v>
      </c>
      <c r="E57" s="2182">
        <f t="shared" si="60"/>
        <v>566.82999999999993</v>
      </c>
      <c r="F57" s="2088">
        <f t="shared" si="61"/>
        <v>44.89</v>
      </c>
      <c r="G57" s="2088">
        <f t="shared" si="62"/>
        <v>521.93999999999994</v>
      </c>
      <c r="H57" s="2182">
        <f>ROUND(SUMIF($C$248:$C$418,$C57,$D$248:$D$418)*'[30]Затраты 2016'!$U$14,5)</f>
        <v>99.439300000000003</v>
      </c>
      <c r="I57" s="2182">
        <f>SUMIF($C$420:$C$570,$C57,$D$420:$D$570)</f>
        <v>1.9</v>
      </c>
      <c r="J57" s="2182">
        <f>SUMIF($C$236:$C$246,$C57,$D$236:$D$246)</f>
        <v>0</v>
      </c>
      <c r="L57" s="2172"/>
      <c r="M57" s="2088">
        <f t="shared" si="8"/>
        <v>668.16929999999991</v>
      </c>
      <c r="N57" s="2088">
        <f t="shared" si="9"/>
        <v>623.27929999999992</v>
      </c>
      <c r="O57" s="2090"/>
      <c r="P57" s="2091" t="str">
        <f>VLOOKUP('СС 2016'!$C57,'[30]СС 2015'!$C:$O,13,FALSE)</f>
        <v>Вспомогательные материалы</v>
      </c>
      <c r="Q57" s="2182">
        <v>554.04999999999995</v>
      </c>
      <c r="R57" s="2179">
        <f t="shared" si="10"/>
        <v>1.5035783699755874E-4</v>
      </c>
      <c r="S57" s="2179">
        <f t="shared" si="11"/>
        <v>12.78</v>
      </c>
      <c r="T57" s="2179"/>
      <c r="U57" s="2179"/>
      <c r="V57" s="2168"/>
      <c r="W57" s="2168"/>
      <c r="X57" s="2168"/>
      <c r="Y57" s="2168"/>
      <c r="Z57" s="2168"/>
      <c r="AA57" s="2168"/>
      <c r="AB57" s="2168"/>
      <c r="AC57" s="2168"/>
      <c r="AD57" s="2168"/>
      <c r="AE57" s="2183">
        <v>554.04999999999995</v>
      </c>
      <c r="AF57" s="2183"/>
      <c r="AG57" s="2183"/>
      <c r="AH57" s="3411">
        <v>554.04999999999995</v>
      </c>
      <c r="AI57" s="3411"/>
      <c r="AJ57" s="2183"/>
      <c r="AK57" s="2183"/>
      <c r="AL57" s="2183"/>
      <c r="AM57" s="2183"/>
      <c r="AN57" s="2183">
        <v>554.04999999999995</v>
      </c>
      <c r="AO57" s="2183">
        <v>554.04999999999995</v>
      </c>
      <c r="AP57" s="2168"/>
      <c r="AQ57" s="2168"/>
      <c r="AR57" s="2168"/>
      <c r="AS57" s="2168"/>
      <c r="AT57" s="2168"/>
      <c r="AU57" s="2168"/>
      <c r="AV57" s="2168"/>
    </row>
    <row r="58" spans="3:48" ht="24" hidden="1" outlineLevel="6">
      <c r="C58" s="2190" t="s">
        <v>1357</v>
      </c>
      <c r="D58" s="2178">
        <f t="shared" si="6"/>
        <v>55.128450000000001</v>
      </c>
      <c r="E58" s="2182">
        <f t="shared" si="60"/>
        <v>38.36</v>
      </c>
      <c r="F58" s="2088">
        <f t="shared" si="61"/>
        <v>3.04</v>
      </c>
      <c r="G58" s="2088">
        <f t="shared" si="62"/>
        <v>35.32</v>
      </c>
      <c r="H58" s="2182">
        <f>ROUND(SUMIF($C$248:$C$418,$C58,$D$248:$D$418)*'[30]Затраты 2016'!$U$14,5)</f>
        <v>16.748449999999998</v>
      </c>
      <c r="I58" s="2182">
        <f>SUMIF($C$420:$C$570,$C58,$D$420:$D$570)</f>
        <v>0.02</v>
      </c>
      <c r="J58" s="2182">
        <f>SUMIF($C$236:$C$246,$C58,$D$236:$D$246)</f>
        <v>0</v>
      </c>
      <c r="L58" s="2172"/>
      <c r="M58" s="2088">
        <f t="shared" si="8"/>
        <v>55.128450000000001</v>
      </c>
      <c r="N58" s="2088">
        <f t="shared" si="9"/>
        <v>52.088450000000002</v>
      </c>
      <c r="O58" s="2090"/>
      <c r="P58" s="2091" t="str">
        <f>VLOOKUP('СС 2016'!$C58,'[30]СС 2015'!$C:$O,13,FALSE)</f>
        <v>Вспомогательные материалы</v>
      </c>
      <c r="Q58" s="2182">
        <v>37.5</v>
      </c>
      <c r="R58" s="2179">
        <f t="shared" si="10"/>
        <v>1.0176732943612406E-5</v>
      </c>
      <c r="S58" s="2179">
        <f t="shared" si="11"/>
        <v>0.86</v>
      </c>
      <c r="T58" s="2179"/>
      <c r="U58" s="2179"/>
      <c r="V58" s="2168"/>
      <c r="W58" s="2168"/>
      <c r="X58" s="2168"/>
      <c r="Y58" s="2168"/>
      <c r="Z58" s="2168"/>
      <c r="AA58" s="2168"/>
      <c r="AB58" s="2168"/>
      <c r="AC58" s="2168"/>
      <c r="AD58" s="2168"/>
      <c r="AE58" s="2183">
        <v>37.5</v>
      </c>
      <c r="AF58" s="2183"/>
      <c r="AG58" s="2183"/>
      <c r="AH58" s="3411">
        <v>35.369999999999997</v>
      </c>
      <c r="AI58" s="3411"/>
      <c r="AJ58" s="2183">
        <v>2.13</v>
      </c>
      <c r="AK58" s="2183"/>
      <c r="AL58" s="2183"/>
      <c r="AM58" s="2183"/>
      <c r="AN58" s="2183">
        <v>37.5</v>
      </c>
      <c r="AO58" s="2183">
        <v>37.5</v>
      </c>
      <c r="AP58" s="2168"/>
      <c r="AQ58" s="2168"/>
      <c r="AR58" s="2168"/>
      <c r="AS58" s="2168"/>
      <c r="AT58" s="2168"/>
      <c r="AU58" s="2168"/>
      <c r="AV58" s="2168"/>
    </row>
    <row r="59" spans="3:48" ht="12" hidden="1" outlineLevel="5">
      <c r="C59" s="2189" t="s">
        <v>1481</v>
      </c>
      <c r="D59" s="2178">
        <f t="shared" ref="D59:J59" si="63">SUM(D60:D67)</f>
        <v>17309.808150000001</v>
      </c>
      <c r="E59" s="2178">
        <f t="shared" si="63"/>
        <v>14257.169999999998</v>
      </c>
      <c r="F59" s="2178">
        <f t="shared" si="63"/>
        <v>1129.06</v>
      </c>
      <c r="G59" s="2178">
        <f t="shared" si="63"/>
        <v>13128.109999999999</v>
      </c>
      <c r="H59" s="2178">
        <f t="shared" si="63"/>
        <v>3038.0081500000006</v>
      </c>
      <c r="I59" s="2178">
        <f t="shared" si="63"/>
        <v>14.629999999999999</v>
      </c>
      <c r="J59" s="2178">
        <f t="shared" si="63"/>
        <v>0</v>
      </c>
      <c r="L59" s="2172"/>
      <c r="M59" s="2088">
        <f t="shared" si="8"/>
        <v>17309.808150000001</v>
      </c>
      <c r="N59" s="2088">
        <f t="shared" si="9"/>
        <v>16180.748150000001</v>
      </c>
      <c r="O59" s="2090"/>
      <c r="P59" s="2173"/>
      <c r="Q59" s="2178">
        <f t="shared" ref="Q59" si="64">SUM(Q60:Q67)</f>
        <v>13935.740000000002</v>
      </c>
      <c r="R59" s="2179" t="str">
        <f t="shared" si="10"/>
        <v/>
      </c>
      <c r="S59" s="2179" t="str">
        <f t="shared" si="11"/>
        <v/>
      </c>
      <c r="T59" s="2179"/>
      <c r="U59" s="2179"/>
      <c r="V59" s="2168"/>
      <c r="W59" s="2168"/>
      <c r="X59" s="2093" t="s">
        <v>3755</v>
      </c>
      <c r="Y59" s="2168"/>
      <c r="Z59" s="2168"/>
      <c r="AA59" s="2168"/>
      <c r="AB59" s="2168"/>
      <c r="AC59" s="2168"/>
      <c r="AD59" s="2168"/>
      <c r="AE59" s="2180">
        <v>13935.74</v>
      </c>
      <c r="AF59" s="2180"/>
      <c r="AG59" s="2180">
        <v>1702.85</v>
      </c>
      <c r="AH59" s="3412">
        <v>11512.62</v>
      </c>
      <c r="AI59" s="3412"/>
      <c r="AJ59" s="2180">
        <v>720.27</v>
      </c>
      <c r="AK59" s="2180"/>
      <c r="AL59" s="2180"/>
      <c r="AM59" s="2180"/>
      <c r="AN59" s="2180">
        <v>13935.74</v>
      </c>
      <c r="AO59" s="2180">
        <v>13935.74</v>
      </c>
      <c r="AP59" s="2168"/>
      <c r="AQ59" s="2168"/>
      <c r="AR59" s="2168"/>
      <c r="AS59" s="2168"/>
      <c r="AT59" s="2168"/>
      <c r="AU59" s="2168"/>
      <c r="AV59" s="2168"/>
    </row>
    <row r="60" spans="3:48" ht="36" hidden="1" outlineLevel="6">
      <c r="C60" s="2190" t="s">
        <v>1351</v>
      </c>
      <c r="D60" s="2178">
        <f t="shared" si="6"/>
        <v>231.64317000000003</v>
      </c>
      <c r="E60" s="2182">
        <f t="shared" ref="E60:E67" si="65">SUM(Q60,S60)</f>
        <v>163.20000000000002</v>
      </c>
      <c r="F60" s="2088">
        <f t="shared" ref="F60:F67" si="66">ROUND(E60*$U$1,2)</f>
        <v>12.92</v>
      </c>
      <c r="G60" s="2088">
        <f t="shared" ref="G60:G67" si="67">E60-F60</f>
        <v>150.28000000000003</v>
      </c>
      <c r="H60" s="2182">
        <f>ROUND(SUMIF($C$248:$C$418,$C60,$D$248:$D$418)*'[30]Затраты 2016'!$U$14,5)</f>
        <v>67.713170000000005</v>
      </c>
      <c r="I60" s="2182">
        <f t="shared" ref="I60:I67" si="68">SUMIF($C$420:$C$570,$C60,$D$420:$D$570)</f>
        <v>0.73</v>
      </c>
      <c r="J60" s="2182">
        <f t="shared" ref="J60:J67" si="69">SUMIF($C$236:$C$246,$C60,$D$236:$D$246)</f>
        <v>0</v>
      </c>
      <c r="L60" s="2172"/>
      <c r="M60" s="2088">
        <f t="shared" si="8"/>
        <v>231.64317000000003</v>
      </c>
      <c r="N60" s="2088">
        <f t="shared" si="9"/>
        <v>218.72317000000004</v>
      </c>
      <c r="O60" s="2090"/>
      <c r="P60" s="2091" t="str">
        <f>VLOOKUP('СС 2016'!$C60,'[30]СС 2015'!$C:$O,13,FALSE)</f>
        <v>Вспомогательные материалы</v>
      </c>
      <c r="Q60" s="2182">
        <v>159.52000000000001</v>
      </c>
      <c r="R60" s="2179">
        <f t="shared" si="10"/>
        <v>4.3290465044401358E-5</v>
      </c>
      <c r="S60" s="2179">
        <f t="shared" si="11"/>
        <v>3.68</v>
      </c>
      <c r="T60" s="2179"/>
      <c r="U60" s="2179"/>
      <c r="V60" s="2168"/>
      <c r="W60" s="2168"/>
      <c r="X60" s="2093"/>
      <c r="Y60" s="2168"/>
      <c r="Z60" s="2168"/>
      <c r="AA60" s="2168"/>
      <c r="AB60" s="2168"/>
      <c r="AC60" s="2168"/>
      <c r="AD60" s="2168"/>
      <c r="AE60" s="2183">
        <v>159.52000000000001</v>
      </c>
      <c r="AF60" s="2183"/>
      <c r="AG60" s="2183"/>
      <c r="AH60" s="3411">
        <v>137.11000000000001</v>
      </c>
      <c r="AI60" s="3411"/>
      <c r="AJ60" s="2183">
        <v>22.41</v>
      </c>
      <c r="AK60" s="2183"/>
      <c r="AL60" s="2183"/>
      <c r="AM60" s="2183"/>
      <c r="AN60" s="2183">
        <v>159.52000000000001</v>
      </c>
      <c r="AO60" s="2183">
        <v>159.52000000000001</v>
      </c>
      <c r="AP60" s="2168"/>
      <c r="AQ60" s="2168"/>
      <c r="AR60" s="2168"/>
      <c r="AS60" s="2168"/>
      <c r="AT60" s="2168"/>
      <c r="AU60" s="2168"/>
      <c r="AV60" s="2168"/>
    </row>
    <row r="61" spans="3:48" ht="24" hidden="1" outlineLevel="6">
      <c r="C61" s="2190" t="s">
        <v>1353</v>
      </c>
      <c r="D61" s="2178">
        <f t="shared" si="6"/>
        <v>3519.0365699999998</v>
      </c>
      <c r="E61" s="2182">
        <f t="shared" si="65"/>
        <v>3156.24</v>
      </c>
      <c r="F61" s="2088">
        <f t="shared" si="66"/>
        <v>249.95</v>
      </c>
      <c r="G61" s="2088">
        <f t="shared" si="67"/>
        <v>2906.29</v>
      </c>
      <c r="H61" s="2182">
        <f>ROUND(SUMIF($C$248:$C$418,$C61,$D$248:$D$418)*'[30]Затраты 2016'!$U$14,5)</f>
        <v>360.62657000000002</v>
      </c>
      <c r="I61" s="2182">
        <f t="shared" si="68"/>
        <v>2.17</v>
      </c>
      <c r="J61" s="2182">
        <f t="shared" si="69"/>
        <v>0</v>
      </c>
      <c r="L61" s="2172"/>
      <c r="M61" s="2088">
        <f t="shared" si="8"/>
        <v>3519.0365699999998</v>
      </c>
      <c r="N61" s="2088">
        <f t="shared" si="9"/>
        <v>3269.0865699999999</v>
      </c>
      <c r="O61" s="2090"/>
      <c r="P61" s="2091" t="str">
        <f>VLOOKUP('СС 2016'!$C61,'[30]СС 2015'!$C:$O,13,FALSE)</f>
        <v>Вспомогательные материалы</v>
      </c>
      <c r="Q61" s="2182">
        <v>3085.08</v>
      </c>
      <c r="R61" s="2179">
        <f t="shared" si="10"/>
        <v>8.3722760719146016E-4</v>
      </c>
      <c r="S61" s="2179">
        <f t="shared" si="11"/>
        <v>71.16</v>
      </c>
      <c r="T61" s="2179"/>
      <c r="U61" s="2179"/>
      <c r="V61" s="2168"/>
      <c r="W61" s="2168"/>
      <c r="X61" s="2093"/>
      <c r="Y61" s="2168"/>
      <c r="Z61" s="2168"/>
      <c r="AA61" s="2168"/>
      <c r="AB61" s="2168"/>
      <c r="AC61" s="2168"/>
      <c r="AD61" s="2168"/>
      <c r="AE61" s="2183">
        <v>3085.08</v>
      </c>
      <c r="AF61" s="2183"/>
      <c r="AG61" s="2183">
        <v>1702.85</v>
      </c>
      <c r="AH61" s="3411">
        <v>1366.55</v>
      </c>
      <c r="AI61" s="3411"/>
      <c r="AJ61" s="2183">
        <v>15.68</v>
      </c>
      <c r="AK61" s="2183"/>
      <c r="AL61" s="2183"/>
      <c r="AM61" s="2183"/>
      <c r="AN61" s="2183">
        <v>3085.08</v>
      </c>
      <c r="AO61" s="2183">
        <v>3085.08</v>
      </c>
      <c r="AP61" s="2168"/>
      <c r="AQ61" s="2168"/>
      <c r="AR61" s="2168"/>
      <c r="AS61" s="2168"/>
      <c r="AT61" s="2168"/>
      <c r="AU61" s="2168"/>
      <c r="AV61" s="2168"/>
    </row>
    <row r="62" spans="3:48" ht="24" hidden="1" outlineLevel="6">
      <c r="C62" s="2190" t="s">
        <v>1355</v>
      </c>
      <c r="D62" s="2178">
        <f t="shared" si="6"/>
        <v>101.60244999999999</v>
      </c>
      <c r="E62" s="2182">
        <f t="shared" si="65"/>
        <v>71.52</v>
      </c>
      <c r="F62" s="2088">
        <f t="shared" si="66"/>
        <v>5.66</v>
      </c>
      <c r="G62" s="2088">
        <f t="shared" si="67"/>
        <v>65.86</v>
      </c>
      <c r="H62" s="2182">
        <f>ROUND(SUMIF($C$248:$C$418,$C62,$D$248:$D$418)*'[30]Затраты 2016'!$U$14,5)</f>
        <v>27.14245</v>
      </c>
      <c r="I62" s="2182">
        <f t="shared" si="68"/>
        <v>2.94</v>
      </c>
      <c r="J62" s="2182">
        <f t="shared" si="69"/>
        <v>0</v>
      </c>
      <c r="L62" s="2172"/>
      <c r="M62" s="2088">
        <f t="shared" si="8"/>
        <v>101.60244999999999</v>
      </c>
      <c r="N62" s="2088">
        <f t="shared" si="9"/>
        <v>95.942449999999994</v>
      </c>
      <c r="O62" s="2090"/>
      <c r="P62" s="2091" t="str">
        <f>VLOOKUP('СС 2016'!$C62,'[30]СС 2015'!$C:$O,13,FALSE)</f>
        <v>Вспомогательные материалы</v>
      </c>
      <c r="Q62" s="2182">
        <v>69.91</v>
      </c>
      <c r="R62" s="2179">
        <f t="shared" si="10"/>
        <v>1.8972144002345151E-5</v>
      </c>
      <c r="S62" s="2179">
        <f t="shared" si="11"/>
        <v>1.61</v>
      </c>
      <c r="T62" s="2179"/>
      <c r="U62" s="2179"/>
      <c r="V62" s="2168"/>
      <c r="W62" s="2168"/>
      <c r="X62" s="2093"/>
      <c r="Y62" s="2168"/>
      <c r="Z62" s="2168"/>
      <c r="AA62" s="2168"/>
      <c r="AB62" s="2168"/>
      <c r="AC62" s="2168"/>
      <c r="AD62" s="2168"/>
      <c r="AE62" s="2183">
        <v>69.91</v>
      </c>
      <c r="AF62" s="2183"/>
      <c r="AG62" s="2183"/>
      <c r="AH62" s="3411">
        <v>14.08</v>
      </c>
      <c r="AI62" s="3411"/>
      <c r="AJ62" s="2183">
        <v>55.83</v>
      </c>
      <c r="AK62" s="2183"/>
      <c r="AL62" s="2183"/>
      <c r="AM62" s="2183"/>
      <c r="AN62" s="2183">
        <v>69.91</v>
      </c>
      <c r="AO62" s="2183">
        <v>69.91</v>
      </c>
      <c r="AP62" s="2168"/>
      <c r="AQ62" s="2168"/>
      <c r="AR62" s="2168"/>
      <c r="AS62" s="2168"/>
      <c r="AT62" s="2168"/>
      <c r="AU62" s="2168"/>
      <c r="AV62" s="2168"/>
    </row>
    <row r="63" spans="3:48" ht="12" hidden="1" outlineLevel="6">
      <c r="C63" s="2190" t="s">
        <v>1356</v>
      </c>
      <c r="D63" s="2178">
        <f t="shared" si="6"/>
        <v>13409.526959999999</v>
      </c>
      <c r="E63" s="2182">
        <f t="shared" si="65"/>
        <v>10825.13</v>
      </c>
      <c r="F63" s="2088">
        <f t="shared" si="66"/>
        <v>857.27</v>
      </c>
      <c r="G63" s="2088">
        <f t="shared" si="67"/>
        <v>9967.8599999999988</v>
      </c>
      <c r="H63" s="2182">
        <f>ROUND(SUMIF($C$248:$C$418,$C63,$D$248:$D$418)*'[30]Затраты 2016'!$U$14,5)</f>
        <v>2576.1069600000001</v>
      </c>
      <c r="I63" s="2182">
        <f t="shared" si="68"/>
        <v>8.2899999999999991</v>
      </c>
      <c r="J63" s="2182">
        <f t="shared" si="69"/>
        <v>0</v>
      </c>
      <c r="L63" s="2172"/>
      <c r="M63" s="2088">
        <f t="shared" si="8"/>
        <v>13409.526959999999</v>
      </c>
      <c r="N63" s="2088">
        <f t="shared" si="9"/>
        <v>12552.256959999999</v>
      </c>
      <c r="O63" s="2090"/>
      <c r="P63" s="2091" t="str">
        <f>VLOOKUP('СС 2016'!$C63,'[30]СС 2015'!$C:$O,13,FALSE)</f>
        <v>Вспомогательные материалы</v>
      </c>
      <c r="Q63" s="2182">
        <v>10581.07</v>
      </c>
      <c r="R63" s="2179">
        <f t="shared" si="10"/>
        <v>2.8714859639378375E-3</v>
      </c>
      <c r="S63" s="2179">
        <f t="shared" si="11"/>
        <v>244.06</v>
      </c>
      <c r="T63" s="2179"/>
      <c r="U63" s="2179"/>
      <c r="V63" s="2168"/>
      <c r="W63" s="2168"/>
      <c r="X63" s="2168"/>
      <c r="Y63" s="2168"/>
      <c r="Z63" s="2168"/>
      <c r="AA63" s="2168"/>
      <c r="AB63" s="2168"/>
      <c r="AC63" s="2168"/>
      <c r="AD63" s="2168"/>
      <c r="AE63" s="2183">
        <v>10581.07</v>
      </c>
      <c r="AF63" s="2183"/>
      <c r="AG63" s="2183"/>
      <c r="AH63" s="3411">
        <v>9954.7800000000007</v>
      </c>
      <c r="AI63" s="3411"/>
      <c r="AJ63" s="2183">
        <v>626.29</v>
      </c>
      <c r="AK63" s="2183"/>
      <c r="AL63" s="2183"/>
      <c r="AM63" s="2183"/>
      <c r="AN63" s="2183">
        <v>10581.07</v>
      </c>
      <c r="AO63" s="2183">
        <v>10581.07</v>
      </c>
      <c r="AP63" s="2168"/>
      <c r="AQ63" s="2168"/>
      <c r="AR63" s="2168"/>
      <c r="AS63" s="2168"/>
      <c r="AT63" s="2168"/>
      <c r="AU63" s="2168"/>
      <c r="AV63" s="2168"/>
    </row>
    <row r="64" spans="3:48" ht="24" hidden="1" outlineLevel="6">
      <c r="C64" s="2190" t="s">
        <v>1358</v>
      </c>
      <c r="D64" s="2178">
        <f t="shared" si="6"/>
        <v>3.0377099999999997</v>
      </c>
      <c r="E64" s="2182">
        <f t="shared" si="65"/>
        <v>2.09</v>
      </c>
      <c r="F64" s="2088">
        <f t="shared" si="66"/>
        <v>0.17</v>
      </c>
      <c r="G64" s="2088">
        <f t="shared" si="67"/>
        <v>1.92</v>
      </c>
      <c r="H64" s="2182">
        <f>ROUND(SUMIF($C$248:$C$418,$C64,$D$248:$D$418)*'[30]Затраты 2016'!$U$14,5)</f>
        <v>0.85770999999999997</v>
      </c>
      <c r="I64" s="2182">
        <f t="shared" si="68"/>
        <v>0.09</v>
      </c>
      <c r="J64" s="2182">
        <f t="shared" si="69"/>
        <v>0</v>
      </c>
      <c r="L64" s="2172"/>
      <c r="M64" s="2088">
        <f t="shared" si="8"/>
        <v>3.0377099999999997</v>
      </c>
      <c r="N64" s="2088">
        <f t="shared" si="9"/>
        <v>2.8677099999999998</v>
      </c>
      <c r="O64" s="2090"/>
      <c r="P64" s="2091" t="str">
        <f>VLOOKUP('СС 2016'!$C64,'[30]СС 2015'!$C:$O,13,FALSE)</f>
        <v>Вспомогательные материалы</v>
      </c>
      <c r="Q64" s="2182">
        <v>2.04</v>
      </c>
      <c r="R64" s="2179">
        <f t="shared" si="10"/>
        <v>5.5361427213251489E-7</v>
      </c>
      <c r="S64" s="2179">
        <f t="shared" si="11"/>
        <v>0.05</v>
      </c>
      <c r="T64" s="2179"/>
      <c r="U64" s="2179"/>
      <c r="V64" s="2168"/>
      <c r="W64" s="2168"/>
      <c r="X64" s="2168"/>
      <c r="Y64" s="2168"/>
      <c r="Z64" s="2168"/>
      <c r="AA64" s="2168"/>
      <c r="AB64" s="2168"/>
      <c r="AC64" s="2168"/>
      <c r="AD64" s="2168"/>
      <c r="AE64" s="2183">
        <v>2.04</v>
      </c>
      <c r="AF64" s="2183"/>
      <c r="AG64" s="2183"/>
      <c r="AH64" s="3411">
        <v>2.04</v>
      </c>
      <c r="AI64" s="3411"/>
      <c r="AJ64" s="2183"/>
      <c r="AK64" s="2183"/>
      <c r="AL64" s="2183"/>
      <c r="AM64" s="2183"/>
      <c r="AN64" s="2183">
        <v>2.04</v>
      </c>
      <c r="AO64" s="2183">
        <v>2.04</v>
      </c>
      <c r="AP64" s="2168"/>
      <c r="AQ64" s="2168"/>
      <c r="AR64" s="2168"/>
      <c r="AS64" s="2168"/>
      <c r="AT64" s="2168"/>
      <c r="AU64" s="2168"/>
      <c r="AV64" s="2168"/>
    </row>
    <row r="65" spans="3:48" ht="24" hidden="1" outlineLevel="6">
      <c r="C65" s="2190" t="s">
        <v>3802</v>
      </c>
      <c r="D65" s="2178">
        <f t="shared" si="6"/>
        <v>0.27300000000000002</v>
      </c>
      <c r="E65" s="2182">
        <f t="shared" si="65"/>
        <v>0.19</v>
      </c>
      <c r="F65" s="2088">
        <f t="shared" si="66"/>
        <v>0.02</v>
      </c>
      <c r="G65" s="2088">
        <f t="shared" si="67"/>
        <v>0.17</v>
      </c>
      <c r="H65" s="2182">
        <f>ROUND(SUMIF($C$248:$C$418,$C65,$D$248:$D$418)*'[30]Затраты 2016'!$U$14,5)</f>
        <v>8.3000000000000004E-2</v>
      </c>
      <c r="I65" s="2182">
        <f t="shared" si="68"/>
        <v>0</v>
      </c>
      <c r="J65" s="2182">
        <f t="shared" si="69"/>
        <v>0</v>
      </c>
      <c r="L65" s="2172"/>
      <c r="M65" s="2088">
        <f t="shared" si="8"/>
        <v>0.27300000000000002</v>
      </c>
      <c r="N65" s="2088">
        <f t="shared" si="9"/>
        <v>0.253</v>
      </c>
      <c r="O65" s="2090"/>
      <c r="P65" s="2091" t="str">
        <f>VLOOKUP('СС 2016'!$C65,'[30]СС 2015'!$C:$O,13,FALSE)</f>
        <v>Вспомогательные материалы</v>
      </c>
      <c r="Q65" s="2182">
        <v>0.19</v>
      </c>
      <c r="R65" s="2179">
        <f t="shared" si="10"/>
        <v>5.1562113580969517E-8</v>
      </c>
      <c r="S65" s="2179">
        <f t="shared" si="11"/>
        <v>0</v>
      </c>
      <c r="T65" s="2179"/>
      <c r="U65" s="2179"/>
      <c r="V65" s="2168"/>
      <c r="W65" s="2168"/>
      <c r="X65" s="2168"/>
      <c r="Y65" s="2168"/>
      <c r="Z65" s="2168"/>
      <c r="AA65" s="2168"/>
      <c r="AB65" s="2168"/>
      <c r="AC65" s="2168"/>
      <c r="AD65" s="2168"/>
      <c r="AE65" s="2183">
        <v>0.19</v>
      </c>
      <c r="AF65" s="2183"/>
      <c r="AG65" s="2183"/>
      <c r="AH65" s="3411">
        <v>0.19</v>
      </c>
      <c r="AI65" s="3411"/>
      <c r="AJ65" s="2183"/>
      <c r="AK65" s="2183"/>
      <c r="AL65" s="2183"/>
      <c r="AM65" s="2183"/>
      <c r="AN65" s="2183">
        <v>0.19</v>
      </c>
      <c r="AO65" s="2183">
        <v>0.19</v>
      </c>
      <c r="AP65" s="2168"/>
      <c r="AQ65" s="2168"/>
      <c r="AR65" s="2168"/>
      <c r="AS65" s="2168"/>
      <c r="AT65" s="2168"/>
      <c r="AU65" s="2168"/>
      <c r="AV65" s="2168"/>
    </row>
    <row r="66" spans="3:48" ht="24" hidden="1" outlineLevel="6">
      <c r="C66" s="2190" t="s">
        <v>1359</v>
      </c>
      <c r="D66" s="2178">
        <f t="shared" si="6"/>
        <v>3.9239299999999995</v>
      </c>
      <c r="E66" s="2182">
        <f t="shared" si="65"/>
        <v>3.1399999999999997</v>
      </c>
      <c r="F66" s="2088">
        <f t="shared" si="66"/>
        <v>0.25</v>
      </c>
      <c r="G66" s="2088">
        <f t="shared" si="67"/>
        <v>2.8899999999999997</v>
      </c>
      <c r="H66" s="2182">
        <f>ROUND(SUMIF($C$248:$C$418,$C66,$D$248:$D$418)*'[30]Затраты 2016'!$U$14,5)</f>
        <v>0.78393000000000002</v>
      </c>
      <c r="I66" s="2182">
        <f t="shared" si="68"/>
        <v>0</v>
      </c>
      <c r="J66" s="2182">
        <f t="shared" si="69"/>
        <v>0</v>
      </c>
      <c r="L66" s="2172"/>
      <c r="M66" s="2088">
        <f t="shared" si="8"/>
        <v>3.9239299999999995</v>
      </c>
      <c r="N66" s="2088">
        <f t="shared" si="9"/>
        <v>3.6739299999999995</v>
      </c>
      <c r="O66" s="2090"/>
      <c r="P66" s="2091" t="str">
        <f>VLOOKUP('СС 2016'!$C66,'[30]СС 2015'!$C:$O,13,FALSE)</f>
        <v>Вспомогательные материалы</v>
      </c>
      <c r="Q66" s="2182">
        <v>3.07</v>
      </c>
      <c r="R66" s="2179">
        <f t="shared" si="10"/>
        <v>8.3313520365040221E-7</v>
      </c>
      <c r="S66" s="2179">
        <f t="shared" si="11"/>
        <v>7.0000000000000007E-2</v>
      </c>
      <c r="T66" s="2179"/>
      <c r="U66" s="2179"/>
      <c r="V66" s="2168"/>
      <c r="W66" s="2168"/>
      <c r="X66" s="2168"/>
      <c r="Y66" s="2168"/>
      <c r="Z66" s="2168"/>
      <c r="AA66" s="2168"/>
      <c r="AB66" s="2168"/>
      <c r="AC66" s="2168"/>
      <c r="AD66" s="2168"/>
      <c r="AE66" s="2183">
        <v>3.07</v>
      </c>
      <c r="AF66" s="2183"/>
      <c r="AG66" s="2183"/>
      <c r="AH66" s="3411">
        <v>3.07</v>
      </c>
      <c r="AI66" s="3411"/>
      <c r="AJ66" s="2183"/>
      <c r="AK66" s="2183"/>
      <c r="AL66" s="2183"/>
      <c r="AM66" s="2183"/>
      <c r="AN66" s="2183">
        <v>3.07</v>
      </c>
      <c r="AO66" s="2183">
        <v>3.07</v>
      </c>
      <c r="AP66" s="2168"/>
      <c r="AQ66" s="2168"/>
      <c r="AR66" s="2168"/>
      <c r="AS66" s="2168"/>
      <c r="AT66" s="2168"/>
      <c r="AU66" s="2168"/>
      <c r="AV66" s="2168"/>
    </row>
    <row r="67" spans="3:48" ht="12" hidden="1" outlineLevel="6">
      <c r="C67" s="2190" t="s">
        <v>1360</v>
      </c>
      <c r="D67" s="2178">
        <f t="shared" si="6"/>
        <v>40.764359999999996</v>
      </c>
      <c r="E67" s="2182">
        <f t="shared" si="65"/>
        <v>35.659999999999997</v>
      </c>
      <c r="F67" s="2088">
        <f t="shared" si="66"/>
        <v>2.82</v>
      </c>
      <c r="G67" s="2088">
        <f t="shared" si="67"/>
        <v>32.839999999999996</v>
      </c>
      <c r="H67" s="2182">
        <f>ROUND(SUMIF($C$248:$C$418,$C67,$D$248:$D$418)*'[30]Затраты 2016'!$U$14,5)</f>
        <v>4.6943599999999996</v>
      </c>
      <c r="I67" s="2182">
        <f t="shared" si="68"/>
        <v>0.41</v>
      </c>
      <c r="J67" s="2182">
        <f t="shared" si="69"/>
        <v>0</v>
      </c>
      <c r="L67" s="2172"/>
      <c r="M67" s="2088">
        <f t="shared" si="8"/>
        <v>40.764359999999996</v>
      </c>
      <c r="N67" s="2088">
        <f t="shared" si="9"/>
        <v>37.944359999999996</v>
      </c>
      <c r="O67" s="2090"/>
      <c r="P67" s="2091" t="str">
        <f>VLOOKUP('СС 2016'!$C67,'[30]СС 2015'!$C:$O,13,FALSE)</f>
        <v>Вспомогательные материалы</v>
      </c>
      <c r="Q67" s="2182">
        <v>34.86</v>
      </c>
      <c r="R67" s="2179">
        <f t="shared" si="10"/>
        <v>9.4602909443820924E-6</v>
      </c>
      <c r="S67" s="2179">
        <f t="shared" si="11"/>
        <v>0.8</v>
      </c>
      <c r="T67" s="2179"/>
      <c r="U67" s="2179"/>
      <c r="V67" s="2168"/>
      <c r="W67" s="2168"/>
      <c r="X67" s="2168"/>
      <c r="Y67" s="2168"/>
      <c r="Z67" s="2168"/>
      <c r="AA67" s="2168"/>
      <c r="AB67" s="2168"/>
      <c r="AC67" s="2168"/>
      <c r="AD67" s="2168"/>
      <c r="AE67" s="2183">
        <v>34.86</v>
      </c>
      <c r="AF67" s="2183"/>
      <c r="AG67" s="2183"/>
      <c r="AH67" s="3411">
        <v>34.799999999999997</v>
      </c>
      <c r="AI67" s="3411"/>
      <c r="AJ67" s="2183">
        <v>0.06</v>
      </c>
      <c r="AK67" s="2183"/>
      <c r="AL67" s="2183"/>
      <c r="AM67" s="2183"/>
      <c r="AN67" s="2183">
        <v>34.86</v>
      </c>
      <c r="AO67" s="2183">
        <v>34.86</v>
      </c>
      <c r="AP67" s="2168"/>
      <c r="AQ67" s="2168"/>
      <c r="AR67" s="2168"/>
      <c r="AS67" s="2168"/>
      <c r="AT67" s="2168"/>
      <c r="AU67" s="2168"/>
      <c r="AV67" s="2168"/>
    </row>
    <row r="68" spans="3:48" ht="12" hidden="1" outlineLevel="5">
      <c r="C68" s="2189" t="s">
        <v>1482</v>
      </c>
      <c r="D68" s="2178">
        <f t="shared" ref="D68:J68" si="70">SUM(D69:D78)</f>
        <v>12309.112929999999</v>
      </c>
      <c r="E68" s="2178">
        <f t="shared" si="70"/>
        <v>11796.580000000004</v>
      </c>
      <c r="F68" s="2178">
        <f t="shared" si="70"/>
        <v>934.19</v>
      </c>
      <c r="G68" s="2178">
        <f t="shared" si="70"/>
        <v>10862.39</v>
      </c>
      <c r="H68" s="2178">
        <f t="shared" si="70"/>
        <v>492.49293</v>
      </c>
      <c r="I68" s="2178">
        <f t="shared" si="70"/>
        <v>20.04</v>
      </c>
      <c r="J68" s="2178">
        <f t="shared" si="70"/>
        <v>0</v>
      </c>
      <c r="L68" s="2172"/>
      <c r="M68" s="2088">
        <f t="shared" si="8"/>
        <v>12309.112929999999</v>
      </c>
      <c r="N68" s="2088">
        <f t="shared" si="9"/>
        <v>11374.922929999999</v>
      </c>
      <c r="O68" s="2090"/>
      <c r="P68" s="2173"/>
      <c r="Q68" s="2178">
        <f t="shared" ref="Q68" si="71">SUM(Q69:Q78)</f>
        <v>11530.63</v>
      </c>
      <c r="R68" s="2179" t="str">
        <f t="shared" si="10"/>
        <v/>
      </c>
      <c r="S68" s="2179" t="str">
        <f t="shared" si="11"/>
        <v/>
      </c>
      <c r="T68" s="2179"/>
      <c r="U68" s="2179"/>
      <c r="V68" s="2168"/>
      <c r="W68" s="2168"/>
      <c r="X68" s="2168"/>
      <c r="Y68" s="2168"/>
      <c r="Z68" s="2168"/>
      <c r="AA68" s="2168"/>
      <c r="AB68" s="2168"/>
      <c r="AC68" s="2168"/>
      <c r="AD68" s="2168"/>
      <c r="AE68" s="2180">
        <v>11530.63</v>
      </c>
      <c r="AF68" s="2180">
        <v>8857.5400000000009</v>
      </c>
      <c r="AG68" s="2180">
        <v>125.96</v>
      </c>
      <c r="AH68" s="3412">
        <v>2341.7600000000002</v>
      </c>
      <c r="AI68" s="3412"/>
      <c r="AJ68" s="2180">
        <v>205.37</v>
      </c>
      <c r="AK68" s="2180"/>
      <c r="AL68" s="2180"/>
      <c r="AM68" s="2180"/>
      <c r="AN68" s="2180">
        <v>11530.63</v>
      </c>
      <c r="AO68" s="2180">
        <v>11530.63</v>
      </c>
      <c r="AP68" s="2168"/>
      <c r="AQ68" s="2168"/>
      <c r="AR68" s="2168"/>
      <c r="AS68" s="2168"/>
      <c r="AT68" s="2168"/>
      <c r="AU68" s="2168"/>
      <c r="AV68" s="2168"/>
    </row>
    <row r="69" spans="3:48" ht="12" hidden="1" outlineLevel="6">
      <c r="C69" s="2190" t="s">
        <v>1368</v>
      </c>
      <c r="D69" s="2178">
        <f t="shared" si="6"/>
        <v>103.31611000000001</v>
      </c>
      <c r="E69" s="2182">
        <f t="shared" ref="E69:E78" si="72">SUM(Q69,S69)</f>
        <v>80.37</v>
      </c>
      <c r="F69" s="2088">
        <f t="shared" ref="F69:F78" si="73">ROUND(E69*$U$1,2)</f>
        <v>6.36</v>
      </c>
      <c r="G69" s="2088">
        <f t="shared" ref="G69:G78" si="74">E69-F69</f>
        <v>74.010000000000005</v>
      </c>
      <c r="H69" s="2182">
        <f>ROUND(SUMIF($C$248:$C$418,$C69,$D$248:$D$418)*'[30]Затраты 2016'!$U$14,5)</f>
        <v>22.946110000000001</v>
      </c>
      <c r="I69" s="2182">
        <f t="shared" ref="I69:I78" si="75">SUMIF($C$420:$C$570,$C69,$D$420:$D$570)</f>
        <v>0</v>
      </c>
      <c r="J69" s="2182">
        <f t="shared" ref="J69:J78" si="76">SUMIF($C$236:$C$246,$C69,$D$236:$D$246)</f>
        <v>0</v>
      </c>
      <c r="L69" s="2172"/>
      <c r="M69" s="2088">
        <f t="shared" si="8"/>
        <v>103.31611000000001</v>
      </c>
      <c r="N69" s="2088">
        <f t="shared" si="9"/>
        <v>96.95611000000001</v>
      </c>
      <c r="O69" s="2090"/>
      <c r="P69" s="2091" t="str">
        <f>VLOOKUP('СС 2016'!$C69,'[30]СС 2015'!$C:$O,13,FALSE)</f>
        <v>Вспомогательные материалы</v>
      </c>
      <c r="Q69" s="2182">
        <v>78.56</v>
      </c>
      <c r="R69" s="2179">
        <f t="shared" si="10"/>
        <v>2.1319577068005082E-5</v>
      </c>
      <c r="S69" s="2179">
        <f t="shared" si="11"/>
        <v>1.81</v>
      </c>
      <c r="T69" s="2179"/>
      <c r="U69" s="2179"/>
      <c r="V69" s="2168"/>
      <c r="W69" s="2168"/>
      <c r="X69" s="2168"/>
      <c r="Y69" s="2168"/>
      <c r="Z69" s="2168"/>
      <c r="AA69" s="2168"/>
      <c r="AB69" s="2168"/>
      <c r="AC69" s="2168"/>
      <c r="AD69" s="2168"/>
      <c r="AE69" s="2183">
        <v>78.56</v>
      </c>
      <c r="AF69" s="2183"/>
      <c r="AG69" s="2183"/>
      <c r="AH69" s="3411">
        <v>41.11</v>
      </c>
      <c r="AI69" s="3411"/>
      <c r="AJ69" s="2183">
        <v>37.450000000000003</v>
      </c>
      <c r="AK69" s="2183"/>
      <c r="AL69" s="2183"/>
      <c r="AM69" s="2183"/>
      <c r="AN69" s="2183">
        <v>78.56</v>
      </c>
      <c r="AO69" s="2183">
        <v>78.56</v>
      </c>
      <c r="AP69" s="2168"/>
      <c r="AQ69" s="2168"/>
      <c r="AR69" s="2168"/>
      <c r="AS69" s="2168"/>
      <c r="AT69" s="2168"/>
      <c r="AU69" s="2168"/>
      <c r="AV69" s="2168"/>
    </row>
    <row r="70" spans="3:48" ht="12" hidden="1" outlineLevel="6">
      <c r="C70" s="2190" t="s">
        <v>1369</v>
      </c>
      <c r="D70" s="2178">
        <f t="shared" si="6"/>
        <v>9341.229229999999</v>
      </c>
      <c r="E70" s="2182">
        <f t="shared" si="72"/>
        <v>9312.7199999999993</v>
      </c>
      <c r="F70" s="2196">
        <f>ROUND(E70*$U$1,2)-0.01</f>
        <v>737.48</v>
      </c>
      <c r="G70" s="2088">
        <f t="shared" si="74"/>
        <v>8575.24</v>
      </c>
      <c r="H70" s="2182">
        <f>ROUND(SUMIF($C$248:$C$418,$C70,$D$248:$D$418)*'[30]Затраты 2016'!$U$14,5)</f>
        <v>27.299230000000001</v>
      </c>
      <c r="I70" s="2182">
        <f t="shared" si="75"/>
        <v>1.21</v>
      </c>
      <c r="J70" s="2182">
        <f t="shared" si="76"/>
        <v>0</v>
      </c>
      <c r="L70" s="2172"/>
      <c r="M70" s="2088">
        <f t="shared" si="8"/>
        <v>9341.229229999999</v>
      </c>
      <c r="N70" s="2088">
        <f t="shared" si="9"/>
        <v>8603.7492299999994</v>
      </c>
      <c r="O70" s="2090"/>
      <c r="P70" s="2091" t="str">
        <f>VLOOKUP('СС 2016'!$C70,'[30]СС 2015'!$C:$O,13,FALSE)</f>
        <v>Вспомогательные материалы</v>
      </c>
      <c r="Q70" s="2182">
        <v>9102.76</v>
      </c>
      <c r="R70" s="2179">
        <f t="shared" si="10"/>
        <v>2.4703028685279268E-3</v>
      </c>
      <c r="S70" s="2197">
        <f>IF(R70="","",ROUND(R70*$S$1,2))</f>
        <v>209.96</v>
      </c>
      <c r="T70" s="2179">
        <f>S1-S8</f>
        <v>-2.0000000033178367E-2</v>
      </c>
      <c r="U70" s="2179"/>
      <c r="V70" s="2168"/>
      <c r="W70" s="2168"/>
      <c r="X70" s="2168"/>
      <c r="Y70" s="2168"/>
      <c r="Z70" s="2168"/>
      <c r="AA70" s="2168"/>
      <c r="AB70" s="2168"/>
      <c r="AC70" s="2168"/>
      <c r="AD70" s="2168"/>
      <c r="AE70" s="2183">
        <v>9102.76</v>
      </c>
      <c r="AF70" s="2183">
        <v>8857.5400000000009</v>
      </c>
      <c r="AG70" s="2183"/>
      <c r="AH70" s="3411">
        <v>191.4</v>
      </c>
      <c r="AI70" s="3411"/>
      <c r="AJ70" s="2183">
        <v>53.82</v>
      </c>
      <c r="AK70" s="2183"/>
      <c r="AL70" s="2183"/>
      <c r="AM70" s="2183"/>
      <c r="AN70" s="2183">
        <v>9102.76</v>
      </c>
      <c r="AO70" s="2183">
        <v>9102.76</v>
      </c>
      <c r="AP70" s="2168"/>
      <c r="AQ70" s="2168"/>
      <c r="AR70" s="2168"/>
      <c r="AS70" s="2168"/>
      <c r="AT70" s="2168"/>
      <c r="AU70" s="2168"/>
      <c r="AV70" s="2168"/>
    </row>
    <row r="71" spans="3:48" ht="12" hidden="1" outlineLevel="6">
      <c r="C71" s="2190" t="s">
        <v>1370</v>
      </c>
      <c r="D71" s="2178">
        <f t="shared" si="6"/>
        <v>334.30194</v>
      </c>
      <c r="E71" s="2182">
        <f t="shared" si="72"/>
        <v>287.84000000000003</v>
      </c>
      <c r="F71" s="2088">
        <f t="shared" si="73"/>
        <v>22.79</v>
      </c>
      <c r="G71" s="2088">
        <f t="shared" si="74"/>
        <v>265.05</v>
      </c>
      <c r="H71" s="2182">
        <f>ROUND(SUMIF($C$248:$C$418,$C71,$D$248:$D$418)*'[30]Затраты 2016'!$U$14,5)</f>
        <v>42.691940000000002</v>
      </c>
      <c r="I71" s="2182">
        <f t="shared" si="75"/>
        <v>3.77</v>
      </c>
      <c r="J71" s="2182">
        <f t="shared" si="76"/>
        <v>0</v>
      </c>
      <c r="L71" s="2172"/>
      <c r="M71" s="2088">
        <f t="shared" si="8"/>
        <v>334.30194</v>
      </c>
      <c r="N71" s="2088">
        <f t="shared" si="9"/>
        <v>311.51193999999998</v>
      </c>
      <c r="O71" s="2090"/>
      <c r="P71" s="2091" t="str">
        <f>VLOOKUP('СС 2016'!$C71,'[30]СС 2015'!$C:$O,13,FALSE)</f>
        <v>Вспомогательные материалы</v>
      </c>
      <c r="Q71" s="2182">
        <v>281.35000000000002</v>
      </c>
      <c r="R71" s="2179">
        <f t="shared" si="10"/>
        <v>7.6352635031609346E-5</v>
      </c>
      <c r="S71" s="2179">
        <f t="shared" si="11"/>
        <v>6.49</v>
      </c>
      <c r="T71" s="2179"/>
      <c r="U71" s="2179"/>
      <c r="V71" s="2168"/>
      <c r="W71" s="2168"/>
      <c r="X71" s="2168"/>
      <c r="Y71" s="2168"/>
      <c r="Z71" s="2168"/>
      <c r="AA71" s="2168"/>
      <c r="AB71" s="2168"/>
      <c r="AC71" s="2168"/>
      <c r="AD71" s="2168"/>
      <c r="AE71" s="2183">
        <v>281.35000000000002</v>
      </c>
      <c r="AF71" s="2183"/>
      <c r="AG71" s="2183"/>
      <c r="AH71" s="3411">
        <v>233.11</v>
      </c>
      <c r="AI71" s="3411"/>
      <c r="AJ71" s="2183">
        <v>48.24</v>
      </c>
      <c r="AK71" s="2183"/>
      <c r="AL71" s="2183"/>
      <c r="AM71" s="2183"/>
      <c r="AN71" s="2183">
        <v>281.35000000000002</v>
      </c>
      <c r="AO71" s="2183">
        <v>281.35000000000002</v>
      </c>
      <c r="AP71" s="2168"/>
      <c r="AQ71" s="2168"/>
      <c r="AR71" s="2168"/>
      <c r="AS71" s="2168"/>
      <c r="AT71" s="2168"/>
      <c r="AU71" s="2168"/>
      <c r="AV71" s="2168"/>
    </row>
    <row r="72" spans="3:48" ht="12" hidden="1" outlineLevel="6">
      <c r="C72" s="2190" t="s">
        <v>1371</v>
      </c>
      <c r="D72" s="2178">
        <f t="shared" si="6"/>
        <v>115.29281999999999</v>
      </c>
      <c r="E72" s="2182">
        <f t="shared" si="72"/>
        <v>83.289999999999992</v>
      </c>
      <c r="F72" s="2088">
        <f>ROUND(E72*$U$1,2)</f>
        <v>6.6</v>
      </c>
      <c r="G72" s="2088">
        <f t="shared" si="74"/>
        <v>76.69</v>
      </c>
      <c r="H72" s="2182">
        <f>ROUND(SUMIF($C$248:$C$418,$C72,$D$248:$D$418)*'[30]Затраты 2016'!$U$14,5)</f>
        <v>32.00282</v>
      </c>
      <c r="I72" s="2182">
        <f t="shared" si="75"/>
        <v>0</v>
      </c>
      <c r="J72" s="2182">
        <f t="shared" si="76"/>
        <v>0</v>
      </c>
      <c r="L72" s="2172"/>
      <c r="M72" s="2088">
        <f t="shared" si="8"/>
        <v>115.29281999999999</v>
      </c>
      <c r="N72" s="2088">
        <f t="shared" si="9"/>
        <v>108.69282</v>
      </c>
      <c r="O72" s="2090"/>
      <c r="P72" s="2091" t="str">
        <f>VLOOKUP('СС 2016'!$C72,'[30]СС 2015'!$C:$O,13,FALSE)</f>
        <v>Вспомогательные материалы</v>
      </c>
      <c r="Q72" s="2182">
        <v>81.41</v>
      </c>
      <c r="R72" s="2179">
        <f t="shared" si="10"/>
        <v>2.2093008771719625E-5</v>
      </c>
      <c r="S72" s="2179">
        <f t="shared" si="11"/>
        <v>1.88</v>
      </c>
      <c r="T72" s="2179"/>
      <c r="U72" s="2179"/>
      <c r="V72" s="2168"/>
      <c r="W72" s="2168"/>
      <c r="X72" s="2168"/>
      <c r="Y72" s="2168"/>
      <c r="Z72" s="2168"/>
      <c r="AA72" s="2168"/>
      <c r="AB72" s="2168"/>
      <c r="AC72" s="2168"/>
      <c r="AD72" s="2168"/>
      <c r="AE72" s="2183">
        <v>81.41</v>
      </c>
      <c r="AF72" s="2183"/>
      <c r="AG72" s="2183"/>
      <c r="AH72" s="3411">
        <v>71.209999999999994</v>
      </c>
      <c r="AI72" s="3411"/>
      <c r="AJ72" s="2183">
        <v>10.199999999999999</v>
      </c>
      <c r="AK72" s="2183"/>
      <c r="AL72" s="2183"/>
      <c r="AM72" s="2183"/>
      <c r="AN72" s="2183">
        <v>81.41</v>
      </c>
      <c r="AO72" s="2183">
        <v>81.41</v>
      </c>
      <c r="AP72" s="2168"/>
      <c r="AQ72" s="2168"/>
      <c r="AR72" s="2168"/>
      <c r="AS72" s="2168"/>
      <c r="AT72" s="2168"/>
      <c r="AU72" s="2168"/>
      <c r="AV72" s="2168"/>
    </row>
    <row r="73" spans="3:48" ht="12" hidden="1" outlineLevel="6">
      <c r="C73" s="2190" t="s">
        <v>1372</v>
      </c>
      <c r="D73" s="2178">
        <f t="shared" si="6"/>
        <v>37.80406</v>
      </c>
      <c r="E73" s="2182">
        <f t="shared" si="72"/>
        <v>28.119999999999997</v>
      </c>
      <c r="F73" s="2088">
        <f t="shared" si="73"/>
        <v>2.23</v>
      </c>
      <c r="G73" s="2088">
        <f t="shared" si="74"/>
        <v>25.889999999999997</v>
      </c>
      <c r="H73" s="2182">
        <f>ROUND(SUMIF($C$248:$C$418,$C73,$D$248:$D$418)*'[30]Затраты 2016'!$U$14,5)</f>
        <v>9.4440600000000003</v>
      </c>
      <c r="I73" s="2182">
        <f t="shared" si="75"/>
        <v>0.24</v>
      </c>
      <c r="J73" s="2182">
        <f t="shared" si="76"/>
        <v>0</v>
      </c>
      <c r="L73" s="2172"/>
      <c r="M73" s="2088">
        <f t="shared" si="8"/>
        <v>37.80406</v>
      </c>
      <c r="N73" s="2088">
        <f t="shared" si="9"/>
        <v>35.574060000000003</v>
      </c>
      <c r="O73" s="2090"/>
      <c r="P73" s="2091" t="str">
        <f>VLOOKUP('СС 2016'!$C73,'[30]СС 2015'!$C:$O,13,FALSE)</f>
        <v>Вспомогательные материалы</v>
      </c>
      <c r="Q73" s="2182">
        <v>27.49</v>
      </c>
      <c r="R73" s="2179">
        <f t="shared" si="10"/>
        <v>7.4602236965307997E-6</v>
      </c>
      <c r="S73" s="2179">
        <f t="shared" si="11"/>
        <v>0.63</v>
      </c>
      <c r="T73" s="2179"/>
      <c r="U73" s="2179"/>
      <c r="V73" s="2168"/>
      <c r="W73" s="2168"/>
      <c r="X73" s="2168"/>
      <c r="Y73" s="2168"/>
      <c r="Z73" s="2168"/>
      <c r="AA73" s="2168"/>
      <c r="AB73" s="2168"/>
      <c r="AC73" s="2168"/>
      <c r="AD73" s="2168"/>
      <c r="AE73" s="2183">
        <v>27.49</v>
      </c>
      <c r="AF73" s="2183"/>
      <c r="AG73" s="2183"/>
      <c r="AH73" s="3411">
        <v>12.1</v>
      </c>
      <c r="AI73" s="3411"/>
      <c r="AJ73" s="2183">
        <v>15.39</v>
      </c>
      <c r="AK73" s="2183"/>
      <c r="AL73" s="2183"/>
      <c r="AM73" s="2183"/>
      <c r="AN73" s="2183">
        <v>27.49</v>
      </c>
      <c r="AO73" s="2183">
        <v>27.49</v>
      </c>
      <c r="AP73" s="2168"/>
      <c r="AQ73" s="2168"/>
      <c r="AR73" s="2168"/>
      <c r="AS73" s="2168"/>
      <c r="AT73" s="2168"/>
      <c r="AU73" s="2168"/>
      <c r="AV73" s="2168"/>
    </row>
    <row r="74" spans="3:48" ht="24" hidden="1" outlineLevel="6">
      <c r="C74" s="2190" t="s">
        <v>1373</v>
      </c>
      <c r="D74" s="2178">
        <f t="shared" ref="D74:D137" si="77">SUM(E74,H74:J74)</f>
        <v>882.67455999999993</v>
      </c>
      <c r="E74" s="2182">
        <f t="shared" si="72"/>
        <v>836.65</v>
      </c>
      <c r="F74" s="2088">
        <f t="shared" si="73"/>
        <v>66.260000000000005</v>
      </c>
      <c r="G74" s="2088">
        <f t="shared" si="74"/>
        <v>770.39</v>
      </c>
      <c r="H74" s="2182">
        <f>ROUND(SUMIF($C$248:$C$418,$C74,$D$248:$D$418)*'[30]Затраты 2016'!$U$14,5)</f>
        <v>45.864559999999997</v>
      </c>
      <c r="I74" s="2182">
        <f t="shared" si="75"/>
        <v>0.16</v>
      </c>
      <c r="J74" s="2182">
        <f t="shared" si="76"/>
        <v>0</v>
      </c>
      <c r="L74" s="2172"/>
      <c r="M74" s="2088">
        <f t="shared" ref="M74:M137" si="78">D74-L74</f>
        <v>882.67455999999993</v>
      </c>
      <c r="N74" s="2088">
        <f t="shared" ref="N74:N137" si="79">D74-F74-L74</f>
        <v>816.41455999999994</v>
      </c>
      <c r="O74" s="2090"/>
      <c r="P74" s="2091" t="str">
        <f>VLOOKUP('СС 2016'!$C74,'[30]СС 2015'!$C:$O,13,FALSE)</f>
        <v>Вспомогательные материалы</v>
      </c>
      <c r="Q74" s="2182">
        <v>817.79</v>
      </c>
      <c r="R74" s="2179">
        <f t="shared" si="10"/>
        <v>2.2193147823884769E-4</v>
      </c>
      <c r="S74" s="2179">
        <f t="shared" si="11"/>
        <v>18.86</v>
      </c>
      <c r="T74" s="2179"/>
      <c r="U74" s="2179"/>
      <c r="V74" s="2168"/>
      <c r="W74" s="2168"/>
      <c r="X74" s="2168"/>
      <c r="Y74" s="2168"/>
      <c r="Z74" s="2168"/>
      <c r="AA74" s="2168"/>
      <c r="AB74" s="2168"/>
      <c r="AC74" s="2168"/>
      <c r="AD74" s="2168"/>
      <c r="AE74" s="2183">
        <v>817.79</v>
      </c>
      <c r="AF74" s="2183"/>
      <c r="AG74" s="2183">
        <v>19.43</v>
      </c>
      <c r="AH74" s="3411">
        <v>797.07</v>
      </c>
      <c r="AI74" s="3411"/>
      <c r="AJ74" s="2183">
        <v>1.29</v>
      </c>
      <c r="AK74" s="2183"/>
      <c r="AL74" s="2183"/>
      <c r="AM74" s="2183"/>
      <c r="AN74" s="2183">
        <v>817.79</v>
      </c>
      <c r="AO74" s="2183">
        <v>817.79</v>
      </c>
      <c r="AP74" s="2168"/>
      <c r="AQ74" s="2168"/>
      <c r="AR74" s="2168"/>
      <c r="AS74" s="2168"/>
      <c r="AT74" s="2168"/>
      <c r="AU74" s="2168"/>
      <c r="AV74" s="2168"/>
    </row>
    <row r="75" spans="3:48" ht="12" hidden="1" outlineLevel="6">
      <c r="C75" s="2190" t="s">
        <v>1374</v>
      </c>
      <c r="D75" s="2178">
        <f t="shared" si="77"/>
        <v>140.25987000000001</v>
      </c>
      <c r="E75" s="2182">
        <f t="shared" si="72"/>
        <v>103.02</v>
      </c>
      <c r="F75" s="2088">
        <f t="shared" si="73"/>
        <v>8.16</v>
      </c>
      <c r="G75" s="2088">
        <f t="shared" si="74"/>
        <v>94.86</v>
      </c>
      <c r="H75" s="2182">
        <f>ROUND(SUMIF($C$248:$C$418,$C75,$D$248:$D$418)*'[30]Затраты 2016'!$U$14,5)</f>
        <v>37.139870000000002</v>
      </c>
      <c r="I75" s="2182">
        <f t="shared" si="75"/>
        <v>0.1</v>
      </c>
      <c r="J75" s="2182">
        <f t="shared" si="76"/>
        <v>0</v>
      </c>
      <c r="L75" s="2172"/>
      <c r="M75" s="2088">
        <f t="shared" si="78"/>
        <v>140.25987000000001</v>
      </c>
      <c r="N75" s="2088">
        <f t="shared" si="79"/>
        <v>132.09987000000001</v>
      </c>
      <c r="O75" s="2090"/>
      <c r="P75" s="2091" t="str">
        <f>VLOOKUP('СС 2016'!$C75,'[30]СС 2015'!$C:$O,13,FALSE)</f>
        <v>Вспомогательные материалы</v>
      </c>
      <c r="Q75" s="2182">
        <v>100.7</v>
      </c>
      <c r="R75" s="2179">
        <f t="shared" ref="R75:R138" si="80">IF(P75="","",Q75/$Q$8)</f>
        <v>2.7327920197913847E-5</v>
      </c>
      <c r="S75" s="2179">
        <f t="shared" ref="S75:S138" si="81">IF(R75="","",ROUND(R75*$S$1,2))</f>
        <v>2.3199999999999998</v>
      </c>
      <c r="T75" s="2179"/>
      <c r="U75" s="2179"/>
      <c r="V75" s="2168"/>
      <c r="W75" s="2168"/>
      <c r="X75" s="2168"/>
      <c r="Y75" s="2168"/>
      <c r="Z75" s="2168"/>
      <c r="AA75" s="2168"/>
      <c r="AB75" s="2168"/>
      <c r="AC75" s="2168"/>
      <c r="AD75" s="2168"/>
      <c r="AE75" s="2183">
        <v>100.7</v>
      </c>
      <c r="AF75" s="2183"/>
      <c r="AG75" s="2183"/>
      <c r="AH75" s="3411">
        <v>92.7</v>
      </c>
      <c r="AI75" s="3411"/>
      <c r="AJ75" s="2183">
        <v>8</v>
      </c>
      <c r="AK75" s="2183"/>
      <c r="AL75" s="2183"/>
      <c r="AM75" s="2183"/>
      <c r="AN75" s="2183">
        <v>100.7</v>
      </c>
      <c r="AO75" s="2183">
        <v>100.7</v>
      </c>
      <c r="AP75" s="2168"/>
      <c r="AQ75" s="2168"/>
      <c r="AR75" s="2168"/>
      <c r="AS75" s="2168"/>
      <c r="AT75" s="2168"/>
      <c r="AU75" s="2168"/>
      <c r="AV75" s="2168"/>
    </row>
    <row r="76" spans="3:48" ht="24" hidden="1" outlineLevel="6">
      <c r="C76" s="2190" t="s">
        <v>1375</v>
      </c>
      <c r="D76" s="2178">
        <f t="shared" si="77"/>
        <v>371.37378999999999</v>
      </c>
      <c r="E76" s="2182">
        <f t="shared" si="72"/>
        <v>297.58999999999997</v>
      </c>
      <c r="F76" s="2088">
        <f t="shared" si="73"/>
        <v>23.57</v>
      </c>
      <c r="G76" s="2088">
        <f t="shared" si="74"/>
        <v>274.02</v>
      </c>
      <c r="H76" s="2182">
        <f>ROUND(SUMIF($C$248:$C$418,$C76,$D$248:$D$418)*'[30]Затраты 2016'!$U$14,5)</f>
        <v>73.163790000000006</v>
      </c>
      <c r="I76" s="2182">
        <f t="shared" si="75"/>
        <v>0.62</v>
      </c>
      <c r="J76" s="2182">
        <f t="shared" si="76"/>
        <v>0</v>
      </c>
      <c r="L76" s="2172"/>
      <c r="M76" s="2088">
        <f t="shared" si="78"/>
        <v>371.37378999999999</v>
      </c>
      <c r="N76" s="2088">
        <f t="shared" si="79"/>
        <v>347.80378999999999</v>
      </c>
      <c r="O76" s="2090"/>
      <c r="P76" s="2091" t="str">
        <f>VLOOKUP('СС 2016'!$C76,'[30]СС 2015'!$C:$O,13,FALSE)</f>
        <v>Вспомогательные материалы</v>
      </c>
      <c r="Q76" s="2182">
        <v>290.88</v>
      </c>
      <c r="R76" s="2179">
        <f t="shared" si="80"/>
        <v>7.8938882097012698E-5</v>
      </c>
      <c r="S76" s="2179">
        <f t="shared" si="81"/>
        <v>6.71</v>
      </c>
      <c r="T76" s="2179"/>
      <c r="U76" s="2179"/>
      <c r="V76" s="2168"/>
      <c r="W76" s="2168"/>
      <c r="X76" s="2168"/>
      <c r="Y76" s="2168"/>
      <c r="Z76" s="2168"/>
      <c r="AA76" s="2168"/>
      <c r="AB76" s="2168"/>
      <c r="AC76" s="2168"/>
      <c r="AD76" s="2168"/>
      <c r="AE76" s="2183">
        <v>290.88</v>
      </c>
      <c r="AF76" s="2183"/>
      <c r="AG76" s="2183">
        <v>11.72</v>
      </c>
      <c r="AH76" s="3411">
        <v>276.61</v>
      </c>
      <c r="AI76" s="3411"/>
      <c r="AJ76" s="2183">
        <v>2.5499999999999998</v>
      </c>
      <c r="AK76" s="2183"/>
      <c r="AL76" s="2183"/>
      <c r="AM76" s="2183"/>
      <c r="AN76" s="2183">
        <v>290.88</v>
      </c>
      <c r="AO76" s="2183">
        <v>290.88</v>
      </c>
      <c r="AP76" s="2168"/>
      <c r="AQ76" s="2168"/>
      <c r="AR76" s="2168"/>
      <c r="AS76" s="2168"/>
      <c r="AT76" s="2168"/>
      <c r="AU76" s="2168"/>
      <c r="AV76" s="2168"/>
    </row>
    <row r="77" spans="3:48" ht="12" hidden="1" outlineLevel="6">
      <c r="C77" s="2190" t="s">
        <v>1376</v>
      </c>
      <c r="D77" s="2178">
        <f t="shared" si="77"/>
        <v>973.12850000000003</v>
      </c>
      <c r="E77" s="2182">
        <f t="shared" si="72"/>
        <v>760.18999999999994</v>
      </c>
      <c r="F77" s="2088">
        <f t="shared" si="73"/>
        <v>60.2</v>
      </c>
      <c r="G77" s="2088">
        <f t="shared" si="74"/>
        <v>699.9899999999999</v>
      </c>
      <c r="H77" s="2182">
        <f>ROUND(SUMIF($C$248:$C$418,$C77,$D$248:$D$418)*'[30]Затраты 2016'!$U$14,5)</f>
        <v>198.99850000000001</v>
      </c>
      <c r="I77" s="2182">
        <f t="shared" si="75"/>
        <v>13.94</v>
      </c>
      <c r="J77" s="2182">
        <f t="shared" si="76"/>
        <v>0</v>
      </c>
      <c r="L77" s="2172"/>
      <c r="M77" s="2088">
        <f t="shared" si="78"/>
        <v>973.12850000000003</v>
      </c>
      <c r="N77" s="2088">
        <f t="shared" si="79"/>
        <v>912.92849999999999</v>
      </c>
      <c r="O77" s="2090"/>
      <c r="P77" s="2091" t="str">
        <f>VLOOKUP('СС 2016'!$C77,'[30]СС 2015'!$C:$O,13,FALSE)</f>
        <v>Вспомогательные материалы</v>
      </c>
      <c r="Q77" s="2182">
        <v>743.05</v>
      </c>
      <c r="R77" s="2179">
        <f t="shared" si="80"/>
        <v>2.0164857103336525E-4</v>
      </c>
      <c r="S77" s="2179">
        <f t="shared" si="81"/>
        <v>17.14</v>
      </c>
      <c r="T77" s="2179"/>
      <c r="U77" s="2179"/>
      <c r="V77" s="2168"/>
      <c r="W77" s="2168"/>
      <c r="X77" s="2168"/>
      <c r="Y77" s="2168"/>
      <c r="Z77" s="2168"/>
      <c r="AA77" s="2168"/>
      <c r="AB77" s="2168"/>
      <c r="AC77" s="2168"/>
      <c r="AD77" s="2168"/>
      <c r="AE77" s="2183">
        <v>743.05</v>
      </c>
      <c r="AF77" s="2183"/>
      <c r="AG77" s="2183">
        <v>94.81</v>
      </c>
      <c r="AH77" s="3411">
        <v>620.66999999999996</v>
      </c>
      <c r="AI77" s="3411"/>
      <c r="AJ77" s="2183">
        <v>27.57</v>
      </c>
      <c r="AK77" s="2183"/>
      <c r="AL77" s="2183"/>
      <c r="AM77" s="2183"/>
      <c r="AN77" s="2183">
        <v>743.05</v>
      </c>
      <c r="AO77" s="2183">
        <v>743.05</v>
      </c>
      <c r="AP77" s="2168"/>
      <c r="AQ77" s="2168"/>
      <c r="AR77" s="2168"/>
      <c r="AS77" s="2168"/>
      <c r="AT77" s="2168"/>
      <c r="AU77" s="2168"/>
      <c r="AV77" s="2168"/>
    </row>
    <row r="78" spans="3:48" ht="12" hidden="1" outlineLevel="6">
      <c r="C78" s="2190" t="s">
        <v>1377</v>
      </c>
      <c r="D78" s="2178">
        <f t="shared" si="77"/>
        <v>9.732050000000001</v>
      </c>
      <c r="E78" s="2182">
        <f t="shared" si="72"/>
        <v>6.79</v>
      </c>
      <c r="F78" s="2088">
        <f t="shared" si="73"/>
        <v>0.54</v>
      </c>
      <c r="G78" s="2088">
        <f t="shared" si="74"/>
        <v>6.25</v>
      </c>
      <c r="H78" s="2182">
        <f>ROUND(SUMIF($C$248:$C$418,$C78,$D$248:$D$418)*'[30]Затраты 2016'!$U$14,5)</f>
        <v>2.9420500000000001</v>
      </c>
      <c r="I78" s="2182">
        <f t="shared" si="75"/>
        <v>0</v>
      </c>
      <c r="J78" s="2182">
        <f t="shared" si="76"/>
        <v>0</v>
      </c>
      <c r="L78" s="2172"/>
      <c r="M78" s="2088">
        <f t="shared" si="78"/>
        <v>9.732050000000001</v>
      </c>
      <c r="N78" s="2088">
        <f t="shared" si="79"/>
        <v>9.1920500000000018</v>
      </c>
      <c r="O78" s="2090"/>
      <c r="P78" s="2091" t="str">
        <f>VLOOKUP('СС 2016'!$C78,'[30]СС 2015'!$C:$O,13,FALSE)</f>
        <v>Вспомогательные материалы</v>
      </c>
      <c r="Q78" s="2182">
        <v>6.64</v>
      </c>
      <c r="R78" s="2179">
        <f t="shared" si="80"/>
        <v>1.8019601798823031E-6</v>
      </c>
      <c r="S78" s="2179">
        <f t="shared" si="81"/>
        <v>0.15</v>
      </c>
      <c r="T78" s="2179"/>
      <c r="U78" s="2179"/>
      <c r="V78" s="2168"/>
      <c r="W78" s="2168"/>
      <c r="X78" s="2168"/>
      <c r="Y78" s="2168"/>
      <c r="Z78" s="2168"/>
      <c r="AA78" s="2168"/>
      <c r="AB78" s="2168"/>
      <c r="AC78" s="2168"/>
      <c r="AD78" s="2168"/>
      <c r="AE78" s="2183">
        <v>6.64</v>
      </c>
      <c r="AF78" s="2183"/>
      <c r="AG78" s="2183"/>
      <c r="AH78" s="3411">
        <v>5.78</v>
      </c>
      <c r="AI78" s="3411"/>
      <c r="AJ78" s="2183">
        <v>0.86</v>
      </c>
      <c r="AK78" s="2183"/>
      <c r="AL78" s="2183"/>
      <c r="AM78" s="2183"/>
      <c r="AN78" s="2183">
        <v>6.64</v>
      </c>
      <c r="AO78" s="2183">
        <v>6.64</v>
      </c>
      <c r="AP78" s="2168"/>
      <c r="AQ78" s="2168"/>
      <c r="AR78" s="2168"/>
      <c r="AS78" s="2168"/>
      <c r="AT78" s="2168"/>
      <c r="AU78" s="2168"/>
      <c r="AV78" s="2168"/>
    </row>
    <row r="79" spans="3:48" ht="12" outlineLevel="3">
      <c r="C79" s="2176" t="s">
        <v>1483</v>
      </c>
      <c r="D79" s="2178">
        <f t="shared" ref="D79:G79" si="82">SUM(D80,D83,D94,D101,D102,D112,D118,D119)</f>
        <v>123396.46128</v>
      </c>
      <c r="E79" s="2178">
        <f t="shared" si="82"/>
        <v>55681.06</v>
      </c>
      <c r="F79" s="2178">
        <f t="shared" si="82"/>
        <v>4409.51</v>
      </c>
      <c r="G79" s="2178">
        <f t="shared" si="82"/>
        <v>51271.549999999996</v>
      </c>
      <c r="H79" s="2178">
        <f>SUM(H80,H83,H94,H101,H102,H112,H118,H119)</f>
        <v>66849.091279999993</v>
      </c>
      <c r="I79" s="2178">
        <f>SUM(I80,I83,I94,I101,I102,I112,I118,I119)</f>
        <v>866.31</v>
      </c>
      <c r="J79" s="2178">
        <f>SUM(J80,J83,J94,J101,J102,J112,J118,J119)</f>
        <v>0</v>
      </c>
      <c r="L79" s="2172"/>
      <c r="M79" s="2088">
        <f t="shared" si="78"/>
        <v>123396.46128</v>
      </c>
      <c r="N79" s="2088">
        <f t="shared" si="79"/>
        <v>118986.95128000001</v>
      </c>
      <c r="O79" s="2090"/>
      <c r="P79" s="2173"/>
      <c r="Q79" s="2178">
        <f t="shared" ref="Q79" si="83">SUM(Q80,Q83,Q94,Q101,Q102,Q112,Q118,Q119)</f>
        <v>54425.65</v>
      </c>
      <c r="R79" s="2179" t="str">
        <f t="shared" si="80"/>
        <v/>
      </c>
      <c r="S79" s="2179" t="str">
        <f t="shared" si="81"/>
        <v/>
      </c>
      <c r="T79" s="2179"/>
      <c r="U79" s="2179"/>
      <c r="V79" s="2168"/>
      <c r="W79" s="2168"/>
      <c r="X79" s="2168"/>
      <c r="Y79" s="2168"/>
      <c r="Z79" s="2168"/>
      <c r="AA79" s="2168"/>
      <c r="AB79" s="2168"/>
      <c r="AC79" s="2168"/>
      <c r="AD79" s="2168"/>
      <c r="AE79" s="2180">
        <v>54425.65</v>
      </c>
      <c r="AF79" s="2180"/>
      <c r="AG79" s="2180">
        <v>3804.23</v>
      </c>
      <c r="AH79" s="3412">
        <v>42909.39</v>
      </c>
      <c r="AI79" s="3412"/>
      <c r="AJ79" s="2180">
        <v>7712.03</v>
      </c>
      <c r="AK79" s="2180"/>
      <c r="AL79" s="2180"/>
      <c r="AM79" s="2180"/>
      <c r="AN79" s="2180">
        <v>54425.65</v>
      </c>
      <c r="AO79" s="2180">
        <v>54425.65</v>
      </c>
      <c r="AP79" s="2168"/>
      <c r="AQ79" s="2168"/>
      <c r="AR79" s="2168"/>
      <c r="AS79" s="2168"/>
      <c r="AT79" s="2168"/>
      <c r="AU79" s="2168"/>
      <c r="AV79" s="2168"/>
    </row>
    <row r="80" spans="3:48" ht="12" outlineLevel="4" collapsed="1">
      <c r="C80" s="2187" t="s">
        <v>1484</v>
      </c>
      <c r="D80" s="2177">
        <f t="shared" ref="D80:J80" si="84">SUM(D81:D82)</f>
        <v>126.79901000000001</v>
      </c>
      <c r="E80" s="2178">
        <f t="shared" si="84"/>
        <v>103.22</v>
      </c>
      <c r="F80" s="2178">
        <f t="shared" si="84"/>
        <v>8.17</v>
      </c>
      <c r="G80" s="2178">
        <f t="shared" si="84"/>
        <v>95.050000000000011</v>
      </c>
      <c r="H80" s="2178">
        <f t="shared" si="84"/>
        <v>23.149010000000001</v>
      </c>
      <c r="I80" s="2178">
        <f t="shared" si="84"/>
        <v>0.43</v>
      </c>
      <c r="J80" s="2178">
        <f t="shared" si="84"/>
        <v>0</v>
      </c>
      <c r="L80" s="2172"/>
      <c r="M80" s="2088">
        <f t="shared" si="78"/>
        <v>126.79901000000001</v>
      </c>
      <c r="N80" s="2088">
        <f t="shared" si="79"/>
        <v>118.62901000000001</v>
      </c>
      <c r="O80" s="2090"/>
      <c r="P80" s="2173"/>
      <c r="Q80" s="2178">
        <f t="shared" ref="Q80" si="85">SUM(Q81:Q82)</f>
        <v>100.89</v>
      </c>
      <c r="R80" s="2179" t="str">
        <f t="shared" si="80"/>
        <v/>
      </c>
      <c r="S80" s="2179" t="str">
        <f t="shared" si="81"/>
        <v/>
      </c>
      <c r="T80" s="2179"/>
      <c r="U80" s="2179"/>
      <c r="V80" s="2168"/>
      <c r="W80" s="2168"/>
      <c r="X80" s="2168"/>
      <c r="Y80" s="2168"/>
      <c r="Z80" s="2168"/>
      <c r="AA80" s="2168"/>
      <c r="AB80" s="2168"/>
      <c r="AC80" s="2168"/>
      <c r="AD80" s="2168"/>
      <c r="AE80" s="2180">
        <v>100.89</v>
      </c>
      <c r="AF80" s="2180"/>
      <c r="AG80" s="2180"/>
      <c r="AH80" s="3412">
        <v>100.88</v>
      </c>
      <c r="AI80" s="3412"/>
      <c r="AJ80" s="2180">
        <v>0.01</v>
      </c>
      <c r="AK80" s="2180"/>
      <c r="AL80" s="2180"/>
      <c r="AM80" s="2180"/>
      <c r="AN80" s="2180">
        <v>100.89</v>
      </c>
      <c r="AO80" s="2180">
        <v>100.89</v>
      </c>
      <c r="AP80" s="2168"/>
      <c r="AQ80" s="2168"/>
      <c r="AR80" s="2168"/>
      <c r="AS80" s="2168"/>
      <c r="AT80" s="2168"/>
      <c r="AU80" s="2168"/>
      <c r="AV80" s="2168"/>
    </row>
    <row r="81" spans="3:48" ht="24" hidden="1" outlineLevel="5">
      <c r="C81" s="2188" t="s">
        <v>1321</v>
      </c>
      <c r="D81" s="2178">
        <f t="shared" si="77"/>
        <v>51.052610000000001</v>
      </c>
      <c r="E81" s="2182">
        <f t="shared" ref="E81:E82" si="86">SUM(Q81,S81)</f>
        <v>41.71</v>
      </c>
      <c r="F81" s="2088">
        <f t="shared" ref="F81:F82" si="87">ROUND(E81*$U$1,2)</f>
        <v>3.3</v>
      </c>
      <c r="G81" s="2088">
        <f t="shared" ref="G81:G82" si="88">E81-F81</f>
        <v>38.410000000000004</v>
      </c>
      <c r="H81" s="2182">
        <f>ROUND(SUMIF($C$248:$C$418,$C81,$D$248:$D$418)*'[30]Затраты 2016'!$U$14,5)</f>
        <v>9.3426100000000005</v>
      </c>
      <c r="I81" s="2182">
        <f>SUMIF($C$420:$C$570,$C81,$D$420:$D$570)</f>
        <v>0</v>
      </c>
      <c r="J81" s="2182">
        <f>SUMIF($C$236:$C$246,$C81,$D$236:$D$246)</f>
        <v>0</v>
      </c>
      <c r="L81" s="2172"/>
      <c r="M81" s="2088">
        <f t="shared" si="78"/>
        <v>51.052610000000001</v>
      </c>
      <c r="N81" s="2088">
        <f t="shared" si="79"/>
        <v>47.752610000000004</v>
      </c>
      <c r="O81" s="2090"/>
      <c r="P81" s="2091" t="str">
        <f>VLOOKUP('СС 2016'!$C81,'[30]СС 2015'!$C:$O,13,FALSE)</f>
        <v>плата за аренду имущества</v>
      </c>
      <c r="Q81" s="2182">
        <v>40.770000000000003</v>
      </c>
      <c r="R81" s="2179">
        <f t="shared" si="80"/>
        <v>1.1064144056295407E-5</v>
      </c>
      <c r="S81" s="2179">
        <f t="shared" si="81"/>
        <v>0.94</v>
      </c>
      <c r="T81" s="2179"/>
      <c r="U81" s="2179"/>
      <c r="V81" s="2168"/>
      <c r="W81" s="2168"/>
      <c r="X81" s="2168"/>
      <c r="Y81" s="2168"/>
      <c r="Z81" s="2168"/>
      <c r="AA81" s="2168"/>
      <c r="AB81" s="2168"/>
      <c r="AC81" s="2168"/>
      <c r="AD81" s="2168"/>
      <c r="AE81" s="2183">
        <v>40.770000000000003</v>
      </c>
      <c r="AF81" s="2183"/>
      <c r="AG81" s="2183"/>
      <c r="AH81" s="3411">
        <v>40.76</v>
      </c>
      <c r="AI81" s="3411"/>
      <c r="AJ81" s="2183">
        <v>0.01</v>
      </c>
      <c r="AK81" s="2183"/>
      <c r="AL81" s="2183"/>
      <c r="AM81" s="2183"/>
      <c r="AN81" s="2183">
        <v>40.770000000000003</v>
      </c>
      <c r="AO81" s="2183">
        <v>40.770000000000003</v>
      </c>
      <c r="AP81" s="2168"/>
      <c r="AQ81" s="2168"/>
      <c r="AR81" s="2168"/>
      <c r="AS81" s="2168"/>
      <c r="AT81" s="2168"/>
      <c r="AU81" s="2168"/>
      <c r="AV81" s="2168"/>
    </row>
    <row r="82" spans="3:48" ht="24" hidden="1" outlineLevel="5">
      <c r="C82" s="2188" t="s">
        <v>1322</v>
      </c>
      <c r="D82" s="2178">
        <f t="shared" si="77"/>
        <v>75.746400000000008</v>
      </c>
      <c r="E82" s="2182">
        <f t="shared" si="86"/>
        <v>61.51</v>
      </c>
      <c r="F82" s="2088">
        <f t="shared" si="87"/>
        <v>4.87</v>
      </c>
      <c r="G82" s="2088">
        <f t="shared" si="88"/>
        <v>56.64</v>
      </c>
      <c r="H82" s="2182">
        <f>ROUND(SUMIF($C$248:$C$418,$C82,$D$248:$D$418)*'[30]Затраты 2016'!$U$14,5)</f>
        <v>13.8064</v>
      </c>
      <c r="I82" s="2182">
        <f>SUMIF($C$420:$C$570,$C82,$D$420:$D$570)</f>
        <v>0.43</v>
      </c>
      <c r="J82" s="2182">
        <f>SUMIF($C$236:$C$246,$C82,$D$236:$D$246)</f>
        <v>0</v>
      </c>
      <c r="L82" s="2172"/>
      <c r="M82" s="2088">
        <f t="shared" si="78"/>
        <v>75.746400000000008</v>
      </c>
      <c r="N82" s="2088">
        <f t="shared" si="79"/>
        <v>70.876400000000004</v>
      </c>
      <c r="O82" s="2090"/>
      <c r="P82" s="2091" t="str">
        <f>VLOOKUP('СС 2016'!$C82,'[30]СС 2015'!$C:$O,13,FALSE)</f>
        <v>плата за аренду имущества</v>
      </c>
      <c r="Q82" s="2182">
        <v>60.12</v>
      </c>
      <c r="R82" s="2179">
        <f t="shared" si="80"/>
        <v>1.6315338255199406E-5</v>
      </c>
      <c r="S82" s="2179">
        <f t="shared" si="81"/>
        <v>1.39</v>
      </c>
      <c r="T82" s="2179"/>
      <c r="U82" s="2179"/>
      <c r="V82" s="2168"/>
      <c r="W82" s="2168"/>
      <c r="X82" s="2168"/>
      <c r="Y82" s="2168"/>
      <c r="Z82" s="2168"/>
      <c r="AA82" s="2168"/>
      <c r="AB82" s="2168"/>
      <c r="AC82" s="2168"/>
      <c r="AD82" s="2168"/>
      <c r="AE82" s="2183">
        <v>60.12</v>
      </c>
      <c r="AF82" s="2183"/>
      <c r="AG82" s="2183"/>
      <c r="AH82" s="3411">
        <v>60.12</v>
      </c>
      <c r="AI82" s="3411"/>
      <c r="AJ82" s="2183"/>
      <c r="AK82" s="2183"/>
      <c r="AL82" s="2183"/>
      <c r="AM82" s="2183"/>
      <c r="AN82" s="2183">
        <v>60.12</v>
      </c>
      <c r="AO82" s="2183">
        <v>60.12</v>
      </c>
      <c r="AP82" s="2168"/>
      <c r="AQ82" s="2168"/>
      <c r="AR82" s="2168"/>
      <c r="AS82" s="2168"/>
      <c r="AT82" s="2168"/>
      <c r="AU82" s="2168"/>
      <c r="AV82" s="2168"/>
    </row>
    <row r="83" spans="3:48" ht="12" outlineLevel="4" collapsed="1">
      <c r="C83" s="2187" t="s">
        <v>1485</v>
      </c>
      <c r="D83" s="2178">
        <f t="shared" ref="D83:J83" si="89">SUM(D84,D86,D87,D91,D92,D93)</f>
        <v>13429.672240000002</v>
      </c>
      <c r="E83" s="2178">
        <f t="shared" si="89"/>
        <v>11152.44</v>
      </c>
      <c r="F83" s="2178">
        <f t="shared" si="89"/>
        <v>883.19999999999993</v>
      </c>
      <c r="G83" s="2178">
        <f t="shared" si="89"/>
        <v>10269.240000000002</v>
      </c>
      <c r="H83" s="2178">
        <f t="shared" si="89"/>
        <v>2179.03224</v>
      </c>
      <c r="I83" s="2178">
        <f t="shared" si="89"/>
        <v>98.200000000000017</v>
      </c>
      <c r="J83" s="2178">
        <f t="shared" si="89"/>
        <v>0</v>
      </c>
      <c r="L83" s="2172"/>
      <c r="M83" s="2088">
        <f t="shared" si="78"/>
        <v>13429.672240000002</v>
      </c>
      <c r="N83" s="2088">
        <f t="shared" si="79"/>
        <v>12546.472240000001</v>
      </c>
      <c r="O83" s="2090"/>
      <c r="P83" s="2173"/>
      <c r="Q83" s="2178">
        <f t="shared" ref="Q83" si="90">SUM(Q84,Q86,Q87,Q91,Q92,Q93)</f>
        <v>10900.99</v>
      </c>
      <c r="R83" s="2179" t="str">
        <f t="shared" si="80"/>
        <v/>
      </c>
      <c r="S83" s="2179" t="str">
        <f t="shared" si="81"/>
        <v/>
      </c>
      <c r="T83" s="2179"/>
      <c r="U83" s="2179"/>
      <c r="V83" s="2168"/>
      <c r="W83" s="2168"/>
      <c r="X83" s="2168"/>
      <c r="Y83" s="2168"/>
      <c r="Z83" s="2168"/>
      <c r="AA83" s="2168"/>
      <c r="AB83" s="2168"/>
      <c r="AC83" s="2168"/>
      <c r="AD83" s="2168"/>
      <c r="AE83" s="2180">
        <v>10900.99</v>
      </c>
      <c r="AF83" s="2180"/>
      <c r="AG83" s="2180">
        <v>168.97</v>
      </c>
      <c r="AH83" s="3412">
        <v>9158.65</v>
      </c>
      <c r="AI83" s="3412"/>
      <c r="AJ83" s="2180">
        <v>1573.37</v>
      </c>
      <c r="AK83" s="2180"/>
      <c r="AL83" s="2180"/>
      <c r="AM83" s="2180"/>
      <c r="AN83" s="2180">
        <v>10900.99</v>
      </c>
      <c r="AO83" s="2180">
        <v>10900.99</v>
      </c>
      <c r="AP83" s="2168"/>
      <c r="AQ83" s="2168"/>
      <c r="AR83" s="2168"/>
      <c r="AS83" s="2168"/>
      <c r="AT83" s="2168"/>
      <c r="AU83" s="2168"/>
      <c r="AV83" s="2168"/>
    </row>
    <row r="84" spans="3:48" ht="12" hidden="1" outlineLevel="5">
      <c r="C84" s="2189" t="s">
        <v>1486</v>
      </c>
      <c r="D84" s="2177">
        <f t="shared" ref="D84:J84" si="91">SUM(D85)</f>
        <v>360.73931000000005</v>
      </c>
      <c r="E84" s="2178">
        <f t="shared" si="91"/>
        <v>310.3</v>
      </c>
      <c r="F84" s="2178">
        <f t="shared" si="91"/>
        <v>24.57</v>
      </c>
      <c r="G84" s="2178">
        <f t="shared" si="91"/>
        <v>285.73</v>
      </c>
      <c r="H84" s="2178">
        <f t="shared" si="91"/>
        <v>47.46931</v>
      </c>
      <c r="I84" s="2178">
        <f t="shared" si="91"/>
        <v>2.97</v>
      </c>
      <c r="J84" s="2178">
        <f t="shared" si="91"/>
        <v>0</v>
      </c>
      <c r="L84" s="2172"/>
      <c r="M84" s="2088">
        <f t="shared" si="78"/>
        <v>360.73931000000005</v>
      </c>
      <c r="N84" s="2088">
        <f t="shared" si="79"/>
        <v>336.16931000000005</v>
      </c>
      <c r="O84" s="2090"/>
      <c r="P84" s="2173"/>
      <c r="Q84" s="2178">
        <f t="shared" ref="Q84" si="92">SUM(Q85)</f>
        <v>303.3</v>
      </c>
      <c r="R84" s="2179" t="str">
        <f t="shared" si="80"/>
        <v/>
      </c>
      <c r="S84" s="2179" t="str">
        <f t="shared" si="81"/>
        <v/>
      </c>
      <c r="T84" s="2179"/>
      <c r="U84" s="2179"/>
      <c r="V84" s="2168"/>
      <c r="W84" s="2168"/>
      <c r="X84" s="2168"/>
      <c r="Y84" s="2168"/>
      <c r="Z84" s="2168"/>
      <c r="AA84" s="2168"/>
      <c r="AB84" s="2168"/>
      <c r="AC84" s="2168"/>
      <c r="AD84" s="2168"/>
      <c r="AE84" s="2180">
        <v>303.3</v>
      </c>
      <c r="AF84" s="2180"/>
      <c r="AG84" s="2180">
        <v>168.97</v>
      </c>
      <c r="AH84" s="3412">
        <v>131.91</v>
      </c>
      <c r="AI84" s="3412"/>
      <c r="AJ84" s="2180">
        <v>2.42</v>
      </c>
      <c r="AK84" s="2180"/>
      <c r="AL84" s="2180"/>
      <c r="AM84" s="2180"/>
      <c r="AN84" s="2180">
        <v>303.3</v>
      </c>
      <c r="AO84" s="2180">
        <v>303.3</v>
      </c>
      <c r="AP84" s="2168"/>
      <c r="AQ84" s="2168"/>
      <c r="AR84" s="2168"/>
      <c r="AS84" s="2168"/>
      <c r="AT84" s="2168"/>
      <c r="AU84" s="2168"/>
      <c r="AV84" s="2168"/>
    </row>
    <row r="85" spans="3:48" ht="24" hidden="1" outlineLevel="6">
      <c r="C85" s="2190" t="s">
        <v>1333</v>
      </c>
      <c r="D85" s="2178">
        <f t="shared" si="77"/>
        <v>360.73931000000005</v>
      </c>
      <c r="E85" s="2182">
        <f t="shared" ref="E85:E86" si="93">SUM(Q85,S85)</f>
        <v>310.3</v>
      </c>
      <c r="F85" s="2088">
        <f t="shared" ref="F85:F86" si="94">ROUND(E85*$U$1,2)</f>
        <v>24.57</v>
      </c>
      <c r="G85" s="2088">
        <f t="shared" ref="G85:G86" si="95">E85-F85</f>
        <v>285.73</v>
      </c>
      <c r="H85" s="2182">
        <f>ROUND(SUMIF($C$248:$C$418,$C85,$D$248:$D$418)*'[30]Затраты 2016'!$U$14,5)</f>
        <v>47.46931</v>
      </c>
      <c r="I85" s="2182">
        <f>SUMIF($C$420:$C$570,$C85,$D$420:$D$570)</f>
        <v>2.97</v>
      </c>
      <c r="J85" s="2182">
        <f>SUMIF($C$236:$C$246,$C85,$D$236:$D$246)</f>
        <v>0</v>
      </c>
      <c r="L85" s="2172"/>
      <c r="M85" s="2088">
        <f t="shared" si="78"/>
        <v>360.73931000000005</v>
      </c>
      <c r="N85" s="2088">
        <f t="shared" si="79"/>
        <v>336.16931000000005</v>
      </c>
      <c r="O85" s="2090"/>
      <c r="P85" s="2091" t="str">
        <f>C213</f>
        <v xml:space="preserve">Затраты на охрану труда - мероприятия по предупреждению заболеваний на производстве </v>
      </c>
      <c r="Q85" s="2182">
        <v>303.3</v>
      </c>
      <c r="R85" s="2179">
        <f t="shared" si="80"/>
        <v>8.2309416047937137E-5</v>
      </c>
      <c r="S85" s="2179">
        <f t="shared" si="81"/>
        <v>7</v>
      </c>
      <c r="T85" s="2179"/>
      <c r="U85" s="2179"/>
      <c r="V85" s="2168"/>
      <c r="W85" s="2168"/>
      <c r="X85" s="2168"/>
      <c r="Y85" s="2168"/>
      <c r="Z85" s="2168"/>
      <c r="AA85" s="2168"/>
      <c r="AB85" s="2168"/>
      <c r="AC85" s="2168"/>
      <c r="AD85" s="2168"/>
      <c r="AE85" s="2183">
        <v>303.3</v>
      </c>
      <c r="AF85" s="2183"/>
      <c r="AG85" s="2183">
        <v>168.97</v>
      </c>
      <c r="AH85" s="3411">
        <v>131.91</v>
      </c>
      <c r="AI85" s="3411"/>
      <c r="AJ85" s="2183">
        <v>2.42</v>
      </c>
      <c r="AK85" s="2183"/>
      <c r="AL85" s="2183"/>
      <c r="AM85" s="2183"/>
      <c r="AN85" s="2183">
        <v>303.3</v>
      </c>
      <c r="AO85" s="2183">
        <v>303.3</v>
      </c>
      <c r="AP85" s="2168"/>
      <c r="AQ85" s="2168"/>
      <c r="AR85" s="2168"/>
      <c r="AS85" s="2168"/>
      <c r="AT85" s="2168"/>
      <c r="AU85" s="2168"/>
      <c r="AV85" s="2168"/>
    </row>
    <row r="86" spans="3:48" ht="12" hidden="1" outlineLevel="5">
      <c r="C86" s="2188" t="s">
        <v>3829</v>
      </c>
      <c r="D86" s="2177">
        <f t="shared" si="77"/>
        <v>12.955739999999999</v>
      </c>
      <c r="E86" s="2182">
        <f t="shared" si="93"/>
        <v>11.56</v>
      </c>
      <c r="F86" s="2088">
        <f t="shared" si="94"/>
        <v>0.92</v>
      </c>
      <c r="G86" s="2088">
        <f t="shared" si="95"/>
        <v>10.64</v>
      </c>
      <c r="H86" s="2182">
        <f>ROUND(SUMIF($C$248:$C$418,$C86,$D$248:$D$418)*'[30]Затраты 2016'!$U$14,5)</f>
        <v>1.3557399999999999</v>
      </c>
      <c r="I86" s="2182">
        <f>SUMIF($C$420:$C$570,$C86,$D$420:$D$570)</f>
        <v>0.04</v>
      </c>
      <c r="J86" s="2182">
        <f>SUMIF($C$236:$C$246,$C86,$D$236:$D$246)</f>
        <v>0</v>
      </c>
      <c r="L86" s="2172"/>
      <c r="M86" s="2088">
        <f t="shared" si="78"/>
        <v>12.955739999999999</v>
      </c>
      <c r="N86" s="2088">
        <f t="shared" si="79"/>
        <v>12.035739999999999</v>
      </c>
      <c r="O86" s="2090"/>
      <c r="P86" s="2193" t="str">
        <f>$C$220</f>
        <v xml:space="preserve">Услуги PR, СМИ, рекламы </v>
      </c>
      <c r="Q86" s="2182">
        <v>11.3</v>
      </c>
      <c r="R86" s="2179">
        <f t="shared" si="80"/>
        <v>3.0665888603418716E-6</v>
      </c>
      <c r="S86" s="2179">
        <f t="shared" si="81"/>
        <v>0.26</v>
      </c>
      <c r="T86" s="2179"/>
      <c r="U86" s="2179"/>
      <c r="V86" s="2168"/>
      <c r="W86" s="2168"/>
      <c r="X86" s="2168"/>
      <c r="Y86" s="2168"/>
      <c r="Z86" s="2168"/>
      <c r="AA86" s="2168"/>
      <c r="AB86" s="2168"/>
      <c r="AC86" s="2168"/>
      <c r="AD86" s="2168"/>
      <c r="AE86" s="2183">
        <v>11.3</v>
      </c>
      <c r="AF86" s="2183"/>
      <c r="AG86" s="2183"/>
      <c r="AH86" s="2185"/>
      <c r="AI86" s="2186"/>
      <c r="AJ86" s="2183">
        <v>11.3</v>
      </c>
      <c r="AK86" s="2183"/>
      <c r="AL86" s="2183"/>
      <c r="AM86" s="2183"/>
      <c r="AN86" s="2183">
        <v>11.3</v>
      </c>
      <c r="AO86" s="2183">
        <v>11.3</v>
      </c>
      <c r="AP86" s="2168"/>
      <c r="AQ86" s="2168"/>
      <c r="AR86" s="2168"/>
      <c r="AS86" s="2168"/>
      <c r="AT86" s="2168"/>
      <c r="AU86" s="2168"/>
      <c r="AV86" s="2168"/>
    </row>
    <row r="87" spans="3:48" ht="12" hidden="1" outlineLevel="5">
      <c r="C87" s="2189" t="s">
        <v>1487</v>
      </c>
      <c r="D87" s="2177">
        <f t="shared" ref="D87:J87" si="96">SUM(D88:D90)</f>
        <v>4314.7726299999995</v>
      </c>
      <c r="E87" s="2178">
        <f t="shared" si="96"/>
        <v>3877.62</v>
      </c>
      <c r="F87" s="2178">
        <f t="shared" si="96"/>
        <v>307.08</v>
      </c>
      <c r="G87" s="2178">
        <f t="shared" si="96"/>
        <v>3570.54</v>
      </c>
      <c r="H87" s="2178">
        <f t="shared" si="96"/>
        <v>417.98262999999997</v>
      </c>
      <c r="I87" s="2178">
        <f t="shared" si="96"/>
        <v>19.170000000000002</v>
      </c>
      <c r="J87" s="2178">
        <f t="shared" si="96"/>
        <v>0</v>
      </c>
      <c r="L87" s="2172"/>
      <c r="M87" s="2088">
        <f t="shared" si="78"/>
        <v>4314.7726299999995</v>
      </c>
      <c r="N87" s="2088">
        <f t="shared" si="79"/>
        <v>4007.6926299999996</v>
      </c>
      <c r="O87" s="2090"/>
      <c r="P87" s="2173"/>
      <c r="Q87" s="2178">
        <f t="shared" ref="Q87" si="97">SUM(Q88:Q90)</f>
        <v>3790.19</v>
      </c>
      <c r="R87" s="2179" t="str">
        <f t="shared" si="80"/>
        <v/>
      </c>
      <c r="S87" s="2179" t="str">
        <f t="shared" si="81"/>
        <v/>
      </c>
      <c r="T87" s="2179"/>
      <c r="U87" s="2179"/>
      <c r="V87" s="2168"/>
      <c r="W87" s="2168"/>
      <c r="X87" s="2168"/>
      <c r="Y87" s="2168"/>
      <c r="Z87" s="2168"/>
      <c r="AA87" s="2168"/>
      <c r="AB87" s="2168"/>
      <c r="AC87" s="2168"/>
      <c r="AD87" s="2168"/>
      <c r="AE87" s="2180">
        <v>3790.19</v>
      </c>
      <c r="AF87" s="2180"/>
      <c r="AG87" s="2180"/>
      <c r="AH87" s="3412">
        <v>3789.18</v>
      </c>
      <c r="AI87" s="3412"/>
      <c r="AJ87" s="2180">
        <v>1.01</v>
      </c>
      <c r="AK87" s="2180"/>
      <c r="AL87" s="2180"/>
      <c r="AM87" s="2180"/>
      <c r="AN87" s="2180">
        <v>3790.19</v>
      </c>
      <c r="AO87" s="2180">
        <v>3790.19</v>
      </c>
      <c r="AP87" s="2168"/>
      <c r="AQ87" s="2168"/>
      <c r="AR87" s="2168"/>
      <c r="AS87" s="2168"/>
      <c r="AT87" s="2168"/>
      <c r="AU87" s="2168"/>
      <c r="AV87" s="2168"/>
    </row>
    <row r="88" spans="3:48" ht="24" hidden="1" outlineLevel="6">
      <c r="C88" s="2190" t="s">
        <v>1378</v>
      </c>
      <c r="D88" s="2178">
        <f t="shared" si="77"/>
        <v>48.549599999999998</v>
      </c>
      <c r="E88" s="2182">
        <f t="shared" ref="E88:E93" si="98">SUM(Q88,S88)</f>
        <v>33.15</v>
      </c>
      <c r="F88" s="2088">
        <f t="shared" ref="F88:F92" si="99">ROUND(E88*$U$1,2)</f>
        <v>2.63</v>
      </c>
      <c r="G88" s="2088">
        <f t="shared" ref="G88:G93" si="100">E88-F88</f>
        <v>30.52</v>
      </c>
      <c r="H88" s="2182">
        <f>ROUND(SUMIF($C$248:$C$418,$C88,$D$248:$D$418)*'[30]Затраты 2016'!$U$14,5)</f>
        <v>15.429600000000001</v>
      </c>
      <c r="I88" s="2182">
        <f t="shared" ref="I88:I93" si="101">SUMIF($C$420:$C$570,$C88,$D$420:$D$570)</f>
        <v>-0.03</v>
      </c>
      <c r="J88" s="2182">
        <f t="shared" ref="J88:J93" si="102">SUMIF($C$236:$C$246,$C88,$D$236:$D$246)</f>
        <v>0</v>
      </c>
      <c r="L88" s="2172"/>
      <c r="M88" s="2088">
        <f t="shared" si="78"/>
        <v>48.549599999999998</v>
      </c>
      <c r="N88" s="2088">
        <f t="shared" si="79"/>
        <v>45.919599999999996</v>
      </c>
      <c r="O88" s="2090"/>
      <c r="P88" s="2193" t="str">
        <f>$C$219</f>
        <v>Расходы по управлению собственностью - межевание земельных участков</v>
      </c>
      <c r="Q88" s="2182">
        <v>32.4</v>
      </c>
      <c r="R88" s="2179">
        <f t="shared" si="80"/>
        <v>8.792697263281118E-6</v>
      </c>
      <c r="S88" s="2179">
        <f t="shared" si="81"/>
        <v>0.75</v>
      </c>
      <c r="T88" s="2179"/>
      <c r="U88" s="2179"/>
      <c r="V88" s="2168"/>
      <c r="W88" s="2168"/>
      <c r="X88" s="2168"/>
      <c r="Y88" s="2168"/>
      <c r="Z88" s="2168"/>
      <c r="AA88" s="2168"/>
      <c r="AB88" s="2168"/>
      <c r="AC88" s="2168"/>
      <c r="AD88" s="2168"/>
      <c r="AE88" s="2183">
        <v>32.4</v>
      </c>
      <c r="AF88" s="2183"/>
      <c r="AG88" s="2183"/>
      <c r="AH88" s="3411">
        <v>32.4</v>
      </c>
      <c r="AI88" s="3411"/>
      <c r="AJ88" s="2183"/>
      <c r="AK88" s="2183"/>
      <c r="AL88" s="2183"/>
      <c r="AM88" s="2183"/>
      <c r="AN88" s="2183">
        <v>32.4</v>
      </c>
      <c r="AO88" s="2183">
        <v>32.4</v>
      </c>
      <c r="AP88" s="2168"/>
      <c r="AQ88" s="2168"/>
      <c r="AR88" s="2168"/>
      <c r="AS88" s="2168"/>
      <c r="AT88" s="2168"/>
      <c r="AU88" s="2168"/>
      <c r="AV88" s="2168"/>
    </row>
    <row r="89" spans="3:48" ht="36" hidden="1" outlineLevel="6">
      <c r="C89" s="2190" t="s">
        <v>1379</v>
      </c>
      <c r="D89" s="2178">
        <f t="shared" si="77"/>
        <v>14.678770000000002</v>
      </c>
      <c r="E89" s="2182">
        <f t="shared" si="98"/>
        <v>10.16</v>
      </c>
      <c r="F89" s="2088">
        <f t="shared" si="99"/>
        <v>0.8</v>
      </c>
      <c r="G89" s="2088">
        <f t="shared" si="100"/>
        <v>9.36</v>
      </c>
      <c r="H89" s="2182">
        <f>ROUND(SUMIF($C$248:$C$418,$C89,$D$248:$D$418)*'[30]Затраты 2016'!$U$14,5)</f>
        <v>4.0487700000000002</v>
      </c>
      <c r="I89" s="2182">
        <f t="shared" si="101"/>
        <v>0.47</v>
      </c>
      <c r="J89" s="2182">
        <f t="shared" si="102"/>
        <v>0</v>
      </c>
      <c r="L89" s="2172"/>
      <c r="M89" s="2088">
        <f t="shared" si="78"/>
        <v>14.678770000000002</v>
      </c>
      <c r="N89" s="2088">
        <f t="shared" si="79"/>
        <v>13.878770000000001</v>
      </c>
      <c r="O89" s="2090"/>
      <c r="P89" s="2193" t="str">
        <f>$C$219</f>
        <v>Расходы по управлению собственностью - межевание земельных участков</v>
      </c>
      <c r="Q89" s="2182">
        <v>9.93</v>
      </c>
      <c r="R89" s="2179">
        <f t="shared" si="80"/>
        <v>2.694798883468565E-6</v>
      </c>
      <c r="S89" s="2179">
        <f t="shared" si="81"/>
        <v>0.23</v>
      </c>
      <c r="T89" s="2179"/>
      <c r="U89" s="2179"/>
      <c r="V89" s="2168"/>
      <c r="W89" s="2168"/>
      <c r="X89" s="2168"/>
      <c r="Y89" s="2168"/>
      <c r="Z89" s="2168"/>
      <c r="AA89" s="2168"/>
      <c r="AB89" s="2168"/>
      <c r="AC89" s="2168"/>
      <c r="AD89" s="2168"/>
      <c r="AE89" s="2183">
        <v>9.93</v>
      </c>
      <c r="AF89" s="2183"/>
      <c r="AG89" s="2183"/>
      <c r="AH89" s="3411">
        <v>8.92</v>
      </c>
      <c r="AI89" s="3411"/>
      <c r="AJ89" s="2183">
        <v>1.01</v>
      </c>
      <c r="AK89" s="2183"/>
      <c r="AL89" s="2183"/>
      <c r="AM89" s="2183"/>
      <c r="AN89" s="2183">
        <v>9.93</v>
      </c>
      <c r="AO89" s="2183">
        <v>9.93</v>
      </c>
      <c r="AP89" s="2168"/>
      <c r="AQ89" s="2168"/>
      <c r="AR89" s="2168"/>
      <c r="AS89" s="2168"/>
      <c r="AT89" s="2168"/>
      <c r="AU89" s="2168"/>
      <c r="AV89" s="2168"/>
    </row>
    <row r="90" spans="3:48" ht="36" hidden="1" outlineLevel="6">
      <c r="C90" s="2190" t="s">
        <v>1380</v>
      </c>
      <c r="D90" s="2178">
        <f t="shared" si="77"/>
        <v>4251.5442599999997</v>
      </c>
      <c r="E90" s="2182">
        <f t="shared" si="98"/>
        <v>3834.31</v>
      </c>
      <c r="F90" s="2088">
        <f t="shared" si="99"/>
        <v>303.64999999999998</v>
      </c>
      <c r="G90" s="2088">
        <f t="shared" si="100"/>
        <v>3530.66</v>
      </c>
      <c r="H90" s="2182">
        <f>ROUND(SUMIF($C$248:$C$418,$C90,$D$248:$D$418)*'[30]Затраты 2016'!$U$14,5)</f>
        <v>398.50425999999999</v>
      </c>
      <c r="I90" s="2182">
        <f t="shared" si="101"/>
        <v>18.73</v>
      </c>
      <c r="J90" s="2182">
        <f t="shared" si="102"/>
        <v>0</v>
      </c>
      <c r="L90" s="2172"/>
      <c r="M90" s="2088">
        <f t="shared" si="78"/>
        <v>4251.5442599999997</v>
      </c>
      <c r="N90" s="2088">
        <f t="shared" si="79"/>
        <v>3947.8942599999996</v>
      </c>
      <c r="O90" s="2090"/>
      <c r="P90" s="2193" t="str">
        <f>$C$219</f>
        <v>Расходы по управлению собственностью - межевание земельных участков</v>
      </c>
      <c r="Q90" s="2182">
        <v>3747.86</v>
      </c>
      <c r="R90" s="2179">
        <f t="shared" si="80"/>
        <v>1.0170925421345918E-3</v>
      </c>
      <c r="S90" s="2179">
        <f t="shared" si="81"/>
        <v>86.45</v>
      </c>
      <c r="T90" s="2179"/>
      <c r="U90" s="2179"/>
      <c r="V90" s="2168"/>
      <c r="W90" s="2168"/>
      <c r="X90" s="2168"/>
      <c r="Y90" s="2168"/>
      <c r="Z90" s="2168"/>
      <c r="AA90" s="2168"/>
      <c r="AB90" s="2168"/>
      <c r="AC90" s="2168"/>
      <c r="AD90" s="2168"/>
      <c r="AE90" s="2183">
        <v>3747.86</v>
      </c>
      <c r="AF90" s="2183"/>
      <c r="AG90" s="2183"/>
      <c r="AH90" s="3411">
        <v>3747.86</v>
      </c>
      <c r="AI90" s="3411"/>
      <c r="AJ90" s="2183"/>
      <c r="AK90" s="2183"/>
      <c r="AL90" s="2183"/>
      <c r="AM90" s="2183"/>
      <c r="AN90" s="2183">
        <v>3747.86</v>
      </c>
      <c r="AO90" s="2183">
        <v>3747.86</v>
      </c>
      <c r="AP90" s="2168"/>
      <c r="AQ90" s="2168"/>
      <c r="AR90" s="2168"/>
      <c r="AS90" s="2168"/>
      <c r="AT90" s="2168"/>
      <c r="AU90" s="2168"/>
      <c r="AV90" s="2168"/>
    </row>
    <row r="91" spans="3:48" ht="12" hidden="1" outlineLevel="5">
      <c r="C91" s="2188" t="s">
        <v>1339</v>
      </c>
      <c r="D91" s="2177">
        <f t="shared" si="77"/>
        <v>8702.270480000001</v>
      </c>
      <c r="E91" s="2182">
        <f t="shared" si="98"/>
        <v>6921.8700000000008</v>
      </c>
      <c r="F91" s="2088">
        <f t="shared" si="99"/>
        <v>548.16</v>
      </c>
      <c r="G91" s="2088">
        <f t="shared" si="100"/>
        <v>6373.7100000000009</v>
      </c>
      <c r="H91" s="2182">
        <f>ROUND(SUMIF($C$248:$C$418,$C91,$D$248:$D$418)*'[30]Затраты 2016'!$U$14,5)</f>
        <v>1704.5604800000001</v>
      </c>
      <c r="I91" s="2182">
        <f t="shared" si="101"/>
        <v>75.84</v>
      </c>
      <c r="J91" s="2182">
        <f t="shared" si="102"/>
        <v>0</v>
      </c>
      <c r="L91" s="2172"/>
      <c r="M91" s="2088">
        <f t="shared" si="78"/>
        <v>8702.270480000001</v>
      </c>
      <c r="N91" s="2088">
        <f t="shared" si="79"/>
        <v>8154.1104800000012</v>
      </c>
      <c r="O91" s="2090"/>
      <c r="P91" s="2091" t="str">
        <f>VLOOKUP('СС 2016'!$C91,'[30]СС 2015'!$C:$O,13,FALSE)</f>
        <v>Канцелярские расходы</v>
      </c>
      <c r="Q91" s="2182">
        <v>6765.81</v>
      </c>
      <c r="R91" s="2179">
        <f t="shared" si="80"/>
        <v>1.83610244045926E-3</v>
      </c>
      <c r="S91" s="2179">
        <f t="shared" si="81"/>
        <v>156.06</v>
      </c>
      <c r="T91" s="2179"/>
      <c r="U91" s="2179"/>
      <c r="V91" s="2168"/>
      <c r="W91" s="2168"/>
      <c r="X91" s="2168"/>
      <c r="Y91" s="2168"/>
      <c r="Z91" s="2168"/>
      <c r="AA91" s="2168"/>
      <c r="AB91" s="2168"/>
      <c r="AC91" s="2168"/>
      <c r="AD91" s="2168"/>
      <c r="AE91" s="2183">
        <v>6765.81</v>
      </c>
      <c r="AF91" s="2183"/>
      <c r="AG91" s="2183"/>
      <c r="AH91" s="3411">
        <v>5232.3100000000004</v>
      </c>
      <c r="AI91" s="3411"/>
      <c r="AJ91" s="2183">
        <v>1533.5</v>
      </c>
      <c r="AK91" s="2183"/>
      <c r="AL91" s="2183"/>
      <c r="AM91" s="2183"/>
      <c r="AN91" s="2183">
        <v>6765.81</v>
      </c>
      <c r="AO91" s="2183">
        <v>6765.81</v>
      </c>
      <c r="AP91" s="2168"/>
      <c r="AQ91" s="2168"/>
      <c r="AR91" s="2168"/>
      <c r="AS91" s="2168"/>
      <c r="AT91" s="2168"/>
      <c r="AU91" s="2168"/>
      <c r="AV91" s="2168"/>
    </row>
    <row r="92" spans="3:48" ht="24" hidden="1" outlineLevel="5">
      <c r="C92" s="2188" t="s">
        <v>1425</v>
      </c>
      <c r="D92" s="2177">
        <f t="shared" si="77"/>
        <v>7.6664600000000007</v>
      </c>
      <c r="E92" s="2182">
        <f t="shared" si="98"/>
        <v>5.37</v>
      </c>
      <c r="F92" s="2088">
        <f t="shared" si="99"/>
        <v>0.43</v>
      </c>
      <c r="G92" s="2088">
        <f t="shared" si="100"/>
        <v>4.9400000000000004</v>
      </c>
      <c r="H92" s="2182">
        <f>ROUND(SUMIF($C$248:$C$418,$C92,$D$248:$D$418)*'[30]Затраты 2016'!$U$14,5)</f>
        <v>2.2964600000000002</v>
      </c>
      <c r="I92" s="2182">
        <f t="shared" si="101"/>
        <v>0</v>
      </c>
      <c r="J92" s="2182">
        <f t="shared" si="102"/>
        <v>0</v>
      </c>
      <c r="L92" s="2172"/>
      <c r="M92" s="2088">
        <f t="shared" si="78"/>
        <v>7.6664600000000007</v>
      </c>
      <c r="N92" s="2088">
        <f t="shared" si="79"/>
        <v>7.236460000000001</v>
      </c>
      <c r="O92" s="2090"/>
      <c r="P92" s="2091" t="str">
        <f>C$224</f>
        <v>прочие</v>
      </c>
      <c r="Q92" s="2182">
        <v>5.25</v>
      </c>
      <c r="R92" s="2179">
        <f t="shared" si="80"/>
        <v>1.4247426121057367E-6</v>
      </c>
      <c r="S92" s="2179">
        <f t="shared" si="81"/>
        <v>0.12</v>
      </c>
      <c r="T92" s="2179"/>
      <c r="U92" s="2179"/>
      <c r="V92" s="2168"/>
      <c r="W92" s="2168"/>
      <c r="X92" s="2168"/>
      <c r="Y92" s="2168"/>
      <c r="Z92" s="2168"/>
      <c r="AA92" s="2168"/>
      <c r="AB92" s="2168"/>
      <c r="AC92" s="2168"/>
      <c r="AD92" s="2168"/>
      <c r="AE92" s="2183">
        <v>5.25</v>
      </c>
      <c r="AF92" s="2183"/>
      <c r="AG92" s="2183"/>
      <c r="AH92" s="3411">
        <v>5.25</v>
      </c>
      <c r="AI92" s="3411"/>
      <c r="AJ92" s="2183"/>
      <c r="AK92" s="2183"/>
      <c r="AL92" s="2183"/>
      <c r="AM92" s="2183"/>
      <c r="AN92" s="2183">
        <v>5.25</v>
      </c>
      <c r="AO92" s="2183">
        <v>5.25</v>
      </c>
      <c r="AP92" s="2168"/>
      <c r="AQ92" s="2168"/>
      <c r="AR92" s="2168"/>
      <c r="AS92" s="2168"/>
      <c r="AT92" s="2168"/>
      <c r="AU92" s="2168"/>
      <c r="AV92" s="2168"/>
    </row>
    <row r="93" spans="3:48" ht="12" hidden="1" outlineLevel="5">
      <c r="C93" s="2188" t="s">
        <v>1446</v>
      </c>
      <c r="D93" s="2178">
        <f t="shared" si="77"/>
        <v>31.267619999999997</v>
      </c>
      <c r="E93" s="2182">
        <f t="shared" si="98"/>
        <v>25.72</v>
      </c>
      <c r="F93" s="2088">
        <f>ROUND(E93*$U$1,2)</f>
        <v>2.04</v>
      </c>
      <c r="G93" s="2088">
        <f t="shared" si="100"/>
        <v>23.68</v>
      </c>
      <c r="H93" s="2182">
        <f>ROUND(SUMIF($C$248:$C$418,$C93,$D$248:$D$418)*'[30]Затраты 2016'!$U$14,5)</f>
        <v>5.3676199999999996</v>
      </c>
      <c r="I93" s="2182">
        <f t="shared" si="101"/>
        <v>0.18</v>
      </c>
      <c r="J93" s="2182">
        <f t="shared" si="102"/>
        <v>0</v>
      </c>
      <c r="L93" s="2172"/>
      <c r="M93" s="2088">
        <f t="shared" si="78"/>
        <v>31.267619999999997</v>
      </c>
      <c r="N93" s="2088">
        <f t="shared" si="79"/>
        <v>29.227619999999998</v>
      </c>
      <c r="O93" s="2090"/>
      <c r="P93" s="2091" t="str">
        <f>VLOOKUP('СС 2016'!$C93,'[30]СС 2015'!$C:$O,13,FALSE)</f>
        <v>прочие</v>
      </c>
      <c r="Q93" s="2182">
        <v>25.14</v>
      </c>
      <c r="R93" s="2179">
        <f t="shared" si="80"/>
        <v>6.8224817653977566E-6</v>
      </c>
      <c r="S93" s="2179">
        <f t="shared" si="81"/>
        <v>0.57999999999999996</v>
      </c>
      <c r="T93" s="2179"/>
      <c r="U93" s="2179"/>
      <c r="V93" s="2168"/>
      <c r="W93" s="2168"/>
      <c r="X93" s="2168"/>
      <c r="Y93" s="2168"/>
      <c r="Z93" s="2168"/>
      <c r="AA93" s="2168"/>
      <c r="AB93" s="2168"/>
      <c r="AC93" s="2168"/>
      <c r="AD93" s="2168"/>
      <c r="AE93" s="2183">
        <v>25.14</v>
      </c>
      <c r="AF93" s="2183"/>
      <c r="AG93" s="2183"/>
      <c r="AH93" s="2185"/>
      <c r="AI93" s="2186"/>
      <c r="AJ93" s="2183">
        <v>25.14</v>
      </c>
      <c r="AK93" s="2183"/>
      <c r="AL93" s="2183"/>
      <c r="AM93" s="2183"/>
      <c r="AN93" s="2183">
        <v>25.14</v>
      </c>
      <c r="AO93" s="2183">
        <v>25.14</v>
      </c>
      <c r="AP93" s="2168"/>
      <c r="AQ93" s="2168"/>
      <c r="AR93" s="2168"/>
      <c r="AS93" s="2168"/>
      <c r="AT93" s="2168"/>
      <c r="AU93" s="2168"/>
      <c r="AV93" s="2168"/>
    </row>
    <row r="94" spans="3:48" ht="12" outlineLevel="4" collapsed="1">
      <c r="C94" s="2187" t="s">
        <v>1488</v>
      </c>
      <c r="D94" s="2177">
        <f t="shared" ref="D94:J94" si="103">SUM(D95:D100)</f>
        <v>4343.2531799999997</v>
      </c>
      <c r="E94" s="2178">
        <f t="shared" si="103"/>
        <v>3775.43</v>
      </c>
      <c r="F94" s="2178">
        <f t="shared" si="103"/>
        <v>298.97999999999996</v>
      </c>
      <c r="G94" s="2178">
        <f t="shared" si="103"/>
        <v>3476.45</v>
      </c>
      <c r="H94" s="2178">
        <f t="shared" si="103"/>
        <v>551.22317999999996</v>
      </c>
      <c r="I94" s="2178">
        <f t="shared" si="103"/>
        <v>16.600000000000001</v>
      </c>
      <c r="J94" s="2178">
        <f t="shared" si="103"/>
        <v>0</v>
      </c>
      <c r="L94" s="2172"/>
      <c r="M94" s="2088">
        <f t="shared" si="78"/>
        <v>4343.2531799999997</v>
      </c>
      <c r="N94" s="2088">
        <f t="shared" si="79"/>
        <v>4044.2731799999997</v>
      </c>
      <c r="O94" s="2090"/>
      <c r="P94" s="2173"/>
      <c r="Q94" s="2178">
        <f t="shared" ref="Q94" si="104">SUM(Q95:Q100)</f>
        <v>3690.31</v>
      </c>
      <c r="R94" s="2179" t="str">
        <f t="shared" si="80"/>
        <v/>
      </c>
      <c r="S94" s="2179" t="str">
        <f t="shared" si="81"/>
        <v/>
      </c>
      <c r="T94" s="2179"/>
      <c r="U94" s="2179"/>
      <c r="V94" s="2168"/>
      <c r="W94" s="2168"/>
      <c r="X94" s="2168"/>
      <c r="Y94" s="2168"/>
      <c r="Z94" s="2168"/>
      <c r="AA94" s="2168"/>
      <c r="AB94" s="2168"/>
      <c r="AC94" s="2168"/>
      <c r="AD94" s="2168"/>
      <c r="AE94" s="2180">
        <v>3690.31</v>
      </c>
      <c r="AF94" s="2180"/>
      <c r="AG94" s="2180">
        <v>1015.3</v>
      </c>
      <c r="AH94" s="3412">
        <v>1534.52</v>
      </c>
      <c r="AI94" s="3412"/>
      <c r="AJ94" s="2180">
        <v>1140.49</v>
      </c>
      <c r="AK94" s="2180"/>
      <c r="AL94" s="2180"/>
      <c r="AM94" s="2180"/>
      <c r="AN94" s="2180">
        <v>3690.31</v>
      </c>
      <c r="AO94" s="2180">
        <v>3690.31</v>
      </c>
      <c r="AP94" s="2168"/>
      <c r="AQ94" s="2168"/>
      <c r="AR94" s="2168"/>
      <c r="AS94" s="2168"/>
      <c r="AT94" s="2168"/>
      <c r="AU94" s="2168"/>
      <c r="AV94" s="2168"/>
    </row>
    <row r="95" spans="3:48" ht="24" hidden="1" outlineLevel="5">
      <c r="C95" s="2188" t="s">
        <v>1329</v>
      </c>
      <c r="D95" s="2178">
        <f t="shared" si="77"/>
        <v>1298.3505599999999</v>
      </c>
      <c r="E95" s="2182">
        <f t="shared" ref="E95:E101" si="105">SUM(Q95,S95)</f>
        <v>1084.54</v>
      </c>
      <c r="F95" s="2088">
        <f t="shared" ref="F95:F101" si="106">ROUND(E95*$U$1,2)</f>
        <v>85.89</v>
      </c>
      <c r="G95" s="2088">
        <f t="shared" ref="G95:G101" si="107">E95-F95</f>
        <v>998.65</v>
      </c>
      <c r="H95" s="2182">
        <f>ROUND(SUMIF($C$248:$C$418,$C95,$D$248:$D$418)*'[30]Затраты 2016'!$U$14,5)</f>
        <v>206.33055999999999</v>
      </c>
      <c r="I95" s="2182">
        <f t="shared" ref="I95:I101" si="108">SUMIF($C$420:$C$570,$C95,$D$420:$D$570)</f>
        <v>7.48</v>
      </c>
      <c r="J95" s="2182">
        <f t="shared" ref="J95:J101" si="109">SUMIF($C$236:$C$246,$C95,$D$236:$D$246)</f>
        <v>0</v>
      </c>
      <c r="L95" s="2172"/>
      <c r="M95" s="2088">
        <f t="shared" si="78"/>
        <v>1298.3505599999999</v>
      </c>
      <c r="N95" s="2088">
        <f t="shared" si="79"/>
        <v>1212.4605599999998</v>
      </c>
      <c r="O95" s="2090"/>
      <c r="P95" s="2091" t="str">
        <f>VLOOKUP('СС 2016'!$C95,'[30]СС 2015'!$C:$O,13,FALSE)</f>
        <v>Страхование</v>
      </c>
      <c r="Q95" s="2182">
        <v>1060.0899999999999</v>
      </c>
      <c r="R95" s="2179">
        <f t="shared" si="80"/>
        <v>2.8768674203184195E-4</v>
      </c>
      <c r="S95" s="2179">
        <f t="shared" si="81"/>
        <v>24.45</v>
      </c>
      <c r="T95" s="2179"/>
      <c r="U95" s="2179"/>
      <c r="V95" s="2168"/>
      <c r="W95" s="2168"/>
      <c r="X95" s="2168"/>
      <c r="Y95" s="2168"/>
      <c r="Z95" s="2168"/>
      <c r="AA95" s="2168"/>
      <c r="AB95" s="2168"/>
      <c r="AC95" s="2168"/>
      <c r="AD95" s="2168"/>
      <c r="AE95" s="2183">
        <v>1060.0899999999999</v>
      </c>
      <c r="AF95" s="2183"/>
      <c r="AG95" s="2183"/>
      <c r="AH95" s="2185"/>
      <c r="AI95" s="2186"/>
      <c r="AJ95" s="2183">
        <v>1060.0899999999999</v>
      </c>
      <c r="AK95" s="2183"/>
      <c r="AL95" s="2183"/>
      <c r="AM95" s="2183"/>
      <c r="AN95" s="2183">
        <v>1060.0899999999999</v>
      </c>
      <c r="AO95" s="2183">
        <v>1060.0899999999999</v>
      </c>
      <c r="AP95" s="2168"/>
      <c r="AQ95" s="2168"/>
      <c r="AR95" s="2168"/>
      <c r="AS95" s="2168"/>
      <c r="AT95" s="2168"/>
      <c r="AU95" s="2168"/>
      <c r="AV95" s="2168"/>
    </row>
    <row r="96" spans="3:48" ht="24" hidden="1" outlineLevel="5">
      <c r="C96" s="2188" t="s">
        <v>1330</v>
      </c>
      <c r="D96" s="2178">
        <f t="shared" si="77"/>
        <v>40.555120000000002</v>
      </c>
      <c r="E96" s="2182">
        <f t="shared" si="105"/>
        <v>33.85</v>
      </c>
      <c r="F96" s="2088">
        <f t="shared" si="106"/>
        <v>2.68</v>
      </c>
      <c r="G96" s="2088">
        <f t="shared" si="107"/>
        <v>31.17</v>
      </c>
      <c r="H96" s="2182">
        <f>ROUND(SUMIF($C$248:$C$418,$C96,$D$248:$D$418)*'[30]Затраты 2016'!$U$14,5)</f>
        <v>6.4651199999999998</v>
      </c>
      <c r="I96" s="2182">
        <f t="shared" si="108"/>
        <v>0.24</v>
      </c>
      <c r="J96" s="2182">
        <f t="shared" si="109"/>
        <v>0</v>
      </c>
      <c r="L96" s="2172"/>
      <c r="M96" s="2088">
        <f t="shared" si="78"/>
        <v>40.555120000000002</v>
      </c>
      <c r="N96" s="2088">
        <f t="shared" si="79"/>
        <v>37.875120000000003</v>
      </c>
      <c r="O96" s="2090"/>
      <c r="P96" s="2091" t="str">
        <f>VLOOKUP('СС 2016'!$C96,'[30]СС 2015'!$C:$O,13,FALSE)</f>
        <v>Страхование</v>
      </c>
      <c r="Q96" s="2182">
        <v>33.090000000000003</v>
      </c>
      <c r="R96" s="2179">
        <f t="shared" si="80"/>
        <v>8.9799491494435874E-6</v>
      </c>
      <c r="S96" s="2179">
        <f t="shared" si="81"/>
        <v>0.76</v>
      </c>
      <c r="T96" s="2179"/>
      <c r="U96" s="2179"/>
      <c r="V96" s="2168"/>
      <c r="W96" s="2168"/>
      <c r="X96" s="2168"/>
      <c r="Y96" s="2168"/>
      <c r="Z96" s="2168"/>
      <c r="AA96" s="2168"/>
      <c r="AB96" s="2168"/>
      <c r="AC96" s="2168"/>
      <c r="AD96" s="2168"/>
      <c r="AE96" s="2183">
        <v>33.090000000000003</v>
      </c>
      <c r="AF96" s="2183"/>
      <c r="AG96" s="2183"/>
      <c r="AH96" s="2185"/>
      <c r="AI96" s="2186"/>
      <c r="AJ96" s="2183">
        <v>33.090000000000003</v>
      </c>
      <c r="AK96" s="2183"/>
      <c r="AL96" s="2183"/>
      <c r="AM96" s="2183"/>
      <c r="AN96" s="2183">
        <v>33.090000000000003</v>
      </c>
      <c r="AO96" s="2183">
        <v>33.090000000000003</v>
      </c>
      <c r="AP96" s="2168"/>
      <c r="AQ96" s="2168"/>
      <c r="AR96" s="2168"/>
      <c r="AS96" s="2168"/>
      <c r="AT96" s="2168"/>
      <c r="AU96" s="2168"/>
      <c r="AV96" s="2168"/>
    </row>
    <row r="97" spans="3:48" ht="24" hidden="1" outlineLevel="5">
      <c r="C97" s="2188" t="s">
        <v>1387</v>
      </c>
      <c r="D97" s="2178">
        <f t="shared" si="77"/>
        <v>1614.78646</v>
      </c>
      <c r="E97" s="2182">
        <f t="shared" si="105"/>
        <v>1492.3500000000001</v>
      </c>
      <c r="F97" s="2088">
        <f t="shared" si="106"/>
        <v>118.18</v>
      </c>
      <c r="G97" s="2088">
        <f t="shared" si="107"/>
        <v>1374.17</v>
      </c>
      <c r="H97" s="2182">
        <f>ROUND(SUMIF($C$248:$C$418,$C97,$D$248:$D$418)*'[30]Затраты 2016'!$U$14,5)</f>
        <v>121.18646</v>
      </c>
      <c r="I97" s="2182">
        <f t="shared" si="108"/>
        <v>1.25</v>
      </c>
      <c r="J97" s="2182">
        <f t="shared" si="109"/>
        <v>0</v>
      </c>
      <c r="L97" s="2172"/>
      <c r="M97" s="2088">
        <f t="shared" si="78"/>
        <v>1614.78646</v>
      </c>
      <c r="N97" s="2088">
        <f t="shared" si="79"/>
        <v>1496.60646</v>
      </c>
      <c r="O97" s="2090"/>
      <c r="P97" s="2091" t="str">
        <f>VLOOKUP('СС 2016'!$C97,'[30]СС 2015'!$C:$O,13,FALSE)</f>
        <v>Страхование</v>
      </c>
      <c r="Q97" s="2182">
        <v>1458.7</v>
      </c>
      <c r="R97" s="2179">
        <f t="shared" si="80"/>
        <v>3.958613425292644E-4</v>
      </c>
      <c r="S97" s="2179">
        <f t="shared" si="81"/>
        <v>33.65</v>
      </c>
      <c r="T97" s="2179"/>
      <c r="U97" s="2179"/>
      <c r="V97" s="2168"/>
      <c r="W97" s="2168"/>
      <c r="X97" s="2168"/>
      <c r="Y97" s="2168"/>
      <c r="Z97" s="2168"/>
      <c r="AA97" s="2168"/>
      <c r="AB97" s="2168"/>
      <c r="AC97" s="2168"/>
      <c r="AD97" s="2168"/>
      <c r="AE97" s="2183">
        <v>1458.7</v>
      </c>
      <c r="AF97" s="2183"/>
      <c r="AG97" s="2183">
        <v>973.57</v>
      </c>
      <c r="AH97" s="3411">
        <v>463.23</v>
      </c>
      <c r="AI97" s="3411"/>
      <c r="AJ97" s="2183">
        <v>21.9</v>
      </c>
      <c r="AK97" s="2183"/>
      <c r="AL97" s="2183"/>
      <c r="AM97" s="2183"/>
      <c r="AN97" s="2183">
        <v>1458.7</v>
      </c>
      <c r="AO97" s="2183">
        <v>1458.7</v>
      </c>
      <c r="AP97" s="2168"/>
      <c r="AQ97" s="2168"/>
      <c r="AR97" s="2168"/>
      <c r="AS97" s="2168"/>
      <c r="AT97" s="2168"/>
      <c r="AU97" s="2168"/>
      <c r="AV97" s="2168"/>
    </row>
    <row r="98" spans="3:48" ht="24" hidden="1" outlineLevel="5">
      <c r="C98" s="2188" t="s">
        <v>1388</v>
      </c>
      <c r="D98" s="2178">
        <f t="shared" si="77"/>
        <v>77.031240000000011</v>
      </c>
      <c r="E98" s="2182">
        <f t="shared" si="105"/>
        <v>70.52000000000001</v>
      </c>
      <c r="F98" s="2088">
        <f t="shared" si="106"/>
        <v>5.58</v>
      </c>
      <c r="G98" s="2088">
        <f t="shared" si="107"/>
        <v>64.940000000000012</v>
      </c>
      <c r="H98" s="2182">
        <f>ROUND(SUMIF($C$248:$C$418,$C98,$D$248:$D$418)*'[30]Затраты 2016'!$U$14,5)</f>
        <v>6.5112399999999999</v>
      </c>
      <c r="I98" s="2182">
        <f t="shared" si="108"/>
        <v>0</v>
      </c>
      <c r="J98" s="2182">
        <f t="shared" si="109"/>
        <v>0</v>
      </c>
      <c r="L98" s="2172"/>
      <c r="M98" s="2088">
        <f t="shared" si="78"/>
        <v>77.031240000000011</v>
      </c>
      <c r="N98" s="2088">
        <f t="shared" si="79"/>
        <v>71.451240000000013</v>
      </c>
      <c r="O98" s="2090"/>
      <c r="P98" s="2091" t="str">
        <f>VLOOKUP('СС 2016'!$C98,'[30]СС 2015'!$C:$O,13,FALSE)</f>
        <v>Страхование</v>
      </c>
      <c r="Q98" s="2182">
        <v>68.930000000000007</v>
      </c>
      <c r="R98" s="2179">
        <f t="shared" si="80"/>
        <v>1.8706192048085419E-5</v>
      </c>
      <c r="S98" s="2179">
        <f t="shared" si="81"/>
        <v>1.59</v>
      </c>
      <c r="T98" s="2179"/>
      <c r="U98" s="2179"/>
      <c r="V98" s="2168"/>
      <c r="W98" s="2168"/>
      <c r="X98" s="2168"/>
      <c r="Y98" s="2168"/>
      <c r="Z98" s="2168"/>
      <c r="AA98" s="2168"/>
      <c r="AB98" s="2168"/>
      <c r="AC98" s="2168"/>
      <c r="AD98" s="2168"/>
      <c r="AE98" s="2183">
        <v>68.930000000000007</v>
      </c>
      <c r="AF98" s="2183"/>
      <c r="AG98" s="2183">
        <v>41.73</v>
      </c>
      <c r="AH98" s="3411">
        <v>26.54</v>
      </c>
      <c r="AI98" s="3411"/>
      <c r="AJ98" s="2183">
        <v>0.66</v>
      </c>
      <c r="AK98" s="2183"/>
      <c r="AL98" s="2183"/>
      <c r="AM98" s="2183"/>
      <c r="AN98" s="2183">
        <v>68.930000000000007</v>
      </c>
      <c r="AO98" s="2183">
        <v>68.930000000000007</v>
      </c>
      <c r="AP98" s="2168"/>
      <c r="AQ98" s="2168"/>
      <c r="AR98" s="2168"/>
      <c r="AS98" s="2168"/>
      <c r="AT98" s="2168"/>
      <c r="AU98" s="2168"/>
      <c r="AV98" s="2168"/>
    </row>
    <row r="99" spans="3:48" ht="12" hidden="1" outlineLevel="5">
      <c r="C99" s="2188" t="s">
        <v>1389</v>
      </c>
      <c r="D99" s="2178">
        <f t="shared" si="77"/>
        <v>1169.3366000000001</v>
      </c>
      <c r="E99" s="2182">
        <f t="shared" si="105"/>
        <v>976.39</v>
      </c>
      <c r="F99" s="2088">
        <f t="shared" si="106"/>
        <v>77.319999999999993</v>
      </c>
      <c r="G99" s="2088">
        <f t="shared" si="107"/>
        <v>899.06999999999994</v>
      </c>
      <c r="H99" s="2182">
        <f>ROUND(SUMIF($C$248:$C$418,$C99,$D$248:$D$418)*'[30]Затраты 2016'!$U$14,5)</f>
        <v>186.20660000000001</v>
      </c>
      <c r="I99" s="2182">
        <f t="shared" si="108"/>
        <v>6.74</v>
      </c>
      <c r="J99" s="2182">
        <f t="shared" si="109"/>
        <v>0</v>
      </c>
      <c r="L99" s="2172"/>
      <c r="M99" s="2088">
        <f t="shared" si="78"/>
        <v>1169.3366000000001</v>
      </c>
      <c r="N99" s="2088">
        <f t="shared" si="79"/>
        <v>1092.0166000000002</v>
      </c>
      <c r="O99" s="2090"/>
      <c r="P99" s="2091" t="str">
        <f>VLOOKUP('СС 2016'!$C99,'[30]СС 2015'!$C:$O,13,FALSE)</f>
        <v>Страхование</v>
      </c>
      <c r="Q99" s="2182">
        <v>954.38</v>
      </c>
      <c r="R99" s="2179">
        <f t="shared" si="80"/>
        <v>2.5899921031266154E-4</v>
      </c>
      <c r="S99" s="2179">
        <f t="shared" si="81"/>
        <v>22.01</v>
      </c>
      <c r="T99" s="2179"/>
      <c r="U99" s="2179"/>
      <c r="V99" s="2168"/>
      <c r="W99" s="2168"/>
      <c r="X99" s="2168"/>
      <c r="Y99" s="2168"/>
      <c r="Z99" s="2168"/>
      <c r="AA99" s="2168"/>
      <c r="AB99" s="2168"/>
      <c r="AC99" s="2168"/>
      <c r="AD99" s="2168"/>
      <c r="AE99" s="2183">
        <v>954.38</v>
      </c>
      <c r="AF99" s="2183"/>
      <c r="AG99" s="2183"/>
      <c r="AH99" s="3411">
        <v>954.38</v>
      </c>
      <c r="AI99" s="3411"/>
      <c r="AJ99" s="2183"/>
      <c r="AK99" s="2183"/>
      <c r="AL99" s="2183"/>
      <c r="AM99" s="2183"/>
      <c r="AN99" s="2183">
        <v>954.38</v>
      </c>
      <c r="AO99" s="2183">
        <v>954.38</v>
      </c>
      <c r="AP99" s="2168"/>
      <c r="AQ99" s="2168"/>
      <c r="AR99" s="2168"/>
      <c r="AS99" s="2168"/>
      <c r="AT99" s="2168"/>
      <c r="AU99" s="2168"/>
      <c r="AV99" s="2168"/>
    </row>
    <row r="100" spans="3:48" ht="12" hidden="1" outlineLevel="5">
      <c r="C100" s="2188" t="s">
        <v>1390</v>
      </c>
      <c r="D100" s="2178">
        <f t="shared" si="77"/>
        <v>143.19319999999999</v>
      </c>
      <c r="E100" s="2182">
        <f t="shared" si="105"/>
        <v>117.78</v>
      </c>
      <c r="F100" s="2088">
        <f t="shared" si="106"/>
        <v>9.33</v>
      </c>
      <c r="G100" s="2088">
        <f t="shared" si="107"/>
        <v>108.45</v>
      </c>
      <c r="H100" s="2182">
        <f>ROUND(SUMIF($C$248:$C$418,$C100,$D$248:$D$418)*'[30]Затраты 2016'!$U$14,5)</f>
        <v>24.523199999999999</v>
      </c>
      <c r="I100" s="2182">
        <f t="shared" si="108"/>
        <v>0.89</v>
      </c>
      <c r="J100" s="2182">
        <f t="shared" si="109"/>
        <v>0</v>
      </c>
      <c r="L100" s="2172"/>
      <c r="M100" s="2088">
        <f t="shared" si="78"/>
        <v>143.19319999999999</v>
      </c>
      <c r="N100" s="2088">
        <f t="shared" si="79"/>
        <v>133.86319999999998</v>
      </c>
      <c r="O100" s="2090"/>
      <c r="P100" s="2091" t="str">
        <f>VLOOKUP('СС 2016'!$C100,'[30]СС 2015'!$C:$O,13,FALSE)</f>
        <v>Страхование</v>
      </c>
      <c r="Q100" s="2182">
        <v>115.12</v>
      </c>
      <c r="R100" s="2179">
        <f t="shared" si="80"/>
        <v>3.124121323916427E-5</v>
      </c>
      <c r="S100" s="2179">
        <f t="shared" si="81"/>
        <v>2.66</v>
      </c>
      <c r="T100" s="2179"/>
      <c r="U100" s="2179"/>
      <c r="V100" s="2168"/>
      <c r="W100" s="2168"/>
      <c r="X100" s="2168"/>
      <c r="Y100" s="2168"/>
      <c r="Z100" s="2168"/>
      <c r="AA100" s="2168"/>
      <c r="AB100" s="2168"/>
      <c r="AC100" s="2168"/>
      <c r="AD100" s="2168"/>
      <c r="AE100" s="2183">
        <v>115.12</v>
      </c>
      <c r="AF100" s="2183"/>
      <c r="AG100" s="2183"/>
      <c r="AH100" s="3411">
        <v>90.37</v>
      </c>
      <c r="AI100" s="3411"/>
      <c r="AJ100" s="2183">
        <v>24.75</v>
      </c>
      <c r="AK100" s="2183"/>
      <c r="AL100" s="2183"/>
      <c r="AM100" s="2183"/>
      <c r="AN100" s="2183">
        <v>115.12</v>
      </c>
      <c r="AO100" s="2183">
        <v>115.12</v>
      </c>
      <c r="AP100" s="2168"/>
      <c r="AQ100" s="2168"/>
      <c r="AR100" s="2168"/>
      <c r="AS100" s="2168"/>
      <c r="AT100" s="2168"/>
      <c r="AU100" s="2168"/>
      <c r="AV100" s="2168"/>
    </row>
    <row r="101" spans="3:48" ht="12" outlineLevel="4">
      <c r="C101" s="2181" t="s">
        <v>1336</v>
      </c>
      <c r="D101" s="2177">
        <f t="shared" si="77"/>
        <v>18.330310000000001</v>
      </c>
      <c r="E101" s="2182">
        <f t="shared" si="105"/>
        <v>12.52</v>
      </c>
      <c r="F101" s="2088">
        <f t="shared" si="106"/>
        <v>0.99</v>
      </c>
      <c r="G101" s="2088">
        <f t="shared" si="107"/>
        <v>11.53</v>
      </c>
      <c r="H101" s="2182">
        <f>ROUND(SUMIF($C$248:$C$418,$C101,$D$248:$D$418)*'[30]Затраты 2016'!$U$14,5)</f>
        <v>5.8103100000000003</v>
      </c>
      <c r="I101" s="2182">
        <f t="shared" si="108"/>
        <v>0</v>
      </c>
      <c r="J101" s="2182">
        <f t="shared" si="109"/>
        <v>0</v>
      </c>
      <c r="L101" s="2172"/>
      <c r="M101" s="2088">
        <f t="shared" si="78"/>
        <v>18.330310000000001</v>
      </c>
      <c r="N101" s="2088">
        <f t="shared" si="79"/>
        <v>17.340310000000002</v>
      </c>
      <c r="O101" s="2090"/>
      <c r="P101" s="2091" t="str">
        <f>VLOOKUP('СС 2016'!$C101,'[30]СС 2015'!$C:$O,13,FALSE)</f>
        <v>Затраты на экологию (кроме налогов и сборов)</v>
      </c>
      <c r="Q101" s="2182">
        <v>12.24</v>
      </c>
      <c r="R101" s="2179">
        <f t="shared" si="80"/>
        <v>3.3216856327950889E-6</v>
      </c>
      <c r="S101" s="2179">
        <f t="shared" si="81"/>
        <v>0.28000000000000003</v>
      </c>
      <c r="T101" s="2179"/>
      <c r="U101" s="2179"/>
      <c r="V101" s="2168"/>
      <c r="W101" s="2168"/>
      <c r="X101" s="2168"/>
      <c r="Y101" s="2168"/>
      <c r="Z101" s="2168"/>
      <c r="AA101" s="2168"/>
      <c r="AB101" s="2168"/>
      <c r="AC101" s="2168"/>
      <c r="AD101" s="2168"/>
      <c r="AE101" s="2183">
        <v>12.24</v>
      </c>
      <c r="AF101" s="2183"/>
      <c r="AG101" s="2183"/>
      <c r="AH101" s="3411">
        <v>12.24</v>
      </c>
      <c r="AI101" s="3411"/>
      <c r="AJ101" s="2183"/>
      <c r="AK101" s="2183"/>
      <c r="AL101" s="2183"/>
      <c r="AM101" s="2183"/>
      <c r="AN101" s="2183">
        <v>12.24</v>
      </c>
      <c r="AO101" s="2183">
        <v>12.24</v>
      </c>
      <c r="AP101" s="2168"/>
      <c r="AQ101" s="2168"/>
      <c r="AR101" s="2168"/>
      <c r="AS101" s="2168"/>
      <c r="AT101" s="2168"/>
      <c r="AU101" s="2168"/>
      <c r="AV101" s="2168"/>
    </row>
    <row r="102" spans="3:48" ht="12" outlineLevel="4" collapsed="1">
      <c r="C102" s="2187" t="s">
        <v>1489</v>
      </c>
      <c r="D102" s="2177">
        <f t="shared" ref="D102:J102" si="110">SUM(D103,D107)</f>
        <v>18766.760599999998</v>
      </c>
      <c r="E102" s="2178">
        <f t="shared" si="110"/>
        <v>13121.380000000001</v>
      </c>
      <c r="F102" s="2178">
        <f t="shared" si="110"/>
        <v>1039.1099999999999</v>
      </c>
      <c r="G102" s="2178">
        <f t="shared" si="110"/>
        <v>12082.27</v>
      </c>
      <c r="H102" s="2178">
        <f t="shared" si="110"/>
        <v>5006.3106000000007</v>
      </c>
      <c r="I102" s="2178">
        <f t="shared" si="110"/>
        <v>639.06999999999994</v>
      </c>
      <c r="J102" s="2178">
        <f t="shared" si="110"/>
        <v>0</v>
      </c>
      <c r="L102" s="2172"/>
      <c r="M102" s="2088">
        <f t="shared" si="78"/>
        <v>18766.760599999998</v>
      </c>
      <c r="N102" s="2088">
        <f t="shared" si="79"/>
        <v>17727.650599999997</v>
      </c>
      <c r="O102" s="2090"/>
      <c r="P102" s="2173"/>
      <c r="Q102" s="2178">
        <f t="shared" ref="Q102" si="111">SUM(Q103,Q107)</f>
        <v>12825.54</v>
      </c>
      <c r="R102" s="2179" t="str">
        <f t="shared" si="80"/>
        <v/>
      </c>
      <c r="S102" s="2179" t="str">
        <f t="shared" si="81"/>
        <v/>
      </c>
      <c r="T102" s="2179"/>
      <c r="U102" s="2179"/>
      <c r="V102" s="2168"/>
      <c r="W102" s="2168"/>
      <c r="X102" s="2168"/>
      <c r="Y102" s="2168"/>
      <c r="Z102" s="2168"/>
      <c r="AA102" s="2168"/>
      <c r="AB102" s="2168"/>
      <c r="AC102" s="2168"/>
      <c r="AD102" s="2168"/>
      <c r="AE102" s="2180">
        <v>12825.54</v>
      </c>
      <c r="AF102" s="2180"/>
      <c r="AG102" s="2180">
        <v>489.61</v>
      </c>
      <c r="AH102" s="3412">
        <v>12136.31</v>
      </c>
      <c r="AI102" s="3412"/>
      <c r="AJ102" s="2180">
        <v>199.62</v>
      </c>
      <c r="AK102" s="2180"/>
      <c r="AL102" s="2180"/>
      <c r="AM102" s="2180"/>
      <c r="AN102" s="2180">
        <v>12825.54</v>
      </c>
      <c r="AO102" s="2180">
        <v>12825.54</v>
      </c>
      <c r="AP102" s="2168"/>
      <c r="AQ102" s="2168"/>
      <c r="AR102" s="2168"/>
      <c r="AS102" s="2168"/>
      <c r="AT102" s="2168"/>
      <c r="AU102" s="2168"/>
      <c r="AV102" s="2168"/>
    </row>
    <row r="103" spans="3:48" ht="24" hidden="1" outlineLevel="5">
      <c r="C103" s="2189" t="s">
        <v>1490</v>
      </c>
      <c r="D103" s="2178">
        <f t="shared" ref="D103:I103" si="112">SUM(D104:D106)</f>
        <v>17621.807399999998</v>
      </c>
      <c r="E103" s="2178">
        <f t="shared" si="112"/>
        <v>12113.310000000001</v>
      </c>
      <c r="F103" s="2178">
        <f t="shared" si="112"/>
        <v>959.28</v>
      </c>
      <c r="G103" s="2178">
        <f t="shared" si="112"/>
        <v>11154.03</v>
      </c>
      <c r="H103" s="2178">
        <f t="shared" si="112"/>
        <v>4873.4574000000002</v>
      </c>
      <c r="I103" s="2178">
        <f t="shared" si="112"/>
        <v>635.04</v>
      </c>
      <c r="J103" s="2178">
        <f t="shared" ref="J103" si="113">SUM(J104:J106)</f>
        <v>0</v>
      </c>
      <c r="L103" s="2172"/>
      <c r="M103" s="2088">
        <f t="shared" si="78"/>
        <v>17621.807399999998</v>
      </c>
      <c r="N103" s="2088">
        <f t="shared" si="79"/>
        <v>16662.527399999999</v>
      </c>
      <c r="O103" s="2090"/>
      <c r="P103" s="2173"/>
      <c r="Q103" s="2178">
        <f t="shared" ref="Q103" si="114">SUM(Q104:Q106)</f>
        <v>11840.210000000001</v>
      </c>
      <c r="R103" s="2179" t="str">
        <f t="shared" si="80"/>
        <v/>
      </c>
      <c r="S103" s="2179" t="str">
        <f t="shared" si="81"/>
        <v/>
      </c>
      <c r="T103" s="2179"/>
      <c r="U103" s="2179"/>
      <c r="V103" s="2168"/>
      <c r="W103" s="2168"/>
      <c r="X103" s="2168"/>
      <c r="Y103" s="2168"/>
      <c r="Z103" s="2168"/>
      <c r="AA103" s="2168"/>
      <c r="AB103" s="2168"/>
      <c r="AC103" s="2168"/>
      <c r="AD103" s="2168"/>
      <c r="AE103" s="2180">
        <v>11840.21</v>
      </c>
      <c r="AF103" s="2180"/>
      <c r="AG103" s="2180"/>
      <c r="AH103" s="3412">
        <v>11766.88</v>
      </c>
      <c r="AI103" s="3412"/>
      <c r="AJ103" s="2180">
        <v>73.33</v>
      </c>
      <c r="AK103" s="2180"/>
      <c r="AL103" s="2180"/>
      <c r="AM103" s="2180"/>
      <c r="AN103" s="2180">
        <v>11840.21</v>
      </c>
      <c r="AO103" s="2180">
        <v>11840.21</v>
      </c>
      <c r="AP103" s="2168"/>
      <c r="AQ103" s="2168"/>
      <c r="AR103" s="2168"/>
      <c r="AS103" s="2168"/>
      <c r="AT103" s="2168"/>
      <c r="AU103" s="2168"/>
      <c r="AV103" s="2168"/>
    </row>
    <row r="104" spans="3:48" ht="24" hidden="1" outlineLevel="6">
      <c r="C104" s="2190" t="s">
        <v>1342</v>
      </c>
      <c r="D104" s="2178">
        <f t="shared" si="77"/>
        <v>2233.3467299999998</v>
      </c>
      <c r="E104" s="2182">
        <f t="shared" ref="E104:E106" si="115">SUM(Q104,S104)</f>
        <v>1542.79</v>
      </c>
      <c r="F104" s="2088">
        <f t="shared" ref="F104:F106" si="116">ROUND(E104*$U$1,2)</f>
        <v>122.18</v>
      </c>
      <c r="G104" s="2088">
        <f t="shared" ref="G104:G106" si="117">E104-F104</f>
        <v>1420.61</v>
      </c>
      <c r="H104" s="2182">
        <f>ROUND(SUMIF($C$248:$C$418,$C104,$D$248:$D$418)*'[30]Затраты 2016'!$U$14,5)</f>
        <v>611.45672999999999</v>
      </c>
      <c r="I104" s="2182">
        <f>SUMIF($C$420:$C$570,$C104,$D$420:$D$570)</f>
        <v>79.099999999999994</v>
      </c>
      <c r="J104" s="2182">
        <f>SUMIF($C$236:$C$246,$C104,$D$236:$D$246)</f>
        <v>0</v>
      </c>
      <c r="L104" s="2172"/>
      <c r="M104" s="2088">
        <f t="shared" si="78"/>
        <v>2233.3467299999998</v>
      </c>
      <c r="N104" s="2088">
        <f t="shared" si="79"/>
        <v>2111.1667299999999</v>
      </c>
      <c r="O104" s="2090"/>
      <c r="P104" s="2091" t="str">
        <f>VLOOKUP('СС 2016'!$C104,'[30]СС 2015'!$C:$O,13,FALSE)</f>
        <v>Командировочные расходы</v>
      </c>
      <c r="Q104" s="2182">
        <v>1508.01</v>
      </c>
      <c r="R104" s="2179">
        <f t="shared" si="80"/>
        <v>4.0924306790125179E-4</v>
      </c>
      <c r="S104" s="2179">
        <f t="shared" si="81"/>
        <v>34.78</v>
      </c>
      <c r="T104" s="2179"/>
      <c r="U104" s="2179"/>
      <c r="V104" s="2168"/>
      <c r="W104" s="2168"/>
      <c r="X104" s="2168"/>
      <c r="Y104" s="2168"/>
      <c r="Z104" s="2168"/>
      <c r="AA104" s="2168"/>
      <c r="AB104" s="2168"/>
      <c r="AC104" s="2168"/>
      <c r="AD104" s="2168"/>
      <c r="AE104" s="2183">
        <v>1508.01</v>
      </c>
      <c r="AF104" s="2183"/>
      <c r="AG104" s="2183"/>
      <c r="AH104" s="3411">
        <v>1498.41</v>
      </c>
      <c r="AI104" s="3411"/>
      <c r="AJ104" s="2183">
        <v>9.6</v>
      </c>
      <c r="AK104" s="2183"/>
      <c r="AL104" s="2183"/>
      <c r="AM104" s="2183"/>
      <c r="AN104" s="2183">
        <v>1508.01</v>
      </c>
      <c r="AO104" s="2183">
        <v>1508.01</v>
      </c>
      <c r="AP104" s="2168"/>
      <c r="AQ104" s="2168"/>
      <c r="AR104" s="2168"/>
      <c r="AS104" s="2168"/>
      <c r="AT104" s="2168"/>
      <c r="AU104" s="2168"/>
      <c r="AV104" s="2168"/>
    </row>
    <row r="105" spans="3:48" ht="24" hidden="1" outlineLevel="6">
      <c r="C105" s="2190" t="s">
        <v>1343</v>
      </c>
      <c r="D105" s="2178">
        <f t="shared" si="77"/>
        <v>7789.4796299999998</v>
      </c>
      <c r="E105" s="2182">
        <f t="shared" si="115"/>
        <v>5351.29</v>
      </c>
      <c r="F105" s="2088">
        <f t="shared" si="116"/>
        <v>423.78</v>
      </c>
      <c r="G105" s="2088">
        <f t="shared" si="117"/>
        <v>4927.51</v>
      </c>
      <c r="H105" s="2182">
        <f>ROUND(SUMIF($C$248:$C$418,$C105,$D$248:$D$418)*'[30]Затраты 2016'!$U$14,5)</f>
        <v>2157.3496300000002</v>
      </c>
      <c r="I105" s="2182">
        <f>SUMIF($C$420:$C$570,$C105,$D$420:$D$570)</f>
        <v>280.83999999999997</v>
      </c>
      <c r="J105" s="2182">
        <f>SUMIF($C$236:$C$246,$C105,$D$236:$D$246)</f>
        <v>0</v>
      </c>
      <c r="L105" s="2172"/>
      <c r="M105" s="2088">
        <f t="shared" si="78"/>
        <v>7789.4796299999998</v>
      </c>
      <c r="N105" s="2088">
        <f t="shared" si="79"/>
        <v>7365.6996300000001</v>
      </c>
      <c r="O105" s="2090"/>
      <c r="P105" s="2091" t="str">
        <f>VLOOKUP('СС 2016'!$C105,'[30]СС 2015'!$C:$O,13,FALSE)</f>
        <v>Командировочные расходы</v>
      </c>
      <c r="Q105" s="2182">
        <v>5230.6400000000003</v>
      </c>
      <c r="R105" s="2179">
        <f t="shared" si="80"/>
        <v>1.4194887041113812E-3</v>
      </c>
      <c r="S105" s="2179">
        <f t="shared" si="81"/>
        <v>120.65</v>
      </c>
      <c r="T105" s="2179"/>
      <c r="U105" s="2179"/>
      <c r="V105" s="2168"/>
      <c r="W105" s="2168"/>
      <c r="X105" s="2168"/>
      <c r="Y105" s="2168"/>
      <c r="Z105" s="2168"/>
      <c r="AA105" s="2168"/>
      <c r="AB105" s="2168"/>
      <c r="AC105" s="2168"/>
      <c r="AD105" s="2168"/>
      <c r="AE105" s="2183">
        <v>5230.6400000000003</v>
      </c>
      <c r="AF105" s="2183"/>
      <c r="AG105" s="2183"/>
      <c r="AH105" s="3411">
        <v>5185.47</v>
      </c>
      <c r="AI105" s="3411"/>
      <c r="AJ105" s="2183">
        <v>45.17</v>
      </c>
      <c r="AK105" s="2183"/>
      <c r="AL105" s="2183"/>
      <c r="AM105" s="2183"/>
      <c r="AN105" s="2183">
        <v>5230.6400000000003</v>
      </c>
      <c r="AO105" s="2183">
        <v>5230.6400000000003</v>
      </c>
      <c r="AP105" s="2168"/>
      <c r="AQ105" s="2168"/>
      <c r="AR105" s="2168"/>
      <c r="AS105" s="2168"/>
      <c r="AT105" s="2168"/>
      <c r="AU105" s="2168"/>
      <c r="AV105" s="2168"/>
    </row>
    <row r="106" spans="3:48" ht="24" hidden="1" outlineLevel="6">
      <c r="C106" s="2190" t="s">
        <v>1344</v>
      </c>
      <c r="D106" s="2178">
        <f t="shared" si="77"/>
        <v>7598.9810400000006</v>
      </c>
      <c r="E106" s="2182">
        <f t="shared" si="115"/>
        <v>5219.2300000000005</v>
      </c>
      <c r="F106" s="2088">
        <f t="shared" si="116"/>
        <v>413.32</v>
      </c>
      <c r="G106" s="2088">
        <f t="shared" si="117"/>
        <v>4805.9100000000008</v>
      </c>
      <c r="H106" s="2182">
        <f>ROUND(SUMIF($C$248:$C$418,$C106,$D$248:$D$418)*'[30]Затраты 2016'!$U$14,5)</f>
        <v>2104.6510400000002</v>
      </c>
      <c r="I106" s="2182">
        <f>SUMIF($C$420:$C$570,$C106,$D$420:$D$570)</f>
        <v>275.10000000000002</v>
      </c>
      <c r="J106" s="2182">
        <f>SUMIF($C$236:$C$246,$C106,$D$236:$D$246)</f>
        <v>0</v>
      </c>
      <c r="L106" s="2172"/>
      <c r="M106" s="2088">
        <f t="shared" si="78"/>
        <v>7598.9810400000006</v>
      </c>
      <c r="N106" s="2088">
        <f t="shared" si="79"/>
        <v>7185.6610400000009</v>
      </c>
      <c r="O106" s="2090"/>
      <c r="P106" s="2091" t="str">
        <f>VLOOKUP('СС 2016'!$C106,'[30]СС 2015'!$C:$O,13,FALSE)</f>
        <v>Командировочные расходы</v>
      </c>
      <c r="Q106" s="2182">
        <v>5101.5600000000004</v>
      </c>
      <c r="R106" s="2179">
        <f t="shared" si="80"/>
        <v>1.3844590324217415E-3</v>
      </c>
      <c r="S106" s="2179">
        <f t="shared" si="81"/>
        <v>117.67</v>
      </c>
      <c r="T106" s="2179"/>
      <c r="U106" s="2179"/>
      <c r="V106" s="2168"/>
      <c r="W106" s="2168"/>
      <c r="X106" s="2168"/>
      <c r="Y106" s="2168"/>
      <c r="Z106" s="2168"/>
      <c r="AA106" s="2168"/>
      <c r="AB106" s="2168"/>
      <c r="AC106" s="2168"/>
      <c r="AD106" s="2168"/>
      <c r="AE106" s="2183">
        <v>5101.5600000000004</v>
      </c>
      <c r="AF106" s="2183"/>
      <c r="AG106" s="2183"/>
      <c r="AH106" s="3411">
        <v>5083</v>
      </c>
      <c r="AI106" s="3411"/>
      <c r="AJ106" s="2183">
        <v>18.559999999999999</v>
      </c>
      <c r="AK106" s="2183"/>
      <c r="AL106" s="2183"/>
      <c r="AM106" s="2183"/>
      <c r="AN106" s="2183">
        <v>5101.5600000000004</v>
      </c>
      <c r="AO106" s="2183">
        <v>5101.5600000000004</v>
      </c>
      <c r="AP106" s="2168"/>
      <c r="AQ106" s="2168"/>
      <c r="AR106" s="2168"/>
      <c r="AS106" s="2168"/>
      <c r="AT106" s="2168"/>
      <c r="AU106" s="2168"/>
      <c r="AV106" s="2168"/>
    </row>
    <row r="107" spans="3:48" ht="24" hidden="1" outlineLevel="5">
      <c r="C107" s="2189" t="s">
        <v>1491</v>
      </c>
      <c r="D107" s="2178">
        <f t="shared" ref="D107:J107" si="118">SUM(D108:D111)</f>
        <v>1144.9531999999999</v>
      </c>
      <c r="E107" s="2178">
        <f t="shared" si="118"/>
        <v>1008.0699999999999</v>
      </c>
      <c r="F107" s="2178">
        <f t="shared" si="118"/>
        <v>79.830000000000013</v>
      </c>
      <c r="G107" s="2178">
        <f t="shared" si="118"/>
        <v>928.24</v>
      </c>
      <c r="H107" s="2178">
        <f t="shared" si="118"/>
        <v>132.85320000000002</v>
      </c>
      <c r="I107" s="2178">
        <f t="shared" si="118"/>
        <v>4.03</v>
      </c>
      <c r="J107" s="2178">
        <f t="shared" si="118"/>
        <v>0</v>
      </c>
      <c r="L107" s="2172"/>
      <c r="M107" s="2088">
        <f t="shared" si="78"/>
        <v>1144.9531999999999</v>
      </c>
      <c r="N107" s="2088">
        <f t="shared" si="79"/>
        <v>1065.1232</v>
      </c>
      <c r="O107" s="2090"/>
      <c r="P107" s="2173"/>
      <c r="Q107" s="2178">
        <f t="shared" ref="Q107" si="119">SUM(Q108:Q111)</f>
        <v>985.32999999999993</v>
      </c>
      <c r="R107" s="2179" t="str">
        <f t="shared" si="80"/>
        <v/>
      </c>
      <c r="S107" s="2179" t="str">
        <f t="shared" si="81"/>
        <v/>
      </c>
      <c r="T107" s="2179"/>
      <c r="U107" s="2179"/>
      <c r="V107" s="2168"/>
      <c r="W107" s="2168"/>
      <c r="X107" s="2168"/>
      <c r="Y107" s="2168"/>
      <c r="Z107" s="2168"/>
      <c r="AA107" s="2168"/>
      <c r="AB107" s="2168"/>
      <c r="AC107" s="2168"/>
      <c r="AD107" s="2168"/>
      <c r="AE107" s="2180">
        <v>985.33</v>
      </c>
      <c r="AF107" s="2180"/>
      <c r="AG107" s="2180">
        <v>489.61</v>
      </c>
      <c r="AH107" s="3412">
        <v>369.43</v>
      </c>
      <c r="AI107" s="3412"/>
      <c r="AJ107" s="2180">
        <v>126.29</v>
      </c>
      <c r="AK107" s="2180"/>
      <c r="AL107" s="2180"/>
      <c r="AM107" s="2180"/>
      <c r="AN107" s="2180">
        <v>985.33</v>
      </c>
      <c r="AO107" s="2180">
        <v>985.33</v>
      </c>
      <c r="AP107" s="2168"/>
      <c r="AQ107" s="2168"/>
      <c r="AR107" s="2168"/>
      <c r="AS107" s="2168"/>
      <c r="AT107" s="2168"/>
      <c r="AU107" s="2168"/>
      <c r="AV107" s="2168"/>
    </row>
    <row r="108" spans="3:48" ht="24" hidden="1" outlineLevel="6">
      <c r="C108" s="2190" t="s">
        <v>1345</v>
      </c>
      <c r="D108" s="2178">
        <f t="shared" si="77"/>
        <v>1.98746</v>
      </c>
      <c r="E108" s="2182">
        <f t="shared" ref="E108:E111" si="120">SUM(Q108,S108)</f>
        <v>1.69</v>
      </c>
      <c r="F108" s="2088">
        <f t="shared" ref="F108:F111" si="121">ROUND(E108*$U$1,2)</f>
        <v>0.13</v>
      </c>
      <c r="G108" s="2088">
        <f t="shared" ref="G108:G111" si="122">E108-F108</f>
        <v>1.56</v>
      </c>
      <c r="H108" s="2182">
        <f>ROUND(SUMIF($C$248:$C$418,$C108,$D$248:$D$418)*'[30]Затраты 2016'!$U$14,5)</f>
        <v>0.26745999999999998</v>
      </c>
      <c r="I108" s="2182">
        <f>SUMIF($C$420:$C$570,$C108,$D$420:$D$570)</f>
        <v>0.03</v>
      </c>
      <c r="J108" s="2182">
        <f>SUMIF($C$236:$C$246,$C108,$D$236:$D$246)</f>
        <v>0</v>
      </c>
      <c r="L108" s="2172"/>
      <c r="M108" s="2088">
        <f t="shared" si="78"/>
        <v>1.98746</v>
      </c>
      <c r="N108" s="2088">
        <f t="shared" si="79"/>
        <v>1.8574600000000001</v>
      </c>
      <c r="O108" s="2090"/>
      <c r="P108" s="2091" t="str">
        <f>VLOOKUP('СС 2016'!$C108,'[30]СС 2015'!$C:$O,13,FALSE)</f>
        <v>Командировочные расходы</v>
      </c>
      <c r="Q108" s="2182">
        <v>1.65</v>
      </c>
      <c r="R108" s="2179">
        <f t="shared" si="80"/>
        <v>4.477762495189458E-7</v>
      </c>
      <c r="S108" s="2179">
        <f t="shared" si="81"/>
        <v>0.04</v>
      </c>
      <c r="T108" s="2179"/>
      <c r="U108" s="2179"/>
      <c r="V108" s="2168"/>
      <c r="W108" s="2168"/>
      <c r="X108" s="2168"/>
      <c r="Y108" s="2168"/>
      <c r="Z108" s="2168"/>
      <c r="AA108" s="2168"/>
      <c r="AB108" s="2168"/>
      <c r="AC108" s="2168"/>
      <c r="AD108" s="2168"/>
      <c r="AE108" s="2183">
        <v>1.65</v>
      </c>
      <c r="AF108" s="2183"/>
      <c r="AG108" s="2183"/>
      <c r="AH108" s="3411">
        <v>1</v>
      </c>
      <c r="AI108" s="3411"/>
      <c r="AJ108" s="2183">
        <v>0.65</v>
      </c>
      <c r="AK108" s="2183"/>
      <c r="AL108" s="2183"/>
      <c r="AM108" s="2183"/>
      <c r="AN108" s="2183">
        <v>1.65</v>
      </c>
      <c r="AO108" s="2183">
        <v>1.65</v>
      </c>
      <c r="AP108" s="2168"/>
      <c r="AQ108" s="2168"/>
      <c r="AR108" s="2168"/>
      <c r="AS108" s="2168"/>
      <c r="AT108" s="2168"/>
      <c r="AU108" s="2168"/>
      <c r="AV108" s="2168"/>
    </row>
    <row r="109" spans="3:48" ht="24" hidden="1" outlineLevel="6">
      <c r="C109" s="2190" t="s">
        <v>1347</v>
      </c>
      <c r="D109" s="2178">
        <f t="shared" si="77"/>
        <v>16.004899999999999</v>
      </c>
      <c r="E109" s="2182">
        <f t="shared" si="120"/>
        <v>13.620000000000001</v>
      </c>
      <c r="F109" s="2088">
        <f t="shared" si="121"/>
        <v>1.08</v>
      </c>
      <c r="G109" s="2088">
        <f t="shared" si="122"/>
        <v>12.540000000000001</v>
      </c>
      <c r="H109" s="2182">
        <f>ROUND(SUMIF($C$248:$C$418,$C109,$D$248:$D$418)*'[30]Затраты 2016'!$U$14,5)</f>
        <v>2.3149000000000002</v>
      </c>
      <c r="I109" s="2182">
        <f>SUMIF($C$420:$C$570,$C109,$D$420:$D$570)</f>
        <v>7.0000000000000007E-2</v>
      </c>
      <c r="J109" s="2182">
        <f>SUMIF($C$236:$C$246,$C109,$D$236:$D$246)</f>
        <v>0</v>
      </c>
      <c r="L109" s="2172"/>
      <c r="M109" s="2088">
        <f t="shared" si="78"/>
        <v>16.004899999999999</v>
      </c>
      <c r="N109" s="2088">
        <f t="shared" si="79"/>
        <v>14.924899999999999</v>
      </c>
      <c r="O109" s="2090"/>
      <c r="P109" s="2091" t="str">
        <f>VLOOKUP('СС 2016'!$C109,'[30]СС 2015'!$C:$O,13,FALSE)</f>
        <v>Командировочные расходы</v>
      </c>
      <c r="Q109" s="2182">
        <v>13.31</v>
      </c>
      <c r="R109" s="2179">
        <f t="shared" si="80"/>
        <v>3.6120617461194965E-6</v>
      </c>
      <c r="S109" s="2179">
        <f t="shared" si="81"/>
        <v>0.31</v>
      </c>
      <c r="T109" s="2179"/>
      <c r="U109" s="2179"/>
      <c r="V109" s="2168"/>
      <c r="W109" s="2168"/>
      <c r="X109" s="2168"/>
      <c r="Y109" s="2168"/>
      <c r="Z109" s="2168"/>
      <c r="AA109" s="2168"/>
      <c r="AB109" s="2168"/>
      <c r="AC109" s="2168"/>
      <c r="AD109" s="2168"/>
      <c r="AE109" s="2183">
        <v>13.31</v>
      </c>
      <c r="AF109" s="2183"/>
      <c r="AG109" s="2183"/>
      <c r="AH109" s="3411">
        <v>5.05</v>
      </c>
      <c r="AI109" s="3411"/>
      <c r="AJ109" s="2183">
        <v>8.26</v>
      </c>
      <c r="AK109" s="2183"/>
      <c r="AL109" s="2183"/>
      <c r="AM109" s="2183"/>
      <c r="AN109" s="2183">
        <v>13.31</v>
      </c>
      <c r="AO109" s="2183">
        <v>13.31</v>
      </c>
      <c r="AP109" s="2168"/>
      <c r="AQ109" s="2168"/>
      <c r="AR109" s="2168"/>
      <c r="AS109" s="2168"/>
      <c r="AT109" s="2168"/>
      <c r="AU109" s="2168"/>
      <c r="AV109" s="2168"/>
    </row>
    <row r="110" spans="3:48" ht="24" hidden="1" outlineLevel="6">
      <c r="C110" s="2190" t="s">
        <v>1348</v>
      </c>
      <c r="D110" s="2178">
        <f t="shared" si="77"/>
        <v>584.24508000000003</v>
      </c>
      <c r="E110" s="2182">
        <f t="shared" si="120"/>
        <v>507.24</v>
      </c>
      <c r="F110" s="2088">
        <f t="shared" si="121"/>
        <v>40.17</v>
      </c>
      <c r="G110" s="2088">
        <f t="shared" si="122"/>
        <v>467.07</v>
      </c>
      <c r="H110" s="2182">
        <f>ROUND(SUMIF($C$248:$C$418,$C110,$D$248:$D$418)*'[30]Затраты 2016'!$U$14,5)</f>
        <v>74.335080000000005</v>
      </c>
      <c r="I110" s="2182">
        <f>SUMIF($C$420:$C$570,$C110,$D$420:$D$570)</f>
        <v>2.67</v>
      </c>
      <c r="J110" s="2182">
        <f>SUMIF($C$236:$C$246,$C110,$D$236:$D$246)</f>
        <v>0</v>
      </c>
      <c r="L110" s="2172"/>
      <c r="M110" s="2088">
        <f t="shared" si="78"/>
        <v>584.24508000000003</v>
      </c>
      <c r="N110" s="2088">
        <f t="shared" si="79"/>
        <v>544.07508000000007</v>
      </c>
      <c r="O110" s="2090"/>
      <c r="P110" s="2091" t="str">
        <f>VLOOKUP('СС 2016'!$C110,'[30]СС 2015'!$C:$O,13,FALSE)</f>
        <v>Командировочные расходы</v>
      </c>
      <c r="Q110" s="2182">
        <v>495.8</v>
      </c>
      <c r="R110" s="2179">
        <f t="shared" si="80"/>
        <v>1.3454997849181416E-4</v>
      </c>
      <c r="S110" s="2179">
        <f t="shared" si="81"/>
        <v>11.44</v>
      </c>
      <c r="T110" s="2179"/>
      <c r="U110" s="2179"/>
      <c r="V110" s="2168"/>
      <c r="W110" s="2168"/>
      <c r="X110" s="2168"/>
      <c r="Y110" s="2168"/>
      <c r="Z110" s="2168"/>
      <c r="AA110" s="2168"/>
      <c r="AB110" s="2168"/>
      <c r="AC110" s="2168"/>
      <c r="AD110" s="2168"/>
      <c r="AE110" s="2183">
        <v>495.8</v>
      </c>
      <c r="AF110" s="2183"/>
      <c r="AG110" s="2183">
        <v>202.8</v>
      </c>
      <c r="AH110" s="3411">
        <v>202.35</v>
      </c>
      <c r="AI110" s="3411"/>
      <c r="AJ110" s="2183">
        <v>90.65</v>
      </c>
      <c r="AK110" s="2183"/>
      <c r="AL110" s="2183"/>
      <c r="AM110" s="2183"/>
      <c r="AN110" s="2183">
        <v>495.8</v>
      </c>
      <c r="AO110" s="2183">
        <v>495.8</v>
      </c>
      <c r="AP110" s="2168"/>
      <c r="AQ110" s="2168"/>
      <c r="AR110" s="2168"/>
      <c r="AS110" s="2168"/>
      <c r="AT110" s="2168"/>
      <c r="AU110" s="2168"/>
      <c r="AV110" s="2168"/>
    </row>
    <row r="111" spans="3:48" ht="24" hidden="1" outlineLevel="6">
      <c r="C111" s="2190" t="s">
        <v>1349</v>
      </c>
      <c r="D111" s="2178">
        <f t="shared" si="77"/>
        <v>542.71575999999993</v>
      </c>
      <c r="E111" s="2182">
        <f t="shared" si="120"/>
        <v>485.52</v>
      </c>
      <c r="F111" s="2088">
        <f t="shared" si="121"/>
        <v>38.450000000000003</v>
      </c>
      <c r="G111" s="2088">
        <f t="shared" si="122"/>
        <v>447.07</v>
      </c>
      <c r="H111" s="2182">
        <f>ROUND(SUMIF($C$248:$C$418,$C111,$D$248:$D$418)*'[30]Затраты 2016'!$U$14,5)</f>
        <v>55.935760000000002</v>
      </c>
      <c r="I111" s="2182">
        <f>SUMIF($C$420:$C$570,$C111,$D$420:$D$570)</f>
        <v>1.26</v>
      </c>
      <c r="J111" s="2182">
        <f>SUMIF($C$236:$C$246,$C111,$D$236:$D$246)</f>
        <v>0</v>
      </c>
      <c r="L111" s="2172"/>
      <c r="M111" s="2088">
        <f t="shared" si="78"/>
        <v>542.71575999999993</v>
      </c>
      <c r="N111" s="2088">
        <f t="shared" si="79"/>
        <v>504.26575999999994</v>
      </c>
      <c r="O111" s="2090"/>
      <c r="P111" s="2091" t="str">
        <f>VLOOKUP('СС 2016'!$C111,'[30]СС 2015'!$C:$O,13,FALSE)</f>
        <v>Командировочные расходы</v>
      </c>
      <c r="Q111" s="2182">
        <v>474.57</v>
      </c>
      <c r="R111" s="2179">
        <f t="shared" si="80"/>
        <v>1.287885907480037E-4</v>
      </c>
      <c r="S111" s="2179">
        <f t="shared" si="81"/>
        <v>10.95</v>
      </c>
      <c r="T111" s="2179"/>
      <c r="U111" s="2179"/>
      <c r="V111" s="2168"/>
      <c r="W111" s="2168"/>
      <c r="X111" s="2168"/>
      <c r="Y111" s="2168"/>
      <c r="Z111" s="2168"/>
      <c r="AA111" s="2168"/>
      <c r="AB111" s="2168"/>
      <c r="AC111" s="2168"/>
      <c r="AD111" s="2168"/>
      <c r="AE111" s="2183">
        <v>474.57</v>
      </c>
      <c r="AF111" s="2183"/>
      <c r="AG111" s="2183">
        <v>286.81</v>
      </c>
      <c r="AH111" s="3411">
        <v>161.03</v>
      </c>
      <c r="AI111" s="3411"/>
      <c r="AJ111" s="2183">
        <v>26.73</v>
      </c>
      <c r="AK111" s="2183"/>
      <c r="AL111" s="2183"/>
      <c r="AM111" s="2183"/>
      <c r="AN111" s="2183">
        <v>474.57</v>
      </c>
      <c r="AO111" s="2183">
        <v>474.57</v>
      </c>
      <c r="AP111" s="2168"/>
      <c r="AQ111" s="2168"/>
      <c r="AR111" s="2168"/>
      <c r="AS111" s="2168"/>
      <c r="AT111" s="2168"/>
      <c r="AU111" s="2168"/>
      <c r="AV111" s="2168"/>
    </row>
    <row r="112" spans="3:48" ht="12" outlineLevel="4" collapsed="1">
      <c r="C112" s="2187" t="s">
        <v>1492</v>
      </c>
      <c r="D112" s="2177">
        <f t="shared" ref="D112:J112" si="123">SUM(D113:D117)</f>
        <v>15892.126740000003</v>
      </c>
      <c r="E112" s="2178">
        <f t="shared" si="123"/>
        <v>14068.76</v>
      </c>
      <c r="F112" s="2184">
        <f t="shared" si="123"/>
        <v>1114.1300000000001</v>
      </c>
      <c r="G112" s="2178">
        <f t="shared" si="123"/>
        <v>12954.63</v>
      </c>
      <c r="H112" s="2178">
        <f t="shared" si="123"/>
        <v>1784.57674</v>
      </c>
      <c r="I112" s="2178">
        <f t="shared" si="123"/>
        <v>38.79</v>
      </c>
      <c r="J112" s="2178">
        <f t="shared" si="123"/>
        <v>0</v>
      </c>
      <c r="L112" s="2172"/>
      <c r="M112" s="2088">
        <f t="shared" si="78"/>
        <v>15892.126740000003</v>
      </c>
      <c r="N112" s="2088">
        <f t="shared" si="79"/>
        <v>14777.996740000002</v>
      </c>
      <c r="O112" s="2090"/>
      <c r="P112" s="2173"/>
      <c r="Q112" s="2178">
        <f t="shared" ref="Q112" si="124">SUM(Q113:Q117)</f>
        <v>13751.57</v>
      </c>
      <c r="R112" s="2179" t="str">
        <f t="shared" si="80"/>
        <v/>
      </c>
      <c r="S112" s="2179" t="str">
        <f t="shared" si="81"/>
        <v/>
      </c>
      <c r="T112" s="2179"/>
      <c r="U112" s="2179"/>
      <c r="V112" s="2168"/>
      <c r="W112" s="2168"/>
      <c r="X112" s="2168"/>
      <c r="Y112" s="2168"/>
      <c r="Z112" s="2168"/>
      <c r="AA112" s="2168"/>
      <c r="AB112" s="2168"/>
      <c r="AC112" s="2168"/>
      <c r="AD112" s="2168"/>
      <c r="AE112" s="2180">
        <v>13751.57</v>
      </c>
      <c r="AF112" s="2180"/>
      <c r="AG112" s="2180">
        <v>918.44</v>
      </c>
      <c r="AH112" s="3412">
        <v>12695.09</v>
      </c>
      <c r="AI112" s="3412"/>
      <c r="AJ112" s="2180">
        <v>138.04</v>
      </c>
      <c r="AK112" s="2180"/>
      <c r="AL112" s="2180"/>
      <c r="AM112" s="2180"/>
      <c r="AN112" s="2180">
        <v>13751.57</v>
      </c>
      <c r="AO112" s="2180">
        <v>13751.57</v>
      </c>
      <c r="AP112" s="2168"/>
      <c r="AQ112" s="2168"/>
      <c r="AR112" s="2168"/>
      <c r="AS112" s="2168"/>
      <c r="AT112" s="2168"/>
      <c r="AU112" s="2168"/>
      <c r="AV112" s="2168"/>
    </row>
    <row r="113" spans="3:48" ht="48" hidden="1" outlineLevel="5">
      <c r="C113" s="2188" t="s">
        <v>1324</v>
      </c>
      <c r="D113" s="2178">
        <f t="shared" si="77"/>
        <v>139.20129</v>
      </c>
      <c r="E113" s="2182">
        <f t="shared" ref="E113:E118" si="125">SUM(Q113,S113)</f>
        <v>127.47</v>
      </c>
      <c r="F113" s="2088">
        <f t="shared" ref="F113:F118" si="126">ROUND(E113*$U$1,2)</f>
        <v>10.09</v>
      </c>
      <c r="G113" s="2088">
        <f t="shared" ref="G113:G118" si="127">E113-F113</f>
        <v>117.38</v>
      </c>
      <c r="H113" s="2182">
        <f>ROUND(SUMIF($C$248:$C$418,$C113,$D$248:$D$418)*'[30]Затраты 2016'!$U$14,5)</f>
        <v>11.73129</v>
      </c>
      <c r="I113" s="2182">
        <f t="shared" ref="I113:I118" si="128">SUMIF($C$420:$C$570,$C113,$D$420:$D$570)</f>
        <v>0</v>
      </c>
      <c r="J113" s="2182">
        <f t="shared" ref="J113:J118" si="129">SUMIF($C$236:$C$246,$C113,$D$236:$D$246)</f>
        <v>0</v>
      </c>
      <c r="L113" s="2172"/>
      <c r="M113" s="2088">
        <f t="shared" si="78"/>
        <v>139.20129</v>
      </c>
      <c r="N113" s="2088">
        <f t="shared" si="79"/>
        <v>129.11129</v>
      </c>
      <c r="O113" s="2090"/>
      <c r="P113" s="2091" t="str">
        <f>VLOOKUP('СС 2016'!$C113,'[30]СС 2015'!$C:$O,13,FALSE)</f>
        <v xml:space="preserve"> - налоги и сборы, уменьшающие налогооблагаемую базу на прибыль организаций, всего</v>
      </c>
      <c r="Q113" s="2182">
        <v>124.6</v>
      </c>
      <c r="R113" s="2179">
        <f t="shared" si="80"/>
        <v>3.3813891327309482E-5</v>
      </c>
      <c r="S113" s="2179">
        <f t="shared" si="81"/>
        <v>2.87</v>
      </c>
      <c r="T113" s="2179"/>
      <c r="U113" s="2179"/>
      <c r="V113" s="2168"/>
      <c r="W113" s="2168"/>
      <c r="X113" s="2168"/>
      <c r="Y113" s="2168"/>
      <c r="Z113" s="2168"/>
      <c r="AA113" s="2168"/>
      <c r="AB113" s="2168"/>
      <c r="AC113" s="2168"/>
      <c r="AD113" s="2168"/>
      <c r="AE113" s="2183">
        <v>124.6</v>
      </c>
      <c r="AF113" s="2183"/>
      <c r="AG113" s="2183">
        <v>86.47</v>
      </c>
      <c r="AH113" s="3411">
        <v>37.07</v>
      </c>
      <c r="AI113" s="3411"/>
      <c r="AJ113" s="2183">
        <v>1.06</v>
      </c>
      <c r="AK113" s="2183"/>
      <c r="AL113" s="2183"/>
      <c r="AM113" s="2183"/>
      <c r="AN113" s="2183">
        <v>124.6</v>
      </c>
      <c r="AO113" s="2183">
        <v>124.6</v>
      </c>
      <c r="AP113" s="2168"/>
      <c r="AQ113" s="2168"/>
      <c r="AR113" s="2168"/>
      <c r="AS113" s="2168"/>
      <c r="AT113" s="2168"/>
      <c r="AU113" s="2168"/>
      <c r="AV113" s="2168"/>
    </row>
    <row r="114" spans="3:48" ht="36" hidden="1" outlineLevel="5">
      <c r="C114" s="2188" t="s">
        <v>1337</v>
      </c>
      <c r="D114" s="2178">
        <f t="shared" si="77"/>
        <v>33.653419999999997</v>
      </c>
      <c r="E114" s="2182">
        <f t="shared" si="125"/>
        <v>27.83</v>
      </c>
      <c r="F114" s="2088">
        <f t="shared" si="126"/>
        <v>2.2000000000000002</v>
      </c>
      <c r="G114" s="2088">
        <f t="shared" si="127"/>
        <v>25.63</v>
      </c>
      <c r="H114" s="2182">
        <f>ROUND(SUMIF($C$248:$C$418,$C114,$D$248:$D$418)*'[30]Затраты 2016'!$U$14,5)</f>
        <v>5.7734199999999998</v>
      </c>
      <c r="I114" s="2182">
        <f t="shared" si="128"/>
        <v>0.05</v>
      </c>
      <c r="J114" s="2182">
        <f t="shared" si="129"/>
        <v>0</v>
      </c>
      <c r="L114" s="2172"/>
      <c r="M114" s="2088">
        <f t="shared" si="78"/>
        <v>33.653419999999997</v>
      </c>
      <c r="N114" s="2088">
        <f t="shared" si="79"/>
        <v>31.453419999999998</v>
      </c>
      <c r="O114" s="2090"/>
      <c r="P114" s="2091" t="str">
        <f>VLOOKUP('СС 2016'!$C114,'[30]СС 2015'!$C:$O,13,FALSE)</f>
        <v xml:space="preserve"> - налоги и сборы, уменьшающие налогооблагаемую базу на прибыль организаций, всего</v>
      </c>
      <c r="Q114" s="2182">
        <v>27.2</v>
      </c>
      <c r="R114" s="2179">
        <f t="shared" si="80"/>
        <v>7.3815236284335311E-6</v>
      </c>
      <c r="S114" s="2179">
        <f t="shared" si="81"/>
        <v>0.63</v>
      </c>
      <c r="T114" s="2179"/>
      <c r="U114" s="2179"/>
      <c r="V114" s="2168"/>
      <c r="W114" s="2168"/>
      <c r="X114" s="2168"/>
      <c r="Y114" s="2168"/>
      <c r="Z114" s="2168"/>
      <c r="AA114" s="2168"/>
      <c r="AB114" s="2168"/>
      <c r="AC114" s="2168"/>
      <c r="AD114" s="2168"/>
      <c r="AE114" s="2183">
        <v>27.2</v>
      </c>
      <c r="AF114" s="2183"/>
      <c r="AG114" s="2183"/>
      <c r="AH114" s="3411">
        <v>27.2</v>
      </c>
      <c r="AI114" s="3411"/>
      <c r="AJ114" s="2183"/>
      <c r="AK114" s="2183"/>
      <c r="AL114" s="2183"/>
      <c r="AM114" s="2183"/>
      <c r="AN114" s="2183">
        <v>27.2</v>
      </c>
      <c r="AO114" s="2183">
        <v>27.2</v>
      </c>
      <c r="AP114" s="2168"/>
      <c r="AQ114" s="2168"/>
      <c r="AR114" s="2168"/>
      <c r="AS114" s="2168"/>
      <c r="AT114" s="2168"/>
      <c r="AU114" s="2168"/>
      <c r="AV114" s="2168"/>
    </row>
    <row r="115" spans="3:48" ht="36" hidden="1" outlineLevel="5">
      <c r="C115" s="2188" t="s">
        <v>1361</v>
      </c>
      <c r="D115" s="2178">
        <f t="shared" si="77"/>
        <v>13719.301410000002</v>
      </c>
      <c r="E115" s="2182">
        <f t="shared" si="125"/>
        <v>12080.69</v>
      </c>
      <c r="F115" s="2088">
        <f t="shared" si="126"/>
        <v>956.7</v>
      </c>
      <c r="G115" s="2088">
        <f t="shared" si="127"/>
        <v>11123.99</v>
      </c>
      <c r="H115" s="2182">
        <f>ROUND(SUMIF($C$248:$C$418,$C115,$D$248:$D$418)*'[30]Затраты 2016'!$U$14,5)</f>
        <v>1601.32141</v>
      </c>
      <c r="I115" s="2182">
        <f t="shared" si="128"/>
        <v>37.29</v>
      </c>
      <c r="J115" s="2182">
        <f t="shared" si="129"/>
        <v>0</v>
      </c>
      <c r="L115" s="2172"/>
      <c r="M115" s="2088">
        <f t="shared" si="78"/>
        <v>13719.301410000002</v>
      </c>
      <c r="N115" s="2088">
        <f t="shared" si="79"/>
        <v>12762.601410000001</v>
      </c>
      <c r="O115" s="2090"/>
      <c r="P115" s="2091" t="str">
        <f>VLOOKUP('СС 2016'!$C115,'[30]СС 2015'!$C:$O,13,FALSE)</f>
        <v xml:space="preserve"> - налоги и сборы, уменьшающие налогооблагаемую базу на прибыль организаций, всего</v>
      </c>
      <c r="Q115" s="2182">
        <v>11808.32</v>
      </c>
      <c r="R115" s="2179">
        <f t="shared" si="80"/>
        <v>3.2045365107391264E-3</v>
      </c>
      <c r="S115" s="2179">
        <f t="shared" si="81"/>
        <v>272.37</v>
      </c>
      <c r="T115" s="2179"/>
      <c r="U115" s="2179"/>
      <c r="V115" s="2168"/>
      <c r="W115" s="2168"/>
      <c r="X115" s="2168"/>
      <c r="Y115" s="2168"/>
      <c r="Z115" s="2168"/>
      <c r="AA115" s="2168"/>
      <c r="AB115" s="2168"/>
      <c r="AC115" s="2168"/>
      <c r="AD115" s="2168"/>
      <c r="AE115" s="2183">
        <v>11808.32</v>
      </c>
      <c r="AF115" s="2183"/>
      <c r="AG115" s="2183"/>
      <c r="AH115" s="3411">
        <v>11808.32</v>
      </c>
      <c r="AI115" s="3411"/>
      <c r="AJ115" s="2183"/>
      <c r="AK115" s="2183"/>
      <c r="AL115" s="2183"/>
      <c r="AM115" s="2183"/>
      <c r="AN115" s="2183">
        <v>11808.32</v>
      </c>
      <c r="AO115" s="2183">
        <v>11808.32</v>
      </c>
      <c r="AP115" s="2168"/>
      <c r="AQ115" s="2168"/>
      <c r="AR115" s="2168"/>
      <c r="AS115" s="2168"/>
      <c r="AT115" s="2168"/>
      <c r="AU115" s="2168"/>
      <c r="AV115" s="2168"/>
    </row>
    <row r="116" spans="3:48" ht="36" hidden="1" outlineLevel="5">
      <c r="C116" s="2188" t="s">
        <v>1412</v>
      </c>
      <c r="D116" s="2178">
        <f t="shared" si="77"/>
        <v>1928.9414200000001</v>
      </c>
      <c r="E116" s="2182">
        <f t="shared" si="125"/>
        <v>1769.91</v>
      </c>
      <c r="F116" s="2088">
        <f t="shared" si="126"/>
        <v>140.16</v>
      </c>
      <c r="G116" s="2088">
        <f t="shared" si="127"/>
        <v>1629.75</v>
      </c>
      <c r="H116" s="2182">
        <f>ROUND(SUMIF($C$248:$C$418,$C116,$D$248:$D$418)*'[30]Затраты 2016'!$U$14,5)</f>
        <v>157.79141999999999</v>
      </c>
      <c r="I116" s="2182">
        <f t="shared" si="128"/>
        <v>1.24</v>
      </c>
      <c r="J116" s="2182">
        <f t="shared" si="129"/>
        <v>0</v>
      </c>
      <c r="L116" s="2172"/>
      <c r="M116" s="2088">
        <f t="shared" si="78"/>
        <v>1928.9414200000001</v>
      </c>
      <c r="N116" s="2088">
        <f t="shared" si="79"/>
        <v>1788.78142</v>
      </c>
      <c r="O116" s="2090"/>
      <c r="P116" s="2091" t="str">
        <f>VLOOKUP('СС 2016'!$C116,'[30]СС 2015'!$C:$O,13,FALSE)</f>
        <v xml:space="preserve"> - налоги и сборы, уменьшающие налогооблагаемую базу на прибыль организаций, всего</v>
      </c>
      <c r="Q116" s="2182">
        <v>1730.01</v>
      </c>
      <c r="R116" s="2179">
        <f t="shared" si="80"/>
        <v>4.6948932692743723E-4</v>
      </c>
      <c r="S116" s="2179">
        <f t="shared" si="81"/>
        <v>39.9</v>
      </c>
      <c r="T116" s="2179"/>
      <c r="U116" s="2179"/>
      <c r="V116" s="2168"/>
      <c r="W116" s="2168"/>
      <c r="X116" s="2168"/>
      <c r="Y116" s="2168"/>
      <c r="Z116" s="2168"/>
      <c r="AA116" s="2168"/>
      <c r="AB116" s="2168"/>
      <c r="AC116" s="2168"/>
      <c r="AD116" s="2168"/>
      <c r="AE116" s="2183">
        <v>1730.01</v>
      </c>
      <c r="AF116" s="2183"/>
      <c r="AG116" s="2183">
        <v>831.97</v>
      </c>
      <c r="AH116" s="3411">
        <v>791.5</v>
      </c>
      <c r="AI116" s="3411"/>
      <c r="AJ116" s="2183">
        <v>106.54</v>
      </c>
      <c r="AK116" s="2183"/>
      <c r="AL116" s="2183"/>
      <c r="AM116" s="2183"/>
      <c r="AN116" s="2183">
        <v>1730.01</v>
      </c>
      <c r="AO116" s="2183">
        <v>1730.01</v>
      </c>
      <c r="AP116" s="2168"/>
      <c r="AQ116" s="2168"/>
      <c r="AR116" s="2168"/>
      <c r="AS116" s="2168"/>
      <c r="AT116" s="2168"/>
      <c r="AU116" s="2168"/>
      <c r="AV116" s="2168"/>
    </row>
    <row r="117" spans="3:48" ht="36" hidden="1" outlineLevel="5">
      <c r="C117" s="2188" t="s">
        <v>1457</v>
      </c>
      <c r="D117" s="2178">
        <f t="shared" si="77"/>
        <v>71.029199999999989</v>
      </c>
      <c r="E117" s="2182">
        <f t="shared" si="125"/>
        <v>62.86</v>
      </c>
      <c r="F117" s="2088">
        <f t="shared" si="126"/>
        <v>4.9800000000000004</v>
      </c>
      <c r="G117" s="2088">
        <f t="shared" si="127"/>
        <v>57.879999999999995</v>
      </c>
      <c r="H117" s="2182">
        <f>ROUND(SUMIF($C$248:$C$418,$C117,$D$248:$D$418)*'[30]Затраты 2016'!$U$14,5)</f>
        <v>7.9592000000000001</v>
      </c>
      <c r="I117" s="2182">
        <f t="shared" si="128"/>
        <v>0.21</v>
      </c>
      <c r="J117" s="2182">
        <f t="shared" si="129"/>
        <v>0</v>
      </c>
      <c r="L117" s="2172"/>
      <c r="M117" s="2088">
        <f t="shared" si="78"/>
        <v>71.029199999999989</v>
      </c>
      <c r="N117" s="2088">
        <f t="shared" si="79"/>
        <v>66.049199999999985</v>
      </c>
      <c r="O117" s="2090"/>
      <c r="P117" s="2091" t="str">
        <f>VLOOKUP('СС 2016'!$C117,'[30]СС 2015'!$C:$O,13,FALSE)</f>
        <v xml:space="preserve"> - налоги и сборы, уменьшающие налогооблагаемую базу на прибыль организаций, всего</v>
      </c>
      <c r="Q117" s="2182">
        <v>61.44</v>
      </c>
      <c r="R117" s="2179">
        <f t="shared" si="80"/>
        <v>1.6673559254814565E-5</v>
      </c>
      <c r="S117" s="2179">
        <f t="shared" si="81"/>
        <v>1.42</v>
      </c>
      <c r="T117" s="2179"/>
      <c r="U117" s="2179"/>
      <c r="V117" s="2168"/>
      <c r="W117" s="2168"/>
      <c r="X117" s="2168"/>
      <c r="Y117" s="2168"/>
      <c r="Z117" s="2168"/>
      <c r="AA117" s="2168"/>
      <c r="AB117" s="2168"/>
      <c r="AC117" s="2168"/>
      <c r="AD117" s="2168"/>
      <c r="AE117" s="2183">
        <v>61.44</v>
      </c>
      <c r="AF117" s="2183"/>
      <c r="AG117" s="2183"/>
      <c r="AH117" s="3411">
        <v>31</v>
      </c>
      <c r="AI117" s="3411"/>
      <c r="AJ117" s="2183">
        <v>30.44</v>
      </c>
      <c r="AK117" s="2183"/>
      <c r="AL117" s="2183"/>
      <c r="AM117" s="2183"/>
      <c r="AN117" s="2183">
        <v>61.44</v>
      </c>
      <c r="AO117" s="2183">
        <v>61.44</v>
      </c>
      <c r="AP117" s="2168"/>
      <c r="AQ117" s="2168"/>
      <c r="AR117" s="2168"/>
      <c r="AS117" s="2168"/>
      <c r="AT117" s="2168"/>
      <c r="AU117" s="2168"/>
      <c r="AV117" s="2168"/>
    </row>
    <row r="118" spans="3:48" ht="24" outlineLevel="4">
      <c r="C118" s="2181" t="s">
        <v>1460</v>
      </c>
      <c r="D118" s="2177">
        <f t="shared" si="77"/>
        <v>55283.715479999999</v>
      </c>
      <c r="E118" s="2182">
        <f t="shared" si="125"/>
        <v>0</v>
      </c>
      <c r="F118" s="2088">
        <f t="shared" si="126"/>
        <v>0</v>
      </c>
      <c r="G118" s="2088">
        <f t="shared" si="127"/>
        <v>0</v>
      </c>
      <c r="H118" s="2182">
        <f>ROUND(SUMIF($C$248:$C$418,$C118,$D$248:$D$418)*'[30]Затраты 2016'!$U$14,5)</f>
        <v>55283.715479999999</v>
      </c>
      <c r="I118" s="2182">
        <f t="shared" si="128"/>
        <v>0</v>
      </c>
      <c r="J118" s="2182">
        <f t="shared" si="129"/>
        <v>0</v>
      </c>
      <c r="L118" s="2172"/>
      <c r="M118" s="2088">
        <f t="shared" si="78"/>
        <v>55283.715479999999</v>
      </c>
      <c r="N118" s="2088">
        <f t="shared" si="79"/>
        <v>55283.715479999999</v>
      </c>
      <c r="O118" s="2090"/>
      <c r="P118" s="2091" t="str">
        <f>VLOOKUP('СС 2016'!$C118,'[30]СС 2015'!$C:$O,13,FALSE)</f>
        <v>Услуги по организации функционирования и развитию ЕЭС России</v>
      </c>
      <c r="Q118" s="2182"/>
      <c r="R118" s="2179">
        <f t="shared" si="80"/>
        <v>0</v>
      </c>
      <c r="S118" s="2179">
        <f t="shared" si="81"/>
        <v>0</v>
      </c>
      <c r="T118" s="2179"/>
      <c r="U118" s="2179"/>
      <c r="V118" s="2168"/>
      <c r="W118" s="2168"/>
      <c r="X118" s="2168"/>
      <c r="Y118" s="2168"/>
      <c r="Z118" s="2168"/>
      <c r="AA118" s="2168"/>
      <c r="AB118" s="2168"/>
      <c r="AC118" s="2168"/>
      <c r="AD118" s="2168"/>
      <c r="AE118" s="2183"/>
      <c r="AF118" s="2183"/>
      <c r="AG118" s="2183"/>
      <c r="AH118" s="2185"/>
      <c r="AI118" s="2186"/>
      <c r="AJ118" s="2183"/>
      <c r="AK118" s="2183"/>
      <c r="AL118" s="2183"/>
      <c r="AM118" s="2183"/>
      <c r="AN118" s="2183"/>
      <c r="AO118" s="2183">
        <v>59943</v>
      </c>
      <c r="AP118" s="2168"/>
      <c r="AQ118" s="2168"/>
      <c r="AR118" s="2168"/>
      <c r="AS118" s="2168"/>
      <c r="AT118" s="2168"/>
      <c r="AU118" s="2168"/>
      <c r="AV118" s="2168"/>
    </row>
    <row r="119" spans="3:48" ht="12" outlineLevel="4" collapsed="1">
      <c r="C119" s="2187" t="s">
        <v>1493</v>
      </c>
      <c r="D119" s="2178">
        <f t="shared" ref="D119:J119" si="130">SUM(D120,D130,D135,D137,D138,D144,D147,D148,D149,D157,D158)</f>
        <v>15535.80372</v>
      </c>
      <c r="E119" s="2178">
        <f t="shared" si="130"/>
        <v>13447.310000000001</v>
      </c>
      <c r="F119" s="2178">
        <f t="shared" si="130"/>
        <v>1064.9300000000003</v>
      </c>
      <c r="G119" s="2178">
        <f t="shared" si="130"/>
        <v>12382.38</v>
      </c>
      <c r="H119" s="2178">
        <f t="shared" si="130"/>
        <v>2015.2737199999999</v>
      </c>
      <c r="I119" s="2178">
        <f t="shared" si="130"/>
        <v>73.22</v>
      </c>
      <c r="J119" s="2178">
        <f t="shared" si="130"/>
        <v>0</v>
      </c>
      <c r="L119" s="2172"/>
      <c r="M119" s="2088">
        <f t="shared" si="78"/>
        <v>15535.80372</v>
      </c>
      <c r="N119" s="2088">
        <f t="shared" si="79"/>
        <v>14470.87372</v>
      </c>
      <c r="O119" s="2090"/>
      <c r="P119" s="2173"/>
      <c r="Q119" s="2178">
        <f t="shared" ref="Q119" si="131">SUM(Q120,Q130,Q135,Q137,Q138,Q144,Q147,Q148,Q149,Q157,Q158)</f>
        <v>13144.109999999999</v>
      </c>
      <c r="R119" s="2179" t="str">
        <f t="shared" si="80"/>
        <v/>
      </c>
      <c r="S119" s="2179" t="str">
        <f t="shared" si="81"/>
        <v/>
      </c>
      <c r="T119" s="2179"/>
      <c r="U119" s="2179"/>
      <c r="V119" s="2168"/>
      <c r="W119" s="2168"/>
      <c r="X119" s="2168"/>
      <c r="Y119" s="2168"/>
      <c r="Z119" s="2168"/>
      <c r="AA119" s="2168"/>
      <c r="AB119" s="2168"/>
      <c r="AC119" s="2168"/>
      <c r="AD119" s="2168"/>
      <c r="AE119" s="2180">
        <v>13144.11</v>
      </c>
      <c r="AF119" s="2180"/>
      <c r="AG119" s="2180">
        <v>1211.9100000000001</v>
      </c>
      <c r="AH119" s="3412">
        <v>7271.7</v>
      </c>
      <c r="AI119" s="3412"/>
      <c r="AJ119" s="2180">
        <v>4660.5</v>
      </c>
      <c r="AK119" s="2180"/>
      <c r="AL119" s="2180"/>
      <c r="AM119" s="2180"/>
      <c r="AN119" s="2180">
        <v>13144.11</v>
      </c>
      <c r="AO119" s="2180">
        <v>13144.11</v>
      </c>
      <c r="AP119" s="2168"/>
      <c r="AQ119" s="2168"/>
      <c r="AR119" s="2168"/>
      <c r="AS119" s="2168"/>
      <c r="AT119" s="2168"/>
      <c r="AU119" s="2168"/>
      <c r="AV119" s="2168"/>
    </row>
    <row r="120" spans="3:48" ht="24" hidden="1" outlineLevel="5">
      <c r="C120" s="2189" t="s">
        <v>1494</v>
      </c>
      <c r="D120" s="2178">
        <f t="shared" ref="D120:J120" si="132">SUM(D121:D129)</f>
        <v>2227.39246</v>
      </c>
      <c r="E120" s="2178">
        <f t="shared" si="132"/>
        <v>2066.59</v>
      </c>
      <c r="F120" s="2178">
        <f t="shared" si="132"/>
        <v>163.65</v>
      </c>
      <c r="G120" s="2178">
        <f t="shared" si="132"/>
        <v>1902.9399999999998</v>
      </c>
      <c r="H120" s="2178">
        <f t="shared" si="132"/>
        <v>158.37246000000002</v>
      </c>
      <c r="I120" s="2178">
        <f t="shared" si="132"/>
        <v>2.4300000000000002</v>
      </c>
      <c r="J120" s="2178">
        <f t="shared" si="132"/>
        <v>0</v>
      </c>
      <c r="L120" s="2172"/>
      <c r="M120" s="2088">
        <f t="shared" si="78"/>
        <v>2227.39246</v>
      </c>
      <c r="N120" s="2088">
        <f t="shared" si="79"/>
        <v>2063.7424599999999</v>
      </c>
      <c r="O120" s="2090"/>
      <c r="P120" s="2173"/>
      <c r="Q120" s="2178">
        <f t="shared" ref="Q120" si="133">SUM(Q121:Q129)</f>
        <v>2020</v>
      </c>
      <c r="R120" s="2179" t="str">
        <f t="shared" si="80"/>
        <v/>
      </c>
      <c r="S120" s="2179" t="str">
        <f t="shared" si="81"/>
        <v/>
      </c>
      <c r="T120" s="2179"/>
      <c r="U120" s="2179"/>
      <c r="V120" s="2168"/>
      <c r="W120" s="2168"/>
      <c r="X120" s="2168"/>
      <c r="Y120" s="2168"/>
      <c r="Z120" s="2168"/>
      <c r="AA120" s="2168"/>
      <c r="AB120" s="2168"/>
      <c r="AC120" s="2168"/>
      <c r="AD120" s="2168"/>
      <c r="AE120" s="2180">
        <v>2020</v>
      </c>
      <c r="AF120" s="2180"/>
      <c r="AG120" s="2180">
        <v>1211.9100000000001</v>
      </c>
      <c r="AH120" s="3412">
        <v>745.15</v>
      </c>
      <c r="AI120" s="3412"/>
      <c r="AJ120" s="2180">
        <v>62.94</v>
      </c>
      <c r="AK120" s="2180"/>
      <c r="AL120" s="2180"/>
      <c r="AM120" s="2180"/>
      <c r="AN120" s="2180">
        <v>2020</v>
      </c>
      <c r="AO120" s="2180">
        <v>2020</v>
      </c>
      <c r="AP120" s="2168"/>
      <c r="AQ120" s="2168"/>
      <c r="AR120" s="2168"/>
      <c r="AS120" s="2168"/>
      <c r="AT120" s="2168"/>
      <c r="AU120" s="2168"/>
      <c r="AV120" s="2168"/>
    </row>
    <row r="121" spans="3:48" ht="12" hidden="1" outlineLevel="6">
      <c r="C121" s="2190" t="s">
        <v>3830</v>
      </c>
      <c r="D121" s="2178">
        <f t="shared" si="77"/>
        <v>0.27845000000000003</v>
      </c>
      <c r="E121" s="2182">
        <f t="shared" ref="E121:E129" si="134">SUM(Q121,S121)</f>
        <v>0.26</v>
      </c>
      <c r="F121" s="2088">
        <f t="shared" ref="F121:F129" si="135">ROUND(E121*$U$1,2)</f>
        <v>0.02</v>
      </c>
      <c r="G121" s="2088">
        <f t="shared" ref="G121:G129" si="136">E121-F121</f>
        <v>0.24000000000000002</v>
      </c>
      <c r="H121" s="2182">
        <f>ROUND(SUMIF($C$248:$C$418,$C121,$D$248:$D$418)*'[30]Затраты 2016'!$U$14,5)</f>
        <v>1.8450000000000001E-2</v>
      </c>
      <c r="I121" s="2182">
        <f t="shared" ref="I121:I129" si="137">SUMIF($C$420:$C$570,$C121,$D$420:$D$570)</f>
        <v>0</v>
      </c>
      <c r="J121" s="2182">
        <f t="shared" ref="J121:J129" si="138">SUMIF($C$236:$C$246,$C121,$D$236:$D$246)</f>
        <v>0</v>
      </c>
      <c r="L121" s="2172"/>
      <c r="M121" s="2088">
        <f t="shared" si="78"/>
        <v>0.27845000000000003</v>
      </c>
      <c r="N121" s="2088">
        <f t="shared" si="79"/>
        <v>0.25845000000000001</v>
      </c>
      <c r="O121" s="2090"/>
      <c r="P121" s="2193" t="str">
        <f>$C$224</f>
        <v>прочие</v>
      </c>
      <c r="Q121" s="2182">
        <v>0.25</v>
      </c>
      <c r="R121" s="2179">
        <f t="shared" si="80"/>
        <v>6.7844886290749373E-8</v>
      </c>
      <c r="S121" s="2179">
        <f t="shared" si="81"/>
        <v>0.01</v>
      </c>
      <c r="T121" s="2179"/>
      <c r="U121" s="2179"/>
      <c r="V121" s="2168"/>
      <c r="W121" s="2168"/>
      <c r="X121" s="2168"/>
      <c r="Y121" s="2168"/>
      <c r="Z121" s="2168"/>
      <c r="AA121" s="2168"/>
      <c r="AB121" s="2168"/>
      <c r="AC121" s="2168"/>
      <c r="AD121" s="2168"/>
      <c r="AE121" s="2183">
        <v>0.25</v>
      </c>
      <c r="AF121" s="2183"/>
      <c r="AG121" s="2183"/>
      <c r="AH121" s="3411">
        <v>0.25</v>
      </c>
      <c r="AI121" s="3411"/>
      <c r="AJ121" s="2183"/>
      <c r="AK121" s="2183"/>
      <c r="AL121" s="2183"/>
      <c r="AM121" s="2183"/>
      <c r="AN121" s="2183">
        <v>0.25</v>
      </c>
      <c r="AO121" s="2183">
        <v>0.25</v>
      </c>
      <c r="AP121" s="2168"/>
      <c r="AQ121" s="2168"/>
      <c r="AR121" s="2168"/>
      <c r="AS121" s="2168"/>
      <c r="AT121" s="2168"/>
      <c r="AU121" s="2168"/>
      <c r="AV121" s="2168"/>
    </row>
    <row r="122" spans="3:48" ht="24" hidden="1" outlineLevel="6">
      <c r="C122" s="2190" t="s">
        <v>1413</v>
      </c>
      <c r="D122" s="2178">
        <f t="shared" si="77"/>
        <v>18.123139999999999</v>
      </c>
      <c r="E122" s="2182">
        <f t="shared" si="134"/>
        <v>15.5</v>
      </c>
      <c r="F122" s="2088">
        <f t="shared" si="135"/>
        <v>1.23</v>
      </c>
      <c r="G122" s="2088">
        <f t="shared" si="136"/>
        <v>14.27</v>
      </c>
      <c r="H122" s="2182">
        <f>ROUND(SUMIF($C$248:$C$418,$C122,$D$248:$D$418)*'[30]Затраты 2016'!$U$14,5)</f>
        <v>2.57314</v>
      </c>
      <c r="I122" s="2182">
        <f t="shared" si="137"/>
        <v>0.05</v>
      </c>
      <c r="J122" s="2182">
        <f t="shared" si="138"/>
        <v>0</v>
      </c>
      <c r="L122" s="2172"/>
      <c r="M122" s="2088">
        <f t="shared" si="78"/>
        <v>18.123139999999999</v>
      </c>
      <c r="N122" s="2088">
        <f t="shared" si="79"/>
        <v>16.893139999999999</v>
      </c>
      <c r="O122" s="2090"/>
      <c r="P122" s="2091" t="str">
        <f>VLOOKUP('СС 2016'!$C122,'[30]СС 2015'!$C:$O,13,FALSE)</f>
        <v>прочие</v>
      </c>
      <c r="Q122" s="2182">
        <v>15.15</v>
      </c>
      <c r="R122" s="2179">
        <f t="shared" si="80"/>
        <v>4.1114001092194116E-6</v>
      </c>
      <c r="S122" s="2179">
        <f t="shared" si="81"/>
        <v>0.35</v>
      </c>
      <c r="T122" s="2179"/>
      <c r="U122" s="2179"/>
      <c r="V122" s="2168"/>
      <c r="W122" s="2168"/>
      <c r="X122" s="2168"/>
      <c r="Y122" s="2168"/>
      <c r="Z122" s="2168"/>
      <c r="AA122" s="2168"/>
      <c r="AB122" s="2168"/>
      <c r="AC122" s="2168"/>
      <c r="AD122" s="2168"/>
      <c r="AE122" s="2183">
        <v>15.15</v>
      </c>
      <c r="AF122" s="2183"/>
      <c r="AG122" s="2183"/>
      <c r="AH122" s="2185"/>
      <c r="AI122" s="2186"/>
      <c r="AJ122" s="2183">
        <v>15.15</v>
      </c>
      <c r="AK122" s="2183"/>
      <c r="AL122" s="2183"/>
      <c r="AM122" s="2183"/>
      <c r="AN122" s="2183">
        <v>15.15</v>
      </c>
      <c r="AO122" s="2183">
        <v>15.15</v>
      </c>
      <c r="AP122" s="2168"/>
      <c r="AQ122" s="2168"/>
      <c r="AR122" s="2168"/>
      <c r="AS122" s="2168"/>
      <c r="AT122" s="2168"/>
      <c r="AU122" s="2168"/>
      <c r="AV122" s="2168"/>
    </row>
    <row r="123" spans="3:48" ht="36" hidden="1" outlineLevel="6">
      <c r="C123" s="2190" t="s">
        <v>1429</v>
      </c>
      <c r="D123" s="2178">
        <f t="shared" si="77"/>
        <v>57.553160000000005</v>
      </c>
      <c r="E123" s="2182">
        <f t="shared" si="134"/>
        <v>45.77</v>
      </c>
      <c r="F123" s="2088">
        <f t="shared" si="135"/>
        <v>3.62</v>
      </c>
      <c r="G123" s="2088">
        <f t="shared" si="136"/>
        <v>42.150000000000006</v>
      </c>
      <c r="H123" s="2182">
        <f>ROUND(SUMIF($C$248:$C$418,$C123,$D$248:$D$418)*'[30]Затраты 2016'!$U$14,5)</f>
        <v>11.353160000000001</v>
      </c>
      <c r="I123" s="2182">
        <f t="shared" si="137"/>
        <v>0.43</v>
      </c>
      <c r="J123" s="2182">
        <f t="shared" si="138"/>
        <v>0</v>
      </c>
      <c r="L123" s="2172"/>
      <c r="M123" s="2088">
        <f t="shared" si="78"/>
        <v>57.553160000000005</v>
      </c>
      <c r="N123" s="2088">
        <f t="shared" si="79"/>
        <v>53.933160000000008</v>
      </c>
      <c r="O123" s="2090"/>
      <c r="P123" s="2091" t="str">
        <f>VLOOKUP('СС 2016'!$C123,'[30]СС 2015'!$C:$O,13,FALSE)</f>
        <v>прочие</v>
      </c>
      <c r="Q123" s="2182">
        <v>44.74</v>
      </c>
      <c r="R123" s="2179">
        <f t="shared" si="80"/>
        <v>1.2141520850592507E-5</v>
      </c>
      <c r="S123" s="2179">
        <f t="shared" si="81"/>
        <v>1.03</v>
      </c>
      <c r="T123" s="2179"/>
      <c r="U123" s="2179"/>
      <c r="V123" s="2168"/>
      <c r="W123" s="2168"/>
      <c r="X123" s="2168"/>
      <c r="Y123" s="2168"/>
      <c r="Z123" s="2168"/>
      <c r="AA123" s="2168"/>
      <c r="AB123" s="2168"/>
      <c r="AC123" s="2168"/>
      <c r="AD123" s="2168"/>
      <c r="AE123" s="2183">
        <v>44.74</v>
      </c>
      <c r="AF123" s="2183"/>
      <c r="AG123" s="2183"/>
      <c r="AH123" s="3411">
        <v>38.57</v>
      </c>
      <c r="AI123" s="3411"/>
      <c r="AJ123" s="2183">
        <v>6.17</v>
      </c>
      <c r="AK123" s="2183"/>
      <c r="AL123" s="2183"/>
      <c r="AM123" s="2183"/>
      <c r="AN123" s="2183">
        <v>44.74</v>
      </c>
      <c r="AO123" s="2183">
        <v>44.74</v>
      </c>
      <c r="AP123" s="2168"/>
      <c r="AQ123" s="2168"/>
      <c r="AR123" s="2168"/>
      <c r="AS123" s="2168"/>
      <c r="AT123" s="2168"/>
      <c r="AU123" s="2168"/>
      <c r="AV123" s="2168"/>
    </row>
    <row r="124" spans="3:48" ht="36" hidden="1" outlineLevel="6">
      <c r="C124" s="2190" t="s">
        <v>1430</v>
      </c>
      <c r="D124" s="2178">
        <f t="shared" si="77"/>
        <v>997.99591999999996</v>
      </c>
      <c r="E124" s="2182">
        <f t="shared" si="134"/>
        <v>890.61</v>
      </c>
      <c r="F124" s="2088">
        <f t="shared" si="135"/>
        <v>70.53</v>
      </c>
      <c r="G124" s="2088">
        <f t="shared" si="136"/>
        <v>820.08</v>
      </c>
      <c r="H124" s="2182">
        <f>ROUND(SUMIF($C$248:$C$418,$C124,$D$248:$D$418)*'[30]Затраты 2016'!$U$14,5)</f>
        <v>106.83592</v>
      </c>
      <c r="I124" s="2182">
        <f t="shared" si="137"/>
        <v>0.55000000000000004</v>
      </c>
      <c r="J124" s="2182">
        <f t="shared" si="138"/>
        <v>0</v>
      </c>
      <c r="L124" s="2172"/>
      <c r="M124" s="2088">
        <f t="shared" si="78"/>
        <v>997.99591999999996</v>
      </c>
      <c r="N124" s="2088">
        <f t="shared" si="79"/>
        <v>927.46591999999998</v>
      </c>
      <c r="O124" s="2090"/>
      <c r="P124" s="2091" t="str">
        <f>VLOOKUP('СС 2016'!$C124,'[30]СС 2015'!$C:$O,13,FALSE)</f>
        <v>прочие</v>
      </c>
      <c r="Q124" s="2182">
        <v>870.53</v>
      </c>
      <c r="R124" s="2179">
        <f t="shared" si="80"/>
        <v>2.3624403545074418E-4</v>
      </c>
      <c r="S124" s="2179">
        <f t="shared" si="81"/>
        <v>20.079999999999998</v>
      </c>
      <c r="T124" s="2179"/>
      <c r="U124" s="2179"/>
      <c r="V124" s="2168"/>
      <c r="W124" s="2168"/>
      <c r="X124" s="2168"/>
      <c r="Y124" s="2168"/>
      <c r="Z124" s="2168"/>
      <c r="AA124" s="2168"/>
      <c r="AB124" s="2168"/>
      <c r="AC124" s="2168"/>
      <c r="AD124" s="2168"/>
      <c r="AE124" s="2183">
        <v>870.53</v>
      </c>
      <c r="AF124" s="2183"/>
      <c r="AG124" s="2183">
        <v>462.37</v>
      </c>
      <c r="AH124" s="3411">
        <v>402.07</v>
      </c>
      <c r="AI124" s="3411"/>
      <c r="AJ124" s="2183">
        <v>6.09</v>
      </c>
      <c r="AK124" s="2183"/>
      <c r="AL124" s="2183"/>
      <c r="AM124" s="2183"/>
      <c r="AN124" s="2183">
        <v>870.53</v>
      </c>
      <c r="AO124" s="2183">
        <v>870.53</v>
      </c>
      <c r="AP124" s="2168"/>
      <c r="AQ124" s="2168"/>
      <c r="AR124" s="2168"/>
      <c r="AS124" s="2168"/>
      <c r="AT124" s="2168"/>
      <c r="AU124" s="2168"/>
      <c r="AV124" s="2168"/>
    </row>
    <row r="125" spans="3:48" ht="24" hidden="1" outlineLevel="6">
      <c r="C125" s="2190" t="s">
        <v>1431</v>
      </c>
      <c r="D125" s="2178">
        <f t="shared" si="77"/>
        <v>303.07928000000004</v>
      </c>
      <c r="E125" s="2182">
        <f t="shared" si="134"/>
        <v>273.98</v>
      </c>
      <c r="F125" s="2088">
        <f t="shared" si="135"/>
        <v>21.7</v>
      </c>
      <c r="G125" s="2088">
        <f t="shared" si="136"/>
        <v>252.28000000000003</v>
      </c>
      <c r="H125" s="2182">
        <f>ROUND(SUMIF($C$248:$C$418,$C125,$D$248:$D$418)*'[30]Затраты 2016'!$U$14,5)</f>
        <v>28.129280000000001</v>
      </c>
      <c r="I125" s="2182">
        <f t="shared" si="137"/>
        <v>0.97</v>
      </c>
      <c r="J125" s="2182">
        <f t="shared" si="138"/>
        <v>0</v>
      </c>
      <c r="L125" s="2172"/>
      <c r="M125" s="2088">
        <f t="shared" si="78"/>
        <v>303.07928000000004</v>
      </c>
      <c r="N125" s="2088">
        <f t="shared" si="79"/>
        <v>281.37928000000005</v>
      </c>
      <c r="O125" s="2090"/>
      <c r="P125" s="2091" t="str">
        <f>VLOOKUP('СС 2016'!$C125,'[30]СС 2015'!$C:$O,13,FALSE)</f>
        <v>прочие</v>
      </c>
      <c r="Q125" s="2182">
        <v>267.8</v>
      </c>
      <c r="R125" s="2179">
        <f t="shared" si="80"/>
        <v>7.267544219465072E-5</v>
      </c>
      <c r="S125" s="2179">
        <f t="shared" si="81"/>
        <v>6.18</v>
      </c>
      <c r="T125" s="2179"/>
      <c r="U125" s="2179"/>
      <c r="V125" s="2168"/>
      <c r="W125" s="2168"/>
      <c r="X125" s="2168"/>
      <c r="Y125" s="2168"/>
      <c r="Z125" s="2168"/>
      <c r="AA125" s="2168"/>
      <c r="AB125" s="2168"/>
      <c r="AC125" s="2168"/>
      <c r="AD125" s="2168"/>
      <c r="AE125" s="2183">
        <v>267.8</v>
      </c>
      <c r="AF125" s="2183"/>
      <c r="AG125" s="2183"/>
      <c r="AH125" s="3411">
        <v>267.8</v>
      </c>
      <c r="AI125" s="3411"/>
      <c r="AJ125" s="2183"/>
      <c r="AK125" s="2183"/>
      <c r="AL125" s="2183"/>
      <c r="AM125" s="2183"/>
      <c r="AN125" s="2183">
        <v>267.8</v>
      </c>
      <c r="AO125" s="2183">
        <v>267.8</v>
      </c>
      <c r="AP125" s="2168"/>
      <c r="AQ125" s="2168"/>
      <c r="AR125" s="2168"/>
      <c r="AS125" s="2168"/>
      <c r="AT125" s="2168"/>
      <c r="AU125" s="2168"/>
      <c r="AV125" s="2168"/>
    </row>
    <row r="126" spans="3:48" ht="12" hidden="1" outlineLevel="6">
      <c r="C126" s="2190" t="s">
        <v>1432</v>
      </c>
      <c r="D126" s="2178">
        <f t="shared" si="77"/>
        <v>25.27786</v>
      </c>
      <c r="E126" s="2182">
        <f t="shared" si="134"/>
        <v>23.630000000000003</v>
      </c>
      <c r="F126" s="2088">
        <f t="shared" si="135"/>
        <v>1.87</v>
      </c>
      <c r="G126" s="2088">
        <f t="shared" si="136"/>
        <v>21.76</v>
      </c>
      <c r="H126" s="2182">
        <f>ROUND(SUMIF($C$248:$C$418,$C126,$D$248:$D$418)*'[30]Затраты 2016'!$U$14,5)</f>
        <v>1.56786</v>
      </c>
      <c r="I126" s="2182">
        <f t="shared" si="137"/>
        <v>0.08</v>
      </c>
      <c r="J126" s="2182">
        <f t="shared" si="138"/>
        <v>0</v>
      </c>
      <c r="L126" s="2172"/>
      <c r="M126" s="2088">
        <f t="shared" si="78"/>
        <v>25.27786</v>
      </c>
      <c r="N126" s="2088">
        <f t="shared" si="79"/>
        <v>23.407859999999999</v>
      </c>
      <c r="O126" s="2090"/>
      <c r="P126" s="2193" t="str">
        <f>$C$224</f>
        <v>прочие</v>
      </c>
      <c r="Q126" s="2182">
        <v>23.1</v>
      </c>
      <c r="R126" s="2179">
        <f t="shared" si="80"/>
        <v>6.2688674932652415E-6</v>
      </c>
      <c r="S126" s="2179">
        <f t="shared" si="81"/>
        <v>0.53</v>
      </c>
      <c r="T126" s="2179"/>
      <c r="U126" s="2179"/>
      <c r="V126" s="2168"/>
      <c r="W126" s="2168"/>
      <c r="X126" s="2168"/>
      <c r="Y126" s="2168"/>
      <c r="Z126" s="2168"/>
      <c r="AA126" s="2168"/>
      <c r="AB126" s="2168"/>
      <c r="AC126" s="2168"/>
      <c r="AD126" s="2168"/>
      <c r="AE126" s="2183">
        <v>23.1</v>
      </c>
      <c r="AF126" s="2183"/>
      <c r="AG126" s="2183"/>
      <c r="AH126" s="2185"/>
      <c r="AI126" s="2186"/>
      <c r="AJ126" s="2183">
        <v>23.1</v>
      </c>
      <c r="AK126" s="2183"/>
      <c r="AL126" s="2183"/>
      <c r="AM126" s="2183"/>
      <c r="AN126" s="2183">
        <v>23.1</v>
      </c>
      <c r="AO126" s="2183">
        <v>23.1</v>
      </c>
      <c r="AP126" s="2168"/>
      <c r="AQ126" s="2168"/>
      <c r="AR126" s="2168"/>
      <c r="AS126" s="2168"/>
      <c r="AT126" s="2168"/>
      <c r="AU126" s="2168"/>
      <c r="AV126" s="2168"/>
    </row>
    <row r="127" spans="3:48" ht="36" hidden="1" outlineLevel="6">
      <c r="C127" s="2190" t="s">
        <v>1434</v>
      </c>
      <c r="D127" s="2178">
        <f t="shared" si="77"/>
        <v>3.3896899999999999</v>
      </c>
      <c r="E127" s="2182">
        <f t="shared" si="134"/>
        <v>3.03</v>
      </c>
      <c r="F127" s="2088">
        <f t="shared" si="135"/>
        <v>0.24</v>
      </c>
      <c r="G127" s="2088">
        <f t="shared" si="136"/>
        <v>2.79</v>
      </c>
      <c r="H127" s="2182">
        <f>ROUND(SUMIF($C$248:$C$418,$C127,$D$248:$D$418)*'[30]Затраты 2016'!$U$14,5)</f>
        <v>0.35969000000000001</v>
      </c>
      <c r="I127" s="2182">
        <f t="shared" si="137"/>
        <v>0</v>
      </c>
      <c r="J127" s="2182">
        <f t="shared" si="138"/>
        <v>0</v>
      </c>
      <c r="L127" s="2172"/>
      <c r="M127" s="2088">
        <f t="shared" si="78"/>
        <v>3.3896899999999999</v>
      </c>
      <c r="N127" s="2088">
        <f t="shared" si="79"/>
        <v>3.1496899999999997</v>
      </c>
      <c r="O127" s="2090"/>
      <c r="P127" s="2091" t="str">
        <f>VLOOKUP('СС 2016'!$C127,'[30]СС 2015'!$C:$O,13,FALSE)</f>
        <v>прочие</v>
      </c>
      <c r="Q127" s="2182">
        <v>2.96</v>
      </c>
      <c r="R127" s="2179">
        <f t="shared" si="80"/>
        <v>8.0328345368247245E-7</v>
      </c>
      <c r="S127" s="2179">
        <f t="shared" si="81"/>
        <v>7.0000000000000007E-2</v>
      </c>
      <c r="T127" s="2179"/>
      <c r="U127" s="2179"/>
      <c r="V127" s="2168"/>
      <c r="W127" s="2168"/>
      <c r="X127" s="2168"/>
      <c r="Y127" s="2168"/>
      <c r="Z127" s="2168"/>
      <c r="AA127" s="2168"/>
      <c r="AB127" s="2168"/>
      <c r="AC127" s="2168"/>
      <c r="AD127" s="2168"/>
      <c r="AE127" s="2183">
        <v>2.96</v>
      </c>
      <c r="AF127" s="2183"/>
      <c r="AG127" s="2183"/>
      <c r="AH127" s="3411">
        <v>0.8</v>
      </c>
      <c r="AI127" s="3411"/>
      <c r="AJ127" s="2183">
        <v>2.16</v>
      </c>
      <c r="AK127" s="2183"/>
      <c r="AL127" s="2183"/>
      <c r="AM127" s="2183"/>
      <c r="AN127" s="2183">
        <v>2.96</v>
      </c>
      <c r="AO127" s="2183">
        <v>2.96</v>
      </c>
      <c r="AP127" s="2168"/>
      <c r="AQ127" s="2168"/>
      <c r="AR127" s="2168"/>
      <c r="AS127" s="2168"/>
      <c r="AT127" s="2168"/>
      <c r="AU127" s="2168"/>
      <c r="AV127" s="2168"/>
    </row>
    <row r="128" spans="3:48" ht="36" hidden="1" outlineLevel="6">
      <c r="C128" s="2190" t="s">
        <v>1435</v>
      </c>
      <c r="D128" s="2178">
        <f t="shared" si="77"/>
        <v>817.97683000000006</v>
      </c>
      <c r="E128" s="2182">
        <f t="shared" si="134"/>
        <v>810.49</v>
      </c>
      <c r="F128" s="2088">
        <f t="shared" si="135"/>
        <v>64.180000000000007</v>
      </c>
      <c r="G128" s="2088">
        <f t="shared" si="136"/>
        <v>746.31</v>
      </c>
      <c r="H128" s="2182">
        <f>ROUND(SUMIF($C$248:$C$418,$C128,$D$248:$D$418)*'[30]Затраты 2016'!$U$14,5)</f>
        <v>7.1568300000000002</v>
      </c>
      <c r="I128" s="2182">
        <f t="shared" si="137"/>
        <v>0.33</v>
      </c>
      <c r="J128" s="2182">
        <f t="shared" si="138"/>
        <v>0</v>
      </c>
      <c r="L128" s="2172"/>
      <c r="M128" s="2088">
        <f t="shared" si="78"/>
        <v>817.97683000000006</v>
      </c>
      <c r="N128" s="2088">
        <f t="shared" si="79"/>
        <v>753.79683</v>
      </c>
      <c r="O128" s="2090"/>
      <c r="P128" s="2091" t="str">
        <f>VLOOKUP('СС 2016'!$C128,'[30]СС 2015'!$C:$O,13,FALSE)</f>
        <v>прочие</v>
      </c>
      <c r="Q128" s="2182">
        <v>792.22</v>
      </c>
      <c r="R128" s="2179">
        <f t="shared" si="80"/>
        <v>2.1499230326902987E-4</v>
      </c>
      <c r="S128" s="2179">
        <f t="shared" si="81"/>
        <v>18.27</v>
      </c>
      <c r="T128" s="2179"/>
      <c r="U128" s="2179"/>
      <c r="V128" s="2168"/>
      <c r="W128" s="2168"/>
      <c r="X128" s="2168"/>
      <c r="Y128" s="2168"/>
      <c r="Z128" s="2168"/>
      <c r="AA128" s="2168"/>
      <c r="AB128" s="2168"/>
      <c r="AC128" s="2168"/>
      <c r="AD128" s="2168"/>
      <c r="AE128" s="2183">
        <v>792.22</v>
      </c>
      <c r="AF128" s="2183"/>
      <c r="AG128" s="2183">
        <v>749.54</v>
      </c>
      <c r="AH128" s="3411">
        <v>35.659999999999997</v>
      </c>
      <c r="AI128" s="3411"/>
      <c r="AJ128" s="2183">
        <v>7.02</v>
      </c>
      <c r="AK128" s="2183"/>
      <c r="AL128" s="2183"/>
      <c r="AM128" s="2183"/>
      <c r="AN128" s="2183">
        <v>792.22</v>
      </c>
      <c r="AO128" s="2183">
        <v>792.22</v>
      </c>
      <c r="AP128" s="2168"/>
      <c r="AQ128" s="2168"/>
      <c r="AR128" s="2168"/>
      <c r="AS128" s="2168"/>
      <c r="AT128" s="2168"/>
      <c r="AU128" s="2168"/>
      <c r="AV128" s="2168"/>
    </row>
    <row r="129" spans="3:48" ht="12" hidden="1" outlineLevel="6">
      <c r="C129" s="2190" t="s">
        <v>1455</v>
      </c>
      <c r="D129" s="2178">
        <f t="shared" si="77"/>
        <v>3.7181299999999999</v>
      </c>
      <c r="E129" s="2182">
        <f t="shared" si="134"/>
        <v>3.32</v>
      </c>
      <c r="F129" s="2088">
        <f t="shared" si="135"/>
        <v>0.26</v>
      </c>
      <c r="G129" s="2088">
        <f t="shared" si="136"/>
        <v>3.0599999999999996</v>
      </c>
      <c r="H129" s="2182">
        <f>ROUND(SUMIF($C$248:$C$418,$C129,$D$248:$D$418)*'[30]Затраты 2016'!$U$14,5)</f>
        <v>0.37813000000000002</v>
      </c>
      <c r="I129" s="2182">
        <f t="shared" si="137"/>
        <v>0.02</v>
      </c>
      <c r="J129" s="2182">
        <f t="shared" si="138"/>
        <v>0</v>
      </c>
      <c r="L129" s="2172"/>
      <c r="M129" s="2088">
        <f t="shared" si="78"/>
        <v>3.7181299999999999</v>
      </c>
      <c r="N129" s="2088">
        <f t="shared" si="79"/>
        <v>3.4581299999999997</v>
      </c>
      <c r="O129" s="2090"/>
      <c r="P129" s="2091" t="str">
        <f>VLOOKUP('СС 2016'!$C129,'[30]СС 2015'!$C:$O,13,FALSE)</f>
        <v>прочие</v>
      </c>
      <c r="Q129" s="2182">
        <v>3.25</v>
      </c>
      <c r="R129" s="2179">
        <f t="shared" si="80"/>
        <v>8.8198352177974182E-7</v>
      </c>
      <c r="S129" s="2179">
        <f t="shared" si="81"/>
        <v>7.0000000000000007E-2</v>
      </c>
      <c r="T129" s="2179"/>
      <c r="U129" s="2179"/>
      <c r="V129" s="2168"/>
      <c r="W129" s="2168"/>
      <c r="X129" s="2168"/>
      <c r="Y129" s="2168"/>
      <c r="Z129" s="2168"/>
      <c r="AA129" s="2168"/>
      <c r="AB129" s="2168"/>
      <c r="AC129" s="2168"/>
      <c r="AD129" s="2168"/>
      <c r="AE129" s="2183">
        <v>3.25</v>
      </c>
      <c r="AF129" s="2183"/>
      <c r="AG129" s="2183"/>
      <c r="AH129" s="2185"/>
      <c r="AI129" s="2186"/>
      <c r="AJ129" s="2183">
        <v>3.25</v>
      </c>
      <c r="AK129" s="2183"/>
      <c r="AL129" s="2183"/>
      <c r="AM129" s="2183"/>
      <c r="AN129" s="2183">
        <v>3.25</v>
      </c>
      <c r="AO129" s="2183">
        <v>3.25</v>
      </c>
      <c r="AP129" s="2168"/>
      <c r="AQ129" s="2168"/>
      <c r="AR129" s="2168"/>
      <c r="AS129" s="2168"/>
      <c r="AT129" s="2168"/>
      <c r="AU129" s="2168"/>
      <c r="AV129" s="2168"/>
    </row>
    <row r="130" spans="3:48" ht="12" hidden="1" outlineLevel="5">
      <c r="C130" s="2189" t="s">
        <v>1495</v>
      </c>
      <c r="D130" s="2177">
        <f t="shared" ref="D130:J130" si="139">SUM(D131:D134)</f>
        <v>672.78468999999984</v>
      </c>
      <c r="E130" s="2178">
        <f t="shared" si="139"/>
        <v>586.54999999999995</v>
      </c>
      <c r="F130" s="2178">
        <f t="shared" si="139"/>
        <v>46.45</v>
      </c>
      <c r="G130" s="2178">
        <f t="shared" si="139"/>
        <v>540.1</v>
      </c>
      <c r="H130" s="2178">
        <f t="shared" si="139"/>
        <v>81.814689999999999</v>
      </c>
      <c r="I130" s="2178">
        <f t="shared" si="139"/>
        <v>4.42</v>
      </c>
      <c r="J130" s="2178">
        <f t="shared" si="139"/>
        <v>0</v>
      </c>
      <c r="L130" s="2172"/>
      <c r="M130" s="2088">
        <f t="shared" si="78"/>
        <v>672.78468999999984</v>
      </c>
      <c r="N130" s="2088">
        <f t="shared" si="79"/>
        <v>626.3346899999998</v>
      </c>
      <c r="O130" s="2090"/>
      <c r="P130" s="2173"/>
      <c r="Q130" s="2178">
        <f t="shared" ref="Q130" si="140">SUM(Q131:Q134)</f>
        <v>573.31999999999994</v>
      </c>
      <c r="R130" s="2179" t="str">
        <f t="shared" si="80"/>
        <v/>
      </c>
      <c r="S130" s="2179" t="str">
        <f t="shared" si="81"/>
        <v/>
      </c>
      <c r="T130" s="2179"/>
      <c r="U130" s="2179"/>
      <c r="V130" s="2168"/>
      <c r="W130" s="2168"/>
      <c r="X130" s="2168"/>
      <c r="Y130" s="2168"/>
      <c r="Z130" s="2168"/>
      <c r="AA130" s="2168"/>
      <c r="AB130" s="2168"/>
      <c r="AC130" s="2168"/>
      <c r="AD130" s="2168"/>
      <c r="AE130" s="2180">
        <v>573.32000000000005</v>
      </c>
      <c r="AF130" s="2180"/>
      <c r="AG130" s="2180"/>
      <c r="AH130" s="3412">
        <v>536.69000000000005</v>
      </c>
      <c r="AI130" s="3412"/>
      <c r="AJ130" s="2180">
        <v>36.630000000000003</v>
      </c>
      <c r="AK130" s="2180"/>
      <c r="AL130" s="2180"/>
      <c r="AM130" s="2180"/>
      <c r="AN130" s="2180">
        <v>573.32000000000005</v>
      </c>
      <c r="AO130" s="2180">
        <v>573.32000000000005</v>
      </c>
      <c r="AP130" s="2168"/>
      <c r="AQ130" s="2168"/>
      <c r="AR130" s="2168"/>
      <c r="AS130" s="2168"/>
      <c r="AT130" s="2168"/>
      <c r="AU130" s="2168"/>
      <c r="AV130" s="2168"/>
    </row>
    <row r="131" spans="3:48" ht="12" hidden="1" outlineLevel="6">
      <c r="C131" s="2190" t="s">
        <v>1419</v>
      </c>
      <c r="D131" s="2178">
        <f t="shared" si="77"/>
        <v>68.995689999999996</v>
      </c>
      <c r="E131" s="2182">
        <f t="shared" ref="E131:E134" si="141">SUM(Q131,S131)</f>
        <v>55.75</v>
      </c>
      <c r="F131" s="2088">
        <f t="shared" ref="F131:F134" si="142">ROUND(E131*$U$1,2)</f>
        <v>4.41</v>
      </c>
      <c r="G131" s="2088">
        <f t="shared" ref="G131:G134" si="143">E131-F131</f>
        <v>51.34</v>
      </c>
      <c r="H131" s="2182">
        <f>ROUND(SUMIF($C$248:$C$418,$C131,$D$248:$D$418)*'[30]Затраты 2016'!$U$14,5)</f>
        <v>12.865690000000001</v>
      </c>
      <c r="I131" s="2182">
        <f>SUMIF($C$420:$C$570,$C131,$D$420:$D$570)</f>
        <v>0.38</v>
      </c>
      <c r="J131" s="2182">
        <f>SUMIF($C$236:$C$246,$C131,$D$236:$D$246)</f>
        <v>0</v>
      </c>
      <c r="L131" s="2172"/>
      <c r="M131" s="2088">
        <f t="shared" si="78"/>
        <v>68.995689999999996</v>
      </c>
      <c r="N131" s="2088">
        <f t="shared" si="79"/>
        <v>64.58569</v>
      </c>
      <c r="O131" s="2090"/>
      <c r="P131" s="2091" t="str">
        <f>VLOOKUP('СС 2016'!$C131,'[30]СС 2015'!$C:$O,13,FALSE)</f>
        <v>Услуги коммунального хозяйства</v>
      </c>
      <c r="Q131" s="2182">
        <v>54.49</v>
      </c>
      <c r="R131" s="2179">
        <f t="shared" si="80"/>
        <v>1.4787471415931733E-5</v>
      </c>
      <c r="S131" s="2179">
        <f t="shared" si="81"/>
        <v>1.26</v>
      </c>
      <c r="T131" s="2179"/>
      <c r="U131" s="2179"/>
      <c r="V131" s="2168"/>
      <c r="W131" s="2168"/>
      <c r="X131" s="2168"/>
      <c r="Y131" s="2168"/>
      <c r="Z131" s="2168"/>
      <c r="AA131" s="2168"/>
      <c r="AB131" s="2168"/>
      <c r="AC131" s="2168"/>
      <c r="AD131" s="2168"/>
      <c r="AE131" s="2183">
        <v>54.49</v>
      </c>
      <c r="AF131" s="2183"/>
      <c r="AG131" s="2183"/>
      <c r="AH131" s="3411">
        <v>54.49</v>
      </c>
      <c r="AI131" s="3411"/>
      <c r="AJ131" s="2183"/>
      <c r="AK131" s="2183"/>
      <c r="AL131" s="2183"/>
      <c r="AM131" s="2183"/>
      <c r="AN131" s="2183">
        <v>54.49</v>
      </c>
      <c r="AO131" s="2183">
        <v>54.49</v>
      </c>
      <c r="AP131" s="2168"/>
      <c r="AQ131" s="2168"/>
      <c r="AR131" s="2168"/>
      <c r="AS131" s="2168"/>
      <c r="AT131" s="2168"/>
      <c r="AU131" s="2168"/>
      <c r="AV131" s="2168"/>
    </row>
    <row r="132" spans="3:48" ht="12" hidden="1" outlineLevel="6">
      <c r="C132" s="2190" t="s">
        <v>1420</v>
      </c>
      <c r="D132" s="2178">
        <f t="shared" si="77"/>
        <v>558.68715999999995</v>
      </c>
      <c r="E132" s="2182">
        <f t="shared" si="141"/>
        <v>493.56</v>
      </c>
      <c r="F132" s="2088">
        <f t="shared" si="142"/>
        <v>39.090000000000003</v>
      </c>
      <c r="G132" s="2088">
        <f t="shared" si="143"/>
        <v>454.47</v>
      </c>
      <c r="H132" s="2182">
        <f>ROUND(SUMIF($C$248:$C$418,$C132,$D$248:$D$418)*'[30]Затраты 2016'!$U$14,5)</f>
        <v>61.377160000000003</v>
      </c>
      <c r="I132" s="2182">
        <f>SUMIF($C$420:$C$570,$C132,$D$420:$D$570)</f>
        <v>3.75</v>
      </c>
      <c r="J132" s="2182">
        <f>SUMIF($C$236:$C$246,$C132,$D$236:$D$246)</f>
        <v>0</v>
      </c>
      <c r="L132" s="2172"/>
      <c r="M132" s="2088">
        <f t="shared" si="78"/>
        <v>558.68715999999995</v>
      </c>
      <c r="N132" s="2088">
        <f t="shared" si="79"/>
        <v>519.59715999999992</v>
      </c>
      <c r="O132" s="2090"/>
      <c r="P132" s="2091" t="str">
        <f>VLOOKUP('СС 2016'!$C132,'[30]СС 2015'!$C:$O,13,FALSE)</f>
        <v>Услуги коммунального хозяйства</v>
      </c>
      <c r="Q132" s="2182">
        <v>482.43</v>
      </c>
      <c r="R132" s="2179">
        <f t="shared" si="80"/>
        <v>1.3092163397298488E-4</v>
      </c>
      <c r="S132" s="2179">
        <f t="shared" si="81"/>
        <v>11.13</v>
      </c>
      <c r="T132" s="2179"/>
      <c r="U132" s="2179"/>
      <c r="V132" s="2168"/>
      <c r="W132" s="2168"/>
      <c r="X132" s="2168"/>
      <c r="Y132" s="2168"/>
      <c r="Z132" s="2168"/>
      <c r="AA132" s="2168"/>
      <c r="AB132" s="2168"/>
      <c r="AC132" s="2168"/>
      <c r="AD132" s="2168"/>
      <c r="AE132" s="2183">
        <v>482.43</v>
      </c>
      <c r="AF132" s="2183"/>
      <c r="AG132" s="2183"/>
      <c r="AH132" s="3411">
        <v>445.8</v>
      </c>
      <c r="AI132" s="3411"/>
      <c r="AJ132" s="2183">
        <v>36.630000000000003</v>
      </c>
      <c r="AK132" s="2183"/>
      <c r="AL132" s="2183"/>
      <c r="AM132" s="2183"/>
      <c r="AN132" s="2183">
        <v>482.43</v>
      </c>
      <c r="AO132" s="2183">
        <v>482.43</v>
      </c>
      <c r="AP132" s="2168"/>
      <c r="AQ132" s="2168"/>
      <c r="AR132" s="2168"/>
      <c r="AS132" s="2168"/>
      <c r="AT132" s="2168"/>
      <c r="AU132" s="2168"/>
      <c r="AV132" s="2168"/>
    </row>
    <row r="133" spans="3:48" ht="12" hidden="1" outlineLevel="6">
      <c r="C133" s="2190" t="s">
        <v>3831</v>
      </c>
      <c r="D133" s="2178">
        <f t="shared" si="77"/>
        <v>0.94445000000000001</v>
      </c>
      <c r="E133" s="2182">
        <f t="shared" si="141"/>
        <v>0.76</v>
      </c>
      <c r="F133" s="2088">
        <f t="shared" si="142"/>
        <v>0.06</v>
      </c>
      <c r="G133" s="2088">
        <f t="shared" si="143"/>
        <v>0.7</v>
      </c>
      <c r="H133" s="2182">
        <f>ROUND(SUMIF($C$248:$C$418,$C133,$D$248:$D$418)*'[30]Затраты 2016'!$U$14,5)</f>
        <v>0.18445</v>
      </c>
      <c r="I133" s="2182">
        <f>SUMIF($C$420:$C$570,$C133,$D$420:$D$570)</f>
        <v>0</v>
      </c>
      <c r="J133" s="2182">
        <f>SUMIF($C$236:$C$246,$C133,$D$236:$D$246)</f>
        <v>0</v>
      </c>
      <c r="L133" s="2172"/>
      <c r="M133" s="2088">
        <f t="shared" si="78"/>
        <v>0.94445000000000001</v>
      </c>
      <c r="N133" s="2088">
        <f t="shared" si="79"/>
        <v>0.88444999999999996</v>
      </c>
      <c r="O133" s="2090"/>
      <c r="P133" s="2193" t="str">
        <f>$C$221</f>
        <v>Услуги коммунального хозяйства</v>
      </c>
      <c r="Q133" s="2182">
        <v>0.74</v>
      </c>
      <c r="R133" s="2179">
        <f t="shared" si="80"/>
        <v>2.0082086342061811E-7</v>
      </c>
      <c r="S133" s="2179">
        <f t="shared" si="81"/>
        <v>0.02</v>
      </c>
      <c r="T133" s="2179"/>
      <c r="U133" s="2179"/>
      <c r="V133" s="2168"/>
      <c r="W133" s="2168"/>
      <c r="X133" s="2168"/>
      <c r="Y133" s="2168"/>
      <c r="Z133" s="2168"/>
      <c r="AA133" s="2168"/>
      <c r="AB133" s="2168"/>
      <c r="AC133" s="2168"/>
      <c r="AD133" s="2168"/>
      <c r="AE133" s="2183">
        <v>0.74</v>
      </c>
      <c r="AF133" s="2183"/>
      <c r="AG133" s="2183"/>
      <c r="AH133" s="3411">
        <v>0.74</v>
      </c>
      <c r="AI133" s="3411"/>
      <c r="AJ133" s="2183"/>
      <c r="AK133" s="2183"/>
      <c r="AL133" s="2183"/>
      <c r="AM133" s="2183"/>
      <c r="AN133" s="2183">
        <v>0.74</v>
      </c>
      <c r="AO133" s="2183">
        <v>0.74</v>
      </c>
      <c r="AP133" s="2168"/>
      <c r="AQ133" s="2168"/>
      <c r="AR133" s="2168"/>
      <c r="AS133" s="2168"/>
      <c r="AT133" s="2168"/>
      <c r="AU133" s="2168"/>
      <c r="AV133" s="2168"/>
    </row>
    <row r="134" spans="3:48" ht="24" hidden="1" outlineLevel="6">
      <c r="C134" s="2190" t="s">
        <v>1422</v>
      </c>
      <c r="D134" s="2178">
        <f t="shared" si="77"/>
        <v>44.157389999999999</v>
      </c>
      <c r="E134" s="2182">
        <f t="shared" si="141"/>
        <v>36.479999999999997</v>
      </c>
      <c r="F134" s="2088">
        <f t="shared" si="142"/>
        <v>2.89</v>
      </c>
      <c r="G134" s="2088">
        <f t="shared" si="143"/>
        <v>33.589999999999996</v>
      </c>
      <c r="H134" s="2182">
        <f>ROUND(SUMIF($C$248:$C$418,$C134,$D$248:$D$418)*'[30]Затраты 2016'!$U$14,5)</f>
        <v>7.3873899999999999</v>
      </c>
      <c r="I134" s="2182">
        <f>SUMIF($C$420:$C$570,$C134,$D$420:$D$570)</f>
        <v>0.28999999999999998</v>
      </c>
      <c r="J134" s="2182">
        <f>SUMIF($C$236:$C$246,$C134,$D$236:$D$246)</f>
        <v>0</v>
      </c>
      <c r="L134" s="2172"/>
      <c r="M134" s="2088">
        <f t="shared" si="78"/>
        <v>44.157389999999999</v>
      </c>
      <c r="N134" s="2088">
        <f t="shared" si="79"/>
        <v>41.267389999999999</v>
      </c>
      <c r="O134" s="2090"/>
      <c r="P134" s="2091" t="str">
        <f>VLOOKUP('СС 2016'!$C134,'[30]СС 2015'!$C:$O,13,FALSE)</f>
        <v>Услуги коммунального хозяйства</v>
      </c>
      <c r="Q134" s="2182">
        <v>35.659999999999997</v>
      </c>
      <c r="R134" s="2179">
        <f t="shared" si="80"/>
        <v>9.6773945805124889E-6</v>
      </c>
      <c r="S134" s="2179">
        <f t="shared" si="81"/>
        <v>0.82</v>
      </c>
      <c r="T134" s="2179"/>
      <c r="U134" s="2179"/>
      <c r="V134" s="2168"/>
      <c r="W134" s="2168"/>
      <c r="X134" s="2168"/>
      <c r="Y134" s="2168"/>
      <c r="Z134" s="2168"/>
      <c r="AA134" s="2168"/>
      <c r="AB134" s="2168"/>
      <c r="AC134" s="2168"/>
      <c r="AD134" s="2168"/>
      <c r="AE134" s="2183">
        <v>35.659999999999997</v>
      </c>
      <c r="AF134" s="2183"/>
      <c r="AG134" s="2183"/>
      <c r="AH134" s="3411">
        <v>35.659999999999997</v>
      </c>
      <c r="AI134" s="3411"/>
      <c r="AJ134" s="2183"/>
      <c r="AK134" s="2183"/>
      <c r="AL134" s="2183"/>
      <c r="AM134" s="2183"/>
      <c r="AN134" s="2183">
        <v>35.659999999999997</v>
      </c>
      <c r="AO134" s="2183">
        <v>35.659999999999997</v>
      </c>
      <c r="AP134" s="2168"/>
      <c r="AQ134" s="2168"/>
      <c r="AR134" s="2168"/>
      <c r="AS134" s="2168"/>
      <c r="AT134" s="2168"/>
      <c r="AU134" s="2168"/>
      <c r="AV134" s="2168"/>
    </row>
    <row r="135" spans="3:48" ht="12" hidden="1" outlineLevel="5">
      <c r="C135" s="2189" t="s">
        <v>1496</v>
      </c>
      <c r="D135" s="2178">
        <f t="shared" ref="D135:J135" si="144">SUM(D136)</f>
        <v>30.01784</v>
      </c>
      <c r="E135" s="2178">
        <f t="shared" si="144"/>
        <v>20.5</v>
      </c>
      <c r="F135" s="2178">
        <f t="shared" si="144"/>
        <v>1.62</v>
      </c>
      <c r="G135" s="2178">
        <f t="shared" si="144"/>
        <v>18.88</v>
      </c>
      <c r="H135" s="2178">
        <f t="shared" si="144"/>
        <v>9.5178399999999996</v>
      </c>
      <c r="I135" s="2178">
        <f t="shared" si="144"/>
        <v>0</v>
      </c>
      <c r="J135" s="2178">
        <f t="shared" si="144"/>
        <v>0</v>
      </c>
      <c r="L135" s="2172"/>
      <c r="M135" s="2088">
        <f t="shared" si="78"/>
        <v>30.01784</v>
      </c>
      <c r="N135" s="2088">
        <f t="shared" si="79"/>
        <v>28.397839999999999</v>
      </c>
      <c r="O135" s="2090"/>
      <c r="P135" s="2173"/>
      <c r="Q135" s="2178">
        <f t="shared" ref="Q135" si="145">SUM(Q136)</f>
        <v>20.04</v>
      </c>
      <c r="R135" s="2179" t="str">
        <f t="shared" si="80"/>
        <v/>
      </c>
      <c r="S135" s="2179" t="str">
        <f t="shared" si="81"/>
        <v/>
      </c>
      <c r="T135" s="2179"/>
      <c r="U135" s="2179"/>
      <c r="V135" s="2168"/>
      <c r="W135" s="2168"/>
      <c r="X135" s="2168"/>
      <c r="Y135" s="2168"/>
      <c r="Z135" s="2168"/>
      <c r="AA135" s="2168"/>
      <c r="AB135" s="2168"/>
      <c r="AC135" s="2168"/>
      <c r="AD135" s="2168"/>
      <c r="AE135" s="2180">
        <v>20.04</v>
      </c>
      <c r="AF135" s="2180"/>
      <c r="AG135" s="2180"/>
      <c r="AH135" s="3412">
        <v>20.04</v>
      </c>
      <c r="AI135" s="3412"/>
      <c r="AJ135" s="2180"/>
      <c r="AK135" s="2180"/>
      <c r="AL135" s="2180"/>
      <c r="AM135" s="2180"/>
      <c r="AN135" s="2180">
        <v>20.04</v>
      </c>
      <c r="AO135" s="2180">
        <v>20.04</v>
      </c>
      <c r="AP135" s="2168"/>
      <c r="AQ135" s="2168"/>
      <c r="AR135" s="2168"/>
      <c r="AS135" s="2168"/>
      <c r="AT135" s="2168"/>
      <c r="AU135" s="2168"/>
      <c r="AV135" s="2168"/>
    </row>
    <row r="136" spans="3:48" ht="24" hidden="1" outlineLevel="6">
      <c r="C136" s="2190" t="s">
        <v>1423</v>
      </c>
      <c r="D136" s="2177">
        <f t="shared" si="77"/>
        <v>30.01784</v>
      </c>
      <c r="E136" s="2182">
        <f t="shared" ref="E136:E137" si="146">SUM(Q136,S136)</f>
        <v>20.5</v>
      </c>
      <c r="F136" s="2088">
        <f t="shared" ref="F136:F137" si="147">ROUND(E136*$U$1,2)</f>
        <v>1.62</v>
      </c>
      <c r="G136" s="2088">
        <f t="shared" ref="G136:G137" si="148">E136-F136</f>
        <v>18.88</v>
      </c>
      <c r="H136" s="2182">
        <f>ROUND(SUMIF($C$248:$C$418,$C136,$D$248:$D$418)*'[30]Затраты 2016'!$U$14,5)</f>
        <v>9.5178399999999996</v>
      </c>
      <c r="I136" s="2182">
        <f>SUMIF($C$420:$C$570,$C136,$D$420:$D$570)</f>
        <v>0</v>
      </c>
      <c r="J136" s="2182">
        <f>SUMIF($C$236:$C$246,$C136,$D$236:$D$246)</f>
        <v>0</v>
      </c>
      <c r="L136" s="2172"/>
      <c r="M136" s="2088">
        <f t="shared" si="78"/>
        <v>30.01784</v>
      </c>
      <c r="N136" s="2088">
        <f t="shared" si="79"/>
        <v>28.397839999999999</v>
      </c>
      <c r="O136" s="2090"/>
      <c r="P136" s="2173" t="str">
        <f>C$197</f>
        <v>расходы на информационное обслуживание, консультационные и юридические услуги</v>
      </c>
      <c r="Q136" s="2182">
        <v>20.04</v>
      </c>
      <c r="R136" s="2179">
        <f t="shared" si="80"/>
        <v>5.4384460850664689E-6</v>
      </c>
      <c r="S136" s="2179">
        <f t="shared" si="81"/>
        <v>0.46</v>
      </c>
      <c r="T136" s="2179"/>
      <c r="U136" s="2179"/>
      <c r="V136" s="2168"/>
      <c r="W136" s="2168"/>
      <c r="X136" s="2168"/>
      <c r="Y136" s="2168"/>
      <c r="Z136" s="2168"/>
      <c r="AA136" s="2168"/>
      <c r="AB136" s="2168"/>
      <c r="AC136" s="2168"/>
      <c r="AD136" s="2168"/>
      <c r="AE136" s="2183">
        <v>20.04</v>
      </c>
      <c r="AF136" s="2183"/>
      <c r="AG136" s="2183"/>
      <c r="AH136" s="3411">
        <v>20.04</v>
      </c>
      <c r="AI136" s="3411"/>
      <c r="AJ136" s="2183"/>
      <c r="AK136" s="2183"/>
      <c r="AL136" s="2183"/>
      <c r="AM136" s="2183"/>
      <c r="AN136" s="2183">
        <v>20.04</v>
      </c>
      <c r="AO136" s="2183">
        <v>20.04</v>
      </c>
      <c r="AP136" s="2168"/>
      <c r="AQ136" s="2168"/>
      <c r="AR136" s="2168"/>
      <c r="AS136" s="2168"/>
      <c r="AT136" s="2168"/>
      <c r="AU136" s="2168"/>
      <c r="AV136" s="2168"/>
    </row>
    <row r="137" spans="3:48" ht="24" hidden="1" outlineLevel="5">
      <c r="C137" s="2188" t="s">
        <v>3812</v>
      </c>
      <c r="D137" s="2177">
        <f t="shared" si="77"/>
        <v>23.870249999999999</v>
      </c>
      <c r="E137" s="2182">
        <f t="shared" si="146"/>
        <v>16.82</v>
      </c>
      <c r="F137" s="2088">
        <f t="shared" si="147"/>
        <v>1.33</v>
      </c>
      <c r="G137" s="2088">
        <f t="shared" si="148"/>
        <v>15.49</v>
      </c>
      <c r="H137" s="2182">
        <f>ROUND(SUMIF($C$248:$C$418,$C137,$D$248:$D$418)*'[30]Затраты 2016'!$U$14,5)</f>
        <v>6.7602500000000001</v>
      </c>
      <c r="I137" s="2182">
        <f>SUMIF($C$420:$C$570,$C137,$D$420:$D$570)</f>
        <v>0.28999999999999998</v>
      </c>
      <c r="J137" s="2182">
        <f>SUMIF($C$236:$C$246,$C137,$D$236:$D$246)</f>
        <v>0</v>
      </c>
      <c r="L137" s="2172"/>
      <c r="M137" s="2088">
        <f t="shared" si="78"/>
        <v>23.870249999999999</v>
      </c>
      <c r="N137" s="2088">
        <f t="shared" si="79"/>
        <v>22.54025</v>
      </c>
      <c r="O137" s="2090"/>
      <c r="P137" s="2173" t="str">
        <f>C$197</f>
        <v>расходы на информационное обслуживание, консультационные и юридические услуги</v>
      </c>
      <c r="Q137" s="2182">
        <v>16.440000000000001</v>
      </c>
      <c r="R137" s="2179">
        <f t="shared" si="80"/>
        <v>4.4614797224796785E-6</v>
      </c>
      <c r="S137" s="2179">
        <f t="shared" si="81"/>
        <v>0.38</v>
      </c>
      <c r="T137" s="2179"/>
      <c r="U137" s="2179"/>
      <c r="V137" s="2168"/>
      <c r="W137" s="2168"/>
      <c r="X137" s="2168"/>
      <c r="Y137" s="2168"/>
      <c r="Z137" s="2168"/>
      <c r="AA137" s="2168"/>
      <c r="AB137" s="2168"/>
      <c r="AC137" s="2168"/>
      <c r="AD137" s="2168"/>
      <c r="AE137" s="2183">
        <v>16.440000000000001</v>
      </c>
      <c r="AF137" s="2183"/>
      <c r="AG137" s="2183"/>
      <c r="AH137" s="2185"/>
      <c r="AI137" s="2186"/>
      <c r="AJ137" s="2183">
        <v>16.440000000000001</v>
      </c>
      <c r="AK137" s="2183"/>
      <c r="AL137" s="2183"/>
      <c r="AM137" s="2183"/>
      <c r="AN137" s="2183">
        <v>16.440000000000001</v>
      </c>
      <c r="AO137" s="2183">
        <v>16.440000000000001</v>
      </c>
      <c r="AP137" s="2168"/>
      <c r="AQ137" s="2168"/>
      <c r="AR137" s="2168"/>
      <c r="AS137" s="2168"/>
      <c r="AT137" s="2168"/>
      <c r="AU137" s="2168"/>
      <c r="AV137" s="2168"/>
    </row>
    <row r="138" spans="3:48" ht="12" hidden="1" outlineLevel="5">
      <c r="C138" s="2189" t="s">
        <v>1497</v>
      </c>
      <c r="D138" s="2177">
        <f t="shared" ref="D138:J138" si="149">SUM(D139:D143)</f>
        <v>5326.0485900000003</v>
      </c>
      <c r="E138" s="2178">
        <f t="shared" si="149"/>
        <v>4611.76</v>
      </c>
      <c r="F138" s="2178">
        <f t="shared" si="149"/>
        <v>365.22</v>
      </c>
      <c r="G138" s="2178">
        <f t="shared" si="149"/>
        <v>4246.5400000000009</v>
      </c>
      <c r="H138" s="2178">
        <f t="shared" si="149"/>
        <v>690.33858999999995</v>
      </c>
      <c r="I138" s="2178">
        <f t="shared" si="149"/>
        <v>23.95</v>
      </c>
      <c r="J138" s="2178">
        <f t="shared" si="149"/>
        <v>0</v>
      </c>
      <c r="L138" s="2172"/>
      <c r="M138" s="2088">
        <f t="shared" ref="M138:M179" si="150">D138-L138</f>
        <v>5326.0485900000003</v>
      </c>
      <c r="N138" s="2088">
        <f t="shared" ref="N138:N179" si="151">D138-F138-L138</f>
        <v>4960.8285900000001</v>
      </c>
      <c r="O138" s="2090"/>
      <c r="P138" s="2173"/>
      <c r="Q138" s="2178">
        <f t="shared" ref="Q138" si="152">SUM(Q139:Q143)</f>
        <v>4507.78</v>
      </c>
      <c r="R138" s="2179" t="str">
        <f t="shared" si="80"/>
        <v/>
      </c>
      <c r="S138" s="2179" t="str">
        <f t="shared" si="81"/>
        <v/>
      </c>
      <c r="T138" s="2179"/>
      <c r="U138" s="2179"/>
      <c r="V138" s="2168"/>
      <c r="W138" s="2168"/>
      <c r="X138" s="2168"/>
      <c r="Y138" s="2168"/>
      <c r="Z138" s="2168"/>
      <c r="AA138" s="2168"/>
      <c r="AB138" s="2168"/>
      <c r="AC138" s="2168"/>
      <c r="AD138" s="2168"/>
      <c r="AE138" s="2180">
        <v>4507.78</v>
      </c>
      <c r="AF138" s="2180"/>
      <c r="AG138" s="2180"/>
      <c r="AH138" s="3412">
        <v>1112.23</v>
      </c>
      <c r="AI138" s="3412"/>
      <c r="AJ138" s="2180">
        <v>3395.55</v>
      </c>
      <c r="AK138" s="2180"/>
      <c r="AL138" s="2180"/>
      <c r="AM138" s="2180"/>
      <c r="AN138" s="2180">
        <v>4507.78</v>
      </c>
      <c r="AO138" s="2180">
        <v>4507.78</v>
      </c>
      <c r="AP138" s="2168"/>
      <c r="AQ138" s="2168"/>
      <c r="AR138" s="2168"/>
      <c r="AS138" s="2168"/>
      <c r="AT138" s="2168"/>
      <c r="AU138" s="2168"/>
      <c r="AV138" s="2168"/>
    </row>
    <row r="139" spans="3:48" ht="24" hidden="1" outlineLevel="6">
      <c r="C139" s="2190" t="s">
        <v>1414</v>
      </c>
      <c r="D139" s="2178">
        <f t="shared" ref="D139:D179" si="153">SUM(E139,H139:J139)</f>
        <v>1090.7229600000001</v>
      </c>
      <c r="E139" s="2182">
        <f t="shared" ref="E139:E143" si="154">SUM(Q139,S139)</f>
        <v>907.77</v>
      </c>
      <c r="F139" s="2088">
        <f t="shared" ref="F139:F143" si="155">ROUND(E139*$U$1,2)</f>
        <v>71.89</v>
      </c>
      <c r="G139" s="2088">
        <f t="shared" ref="G139:G143" si="156">E139-F139</f>
        <v>835.88</v>
      </c>
      <c r="H139" s="2182">
        <f>ROUND(SUMIF($C$248:$C$418,$C139,$D$248:$D$418)*'[30]Затраты 2016'!$U$14,5)</f>
        <v>176.28296</v>
      </c>
      <c r="I139" s="2182">
        <f>SUMIF($C$420:$C$570,$C139,$D$420:$D$570)</f>
        <v>6.67</v>
      </c>
      <c r="J139" s="2182">
        <f>SUMIF($C$236:$C$246,$C139,$D$236:$D$246)</f>
        <v>0</v>
      </c>
      <c r="L139" s="2172"/>
      <c r="M139" s="2088">
        <f t="shared" si="150"/>
        <v>1090.7229600000001</v>
      </c>
      <c r="N139" s="2088">
        <f t="shared" si="151"/>
        <v>1018.8329600000001</v>
      </c>
      <c r="O139" s="2090"/>
      <c r="P139" s="2091" t="str">
        <f>VLOOKUP('СС 2016'!$C139,'[30]СС 2015'!$C:$O,13,FALSE)</f>
        <v>расходы на информационное обслуживание, консультационные и юридические услуги</v>
      </c>
      <c r="Q139" s="2182">
        <v>887.3</v>
      </c>
      <c r="R139" s="2179">
        <f t="shared" ref="R139:R179" si="157">IF(P139="","",Q139/$Q$8)</f>
        <v>2.4079507042312764E-4</v>
      </c>
      <c r="S139" s="2179">
        <f t="shared" ref="S139:S179" si="158">IF(R139="","",ROUND(R139*$S$1,2))</f>
        <v>20.47</v>
      </c>
      <c r="T139" s="2179"/>
      <c r="U139" s="2179"/>
      <c r="V139" s="2168"/>
      <c r="W139" s="2168"/>
      <c r="X139" s="2168"/>
      <c r="Y139" s="2168"/>
      <c r="Z139" s="2168"/>
      <c r="AA139" s="2168"/>
      <c r="AB139" s="2168"/>
      <c r="AC139" s="2168"/>
      <c r="AD139" s="2168"/>
      <c r="AE139" s="2183">
        <v>887.3</v>
      </c>
      <c r="AF139" s="2183"/>
      <c r="AG139" s="2183"/>
      <c r="AH139" s="3411">
        <v>597.62</v>
      </c>
      <c r="AI139" s="3411"/>
      <c r="AJ139" s="2183">
        <v>289.68</v>
      </c>
      <c r="AK139" s="2183"/>
      <c r="AL139" s="2183"/>
      <c r="AM139" s="2183"/>
      <c r="AN139" s="2183">
        <v>887.3</v>
      </c>
      <c r="AO139" s="2183">
        <v>887.3</v>
      </c>
      <c r="AP139" s="2168"/>
      <c r="AQ139" s="2168"/>
      <c r="AR139" s="2168"/>
      <c r="AS139" s="2168"/>
      <c r="AT139" s="2168"/>
      <c r="AU139" s="2168"/>
      <c r="AV139" s="2168"/>
    </row>
    <row r="140" spans="3:48" ht="24" hidden="1" outlineLevel="6">
      <c r="C140" s="2190" t="s">
        <v>1415</v>
      </c>
      <c r="D140" s="2178">
        <f t="shared" si="153"/>
        <v>65.026180000000011</v>
      </c>
      <c r="E140" s="2182">
        <f t="shared" si="154"/>
        <v>55.010000000000005</v>
      </c>
      <c r="F140" s="2088">
        <f t="shared" si="155"/>
        <v>4.3600000000000003</v>
      </c>
      <c r="G140" s="2088">
        <f t="shared" si="156"/>
        <v>50.650000000000006</v>
      </c>
      <c r="H140" s="2182">
        <f>ROUND(SUMIF($C$248:$C$418,$C140,$D$248:$D$418)*'[30]Затраты 2016'!$U$14,5)</f>
        <v>9.6561800000000009</v>
      </c>
      <c r="I140" s="2182">
        <f>SUMIF($C$420:$C$570,$C140,$D$420:$D$570)</f>
        <v>0.36</v>
      </c>
      <c r="J140" s="2182">
        <f>SUMIF($C$236:$C$246,$C140,$D$236:$D$246)</f>
        <v>0</v>
      </c>
      <c r="L140" s="2172"/>
      <c r="M140" s="2088">
        <f t="shared" si="150"/>
        <v>65.026180000000011</v>
      </c>
      <c r="N140" s="2088">
        <f t="shared" si="151"/>
        <v>60.666180000000011</v>
      </c>
      <c r="O140" s="2090"/>
      <c r="P140" s="2091" t="str">
        <f>VLOOKUP('СС 2016'!$C140,'[30]СС 2015'!$C:$O,13,FALSE)</f>
        <v>расходы на информационное обслуживание, консультационные и юридические услуги</v>
      </c>
      <c r="Q140" s="2182">
        <v>53.77</v>
      </c>
      <c r="R140" s="2179">
        <f t="shared" si="157"/>
        <v>1.4592078143414374E-5</v>
      </c>
      <c r="S140" s="2179">
        <f t="shared" si="158"/>
        <v>1.24</v>
      </c>
      <c r="T140" s="2179"/>
      <c r="U140" s="2179"/>
      <c r="V140" s="2168"/>
      <c r="W140" s="2168"/>
      <c r="X140" s="2168"/>
      <c r="Y140" s="2168"/>
      <c r="Z140" s="2168"/>
      <c r="AA140" s="2168"/>
      <c r="AB140" s="2168"/>
      <c r="AC140" s="2168"/>
      <c r="AD140" s="2168"/>
      <c r="AE140" s="2183">
        <v>53.77</v>
      </c>
      <c r="AF140" s="2183"/>
      <c r="AG140" s="2183"/>
      <c r="AH140" s="3411">
        <v>6.19</v>
      </c>
      <c r="AI140" s="3411"/>
      <c r="AJ140" s="2183">
        <v>47.58</v>
      </c>
      <c r="AK140" s="2183"/>
      <c r="AL140" s="2183"/>
      <c r="AM140" s="2183"/>
      <c r="AN140" s="2183">
        <v>53.77</v>
      </c>
      <c r="AO140" s="2183">
        <v>53.77</v>
      </c>
      <c r="AP140" s="2168"/>
      <c r="AQ140" s="2168"/>
      <c r="AR140" s="2168"/>
      <c r="AS140" s="2168"/>
      <c r="AT140" s="2168"/>
      <c r="AU140" s="2168"/>
      <c r="AV140" s="2168"/>
    </row>
    <row r="141" spans="3:48" ht="24" hidden="1" outlineLevel="6">
      <c r="C141" s="2190" t="s">
        <v>1416</v>
      </c>
      <c r="D141" s="2178">
        <f t="shared" si="153"/>
        <v>3235.7842200000005</v>
      </c>
      <c r="E141" s="2182">
        <f t="shared" si="154"/>
        <v>2820.3900000000003</v>
      </c>
      <c r="F141" s="2088">
        <f t="shared" si="155"/>
        <v>223.35</v>
      </c>
      <c r="G141" s="2088">
        <f t="shared" si="156"/>
        <v>2597.0400000000004</v>
      </c>
      <c r="H141" s="2182">
        <f>ROUND(SUMIF($C$248:$C$418,$C141,$D$248:$D$418)*'[30]Затраты 2016'!$U$14,5)</f>
        <v>402.06421999999998</v>
      </c>
      <c r="I141" s="2182">
        <f>SUMIF($C$420:$C$570,$C141,$D$420:$D$570)</f>
        <v>13.33</v>
      </c>
      <c r="J141" s="2182">
        <f>SUMIF($C$236:$C$246,$C141,$D$236:$D$246)</f>
        <v>0</v>
      </c>
      <c r="L141" s="2172"/>
      <c r="M141" s="2088">
        <f t="shared" si="150"/>
        <v>3235.7842200000005</v>
      </c>
      <c r="N141" s="2088">
        <f t="shared" si="151"/>
        <v>3012.4342200000006</v>
      </c>
      <c r="O141" s="2090"/>
      <c r="P141" s="2091" t="str">
        <f>VLOOKUP('СС 2016'!$C141,'[30]СС 2015'!$C:$O,13,FALSE)</f>
        <v>расходы на информационное обслуживание, консультационные и юридические услуги</v>
      </c>
      <c r="Q141" s="2182">
        <v>2756.8</v>
      </c>
      <c r="R141" s="2179">
        <f t="shared" si="157"/>
        <v>7.481391301053515E-4</v>
      </c>
      <c r="S141" s="2179">
        <f t="shared" si="158"/>
        <v>63.59</v>
      </c>
      <c r="T141" s="2179"/>
      <c r="U141" s="2179"/>
      <c r="V141" s="2168"/>
      <c r="W141" s="2168"/>
      <c r="X141" s="2168"/>
      <c r="Y141" s="2168"/>
      <c r="Z141" s="2168"/>
      <c r="AA141" s="2168"/>
      <c r="AB141" s="2168"/>
      <c r="AC141" s="2168"/>
      <c r="AD141" s="2168"/>
      <c r="AE141" s="2183">
        <v>2756.8</v>
      </c>
      <c r="AF141" s="2183"/>
      <c r="AG141" s="2183"/>
      <c r="AH141" s="3411">
        <v>386.76</v>
      </c>
      <c r="AI141" s="3411"/>
      <c r="AJ141" s="2183">
        <v>2370.04</v>
      </c>
      <c r="AK141" s="2183"/>
      <c r="AL141" s="2183"/>
      <c r="AM141" s="2183"/>
      <c r="AN141" s="2183">
        <v>2756.8</v>
      </c>
      <c r="AO141" s="2183">
        <v>2756.8</v>
      </c>
      <c r="AP141" s="2168"/>
      <c r="AQ141" s="2168"/>
      <c r="AR141" s="2168"/>
      <c r="AS141" s="2168"/>
      <c r="AT141" s="2168"/>
      <c r="AU141" s="2168"/>
      <c r="AV141" s="2168"/>
    </row>
    <row r="142" spans="3:48" ht="24" hidden="1" outlineLevel="6">
      <c r="C142" s="2190" t="s">
        <v>1417</v>
      </c>
      <c r="D142" s="2178">
        <f t="shared" si="153"/>
        <v>289.93759999999997</v>
      </c>
      <c r="E142" s="2182">
        <f t="shared" si="154"/>
        <v>258.58</v>
      </c>
      <c r="F142" s="2088">
        <f t="shared" si="155"/>
        <v>20.48</v>
      </c>
      <c r="G142" s="2088">
        <f t="shared" si="156"/>
        <v>238.1</v>
      </c>
      <c r="H142" s="2182">
        <f>ROUND(SUMIF($C$248:$C$418,$C142,$D$248:$D$418)*'[30]Затраты 2016'!$U$14,5)</f>
        <v>30.047599999999999</v>
      </c>
      <c r="I142" s="2182">
        <f>SUMIF($C$420:$C$570,$C142,$D$420:$D$570)</f>
        <v>1.31</v>
      </c>
      <c r="J142" s="2182">
        <f>SUMIF($C$236:$C$246,$C142,$D$236:$D$246)</f>
        <v>0</v>
      </c>
      <c r="L142" s="2172"/>
      <c r="M142" s="2088">
        <f t="shared" si="150"/>
        <v>289.93759999999997</v>
      </c>
      <c r="N142" s="2088">
        <f t="shared" si="151"/>
        <v>269.45759999999996</v>
      </c>
      <c r="O142" s="2090"/>
      <c r="P142" s="2091" t="str">
        <f>VLOOKUP('СС 2016'!$C142,'[30]СС 2015'!$C:$O,13,FALSE)</f>
        <v>расходы на информационное обслуживание, консультационные и юридические услуги</v>
      </c>
      <c r="Q142" s="2182">
        <v>252.75</v>
      </c>
      <c r="R142" s="2179">
        <f t="shared" si="157"/>
        <v>6.8591180039947612E-5</v>
      </c>
      <c r="S142" s="2179">
        <f t="shared" si="158"/>
        <v>5.83</v>
      </c>
      <c r="T142" s="2179"/>
      <c r="U142" s="2179"/>
      <c r="V142" s="2168"/>
      <c r="W142" s="2168"/>
      <c r="X142" s="2168"/>
      <c r="Y142" s="2168"/>
      <c r="Z142" s="2168"/>
      <c r="AA142" s="2168"/>
      <c r="AB142" s="2168"/>
      <c r="AC142" s="2168"/>
      <c r="AD142" s="2168"/>
      <c r="AE142" s="2183">
        <v>252.75</v>
      </c>
      <c r="AF142" s="2183"/>
      <c r="AG142" s="2183"/>
      <c r="AH142" s="3411">
        <v>113.25</v>
      </c>
      <c r="AI142" s="3411"/>
      <c r="AJ142" s="2183">
        <v>139.5</v>
      </c>
      <c r="AK142" s="2183"/>
      <c r="AL142" s="2183"/>
      <c r="AM142" s="2183"/>
      <c r="AN142" s="2183">
        <v>252.75</v>
      </c>
      <c r="AO142" s="2183">
        <v>252.75</v>
      </c>
      <c r="AP142" s="2168"/>
      <c r="AQ142" s="2168"/>
      <c r="AR142" s="2168"/>
      <c r="AS142" s="2168"/>
      <c r="AT142" s="2168"/>
      <c r="AU142" s="2168"/>
      <c r="AV142" s="2168"/>
    </row>
    <row r="143" spans="3:48" ht="24" hidden="1" outlineLevel="6">
      <c r="C143" s="2190" t="s">
        <v>1418</v>
      </c>
      <c r="D143" s="2178">
        <f t="shared" si="153"/>
        <v>644.57763</v>
      </c>
      <c r="E143" s="2182">
        <f t="shared" si="154"/>
        <v>570.01</v>
      </c>
      <c r="F143" s="2088">
        <f t="shared" si="155"/>
        <v>45.14</v>
      </c>
      <c r="G143" s="2088">
        <f t="shared" si="156"/>
        <v>524.87</v>
      </c>
      <c r="H143" s="2182">
        <f>ROUND(SUMIF($C$248:$C$418,$C143,$D$248:$D$418)*'[30]Затраты 2016'!$U$14,5)</f>
        <v>72.287629999999993</v>
      </c>
      <c r="I143" s="2182">
        <f>SUMIF($C$420:$C$570,$C143,$D$420:$D$570)</f>
        <v>2.2799999999999998</v>
      </c>
      <c r="J143" s="2182">
        <f>SUMIF($C$236:$C$246,$C143,$D$236:$D$246)</f>
        <v>0</v>
      </c>
      <c r="L143" s="2172"/>
      <c r="M143" s="2088">
        <f t="shared" si="150"/>
        <v>644.57763</v>
      </c>
      <c r="N143" s="2088">
        <f t="shared" si="151"/>
        <v>599.43763000000001</v>
      </c>
      <c r="O143" s="2090"/>
      <c r="P143" s="2091" t="str">
        <f>VLOOKUP('СС 2016'!$C143,'[30]СС 2015'!$C:$O,13,FALSE)</f>
        <v>расходы на информационное обслуживание, консультационные и юридические услуги</v>
      </c>
      <c r="Q143" s="2182">
        <v>557.16</v>
      </c>
      <c r="R143" s="2179">
        <f t="shared" si="157"/>
        <v>1.5120182738301565E-4</v>
      </c>
      <c r="S143" s="2179">
        <f t="shared" si="158"/>
        <v>12.85</v>
      </c>
      <c r="T143" s="2179"/>
      <c r="U143" s="2179"/>
      <c r="V143" s="2168"/>
      <c r="W143" s="2168"/>
      <c r="X143" s="2168"/>
      <c r="Y143" s="2168"/>
      <c r="Z143" s="2168"/>
      <c r="AA143" s="2168"/>
      <c r="AB143" s="2168"/>
      <c r="AC143" s="2168"/>
      <c r="AD143" s="2168"/>
      <c r="AE143" s="2183">
        <v>557.16</v>
      </c>
      <c r="AF143" s="2183"/>
      <c r="AG143" s="2183"/>
      <c r="AH143" s="3411">
        <v>8.41</v>
      </c>
      <c r="AI143" s="3411"/>
      <c r="AJ143" s="2183">
        <v>548.75</v>
      </c>
      <c r="AK143" s="2183"/>
      <c r="AL143" s="2183"/>
      <c r="AM143" s="2183"/>
      <c r="AN143" s="2183">
        <v>557.16</v>
      </c>
      <c r="AO143" s="2183">
        <v>557.16</v>
      </c>
      <c r="AP143" s="2168"/>
      <c r="AQ143" s="2168"/>
      <c r="AR143" s="2168"/>
      <c r="AS143" s="2168"/>
      <c r="AT143" s="2168"/>
      <c r="AU143" s="2168"/>
      <c r="AV143" s="2168"/>
    </row>
    <row r="144" spans="3:48" ht="12" hidden="1" outlineLevel="5">
      <c r="C144" s="2189" t="s">
        <v>1498</v>
      </c>
      <c r="D144" s="2177">
        <f t="shared" ref="D144:J144" si="159">SUM(D145:D146)</f>
        <v>2110.0189299999997</v>
      </c>
      <c r="E144" s="2178">
        <f t="shared" si="159"/>
        <v>1866.64</v>
      </c>
      <c r="F144" s="2178">
        <f t="shared" si="159"/>
        <v>147.82999999999998</v>
      </c>
      <c r="G144" s="2178">
        <f t="shared" si="159"/>
        <v>1718.81</v>
      </c>
      <c r="H144" s="2178">
        <f t="shared" si="159"/>
        <v>231.97893000000002</v>
      </c>
      <c r="I144" s="2178">
        <f t="shared" si="159"/>
        <v>11.4</v>
      </c>
      <c r="J144" s="2178">
        <f t="shared" si="159"/>
        <v>0</v>
      </c>
      <c r="L144" s="2172"/>
      <c r="M144" s="2088">
        <f t="shared" si="150"/>
        <v>2110.0189299999997</v>
      </c>
      <c r="N144" s="2088">
        <f t="shared" si="151"/>
        <v>1962.1889299999998</v>
      </c>
      <c r="O144" s="2090"/>
      <c r="P144" s="2173"/>
      <c r="Q144" s="2178">
        <f t="shared" ref="Q144" si="160">SUM(Q145:Q146)</f>
        <v>1824.55</v>
      </c>
      <c r="R144" s="2179" t="str">
        <f t="shared" si="157"/>
        <v/>
      </c>
      <c r="S144" s="2179" t="str">
        <f t="shared" si="158"/>
        <v/>
      </c>
      <c r="T144" s="2179"/>
      <c r="U144" s="2179"/>
      <c r="V144" s="2168"/>
      <c r="W144" s="2168"/>
      <c r="X144" s="2168"/>
      <c r="Y144" s="2168"/>
      <c r="Z144" s="2168"/>
      <c r="AA144" s="2168"/>
      <c r="AB144" s="2168"/>
      <c r="AC144" s="2168"/>
      <c r="AD144" s="2168"/>
      <c r="AE144" s="2180">
        <v>1824.55</v>
      </c>
      <c r="AF144" s="2180"/>
      <c r="AG144" s="2180"/>
      <c r="AH144" s="3412">
        <v>1769.37</v>
      </c>
      <c r="AI144" s="3412"/>
      <c r="AJ144" s="2180">
        <v>55.18</v>
      </c>
      <c r="AK144" s="2180"/>
      <c r="AL144" s="2180"/>
      <c r="AM144" s="2180"/>
      <c r="AN144" s="2180">
        <v>1824.55</v>
      </c>
      <c r="AO144" s="2180">
        <v>1824.55</v>
      </c>
      <c r="AP144" s="2168"/>
      <c r="AQ144" s="2168"/>
      <c r="AR144" s="2168"/>
      <c r="AS144" s="2168"/>
      <c r="AT144" s="2168"/>
      <c r="AU144" s="2168"/>
      <c r="AV144" s="2168"/>
    </row>
    <row r="145" spans="3:48" ht="12" hidden="1" outlineLevel="6">
      <c r="C145" s="2190" t="s">
        <v>1365</v>
      </c>
      <c r="D145" s="2178">
        <f t="shared" si="153"/>
        <v>1976.9098199999999</v>
      </c>
      <c r="E145" s="2182">
        <f t="shared" ref="E145:E148" si="161">SUM(Q145,S145)</f>
        <v>1771.49</v>
      </c>
      <c r="F145" s="2088">
        <f t="shared" ref="F145:F148" si="162">ROUND(E145*$U$1,2)</f>
        <v>140.29</v>
      </c>
      <c r="G145" s="2088">
        <f t="shared" ref="G145:G148" si="163">E145-F145</f>
        <v>1631.2</v>
      </c>
      <c r="H145" s="2182">
        <f>ROUND(SUMIF($C$248:$C$418,$C145,$D$248:$D$418)*'[30]Затраты 2016'!$U$14,5)</f>
        <v>196.60982000000001</v>
      </c>
      <c r="I145" s="2182">
        <f>SUMIF($C$420:$C$570,$C145,$D$420:$D$570)</f>
        <v>8.81</v>
      </c>
      <c r="J145" s="2182">
        <f>SUMIF($C$236:$C$246,$C145,$D$236:$D$246)</f>
        <v>0</v>
      </c>
      <c r="L145" s="2172"/>
      <c r="M145" s="2088">
        <f t="shared" si="150"/>
        <v>1976.9098199999999</v>
      </c>
      <c r="N145" s="2088">
        <f t="shared" si="151"/>
        <v>1836.6198199999999</v>
      </c>
      <c r="O145" s="2090"/>
      <c r="P145" s="2091" t="str">
        <f>VLOOKUP('СС 2016'!$C145,'[30]СС 2015'!$C:$O,13,FALSE)</f>
        <v>Повышение квалификации</v>
      </c>
      <c r="Q145" s="2182">
        <v>1731.55</v>
      </c>
      <c r="R145" s="2179">
        <f t="shared" si="157"/>
        <v>4.6990725142698826E-4</v>
      </c>
      <c r="S145" s="2179">
        <f t="shared" si="158"/>
        <v>39.94</v>
      </c>
      <c r="T145" s="2179"/>
      <c r="U145" s="2179"/>
      <c r="V145" s="2168"/>
      <c r="W145" s="2168"/>
      <c r="X145" s="2168"/>
      <c r="Y145" s="2168"/>
      <c r="Z145" s="2168"/>
      <c r="AA145" s="2168"/>
      <c r="AB145" s="2168"/>
      <c r="AC145" s="2168"/>
      <c r="AD145" s="2168"/>
      <c r="AE145" s="2183">
        <v>1731.55</v>
      </c>
      <c r="AF145" s="2183"/>
      <c r="AG145" s="2183"/>
      <c r="AH145" s="3411">
        <v>1676.37</v>
      </c>
      <c r="AI145" s="3411"/>
      <c r="AJ145" s="2183">
        <v>55.18</v>
      </c>
      <c r="AK145" s="2183"/>
      <c r="AL145" s="2183"/>
      <c r="AM145" s="2183"/>
      <c r="AN145" s="2183">
        <v>1731.55</v>
      </c>
      <c r="AO145" s="2183">
        <v>1731.55</v>
      </c>
      <c r="AP145" s="2168"/>
      <c r="AQ145" s="2168"/>
      <c r="AR145" s="2168"/>
      <c r="AS145" s="2168"/>
      <c r="AT145" s="2168"/>
      <c r="AU145" s="2168"/>
      <c r="AV145" s="2168"/>
    </row>
    <row r="146" spans="3:48" ht="12" hidden="1" outlineLevel="6">
      <c r="C146" s="2190" t="s">
        <v>1367</v>
      </c>
      <c r="D146" s="2178">
        <f t="shared" si="153"/>
        <v>133.10911000000002</v>
      </c>
      <c r="E146" s="2182">
        <f t="shared" si="161"/>
        <v>95.15</v>
      </c>
      <c r="F146" s="2088">
        <f t="shared" si="162"/>
        <v>7.54</v>
      </c>
      <c r="G146" s="2088">
        <f t="shared" si="163"/>
        <v>87.61</v>
      </c>
      <c r="H146" s="2182">
        <f>ROUND(SUMIF($C$248:$C$418,$C146,$D$248:$D$418)*'[30]Затраты 2016'!$U$14,5)</f>
        <v>35.369109999999999</v>
      </c>
      <c r="I146" s="2182">
        <f>SUMIF($C$420:$C$570,$C146,$D$420:$D$570)</f>
        <v>2.59</v>
      </c>
      <c r="J146" s="2182">
        <f>SUMIF($C$236:$C$246,$C146,$D$236:$D$246)</f>
        <v>0</v>
      </c>
      <c r="L146" s="2172"/>
      <c r="M146" s="2088">
        <f t="shared" si="150"/>
        <v>133.10911000000002</v>
      </c>
      <c r="N146" s="2088">
        <f t="shared" si="151"/>
        <v>125.56911000000001</v>
      </c>
      <c r="O146" s="2090"/>
      <c r="P146" s="2091" t="str">
        <f>VLOOKUP('СС 2016'!$C146,'[30]СС 2015'!$C:$O,13,FALSE)</f>
        <v>Повышение квалификации</v>
      </c>
      <c r="Q146" s="2182">
        <v>93</v>
      </c>
      <c r="R146" s="2179">
        <f t="shared" si="157"/>
        <v>2.5238297700158766E-5</v>
      </c>
      <c r="S146" s="2179">
        <f t="shared" si="158"/>
        <v>2.15</v>
      </c>
      <c r="T146" s="2179"/>
      <c r="U146" s="2179"/>
      <c r="V146" s="2168"/>
      <c r="W146" s="2168"/>
      <c r="X146" s="2168"/>
      <c r="Y146" s="2168"/>
      <c r="Z146" s="2168"/>
      <c r="AA146" s="2168"/>
      <c r="AB146" s="2168"/>
      <c r="AC146" s="2168"/>
      <c r="AD146" s="2168"/>
      <c r="AE146" s="2183">
        <v>93</v>
      </c>
      <c r="AF146" s="2183"/>
      <c r="AG146" s="2183"/>
      <c r="AH146" s="3411">
        <v>93</v>
      </c>
      <c r="AI146" s="3411"/>
      <c r="AJ146" s="2183"/>
      <c r="AK146" s="2183"/>
      <c r="AL146" s="2183"/>
      <c r="AM146" s="2183"/>
      <c r="AN146" s="2183">
        <v>93</v>
      </c>
      <c r="AO146" s="2183">
        <v>93</v>
      </c>
      <c r="AP146" s="2168"/>
      <c r="AQ146" s="2168"/>
      <c r="AR146" s="2168"/>
      <c r="AS146" s="2168"/>
      <c r="AT146" s="2168"/>
      <c r="AU146" s="2168"/>
      <c r="AV146" s="2168"/>
    </row>
    <row r="147" spans="3:48" ht="12" hidden="1" outlineLevel="5">
      <c r="C147" s="2188" t="s">
        <v>1444</v>
      </c>
      <c r="D147" s="2177">
        <f t="shared" si="153"/>
        <v>124.16241000000001</v>
      </c>
      <c r="E147" s="2182">
        <f t="shared" si="161"/>
        <v>85.460000000000008</v>
      </c>
      <c r="F147" s="2196">
        <f t="shared" si="162"/>
        <v>6.77</v>
      </c>
      <c r="G147" s="2088">
        <f t="shared" si="163"/>
        <v>78.690000000000012</v>
      </c>
      <c r="H147" s="2182">
        <f>ROUND(SUMIF($C$248:$C$418,$C147,$D$248:$D$418)*'[30]Затраты 2016'!$U$14,5)</f>
        <v>36.872410000000002</v>
      </c>
      <c r="I147" s="2182">
        <f>SUMIF($C$420:$C$570,$C147,$D$420:$D$570)</f>
        <v>1.83</v>
      </c>
      <c r="J147" s="2182">
        <f>SUMIF($C$236:$C$246,$C147,$D$236:$D$246)</f>
        <v>0</v>
      </c>
      <c r="L147" s="2172"/>
      <c r="M147" s="2088">
        <f t="shared" si="150"/>
        <v>124.16241000000001</v>
      </c>
      <c r="N147" s="2088">
        <f t="shared" si="151"/>
        <v>117.39241000000001</v>
      </c>
      <c r="O147" s="2090"/>
      <c r="P147" s="2091" t="str">
        <f>VLOOKUP('СС 2016'!$C147,'[30]СС 2015'!$C:$O,13,FALSE)</f>
        <v>расходы на охрану и пожарную безопасность</v>
      </c>
      <c r="Q147" s="2182">
        <v>83.53</v>
      </c>
      <c r="R147" s="2179">
        <f t="shared" si="157"/>
        <v>2.266833340746518E-5</v>
      </c>
      <c r="S147" s="2179">
        <f t="shared" si="158"/>
        <v>1.93</v>
      </c>
      <c r="T147" s="2179"/>
      <c r="U147" s="2179"/>
      <c r="V147" s="2168"/>
      <c r="W147" s="2168"/>
      <c r="X147" s="2168"/>
      <c r="Y147" s="2168"/>
      <c r="Z147" s="2168"/>
      <c r="AA147" s="2168"/>
      <c r="AB147" s="2168"/>
      <c r="AC147" s="2168"/>
      <c r="AD147" s="2168"/>
      <c r="AE147" s="2183">
        <v>83.53</v>
      </c>
      <c r="AF147" s="2183"/>
      <c r="AG147" s="2183"/>
      <c r="AH147" s="3411">
        <v>83.53</v>
      </c>
      <c r="AI147" s="3411"/>
      <c r="AJ147" s="2183"/>
      <c r="AK147" s="2183"/>
      <c r="AL147" s="2183"/>
      <c r="AM147" s="2183"/>
      <c r="AN147" s="2183">
        <v>83.53</v>
      </c>
      <c r="AO147" s="2183">
        <v>83.53</v>
      </c>
      <c r="AP147" s="2168"/>
      <c r="AQ147" s="2168"/>
      <c r="AR147" s="2168"/>
      <c r="AS147" s="2168"/>
      <c r="AT147" s="2168"/>
      <c r="AU147" s="2168"/>
      <c r="AV147" s="2168"/>
    </row>
    <row r="148" spans="3:48" ht="36" hidden="1" outlineLevel="5">
      <c r="C148" s="2188" t="s">
        <v>1445</v>
      </c>
      <c r="D148" s="2177">
        <f t="shared" si="153"/>
        <v>129.58716000000001</v>
      </c>
      <c r="E148" s="2182">
        <f t="shared" si="161"/>
        <v>107.03999999999999</v>
      </c>
      <c r="F148" s="2196">
        <f t="shared" si="162"/>
        <v>8.48</v>
      </c>
      <c r="G148" s="2088">
        <f t="shared" si="163"/>
        <v>98.559999999999988</v>
      </c>
      <c r="H148" s="2182">
        <f>ROUND(SUMIF($C$248:$C$418,$C148,$D$248:$D$418)*'[30]Затраты 2016'!$U$14,5)</f>
        <v>21.747160000000001</v>
      </c>
      <c r="I148" s="2182">
        <f>SUMIF($C$420:$C$570,$C148,$D$420:$D$570)</f>
        <v>0.8</v>
      </c>
      <c r="J148" s="2182">
        <f>SUMIF($C$236:$C$246,$C148,$D$236:$D$246)</f>
        <v>0</v>
      </c>
      <c r="L148" s="2172"/>
      <c r="M148" s="2088">
        <f t="shared" si="150"/>
        <v>129.58716000000001</v>
      </c>
      <c r="N148" s="2088">
        <f t="shared" si="151"/>
        <v>121.10716000000001</v>
      </c>
      <c r="O148" s="2098"/>
      <c r="P148" s="2091" t="str">
        <f>VLOOKUP('СС 2016'!$C148,'[30]СС 2015'!$C:$O,13,FALSE)</f>
        <v>расходы на охрану и пожарную безопасность</v>
      </c>
      <c r="Q148" s="2182">
        <v>104.63</v>
      </c>
      <c r="R148" s="2179">
        <f t="shared" si="157"/>
        <v>2.8394441810404423E-5</v>
      </c>
      <c r="S148" s="2179">
        <f t="shared" si="158"/>
        <v>2.41</v>
      </c>
      <c r="T148" s="2198"/>
      <c r="U148" s="2198"/>
      <c r="V148" s="2168"/>
      <c r="W148" s="2168"/>
      <c r="X148" s="2168"/>
      <c r="Y148" s="2168"/>
      <c r="Z148" s="2168"/>
      <c r="AA148" s="2168"/>
      <c r="AB148" s="2168"/>
      <c r="AC148" s="2168"/>
      <c r="AD148" s="2168"/>
      <c r="AE148" s="2183">
        <v>104.63</v>
      </c>
      <c r="AF148" s="2183"/>
      <c r="AG148" s="2183"/>
      <c r="AH148" s="3411">
        <v>104.63</v>
      </c>
      <c r="AI148" s="3411"/>
      <c r="AJ148" s="2183"/>
      <c r="AK148" s="2183"/>
      <c r="AL148" s="2183"/>
      <c r="AM148" s="2183"/>
      <c r="AN148" s="2183">
        <v>104.63</v>
      </c>
      <c r="AO148" s="2183">
        <v>104.63</v>
      </c>
      <c r="AP148" s="2168"/>
      <c r="AQ148" s="2168"/>
      <c r="AR148" s="2168"/>
      <c r="AS148" s="2168"/>
      <c r="AT148" s="2168"/>
      <c r="AU148" s="2168"/>
      <c r="AV148" s="2168"/>
    </row>
    <row r="149" spans="3:48" ht="12" hidden="1" outlineLevel="5">
      <c r="C149" s="2189" t="s">
        <v>1499</v>
      </c>
      <c r="D149" s="2177">
        <f t="shared" ref="D149:J149" si="164">SUM(D150:D156)</f>
        <v>1707.5206199999998</v>
      </c>
      <c r="E149" s="2178">
        <f t="shared" si="164"/>
        <v>1423.4199999999998</v>
      </c>
      <c r="F149" s="2184">
        <f t="shared" si="164"/>
        <v>112.73</v>
      </c>
      <c r="G149" s="2178">
        <f t="shared" si="164"/>
        <v>1310.69</v>
      </c>
      <c r="H149" s="2178">
        <f t="shared" si="164"/>
        <v>274.08062000000001</v>
      </c>
      <c r="I149" s="2178">
        <f t="shared" si="164"/>
        <v>10.02</v>
      </c>
      <c r="J149" s="2178">
        <f t="shared" si="164"/>
        <v>0</v>
      </c>
      <c r="L149" s="2172"/>
      <c r="M149" s="2088">
        <f t="shared" si="150"/>
        <v>1707.5206199999998</v>
      </c>
      <c r="N149" s="2088">
        <f t="shared" si="151"/>
        <v>1594.7906199999998</v>
      </c>
      <c r="O149" s="2098"/>
      <c r="P149" s="2173"/>
      <c r="Q149" s="2178">
        <f t="shared" ref="Q149" si="165">SUM(Q150:Q156)</f>
        <v>1391.32</v>
      </c>
      <c r="R149" s="2179" t="str">
        <f t="shared" si="157"/>
        <v/>
      </c>
      <c r="S149" s="2179" t="str">
        <f t="shared" si="158"/>
        <v/>
      </c>
      <c r="T149" s="2198"/>
      <c r="U149" s="2198"/>
      <c r="V149" s="2168"/>
      <c r="W149" s="2168"/>
      <c r="X149" s="2168"/>
      <c r="Y149" s="2168"/>
      <c r="Z149" s="2168"/>
      <c r="AA149" s="2168"/>
      <c r="AB149" s="2168"/>
      <c r="AC149" s="2168"/>
      <c r="AD149" s="2168"/>
      <c r="AE149" s="2180">
        <v>1391.32</v>
      </c>
      <c r="AF149" s="2180"/>
      <c r="AG149" s="2180"/>
      <c r="AH149" s="3412">
        <v>765.52</v>
      </c>
      <c r="AI149" s="3412"/>
      <c r="AJ149" s="2180">
        <v>625.79999999999995</v>
      </c>
      <c r="AK149" s="2180"/>
      <c r="AL149" s="2180"/>
      <c r="AM149" s="2180"/>
      <c r="AN149" s="2180">
        <v>1391.32</v>
      </c>
      <c r="AO149" s="2180">
        <v>1391.32</v>
      </c>
      <c r="AP149" s="2168"/>
      <c r="AQ149" s="2168"/>
      <c r="AR149" s="2168"/>
      <c r="AS149" s="2168"/>
      <c r="AT149" s="2168"/>
      <c r="AU149" s="2168"/>
      <c r="AV149" s="2168"/>
    </row>
    <row r="150" spans="3:48" ht="24" hidden="1" outlineLevel="6">
      <c r="C150" s="2190" t="s">
        <v>1447</v>
      </c>
      <c r="D150" s="2178">
        <f t="shared" si="153"/>
        <v>870.21470000000011</v>
      </c>
      <c r="E150" s="2182">
        <f t="shared" ref="E150:E158" si="166">SUM(Q150,S150)</f>
        <v>726.46</v>
      </c>
      <c r="F150" s="2088">
        <f t="shared" ref="F150:F158" si="167">ROUND(E150*$U$1,2)</f>
        <v>57.53</v>
      </c>
      <c r="G150" s="2088">
        <f t="shared" ref="G150:G158" si="168">E150-F150</f>
        <v>668.93000000000006</v>
      </c>
      <c r="H150" s="2182">
        <f>ROUND(SUMIF($C$248:$C$418,$C150,$D$248:$D$418)*'[30]Затраты 2016'!$U$14,5)</f>
        <v>138.1747</v>
      </c>
      <c r="I150" s="2182">
        <f t="shared" ref="I150:I158" si="169">SUMIF($C$420:$C$570,$C150,$D$420:$D$570)</f>
        <v>5.58</v>
      </c>
      <c r="J150" s="2182">
        <f t="shared" ref="J150:J158" si="170">SUMIF($C$236:$C$246,$C150,$D$236:$D$246)</f>
        <v>0</v>
      </c>
      <c r="L150" s="2172"/>
      <c r="M150" s="2088">
        <f t="shared" si="150"/>
        <v>870.21470000000011</v>
      </c>
      <c r="N150" s="2088">
        <f t="shared" si="151"/>
        <v>812.68470000000013</v>
      </c>
      <c r="O150" s="2098"/>
      <c r="P150" s="2091" t="str">
        <f>VLOOKUP('СС 2016'!$C150,'[30]СС 2015'!$C:$O,13,FALSE)</f>
        <v>услуги связи</v>
      </c>
      <c r="Q150" s="2182">
        <v>710.08</v>
      </c>
      <c r="R150" s="2179">
        <f t="shared" si="157"/>
        <v>1.9270118742934126E-4</v>
      </c>
      <c r="S150" s="2179">
        <f t="shared" si="158"/>
        <v>16.38</v>
      </c>
      <c r="T150" s="2198"/>
      <c r="U150" s="2198"/>
      <c r="V150" s="2168"/>
      <c r="W150" s="2168"/>
      <c r="X150" s="2168"/>
      <c r="Y150" s="2168"/>
      <c r="Z150" s="2168"/>
      <c r="AA150" s="2168"/>
      <c r="AB150" s="2168"/>
      <c r="AC150" s="2168"/>
      <c r="AD150" s="2168"/>
      <c r="AE150" s="2183">
        <v>710.08</v>
      </c>
      <c r="AF150" s="2183"/>
      <c r="AG150" s="2183"/>
      <c r="AH150" s="3411">
        <v>475.09</v>
      </c>
      <c r="AI150" s="3411"/>
      <c r="AJ150" s="2183">
        <v>234.99</v>
      </c>
      <c r="AK150" s="2183"/>
      <c r="AL150" s="2183"/>
      <c r="AM150" s="2183"/>
      <c r="AN150" s="2183">
        <v>710.08</v>
      </c>
      <c r="AO150" s="2183">
        <v>710.08</v>
      </c>
      <c r="AP150" s="2168"/>
      <c r="AQ150" s="2168"/>
      <c r="AR150" s="2168"/>
      <c r="AS150" s="2168"/>
      <c r="AT150" s="2168"/>
      <c r="AU150" s="2168"/>
      <c r="AV150" s="2168"/>
    </row>
    <row r="151" spans="3:48" ht="24" hidden="1" outlineLevel="6">
      <c r="C151" s="2190" t="s">
        <v>1448</v>
      </c>
      <c r="D151" s="2178">
        <f t="shared" si="153"/>
        <v>232.29555999999999</v>
      </c>
      <c r="E151" s="2182">
        <f t="shared" si="166"/>
        <v>193.28</v>
      </c>
      <c r="F151" s="2088">
        <f t="shared" si="167"/>
        <v>15.31</v>
      </c>
      <c r="G151" s="2088">
        <f t="shared" si="168"/>
        <v>177.97</v>
      </c>
      <c r="H151" s="2182">
        <f>ROUND(SUMIF($C$248:$C$418,$C151,$D$248:$D$418)*'[30]Затраты 2016'!$U$14,5)</f>
        <v>37.665559999999999</v>
      </c>
      <c r="I151" s="2182">
        <f t="shared" si="169"/>
        <v>1.35</v>
      </c>
      <c r="J151" s="2182">
        <f t="shared" si="170"/>
        <v>0</v>
      </c>
      <c r="L151" s="2172"/>
      <c r="M151" s="2088">
        <f t="shared" si="150"/>
        <v>232.29555999999999</v>
      </c>
      <c r="N151" s="2088">
        <f t="shared" si="151"/>
        <v>216.98555999999999</v>
      </c>
      <c r="O151" s="2098"/>
      <c r="P151" s="2091" t="str">
        <f>VLOOKUP('СС 2016'!$C151,'[30]СС 2015'!$C:$O,13,FALSE)</f>
        <v>услуги связи</v>
      </c>
      <c r="Q151" s="2182">
        <v>188.92</v>
      </c>
      <c r="R151" s="2179">
        <f t="shared" si="157"/>
        <v>5.1269023672193478E-5</v>
      </c>
      <c r="S151" s="2179">
        <f t="shared" si="158"/>
        <v>4.3600000000000003</v>
      </c>
      <c r="T151" s="2198"/>
      <c r="U151" s="2198"/>
      <c r="V151" s="2168"/>
      <c r="W151" s="2168"/>
      <c r="X151" s="2168"/>
      <c r="Y151" s="2168"/>
      <c r="Z151" s="2168"/>
      <c r="AA151" s="2168"/>
      <c r="AB151" s="2168"/>
      <c r="AC151" s="2168"/>
      <c r="AD151" s="2168"/>
      <c r="AE151" s="2183">
        <v>188.92</v>
      </c>
      <c r="AF151" s="2183"/>
      <c r="AG151" s="2183"/>
      <c r="AH151" s="3411">
        <v>128.55000000000001</v>
      </c>
      <c r="AI151" s="3411"/>
      <c r="AJ151" s="2183">
        <v>60.37</v>
      </c>
      <c r="AK151" s="2183"/>
      <c r="AL151" s="2183"/>
      <c r="AM151" s="2183"/>
      <c r="AN151" s="2183">
        <v>188.92</v>
      </c>
      <c r="AO151" s="2183">
        <v>188.92</v>
      </c>
      <c r="AP151" s="2168"/>
      <c r="AQ151" s="2168"/>
      <c r="AR151" s="2168"/>
      <c r="AS151" s="2168"/>
      <c r="AT151" s="2168"/>
      <c r="AU151" s="2168"/>
      <c r="AV151" s="2168"/>
    </row>
    <row r="152" spans="3:48" ht="24" hidden="1" outlineLevel="6">
      <c r="C152" s="2190" t="s">
        <v>1449</v>
      </c>
      <c r="D152" s="2178">
        <f t="shared" si="153"/>
        <v>86.84411999999999</v>
      </c>
      <c r="E152" s="2182">
        <f t="shared" si="166"/>
        <v>72.179999999999993</v>
      </c>
      <c r="F152" s="2088">
        <f t="shared" si="167"/>
        <v>5.72</v>
      </c>
      <c r="G152" s="2088">
        <f t="shared" si="168"/>
        <v>66.459999999999994</v>
      </c>
      <c r="H152" s="2182">
        <f>ROUND(SUMIF($C$248:$C$418,$C152,$D$248:$D$418)*'[30]Затраты 2016'!$U$14,5)</f>
        <v>14.66412</v>
      </c>
      <c r="I152" s="2182">
        <f t="shared" si="169"/>
        <v>0</v>
      </c>
      <c r="J152" s="2182">
        <f t="shared" si="170"/>
        <v>0</v>
      </c>
      <c r="L152" s="2172"/>
      <c r="M152" s="2088">
        <f t="shared" si="150"/>
        <v>86.84411999999999</v>
      </c>
      <c r="N152" s="2088">
        <f t="shared" si="151"/>
        <v>81.124119999999991</v>
      </c>
      <c r="O152" s="2098"/>
      <c r="P152" s="2091" t="str">
        <f>VLOOKUP('СС 2016'!$C152,'[30]СС 2015'!$C:$O,13,FALSE)</f>
        <v>услуги связи</v>
      </c>
      <c r="Q152" s="2182">
        <v>70.55</v>
      </c>
      <c r="R152" s="2179">
        <f t="shared" si="157"/>
        <v>1.9145826911249469E-5</v>
      </c>
      <c r="S152" s="2179">
        <f t="shared" si="158"/>
        <v>1.63</v>
      </c>
      <c r="T152" s="2198"/>
      <c r="U152" s="2198"/>
      <c r="V152" s="2168"/>
      <c r="W152" s="2168"/>
      <c r="X152" s="2168"/>
      <c r="Y152" s="2168"/>
      <c r="Z152" s="2168"/>
      <c r="AA152" s="2168"/>
      <c r="AB152" s="2168"/>
      <c r="AC152" s="2168"/>
      <c r="AD152" s="2168"/>
      <c r="AE152" s="2183">
        <v>70.55</v>
      </c>
      <c r="AF152" s="2183"/>
      <c r="AG152" s="2183"/>
      <c r="AH152" s="3411">
        <v>67.239999999999995</v>
      </c>
      <c r="AI152" s="3411"/>
      <c r="AJ152" s="2183">
        <v>3.31</v>
      </c>
      <c r="AK152" s="2183"/>
      <c r="AL152" s="2183"/>
      <c r="AM152" s="2183"/>
      <c r="AN152" s="2183">
        <v>70.55</v>
      </c>
      <c r="AO152" s="2183">
        <v>70.55</v>
      </c>
      <c r="AP152" s="2168"/>
      <c r="AQ152" s="2168"/>
      <c r="AR152" s="2168"/>
      <c r="AS152" s="2168"/>
      <c r="AT152" s="2168"/>
      <c r="AU152" s="2168"/>
      <c r="AV152" s="2168"/>
    </row>
    <row r="153" spans="3:48" ht="12" hidden="1" outlineLevel="6">
      <c r="C153" s="2190" t="s">
        <v>1450</v>
      </c>
      <c r="D153" s="2178">
        <f t="shared" si="153"/>
        <v>187.98087999999998</v>
      </c>
      <c r="E153" s="2182">
        <f t="shared" si="166"/>
        <v>157.91</v>
      </c>
      <c r="F153" s="2088">
        <f t="shared" si="167"/>
        <v>12.51</v>
      </c>
      <c r="G153" s="2088">
        <f t="shared" si="168"/>
        <v>145.4</v>
      </c>
      <c r="H153" s="2182">
        <f>ROUND(SUMIF($C$248:$C$418,$C153,$D$248:$D$418)*'[30]Затраты 2016'!$U$14,5)</f>
        <v>28.94088</v>
      </c>
      <c r="I153" s="2182">
        <f t="shared" si="169"/>
        <v>1.1299999999999999</v>
      </c>
      <c r="J153" s="2182">
        <f t="shared" si="170"/>
        <v>0</v>
      </c>
      <c r="L153" s="2172"/>
      <c r="M153" s="2088">
        <f t="shared" si="150"/>
        <v>187.98087999999998</v>
      </c>
      <c r="N153" s="2088">
        <f t="shared" si="151"/>
        <v>175.47087999999999</v>
      </c>
      <c r="O153" s="2098"/>
      <c r="P153" s="2091" t="str">
        <f>VLOOKUP('СС 2016'!$C153,'[30]СС 2015'!$C:$O,13,FALSE)</f>
        <v>услуги связи</v>
      </c>
      <c r="Q153" s="2182">
        <v>154.35</v>
      </c>
      <c r="R153" s="2179">
        <f t="shared" si="157"/>
        <v>4.1887432795908657E-5</v>
      </c>
      <c r="S153" s="2179">
        <f t="shared" si="158"/>
        <v>3.56</v>
      </c>
      <c r="T153" s="2198"/>
      <c r="U153" s="2198"/>
      <c r="V153" s="2168"/>
      <c r="W153" s="2168"/>
      <c r="X153" s="2168"/>
      <c r="Y153" s="2168"/>
      <c r="Z153" s="2168"/>
      <c r="AA153" s="2168"/>
      <c r="AB153" s="2168"/>
      <c r="AC153" s="2168"/>
      <c r="AD153" s="2168"/>
      <c r="AE153" s="2183">
        <v>154.35</v>
      </c>
      <c r="AF153" s="2183"/>
      <c r="AG153" s="2183"/>
      <c r="AH153" s="3411">
        <v>86.58</v>
      </c>
      <c r="AI153" s="3411"/>
      <c r="AJ153" s="2183">
        <v>67.77</v>
      </c>
      <c r="AK153" s="2183"/>
      <c r="AL153" s="2183"/>
      <c r="AM153" s="2183"/>
      <c r="AN153" s="2183">
        <v>154.35</v>
      </c>
      <c r="AO153" s="2183">
        <v>154.35</v>
      </c>
      <c r="AP153" s="2168"/>
      <c r="AQ153" s="2168"/>
      <c r="AR153" s="2168"/>
      <c r="AS153" s="2168"/>
      <c r="AT153" s="2168"/>
      <c r="AU153" s="2168"/>
      <c r="AV153" s="2168"/>
    </row>
    <row r="154" spans="3:48" ht="12" hidden="1" outlineLevel="6">
      <c r="C154" s="2190" t="s">
        <v>1451</v>
      </c>
      <c r="D154" s="2178">
        <f t="shared" si="153"/>
        <v>317.95942999999994</v>
      </c>
      <c r="E154" s="2182">
        <f t="shared" si="166"/>
        <v>264.40999999999997</v>
      </c>
      <c r="F154" s="2088">
        <f t="shared" si="167"/>
        <v>20.94</v>
      </c>
      <c r="G154" s="2088">
        <f t="shared" si="168"/>
        <v>243.46999999999997</v>
      </c>
      <c r="H154" s="2182">
        <f>ROUND(SUMIF($C$248:$C$418,$C154,$D$248:$D$418)*'[30]Затраты 2016'!$U$14,5)</f>
        <v>51.739429999999999</v>
      </c>
      <c r="I154" s="2182">
        <f t="shared" si="169"/>
        <v>1.81</v>
      </c>
      <c r="J154" s="2182">
        <f t="shared" si="170"/>
        <v>0</v>
      </c>
      <c r="L154" s="2172"/>
      <c r="M154" s="2088">
        <f t="shared" si="150"/>
        <v>317.95942999999994</v>
      </c>
      <c r="N154" s="2088">
        <f t="shared" si="151"/>
        <v>297.01942999999994</v>
      </c>
      <c r="O154" s="2098"/>
      <c r="P154" s="2091" t="str">
        <f>VLOOKUP('СС 2016'!$C154,'[30]СС 2015'!$C:$O,13,FALSE)</f>
        <v>услуги связи</v>
      </c>
      <c r="Q154" s="2182">
        <v>258.45</v>
      </c>
      <c r="R154" s="2179">
        <f t="shared" si="157"/>
        <v>7.013804344737669E-5</v>
      </c>
      <c r="S154" s="2179">
        <f t="shared" si="158"/>
        <v>5.96</v>
      </c>
      <c r="T154" s="2198"/>
      <c r="U154" s="2198"/>
      <c r="V154" s="2168"/>
      <c r="W154" s="2168"/>
      <c r="X154" s="2168"/>
      <c r="Y154" s="2168"/>
      <c r="Z154" s="2168"/>
      <c r="AA154" s="2168"/>
      <c r="AB154" s="2168"/>
      <c r="AC154" s="2168"/>
      <c r="AD154" s="2168"/>
      <c r="AE154" s="2183">
        <v>258.45</v>
      </c>
      <c r="AF154" s="2183"/>
      <c r="AG154" s="2183"/>
      <c r="AH154" s="2185"/>
      <c r="AI154" s="2186"/>
      <c r="AJ154" s="2183">
        <v>258.45</v>
      </c>
      <c r="AK154" s="2183"/>
      <c r="AL154" s="2183"/>
      <c r="AM154" s="2183"/>
      <c r="AN154" s="2183">
        <v>258.45</v>
      </c>
      <c r="AO154" s="2183">
        <v>258.45</v>
      </c>
      <c r="AP154" s="2168"/>
      <c r="AQ154" s="2168"/>
      <c r="AR154" s="2168"/>
      <c r="AS154" s="2168"/>
      <c r="AT154" s="2168"/>
      <c r="AU154" s="2168"/>
      <c r="AV154" s="2168"/>
    </row>
    <row r="155" spans="3:48" ht="24" hidden="1" outlineLevel="6">
      <c r="C155" s="2190" t="s">
        <v>1452</v>
      </c>
      <c r="D155" s="2178">
        <f t="shared" si="153"/>
        <v>10.971580000000001</v>
      </c>
      <c r="E155" s="2182">
        <f t="shared" si="166"/>
        <v>8.25</v>
      </c>
      <c r="F155" s="2088">
        <f t="shared" si="167"/>
        <v>0.65</v>
      </c>
      <c r="G155" s="2088">
        <f t="shared" si="168"/>
        <v>7.6</v>
      </c>
      <c r="H155" s="2182">
        <f>ROUND(SUMIF($C$248:$C$418,$C155,$D$248:$D$418)*'[30]Затраты 2016'!$U$14,5)</f>
        <v>2.59158</v>
      </c>
      <c r="I155" s="2182">
        <f t="shared" si="169"/>
        <v>0.13</v>
      </c>
      <c r="J155" s="2182">
        <f t="shared" si="170"/>
        <v>0</v>
      </c>
      <c r="L155" s="2172"/>
      <c r="M155" s="2088">
        <f t="shared" si="150"/>
        <v>10.971580000000001</v>
      </c>
      <c r="N155" s="2088">
        <f t="shared" si="151"/>
        <v>10.321580000000001</v>
      </c>
      <c r="O155" s="2098"/>
      <c r="P155" s="2091" t="str">
        <f>VLOOKUP('СС 2016'!$C155,'[30]СС 2015'!$C:$O,13,FALSE)</f>
        <v>услуги связи</v>
      </c>
      <c r="Q155" s="2182">
        <v>8.06</v>
      </c>
      <c r="R155" s="2179">
        <f t="shared" si="157"/>
        <v>2.1873191340137596E-6</v>
      </c>
      <c r="S155" s="2179">
        <f t="shared" si="158"/>
        <v>0.19</v>
      </c>
      <c r="T155" s="2198"/>
      <c r="U155" s="2198"/>
      <c r="V155" s="2168"/>
      <c r="W155" s="2168"/>
      <c r="X155" s="2168"/>
      <c r="Y155" s="2168"/>
      <c r="Z155" s="2168"/>
      <c r="AA155" s="2168"/>
      <c r="AB155" s="2168"/>
      <c r="AC155" s="2168"/>
      <c r="AD155" s="2168"/>
      <c r="AE155" s="2183">
        <v>8.06</v>
      </c>
      <c r="AF155" s="2183"/>
      <c r="AG155" s="2183"/>
      <c r="AH155" s="3411">
        <v>8.06</v>
      </c>
      <c r="AI155" s="3411"/>
      <c r="AJ155" s="2183"/>
      <c r="AK155" s="2183"/>
      <c r="AL155" s="2183"/>
      <c r="AM155" s="2183"/>
      <c r="AN155" s="2183">
        <v>8.06</v>
      </c>
      <c r="AO155" s="2183">
        <v>8.06</v>
      </c>
      <c r="AP155" s="2168"/>
      <c r="AQ155" s="2168"/>
      <c r="AR155" s="2168"/>
      <c r="AS155" s="2168"/>
      <c r="AT155" s="2168"/>
      <c r="AU155" s="2168"/>
      <c r="AV155" s="2168"/>
    </row>
    <row r="156" spans="3:48" ht="24" hidden="1" outlineLevel="6">
      <c r="C156" s="2190" t="s">
        <v>1453</v>
      </c>
      <c r="D156" s="2178">
        <f t="shared" si="153"/>
        <v>1.2543500000000001</v>
      </c>
      <c r="E156" s="2182">
        <f t="shared" si="166"/>
        <v>0.93</v>
      </c>
      <c r="F156" s="2088">
        <f t="shared" si="167"/>
        <v>7.0000000000000007E-2</v>
      </c>
      <c r="G156" s="2088">
        <f t="shared" si="168"/>
        <v>0.8600000000000001</v>
      </c>
      <c r="H156" s="2182">
        <f>ROUND(SUMIF($C$248:$C$418,$C156,$D$248:$D$418)*'[30]Затраты 2016'!$U$14,5)</f>
        <v>0.30435000000000001</v>
      </c>
      <c r="I156" s="2182">
        <f t="shared" si="169"/>
        <v>0.02</v>
      </c>
      <c r="J156" s="2182">
        <f t="shared" si="170"/>
        <v>0</v>
      </c>
      <c r="L156" s="2172"/>
      <c r="M156" s="2088">
        <f t="shared" si="150"/>
        <v>1.2543500000000001</v>
      </c>
      <c r="N156" s="2088">
        <f t="shared" si="151"/>
        <v>1.18435</v>
      </c>
      <c r="O156" s="2098"/>
      <c r="P156" s="2091" t="str">
        <f>VLOOKUP('СС 2016'!$C156,'[30]СС 2015'!$C:$O,13,FALSE)</f>
        <v>услуги связи</v>
      </c>
      <c r="Q156" s="2182">
        <v>0.91</v>
      </c>
      <c r="R156" s="2179">
        <f t="shared" si="157"/>
        <v>2.4695538609832769E-7</v>
      </c>
      <c r="S156" s="2179">
        <f t="shared" si="158"/>
        <v>0.02</v>
      </c>
      <c r="T156" s="2198"/>
      <c r="U156" s="2198"/>
      <c r="V156" s="2168"/>
      <c r="W156" s="2168"/>
      <c r="X156" s="2168"/>
      <c r="Y156" s="2168"/>
      <c r="Z156" s="2168"/>
      <c r="AA156" s="2168"/>
      <c r="AB156" s="2168"/>
      <c r="AC156" s="2168"/>
      <c r="AD156" s="2168"/>
      <c r="AE156" s="2183">
        <v>0.91</v>
      </c>
      <c r="AF156" s="2183"/>
      <c r="AG156" s="2183"/>
      <c r="AH156" s="2185"/>
      <c r="AI156" s="2186"/>
      <c r="AJ156" s="2183">
        <v>0.91</v>
      </c>
      <c r="AK156" s="2183"/>
      <c r="AL156" s="2183"/>
      <c r="AM156" s="2183"/>
      <c r="AN156" s="2183">
        <v>0.91</v>
      </c>
      <c r="AO156" s="2183">
        <v>0.91</v>
      </c>
      <c r="AP156" s="2168"/>
      <c r="AQ156" s="2168"/>
      <c r="AR156" s="2168"/>
      <c r="AS156" s="2168"/>
      <c r="AT156" s="2168"/>
      <c r="AU156" s="2168"/>
      <c r="AV156" s="2168"/>
    </row>
    <row r="157" spans="3:48" ht="12" hidden="1" outlineLevel="5">
      <c r="C157" s="2188" t="s">
        <v>1454</v>
      </c>
      <c r="D157" s="2177">
        <f t="shared" si="153"/>
        <v>59.500210000000003</v>
      </c>
      <c r="E157" s="2182">
        <f t="shared" si="166"/>
        <v>53.35</v>
      </c>
      <c r="F157" s="2088">
        <f t="shared" si="167"/>
        <v>4.22</v>
      </c>
      <c r="G157" s="2088">
        <f t="shared" si="168"/>
        <v>49.13</v>
      </c>
      <c r="H157" s="2182">
        <f>ROUND(SUMIF($C$248:$C$418,$C157,$D$248:$D$418)*'[30]Затраты 2016'!$U$14,5)</f>
        <v>5.9302099999999998</v>
      </c>
      <c r="I157" s="2182">
        <f t="shared" si="169"/>
        <v>0.22</v>
      </c>
      <c r="J157" s="2182">
        <f t="shared" si="170"/>
        <v>0</v>
      </c>
      <c r="L157" s="2172"/>
      <c r="M157" s="2088">
        <f t="shared" si="150"/>
        <v>59.500210000000003</v>
      </c>
      <c r="N157" s="2088">
        <f t="shared" si="151"/>
        <v>55.280210000000004</v>
      </c>
      <c r="O157" s="2098"/>
      <c r="P157" s="2091" t="str">
        <f>P86</f>
        <v xml:space="preserve">Услуги PR, СМИ, рекламы </v>
      </c>
      <c r="Q157" s="2182">
        <v>52.15</v>
      </c>
      <c r="R157" s="2179">
        <f t="shared" si="157"/>
        <v>1.4152443280250318E-5</v>
      </c>
      <c r="S157" s="2179">
        <f t="shared" si="158"/>
        <v>1.2</v>
      </c>
      <c r="T157" s="2198"/>
      <c r="U157" s="2198"/>
      <c r="V157" s="2168"/>
      <c r="W157" s="2168"/>
      <c r="X157" s="2168"/>
      <c r="Y157" s="2168"/>
      <c r="Z157" s="2168"/>
      <c r="AA157" s="2168"/>
      <c r="AB157" s="2168"/>
      <c r="AC157" s="2168"/>
      <c r="AD157" s="2168"/>
      <c r="AE157" s="2183">
        <v>52.15</v>
      </c>
      <c r="AF157" s="2183"/>
      <c r="AG157" s="2183"/>
      <c r="AH157" s="2185"/>
      <c r="AI157" s="2186"/>
      <c r="AJ157" s="2183">
        <v>52.15</v>
      </c>
      <c r="AK157" s="2183"/>
      <c r="AL157" s="2183"/>
      <c r="AM157" s="2183"/>
      <c r="AN157" s="2183">
        <v>52.15</v>
      </c>
      <c r="AO157" s="2183">
        <v>52.15</v>
      </c>
      <c r="AP157" s="2168"/>
      <c r="AQ157" s="2168"/>
      <c r="AR157" s="2168"/>
      <c r="AS157" s="2168"/>
      <c r="AT157" s="2168"/>
      <c r="AU157" s="2168"/>
      <c r="AV157" s="2168"/>
    </row>
    <row r="158" spans="3:48" ht="24" hidden="1" outlineLevel="5">
      <c r="C158" s="2188" t="s">
        <v>1456</v>
      </c>
      <c r="D158" s="2177">
        <f t="shared" si="153"/>
        <v>3124.90056</v>
      </c>
      <c r="E158" s="2182">
        <f t="shared" si="166"/>
        <v>2609.1799999999998</v>
      </c>
      <c r="F158" s="2088">
        <f t="shared" si="167"/>
        <v>206.63</v>
      </c>
      <c r="G158" s="2088">
        <f t="shared" si="168"/>
        <v>2402.5499999999997</v>
      </c>
      <c r="H158" s="2182">
        <f>ROUND(SUMIF($C$248:$C$418,$C158,$D$248:$D$418)*'[30]Затраты 2016'!$U$14,5)</f>
        <v>497.86056000000002</v>
      </c>
      <c r="I158" s="2182">
        <f t="shared" si="169"/>
        <v>17.86</v>
      </c>
      <c r="J158" s="2182">
        <f t="shared" si="170"/>
        <v>0</v>
      </c>
      <c r="L158" s="2172"/>
      <c r="M158" s="2088">
        <f t="shared" si="150"/>
        <v>3124.90056</v>
      </c>
      <c r="N158" s="2088">
        <f t="shared" si="151"/>
        <v>2918.2705599999999</v>
      </c>
      <c r="O158" s="2098"/>
      <c r="P158" s="2091" t="str">
        <f>VLOOKUP('СС 2016'!$C158,'[30]СС 2015'!$C:$O,13,FALSE)</f>
        <v>расходы на охрану и пожарную безопасность</v>
      </c>
      <c r="Q158" s="2182">
        <v>2550.35</v>
      </c>
      <c r="R158" s="2179">
        <f t="shared" si="157"/>
        <v>6.9211282300645058E-4</v>
      </c>
      <c r="S158" s="2179">
        <f t="shared" si="158"/>
        <v>58.83</v>
      </c>
      <c r="T158" s="2198"/>
      <c r="U158" s="2198"/>
      <c r="V158" s="2168"/>
      <c r="W158" s="2168"/>
      <c r="X158" s="2168"/>
      <c r="Y158" s="2168"/>
      <c r="Z158" s="2168"/>
      <c r="AA158" s="2168"/>
      <c r="AB158" s="2168"/>
      <c r="AC158" s="2168"/>
      <c r="AD158" s="2168"/>
      <c r="AE158" s="2183">
        <v>2550.35</v>
      </c>
      <c r="AF158" s="2183"/>
      <c r="AG158" s="2183"/>
      <c r="AH158" s="3411">
        <v>2134.54</v>
      </c>
      <c r="AI158" s="3411"/>
      <c r="AJ158" s="2183">
        <v>415.81</v>
      </c>
      <c r="AK158" s="2183"/>
      <c r="AL158" s="2183"/>
      <c r="AM158" s="2183"/>
      <c r="AN158" s="2183">
        <v>2550.35</v>
      </c>
      <c r="AO158" s="2183">
        <v>2550.35</v>
      </c>
      <c r="AP158" s="2168"/>
      <c r="AQ158" s="2168"/>
      <c r="AR158" s="2168"/>
      <c r="AS158" s="2168"/>
      <c r="AT158" s="2168"/>
      <c r="AU158" s="2168"/>
      <c r="AV158" s="2168"/>
    </row>
    <row r="159" spans="3:48" ht="12" outlineLevel="3">
      <c r="C159" s="2176" t="s">
        <v>1500</v>
      </c>
      <c r="D159" s="2177">
        <f t="shared" ref="D159:J159" si="171">SUM(D160:D179)</f>
        <v>1025829.6804200002</v>
      </c>
      <c r="E159" s="2178">
        <f t="shared" si="171"/>
        <v>835281.05999999982</v>
      </c>
      <c r="F159" s="2184">
        <f t="shared" si="171"/>
        <v>66147.689999999988</v>
      </c>
      <c r="G159" s="2178">
        <f t="shared" si="171"/>
        <v>769133.37</v>
      </c>
      <c r="H159" s="2178">
        <f t="shared" si="171"/>
        <v>184857.26041999995</v>
      </c>
      <c r="I159" s="2178">
        <f t="shared" si="171"/>
        <v>5691.36</v>
      </c>
      <c r="J159" s="2178">
        <f t="shared" si="171"/>
        <v>0</v>
      </c>
      <c r="L159" s="2172"/>
      <c r="M159" s="2088">
        <f t="shared" si="150"/>
        <v>1025829.6804200002</v>
      </c>
      <c r="N159" s="2088">
        <f t="shared" si="151"/>
        <v>959681.99042000028</v>
      </c>
      <c r="O159" s="2098"/>
      <c r="P159" s="2173"/>
      <c r="Q159" s="2178">
        <f t="shared" ref="Q159" si="172">SUM(Q160:Q179)</f>
        <v>816448.98</v>
      </c>
      <c r="R159" s="2179" t="str">
        <f t="shared" si="157"/>
        <v/>
      </c>
      <c r="S159" s="2179" t="str">
        <f t="shared" si="158"/>
        <v/>
      </c>
      <c r="T159" s="2198"/>
      <c r="U159" s="2198"/>
      <c r="V159" s="2168"/>
      <c r="W159" s="2168"/>
      <c r="X159" s="2168"/>
      <c r="Y159" s="2168"/>
      <c r="Z159" s="2168"/>
      <c r="AA159" s="2168"/>
      <c r="AB159" s="2168"/>
      <c r="AC159" s="2168"/>
      <c r="AD159" s="2168"/>
      <c r="AE159" s="2180">
        <v>816448.98</v>
      </c>
      <c r="AF159" s="2180"/>
      <c r="AG159" s="2180">
        <v>14278.09</v>
      </c>
      <c r="AH159" s="3412">
        <v>775501.47</v>
      </c>
      <c r="AI159" s="3412"/>
      <c r="AJ159" s="2180">
        <v>8320.2000000000007</v>
      </c>
      <c r="AK159" s="2180">
        <v>18349.22</v>
      </c>
      <c r="AL159" s="2180"/>
      <c r="AM159" s="2180"/>
      <c r="AN159" s="2180">
        <v>816448.98</v>
      </c>
      <c r="AO159" s="2180">
        <v>816448.98</v>
      </c>
      <c r="AP159" s="2168"/>
      <c r="AQ159" s="2168"/>
      <c r="AR159" s="2168"/>
      <c r="AS159" s="2168"/>
      <c r="AT159" s="2168"/>
      <c r="AU159" s="2168"/>
      <c r="AV159" s="2168"/>
    </row>
    <row r="160" spans="3:48" ht="24" outlineLevel="4">
      <c r="C160" s="2181" t="s">
        <v>1391</v>
      </c>
      <c r="D160" s="2178">
        <f t="shared" si="153"/>
        <v>144841.35478999998</v>
      </c>
      <c r="E160" s="2182">
        <f t="shared" ref="E160:E179" si="173">SUM(Q160,S160)</f>
        <v>116572.8</v>
      </c>
      <c r="F160" s="2088">
        <f t="shared" ref="F160:F178" si="174">ROUND(E160*$U$1,2)</f>
        <v>9231.65</v>
      </c>
      <c r="G160" s="2088">
        <f t="shared" ref="G160:G179" si="175">E160-F160</f>
        <v>107341.15000000001</v>
      </c>
      <c r="H160" s="2182">
        <f>ROUND(SUMIF($C$248:$C$418,$C160,$D$248:$D$418)*'[30]Затраты 2016'!$U$14,5)</f>
        <v>27447.06479</v>
      </c>
      <c r="I160" s="2182">
        <f t="shared" ref="I160:I179" si="176">SUMIF($C$420:$C$570,$C160,$D$420:$D$570)</f>
        <v>821.49</v>
      </c>
      <c r="J160" s="2182">
        <f t="shared" ref="J160:J179" si="177">SUMIF($C$236:$C$246,$C160,$D$236:$D$246)*0</f>
        <v>0</v>
      </c>
      <c r="L160" s="2172"/>
      <c r="M160" s="2088">
        <f t="shared" si="150"/>
        <v>144841.35478999998</v>
      </c>
      <c r="N160" s="2088">
        <f t="shared" si="151"/>
        <v>135609.70478999999</v>
      </c>
      <c r="O160" s="2098"/>
      <c r="P160" s="2091" t="str">
        <f>VLOOKUP('СС 2016'!$C160,'[30]СС 2015'!$C:$O,13,FALSE)</f>
        <v>Отчисления на страховые взносы</v>
      </c>
      <c r="Q160" s="2182">
        <v>113944.57</v>
      </c>
      <c r="R160" s="2179">
        <f t="shared" si="157"/>
        <v>3.0922225580393328E-2</v>
      </c>
      <c r="S160" s="2179">
        <f t="shared" si="158"/>
        <v>2628.23</v>
      </c>
      <c r="T160" s="2198"/>
      <c r="U160" s="2198"/>
      <c r="V160" s="2168"/>
      <c r="W160" s="2168"/>
      <c r="X160" s="2168"/>
      <c r="Y160" s="2168"/>
      <c r="Z160" s="2168"/>
      <c r="AA160" s="2168"/>
      <c r="AB160" s="2168"/>
      <c r="AC160" s="2168"/>
      <c r="AD160" s="2168"/>
      <c r="AE160" s="2183">
        <v>113944.57</v>
      </c>
      <c r="AF160" s="2183"/>
      <c r="AG160" s="2183">
        <v>2092.7199999999998</v>
      </c>
      <c r="AH160" s="3411">
        <v>108084.92</v>
      </c>
      <c r="AI160" s="3411"/>
      <c r="AJ160" s="2183">
        <v>688.69</v>
      </c>
      <c r="AK160" s="2183">
        <v>3078.24</v>
      </c>
      <c r="AL160" s="2183"/>
      <c r="AM160" s="2183"/>
      <c r="AN160" s="2183">
        <v>113944.57</v>
      </c>
      <c r="AO160" s="2183">
        <v>113944.57</v>
      </c>
      <c r="AP160" s="2168"/>
      <c r="AQ160" s="2168"/>
      <c r="AR160" s="2168"/>
      <c r="AS160" s="2168"/>
      <c r="AT160" s="2168"/>
      <c r="AU160" s="2168"/>
      <c r="AV160" s="2168"/>
    </row>
    <row r="161" spans="3:48" ht="36" outlineLevel="4">
      <c r="C161" s="2181" t="s">
        <v>1392</v>
      </c>
      <c r="D161" s="2178">
        <f t="shared" si="153"/>
        <v>8251.91446</v>
      </c>
      <c r="E161" s="2182">
        <f t="shared" si="173"/>
        <v>7633.3700000000008</v>
      </c>
      <c r="F161" s="2088">
        <f t="shared" si="174"/>
        <v>604.5</v>
      </c>
      <c r="G161" s="2088">
        <f t="shared" si="175"/>
        <v>7028.8700000000008</v>
      </c>
      <c r="H161" s="2182">
        <f>ROUND(SUMIF($C$248:$C$418,$C161,$D$248:$D$418)*'[30]Затраты 2016'!$U$14,5)</f>
        <v>587.63445999999999</v>
      </c>
      <c r="I161" s="2182">
        <f t="shared" si="176"/>
        <v>30.91</v>
      </c>
      <c r="J161" s="2182">
        <f t="shared" si="177"/>
        <v>0</v>
      </c>
      <c r="L161" s="2172"/>
      <c r="M161" s="2088">
        <f t="shared" si="150"/>
        <v>8251.91446</v>
      </c>
      <c r="N161" s="2088">
        <f t="shared" si="151"/>
        <v>7647.41446</v>
      </c>
      <c r="O161" s="2098"/>
      <c r="P161" s="2193" t="str">
        <f>$C$190</f>
        <v>Отчисления на страховые взносы</v>
      </c>
      <c r="Q161" s="2182">
        <v>7461.27</v>
      </c>
      <c r="R161" s="2179">
        <f t="shared" si="157"/>
        <v>2.0248360589383181E-3</v>
      </c>
      <c r="S161" s="2179">
        <f t="shared" si="158"/>
        <v>172.1</v>
      </c>
      <c r="T161" s="2198"/>
      <c r="U161" s="2198"/>
      <c r="V161" s="2168"/>
      <c r="W161" s="2168"/>
      <c r="X161" s="2168"/>
      <c r="Y161" s="2168"/>
      <c r="Z161" s="2168"/>
      <c r="AA161" s="2168"/>
      <c r="AB161" s="2168"/>
      <c r="AC161" s="2168"/>
      <c r="AD161" s="2168"/>
      <c r="AE161" s="2183">
        <v>7461.27</v>
      </c>
      <c r="AF161" s="2183"/>
      <c r="AG161" s="2183">
        <v>13.61</v>
      </c>
      <c r="AH161" s="3411">
        <v>6993.68</v>
      </c>
      <c r="AI161" s="3411"/>
      <c r="AJ161" s="2183">
        <v>453.98</v>
      </c>
      <c r="AK161" s="2183"/>
      <c r="AL161" s="2183"/>
      <c r="AM161" s="2183"/>
      <c r="AN161" s="2183">
        <v>7461.27</v>
      </c>
      <c r="AO161" s="2183">
        <v>7461.27</v>
      </c>
      <c r="AP161" s="2168"/>
      <c r="AQ161" s="2168"/>
      <c r="AR161" s="2168"/>
      <c r="AS161" s="2168"/>
      <c r="AT161" s="2168"/>
      <c r="AU161" s="2168"/>
      <c r="AV161" s="2168"/>
    </row>
    <row r="162" spans="3:48" ht="36" outlineLevel="4">
      <c r="C162" s="2181" t="s">
        <v>1393</v>
      </c>
      <c r="D162" s="2178">
        <f t="shared" si="153"/>
        <v>3983.8185299999996</v>
      </c>
      <c r="E162" s="2182">
        <f t="shared" si="173"/>
        <v>3320.04</v>
      </c>
      <c r="F162" s="2088">
        <f t="shared" si="174"/>
        <v>262.92</v>
      </c>
      <c r="G162" s="2088">
        <f t="shared" si="175"/>
        <v>3057.12</v>
      </c>
      <c r="H162" s="2182">
        <f>ROUND(SUMIF($C$248:$C$418,$C162,$D$248:$D$418)*'[30]Затраты 2016'!$U$14,5)</f>
        <v>657.82853</v>
      </c>
      <c r="I162" s="2182">
        <f t="shared" si="176"/>
        <v>5.95</v>
      </c>
      <c r="J162" s="2182">
        <f t="shared" si="177"/>
        <v>0</v>
      </c>
      <c r="L162" s="2172"/>
      <c r="M162" s="2088">
        <f t="shared" si="150"/>
        <v>3983.8185299999996</v>
      </c>
      <c r="N162" s="2088">
        <f t="shared" si="151"/>
        <v>3720.8985299999995</v>
      </c>
      <c r="O162" s="2098"/>
      <c r="P162" s="2193" t="str">
        <f t="shared" ref="P162:P164" si="178">$C$190</f>
        <v>Отчисления на страховые взносы</v>
      </c>
      <c r="Q162" s="2182">
        <v>3245.19</v>
      </c>
      <c r="R162" s="2179">
        <f t="shared" si="157"/>
        <v>8.8067818616750781E-4</v>
      </c>
      <c r="S162" s="2179">
        <f t="shared" si="158"/>
        <v>74.849999999999994</v>
      </c>
      <c r="T162" s="2198"/>
      <c r="U162" s="2198"/>
      <c r="V162" s="2168"/>
      <c r="W162" s="2168"/>
      <c r="X162" s="2168"/>
      <c r="Y162" s="2168"/>
      <c r="Z162" s="2168"/>
      <c r="AA162" s="2168"/>
      <c r="AB162" s="2168"/>
      <c r="AC162" s="2168"/>
      <c r="AD162" s="2168"/>
      <c r="AE162" s="2183">
        <v>3245.19</v>
      </c>
      <c r="AF162" s="2183"/>
      <c r="AG162" s="2183">
        <v>27.92</v>
      </c>
      <c r="AH162" s="3411">
        <v>3007.27</v>
      </c>
      <c r="AI162" s="3411"/>
      <c r="AJ162" s="2183">
        <v>210</v>
      </c>
      <c r="AK162" s="2183"/>
      <c r="AL162" s="2183"/>
      <c r="AM162" s="2183"/>
      <c r="AN162" s="2183">
        <v>3245.19</v>
      </c>
      <c r="AO162" s="2183">
        <v>3245.19</v>
      </c>
      <c r="AP162" s="2168"/>
      <c r="AQ162" s="2168"/>
      <c r="AR162" s="2168"/>
      <c r="AS162" s="2168"/>
      <c r="AT162" s="2168"/>
      <c r="AU162" s="2168"/>
      <c r="AV162" s="2168"/>
    </row>
    <row r="163" spans="3:48" ht="36" outlineLevel="4">
      <c r="C163" s="2181" t="s">
        <v>1394</v>
      </c>
      <c r="D163" s="2178">
        <f t="shared" si="153"/>
        <v>2997.8259400000002</v>
      </c>
      <c r="E163" s="2182">
        <f t="shared" si="173"/>
        <v>2773.32</v>
      </c>
      <c r="F163" s="2088">
        <f t="shared" si="174"/>
        <v>219.63</v>
      </c>
      <c r="G163" s="2088">
        <f t="shared" si="175"/>
        <v>2553.69</v>
      </c>
      <c r="H163" s="2182">
        <f>ROUND(SUMIF($C$248:$C$418,$C163,$D$248:$D$418)*'[30]Затраты 2016'!$U$14,5)</f>
        <v>213.38594000000001</v>
      </c>
      <c r="I163" s="2182">
        <f t="shared" si="176"/>
        <v>11.12</v>
      </c>
      <c r="J163" s="2182">
        <f t="shared" si="177"/>
        <v>0</v>
      </c>
      <c r="L163" s="2172"/>
      <c r="M163" s="2088">
        <f t="shared" si="150"/>
        <v>2997.8259400000002</v>
      </c>
      <c r="N163" s="2088">
        <f t="shared" si="151"/>
        <v>2778.1959400000001</v>
      </c>
      <c r="O163" s="2098"/>
      <c r="P163" s="2193" t="str">
        <f t="shared" si="178"/>
        <v>Отчисления на страховые взносы</v>
      </c>
      <c r="Q163" s="2182">
        <v>2710.79</v>
      </c>
      <c r="R163" s="2179">
        <f t="shared" si="157"/>
        <v>7.356529572324019E-4</v>
      </c>
      <c r="S163" s="2179">
        <f t="shared" si="158"/>
        <v>62.53</v>
      </c>
      <c r="T163" s="2198"/>
      <c r="U163" s="2198"/>
      <c r="V163" s="2168"/>
      <c r="W163" s="2168"/>
      <c r="X163" s="2168"/>
      <c r="Y163" s="2168"/>
      <c r="Z163" s="2168"/>
      <c r="AA163" s="2168"/>
      <c r="AB163" s="2168"/>
      <c r="AC163" s="2168"/>
      <c r="AD163" s="2168"/>
      <c r="AE163" s="2183">
        <v>2710.79</v>
      </c>
      <c r="AF163" s="2183"/>
      <c r="AG163" s="2183">
        <v>6.92</v>
      </c>
      <c r="AH163" s="3411">
        <v>2649.35</v>
      </c>
      <c r="AI163" s="3411"/>
      <c r="AJ163" s="2183">
        <v>54.52</v>
      </c>
      <c r="AK163" s="2183"/>
      <c r="AL163" s="2183"/>
      <c r="AM163" s="2183"/>
      <c r="AN163" s="2183">
        <v>2710.79</v>
      </c>
      <c r="AO163" s="2183">
        <v>2710.79</v>
      </c>
      <c r="AP163" s="2168"/>
      <c r="AQ163" s="2168"/>
      <c r="AR163" s="2168"/>
      <c r="AS163" s="2168"/>
      <c r="AT163" s="2168"/>
      <c r="AU163" s="2168"/>
      <c r="AV163" s="2168"/>
    </row>
    <row r="164" spans="3:48" ht="24" outlineLevel="4">
      <c r="C164" s="2181" t="s">
        <v>1395</v>
      </c>
      <c r="D164" s="2178">
        <f t="shared" si="153"/>
        <v>13897.148219999999</v>
      </c>
      <c r="E164" s="2182">
        <f t="shared" si="173"/>
        <v>11128.449999999999</v>
      </c>
      <c r="F164" s="2088">
        <f t="shared" si="174"/>
        <v>881.29</v>
      </c>
      <c r="G164" s="2088">
        <f t="shared" si="175"/>
        <v>10247.16</v>
      </c>
      <c r="H164" s="2182">
        <f>ROUND(SUMIF($C$248:$C$418,$C164,$D$248:$D$418)*'[30]Затраты 2016'!$U$14,5)</f>
        <v>2682.9982199999999</v>
      </c>
      <c r="I164" s="2182">
        <f t="shared" si="176"/>
        <v>85.7</v>
      </c>
      <c r="J164" s="2182">
        <f t="shared" si="177"/>
        <v>0</v>
      </c>
      <c r="L164" s="2172"/>
      <c r="M164" s="2088">
        <f t="shared" si="150"/>
        <v>13897.148219999999</v>
      </c>
      <c r="N164" s="2088">
        <f t="shared" si="151"/>
        <v>13015.858219999998</v>
      </c>
      <c r="O164" s="2098"/>
      <c r="P164" s="2193" t="str">
        <f t="shared" si="178"/>
        <v>Отчисления на страховые взносы</v>
      </c>
      <c r="Q164" s="2182">
        <v>10877.55</v>
      </c>
      <c r="R164" s="2179">
        <f t="shared" si="157"/>
        <v>2.9519445714877631E-3</v>
      </c>
      <c r="S164" s="2179">
        <f t="shared" si="158"/>
        <v>250.9</v>
      </c>
      <c r="T164" s="2198"/>
      <c r="U164" s="2198"/>
      <c r="V164" s="2168"/>
      <c r="W164" s="2168"/>
      <c r="X164" s="2168"/>
      <c r="Y164" s="2168"/>
      <c r="Z164" s="2168"/>
      <c r="AA164" s="2168"/>
      <c r="AB164" s="2168"/>
      <c r="AC164" s="2168"/>
      <c r="AD164" s="2168"/>
      <c r="AE164" s="2183">
        <v>10877.55</v>
      </c>
      <c r="AF164" s="2183"/>
      <c r="AG164" s="2183">
        <v>254.32</v>
      </c>
      <c r="AH164" s="3411">
        <v>10557.83</v>
      </c>
      <c r="AI164" s="3411"/>
      <c r="AJ164" s="2183">
        <v>65.400000000000006</v>
      </c>
      <c r="AK164" s="2183"/>
      <c r="AL164" s="2183"/>
      <c r="AM164" s="2183"/>
      <c r="AN164" s="2183">
        <v>10877.55</v>
      </c>
      <c r="AO164" s="2183">
        <v>10877.55</v>
      </c>
      <c r="AP164" s="2168"/>
      <c r="AQ164" s="2168"/>
      <c r="AR164" s="2168"/>
      <c r="AS164" s="2168"/>
      <c r="AT164" s="2168"/>
      <c r="AU164" s="2168"/>
      <c r="AV164" s="2168"/>
    </row>
    <row r="165" spans="3:48" ht="24" outlineLevel="4">
      <c r="C165" s="2181" t="s">
        <v>1396</v>
      </c>
      <c r="D165" s="2178">
        <f t="shared" si="153"/>
        <v>615239.33117000002</v>
      </c>
      <c r="E165" s="2182">
        <f t="shared" si="173"/>
        <v>496260.38</v>
      </c>
      <c r="F165" s="2088">
        <f t="shared" si="174"/>
        <v>39299.919999999998</v>
      </c>
      <c r="G165" s="2088">
        <f t="shared" si="175"/>
        <v>456960.46</v>
      </c>
      <c r="H165" s="2182">
        <f>ROUND(SUMIF($C$248:$C$418,$C165,$D$248:$D$418)*'[30]Затраты 2016'!$U$14,5)</f>
        <v>115437.65117</v>
      </c>
      <c r="I165" s="2182">
        <f t="shared" si="176"/>
        <v>3541.3</v>
      </c>
      <c r="J165" s="2182">
        <f t="shared" si="177"/>
        <v>0</v>
      </c>
      <c r="L165" s="2172"/>
      <c r="M165" s="2088">
        <f t="shared" si="150"/>
        <v>615239.33117000002</v>
      </c>
      <c r="N165" s="2088">
        <f t="shared" si="151"/>
        <v>575939.41116999998</v>
      </c>
      <c r="O165" s="2098"/>
      <c r="P165" s="2091" t="str">
        <f>VLOOKUP('СС 2016'!$C165,'[30]СС 2015'!$C:$O,13,FALSE)</f>
        <v>Отчисления на страховые взносы</v>
      </c>
      <c r="Q165" s="2182">
        <v>485071.79</v>
      </c>
      <c r="R165" s="2179">
        <f t="shared" si="157"/>
        <v>0.13163856174160102</v>
      </c>
      <c r="S165" s="2179">
        <f t="shared" si="158"/>
        <v>11188.59</v>
      </c>
      <c r="T165" s="2198"/>
      <c r="U165" s="2198"/>
      <c r="V165" s="2168"/>
      <c r="W165" s="2168"/>
      <c r="X165" s="2168"/>
      <c r="Y165" s="2168"/>
      <c r="Z165" s="2168"/>
      <c r="AA165" s="2168"/>
      <c r="AB165" s="2168"/>
      <c r="AC165" s="2168"/>
      <c r="AD165" s="2168"/>
      <c r="AE165" s="2183">
        <v>485071.79</v>
      </c>
      <c r="AF165" s="2183"/>
      <c r="AG165" s="2183">
        <v>9027.39</v>
      </c>
      <c r="AH165" s="3411">
        <v>460062.14</v>
      </c>
      <c r="AI165" s="3411"/>
      <c r="AJ165" s="2183">
        <v>2703.16</v>
      </c>
      <c r="AK165" s="2183">
        <v>13279.1</v>
      </c>
      <c r="AL165" s="2183"/>
      <c r="AM165" s="2183"/>
      <c r="AN165" s="2183">
        <v>485071.79</v>
      </c>
      <c r="AO165" s="2183">
        <v>485071.79</v>
      </c>
      <c r="AP165" s="2168"/>
      <c r="AQ165" s="2168"/>
      <c r="AR165" s="2168"/>
      <c r="AS165" s="2168"/>
      <c r="AT165" s="2168"/>
      <c r="AU165" s="2168"/>
      <c r="AV165" s="2168"/>
    </row>
    <row r="166" spans="3:48" ht="36" outlineLevel="4">
      <c r="C166" s="2181" t="s">
        <v>1397</v>
      </c>
      <c r="D166" s="2178">
        <f t="shared" si="153"/>
        <v>35596.791120000002</v>
      </c>
      <c r="E166" s="2182">
        <f t="shared" si="173"/>
        <v>32928.11</v>
      </c>
      <c r="F166" s="2088">
        <f t="shared" si="174"/>
        <v>2607.65</v>
      </c>
      <c r="G166" s="2088">
        <f t="shared" si="175"/>
        <v>30320.46</v>
      </c>
      <c r="H166" s="2182">
        <f>ROUND(SUMIF($C$248:$C$418,$C166,$D$248:$D$418)*'[30]Затраты 2016'!$U$14,5)</f>
        <v>2535.2411200000001</v>
      </c>
      <c r="I166" s="2182">
        <f t="shared" si="176"/>
        <v>133.44</v>
      </c>
      <c r="J166" s="2182">
        <f t="shared" si="177"/>
        <v>0</v>
      </c>
      <c r="L166" s="2172"/>
      <c r="M166" s="2088">
        <f t="shared" si="150"/>
        <v>35596.791120000002</v>
      </c>
      <c r="N166" s="2088">
        <f t="shared" si="151"/>
        <v>32989.14112</v>
      </c>
      <c r="O166" s="2098"/>
      <c r="P166" s="2091" t="str">
        <f>VLOOKUP('СС 2016'!$C166,'[30]СС 2015'!$C:$O,13,FALSE)</f>
        <v>Отчисления на страховые взносы</v>
      </c>
      <c r="Q166" s="2182">
        <v>32185.72</v>
      </c>
      <c r="R166" s="2179">
        <f t="shared" si="157"/>
        <v>8.7345460543435914E-3</v>
      </c>
      <c r="S166" s="2179">
        <f t="shared" si="158"/>
        <v>742.39</v>
      </c>
      <c r="T166" s="2198"/>
      <c r="U166" s="2198"/>
      <c r="V166" s="2168"/>
      <c r="W166" s="2168"/>
      <c r="X166" s="2168"/>
      <c r="Y166" s="2168"/>
      <c r="Z166" s="2168"/>
      <c r="AA166" s="2168"/>
      <c r="AB166" s="2168"/>
      <c r="AC166" s="2168"/>
      <c r="AD166" s="2168"/>
      <c r="AE166" s="2183">
        <v>32185.72</v>
      </c>
      <c r="AF166" s="2183"/>
      <c r="AG166" s="2183">
        <v>58.71</v>
      </c>
      <c r="AH166" s="3411">
        <v>30168.69</v>
      </c>
      <c r="AI166" s="3411"/>
      <c r="AJ166" s="2183">
        <v>1958.32</v>
      </c>
      <c r="AK166" s="2183"/>
      <c r="AL166" s="2183"/>
      <c r="AM166" s="2183"/>
      <c r="AN166" s="2183">
        <v>32185.72</v>
      </c>
      <c r="AO166" s="2183">
        <v>32185.72</v>
      </c>
      <c r="AP166" s="2168"/>
      <c r="AQ166" s="2168"/>
      <c r="AR166" s="2168"/>
      <c r="AS166" s="2168"/>
      <c r="AT166" s="2168"/>
      <c r="AU166" s="2168"/>
      <c r="AV166" s="2168"/>
    </row>
    <row r="167" spans="3:48" ht="36" outlineLevel="4">
      <c r="C167" s="2181" t="s">
        <v>1398</v>
      </c>
      <c r="D167" s="2178">
        <f t="shared" si="153"/>
        <v>17101.599179999997</v>
      </c>
      <c r="E167" s="2182">
        <f t="shared" si="173"/>
        <v>14247.859999999999</v>
      </c>
      <c r="F167" s="2088">
        <f t="shared" si="174"/>
        <v>1128.32</v>
      </c>
      <c r="G167" s="2088">
        <f t="shared" si="175"/>
        <v>13119.539999999999</v>
      </c>
      <c r="H167" s="2182">
        <f>ROUND(SUMIF($C$248:$C$418,$C167,$D$248:$D$418)*'[30]Затраты 2016'!$U$14,5)</f>
        <v>2828.0991800000002</v>
      </c>
      <c r="I167" s="2182">
        <f t="shared" si="176"/>
        <v>25.64</v>
      </c>
      <c r="J167" s="2182">
        <f t="shared" si="177"/>
        <v>0</v>
      </c>
      <c r="L167" s="2172"/>
      <c r="M167" s="2088">
        <f t="shared" si="150"/>
        <v>17101.599179999997</v>
      </c>
      <c r="N167" s="2088">
        <f t="shared" si="151"/>
        <v>15973.279179999998</v>
      </c>
      <c r="O167" s="2098"/>
      <c r="P167" s="2091" t="str">
        <f>VLOOKUP('СС 2016'!$C167,'[30]СС 2015'!$C:$O,13,FALSE)</f>
        <v>Отчисления на страховые взносы</v>
      </c>
      <c r="Q167" s="2182">
        <v>13926.63</v>
      </c>
      <c r="R167" s="2179">
        <f t="shared" si="157"/>
        <v>3.7794025150533553E-3</v>
      </c>
      <c r="S167" s="2179">
        <f t="shared" si="158"/>
        <v>321.23</v>
      </c>
      <c r="T167" s="2198"/>
      <c r="U167" s="2198"/>
      <c r="V167" s="2168"/>
      <c r="W167" s="2168"/>
      <c r="X167" s="2168"/>
      <c r="Y167" s="2168"/>
      <c r="Z167" s="2168"/>
      <c r="AA167" s="2168"/>
      <c r="AB167" s="2168"/>
      <c r="AC167" s="2168"/>
      <c r="AD167" s="2168"/>
      <c r="AE167" s="2183">
        <v>13926.63</v>
      </c>
      <c r="AF167" s="2183"/>
      <c r="AG167" s="2183">
        <v>120.46</v>
      </c>
      <c r="AH167" s="3411">
        <v>12970.52</v>
      </c>
      <c r="AI167" s="3411"/>
      <c r="AJ167" s="2183">
        <v>835.65</v>
      </c>
      <c r="AK167" s="2183"/>
      <c r="AL167" s="2183"/>
      <c r="AM167" s="2183"/>
      <c r="AN167" s="2183">
        <v>13926.63</v>
      </c>
      <c r="AO167" s="2183">
        <v>13926.63</v>
      </c>
      <c r="AP167" s="2168"/>
      <c r="AQ167" s="2168"/>
      <c r="AR167" s="2168"/>
      <c r="AS167" s="2168"/>
      <c r="AT167" s="2168"/>
      <c r="AU167" s="2168"/>
      <c r="AV167" s="2168"/>
    </row>
    <row r="168" spans="3:48" ht="36" outlineLevel="4">
      <c r="C168" s="2181" t="s">
        <v>1399</v>
      </c>
      <c r="D168" s="2178">
        <f t="shared" si="153"/>
        <v>12932.136869999998</v>
      </c>
      <c r="E168" s="2182">
        <f t="shared" si="173"/>
        <v>11963.24</v>
      </c>
      <c r="F168" s="2088">
        <f t="shared" si="174"/>
        <v>947.39</v>
      </c>
      <c r="G168" s="2088">
        <f t="shared" si="175"/>
        <v>11015.85</v>
      </c>
      <c r="H168" s="2182">
        <f>ROUND(SUMIF($C$248:$C$418,$C168,$D$248:$D$418)*'[30]Затраты 2016'!$U$14,5)</f>
        <v>920.42687000000001</v>
      </c>
      <c r="I168" s="2182">
        <f t="shared" si="176"/>
        <v>48.47</v>
      </c>
      <c r="J168" s="2182">
        <f t="shared" si="177"/>
        <v>0</v>
      </c>
      <c r="L168" s="2172"/>
      <c r="M168" s="2088">
        <f t="shared" si="150"/>
        <v>12932.136869999998</v>
      </c>
      <c r="N168" s="2088">
        <f t="shared" si="151"/>
        <v>11984.746869999999</v>
      </c>
      <c r="O168" s="2098"/>
      <c r="P168" s="2091" t="str">
        <f>VLOOKUP('СС 2016'!$C168,'[30]СС 2015'!$C:$O,13,FALSE)</f>
        <v>Отчисления на страховые взносы</v>
      </c>
      <c r="Q168" s="2182">
        <v>11693.52</v>
      </c>
      <c r="R168" s="2179">
        <f t="shared" si="157"/>
        <v>3.1733821389544141E-3</v>
      </c>
      <c r="S168" s="2179">
        <f t="shared" si="158"/>
        <v>269.72000000000003</v>
      </c>
      <c r="T168" s="2198"/>
      <c r="U168" s="2198"/>
      <c r="V168" s="2168"/>
      <c r="W168" s="2168"/>
      <c r="X168" s="2168"/>
      <c r="Y168" s="2168"/>
      <c r="Z168" s="2168"/>
      <c r="AA168" s="2168"/>
      <c r="AB168" s="2168"/>
      <c r="AC168" s="2168"/>
      <c r="AD168" s="2168"/>
      <c r="AE168" s="2183">
        <v>11693.52</v>
      </c>
      <c r="AF168" s="2183"/>
      <c r="AG168" s="2183">
        <v>29.84</v>
      </c>
      <c r="AH168" s="3411">
        <v>11428.47</v>
      </c>
      <c r="AI168" s="3411"/>
      <c r="AJ168" s="2183">
        <v>235.21</v>
      </c>
      <c r="AK168" s="2183"/>
      <c r="AL168" s="2183"/>
      <c r="AM168" s="2183"/>
      <c r="AN168" s="2183">
        <v>11693.52</v>
      </c>
      <c r="AO168" s="2183">
        <v>11693.52</v>
      </c>
      <c r="AP168" s="2168"/>
      <c r="AQ168" s="2168"/>
      <c r="AR168" s="2168"/>
      <c r="AS168" s="2168"/>
      <c r="AT168" s="2168"/>
      <c r="AU168" s="2168"/>
      <c r="AV168" s="2168"/>
    </row>
    <row r="169" spans="3:48" ht="24" outlineLevel="4">
      <c r="C169" s="2181" t="s">
        <v>1400</v>
      </c>
      <c r="D169" s="2178">
        <f t="shared" si="153"/>
        <v>59920.195489999998</v>
      </c>
      <c r="E169" s="2182">
        <f t="shared" si="173"/>
        <v>47979.72</v>
      </c>
      <c r="F169" s="2088">
        <f t="shared" si="174"/>
        <v>3799.62</v>
      </c>
      <c r="G169" s="2088">
        <f t="shared" si="175"/>
        <v>44180.1</v>
      </c>
      <c r="H169" s="2182">
        <f>ROUND(SUMIF($C$248:$C$418,$C169,$D$248:$D$418)*'[30]Затраты 2016'!$U$14,5)</f>
        <v>11568.34549</v>
      </c>
      <c r="I169" s="2182">
        <f t="shared" si="176"/>
        <v>372.13</v>
      </c>
      <c r="J169" s="2182">
        <f t="shared" si="177"/>
        <v>0</v>
      </c>
      <c r="L169" s="2172"/>
      <c r="M169" s="2088">
        <f t="shared" si="150"/>
        <v>59920.195489999998</v>
      </c>
      <c r="N169" s="2088">
        <f t="shared" si="151"/>
        <v>56120.575489999996</v>
      </c>
      <c r="O169" s="2098"/>
      <c r="P169" s="2091" t="str">
        <f>VLOOKUP('СС 2016'!$C169,'[30]СС 2015'!$C:$O,13,FALSE)</f>
        <v>Отчисления на страховые взносы</v>
      </c>
      <c r="Q169" s="2182">
        <v>46897.98</v>
      </c>
      <c r="R169" s="2179">
        <f t="shared" si="157"/>
        <v>1.2727152481463352E-2</v>
      </c>
      <c r="S169" s="2179">
        <f t="shared" si="158"/>
        <v>1081.74</v>
      </c>
      <c r="T169" s="2198"/>
      <c r="U169" s="2198"/>
      <c r="V169" s="2168"/>
      <c r="W169" s="2168"/>
      <c r="X169" s="2168"/>
      <c r="Y169" s="2168"/>
      <c r="Z169" s="2168"/>
      <c r="AA169" s="2168"/>
      <c r="AB169" s="2168"/>
      <c r="AC169" s="2168"/>
      <c r="AD169" s="2168"/>
      <c r="AE169" s="2183">
        <v>46897.98</v>
      </c>
      <c r="AF169" s="2183"/>
      <c r="AG169" s="2183">
        <v>1097.03</v>
      </c>
      <c r="AH169" s="3411">
        <v>45531.81</v>
      </c>
      <c r="AI169" s="3411"/>
      <c r="AJ169" s="2183">
        <v>269.14</v>
      </c>
      <c r="AK169" s="2183"/>
      <c r="AL169" s="2183"/>
      <c r="AM169" s="2183"/>
      <c r="AN169" s="2183">
        <v>46897.98</v>
      </c>
      <c r="AO169" s="2183">
        <v>46897.98</v>
      </c>
      <c r="AP169" s="2168"/>
      <c r="AQ169" s="2168"/>
      <c r="AR169" s="2168"/>
      <c r="AS169" s="2168"/>
      <c r="AT169" s="2168"/>
      <c r="AU169" s="2168"/>
      <c r="AV169" s="2168"/>
    </row>
    <row r="170" spans="3:48" ht="24" outlineLevel="4">
      <c r="C170" s="2181" t="s">
        <v>1401</v>
      </c>
      <c r="D170" s="2178">
        <f t="shared" si="153"/>
        <v>11233.718290000001</v>
      </c>
      <c r="E170" s="2182">
        <f t="shared" si="173"/>
        <v>9070.9600000000009</v>
      </c>
      <c r="F170" s="2088">
        <f t="shared" si="174"/>
        <v>718.35</v>
      </c>
      <c r="G170" s="2088">
        <f t="shared" si="175"/>
        <v>8352.61</v>
      </c>
      <c r="H170" s="2182">
        <f>ROUND(SUMIF($C$248:$C$418,$C170,$D$248:$D$418)*'[30]Затраты 2016'!$U$14,5)</f>
        <v>2098.9882899999998</v>
      </c>
      <c r="I170" s="2182">
        <f t="shared" si="176"/>
        <v>63.77</v>
      </c>
      <c r="J170" s="2182">
        <f t="shared" si="177"/>
        <v>0</v>
      </c>
      <c r="L170" s="2172"/>
      <c r="M170" s="2088">
        <f t="shared" si="150"/>
        <v>11233.718290000001</v>
      </c>
      <c r="N170" s="2088">
        <f t="shared" si="151"/>
        <v>10515.36829</v>
      </c>
      <c r="O170" s="2098"/>
      <c r="P170" s="2091" t="str">
        <f>VLOOKUP('СС 2016'!$C170,'[30]СС 2015'!$C:$O,13,FALSE)</f>
        <v>Отчисления на страховые взносы</v>
      </c>
      <c r="Q170" s="2182">
        <v>8866.4500000000007</v>
      </c>
      <c r="R170" s="2179">
        <f t="shared" si="157"/>
        <v>2.4061731682104592E-3</v>
      </c>
      <c r="S170" s="2179">
        <f t="shared" si="158"/>
        <v>204.51</v>
      </c>
      <c r="T170" s="2198"/>
      <c r="U170" s="2198"/>
      <c r="V170" s="2168"/>
      <c r="W170" s="2168"/>
      <c r="X170" s="2168"/>
      <c r="Y170" s="2168"/>
      <c r="Z170" s="2168"/>
      <c r="AA170" s="2168"/>
      <c r="AB170" s="2168"/>
      <c r="AC170" s="2168"/>
      <c r="AD170" s="2168"/>
      <c r="AE170" s="2183">
        <v>8866.4500000000007</v>
      </c>
      <c r="AF170" s="2183"/>
      <c r="AG170" s="2183">
        <v>163.27000000000001</v>
      </c>
      <c r="AH170" s="3411">
        <v>8406.5499999999993</v>
      </c>
      <c r="AI170" s="3411"/>
      <c r="AJ170" s="2183">
        <v>55.13</v>
      </c>
      <c r="AK170" s="2183">
        <v>241.5</v>
      </c>
      <c r="AL170" s="2183"/>
      <c r="AM170" s="2183"/>
      <c r="AN170" s="2183">
        <v>8866.4500000000007</v>
      </c>
      <c r="AO170" s="2183">
        <v>8866.4500000000007</v>
      </c>
      <c r="AP170" s="2168"/>
      <c r="AQ170" s="2168"/>
      <c r="AR170" s="2168"/>
      <c r="AS170" s="2168"/>
      <c r="AT170" s="2168"/>
      <c r="AU170" s="2168"/>
      <c r="AV170" s="2168"/>
    </row>
    <row r="171" spans="3:48" ht="24" outlineLevel="4">
      <c r="C171" s="2181" t="s">
        <v>1402</v>
      </c>
      <c r="D171" s="2178">
        <f t="shared" si="153"/>
        <v>647.09202000000005</v>
      </c>
      <c r="E171" s="2182">
        <f t="shared" si="173"/>
        <v>598.75</v>
      </c>
      <c r="F171" s="2088">
        <f t="shared" si="174"/>
        <v>47.42</v>
      </c>
      <c r="G171" s="2088">
        <f t="shared" si="175"/>
        <v>551.33000000000004</v>
      </c>
      <c r="H171" s="2182">
        <f>ROUND(SUMIF($C$248:$C$418,$C171,$D$248:$D$418)*'[30]Затраты 2016'!$U$14,5)</f>
        <v>46.132019999999997</v>
      </c>
      <c r="I171" s="2182">
        <f t="shared" si="176"/>
        <v>2.21</v>
      </c>
      <c r="J171" s="2182">
        <f t="shared" si="177"/>
        <v>0</v>
      </c>
      <c r="L171" s="2172"/>
      <c r="M171" s="2088">
        <f t="shared" si="150"/>
        <v>647.09202000000005</v>
      </c>
      <c r="N171" s="2088">
        <f t="shared" si="151"/>
        <v>599.67202000000009</v>
      </c>
      <c r="O171" s="2098"/>
      <c r="P171" s="2091" t="str">
        <f>VLOOKUP('СС 2016'!$C171,'[30]СС 2015'!$C:$O,13,FALSE)</f>
        <v>Отчисления на страховые взносы</v>
      </c>
      <c r="Q171" s="2182">
        <v>585.25</v>
      </c>
      <c r="R171" s="2179">
        <f t="shared" si="157"/>
        <v>1.5882487880664427E-4</v>
      </c>
      <c r="S171" s="2179">
        <f t="shared" si="158"/>
        <v>13.5</v>
      </c>
      <c r="T171" s="2198"/>
      <c r="U171" s="2198"/>
      <c r="V171" s="2168"/>
      <c r="W171" s="2168"/>
      <c r="X171" s="2168"/>
      <c r="Y171" s="2168"/>
      <c r="Z171" s="2168"/>
      <c r="AA171" s="2168"/>
      <c r="AB171" s="2168"/>
      <c r="AC171" s="2168"/>
      <c r="AD171" s="2168"/>
      <c r="AE171" s="2183">
        <v>585.25</v>
      </c>
      <c r="AF171" s="2183"/>
      <c r="AG171" s="2183">
        <v>1.07</v>
      </c>
      <c r="AH171" s="3411">
        <v>548.54999999999995</v>
      </c>
      <c r="AI171" s="3411"/>
      <c r="AJ171" s="2183">
        <v>35.630000000000003</v>
      </c>
      <c r="AK171" s="2183"/>
      <c r="AL171" s="2183"/>
      <c r="AM171" s="2183"/>
      <c r="AN171" s="2183">
        <v>585.25</v>
      </c>
      <c r="AO171" s="2183">
        <v>585.25</v>
      </c>
      <c r="AP171" s="2168"/>
      <c r="AQ171" s="2168"/>
      <c r="AR171" s="2168"/>
      <c r="AS171" s="2168"/>
      <c r="AT171" s="2168"/>
      <c r="AU171" s="2168"/>
      <c r="AV171" s="2168"/>
    </row>
    <row r="172" spans="3:48" ht="24" outlineLevel="4">
      <c r="C172" s="2181" t="s">
        <v>1403</v>
      </c>
      <c r="D172" s="2178">
        <f t="shared" si="153"/>
        <v>312.62761999999998</v>
      </c>
      <c r="E172" s="2182">
        <f t="shared" si="173"/>
        <v>261.06</v>
      </c>
      <c r="F172" s="2088">
        <f t="shared" si="174"/>
        <v>20.67</v>
      </c>
      <c r="G172" s="2088">
        <f t="shared" si="175"/>
        <v>240.39</v>
      </c>
      <c r="H172" s="2182">
        <f>ROUND(SUMIF($C$248:$C$418,$C172,$D$248:$D$418)*'[30]Затраты 2016'!$U$14,5)</f>
        <v>51.167619999999999</v>
      </c>
      <c r="I172" s="2182">
        <f t="shared" si="176"/>
        <v>0.4</v>
      </c>
      <c r="J172" s="2182">
        <f t="shared" si="177"/>
        <v>0</v>
      </c>
      <c r="L172" s="2172"/>
      <c r="M172" s="2088">
        <f t="shared" si="150"/>
        <v>312.62761999999998</v>
      </c>
      <c r="N172" s="2088">
        <f t="shared" si="151"/>
        <v>291.95761999999996</v>
      </c>
      <c r="O172" s="2098"/>
      <c r="P172" s="2091" t="str">
        <f>VLOOKUP('СС 2016'!$C172,'[30]СС 2015'!$C:$O,13,FALSE)</f>
        <v>Отчисления на страховые взносы</v>
      </c>
      <c r="Q172" s="2182">
        <v>255.17</v>
      </c>
      <c r="R172" s="2179">
        <f t="shared" si="157"/>
        <v>6.9247918539242059E-5</v>
      </c>
      <c r="S172" s="2179">
        <f t="shared" si="158"/>
        <v>5.89</v>
      </c>
      <c r="T172" s="2198"/>
      <c r="U172" s="2198"/>
      <c r="V172" s="2168"/>
      <c r="W172" s="2168"/>
      <c r="X172" s="2168"/>
      <c r="Y172" s="2168"/>
      <c r="Z172" s="2168"/>
      <c r="AA172" s="2168"/>
      <c r="AB172" s="2168"/>
      <c r="AC172" s="2168"/>
      <c r="AD172" s="2168"/>
      <c r="AE172" s="2183">
        <v>255.17</v>
      </c>
      <c r="AF172" s="2183"/>
      <c r="AG172" s="2183">
        <v>2.23</v>
      </c>
      <c r="AH172" s="3411">
        <v>237.15</v>
      </c>
      <c r="AI172" s="3411"/>
      <c r="AJ172" s="2183">
        <v>15.79</v>
      </c>
      <c r="AK172" s="2183"/>
      <c r="AL172" s="2183"/>
      <c r="AM172" s="2183"/>
      <c r="AN172" s="2183">
        <v>255.17</v>
      </c>
      <c r="AO172" s="2183">
        <v>255.17</v>
      </c>
      <c r="AP172" s="2168"/>
      <c r="AQ172" s="2168"/>
      <c r="AR172" s="2168"/>
      <c r="AS172" s="2168"/>
      <c r="AT172" s="2168"/>
      <c r="AU172" s="2168"/>
      <c r="AV172" s="2168"/>
    </row>
    <row r="173" spans="3:48" ht="24" outlineLevel="4">
      <c r="C173" s="2181" t="s">
        <v>1404</v>
      </c>
      <c r="D173" s="2178">
        <f t="shared" si="153"/>
        <v>234.78165999999999</v>
      </c>
      <c r="E173" s="2182">
        <f t="shared" si="173"/>
        <v>217.37</v>
      </c>
      <c r="F173" s="2088">
        <f t="shared" si="174"/>
        <v>17.21</v>
      </c>
      <c r="G173" s="2088">
        <f t="shared" si="175"/>
        <v>200.16</v>
      </c>
      <c r="H173" s="2182">
        <f>ROUND(SUMIF($C$248:$C$418,$C173,$D$248:$D$418)*'[30]Затраты 2016'!$U$14,5)</f>
        <v>16.591660000000001</v>
      </c>
      <c r="I173" s="2182">
        <f t="shared" si="176"/>
        <v>0.82</v>
      </c>
      <c r="J173" s="2182">
        <f t="shared" si="177"/>
        <v>0</v>
      </c>
      <c r="L173" s="2172"/>
      <c r="M173" s="2088">
        <f t="shared" si="150"/>
        <v>234.78165999999999</v>
      </c>
      <c r="N173" s="2088">
        <f t="shared" si="151"/>
        <v>217.57165999999998</v>
      </c>
      <c r="O173" s="2098"/>
      <c r="P173" s="2091" t="str">
        <f>VLOOKUP('СС 2016'!$C173,'[30]СС 2015'!$C:$O,13,FALSE)</f>
        <v>Отчисления на страховые взносы</v>
      </c>
      <c r="Q173" s="2182">
        <v>212.47</v>
      </c>
      <c r="R173" s="2179">
        <f t="shared" si="157"/>
        <v>5.7660011960782069E-5</v>
      </c>
      <c r="S173" s="2179">
        <f t="shared" si="158"/>
        <v>4.9000000000000004</v>
      </c>
      <c r="T173" s="2198"/>
      <c r="U173" s="2198"/>
      <c r="V173" s="2168"/>
      <c r="W173" s="2168"/>
      <c r="X173" s="2168"/>
      <c r="Y173" s="2168"/>
      <c r="Z173" s="2168"/>
      <c r="AA173" s="2168"/>
      <c r="AB173" s="2168"/>
      <c r="AC173" s="2168"/>
      <c r="AD173" s="2168"/>
      <c r="AE173" s="2183">
        <v>212.47</v>
      </c>
      <c r="AF173" s="2183"/>
      <c r="AG173" s="2183">
        <v>0.54</v>
      </c>
      <c r="AH173" s="3411">
        <v>207.7</v>
      </c>
      <c r="AI173" s="3411"/>
      <c r="AJ173" s="2183">
        <v>4.2300000000000004</v>
      </c>
      <c r="AK173" s="2183"/>
      <c r="AL173" s="2183"/>
      <c r="AM173" s="2183"/>
      <c r="AN173" s="2183">
        <v>212.47</v>
      </c>
      <c r="AO173" s="2183">
        <v>212.47</v>
      </c>
      <c r="AP173" s="2168"/>
      <c r="AQ173" s="2168"/>
      <c r="AR173" s="2168"/>
      <c r="AS173" s="2168"/>
      <c r="AT173" s="2168"/>
      <c r="AU173" s="2168"/>
      <c r="AV173" s="2168"/>
    </row>
    <row r="174" spans="3:48" ht="24" outlineLevel="4">
      <c r="C174" s="2181" t="s">
        <v>1405</v>
      </c>
      <c r="D174" s="2178">
        <f t="shared" si="153"/>
        <v>1087.4526699999999</v>
      </c>
      <c r="E174" s="2182">
        <f t="shared" si="173"/>
        <v>872.44999999999993</v>
      </c>
      <c r="F174" s="2088">
        <f t="shared" si="174"/>
        <v>69.09</v>
      </c>
      <c r="G174" s="2088">
        <f t="shared" si="175"/>
        <v>803.3599999999999</v>
      </c>
      <c r="H174" s="2182">
        <f>ROUND(SUMIF($C$248:$C$418,$C174,$D$248:$D$418)*'[30]Затраты 2016'!$U$14,5)</f>
        <v>208.32266999999999</v>
      </c>
      <c r="I174" s="2182">
        <f t="shared" si="176"/>
        <v>6.68</v>
      </c>
      <c r="J174" s="2182">
        <f t="shared" si="177"/>
        <v>0</v>
      </c>
      <c r="L174" s="2172"/>
      <c r="M174" s="2088">
        <f t="shared" si="150"/>
        <v>1087.4526699999999</v>
      </c>
      <c r="N174" s="2088">
        <f t="shared" si="151"/>
        <v>1018.3626699999999</v>
      </c>
      <c r="O174" s="2098"/>
      <c r="P174" s="2091" t="str">
        <f>VLOOKUP('СС 2016'!$C174,'[30]СС 2015'!$C:$O,13,FALSE)</f>
        <v>Отчисления на страховые взносы</v>
      </c>
      <c r="Q174" s="2182">
        <v>852.78</v>
      </c>
      <c r="R174" s="2179">
        <f t="shared" si="157"/>
        <v>2.3142704852410098E-4</v>
      </c>
      <c r="S174" s="2179">
        <f t="shared" si="158"/>
        <v>19.670000000000002</v>
      </c>
      <c r="T174" s="2198"/>
      <c r="U174" s="2198"/>
      <c r="V174" s="2168"/>
      <c r="W174" s="2168"/>
      <c r="X174" s="2168"/>
      <c r="Y174" s="2168"/>
      <c r="Z174" s="2168"/>
      <c r="AA174" s="2168"/>
      <c r="AB174" s="2168"/>
      <c r="AC174" s="2168"/>
      <c r="AD174" s="2168"/>
      <c r="AE174" s="2183">
        <v>852.78</v>
      </c>
      <c r="AF174" s="2183"/>
      <c r="AG174" s="2183">
        <v>19.96</v>
      </c>
      <c r="AH174" s="3411">
        <v>827.78</v>
      </c>
      <c r="AI174" s="3411"/>
      <c r="AJ174" s="2183">
        <v>5.04</v>
      </c>
      <c r="AK174" s="2183"/>
      <c r="AL174" s="2183"/>
      <c r="AM174" s="2183"/>
      <c r="AN174" s="2183">
        <v>852.78</v>
      </c>
      <c r="AO174" s="2183">
        <v>852.78</v>
      </c>
      <c r="AP174" s="2168"/>
      <c r="AQ174" s="2168"/>
      <c r="AR174" s="2168"/>
      <c r="AS174" s="2168"/>
      <c r="AT174" s="2168"/>
      <c r="AU174" s="2168"/>
      <c r="AV174" s="2168"/>
    </row>
    <row r="175" spans="3:48" ht="24" outlineLevel="4">
      <c r="C175" s="2181" t="s">
        <v>1406</v>
      </c>
      <c r="D175" s="2178">
        <f t="shared" si="153"/>
        <v>81031.409070000009</v>
      </c>
      <c r="E175" s="2182">
        <f t="shared" si="173"/>
        <v>65357.39</v>
      </c>
      <c r="F175" s="2088">
        <f t="shared" si="174"/>
        <v>5175.79</v>
      </c>
      <c r="G175" s="2088">
        <f t="shared" si="175"/>
        <v>60181.599999999999</v>
      </c>
      <c r="H175" s="2182">
        <f>ROUND(SUMIF($C$248:$C$418,$C175,$D$248:$D$418)*'[30]Затраты 2016'!$U$14,5)</f>
        <v>15207.85907</v>
      </c>
      <c r="I175" s="2182">
        <f t="shared" si="176"/>
        <v>466.16</v>
      </c>
      <c r="J175" s="2182">
        <f t="shared" si="177"/>
        <v>0</v>
      </c>
      <c r="L175" s="2172"/>
      <c r="M175" s="2088">
        <f>D175-L175</f>
        <v>81031.409070000009</v>
      </c>
      <c r="N175" s="2088">
        <f t="shared" si="151"/>
        <v>75855.619070000015</v>
      </c>
      <c r="O175" s="2098"/>
      <c r="P175" s="2091" t="str">
        <f>VLOOKUP('СС 2016'!$C175,'[30]СС 2015'!$C:$O,13,FALSE)</f>
        <v>Отчисления на страховые взносы</v>
      </c>
      <c r="Q175" s="2182">
        <v>63883.86</v>
      </c>
      <c r="R175" s="2179">
        <f t="shared" si="157"/>
        <v>1.7336772870056607E-2</v>
      </c>
      <c r="S175" s="2179">
        <f t="shared" si="158"/>
        <v>1473.53</v>
      </c>
      <c r="T175" s="2198"/>
      <c r="U175" s="2198"/>
      <c r="V175" s="2168"/>
      <c r="W175" s="2168"/>
      <c r="X175" s="2168"/>
      <c r="Y175" s="2168"/>
      <c r="Z175" s="2168"/>
      <c r="AA175" s="2168"/>
      <c r="AB175" s="2168"/>
      <c r="AC175" s="2168"/>
      <c r="AD175" s="2168"/>
      <c r="AE175" s="2183">
        <v>63883.86</v>
      </c>
      <c r="AF175" s="2183"/>
      <c r="AG175" s="2183">
        <v>1189.97</v>
      </c>
      <c r="AH175" s="3411">
        <v>60628.37</v>
      </c>
      <c r="AI175" s="3411"/>
      <c r="AJ175" s="2183">
        <v>315.14</v>
      </c>
      <c r="AK175" s="2183">
        <v>1750.38</v>
      </c>
      <c r="AL175" s="2183"/>
      <c r="AM175" s="2183"/>
      <c r="AN175" s="2183">
        <v>63883.86</v>
      </c>
      <c r="AO175" s="2183">
        <v>63883.86</v>
      </c>
      <c r="AP175" s="2168"/>
      <c r="AQ175" s="2168"/>
      <c r="AR175" s="2168"/>
      <c r="AS175" s="2168"/>
      <c r="AT175" s="2168"/>
      <c r="AU175" s="2168"/>
      <c r="AV175" s="2168"/>
    </row>
    <row r="176" spans="3:48" ht="36" outlineLevel="4">
      <c r="C176" s="2181" t="s">
        <v>1407</v>
      </c>
      <c r="D176" s="2178">
        <f t="shared" si="153"/>
        <v>4692.2181599999994</v>
      </c>
      <c r="E176" s="2182">
        <f t="shared" si="173"/>
        <v>4340.53</v>
      </c>
      <c r="F176" s="2088">
        <f t="shared" si="174"/>
        <v>343.74</v>
      </c>
      <c r="G176" s="2088">
        <f t="shared" si="175"/>
        <v>3996.79</v>
      </c>
      <c r="H176" s="2182">
        <f>ROUND(SUMIF($C$248:$C$418,$C176,$D$248:$D$418)*'[30]Затраты 2016'!$U$14,5)</f>
        <v>334.14816000000002</v>
      </c>
      <c r="I176" s="2182">
        <f t="shared" si="176"/>
        <v>17.54</v>
      </c>
      <c r="J176" s="2182">
        <f t="shared" si="177"/>
        <v>0</v>
      </c>
      <c r="L176" s="2172"/>
      <c r="M176" s="2088">
        <f t="shared" si="150"/>
        <v>4692.2181599999994</v>
      </c>
      <c r="N176" s="2088">
        <f t="shared" si="151"/>
        <v>4348.4781599999997</v>
      </c>
      <c r="O176" s="2098"/>
      <c r="P176" s="2091" t="str">
        <f>VLOOKUP('СС 2016'!$C176,'[30]СС 2015'!$C:$O,13,FALSE)</f>
        <v>Отчисления на страховые взносы</v>
      </c>
      <c r="Q176" s="2182">
        <v>4242.67</v>
      </c>
      <c r="R176" s="2179">
        <f t="shared" si="157"/>
        <v>1.1513738548766944E-3</v>
      </c>
      <c r="S176" s="2179">
        <f t="shared" si="158"/>
        <v>97.86</v>
      </c>
      <c r="T176" s="2198"/>
      <c r="U176" s="2198"/>
      <c r="V176" s="2168"/>
      <c r="W176" s="2168"/>
      <c r="X176" s="2168"/>
      <c r="Y176" s="2168"/>
      <c r="Z176" s="2168"/>
      <c r="AA176" s="2168"/>
      <c r="AB176" s="2168"/>
      <c r="AC176" s="2168"/>
      <c r="AD176" s="2168"/>
      <c r="AE176" s="2183">
        <v>4242.67</v>
      </c>
      <c r="AF176" s="2183"/>
      <c r="AG176" s="2183">
        <v>7.74</v>
      </c>
      <c r="AH176" s="3411">
        <v>3976.78</v>
      </c>
      <c r="AI176" s="3411"/>
      <c r="AJ176" s="2183">
        <v>258.14999999999998</v>
      </c>
      <c r="AK176" s="2183"/>
      <c r="AL176" s="2183"/>
      <c r="AM176" s="2183"/>
      <c r="AN176" s="2183">
        <v>4242.67</v>
      </c>
      <c r="AO176" s="2183">
        <v>4242.67</v>
      </c>
      <c r="AP176" s="2168"/>
      <c r="AQ176" s="2168"/>
      <c r="AR176" s="2168"/>
      <c r="AS176" s="2168"/>
      <c r="AT176" s="2168"/>
      <c r="AU176" s="2168"/>
      <c r="AV176" s="2168"/>
    </row>
    <row r="177" spans="2:53" ht="36" outlineLevel="4">
      <c r="C177" s="2181" t="s">
        <v>1408</v>
      </c>
      <c r="D177" s="2178">
        <f t="shared" si="153"/>
        <v>2236.56756</v>
      </c>
      <c r="E177" s="2182">
        <f t="shared" si="173"/>
        <v>1862.48</v>
      </c>
      <c r="F177" s="2088">
        <f t="shared" si="174"/>
        <v>147.49</v>
      </c>
      <c r="G177" s="2088">
        <f t="shared" si="175"/>
        <v>1714.99</v>
      </c>
      <c r="H177" s="2182">
        <f>ROUND(SUMIF($C$248:$C$418,$C177,$D$248:$D$418)*'[30]Затраты 2016'!$U$14,5)</f>
        <v>370.93756000000002</v>
      </c>
      <c r="I177" s="2182">
        <f t="shared" si="176"/>
        <v>3.15</v>
      </c>
      <c r="J177" s="2182">
        <f t="shared" si="177"/>
        <v>0</v>
      </c>
      <c r="L177" s="2172"/>
      <c r="M177" s="2088">
        <f t="shared" si="150"/>
        <v>2236.56756</v>
      </c>
      <c r="N177" s="2088">
        <f t="shared" si="151"/>
        <v>2089.0775599999997</v>
      </c>
      <c r="O177" s="2098"/>
      <c r="P177" s="2091" t="str">
        <f>VLOOKUP('СС 2016'!$C177,'[30]СС 2015'!$C:$O,13,FALSE)</f>
        <v>Отчисления на страховые взносы</v>
      </c>
      <c r="Q177" s="2182">
        <v>1820.49</v>
      </c>
      <c r="R177" s="2179">
        <f t="shared" si="157"/>
        <v>4.9404374817378529E-4</v>
      </c>
      <c r="S177" s="2179">
        <f t="shared" si="158"/>
        <v>41.99</v>
      </c>
      <c r="T177" s="2198"/>
      <c r="U177" s="2198"/>
      <c r="V177" s="2168"/>
      <c r="W177" s="2168"/>
      <c r="X177" s="2168"/>
      <c r="Y177" s="2168"/>
      <c r="Z177" s="2168"/>
      <c r="AA177" s="2168"/>
      <c r="AB177" s="2168"/>
      <c r="AC177" s="2168"/>
      <c r="AD177" s="2168"/>
      <c r="AE177" s="2183">
        <v>1820.49</v>
      </c>
      <c r="AF177" s="2183"/>
      <c r="AG177" s="2183">
        <v>15.87</v>
      </c>
      <c r="AH177" s="3411">
        <v>1708.45</v>
      </c>
      <c r="AI177" s="3411"/>
      <c r="AJ177" s="2183">
        <v>96.17</v>
      </c>
      <c r="AK177" s="2183"/>
      <c r="AL177" s="2183"/>
      <c r="AM177" s="2183"/>
      <c r="AN177" s="2183">
        <v>1820.49</v>
      </c>
      <c r="AO177" s="2183">
        <v>1820.49</v>
      </c>
      <c r="AP177" s="2168"/>
      <c r="AQ177" s="2168"/>
      <c r="AR177" s="2168"/>
      <c r="AS177" s="2168"/>
      <c r="AT177" s="2168"/>
      <c r="AU177" s="2168"/>
      <c r="AV177" s="2168"/>
    </row>
    <row r="178" spans="2:53" ht="36" outlineLevel="4">
      <c r="C178" s="2181" t="s">
        <v>1409</v>
      </c>
      <c r="D178" s="2178">
        <f t="shared" si="153"/>
        <v>1704.3418000000001</v>
      </c>
      <c r="E178" s="2182">
        <f t="shared" si="173"/>
        <v>1576.95</v>
      </c>
      <c r="F178" s="2088">
        <f t="shared" si="174"/>
        <v>124.88</v>
      </c>
      <c r="G178" s="2088">
        <f t="shared" si="175"/>
        <v>1452.0700000000002</v>
      </c>
      <c r="H178" s="2182">
        <f>ROUND(SUMIF($C$248:$C$418,$C178,$D$248:$D$418)*'[30]Затраты 2016'!$U$14,5)</f>
        <v>121.2418</v>
      </c>
      <c r="I178" s="2182">
        <f t="shared" si="176"/>
        <v>6.15</v>
      </c>
      <c r="J178" s="2182">
        <f t="shared" si="177"/>
        <v>0</v>
      </c>
      <c r="L178" s="2172"/>
      <c r="M178" s="2088">
        <f t="shared" si="150"/>
        <v>1704.3418000000001</v>
      </c>
      <c r="N178" s="2088">
        <f t="shared" si="151"/>
        <v>1579.4618</v>
      </c>
      <c r="O178" s="2098"/>
      <c r="P178" s="2091" t="str">
        <f>VLOOKUP('СС 2016'!$C178,'[30]СС 2015'!$C:$O,13,FALSE)</f>
        <v>Отчисления на страховые взносы</v>
      </c>
      <c r="Q178" s="2182">
        <v>1541.4</v>
      </c>
      <c r="R178" s="2179">
        <f t="shared" si="157"/>
        <v>4.1830443091424432E-4</v>
      </c>
      <c r="S178" s="2179">
        <f t="shared" si="158"/>
        <v>35.549999999999997</v>
      </c>
      <c r="T178" s="2198"/>
      <c r="U178" s="2198"/>
      <c r="V178" s="2168"/>
      <c r="W178" s="2168"/>
      <c r="X178" s="2168"/>
      <c r="Y178" s="2168"/>
      <c r="Z178" s="2168"/>
      <c r="AA178" s="2168"/>
      <c r="AB178" s="2168"/>
      <c r="AC178" s="2168"/>
      <c r="AD178" s="2168"/>
      <c r="AE178" s="2183">
        <v>1541.4</v>
      </c>
      <c r="AF178" s="2183"/>
      <c r="AG178" s="2183">
        <v>3.93</v>
      </c>
      <c r="AH178" s="3411">
        <v>1506.46</v>
      </c>
      <c r="AI178" s="3411"/>
      <c r="AJ178" s="2183">
        <v>31.01</v>
      </c>
      <c r="AK178" s="2183"/>
      <c r="AL178" s="2183"/>
      <c r="AM178" s="2183"/>
      <c r="AN178" s="2183">
        <v>1541.4</v>
      </c>
      <c r="AO178" s="2183">
        <v>1541.4</v>
      </c>
      <c r="AP178" s="2168"/>
      <c r="AQ178" s="2168"/>
      <c r="AR178" s="2168"/>
      <c r="AS178" s="2168"/>
      <c r="AT178" s="2168"/>
      <c r="AU178" s="2168"/>
      <c r="AV178" s="2168"/>
    </row>
    <row r="179" spans="2:53" ht="24" outlineLevel="4">
      <c r="C179" s="2181" t="s">
        <v>1410</v>
      </c>
      <c r="D179" s="2178">
        <f t="shared" si="153"/>
        <v>7887.3557999999994</v>
      </c>
      <c r="E179" s="2182">
        <f t="shared" si="173"/>
        <v>6315.83</v>
      </c>
      <c r="F179" s="2088">
        <f>ROUND(E179*$U$1,2)</f>
        <v>500.16</v>
      </c>
      <c r="G179" s="2088">
        <f t="shared" si="175"/>
        <v>5815.67</v>
      </c>
      <c r="H179" s="2182">
        <f>ROUND(SUMIF($C$248:$C$418,$C179,$D$248:$D$418)*'[30]Затраты 2016'!$U$14,5)</f>
        <v>1523.1958</v>
      </c>
      <c r="I179" s="2182">
        <f t="shared" si="176"/>
        <v>48.33</v>
      </c>
      <c r="J179" s="2182">
        <f t="shared" si="177"/>
        <v>0</v>
      </c>
      <c r="L179" s="2172"/>
      <c r="M179" s="2088">
        <f t="shared" si="150"/>
        <v>7887.3557999999994</v>
      </c>
      <c r="N179" s="2088">
        <f t="shared" si="151"/>
        <v>7387.1957999999995</v>
      </c>
      <c r="O179" s="2098"/>
      <c r="P179" s="2091" t="str">
        <f>VLOOKUP('СС 2016'!$C179,'[30]СС 2015'!$C:$O,13,FALSE)</f>
        <v>Отчисления на страховые взносы</v>
      </c>
      <c r="Q179" s="2182">
        <v>6173.43</v>
      </c>
      <c r="R179" s="2179">
        <f t="shared" si="157"/>
        <v>1.6753426254956035E-3</v>
      </c>
      <c r="S179" s="2179">
        <f t="shared" si="158"/>
        <v>142.4</v>
      </c>
      <c r="T179" s="2198"/>
      <c r="U179" s="2198"/>
      <c r="V179" s="2168"/>
      <c r="W179" s="2168"/>
      <c r="X179" s="2168"/>
      <c r="Y179" s="2168"/>
      <c r="Z179" s="2168"/>
      <c r="AA179" s="2168"/>
      <c r="AB179" s="2168"/>
      <c r="AC179" s="2168"/>
      <c r="AD179" s="2168"/>
      <c r="AE179" s="2183">
        <v>6173.43</v>
      </c>
      <c r="AF179" s="2183"/>
      <c r="AG179" s="2183">
        <v>144.59</v>
      </c>
      <c r="AH179" s="3411">
        <v>5999</v>
      </c>
      <c r="AI179" s="3411"/>
      <c r="AJ179" s="2183">
        <v>29.84</v>
      </c>
      <c r="AK179" s="2183"/>
      <c r="AL179" s="2183"/>
      <c r="AM179" s="2183"/>
      <c r="AN179" s="2183">
        <v>6173.43</v>
      </c>
      <c r="AO179" s="2183">
        <v>6173.43</v>
      </c>
      <c r="AP179" s="2168"/>
      <c r="AQ179" s="2168"/>
      <c r="AR179" s="2168"/>
      <c r="AS179" s="2168"/>
      <c r="AT179" s="2168"/>
      <c r="AU179" s="2168"/>
      <c r="AV179" s="2168"/>
    </row>
    <row r="180" spans="2:53">
      <c r="M180" s="2098"/>
      <c r="N180" s="2098"/>
      <c r="O180" s="2098"/>
      <c r="P180" s="2098"/>
      <c r="R180" s="2198"/>
      <c r="S180" s="2198"/>
      <c r="T180" s="2198"/>
      <c r="U180" s="2198"/>
      <c r="V180" s="2168"/>
      <c r="W180" s="2168"/>
      <c r="X180" s="2168"/>
      <c r="Y180" s="2168"/>
      <c r="Z180" s="2168"/>
      <c r="AA180" s="2168"/>
      <c r="AB180" s="2168"/>
      <c r="AC180" s="2168"/>
      <c r="AD180" s="2168"/>
      <c r="AE180" s="2168"/>
      <c r="AF180" s="2168"/>
      <c r="AG180" s="2168"/>
      <c r="AH180" s="2168"/>
      <c r="AI180" s="2168"/>
      <c r="AJ180" s="2168"/>
      <c r="AK180" s="2168"/>
      <c r="AL180" s="2168"/>
      <c r="AM180" s="2168"/>
      <c r="AN180" s="2168"/>
      <c r="AO180" s="2168"/>
      <c r="AP180" s="2168"/>
      <c r="AQ180" s="2168"/>
      <c r="AR180" s="2168"/>
      <c r="AS180" s="2168"/>
      <c r="AT180" s="2168"/>
      <c r="AU180" s="2168"/>
      <c r="AV180" s="2168"/>
    </row>
    <row r="181" spans="2:53" ht="22.5" customHeight="1">
      <c r="E181" s="2098"/>
      <c r="F181" s="2097" t="b">
        <f>E183-F183=F8</f>
        <v>0</v>
      </c>
      <c r="G181" s="3408" t="s">
        <v>2936</v>
      </c>
      <c r="H181" s="3407" t="s">
        <v>3795</v>
      </c>
      <c r="I181" s="3407"/>
      <c r="J181" s="3408" t="s">
        <v>2915</v>
      </c>
      <c r="K181" s="3408" t="s">
        <v>1465</v>
      </c>
      <c r="L181" s="3408" t="s">
        <v>3832</v>
      </c>
      <c r="M181" s="2098"/>
      <c r="N181" s="2098"/>
      <c r="O181" s="2098"/>
      <c r="P181" s="2098"/>
      <c r="Q181" s="2098"/>
      <c r="R181" s="2198"/>
      <c r="S181" s="2198"/>
      <c r="T181" s="2198"/>
      <c r="U181" s="2198"/>
      <c r="V181" s="2168"/>
      <c r="W181" s="2168"/>
      <c r="X181" s="2168"/>
      <c r="Y181" s="2168"/>
      <c r="Z181" s="2168"/>
      <c r="AA181" s="2168"/>
      <c r="AB181" s="2168"/>
      <c r="AC181" s="2168"/>
      <c r="AD181" s="2168"/>
      <c r="AE181" s="2168"/>
      <c r="AF181" s="2168"/>
      <c r="AG181" s="2168"/>
      <c r="AH181" s="2168"/>
      <c r="AI181" s="2168"/>
      <c r="AJ181" s="2168"/>
      <c r="AK181" s="2168"/>
      <c r="AL181" s="2168"/>
      <c r="AM181" s="2168"/>
      <c r="AN181" s="2168"/>
      <c r="AO181" s="2168"/>
      <c r="AP181" s="2168"/>
      <c r="AQ181" s="2168"/>
      <c r="AR181" s="2168"/>
      <c r="AS181" s="2168"/>
      <c r="AT181" s="2168"/>
      <c r="AU181" s="2168"/>
      <c r="AV181" s="2168"/>
    </row>
    <row r="182" spans="2:53" ht="33.75">
      <c r="C182" s="2199">
        <f>'[30]Затраты 2016'!C36*1000</f>
        <v>7342245.9300000006</v>
      </c>
      <c r="D182" s="2154">
        <f>D183-C182</f>
        <v>2.1809999831020832E-2</v>
      </c>
      <c r="E182" s="2100" t="str">
        <f>M$5</f>
        <v>Факт без индивидуальных проектов</v>
      </c>
      <c r="F182" s="2100" t="str">
        <f>N$5</f>
        <v>Факт без индивидуальных и льготников</v>
      </c>
      <c r="G182" s="3409"/>
      <c r="H182" s="2100" t="s">
        <v>3798</v>
      </c>
      <c r="I182" s="2100" t="s">
        <v>3799</v>
      </c>
      <c r="J182" s="3409"/>
      <c r="K182" s="3409"/>
      <c r="L182" s="3409"/>
      <c r="M182" s="2098"/>
      <c r="N182" s="2098"/>
      <c r="O182" s="2098"/>
      <c r="P182" s="2098"/>
      <c r="Q182" s="2101">
        <f>Y$5</f>
        <v>0</v>
      </c>
      <c r="R182" s="2198"/>
      <c r="S182" s="2198"/>
      <c r="T182" s="2198"/>
      <c r="U182" s="2198"/>
      <c r="V182" s="2168"/>
      <c r="W182" s="2168"/>
      <c r="X182" s="2168"/>
      <c r="Y182" s="2168"/>
      <c r="Z182" s="2168"/>
      <c r="AA182" s="2168"/>
      <c r="AB182" s="2168"/>
      <c r="AC182" s="2168"/>
      <c r="AD182" s="2168"/>
      <c r="AE182" s="2168"/>
      <c r="AF182" s="2168"/>
      <c r="AG182" s="2168"/>
      <c r="AH182" s="2168"/>
      <c r="AI182" s="2168"/>
      <c r="AJ182" s="2168"/>
      <c r="AK182" s="2168"/>
      <c r="AL182" s="2168"/>
      <c r="AM182" s="2168"/>
      <c r="AN182" s="2168"/>
      <c r="AO182" s="2168"/>
      <c r="AP182" s="2168"/>
      <c r="AQ182" s="2168"/>
      <c r="AR182" s="2168"/>
      <c r="AS182" s="2168"/>
      <c r="AT182" s="2168"/>
      <c r="AU182" s="2168"/>
      <c r="AV182" s="2168"/>
    </row>
    <row r="183" spans="2:53" s="2066" customFormat="1" ht="29.25">
      <c r="B183" s="2102" t="s">
        <v>25</v>
      </c>
      <c r="C183" s="2103" t="str">
        <f>'[30]Прил. 5 (НВВ) 0'!B25</f>
        <v>Расходы по выполнению мероприятий по технологическому присоединению, всего</v>
      </c>
      <c r="D183" s="2200">
        <f>SUM(D184,D188:D191,D200)</f>
        <v>7342245.9518100005</v>
      </c>
      <c r="E183" s="2200">
        <f>SUM(E184,E188:E191,E200)</f>
        <v>7342245.9518100005</v>
      </c>
      <c r="F183" s="2200">
        <f t="shared" ref="F183:L183" si="179">SUM(F184,F188:F191,F200)</f>
        <v>5712930.2774611302</v>
      </c>
      <c r="G183" s="2200">
        <f t="shared" ca="1" si="179"/>
        <v>5165634.1969766431</v>
      </c>
      <c r="H183" s="2200">
        <f ca="1">SUM(H184,H188:H191,H200)</f>
        <v>1629315.6743488689</v>
      </c>
      <c r="I183" s="2200">
        <f t="shared" ca="1" si="179"/>
        <v>3536318.5226277732</v>
      </c>
      <c r="J183" s="2200">
        <f t="shared" ca="1" si="179"/>
        <v>1515030.9320351193</v>
      </c>
      <c r="K183" s="2200">
        <f t="shared" ca="1" si="179"/>
        <v>661580.82279823825</v>
      </c>
      <c r="L183" s="2200">
        <f t="shared" ca="1" si="179"/>
        <v>0</v>
      </c>
      <c r="M183" s="2098"/>
      <c r="N183" s="2098"/>
      <c r="O183" s="2098"/>
      <c r="P183" s="2098"/>
      <c r="Q183" s="2200">
        <f>SUM(Q184:Q191,Q200)</f>
        <v>4676399.2318100007</v>
      </c>
      <c r="R183" s="2198"/>
      <c r="S183" s="2198"/>
      <c r="T183" s="2198"/>
      <c r="U183" s="2198"/>
      <c r="V183" s="2198"/>
      <c r="W183" s="2198"/>
      <c r="X183" s="2198"/>
      <c r="Y183" s="2198"/>
      <c r="Z183" s="2198"/>
      <c r="AA183" s="2198"/>
      <c r="AB183" s="2198"/>
      <c r="AC183" s="2198"/>
      <c r="AD183" s="2198"/>
      <c r="AE183" s="2198"/>
      <c r="AF183" s="2198"/>
      <c r="AG183" s="2198"/>
      <c r="AH183" s="2198"/>
      <c r="AI183" s="2198"/>
      <c r="AJ183" s="2198"/>
      <c r="AK183" s="2198"/>
      <c r="AL183" s="2198"/>
      <c r="AM183" s="2198"/>
      <c r="AN183" s="2198"/>
      <c r="AO183" s="2198"/>
      <c r="AP183" s="2198"/>
      <c r="AQ183" s="2198"/>
      <c r="AR183" s="2198"/>
      <c r="AS183" s="2198"/>
      <c r="AT183" s="2198"/>
      <c r="AU183" s="2198"/>
      <c r="AV183" s="2198"/>
      <c r="AW183" s="2198"/>
      <c r="AX183" s="2098"/>
      <c r="AY183" s="2098"/>
      <c r="AZ183" s="2098"/>
      <c r="BA183" s="2098"/>
    </row>
    <row r="184" spans="2:53" s="2066" customFormat="1" ht="12">
      <c r="B184" s="2105" t="s">
        <v>4</v>
      </c>
      <c r="C184" s="2106" t="str">
        <f>'[30]Прил. 5 (НВВ) 0'!B26</f>
        <v>Вспомогательные материалы</v>
      </c>
      <c r="D184" s="2201">
        <f>SUMIF($P$8:$P$179,$C184,$D$8:$D$179)</f>
        <v>72505.968799999988</v>
      </c>
      <c r="E184" s="2202">
        <f>SUMIF($P$8:$P$179,$C184,$M$8:$M$179)</f>
        <v>72505.968799999988</v>
      </c>
      <c r="F184" s="2202">
        <f>SUMIF($P$8:$P$179,$C184,$N$8:$N$179)</f>
        <v>67345.308799999999</v>
      </c>
      <c r="G184" s="2107">
        <f ca="1">SUMIF($P$8:$P184,$C184,$E$8:$E$147)</f>
        <v>65166.369999999995</v>
      </c>
      <c r="H184" s="2107">
        <f ca="1">SUMIF($P$8:$P184,$C184,$F$8:$F$147)</f>
        <v>5160.6599999999989</v>
      </c>
      <c r="I184" s="2107">
        <f ca="1">SUMIF($P$8:$P184,$C184,$G$8:$G$147)</f>
        <v>60005.71</v>
      </c>
      <c r="J184" s="2107">
        <f ca="1">SUMIF($P$8:$P184,$C184,$H$8:$H$147)</f>
        <v>7260.3787999999986</v>
      </c>
      <c r="K184" s="2107">
        <f ca="1">SUMIF($P$8:$P184,$C184,$I$8:$I$147)</f>
        <v>79.219999999999985</v>
      </c>
      <c r="L184" s="2107">
        <f ca="1">SUMIF($P$8:$P184,$C184,$J$8:$J$147)</f>
        <v>0</v>
      </c>
      <c r="M184" s="2098"/>
      <c r="N184" s="2098"/>
      <c r="O184" s="2098"/>
      <c r="P184" s="2098"/>
      <c r="Q184" s="2202">
        <f>SUMIF($P$8:$P$179,$C184,$M$8:$M$179)</f>
        <v>72505.968799999988</v>
      </c>
      <c r="R184" s="2198"/>
      <c r="S184" s="2198"/>
      <c r="T184" s="2198"/>
      <c r="U184" s="2198"/>
      <c r="V184" s="2198"/>
      <c r="W184" s="2198"/>
      <c r="X184" s="2198"/>
      <c r="Y184" s="2198"/>
      <c r="Z184" s="2198"/>
      <c r="AA184" s="2198"/>
      <c r="AB184" s="2198"/>
      <c r="AC184" s="2198"/>
      <c r="AD184" s="2198"/>
      <c r="AE184" s="2198"/>
      <c r="AF184" s="2198"/>
      <c r="AG184" s="2198"/>
      <c r="AH184" s="2198"/>
      <c r="AI184" s="2198"/>
      <c r="AJ184" s="2198"/>
      <c r="AK184" s="2198"/>
      <c r="AL184" s="2198"/>
      <c r="AM184" s="2198"/>
      <c r="AN184" s="2198"/>
      <c r="AO184" s="2198"/>
      <c r="AP184" s="2198"/>
      <c r="AQ184" s="2198"/>
      <c r="AR184" s="2198"/>
      <c r="AS184" s="2198"/>
      <c r="AT184" s="2198"/>
      <c r="AU184" s="2198"/>
      <c r="AV184" s="2198"/>
      <c r="AW184" s="2198"/>
      <c r="AX184" s="2098"/>
      <c r="AY184" s="2098"/>
      <c r="AZ184" s="2098"/>
      <c r="BA184" s="2098"/>
    </row>
    <row r="185" spans="2:53" s="2066" customFormat="1" ht="12">
      <c r="B185" s="2105"/>
      <c r="C185" s="2203" t="s">
        <v>3766</v>
      </c>
      <c r="D185" s="2109">
        <f>SUMIF($X$8:$X$147,$C185,$D$8:$D$147)</f>
        <v>39392.829420000002</v>
      </c>
      <c r="E185" s="2204"/>
      <c r="F185" s="2204"/>
      <c r="G185" s="2107">
        <f>H185+I185</f>
        <v>36008.890000000007</v>
      </c>
      <c r="H185" s="2109">
        <f>SUMIF($X$8:$X$147,$C185,$F$8:$F$147)</f>
        <v>2851.62</v>
      </c>
      <c r="I185" s="2109">
        <f>SUMIF($X$8:$X$147,$C185,$G$8:$G$147)</f>
        <v>33157.270000000004</v>
      </c>
      <c r="J185" s="2109">
        <f>SUMIF($X$8:$X$147,$C185,$H$8:$H$147)</f>
        <v>3349.2194200000004</v>
      </c>
      <c r="K185" s="2109">
        <f>SUMIF($X$8:$X$147,$C185,$I$8:$I$147)</f>
        <v>34.72</v>
      </c>
      <c r="L185" s="2109">
        <f>SUMIF($X$8:$X$147,$C185,$J$8:$J$147)</f>
        <v>0</v>
      </c>
      <c r="M185" s="2098"/>
      <c r="N185" s="2098"/>
      <c r="O185" s="2098"/>
      <c r="P185" s="2098"/>
      <c r="Q185" s="2204"/>
      <c r="R185" s="2198"/>
      <c r="S185" s="2198"/>
      <c r="T185" s="2198"/>
      <c r="U185" s="2198"/>
      <c r="V185" s="2198"/>
      <c r="W185" s="2198"/>
      <c r="X185" s="2198"/>
      <c r="Y185" s="2198"/>
      <c r="Z185" s="2198"/>
      <c r="AA185" s="2198"/>
      <c r="AB185" s="2198"/>
      <c r="AC185" s="2198"/>
      <c r="AD185" s="2198"/>
      <c r="AE185" s="2198"/>
      <c r="AF185" s="2198"/>
      <c r="AG185" s="2198"/>
      <c r="AH185" s="2198"/>
      <c r="AI185" s="2198"/>
      <c r="AJ185" s="2198"/>
      <c r="AK185" s="2198"/>
      <c r="AL185" s="2198"/>
      <c r="AM185" s="2198"/>
      <c r="AN185" s="2198"/>
      <c r="AO185" s="2198"/>
      <c r="AP185" s="2198"/>
      <c r="AQ185" s="2198"/>
      <c r="AR185" s="2198"/>
      <c r="AS185" s="2198"/>
      <c r="AT185" s="2198"/>
      <c r="AU185" s="2198"/>
      <c r="AV185" s="2198"/>
      <c r="AW185" s="2198"/>
      <c r="AX185" s="2098"/>
      <c r="AY185" s="2098"/>
      <c r="AZ185" s="2098"/>
      <c r="BA185" s="2098"/>
    </row>
    <row r="186" spans="2:53" s="2066" customFormat="1" ht="12">
      <c r="B186" s="2105"/>
      <c r="C186" s="2203" t="s">
        <v>3755</v>
      </c>
      <c r="D186" s="2109">
        <f>SUMIF($X$8:$X$147,$C186,$D$8:$D$147)</f>
        <v>20804.026450000001</v>
      </c>
      <c r="E186" s="2204"/>
      <c r="F186" s="2204"/>
      <c r="G186" s="2107">
        <f t="shared" ref="G186:G187" si="180">H186+I186</f>
        <v>17360.899999999998</v>
      </c>
      <c r="H186" s="2109">
        <f>SUMIF($X$8:$X$147,$C186,$F$8:$F$147)</f>
        <v>1374.85</v>
      </c>
      <c r="I186" s="2109">
        <f>SUMIF($X$8:$X$147,$C186,$G$8:$G$147)</f>
        <v>15986.05</v>
      </c>
      <c r="J186" s="2109">
        <f>SUMIF($X$8:$X$147,$C186,$H$8:$H$147)</f>
        <v>3418.6664500000006</v>
      </c>
      <c r="K186" s="2109">
        <f>SUMIF($X$8:$X$147,$C186,$I$8:$I$147)</f>
        <v>24.46</v>
      </c>
      <c r="L186" s="2109">
        <f>SUMIF($X$8:$X$147,$C186,$J$8:$J$147)</f>
        <v>0</v>
      </c>
      <c r="M186" s="2098"/>
      <c r="N186" s="2098"/>
      <c r="O186" s="2098"/>
      <c r="P186" s="2098"/>
      <c r="Q186" s="2204"/>
      <c r="R186" s="2198"/>
      <c r="S186" s="2198"/>
      <c r="T186" s="2198"/>
      <c r="U186" s="2198"/>
      <c r="V186" s="2198"/>
      <c r="W186" s="2198"/>
      <c r="X186" s="2198"/>
      <c r="Y186" s="2198"/>
      <c r="Z186" s="2198"/>
      <c r="AA186" s="2198"/>
      <c r="AB186" s="2198"/>
      <c r="AC186" s="2198"/>
      <c r="AD186" s="2198"/>
      <c r="AE186" s="2198"/>
      <c r="AF186" s="2198"/>
      <c r="AG186" s="2198"/>
      <c r="AH186" s="2198"/>
      <c r="AI186" s="2198"/>
      <c r="AJ186" s="2198"/>
      <c r="AK186" s="2198"/>
      <c r="AL186" s="2198"/>
      <c r="AM186" s="2198"/>
      <c r="AN186" s="2198"/>
      <c r="AO186" s="2198"/>
      <c r="AP186" s="2198"/>
      <c r="AQ186" s="2198"/>
      <c r="AR186" s="2198"/>
      <c r="AS186" s="2198"/>
      <c r="AT186" s="2198"/>
      <c r="AU186" s="2198"/>
      <c r="AV186" s="2198"/>
      <c r="AW186" s="2198"/>
      <c r="AX186" s="2098"/>
      <c r="AY186" s="2098"/>
      <c r="AZ186" s="2098"/>
      <c r="BA186" s="2098"/>
    </row>
    <row r="187" spans="2:53" s="2066" customFormat="1" ht="12">
      <c r="B187" s="2105"/>
      <c r="C187" s="2203" t="s">
        <v>3767</v>
      </c>
      <c r="D187" s="2107">
        <f>D184-D185-D186</f>
        <v>12309.112929999985</v>
      </c>
      <c r="E187" s="2204"/>
      <c r="F187" s="2204"/>
      <c r="G187" s="2107">
        <f t="shared" ca="1" si="180"/>
        <v>11796.579999999994</v>
      </c>
      <c r="H187" s="2107">
        <f ca="1">H184-H185-H186</f>
        <v>934.18999999999915</v>
      </c>
      <c r="I187" s="2107">
        <f t="shared" ref="I187:J187" ca="1" si="181">I184-I185-I186</f>
        <v>10862.389999999996</v>
      </c>
      <c r="J187" s="2107">
        <f t="shared" ca="1" si="181"/>
        <v>492.49292999999761</v>
      </c>
      <c r="K187" s="2107">
        <f ca="1">K184-K185-K186</f>
        <v>20.039999999999985</v>
      </c>
      <c r="L187" s="2107">
        <f t="shared" ref="L187" ca="1" si="182">L184-L185-L186</f>
        <v>0</v>
      </c>
      <c r="M187" s="2098"/>
      <c r="N187" s="2098"/>
      <c r="O187" s="2098"/>
      <c r="P187" s="2098"/>
      <c r="Q187" s="2204"/>
      <c r="R187" s="2198"/>
      <c r="S187" s="2198"/>
      <c r="T187" s="2198"/>
      <c r="U187" s="2198"/>
      <c r="V187" s="2198"/>
      <c r="W187" s="2198"/>
      <c r="X187" s="2198"/>
      <c r="Y187" s="2198"/>
      <c r="Z187" s="2198"/>
      <c r="AA187" s="2198"/>
      <c r="AB187" s="2198"/>
      <c r="AC187" s="2198"/>
      <c r="AD187" s="2198"/>
      <c r="AE187" s="2198"/>
      <c r="AF187" s="2198"/>
      <c r="AG187" s="2198"/>
      <c r="AH187" s="2198"/>
      <c r="AI187" s="2198"/>
      <c r="AJ187" s="2198"/>
      <c r="AK187" s="2198"/>
      <c r="AL187" s="2198"/>
      <c r="AM187" s="2198"/>
      <c r="AN187" s="2198"/>
      <c r="AO187" s="2198"/>
      <c r="AP187" s="2198"/>
      <c r="AQ187" s="2198"/>
      <c r="AR187" s="2198"/>
      <c r="AS187" s="2198"/>
      <c r="AT187" s="2198"/>
      <c r="AU187" s="2198"/>
      <c r="AV187" s="2198"/>
      <c r="AW187" s="2198"/>
      <c r="AX187" s="2098"/>
      <c r="AY187" s="2098"/>
      <c r="AZ187" s="2098"/>
      <c r="BA187" s="2098"/>
    </row>
    <row r="188" spans="2:53" s="2066" customFormat="1" ht="12">
      <c r="B188" s="2113" t="s">
        <v>5</v>
      </c>
      <c r="C188" s="2114" t="str">
        <f>'[30]Прил. 5 (НВВ) 0'!B27</f>
        <v>Энергия на хозяйственные нужды</v>
      </c>
      <c r="D188" s="2205">
        <f>SUMIF($P$8:$P$179,$C188,$D$8:$D$179)</f>
        <v>4800.793819999999</v>
      </c>
      <c r="E188" s="2206">
        <f>SUMIF($P$8:$P$179,$C188,$M$8:$M$179)</f>
        <v>4800.793819999999</v>
      </c>
      <c r="F188" s="2206">
        <f t="shared" ref="F188:F190" si="183">SUMIF($P$8:$P$179,$C188,$N$8:$N$179)</f>
        <v>4469.4538199999988</v>
      </c>
      <c r="G188" s="2107">
        <f ca="1">SUMIF($P$8:$P188,$C188,$E$8:$E$147)</f>
        <v>4184.03</v>
      </c>
      <c r="H188" s="2107">
        <f ca="1">SUMIF($P$8:$P188,$C188,$F$8:$F$147)</f>
        <v>331.34000000000003</v>
      </c>
      <c r="I188" s="2107">
        <f ca="1">SUMIF($P$8:$P188,$C188,$G$8:$G$147)</f>
        <v>3852.6899999999996</v>
      </c>
      <c r="J188" s="2107">
        <f ca="1">SUMIF($P$8:$P188,$C188,$H$8:$H$147)</f>
        <v>588.35382000000004</v>
      </c>
      <c r="K188" s="2107">
        <f ca="1">SUMIF($P$8:$P188,$C188,$I$8:$I$147)</f>
        <v>28.41</v>
      </c>
      <c r="L188" s="2107">
        <f ca="1">SUMIF($P$8:$P188,$C188,$J$8:$J$147)</f>
        <v>0</v>
      </c>
      <c r="M188" s="2098"/>
      <c r="N188" s="2098"/>
      <c r="O188" s="2098"/>
      <c r="P188" s="2098"/>
      <c r="Q188" s="2206">
        <f t="shared" ref="Q188:Q190" si="184">SUMIF($P$8:$P$179,$C188,$M$8:$M$179)</f>
        <v>4800.793819999999</v>
      </c>
      <c r="R188" s="2198"/>
      <c r="S188" s="2198"/>
      <c r="T188" s="2198"/>
      <c r="U188" s="2198"/>
      <c r="V188" s="2198"/>
      <c r="W188" s="2198"/>
      <c r="X188" s="2198"/>
      <c r="Y188" s="2198"/>
      <c r="Z188" s="2198"/>
      <c r="AA188" s="2198"/>
      <c r="AB188" s="2198"/>
      <c r="AC188" s="2198"/>
      <c r="AD188" s="2198"/>
      <c r="AE188" s="2198"/>
      <c r="AF188" s="2198"/>
      <c r="AG188" s="2198"/>
      <c r="AH188" s="2198"/>
      <c r="AI188" s="2198"/>
      <c r="AJ188" s="2198"/>
      <c r="AK188" s="2198"/>
      <c r="AL188" s="2198"/>
      <c r="AM188" s="2198"/>
      <c r="AN188" s="2198"/>
      <c r="AO188" s="2198"/>
      <c r="AP188" s="2198"/>
      <c r="AQ188" s="2198"/>
      <c r="AR188" s="2198"/>
      <c r="AS188" s="2198"/>
      <c r="AT188" s="2198"/>
      <c r="AU188" s="2198"/>
      <c r="AV188" s="2198"/>
      <c r="AW188" s="2198"/>
      <c r="AX188" s="2098"/>
      <c r="AY188" s="2098"/>
      <c r="AZ188" s="2098"/>
      <c r="BA188" s="2098"/>
    </row>
    <row r="189" spans="2:53" s="2066" customFormat="1" ht="12">
      <c r="B189" s="2113" t="s">
        <v>6</v>
      </c>
      <c r="C189" s="2114" t="str">
        <f>'[30]Прил. 5 (НВВ) 0'!B28</f>
        <v>Оплата труда ППП (без соц. отчислений)</v>
      </c>
      <c r="D189" s="2205">
        <f>SUMIF($P$8:$P$179,$C189,$D$8:$D$179)</f>
        <v>3392731.2942200005</v>
      </c>
      <c r="E189" s="2206">
        <f t="shared" ref="E189:E190" si="185">SUMIF($P$8:$P$179,$C189,$M$8:$M$179)</f>
        <v>3392731.2942200005</v>
      </c>
      <c r="F189" s="2206">
        <f t="shared" si="183"/>
        <v>3174002.8642199999</v>
      </c>
      <c r="G189" s="2107">
        <f ca="1">SUMIF($P$8:$P189,$C189,$E$8:$E$147)</f>
        <v>2761996.8500000006</v>
      </c>
      <c r="H189" s="2107">
        <f ca="1">SUMIF($P$8:$P189,$C189,$F$8:$F$179)</f>
        <v>218728.43</v>
      </c>
      <c r="I189" s="2107">
        <f ca="1">SUMIF($P$8:$P189,$C189,$G$8:$G$147)</f>
        <v>2543268.42</v>
      </c>
      <c r="J189" s="2107">
        <f ca="1">SUMIF($P$8:$P189,$C189,$H$8:$H$147)</f>
        <v>611749.34421999997</v>
      </c>
      <c r="K189" s="2107">
        <f ca="1">SUMIF($P$8:$P189,$C189,$I$8:$I$147)</f>
        <v>18985.099999999999</v>
      </c>
      <c r="L189" s="2107">
        <f ca="1">SUMIF($P$8:$P189,$C189,$J$8:$J$147)</f>
        <v>0</v>
      </c>
      <c r="M189" s="2098"/>
      <c r="N189" s="2098"/>
      <c r="O189" s="2098"/>
      <c r="P189" s="2098"/>
      <c r="Q189" s="2206">
        <f t="shared" si="184"/>
        <v>3392731.2942200005</v>
      </c>
      <c r="R189" s="2198"/>
      <c r="S189" s="2198"/>
      <c r="T189" s="2198"/>
      <c r="U189" s="2198"/>
      <c r="V189" s="2198"/>
      <c r="W189" s="2198"/>
      <c r="X189" s="2198"/>
      <c r="Y189" s="2198"/>
      <c r="Z189" s="2198"/>
      <c r="AA189" s="2198"/>
      <c r="AB189" s="2198"/>
      <c r="AC189" s="2198"/>
      <c r="AD189" s="2198"/>
      <c r="AE189" s="2198"/>
      <c r="AF189" s="2198"/>
      <c r="AG189" s="2198"/>
      <c r="AH189" s="2198"/>
      <c r="AI189" s="2198"/>
      <c r="AJ189" s="2198"/>
      <c r="AK189" s="2198"/>
      <c r="AL189" s="2198"/>
      <c r="AM189" s="2198"/>
      <c r="AN189" s="2198"/>
      <c r="AO189" s="2198"/>
      <c r="AP189" s="2198"/>
      <c r="AQ189" s="2198"/>
      <c r="AR189" s="2198"/>
      <c r="AS189" s="2198"/>
      <c r="AT189" s="2198"/>
      <c r="AU189" s="2198"/>
      <c r="AV189" s="2198"/>
      <c r="AW189" s="2198"/>
      <c r="AX189" s="2098"/>
      <c r="AY189" s="2098"/>
      <c r="AZ189" s="2098"/>
      <c r="BA189" s="2098"/>
    </row>
    <row r="190" spans="2:53" s="2066" customFormat="1" ht="12">
      <c r="B190" s="2113" t="s">
        <v>7</v>
      </c>
      <c r="C190" s="2114" t="str">
        <f>'[30]Прил. 5 (НВВ) 0'!B29</f>
        <v>Отчисления на страховые взносы</v>
      </c>
      <c r="D190" s="2205">
        <f>SUMIF($P$8:$P$179,$C190,$D$8:$D$179)</f>
        <v>1025829.6804200002</v>
      </c>
      <c r="E190" s="2206">
        <f t="shared" si="185"/>
        <v>1025829.6804200002</v>
      </c>
      <c r="F190" s="2206">
        <f t="shared" si="183"/>
        <v>959681.99042000005</v>
      </c>
      <c r="G190" s="2107">
        <f ca="1">SUMIF($P$8:$P190,$C190,$E$8:$E$147)</f>
        <v>835281.05999999982</v>
      </c>
      <c r="H190" s="2107">
        <f ca="1">SUMIF($P$8:$P190,$C190,$F$8:$F$147)</f>
        <v>66147.689999999988</v>
      </c>
      <c r="I190" s="2107">
        <f ca="1">SUMIF($P$8:$P190,$C190,$G$8:$G$147)</f>
        <v>769133.37</v>
      </c>
      <c r="J190" s="2107">
        <f ca="1">SUMIF($P$8:$P190,$C190,$H$8:$H$147)</f>
        <v>184857.26041999995</v>
      </c>
      <c r="K190" s="2107">
        <f ca="1">SUMIF($P$8:$P190,$C190,$I$8:$I$147)</f>
        <v>5691.36</v>
      </c>
      <c r="L190" s="2107">
        <f ca="1">SUMIF($P$8:$P190,$C190,$J$8:$J$147)</f>
        <v>0</v>
      </c>
      <c r="M190" s="2098"/>
      <c r="N190" s="2098"/>
      <c r="O190" s="2098"/>
      <c r="P190" s="2098"/>
      <c r="Q190" s="2206">
        <f t="shared" si="184"/>
        <v>1025829.6804200002</v>
      </c>
      <c r="R190" s="2198"/>
      <c r="S190" s="2198"/>
      <c r="T190" s="2198"/>
      <c r="U190" s="2198"/>
      <c r="V190" s="2198"/>
      <c r="W190" s="2198"/>
      <c r="X190" s="2198"/>
      <c r="Y190" s="2198"/>
      <c r="Z190" s="2198"/>
      <c r="AA190" s="2198"/>
      <c r="AB190" s="2198"/>
      <c r="AC190" s="2198"/>
      <c r="AD190" s="2198"/>
      <c r="AE190" s="2198"/>
      <c r="AF190" s="2198"/>
      <c r="AG190" s="2198"/>
      <c r="AH190" s="2198"/>
      <c r="AI190" s="2198"/>
      <c r="AJ190" s="2198"/>
      <c r="AK190" s="2198"/>
      <c r="AL190" s="2198"/>
      <c r="AM190" s="2198"/>
      <c r="AN190" s="2198"/>
      <c r="AO190" s="2198"/>
      <c r="AP190" s="2198"/>
      <c r="AQ190" s="2198"/>
      <c r="AR190" s="2198"/>
      <c r="AS190" s="2198"/>
      <c r="AT190" s="2198"/>
      <c r="AU190" s="2198"/>
      <c r="AV190" s="2198"/>
      <c r="AW190" s="2198"/>
      <c r="AX190" s="2098"/>
      <c r="AY190" s="2098"/>
      <c r="AZ190" s="2098"/>
      <c r="BA190" s="2098"/>
    </row>
    <row r="191" spans="2:53" s="2066" customFormat="1" ht="12">
      <c r="B191" s="2113" t="s">
        <v>3707</v>
      </c>
      <c r="C191" s="2114" t="str">
        <f>'[30]Прил. 5 (НВВ) 0'!B30</f>
        <v>Прочие расходы, всего, в том числе:</v>
      </c>
      <c r="D191" s="2207">
        <f>SUM(D192:D194)</f>
        <v>2276995.07455</v>
      </c>
      <c r="E191" s="2207">
        <f>SUM(E192:E194)</f>
        <v>2276995.07455</v>
      </c>
      <c r="F191" s="2207">
        <f>SUM(F192:F194)</f>
        <v>1222279.4960530691</v>
      </c>
      <c r="G191" s="2207">
        <f ca="1">SUM(G192:G194)</f>
        <v>1200892.6834497689</v>
      </c>
      <c r="H191" s="2207">
        <f ca="1">SUM(H192:H194)</f>
        <v>1054715.5784969309</v>
      </c>
      <c r="I191" s="2207">
        <f t="shared" ref="I191:L191" ca="1" si="186">SUM(I192:I194)</f>
        <v>146177.10495283839</v>
      </c>
      <c r="J191" s="2207">
        <f t="shared" ca="1" si="186"/>
        <v>575092.03569143324</v>
      </c>
      <c r="K191" s="2207">
        <f t="shared" ca="1" si="186"/>
        <v>501010.35540879768</v>
      </c>
      <c r="L191" s="2207">
        <f t="shared" ca="1" si="186"/>
        <v>0</v>
      </c>
      <c r="M191" s="2098"/>
      <c r="N191" s="2098"/>
      <c r="O191" s="2098"/>
      <c r="P191" s="2098"/>
      <c r="Q191" s="2207">
        <f>SUM(Q192:Q194)</f>
        <v>180531.49454999997</v>
      </c>
      <c r="R191" s="2198"/>
      <c r="S191" s="2198"/>
      <c r="T191" s="2198"/>
      <c r="U191" s="2198"/>
      <c r="V191" s="2198"/>
      <c r="W191" s="2198"/>
      <c r="X191" s="2198"/>
      <c r="Y191" s="2198"/>
      <c r="Z191" s="2198"/>
      <c r="AA191" s="2198"/>
      <c r="AB191" s="2198"/>
      <c r="AC191" s="2198"/>
      <c r="AD191" s="2198"/>
      <c r="AE191" s="2198"/>
      <c r="AF191" s="2198"/>
      <c r="AG191" s="2198"/>
      <c r="AH191" s="2198"/>
      <c r="AI191" s="2198"/>
      <c r="AJ191" s="2198"/>
      <c r="AK191" s="2198"/>
      <c r="AL191" s="2198"/>
      <c r="AM191" s="2198"/>
      <c r="AN191" s="2198"/>
      <c r="AO191" s="2198"/>
      <c r="AP191" s="2198"/>
      <c r="AQ191" s="2198"/>
      <c r="AR191" s="2198"/>
      <c r="AS191" s="2198"/>
      <c r="AT191" s="2198"/>
      <c r="AU191" s="2198"/>
      <c r="AV191" s="2198"/>
      <c r="AW191" s="2198"/>
      <c r="AX191" s="2098"/>
      <c r="AY191" s="2098"/>
      <c r="AZ191" s="2098"/>
      <c r="BA191" s="2098"/>
    </row>
    <row r="192" spans="2:53" s="2066" customFormat="1" ht="12">
      <c r="B192" s="2113" t="s">
        <v>3709</v>
      </c>
      <c r="C192" s="2203" t="str">
        <f>'[30]Прил. 5 (НВВ) 0'!B31</f>
        <v xml:space="preserve"> - работы и услуги производственного характера</v>
      </c>
      <c r="D192" s="2205">
        <f>SUMIF($P$8:$P$179,$C192,$D$8:$D$179)</f>
        <v>14162.520849999997</v>
      </c>
      <c r="E192" s="2206">
        <f t="shared" ref="E192:E193" si="187">SUMIF($P$8:$P$179,$C192,$M$8:$M$179)</f>
        <v>14162.520849999997</v>
      </c>
      <c r="F192" s="2206">
        <f t="shared" ref="F192:F193" si="188">SUMIF($P$8:$P$179,$C192,$N$8:$N$179)</f>
        <v>13257.340849999999</v>
      </c>
      <c r="G192" s="2107">
        <f ca="1">SUMIF($P$8:$P192,$C192,$E$8:$E$147)</f>
        <v>11430.149999999998</v>
      </c>
      <c r="H192" s="2107">
        <f ca="1">SUMIF($P$8:$P192,$C192,$F$8:$F$147)</f>
        <v>905.18</v>
      </c>
      <c r="I192" s="2107">
        <f ca="1">SUMIF($P$8:$P192,$C192,$G$8:$G$147)</f>
        <v>10524.969999999998</v>
      </c>
      <c r="J192" s="2107">
        <f ca="1">SUMIF($P$8:$P192,$C192,$H$8:$H$147)</f>
        <v>2717.8508500000003</v>
      </c>
      <c r="K192" s="2107">
        <f ca="1">SUMIF($P$8:$P192,$C192,$I$8:$I$147)</f>
        <v>14.52</v>
      </c>
      <c r="M192" s="2098"/>
      <c r="N192" s="2098"/>
      <c r="O192" s="2098"/>
      <c r="P192" s="2098"/>
      <c r="Q192" s="2206">
        <f t="shared" ref="Q192:Q193" si="189">SUMIF($P$8:$P$179,$C192,$M$8:$M$179)</f>
        <v>14162.520849999997</v>
      </c>
      <c r="R192" s="2198"/>
      <c r="S192" s="2198"/>
      <c r="T192" s="2198"/>
      <c r="U192" s="2198"/>
      <c r="V192" s="2198"/>
      <c r="W192" s="2198"/>
      <c r="X192" s="2198"/>
      <c r="Y192" s="2198"/>
      <c r="Z192" s="2198"/>
      <c r="AA192" s="2198"/>
      <c r="AB192" s="2198"/>
      <c r="AC192" s="2198"/>
      <c r="AD192" s="2198"/>
      <c r="AE192" s="2198"/>
      <c r="AF192" s="2198"/>
      <c r="AG192" s="2198"/>
      <c r="AH192" s="2198"/>
      <c r="AI192" s="2198"/>
      <c r="AJ192" s="2198"/>
      <c r="AK192" s="2198"/>
      <c r="AL192" s="2198"/>
      <c r="AM192" s="2198"/>
      <c r="AN192" s="2198"/>
      <c r="AO192" s="2198"/>
      <c r="AP192" s="2198"/>
      <c r="AQ192" s="2198"/>
      <c r="AR192" s="2198"/>
      <c r="AS192" s="2198"/>
      <c r="AT192" s="2198"/>
      <c r="AU192" s="2198"/>
      <c r="AV192" s="2198"/>
      <c r="AW192" s="2198"/>
      <c r="AX192" s="2098"/>
      <c r="AY192" s="2098"/>
      <c r="AZ192" s="2098"/>
      <c r="BA192" s="2098"/>
    </row>
    <row r="193" spans="2:53" s="2066" customFormat="1" ht="24">
      <c r="B193" s="2113" t="s">
        <v>3711</v>
      </c>
      <c r="C193" s="2203" t="str">
        <f>'[30]Прил. 5 (НВВ) 0'!B32</f>
        <v xml:space="preserve"> - налоги и сборы, уменьшающие налогооблагаемую базу на прибыль организаций, всего</v>
      </c>
      <c r="D193" s="2205">
        <f>SUMIF($P$8:$P$179,$C193,$D$8:$D$179)</f>
        <v>15892.126740000003</v>
      </c>
      <c r="E193" s="2206">
        <f t="shared" si="187"/>
        <v>15892.126740000003</v>
      </c>
      <c r="F193" s="2206">
        <f t="shared" si="188"/>
        <v>14777.996740000001</v>
      </c>
      <c r="G193" s="2107">
        <f ca="1">SUMIF($P$8:$P193,$C193,$E$8:$E$147)</f>
        <v>14068.76</v>
      </c>
      <c r="H193" s="2107">
        <f ca="1">SUMIF($P$8:$P193,$C193,$F$8:$F$147)</f>
        <v>1114.1300000000001</v>
      </c>
      <c r="I193" s="2107">
        <f ca="1">SUMIF($P$8:$P193,$C193,$G$8:$G$147)</f>
        <v>12954.63</v>
      </c>
      <c r="J193" s="2107">
        <f ca="1">SUMIF($P$8:$P193,$C193,$H$8:$H$147)</f>
        <v>1784.57674</v>
      </c>
      <c r="K193" s="2107">
        <f ca="1">SUMIF($P$8:$P193,$C193,$I$8:$I$147)</f>
        <v>38.79</v>
      </c>
      <c r="L193" s="2107">
        <f ca="1">SUMIF($P$8:$P193,$C193,$J$8:$J$147)</f>
        <v>0</v>
      </c>
      <c r="M193" s="2098"/>
      <c r="N193" s="2098"/>
      <c r="O193" s="2098"/>
      <c r="P193" s="2098"/>
      <c r="Q193" s="2206">
        <f t="shared" si="189"/>
        <v>15892.126740000003</v>
      </c>
      <c r="R193" s="2198"/>
      <c r="S193" s="2198"/>
      <c r="T193" s="2198"/>
      <c r="U193" s="2198"/>
      <c r="V193" s="2198"/>
      <c r="W193" s="2198"/>
      <c r="X193" s="2198"/>
      <c r="Y193" s="2198"/>
      <c r="Z193" s="2198"/>
      <c r="AA193" s="2198"/>
      <c r="AB193" s="2198"/>
      <c r="AC193" s="2198"/>
      <c r="AD193" s="2198"/>
      <c r="AE193" s="2198"/>
      <c r="AF193" s="2198"/>
      <c r="AG193" s="2198"/>
      <c r="AH193" s="2198"/>
      <c r="AI193" s="2198"/>
      <c r="AJ193" s="2198"/>
      <c r="AK193" s="2198"/>
      <c r="AL193" s="2198"/>
      <c r="AM193" s="2198"/>
      <c r="AN193" s="2198"/>
      <c r="AO193" s="2198"/>
      <c r="AP193" s="2198"/>
      <c r="AQ193" s="2198"/>
      <c r="AR193" s="2198"/>
      <c r="AS193" s="2198"/>
      <c r="AT193" s="2198"/>
      <c r="AU193" s="2198"/>
      <c r="AV193" s="2198"/>
      <c r="AW193" s="2198"/>
      <c r="AX193" s="2098"/>
      <c r="AY193" s="2098"/>
      <c r="AZ193" s="2098"/>
      <c r="BA193" s="2098"/>
    </row>
    <row r="194" spans="2:53" s="2066" customFormat="1" ht="12">
      <c r="B194" s="2113" t="s">
        <v>3713</v>
      </c>
      <c r="C194" s="2203" t="str">
        <f>'[30]Прил. 5 (НВВ) 0'!B33</f>
        <v xml:space="preserve"> - работы и услуги непроизводственного характера, в.ч.:</v>
      </c>
      <c r="D194" s="2207">
        <f>SUM(D195:D199)</f>
        <v>2246940.4269599998</v>
      </c>
      <c r="E194" s="2207">
        <f>SUM(E195:E199)</f>
        <v>2246940.4269599998</v>
      </c>
      <c r="F194" s="2207">
        <f>SUM(F195:F199)</f>
        <v>1194244.1584630692</v>
      </c>
      <c r="G194" s="2207">
        <f t="shared" ref="G194:L194" ca="1" si="190">SUM(G195:G199)</f>
        <v>1175393.773449769</v>
      </c>
      <c r="H194" s="2207">
        <f t="shared" ca="1" si="190"/>
        <v>1052696.2684969308</v>
      </c>
      <c r="I194" s="2207">
        <f t="shared" ca="1" si="190"/>
        <v>122697.5049528384</v>
      </c>
      <c r="J194" s="2207">
        <f t="shared" ca="1" si="190"/>
        <v>570589.60810143326</v>
      </c>
      <c r="K194" s="2207">
        <f t="shared" ca="1" si="190"/>
        <v>500957.04540879768</v>
      </c>
      <c r="L194" s="2207">
        <f t="shared" ca="1" si="190"/>
        <v>0</v>
      </c>
      <c r="M194" s="2098"/>
      <c r="N194" s="2098"/>
      <c r="O194" s="2098"/>
      <c r="P194" s="2098"/>
      <c r="Q194" s="2207">
        <f>SUM(Q195:Q199)</f>
        <v>150476.84695999997</v>
      </c>
      <c r="R194" s="2198"/>
      <c r="S194" s="2198"/>
      <c r="T194" s="2198"/>
      <c r="U194" s="2198"/>
      <c r="V194" s="2198"/>
      <c r="W194" s="2198"/>
      <c r="X194" s="2198"/>
      <c r="Y194" s="2198"/>
      <c r="Z194" s="2198"/>
      <c r="AA194" s="2198"/>
      <c r="AB194" s="2198"/>
      <c r="AC194" s="2198"/>
      <c r="AD194" s="2198"/>
      <c r="AE194" s="2198"/>
      <c r="AF194" s="2198"/>
      <c r="AG194" s="2198"/>
      <c r="AH194" s="2198"/>
      <c r="AI194" s="2198"/>
      <c r="AJ194" s="2198"/>
      <c r="AK194" s="2198"/>
      <c r="AL194" s="2198"/>
      <c r="AM194" s="2198"/>
      <c r="AN194" s="2198"/>
      <c r="AO194" s="2198"/>
      <c r="AP194" s="2198"/>
      <c r="AQ194" s="2198"/>
      <c r="AR194" s="2198"/>
      <c r="AS194" s="2198"/>
      <c r="AT194" s="2198"/>
      <c r="AU194" s="2198"/>
      <c r="AV194" s="2198"/>
      <c r="AW194" s="2198"/>
      <c r="AX194" s="2098"/>
      <c r="AY194" s="2098"/>
      <c r="AZ194" s="2098"/>
      <c r="BA194" s="2098"/>
    </row>
    <row r="195" spans="2:53" s="2066" customFormat="1" ht="12">
      <c r="B195" s="2113" t="s">
        <v>3715</v>
      </c>
      <c r="C195" s="2208" t="str">
        <f>'[30]Прил. 5 (НВВ) 0'!B34</f>
        <v>услуги связи</v>
      </c>
      <c r="D195" s="2205">
        <f>SUMIF($P$8:$P$179,$C195,$D$8:$D$179)</f>
        <v>1707.5206199999998</v>
      </c>
      <c r="E195" s="2206">
        <f t="shared" ref="E195:E198" si="191">SUMIF($P$8:$P$179,$C195,$M$8:$M$179)</f>
        <v>1707.5206199999998</v>
      </c>
      <c r="F195" s="2206">
        <f t="shared" ref="F195:F198" si="192">SUMIF($P$8:$P$179,$C195,$N$8:$N$179)</f>
        <v>1594.79062</v>
      </c>
      <c r="G195" s="2107">
        <f ca="1">SUMIF($P$8:$P195,$C195,$E$8:$E$147)</f>
        <v>1423.4199999999998</v>
      </c>
      <c r="H195" s="2107">
        <f ca="1">SUMIF($P$8:$P195,$C195,$F$8:$F$147)</f>
        <v>112.73</v>
      </c>
      <c r="I195" s="2107">
        <f ca="1">SUMIF($P$8:$P195,$C195,$G$8:$G$147)</f>
        <v>1310.69</v>
      </c>
      <c r="J195" s="2107">
        <f ca="1">SUMIF($P$8:$P195,$C195,$H$8:$H$147)</f>
        <v>274.08062000000001</v>
      </c>
      <c r="K195" s="2107">
        <f ca="1">SUMIF($P$8:$P195,$C195,$I$8:$I$147)</f>
        <v>10.02</v>
      </c>
      <c r="L195" s="2107">
        <f ca="1">SUMIF($P$8:$P195,$C195,$J$8:$J$147)</f>
        <v>0</v>
      </c>
      <c r="M195" s="2098"/>
      <c r="N195" s="2098"/>
      <c r="O195" s="2098"/>
      <c r="P195" s="2098"/>
      <c r="Q195" s="2206">
        <f t="shared" ref="Q195:Q204" si="193">SUMIF($P$8:$P$179,$C195,$M$8:$M$179)</f>
        <v>1707.5206199999998</v>
      </c>
      <c r="R195" s="2198"/>
      <c r="S195" s="2198"/>
      <c r="T195" s="2198"/>
      <c r="U195" s="2198"/>
      <c r="V195" s="2198"/>
      <c r="W195" s="2198"/>
      <c r="X195" s="2198"/>
      <c r="Y195" s="2198"/>
      <c r="Z195" s="2198"/>
      <c r="AA195" s="2198"/>
      <c r="AB195" s="2198"/>
      <c r="AC195" s="2198"/>
      <c r="AD195" s="2198"/>
      <c r="AE195" s="2198"/>
      <c r="AF195" s="2198"/>
      <c r="AG195" s="2198"/>
      <c r="AH195" s="2198"/>
      <c r="AI195" s="2198"/>
      <c r="AJ195" s="2198"/>
      <c r="AK195" s="2198"/>
      <c r="AL195" s="2198"/>
      <c r="AM195" s="2198"/>
      <c r="AN195" s="2198"/>
      <c r="AO195" s="2198"/>
      <c r="AP195" s="2198"/>
      <c r="AQ195" s="2198"/>
      <c r="AR195" s="2198"/>
      <c r="AS195" s="2198"/>
      <c r="AT195" s="2198"/>
      <c r="AU195" s="2198"/>
      <c r="AV195" s="2198"/>
      <c r="AW195" s="2198"/>
      <c r="AX195" s="2098"/>
      <c r="AY195" s="2098"/>
      <c r="AZ195" s="2098"/>
      <c r="BA195" s="2098"/>
    </row>
    <row r="196" spans="2:53" s="2066" customFormat="1" ht="12">
      <c r="B196" s="2113" t="s">
        <v>3717</v>
      </c>
      <c r="C196" s="2208" t="str">
        <f>'[30]Прил. 5 (НВВ) 0'!B35</f>
        <v>расходы на охрану и пожарную безопасность</v>
      </c>
      <c r="D196" s="2205">
        <f>SUMIF($P$8:$P$179,$C196,$D$8:$D$179)</f>
        <v>3378.65013</v>
      </c>
      <c r="E196" s="2206">
        <f t="shared" si="191"/>
        <v>3378.65013</v>
      </c>
      <c r="F196" s="2206">
        <f t="shared" si="192"/>
        <v>3156.7701299999999</v>
      </c>
      <c r="G196" s="2107">
        <f ca="1">SUMIF($P$8:$P196,$C196,$E$8:$E$147)</f>
        <v>2801.68</v>
      </c>
      <c r="H196" s="2107">
        <f ca="1">SUMIF($P$8:$P196,$C196,$F$8:$F$147)</f>
        <v>221.88</v>
      </c>
      <c r="I196" s="2107">
        <f ca="1">SUMIF($P$8:$P196,$C196,$G$8:$G$147)</f>
        <v>2579.7999999999997</v>
      </c>
      <c r="J196" s="2107">
        <f ca="1">SUMIF($P$8:$P196,$C196,$H$8:$H$147)</f>
        <v>556.48013000000003</v>
      </c>
      <c r="K196" s="2107">
        <f ca="1">SUMIF($P$8:$P196,$C196,$I$8:$I$147)</f>
        <v>20.49</v>
      </c>
      <c r="L196" s="2107">
        <f ca="1">SUMIF($P$8:$P196,$C196,$J$8:$J$147)</f>
        <v>0</v>
      </c>
      <c r="M196" s="2098"/>
      <c r="N196" s="2098"/>
      <c r="O196" s="2098"/>
      <c r="P196" s="2098"/>
      <c r="Q196" s="2206">
        <f t="shared" si="193"/>
        <v>3378.65013</v>
      </c>
      <c r="R196" s="2198"/>
      <c r="S196" s="2198"/>
      <c r="T196" s="2198"/>
      <c r="U196" s="2198"/>
      <c r="V196" s="2198"/>
      <c r="W196" s="2198"/>
      <c r="X196" s="2198"/>
      <c r="Y196" s="2198"/>
      <c r="Z196" s="2198"/>
      <c r="AA196" s="2198"/>
      <c r="AB196" s="2198"/>
      <c r="AC196" s="2198"/>
      <c r="AD196" s="2198"/>
      <c r="AE196" s="2198"/>
      <c r="AF196" s="2198"/>
      <c r="AG196" s="2198"/>
      <c r="AH196" s="2198"/>
      <c r="AI196" s="2198"/>
      <c r="AJ196" s="2198"/>
      <c r="AK196" s="2198"/>
      <c r="AL196" s="2198"/>
      <c r="AM196" s="2198"/>
      <c r="AN196" s="2198"/>
      <c r="AO196" s="2198"/>
      <c r="AP196" s="2198"/>
      <c r="AQ196" s="2198"/>
      <c r="AR196" s="2198"/>
      <c r="AS196" s="2198"/>
      <c r="AT196" s="2198"/>
      <c r="AU196" s="2198"/>
      <c r="AV196" s="2198"/>
      <c r="AW196" s="2198"/>
      <c r="AX196" s="2098"/>
      <c r="AY196" s="2098"/>
      <c r="AZ196" s="2098"/>
      <c r="BA196" s="2098"/>
    </row>
    <row r="197" spans="2:53" s="2066" customFormat="1" ht="24">
      <c r="B197" s="2113" t="s">
        <v>3719</v>
      </c>
      <c r="C197" s="2208" t="str">
        <f>'[30]Прил. 5 (НВВ) 0'!B36</f>
        <v>расходы на информационное обслуживание, консультационные и юридические услуги</v>
      </c>
      <c r="D197" s="2205">
        <f>SUMIF($P$8:$P$179,$C197,$D$8:$D$179)</f>
        <v>5379.9366800000007</v>
      </c>
      <c r="E197" s="2206">
        <f t="shared" si="191"/>
        <v>5379.9366800000007</v>
      </c>
      <c r="F197" s="2206">
        <f t="shared" si="192"/>
        <v>5011.7666800000006</v>
      </c>
      <c r="G197" s="2107">
        <f ca="1">SUMIF($P$8:$P197,$C197,$E$8:$E$147)</f>
        <v>4649.08</v>
      </c>
      <c r="H197" s="2107">
        <f ca="1">SUMIF($P$8:$P197,$C197,$F$8:$F$147)</f>
        <v>368.17</v>
      </c>
      <c r="I197" s="2107">
        <f ca="1">SUMIF($P$8:$P197,$C197,$G$8:$G$147)</f>
        <v>4280.9100000000008</v>
      </c>
      <c r="J197" s="2107">
        <f ca="1">SUMIF($P$8:$P197,$C197,$H$8:$H$147)</f>
        <v>706.61667999999997</v>
      </c>
      <c r="K197" s="2107">
        <f ca="1">SUMIF($P$8:$P197,$C197,$I$8:$I$147)</f>
        <v>24.24</v>
      </c>
      <c r="L197" s="2107">
        <f ca="1">SUMIF($P$8:$P197,$C197,$J$8:$J$147)</f>
        <v>0</v>
      </c>
      <c r="M197" s="2098"/>
      <c r="N197" s="2098"/>
      <c r="O197" s="2098"/>
      <c r="P197" s="2098"/>
      <c r="Q197" s="2206">
        <f t="shared" si="193"/>
        <v>5379.9366800000007</v>
      </c>
      <c r="R197" s="2198"/>
      <c r="S197" s="2198"/>
      <c r="T197" s="2198"/>
      <c r="U197" s="2198"/>
      <c r="V197" s="2198"/>
      <c r="W197" s="2198"/>
      <c r="X197" s="2198"/>
      <c r="Y197" s="2198"/>
      <c r="Z197" s="2198"/>
      <c r="AA197" s="2198"/>
      <c r="AB197" s="2198"/>
      <c r="AC197" s="2198"/>
      <c r="AD197" s="2198"/>
      <c r="AE197" s="2198"/>
      <c r="AF197" s="2198"/>
      <c r="AG197" s="2198"/>
      <c r="AH197" s="2198"/>
      <c r="AI197" s="2198"/>
      <c r="AJ197" s="2198"/>
      <c r="AK197" s="2198"/>
      <c r="AL197" s="2198"/>
      <c r="AM197" s="2198"/>
      <c r="AN197" s="2198"/>
      <c r="AO197" s="2198"/>
      <c r="AP197" s="2198"/>
      <c r="AQ197" s="2198"/>
      <c r="AR197" s="2198"/>
      <c r="AS197" s="2198"/>
      <c r="AT197" s="2198"/>
      <c r="AU197" s="2198"/>
      <c r="AV197" s="2198"/>
      <c r="AW197" s="2198"/>
      <c r="AX197" s="2098"/>
      <c r="AY197" s="2098"/>
      <c r="AZ197" s="2098"/>
      <c r="BA197" s="2098"/>
    </row>
    <row r="198" spans="2:53" s="2066" customFormat="1" ht="12">
      <c r="B198" s="2113" t="s">
        <v>3721</v>
      </c>
      <c r="C198" s="2208" t="str">
        <f>'[30]Прил. 5 (НВВ) 0'!B37</f>
        <v>плата за аренду имущества</v>
      </c>
      <c r="D198" s="2205">
        <f>SUMIF($P$8:$P$179,$C198,$D$8:$D$179)</f>
        <v>126.79901000000001</v>
      </c>
      <c r="E198" s="2206">
        <f t="shared" si="191"/>
        <v>126.79901000000001</v>
      </c>
      <c r="F198" s="2206">
        <f t="shared" si="192"/>
        <v>118.62901000000001</v>
      </c>
      <c r="G198" s="2107">
        <f ca="1">SUMIF($P$8:$P198,$C198,$E$8:$E$147)</f>
        <v>103.22</v>
      </c>
      <c r="H198" s="2107">
        <f ca="1">SUMIF($P$8:$P198,$C198,$F$8:$F$147)</f>
        <v>8.17</v>
      </c>
      <c r="I198" s="2107">
        <f ca="1">SUMIF($P$8:$P198,$C198,$G$8:$G$147)</f>
        <v>95.050000000000011</v>
      </c>
      <c r="J198" s="2107">
        <f ca="1">SUMIF($P$8:$P198,$C198,$H$8:$H$147)</f>
        <v>23.149010000000001</v>
      </c>
      <c r="K198" s="2107">
        <f ca="1">SUMIF($P$8:$P198,$C198,$I$8:$I$147)</f>
        <v>0.43</v>
      </c>
      <c r="L198" s="2107">
        <f ca="1">SUMIF($P$8:$P198,$C198,$J$8:$J$147)</f>
        <v>0</v>
      </c>
      <c r="M198" s="2098"/>
      <c r="N198" s="2098"/>
      <c r="O198" s="2098"/>
      <c r="P198" s="2098"/>
      <c r="Q198" s="2206">
        <f t="shared" si="193"/>
        <v>126.79901000000001</v>
      </c>
      <c r="R198" s="2198"/>
      <c r="S198" s="2198"/>
      <c r="T198" s="2198"/>
      <c r="U198" s="2198"/>
      <c r="V198" s="2198"/>
      <c r="W198" s="2198"/>
      <c r="X198" s="2198"/>
      <c r="Y198" s="2198"/>
      <c r="Z198" s="2198"/>
      <c r="AA198" s="2198"/>
      <c r="AB198" s="2198"/>
      <c r="AC198" s="2198"/>
      <c r="AD198" s="2198"/>
      <c r="AE198" s="2198"/>
      <c r="AF198" s="2198"/>
      <c r="AG198" s="2198"/>
      <c r="AH198" s="2198"/>
      <c r="AI198" s="2198"/>
      <c r="AJ198" s="2198"/>
      <c r="AK198" s="2198"/>
      <c r="AL198" s="2198"/>
      <c r="AM198" s="2198"/>
      <c r="AN198" s="2198"/>
      <c r="AO198" s="2198"/>
      <c r="AP198" s="2198"/>
      <c r="AQ198" s="2198"/>
      <c r="AR198" s="2198"/>
      <c r="AS198" s="2198"/>
      <c r="AT198" s="2198"/>
      <c r="AU198" s="2198"/>
      <c r="AV198" s="2198"/>
      <c r="AW198" s="2198"/>
      <c r="AX198" s="2098"/>
      <c r="AY198" s="2098"/>
      <c r="AZ198" s="2098"/>
      <c r="BA198" s="2098"/>
    </row>
    <row r="199" spans="2:53" s="2066" customFormat="1" ht="12">
      <c r="B199" s="2113" t="s">
        <v>3723</v>
      </c>
      <c r="C199" s="2208" t="str">
        <f>'[30]Прил. 5 (НВВ) 0'!B38</f>
        <v xml:space="preserve">другие прочие расходы, связанные с производством и реализацией </v>
      </c>
      <c r="D199" s="2209">
        <f>D209</f>
        <v>2236347.5205199998</v>
      </c>
      <c r="E199" s="2209">
        <f t="shared" ref="E199" si="194">E209</f>
        <v>2236347.5205199998</v>
      </c>
      <c r="F199" s="2209">
        <f>F209</f>
        <v>1184362.2020230691</v>
      </c>
      <c r="G199" s="2209">
        <f ca="1">G209</f>
        <v>1166416.3734497691</v>
      </c>
      <c r="H199" s="2209">
        <f ca="1">H209</f>
        <v>1051985.3184969309</v>
      </c>
      <c r="I199" s="2209">
        <f t="shared" ref="I199:L199" ca="1" si="195">I209</f>
        <v>114431.0549528384</v>
      </c>
      <c r="J199" s="2209">
        <f t="shared" ca="1" si="195"/>
        <v>569029.28166143328</v>
      </c>
      <c r="K199" s="2209">
        <f t="shared" ca="1" si="195"/>
        <v>500901.86540879769</v>
      </c>
      <c r="L199" s="2209">
        <f t="shared" ca="1" si="195"/>
        <v>0</v>
      </c>
      <c r="M199" s="2098"/>
      <c r="N199" s="2098"/>
      <c r="O199" s="2098"/>
      <c r="P199" s="2098"/>
      <c r="Q199" s="2209">
        <f t="shared" ref="Q199" si="196">Q209</f>
        <v>139883.94051999997</v>
      </c>
      <c r="R199" s="2198"/>
      <c r="S199" s="2198"/>
      <c r="T199" s="2198"/>
      <c r="U199" s="2198"/>
      <c r="V199" s="2198"/>
      <c r="W199" s="2198"/>
      <c r="X199" s="2198"/>
      <c r="Y199" s="2198"/>
      <c r="Z199" s="2198"/>
      <c r="AA199" s="2198"/>
      <c r="AB199" s="2198"/>
      <c r="AC199" s="2198"/>
      <c r="AD199" s="2198"/>
      <c r="AE199" s="2198"/>
      <c r="AF199" s="2198"/>
      <c r="AG199" s="2198"/>
      <c r="AH199" s="2198"/>
      <c r="AI199" s="2198"/>
      <c r="AJ199" s="2198"/>
      <c r="AK199" s="2198"/>
      <c r="AL199" s="2198"/>
      <c r="AM199" s="2198"/>
      <c r="AN199" s="2198"/>
      <c r="AO199" s="2198"/>
      <c r="AP199" s="2198"/>
      <c r="AQ199" s="2198"/>
      <c r="AR199" s="2198"/>
      <c r="AS199" s="2198"/>
      <c r="AT199" s="2198"/>
      <c r="AU199" s="2198"/>
      <c r="AV199" s="2198"/>
      <c r="AW199" s="2198"/>
      <c r="AX199" s="2098"/>
      <c r="AY199" s="2098"/>
      <c r="AZ199" s="2098"/>
      <c r="BA199" s="2098"/>
    </row>
    <row r="200" spans="2:53" s="2066" customFormat="1" ht="12">
      <c r="B200" s="2113" t="s">
        <v>3725</v>
      </c>
      <c r="C200" s="2114" t="str">
        <f>'[30]Прил. 5 (НВВ) 0'!B39</f>
        <v>Внереализационные расходы, всего</v>
      </c>
      <c r="D200" s="2207">
        <f>SUM(D201:D204)</f>
        <v>569383.14</v>
      </c>
      <c r="E200" s="2115">
        <f>SUM(E201:E204)</f>
        <v>569383.14</v>
      </c>
      <c r="F200" s="2115">
        <f>SUM(F201:F204)</f>
        <v>285151.164148062</v>
      </c>
      <c r="G200" s="2115">
        <f t="shared" ref="G200:L200" si="197">SUM(G201:G204)</f>
        <v>298113.20352687314</v>
      </c>
      <c r="H200" s="2115">
        <f t="shared" si="197"/>
        <v>284231.97585193801</v>
      </c>
      <c r="I200" s="2115">
        <f t="shared" si="197"/>
        <v>13881.227674935173</v>
      </c>
      <c r="J200" s="2115">
        <f t="shared" si="197"/>
        <v>135483.5590836863</v>
      </c>
      <c r="K200" s="2115">
        <f t="shared" si="197"/>
        <v>135786.37738944055</v>
      </c>
      <c r="L200" s="2115">
        <f t="shared" si="197"/>
        <v>0</v>
      </c>
      <c r="M200" s="2098"/>
      <c r="N200" s="2098"/>
      <c r="O200" s="2098"/>
      <c r="P200" s="2098"/>
      <c r="Q200" s="2207">
        <f t="shared" si="193"/>
        <v>0</v>
      </c>
      <c r="R200" s="2198"/>
      <c r="S200" s="2198"/>
      <c r="T200" s="2198"/>
      <c r="U200" s="2198"/>
      <c r="V200" s="2198"/>
      <c r="W200" s="2198"/>
      <c r="X200" s="2198"/>
      <c r="Y200" s="2198"/>
      <c r="Z200" s="2198"/>
      <c r="AA200" s="2198"/>
      <c r="AB200" s="2198"/>
      <c r="AC200" s="2198"/>
      <c r="AD200" s="2198"/>
      <c r="AE200" s="2198"/>
      <c r="AF200" s="2198"/>
      <c r="AG200" s="2198"/>
      <c r="AH200" s="2198"/>
      <c r="AI200" s="2198"/>
      <c r="AJ200" s="2198"/>
      <c r="AK200" s="2198"/>
      <c r="AL200" s="2198"/>
      <c r="AM200" s="2198"/>
      <c r="AN200" s="2198"/>
      <c r="AO200" s="2198"/>
      <c r="AP200" s="2198"/>
      <c r="AQ200" s="2198"/>
      <c r="AR200" s="2198"/>
      <c r="AS200" s="2198"/>
      <c r="AT200" s="2198"/>
      <c r="AU200" s="2198"/>
      <c r="AV200" s="2198"/>
      <c r="AW200" s="2198"/>
      <c r="AX200" s="2098"/>
      <c r="AY200" s="2098"/>
      <c r="AZ200" s="2098"/>
      <c r="BA200" s="2098"/>
    </row>
    <row r="201" spans="2:53" s="2066" customFormat="1" ht="12">
      <c r="B201" s="2113" t="s">
        <v>3727</v>
      </c>
      <c r="C201" s="2203" t="str">
        <f>'[30]Прил. 5 (НВВ) 0'!B40</f>
        <v xml:space="preserve"> - расходы на услуги банков</v>
      </c>
      <c r="D201" s="2206">
        <f>SUMIF($P$8:$P$179,$C201,$D$8:$D$179)</f>
        <v>0</v>
      </c>
      <c r="E201" s="2108">
        <f t="shared" ref="E201" si="198">SUM(H201:K201)</f>
        <v>0</v>
      </c>
      <c r="F201" s="2109">
        <f>SUMIF($O$8:$O$147,$C201,$F$8:$F$147)</f>
        <v>0</v>
      </c>
      <c r="G201" s="2107">
        <f t="shared" ref="G201" si="199">SUMIF($O$8:$O$147,$C201,$E$8:$E$147)</f>
        <v>0</v>
      </c>
      <c r="H201" s="2109">
        <f>SUMIF($O$8:$O$147,$C201,$H$8:$H$147)</f>
        <v>0</v>
      </c>
      <c r="I201" s="2109">
        <f t="shared" ref="I201" si="200">SUMIF($O$8:$O$147,$C201,$G$8:$G$147)</f>
        <v>0</v>
      </c>
      <c r="J201" s="2109">
        <f t="shared" ref="J201" si="201">SUMIF($O$8:$O$147,$C201,$H$8:$H$147)</f>
        <v>0</v>
      </c>
      <c r="K201" s="2109">
        <f t="shared" ref="K201" si="202">SUMIF($O$8:$O$147,$C201,$I$8:$I$147)</f>
        <v>0</v>
      </c>
      <c r="L201" s="2109">
        <f t="shared" ref="L201" si="203">SUMIF($O$8:$O$147,$C201,$J$8:$J$147)</f>
        <v>0</v>
      </c>
      <c r="M201" s="2098"/>
      <c r="N201" s="2098"/>
      <c r="O201" s="2098"/>
      <c r="P201" s="2098"/>
      <c r="Q201" s="2206">
        <f t="shared" si="193"/>
        <v>0</v>
      </c>
      <c r="R201" s="2198"/>
      <c r="S201" s="2198"/>
      <c r="T201" s="2198"/>
      <c r="U201" s="2198"/>
      <c r="V201" s="2198"/>
      <c r="W201" s="2198"/>
      <c r="X201" s="2198"/>
      <c r="Y201" s="2198"/>
      <c r="Z201" s="2198"/>
      <c r="AA201" s="2198"/>
      <c r="AB201" s="2198"/>
      <c r="AC201" s="2198"/>
      <c r="AD201" s="2198"/>
      <c r="AE201" s="2198"/>
      <c r="AF201" s="2198"/>
      <c r="AG201" s="2198"/>
      <c r="AH201" s="2198"/>
      <c r="AI201" s="2198"/>
      <c r="AJ201" s="2198"/>
      <c r="AK201" s="2198"/>
      <c r="AL201" s="2198"/>
      <c r="AM201" s="2198"/>
      <c r="AN201" s="2198"/>
      <c r="AO201" s="2198"/>
      <c r="AP201" s="2198"/>
      <c r="AQ201" s="2198"/>
      <c r="AR201" s="2198"/>
      <c r="AS201" s="2198"/>
      <c r="AT201" s="2198"/>
      <c r="AU201" s="2198"/>
      <c r="AV201" s="2198"/>
      <c r="AW201" s="2198"/>
      <c r="AX201" s="2098"/>
      <c r="AY201" s="2098"/>
      <c r="AZ201" s="2098"/>
      <c r="BA201" s="2098"/>
    </row>
    <row r="202" spans="2:53" s="2066" customFormat="1" ht="12">
      <c r="B202" s="2113" t="s">
        <v>3729</v>
      </c>
      <c r="C202" s="2203" t="str">
        <f>'[30]Прил. 5 (НВВ) 0'!B41</f>
        <v xml:space="preserve"> - % за пользование кредитом</v>
      </c>
      <c r="D202" s="2206"/>
      <c r="E202" s="2108"/>
      <c r="F202" s="2108"/>
      <c r="G202" s="2116"/>
      <c r="H202" s="2117"/>
      <c r="I202" s="2117"/>
      <c r="J202" s="2117"/>
      <c r="K202" s="2117"/>
      <c r="L202" s="2117"/>
      <c r="M202" s="2098"/>
      <c r="N202" s="2098"/>
      <c r="O202" s="2098"/>
      <c r="P202" s="2098"/>
      <c r="Q202" s="2206">
        <f t="shared" si="193"/>
        <v>0</v>
      </c>
      <c r="R202" s="2198"/>
      <c r="S202" s="2198"/>
      <c r="T202" s="2198"/>
      <c r="U202" s="2198"/>
      <c r="V202" s="2198"/>
      <c r="W202" s="2198"/>
      <c r="X202" s="2198"/>
      <c r="Y202" s="2198"/>
      <c r="Z202" s="2198"/>
      <c r="AA202" s="2198"/>
      <c r="AB202" s="2198"/>
      <c r="AC202" s="2198"/>
      <c r="AD202" s="2198"/>
      <c r="AE202" s="2198"/>
      <c r="AF202" s="2198"/>
      <c r="AG202" s="2198"/>
      <c r="AH202" s="2198"/>
      <c r="AI202" s="2198"/>
      <c r="AJ202" s="2198"/>
      <c r="AK202" s="2198"/>
      <c r="AL202" s="2198"/>
      <c r="AM202" s="2198"/>
      <c r="AN202" s="2198"/>
      <c r="AO202" s="2198"/>
      <c r="AP202" s="2198"/>
      <c r="AQ202" s="2198"/>
      <c r="AR202" s="2198"/>
      <c r="AS202" s="2198"/>
      <c r="AT202" s="2198"/>
      <c r="AU202" s="2198"/>
      <c r="AV202" s="2198"/>
      <c r="AW202" s="2198"/>
      <c r="AX202" s="2098"/>
      <c r="AY202" s="2098"/>
      <c r="AZ202" s="2098"/>
      <c r="BA202" s="2098"/>
    </row>
    <row r="203" spans="2:53" s="2066" customFormat="1" ht="12">
      <c r="B203" s="2113" t="s">
        <v>3731</v>
      </c>
      <c r="C203" s="2203" t="str">
        <f>'[30]Прил. 5 (НВВ) 0'!B42</f>
        <v xml:space="preserve"> - прочие обоснованные расходы*</v>
      </c>
      <c r="D203" s="2112">
        <f>D225-D204</f>
        <v>471396.72000000003</v>
      </c>
      <c r="E203" s="2112">
        <f t="shared" ref="E203:L203" si="204">E225-E204</f>
        <v>471396.72000000003</v>
      </c>
      <c r="F203" s="2112">
        <f t="shared" si="204"/>
        <v>192388.4237429979</v>
      </c>
      <c r="G203" s="2112">
        <f t="shared" si="204"/>
        <v>207976.32914697359</v>
      </c>
      <c r="H203" s="2112">
        <f>H225-H204</f>
        <v>279008.2962570021</v>
      </c>
      <c r="I203" s="2112">
        <f t="shared" si="204"/>
        <v>-71031.96711002849</v>
      </c>
      <c r="J203" s="2112">
        <f t="shared" si="204"/>
        <v>128007.46560658481</v>
      </c>
      <c r="K203" s="2112">
        <f t="shared" si="204"/>
        <v>135412.925246442</v>
      </c>
      <c r="L203" s="2112">
        <f t="shared" si="204"/>
        <v>0</v>
      </c>
      <c r="M203" s="2098"/>
      <c r="N203" s="2098"/>
      <c r="O203" s="2098"/>
      <c r="P203" s="2098"/>
      <c r="Q203" s="2209">
        <f>Q225</f>
        <v>0</v>
      </c>
      <c r="R203" s="2198"/>
      <c r="S203" s="2198"/>
      <c r="T203" s="2198"/>
      <c r="U203" s="2198"/>
      <c r="V203" s="2198"/>
      <c r="W203" s="2198"/>
      <c r="X203" s="2198"/>
      <c r="Y203" s="2198"/>
      <c r="Z203" s="2198"/>
      <c r="AA203" s="2198"/>
      <c r="AB203" s="2198"/>
      <c r="AC203" s="2198"/>
      <c r="AD203" s="2198"/>
      <c r="AE203" s="2198"/>
      <c r="AF203" s="2198"/>
      <c r="AG203" s="2198"/>
      <c r="AH203" s="2198"/>
      <c r="AI203" s="2198"/>
      <c r="AJ203" s="2198"/>
      <c r="AK203" s="2198"/>
      <c r="AL203" s="2198"/>
      <c r="AM203" s="2198"/>
      <c r="AN203" s="2198"/>
      <c r="AO203" s="2198"/>
      <c r="AP203" s="2198"/>
      <c r="AQ203" s="2198"/>
      <c r="AR203" s="2198"/>
      <c r="AS203" s="2198"/>
      <c r="AT203" s="2198"/>
      <c r="AU203" s="2198"/>
      <c r="AV203" s="2198"/>
      <c r="AW203" s="2198"/>
      <c r="AX203" s="2098"/>
      <c r="AY203" s="2098"/>
      <c r="AZ203" s="2098"/>
      <c r="BA203" s="2098"/>
    </row>
    <row r="204" spans="2:53" s="2066" customFormat="1" ht="12">
      <c r="B204" s="2118" t="s">
        <v>3733</v>
      </c>
      <c r="C204" s="2210" t="str">
        <f>'[30]Прил. 5 (НВВ) 0'!B43</f>
        <v xml:space="preserve"> - денежные выплаты социального характера (по Коллективному договору)</v>
      </c>
      <c r="D204" s="2211">
        <f>'[30]Затраты 2016'!C37*1000</f>
        <v>97986.42</v>
      </c>
      <c r="E204" s="2120">
        <f>D204-L204</f>
        <v>97986.42</v>
      </c>
      <c r="F204" s="2120">
        <f>E204-H204</f>
        <v>92762.740405064105</v>
      </c>
      <c r="G204" s="2121">
        <f>H204+I204</f>
        <v>90136.874379899557</v>
      </c>
      <c r="H204" s="2120">
        <f>'[30]Затраты 2016'!H37*1000</f>
        <v>5223.6795949358993</v>
      </c>
      <c r="I204" s="2120">
        <f>'[30]Затраты 2016'!I37*1000</f>
        <v>84913.194784963664</v>
      </c>
      <c r="J204" s="2120">
        <f>'[30]Затраты 2016'!J37*1000</f>
        <v>7476.0934771014936</v>
      </c>
      <c r="K204" s="2120">
        <f>'[30]Затраты 2016'!K37*1000</f>
        <v>373.45214299854018</v>
      </c>
      <c r="L204" s="2120">
        <f>'[30]Затраты 2016'!L37*1000</f>
        <v>0</v>
      </c>
      <c r="M204" s="2098"/>
      <c r="N204" s="2098"/>
      <c r="O204" s="2098"/>
      <c r="P204" s="2098"/>
      <c r="Q204" s="2211">
        <f t="shared" si="193"/>
        <v>0</v>
      </c>
      <c r="R204" s="2198"/>
      <c r="S204" s="2198"/>
      <c r="T204" s="2198"/>
      <c r="U204" s="2198"/>
      <c r="V204" s="2198"/>
      <c r="W204" s="2198"/>
      <c r="X204" s="2198"/>
      <c r="Y204" s="2198"/>
      <c r="Z204" s="2198"/>
      <c r="AA204" s="2198"/>
      <c r="AB204" s="2198"/>
      <c r="AC204" s="2198"/>
      <c r="AD204" s="2198"/>
      <c r="AE204" s="2198"/>
      <c r="AF204" s="2198"/>
      <c r="AG204" s="2198"/>
      <c r="AH204" s="2198"/>
      <c r="AI204" s="2198"/>
      <c r="AJ204" s="2198"/>
      <c r="AK204" s="2198"/>
      <c r="AL204" s="2198"/>
      <c r="AM204" s="2198"/>
      <c r="AN204" s="2198"/>
      <c r="AO204" s="2198"/>
      <c r="AP204" s="2198"/>
      <c r="AQ204" s="2198"/>
      <c r="AR204" s="2198"/>
      <c r="AS204" s="2198"/>
      <c r="AT204" s="2198"/>
      <c r="AU204" s="2198"/>
      <c r="AV204" s="2198"/>
      <c r="AW204" s="2198"/>
      <c r="AX204" s="2098"/>
      <c r="AY204" s="2098"/>
      <c r="AZ204" s="2098"/>
      <c r="BA204" s="2098"/>
    </row>
    <row r="205" spans="2:53" s="2066" customFormat="1" ht="11.25" customHeight="1">
      <c r="C205" s="2096"/>
      <c r="D205" s="2174"/>
      <c r="E205" s="2097"/>
      <c r="F205" s="2097"/>
      <c r="G205" s="2098"/>
      <c r="H205" s="2098"/>
      <c r="I205" s="2098"/>
      <c r="J205" s="2098"/>
      <c r="K205" s="2098"/>
      <c r="L205" s="2098"/>
      <c r="M205" s="2098"/>
      <c r="N205" s="2098"/>
      <c r="O205" s="2098"/>
      <c r="P205" s="2098"/>
      <c r="Q205" s="2097"/>
      <c r="R205" s="2198"/>
      <c r="S205" s="2198"/>
      <c r="T205" s="2198"/>
      <c r="U205" s="2198"/>
      <c r="V205" s="2198"/>
      <c r="W205" s="2198"/>
      <c r="X205" s="2198"/>
      <c r="Y205" s="2198"/>
      <c r="Z205" s="2198"/>
      <c r="AA205" s="2198"/>
      <c r="AB205" s="2198"/>
      <c r="AC205" s="2198"/>
      <c r="AD205" s="2198"/>
      <c r="AE205" s="2198"/>
      <c r="AF205" s="2198"/>
      <c r="AG205" s="2198"/>
      <c r="AH205" s="2198"/>
      <c r="AI205" s="2198"/>
      <c r="AJ205" s="2198"/>
      <c r="AK205" s="2198"/>
      <c r="AL205" s="2198"/>
      <c r="AM205" s="2198"/>
      <c r="AN205" s="2198"/>
      <c r="AO205" s="2198"/>
      <c r="AP205" s="2198"/>
      <c r="AQ205" s="2198"/>
      <c r="AR205" s="2198"/>
      <c r="AS205" s="2198"/>
      <c r="AT205" s="2198"/>
      <c r="AU205" s="2198"/>
      <c r="AV205" s="2198"/>
      <c r="AW205" s="2198"/>
      <c r="AX205" s="2098"/>
      <c r="AY205" s="2098"/>
      <c r="AZ205" s="2098"/>
      <c r="BA205" s="2098"/>
    </row>
    <row r="206" spans="2:53" s="2066" customFormat="1" ht="20.100000000000001" customHeight="1">
      <c r="B206" s="3394" t="s">
        <v>3817</v>
      </c>
      <c r="C206" s="3394" t="s">
        <v>3818</v>
      </c>
      <c r="D206" s="2212"/>
      <c r="E206" s="3395" t="str">
        <f>M$5</f>
        <v>Факт без индивидуальных проектов</v>
      </c>
      <c r="F206" s="3395" t="str">
        <f>N$5</f>
        <v>Факт без индивидуальных и льготников</v>
      </c>
      <c r="G206" s="3408" t="s">
        <v>2936</v>
      </c>
      <c r="H206" s="3407" t="s">
        <v>3795</v>
      </c>
      <c r="I206" s="3407"/>
      <c r="J206" s="3408" t="s">
        <v>2915</v>
      </c>
      <c r="K206" s="3408" t="s">
        <v>1465</v>
      </c>
      <c r="L206" s="3408" t="s">
        <v>3741</v>
      </c>
      <c r="M206" s="2098"/>
      <c r="N206" s="2098"/>
      <c r="O206" s="2098"/>
      <c r="P206" s="2098"/>
      <c r="Q206" s="3410">
        <f>X$4</f>
        <v>0</v>
      </c>
      <c r="R206" s="2198"/>
      <c r="S206" s="2198"/>
      <c r="T206" s="2198"/>
      <c r="U206" s="2198"/>
      <c r="V206" s="2198"/>
      <c r="W206" s="2198"/>
      <c r="X206" s="2198"/>
      <c r="Y206" s="2198"/>
      <c r="Z206" s="2198"/>
      <c r="AA206" s="2198"/>
      <c r="AB206" s="2198"/>
      <c r="AC206" s="2198"/>
      <c r="AD206" s="2198"/>
      <c r="AE206" s="2198"/>
      <c r="AF206" s="2198"/>
      <c r="AG206" s="2198"/>
      <c r="AH206" s="2198"/>
      <c r="AI206" s="2198"/>
      <c r="AJ206" s="2198"/>
      <c r="AK206" s="2198"/>
      <c r="AL206" s="2198"/>
      <c r="AM206" s="2198"/>
      <c r="AN206" s="2198"/>
      <c r="AO206" s="2198"/>
      <c r="AP206" s="2198"/>
      <c r="AQ206" s="2198"/>
      <c r="AR206" s="2198"/>
      <c r="AS206" s="2198"/>
      <c r="AT206" s="2198"/>
      <c r="AU206" s="2198"/>
      <c r="AV206" s="2198"/>
      <c r="AW206" s="2198"/>
      <c r="AX206" s="2098"/>
      <c r="AY206" s="2098"/>
      <c r="AZ206" s="2098"/>
      <c r="BA206" s="2098"/>
    </row>
    <row r="207" spans="2:53" s="2066" customFormat="1" ht="20.100000000000001" customHeight="1">
      <c r="B207" s="3394"/>
      <c r="C207" s="3394"/>
      <c r="D207" s="2212"/>
      <c r="E207" s="3395"/>
      <c r="F207" s="3395"/>
      <c r="G207" s="3409"/>
      <c r="H207" s="2100" t="s">
        <v>3798</v>
      </c>
      <c r="I207" s="2100" t="s">
        <v>3799</v>
      </c>
      <c r="J207" s="3409"/>
      <c r="K207" s="3409"/>
      <c r="L207" s="3409"/>
      <c r="M207" s="2098"/>
      <c r="N207" s="2098"/>
      <c r="O207" s="2098"/>
      <c r="P207" s="2098"/>
      <c r="Q207" s="3410"/>
      <c r="R207" s="2198"/>
      <c r="S207" s="2198"/>
      <c r="T207" s="2198"/>
      <c r="U207" s="2198"/>
      <c r="V207" s="2198"/>
      <c r="W207" s="2198"/>
      <c r="X207" s="2198"/>
      <c r="Y207" s="2198"/>
      <c r="Z207" s="2198"/>
      <c r="AA207" s="2198"/>
      <c r="AB207" s="2198"/>
      <c r="AC207" s="2198"/>
      <c r="AD207" s="2198"/>
      <c r="AE207" s="2198"/>
      <c r="AF207" s="2198"/>
      <c r="AG207" s="2198"/>
      <c r="AH207" s="2198"/>
      <c r="AI207" s="2198"/>
      <c r="AJ207" s="2198"/>
      <c r="AK207" s="2198"/>
      <c r="AL207" s="2198"/>
      <c r="AM207" s="2198"/>
      <c r="AN207" s="2198"/>
      <c r="AO207" s="2198"/>
      <c r="AP207" s="2198"/>
      <c r="AQ207" s="2198"/>
      <c r="AR207" s="2198"/>
      <c r="AS207" s="2198"/>
      <c r="AT207" s="2198"/>
      <c r="AU207" s="2198"/>
      <c r="AV207" s="2198"/>
      <c r="AW207" s="2198"/>
      <c r="AX207" s="2098"/>
      <c r="AY207" s="2098"/>
      <c r="AZ207" s="2098"/>
      <c r="BA207" s="2098"/>
    </row>
    <row r="208" spans="2:53" s="2066" customFormat="1" ht="12">
      <c r="B208" s="2123">
        <v>1</v>
      </c>
      <c r="C208" s="2123">
        <v>2</v>
      </c>
      <c r="D208" s="2174"/>
      <c r="E208" s="2097"/>
      <c r="F208" s="2097"/>
      <c r="G208" s="2098"/>
      <c r="H208" s="2098"/>
      <c r="I208" s="2098"/>
      <c r="J208" s="2098"/>
      <c r="K208" s="2098"/>
      <c r="L208" s="2098"/>
      <c r="M208" s="2098"/>
      <c r="N208" s="2098"/>
      <c r="O208" s="2098"/>
      <c r="P208" s="2098"/>
      <c r="Q208" s="2097"/>
      <c r="R208" s="2198"/>
      <c r="S208" s="2198"/>
      <c r="T208" s="2198"/>
      <c r="U208" s="2198"/>
      <c r="V208" s="2198"/>
      <c r="W208" s="2198"/>
      <c r="X208" s="2198"/>
      <c r="Y208" s="2198"/>
      <c r="Z208" s="2198"/>
      <c r="AA208" s="2198"/>
      <c r="AB208" s="2198"/>
      <c r="AC208" s="2198"/>
      <c r="AD208" s="2198"/>
      <c r="AE208" s="2198"/>
      <c r="AF208" s="2198"/>
      <c r="AG208" s="2198"/>
      <c r="AH208" s="2198"/>
      <c r="AI208" s="2198"/>
      <c r="AJ208" s="2198"/>
      <c r="AK208" s="2198"/>
      <c r="AL208" s="2198"/>
      <c r="AM208" s="2198"/>
      <c r="AN208" s="2198"/>
      <c r="AO208" s="2198"/>
      <c r="AP208" s="2198"/>
      <c r="AQ208" s="2198"/>
      <c r="AR208" s="2198"/>
      <c r="AS208" s="2198"/>
      <c r="AT208" s="2198"/>
      <c r="AU208" s="2198"/>
      <c r="AV208" s="2198"/>
      <c r="AW208" s="2198"/>
      <c r="AX208" s="2098"/>
      <c r="AY208" s="2098"/>
      <c r="AZ208" s="2098"/>
      <c r="BA208" s="2098"/>
    </row>
    <row r="209" spans="2:53" s="2066" customFormat="1" ht="24" customHeight="1">
      <c r="B209" s="3392" t="s">
        <v>3819</v>
      </c>
      <c r="C209" s="3393"/>
      <c r="D209" s="2213">
        <f>SUM(D210:D224)</f>
        <v>2236347.5205199998</v>
      </c>
      <c r="E209" s="2124">
        <f t="shared" ref="E209:L209" si="205">SUM(E210:E224)</f>
        <v>2236347.5205199998</v>
      </c>
      <c r="F209" s="2124">
        <f t="shared" si="205"/>
        <v>1184362.2020230691</v>
      </c>
      <c r="G209" s="2124">
        <f t="shared" ca="1" si="205"/>
        <v>1166416.3734497691</v>
      </c>
      <c r="H209" s="2124">
        <f t="shared" ca="1" si="205"/>
        <v>1051985.3184969309</v>
      </c>
      <c r="I209" s="2124">
        <f t="shared" ca="1" si="205"/>
        <v>114431.0549528384</v>
      </c>
      <c r="J209" s="2124">
        <f t="shared" ca="1" si="205"/>
        <v>569029.28166143328</v>
      </c>
      <c r="K209" s="2124">
        <f t="shared" ca="1" si="205"/>
        <v>500901.86540879769</v>
      </c>
      <c r="L209" s="2124">
        <f t="shared" ca="1" si="205"/>
        <v>0</v>
      </c>
      <c r="M209" s="2098"/>
      <c r="N209" s="2098"/>
      <c r="O209" s="2098"/>
      <c r="P209" s="2098"/>
      <c r="Q209" s="2124">
        <f>SUM(Q210:Q224)</f>
        <v>139883.94051999997</v>
      </c>
      <c r="R209" s="2198"/>
      <c r="S209" s="2198"/>
      <c r="T209" s="2198"/>
      <c r="U209" s="2198"/>
      <c r="V209" s="2198"/>
      <c r="W209" s="2198"/>
      <c r="X209" s="2198"/>
      <c r="Y209" s="2198"/>
      <c r="Z209" s="2198"/>
      <c r="AA209" s="2198"/>
      <c r="AB209" s="2198"/>
      <c r="AC209" s="2198"/>
      <c r="AD209" s="2198"/>
      <c r="AE209" s="2198"/>
      <c r="AF209" s="2198"/>
      <c r="AG209" s="2198"/>
      <c r="AH209" s="2198"/>
      <c r="AI209" s="2198"/>
      <c r="AJ209" s="2198"/>
      <c r="AK209" s="2198"/>
      <c r="AL209" s="2198"/>
      <c r="AM209" s="2198"/>
      <c r="AN209" s="2198"/>
      <c r="AO209" s="2198"/>
      <c r="AP209" s="2198"/>
      <c r="AQ209" s="2198"/>
      <c r="AR209" s="2198"/>
      <c r="AS209" s="2198"/>
      <c r="AT209" s="2198"/>
      <c r="AU209" s="2198"/>
      <c r="AV209" s="2198"/>
      <c r="AW209" s="2198"/>
      <c r="AX209" s="2098"/>
      <c r="AY209" s="2098"/>
      <c r="AZ209" s="2098"/>
      <c r="BA209" s="2098"/>
    </row>
    <row r="210" spans="2:53" s="2066" customFormat="1" ht="12">
      <c r="B210" s="2125">
        <v>1</v>
      </c>
      <c r="C210" s="2126" t="str">
        <f>'[30]Прил. 5 (НВВ) 0'!B59</f>
        <v>Затраты по исполнительному аппарату ПАО "МРСК Юга"</v>
      </c>
      <c r="D210" s="2214">
        <f>'Выручка, УО_ 2016'!C27*1000</f>
        <v>2096463.58</v>
      </c>
      <c r="E210" s="2107">
        <f>D210</f>
        <v>2096463.58</v>
      </c>
      <c r="F210" s="2107">
        <f>D210-H210</f>
        <v>1049924.0115030692</v>
      </c>
      <c r="G210" s="2107">
        <f>H210+I210</f>
        <v>1097650.1234497691</v>
      </c>
      <c r="H210" s="2107">
        <f>('[30]Затраты 2016'!H27)*1000</f>
        <v>1046539.5684969308</v>
      </c>
      <c r="I210" s="2107">
        <f>('[30]Затраты 2016'!I27)*1000</f>
        <v>51110.5549528384</v>
      </c>
      <c r="J210" s="2107">
        <f>('[30]Затраты 2016'!J27)*1000</f>
        <v>498849.24114143336</v>
      </c>
      <c r="K210" s="2107">
        <f>('[30]Затраты 2016'!K27)*1000</f>
        <v>499964.21540879773</v>
      </c>
      <c r="L210" s="2107">
        <f>('[30]Затраты 2016'!L27+'[30]Затраты 2016'!L28)*1000</f>
        <v>0</v>
      </c>
      <c r="M210" s="2098">
        <v>1267128.9273874997</v>
      </c>
      <c r="N210" s="2098"/>
      <c r="O210" s="2098"/>
      <c r="P210" s="2098"/>
      <c r="Q210" s="2107">
        <f t="shared" ref="Q210:Q224" si="206">SUMIF($P$8:$P$179,$C210,$M$8:$M$179)</f>
        <v>0</v>
      </c>
      <c r="R210" s="2198"/>
      <c r="S210" s="2198"/>
      <c r="T210" s="2198"/>
      <c r="U210" s="2198"/>
      <c r="V210" s="2198"/>
      <c r="W210" s="2198"/>
      <c r="X210" s="2198"/>
      <c r="Y210" s="2198"/>
      <c r="Z210" s="2198"/>
      <c r="AA210" s="2198"/>
      <c r="AB210" s="2198"/>
      <c r="AC210" s="2198"/>
      <c r="AD210" s="2198"/>
      <c r="AE210" s="2198"/>
      <c r="AF210" s="2198"/>
      <c r="AG210" s="2198"/>
      <c r="AH210" s="2198"/>
      <c r="AI210" s="2198"/>
      <c r="AJ210" s="2198"/>
      <c r="AK210" s="2198"/>
      <c r="AL210" s="2198"/>
      <c r="AM210" s="2198"/>
      <c r="AN210" s="2198"/>
      <c r="AO210" s="2198"/>
      <c r="AP210" s="2198"/>
      <c r="AQ210" s="2198"/>
      <c r="AR210" s="2198"/>
      <c r="AS210" s="2198"/>
      <c r="AT210" s="2198"/>
      <c r="AU210" s="2198"/>
      <c r="AV210" s="2198"/>
      <c r="AW210" s="2198"/>
      <c r="AX210" s="2098"/>
      <c r="AY210" s="2098"/>
      <c r="AZ210" s="2098"/>
      <c r="BA210" s="2098"/>
    </row>
    <row r="211" spans="2:53" s="2066" customFormat="1" ht="12">
      <c r="B211" s="2128">
        <v>2</v>
      </c>
      <c r="C211" s="2129" t="str">
        <f>'[30]Прил. 5 (НВВ) 0'!B60</f>
        <v>Амортизация прочих ОС</v>
      </c>
      <c r="D211" s="2205">
        <f>SUMIF($P$8:$P$179,$C211,$D$8:$D$179)</f>
        <v>42972.512419999992</v>
      </c>
      <c r="E211" s="2109">
        <f t="shared" ref="E211:E224" si="207">SUMIF($P$8:$P$179,$C211,$M$8:$M$179)</f>
        <v>42972.512419999992</v>
      </c>
      <c r="F211" s="2109">
        <f t="shared" ref="F211:F224" si="208">SUMIF($P$8:$P$179,$C211,$N$8:$N$179)</f>
        <v>40111.192419999992</v>
      </c>
      <c r="G211" s="2107">
        <f ca="1">SUMIF($P$8:$P211,$C211,$E$8:$E$147)</f>
        <v>36131.35</v>
      </c>
      <c r="H211" s="2107">
        <f ca="1">SUMIF($P$8:$P211,$C211,$F$8:$F$147)</f>
        <v>2861.32</v>
      </c>
      <c r="I211" s="2107">
        <f ca="1">SUMIF($P$8:$P211,$C211,$G$8:$G$147)</f>
        <v>33270.03</v>
      </c>
      <c r="J211" s="2107">
        <f ca="1">SUMIF($P$8:$P211,$C211,$H$8:$H$147)</f>
        <v>6675.8524199999993</v>
      </c>
      <c r="K211" s="2107">
        <f ca="1">SUMIF($P$8:$P211,$C211,$I$8:$I$147)</f>
        <v>165.30999999999997</v>
      </c>
      <c r="L211" s="2107">
        <f ca="1">SUMIF($P$8:$P211,$C211,$J$8:$J$147)</f>
        <v>0</v>
      </c>
      <c r="M211" s="2098">
        <v>31994.859999999997</v>
      </c>
      <c r="N211" s="2098"/>
      <c r="O211" s="2098"/>
      <c r="P211" s="2098"/>
      <c r="Q211" s="2109">
        <f t="shared" si="206"/>
        <v>42972.512419999992</v>
      </c>
      <c r="R211" s="2198"/>
      <c r="S211" s="2198"/>
      <c r="T211" s="2198"/>
      <c r="U211" s="2198"/>
      <c r="V211" s="2198"/>
      <c r="W211" s="2198"/>
      <c r="X211" s="2198"/>
      <c r="Y211" s="2198"/>
      <c r="Z211" s="2198"/>
      <c r="AA211" s="2198"/>
      <c r="AB211" s="2198"/>
      <c r="AC211" s="2198"/>
      <c r="AD211" s="2198"/>
      <c r="AE211" s="2198"/>
      <c r="AF211" s="2198"/>
      <c r="AG211" s="2198"/>
      <c r="AH211" s="2198"/>
      <c r="AI211" s="2198"/>
      <c r="AJ211" s="2198"/>
      <c r="AK211" s="2198"/>
      <c r="AL211" s="2198"/>
      <c r="AM211" s="2198"/>
      <c r="AN211" s="2198"/>
      <c r="AO211" s="2198"/>
      <c r="AP211" s="2198"/>
      <c r="AQ211" s="2198"/>
      <c r="AR211" s="2198"/>
      <c r="AS211" s="2198"/>
      <c r="AT211" s="2198"/>
      <c r="AU211" s="2198"/>
      <c r="AV211" s="2198"/>
      <c r="AW211" s="2198"/>
      <c r="AX211" s="2098"/>
      <c r="AY211" s="2098"/>
      <c r="AZ211" s="2098"/>
      <c r="BA211" s="2098"/>
    </row>
    <row r="212" spans="2:53" s="2066" customFormat="1" ht="12">
      <c r="B212" s="2128">
        <v>3</v>
      </c>
      <c r="C212" s="2129" t="str">
        <f>'[30]Прил. 5 (НВВ) 0'!B61</f>
        <v>Страхование</v>
      </c>
      <c r="D212" s="2205">
        <f t="shared" ref="D212:D223" si="209">SUMIF($P$8:$P$179,$C212,$D$8:$D$179)</f>
        <v>4343.2531799999997</v>
      </c>
      <c r="E212" s="2109">
        <f t="shared" si="207"/>
        <v>4343.2531799999997</v>
      </c>
      <c r="F212" s="2109">
        <f t="shared" si="208"/>
        <v>4044.2731799999992</v>
      </c>
      <c r="G212" s="2107">
        <f ca="1">SUMIF($P$8:$P212,$C212,$E$8:$E$147)</f>
        <v>3775.43</v>
      </c>
      <c r="H212" s="2107">
        <f ca="1">SUMIF($P$8:$P212,$C212,$F$8:$F$147)</f>
        <v>298.97999999999996</v>
      </c>
      <c r="I212" s="2107">
        <f ca="1">SUMIF($P$8:$P212,$C212,$G$8:$G$147)</f>
        <v>3476.45</v>
      </c>
      <c r="J212" s="2107">
        <f ca="1">SUMIF($P$8:$P212,$C212,$H$8:$H$147)</f>
        <v>551.22317999999996</v>
      </c>
      <c r="K212" s="2107">
        <f ca="1">SUMIF($P$8:$P212,$C212,$I$8:$I$147)</f>
        <v>16.600000000000001</v>
      </c>
      <c r="L212" s="2107">
        <f ca="1">SUMIF($P$8:$P212,$C212,$J$8:$J$147)</f>
        <v>0</v>
      </c>
      <c r="M212" s="2098">
        <v>3343.21</v>
      </c>
      <c r="N212" s="2098"/>
      <c r="O212" s="2098"/>
      <c r="P212" s="2098"/>
      <c r="Q212" s="2109">
        <f t="shared" si="206"/>
        <v>4343.2531799999997</v>
      </c>
      <c r="R212" s="2198"/>
      <c r="S212" s="2198"/>
      <c r="T212" s="2198"/>
      <c r="U212" s="2198"/>
      <c r="V212" s="2198"/>
      <c r="W212" s="2198"/>
      <c r="X212" s="2198"/>
      <c r="Y212" s="2198"/>
      <c r="Z212" s="2198"/>
      <c r="AA212" s="2198"/>
      <c r="AB212" s="2198"/>
      <c r="AC212" s="2198"/>
      <c r="AD212" s="2198"/>
      <c r="AE212" s="2198"/>
      <c r="AF212" s="2198"/>
      <c r="AG212" s="2198"/>
      <c r="AH212" s="2198"/>
      <c r="AI212" s="2198"/>
      <c r="AJ212" s="2198"/>
      <c r="AK212" s="2198"/>
      <c r="AL212" s="2198"/>
      <c r="AM212" s="2198"/>
      <c r="AN212" s="2198"/>
      <c r="AO212" s="2198"/>
      <c r="AP212" s="2198"/>
      <c r="AQ212" s="2198"/>
      <c r="AR212" s="2198"/>
      <c r="AS212" s="2198"/>
      <c r="AT212" s="2198"/>
      <c r="AU212" s="2198"/>
      <c r="AV212" s="2198"/>
      <c r="AW212" s="2198"/>
      <c r="AX212" s="2098"/>
      <c r="AY212" s="2098"/>
      <c r="AZ212" s="2098"/>
      <c r="BA212" s="2098"/>
    </row>
    <row r="213" spans="2:53" s="2066" customFormat="1" ht="24">
      <c r="B213" s="2128">
        <v>4</v>
      </c>
      <c r="C213" s="2129" t="str">
        <f>'[30]Прил. 5 (НВВ) 0'!B62</f>
        <v xml:space="preserve">Затраты на охрану труда - мероприятия по предупреждению заболеваний на производстве </v>
      </c>
      <c r="D213" s="2205">
        <f t="shared" si="209"/>
        <v>360.73931000000005</v>
      </c>
      <c r="E213" s="2109">
        <f t="shared" si="207"/>
        <v>360.73931000000005</v>
      </c>
      <c r="F213" s="2109">
        <f t="shared" si="208"/>
        <v>336.16931000000005</v>
      </c>
      <c r="G213" s="2107">
        <f ca="1">SUMIF($P$8:$P213,$C213,$E$8:$E$147)</f>
        <v>310.3</v>
      </c>
      <c r="H213" s="2107">
        <f ca="1">SUMIF($P$8:$P213,$C213,$F$8:$F$147)</f>
        <v>24.57</v>
      </c>
      <c r="I213" s="2107">
        <f ca="1">SUMIF($P$8:$P213,$C213,$G$8:$G$147)</f>
        <v>285.73</v>
      </c>
      <c r="J213" s="2107">
        <f ca="1">SUMIF($P$8:$P213,$C213,$H$8:$H$147)</f>
        <v>47.46931</v>
      </c>
      <c r="K213" s="2107">
        <f ca="1">SUMIF($P$8:$P213,$C213,$I$8:$I$147)</f>
        <v>2.97</v>
      </c>
      <c r="L213" s="2107">
        <f ca="1">SUMIF($P$8:$P213,$C213,$J$8:$J$147)</f>
        <v>0</v>
      </c>
      <c r="M213" s="2098">
        <v>274.77</v>
      </c>
      <c r="N213" s="2098">
        <f ca="1">M213-H213</f>
        <v>250.2</v>
      </c>
      <c r="O213" s="2098"/>
      <c r="P213" s="2098"/>
      <c r="Q213" s="2109">
        <f t="shared" si="206"/>
        <v>360.73931000000005</v>
      </c>
      <c r="R213" s="2198"/>
      <c r="S213" s="2198"/>
      <c r="T213" s="2198"/>
      <c r="U213" s="2198"/>
      <c r="V213" s="2198"/>
      <c r="W213" s="2198"/>
      <c r="X213" s="2198"/>
      <c r="Y213" s="2198"/>
      <c r="Z213" s="2198"/>
      <c r="AA213" s="2198"/>
      <c r="AB213" s="2198"/>
      <c r="AC213" s="2198"/>
      <c r="AD213" s="2198"/>
      <c r="AE213" s="2198"/>
      <c r="AF213" s="2198"/>
      <c r="AG213" s="2198"/>
      <c r="AH213" s="2198"/>
      <c r="AI213" s="2198"/>
      <c r="AJ213" s="2198"/>
      <c r="AK213" s="2198"/>
      <c r="AL213" s="2198"/>
      <c r="AM213" s="2198"/>
      <c r="AN213" s="2198"/>
      <c r="AO213" s="2198"/>
      <c r="AP213" s="2198"/>
      <c r="AQ213" s="2198"/>
      <c r="AR213" s="2198"/>
      <c r="AS213" s="2198"/>
      <c r="AT213" s="2198"/>
      <c r="AU213" s="2198"/>
      <c r="AV213" s="2198"/>
      <c r="AW213" s="2198"/>
      <c r="AX213" s="2098"/>
      <c r="AY213" s="2098"/>
      <c r="AZ213" s="2098"/>
      <c r="BA213" s="2098"/>
    </row>
    <row r="214" spans="2:53" s="2066" customFormat="1" ht="12">
      <c r="B214" s="2128">
        <v>5</v>
      </c>
      <c r="C214" s="2129" t="str">
        <f>'[30]Прил. 5 (НВВ) 0'!B63</f>
        <v>Затраты на экологию (кроме налогов и сборов)</v>
      </c>
      <c r="D214" s="2205">
        <f t="shared" si="209"/>
        <v>18.330310000000001</v>
      </c>
      <c r="E214" s="2109">
        <f t="shared" si="207"/>
        <v>18.330310000000001</v>
      </c>
      <c r="F214" s="2109">
        <f t="shared" si="208"/>
        <v>17.340310000000002</v>
      </c>
      <c r="G214" s="2107">
        <f ca="1">SUMIF($P$8:$P214,$C214,$E$8:$E$147)</f>
        <v>12.52</v>
      </c>
      <c r="H214" s="2107">
        <f ca="1">SUMIF($P$8:$P214,$C214,$F$8:$F$147)</f>
        <v>0.99</v>
      </c>
      <c r="I214" s="2107">
        <f ca="1">SUMIF($P$8:$P214,$C214,$G$8:$G$147)</f>
        <v>11.53</v>
      </c>
      <c r="J214" s="2107">
        <f ca="1">SUMIF($P$8:$P214,$C214,$H$8:$H$147)</f>
        <v>5.8103100000000003</v>
      </c>
      <c r="K214" s="2107">
        <f ca="1">SUMIF($P$8:$P214,$C214,$I$8:$I$147)</f>
        <v>0</v>
      </c>
      <c r="L214" s="2107">
        <f ca="1">SUMIF($P$8:$P214,$C214,$J$8:$J$147)</f>
        <v>0</v>
      </c>
      <c r="M214" s="2098">
        <v>11.09</v>
      </c>
      <c r="N214" s="2098"/>
      <c r="O214" s="2098"/>
      <c r="P214" s="2098"/>
      <c r="Q214" s="2109">
        <f t="shared" si="206"/>
        <v>18.330310000000001</v>
      </c>
      <c r="R214" s="2198"/>
      <c r="S214" s="2198"/>
      <c r="T214" s="2198"/>
      <c r="U214" s="2198"/>
      <c r="V214" s="2198"/>
      <c r="W214" s="2198"/>
      <c r="X214" s="2198"/>
      <c r="Y214" s="2198"/>
      <c r="Z214" s="2198"/>
      <c r="AA214" s="2198"/>
      <c r="AB214" s="2198"/>
      <c r="AC214" s="2198"/>
      <c r="AD214" s="2198"/>
      <c r="AE214" s="2198"/>
      <c r="AF214" s="2198"/>
      <c r="AG214" s="2198"/>
      <c r="AH214" s="2198"/>
      <c r="AI214" s="2198"/>
      <c r="AJ214" s="2198"/>
      <c r="AK214" s="2198"/>
      <c r="AL214" s="2198"/>
      <c r="AM214" s="2198"/>
      <c r="AN214" s="2198"/>
      <c r="AO214" s="2198"/>
      <c r="AP214" s="2198"/>
      <c r="AQ214" s="2198"/>
      <c r="AR214" s="2198"/>
      <c r="AS214" s="2198"/>
      <c r="AT214" s="2198"/>
      <c r="AU214" s="2198"/>
      <c r="AV214" s="2198"/>
      <c r="AW214" s="2198"/>
      <c r="AX214" s="2098"/>
      <c r="AY214" s="2098"/>
      <c r="AZ214" s="2098"/>
      <c r="BA214" s="2098"/>
    </row>
    <row r="215" spans="2:53" s="2066" customFormat="1" ht="12">
      <c r="B215" s="2128">
        <v>6</v>
      </c>
      <c r="C215" s="2129" t="str">
        <f>'[30]Прил. 5 (НВВ) 0'!B64</f>
        <v>Канцелярские расходы</v>
      </c>
      <c r="D215" s="2205">
        <f t="shared" si="209"/>
        <v>8702.270480000001</v>
      </c>
      <c r="E215" s="2109">
        <f t="shared" si="207"/>
        <v>8702.270480000001</v>
      </c>
      <c r="F215" s="2109">
        <f t="shared" si="208"/>
        <v>8154.1104800000012</v>
      </c>
      <c r="G215" s="2107">
        <f ca="1">SUMIF($P$8:$P215,$C215,$E$8:$E$147)</f>
        <v>6921.8700000000008</v>
      </c>
      <c r="H215" s="2107">
        <f ca="1">SUMIF($P$8:$P215,$C215,$F$8:$F$147)</f>
        <v>548.16</v>
      </c>
      <c r="I215" s="2107">
        <f ca="1">SUMIF($P$8:$P215,$C215,$G$8:$G$147)</f>
        <v>6373.7100000000009</v>
      </c>
      <c r="J215" s="2107">
        <f ca="1">SUMIF($P$8:$P215,$C215,$H$8:$H$147)</f>
        <v>1704.5604800000001</v>
      </c>
      <c r="K215" s="2107">
        <f ca="1">SUMIF($P$8:$P215,$C215,$I$8:$I$147)</f>
        <v>75.84</v>
      </c>
      <c r="L215" s="2107">
        <f ca="1">SUMIF($P$8:$P215,$C215,$J$8:$J$147)</f>
        <v>0</v>
      </c>
      <c r="M215" s="2098">
        <v>6129.42</v>
      </c>
      <c r="N215" s="2098"/>
      <c r="O215" s="2098"/>
      <c r="P215" s="2098"/>
      <c r="Q215" s="2109">
        <f t="shared" si="206"/>
        <v>8702.270480000001</v>
      </c>
      <c r="R215" s="2198"/>
      <c r="S215" s="2198"/>
      <c r="T215" s="2198"/>
      <c r="U215" s="2198"/>
      <c r="V215" s="2198"/>
      <c r="W215" s="2198"/>
      <c r="X215" s="2198"/>
      <c r="Y215" s="2198"/>
      <c r="Z215" s="2198"/>
      <c r="AA215" s="2198"/>
      <c r="AB215" s="2198"/>
      <c r="AC215" s="2198"/>
      <c r="AD215" s="2198"/>
      <c r="AE215" s="2198"/>
      <c r="AF215" s="2198"/>
      <c r="AG215" s="2198"/>
      <c r="AH215" s="2198"/>
      <c r="AI215" s="2198"/>
      <c r="AJ215" s="2198"/>
      <c r="AK215" s="2198"/>
      <c r="AL215" s="2198"/>
      <c r="AM215" s="2198"/>
      <c r="AN215" s="2198"/>
      <c r="AO215" s="2198"/>
      <c r="AP215" s="2198"/>
      <c r="AQ215" s="2198"/>
      <c r="AR215" s="2198"/>
      <c r="AS215" s="2198"/>
      <c r="AT215" s="2198"/>
      <c r="AU215" s="2198"/>
      <c r="AV215" s="2198"/>
      <c r="AW215" s="2198"/>
      <c r="AX215" s="2098"/>
      <c r="AY215" s="2098"/>
      <c r="AZ215" s="2098"/>
      <c r="BA215" s="2098"/>
    </row>
    <row r="216" spans="2:53" s="2066" customFormat="1" ht="12">
      <c r="B216" s="2128">
        <v>7</v>
      </c>
      <c r="C216" s="2129" t="str">
        <f>'[30]Прил. 5 (НВВ) 0'!B65</f>
        <v>Командировочные расходы</v>
      </c>
      <c r="D216" s="2205">
        <f t="shared" si="209"/>
        <v>18766.760599999998</v>
      </c>
      <c r="E216" s="2109">
        <f t="shared" si="207"/>
        <v>18766.760599999998</v>
      </c>
      <c r="F216" s="2109">
        <f t="shared" si="208"/>
        <v>17727.650599999997</v>
      </c>
      <c r="G216" s="2107">
        <f ca="1">SUMIF($P$8:$P216,$C216,$E$8:$E$147)</f>
        <v>13121.380000000003</v>
      </c>
      <c r="H216" s="2107">
        <f ca="1">SUMIF($P$8:$P216,$C216,$F$8:$F$147)</f>
        <v>1039.1099999999999</v>
      </c>
      <c r="I216" s="2107">
        <f ca="1">SUMIF($P$8:$P216,$C216,$G$8:$G$147)</f>
        <v>12082.27</v>
      </c>
      <c r="J216" s="2107">
        <f ca="1">SUMIF($P$8:$P216,$C216,$H$8:$H$147)</f>
        <v>5006.3106000000007</v>
      </c>
      <c r="K216" s="2107">
        <f ca="1">SUMIF($P$8:$P216,$C216,$I$8:$I$147)</f>
        <v>639.06999999999994</v>
      </c>
      <c r="L216" s="2107">
        <f ca="1">SUMIF($P$8:$P216,$C216,$J$8:$J$147)</f>
        <v>0</v>
      </c>
      <c r="M216" s="2098">
        <v>11619.179999999998</v>
      </c>
      <c r="N216" s="2098"/>
      <c r="O216" s="2098"/>
      <c r="P216" s="2098"/>
      <c r="Q216" s="2109">
        <f t="shared" si="206"/>
        <v>18766.760599999998</v>
      </c>
      <c r="R216" s="2198"/>
      <c r="S216" s="2198"/>
      <c r="T216" s="2198"/>
      <c r="U216" s="2198"/>
      <c r="V216" s="2198"/>
      <c r="W216" s="2198"/>
      <c r="X216" s="2198"/>
      <c r="Y216" s="2198"/>
      <c r="Z216" s="2198"/>
      <c r="AA216" s="2198"/>
      <c r="AB216" s="2198"/>
      <c r="AC216" s="2198"/>
      <c r="AD216" s="2198"/>
      <c r="AE216" s="2198"/>
      <c r="AF216" s="2198"/>
      <c r="AG216" s="2198"/>
      <c r="AH216" s="2198"/>
      <c r="AI216" s="2198"/>
      <c r="AJ216" s="2198"/>
      <c r="AK216" s="2198"/>
      <c r="AL216" s="2198"/>
      <c r="AM216" s="2198"/>
      <c r="AN216" s="2198"/>
      <c r="AO216" s="2198"/>
      <c r="AP216" s="2198"/>
      <c r="AQ216" s="2198"/>
      <c r="AR216" s="2198"/>
      <c r="AS216" s="2198"/>
      <c r="AT216" s="2198"/>
      <c r="AU216" s="2198"/>
      <c r="AV216" s="2198"/>
      <c r="AW216" s="2198"/>
      <c r="AX216" s="2098"/>
      <c r="AY216" s="2098"/>
      <c r="AZ216" s="2098"/>
      <c r="BA216" s="2098"/>
    </row>
    <row r="217" spans="2:53" s="2066" customFormat="1" ht="12">
      <c r="B217" s="2128">
        <v>8</v>
      </c>
      <c r="C217" s="2129" t="str">
        <f>'[30]Прил. 5 (НВВ) 0'!B66</f>
        <v>Оплата дней нетрудоспособности</v>
      </c>
      <c r="D217" s="2215">
        <f t="shared" si="209"/>
        <v>0</v>
      </c>
      <c r="E217" s="2109">
        <f t="shared" si="207"/>
        <v>0</v>
      </c>
      <c r="F217" s="2109">
        <f t="shared" si="208"/>
        <v>0</v>
      </c>
      <c r="G217" s="2107">
        <f ca="1">SUMIF($P$8:$P217,$C217,$E$8:$E$147)</f>
        <v>0</v>
      </c>
      <c r="H217" s="2107">
        <f ca="1">SUMIF($P$8:$P217,$C217,$F$8:$F$147)</f>
        <v>0</v>
      </c>
      <c r="I217" s="2107">
        <f ca="1">SUMIF($P$8:$P217,$C217,$G$8:$G$147)</f>
        <v>0</v>
      </c>
      <c r="J217" s="2107">
        <f ca="1">SUMIF($P$8:$P217,$C217,$H$8:$H$147)</f>
        <v>0</v>
      </c>
      <c r="K217" s="2107">
        <f ca="1">SUMIF($P$8:$P217,$C217,$I$8:$I$147)</f>
        <v>0</v>
      </c>
      <c r="L217" s="2107">
        <f ca="1">SUMIF($P$8:$P217,$C217,$J$8:$J$147)</f>
        <v>0</v>
      </c>
      <c r="M217" s="2098">
        <v>0</v>
      </c>
      <c r="N217" s="2098"/>
      <c r="O217" s="2098"/>
      <c r="P217" s="2098"/>
      <c r="Q217" s="2109">
        <f t="shared" si="206"/>
        <v>0</v>
      </c>
      <c r="R217" s="2198"/>
      <c r="S217" s="2198"/>
      <c r="T217" s="2198"/>
      <c r="U217" s="2198"/>
      <c r="V217" s="2198"/>
      <c r="W217" s="2198"/>
      <c r="X217" s="2198"/>
      <c r="Y217" s="2198"/>
      <c r="Z217" s="2198"/>
      <c r="AA217" s="2198"/>
      <c r="AB217" s="2198"/>
      <c r="AC217" s="2198"/>
      <c r="AD217" s="2198"/>
      <c r="AE217" s="2198"/>
      <c r="AF217" s="2198"/>
      <c r="AG217" s="2198"/>
      <c r="AH217" s="2198"/>
      <c r="AI217" s="2198"/>
      <c r="AJ217" s="2198"/>
      <c r="AK217" s="2198"/>
      <c r="AL217" s="2198"/>
      <c r="AM217" s="2198"/>
      <c r="AN217" s="2198"/>
      <c r="AO217" s="2198"/>
      <c r="AP217" s="2198"/>
      <c r="AQ217" s="2198"/>
      <c r="AR217" s="2198"/>
      <c r="AS217" s="2198"/>
      <c r="AT217" s="2198"/>
      <c r="AU217" s="2198"/>
      <c r="AV217" s="2198"/>
      <c r="AW217" s="2198"/>
      <c r="AX217" s="2098"/>
      <c r="AY217" s="2098"/>
      <c r="AZ217" s="2098"/>
      <c r="BA217" s="2098"/>
    </row>
    <row r="218" spans="2:53" s="2066" customFormat="1" ht="12">
      <c r="B218" s="2128">
        <v>9</v>
      </c>
      <c r="C218" s="2129" t="str">
        <f>'[30]Прил. 5 (НВВ) 0'!B67</f>
        <v>Повышение квалификации</v>
      </c>
      <c r="D218" s="2205">
        <f t="shared" si="209"/>
        <v>2110.0189299999997</v>
      </c>
      <c r="E218" s="2109">
        <f t="shared" si="207"/>
        <v>2110.0189299999997</v>
      </c>
      <c r="F218" s="2109">
        <f t="shared" si="208"/>
        <v>1962.1889299999998</v>
      </c>
      <c r="G218" s="2107">
        <f ca="1">SUMIF($P$8:$P218,$C218,$E$8:$E$147)</f>
        <v>1866.64</v>
      </c>
      <c r="H218" s="2107">
        <f ca="1">SUMIF($P$8:$P218,$C218,$F$8:$F$147)</f>
        <v>147.82999999999998</v>
      </c>
      <c r="I218" s="2107">
        <f ca="1">SUMIF($P$8:$P218,$C218,$G$8:$G$147)</f>
        <v>1718.81</v>
      </c>
      <c r="J218" s="2107">
        <f ca="1">SUMIF($P$8:$P218,$C218,$H$8:$H$147)</f>
        <v>231.97893000000002</v>
      </c>
      <c r="K218" s="2107">
        <f ca="1">SUMIF($P$8:$P218,$C218,$I$8:$I$147)</f>
        <v>11.4</v>
      </c>
      <c r="L218" s="2107">
        <f ca="1">SUMIF($P$8:$P218,$C218,$J$8:$J$147)</f>
        <v>0</v>
      </c>
      <c r="M218" s="2098">
        <v>1652.93</v>
      </c>
      <c r="N218" s="2098"/>
      <c r="O218" s="2098"/>
      <c r="P218" s="2098"/>
      <c r="Q218" s="2109">
        <f t="shared" si="206"/>
        <v>2110.0189299999997</v>
      </c>
      <c r="R218" s="2198"/>
      <c r="S218" s="2198"/>
      <c r="T218" s="2198"/>
      <c r="U218" s="2198"/>
      <c r="V218" s="2198"/>
      <c r="W218" s="2198"/>
      <c r="X218" s="2198"/>
      <c r="Y218" s="2198"/>
      <c r="Z218" s="2198"/>
      <c r="AA218" s="2198"/>
      <c r="AB218" s="2198"/>
      <c r="AC218" s="2198"/>
      <c r="AD218" s="2198"/>
      <c r="AE218" s="2198"/>
      <c r="AF218" s="2198"/>
      <c r="AG218" s="2198"/>
      <c r="AH218" s="2198"/>
      <c r="AI218" s="2198"/>
      <c r="AJ218" s="2198"/>
      <c r="AK218" s="2198"/>
      <c r="AL218" s="2198"/>
      <c r="AM218" s="2198"/>
      <c r="AN218" s="2198"/>
      <c r="AO218" s="2198"/>
      <c r="AP218" s="2198"/>
      <c r="AQ218" s="2198"/>
      <c r="AR218" s="2198"/>
      <c r="AS218" s="2198"/>
      <c r="AT218" s="2198"/>
      <c r="AU218" s="2198"/>
      <c r="AV218" s="2198"/>
      <c r="AW218" s="2198"/>
      <c r="AX218" s="2098"/>
      <c r="AY218" s="2098"/>
      <c r="AZ218" s="2098"/>
      <c r="BA218" s="2098"/>
    </row>
    <row r="219" spans="2:53" s="2066" customFormat="1" ht="12">
      <c r="B219" s="2128">
        <v>10</v>
      </c>
      <c r="C219" s="2129" t="str">
        <f>'[30]Прил. 5 (НВВ) 0'!B68</f>
        <v>Расходы по управлению собственностью - межевание земельных участков</v>
      </c>
      <c r="D219" s="2205">
        <f t="shared" si="209"/>
        <v>4314.7726299999995</v>
      </c>
      <c r="E219" s="2109">
        <f t="shared" si="207"/>
        <v>4314.7726299999995</v>
      </c>
      <c r="F219" s="2109">
        <f t="shared" si="208"/>
        <v>4007.6926299999996</v>
      </c>
      <c r="G219" s="2107">
        <f ca="1">SUMIF($P$8:$P219,$C219,$E$8:$E$147)</f>
        <v>3877.62</v>
      </c>
      <c r="H219" s="2107">
        <f ca="1">SUMIF($P$8:$P219,$C219,$F$8:$F$147)</f>
        <v>307.08</v>
      </c>
      <c r="I219" s="2107">
        <f ca="1">SUMIF($P$8:$P219,$C219,$G$8:$G$147)</f>
        <v>3570.54</v>
      </c>
      <c r="J219" s="2107">
        <f ca="1">SUMIF($P$8:$P219,$C219,$H$8:$H$147)</f>
        <v>417.98262999999997</v>
      </c>
      <c r="K219" s="2107">
        <f ca="1">SUMIF($P$8:$P219,$C219,$I$8:$I$147)</f>
        <v>19.170000000000002</v>
      </c>
      <c r="L219" s="2107">
        <f ca="1">SUMIF($P$8:$P219,$C219,$J$8:$J$147)</f>
        <v>0</v>
      </c>
      <c r="M219" s="2098">
        <v>3433.69</v>
      </c>
      <c r="N219" s="2098"/>
      <c r="O219" s="2098"/>
      <c r="P219" s="2098"/>
      <c r="Q219" s="2109">
        <f t="shared" si="206"/>
        <v>4314.7726299999995</v>
      </c>
      <c r="R219" s="2198"/>
      <c r="S219" s="2198"/>
      <c r="T219" s="2198"/>
      <c r="U219" s="2198"/>
      <c r="V219" s="2198"/>
      <c r="W219" s="2198"/>
      <c r="X219" s="2198"/>
      <c r="Y219" s="2198"/>
      <c r="Z219" s="2198"/>
      <c r="AA219" s="2198"/>
      <c r="AB219" s="2198"/>
      <c r="AC219" s="2198"/>
      <c r="AD219" s="2198"/>
      <c r="AE219" s="2198"/>
      <c r="AF219" s="2198"/>
      <c r="AG219" s="2198"/>
      <c r="AH219" s="2198"/>
      <c r="AI219" s="2198"/>
      <c r="AJ219" s="2198"/>
      <c r="AK219" s="2198"/>
      <c r="AL219" s="2198"/>
      <c r="AM219" s="2198"/>
      <c r="AN219" s="2198"/>
      <c r="AO219" s="2198"/>
      <c r="AP219" s="2198"/>
      <c r="AQ219" s="2198"/>
      <c r="AR219" s="2198"/>
      <c r="AS219" s="2198"/>
      <c r="AT219" s="2198"/>
      <c r="AU219" s="2198"/>
      <c r="AV219" s="2198"/>
      <c r="AW219" s="2198"/>
      <c r="AX219" s="2098"/>
      <c r="AY219" s="2098"/>
      <c r="AZ219" s="2098"/>
      <c r="BA219" s="2098"/>
    </row>
    <row r="220" spans="2:53" s="2066" customFormat="1" ht="12">
      <c r="B220" s="2128">
        <v>11</v>
      </c>
      <c r="C220" s="2129" t="str">
        <f>'[30]Прил. 5 (НВВ) 0'!B69</f>
        <v xml:space="preserve">Услуги PR, СМИ, рекламы </v>
      </c>
      <c r="D220" s="2205">
        <f t="shared" si="209"/>
        <v>72.455950000000001</v>
      </c>
      <c r="E220" s="2109">
        <f t="shared" si="207"/>
        <v>72.455950000000001</v>
      </c>
      <c r="F220" s="2109">
        <f t="shared" si="208"/>
        <v>67.315950000000001</v>
      </c>
      <c r="G220" s="2107">
        <f ca="1">SUMIF($P$8:$P220,$C220,$E$8:$E$147)</f>
        <v>64.91</v>
      </c>
      <c r="H220" s="2107">
        <f ca="1">SUMIF($P$8:$P220,$C220,$F$8:$F$147)</f>
        <v>5.14</v>
      </c>
      <c r="I220" s="2107">
        <f ca="1">SUMIF($P$8:$P220,$C220,$G$8:$G$147)</f>
        <v>59.77</v>
      </c>
      <c r="J220" s="2107">
        <f ca="1">SUMIF($P$8:$P220,$C220,$H$8:$H$147)</f>
        <v>7.2859499999999997</v>
      </c>
      <c r="K220" s="2107">
        <f ca="1">SUMIF($P$8:$P220,$C220,$I$8:$I$147)</f>
        <v>0.26</v>
      </c>
      <c r="L220" s="2107">
        <f ca="1">SUMIF($P$8:$P220,$C220,$J$8:$J$147)</f>
        <v>0</v>
      </c>
      <c r="M220" s="2098">
        <v>57.480000000000004</v>
      </c>
      <c r="N220" s="2098">
        <f t="shared" ref="N220" ca="1" si="210">M220-H220</f>
        <v>52.34</v>
      </c>
      <c r="O220" s="2098"/>
      <c r="P220" s="2098"/>
      <c r="Q220" s="2109">
        <f t="shared" si="206"/>
        <v>72.455950000000001</v>
      </c>
      <c r="R220" s="2198"/>
      <c r="S220" s="2198"/>
      <c r="T220" s="2198"/>
      <c r="U220" s="2198"/>
      <c r="V220" s="2198"/>
      <c r="W220" s="2198"/>
      <c r="X220" s="2198"/>
      <c r="Y220" s="2198"/>
      <c r="Z220" s="2198"/>
      <c r="AA220" s="2198"/>
      <c r="AB220" s="2198"/>
      <c r="AC220" s="2198"/>
      <c r="AD220" s="2198"/>
      <c r="AE220" s="2198"/>
      <c r="AF220" s="2198"/>
      <c r="AG220" s="2198"/>
      <c r="AH220" s="2198"/>
      <c r="AI220" s="2198"/>
      <c r="AJ220" s="2198"/>
      <c r="AK220" s="2198"/>
      <c r="AL220" s="2198"/>
      <c r="AM220" s="2198"/>
      <c r="AN220" s="2198"/>
      <c r="AO220" s="2198"/>
      <c r="AP220" s="2198"/>
      <c r="AQ220" s="2198"/>
      <c r="AR220" s="2198"/>
      <c r="AS220" s="2198"/>
      <c r="AT220" s="2198"/>
      <c r="AU220" s="2198"/>
      <c r="AV220" s="2198"/>
      <c r="AW220" s="2198"/>
      <c r="AX220" s="2098"/>
      <c r="AY220" s="2098"/>
      <c r="AZ220" s="2098"/>
      <c r="BA220" s="2098"/>
    </row>
    <row r="221" spans="2:53" s="2066" customFormat="1" ht="12">
      <c r="B221" s="2128">
        <v>12</v>
      </c>
      <c r="C221" s="2129" t="str">
        <f>'[30]Прил. 5 (НВВ) 0'!B70</f>
        <v>Услуги коммунального хозяйства</v>
      </c>
      <c r="D221" s="2205">
        <f t="shared" si="209"/>
        <v>672.78468999999984</v>
      </c>
      <c r="E221" s="2109">
        <f t="shared" si="207"/>
        <v>672.78468999999984</v>
      </c>
      <c r="F221" s="2109">
        <f t="shared" si="208"/>
        <v>626.33468999999991</v>
      </c>
      <c r="G221" s="2107">
        <f ca="1">SUMIF($P$8:$P221,$C221,$E$8:$E$147)</f>
        <v>586.54999999999995</v>
      </c>
      <c r="H221" s="2107">
        <f ca="1">SUMIF($P$8:$P221,$C221,$F$8:$F$147)</f>
        <v>46.45</v>
      </c>
      <c r="I221" s="2107">
        <f ca="1">SUMIF($P$8:$P221,$C221,$G$8:$G$147)</f>
        <v>540.1</v>
      </c>
      <c r="J221" s="2107">
        <f ca="1">SUMIF($P$8:$P221,$C221,$H$8:$H$147)</f>
        <v>81.814689999999999</v>
      </c>
      <c r="K221" s="2107">
        <f ca="1">SUMIF($P$8:$P221,$C221,$I$8:$I$147)</f>
        <v>4.42</v>
      </c>
      <c r="L221" s="2107">
        <f ca="1">SUMIF($P$8:$P221,$C221,$J$8:$J$147)</f>
        <v>0</v>
      </c>
      <c r="M221" s="2098">
        <v>519.3900000000001</v>
      </c>
      <c r="N221" s="2098"/>
      <c r="O221" s="2098"/>
      <c r="P221" s="2098"/>
      <c r="Q221" s="2109">
        <f t="shared" si="206"/>
        <v>672.78468999999984</v>
      </c>
      <c r="R221" s="2198"/>
      <c r="S221" s="2198"/>
      <c r="T221" s="2198"/>
      <c r="U221" s="2198"/>
      <c r="V221" s="2198"/>
      <c r="W221" s="2198"/>
      <c r="X221" s="2198"/>
      <c r="Y221" s="2198"/>
      <c r="Z221" s="2198"/>
      <c r="AA221" s="2198"/>
      <c r="AB221" s="2198"/>
      <c r="AC221" s="2198"/>
      <c r="AD221" s="2198"/>
      <c r="AE221" s="2198"/>
      <c r="AF221" s="2198"/>
      <c r="AG221" s="2198"/>
      <c r="AH221" s="2198"/>
      <c r="AI221" s="2198"/>
      <c r="AJ221" s="2198"/>
      <c r="AK221" s="2198"/>
      <c r="AL221" s="2198"/>
      <c r="AM221" s="2198"/>
      <c r="AN221" s="2198"/>
      <c r="AO221" s="2198"/>
      <c r="AP221" s="2198"/>
      <c r="AQ221" s="2198"/>
      <c r="AR221" s="2198"/>
      <c r="AS221" s="2198"/>
      <c r="AT221" s="2198"/>
      <c r="AU221" s="2198"/>
      <c r="AV221" s="2198"/>
      <c r="AW221" s="2198"/>
      <c r="AX221" s="2098"/>
      <c r="AY221" s="2098"/>
      <c r="AZ221" s="2098"/>
      <c r="BA221" s="2098"/>
    </row>
    <row r="222" spans="2:53" s="2066" customFormat="1" ht="12">
      <c r="B222" s="2128">
        <v>13</v>
      </c>
      <c r="C222" s="2129" t="str">
        <f>'[30]Прил. 5 (НВВ) 0'!B71</f>
        <v>Услуги по организации функционирования и развитию ЕЭС России</v>
      </c>
      <c r="D222" s="2205">
        <f t="shared" si="209"/>
        <v>55283.715479999999</v>
      </c>
      <c r="E222" s="2109">
        <f t="shared" si="207"/>
        <v>55283.715479999999</v>
      </c>
      <c r="F222" s="2109">
        <f t="shared" si="208"/>
        <v>55283.715479999999</v>
      </c>
      <c r="G222" s="2107">
        <f ca="1">SUMIF($P$8:$P222,$C222,$E$8:$E$147)</f>
        <v>0</v>
      </c>
      <c r="H222" s="2107">
        <f ca="1">SUMIF($P$8:$P222,$C222,$F$8:$F$147)</f>
        <v>0</v>
      </c>
      <c r="I222" s="2107">
        <f ca="1">SUMIF($P$8:$P222,$C222,$G$8:$G$147)</f>
        <v>0</v>
      </c>
      <c r="J222" s="2107">
        <f ca="1">SUMIF($P$8:$P222,$C222,$H$8:$H$147)</f>
        <v>55283.715479999999</v>
      </c>
      <c r="K222" s="2107">
        <f ca="1">SUMIF($P$8:$P222,$C222,$I$8:$I$147)</f>
        <v>0</v>
      </c>
      <c r="L222" s="2107">
        <f ca="1">SUMIF($P$8:$P222,$C222,$J$8:$J$147)</f>
        <v>0</v>
      </c>
      <c r="M222" s="2098">
        <v>0</v>
      </c>
      <c r="N222" s="2098"/>
      <c r="O222" s="2098"/>
      <c r="P222" s="2098"/>
      <c r="Q222" s="2109">
        <f t="shared" si="206"/>
        <v>55283.715479999999</v>
      </c>
      <c r="R222" s="2198"/>
      <c r="S222" s="2198"/>
      <c r="T222" s="2198"/>
      <c r="U222" s="2198"/>
      <c r="V222" s="2198"/>
      <c r="W222" s="2198"/>
      <c r="X222" s="2198"/>
      <c r="Y222" s="2198"/>
      <c r="Z222" s="2198"/>
      <c r="AA222" s="2198"/>
      <c r="AB222" s="2198"/>
      <c r="AC222" s="2198"/>
      <c r="AD222" s="2198"/>
      <c r="AE222" s="2198"/>
      <c r="AF222" s="2198"/>
      <c r="AG222" s="2198"/>
      <c r="AH222" s="2198"/>
      <c r="AI222" s="2198"/>
      <c r="AJ222" s="2198"/>
      <c r="AK222" s="2198"/>
      <c r="AL222" s="2198"/>
      <c r="AM222" s="2198"/>
      <c r="AN222" s="2198"/>
      <c r="AO222" s="2198"/>
      <c r="AP222" s="2198"/>
      <c r="AQ222" s="2198"/>
      <c r="AR222" s="2198"/>
      <c r="AS222" s="2198"/>
      <c r="AT222" s="2198"/>
      <c r="AU222" s="2198"/>
      <c r="AV222" s="2198"/>
      <c r="AW222" s="2198"/>
      <c r="AX222" s="2098"/>
      <c r="AY222" s="2098"/>
      <c r="AZ222" s="2098"/>
      <c r="BA222" s="2098"/>
    </row>
    <row r="223" spans="2:53" s="2066" customFormat="1" ht="24">
      <c r="B223" s="2128">
        <v>14</v>
      </c>
      <c r="C223" s="2129" t="str">
        <f>'[30]Прил. 5 (НВВ) 0'!B72</f>
        <v>Услуги по аккредитации (аттестации) и экспертизе в области метрологического обеспечения и качества э/э</v>
      </c>
      <c r="D223" s="2205">
        <f t="shared" si="209"/>
        <v>0</v>
      </c>
      <c r="E223" s="2109">
        <f t="shared" si="207"/>
        <v>0</v>
      </c>
      <c r="F223" s="2109">
        <f t="shared" si="208"/>
        <v>0</v>
      </c>
      <c r="G223" s="2107">
        <f ca="1">SUMIF($P$8:$P223,$C223,$E$8:$E$147)</f>
        <v>0</v>
      </c>
      <c r="H223" s="2107">
        <f ca="1">SUMIF($P$8:$P223,$C223,$F$8:$F$147)</f>
        <v>0</v>
      </c>
      <c r="I223" s="2107">
        <f ca="1">SUMIF($P$8:$P223,$C223,$G$8:$G$147)</f>
        <v>0</v>
      </c>
      <c r="J223" s="2107">
        <f ca="1">SUMIF($P$8:$P223,$C223,$H$8:$H$147)</f>
        <v>0</v>
      </c>
      <c r="K223" s="2107">
        <f ca="1">SUMIF($P$8:$P223,$C223,$I$8:$I$147)</f>
        <v>0</v>
      </c>
      <c r="L223" s="2107">
        <f ca="1">SUMIF($P$8:$P223,$C223,$J$8:$J$147)</f>
        <v>0</v>
      </c>
      <c r="M223" s="2098">
        <v>0</v>
      </c>
      <c r="N223" s="2098"/>
      <c r="O223" s="2098"/>
      <c r="P223" s="2098"/>
      <c r="Q223" s="2109">
        <f t="shared" si="206"/>
        <v>0</v>
      </c>
      <c r="R223" s="2198"/>
      <c r="S223" s="2198"/>
      <c r="T223" s="2198"/>
      <c r="U223" s="2198"/>
      <c r="V223" s="2198"/>
      <c r="W223" s="2198"/>
      <c r="X223" s="2198"/>
      <c r="Y223" s="2198"/>
      <c r="Z223" s="2198"/>
      <c r="AA223" s="2198"/>
      <c r="AB223" s="2198"/>
      <c r="AC223" s="2198"/>
      <c r="AD223" s="2198"/>
      <c r="AE223" s="2198"/>
      <c r="AF223" s="2198"/>
      <c r="AG223" s="2198"/>
      <c r="AH223" s="2198"/>
      <c r="AI223" s="2198"/>
      <c r="AJ223" s="2198"/>
      <c r="AK223" s="2198"/>
      <c r="AL223" s="2198"/>
      <c r="AM223" s="2198"/>
      <c r="AN223" s="2198"/>
      <c r="AO223" s="2198"/>
      <c r="AP223" s="2198"/>
      <c r="AQ223" s="2198"/>
      <c r="AR223" s="2198"/>
      <c r="AS223" s="2198"/>
      <c r="AT223" s="2198"/>
      <c r="AU223" s="2198"/>
      <c r="AV223" s="2198"/>
      <c r="AW223" s="2198"/>
      <c r="AX223" s="2098"/>
      <c r="AY223" s="2098"/>
      <c r="AZ223" s="2098"/>
      <c r="BA223" s="2098"/>
    </row>
    <row r="224" spans="2:53" s="2066" customFormat="1" ht="12">
      <c r="B224" s="2131">
        <v>15</v>
      </c>
      <c r="C224" s="2132" t="str">
        <f>'[30]Прил. 5 (НВВ) 0'!B73</f>
        <v>прочие</v>
      </c>
      <c r="D224" s="2216">
        <f>SUMIF($P$8:$P$179,$C224,$D$8:$D$179)</f>
        <v>2266.32654</v>
      </c>
      <c r="E224" s="2120">
        <f t="shared" si="207"/>
        <v>2266.32654</v>
      </c>
      <c r="F224" s="2120">
        <f t="shared" si="208"/>
        <v>2100.2065400000001</v>
      </c>
      <c r="G224" s="2107">
        <f ca="1">SUMIF($P$8:$P224,$C224,$E$8:$E$147)</f>
        <v>2097.6800000000003</v>
      </c>
      <c r="H224" s="2107">
        <f ca="1">SUMIF($P$8:$P224,$C224,$F$8:$F$147)</f>
        <v>166.12</v>
      </c>
      <c r="I224" s="2107">
        <f ca="1">SUMIF($P$8:$P224,$C224,$G$8:$G$147)</f>
        <v>1931.56</v>
      </c>
      <c r="J224" s="2107">
        <f ca="1">SUMIF($P$8:$P224,$C224,$H$8:$H$147)</f>
        <v>166.03654</v>
      </c>
      <c r="K224" s="2107">
        <f ca="1">SUMIF($P$8:$P224,$C224,$I$8:$I$147)</f>
        <v>2.61</v>
      </c>
      <c r="L224" s="2107">
        <f ca="1">SUMIF($P$8:$P224,$C224,$J$8:$J$147)</f>
        <v>0</v>
      </c>
      <c r="M224" s="2098">
        <v>1857.5400000000002</v>
      </c>
      <c r="N224" s="2098"/>
      <c r="O224" s="2098"/>
      <c r="P224" s="2098"/>
      <c r="Q224" s="2120">
        <f t="shared" si="206"/>
        <v>2266.32654</v>
      </c>
      <c r="R224" s="2198"/>
      <c r="S224" s="2198"/>
      <c r="T224" s="2198"/>
      <c r="U224" s="2198"/>
      <c r="V224" s="2198"/>
      <c r="W224" s="2198"/>
      <c r="X224" s="2198"/>
      <c r="Y224" s="2198"/>
      <c r="Z224" s="2198"/>
      <c r="AA224" s="2198"/>
      <c r="AB224" s="2198"/>
      <c r="AC224" s="2198"/>
      <c r="AD224" s="2198"/>
      <c r="AE224" s="2198"/>
      <c r="AF224" s="2198"/>
      <c r="AG224" s="2198"/>
      <c r="AH224" s="2198"/>
      <c r="AI224" s="2198"/>
      <c r="AJ224" s="2198"/>
      <c r="AK224" s="2198"/>
      <c r="AL224" s="2198"/>
      <c r="AM224" s="2198"/>
      <c r="AN224" s="2198"/>
      <c r="AO224" s="2198"/>
      <c r="AP224" s="2198"/>
      <c r="AQ224" s="2198"/>
      <c r="AR224" s="2198"/>
      <c r="AS224" s="2198"/>
      <c r="AT224" s="2198"/>
      <c r="AU224" s="2198"/>
      <c r="AV224" s="2198"/>
      <c r="AW224" s="2198"/>
      <c r="AX224" s="2098"/>
      <c r="AY224" s="2098"/>
      <c r="AZ224" s="2098"/>
      <c r="BA224" s="2098"/>
    </row>
    <row r="225" spans="1:53" s="2066" customFormat="1" ht="12" customHeight="1">
      <c r="B225" s="3392" t="s">
        <v>3820</v>
      </c>
      <c r="C225" s="3393"/>
      <c r="D225" s="2217">
        <f>SUM(D226:D228)</f>
        <v>569383.14</v>
      </c>
      <c r="E225" s="2218">
        <f>SUM(E226:E228)</f>
        <v>569383.14</v>
      </c>
      <c r="F225" s="2218">
        <f>SUM(F226:F228)</f>
        <v>285151.164148062</v>
      </c>
      <c r="G225" s="2218">
        <f t="shared" ref="G225:L225" si="211">SUM(G226:G228)</f>
        <v>298113.20352687314</v>
      </c>
      <c r="H225" s="2218">
        <f>SUM(H226:H228)</f>
        <v>284231.97585193801</v>
      </c>
      <c r="I225" s="2218">
        <f t="shared" si="211"/>
        <v>13881.227674935177</v>
      </c>
      <c r="J225" s="2218">
        <f t="shared" si="211"/>
        <v>135483.5590836863</v>
      </c>
      <c r="K225" s="2218">
        <f t="shared" si="211"/>
        <v>135786.37738944055</v>
      </c>
      <c r="L225" s="2218">
        <f t="shared" si="211"/>
        <v>0</v>
      </c>
      <c r="M225" s="2098"/>
      <c r="N225" s="2098"/>
      <c r="O225" s="2098"/>
      <c r="P225" s="2098"/>
      <c r="Q225" s="2218">
        <f>SUM(Q226:Q228)</f>
        <v>0</v>
      </c>
      <c r="R225" s="2198"/>
      <c r="S225" s="2198"/>
      <c r="T225" s="2198"/>
      <c r="U225" s="2198"/>
      <c r="V225" s="2198"/>
      <c r="W225" s="2198"/>
      <c r="X225" s="2198"/>
      <c r="Y225" s="2198"/>
      <c r="Z225" s="2198"/>
      <c r="AA225" s="2198"/>
      <c r="AB225" s="2198"/>
      <c r="AC225" s="2198"/>
      <c r="AD225" s="2198"/>
      <c r="AE225" s="2198"/>
      <c r="AF225" s="2198"/>
      <c r="AG225" s="2198"/>
      <c r="AH225" s="2198"/>
      <c r="AI225" s="2198"/>
      <c r="AJ225" s="2198"/>
      <c r="AK225" s="2198"/>
      <c r="AL225" s="2198"/>
      <c r="AM225" s="2198"/>
      <c r="AN225" s="2198"/>
      <c r="AO225" s="2198"/>
      <c r="AP225" s="2198"/>
      <c r="AQ225" s="2198"/>
      <c r="AR225" s="2198"/>
      <c r="AS225" s="2198"/>
      <c r="AT225" s="2198"/>
      <c r="AU225" s="2198"/>
      <c r="AV225" s="2198"/>
      <c r="AW225" s="2198"/>
      <c r="AX225" s="2098"/>
      <c r="AY225" s="2098"/>
      <c r="AZ225" s="2098"/>
      <c r="BA225" s="2098"/>
    </row>
    <row r="226" spans="1:53" s="2066" customFormat="1" ht="12">
      <c r="B226" s="2125">
        <v>1</v>
      </c>
      <c r="C226" s="2135" t="s">
        <v>3821</v>
      </c>
      <c r="D226" s="2214"/>
      <c r="E226" s="2107">
        <f>SUMIF($P$8:$P$179,$C226,$M$8:$M$179)</f>
        <v>0</v>
      </c>
      <c r="F226" s="2107">
        <f t="shared" ref="F226" si="212">SUMIF($P$8:$P$179,$C226,$N$8:$N$179)</f>
        <v>0</v>
      </c>
      <c r="G226" s="2098"/>
      <c r="H226" s="2098"/>
      <c r="I226" s="2098"/>
      <c r="J226" s="2098"/>
      <c r="K226" s="2098"/>
      <c r="L226" s="2098"/>
      <c r="M226" s="2098"/>
      <c r="N226" s="2098"/>
      <c r="O226" s="2098"/>
      <c r="P226" s="2098"/>
      <c r="Q226" s="2107">
        <f>SUMIF($P$8:$P$179,$C226,$M$8:$M$179)</f>
        <v>0</v>
      </c>
      <c r="R226" s="2198"/>
      <c r="S226" s="2198"/>
      <c r="T226" s="2198"/>
      <c r="U226" s="2198"/>
      <c r="V226" s="2198"/>
      <c r="W226" s="2198"/>
      <c r="X226" s="2198"/>
      <c r="Y226" s="2198"/>
      <c r="Z226" s="2198"/>
      <c r="AA226" s="2198"/>
      <c r="AB226" s="2198"/>
      <c r="AC226" s="2198"/>
      <c r="AD226" s="2198"/>
      <c r="AE226" s="2198"/>
      <c r="AF226" s="2198"/>
      <c r="AG226" s="2198"/>
      <c r="AH226" s="2198"/>
      <c r="AI226" s="2198"/>
      <c r="AJ226" s="2198"/>
      <c r="AK226" s="2198"/>
      <c r="AL226" s="2198"/>
      <c r="AM226" s="2198"/>
      <c r="AN226" s="2198"/>
      <c r="AO226" s="2198"/>
      <c r="AP226" s="2198"/>
      <c r="AQ226" s="2198"/>
      <c r="AR226" s="2198"/>
      <c r="AS226" s="2198"/>
      <c r="AT226" s="2198"/>
      <c r="AU226" s="2198"/>
      <c r="AV226" s="2198"/>
      <c r="AW226" s="2198"/>
      <c r="AX226" s="2098"/>
      <c r="AY226" s="2098"/>
      <c r="AZ226" s="2098"/>
      <c r="BA226" s="2098"/>
    </row>
    <row r="227" spans="1:53" s="2066" customFormat="1" ht="12">
      <c r="B227" s="2128">
        <v>2</v>
      </c>
      <c r="C227" s="2136" t="s">
        <v>2921</v>
      </c>
      <c r="D227" s="2215">
        <f>'Выручка, УО_ 2016'!C26*1000</f>
        <v>437735.52</v>
      </c>
      <c r="E227" s="2109">
        <f>D227</f>
        <v>437735.52</v>
      </c>
      <c r="F227" s="2109">
        <f>D227-H227</f>
        <v>219221.09094582128</v>
      </c>
      <c r="G227" s="2107">
        <f>H227+I227</f>
        <v>229186.16481110005</v>
      </c>
      <c r="H227" s="2107">
        <f>'Выручка, УО_ 2016'!H26*1000</f>
        <v>218514.42905417873</v>
      </c>
      <c r="I227" s="2107">
        <f>'Выручка, УО_ 2016'!I26*1000</f>
        <v>10671.735756921325</v>
      </c>
      <c r="J227" s="2107">
        <f>'Выручка, УО_ 2016'!J26*1000</f>
        <v>104158.27589652225</v>
      </c>
      <c r="K227" s="2107">
        <f>'Выручка, УО_ 2016'!K26*1000</f>
        <v>104391.07929237772</v>
      </c>
      <c r="L227" s="2107">
        <f>('[30]Затраты 2016'!L26)*1000</f>
        <v>0</v>
      </c>
      <c r="M227" s="2098"/>
      <c r="N227" s="2098"/>
      <c r="O227" s="2098"/>
      <c r="P227" s="2098"/>
      <c r="Q227" s="2109">
        <f t="shared" ref="Q227:Q228" si="213">SUMIF($P$8:$P$179,$C227,$M$8:$M$179)</f>
        <v>0</v>
      </c>
      <c r="R227" s="2198"/>
      <c r="S227" s="2198"/>
      <c r="T227" s="2198"/>
      <c r="U227" s="2198"/>
      <c r="V227" s="2198"/>
      <c r="W227" s="2198"/>
      <c r="X227" s="2198"/>
      <c r="Y227" s="2198"/>
      <c r="Z227" s="2198"/>
      <c r="AA227" s="2198"/>
      <c r="AB227" s="2198"/>
      <c r="AC227" s="2198"/>
      <c r="AD227" s="2198"/>
      <c r="AE227" s="2198"/>
      <c r="AF227" s="2198"/>
      <c r="AG227" s="2198"/>
      <c r="AH227" s="2198"/>
      <c r="AI227" s="2198"/>
      <c r="AJ227" s="2198"/>
      <c r="AK227" s="2198"/>
      <c r="AL227" s="2198"/>
      <c r="AM227" s="2198"/>
      <c r="AN227" s="2198"/>
      <c r="AO227" s="2198"/>
      <c r="AP227" s="2198"/>
      <c r="AQ227" s="2198"/>
      <c r="AR227" s="2198"/>
      <c r="AS227" s="2198"/>
      <c r="AT227" s="2198"/>
      <c r="AU227" s="2198"/>
      <c r="AV227" s="2198"/>
      <c r="AW227" s="2198"/>
      <c r="AX227" s="2098"/>
      <c r="AY227" s="2098"/>
      <c r="AZ227" s="2098"/>
      <c r="BA227" s="2098"/>
    </row>
    <row r="228" spans="1:53" s="2066" customFormat="1" ht="12">
      <c r="B228" s="2131">
        <v>3</v>
      </c>
      <c r="C228" s="2137" t="s">
        <v>2924</v>
      </c>
      <c r="D228" s="2216">
        <f>'Выручка, УО_ 2016'!C29*1000</f>
        <v>131647.62</v>
      </c>
      <c r="E228" s="2109">
        <f>D228</f>
        <v>131647.62</v>
      </c>
      <c r="F228" s="2109">
        <f>D228-H228</f>
        <v>65930.073202240746</v>
      </c>
      <c r="G228" s="2107">
        <f>H228+I228</f>
        <v>68927.038715773102</v>
      </c>
      <c r="H228" s="2107">
        <f>'Выручка, УО_ 2016'!H29*1000</f>
        <v>65717.546797759249</v>
      </c>
      <c r="I228" s="2107">
        <f>'Выручка, УО_ 2016'!I29*1000</f>
        <v>3209.4919180138518</v>
      </c>
      <c r="J228" s="2107">
        <f>'Выручка, УО_ 2016'!J29*1000</f>
        <v>31325.283187164059</v>
      </c>
      <c r="K228" s="2107">
        <f>'Выручка, УО_ 2016'!K29*1000</f>
        <v>31395.298097062834</v>
      </c>
      <c r="L228" s="2107">
        <f>('[30]Затраты 2016'!L29)*1000</f>
        <v>0</v>
      </c>
      <c r="M228" s="2098"/>
      <c r="N228" s="2098"/>
      <c r="O228" s="2098"/>
      <c r="P228" s="2098"/>
      <c r="Q228" s="2120">
        <f t="shared" si="213"/>
        <v>0</v>
      </c>
      <c r="R228" s="2198"/>
      <c r="S228" s="2198"/>
      <c r="T228" s="2198"/>
      <c r="U228" s="2198"/>
      <c r="V228" s="2198"/>
      <c r="W228" s="2198"/>
      <c r="X228" s="2198"/>
      <c r="Y228" s="2198"/>
      <c r="Z228" s="2198"/>
      <c r="AA228" s="2198"/>
      <c r="AB228" s="2198"/>
      <c r="AC228" s="2198"/>
      <c r="AD228" s="2198"/>
      <c r="AE228" s="2198"/>
      <c r="AF228" s="2198"/>
      <c r="AG228" s="2198"/>
      <c r="AH228" s="2198"/>
      <c r="AI228" s="2198"/>
      <c r="AJ228" s="2198"/>
      <c r="AK228" s="2198"/>
      <c r="AL228" s="2198"/>
      <c r="AM228" s="2198"/>
      <c r="AN228" s="2198"/>
      <c r="AO228" s="2198"/>
      <c r="AP228" s="2198"/>
      <c r="AQ228" s="2198"/>
      <c r="AR228" s="2198"/>
      <c r="AS228" s="2198"/>
      <c r="AT228" s="2198"/>
      <c r="AU228" s="2198"/>
      <c r="AV228" s="2198"/>
      <c r="AW228" s="2198"/>
      <c r="AX228" s="2098"/>
      <c r="AY228" s="2098"/>
      <c r="AZ228" s="2098"/>
      <c r="BA228" s="2098"/>
    </row>
    <row r="229" spans="1:53" s="2066" customFormat="1">
      <c r="C229" s="2096"/>
      <c r="D229" s="2174"/>
      <c r="E229" s="2098"/>
      <c r="F229" s="2098"/>
      <c r="G229" s="2098"/>
      <c r="H229" s="2098"/>
      <c r="I229" s="2098"/>
      <c r="J229" s="2098"/>
      <c r="K229" s="2098"/>
      <c r="L229" s="2098"/>
      <c r="M229" s="2098"/>
      <c r="N229" s="2098"/>
      <c r="O229" s="2098"/>
      <c r="P229" s="2098"/>
      <c r="Q229" s="2098"/>
      <c r="R229" s="2198"/>
      <c r="S229" s="2198"/>
      <c r="T229" s="2198"/>
      <c r="U229" s="2198"/>
      <c r="V229" s="2198"/>
      <c r="W229" s="2198"/>
      <c r="X229" s="2198"/>
      <c r="Y229" s="2198"/>
      <c r="Z229" s="2198"/>
      <c r="AA229" s="2198"/>
      <c r="AB229" s="2198"/>
      <c r="AC229" s="2198"/>
      <c r="AD229" s="2198"/>
      <c r="AE229" s="2198"/>
      <c r="AF229" s="2198"/>
      <c r="AG229" s="2198"/>
      <c r="AH229" s="2198"/>
      <c r="AI229" s="2198"/>
      <c r="AJ229" s="2198"/>
      <c r="AK229" s="2198"/>
      <c r="AL229" s="2198"/>
      <c r="AM229" s="2198"/>
      <c r="AN229" s="2198"/>
      <c r="AO229" s="2198"/>
      <c r="AP229" s="2198"/>
      <c r="AQ229" s="2198"/>
      <c r="AR229" s="2198"/>
      <c r="AS229" s="2198"/>
      <c r="AT229" s="2198"/>
      <c r="AU229" s="2198"/>
      <c r="AV229" s="2198"/>
      <c r="AW229" s="2198"/>
      <c r="AX229" s="2098"/>
      <c r="AY229" s="2098"/>
      <c r="AZ229" s="2098"/>
      <c r="BA229" s="2098"/>
    </row>
    <row r="230" spans="1:53">
      <c r="H230" s="2141">
        <f ca="1">H183</f>
        <v>1629315.6743488689</v>
      </c>
      <c r="I230" s="2141">
        <f t="shared" ref="I230:L230" ca="1" si="214">I183</f>
        <v>3536318.5226277732</v>
      </c>
      <c r="J230" s="2141">
        <f t="shared" ca="1" si="214"/>
        <v>1515030.9320351193</v>
      </c>
      <c r="K230" s="2141">
        <f t="shared" ca="1" si="214"/>
        <v>661580.82279823825</v>
      </c>
      <c r="L230" s="2141">
        <f t="shared" ca="1" si="214"/>
        <v>0</v>
      </c>
      <c r="M230" s="2098"/>
      <c r="N230" s="2098"/>
      <c r="O230" s="2098"/>
      <c r="P230" s="2098"/>
      <c r="R230" s="2198"/>
      <c r="S230" s="2198"/>
      <c r="T230" s="2198"/>
      <c r="U230" s="2198"/>
      <c r="V230" s="2168"/>
      <c r="W230" s="2168"/>
      <c r="X230" s="2168"/>
      <c r="Y230" s="2168"/>
      <c r="Z230" s="2168"/>
      <c r="AA230" s="2168"/>
      <c r="AB230" s="2168"/>
      <c r="AC230" s="2168"/>
      <c r="AD230" s="2168"/>
      <c r="AE230" s="2168"/>
      <c r="AF230" s="2168"/>
      <c r="AG230" s="2168"/>
      <c r="AH230" s="2168"/>
      <c r="AI230" s="2168"/>
      <c r="AJ230" s="2168"/>
      <c r="AK230" s="2168"/>
      <c r="AL230" s="2168"/>
      <c r="AM230" s="2168"/>
      <c r="AN230" s="2168"/>
      <c r="AO230" s="2168"/>
      <c r="AP230" s="2168"/>
      <c r="AQ230" s="2168"/>
      <c r="AR230" s="2168"/>
      <c r="AS230" s="2168"/>
      <c r="AT230" s="2168"/>
      <c r="AU230" s="2168"/>
      <c r="AV230" s="2168"/>
    </row>
    <row r="231" spans="1:53" ht="24" customHeight="1">
      <c r="H231" s="2141">
        <f>'[30]Затраты 2016'!H36*1000</f>
        <v>1629315.6965949568</v>
      </c>
      <c r="I231" s="2141">
        <f>'[30]Затраты 2016'!I36*1000</f>
        <v>3536318.478547541</v>
      </c>
      <c r="J231" s="2141">
        <f>'[30]Затраты 2016'!J36*1000</f>
        <v>1515030.9320592657</v>
      </c>
      <c r="K231" s="2141">
        <f>'[30]Затраты 2016'!K36*1000</f>
        <v>661580.82279823814</v>
      </c>
      <c r="L231" s="2141">
        <f>'[30]Затраты 2016'!L36*1000</f>
        <v>0</v>
      </c>
      <c r="M231" s="2098"/>
      <c r="N231" s="2098"/>
      <c r="O231" s="2098"/>
      <c r="P231" s="2098"/>
      <c r="R231" s="2198"/>
      <c r="S231" s="2198"/>
      <c r="T231" s="2198"/>
      <c r="U231" s="2198"/>
      <c r="V231" s="2168"/>
      <c r="W231" s="2168"/>
      <c r="X231" s="2168"/>
      <c r="Y231" s="2168"/>
      <c r="Z231" s="2168"/>
      <c r="AA231" s="2168"/>
      <c r="AB231" s="2168"/>
      <c r="AC231" s="2168"/>
      <c r="AD231" s="2168"/>
      <c r="AE231" s="2168"/>
      <c r="AF231" s="2168"/>
      <c r="AG231" s="2168"/>
      <c r="AH231" s="2168"/>
      <c r="AI231" s="2168"/>
      <c r="AJ231" s="2168"/>
      <c r="AK231" s="2168"/>
      <c r="AL231" s="2168"/>
      <c r="AM231" s="2168"/>
      <c r="AN231" s="2168"/>
      <c r="AO231" s="2168"/>
      <c r="AP231" s="2168"/>
      <c r="AQ231" s="2168"/>
      <c r="AR231" s="2168"/>
      <c r="AS231" s="2168"/>
      <c r="AT231" s="2168"/>
      <c r="AU231" s="2168"/>
      <c r="AV231" s="2168"/>
    </row>
    <row r="232" spans="1:53" ht="36" customHeight="1">
      <c r="H232" s="2141">
        <f ca="1">H231-H230</f>
        <v>2.2246087901294231E-2</v>
      </c>
      <c r="I232" s="2141">
        <f t="shared" ref="I232:K232" ca="1" si="215">I231-I230</f>
        <v>-4.408023227006197E-2</v>
      </c>
      <c r="J232" s="2141">
        <f t="shared" ca="1" si="215"/>
        <v>2.4146400392055511E-5</v>
      </c>
      <c r="K232" s="2141">
        <f t="shared" ca="1" si="215"/>
        <v>0</v>
      </c>
      <c r="L232" s="2141">
        <f ca="1">L231-L230</f>
        <v>0</v>
      </c>
      <c r="M232" s="2098"/>
      <c r="N232" s="2098"/>
      <c r="O232" s="2098"/>
      <c r="P232" s="2098"/>
      <c r="R232" s="2198"/>
      <c r="S232" s="2198"/>
      <c r="T232" s="2198"/>
      <c r="U232" s="2198"/>
      <c r="V232" s="2168"/>
      <c r="W232" s="2168"/>
      <c r="X232" s="2168"/>
      <c r="Y232" s="2168"/>
      <c r="Z232" s="2168"/>
      <c r="AA232" s="2168"/>
      <c r="AB232" s="2168"/>
      <c r="AC232" s="2168"/>
      <c r="AD232" s="2168"/>
      <c r="AE232" s="2168"/>
      <c r="AF232" s="2168"/>
      <c r="AG232" s="2168"/>
      <c r="AH232" s="2168"/>
      <c r="AI232" s="2168"/>
      <c r="AJ232" s="2168"/>
      <c r="AK232" s="2168"/>
      <c r="AL232" s="2168"/>
      <c r="AM232" s="2168"/>
      <c r="AN232" s="2168"/>
      <c r="AO232" s="2168"/>
      <c r="AP232" s="2168"/>
      <c r="AQ232" s="2168"/>
      <c r="AR232" s="2168"/>
      <c r="AS232" s="2168"/>
      <c r="AT232" s="2168"/>
      <c r="AU232" s="2168"/>
      <c r="AV232" s="2168"/>
    </row>
    <row r="233" spans="1:53" ht="24" customHeight="1">
      <c r="M233" s="2098"/>
      <c r="N233" s="2098"/>
      <c r="O233" s="2098"/>
      <c r="P233" s="2098"/>
      <c r="R233" s="2198"/>
      <c r="S233" s="2198"/>
      <c r="T233" s="2198"/>
      <c r="U233" s="2198"/>
      <c r="V233" s="2168"/>
      <c r="W233" s="2168"/>
      <c r="X233" s="2168"/>
      <c r="Y233" s="2168"/>
      <c r="Z233" s="2168"/>
      <c r="AA233" s="2168"/>
      <c r="AB233" s="2168"/>
      <c r="AC233" s="2168"/>
      <c r="AD233" s="2168"/>
      <c r="AE233" s="2168"/>
      <c r="AF233" s="2168"/>
      <c r="AG233" s="2168"/>
      <c r="AH233" s="2168"/>
      <c r="AI233" s="2168"/>
      <c r="AJ233" s="2168"/>
      <c r="AK233" s="2168"/>
      <c r="AL233" s="2168"/>
      <c r="AM233" s="2168"/>
      <c r="AN233" s="2168"/>
      <c r="AO233" s="2168"/>
      <c r="AP233" s="2168"/>
      <c r="AQ233" s="2168"/>
      <c r="AR233" s="2168"/>
      <c r="AS233" s="2168"/>
      <c r="AT233" s="2168"/>
      <c r="AU233" s="2168"/>
      <c r="AV233" s="2168"/>
    </row>
    <row r="234" spans="1:53" s="2141" customFormat="1" ht="48" customHeight="1" collapsed="1">
      <c r="A234" s="2150"/>
      <c r="B234" s="2150"/>
      <c r="C234" s="2153"/>
      <c r="D234" s="2154"/>
      <c r="M234" s="2098"/>
      <c r="N234" s="2098"/>
      <c r="O234" s="2098"/>
      <c r="P234" s="2098"/>
      <c r="R234" s="2198"/>
      <c r="S234" s="2198"/>
      <c r="T234" s="2198"/>
      <c r="U234" s="2198"/>
      <c r="V234" s="2168"/>
      <c r="W234" s="2168"/>
      <c r="X234" s="2168"/>
      <c r="Y234" s="2168"/>
      <c r="Z234" s="2168"/>
      <c r="AA234" s="2168"/>
      <c r="AB234" s="2168"/>
      <c r="AC234" s="2168"/>
      <c r="AD234" s="2168"/>
      <c r="AE234" s="2168"/>
      <c r="AF234" s="2168"/>
      <c r="AG234" s="2168"/>
      <c r="AH234" s="2168"/>
      <c r="AI234" s="2168"/>
      <c r="AJ234" s="2168"/>
      <c r="AK234" s="2168"/>
      <c r="AL234" s="2168"/>
      <c r="AM234" s="2168"/>
      <c r="AN234" s="2168"/>
      <c r="AO234" s="2168"/>
      <c r="AP234" s="2168"/>
      <c r="AQ234" s="2168"/>
      <c r="AR234" s="2168"/>
      <c r="AS234" s="2168"/>
      <c r="AT234" s="2168"/>
      <c r="AU234" s="2168"/>
      <c r="AV234" s="2168"/>
    </row>
    <row r="235" spans="1:53" s="2141" customFormat="1" ht="24" hidden="1" customHeight="1" outlineLevel="2">
      <c r="A235" s="2150"/>
      <c r="B235" s="2150"/>
      <c r="C235" s="2219" t="s">
        <v>1262</v>
      </c>
      <c r="D235" s="2220">
        <v>10769.94</v>
      </c>
      <c r="M235" s="2098"/>
      <c r="N235" s="2098"/>
      <c r="O235" s="2098"/>
      <c r="P235" s="2098"/>
      <c r="R235" s="2198"/>
      <c r="S235" s="2198"/>
      <c r="T235" s="2198"/>
      <c r="U235" s="2198"/>
      <c r="V235" s="2168"/>
      <c r="W235" s="2168"/>
      <c r="X235" s="2168"/>
      <c r="Y235" s="2168"/>
      <c r="Z235" s="2168"/>
      <c r="AA235" s="2168"/>
      <c r="AB235" s="2168"/>
      <c r="AC235" s="2168"/>
      <c r="AD235" s="2168"/>
      <c r="AE235" s="2221">
        <v>10769.94</v>
      </c>
      <c r="AF235" s="2221"/>
      <c r="AG235" s="2221"/>
      <c r="AH235" s="2222"/>
      <c r="AI235" s="2223"/>
      <c r="AJ235" s="2221"/>
      <c r="AK235" s="2221">
        <v>2510.79</v>
      </c>
      <c r="AL235" s="2221">
        <v>8259.15</v>
      </c>
      <c r="AM235" s="2221"/>
      <c r="AN235" s="2221">
        <v>10769.94</v>
      </c>
      <c r="AO235" s="2221">
        <v>10769.94</v>
      </c>
      <c r="AP235" s="2168"/>
      <c r="AQ235" s="2168"/>
      <c r="AR235" s="2168"/>
      <c r="AS235" s="2168"/>
      <c r="AT235" s="2168"/>
      <c r="AU235" s="2168"/>
      <c r="AV235" s="2168"/>
    </row>
    <row r="236" spans="1:53" s="2141" customFormat="1" ht="12" hidden="1" customHeight="1" outlineLevel="3" collapsed="1">
      <c r="A236" s="2150"/>
      <c r="B236" s="2150"/>
      <c r="C236" s="2224" t="s">
        <v>1470</v>
      </c>
      <c r="D236" s="2225">
        <v>8259.15</v>
      </c>
      <c r="M236" s="2098"/>
      <c r="N236" s="2098"/>
      <c r="O236" s="2098"/>
      <c r="P236" s="2098"/>
      <c r="R236" s="2198"/>
      <c r="S236" s="2198"/>
      <c r="T236" s="2198"/>
      <c r="U236" s="2198"/>
      <c r="V236" s="2168"/>
      <c r="W236" s="2168"/>
      <c r="X236" s="2168"/>
      <c r="Y236" s="2168"/>
      <c r="Z236" s="2168"/>
      <c r="AA236" s="2168"/>
      <c r="AB236" s="2168"/>
      <c r="AC236" s="2168"/>
      <c r="AD236" s="2168"/>
      <c r="AE236" s="2226">
        <v>8259.15</v>
      </c>
      <c r="AF236" s="2226"/>
      <c r="AG236" s="2226"/>
      <c r="AH236" s="2227"/>
      <c r="AI236" s="2228"/>
      <c r="AJ236" s="2226"/>
      <c r="AK236" s="2226"/>
      <c r="AL236" s="2226">
        <v>8259.15</v>
      </c>
      <c r="AM236" s="2226"/>
      <c r="AN236" s="2226">
        <v>8259.15</v>
      </c>
      <c r="AO236" s="2226">
        <v>8259.15</v>
      </c>
      <c r="AP236" s="2168"/>
      <c r="AQ236" s="2168"/>
      <c r="AR236" s="2168"/>
      <c r="AS236" s="2168"/>
      <c r="AT236" s="2168"/>
      <c r="AU236" s="2168"/>
      <c r="AV236" s="2168"/>
    </row>
    <row r="237" spans="1:53" s="2141" customFormat="1" ht="24" hidden="1" customHeight="1" outlineLevel="4">
      <c r="A237" s="2150"/>
      <c r="B237" s="2150"/>
      <c r="C237" s="2229" t="s">
        <v>1331</v>
      </c>
      <c r="D237" s="2230">
        <v>395.35</v>
      </c>
      <c r="M237" s="2098"/>
      <c r="N237" s="2098"/>
      <c r="O237" s="2098"/>
      <c r="P237" s="2098"/>
      <c r="R237" s="2198"/>
      <c r="S237" s="2198"/>
      <c r="T237" s="2198"/>
      <c r="U237" s="2198"/>
      <c r="V237" s="2168"/>
      <c r="W237" s="2168"/>
      <c r="X237" s="2168"/>
      <c r="Y237" s="2168"/>
      <c r="Z237" s="2168"/>
      <c r="AA237" s="2168"/>
      <c r="AB237" s="2168"/>
      <c r="AC237" s="2168"/>
      <c r="AD237" s="2168"/>
      <c r="AE237" s="2231">
        <v>395.35</v>
      </c>
      <c r="AF237" s="2231"/>
      <c r="AG237" s="2231"/>
      <c r="AH237" s="2232"/>
      <c r="AI237" s="2233"/>
      <c r="AJ237" s="2231"/>
      <c r="AK237" s="2231"/>
      <c r="AL237" s="2231">
        <v>395.35</v>
      </c>
      <c r="AM237" s="2231"/>
      <c r="AN237" s="2231">
        <v>395.35</v>
      </c>
      <c r="AO237" s="2231">
        <v>395.35</v>
      </c>
      <c r="AP237" s="2168"/>
      <c r="AQ237" s="2168"/>
      <c r="AR237" s="2168"/>
      <c r="AS237" s="2168"/>
      <c r="AT237" s="2168"/>
      <c r="AU237" s="2168"/>
      <c r="AV237" s="2168"/>
    </row>
    <row r="238" spans="1:53" s="2141" customFormat="1" ht="24" hidden="1" customHeight="1" outlineLevel="4">
      <c r="A238" s="2150"/>
      <c r="B238" s="2150"/>
      <c r="C238" s="2229" t="s">
        <v>1332</v>
      </c>
      <c r="D238" s="2230">
        <v>871.51</v>
      </c>
      <c r="M238" s="2098"/>
      <c r="N238" s="2098"/>
      <c r="O238" s="2098"/>
      <c r="P238" s="2098"/>
      <c r="R238" s="2198"/>
      <c r="S238" s="2198"/>
      <c r="T238" s="2198"/>
      <c r="U238" s="2198"/>
      <c r="V238" s="2168"/>
      <c r="W238" s="2168"/>
      <c r="X238" s="2168"/>
      <c r="Y238" s="2168"/>
      <c r="Z238" s="2168"/>
      <c r="AA238" s="2168"/>
      <c r="AB238" s="2168"/>
      <c r="AC238" s="2168"/>
      <c r="AD238" s="2168"/>
      <c r="AE238" s="2231">
        <v>871.51</v>
      </c>
      <c r="AF238" s="2231"/>
      <c r="AG238" s="2231"/>
      <c r="AH238" s="2232"/>
      <c r="AI238" s="2233"/>
      <c r="AJ238" s="2231"/>
      <c r="AK238" s="2231"/>
      <c r="AL238" s="2231">
        <v>871.51</v>
      </c>
      <c r="AM238" s="2231"/>
      <c r="AN238" s="2231">
        <v>871.51</v>
      </c>
      <c r="AO238" s="2231">
        <v>871.51</v>
      </c>
      <c r="AP238" s="2168"/>
      <c r="AQ238" s="2168"/>
      <c r="AR238" s="2168"/>
      <c r="AS238" s="2168"/>
      <c r="AT238" s="2168"/>
      <c r="AU238" s="2168"/>
      <c r="AV238" s="2168"/>
    </row>
    <row r="239" spans="1:53" s="2141" customFormat="1" ht="12" hidden="1" customHeight="1" outlineLevel="4">
      <c r="A239" s="2150"/>
      <c r="B239" s="2150"/>
      <c r="C239" s="2229" t="s">
        <v>1364</v>
      </c>
      <c r="D239" s="2230">
        <v>5875.51</v>
      </c>
      <c r="M239" s="2098"/>
      <c r="N239" s="2098"/>
      <c r="O239" s="2098"/>
      <c r="P239" s="2098"/>
      <c r="R239" s="2198"/>
      <c r="S239" s="2198"/>
      <c r="T239" s="2198"/>
      <c r="U239" s="2198"/>
      <c r="V239" s="2168"/>
      <c r="W239" s="2168"/>
      <c r="X239" s="2168"/>
      <c r="Y239" s="2168"/>
      <c r="Z239" s="2168"/>
      <c r="AA239" s="2168"/>
      <c r="AB239" s="2168"/>
      <c r="AC239" s="2168"/>
      <c r="AD239" s="2168"/>
      <c r="AE239" s="2231">
        <v>5875.51</v>
      </c>
      <c r="AF239" s="2231"/>
      <c r="AG239" s="2231"/>
      <c r="AH239" s="2232"/>
      <c r="AI239" s="2233"/>
      <c r="AJ239" s="2231"/>
      <c r="AK239" s="2231"/>
      <c r="AL239" s="2231">
        <v>5875.51</v>
      </c>
      <c r="AM239" s="2231"/>
      <c r="AN239" s="2231">
        <v>5875.51</v>
      </c>
      <c r="AO239" s="2231">
        <v>5875.51</v>
      </c>
      <c r="AP239" s="2168"/>
      <c r="AQ239" s="2168"/>
      <c r="AR239" s="2168"/>
      <c r="AS239" s="2168"/>
      <c r="AT239" s="2168"/>
      <c r="AU239" s="2168"/>
      <c r="AV239" s="2168"/>
    </row>
    <row r="240" spans="1:53" s="2141" customFormat="1" ht="12" hidden="1" customHeight="1" outlineLevel="4">
      <c r="A240" s="2150"/>
      <c r="B240" s="2150"/>
      <c r="C240" s="2229" t="s">
        <v>1385</v>
      </c>
      <c r="D240" s="2230">
        <v>0.7</v>
      </c>
      <c r="M240" s="2098"/>
      <c r="N240" s="2098"/>
      <c r="O240" s="2098"/>
      <c r="P240" s="2098"/>
      <c r="R240" s="2198"/>
      <c r="S240" s="2198"/>
      <c r="T240" s="2198"/>
      <c r="U240" s="2198"/>
      <c r="V240" s="2168"/>
      <c r="W240" s="2168"/>
      <c r="X240" s="2168"/>
      <c r="Y240" s="2168"/>
      <c r="Z240" s="2168"/>
      <c r="AA240" s="2168"/>
      <c r="AB240" s="2168"/>
      <c r="AC240" s="2168"/>
      <c r="AD240" s="2168"/>
      <c r="AE240" s="2231">
        <v>0.7</v>
      </c>
      <c r="AF240" s="2231"/>
      <c r="AG240" s="2231"/>
      <c r="AH240" s="2232"/>
      <c r="AI240" s="2233"/>
      <c r="AJ240" s="2231"/>
      <c r="AK240" s="2231"/>
      <c r="AL240" s="2231">
        <v>0.7</v>
      </c>
      <c r="AM240" s="2231"/>
      <c r="AN240" s="2231">
        <v>0.7</v>
      </c>
      <c r="AO240" s="2231">
        <v>0.7</v>
      </c>
      <c r="AP240" s="2168"/>
      <c r="AQ240" s="2168"/>
      <c r="AR240" s="2168"/>
      <c r="AS240" s="2168"/>
      <c r="AT240" s="2168"/>
      <c r="AU240" s="2168"/>
      <c r="AV240" s="2168"/>
    </row>
    <row r="241" spans="1:48" s="2141" customFormat="1" ht="24" hidden="1" customHeight="1" outlineLevel="4">
      <c r="A241" s="2150"/>
      <c r="B241" s="2150"/>
      <c r="C241" s="2229" t="s">
        <v>1386</v>
      </c>
      <c r="D241" s="2230">
        <v>1116.08</v>
      </c>
      <c r="M241" s="2098"/>
      <c r="N241" s="2098"/>
      <c r="O241" s="2098"/>
      <c r="P241" s="2098"/>
      <c r="R241" s="2198"/>
      <c r="S241" s="2198"/>
      <c r="T241" s="2198"/>
      <c r="U241" s="2198"/>
      <c r="V241" s="2168"/>
      <c r="W241" s="2168"/>
      <c r="X241" s="2168"/>
      <c r="Y241" s="2168"/>
      <c r="Z241" s="2168"/>
      <c r="AA241" s="2168"/>
      <c r="AB241" s="2168"/>
      <c r="AC241" s="2168"/>
      <c r="AD241" s="2168"/>
      <c r="AE241" s="2231">
        <v>1116.08</v>
      </c>
      <c r="AF241" s="2231"/>
      <c r="AG241" s="2231"/>
      <c r="AH241" s="2232"/>
      <c r="AI241" s="2233"/>
      <c r="AJ241" s="2231"/>
      <c r="AK241" s="2231"/>
      <c r="AL241" s="2231">
        <v>1116.08</v>
      </c>
      <c r="AM241" s="2231"/>
      <c r="AN241" s="2231">
        <v>1116.08</v>
      </c>
      <c r="AO241" s="2231">
        <v>1116.08</v>
      </c>
      <c r="AP241" s="2168"/>
      <c r="AQ241" s="2168"/>
      <c r="AR241" s="2168"/>
      <c r="AS241" s="2168"/>
      <c r="AT241" s="2168"/>
      <c r="AU241" s="2168"/>
      <c r="AV241" s="2168"/>
    </row>
    <row r="242" spans="1:48" s="2141" customFormat="1" ht="12" hidden="1" customHeight="1" outlineLevel="3">
      <c r="A242" s="2150"/>
      <c r="B242" s="2150"/>
      <c r="C242" s="2224" t="s">
        <v>1500</v>
      </c>
      <c r="D242" s="2225">
        <v>2510.79</v>
      </c>
      <c r="M242" s="2098"/>
      <c r="N242" s="2098"/>
      <c r="O242" s="2098"/>
      <c r="P242" s="2098"/>
      <c r="R242" s="2198"/>
      <c r="S242" s="2198"/>
      <c r="T242" s="2198"/>
      <c r="U242" s="2198"/>
      <c r="V242" s="2168"/>
      <c r="W242" s="2168"/>
      <c r="X242" s="2168"/>
      <c r="Y242" s="2168"/>
      <c r="Z242" s="2168"/>
      <c r="AA242" s="2168"/>
      <c r="AB242" s="2168"/>
      <c r="AC242" s="2168"/>
      <c r="AD242" s="2168"/>
      <c r="AE242" s="2226">
        <v>2510.79</v>
      </c>
      <c r="AF242" s="2226"/>
      <c r="AG242" s="2226"/>
      <c r="AH242" s="2227"/>
      <c r="AI242" s="2228"/>
      <c r="AJ242" s="2226"/>
      <c r="AK242" s="2226">
        <v>2510.79</v>
      </c>
      <c r="AL242" s="2226"/>
      <c r="AM242" s="2226"/>
      <c r="AN242" s="2226">
        <v>2510.79</v>
      </c>
      <c r="AO242" s="2226">
        <v>2510.79</v>
      </c>
      <c r="AP242" s="2168"/>
      <c r="AQ242" s="2168"/>
      <c r="AR242" s="2168"/>
      <c r="AS242" s="2168"/>
      <c r="AT242" s="2168"/>
      <c r="AU242" s="2168"/>
      <c r="AV242" s="2168"/>
    </row>
    <row r="243" spans="1:48" s="2141" customFormat="1" ht="24" hidden="1" customHeight="1" outlineLevel="4">
      <c r="A243" s="2150"/>
      <c r="B243" s="2150"/>
      <c r="C243" s="2229" t="s">
        <v>1391</v>
      </c>
      <c r="D243" s="2230">
        <v>421.23</v>
      </c>
      <c r="M243" s="2098"/>
      <c r="N243" s="2098"/>
      <c r="O243" s="2098"/>
      <c r="P243" s="2098"/>
      <c r="R243" s="2198"/>
      <c r="S243" s="2198"/>
      <c r="T243" s="2198"/>
      <c r="U243" s="2198"/>
      <c r="V243" s="2168"/>
      <c r="W243" s="2168"/>
      <c r="X243" s="2168"/>
      <c r="Y243" s="2168"/>
      <c r="Z243" s="2168"/>
      <c r="AA243" s="2168"/>
      <c r="AB243" s="2168"/>
      <c r="AC243" s="2168"/>
      <c r="AD243" s="2168"/>
      <c r="AE243" s="2231">
        <v>421.23</v>
      </c>
      <c r="AF243" s="2231"/>
      <c r="AG243" s="2231"/>
      <c r="AH243" s="2232"/>
      <c r="AI243" s="2233"/>
      <c r="AJ243" s="2231"/>
      <c r="AK243" s="2231">
        <v>421.23</v>
      </c>
      <c r="AL243" s="2231"/>
      <c r="AM243" s="2231"/>
      <c r="AN243" s="2231">
        <v>421.23</v>
      </c>
      <c r="AO243" s="2231">
        <v>421.23</v>
      </c>
      <c r="AP243" s="2168"/>
      <c r="AQ243" s="2168"/>
      <c r="AR243" s="2168"/>
      <c r="AS243" s="2168"/>
      <c r="AT243" s="2168"/>
      <c r="AU243" s="2168"/>
      <c r="AV243" s="2168"/>
    </row>
    <row r="244" spans="1:48" s="2141" customFormat="1" ht="24" hidden="1" customHeight="1" outlineLevel="4">
      <c r="A244" s="2150"/>
      <c r="B244" s="2150"/>
      <c r="C244" s="2229" t="s">
        <v>1396</v>
      </c>
      <c r="D244" s="2230">
        <v>1817</v>
      </c>
      <c r="M244" s="2098"/>
      <c r="N244" s="2098"/>
      <c r="O244" s="2098"/>
      <c r="P244" s="2098"/>
      <c r="R244" s="2198"/>
      <c r="S244" s="2198"/>
      <c r="T244" s="2198"/>
      <c r="U244" s="2198"/>
      <c r="V244" s="2168"/>
      <c r="W244" s="2168"/>
      <c r="X244" s="2168"/>
      <c r="Y244" s="2168"/>
      <c r="Z244" s="2168"/>
      <c r="AA244" s="2168"/>
      <c r="AB244" s="2168"/>
      <c r="AC244" s="2168"/>
      <c r="AD244" s="2168"/>
      <c r="AE244" s="2231">
        <v>1817</v>
      </c>
      <c r="AF244" s="2231"/>
      <c r="AG244" s="2231"/>
      <c r="AH244" s="2232"/>
      <c r="AI244" s="2233"/>
      <c r="AJ244" s="2231"/>
      <c r="AK244" s="2231">
        <v>1817</v>
      </c>
      <c r="AL244" s="2231"/>
      <c r="AM244" s="2231"/>
      <c r="AN244" s="2231">
        <v>1817</v>
      </c>
      <c r="AO244" s="2231">
        <v>1817</v>
      </c>
      <c r="AP244" s="2168"/>
      <c r="AQ244" s="2168"/>
      <c r="AR244" s="2168"/>
      <c r="AS244" s="2168"/>
      <c r="AT244" s="2168"/>
      <c r="AU244" s="2168"/>
      <c r="AV244" s="2168"/>
    </row>
    <row r="245" spans="1:48" s="2141" customFormat="1" ht="12" hidden="1" customHeight="1" outlineLevel="4">
      <c r="A245" s="2150"/>
      <c r="B245" s="2150"/>
      <c r="C245" s="2229" t="s">
        <v>1401</v>
      </c>
      <c r="D245" s="2230">
        <v>33.04</v>
      </c>
      <c r="M245" s="2098"/>
      <c r="N245" s="2098"/>
      <c r="O245" s="2098"/>
      <c r="P245" s="2098"/>
      <c r="R245" s="2198"/>
      <c r="S245" s="2198"/>
      <c r="T245" s="2198"/>
      <c r="U245" s="2198"/>
      <c r="V245" s="2168"/>
      <c r="W245" s="2168"/>
      <c r="X245" s="2168"/>
      <c r="Y245" s="2168"/>
      <c r="Z245" s="2168"/>
      <c r="AA245" s="2168"/>
      <c r="AB245" s="2168"/>
      <c r="AC245" s="2168"/>
      <c r="AD245" s="2168"/>
      <c r="AE245" s="2231">
        <v>33.04</v>
      </c>
      <c r="AF245" s="2231"/>
      <c r="AG245" s="2231"/>
      <c r="AH245" s="2232"/>
      <c r="AI245" s="2233"/>
      <c r="AJ245" s="2231"/>
      <c r="AK245" s="2231">
        <v>33.04</v>
      </c>
      <c r="AL245" s="2231"/>
      <c r="AM245" s="2231"/>
      <c r="AN245" s="2231">
        <v>33.04</v>
      </c>
      <c r="AO245" s="2231">
        <v>33.04</v>
      </c>
      <c r="AP245" s="2168"/>
      <c r="AQ245" s="2168"/>
      <c r="AR245" s="2168"/>
      <c r="AS245" s="2168"/>
      <c r="AT245" s="2168"/>
      <c r="AU245" s="2168"/>
      <c r="AV245" s="2168"/>
    </row>
    <row r="246" spans="1:48" s="2141" customFormat="1" ht="24" hidden="1" customHeight="1" outlineLevel="4">
      <c r="A246" s="2150"/>
      <c r="B246" s="2150"/>
      <c r="C246" s="2229" t="s">
        <v>1406</v>
      </c>
      <c r="D246" s="2230">
        <v>239.52</v>
      </c>
      <c r="M246" s="2098"/>
      <c r="N246" s="2098"/>
      <c r="O246" s="2098"/>
      <c r="P246" s="2098"/>
      <c r="R246" s="2198"/>
      <c r="S246" s="2198"/>
      <c r="T246" s="2198"/>
      <c r="U246" s="2198"/>
      <c r="V246" s="2168"/>
      <c r="W246" s="2168"/>
      <c r="X246" s="2168"/>
      <c r="Y246" s="2168"/>
      <c r="Z246" s="2168"/>
      <c r="AA246" s="2168"/>
      <c r="AB246" s="2168"/>
      <c r="AC246" s="2168"/>
      <c r="AD246" s="2168"/>
      <c r="AE246" s="2231">
        <v>239.52</v>
      </c>
      <c r="AF246" s="2231"/>
      <c r="AG246" s="2231"/>
      <c r="AH246" s="2232"/>
      <c r="AI246" s="2233"/>
      <c r="AJ246" s="2231"/>
      <c r="AK246" s="2231">
        <v>239.52</v>
      </c>
      <c r="AL246" s="2231"/>
      <c r="AM246" s="2231"/>
      <c r="AN246" s="2231">
        <v>239.52</v>
      </c>
      <c r="AO246" s="2231">
        <v>239.52</v>
      </c>
      <c r="AP246" s="2168"/>
      <c r="AQ246" s="2168"/>
      <c r="AR246" s="2168"/>
      <c r="AS246" s="2168"/>
      <c r="AT246" s="2168"/>
      <c r="AU246" s="2168"/>
      <c r="AV246" s="2168"/>
    </row>
    <row r="247" spans="1:48" s="2141" customFormat="1" ht="12" hidden="1" customHeight="1" outlineLevel="2">
      <c r="A247" s="2150"/>
      <c r="B247" s="2150"/>
      <c r="C247" s="2219" t="s">
        <v>715</v>
      </c>
      <c r="D247" s="2220">
        <v>954922.94</v>
      </c>
      <c r="M247" s="2098"/>
      <c r="N247" s="2098"/>
      <c r="O247" s="2098"/>
      <c r="P247" s="2098"/>
      <c r="R247" s="2198"/>
      <c r="S247" s="2198"/>
      <c r="T247" s="2198"/>
      <c r="U247" s="2198"/>
      <c r="V247" s="2168"/>
      <c r="W247" s="2168"/>
      <c r="X247" s="2168"/>
      <c r="Y247" s="2168"/>
      <c r="Z247" s="2168"/>
      <c r="AA247" s="2168"/>
      <c r="AB247" s="2168"/>
      <c r="AC247" s="2168"/>
      <c r="AD247" s="2168"/>
      <c r="AE247" s="2221">
        <v>954922.94</v>
      </c>
      <c r="AF247" s="2221"/>
      <c r="AG247" s="2221"/>
      <c r="AH247" s="3406">
        <v>883422.15</v>
      </c>
      <c r="AI247" s="3406"/>
      <c r="AJ247" s="2221">
        <v>7999.79</v>
      </c>
      <c r="AK247" s="2221">
        <v>829.51</v>
      </c>
      <c r="AL247" s="2221">
        <v>2728.49</v>
      </c>
      <c r="AM247" s="2221">
        <v>59943</v>
      </c>
      <c r="AN247" s="2221">
        <v>954922.94</v>
      </c>
      <c r="AO247" s="2221">
        <v>954922.94</v>
      </c>
      <c r="AP247" s="2168"/>
      <c r="AQ247" s="2168"/>
      <c r="AR247" s="2168"/>
      <c r="AS247" s="2168"/>
      <c r="AT247" s="2168"/>
      <c r="AU247" s="2168"/>
      <c r="AV247" s="2168"/>
    </row>
    <row r="248" spans="1:48" s="2141" customFormat="1" ht="72" hidden="1" customHeight="1" outlineLevel="3">
      <c r="A248" s="2150"/>
      <c r="B248" s="2150"/>
      <c r="C248" s="2224" t="s">
        <v>1469</v>
      </c>
      <c r="D248" s="2225">
        <v>7238.49</v>
      </c>
      <c r="M248" s="2098"/>
      <c r="N248" s="2098"/>
      <c r="O248" s="2098"/>
      <c r="P248" s="2098"/>
      <c r="R248" s="2198"/>
      <c r="S248" s="2198"/>
      <c r="T248" s="2198"/>
      <c r="U248" s="2198"/>
      <c r="V248" s="2168"/>
      <c r="W248" s="2168"/>
      <c r="X248" s="2168"/>
      <c r="Y248" s="2168"/>
      <c r="Z248" s="2168"/>
      <c r="AA248" s="2168"/>
      <c r="AB248" s="2168"/>
      <c r="AC248" s="2168"/>
      <c r="AD248" s="2168"/>
      <c r="AE248" s="2226">
        <v>7238.49</v>
      </c>
      <c r="AF248" s="2226"/>
      <c r="AG248" s="2226"/>
      <c r="AH248" s="3405">
        <v>7162.13</v>
      </c>
      <c r="AI248" s="3405"/>
      <c r="AJ248" s="2226">
        <v>76.36</v>
      </c>
      <c r="AK248" s="2226"/>
      <c r="AL248" s="2226"/>
      <c r="AM248" s="2226"/>
      <c r="AN248" s="2226">
        <v>7238.49</v>
      </c>
      <c r="AO248" s="2226">
        <v>7238.49</v>
      </c>
      <c r="AP248" s="2168"/>
      <c r="AQ248" s="2168"/>
      <c r="AR248" s="2168"/>
      <c r="AS248" s="2168"/>
      <c r="AT248" s="2168"/>
      <c r="AU248" s="2168"/>
      <c r="AV248" s="2168"/>
    </row>
    <row r="249" spans="1:48" s="2141" customFormat="1" ht="36" hidden="1" customHeight="1" outlineLevel="4">
      <c r="A249" s="2150"/>
      <c r="B249" s="2150"/>
      <c r="C249" s="2229" t="s">
        <v>1319</v>
      </c>
      <c r="D249" s="2230">
        <v>11.55</v>
      </c>
      <c r="M249" s="2098"/>
      <c r="N249" s="2098"/>
      <c r="O249" s="2098"/>
      <c r="P249" s="2098"/>
      <c r="R249" s="2198"/>
      <c r="S249" s="2198"/>
      <c r="T249" s="2198"/>
      <c r="U249" s="2198"/>
      <c r="V249" s="2168"/>
      <c r="W249" s="2168"/>
      <c r="X249" s="2168"/>
      <c r="Y249" s="2168"/>
      <c r="Z249" s="2168"/>
      <c r="AA249" s="2168"/>
      <c r="AB249" s="2168"/>
      <c r="AC249" s="2168"/>
      <c r="AD249" s="2168"/>
      <c r="AE249" s="2231">
        <v>11.55</v>
      </c>
      <c r="AF249" s="2231"/>
      <c r="AG249" s="2231"/>
      <c r="AH249" s="3403">
        <v>11.55</v>
      </c>
      <c r="AI249" s="3403"/>
      <c r="AJ249" s="2231"/>
      <c r="AK249" s="2231"/>
      <c r="AL249" s="2231"/>
      <c r="AM249" s="2231"/>
      <c r="AN249" s="2231">
        <v>11.55</v>
      </c>
      <c r="AO249" s="2231">
        <v>11.55</v>
      </c>
      <c r="AP249" s="2168"/>
      <c r="AQ249" s="2168"/>
      <c r="AR249" s="2168"/>
      <c r="AS249" s="2168"/>
      <c r="AT249" s="2168"/>
      <c r="AU249" s="2168"/>
      <c r="AV249" s="2168"/>
    </row>
    <row r="250" spans="1:48" s="2141" customFormat="1" ht="24" hidden="1" customHeight="1" outlineLevel="4">
      <c r="A250" s="2150"/>
      <c r="B250" s="2150"/>
      <c r="C250" s="2229" t="s">
        <v>1320</v>
      </c>
      <c r="D250" s="2230">
        <v>7226.94</v>
      </c>
      <c r="M250" s="2098"/>
      <c r="N250" s="2098"/>
      <c r="O250" s="2098"/>
      <c r="P250" s="2098"/>
      <c r="R250" s="2198"/>
      <c r="S250" s="2198"/>
      <c r="T250" s="2198"/>
      <c r="U250" s="2198"/>
      <c r="V250" s="2168"/>
      <c r="W250" s="2168"/>
      <c r="X250" s="2168"/>
      <c r="Y250" s="2168"/>
      <c r="Z250" s="2168"/>
      <c r="AA250" s="2168"/>
      <c r="AB250" s="2168"/>
      <c r="AC250" s="2168"/>
      <c r="AD250" s="2168"/>
      <c r="AE250" s="2231">
        <v>7226.94</v>
      </c>
      <c r="AF250" s="2231"/>
      <c r="AG250" s="2231"/>
      <c r="AH250" s="3403">
        <v>7150.58</v>
      </c>
      <c r="AI250" s="3403"/>
      <c r="AJ250" s="2231">
        <v>76.36</v>
      </c>
      <c r="AK250" s="2231"/>
      <c r="AL250" s="2231"/>
      <c r="AM250" s="2231"/>
      <c r="AN250" s="2231">
        <v>7226.94</v>
      </c>
      <c r="AO250" s="2231">
        <v>7226.94</v>
      </c>
      <c r="AP250" s="2168"/>
      <c r="AQ250" s="2168"/>
      <c r="AR250" s="2168"/>
      <c r="AS250" s="2168"/>
      <c r="AT250" s="2168"/>
      <c r="AU250" s="2168"/>
      <c r="AV250" s="2168"/>
    </row>
    <row r="251" spans="1:48" s="2141" customFormat="1" ht="24" hidden="1" customHeight="1" outlineLevel="3">
      <c r="A251" s="2150"/>
      <c r="B251" s="2150"/>
      <c r="C251" s="2224" t="s">
        <v>1470</v>
      </c>
      <c r="D251" s="2225">
        <v>663307.28</v>
      </c>
      <c r="M251" s="2098"/>
      <c r="N251" s="2098"/>
      <c r="O251" s="2098"/>
      <c r="P251" s="2098"/>
      <c r="R251" s="2198"/>
      <c r="S251" s="2198"/>
      <c r="T251" s="2198"/>
      <c r="U251" s="2198"/>
      <c r="V251" s="2168"/>
      <c r="W251" s="2168"/>
      <c r="X251" s="2168"/>
      <c r="Y251" s="2168"/>
      <c r="Z251" s="2168"/>
      <c r="AA251" s="2168"/>
      <c r="AB251" s="2168"/>
      <c r="AC251" s="2168"/>
      <c r="AD251" s="2168"/>
      <c r="AE251" s="2226">
        <v>663307.28</v>
      </c>
      <c r="AF251" s="2226"/>
      <c r="AG251" s="2226"/>
      <c r="AH251" s="3405">
        <v>656044.30000000005</v>
      </c>
      <c r="AI251" s="3405"/>
      <c r="AJ251" s="2226">
        <v>4534.49</v>
      </c>
      <c r="AK251" s="2226"/>
      <c r="AL251" s="2226">
        <v>2728.49</v>
      </c>
      <c r="AM251" s="2226"/>
      <c r="AN251" s="2226">
        <v>663307.28</v>
      </c>
      <c r="AO251" s="2226">
        <v>663307.28</v>
      </c>
      <c r="AP251" s="2168"/>
      <c r="AQ251" s="2168"/>
      <c r="AR251" s="2168"/>
      <c r="AS251" s="2168"/>
      <c r="AT251" s="2168"/>
      <c r="AU251" s="2168"/>
      <c r="AV251" s="2168"/>
    </row>
    <row r="252" spans="1:48" s="2141" customFormat="1" ht="36" hidden="1" customHeight="1" outlineLevel="4">
      <c r="A252" s="2150"/>
      <c r="B252" s="2150"/>
      <c r="C252" s="2229" t="s">
        <v>1325</v>
      </c>
      <c r="D252" s="2230">
        <v>78.739999999999995</v>
      </c>
      <c r="M252" s="2098"/>
      <c r="N252" s="2098"/>
      <c r="O252" s="2098"/>
      <c r="P252" s="2098"/>
      <c r="R252" s="2198"/>
      <c r="S252" s="2198"/>
      <c r="T252" s="2198"/>
      <c r="U252" s="2198"/>
      <c r="V252" s="2168"/>
      <c r="W252" s="2168"/>
      <c r="X252" s="2168"/>
      <c r="Y252" s="2168"/>
      <c r="Z252" s="2168"/>
      <c r="AA252" s="2168"/>
      <c r="AB252" s="2168"/>
      <c r="AC252" s="2168"/>
      <c r="AD252" s="2168"/>
      <c r="AE252" s="2231">
        <v>78.739999999999995</v>
      </c>
      <c r="AF252" s="2231"/>
      <c r="AG252" s="2231"/>
      <c r="AH252" s="3403">
        <v>26.47</v>
      </c>
      <c r="AI252" s="3403"/>
      <c r="AJ252" s="2231">
        <v>52.27</v>
      </c>
      <c r="AK252" s="2231"/>
      <c r="AL252" s="2231"/>
      <c r="AM252" s="2231"/>
      <c r="AN252" s="2231">
        <v>78.739999999999995</v>
      </c>
      <c r="AO252" s="2231">
        <v>78.739999999999995</v>
      </c>
      <c r="AP252" s="2168"/>
      <c r="AQ252" s="2168"/>
      <c r="AR252" s="2168"/>
      <c r="AS252" s="2168"/>
      <c r="AT252" s="2168"/>
      <c r="AU252" s="2168"/>
      <c r="AV252" s="2168"/>
    </row>
    <row r="253" spans="1:48" s="2141" customFormat="1" ht="24" hidden="1" customHeight="1" outlineLevel="4">
      <c r="A253" s="2150"/>
      <c r="B253" s="2150"/>
      <c r="C253" s="2229" t="s">
        <v>1326</v>
      </c>
      <c r="D253" s="2230">
        <v>2.1800000000000002</v>
      </c>
      <c r="M253" s="2098"/>
      <c r="N253" s="2098"/>
      <c r="O253" s="2098"/>
      <c r="P253" s="2098"/>
      <c r="R253" s="2198"/>
      <c r="S253" s="2198"/>
      <c r="T253" s="2198"/>
      <c r="U253" s="2198"/>
      <c r="V253" s="2168"/>
      <c r="W253" s="2168"/>
      <c r="X253" s="2168"/>
      <c r="Y253" s="2168"/>
      <c r="Z253" s="2168"/>
      <c r="AA253" s="2168"/>
      <c r="AB253" s="2168"/>
      <c r="AC253" s="2168"/>
      <c r="AD253" s="2168"/>
      <c r="AE253" s="2231">
        <v>2.1800000000000002</v>
      </c>
      <c r="AF253" s="2231"/>
      <c r="AG253" s="2231"/>
      <c r="AH253" s="3403">
        <v>0.83</v>
      </c>
      <c r="AI253" s="3403"/>
      <c r="AJ253" s="2231">
        <v>1.35</v>
      </c>
      <c r="AK253" s="2231"/>
      <c r="AL253" s="2231"/>
      <c r="AM253" s="2231"/>
      <c r="AN253" s="2231">
        <v>2.1800000000000002</v>
      </c>
      <c r="AO253" s="2231">
        <v>2.1800000000000002</v>
      </c>
      <c r="AP253" s="2168"/>
      <c r="AQ253" s="2168"/>
      <c r="AR253" s="2168"/>
      <c r="AS253" s="2168"/>
      <c r="AT253" s="2168"/>
      <c r="AU253" s="2168"/>
      <c r="AV253" s="2168"/>
    </row>
    <row r="254" spans="1:48" s="2141" customFormat="1" ht="72" hidden="1" customHeight="1" outlineLevel="4">
      <c r="A254" s="2150"/>
      <c r="B254" s="2150"/>
      <c r="C254" s="2229" t="s">
        <v>1331</v>
      </c>
      <c r="D254" s="2230">
        <v>35401.81</v>
      </c>
      <c r="M254" s="2098"/>
      <c r="N254" s="2098"/>
      <c r="O254" s="2098"/>
      <c r="P254" s="2098"/>
      <c r="R254" s="2198"/>
      <c r="S254" s="2198"/>
      <c r="T254" s="2198"/>
      <c r="U254" s="2198"/>
      <c r="V254" s="2168"/>
      <c r="W254" s="2168"/>
      <c r="X254" s="2168"/>
      <c r="Y254" s="2168"/>
      <c r="Z254" s="2168"/>
      <c r="AA254" s="2168"/>
      <c r="AB254" s="2168"/>
      <c r="AC254" s="2168"/>
      <c r="AD254" s="2168"/>
      <c r="AE254" s="2231">
        <v>35401.81</v>
      </c>
      <c r="AF254" s="2231"/>
      <c r="AG254" s="2231"/>
      <c r="AH254" s="3403">
        <v>35131.24</v>
      </c>
      <c r="AI254" s="3403"/>
      <c r="AJ254" s="2231">
        <v>165.28</v>
      </c>
      <c r="AK254" s="2231"/>
      <c r="AL254" s="2231">
        <v>105.29</v>
      </c>
      <c r="AM254" s="2231"/>
      <c r="AN254" s="2231">
        <v>35401.81</v>
      </c>
      <c r="AO254" s="2231">
        <v>35401.81</v>
      </c>
      <c r="AP254" s="2168"/>
      <c r="AQ254" s="2168"/>
      <c r="AR254" s="2168"/>
      <c r="AS254" s="2168"/>
      <c r="AT254" s="2168"/>
      <c r="AU254" s="2168"/>
      <c r="AV254" s="2168"/>
    </row>
    <row r="255" spans="1:48" s="2141" customFormat="1" ht="24" hidden="1" customHeight="1" outlineLevel="4">
      <c r="A255" s="2150"/>
      <c r="B255" s="2150"/>
      <c r="C255" s="2229" t="s">
        <v>1332</v>
      </c>
      <c r="D255" s="2230">
        <v>48401.8</v>
      </c>
      <c r="M255" s="2098"/>
      <c r="N255" s="2098"/>
      <c r="O255" s="2098"/>
      <c r="P255" s="2098"/>
      <c r="R255" s="2198"/>
      <c r="S255" s="2198"/>
      <c r="T255" s="2198"/>
      <c r="U255" s="2198"/>
      <c r="V255" s="2168"/>
      <c r="W255" s="2168"/>
      <c r="X255" s="2168"/>
      <c r="Y255" s="2168"/>
      <c r="Z255" s="2168"/>
      <c r="AA255" s="2168"/>
      <c r="AB255" s="2168"/>
      <c r="AC255" s="2168"/>
      <c r="AD255" s="2168"/>
      <c r="AE255" s="2231">
        <v>48401.8</v>
      </c>
      <c r="AF255" s="2231"/>
      <c r="AG255" s="2231"/>
      <c r="AH255" s="3403">
        <v>47669.51</v>
      </c>
      <c r="AI255" s="3403"/>
      <c r="AJ255" s="2231">
        <v>176.27</v>
      </c>
      <c r="AK255" s="2231"/>
      <c r="AL255" s="2231">
        <v>556.02</v>
      </c>
      <c r="AM255" s="2231"/>
      <c r="AN255" s="2231">
        <v>48401.8</v>
      </c>
      <c r="AO255" s="2231">
        <v>48401.8</v>
      </c>
      <c r="AP255" s="2168"/>
      <c r="AQ255" s="2168"/>
      <c r="AR255" s="2168"/>
      <c r="AS255" s="2168"/>
      <c r="AT255" s="2168"/>
      <c r="AU255" s="2168"/>
      <c r="AV255" s="2168"/>
    </row>
    <row r="256" spans="1:48" s="2141" customFormat="1" ht="36" hidden="1" customHeight="1" outlineLevel="4">
      <c r="A256" s="2150"/>
      <c r="B256" s="2150"/>
      <c r="C256" s="2229" t="s">
        <v>1338</v>
      </c>
      <c r="D256" s="2230">
        <v>18.079999999999998</v>
      </c>
      <c r="M256" s="2098"/>
      <c r="N256" s="2098"/>
      <c r="O256" s="2098"/>
      <c r="P256" s="2098"/>
      <c r="R256" s="2198"/>
      <c r="S256" s="2198"/>
      <c r="T256" s="2198"/>
      <c r="U256" s="2198"/>
      <c r="V256" s="2168"/>
      <c r="W256" s="2168"/>
      <c r="X256" s="2168"/>
      <c r="Y256" s="2168"/>
      <c r="Z256" s="2168"/>
      <c r="AA256" s="2168"/>
      <c r="AB256" s="2168"/>
      <c r="AC256" s="2168"/>
      <c r="AD256" s="2168"/>
      <c r="AE256" s="2231">
        <v>18.079999999999998</v>
      </c>
      <c r="AF256" s="2231"/>
      <c r="AG256" s="2231"/>
      <c r="AH256" s="2232"/>
      <c r="AI256" s="2233"/>
      <c r="AJ256" s="2231">
        <v>18.079999999999998</v>
      </c>
      <c r="AK256" s="2231"/>
      <c r="AL256" s="2231"/>
      <c r="AM256" s="2231"/>
      <c r="AN256" s="2231">
        <v>18.079999999999998</v>
      </c>
      <c r="AO256" s="2231">
        <v>18.079999999999998</v>
      </c>
      <c r="AP256" s="2168"/>
      <c r="AQ256" s="2168"/>
      <c r="AR256" s="2168"/>
      <c r="AS256" s="2168"/>
      <c r="AT256" s="2168"/>
      <c r="AU256" s="2168"/>
      <c r="AV256" s="2168"/>
    </row>
    <row r="257" spans="1:48" s="2141" customFormat="1" ht="60" hidden="1" customHeight="1" outlineLevel="4">
      <c r="A257" s="2150"/>
      <c r="B257" s="2150"/>
      <c r="C257" s="2229" t="s">
        <v>1362</v>
      </c>
      <c r="D257" s="2230">
        <v>6047.93</v>
      </c>
      <c r="M257" s="2098"/>
      <c r="N257" s="2098"/>
      <c r="O257" s="2098"/>
      <c r="P257" s="2098"/>
      <c r="R257" s="2198"/>
      <c r="S257" s="2198"/>
      <c r="T257" s="2198"/>
      <c r="U257" s="2198"/>
      <c r="V257" s="2168"/>
      <c r="W257" s="2168"/>
      <c r="X257" s="2168"/>
      <c r="Y257" s="2168"/>
      <c r="Z257" s="2168"/>
      <c r="AA257" s="2168"/>
      <c r="AB257" s="2168"/>
      <c r="AC257" s="2168"/>
      <c r="AD257" s="2168"/>
      <c r="AE257" s="2231">
        <v>6047.93</v>
      </c>
      <c r="AF257" s="2231"/>
      <c r="AG257" s="2231"/>
      <c r="AH257" s="3403">
        <v>6038.55</v>
      </c>
      <c r="AI257" s="3403"/>
      <c r="AJ257" s="2231">
        <v>9.3800000000000008</v>
      </c>
      <c r="AK257" s="2231"/>
      <c r="AL257" s="2231"/>
      <c r="AM257" s="2231"/>
      <c r="AN257" s="2231">
        <v>6047.93</v>
      </c>
      <c r="AO257" s="2231">
        <v>6047.93</v>
      </c>
      <c r="AP257" s="2168"/>
      <c r="AQ257" s="2168"/>
      <c r="AR257" s="2168"/>
      <c r="AS257" s="2168"/>
      <c r="AT257" s="2168"/>
      <c r="AU257" s="2168"/>
      <c r="AV257" s="2168"/>
    </row>
    <row r="258" spans="1:48" s="2141" customFormat="1" ht="96" hidden="1" customHeight="1" outlineLevel="4">
      <c r="A258" s="2150"/>
      <c r="B258" s="2150"/>
      <c r="C258" s="2229" t="s">
        <v>1363</v>
      </c>
      <c r="D258" s="2230">
        <v>22.2</v>
      </c>
      <c r="M258" s="2098"/>
      <c r="N258" s="2098"/>
      <c r="O258" s="2098"/>
      <c r="P258" s="2098"/>
      <c r="R258" s="2198"/>
      <c r="S258" s="2198"/>
      <c r="T258" s="2198"/>
      <c r="U258" s="2198"/>
      <c r="V258" s="2168"/>
      <c r="W258" s="2168"/>
      <c r="X258" s="2168"/>
      <c r="Y258" s="2168"/>
      <c r="Z258" s="2168"/>
      <c r="AA258" s="2168"/>
      <c r="AB258" s="2168"/>
      <c r="AC258" s="2168"/>
      <c r="AD258" s="2168"/>
      <c r="AE258" s="2231">
        <v>22.2</v>
      </c>
      <c r="AF258" s="2231"/>
      <c r="AG258" s="2231"/>
      <c r="AH258" s="3403">
        <v>20.18</v>
      </c>
      <c r="AI258" s="3403"/>
      <c r="AJ258" s="2231">
        <v>2.02</v>
      </c>
      <c r="AK258" s="2231"/>
      <c r="AL258" s="2231"/>
      <c r="AM258" s="2231"/>
      <c r="AN258" s="2231">
        <v>22.2</v>
      </c>
      <c r="AO258" s="2231">
        <v>22.2</v>
      </c>
      <c r="AP258" s="2168"/>
      <c r="AQ258" s="2168"/>
      <c r="AR258" s="2168"/>
      <c r="AS258" s="2168"/>
      <c r="AT258" s="2168"/>
      <c r="AU258" s="2168"/>
      <c r="AV258" s="2168"/>
    </row>
    <row r="259" spans="1:48" s="2141" customFormat="1" ht="12" hidden="1" customHeight="1" outlineLevel="4">
      <c r="A259" s="2150"/>
      <c r="B259" s="2150"/>
      <c r="C259" s="2229" t="s">
        <v>1364</v>
      </c>
      <c r="D259" s="2230">
        <v>372624.62</v>
      </c>
      <c r="M259" s="2098"/>
      <c r="N259" s="2098"/>
      <c r="O259" s="2098"/>
      <c r="P259" s="2098"/>
      <c r="R259" s="2198"/>
      <c r="S259" s="2198"/>
      <c r="T259" s="2198"/>
      <c r="U259" s="2198"/>
      <c r="V259" s="2168"/>
      <c r="W259" s="2168"/>
      <c r="X259" s="2168"/>
      <c r="Y259" s="2168"/>
      <c r="Z259" s="2168"/>
      <c r="AA259" s="2168"/>
      <c r="AB259" s="2168"/>
      <c r="AC259" s="2168"/>
      <c r="AD259" s="2168"/>
      <c r="AE259" s="2231">
        <v>372624.62</v>
      </c>
      <c r="AF259" s="2231"/>
      <c r="AG259" s="2231"/>
      <c r="AH259" s="3403">
        <v>369304.99</v>
      </c>
      <c r="AI259" s="3403"/>
      <c r="AJ259" s="2231">
        <v>1957.2</v>
      </c>
      <c r="AK259" s="2231"/>
      <c r="AL259" s="2231">
        <v>1362.43</v>
      </c>
      <c r="AM259" s="2231"/>
      <c r="AN259" s="2231">
        <v>372624.62</v>
      </c>
      <c r="AO259" s="2231">
        <v>372624.62</v>
      </c>
      <c r="AP259" s="2168"/>
      <c r="AQ259" s="2168"/>
      <c r="AR259" s="2168"/>
      <c r="AS259" s="2168"/>
      <c r="AT259" s="2168"/>
      <c r="AU259" s="2168"/>
      <c r="AV259" s="2168"/>
    </row>
    <row r="260" spans="1:48" s="2141" customFormat="1" ht="12" hidden="1" customHeight="1" outlineLevel="4">
      <c r="A260" s="2150"/>
      <c r="B260" s="2150"/>
      <c r="C260" s="2229" t="s">
        <v>1381</v>
      </c>
      <c r="D260" s="2230">
        <v>12494.92</v>
      </c>
      <c r="M260" s="2098"/>
      <c r="N260" s="2098"/>
      <c r="O260" s="2098"/>
      <c r="P260" s="2098"/>
      <c r="R260" s="2198"/>
      <c r="S260" s="2198"/>
      <c r="T260" s="2198"/>
      <c r="U260" s="2198"/>
      <c r="V260" s="2168"/>
      <c r="W260" s="2168"/>
      <c r="X260" s="2168"/>
      <c r="Y260" s="2168"/>
      <c r="Z260" s="2168"/>
      <c r="AA260" s="2168"/>
      <c r="AB260" s="2168"/>
      <c r="AC260" s="2168"/>
      <c r="AD260" s="2168"/>
      <c r="AE260" s="2231">
        <v>12494.92</v>
      </c>
      <c r="AF260" s="2231"/>
      <c r="AG260" s="2231"/>
      <c r="AH260" s="3403">
        <v>11733.29</v>
      </c>
      <c r="AI260" s="3403"/>
      <c r="AJ260" s="2231">
        <v>761.63</v>
      </c>
      <c r="AK260" s="2231"/>
      <c r="AL260" s="2231"/>
      <c r="AM260" s="2231"/>
      <c r="AN260" s="2231">
        <v>12494.92</v>
      </c>
      <c r="AO260" s="2231">
        <v>12494.92</v>
      </c>
      <c r="AP260" s="2168"/>
      <c r="AQ260" s="2168"/>
      <c r="AR260" s="2168"/>
      <c r="AS260" s="2168"/>
      <c r="AT260" s="2168"/>
      <c r="AU260" s="2168"/>
      <c r="AV260" s="2168"/>
    </row>
    <row r="261" spans="1:48" s="2141" customFormat="1" ht="12" hidden="1" customHeight="1" outlineLevel="4">
      <c r="A261" s="2150"/>
      <c r="B261" s="2150"/>
      <c r="C261" s="2229" t="s">
        <v>1382</v>
      </c>
      <c r="D261" s="2230">
        <v>13988</v>
      </c>
      <c r="M261" s="2098"/>
      <c r="N261" s="2098"/>
      <c r="O261" s="2098"/>
      <c r="P261" s="2098"/>
      <c r="R261" s="2198"/>
      <c r="S261" s="2198"/>
      <c r="T261" s="2198"/>
      <c r="U261" s="2198"/>
      <c r="V261" s="2168"/>
      <c r="W261" s="2168"/>
      <c r="X261" s="2168"/>
      <c r="Y261" s="2168"/>
      <c r="Z261" s="2168"/>
      <c r="AA261" s="2168"/>
      <c r="AB261" s="2168"/>
      <c r="AC261" s="2168"/>
      <c r="AD261" s="2168"/>
      <c r="AE261" s="2231">
        <v>13988</v>
      </c>
      <c r="AF261" s="2231"/>
      <c r="AG261" s="2231"/>
      <c r="AH261" s="3403">
        <v>13465.75</v>
      </c>
      <c r="AI261" s="3403"/>
      <c r="AJ261" s="2231">
        <v>522.25</v>
      </c>
      <c r="AK261" s="2231"/>
      <c r="AL261" s="2231"/>
      <c r="AM261" s="2231"/>
      <c r="AN261" s="2231">
        <v>13988</v>
      </c>
      <c r="AO261" s="2231">
        <v>13988</v>
      </c>
      <c r="AP261" s="2168"/>
      <c r="AQ261" s="2168"/>
      <c r="AR261" s="2168"/>
      <c r="AS261" s="2168"/>
      <c r="AT261" s="2168"/>
      <c r="AU261" s="2168"/>
      <c r="AV261" s="2168"/>
    </row>
    <row r="262" spans="1:48" s="2141" customFormat="1" ht="12" hidden="1" customHeight="1" outlineLevel="4">
      <c r="A262" s="2150"/>
      <c r="B262" s="2150"/>
      <c r="C262" s="2229" t="s">
        <v>1383</v>
      </c>
      <c r="D262" s="2230">
        <v>4536.24</v>
      </c>
      <c r="M262" s="2098"/>
      <c r="N262" s="2098"/>
      <c r="O262" s="2098"/>
      <c r="P262" s="2098"/>
      <c r="R262" s="2198"/>
      <c r="S262" s="2198"/>
      <c r="T262" s="2198"/>
      <c r="U262" s="2198"/>
      <c r="V262" s="2168"/>
      <c r="W262" s="2168"/>
      <c r="X262" s="2168"/>
      <c r="Y262" s="2168"/>
      <c r="Z262" s="2168"/>
      <c r="AA262" s="2168"/>
      <c r="AB262" s="2168"/>
      <c r="AC262" s="2168"/>
      <c r="AD262" s="2168"/>
      <c r="AE262" s="2231">
        <v>4536.24</v>
      </c>
      <c r="AF262" s="2231"/>
      <c r="AG262" s="2231"/>
      <c r="AH262" s="3403">
        <v>4444.7700000000004</v>
      </c>
      <c r="AI262" s="3403"/>
      <c r="AJ262" s="2231">
        <v>91.47</v>
      </c>
      <c r="AK262" s="2231"/>
      <c r="AL262" s="2231"/>
      <c r="AM262" s="2231"/>
      <c r="AN262" s="2231">
        <v>4536.24</v>
      </c>
      <c r="AO262" s="2231">
        <v>4536.24</v>
      </c>
      <c r="AP262" s="2168"/>
      <c r="AQ262" s="2168"/>
      <c r="AR262" s="2168"/>
      <c r="AS262" s="2168"/>
      <c r="AT262" s="2168"/>
      <c r="AU262" s="2168"/>
      <c r="AV262" s="2168"/>
    </row>
    <row r="263" spans="1:48" s="2141" customFormat="1" ht="12" hidden="1" customHeight="1" outlineLevel="4">
      <c r="A263" s="2150"/>
      <c r="B263" s="2150"/>
      <c r="C263" s="2229" t="s">
        <v>1384</v>
      </c>
      <c r="D263" s="2230">
        <v>57039.88</v>
      </c>
      <c r="M263" s="2098"/>
      <c r="N263" s="2098"/>
      <c r="O263" s="2098"/>
      <c r="P263" s="2098"/>
      <c r="R263" s="2198"/>
      <c r="S263" s="2198"/>
      <c r="T263" s="2198"/>
      <c r="U263" s="2198"/>
      <c r="V263" s="2168"/>
      <c r="W263" s="2168"/>
      <c r="X263" s="2168"/>
      <c r="Y263" s="2168"/>
      <c r="Z263" s="2168"/>
      <c r="AA263" s="2168"/>
      <c r="AB263" s="2168"/>
      <c r="AC263" s="2168"/>
      <c r="AD263" s="2168"/>
      <c r="AE263" s="2231">
        <v>57039.88</v>
      </c>
      <c r="AF263" s="2231"/>
      <c r="AG263" s="2231"/>
      <c r="AH263" s="3403">
        <v>56747.88</v>
      </c>
      <c r="AI263" s="3403"/>
      <c r="AJ263" s="2231">
        <v>292</v>
      </c>
      <c r="AK263" s="2231"/>
      <c r="AL263" s="2231"/>
      <c r="AM263" s="2231"/>
      <c r="AN263" s="2231">
        <v>57039.88</v>
      </c>
      <c r="AO263" s="2231">
        <v>57039.88</v>
      </c>
      <c r="AP263" s="2168"/>
      <c r="AQ263" s="2168"/>
      <c r="AR263" s="2168"/>
      <c r="AS263" s="2168"/>
      <c r="AT263" s="2168"/>
      <c r="AU263" s="2168"/>
      <c r="AV263" s="2168"/>
    </row>
    <row r="264" spans="1:48" s="2141" customFormat="1" ht="12" hidden="1" outlineLevel="4">
      <c r="A264" s="2150"/>
      <c r="B264" s="2150"/>
      <c r="C264" s="2229" t="s">
        <v>1385</v>
      </c>
      <c r="D264" s="2234"/>
      <c r="M264" s="2098"/>
      <c r="N264" s="2098"/>
      <c r="O264" s="2098"/>
      <c r="P264" s="2098"/>
      <c r="R264" s="2198"/>
      <c r="S264" s="2198"/>
      <c r="T264" s="2198"/>
      <c r="U264" s="2198"/>
      <c r="V264" s="2168"/>
      <c r="W264" s="2168"/>
      <c r="X264" s="2168"/>
      <c r="Y264" s="2168"/>
      <c r="Z264" s="2168"/>
      <c r="AA264" s="2168"/>
      <c r="AB264" s="2168"/>
      <c r="AC264" s="2168"/>
      <c r="AD264" s="2168"/>
      <c r="AE264" s="2231"/>
      <c r="AF264" s="2231"/>
      <c r="AG264" s="2231"/>
      <c r="AH264" s="2232"/>
      <c r="AI264" s="2233"/>
      <c r="AJ264" s="2231"/>
      <c r="AK264" s="2231"/>
      <c r="AL264" s="2231"/>
      <c r="AM264" s="2231"/>
      <c r="AN264" s="2231"/>
      <c r="AO264" s="2231"/>
      <c r="AP264" s="2168"/>
      <c r="AQ264" s="2168"/>
      <c r="AR264" s="2168"/>
      <c r="AS264" s="2168"/>
      <c r="AT264" s="2168"/>
      <c r="AU264" s="2168"/>
      <c r="AV264" s="2168"/>
    </row>
    <row r="265" spans="1:48" s="2141" customFormat="1" ht="24" hidden="1" outlineLevel="4">
      <c r="A265" s="2150"/>
      <c r="B265" s="2150"/>
      <c r="C265" s="2229" t="s">
        <v>1386</v>
      </c>
      <c r="D265" s="2230">
        <v>112650.88</v>
      </c>
      <c r="M265" s="2098"/>
      <c r="N265" s="2098"/>
      <c r="O265" s="2098"/>
      <c r="P265" s="2098"/>
      <c r="R265" s="2198"/>
      <c r="S265" s="2198"/>
      <c r="T265" s="2198"/>
      <c r="U265" s="2198"/>
      <c r="V265" s="2168"/>
      <c r="W265" s="2168"/>
      <c r="X265" s="2168"/>
      <c r="Y265" s="2168"/>
      <c r="Z265" s="2168"/>
      <c r="AA265" s="2168"/>
      <c r="AB265" s="2168"/>
      <c r="AC265" s="2168"/>
      <c r="AD265" s="2168"/>
      <c r="AE265" s="2231">
        <v>112650.88</v>
      </c>
      <c r="AF265" s="2231"/>
      <c r="AG265" s="2231"/>
      <c r="AH265" s="3403">
        <v>111460.84</v>
      </c>
      <c r="AI265" s="3403"/>
      <c r="AJ265" s="2231">
        <v>485.29</v>
      </c>
      <c r="AK265" s="2231"/>
      <c r="AL265" s="2231">
        <v>704.75</v>
      </c>
      <c r="AM265" s="2231"/>
      <c r="AN265" s="2231">
        <v>112650.88</v>
      </c>
      <c r="AO265" s="2231">
        <v>112650.88</v>
      </c>
      <c r="AP265" s="2168"/>
      <c r="AQ265" s="2168"/>
      <c r="AR265" s="2168"/>
      <c r="AS265" s="2168"/>
      <c r="AT265" s="2168"/>
      <c r="AU265" s="2168"/>
      <c r="AV265" s="2168"/>
    </row>
    <row r="266" spans="1:48" s="2141" customFormat="1" ht="12" hidden="1" outlineLevel="3">
      <c r="A266" s="2150"/>
      <c r="B266" s="2150"/>
      <c r="C266" s="2224" t="s">
        <v>1471</v>
      </c>
      <c r="D266" s="2225">
        <v>11457.13</v>
      </c>
      <c r="M266" s="2098"/>
      <c r="N266" s="2098"/>
      <c r="O266" s="2098"/>
      <c r="P266" s="2098"/>
      <c r="R266" s="2198"/>
      <c r="S266" s="2198"/>
      <c r="T266" s="2198"/>
      <c r="U266" s="2198"/>
      <c r="V266" s="2168"/>
      <c r="W266" s="2168"/>
      <c r="X266" s="2168"/>
      <c r="Y266" s="2168"/>
      <c r="Z266" s="2168"/>
      <c r="AA266" s="2168"/>
      <c r="AB266" s="2168"/>
      <c r="AC266" s="2168"/>
      <c r="AD266" s="2168"/>
      <c r="AE266" s="2226">
        <v>11457.13</v>
      </c>
      <c r="AF266" s="2226"/>
      <c r="AG266" s="2226"/>
      <c r="AH266" s="3405">
        <v>10885.05</v>
      </c>
      <c r="AI266" s="3405"/>
      <c r="AJ266" s="2226">
        <v>572.08000000000004</v>
      </c>
      <c r="AK266" s="2226"/>
      <c r="AL266" s="2226"/>
      <c r="AM266" s="2226"/>
      <c r="AN266" s="2226">
        <v>11457.13</v>
      </c>
      <c r="AO266" s="2226">
        <v>11457.13</v>
      </c>
      <c r="AP266" s="2168"/>
      <c r="AQ266" s="2168"/>
      <c r="AR266" s="2168"/>
      <c r="AS266" s="2168"/>
      <c r="AT266" s="2168"/>
      <c r="AU266" s="2168"/>
      <c r="AV266" s="2168"/>
    </row>
    <row r="267" spans="1:48" s="2141" customFormat="1" ht="24" hidden="1" outlineLevel="4" collapsed="1">
      <c r="A267" s="2150"/>
      <c r="B267" s="2150"/>
      <c r="C267" s="2235" t="s">
        <v>1472</v>
      </c>
      <c r="D267" s="2225">
        <v>637.94000000000005</v>
      </c>
      <c r="M267" s="2098"/>
      <c r="N267" s="2098"/>
      <c r="O267" s="2098"/>
      <c r="P267" s="2098"/>
      <c r="R267" s="2198"/>
      <c r="S267" s="2198"/>
      <c r="T267" s="2198"/>
      <c r="U267" s="2198"/>
      <c r="V267" s="2168"/>
      <c r="W267" s="2168"/>
      <c r="X267" s="2168"/>
      <c r="Y267" s="2168"/>
      <c r="Z267" s="2168"/>
      <c r="AA267" s="2168"/>
      <c r="AB267" s="2168"/>
      <c r="AC267" s="2168"/>
      <c r="AD267" s="2168"/>
      <c r="AE267" s="2226">
        <v>637.94000000000005</v>
      </c>
      <c r="AF267" s="2226"/>
      <c r="AG267" s="2226"/>
      <c r="AH267" s="3405">
        <v>637.94000000000005</v>
      </c>
      <c r="AI267" s="3405"/>
      <c r="AJ267" s="2226"/>
      <c r="AK267" s="2226"/>
      <c r="AL267" s="2226"/>
      <c r="AM267" s="2226"/>
      <c r="AN267" s="2226">
        <v>637.94000000000005</v>
      </c>
      <c r="AO267" s="2226">
        <v>637.94000000000005</v>
      </c>
      <c r="AP267" s="2168"/>
      <c r="AQ267" s="2168"/>
      <c r="AR267" s="2168"/>
      <c r="AS267" s="2168"/>
      <c r="AT267" s="2168"/>
      <c r="AU267" s="2168"/>
      <c r="AV267" s="2168"/>
    </row>
    <row r="268" spans="1:48" s="2141" customFormat="1" ht="24" hidden="1" outlineLevel="5">
      <c r="A268" s="2150"/>
      <c r="B268" s="2150"/>
      <c r="C268" s="2236" t="s">
        <v>1411</v>
      </c>
      <c r="D268" s="2230">
        <v>41.5</v>
      </c>
      <c r="M268" s="2098"/>
      <c r="N268" s="2098"/>
      <c r="O268" s="2098"/>
      <c r="P268" s="2098"/>
      <c r="R268" s="2198"/>
      <c r="S268" s="2198"/>
      <c r="T268" s="2198"/>
      <c r="U268" s="2198"/>
      <c r="V268" s="2168"/>
      <c r="W268" s="2168"/>
      <c r="X268" s="2168"/>
      <c r="Y268" s="2168"/>
      <c r="Z268" s="2168"/>
      <c r="AA268" s="2168"/>
      <c r="AB268" s="2168"/>
      <c r="AC268" s="2168"/>
      <c r="AD268" s="2168"/>
      <c r="AE268" s="2231">
        <v>41.5</v>
      </c>
      <c r="AF268" s="2231"/>
      <c r="AG268" s="2231"/>
      <c r="AH268" s="3403">
        <v>41.5</v>
      </c>
      <c r="AI268" s="3403"/>
      <c r="AJ268" s="2231"/>
      <c r="AK268" s="2231"/>
      <c r="AL268" s="2231"/>
      <c r="AM268" s="2231"/>
      <c r="AN268" s="2231">
        <v>41.5</v>
      </c>
      <c r="AO268" s="2231">
        <v>41.5</v>
      </c>
      <c r="AP268" s="2168"/>
      <c r="AQ268" s="2168"/>
      <c r="AR268" s="2168"/>
      <c r="AS268" s="2168"/>
      <c r="AT268" s="2168"/>
      <c r="AU268" s="2168"/>
      <c r="AV268" s="2168"/>
    </row>
    <row r="269" spans="1:48" s="2141" customFormat="1" ht="24" hidden="1" outlineLevel="5">
      <c r="A269" s="2150"/>
      <c r="B269" s="2150"/>
      <c r="C269" s="2236" t="s">
        <v>1459</v>
      </c>
      <c r="D269" s="2230">
        <v>596.44000000000005</v>
      </c>
      <c r="M269" s="2098"/>
      <c r="N269" s="2098"/>
      <c r="O269" s="2098"/>
      <c r="P269" s="2098"/>
      <c r="R269" s="2198"/>
      <c r="S269" s="2198"/>
      <c r="T269" s="2198"/>
      <c r="U269" s="2198"/>
      <c r="V269" s="2168"/>
      <c r="W269" s="2168"/>
      <c r="X269" s="2168"/>
      <c r="Y269" s="2168"/>
      <c r="Z269" s="2168"/>
      <c r="AA269" s="2168"/>
      <c r="AB269" s="2168"/>
      <c r="AC269" s="2168"/>
      <c r="AD269" s="2168"/>
      <c r="AE269" s="2231">
        <v>596.44000000000005</v>
      </c>
      <c r="AF269" s="2231"/>
      <c r="AG269" s="2231"/>
      <c r="AH269" s="3403">
        <v>596.44000000000005</v>
      </c>
      <c r="AI269" s="3403"/>
      <c r="AJ269" s="2231"/>
      <c r="AK269" s="2231"/>
      <c r="AL269" s="2231"/>
      <c r="AM269" s="2231"/>
      <c r="AN269" s="2231">
        <v>596.44000000000005</v>
      </c>
      <c r="AO269" s="2231">
        <v>596.44000000000005</v>
      </c>
      <c r="AP269" s="2168"/>
      <c r="AQ269" s="2168"/>
      <c r="AR269" s="2168"/>
      <c r="AS269" s="2168"/>
      <c r="AT269" s="2168"/>
      <c r="AU269" s="2168"/>
      <c r="AV269" s="2168"/>
    </row>
    <row r="270" spans="1:48" s="2141" customFormat="1" ht="24" hidden="1" outlineLevel="4" collapsed="1">
      <c r="A270" s="2150"/>
      <c r="B270" s="2150"/>
      <c r="C270" s="2235" t="s">
        <v>1473</v>
      </c>
      <c r="D270" s="2225">
        <v>2946.91</v>
      </c>
      <c r="M270" s="2098"/>
      <c r="N270" s="2098"/>
      <c r="O270" s="2098"/>
      <c r="P270" s="2098"/>
      <c r="R270" s="2198"/>
      <c r="S270" s="2198"/>
      <c r="T270" s="2198"/>
      <c r="U270" s="2198"/>
      <c r="V270" s="2168"/>
      <c r="W270" s="2168"/>
      <c r="X270" s="2168"/>
      <c r="Y270" s="2168"/>
      <c r="Z270" s="2168"/>
      <c r="AA270" s="2168"/>
      <c r="AB270" s="2168"/>
      <c r="AC270" s="2168"/>
      <c r="AD270" s="2168"/>
      <c r="AE270" s="2226">
        <v>2946.91</v>
      </c>
      <c r="AF270" s="2226"/>
      <c r="AG270" s="2226"/>
      <c r="AH270" s="3405">
        <v>2829.42</v>
      </c>
      <c r="AI270" s="3405"/>
      <c r="AJ270" s="2226">
        <v>117.49</v>
      </c>
      <c r="AK270" s="2226"/>
      <c r="AL270" s="2226"/>
      <c r="AM270" s="2226"/>
      <c r="AN270" s="2226">
        <v>2946.91</v>
      </c>
      <c r="AO270" s="2226">
        <v>2946.91</v>
      </c>
      <c r="AP270" s="2168"/>
      <c r="AQ270" s="2168"/>
      <c r="AR270" s="2168"/>
      <c r="AS270" s="2168"/>
      <c r="AT270" s="2168"/>
      <c r="AU270" s="2168"/>
      <c r="AV270" s="2168"/>
    </row>
    <row r="271" spans="1:48" s="2141" customFormat="1" ht="12" hidden="1" outlineLevel="5">
      <c r="A271" s="2150"/>
      <c r="B271" s="2150"/>
      <c r="C271" s="2237" t="s">
        <v>1474</v>
      </c>
      <c r="D271" s="2225">
        <v>108.8</v>
      </c>
      <c r="M271" s="2098"/>
      <c r="N271" s="2098"/>
      <c r="O271" s="2098"/>
      <c r="P271" s="2098"/>
      <c r="R271" s="2198"/>
      <c r="S271" s="2198"/>
      <c r="T271" s="2198"/>
      <c r="U271" s="2198"/>
      <c r="V271" s="2168"/>
      <c r="W271" s="2168"/>
      <c r="X271" s="2168"/>
      <c r="Y271" s="2168"/>
      <c r="Z271" s="2168"/>
      <c r="AA271" s="2168"/>
      <c r="AB271" s="2168"/>
      <c r="AC271" s="2168"/>
      <c r="AD271" s="2168"/>
      <c r="AE271" s="2226">
        <v>108.8</v>
      </c>
      <c r="AF271" s="2226"/>
      <c r="AG271" s="2226"/>
      <c r="AH271" s="3405">
        <v>19.79</v>
      </c>
      <c r="AI271" s="3405"/>
      <c r="AJ271" s="2226">
        <v>89.01</v>
      </c>
      <c r="AK271" s="2226"/>
      <c r="AL271" s="2226"/>
      <c r="AM271" s="2226"/>
      <c r="AN271" s="2226">
        <v>108.8</v>
      </c>
      <c r="AO271" s="2226">
        <v>108.8</v>
      </c>
      <c r="AP271" s="2168"/>
      <c r="AQ271" s="2168"/>
      <c r="AR271" s="2168"/>
      <c r="AS271" s="2168"/>
      <c r="AT271" s="2168"/>
      <c r="AU271" s="2168"/>
      <c r="AV271" s="2168"/>
    </row>
    <row r="272" spans="1:48" s="2141" customFormat="1" ht="24" hidden="1" outlineLevel="6">
      <c r="A272" s="2150"/>
      <c r="B272" s="2150"/>
      <c r="C272" s="2238" t="s">
        <v>1426</v>
      </c>
      <c r="D272" s="2230">
        <v>20.8</v>
      </c>
      <c r="M272" s="2098"/>
      <c r="N272" s="2098"/>
      <c r="O272" s="2098"/>
      <c r="P272" s="2098"/>
      <c r="R272" s="2198"/>
      <c r="S272" s="2198"/>
      <c r="T272" s="2198"/>
      <c r="U272" s="2198"/>
      <c r="V272" s="2168"/>
      <c r="W272" s="2168"/>
      <c r="X272" s="2168"/>
      <c r="Y272" s="2168"/>
      <c r="Z272" s="2168"/>
      <c r="AA272" s="2168"/>
      <c r="AB272" s="2168"/>
      <c r="AC272" s="2168"/>
      <c r="AD272" s="2168"/>
      <c r="AE272" s="2231">
        <v>20.8</v>
      </c>
      <c r="AF272" s="2231"/>
      <c r="AG272" s="2231"/>
      <c r="AH272" s="3403">
        <v>19.79</v>
      </c>
      <c r="AI272" s="3403"/>
      <c r="AJ272" s="2231">
        <v>1.01</v>
      </c>
      <c r="AK272" s="2231"/>
      <c r="AL272" s="2231"/>
      <c r="AM272" s="2231"/>
      <c r="AN272" s="2231">
        <v>20.8</v>
      </c>
      <c r="AO272" s="2231">
        <v>20.8</v>
      </c>
      <c r="AP272" s="2168"/>
      <c r="AQ272" s="2168"/>
      <c r="AR272" s="2168"/>
      <c r="AS272" s="2168"/>
      <c r="AT272" s="2168"/>
      <c r="AU272" s="2168"/>
      <c r="AV272" s="2168"/>
    </row>
    <row r="273" spans="1:48" s="2141" customFormat="1" ht="24" hidden="1" outlineLevel="6">
      <c r="A273" s="2150"/>
      <c r="B273" s="2150"/>
      <c r="C273" s="2238" t="s">
        <v>1433</v>
      </c>
      <c r="D273" s="2230">
        <v>88</v>
      </c>
      <c r="M273" s="2098"/>
      <c r="N273" s="2098"/>
      <c r="O273" s="2098"/>
      <c r="P273" s="2098"/>
      <c r="R273" s="2198"/>
      <c r="S273" s="2198"/>
      <c r="T273" s="2198"/>
      <c r="U273" s="2198"/>
      <c r="V273" s="2168"/>
      <c r="W273" s="2168"/>
      <c r="X273" s="2168"/>
      <c r="Y273" s="2168"/>
      <c r="Z273" s="2168"/>
      <c r="AA273" s="2168"/>
      <c r="AB273" s="2168"/>
      <c r="AC273" s="2168"/>
      <c r="AD273" s="2168"/>
      <c r="AE273" s="2231">
        <v>88</v>
      </c>
      <c r="AF273" s="2231"/>
      <c r="AG273" s="2231"/>
      <c r="AH273" s="2232"/>
      <c r="AI273" s="2233"/>
      <c r="AJ273" s="2231">
        <v>88</v>
      </c>
      <c r="AK273" s="2231"/>
      <c r="AL273" s="2231"/>
      <c r="AM273" s="2231"/>
      <c r="AN273" s="2231">
        <v>88</v>
      </c>
      <c r="AO273" s="2231">
        <v>88</v>
      </c>
      <c r="AP273" s="2168"/>
      <c r="AQ273" s="2168"/>
      <c r="AR273" s="2168"/>
      <c r="AS273" s="2168"/>
      <c r="AT273" s="2168"/>
      <c r="AU273" s="2168"/>
      <c r="AV273" s="2168"/>
    </row>
    <row r="274" spans="1:48" s="2141" customFormat="1" ht="12" hidden="1" outlineLevel="5">
      <c r="A274" s="2150"/>
      <c r="B274" s="2150"/>
      <c r="C274" s="2237" t="s">
        <v>3826</v>
      </c>
      <c r="D274" s="2225">
        <v>4.3099999999999996</v>
      </c>
      <c r="M274" s="2098"/>
      <c r="N274" s="2098"/>
      <c r="O274" s="2098"/>
      <c r="P274" s="2098"/>
      <c r="R274" s="2198"/>
      <c r="S274" s="2198"/>
      <c r="T274" s="2198"/>
      <c r="U274" s="2198"/>
      <c r="V274" s="2168"/>
      <c r="W274" s="2168"/>
      <c r="X274" s="2168"/>
      <c r="Y274" s="2168"/>
      <c r="Z274" s="2168"/>
      <c r="AA274" s="2168"/>
      <c r="AB274" s="2168"/>
      <c r="AC274" s="2168"/>
      <c r="AD274" s="2168"/>
      <c r="AE274" s="2226">
        <v>4.3099999999999996</v>
      </c>
      <c r="AF274" s="2226"/>
      <c r="AG274" s="2226"/>
      <c r="AH274" s="3405">
        <v>2.91</v>
      </c>
      <c r="AI274" s="3405"/>
      <c r="AJ274" s="2226">
        <v>1.4</v>
      </c>
      <c r="AK274" s="2226"/>
      <c r="AL274" s="2226"/>
      <c r="AM274" s="2226"/>
      <c r="AN274" s="2226">
        <v>4.3099999999999996</v>
      </c>
      <c r="AO274" s="2226">
        <v>4.3099999999999996</v>
      </c>
      <c r="AP274" s="2168"/>
      <c r="AQ274" s="2168"/>
      <c r="AR274" s="2168"/>
      <c r="AS274" s="2168"/>
      <c r="AT274" s="2168"/>
      <c r="AU274" s="2168"/>
      <c r="AV274" s="2168"/>
    </row>
    <row r="275" spans="1:48" s="2141" customFormat="1" ht="24" hidden="1" outlineLevel="6">
      <c r="A275" s="2150"/>
      <c r="B275" s="2150"/>
      <c r="C275" s="2238" t="s">
        <v>3811</v>
      </c>
      <c r="D275" s="2230">
        <v>4.3099999999999996</v>
      </c>
      <c r="M275" s="2098"/>
      <c r="N275" s="2098"/>
      <c r="O275" s="2098"/>
      <c r="P275" s="2098"/>
      <c r="R275" s="2198"/>
      <c r="S275" s="2198"/>
      <c r="T275" s="2198"/>
      <c r="U275" s="2198"/>
      <c r="V275" s="2168"/>
      <c r="W275" s="2168"/>
      <c r="X275" s="2168"/>
      <c r="Y275" s="2168"/>
      <c r="Z275" s="2168"/>
      <c r="AA275" s="2168"/>
      <c r="AB275" s="2168"/>
      <c r="AC275" s="2168"/>
      <c r="AD275" s="2168"/>
      <c r="AE275" s="2231">
        <v>4.3099999999999996</v>
      </c>
      <c r="AF275" s="2231"/>
      <c r="AG275" s="2231"/>
      <c r="AH275" s="3403">
        <v>2.91</v>
      </c>
      <c r="AI275" s="3403"/>
      <c r="AJ275" s="2231">
        <v>1.4</v>
      </c>
      <c r="AK275" s="2231"/>
      <c r="AL275" s="2231"/>
      <c r="AM275" s="2231"/>
      <c r="AN275" s="2231">
        <v>4.3099999999999996</v>
      </c>
      <c r="AO275" s="2231">
        <v>4.3099999999999996</v>
      </c>
      <c r="AP275" s="2168"/>
      <c r="AQ275" s="2168"/>
      <c r="AR275" s="2168"/>
      <c r="AS275" s="2168"/>
      <c r="AT275" s="2168"/>
      <c r="AU275" s="2168"/>
      <c r="AV275" s="2168"/>
    </row>
    <row r="276" spans="1:48" s="2141" customFormat="1" ht="24" hidden="1" outlineLevel="5">
      <c r="A276" s="2150"/>
      <c r="B276" s="2150"/>
      <c r="C276" s="2236" t="s">
        <v>1427</v>
      </c>
      <c r="D276" s="2230">
        <v>16.37</v>
      </c>
      <c r="M276" s="2098"/>
      <c r="N276" s="2098"/>
      <c r="O276" s="2098"/>
      <c r="P276" s="2098"/>
      <c r="R276" s="2198"/>
      <c r="S276" s="2198"/>
      <c r="T276" s="2198"/>
      <c r="U276" s="2198"/>
      <c r="V276" s="2168"/>
      <c r="W276" s="2168"/>
      <c r="X276" s="2168"/>
      <c r="Y276" s="2168"/>
      <c r="Z276" s="2168"/>
      <c r="AA276" s="2168"/>
      <c r="AB276" s="2168"/>
      <c r="AC276" s="2168"/>
      <c r="AD276" s="2168"/>
      <c r="AE276" s="2231">
        <v>16.37</v>
      </c>
      <c r="AF276" s="2231"/>
      <c r="AG276" s="2231"/>
      <c r="AH276" s="3403">
        <v>16.37</v>
      </c>
      <c r="AI276" s="3403"/>
      <c r="AJ276" s="2231"/>
      <c r="AK276" s="2231"/>
      <c r="AL276" s="2231"/>
      <c r="AM276" s="2231"/>
      <c r="AN276" s="2231">
        <v>16.37</v>
      </c>
      <c r="AO276" s="2231">
        <v>16.37</v>
      </c>
      <c r="AP276" s="2168"/>
      <c r="AQ276" s="2168"/>
      <c r="AR276" s="2168"/>
      <c r="AS276" s="2168"/>
      <c r="AT276" s="2168"/>
      <c r="AU276" s="2168"/>
      <c r="AV276" s="2168"/>
    </row>
    <row r="277" spans="1:48" s="2141" customFormat="1" ht="24" hidden="1" outlineLevel="5">
      <c r="A277" s="2150"/>
      <c r="B277" s="2150"/>
      <c r="C277" s="2237" t="s">
        <v>1475</v>
      </c>
      <c r="D277" s="2225">
        <v>2817.43</v>
      </c>
      <c r="M277" s="2098"/>
      <c r="N277" s="2098"/>
      <c r="O277" s="2098"/>
      <c r="P277" s="2098"/>
      <c r="R277" s="2198"/>
      <c r="S277" s="2198"/>
      <c r="T277" s="2198"/>
      <c r="U277" s="2198"/>
      <c r="V277" s="2168"/>
      <c r="W277" s="2168"/>
      <c r="X277" s="2168"/>
      <c r="Y277" s="2168"/>
      <c r="Z277" s="2168"/>
      <c r="AA277" s="2168"/>
      <c r="AB277" s="2168"/>
      <c r="AC277" s="2168"/>
      <c r="AD277" s="2168"/>
      <c r="AE277" s="2226">
        <v>2817.43</v>
      </c>
      <c r="AF277" s="2226"/>
      <c r="AG277" s="2226"/>
      <c r="AH277" s="3405">
        <v>2790.35</v>
      </c>
      <c r="AI277" s="3405"/>
      <c r="AJ277" s="2226">
        <v>27.08</v>
      </c>
      <c r="AK277" s="2226"/>
      <c r="AL277" s="2226"/>
      <c r="AM277" s="2226"/>
      <c r="AN277" s="2226">
        <v>2817.43</v>
      </c>
      <c r="AO277" s="2226">
        <v>2817.43</v>
      </c>
      <c r="AP277" s="2168"/>
      <c r="AQ277" s="2168"/>
      <c r="AR277" s="2168"/>
      <c r="AS277" s="2168"/>
      <c r="AT277" s="2168"/>
      <c r="AU277" s="2168"/>
      <c r="AV277" s="2168"/>
    </row>
    <row r="278" spans="1:48" s="2141" customFormat="1" ht="12" hidden="1" outlineLevel="6">
      <c r="A278" s="2150"/>
      <c r="B278" s="2150"/>
      <c r="C278" s="2239" t="s">
        <v>1476</v>
      </c>
      <c r="D278" s="2225">
        <v>2754.92</v>
      </c>
      <c r="M278" s="2098"/>
      <c r="N278" s="2098"/>
      <c r="O278" s="2098"/>
      <c r="P278" s="2098"/>
      <c r="R278" s="2198"/>
      <c r="S278" s="2198"/>
      <c r="T278" s="2198"/>
      <c r="U278" s="2198"/>
      <c r="V278" s="2168"/>
      <c r="W278" s="2168"/>
      <c r="X278" s="2168"/>
      <c r="Y278" s="2168"/>
      <c r="Z278" s="2168"/>
      <c r="AA278" s="2168"/>
      <c r="AB278" s="2168"/>
      <c r="AC278" s="2168"/>
      <c r="AD278" s="2168"/>
      <c r="AE278" s="2226">
        <v>2754.92</v>
      </c>
      <c r="AF278" s="2226"/>
      <c r="AG278" s="2226"/>
      <c r="AH278" s="3405">
        <v>2736.81</v>
      </c>
      <c r="AI278" s="3405"/>
      <c r="AJ278" s="2226">
        <v>18.11</v>
      </c>
      <c r="AK278" s="2226"/>
      <c r="AL278" s="2226"/>
      <c r="AM278" s="2226"/>
      <c r="AN278" s="2226">
        <v>2754.92</v>
      </c>
      <c r="AO278" s="2226">
        <v>2754.92</v>
      </c>
      <c r="AP278" s="2168"/>
      <c r="AQ278" s="2168"/>
      <c r="AR278" s="2168"/>
      <c r="AS278" s="2168"/>
      <c r="AT278" s="2168"/>
      <c r="AU278" s="2168"/>
      <c r="AV278" s="2168"/>
    </row>
    <row r="279" spans="1:48" s="2141" customFormat="1" ht="24" hidden="1" outlineLevel="7">
      <c r="A279" s="2150"/>
      <c r="B279" s="2150"/>
      <c r="C279" s="2240" t="s">
        <v>3827</v>
      </c>
      <c r="D279" s="2230">
        <v>0.7</v>
      </c>
      <c r="M279" s="2098"/>
      <c r="N279" s="2098"/>
      <c r="O279" s="2098"/>
      <c r="P279" s="2098"/>
      <c r="R279" s="2198"/>
      <c r="S279" s="2198"/>
      <c r="T279" s="2198"/>
      <c r="U279" s="2198"/>
      <c r="V279" s="2168"/>
      <c r="W279" s="2168"/>
      <c r="X279" s="2168"/>
      <c r="Y279" s="2168"/>
      <c r="Z279" s="2168"/>
      <c r="AA279" s="2168"/>
      <c r="AB279" s="2168"/>
      <c r="AC279" s="2168"/>
      <c r="AD279" s="2168"/>
      <c r="AE279" s="2231">
        <v>0.7</v>
      </c>
      <c r="AF279" s="2231"/>
      <c r="AG279" s="2231"/>
      <c r="AH279" s="3403">
        <v>0.7</v>
      </c>
      <c r="AI279" s="3403"/>
      <c r="AJ279" s="2231"/>
      <c r="AK279" s="2231"/>
      <c r="AL279" s="2231"/>
      <c r="AM279" s="2231"/>
      <c r="AN279" s="2231">
        <v>0.7</v>
      </c>
      <c r="AO279" s="2231">
        <v>0.7</v>
      </c>
      <c r="AP279" s="2168"/>
      <c r="AQ279" s="2168"/>
      <c r="AR279" s="2168"/>
      <c r="AS279" s="2168"/>
      <c r="AT279" s="2168"/>
      <c r="AU279" s="2168"/>
      <c r="AV279" s="2168"/>
    </row>
    <row r="280" spans="1:48" s="2141" customFormat="1" ht="24" hidden="1" outlineLevel="7">
      <c r="A280" s="2150"/>
      <c r="B280" s="2150"/>
      <c r="C280" s="2240" t="s">
        <v>1437</v>
      </c>
      <c r="D280" s="2230">
        <v>64.36</v>
      </c>
      <c r="M280" s="2098"/>
      <c r="N280" s="2098"/>
      <c r="O280" s="2098"/>
      <c r="P280" s="2098"/>
      <c r="R280" s="2198"/>
      <c r="S280" s="2198"/>
      <c r="T280" s="2198"/>
      <c r="U280" s="2198"/>
      <c r="V280" s="2168"/>
      <c r="W280" s="2168"/>
      <c r="X280" s="2168"/>
      <c r="Y280" s="2168"/>
      <c r="Z280" s="2168"/>
      <c r="AA280" s="2168"/>
      <c r="AB280" s="2168"/>
      <c r="AC280" s="2168"/>
      <c r="AD280" s="2168"/>
      <c r="AE280" s="2231">
        <v>64.36</v>
      </c>
      <c r="AF280" s="2231"/>
      <c r="AG280" s="2231"/>
      <c r="AH280" s="3403">
        <v>55.32</v>
      </c>
      <c r="AI280" s="3403"/>
      <c r="AJ280" s="2231">
        <v>9.0399999999999991</v>
      </c>
      <c r="AK280" s="2231"/>
      <c r="AL280" s="2231"/>
      <c r="AM280" s="2231"/>
      <c r="AN280" s="2231">
        <v>64.36</v>
      </c>
      <c r="AO280" s="2231">
        <v>64.36</v>
      </c>
      <c r="AP280" s="2168"/>
      <c r="AQ280" s="2168"/>
      <c r="AR280" s="2168"/>
      <c r="AS280" s="2168"/>
      <c r="AT280" s="2168"/>
      <c r="AU280" s="2168"/>
      <c r="AV280" s="2168"/>
    </row>
    <row r="281" spans="1:48" s="2141" customFormat="1" ht="24" hidden="1" outlineLevel="7">
      <c r="A281" s="2150"/>
      <c r="B281" s="2150"/>
      <c r="C281" s="2240" t="s">
        <v>1438</v>
      </c>
      <c r="D281" s="2230">
        <v>2689.86</v>
      </c>
      <c r="M281" s="2098"/>
      <c r="N281" s="2098"/>
      <c r="O281" s="2098"/>
      <c r="P281" s="2098"/>
      <c r="R281" s="2198"/>
      <c r="S281" s="2198"/>
      <c r="T281" s="2198"/>
      <c r="U281" s="2198"/>
      <c r="V281" s="2168"/>
      <c r="W281" s="2168"/>
      <c r="X281" s="2168"/>
      <c r="Y281" s="2168"/>
      <c r="Z281" s="2168"/>
      <c r="AA281" s="2168"/>
      <c r="AB281" s="2168"/>
      <c r="AC281" s="2168"/>
      <c r="AD281" s="2168"/>
      <c r="AE281" s="2231">
        <v>2689.86</v>
      </c>
      <c r="AF281" s="2231"/>
      <c r="AG281" s="2231"/>
      <c r="AH281" s="3403">
        <v>2680.79</v>
      </c>
      <c r="AI281" s="3403"/>
      <c r="AJ281" s="2231">
        <v>9.07</v>
      </c>
      <c r="AK281" s="2231"/>
      <c r="AL281" s="2231"/>
      <c r="AM281" s="2231"/>
      <c r="AN281" s="2231">
        <v>2689.86</v>
      </c>
      <c r="AO281" s="2231">
        <v>2689.86</v>
      </c>
      <c r="AP281" s="2168"/>
      <c r="AQ281" s="2168"/>
      <c r="AR281" s="2168"/>
      <c r="AS281" s="2168"/>
      <c r="AT281" s="2168"/>
      <c r="AU281" s="2168"/>
      <c r="AV281" s="2168"/>
    </row>
    <row r="282" spans="1:48" s="2141" customFormat="1" ht="12" hidden="1" outlineLevel="6">
      <c r="A282" s="2150"/>
      <c r="B282" s="2150"/>
      <c r="C282" s="2239" t="s">
        <v>1477</v>
      </c>
      <c r="D282" s="2225">
        <v>62.51</v>
      </c>
      <c r="M282" s="2098"/>
      <c r="N282" s="2098"/>
      <c r="O282" s="2098"/>
      <c r="P282" s="2098"/>
      <c r="R282" s="2198"/>
      <c r="S282" s="2198"/>
      <c r="T282" s="2198"/>
      <c r="U282" s="2198"/>
      <c r="V282" s="2168"/>
      <c r="W282" s="2168"/>
      <c r="X282" s="2168"/>
      <c r="Y282" s="2168"/>
      <c r="Z282" s="2168"/>
      <c r="AA282" s="2168"/>
      <c r="AB282" s="2168"/>
      <c r="AC282" s="2168"/>
      <c r="AD282" s="2168"/>
      <c r="AE282" s="2226">
        <v>62.51</v>
      </c>
      <c r="AF282" s="2226"/>
      <c r="AG282" s="2226"/>
      <c r="AH282" s="3405">
        <v>53.54</v>
      </c>
      <c r="AI282" s="3405"/>
      <c r="AJ282" s="2226">
        <v>8.9700000000000006</v>
      </c>
      <c r="AK282" s="2226"/>
      <c r="AL282" s="2226"/>
      <c r="AM282" s="2226"/>
      <c r="AN282" s="2226">
        <v>62.51</v>
      </c>
      <c r="AO282" s="2226">
        <v>62.51</v>
      </c>
      <c r="AP282" s="2168"/>
      <c r="AQ282" s="2168"/>
      <c r="AR282" s="2168"/>
      <c r="AS282" s="2168"/>
      <c r="AT282" s="2168"/>
      <c r="AU282" s="2168"/>
      <c r="AV282" s="2168"/>
    </row>
    <row r="283" spans="1:48" s="2141" customFormat="1" ht="24" hidden="1" outlineLevel="7">
      <c r="A283" s="2150"/>
      <c r="B283" s="2150"/>
      <c r="C283" s="2240" t="s">
        <v>1439</v>
      </c>
      <c r="D283" s="2230">
        <v>12.9</v>
      </c>
      <c r="M283" s="2098"/>
      <c r="N283" s="2098"/>
      <c r="O283" s="2098"/>
      <c r="P283" s="2098"/>
      <c r="R283" s="2198"/>
      <c r="S283" s="2198"/>
      <c r="T283" s="2198"/>
      <c r="U283" s="2198"/>
      <c r="V283" s="2168"/>
      <c r="W283" s="2168"/>
      <c r="X283" s="2168"/>
      <c r="Y283" s="2168"/>
      <c r="Z283" s="2168"/>
      <c r="AA283" s="2168"/>
      <c r="AB283" s="2168"/>
      <c r="AC283" s="2168"/>
      <c r="AD283" s="2168"/>
      <c r="AE283" s="2231">
        <v>12.9</v>
      </c>
      <c r="AF283" s="2231"/>
      <c r="AG283" s="2231"/>
      <c r="AH283" s="3403">
        <v>12.9</v>
      </c>
      <c r="AI283" s="3403"/>
      <c r="AJ283" s="2231"/>
      <c r="AK283" s="2231"/>
      <c r="AL283" s="2231"/>
      <c r="AM283" s="2231"/>
      <c r="AN283" s="2231">
        <v>12.9</v>
      </c>
      <c r="AO283" s="2231">
        <v>12.9</v>
      </c>
      <c r="AP283" s="2168"/>
      <c r="AQ283" s="2168"/>
      <c r="AR283" s="2168"/>
      <c r="AS283" s="2168"/>
      <c r="AT283" s="2168"/>
      <c r="AU283" s="2168"/>
      <c r="AV283" s="2168"/>
    </row>
    <row r="284" spans="1:48" s="2141" customFormat="1" ht="24" hidden="1" outlineLevel="7">
      <c r="A284" s="2150"/>
      <c r="B284" s="2150"/>
      <c r="C284" s="2240" t="s">
        <v>1440</v>
      </c>
      <c r="D284" s="2230">
        <v>1.99</v>
      </c>
      <c r="M284" s="2098"/>
      <c r="N284" s="2098"/>
      <c r="O284" s="2098"/>
      <c r="P284" s="2098"/>
      <c r="R284" s="2198"/>
      <c r="S284" s="2198"/>
      <c r="T284" s="2198"/>
      <c r="U284" s="2198"/>
      <c r="V284" s="2168"/>
      <c r="W284" s="2168"/>
      <c r="X284" s="2168"/>
      <c r="Y284" s="2168"/>
      <c r="Z284" s="2168"/>
      <c r="AA284" s="2168"/>
      <c r="AB284" s="2168"/>
      <c r="AC284" s="2168"/>
      <c r="AD284" s="2168"/>
      <c r="AE284" s="2231">
        <v>1.99</v>
      </c>
      <c r="AF284" s="2231"/>
      <c r="AG284" s="2231"/>
      <c r="AH284" s="3403">
        <v>0.14000000000000001</v>
      </c>
      <c r="AI284" s="3403"/>
      <c r="AJ284" s="2231">
        <v>1.85</v>
      </c>
      <c r="AK284" s="2231"/>
      <c r="AL284" s="2231"/>
      <c r="AM284" s="2231"/>
      <c r="AN284" s="2231">
        <v>1.99</v>
      </c>
      <c r="AO284" s="2231">
        <v>1.99</v>
      </c>
      <c r="AP284" s="2168"/>
      <c r="AQ284" s="2168"/>
      <c r="AR284" s="2168"/>
      <c r="AS284" s="2168"/>
      <c r="AT284" s="2168"/>
      <c r="AU284" s="2168"/>
      <c r="AV284" s="2168"/>
    </row>
    <row r="285" spans="1:48" s="2141" customFormat="1" ht="24" hidden="1" outlineLevel="7">
      <c r="A285" s="2150"/>
      <c r="B285" s="2150"/>
      <c r="C285" s="2240" t="s">
        <v>1441</v>
      </c>
      <c r="D285" s="2230">
        <v>0.19</v>
      </c>
      <c r="M285" s="2098"/>
      <c r="N285" s="2098"/>
      <c r="O285" s="2098"/>
      <c r="P285" s="2098"/>
      <c r="R285" s="2198"/>
      <c r="S285" s="2198"/>
      <c r="T285" s="2198"/>
      <c r="U285" s="2198"/>
      <c r="V285" s="2168"/>
      <c r="W285" s="2168"/>
      <c r="X285" s="2168"/>
      <c r="Y285" s="2168"/>
      <c r="Z285" s="2168"/>
      <c r="AA285" s="2168"/>
      <c r="AB285" s="2168"/>
      <c r="AC285" s="2168"/>
      <c r="AD285" s="2168"/>
      <c r="AE285" s="2231">
        <v>0.19</v>
      </c>
      <c r="AF285" s="2231"/>
      <c r="AG285" s="2231"/>
      <c r="AH285" s="2232"/>
      <c r="AI285" s="2233"/>
      <c r="AJ285" s="2231">
        <v>0.19</v>
      </c>
      <c r="AK285" s="2231"/>
      <c r="AL285" s="2231"/>
      <c r="AM285" s="2231"/>
      <c r="AN285" s="2231">
        <v>0.19</v>
      </c>
      <c r="AO285" s="2231">
        <v>0.19</v>
      </c>
      <c r="AP285" s="2168"/>
      <c r="AQ285" s="2168"/>
      <c r="AR285" s="2168"/>
      <c r="AS285" s="2168"/>
      <c r="AT285" s="2168"/>
      <c r="AU285" s="2168"/>
      <c r="AV285" s="2168"/>
    </row>
    <row r="286" spans="1:48" s="2141" customFormat="1" ht="36" hidden="1" outlineLevel="7">
      <c r="A286" s="2150"/>
      <c r="B286" s="2150"/>
      <c r="C286" s="2240" t="s">
        <v>1442</v>
      </c>
      <c r="D286" s="2230">
        <v>39.57</v>
      </c>
      <c r="M286" s="2098"/>
      <c r="N286" s="2098"/>
      <c r="O286" s="2098"/>
      <c r="P286" s="2098"/>
      <c r="R286" s="2198"/>
      <c r="S286" s="2198"/>
      <c r="T286" s="2198"/>
      <c r="U286" s="2198"/>
      <c r="V286" s="2168"/>
      <c r="W286" s="2168"/>
      <c r="X286" s="2168"/>
      <c r="Y286" s="2168"/>
      <c r="Z286" s="2168"/>
      <c r="AA286" s="2168"/>
      <c r="AB286" s="2168"/>
      <c r="AC286" s="2168"/>
      <c r="AD286" s="2168"/>
      <c r="AE286" s="2231">
        <v>39.57</v>
      </c>
      <c r="AF286" s="2231"/>
      <c r="AG286" s="2231"/>
      <c r="AH286" s="3403">
        <v>33.549999999999997</v>
      </c>
      <c r="AI286" s="3403"/>
      <c r="AJ286" s="2231">
        <v>6.02</v>
      </c>
      <c r="AK286" s="2231"/>
      <c r="AL286" s="2231"/>
      <c r="AM286" s="2231"/>
      <c r="AN286" s="2231">
        <v>39.57</v>
      </c>
      <c r="AO286" s="2231">
        <v>39.57</v>
      </c>
      <c r="AP286" s="2168"/>
      <c r="AQ286" s="2168"/>
      <c r="AR286" s="2168"/>
      <c r="AS286" s="2168"/>
      <c r="AT286" s="2168"/>
      <c r="AU286" s="2168"/>
      <c r="AV286" s="2168"/>
    </row>
    <row r="287" spans="1:48" s="2141" customFormat="1" ht="24" hidden="1" outlineLevel="7">
      <c r="A287" s="2150"/>
      <c r="B287" s="2150"/>
      <c r="C287" s="2240" t="s">
        <v>1443</v>
      </c>
      <c r="D287" s="2230">
        <v>7.86</v>
      </c>
      <c r="M287" s="2098"/>
      <c r="N287" s="2098"/>
      <c r="O287" s="2098"/>
      <c r="P287" s="2098"/>
      <c r="R287" s="2198"/>
      <c r="S287" s="2198"/>
      <c r="T287" s="2198"/>
      <c r="U287" s="2198"/>
      <c r="V287" s="2168"/>
      <c r="W287" s="2168"/>
      <c r="X287" s="2168"/>
      <c r="Y287" s="2168"/>
      <c r="Z287" s="2168"/>
      <c r="AA287" s="2168"/>
      <c r="AB287" s="2168"/>
      <c r="AC287" s="2168"/>
      <c r="AD287" s="2168"/>
      <c r="AE287" s="2231">
        <v>7.86</v>
      </c>
      <c r="AF287" s="2231"/>
      <c r="AG287" s="2231"/>
      <c r="AH287" s="3403">
        <v>6.95</v>
      </c>
      <c r="AI287" s="3403"/>
      <c r="AJ287" s="2231">
        <v>0.91</v>
      </c>
      <c r="AK287" s="2231"/>
      <c r="AL287" s="2231"/>
      <c r="AM287" s="2231"/>
      <c r="AN287" s="2231">
        <v>7.86</v>
      </c>
      <c r="AO287" s="2231">
        <v>7.86</v>
      </c>
      <c r="AP287" s="2168"/>
      <c r="AQ287" s="2168"/>
      <c r="AR287" s="2168"/>
      <c r="AS287" s="2168"/>
      <c r="AT287" s="2168"/>
      <c r="AU287" s="2168"/>
      <c r="AV287" s="2168"/>
    </row>
    <row r="288" spans="1:48" s="2141" customFormat="1" ht="12" hidden="1" outlineLevel="4" collapsed="1">
      <c r="A288" s="2150"/>
      <c r="B288" s="2150"/>
      <c r="C288" s="2235" t="s">
        <v>1478</v>
      </c>
      <c r="D288" s="2225">
        <v>7872.28</v>
      </c>
      <c r="M288" s="2098"/>
      <c r="N288" s="2098"/>
      <c r="O288" s="2098"/>
      <c r="P288" s="2098"/>
      <c r="R288" s="2198"/>
      <c r="S288" s="2198"/>
      <c r="T288" s="2198"/>
      <c r="U288" s="2198"/>
      <c r="V288" s="2168"/>
      <c r="W288" s="2168"/>
      <c r="X288" s="2168"/>
      <c r="Y288" s="2168"/>
      <c r="Z288" s="2168"/>
      <c r="AA288" s="2168"/>
      <c r="AB288" s="2168"/>
      <c r="AC288" s="2168"/>
      <c r="AD288" s="2168"/>
      <c r="AE288" s="2226">
        <v>7872.28</v>
      </c>
      <c r="AF288" s="2226"/>
      <c r="AG288" s="2226"/>
      <c r="AH288" s="3405">
        <v>7417.69</v>
      </c>
      <c r="AI288" s="3405"/>
      <c r="AJ288" s="2226">
        <v>454.59</v>
      </c>
      <c r="AK288" s="2226"/>
      <c r="AL288" s="2226"/>
      <c r="AM288" s="2226"/>
      <c r="AN288" s="2226">
        <v>7872.28</v>
      </c>
      <c r="AO288" s="2226">
        <v>7872.28</v>
      </c>
      <c r="AP288" s="2168"/>
      <c r="AQ288" s="2168"/>
      <c r="AR288" s="2168"/>
      <c r="AS288" s="2168"/>
      <c r="AT288" s="2168"/>
      <c r="AU288" s="2168"/>
      <c r="AV288" s="2168"/>
    </row>
    <row r="289" spans="1:48" s="2141" customFormat="1" ht="12" hidden="1" outlineLevel="5">
      <c r="A289" s="2150"/>
      <c r="B289" s="2150"/>
      <c r="C289" s="2237" t="s">
        <v>1479</v>
      </c>
      <c r="D289" s="2225">
        <v>3631.49</v>
      </c>
      <c r="M289" s="2098"/>
      <c r="N289" s="2098"/>
      <c r="O289" s="2098"/>
      <c r="P289" s="2098"/>
      <c r="R289" s="2198"/>
      <c r="S289" s="2198"/>
      <c r="T289" s="2198"/>
      <c r="U289" s="2198"/>
      <c r="V289" s="2168"/>
      <c r="W289" s="2168"/>
      <c r="X289" s="2168"/>
      <c r="Y289" s="2168"/>
      <c r="Z289" s="2168"/>
      <c r="AA289" s="2168"/>
      <c r="AB289" s="2168"/>
      <c r="AC289" s="2168"/>
      <c r="AD289" s="2168"/>
      <c r="AE289" s="2226">
        <v>3631.49</v>
      </c>
      <c r="AF289" s="2226"/>
      <c r="AG289" s="2226"/>
      <c r="AH289" s="3405">
        <v>3515.98</v>
      </c>
      <c r="AI289" s="3405"/>
      <c r="AJ289" s="2226">
        <v>115.51</v>
      </c>
      <c r="AK289" s="2226"/>
      <c r="AL289" s="2226"/>
      <c r="AM289" s="2226"/>
      <c r="AN289" s="2226">
        <v>3631.49</v>
      </c>
      <c r="AO289" s="2226">
        <v>3631.49</v>
      </c>
      <c r="AP289" s="2168"/>
      <c r="AQ289" s="2168"/>
      <c r="AR289" s="2168"/>
      <c r="AS289" s="2168"/>
      <c r="AT289" s="2168"/>
      <c r="AU289" s="2168"/>
      <c r="AV289" s="2168"/>
    </row>
    <row r="290" spans="1:48" s="2141" customFormat="1" ht="24" hidden="1" outlineLevel="6">
      <c r="A290" s="2150"/>
      <c r="B290" s="2150"/>
      <c r="C290" s="2238" t="s">
        <v>1327</v>
      </c>
      <c r="D290" s="2230">
        <v>3252.94</v>
      </c>
      <c r="M290" s="2098"/>
      <c r="N290" s="2098"/>
      <c r="O290" s="2098"/>
      <c r="P290" s="2098"/>
      <c r="R290" s="2198"/>
      <c r="S290" s="2198"/>
      <c r="T290" s="2198"/>
      <c r="U290" s="2198"/>
      <c r="V290" s="2168"/>
      <c r="W290" s="2168"/>
      <c r="X290" s="2168"/>
      <c r="Y290" s="2168"/>
      <c r="Z290" s="2168"/>
      <c r="AA290" s="2168"/>
      <c r="AB290" s="2168"/>
      <c r="AC290" s="2168"/>
      <c r="AD290" s="2168"/>
      <c r="AE290" s="2231">
        <v>3252.94</v>
      </c>
      <c r="AF290" s="2231"/>
      <c r="AG290" s="2231"/>
      <c r="AH290" s="3403">
        <v>3217.5</v>
      </c>
      <c r="AI290" s="3403"/>
      <c r="AJ290" s="2231">
        <v>35.44</v>
      </c>
      <c r="AK290" s="2231"/>
      <c r="AL290" s="2231"/>
      <c r="AM290" s="2231"/>
      <c r="AN290" s="2231">
        <v>3252.94</v>
      </c>
      <c r="AO290" s="2231">
        <v>3252.94</v>
      </c>
      <c r="AP290" s="2168"/>
      <c r="AQ290" s="2168"/>
      <c r="AR290" s="2168"/>
      <c r="AS290" s="2168"/>
      <c r="AT290" s="2168"/>
      <c r="AU290" s="2168"/>
      <c r="AV290" s="2168"/>
    </row>
    <row r="291" spans="1:48" s="2141" customFormat="1" ht="24" hidden="1" outlineLevel="6">
      <c r="A291" s="2150"/>
      <c r="B291" s="2150"/>
      <c r="C291" s="2238" t="s">
        <v>1328</v>
      </c>
      <c r="D291" s="2230">
        <v>378.55</v>
      </c>
      <c r="M291" s="2098"/>
      <c r="N291" s="2098"/>
      <c r="O291" s="2098"/>
      <c r="P291" s="2098"/>
      <c r="R291" s="2198"/>
      <c r="S291" s="2198"/>
      <c r="T291" s="2198"/>
      <c r="U291" s="2198"/>
      <c r="V291" s="2168"/>
      <c r="W291" s="2168"/>
      <c r="X291" s="2168"/>
      <c r="Y291" s="2168"/>
      <c r="Z291" s="2168"/>
      <c r="AA291" s="2168"/>
      <c r="AB291" s="2168"/>
      <c r="AC291" s="2168"/>
      <c r="AD291" s="2168"/>
      <c r="AE291" s="2231">
        <v>378.55</v>
      </c>
      <c r="AF291" s="2231"/>
      <c r="AG291" s="2231"/>
      <c r="AH291" s="3403">
        <v>298.48</v>
      </c>
      <c r="AI291" s="3403"/>
      <c r="AJ291" s="2231">
        <v>80.069999999999993</v>
      </c>
      <c r="AK291" s="2231"/>
      <c r="AL291" s="2231"/>
      <c r="AM291" s="2231"/>
      <c r="AN291" s="2231">
        <v>378.55</v>
      </c>
      <c r="AO291" s="2231">
        <v>378.55</v>
      </c>
      <c r="AP291" s="2168"/>
      <c r="AQ291" s="2168"/>
      <c r="AR291" s="2168"/>
      <c r="AS291" s="2168"/>
      <c r="AT291" s="2168"/>
      <c r="AU291" s="2168"/>
      <c r="AV291" s="2168"/>
    </row>
    <row r="292" spans="1:48" s="2141" customFormat="1" ht="24" hidden="1" outlineLevel="5">
      <c r="A292" s="2150"/>
      <c r="B292" s="2150"/>
      <c r="C292" s="2236" t="s">
        <v>3828</v>
      </c>
      <c r="D292" s="2234"/>
      <c r="M292" s="2098"/>
      <c r="N292" s="2098"/>
      <c r="O292" s="2098"/>
      <c r="P292" s="2098"/>
      <c r="R292" s="2198"/>
      <c r="S292" s="2198"/>
      <c r="T292" s="2198"/>
      <c r="U292" s="2198"/>
      <c r="V292" s="2168"/>
      <c r="W292" s="2168"/>
      <c r="X292" s="2168"/>
      <c r="Y292" s="2168"/>
      <c r="Z292" s="2168"/>
      <c r="AA292" s="2168"/>
      <c r="AB292" s="2168"/>
      <c r="AC292" s="2168"/>
      <c r="AD292" s="2168"/>
      <c r="AE292" s="2231"/>
      <c r="AF292" s="2231"/>
      <c r="AG292" s="2231"/>
      <c r="AH292" s="2232"/>
      <c r="AI292" s="2233"/>
      <c r="AJ292" s="2231"/>
      <c r="AK292" s="2231"/>
      <c r="AL292" s="2231"/>
      <c r="AM292" s="2231"/>
      <c r="AN292" s="2231"/>
      <c r="AO292" s="2231"/>
      <c r="AP292" s="2168"/>
      <c r="AQ292" s="2168"/>
      <c r="AR292" s="2168"/>
      <c r="AS292" s="2168"/>
      <c r="AT292" s="2168"/>
      <c r="AU292" s="2168"/>
      <c r="AV292" s="2168"/>
    </row>
    <row r="293" spans="1:48" s="2141" customFormat="1" ht="12" hidden="1" outlineLevel="5">
      <c r="A293" s="2150"/>
      <c r="B293" s="2150"/>
      <c r="C293" s="2237" t="s">
        <v>1480</v>
      </c>
      <c r="D293" s="2225">
        <v>412.74</v>
      </c>
      <c r="M293" s="2098"/>
      <c r="N293" s="2098"/>
      <c r="O293" s="2098"/>
      <c r="P293" s="2098"/>
      <c r="R293" s="2198"/>
      <c r="S293" s="2198"/>
      <c r="T293" s="2198"/>
      <c r="U293" s="2198"/>
      <c r="V293" s="2168"/>
      <c r="W293" s="2168"/>
      <c r="X293" s="2168"/>
      <c r="Y293" s="2168"/>
      <c r="Z293" s="2168"/>
      <c r="AA293" s="2168"/>
      <c r="AB293" s="2168"/>
      <c r="AC293" s="2168"/>
      <c r="AD293" s="2168"/>
      <c r="AE293" s="2226">
        <v>412.74</v>
      </c>
      <c r="AF293" s="2226"/>
      <c r="AG293" s="2226"/>
      <c r="AH293" s="3405">
        <v>391.67</v>
      </c>
      <c r="AI293" s="3405"/>
      <c r="AJ293" s="2226">
        <v>21.07</v>
      </c>
      <c r="AK293" s="2226"/>
      <c r="AL293" s="2226"/>
      <c r="AM293" s="2226"/>
      <c r="AN293" s="2226">
        <v>412.74</v>
      </c>
      <c r="AO293" s="2226">
        <v>412.74</v>
      </c>
      <c r="AP293" s="2168"/>
      <c r="AQ293" s="2168"/>
      <c r="AR293" s="2168"/>
      <c r="AS293" s="2168"/>
      <c r="AT293" s="2168"/>
      <c r="AU293" s="2168"/>
      <c r="AV293" s="2168"/>
    </row>
    <row r="294" spans="1:48" s="2141" customFormat="1" ht="36" hidden="1" outlineLevel="6">
      <c r="A294" s="2150"/>
      <c r="B294" s="2150"/>
      <c r="C294" s="2238" t="s">
        <v>1350</v>
      </c>
      <c r="D294" s="2230">
        <v>91.14</v>
      </c>
      <c r="M294" s="2098"/>
      <c r="N294" s="2098"/>
      <c r="O294" s="2098"/>
      <c r="P294" s="2098"/>
      <c r="R294" s="2198"/>
      <c r="S294" s="2198"/>
      <c r="T294" s="2198"/>
      <c r="U294" s="2198"/>
      <c r="V294" s="2168"/>
      <c r="W294" s="2168"/>
      <c r="X294" s="2168"/>
      <c r="Y294" s="2168"/>
      <c r="Z294" s="2168"/>
      <c r="AA294" s="2168"/>
      <c r="AB294" s="2168"/>
      <c r="AC294" s="2168"/>
      <c r="AD294" s="2168"/>
      <c r="AE294" s="2231">
        <v>91.14</v>
      </c>
      <c r="AF294" s="2231"/>
      <c r="AG294" s="2231"/>
      <c r="AH294" s="3403">
        <v>76.61</v>
      </c>
      <c r="AI294" s="3403"/>
      <c r="AJ294" s="2231">
        <v>14.53</v>
      </c>
      <c r="AK294" s="2231"/>
      <c r="AL294" s="2231"/>
      <c r="AM294" s="2231"/>
      <c r="AN294" s="2231">
        <v>91.14</v>
      </c>
      <c r="AO294" s="2231">
        <v>91.14</v>
      </c>
      <c r="AP294" s="2168"/>
      <c r="AQ294" s="2168"/>
      <c r="AR294" s="2168"/>
      <c r="AS294" s="2168"/>
      <c r="AT294" s="2168"/>
      <c r="AU294" s="2168"/>
      <c r="AV294" s="2168"/>
    </row>
    <row r="295" spans="1:48" s="2141" customFormat="1" ht="24" hidden="1" outlineLevel="6">
      <c r="A295" s="2150"/>
      <c r="B295" s="2150"/>
      <c r="C295" s="2238" t="s">
        <v>1352</v>
      </c>
      <c r="D295" s="2230">
        <v>195.62</v>
      </c>
      <c r="M295" s="2098"/>
      <c r="N295" s="2098"/>
      <c r="O295" s="2098"/>
      <c r="P295" s="2098"/>
      <c r="R295" s="2198"/>
      <c r="S295" s="2198"/>
      <c r="T295" s="2198"/>
      <c r="U295" s="2198"/>
      <c r="V295" s="2168"/>
      <c r="W295" s="2168"/>
      <c r="X295" s="2168"/>
      <c r="Y295" s="2168"/>
      <c r="Z295" s="2168"/>
      <c r="AA295" s="2168"/>
      <c r="AB295" s="2168"/>
      <c r="AC295" s="2168"/>
      <c r="AD295" s="2168"/>
      <c r="AE295" s="2231">
        <v>195.62</v>
      </c>
      <c r="AF295" s="2231"/>
      <c r="AG295" s="2231"/>
      <c r="AH295" s="3403">
        <v>190.13</v>
      </c>
      <c r="AI295" s="3403"/>
      <c r="AJ295" s="2231">
        <v>5.49</v>
      </c>
      <c r="AK295" s="2231"/>
      <c r="AL295" s="2231"/>
      <c r="AM295" s="2231"/>
      <c r="AN295" s="2231">
        <v>195.62</v>
      </c>
      <c r="AO295" s="2231">
        <v>195.62</v>
      </c>
      <c r="AP295" s="2168"/>
      <c r="AQ295" s="2168"/>
      <c r="AR295" s="2168"/>
      <c r="AS295" s="2168"/>
      <c r="AT295" s="2168"/>
      <c r="AU295" s="2168"/>
      <c r="AV295" s="2168"/>
    </row>
    <row r="296" spans="1:48" s="2141" customFormat="1" ht="24" hidden="1" outlineLevel="6">
      <c r="A296" s="2150"/>
      <c r="B296" s="2150"/>
      <c r="C296" s="2238" t="s">
        <v>1354</v>
      </c>
      <c r="D296" s="2230">
        <v>107.82</v>
      </c>
      <c r="M296" s="2098"/>
      <c r="N296" s="2098"/>
      <c r="O296" s="2098"/>
      <c r="P296" s="2098"/>
      <c r="R296" s="2198"/>
      <c r="S296" s="2198"/>
      <c r="T296" s="2198"/>
      <c r="U296" s="2198"/>
      <c r="V296" s="2168"/>
      <c r="W296" s="2168"/>
      <c r="X296" s="2168"/>
      <c r="Y296" s="2168"/>
      <c r="Z296" s="2168"/>
      <c r="AA296" s="2168"/>
      <c r="AB296" s="2168"/>
      <c r="AC296" s="2168"/>
      <c r="AD296" s="2168"/>
      <c r="AE296" s="2231">
        <v>107.82</v>
      </c>
      <c r="AF296" s="2231"/>
      <c r="AG296" s="2231"/>
      <c r="AH296" s="3403">
        <v>107.82</v>
      </c>
      <c r="AI296" s="3403"/>
      <c r="AJ296" s="2231"/>
      <c r="AK296" s="2231"/>
      <c r="AL296" s="2231"/>
      <c r="AM296" s="2231"/>
      <c r="AN296" s="2231">
        <v>107.82</v>
      </c>
      <c r="AO296" s="2231">
        <v>107.82</v>
      </c>
      <c r="AP296" s="2168"/>
      <c r="AQ296" s="2168"/>
      <c r="AR296" s="2168"/>
      <c r="AS296" s="2168"/>
      <c r="AT296" s="2168"/>
      <c r="AU296" s="2168"/>
      <c r="AV296" s="2168"/>
    </row>
    <row r="297" spans="1:48" s="2141" customFormat="1" ht="24" hidden="1" outlineLevel="6">
      <c r="A297" s="2150"/>
      <c r="B297" s="2150"/>
      <c r="C297" s="2238" t="s">
        <v>1357</v>
      </c>
      <c r="D297" s="2230">
        <v>18.16</v>
      </c>
      <c r="M297" s="2098"/>
      <c r="N297" s="2098"/>
      <c r="O297" s="2098"/>
      <c r="P297" s="2098"/>
      <c r="R297" s="2198"/>
      <c r="S297" s="2198"/>
      <c r="T297" s="2198"/>
      <c r="U297" s="2198"/>
      <c r="V297" s="2168"/>
      <c r="W297" s="2168"/>
      <c r="X297" s="2168"/>
      <c r="Y297" s="2168"/>
      <c r="Z297" s="2168"/>
      <c r="AA297" s="2168"/>
      <c r="AB297" s="2168"/>
      <c r="AC297" s="2168"/>
      <c r="AD297" s="2168"/>
      <c r="AE297" s="2231">
        <v>18.16</v>
      </c>
      <c r="AF297" s="2231"/>
      <c r="AG297" s="2231"/>
      <c r="AH297" s="3403">
        <v>17.11</v>
      </c>
      <c r="AI297" s="3403"/>
      <c r="AJ297" s="2231">
        <v>1.05</v>
      </c>
      <c r="AK297" s="2231"/>
      <c r="AL297" s="2231"/>
      <c r="AM297" s="2231"/>
      <c r="AN297" s="2231">
        <v>18.16</v>
      </c>
      <c r="AO297" s="2231">
        <v>18.16</v>
      </c>
      <c r="AP297" s="2168"/>
      <c r="AQ297" s="2168"/>
      <c r="AR297" s="2168"/>
      <c r="AS297" s="2168"/>
      <c r="AT297" s="2168"/>
      <c r="AU297" s="2168"/>
      <c r="AV297" s="2168"/>
    </row>
    <row r="298" spans="1:48" s="2141" customFormat="1" ht="12" hidden="1" outlineLevel="5">
      <c r="A298" s="2150"/>
      <c r="B298" s="2150"/>
      <c r="C298" s="2237" t="s">
        <v>1481</v>
      </c>
      <c r="D298" s="2225">
        <v>3294.05</v>
      </c>
      <c r="M298" s="2098"/>
      <c r="N298" s="2098"/>
      <c r="O298" s="2098"/>
      <c r="P298" s="2098"/>
      <c r="R298" s="2198"/>
      <c r="S298" s="2198"/>
      <c r="T298" s="2198"/>
      <c r="U298" s="2198"/>
      <c r="V298" s="2168"/>
      <c r="W298" s="2168"/>
      <c r="X298" s="2168"/>
      <c r="Y298" s="2168"/>
      <c r="Z298" s="2168"/>
      <c r="AA298" s="2168"/>
      <c r="AB298" s="2168"/>
      <c r="AC298" s="2168"/>
      <c r="AD298" s="2168"/>
      <c r="AE298" s="2226">
        <v>3294.05</v>
      </c>
      <c r="AF298" s="2226"/>
      <c r="AG298" s="2226"/>
      <c r="AH298" s="3405">
        <v>3029.66</v>
      </c>
      <c r="AI298" s="3405"/>
      <c r="AJ298" s="2226">
        <v>264.39</v>
      </c>
      <c r="AK298" s="2226"/>
      <c r="AL298" s="2226"/>
      <c r="AM298" s="2226"/>
      <c r="AN298" s="2226">
        <v>3294.05</v>
      </c>
      <c r="AO298" s="2226">
        <v>3294.05</v>
      </c>
      <c r="AP298" s="2168"/>
      <c r="AQ298" s="2168"/>
      <c r="AR298" s="2168"/>
      <c r="AS298" s="2168"/>
      <c r="AT298" s="2168"/>
      <c r="AU298" s="2168"/>
      <c r="AV298" s="2168"/>
    </row>
    <row r="299" spans="1:48" s="2141" customFormat="1" ht="36" hidden="1" outlineLevel="6">
      <c r="A299" s="2150"/>
      <c r="B299" s="2150"/>
      <c r="C299" s="2238" t="s">
        <v>1351</v>
      </c>
      <c r="D299" s="2230">
        <v>73.42</v>
      </c>
      <c r="M299" s="2098"/>
      <c r="N299" s="2098"/>
      <c r="O299" s="2098"/>
      <c r="P299" s="2098"/>
      <c r="R299" s="2198"/>
      <c r="S299" s="2198"/>
      <c r="T299" s="2198"/>
      <c r="U299" s="2198"/>
      <c r="V299" s="2168"/>
      <c r="W299" s="2168"/>
      <c r="X299" s="2168"/>
      <c r="Y299" s="2168"/>
      <c r="Z299" s="2168"/>
      <c r="AA299" s="2168"/>
      <c r="AB299" s="2168"/>
      <c r="AC299" s="2168"/>
      <c r="AD299" s="2168"/>
      <c r="AE299" s="2231">
        <v>73.42</v>
      </c>
      <c r="AF299" s="2231"/>
      <c r="AG299" s="2231"/>
      <c r="AH299" s="3403">
        <v>63.43</v>
      </c>
      <c r="AI299" s="3403"/>
      <c r="AJ299" s="2231">
        <v>9.99</v>
      </c>
      <c r="AK299" s="2231"/>
      <c r="AL299" s="2231"/>
      <c r="AM299" s="2231"/>
      <c r="AN299" s="2231">
        <v>73.42</v>
      </c>
      <c r="AO299" s="2231">
        <v>73.42</v>
      </c>
      <c r="AP299" s="2168"/>
      <c r="AQ299" s="2168"/>
      <c r="AR299" s="2168"/>
      <c r="AS299" s="2168"/>
      <c r="AT299" s="2168"/>
      <c r="AU299" s="2168"/>
      <c r="AV299" s="2168"/>
    </row>
    <row r="300" spans="1:48" s="2141" customFormat="1" ht="24" hidden="1" outlineLevel="6">
      <c r="A300" s="2150"/>
      <c r="B300" s="2150"/>
      <c r="C300" s="2238" t="s">
        <v>1353</v>
      </c>
      <c r="D300" s="2230">
        <v>391.02</v>
      </c>
      <c r="M300" s="2098"/>
      <c r="N300" s="2098"/>
      <c r="O300" s="2098"/>
      <c r="P300" s="2098"/>
      <c r="R300" s="2198"/>
      <c r="S300" s="2198"/>
      <c r="T300" s="2198"/>
      <c r="U300" s="2198"/>
      <c r="V300" s="2168"/>
      <c r="W300" s="2168"/>
      <c r="X300" s="2168"/>
      <c r="Y300" s="2168"/>
      <c r="Z300" s="2168"/>
      <c r="AA300" s="2168"/>
      <c r="AB300" s="2168"/>
      <c r="AC300" s="2168"/>
      <c r="AD300" s="2168"/>
      <c r="AE300" s="2231">
        <v>391.02</v>
      </c>
      <c r="AF300" s="2231"/>
      <c r="AG300" s="2231"/>
      <c r="AH300" s="3403">
        <v>384.77</v>
      </c>
      <c r="AI300" s="3403"/>
      <c r="AJ300" s="2231">
        <v>6.25</v>
      </c>
      <c r="AK300" s="2231"/>
      <c r="AL300" s="2231"/>
      <c r="AM300" s="2231"/>
      <c r="AN300" s="2231">
        <v>391.02</v>
      </c>
      <c r="AO300" s="2231">
        <v>391.02</v>
      </c>
      <c r="AP300" s="2168"/>
      <c r="AQ300" s="2168"/>
      <c r="AR300" s="2168"/>
      <c r="AS300" s="2168"/>
      <c r="AT300" s="2168"/>
      <c r="AU300" s="2168"/>
      <c r="AV300" s="2168"/>
    </row>
    <row r="301" spans="1:48" s="2141" customFormat="1" ht="24" hidden="1" outlineLevel="6">
      <c r="A301" s="2150"/>
      <c r="B301" s="2150"/>
      <c r="C301" s="2238" t="s">
        <v>1355</v>
      </c>
      <c r="D301" s="2230">
        <v>29.43</v>
      </c>
      <c r="M301" s="2098"/>
      <c r="N301" s="2098"/>
      <c r="O301" s="2098"/>
      <c r="P301" s="2098"/>
      <c r="R301" s="2198"/>
      <c r="S301" s="2198"/>
      <c r="T301" s="2198"/>
      <c r="U301" s="2198"/>
      <c r="V301" s="2168"/>
      <c r="W301" s="2168"/>
      <c r="X301" s="2168"/>
      <c r="Y301" s="2168"/>
      <c r="Z301" s="2168"/>
      <c r="AA301" s="2168"/>
      <c r="AB301" s="2168"/>
      <c r="AC301" s="2168"/>
      <c r="AD301" s="2168"/>
      <c r="AE301" s="2231">
        <v>29.43</v>
      </c>
      <c r="AF301" s="2231"/>
      <c r="AG301" s="2231"/>
      <c r="AH301" s="3403">
        <v>3.9</v>
      </c>
      <c r="AI301" s="3403"/>
      <c r="AJ301" s="2231">
        <v>25.53</v>
      </c>
      <c r="AK301" s="2231"/>
      <c r="AL301" s="2231"/>
      <c r="AM301" s="2231"/>
      <c r="AN301" s="2231">
        <v>29.43</v>
      </c>
      <c r="AO301" s="2231">
        <v>29.43</v>
      </c>
      <c r="AP301" s="2168"/>
      <c r="AQ301" s="2168"/>
      <c r="AR301" s="2168"/>
      <c r="AS301" s="2168"/>
      <c r="AT301" s="2168"/>
      <c r="AU301" s="2168"/>
      <c r="AV301" s="2168"/>
    </row>
    <row r="302" spans="1:48" s="2141" customFormat="1" ht="12" hidden="1" outlineLevel="6">
      <c r="A302" s="2150"/>
      <c r="B302" s="2150"/>
      <c r="C302" s="2238" t="s">
        <v>1356</v>
      </c>
      <c r="D302" s="2230">
        <v>2793.22</v>
      </c>
      <c r="M302" s="2098"/>
      <c r="N302" s="2098"/>
      <c r="O302" s="2098"/>
      <c r="P302" s="2098"/>
      <c r="R302" s="2198"/>
      <c r="S302" s="2198"/>
      <c r="T302" s="2198"/>
      <c r="U302" s="2198"/>
      <c r="V302" s="2168"/>
      <c r="W302" s="2168"/>
      <c r="X302" s="2168"/>
      <c r="Y302" s="2168"/>
      <c r="Z302" s="2168"/>
      <c r="AA302" s="2168"/>
      <c r="AB302" s="2168"/>
      <c r="AC302" s="2168"/>
      <c r="AD302" s="2168"/>
      <c r="AE302" s="2231">
        <v>2793.22</v>
      </c>
      <c r="AF302" s="2231"/>
      <c r="AG302" s="2231"/>
      <c r="AH302" s="3403">
        <v>2570.61</v>
      </c>
      <c r="AI302" s="3403"/>
      <c r="AJ302" s="2231">
        <v>222.61</v>
      </c>
      <c r="AK302" s="2231"/>
      <c r="AL302" s="2231"/>
      <c r="AM302" s="2231"/>
      <c r="AN302" s="2231">
        <v>2793.22</v>
      </c>
      <c r="AO302" s="2231">
        <v>2793.22</v>
      </c>
      <c r="AP302" s="2168"/>
      <c r="AQ302" s="2168"/>
      <c r="AR302" s="2168"/>
      <c r="AS302" s="2168"/>
      <c r="AT302" s="2168"/>
      <c r="AU302" s="2168"/>
      <c r="AV302" s="2168"/>
    </row>
    <row r="303" spans="1:48" s="2141" customFormat="1" ht="24" hidden="1" outlineLevel="6">
      <c r="A303" s="2150"/>
      <c r="B303" s="2150"/>
      <c r="C303" s="2238" t="s">
        <v>1358</v>
      </c>
      <c r="D303" s="2230">
        <v>0.93</v>
      </c>
      <c r="M303" s="2098"/>
      <c r="N303" s="2098"/>
      <c r="O303" s="2098"/>
      <c r="P303" s="2098"/>
      <c r="R303" s="2198"/>
      <c r="S303" s="2198"/>
      <c r="T303" s="2198"/>
      <c r="U303" s="2198"/>
      <c r="V303" s="2168"/>
      <c r="W303" s="2168"/>
      <c r="X303" s="2168"/>
      <c r="Y303" s="2168"/>
      <c r="Z303" s="2168"/>
      <c r="AA303" s="2168"/>
      <c r="AB303" s="2168"/>
      <c r="AC303" s="2168"/>
      <c r="AD303" s="2168"/>
      <c r="AE303" s="2231">
        <v>0.93</v>
      </c>
      <c r="AF303" s="2231"/>
      <c r="AG303" s="2231"/>
      <c r="AH303" s="3403">
        <v>0.93</v>
      </c>
      <c r="AI303" s="3403"/>
      <c r="AJ303" s="2231"/>
      <c r="AK303" s="2231"/>
      <c r="AL303" s="2231"/>
      <c r="AM303" s="2231"/>
      <c r="AN303" s="2231">
        <v>0.93</v>
      </c>
      <c r="AO303" s="2231">
        <v>0.93</v>
      </c>
      <c r="AP303" s="2168"/>
      <c r="AQ303" s="2168"/>
      <c r="AR303" s="2168"/>
      <c r="AS303" s="2168"/>
      <c r="AT303" s="2168"/>
      <c r="AU303" s="2168"/>
      <c r="AV303" s="2168"/>
    </row>
    <row r="304" spans="1:48" s="2141" customFormat="1" ht="24" hidden="1" outlineLevel="6">
      <c r="A304" s="2150"/>
      <c r="B304" s="2150"/>
      <c r="C304" s="2238" t="s">
        <v>3802</v>
      </c>
      <c r="D304" s="2230">
        <v>0.09</v>
      </c>
      <c r="M304" s="2098"/>
      <c r="N304" s="2098"/>
      <c r="O304" s="2098"/>
      <c r="P304" s="2098"/>
      <c r="R304" s="2198"/>
      <c r="S304" s="2198"/>
      <c r="T304" s="2198"/>
      <c r="U304" s="2198"/>
      <c r="V304" s="2168"/>
      <c r="W304" s="2168"/>
      <c r="X304" s="2168"/>
      <c r="Y304" s="2168"/>
      <c r="Z304" s="2168"/>
      <c r="AA304" s="2168"/>
      <c r="AB304" s="2168"/>
      <c r="AC304" s="2168"/>
      <c r="AD304" s="2168"/>
      <c r="AE304" s="2231">
        <v>0.09</v>
      </c>
      <c r="AF304" s="2231"/>
      <c r="AG304" s="2231"/>
      <c r="AH304" s="3403">
        <v>0.09</v>
      </c>
      <c r="AI304" s="3403"/>
      <c r="AJ304" s="2231"/>
      <c r="AK304" s="2231"/>
      <c r="AL304" s="2231"/>
      <c r="AM304" s="2231"/>
      <c r="AN304" s="2231">
        <v>0.09</v>
      </c>
      <c r="AO304" s="2231">
        <v>0.09</v>
      </c>
      <c r="AP304" s="2168"/>
      <c r="AQ304" s="2168"/>
      <c r="AR304" s="2168"/>
      <c r="AS304" s="2168"/>
      <c r="AT304" s="2168"/>
      <c r="AU304" s="2168"/>
      <c r="AV304" s="2168"/>
    </row>
    <row r="305" spans="1:48" s="2141" customFormat="1" ht="24" hidden="1" outlineLevel="6">
      <c r="A305" s="2150"/>
      <c r="B305" s="2150"/>
      <c r="C305" s="2238" t="s">
        <v>1359</v>
      </c>
      <c r="D305" s="2230">
        <v>0.85</v>
      </c>
      <c r="M305" s="2098"/>
      <c r="N305" s="2098"/>
      <c r="O305" s="2098"/>
      <c r="P305" s="2098"/>
      <c r="R305" s="2198"/>
      <c r="S305" s="2198"/>
      <c r="T305" s="2198"/>
      <c r="U305" s="2198"/>
      <c r="V305" s="2168"/>
      <c r="W305" s="2168"/>
      <c r="X305" s="2168"/>
      <c r="Y305" s="2168"/>
      <c r="Z305" s="2168"/>
      <c r="AA305" s="2168"/>
      <c r="AB305" s="2168"/>
      <c r="AC305" s="2168"/>
      <c r="AD305" s="2168"/>
      <c r="AE305" s="2231">
        <v>0.85</v>
      </c>
      <c r="AF305" s="2231"/>
      <c r="AG305" s="2231"/>
      <c r="AH305" s="3403">
        <v>0.85</v>
      </c>
      <c r="AI305" s="3403"/>
      <c r="AJ305" s="2231"/>
      <c r="AK305" s="2231"/>
      <c r="AL305" s="2231"/>
      <c r="AM305" s="2231"/>
      <c r="AN305" s="2231">
        <v>0.85</v>
      </c>
      <c r="AO305" s="2231">
        <v>0.85</v>
      </c>
      <c r="AP305" s="2168"/>
      <c r="AQ305" s="2168"/>
      <c r="AR305" s="2168"/>
      <c r="AS305" s="2168"/>
      <c r="AT305" s="2168"/>
      <c r="AU305" s="2168"/>
      <c r="AV305" s="2168"/>
    </row>
    <row r="306" spans="1:48" s="2141" customFormat="1" ht="12" hidden="1" outlineLevel="6">
      <c r="A306" s="2150"/>
      <c r="B306" s="2150"/>
      <c r="C306" s="2238" t="s">
        <v>1360</v>
      </c>
      <c r="D306" s="2230">
        <v>5.09</v>
      </c>
      <c r="M306" s="2098"/>
      <c r="N306" s="2098"/>
      <c r="O306" s="2098"/>
      <c r="P306" s="2098"/>
      <c r="R306" s="2198"/>
      <c r="S306" s="2198"/>
      <c r="T306" s="2198"/>
      <c r="U306" s="2198"/>
      <c r="V306" s="2168"/>
      <c r="W306" s="2168"/>
      <c r="X306" s="2168"/>
      <c r="Y306" s="2168"/>
      <c r="Z306" s="2168"/>
      <c r="AA306" s="2168"/>
      <c r="AB306" s="2168"/>
      <c r="AC306" s="2168"/>
      <c r="AD306" s="2168"/>
      <c r="AE306" s="2231">
        <v>5.09</v>
      </c>
      <c r="AF306" s="2231"/>
      <c r="AG306" s="2231"/>
      <c r="AH306" s="3403">
        <v>5.08</v>
      </c>
      <c r="AI306" s="3403"/>
      <c r="AJ306" s="2231">
        <v>0.01</v>
      </c>
      <c r="AK306" s="2231"/>
      <c r="AL306" s="2231"/>
      <c r="AM306" s="2231"/>
      <c r="AN306" s="2231">
        <v>5.09</v>
      </c>
      <c r="AO306" s="2231">
        <v>5.09</v>
      </c>
      <c r="AP306" s="2168"/>
      <c r="AQ306" s="2168"/>
      <c r="AR306" s="2168"/>
      <c r="AS306" s="2168"/>
      <c r="AT306" s="2168"/>
      <c r="AU306" s="2168"/>
      <c r="AV306" s="2168"/>
    </row>
    <row r="307" spans="1:48" s="2141" customFormat="1" ht="12" hidden="1" outlineLevel="5">
      <c r="A307" s="2150"/>
      <c r="B307" s="2150"/>
      <c r="C307" s="2237" t="s">
        <v>1482</v>
      </c>
      <c r="D307" s="2225">
        <v>534</v>
      </c>
      <c r="M307" s="2098"/>
      <c r="N307" s="2098"/>
      <c r="O307" s="2098"/>
      <c r="P307" s="2098"/>
      <c r="R307" s="2198"/>
      <c r="S307" s="2198"/>
      <c r="T307" s="2198"/>
      <c r="U307" s="2198"/>
      <c r="V307" s="2168"/>
      <c r="W307" s="2168"/>
      <c r="X307" s="2168"/>
      <c r="Y307" s="2168"/>
      <c r="Z307" s="2168"/>
      <c r="AA307" s="2168"/>
      <c r="AB307" s="2168"/>
      <c r="AC307" s="2168"/>
      <c r="AD307" s="2168"/>
      <c r="AE307" s="2226">
        <v>534</v>
      </c>
      <c r="AF307" s="2226"/>
      <c r="AG307" s="2226"/>
      <c r="AH307" s="3405">
        <v>480.38</v>
      </c>
      <c r="AI307" s="3405"/>
      <c r="AJ307" s="2226">
        <v>53.62</v>
      </c>
      <c r="AK307" s="2226"/>
      <c r="AL307" s="2226"/>
      <c r="AM307" s="2226"/>
      <c r="AN307" s="2226">
        <v>534</v>
      </c>
      <c r="AO307" s="2226">
        <v>534</v>
      </c>
      <c r="AP307" s="2168"/>
      <c r="AQ307" s="2168"/>
      <c r="AR307" s="2168"/>
      <c r="AS307" s="2168"/>
      <c r="AT307" s="2168"/>
      <c r="AU307" s="2168"/>
      <c r="AV307" s="2168"/>
    </row>
    <row r="308" spans="1:48" s="2141" customFormat="1" ht="12" hidden="1" outlineLevel="6">
      <c r="A308" s="2150"/>
      <c r="B308" s="2150"/>
      <c r="C308" s="2238" t="s">
        <v>1368</v>
      </c>
      <c r="D308" s="2230">
        <v>24.88</v>
      </c>
      <c r="M308" s="2098"/>
      <c r="N308" s="2098"/>
      <c r="O308" s="2098"/>
      <c r="P308" s="2098"/>
      <c r="R308" s="2198"/>
      <c r="S308" s="2198"/>
      <c r="T308" s="2198"/>
      <c r="U308" s="2198"/>
      <c r="V308" s="2168"/>
      <c r="W308" s="2168"/>
      <c r="X308" s="2168"/>
      <c r="Y308" s="2168"/>
      <c r="Z308" s="2168"/>
      <c r="AA308" s="2168"/>
      <c r="AB308" s="2168"/>
      <c r="AC308" s="2168"/>
      <c r="AD308" s="2168"/>
      <c r="AE308" s="2231">
        <v>24.88</v>
      </c>
      <c r="AF308" s="2231"/>
      <c r="AG308" s="2231"/>
      <c r="AH308" s="3403">
        <v>13.57</v>
      </c>
      <c r="AI308" s="3403"/>
      <c r="AJ308" s="2231">
        <v>11.31</v>
      </c>
      <c r="AK308" s="2231"/>
      <c r="AL308" s="2231"/>
      <c r="AM308" s="2231"/>
      <c r="AN308" s="2231">
        <v>24.88</v>
      </c>
      <c r="AO308" s="2231">
        <v>24.88</v>
      </c>
      <c r="AP308" s="2168"/>
      <c r="AQ308" s="2168"/>
      <c r="AR308" s="2168"/>
      <c r="AS308" s="2168"/>
      <c r="AT308" s="2168"/>
      <c r="AU308" s="2168"/>
      <c r="AV308" s="2168"/>
    </row>
    <row r="309" spans="1:48" s="2141" customFormat="1" ht="12" hidden="1" outlineLevel="6">
      <c r="A309" s="2150"/>
      <c r="B309" s="2150"/>
      <c r="C309" s="2238" t="s">
        <v>1369</v>
      </c>
      <c r="D309" s="2230">
        <v>29.6</v>
      </c>
      <c r="M309" s="2098"/>
      <c r="N309" s="2098"/>
      <c r="O309" s="2098"/>
      <c r="P309" s="2098"/>
      <c r="R309" s="2198"/>
      <c r="S309" s="2198"/>
      <c r="T309" s="2198"/>
      <c r="U309" s="2198"/>
      <c r="V309" s="2168"/>
      <c r="W309" s="2168"/>
      <c r="X309" s="2168"/>
      <c r="Y309" s="2168"/>
      <c r="Z309" s="2168"/>
      <c r="AA309" s="2168"/>
      <c r="AB309" s="2168"/>
      <c r="AC309" s="2168"/>
      <c r="AD309" s="2168"/>
      <c r="AE309" s="2231">
        <v>29.6</v>
      </c>
      <c r="AF309" s="2231"/>
      <c r="AG309" s="2231"/>
      <c r="AH309" s="3403">
        <v>21.1</v>
      </c>
      <c r="AI309" s="3403"/>
      <c r="AJ309" s="2231">
        <v>8.5</v>
      </c>
      <c r="AK309" s="2231"/>
      <c r="AL309" s="2231"/>
      <c r="AM309" s="2231"/>
      <c r="AN309" s="2231">
        <v>29.6</v>
      </c>
      <c r="AO309" s="2231">
        <v>29.6</v>
      </c>
      <c r="AP309" s="2168"/>
      <c r="AQ309" s="2168"/>
      <c r="AR309" s="2168"/>
      <c r="AS309" s="2168"/>
      <c r="AT309" s="2168"/>
      <c r="AU309" s="2168"/>
      <c r="AV309" s="2168"/>
    </row>
    <row r="310" spans="1:48" s="2141" customFormat="1" ht="12" hidden="1" outlineLevel="6">
      <c r="A310" s="2150"/>
      <c r="B310" s="2150"/>
      <c r="C310" s="2238" t="s">
        <v>1370</v>
      </c>
      <c r="D310" s="2230">
        <v>46.29</v>
      </c>
      <c r="M310" s="2098"/>
      <c r="N310" s="2098"/>
      <c r="O310" s="2098"/>
      <c r="P310" s="2098"/>
      <c r="R310" s="2198"/>
      <c r="S310" s="2198"/>
      <c r="T310" s="2198"/>
      <c r="U310" s="2198"/>
      <c r="V310" s="2168"/>
      <c r="W310" s="2168"/>
      <c r="X310" s="2168"/>
      <c r="Y310" s="2168"/>
      <c r="Z310" s="2168"/>
      <c r="AA310" s="2168"/>
      <c r="AB310" s="2168"/>
      <c r="AC310" s="2168"/>
      <c r="AD310" s="2168"/>
      <c r="AE310" s="2231">
        <v>46.29</v>
      </c>
      <c r="AF310" s="2231"/>
      <c r="AG310" s="2231"/>
      <c r="AH310" s="3403">
        <v>38.18</v>
      </c>
      <c r="AI310" s="3403"/>
      <c r="AJ310" s="2231">
        <v>8.11</v>
      </c>
      <c r="AK310" s="2231"/>
      <c r="AL310" s="2231"/>
      <c r="AM310" s="2231"/>
      <c r="AN310" s="2231">
        <v>46.29</v>
      </c>
      <c r="AO310" s="2231">
        <v>46.29</v>
      </c>
      <c r="AP310" s="2168"/>
      <c r="AQ310" s="2168"/>
      <c r="AR310" s="2168"/>
      <c r="AS310" s="2168"/>
      <c r="AT310" s="2168"/>
      <c r="AU310" s="2168"/>
      <c r="AV310" s="2168"/>
    </row>
    <row r="311" spans="1:48" s="2141" customFormat="1" ht="12" hidden="1" outlineLevel="6">
      <c r="A311" s="2150"/>
      <c r="B311" s="2150"/>
      <c r="C311" s="2238" t="s">
        <v>1371</v>
      </c>
      <c r="D311" s="2230">
        <v>34.700000000000003</v>
      </c>
      <c r="M311" s="2098"/>
      <c r="N311" s="2098"/>
      <c r="O311" s="2098"/>
      <c r="P311" s="2098"/>
      <c r="R311" s="2198"/>
      <c r="S311" s="2198"/>
      <c r="T311" s="2198"/>
      <c r="U311" s="2198"/>
      <c r="V311" s="2168"/>
      <c r="W311" s="2168"/>
      <c r="X311" s="2168"/>
      <c r="Y311" s="2168"/>
      <c r="Z311" s="2168"/>
      <c r="AA311" s="2168"/>
      <c r="AB311" s="2168"/>
      <c r="AC311" s="2168"/>
      <c r="AD311" s="2168"/>
      <c r="AE311" s="2231">
        <v>34.700000000000003</v>
      </c>
      <c r="AF311" s="2231"/>
      <c r="AG311" s="2231"/>
      <c r="AH311" s="3403">
        <v>29.95</v>
      </c>
      <c r="AI311" s="3403"/>
      <c r="AJ311" s="2231">
        <v>4.75</v>
      </c>
      <c r="AK311" s="2231"/>
      <c r="AL311" s="2231"/>
      <c r="AM311" s="2231"/>
      <c r="AN311" s="2231">
        <v>34.700000000000003</v>
      </c>
      <c r="AO311" s="2231">
        <v>34.700000000000003</v>
      </c>
      <c r="AP311" s="2168"/>
      <c r="AQ311" s="2168"/>
      <c r="AR311" s="2168"/>
      <c r="AS311" s="2168"/>
      <c r="AT311" s="2168"/>
      <c r="AU311" s="2168"/>
      <c r="AV311" s="2168"/>
    </row>
    <row r="312" spans="1:48" s="2141" customFormat="1" ht="12" hidden="1" outlineLevel="6">
      <c r="A312" s="2150"/>
      <c r="B312" s="2150"/>
      <c r="C312" s="2238" t="s">
        <v>1372</v>
      </c>
      <c r="D312" s="2230">
        <v>10.24</v>
      </c>
      <c r="M312" s="2098"/>
      <c r="N312" s="2098"/>
      <c r="O312" s="2098"/>
      <c r="P312" s="2098"/>
      <c r="R312" s="2198"/>
      <c r="S312" s="2198"/>
      <c r="T312" s="2198"/>
      <c r="U312" s="2198"/>
      <c r="V312" s="2168"/>
      <c r="W312" s="2168"/>
      <c r="X312" s="2168"/>
      <c r="Y312" s="2168"/>
      <c r="Z312" s="2168"/>
      <c r="AA312" s="2168"/>
      <c r="AB312" s="2168"/>
      <c r="AC312" s="2168"/>
      <c r="AD312" s="2168"/>
      <c r="AE312" s="2231">
        <v>10.24</v>
      </c>
      <c r="AF312" s="2231"/>
      <c r="AG312" s="2231"/>
      <c r="AH312" s="3403">
        <v>4.58</v>
      </c>
      <c r="AI312" s="3403"/>
      <c r="AJ312" s="2231">
        <v>5.66</v>
      </c>
      <c r="AK312" s="2231"/>
      <c r="AL312" s="2231"/>
      <c r="AM312" s="2231"/>
      <c r="AN312" s="2231">
        <v>10.24</v>
      </c>
      <c r="AO312" s="2231">
        <v>10.24</v>
      </c>
      <c r="AP312" s="2168"/>
      <c r="AQ312" s="2168"/>
      <c r="AR312" s="2168"/>
      <c r="AS312" s="2168"/>
      <c r="AT312" s="2168"/>
      <c r="AU312" s="2168"/>
      <c r="AV312" s="2168"/>
    </row>
    <row r="313" spans="1:48" s="2141" customFormat="1" ht="24" hidden="1" outlineLevel="6">
      <c r="A313" s="2150"/>
      <c r="B313" s="2150"/>
      <c r="C313" s="2238" t="s">
        <v>1373</v>
      </c>
      <c r="D313" s="2230">
        <v>49.73</v>
      </c>
      <c r="M313" s="2098"/>
      <c r="N313" s="2098"/>
      <c r="O313" s="2098"/>
      <c r="P313" s="2098"/>
      <c r="R313" s="2198"/>
      <c r="S313" s="2198"/>
      <c r="T313" s="2198"/>
      <c r="U313" s="2198"/>
      <c r="V313" s="2168"/>
      <c r="W313" s="2168"/>
      <c r="X313" s="2168"/>
      <c r="Y313" s="2168"/>
      <c r="Z313" s="2168"/>
      <c r="AA313" s="2168"/>
      <c r="AB313" s="2168"/>
      <c r="AC313" s="2168"/>
      <c r="AD313" s="2168"/>
      <c r="AE313" s="2231">
        <v>49.73</v>
      </c>
      <c r="AF313" s="2231"/>
      <c r="AG313" s="2231"/>
      <c r="AH313" s="3403">
        <v>49.3</v>
      </c>
      <c r="AI313" s="3403"/>
      <c r="AJ313" s="2231">
        <v>0.43</v>
      </c>
      <c r="AK313" s="2231"/>
      <c r="AL313" s="2231"/>
      <c r="AM313" s="2231"/>
      <c r="AN313" s="2231">
        <v>49.73</v>
      </c>
      <c r="AO313" s="2231">
        <v>49.73</v>
      </c>
      <c r="AP313" s="2168"/>
      <c r="AQ313" s="2168"/>
      <c r="AR313" s="2168"/>
      <c r="AS313" s="2168"/>
      <c r="AT313" s="2168"/>
      <c r="AU313" s="2168"/>
      <c r="AV313" s="2168"/>
    </row>
    <row r="314" spans="1:48" s="2141" customFormat="1" ht="12" hidden="1" outlineLevel="6">
      <c r="A314" s="2150"/>
      <c r="B314" s="2150"/>
      <c r="C314" s="2238" t="s">
        <v>1374</v>
      </c>
      <c r="D314" s="2230">
        <v>40.270000000000003</v>
      </c>
      <c r="M314" s="2098"/>
      <c r="N314" s="2098"/>
      <c r="O314" s="2098"/>
      <c r="P314" s="2098"/>
      <c r="R314" s="2198"/>
      <c r="S314" s="2198"/>
      <c r="T314" s="2198"/>
      <c r="U314" s="2198"/>
      <c r="V314" s="2168"/>
      <c r="W314" s="2168"/>
      <c r="X314" s="2168"/>
      <c r="Y314" s="2168"/>
      <c r="Z314" s="2168"/>
      <c r="AA314" s="2168"/>
      <c r="AB314" s="2168"/>
      <c r="AC314" s="2168"/>
      <c r="AD314" s="2168"/>
      <c r="AE314" s="2231">
        <v>40.270000000000003</v>
      </c>
      <c r="AF314" s="2231"/>
      <c r="AG314" s="2231"/>
      <c r="AH314" s="3403">
        <v>37.78</v>
      </c>
      <c r="AI314" s="3403"/>
      <c r="AJ314" s="2231">
        <v>2.4900000000000002</v>
      </c>
      <c r="AK314" s="2231"/>
      <c r="AL314" s="2231"/>
      <c r="AM314" s="2231"/>
      <c r="AN314" s="2231">
        <v>40.270000000000003</v>
      </c>
      <c r="AO314" s="2231">
        <v>40.270000000000003</v>
      </c>
      <c r="AP314" s="2168"/>
      <c r="AQ314" s="2168"/>
      <c r="AR314" s="2168"/>
      <c r="AS314" s="2168"/>
      <c r="AT314" s="2168"/>
      <c r="AU314" s="2168"/>
      <c r="AV314" s="2168"/>
    </row>
    <row r="315" spans="1:48" s="2141" customFormat="1" ht="24" hidden="1" outlineLevel="6">
      <c r="A315" s="2150"/>
      <c r="B315" s="2150"/>
      <c r="C315" s="2238" t="s">
        <v>1375</v>
      </c>
      <c r="D315" s="2230">
        <v>79.33</v>
      </c>
      <c r="M315" s="2098"/>
      <c r="N315" s="2098"/>
      <c r="O315" s="2098"/>
      <c r="P315" s="2098"/>
      <c r="R315" s="2198"/>
      <c r="S315" s="2198"/>
      <c r="T315" s="2198"/>
      <c r="U315" s="2198"/>
      <c r="V315" s="2168"/>
      <c r="W315" s="2168"/>
      <c r="X315" s="2168"/>
      <c r="Y315" s="2168"/>
      <c r="Z315" s="2168"/>
      <c r="AA315" s="2168"/>
      <c r="AB315" s="2168"/>
      <c r="AC315" s="2168"/>
      <c r="AD315" s="2168"/>
      <c r="AE315" s="2231">
        <v>79.33</v>
      </c>
      <c r="AF315" s="2231"/>
      <c r="AG315" s="2231"/>
      <c r="AH315" s="3403">
        <v>78.510000000000005</v>
      </c>
      <c r="AI315" s="3403"/>
      <c r="AJ315" s="2231">
        <v>0.82</v>
      </c>
      <c r="AK315" s="2231"/>
      <c r="AL315" s="2231"/>
      <c r="AM315" s="2231"/>
      <c r="AN315" s="2231">
        <v>79.33</v>
      </c>
      <c r="AO315" s="2231">
        <v>79.33</v>
      </c>
      <c r="AP315" s="2168"/>
      <c r="AQ315" s="2168"/>
      <c r="AR315" s="2168"/>
      <c r="AS315" s="2168"/>
      <c r="AT315" s="2168"/>
      <c r="AU315" s="2168"/>
      <c r="AV315" s="2168"/>
    </row>
    <row r="316" spans="1:48" s="2141" customFormat="1" ht="12" hidden="1" outlineLevel="6">
      <c r="A316" s="2150"/>
      <c r="B316" s="2150"/>
      <c r="C316" s="2238" t="s">
        <v>1376</v>
      </c>
      <c r="D316" s="2230">
        <v>215.77</v>
      </c>
      <c r="M316" s="2098"/>
      <c r="N316" s="2098"/>
      <c r="O316" s="2098"/>
      <c r="P316" s="2098"/>
      <c r="R316" s="2198"/>
      <c r="S316" s="2198"/>
      <c r="T316" s="2198"/>
      <c r="U316" s="2198"/>
      <c r="V316" s="2168"/>
      <c r="W316" s="2168"/>
      <c r="X316" s="2168"/>
      <c r="Y316" s="2168"/>
      <c r="Z316" s="2168"/>
      <c r="AA316" s="2168"/>
      <c r="AB316" s="2168"/>
      <c r="AC316" s="2168"/>
      <c r="AD316" s="2168"/>
      <c r="AE316" s="2231">
        <v>215.77</v>
      </c>
      <c r="AF316" s="2231"/>
      <c r="AG316" s="2231"/>
      <c r="AH316" s="3403">
        <v>204.48</v>
      </c>
      <c r="AI316" s="3403"/>
      <c r="AJ316" s="2231">
        <v>11.29</v>
      </c>
      <c r="AK316" s="2231"/>
      <c r="AL316" s="2231"/>
      <c r="AM316" s="2231"/>
      <c r="AN316" s="2231">
        <v>215.77</v>
      </c>
      <c r="AO316" s="2231">
        <v>215.77</v>
      </c>
      <c r="AP316" s="2168"/>
      <c r="AQ316" s="2168"/>
      <c r="AR316" s="2168"/>
      <c r="AS316" s="2168"/>
      <c r="AT316" s="2168"/>
      <c r="AU316" s="2168"/>
      <c r="AV316" s="2168"/>
    </row>
    <row r="317" spans="1:48" s="2141" customFormat="1" ht="12" hidden="1" outlineLevel="6">
      <c r="A317" s="2150"/>
      <c r="B317" s="2150"/>
      <c r="C317" s="2238" t="s">
        <v>1377</v>
      </c>
      <c r="D317" s="2230">
        <v>3.19</v>
      </c>
      <c r="M317" s="2098"/>
      <c r="N317" s="2098"/>
      <c r="O317" s="2098"/>
      <c r="P317" s="2098"/>
      <c r="R317" s="2198"/>
      <c r="S317" s="2198"/>
      <c r="T317" s="2198"/>
      <c r="U317" s="2198"/>
      <c r="V317" s="2168"/>
      <c r="W317" s="2168"/>
      <c r="X317" s="2168"/>
      <c r="Y317" s="2168"/>
      <c r="Z317" s="2168"/>
      <c r="AA317" s="2168"/>
      <c r="AB317" s="2168"/>
      <c r="AC317" s="2168"/>
      <c r="AD317" s="2168"/>
      <c r="AE317" s="2231">
        <v>3.19</v>
      </c>
      <c r="AF317" s="2231"/>
      <c r="AG317" s="2231"/>
      <c r="AH317" s="3403">
        <v>2.93</v>
      </c>
      <c r="AI317" s="3403"/>
      <c r="AJ317" s="2231">
        <v>0.26</v>
      </c>
      <c r="AK317" s="2231"/>
      <c r="AL317" s="2231"/>
      <c r="AM317" s="2231"/>
      <c r="AN317" s="2231">
        <v>3.19</v>
      </c>
      <c r="AO317" s="2231">
        <v>3.19</v>
      </c>
      <c r="AP317" s="2168"/>
      <c r="AQ317" s="2168"/>
      <c r="AR317" s="2168"/>
      <c r="AS317" s="2168"/>
      <c r="AT317" s="2168"/>
      <c r="AU317" s="2168"/>
      <c r="AV317" s="2168"/>
    </row>
    <row r="318" spans="1:48" s="2141" customFormat="1" ht="12" hidden="1" outlineLevel="3">
      <c r="A318" s="2150"/>
      <c r="B318" s="2150"/>
      <c r="C318" s="2224" t="s">
        <v>1483</v>
      </c>
      <c r="D318" s="2225">
        <v>72483.100000000006</v>
      </c>
      <c r="M318" s="2098"/>
      <c r="N318" s="2098"/>
      <c r="O318" s="2098"/>
      <c r="P318" s="2098"/>
      <c r="R318" s="2198"/>
      <c r="S318" s="2198"/>
      <c r="T318" s="2198"/>
      <c r="U318" s="2198"/>
      <c r="V318" s="2168"/>
      <c r="W318" s="2168"/>
      <c r="X318" s="2168"/>
      <c r="Y318" s="2168"/>
      <c r="Z318" s="2168"/>
      <c r="AA318" s="2168"/>
      <c r="AB318" s="2168"/>
      <c r="AC318" s="2168"/>
      <c r="AD318" s="2168"/>
      <c r="AE318" s="2226">
        <v>72483.100000000006</v>
      </c>
      <c r="AF318" s="2226"/>
      <c r="AG318" s="2226"/>
      <c r="AH318" s="3405">
        <v>11006.57</v>
      </c>
      <c r="AI318" s="3405"/>
      <c r="AJ318" s="2226">
        <v>1533.53</v>
      </c>
      <c r="AK318" s="2226"/>
      <c r="AL318" s="2226"/>
      <c r="AM318" s="2226">
        <v>59943</v>
      </c>
      <c r="AN318" s="2226">
        <v>72483.100000000006</v>
      </c>
      <c r="AO318" s="2226">
        <v>72483.100000000006</v>
      </c>
      <c r="AP318" s="2168"/>
      <c r="AQ318" s="2168"/>
      <c r="AR318" s="2168"/>
      <c r="AS318" s="2168"/>
      <c r="AT318" s="2168"/>
      <c r="AU318" s="2168"/>
      <c r="AV318" s="2168"/>
    </row>
    <row r="319" spans="1:48" s="2141" customFormat="1" ht="12" hidden="1" outlineLevel="4" collapsed="1">
      <c r="A319" s="2150"/>
      <c r="B319" s="2150"/>
      <c r="C319" s="2235" t="s">
        <v>1484</v>
      </c>
      <c r="D319" s="2225">
        <v>25.1</v>
      </c>
      <c r="M319" s="2098"/>
      <c r="N319" s="2098"/>
      <c r="O319" s="2098"/>
      <c r="P319" s="2098"/>
      <c r="R319" s="2198"/>
      <c r="S319" s="2198"/>
      <c r="T319" s="2198"/>
      <c r="U319" s="2198"/>
      <c r="V319" s="2168"/>
      <c r="W319" s="2168"/>
      <c r="X319" s="2168"/>
      <c r="Y319" s="2168"/>
      <c r="Z319" s="2168"/>
      <c r="AA319" s="2168"/>
      <c r="AB319" s="2168"/>
      <c r="AC319" s="2168"/>
      <c r="AD319" s="2168"/>
      <c r="AE319" s="2226">
        <v>25.1</v>
      </c>
      <c r="AF319" s="2226"/>
      <c r="AG319" s="2226"/>
      <c r="AH319" s="3405">
        <v>25.1</v>
      </c>
      <c r="AI319" s="3405"/>
      <c r="AJ319" s="2226"/>
      <c r="AK319" s="2226"/>
      <c r="AL319" s="2226"/>
      <c r="AM319" s="2226"/>
      <c r="AN319" s="2226">
        <v>25.1</v>
      </c>
      <c r="AO319" s="2226">
        <v>25.1</v>
      </c>
      <c r="AP319" s="2168"/>
      <c r="AQ319" s="2168"/>
      <c r="AR319" s="2168"/>
      <c r="AS319" s="2168"/>
      <c r="AT319" s="2168"/>
      <c r="AU319" s="2168"/>
      <c r="AV319" s="2168"/>
    </row>
    <row r="320" spans="1:48" s="2141" customFormat="1" ht="24" hidden="1" outlineLevel="5">
      <c r="A320" s="2150"/>
      <c r="B320" s="2150"/>
      <c r="C320" s="2236" t="s">
        <v>1321</v>
      </c>
      <c r="D320" s="2230">
        <v>10.130000000000001</v>
      </c>
      <c r="M320" s="2098"/>
      <c r="N320" s="2098"/>
      <c r="O320" s="2098"/>
      <c r="P320" s="2098"/>
      <c r="R320" s="2198"/>
      <c r="S320" s="2198"/>
      <c r="T320" s="2198"/>
      <c r="U320" s="2198"/>
      <c r="V320" s="2168"/>
      <c r="W320" s="2168"/>
      <c r="X320" s="2168"/>
      <c r="Y320" s="2168"/>
      <c r="Z320" s="2168"/>
      <c r="AA320" s="2168"/>
      <c r="AB320" s="2168"/>
      <c r="AC320" s="2168"/>
      <c r="AD320" s="2168"/>
      <c r="AE320" s="2231">
        <v>10.130000000000001</v>
      </c>
      <c r="AF320" s="2231"/>
      <c r="AG320" s="2231"/>
      <c r="AH320" s="3403">
        <v>10.130000000000001</v>
      </c>
      <c r="AI320" s="3403"/>
      <c r="AJ320" s="2231"/>
      <c r="AK320" s="2231"/>
      <c r="AL320" s="2231"/>
      <c r="AM320" s="2231"/>
      <c r="AN320" s="2231">
        <v>10.130000000000001</v>
      </c>
      <c r="AO320" s="2231">
        <v>10.130000000000001</v>
      </c>
      <c r="AP320" s="2168"/>
      <c r="AQ320" s="2168"/>
      <c r="AR320" s="2168"/>
      <c r="AS320" s="2168"/>
      <c r="AT320" s="2168"/>
      <c r="AU320" s="2168"/>
      <c r="AV320" s="2168"/>
    </row>
    <row r="321" spans="1:48" s="2141" customFormat="1" ht="24" hidden="1" outlineLevel="5">
      <c r="A321" s="2150"/>
      <c r="B321" s="2150"/>
      <c r="C321" s="2236" t="s">
        <v>1322</v>
      </c>
      <c r="D321" s="2230">
        <v>14.97</v>
      </c>
      <c r="M321" s="2098"/>
      <c r="N321" s="2098"/>
      <c r="O321" s="2098"/>
      <c r="P321" s="2098"/>
      <c r="R321" s="2198"/>
      <c r="S321" s="2198"/>
      <c r="T321" s="2198"/>
      <c r="U321" s="2198"/>
      <c r="V321" s="2168"/>
      <c r="W321" s="2168"/>
      <c r="X321" s="2168"/>
      <c r="Y321" s="2168"/>
      <c r="Z321" s="2168"/>
      <c r="AA321" s="2168"/>
      <c r="AB321" s="2168"/>
      <c r="AC321" s="2168"/>
      <c r="AD321" s="2168"/>
      <c r="AE321" s="2231">
        <v>14.97</v>
      </c>
      <c r="AF321" s="2231"/>
      <c r="AG321" s="2231"/>
      <c r="AH321" s="3403">
        <v>14.97</v>
      </c>
      <c r="AI321" s="3403"/>
      <c r="AJ321" s="2231"/>
      <c r="AK321" s="2231"/>
      <c r="AL321" s="2231"/>
      <c r="AM321" s="2231"/>
      <c r="AN321" s="2231">
        <v>14.97</v>
      </c>
      <c r="AO321" s="2231">
        <v>14.97</v>
      </c>
      <c r="AP321" s="2168"/>
      <c r="AQ321" s="2168"/>
      <c r="AR321" s="2168"/>
      <c r="AS321" s="2168"/>
      <c r="AT321" s="2168"/>
      <c r="AU321" s="2168"/>
      <c r="AV321" s="2168"/>
    </row>
    <row r="322" spans="1:48" s="2141" customFormat="1" ht="12" hidden="1" outlineLevel="4" collapsed="1">
      <c r="A322" s="2150"/>
      <c r="B322" s="2150"/>
      <c r="C322" s="2235" t="s">
        <v>1485</v>
      </c>
      <c r="D322" s="2225">
        <v>2362.6799999999998</v>
      </c>
      <c r="M322" s="2098"/>
      <c r="N322" s="2098"/>
      <c r="O322" s="2098"/>
      <c r="P322" s="2098"/>
      <c r="R322" s="2198"/>
      <c r="S322" s="2198"/>
      <c r="T322" s="2198"/>
      <c r="U322" s="2198"/>
      <c r="V322" s="2168"/>
      <c r="W322" s="2168"/>
      <c r="X322" s="2168"/>
      <c r="Y322" s="2168"/>
      <c r="Z322" s="2168"/>
      <c r="AA322" s="2168"/>
      <c r="AB322" s="2168"/>
      <c r="AC322" s="2168"/>
      <c r="AD322" s="2168"/>
      <c r="AE322" s="2226">
        <v>2362.6799999999998</v>
      </c>
      <c r="AF322" s="2226"/>
      <c r="AG322" s="2226"/>
      <c r="AH322" s="3405">
        <v>1890.81</v>
      </c>
      <c r="AI322" s="3405"/>
      <c r="AJ322" s="2226">
        <v>471.87</v>
      </c>
      <c r="AK322" s="2226"/>
      <c r="AL322" s="2226"/>
      <c r="AM322" s="2226"/>
      <c r="AN322" s="2226">
        <v>2362.6799999999998</v>
      </c>
      <c r="AO322" s="2226">
        <v>2362.6799999999998</v>
      </c>
      <c r="AP322" s="2168"/>
      <c r="AQ322" s="2168"/>
      <c r="AR322" s="2168"/>
      <c r="AS322" s="2168"/>
      <c r="AT322" s="2168"/>
      <c r="AU322" s="2168"/>
      <c r="AV322" s="2168"/>
    </row>
    <row r="323" spans="1:48" s="2141" customFormat="1" ht="12" hidden="1" outlineLevel="5">
      <c r="A323" s="2150"/>
      <c r="B323" s="2150"/>
      <c r="C323" s="2237" t="s">
        <v>1486</v>
      </c>
      <c r="D323" s="2225">
        <v>51.47</v>
      </c>
      <c r="M323" s="2098"/>
      <c r="N323" s="2098"/>
      <c r="O323" s="2098"/>
      <c r="P323" s="2098"/>
      <c r="R323" s="2198"/>
      <c r="S323" s="2198"/>
      <c r="T323" s="2198"/>
      <c r="U323" s="2198"/>
      <c r="V323" s="2168"/>
      <c r="W323" s="2168"/>
      <c r="X323" s="2168"/>
      <c r="Y323" s="2168"/>
      <c r="Z323" s="2168"/>
      <c r="AA323" s="2168"/>
      <c r="AB323" s="2168"/>
      <c r="AC323" s="2168"/>
      <c r="AD323" s="2168"/>
      <c r="AE323" s="2226">
        <v>51.47</v>
      </c>
      <c r="AF323" s="2226"/>
      <c r="AG323" s="2226"/>
      <c r="AH323" s="3405">
        <v>51.03</v>
      </c>
      <c r="AI323" s="3405"/>
      <c r="AJ323" s="2226">
        <v>0.44</v>
      </c>
      <c r="AK323" s="2226"/>
      <c r="AL323" s="2226"/>
      <c r="AM323" s="2226"/>
      <c r="AN323" s="2226">
        <v>51.47</v>
      </c>
      <c r="AO323" s="2226">
        <v>51.47</v>
      </c>
      <c r="AP323" s="2168"/>
      <c r="AQ323" s="2168"/>
      <c r="AR323" s="2168"/>
      <c r="AS323" s="2168"/>
      <c r="AT323" s="2168"/>
      <c r="AU323" s="2168"/>
      <c r="AV323" s="2168"/>
    </row>
    <row r="324" spans="1:48" s="2141" customFormat="1" ht="24" hidden="1" outlineLevel="6">
      <c r="A324" s="2150"/>
      <c r="B324" s="2150"/>
      <c r="C324" s="2238" t="s">
        <v>1333</v>
      </c>
      <c r="D324" s="2230">
        <v>51.47</v>
      </c>
      <c r="M324" s="2098"/>
      <c r="N324" s="2098"/>
      <c r="O324" s="2098"/>
      <c r="P324" s="2098"/>
      <c r="R324" s="2198"/>
      <c r="S324" s="2198"/>
      <c r="T324" s="2198"/>
      <c r="U324" s="2198"/>
      <c r="V324" s="2168"/>
      <c r="W324" s="2168"/>
      <c r="X324" s="2168"/>
      <c r="Y324" s="2168"/>
      <c r="Z324" s="2168"/>
      <c r="AA324" s="2168"/>
      <c r="AB324" s="2168"/>
      <c r="AC324" s="2168"/>
      <c r="AD324" s="2168"/>
      <c r="AE324" s="2231">
        <v>51.47</v>
      </c>
      <c r="AF324" s="2231"/>
      <c r="AG324" s="2231"/>
      <c r="AH324" s="3403">
        <v>51.03</v>
      </c>
      <c r="AI324" s="3403"/>
      <c r="AJ324" s="2231">
        <v>0.44</v>
      </c>
      <c r="AK324" s="2231"/>
      <c r="AL324" s="2231"/>
      <c r="AM324" s="2231"/>
      <c r="AN324" s="2231">
        <v>51.47</v>
      </c>
      <c r="AO324" s="2231">
        <v>51.47</v>
      </c>
      <c r="AP324" s="2168"/>
      <c r="AQ324" s="2168"/>
      <c r="AR324" s="2168"/>
      <c r="AS324" s="2168"/>
      <c r="AT324" s="2168"/>
      <c r="AU324" s="2168"/>
      <c r="AV324" s="2168"/>
    </row>
    <row r="325" spans="1:48" s="2141" customFormat="1" ht="12" hidden="1" outlineLevel="5">
      <c r="A325" s="2150"/>
      <c r="B325" s="2150"/>
      <c r="C325" s="2236" t="s">
        <v>3829</v>
      </c>
      <c r="D325" s="2230">
        <v>1.47</v>
      </c>
      <c r="M325" s="2098"/>
      <c r="N325" s="2098"/>
      <c r="O325" s="2098"/>
      <c r="P325" s="2098"/>
      <c r="R325" s="2198"/>
      <c r="S325" s="2198"/>
      <c r="T325" s="2198"/>
      <c r="U325" s="2198"/>
      <c r="V325" s="2168"/>
      <c r="W325" s="2168"/>
      <c r="X325" s="2168"/>
      <c r="Y325" s="2168"/>
      <c r="Z325" s="2168"/>
      <c r="AA325" s="2168"/>
      <c r="AB325" s="2168"/>
      <c r="AC325" s="2168"/>
      <c r="AD325" s="2168"/>
      <c r="AE325" s="2231">
        <v>1.47</v>
      </c>
      <c r="AF325" s="2231"/>
      <c r="AG325" s="2231"/>
      <c r="AH325" s="2232"/>
      <c r="AI325" s="2233"/>
      <c r="AJ325" s="2231">
        <v>1.47</v>
      </c>
      <c r="AK325" s="2231"/>
      <c r="AL325" s="2231"/>
      <c r="AM325" s="2231"/>
      <c r="AN325" s="2231">
        <v>1.47</v>
      </c>
      <c r="AO325" s="2231">
        <v>1.47</v>
      </c>
      <c r="AP325" s="2168"/>
      <c r="AQ325" s="2168"/>
      <c r="AR325" s="2168"/>
      <c r="AS325" s="2168"/>
      <c r="AT325" s="2168"/>
      <c r="AU325" s="2168"/>
      <c r="AV325" s="2168"/>
    </row>
    <row r="326" spans="1:48" s="2141" customFormat="1" ht="12" hidden="1" outlineLevel="5">
      <c r="A326" s="2150"/>
      <c r="B326" s="2150"/>
      <c r="C326" s="2237" t="s">
        <v>1487</v>
      </c>
      <c r="D326" s="2225">
        <v>453.21</v>
      </c>
      <c r="M326" s="2098"/>
      <c r="N326" s="2098"/>
      <c r="O326" s="2098"/>
      <c r="P326" s="2098"/>
      <c r="R326" s="2198"/>
      <c r="S326" s="2198"/>
      <c r="T326" s="2198"/>
      <c r="U326" s="2198"/>
      <c r="V326" s="2168"/>
      <c r="W326" s="2168"/>
      <c r="X326" s="2168"/>
      <c r="Y326" s="2168"/>
      <c r="Z326" s="2168"/>
      <c r="AA326" s="2168"/>
      <c r="AB326" s="2168"/>
      <c r="AC326" s="2168"/>
      <c r="AD326" s="2168"/>
      <c r="AE326" s="2226">
        <v>453.21</v>
      </c>
      <c r="AF326" s="2226"/>
      <c r="AG326" s="2226"/>
      <c r="AH326" s="3405">
        <v>452.9</v>
      </c>
      <c r="AI326" s="3405"/>
      <c r="AJ326" s="2226">
        <v>0.31</v>
      </c>
      <c r="AK326" s="2226"/>
      <c r="AL326" s="2226"/>
      <c r="AM326" s="2226"/>
      <c r="AN326" s="2226">
        <v>453.21</v>
      </c>
      <c r="AO326" s="2226">
        <v>453.21</v>
      </c>
      <c r="AP326" s="2168"/>
      <c r="AQ326" s="2168"/>
      <c r="AR326" s="2168"/>
      <c r="AS326" s="2168"/>
      <c r="AT326" s="2168"/>
      <c r="AU326" s="2168"/>
      <c r="AV326" s="2168"/>
    </row>
    <row r="327" spans="1:48" s="2141" customFormat="1" ht="24" hidden="1" outlineLevel="6">
      <c r="A327" s="2150"/>
      <c r="B327" s="2150"/>
      <c r="C327" s="2238" t="s">
        <v>1378</v>
      </c>
      <c r="D327" s="2230">
        <v>16.73</v>
      </c>
      <c r="M327" s="2098"/>
      <c r="N327" s="2098"/>
      <c r="O327" s="2098"/>
      <c r="P327" s="2098"/>
      <c r="R327" s="2198"/>
      <c r="S327" s="2198"/>
      <c r="T327" s="2198"/>
      <c r="U327" s="2198"/>
      <c r="V327" s="2168"/>
      <c r="W327" s="2168"/>
      <c r="X327" s="2168"/>
      <c r="Y327" s="2168"/>
      <c r="Z327" s="2168"/>
      <c r="AA327" s="2168"/>
      <c r="AB327" s="2168"/>
      <c r="AC327" s="2168"/>
      <c r="AD327" s="2168"/>
      <c r="AE327" s="2231">
        <v>16.73</v>
      </c>
      <c r="AF327" s="2231"/>
      <c r="AG327" s="2231"/>
      <c r="AH327" s="3403">
        <v>16.73</v>
      </c>
      <c r="AI327" s="3403"/>
      <c r="AJ327" s="2231"/>
      <c r="AK327" s="2231"/>
      <c r="AL327" s="2231"/>
      <c r="AM327" s="2231"/>
      <c r="AN327" s="2231">
        <v>16.73</v>
      </c>
      <c r="AO327" s="2231">
        <v>16.73</v>
      </c>
      <c r="AP327" s="2168"/>
      <c r="AQ327" s="2168"/>
      <c r="AR327" s="2168"/>
      <c r="AS327" s="2168"/>
      <c r="AT327" s="2168"/>
      <c r="AU327" s="2168"/>
      <c r="AV327" s="2168"/>
    </row>
    <row r="328" spans="1:48" s="2141" customFormat="1" ht="36" hidden="1" outlineLevel="6">
      <c r="A328" s="2150"/>
      <c r="B328" s="2150"/>
      <c r="C328" s="2238" t="s">
        <v>1379</v>
      </c>
      <c r="D328" s="2230">
        <v>4.3899999999999997</v>
      </c>
      <c r="M328" s="2098"/>
      <c r="N328" s="2098"/>
      <c r="O328" s="2098"/>
      <c r="P328" s="2098"/>
      <c r="R328" s="2198"/>
      <c r="S328" s="2198"/>
      <c r="T328" s="2198"/>
      <c r="U328" s="2198"/>
      <c r="V328" s="2168"/>
      <c r="W328" s="2168"/>
      <c r="X328" s="2168"/>
      <c r="Y328" s="2168"/>
      <c r="Z328" s="2168"/>
      <c r="AA328" s="2168"/>
      <c r="AB328" s="2168"/>
      <c r="AC328" s="2168"/>
      <c r="AD328" s="2168"/>
      <c r="AE328" s="2231">
        <v>4.3899999999999997</v>
      </c>
      <c r="AF328" s="2231"/>
      <c r="AG328" s="2231"/>
      <c r="AH328" s="3403">
        <v>4.08</v>
      </c>
      <c r="AI328" s="3403"/>
      <c r="AJ328" s="2231">
        <v>0.31</v>
      </c>
      <c r="AK328" s="2231"/>
      <c r="AL328" s="2231"/>
      <c r="AM328" s="2231"/>
      <c r="AN328" s="2231">
        <v>4.3899999999999997</v>
      </c>
      <c r="AO328" s="2231">
        <v>4.3899999999999997</v>
      </c>
      <c r="AP328" s="2168"/>
      <c r="AQ328" s="2168"/>
      <c r="AR328" s="2168"/>
      <c r="AS328" s="2168"/>
      <c r="AT328" s="2168"/>
      <c r="AU328" s="2168"/>
      <c r="AV328" s="2168"/>
    </row>
    <row r="329" spans="1:48" s="2141" customFormat="1" ht="36" hidden="1" outlineLevel="6">
      <c r="A329" s="2150"/>
      <c r="B329" s="2150"/>
      <c r="C329" s="2238" t="s">
        <v>1380</v>
      </c>
      <c r="D329" s="2230">
        <v>432.09</v>
      </c>
      <c r="M329" s="2098"/>
      <c r="N329" s="2098"/>
      <c r="O329" s="2098"/>
      <c r="P329" s="2098"/>
      <c r="R329" s="2198"/>
      <c r="S329" s="2198"/>
      <c r="T329" s="2198"/>
      <c r="U329" s="2198"/>
      <c r="V329" s="2168"/>
      <c r="W329" s="2168"/>
      <c r="X329" s="2168"/>
      <c r="Y329" s="2168"/>
      <c r="Z329" s="2168"/>
      <c r="AA329" s="2168"/>
      <c r="AB329" s="2168"/>
      <c r="AC329" s="2168"/>
      <c r="AD329" s="2168"/>
      <c r="AE329" s="2231">
        <v>432.09</v>
      </c>
      <c r="AF329" s="2231"/>
      <c r="AG329" s="2231"/>
      <c r="AH329" s="3403">
        <v>432.09</v>
      </c>
      <c r="AI329" s="3403"/>
      <c r="AJ329" s="2231"/>
      <c r="AK329" s="2231"/>
      <c r="AL329" s="2231"/>
      <c r="AM329" s="2231"/>
      <c r="AN329" s="2231">
        <v>432.09</v>
      </c>
      <c r="AO329" s="2231">
        <v>432.09</v>
      </c>
      <c r="AP329" s="2168"/>
      <c r="AQ329" s="2168"/>
      <c r="AR329" s="2168"/>
      <c r="AS329" s="2168"/>
      <c r="AT329" s="2168"/>
      <c r="AU329" s="2168"/>
      <c r="AV329" s="2168"/>
    </row>
    <row r="330" spans="1:48" s="2141" customFormat="1" ht="12" hidden="1" outlineLevel="5">
      <c r="A330" s="2150"/>
      <c r="B330" s="2150"/>
      <c r="C330" s="2236" t="s">
        <v>1339</v>
      </c>
      <c r="D330" s="2230">
        <v>1848.22</v>
      </c>
      <c r="M330" s="2098"/>
      <c r="N330" s="2098"/>
      <c r="O330" s="2098"/>
      <c r="P330" s="2098"/>
      <c r="R330" s="2198"/>
      <c r="S330" s="2198"/>
      <c r="T330" s="2198"/>
      <c r="U330" s="2198"/>
      <c r="V330" s="2168"/>
      <c r="W330" s="2168"/>
      <c r="X330" s="2168"/>
      <c r="Y330" s="2168"/>
      <c r="Z330" s="2168"/>
      <c r="AA330" s="2168"/>
      <c r="AB330" s="2168"/>
      <c r="AC330" s="2168"/>
      <c r="AD330" s="2168"/>
      <c r="AE330" s="2231">
        <v>1848.22</v>
      </c>
      <c r="AF330" s="2231"/>
      <c r="AG330" s="2231"/>
      <c r="AH330" s="3403">
        <v>1384.39</v>
      </c>
      <c r="AI330" s="3403"/>
      <c r="AJ330" s="2231">
        <v>463.83</v>
      </c>
      <c r="AK330" s="2231"/>
      <c r="AL330" s="2231"/>
      <c r="AM330" s="2231"/>
      <c r="AN330" s="2231">
        <v>1848.22</v>
      </c>
      <c r="AO330" s="2231">
        <v>1848.22</v>
      </c>
      <c r="AP330" s="2168"/>
      <c r="AQ330" s="2168"/>
      <c r="AR330" s="2168"/>
      <c r="AS330" s="2168"/>
      <c r="AT330" s="2168"/>
      <c r="AU330" s="2168"/>
      <c r="AV330" s="2168"/>
    </row>
    <row r="331" spans="1:48" s="2141" customFormat="1" ht="24" hidden="1" outlineLevel="5">
      <c r="A331" s="2150"/>
      <c r="B331" s="2150"/>
      <c r="C331" s="2236" t="s">
        <v>1425</v>
      </c>
      <c r="D331" s="2230">
        <v>2.4900000000000002</v>
      </c>
      <c r="M331" s="2098"/>
      <c r="N331" s="2098"/>
      <c r="O331" s="2098"/>
      <c r="P331" s="2098"/>
      <c r="R331" s="2198"/>
      <c r="S331" s="2198"/>
      <c r="T331" s="2198"/>
      <c r="U331" s="2198"/>
      <c r="V331" s="2168"/>
      <c r="W331" s="2168"/>
      <c r="X331" s="2168"/>
      <c r="Y331" s="2168"/>
      <c r="Z331" s="2168"/>
      <c r="AA331" s="2168"/>
      <c r="AB331" s="2168"/>
      <c r="AC331" s="2168"/>
      <c r="AD331" s="2168"/>
      <c r="AE331" s="2231">
        <v>2.4900000000000002</v>
      </c>
      <c r="AF331" s="2231"/>
      <c r="AG331" s="2231"/>
      <c r="AH331" s="3403">
        <v>2.4900000000000002</v>
      </c>
      <c r="AI331" s="3403"/>
      <c r="AJ331" s="2231"/>
      <c r="AK331" s="2231"/>
      <c r="AL331" s="2231"/>
      <c r="AM331" s="2231"/>
      <c r="AN331" s="2231">
        <v>2.4900000000000002</v>
      </c>
      <c r="AO331" s="2231">
        <v>2.4900000000000002</v>
      </c>
      <c r="AP331" s="2168"/>
      <c r="AQ331" s="2168"/>
      <c r="AR331" s="2168"/>
      <c r="AS331" s="2168"/>
      <c r="AT331" s="2168"/>
      <c r="AU331" s="2168"/>
      <c r="AV331" s="2168"/>
    </row>
    <row r="332" spans="1:48" s="2141" customFormat="1" ht="12" hidden="1" outlineLevel="5">
      <c r="A332" s="2150"/>
      <c r="B332" s="2150"/>
      <c r="C332" s="2236" t="s">
        <v>1446</v>
      </c>
      <c r="D332" s="2230">
        <v>5.82</v>
      </c>
      <c r="M332" s="2098"/>
      <c r="N332" s="2098"/>
      <c r="O332" s="2098"/>
      <c r="P332" s="2098"/>
      <c r="R332" s="2198"/>
      <c r="S332" s="2198"/>
      <c r="T332" s="2198"/>
      <c r="U332" s="2198"/>
      <c r="V332" s="2168"/>
      <c r="W332" s="2168"/>
      <c r="X332" s="2168"/>
      <c r="Y332" s="2168"/>
      <c r="Z332" s="2168"/>
      <c r="AA332" s="2168"/>
      <c r="AB332" s="2168"/>
      <c r="AC332" s="2168"/>
      <c r="AD332" s="2168"/>
      <c r="AE332" s="2231">
        <v>5.82</v>
      </c>
      <c r="AF332" s="2231"/>
      <c r="AG332" s="2231"/>
      <c r="AH332" s="2232"/>
      <c r="AI332" s="2233"/>
      <c r="AJ332" s="2231">
        <v>5.82</v>
      </c>
      <c r="AK332" s="2231"/>
      <c r="AL332" s="2231"/>
      <c r="AM332" s="2231"/>
      <c r="AN332" s="2231">
        <v>5.82</v>
      </c>
      <c r="AO332" s="2231">
        <v>5.82</v>
      </c>
      <c r="AP332" s="2168"/>
      <c r="AQ332" s="2168"/>
      <c r="AR332" s="2168"/>
      <c r="AS332" s="2168"/>
      <c r="AT332" s="2168"/>
      <c r="AU332" s="2168"/>
      <c r="AV332" s="2168"/>
    </row>
    <row r="333" spans="1:48" s="2141" customFormat="1" ht="12" hidden="1" outlineLevel="4" collapsed="1">
      <c r="A333" s="2150"/>
      <c r="B333" s="2150"/>
      <c r="C333" s="2235" t="s">
        <v>1488</v>
      </c>
      <c r="D333" s="2225">
        <v>597.67999999999995</v>
      </c>
      <c r="M333" s="2098"/>
      <c r="N333" s="2098"/>
      <c r="O333" s="2098"/>
      <c r="P333" s="2098"/>
      <c r="R333" s="2198"/>
      <c r="S333" s="2198"/>
      <c r="T333" s="2198"/>
      <c r="U333" s="2198"/>
      <c r="V333" s="2168"/>
      <c r="W333" s="2168"/>
      <c r="X333" s="2168"/>
      <c r="Y333" s="2168"/>
      <c r="Z333" s="2168"/>
      <c r="AA333" s="2168"/>
      <c r="AB333" s="2168"/>
      <c r="AC333" s="2168"/>
      <c r="AD333" s="2168"/>
      <c r="AE333" s="2226">
        <v>597.67999999999995</v>
      </c>
      <c r="AF333" s="2226"/>
      <c r="AG333" s="2226"/>
      <c r="AH333" s="3405">
        <v>357.44</v>
      </c>
      <c r="AI333" s="3405"/>
      <c r="AJ333" s="2226">
        <v>240.24</v>
      </c>
      <c r="AK333" s="2226"/>
      <c r="AL333" s="2226"/>
      <c r="AM333" s="2226"/>
      <c r="AN333" s="2226">
        <v>597.67999999999995</v>
      </c>
      <c r="AO333" s="2226">
        <v>597.67999999999995</v>
      </c>
      <c r="AP333" s="2168"/>
      <c r="AQ333" s="2168"/>
      <c r="AR333" s="2168"/>
      <c r="AS333" s="2168"/>
      <c r="AT333" s="2168"/>
      <c r="AU333" s="2168"/>
      <c r="AV333" s="2168"/>
    </row>
    <row r="334" spans="1:48" s="2141" customFormat="1" ht="24" hidden="1" outlineLevel="5">
      <c r="A334" s="2150"/>
      <c r="B334" s="2150"/>
      <c r="C334" s="2236" t="s">
        <v>1329</v>
      </c>
      <c r="D334" s="2230">
        <v>223.72</v>
      </c>
      <c r="M334" s="2098"/>
      <c r="N334" s="2098"/>
      <c r="O334" s="2098"/>
      <c r="P334" s="2098"/>
      <c r="R334" s="2198"/>
      <c r="S334" s="2198"/>
      <c r="T334" s="2198"/>
      <c r="U334" s="2198"/>
      <c r="V334" s="2168"/>
      <c r="W334" s="2168"/>
      <c r="X334" s="2168"/>
      <c r="Y334" s="2168"/>
      <c r="Z334" s="2168"/>
      <c r="AA334" s="2168"/>
      <c r="AB334" s="2168"/>
      <c r="AC334" s="2168"/>
      <c r="AD334" s="2168"/>
      <c r="AE334" s="2231">
        <v>223.72</v>
      </c>
      <c r="AF334" s="2231"/>
      <c r="AG334" s="2231"/>
      <c r="AH334" s="2232"/>
      <c r="AI334" s="2233"/>
      <c r="AJ334" s="2231">
        <v>223.72</v>
      </c>
      <c r="AK334" s="2231"/>
      <c r="AL334" s="2231"/>
      <c r="AM334" s="2231"/>
      <c r="AN334" s="2231">
        <v>223.72</v>
      </c>
      <c r="AO334" s="2231">
        <v>223.72</v>
      </c>
      <c r="AP334" s="2168"/>
      <c r="AQ334" s="2168"/>
      <c r="AR334" s="2168"/>
      <c r="AS334" s="2168"/>
      <c r="AT334" s="2168"/>
      <c r="AU334" s="2168"/>
      <c r="AV334" s="2168"/>
    </row>
    <row r="335" spans="1:48" s="2141" customFormat="1" ht="24" hidden="1" outlineLevel="5">
      <c r="A335" s="2150"/>
      <c r="B335" s="2150"/>
      <c r="C335" s="2236" t="s">
        <v>1330</v>
      </c>
      <c r="D335" s="2230">
        <v>7.01</v>
      </c>
      <c r="M335" s="2098"/>
      <c r="N335" s="2098"/>
      <c r="O335" s="2098"/>
      <c r="P335" s="2098"/>
      <c r="R335" s="2198"/>
      <c r="S335" s="2198"/>
      <c r="T335" s="2198"/>
      <c r="U335" s="2198"/>
      <c r="V335" s="2168"/>
      <c r="W335" s="2168"/>
      <c r="X335" s="2168"/>
      <c r="Y335" s="2168"/>
      <c r="Z335" s="2168"/>
      <c r="AA335" s="2168"/>
      <c r="AB335" s="2168"/>
      <c r="AC335" s="2168"/>
      <c r="AD335" s="2168"/>
      <c r="AE335" s="2231">
        <v>7.01</v>
      </c>
      <c r="AF335" s="2231"/>
      <c r="AG335" s="2231"/>
      <c r="AH335" s="2232"/>
      <c r="AI335" s="2233"/>
      <c r="AJ335" s="2231">
        <v>7.01</v>
      </c>
      <c r="AK335" s="2231"/>
      <c r="AL335" s="2231"/>
      <c r="AM335" s="2231"/>
      <c r="AN335" s="2231">
        <v>7.01</v>
      </c>
      <c r="AO335" s="2231">
        <v>7.01</v>
      </c>
      <c r="AP335" s="2168"/>
      <c r="AQ335" s="2168"/>
      <c r="AR335" s="2168"/>
      <c r="AS335" s="2168"/>
      <c r="AT335" s="2168"/>
      <c r="AU335" s="2168"/>
      <c r="AV335" s="2168"/>
    </row>
    <row r="336" spans="1:48" s="2141" customFormat="1" ht="24" hidden="1" outlineLevel="5">
      <c r="A336" s="2150"/>
      <c r="B336" s="2150"/>
      <c r="C336" s="2236" t="s">
        <v>1387</v>
      </c>
      <c r="D336" s="2230">
        <v>131.4</v>
      </c>
      <c r="M336" s="2098"/>
      <c r="N336" s="2098"/>
      <c r="O336" s="2098"/>
      <c r="P336" s="2098"/>
      <c r="R336" s="2198"/>
      <c r="S336" s="2198"/>
      <c r="T336" s="2198"/>
      <c r="U336" s="2198"/>
      <c r="V336" s="2168"/>
      <c r="W336" s="2168"/>
      <c r="X336" s="2168"/>
      <c r="Y336" s="2168"/>
      <c r="Z336" s="2168"/>
      <c r="AA336" s="2168"/>
      <c r="AB336" s="2168"/>
      <c r="AC336" s="2168"/>
      <c r="AD336" s="2168"/>
      <c r="AE336" s="2231">
        <v>131.4</v>
      </c>
      <c r="AF336" s="2231"/>
      <c r="AG336" s="2231"/>
      <c r="AH336" s="3403">
        <v>127.08</v>
      </c>
      <c r="AI336" s="3403"/>
      <c r="AJ336" s="2231">
        <v>4.32</v>
      </c>
      <c r="AK336" s="2231"/>
      <c r="AL336" s="2231"/>
      <c r="AM336" s="2231"/>
      <c r="AN336" s="2231">
        <v>131.4</v>
      </c>
      <c r="AO336" s="2231">
        <v>131.4</v>
      </c>
      <c r="AP336" s="2168"/>
      <c r="AQ336" s="2168"/>
      <c r="AR336" s="2168"/>
      <c r="AS336" s="2168"/>
      <c r="AT336" s="2168"/>
      <c r="AU336" s="2168"/>
      <c r="AV336" s="2168"/>
    </row>
    <row r="337" spans="1:48" s="2141" customFormat="1" ht="24" hidden="1" outlineLevel="5">
      <c r="A337" s="2150"/>
      <c r="B337" s="2150"/>
      <c r="C337" s="2236" t="s">
        <v>1388</v>
      </c>
      <c r="D337" s="2230">
        <v>7.06</v>
      </c>
      <c r="M337" s="2098"/>
      <c r="N337" s="2098"/>
      <c r="O337" s="2098"/>
      <c r="P337" s="2098"/>
      <c r="R337" s="2198"/>
      <c r="S337" s="2198"/>
      <c r="T337" s="2198"/>
      <c r="U337" s="2198"/>
      <c r="V337" s="2168"/>
      <c r="W337" s="2168"/>
      <c r="X337" s="2168"/>
      <c r="Y337" s="2168"/>
      <c r="Z337" s="2168"/>
      <c r="AA337" s="2168"/>
      <c r="AB337" s="2168"/>
      <c r="AC337" s="2168"/>
      <c r="AD337" s="2168"/>
      <c r="AE337" s="2231">
        <v>7.06</v>
      </c>
      <c r="AF337" s="2231"/>
      <c r="AG337" s="2231"/>
      <c r="AH337" s="3403">
        <v>6.98</v>
      </c>
      <c r="AI337" s="3403"/>
      <c r="AJ337" s="2231">
        <v>0.08</v>
      </c>
      <c r="AK337" s="2231"/>
      <c r="AL337" s="2231"/>
      <c r="AM337" s="2231"/>
      <c r="AN337" s="2231">
        <v>7.06</v>
      </c>
      <c r="AO337" s="2231">
        <v>7.06</v>
      </c>
      <c r="AP337" s="2168"/>
      <c r="AQ337" s="2168"/>
      <c r="AR337" s="2168"/>
      <c r="AS337" s="2168"/>
      <c r="AT337" s="2168"/>
      <c r="AU337" s="2168"/>
      <c r="AV337" s="2168"/>
    </row>
    <row r="338" spans="1:48" s="2141" customFormat="1" ht="12" hidden="1" outlineLevel="5">
      <c r="A338" s="2150"/>
      <c r="B338" s="2150"/>
      <c r="C338" s="2236" t="s">
        <v>1389</v>
      </c>
      <c r="D338" s="2230">
        <v>201.9</v>
      </c>
      <c r="M338" s="2098"/>
      <c r="N338" s="2098"/>
      <c r="O338" s="2098"/>
      <c r="P338" s="2098"/>
      <c r="R338" s="2198"/>
      <c r="S338" s="2198"/>
      <c r="T338" s="2198"/>
      <c r="U338" s="2198"/>
      <c r="V338" s="2168"/>
      <c r="W338" s="2168"/>
      <c r="X338" s="2168"/>
      <c r="Y338" s="2168"/>
      <c r="Z338" s="2168"/>
      <c r="AA338" s="2168"/>
      <c r="AB338" s="2168"/>
      <c r="AC338" s="2168"/>
      <c r="AD338" s="2168"/>
      <c r="AE338" s="2231">
        <v>201.9</v>
      </c>
      <c r="AF338" s="2231"/>
      <c r="AG338" s="2231"/>
      <c r="AH338" s="3403">
        <v>201.9</v>
      </c>
      <c r="AI338" s="3403"/>
      <c r="AJ338" s="2231"/>
      <c r="AK338" s="2231"/>
      <c r="AL338" s="2231"/>
      <c r="AM338" s="2231"/>
      <c r="AN338" s="2231">
        <v>201.9</v>
      </c>
      <c r="AO338" s="2231">
        <v>201.9</v>
      </c>
      <c r="AP338" s="2168"/>
      <c r="AQ338" s="2168"/>
      <c r="AR338" s="2168"/>
      <c r="AS338" s="2168"/>
      <c r="AT338" s="2168"/>
      <c r="AU338" s="2168"/>
      <c r="AV338" s="2168"/>
    </row>
    <row r="339" spans="1:48" s="2141" customFormat="1" ht="12" hidden="1" outlineLevel="5">
      <c r="A339" s="2150"/>
      <c r="B339" s="2150"/>
      <c r="C339" s="2236" t="s">
        <v>1390</v>
      </c>
      <c r="D339" s="2230">
        <v>26.59</v>
      </c>
      <c r="M339" s="2098"/>
      <c r="N339" s="2098"/>
      <c r="O339" s="2098"/>
      <c r="P339" s="2098"/>
      <c r="R339" s="2198"/>
      <c r="S339" s="2198"/>
      <c r="T339" s="2198"/>
      <c r="U339" s="2198"/>
      <c r="V339" s="2168"/>
      <c r="W339" s="2168"/>
      <c r="X339" s="2168"/>
      <c r="Y339" s="2168"/>
      <c r="Z339" s="2168"/>
      <c r="AA339" s="2168"/>
      <c r="AB339" s="2168"/>
      <c r="AC339" s="2168"/>
      <c r="AD339" s="2168"/>
      <c r="AE339" s="2231">
        <v>26.59</v>
      </c>
      <c r="AF339" s="2231"/>
      <c r="AG339" s="2231"/>
      <c r="AH339" s="3403">
        <v>21.48</v>
      </c>
      <c r="AI339" s="3403"/>
      <c r="AJ339" s="2231">
        <v>5.1100000000000003</v>
      </c>
      <c r="AK339" s="2231"/>
      <c r="AL339" s="2231"/>
      <c r="AM339" s="2231"/>
      <c r="AN339" s="2231">
        <v>26.59</v>
      </c>
      <c r="AO339" s="2231">
        <v>26.59</v>
      </c>
      <c r="AP339" s="2168"/>
      <c r="AQ339" s="2168"/>
      <c r="AR339" s="2168"/>
      <c r="AS339" s="2168"/>
      <c r="AT339" s="2168"/>
      <c r="AU339" s="2168"/>
      <c r="AV339" s="2168"/>
    </row>
    <row r="340" spans="1:48" s="2141" customFormat="1" ht="12" hidden="1" outlineLevel="4">
      <c r="A340" s="2150"/>
      <c r="B340" s="2150"/>
      <c r="C340" s="2229" t="s">
        <v>1336</v>
      </c>
      <c r="D340" s="2230">
        <v>6.3</v>
      </c>
      <c r="M340" s="2098"/>
      <c r="N340" s="2098"/>
      <c r="O340" s="2098"/>
      <c r="P340" s="2098"/>
      <c r="R340" s="2198"/>
      <c r="S340" s="2198"/>
      <c r="T340" s="2198"/>
      <c r="U340" s="2198"/>
      <c r="V340" s="2168"/>
      <c r="W340" s="2168"/>
      <c r="X340" s="2168"/>
      <c r="Y340" s="2168"/>
      <c r="Z340" s="2168"/>
      <c r="AA340" s="2168"/>
      <c r="AB340" s="2168"/>
      <c r="AC340" s="2168"/>
      <c r="AD340" s="2168"/>
      <c r="AE340" s="2231">
        <v>6.3</v>
      </c>
      <c r="AF340" s="2231"/>
      <c r="AG340" s="2231"/>
      <c r="AH340" s="3403">
        <v>6.3</v>
      </c>
      <c r="AI340" s="3403"/>
      <c r="AJ340" s="2231"/>
      <c r="AK340" s="2231"/>
      <c r="AL340" s="2231"/>
      <c r="AM340" s="2231"/>
      <c r="AN340" s="2231">
        <v>6.3</v>
      </c>
      <c r="AO340" s="2231">
        <v>6.3</v>
      </c>
      <c r="AP340" s="2168"/>
      <c r="AQ340" s="2168"/>
      <c r="AR340" s="2168"/>
      <c r="AS340" s="2168"/>
      <c r="AT340" s="2168"/>
      <c r="AU340" s="2168"/>
      <c r="AV340" s="2168"/>
    </row>
    <row r="341" spans="1:48" s="2141" customFormat="1" ht="12" hidden="1" outlineLevel="4" collapsed="1">
      <c r="A341" s="2150"/>
      <c r="B341" s="2150"/>
      <c r="C341" s="2235" t="s">
        <v>1489</v>
      </c>
      <c r="D341" s="2225">
        <v>5428.24</v>
      </c>
      <c r="M341" s="2098"/>
      <c r="N341" s="2098"/>
      <c r="O341" s="2098"/>
      <c r="P341" s="2098"/>
      <c r="R341" s="2198"/>
      <c r="S341" s="2198"/>
      <c r="T341" s="2198"/>
      <c r="U341" s="2198"/>
      <c r="V341" s="2168"/>
      <c r="W341" s="2168"/>
      <c r="X341" s="2168"/>
      <c r="Y341" s="2168"/>
      <c r="Z341" s="2168"/>
      <c r="AA341" s="2168"/>
      <c r="AB341" s="2168"/>
      <c r="AC341" s="2168"/>
      <c r="AD341" s="2168"/>
      <c r="AE341" s="2226">
        <v>5428.24</v>
      </c>
      <c r="AF341" s="2226"/>
      <c r="AG341" s="2226"/>
      <c r="AH341" s="3405">
        <v>5379.99</v>
      </c>
      <c r="AI341" s="3405"/>
      <c r="AJ341" s="2226">
        <v>48.25</v>
      </c>
      <c r="AK341" s="2226"/>
      <c r="AL341" s="2226"/>
      <c r="AM341" s="2226"/>
      <c r="AN341" s="2226">
        <v>5428.24</v>
      </c>
      <c r="AO341" s="2226">
        <v>5428.24</v>
      </c>
      <c r="AP341" s="2168"/>
      <c r="AQ341" s="2168"/>
      <c r="AR341" s="2168"/>
      <c r="AS341" s="2168"/>
      <c r="AT341" s="2168"/>
      <c r="AU341" s="2168"/>
      <c r="AV341" s="2168"/>
    </row>
    <row r="342" spans="1:48" s="2141" customFormat="1" ht="24" hidden="1" outlineLevel="5">
      <c r="A342" s="2150"/>
      <c r="B342" s="2150"/>
      <c r="C342" s="2237" t="s">
        <v>1490</v>
      </c>
      <c r="D342" s="2225">
        <v>5284.19</v>
      </c>
      <c r="M342" s="2098"/>
      <c r="N342" s="2098"/>
      <c r="O342" s="2098"/>
      <c r="P342" s="2098"/>
      <c r="R342" s="2198"/>
      <c r="S342" s="2198"/>
      <c r="T342" s="2198"/>
      <c r="U342" s="2198"/>
      <c r="V342" s="2168"/>
      <c r="W342" s="2168"/>
      <c r="X342" s="2168"/>
      <c r="Y342" s="2168"/>
      <c r="Z342" s="2168"/>
      <c r="AA342" s="2168"/>
      <c r="AB342" s="2168"/>
      <c r="AC342" s="2168"/>
      <c r="AD342" s="2168"/>
      <c r="AE342" s="2226">
        <v>5284.19</v>
      </c>
      <c r="AF342" s="2226"/>
      <c r="AG342" s="2226"/>
      <c r="AH342" s="3405">
        <v>5266.08</v>
      </c>
      <c r="AI342" s="3405"/>
      <c r="AJ342" s="2226">
        <v>18.11</v>
      </c>
      <c r="AK342" s="2226"/>
      <c r="AL342" s="2226"/>
      <c r="AM342" s="2226"/>
      <c r="AN342" s="2226">
        <v>5284.19</v>
      </c>
      <c r="AO342" s="2226">
        <v>5284.19</v>
      </c>
      <c r="AP342" s="2168"/>
      <c r="AQ342" s="2168"/>
      <c r="AR342" s="2168"/>
      <c r="AS342" s="2168"/>
      <c r="AT342" s="2168"/>
      <c r="AU342" s="2168"/>
      <c r="AV342" s="2168"/>
    </row>
    <row r="343" spans="1:48" s="2141" customFormat="1" ht="24" hidden="1" outlineLevel="6">
      <c r="A343" s="2150"/>
      <c r="B343" s="2150"/>
      <c r="C343" s="2238" t="s">
        <v>1342</v>
      </c>
      <c r="D343" s="2230">
        <v>662.99</v>
      </c>
      <c r="M343" s="2098"/>
      <c r="N343" s="2098"/>
      <c r="O343" s="2098"/>
      <c r="P343" s="2098"/>
      <c r="R343" s="2198"/>
      <c r="S343" s="2198"/>
      <c r="T343" s="2198"/>
      <c r="U343" s="2198"/>
      <c r="V343" s="2168"/>
      <c r="W343" s="2168"/>
      <c r="X343" s="2168"/>
      <c r="Y343" s="2168"/>
      <c r="Z343" s="2168"/>
      <c r="AA343" s="2168"/>
      <c r="AB343" s="2168"/>
      <c r="AC343" s="2168"/>
      <c r="AD343" s="2168"/>
      <c r="AE343" s="2231">
        <v>662.99</v>
      </c>
      <c r="AF343" s="2231"/>
      <c r="AG343" s="2231"/>
      <c r="AH343" s="3403">
        <v>661.46</v>
      </c>
      <c r="AI343" s="3403"/>
      <c r="AJ343" s="2231">
        <v>1.53</v>
      </c>
      <c r="AK343" s="2231"/>
      <c r="AL343" s="2231"/>
      <c r="AM343" s="2231"/>
      <c r="AN343" s="2231">
        <v>662.99</v>
      </c>
      <c r="AO343" s="2231">
        <v>662.99</v>
      </c>
      <c r="AP343" s="2168"/>
      <c r="AQ343" s="2168"/>
      <c r="AR343" s="2168"/>
      <c r="AS343" s="2168"/>
      <c r="AT343" s="2168"/>
      <c r="AU343" s="2168"/>
      <c r="AV343" s="2168"/>
    </row>
    <row r="344" spans="1:48" s="2141" customFormat="1" ht="24" hidden="1" outlineLevel="6">
      <c r="A344" s="2150"/>
      <c r="B344" s="2150"/>
      <c r="C344" s="2238" t="s">
        <v>1343</v>
      </c>
      <c r="D344" s="2230">
        <v>2339.17</v>
      </c>
      <c r="M344" s="2098"/>
      <c r="N344" s="2098"/>
      <c r="O344" s="2098"/>
      <c r="P344" s="2098"/>
      <c r="R344" s="2198"/>
      <c r="S344" s="2198"/>
      <c r="T344" s="2198"/>
      <c r="U344" s="2198"/>
      <c r="V344" s="2168"/>
      <c r="W344" s="2168"/>
      <c r="X344" s="2168"/>
      <c r="Y344" s="2168"/>
      <c r="Z344" s="2168"/>
      <c r="AA344" s="2168"/>
      <c r="AB344" s="2168"/>
      <c r="AC344" s="2168"/>
      <c r="AD344" s="2168"/>
      <c r="AE344" s="2231">
        <v>2339.17</v>
      </c>
      <c r="AF344" s="2231"/>
      <c r="AG344" s="2231"/>
      <c r="AH344" s="3403">
        <v>2325.9899999999998</v>
      </c>
      <c r="AI344" s="3403"/>
      <c r="AJ344" s="2231">
        <v>13.18</v>
      </c>
      <c r="AK344" s="2231"/>
      <c r="AL344" s="2231"/>
      <c r="AM344" s="2231"/>
      <c r="AN344" s="2231">
        <v>2339.17</v>
      </c>
      <c r="AO344" s="2231">
        <v>2339.17</v>
      </c>
      <c r="AP344" s="2168"/>
      <c r="AQ344" s="2168"/>
      <c r="AR344" s="2168"/>
      <c r="AS344" s="2168"/>
      <c r="AT344" s="2168"/>
      <c r="AU344" s="2168"/>
      <c r="AV344" s="2168"/>
    </row>
    <row r="345" spans="1:48" s="2141" customFormat="1" ht="24" hidden="1" outlineLevel="6">
      <c r="A345" s="2150"/>
      <c r="B345" s="2150"/>
      <c r="C345" s="2238" t="s">
        <v>1344</v>
      </c>
      <c r="D345" s="2230">
        <v>2282.0300000000002</v>
      </c>
      <c r="M345" s="2098"/>
      <c r="N345" s="2098"/>
      <c r="O345" s="2098"/>
      <c r="P345" s="2098"/>
      <c r="R345" s="2198"/>
      <c r="S345" s="2198"/>
      <c r="T345" s="2198"/>
      <c r="U345" s="2198"/>
      <c r="V345" s="2168"/>
      <c r="W345" s="2168"/>
      <c r="X345" s="2168"/>
      <c r="Y345" s="2168"/>
      <c r="Z345" s="2168"/>
      <c r="AA345" s="2168"/>
      <c r="AB345" s="2168"/>
      <c r="AC345" s="2168"/>
      <c r="AD345" s="2168"/>
      <c r="AE345" s="2231">
        <v>2282.0300000000002</v>
      </c>
      <c r="AF345" s="2231"/>
      <c r="AG345" s="2231"/>
      <c r="AH345" s="3403">
        <v>2278.63</v>
      </c>
      <c r="AI345" s="3403"/>
      <c r="AJ345" s="2231">
        <v>3.4</v>
      </c>
      <c r="AK345" s="2231"/>
      <c r="AL345" s="2231"/>
      <c r="AM345" s="2231"/>
      <c r="AN345" s="2231">
        <v>2282.0300000000002</v>
      </c>
      <c r="AO345" s="2231">
        <v>2282.0300000000002</v>
      </c>
      <c r="AP345" s="2168"/>
      <c r="AQ345" s="2168"/>
      <c r="AR345" s="2168"/>
      <c r="AS345" s="2168"/>
      <c r="AT345" s="2168"/>
      <c r="AU345" s="2168"/>
      <c r="AV345" s="2168"/>
    </row>
    <row r="346" spans="1:48" s="2141" customFormat="1" ht="24" hidden="1" outlineLevel="5">
      <c r="A346" s="2150"/>
      <c r="B346" s="2150"/>
      <c r="C346" s="2237" t="s">
        <v>1491</v>
      </c>
      <c r="D346" s="2225">
        <v>144.05000000000001</v>
      </c>
      <c r="M346" s="2098"/>
      <c r="N346" s="2098"/>
      <c r="O346" s="2098"/>
      <c r="P346" s="2098"/>
      <c r="R346" s="2198"/>
      <c r="S346" s="2198"/>
      <c r="T346" s="2198"/>
      <c r="U346" s="2198"/>
      <c r="V346" s="2168"/>
      <c r="W346" s="2168"/>
      <c r="X346" s="2168"/>
      <c r="Y346" s="2168"/>
      <c r="Z346" s="2168"/>
      <c r="AA346" s="2168"/>
      <c r="AB346" s="2168"/>
      <c r="AC346" s="2168"/>
      <c r="AD346" s="2168"/>
      <c r="AE346" s="2226">
        <v>144.05000000000001</v>
      </c>
      <c r="AF346" s="2226"/>
      <c r="AG346" s="2226"/>
      <c r="AH346" s="3405">
        <v>113.91</v>
      </c>
      <c r="AI346" s="3405"/>
      <c r="AJ346" s="2226">
        <v>30.14</v>
      </c>
      <c r="AK346" s="2226"/>
      <c r="AL346" s="2226"/>
      <c r="AM346" s="2226"/>
      <c r="AN346" s="2226">
        <v>144.05000000000001</v>
      </c>
      <c r="AO346" s="2226">
        <v>144.05000000000001</v>
      </c>
      <c r="AP346" s="2168"/>
      <c r="AQ346" s="2168"/>
      <c r="AR346" s="2168"/>
      <c r="AS346" s="2168"/>
      <c r="AT346" s="2168"/>
      <c r="AU346" s="2168"/>
      <c r="AV346" s="2168"/>
    </row>
    <row r="347" spans="1:48" s="2141" customFormat="1" ht="24" hidden="1" outlineLevel="6">
      <c r="A347" s="2150"/>
      <c r="B347" s="2150"/>
      <c r="C347" s="2238" t="s">
        <v>1345</v>
      </c>
      <c r="D347" s="2230">
        <v>0.28999999999999998</v>
      </c>
      <c r="M347" s="2098"/>
      <c r="N347" s="2098"/>
      <c r="O347" s="2098"/>
      <c r="P347" s="2098"/>
      <c r="R347" s="2198"/>
      <c r="S347" s="2198"/>
      <c r="T347" s="2198"/>
      <c r="U347" s="2198"/>
      <c r="V347" s="2168"/>
      <c r="W347" s="2168"/>
      <c r="X347" s="2168"/>
      <c r="Y347" s="2168"/>
      <c r="Z347" s="2168"/>
      <c r="AA347" s="2168"/>
      <c r="AB347" s="2168"/>
      <c r="AC347" s="2168"/>
      <c r="AD347" s="2168"/>
      <c r="AE347" s="2231">
        <v>0.28999999999999998</v>
      </c>
      <c r="AF347" s="2231"/>
      <c r="AG347" s="2231"/>
      <c r="AH347" s="2232"/>
      <c r="AI347" s="2233"/>
      <c r="AJ347" s="2231">
        <v>0.28999999999999998</v>
      </c>
      <c r="AK347" s="2231"/>
      <c r="AL347" s="2231"/>
      <c r="AM347" s="2231"/>
      <c r="AN347" s="2231">
        <v>0.28999999999999998</v>
      </c>
      <c r="AO347" s="2231">
        <v>0.28999999999999998</v>
      </c>
      <c r="AP347" s="2168"/>
      <c r="AQ347" s="2168"/>
      <c r="AR347" s="2168"/>
      <c r="AS347" s="2168"/>
      <c r="AT347" s="2168"/>
      <c r="AU347" s="2168"/>
      <c r="AV347" s="2168"/>
    </row>
    <row r="348" spans="1:48" s="2141" customFormat="1" ht="24" hidden="1" outlineLevel="6">
      <c r="A348" s="2150"/>
      <c r="B348" s="2150"/>
      <c r="C348" s="2238" t="s">
        <v>1347</v>
      </c>
      <c r="D348" s="2230">
        <v>2.5099999999999998</v>
      </c>
      <c r="M348" s="2098"/>
      <c r="N348" s="2098"/>
      <c r="O348" s="2098"/>
      <c r="P348" s="2098"/>
      <c r="R348" s="2198"/>
      <c r="S348" s="2198"/>
      <c r="T348" s="2198"/>
      <c r="U348" s="2198"/>
      <c r="V348" s="2168"/>
      <c r="W348" s="2168"/>
      <c r="X348" s="2168"/>
      <c r="Y348" s="2168"/>
      <c r="Z348" s="2168"/>
      <c r="AA348" s="2168"/>
      <c r="AB348" s="2168"/>
      <c r="AC348" s="2168"/>
      <c r="AD348" s="2168"/>
      <c r="AE348" s="2231">
        <v>2.5099999999999998</v>
      </c>
      <c r="AF348" s="2231"/>
      <c r="AG348" s="2231"/>
      <c r="AH348" s="3403">
        <v>1.2</v>
      </c>
      <c r="AI348" s="3403"/>
      <c r="AJ348" s="2231">
        <v>1.31</v>
      </c>
      <c r="AK348" s="2231"/>
      <c r="AL348" s="2231"/>
      <c r="AM348" s="2231"/>
      <c r="AN348" s="2231">
        <v>2.5099999999999998</v>
      </c>
      <c r="AO348" s="2231">
        <v>2.5099999999999998</v>
      </c>
      <c r="AP348" s="2168"/>
      <c r="AQ348" s="2168"/>
      <c r="AR348" s="2168"/>
      <c r="AS348" s="2168"/>
      <c r="AT348" s="2168"/>
      <c r="AU348" s="2168"/>
      <c r="AV348" s="2168"/>
    </row>
    <row r="349" spans="1:48" s="2141" customFormat="1" ht="24" hidden="1" outlineLevel="6">
      <c r="A349" s="2150"/>
      <c r="B349" s="2150"/>
      <c r="C349" s="2238" t="s">
        <v>1348</v>
      </c>
      <c r="D349" s="2230">
        <v>80.599999999999994</v>
      </c>
      <c r="M349" s="2098"/>
      <c r="N349" s="2098"/>
      <c r="O349" s="2098"/>
      <c r="P349" s="2098"/>
      <c r="R349" s="2198"/>
      <c r="S349" s="2198"/>
      <c r="T349" s="2198"/>
      <c r="U349" s="2198"/>
      <c r="V349" s="2168"/>
      <c r="W349" s="2168"/>
      <c r="X349" s="2168"/>
      <c r="Y349" s="2168"/>
      <c r="Z349" s="2168"/>
      <c r="AA349" s="2168"/>
      <c r="AB349" s="2168"/>
      <c r="AC349" s="2168"/>
      <c r="AD349" s="2168"/>
      <c r="AE349" s="2231">
        <v>80.599999999999994</v>
      </c>
      <c r="AF349" s="2231"/>
      <c r="AG349" s="2231"/>
      <c r="AH349" s="3403">
        <v>58.5</v>
      </c>
      <c r="AI349" s="3403"/>
      <c r="AJ349" s="2231">
        <v>22.1</v>
      </c>
      <c r="AK349" s="2231"/>
      <c r="AL349" s="2231"/>
      <c r="AM349" s="2231"/>
      <c r="AN349" s="2231">
        <v>80.599999999999994</v>
      </c>
      <c r="AO349" s="2231">
        <v>80.599999999999994</v>
      </c>
      <c r="AP349" s="2168"/>
      <c r="AQ349" s="2168"/>
      <c r="AR349" s="2168"/>
      <c r="AS349" s="2168"/>
      <c r="AT349" s="2168"/>
      <c r="AU349" s="2168"/>
      <c r="AV349" s="2168"/>
    </row>
    <row r="350" spans="1:48" s="2141" customFormat="1" ht="24" hidden="1" outlineLevel="6">
      <c r="A350" s="2150"/>
      <c r="B350" s="2150"/>
      <c r="C350" s="2238" t="s">
        <v>1349</v>
      </c>
      <c r="D350" s="2230">
        <v>60.65</v>
      </c>
      <c r="M350" s="2098"/>
      <c r="N350" s="2098"/>
      <c r="O350" s="2098"/>
      <c r="P350" s="2098"/>
      <c r="R350" s="2198"/>
      <c r="S350" s="2198"/>
      <c r="T350" s="2198"/>
      <c r="U350" s="2198"/>
      <c r="V350" s="2168"/>
      <c r="W350" s="2168"/>
      <c r="X350" s="2168"/>
      <c r="Y350" s="2168"/>
      <c r="Z350" s="2168"/>
      <c r="AA350" s="2168"/>
      <c r="AB350" s="2168"/>
      <c r="AC350" s="2168"/>
      <c r="AD350" s="2168"/>
      <c r="AE350" s="2231">
        <v>60.65</v>
      </c>
      <c r="AF350" s="2231"/>
      <c r="AG350" s="2231"/>
      <c r="AH350" s="3403">
        <v>54.21</v>
      </c>
      <c r="AI350" s="3403"/>
      <c r="AJ350" s="2231">
        <v>6.44</v>
      </c>
      <c r="AK350" s="2231"/>
      <c r="AL350" s="2231"/>
      <c r="AM350" s="2231"/>
      <c r="AN350" s="2231">
        <v>60.65</v>
      </c>
      <c r="AO350" s="2231">
        <v>60.65</v>
      </c>
      <c r="AP350" s="2168"/>
      <c r="AQ350" s="2168"/>
      <c r="AR350" s="2168"/>
      <c r="AS350" s="2168"/>
      <c r="AT350" s="2168"/>
      <c r="AU350" s="2168"/>
      <c r="AV350" s="2168"/>
    </row>
    <row r="351" spans="1:48" s="2141" customFormat="1" ht="12" hidden="1" outlineLevel="4" collapsed="1">
      <c r="A351" s="2150"/>
      <c r="B351" s="2150"/>
      <c r="C351" s="2235" t="s">
        <v>1492</v>
      </c>
      <c r="D351" s="2225">
        <v>1934.98</v>
      </c>
      <c r="M351" s="2098"/>
      <c r="N351" s="2098"/>
      <c r="O351" s="2098"/>
      <c r="P351" s="2098"/>
      <c r="R351" s="2198"/>
      <c r="S351" s="2198"/>
      <c r="T351" s="2198"/>
      <c r="U351" s="2198"/>
      <c r="V351" s="2168"/>
      <c r="W351" s="2168"/>
      <c r="X351" s="2168"/>
      <c r="Y351" s="2168"/>
      <c r="Z351" s="2168"/>
      <c r="AA351" s="2168"/>
      <c r="AB351" s="2168"/>
      <c r="AC351" s="2168"/>
      <c r="AD351" s="2168"/>
      <c r="AE351" s="2226">
        <v>1934.98</v>
      </c>
      <c r="AF351" s="2226"/>
      <c r="AG351" s="2226"/>
      <c r="AH351" s="3405">
        <v>1913.93</v>
      </c>
      <c r="AI351" s="3405"/>
      <c r="AJ351" s="2226">
        <v>21.05</v>
      </c>
      <c r="AK351" s="2226"/>
      <c r="AL351" s="2226"/>
      <c r="AM351" s="2226"/>
      <c r="AN351" s="2226">
        <v>1934.98</v>
      </c>
      <c r="AO351" s="2226">
        <v>1934.98</v>
      </c>
      <c r="AP351" s="2168"/>
      <c r="AQ351" s="2168"/>
      <c r="AR351" s="2168"/>
      <c r="AS351" s="2168"/>
      <c r="AT351" s="2168"/>
      <c r="AU351" s="2168"/>
      <c r="AV351" s="2168"/>
    </row>
    <row r="352" spans="1:48" s="2141" customFormat="1" ht="48" hidden="1" outlineLevel="5">
      <c r="A352" s="2150"/>
      <c r="B352" s="2150"/>
      <c r="C352" s="2236" t="s">
        <v>1324</v>
      </c>
      <c r="D352" s="2230">
        <v>12.72</v>
      </c>
      <c r="M352" s="2098"/>
      <c r="N352" s="2098"/>
      <c r="O352" s="2098"/>
      <c r="P352" s="2098"/>
      <c r="R352" s="2198"/>
      <c r="S352" s="2198"/>
      <c r="T352" s="2198"/>
      <c r="U352" s="2198"/>
      <c r="V352" s="2168"/>
      <c r="W352" s="2168"/>
      <c r="X352" s="2168"/>
      <c r="Y352" s="2168"/>
      <c r="Z352" s="2168"/>
      <c r="AA352" s="2168"/>
      <c r="AB352" s="2168"/>
      <c r="AC352" s="2168"/>
      <c r="AD352" s="2168"/>
      <c r="AE352" s="2231">
        <v>12.72</v>
      </c>
      <c r="AF352" s="2231"/>
      <c r="AG352" s="2231"/>
      <c r="AH352" s="3403">
        <v>12.51</v>
      </c>
      <c r="AI352" s="3403"/>
      <c r="AJ352" s="2231">
        <v>0.21</v>
      </c>
      <c r="AK352" s="2231"/>
      <c r="AL352" s="2231"/>
      <c r="AM352" s="2231"/>
      <c r="AN352" s="2231">
        <v>12.72</v>
      </c>
      <c r="AO352" s="2231">
        <v>12.72</v>
      </c>
      <c r="AP352" s="2168"/>
      <c r="AQ352" s="2168"/>
      <c r="AR352" s="2168"/>
      <c r="AS352" s="2168"/>
      <c r="AT352" s="2168"/>
      <c r="AU352" s="2168"/>
      <c r="AV352" s="2168"/>
    </row>
    <row r="353" spans="1:48" s="2141" customFormat="1" ht="12" hidden="1" outlineLevel="5">
      <c r="A353" s="2150"/>
      <c r="B353" s="2150"/>
      <c r="C353" s="2236" t="s">
        <v>1337</v>
      </c>
      <c r="D353" s="2230">
        <v>6.26</v>
      </c>
      <c r="M353" s="2098"/>
      <c r="N353" s="2098"/>
      <c r="O353" s="2098"/>
      <c r="P353" s="2098"/>
      <c r="R353" s="2198"/>
      <c r="S353" s="2198"/>
      <c r="T353" s="2198"/>
      <c r="U353" s="2198"/>
      <c r="V353" s="2168"/>
      <c r="W353" s="2168"/>
      <c r="X353" s="2168"/>
      <c r="Y353" s="2168"/>
      <c r="Z353" s="2168"/>
      <c r="AA353" s="2168"/>
      <c r="AB353" s="2168"/>
      <c r="AC353" s="2168"/>
      <c r="AD353" s="2168"/>
      <c r="AE353" s="2231">
        <v>6.26</v>
      </c>
      <c r="AF353" s="2231"/>
      <c r="AG353" s="2231"/>
      <c r="AH353" s="3403">
        <v>6.26</v>
      </c>
      <c r="AI353" s="3403"/>
      <c r="AJ353" s="2231"/>
      <c r="AK353" s="2231"/>
      <c r="AL353" s="2231"/>
      <c r="AM353" s="2231"/>
      <c r="AN353" s="2231">
        <v>6.26</v>
      </c>
      <c r="AO353" s="2231">
        <v>6.26</v>
      </c>
      <c r="AP353" s="2168"/>
      <c r="AQ353" s="2168"/>
      <c r="AR353" s="2168"/>
      <c r="AS353" s="2168"/>
      <c r="AT353" s="2168"/>
      <c r="AU353" s="2168"/>
      <c r="AV353" s="2168"/>
    </row>
    <row r="354" spans="1:48" s="2141" customFormat="1" ht="12" hidden="1" outlineLevel="5">
      <c r="A354" s="2150"/>
      <c r="B354" s="2150"/>
      <c r="C354" s="2236" t="s">
        <v>1361</v>
      </c>
      <c r="D354" s="2230">
        <v>1736.28</v>
      </c>
      <c r="M354" s="2098"/>
      <c r="N354" s="2098"/>
      <c r="O354" s="2098"/>
      <c r="P354" s="2098"/>
      <c r="R354" s="2198"/>
      <c r="S354" s="2198"/>
      <c r="T354" s="2198"/>
      <c r="U354" s="2198"/>
      <c r="V354" s="2168"/>
      <c r="W354" s="2168"/>
      <c r="X354" s="2168"/>
      <c r="Y354" s="2168"/>
      <c r="Z354" s="2168"/>
      <c r="AA354" s="2168"/>
      <c r="AB354" s="2168"/>
      <c r="AC354" s="2168"/>
      <c r="AD354" s="2168"/>
      <c r="AE354" s="2231">
        <v>1736.28</v>
      </c>
      <c r="AF354" s="2231"/>
      <c r="AG354" s="2231"/>
      <c r="AH354" s="3403">
        <v>1736.28</v>
      </c>
      <c r="AI354" s="3403"/>
      <c r="AJ354" s="2231"/>
      <c r="AK354" s="2231"/>
      <c r="AL354" s="2231"/>
      <c r="AM354" s="2231"/>
      <c r="AN354" s="2231">
        <v>1736.28</v>
      </c>
      <c r="AO354" s="2231">
        <v>1736.28</v>
      </c>
      <c r="AP354" s="2168"/>
      <c r="AQ354" s="2168"/>
      <c r="AR354" s="2168"/>
      <c r="AS354" s="2168"/>
      <c r="AT354" s="2168"/>
      <c r="AU354" s="2168"/>
      <c r="AV354" s="2168"/>
    </row>
    <row r="355" spans="1:48" s="2141" customFormat="1" ht="12" hidden="1" outlineLevel="5">
      <c r="A355" s="2150"/>
      <c r="B355" s="2150"/>
      <c r="C355" s="2236" t="s">
        <v>1412</v>
      </c>
      <c r="D355" s="2230">
        <v>171.09</v>
      </c>
      <c r="M355" s="2098"/>
      <c r="N355" s="2098"/>
      <c r="O355" s="2098"/>
      <c r="P355" s="2098"/>
      <c r="R355" s="2198"/>
      <c r="S355" s="2198"/>
      <c r="T355" s="2198"/>
      <c r="U355" s="2198"/>
      <c r="V355" s="2168"/>
      <c r="W355" s="2168"/>
      <c r="X355" s="2168"/>
      <c r="Y355" s="2168"/>
      <c r="Z355" s="2168"/>
      <c r="AA355" s="2168"/>
      <c r="AB355" s="2168"/>
      <c r="AC355" s="2168"/>
      <c r="AD355" s="2168"/>
      <c r="AE355" s="2231">
        <v>171.09</v>
      </c>
      <c r="AF355" s="2231"/>
      <c r="AG355" s="2231"/>
      <c r="AH355" s="3403">
        <v>154.55000000000001</v>
      </c>
      <c r="AI355" s="3403"/>
      <c r="AJ355" s="2231">
        <v>16.54</v>
      </c>
      <c r="AK355" s="2231"/>
      <c r="AL355" s="2231"/>
      <c r="AM355" s="2231"/>
      <c r="AN355" s="2231">
        <v>171.09</v>
      </c>
      <c r="AO355" s="2231">
        <v>171.09</v>
      </c>
      <c r="AP355" s="2168"/>
      <c r="AQ355" s="2168"/>
      <c r="AR355" s="2168"/>
      <c r="AS355" s="2168"/>
      <c r="AT355" s="2168"/>
      <c r="AU355" s="2168"/>
      <c r="AV355" s="2168"/>
    </row>
    <row r="356" spans="1:48" s="2141" customFormat="1" ht="24" hidden="1" outlineLevel="5">
      <c r="A356" s="2150"/>
      <c r="B356" s="2150"/>
      <c r="C356" s="2236" t="s">
        <v>1457</v>
      </c>
      <c r="D356" s="2230">
        <v>8.6300000000000008</v>
      </c>
      <c r="M356" s="2098"/>
      <c r="N356" s="2098"/>
      <c r="O356" s="2098"/>
      <c r="P356" s="2098"/>
      <c r="R356" s="2198"/>
      <c r="S356" s="2198"/>
      <c r="T356" s="2198"/>
      <c r="U356" s="2198"/>
      <c r="V356" s="2168"/>
      <c r="W356" s="2168"/>
      <c r="X356" s="2168"/>
      <c r="Y356" s="2168"/>
      <c r="Z356" s="2168"/>
      <c r="AA356" s="2168"/>
      <c r="AB356" s="2168"/>
      <c r="AC356" s="2168"/>
      <c r="AD356" s="2168"/>
      <c r="AE356" s="2231">
        <v>8.6300000000000008</v>
      </c>
      <c r="AF356" s="2231"/>
      <c r="AG356" s="2231"/>
      <c r="AH356" s="3403">
        <v>4.33</v>
      </c>
      <c r="AI356" s="3403"/>
      <c r="AJ356" s="2231">
        <v>4.3</v>
      </c>
      <c r="AK356" s="2231"/>
      <c r="AL356" s="2231"/>
      <c r="AM356" s="2231"/>
      <c r="AN356" s="2231">
        <v>8.6300000000000008</v>
      </c>
      <c r="AO356" s="2231">
        <v>8.6300000000000008</v>
      </c>
      <c r="AP356" s="2168"/>
      <c r="AQ356" s="2168"/>
      <c r="AR356" s="2168"/>
      <c r="AS356" s="2168"/>
      <c r="AT356" s="2168"/>
      <c r="AU356" s="2168"/>
      <c r="AV356" s="2168"/>
    </row>
    <row r="357" spans="1:48" s="2141" customFormat="1" ht="24" hidden="1" outlineLevel="4">
      <c r="A357" s="2150"/>
      <c r="B357" s="2150"/>
      <c r="C357" s="2229" t="s">
        <v>1460</v>
      </c>
      <c r="D357" s="2230">
        <v>59943</v>
      </c>
      <c r="M357" s="2098"/>
      <c r="N357" s="2098"/>
      <c r="O357" s="2098"/>
      <c r="P357" s="2098"/>
      <c r="R357" s="2198"/>
      <c r="S357" s="2198"/>
      <c r="T357" s="2198"/>
      <c r="U357" s="2198"/>
      <c r="V357" s="2168"/>
      <c r="W357" s="2168"/>
      <c r="X357" s="2168"/>
      <c r="Y357" s="2168"/>
      <c r="Z357" s="2168"/>
      <c r="AA357" s="2168"/>
      <c r="AB357" s="2168"/>
      <c r="AC357" s="2168"/>
      <c r="AD357" s="2168"/>
      <c r="AE357" s="2231">
        <v>59943</v>
      </c>
      <c r="AF357" s="2231"/>
      <c r="AG357" s="2231"/>
      <c r="AH357" s="2232"/>
      <c r="AI357" s="2233"/>
      <c r="AJ357" s="2231"/>
      <c r="AK357" s="2231"/>
      <c r="AL357" s="2231"/>
      <c r="AM357" s="2231">
        <v>59943</v>
      </c>
      <c r="AN357" s="2231">
        <v>59943</v>
      </c>
      <c r="AO357" s="2231">
        <v>59943</v>
      </c>
      <c r="AP357" s="2168"/>
      <c r="AQ357" s="2168"/>
      <c r="AR357" s="2168"/>
      <c r="AS357" s="2168"/>
      <c r="AT357" s="2168"/>
      <c r="AU357" s="2168"/>
      <c r="AV357" s="2168"/>
    </row>
    <row r="358" spans="1:48" s="2141" customFormat="1" ht="12" hidden="1" outlineLevel="4" collapsed="1">
      <c r="A358" s="2150"/>
      <c r="B358" s="2150"/>
      <c r="C358" s="2235" t="s">
        <v>1493</v>
      </c>
      <c r="D358" s="2225">
        <v>2185.12</v>
      </c>
      <c r="M358" s="2098"/>
      <c r="N358" s="2098"/>
      <c r="O358" s="2098"/>
      <c r="P358" s="2098"/>
      <c r="R358" s="2198"/>
      <c r="S358" s="2198"/>
      <c r="T358" s="2198"/>
      <c r="U358" s="2198"/>
      <c r="V358" s="2168"/>
      <c r="W358" s="2168"/>
      <c r="X358" s="2168"/>
      <c r="Y358" s="2168"/>
      <c r="Z358" s="2168"/>
      <c r="AA358" s="2168"/>
      <c r="AB358" s="2168"/>
      <c r="AC358" s="2168"/>
      <c r="AD358" s="2168"/>
      <c r="AE358" s="2226">
        <v>2185.12</v>
      </c>
      <c r="AF358" s="2226"/>
      <c r="AG358" s="2226"/>
      <c r="AH358" s="3405">
        <v>1433</v>
      </c>
      <c r="AI358" s="3405"/>
      <c r="AJ358" s="2226">
        <v>752.12</v>
      </c>
      <c r="AK358" s="2226"/>
      <c r="AL358" s="2226"/>
      <c r="AM358" s="2226"/>
      <c r="AN358" s="2226">
        <v>2185.12</v>
      </c>
      <c r="AO358" s="2226">
        <v>2185.12</v>
      </c>
      <c r="AP358" s="2168"/>
      <c r="AQ358" s="2168"/>
      <c r="AR358" s="2168"/>
      <c r="AS358" s="2168"/>
      <c r="AT358" s="2168"/>
      <c r="AU358" s="2168"/>
      <c r="AV358" s="2168"/>
    </row>
    <row r="359" spans="1:48" s="2141" customFormat="1" ht="24" hidden="1" outlineLevel="5">
      <c r="A359" s="2150"/>
      <c r="B359" s="2150"/>
      <c r="C359" s="2237" t="s">
        <v>1494</v>
      </c>
      <c r="D359" s="2225">
        <v>171.72</v>
      </c>
      <c r="M359" s="2098"/>
      <c r="N359" s="2098"/>
      <c r="O359" s="2098"/>
      <c r="P359" s="2098"/>
      <c r="R359" s="2198"/>
      <c r="S359" s="2198"/>
      <c r="T359" s="2198"/>
      <c r="U359" s="2198"/>
      <c r="V359" s="2168"/>
      <c r="W359" s="2168"/>
      <c r="X359" s="2168"/>
      <c r="Y359" s="2168"/>
      <c r="Z359" s="2168"/>
      <c r="AA359" s="2168"/>
      <c r="AB359" s="2168"/>
      <c r="AC359" s="2168"/>
      <c r="AD359" s="2168"/>
      <c r="AE359" s="2226">
        <v>171.72</v>
      </c>
      <c r="AF359" s="2226"/>
      <c r="AG359" s="2226"/>
      <c r="AH359" s="3405">
        <v>161.96</v>
      </c>
      <c r="AI359" s="3405"/>
      <c r="AJ359" s="2226">
        <v>9.76</v>
      </c>
      <c r="AK359" s="2226"/>
      <c r="AL359" s="2226"/>
      <c r="AM359" s="2226"/>
      <c r="AN359" s="2226">
        <v>171.72</v>
      </c>
      <c r="AO359" s="2226">
        <v>171.72</v>
      </c>
      <c r="AP359" s="2168"/>
      <c r="AQ359" s="2168"/>
      <c r="AR359" s="2168"/>
      <c r="AS359" s="2168"/>
      <c r="AT359" s="2168"/>
      <c r="AU359" s="2168"/>
      <c r="AV359" s="2168"/>
    </row>
    <row r="360" spans="1:48" s="2141" customFormat="1" ht="12" hidden="1" outlineLevel="6">
      <c r="A360" s="2150"/>
      <c r="B360" s="2150"/>
      <c r="C360" s="2238" t="s">
        <v>3830</v>
      </c>
      <c r="D360" s="2230">
        <v>0.02</v>
      </c>
      <c r="M360" s="2098"/>
      <c r="N360" s="2098"/>
      <c r="O360" s="2098"/>
      <c r="P360" s="2098"/>
      <c r="R360" s="2198"/>
      <c r="S360" s="2198"/>
      <c r="T360" s="2198"/>
      <c r="U360" s="2198"/>
      <c r="V360" s="2168"/>
      <c r="W360" s="2168"/>
      <c r="X360" s="2168"/>
      <c r="Y360" s="2168"/>
      <c r="Z360" s="2168"/>
      <c r="AA360" s="2168"/>
      <c r="AB360" s="2168"/>
      <c r="AC360" s="2168"/>
      <c r="AD360" s="2168"/>
      <c r="AE360" s="2231">
        <v>0.02</v>
      </c>
      <c r="AF360" s="2231"/>
      <c r="AG360" s="2231"/>
      <c r="AH360" s="3403">
        <v>0.02</v>
      </c>
      <c r="AI360" s="3403"/>
      <c r="AJ360" s="2231"/>
      <c r="AK360" s="2231"/>
      <c r="AL360" s="2231"/>
      <c r="AM360" s="2231"/>
      <c r="AN360" s="2231">
        <v>0.02</v>
      </c>
      <c r="AO360" s="2231">
        <v>0.02</v>
      </c>
      <c r="AP360" s="2168"/>
      <c r="AQ360" s="2168"/>
      <c r="AR360" s="2168"/>
      <c r="AS360" s="2168"/>
      <c r="AT360" s="2168"/>
      <c r="AU360" s="2168"/>
      <c r="AV360" s="2168"/>
    </row>
    <row r="361" spans="1:48" s="2141" customFormat="1" ht="24" hidden="1" outlineLevel="6">
      <c r="A361" s="2150"/>
      <c r="B361" s="2150"/>
      <c r="C361" s="2238" t="s">
        <v>1413</v>
      </c>
      <c r="D361" s="2230">
        <v>2.79</v>
      </c>
      <c r="M361" s="2098"/>
      <c r="N361" s="2098"/>
      <c r="O361" s="2098"/>
      <c r="P361" s="2098"/>
      <c r="R361" s="2198"/>
      <c r="S361" s="2198"/>
      <c r="T361" s="2198"/>
      <c r="U361" s="2198"/>
      <c r="V361" s="2168"/>
      <c r="W361" s="2168"/>
      <c r="X361" s="2168"/>
      <c r="Y361" s="2168"/>
      <c r="Z361" s="2168"/>
      <c r="AA361" s="2168"/>
      <c r="AB361" s="2168"/>
      <c r="AC361" s="2168"/>
      <c r="AD361" s="2168"/>
      <c r="AE361" s="2231">
        <v>2.79</v>
      </c>
      <c r="AF361" s="2231"/>
      <c r="AG361" s="2231"/>
      <c r="AH361" s="2232"/>
      <c r="AI361" s="2233"/>
      <c r="AJ361" s="2231">
        <v>2.79</v>
      </c>
      <c r="AK361" s="2231"/>
      <c r="AL361" s="2231"/>
      <c r="AM361" s="2231"/>
      <c r="AN361" s="2231">
        <v>2.79</v>
      </c>
      <c r="AO361" s="2231">
        <v>2.79</v>
      </c>
      <c r="AP361" s="2168"/>
      <c r="AQ361" s="2168"/>
      <c r="AR361" s="2168"/>
      <c r="AS361" s="2168"/>
      <c r="AT361" s="2168"/>
      <c r="AU361" s="2168"/>
      <c r="AV361" s="2168"/>
    </row>
    <row r="362" spans="1:48" s="2141" customFormat="1" ht="36" hidden="1" outlineLevel="6">
      <c r="A362" s="2150"/>
      <c r="B362" s="2150"/>
      <c r="C362" s="2238" t="s">
        <v>1429</v>
      </c>
      <c r="D362" s="2230">
        <v>12.31</v>
      </c>
      <c r="M362" s="2098"/>
      <c r="N362" s="2098"/>
      <c r="O362" s="2098"/>
      <c r="P362" s="2098"/>
      <c r="R362" s="2198"/>
      <c r="S362" s="2198"/>
      <c r="T362" s="2198"/>
      <c r="U362" s="2198"/>
      <c r="V362" s="2168"/>
      <c r="W362" s="2168"/>
      <c r="X362" s="2168"/>
      <c r="Y362" s="2168"/>
      <c r="Z362" s="2168"/>
      <c r="AA362" s="2168"/>
      <c r="AB362" s="2168"/>
      <c r="AC362" s="2168"/>
      <c r="AD362" s="2168"/>
      <c r="AE362" s="2231">
        <v>12.31</v>
      </c>
      <c r="AF362" s="2231"/>
      <c r="AG362" s="2231"/>
      <c r="AH362" s="3403">
        <v>10.27</v>
      </c>
      <c r="AI362" s="3403"/>
      <c r="AJ362" s="2231">
        <v>2.04</v>
      </c>
      <c r="AK362" s="2231"/>
      <c r="AL362" s="2231"/>
      <c r="AM362" s="2231"/>
      <c r="AN362" s="2231">
        <v>12.31</v>
      </c>
      <c r="AO362" s="2231">
        <v>12.31</v>
      </c>
      <c r="AP362" s="2168"/>
      <c r="AQ362" s="2168"/>
      <c r="AR362" s="2168"/>
      <c r="AS362" s="2168"/>
      <c r="AT362" s="2168"/>
      <c r="AU362" s="2168"/>
      <c r="AV362" s="2168"/>
    </row>
    <row r="363" spans="1:48" s="2141" customFormat="1" ht="36" hidden="1" outlineLevel="6">
      <c r="A363" s="2150"/>
      <c r="B363" s="2150"/>
      <c r="C363" s="2238" t="s">
        <v>1430</v>
      </c>
      <c r="D363" s="2230">
        <v>115.84</v>
      </c>
      <c r="M363" s="2098"/>
      <c r="N363" s="2098"/>
      <c r="O363" s="2098"/>
      <c r="P363" s="2098"/>
      <c r="R363" s="2198"/>
      <c r="S363" s="2198"/>
      <c r="T363" s="2198"/>
      <c r="U363" s="2198"/>
      <c r="V363" s="2168"/>
      <c r="W363" s="2168"/>
      <c r="X363" s="2168"/>
      <c r="Y363" s="2168"/>
      <c r="Z363" s="2168"/>
      <c r="AA363" s="2168"/>
      <c r="AB363" s="2168"/>
      <c r="AC363" s="2168"/>
      <c r="AD363" s="2168"/>
      <c r="AE363" s="2231">
        <v>115.84</v>
      </c>
      <c r="AF363" s="2231"/>
      <c r="AG363" s="2231"/>
      <c r="AH363" s="3403">
        <v>114.56</v>
      </c>
      <c r="AI363" s="3403"/>
      <c r="AJ363" s="2231">
        <v>1.28</v>
      </c>
      <c r="AK363" s="2231"/>
      <c r="AL363" s="2231"/>
      <c r="AM363" s="2231"/>
      <c r="AN363" s="2231">
        <v>115.84</v>
      </c>
      <c r="AO363" s="2231">
        <v>115.84</v>
      </c>
      <c r="AP363" s="2168"/>
      <c r="AQ363" s="2168"/>
      <c r="AR363" s="2168"/>
      <c r="AS363" s="2168"/>
      <c r="AT363" s="2168"/>
      <c r="AU363" s="2168"/>
      <c r="AV363" s="2168"/>
    </row>
    <row r="364" spans="1:48" s="2141" customFormat="1" ht="24" hidden="1" outlineLevel="6">
      <c r="A364" s="2150"/>
      <c r="B364" s="2150"/>
      <c r="C364" s="2238" t="s">
        <v>1431</v>
      </c>
      <c r="D364" s="2230">
        <v>30.5</v>
      </c>
      <c r="M364" s="2098"/>
      <c r="N364" s="2098"/>
      <c r="O364" s="2098"/>
      <c r="P364" s="2098"/>
      <c r="R364" s="2198"/>
      <c r="S364" s="2198"/>
      <c r="T364" s="2198"/>
      <c r="U364" s="2198"/>
      <c r="V364" s="2168"/>
      <c r="W364" s="2168"/>
      <c r="X364" s="2168"/>
      <c r="Y364" s="2168"/>
      <c r="Z364" s="2168"/>
      <c r="AA364" s="2168"/>
      <c r="AB364" s="2168"/>
      <c r="AC364" s="2168"/>
      <c r="AD364" s="2168"/>
      <c r="AE364" s="2231">
        <v>30.5</v>
      </c>
      <c r="AF364" s="2231"/>
      <c r="AG364" s="2231"/>
      <c r="AH364" s="3403">
        <v>30.5</v>
      </c>
      <c r="AI364" s="3403"/>
      <c r="AJ364" s="2231"/>
      <c r="AK364" s="2231"/>
      <c r="AL364" s="2231"/>
      <c r="AM364" s="2231"/>
      <c r="AN364" s="2231">
        <v>30.5</v>
      </c>
      <c r="AO364" s="2231">
        <v>30.5</v>
      </c>
      <c r="AP364" s="2168"/>
      <c r="AQ364" s="2168"/>
      <c r="AR364" s="2168"/>
      <c r="AS364" s="2168"/>
      <c r="AT364" s="2168"/>
      <c r="AU364" s="2168"/>
      <c r="AV364" s="2168"/>
    </row>
    <row r="365" spans="1:48" s="2141" customFormat="1" ht="12" hidden="1" outlineLevel="6">
      <c r="A365" s="2150"/>
      <c r="B365" s="2150"/>
      <c r="C365" s="2238" t="s">
        <v>1432</v>
      </c>
      <c r="D365" s="2230">
        <v>1.7</v>
      </c>
      <c r="M365" s="2098"/>
      <c r="N365" s="2098"/>
      <c r="O365" s="2098"/>
      <c r="P365" s="2098"/>
      <c r="R365" s="2198"/>
      <c r="S365" s="2198"/>
      <c r="T365" s="2198"/>
      <c r="U365" s="2198"/>
      <c r="V365" s="2168"/>
      <c r="W365" s="2168"/>
      <c r="X365" s="2168"/>
      <c r="Y365" s="2168"/>
      <c r="Z365" s="2168"/>
      <c r="AA365" s="2168"/>
      <c r="AB365" s="2168"/>
      <c r="AC365" s="2168"/>
      <c r="AD365" s="2168"/>
      <c r="AE365" s="2231">
        <v>1.7</v>
      </c>
      <c r="AF365" s="2231"/>
      <c r="AG365" s="2231"/>
      <c r="AH365" s="2232"/>
      <c r="AI365" s="2233"/>
      <c r="AJ365" s="2231">
        <v>1.7</v>
      </c>
      <c r="AK365" s="2231"/>
      <c r="AL365" s="2231"/>
      <c r="AM365" s="2231"/>
      <c r="AN365" s="2231">
        <v>1.7</v>
      </c>
      <c r="AO365" s="2231">
        <v>1.7</v>
      </c>
      <c r="AP365" s="2168"/>
      <c r="AQ365" s="2168"/>
      <c r="AR365" s="2168"/>
      <c r="AS365" s="2168"/>
      <c r="AT365" s="2168"/>
      <c r="AU365" s="2168"/>
      <c r="AV365" s="2168"/>
    </row>
    <row r="366" spans="1:48" s="2141" customFormat="1" ht="36" hidden="1" outlineLevel="6">
      <c r="A366" s="2150"/>
      <c r="B366" s="2150"/>
      <c r="C366" s="2238" t="s">
        <v>1434</v>
      </c>
      <c r="D366" s="2230">
        <v>0.39</v>
      </c>
      <c r="M366" s="2098"/>
      <c r="N366" s="2098"/>
      <c r="O366" s="2098"/>
      <c r="P366" s="2098"/>
      <c r="R366" s="2198"/>
      <c r="S366" s="2198"/>
      <c r="T366" s="2198"/>
      <c r="U366" s="2198"/>
      <c r="V366" s="2168"/>
      <c r="W366" s="2168"/>
      <c r="X366" s="2168"/>
      <c r="Y366" s="2168"/>
      <c r="Z366" s="2168"/>
      <c r="AA366" s="2168"/>
      <c r="AB366" s="2168"/>
      <c r="AC366" s="2168"/>
      <c r="AD366" s="2168"/>
      <c r="AE366" s="2231">
        <v>0.39</v>
      </c>
      <c r="AF366" s="2231"/>
      <c r="AG366" s="2231"/>
      <c r="AH366" s="3403">
        <v>0.1</v>
      </c>
      <c r="AI366" s="3403"/>
      <c r="AJ366" s="2231">
        <v>0.28999999999999998</v>
      </c>
      <c r="AK366" s="2231"/>
      <c r="AL366" s="2231"/>
      <c r="AM366" s="2231"/>
      <c r="AN366" s="2231">
        <v>0.39</v>
      </c>
      <c r="AO366" s="2231">
        <v>0.39</v>
      </c>
      <c r="AP366" s="2168"/>
      <c r="AQ366" s="2168"/>
      <c r="AR366" s="2168"/>
      <c r="AS366" s="2168"/>
      <c r="AT366" s="2168"/>
      <c r="AU366" s="2168"/>
      <c r="AV366" s="2168"/>
    </row>
    <row r="367" spans="1:48" s="2141" customFormat="1" ht="36" hidden="1" outlineLevel="6">
      <c r="A367" s="2150"/>
      <c r="B367" s="2150"/>
      <c r="C367" s="2238" t="s">
        <v>1435</v>
      </c>
      <c r="D367" s="2230">
        <v>7.76</v>
      </c>
      <c r="M367" s="2098"/>
      <c r="N367" s="2098"/>
      <c r="O367" s="2098"/>
      <c r="P367" s="2098"/>
      <c r="R367" s="2198"/>
      <c r="S367" s="2198"/>
      <c r="T367" s="2198"/>
      <c r="U367" s="2198"/>
      <c r="V367" s="2168"/>
      <c r="W367" s="2168"/>
      <c r="X367" s="2168"/>
      <c r="Y367" s="2168"/>
      <c r="Z367" s="2168"/>
      <c r="AA367" s="2168"/>
      <c r="AB367" s="2168"/>
      <c r="AC367" s="2168"/>
      <c r="AD367" s="2168"/>
      <c r="AE367" s="2231">
        <v>7.76</v>
      </c>
      <c r="AF367" s="2231"/>
      <c r="AG367" s="2231"/>
      <c r="AH367" s="3403">
        <v>6.51</v>
      </c>
      <c r="AI367" s="3403"/>
      <c r="AJ367" s="2231">
        <v>1.25</v>
      </c>
      <c r="AK367" s="2231"/>
      <c r="AL367" s="2231"/>
      <c r="AM367" s="2231"/>
      <c r="AN367" s="2231">
        <v>7.76</v>
      </c>
      <c r="AO367" s="2231">
        <v>7.76</v>
      </c>
      <c r="AP367" s="2168"/>
      <c r="AQ367" s="2168"/>
      <c r="AR367" s="2168"/>
      <c r="AS367" s="2168"/>
      <c r="AT367" s="2168"/>
      <c r="AU367" s="2168"/>
      <c r="AV367" s="2168"/>
    </row>
    <row r="368" spans="1:48" s="2141" customFormat="1" ht="12" hidden="1" outlineLevel="6">
      <c r="A368" s="2150"/>
      <c r="B368" s="2150"/>
      <c r="C368" s="2238" t="s">
        <v>1455</v>
      </c>
      <c r="D368" s="2230">
        <v>0.41</v>
      </c>
      <c r="M368" s="2098"/>
      <c r="N368" s="2098"/>
      <c r="O368" s="2098"/>
      <c r="P368" s="2098"/>
      <c r="R368" s="2198"/>
      <c r="S368" s="2198"/>
      <c r="T368" s="2198"/>
      <c r="U368" s="2198"/>
      <c r="V368" s="2168"/>
      <c r="W368" s="2168"/>
      <c r="X368" s="2168"/>
      <c r="Y368" s="2168"/>
      <c r="Z368" s="2168"/>
      <c r="AA368" s="2168"/>
      <c r="AB368" s="2168"/>
      <c r="AC368" s="2168"/>
      <c r="AD368" s="2168"/>
      <c r="AE368" s="2231">
        <v>0.41</v>
      </c>
      <c r="AF368" s="2231"/>
      <c r="AG368" s="2231"/>
      <c r="AH368" s="2232"/>
      <c r="AI368" s="2233"/>
      <c r="AJ368" s="2231">
        <v>0.41</v>
      </c>
      <c r="AK368" s="2231"/>
      <c r="AL368" s="2231"/>
      <c r="AM368" s="2231"/>
      <c r="AN368" s="2231">
        <v>0.41</v>
      </c>
      <c r="AO368" s="2231">
        <v>0.41</v>
      </c>
      <c r="AP368" s="2168"/>
      <c r="AQ368" s="2168"/>
      <c r="AR368" s="2168"/>
      <c r="AS368" s="2168"/>
      <c r="AT368" s="2168"/>
      <c r="AU368" s="2168"/>
      <c r="AV368" s="2168"/>
    </row>
    <row r="369" spans="1:48" s="2141" customFormat="1" ht="12" hidden="1" outlineLevel="5">
      <c r="A369" s="2150"/>
      <c r="B369" s="2150"/>
      <c r="C369" s="2237" t="s">
        <v>1495</v>
      </c>
      <c r="D369" s="2225">
        <v>88.71</v>
      </c>
      <c r="M369" s="2098"/>
      <c r="N369" s="2098"/>
      <c r="O369" s="2098"/>
      <c r="P369" s="2098"/>
      <c r="R369" s="2198"/>
      <c r="S369" s="2198"/>
      <c r="T369" s="2198"/>
      <c r="U369" s="2198"/>
      <c r="V369" s="2168"/>
      <c r="W369" s="2168"/>
      <c r="X369" s="2168"/>
      <c r="Y369" s="2168"/>
      <c r="Z369" s="2168"/>
      <c r="AA369" s="2168"/>
      <c r="AB369" s="2168"/>
      <c r="AC369" s="2168"/>
      <c r="AD369" s="2168"/>
      <c r="AE369" s="2226">
        <v>88.71</v>
      </c>
      <c r="AF369" s="2226"/>
      <c r="AG369" s="2226"/>
      <c r="AH369" s="3405">
        <v>84.06</v>
      </c>
      <c r="AI369" s="3405"/>
      <c r="AJ369" s="2226">
        <v>4.6500000000000004</v>
      </c>
      <c r="AK369" s="2226"/>
      <c r="AL369" s="2226"/>
      <c r="AM369" s="2226"/>
      <c r="AN369" s="2226">
        <v>88.71</v>
      </c>
      <c r="AO369" s="2226">
        <v>88.71</v>
      </c>
      <c r="AP369" s="2168"/>
      <c r="AQ369" s="2168"/>
      <c r="AR369" s="2168"/>
      <c r="AS369" s="2168"/>
      <c r="AT369" s="2168"/>
      <c r="AU369" s="2168"/>
      <c r="AV369" s="2168"/>
    </row>
    <row r="370" spans="1:48" s="2141" customFormat="1" ht="12" hidden="1" outlineLevel="6">
      <c r="A370" s="2150"/>
      <c r="B370" s="2150"/>
      <c r="C370" s="2238" t="s">
        <v>1419</v>
      </c>
      <c r="D370" s="2230">
        <v>13.95</v>
      </c>
      <c r="M370" s="2098"/>
      <c r="N370" s="2098"/>
      <c r="O370" s="2098"/>
      <c r="P370" s="2098"/>
      <c r="R370" s="2198"/>
      <c r="S370" s="2198"/>
      <c r="T370" s="2198"/>
      <c r="U370" s="2198"/>
      <c r="V370" s="2168"/>
      <c r="W370" s="2168"/>
      <c r="X370" s="2168"/>
      <c r="Y370" s="2168"/>
      <c r="Z370" s="2168"/>
      <c r="AA370" s="2168"/>
      <c r="AB370" s="2168"/>
      <c r="AC370" s="2168"/>
      <c r="AD370" s="2168"/>
      <c r="AE370" s="2231">
        <v>13.95</v>
      </c>
      <c r="AF370" s="2231"/>
      <c r="AG370" s="2231"/>
      <c r="AH370" s="3403">
        <v>13.95</v>
      </c>
      <c r="AI370" s="3403"/>
      <c r="AJ370" s="2231"/>
      <c r="AK370" s="2231"/>
      <c r="AL370" s="2231"/>
      <c r="AM370" s="2231"/>
      <c r="AN370" s="2231">
        <v>13.95</v>
      </c>
      <c r="AO370" s="2231">
        <v>13.95</v>
      </c>
      <c r="AP370" s="2168"/>
      <c r="AQ370" s="2168"/>
      <c r="AR370" s="2168"/>
      <c r="AS370" s="2168"/>
      <c r="AT370" s="2168"/>
      <c r="AU370" s="2168"/>
      <c r="AV370" s="2168"/>
    </row>
    <row r="371" spans="1:48" s="2141" customFormat="1" ht="12" hidden="1" outlineLevel="6">
      <c r="A371" s="2150"/>
      <c r="B371" s="2150"/>
      <c r="C371" s="2238" t="s">
        <v>1420</v>
      </c>
      <c r="D371" s="2230">
        <v>66.55</v>
      </c>
      <c r="M371" s="2098"/>
      <c r="N371" s="2098"/>
      <c r="O371" s="2098"/>
      <c r="P371" s="2098"/>
      <c r="R371" s="2198"/>
      <c r="S371" s="2198"/>
      <c r="T371" s="2198"/>
      <c r="U371" s="2198"/>
      <c r="V371" s="2168"/>
      <c r="W371" s="2168"/>
      <c r="X371" s="2168"/>
      <c r="Y371" s="2168"/>
      <c r="Z371" s="2168"/>
      <c r="AA371" s="2168"/>
      <c r="AB371" s="2168"/>
      <c r="AC371" s="2168"/>
      <c r="AD371" s="2168"/>
      <c r="AE371" s="2231">
        <v>66.55</v>
      </c>
      <c r="AF371" s="2231"/>
      <c r="AG371" s="2231"/>
      <c r="AH371" s="3403">
        <v>61.9</v>
      </c>
      <c r="AI371" s="3403"/>
      <c r="AJ371" s="2231">
        <v>4.6500000000000004</v>
      </c>
      <c r="AK371" s="2231"/>
      <c r="AL371" s="2231"/>
      <c r="AM371" s="2231"/>
      <c r="AN371" s="2231">
        <v>66.55</v>
      </c>
      <c r="AO371" s="2231">
        <v>66.55</v>
      </c>
      <c r="AP371" s="2168"/>
      <c r="AQ371" s="2168"/>
      <c r="AR371" s="2168"/>
      <c r="AS371" s="2168"/>
      <c r="AT371" s="2168"/>
      <c r="AU371" s="2168"/>
      <c r="AV371" s="2168"/>
    </row>
    <row r="372" spans="1:48" s="2141" customFormat="1" ht="12" hidden="1" outlineLevel="6">
      <c r="A372" s="2150"/>
      <c r="B372" s="2150"/>
      <c r="C372" s="2238" t="s">
        <v>3831</v>
      </c>
      <c r="D372" s="2230">
        <v>0.2</v>
      </c>
      <c r="M372" s="2098"/>
      <c r="N372" s="2098"/>
      <c r="O372" s="2098"/>
      <c r="P372" s="2098"/>
      <c r="R372" s="2198"/>
      <c r="S372" s="2198"/>
      <c r="T372" s="2198"/>
      <c r="U372" s="2198"/>
      <c r="V372" s="2168"/>
      <c r="W372" s="2168"/>
      <c r="X372" s="2168"/>
      <c r="Y372" s="2168"/>
      <c r="Z372" s="2168"/>
      <c r="AA372" s="2168"/>
      <c r="AB372" s="2168"/>
      <c r="AC372" s="2168"/>
      <c r="AD372" s="2168"/>
      <c r="AE372" s="2231">
        <v>0.2</v>
      </c>
      <c r="AF372" s="2231"/>
      <c r="AG372" s="2231"/>
      <c r="AH372" s="3403">
        <v>0.2</v>
      </c>
      <c r="AI372" s="3403"/>
      <c r="AJ372" s="2231"/>
      <c r="AK372" s="2231"/>
      <c r="AL372" s="2231"/>
      <c r="AM372" s="2231"/>
      <c r="AN372" s="2231">
        <v>0.2</v>
      </c>
      <c r="AO372" s="2231">
        <v>0.2</v>
      </c>
      <c r="AP372" s="2168"/>
      <c r="AQ372" s="2168"/>
      <c r="AR372" s="2168"/>
      <c r="AS372" s="2168"/>
      <c r="AT372" s="2168"/>
      <c r="AU372" s="2168"/>
      <c r="AV372" s="2168"/>
    </row>
    <row r="373" spans="1:48" s="2141" customFormat="1" ht="24" hidden="1" outlineLevel="6">
      <c r="A373" s="2150"/>
      <c r="B373" s="2150"/>
      <c r="C373" s="2238" t="s">
        <v>1422</v>
      </c>
      <c r="D373" s="2230">
        <v>8.01</v>
      </c>
      <c r="M373" s="2098"/>
      <c r="N373" s="2098"/>
      <c r="O373" s="2098"/>
      <c r="P373" s="2098"/>
      <c r="R373" s="2198"/>
      <c r="S373" s="2198"/>
      <c r="T373" s="2198"/>
      <c r="U373" s="2198"/>
      <c r="V373" s="2168"/>
      <c r="W373" s="2168"/>
      <c r="X373" s="2168"/>
      <c r="Y373" s="2168"/>
      <c r="Z373" s="2168"/>
      <c r="AA373" s="2168"/>
      <c r="AB373" s="2168"/>
      <c r="AC373" s="2168"/>
      <c r="AD373" s="2168"/>
      <c r="AE373" s="2231">
        <v>8.01</v>
      </c>
      <c r="AF373" s="2231"/>
      <c r="AG373" s="2231"/>
      <c r="AH373" s="3403">
        <v>8.01</v>
      </c>
      <c r="AI373" s="3403"/>
      <c r="AJ373" s="2231"/>
      <c r="AK373" s="2231"/>
      <c r="AL373" s="2231"/>
      <c r="AM373" s="2231"/>
      <c r="AN373" s="2231">
        <v>8.01</v>
      </c>
      <c r="AO373" s="2231">
        <v>8.01</v>
      </c>
      <c r="AP373" s="2168"/>
      <c r="AQ373" s="2168"/>
      <c r="AR373" s="2168"/>
      <c r="AS373" s="2168"/>
      <c r="AT373" s="2168"/>
      <c r="AU373" s="2168"/>
      <c r="AV373" s="2168"/>
    </row>
    <row r="374" spans="1:48" s="2141" customFormat="1" ht="12" hidden="1" outlineLevel="5">
      <c r="A374" s="2150"/>
      <c r="B374" s="2150"/>
      <c r="C374" s="2237" t="s">
        <v>1496</v>
      </c>
      <c r="D374" s="2225">
        <v>10.32</v>
      </c>
      <c r="M374" s="2098"/>
      <c r="N374" s="2098"/>
      <c r="O374" s="2098"/>
      <c r="P374" s="2098"/>
      <c r="R374" s="2198"/>
      <c r="S374" s="2198"/>
      <c r="T374" s="2198"/>
      <c r="U374" s="2198"/>
      <c r="V374" s="2168"/>
      <c r="W374" s="2168"/>
      <c r="X374" s="2168"/>
      <c r="Y374" s="2168"/>
      <c r="Z374" s="2168"/>
      <c r="AA374" s="2168"/>
      <c r="AB374" s="2168"/>
      <c r="AC374" s="2168"/>
      <c r="AD374" s="2168"/>
      <c r="AE374" s="2226">
        <v>10.32</v>
      </c>
      <c r="AF374" s="2226"/>
      <c r="AG374" s="2226"/>
      <c r="AH374" s="3405">
        <v>10.32</v>
      </c>
      <c r="AI374" s="3405"/>
      <c r="AJ374" s="2226"/>
      <c r="AK374" s="2226"/>
      <c r="AL374" s="2226"/>
      <c r="AM374" s="2226"/>
      <c r="AN374" s="2226">
        <v>10.32</v>
      </c>
      <c r="AO374" s="2226">
        <v>10.32</v>
      </c>
      <c r="AP374" s="2168"/>
      <c r="AQ374" s="2168"/>
      <c r="AR374" s="2168"/>
      <c r="AS374" s="2168"/>
      <c r="AT374" s="2168"/>
      <c r="AU374" s="2168"/>
      <c r="AV374" s="2168"/>
    </row>
    <row r="375" spans="1:48" s="2141" customFormat="1" ht="12" hidden="1" outlineLevel="6">
      <c r="A375" s="2150"/>
      <c r="B375" s="2150"/>
      <c r="C375" s="2238" t="s">
        <v>1423</v>
      </c>
      <c r="D375" s="2230">
        <v>10.32</v>
      </c>
      <c r="M375" s="2098"/>
      <c r="N375" s="2098"/>
      <c r="O375" s="2098"/>
      <c r="P375" s="2098"/>
      <c r="R375" s="2198"/>
      <c r="S375" s="2198"/>
      <c r="T375" s="2198"/>
      <c r="U375" s="2198"/>
      <c r="V375" s="2168"/>
      <c r="W375" s="2168"/>
      <c r="X375" s="2168"/>
      <c r="Y375" s="2168"/>
      <c r="Z375" s="2168"/>
      <c r="AA375" s="2168"/>
      <c r="AB375" s="2168"/>
      <c r="AC375" s="2168"/>
      <c r="AD375" s="2168"/>
      <c r="AE375" s="2231">
        <v>10.32</v>
      </c>
      <c r="AF375" s="2231"/>
      <c r="AG375" s="2231"/>
      <c r="AH375" s="3403">
        <v>10.32</v>
      </c>
      <c r="AI375" s="3403"/>
      <c r="AJ375" s="2231"/>
      <c r="AK375" s="2231"/>
      <c r="AL375" s="2231"/>
      <c r="AM375" s="2231"/>
      <c r="AN375" s="2231">
        <v>10.32</v>
      </c>
      <c r="AO375" s="2231">
        <v>10.32</v>
      </c>
      <c r="AP375" s="2168"/>
      <c r="AQ375" s="2168"/>
      <c r="AR375" s="2168"/>
      <c r="AS375" s="2168"/>
      <c r="AT375" s="2168"/>
      <c r="AU375" s="2168"/>
      <c r="AV375" s="2168"/>
    </row>
    <row r="376" spans="1:48" s="2141" customFormat="1" ht="12" hidden="1" outlineLevel="5">
      <c r="A376" s="2150"/>
      <c r="B376" s="2150"/>
      <c r="C376" s="2236" t="s">
        <v>3812</v>
      </c>
      <c r="D376" s="2230">
        <v>7.33</v>
      </c>
      <c r="M376" s="2098"/>
      <c r="N376" s="2098"/>
      <c r="O376" s="2098"/>
      <c r="P376" s="2098"/>
      <c r="R376" s="2198"/>
      <c r="S376" s="2198"/>
      <c r="T376" s="2198"/>
      <c r="U376" s="2198"/>
      <c r="V376" s="2168"/>
      <c r="W376" s="2168"/>
      <c r="X376" s="2168"/>
      <c r="Y376" s="2168"/>
      <c r="Z376" s="2168"/>
      <c r="AA376" s="2168"/>
      <c r="AB376" s="2168"/>
      <c r="AC376" s="2168"/>
      <c r="AD376" s="2168"/>
      <c r="AE376" s="2231">
        <v>7.33</v>
      </c>
      <c r="AF376" s="2231"/>
      <c r="AG376" s="2231"/>
      <c r="AH376" s="2232"/>
      <c r="AI376" s="2233"/>
      <c r="AJ376" s="2231">
        <v>7.33</v>
      </c>
      <c r="AK376" s="2231"/>
      <c r="AL376" s="2231"/>
      <c r="AM376" s="2231"/>
      <c r="AN376" s="2231">
        <v>7.33</v>
      </c>
      <c r="AO376" s="2231">
        <v>7.33</v>
      </c>
      <c r="AP376" s="2168"/>
      <c r="AQ376" s="2168"/>
      <c r="AR376" s="2168"/>
      <c r="AS376" s="2168"/>
      <c r="AT376" s="2168"/>
      <c r="AU376" s="2168"/>
      <c r="AV376" s="2168"/>
    </row>
    <row r="377" spans="1:48" s="2141" customFormat="1" ht="12" hidden="1" outlineLevel="5">
      <c r="A377" s="2150"/>
      <c r="B377" s="2150"/>
      <c r="C377" s="2237" t="s">
        <v>1497</v>
      </c>
      <c r="D377" s="2225">
        <v>748.52</v>
      </c>
      <c r="M377" s="2098"/>
      <c r="N377" s="2098"/>
      <c r="O377" s="2098"/>
      <c r="P377" s="2098"/>
      <c r="R377" s="2198"/>
      <c r="S377" s="2198"/>
      <c r="T377" s="2198"/>
      <c r="U377" s="2198"/>
      <c r="V377" s="2168"/>
      <c r="W377" s="2168"/>
      <c r="X377" s="2168"/>
      <c r="Y377" s="2168"/>
      <c r="Z377" s="2168"/>
      <c r="AA377" s="2168"/>
      <c r="AB377" s="2168"/>
      <c r="AC377" s="2168"/>
      <c r="AD377" s="2168"/>
      <c r="AE377" s="2226">
        <v>748.52</v>
      </c>
      <c r="AF377" s="2226"/>
      <c r="AG377" s="2226"/>
      <c r="AH377" s="3405">
        <v>253.79</v>
      </c>
      <c r="AI377" s="3405"/>
      <c r="AJ377" s="2226">
        <v>494.73</v>
      </c>
      <c r="AK377" s="2226"/>
      <c r="AL377" s="2226"/>
      <c r="AM377" s="2226"/>
      <c r="AN377" s="2226">
        <v>748.52</v>
      </c>
      <c r="AO377" s="2226">
        <v>748.52</v>
      </c>
      <c r="AP377" s="2168"/>
      <c r="AQ377" s="2168"/>
      <c r="AR377" s="2168"/>
      <c r="AS377" s="2168"/>
      <c r="AT377" s="2168"/>
      <c r="AU377" s="2168"/>
      <c r="AV377" s="2168"/>
    </row>
    <row r="378" spans="1:48" s="2141" customFormat="1" ht="12" hidden="1" outlineLevel="6">
      <c r="A378" s="2150"/>
      <c r="B378" s="2150"/>
      <c r="C378" s="2238" t="s">
        <v>1414</v>
      </c>
      <c r="D378" s="2230">
        <v>191.14</v>
      </c>
      <c r="M378" s="2098"/>
      <c r="N378" s="2098"/>
      <c r="O378" s="2098"/>
      <c r="P378" s="2098"/>
      <c r="R378" s="2198"/>
      <c r="S378" s="2198"/>
      <c r="T378" s="2198"/>
      <c r="U378" s="2198"/>
      <c r="V378" s="2168"/>
      <c r="W378" s="2168"/>
      <c r="X378" s="2168"/>
      <c r="Y378" s="2168"/>
      <c r="Z378" s="2168"/>
      <c r="AA378" s="2168"/>
      <c r="AB378" s="2168"/>
      <c r="AC378" s="2168"/>
      <c r="AD378" s="2168"/>
      <c r="AE378" s="2231">
        <v>191.14</v>
      </c>
      <c r="AF378" s="2231"/>
      <c r="AG378" s="2231"/>
      <c r="AH378" s="3403">
        <v>129.87</v>
      </c>
      <c r="AI378" s="3403"/>
      <c r="AJ378" s="2231">
        <v>61.27</v>
      </c>
      <c r="AK378" s="2231"/>
      <c r="AL378" s="2231"/>
      <c r="AM378" s="2231"/>
      <c r="AN378" s="2231">
        <v>191.14</v>
      </c>
      <c r="AO378" s="2231">
        <v>191.14</v>
      </c>
      <c r="AP378" s="2168"/>
      <c r="AQ378" s="2168"/>
      <c r="AR378" s="2168"/>
      <c r="AS378" s="2168"/>
      <c r="AT378" s="2168"/>
      <c r="AU378" s="2168"/>
      <c r="AV378" s="2168"/>
    </row>
    <row r="379" spans="1:48" s="2141" customFormat="1" ht="24" hidden="1" outlineLevel="6">
      <c r="A379" s="2150"/>
      <c r="B379" s="2150"/>
      <c r="C379" s="2238" t="s">
        <v>1415</v>
      </c>
      <c r="D379" s="2230">
        <v>10.47</v>
      </c>
      <c r="M379" s="2098"/>
      <c r="N379" s="2098"/>
      <c r="O379" s="2098"/>
      <c r="P379" s="2098"/>
      <c r="R379" s="2198"/>
      <c r="S379" s="2198"/>
      <c r="T379" s="2198"/>
      <c r="U379" s="2198"/>
      <c r="V379" s="2168"/>
      <c r="W379" s="2168"/>
      <c r="X379" s="2168"/>
      <c r="Y379" s="2168"/>
      <c r="Z379" s="2168"/>
      <c r="AA379" s="2168"/>
      <c r="AB379" s="2168"/>
      <c r="AC379" s="2168"/>
      <c r="AD379" s="2168"/>
      <c r="AE379" s="2231">
        <v>10.47</v>
      </c>
      <c r="AF379" s="2231"/>
      <c r="AG379" s="2231"/>
      <c r="AH379" s="2232"/>
      <c r="AI379" s="2233"/>
      <c r="AJ379" s="2231">
        <v>10.47</v>
      </c>
      <c r="AK379" s="2231"/>
      <c r="AL379" s="2231"/>
      <c r="AM379" s="2231"/>
      <c r="AN379" s="2231">
        <v>10.47</v>
      </c>
      <c r="AO379" s="2231">
        <v>10.47</v>
      </c>
      <c r="AP379" s="2168"/>
      <c r="AQ379" s="2168"/>
      <c r="AR379" s="2168"/>
      <c r="AS379" s="2168"/>
      <c r="AT379" s="2168"/>
      <c r="AU379" s="2168"/>
      <c r="AV379" s="2168"/>
    </row>
    <row r="380" spans="1:48" s="2141" customFormat="1" ht="24" hidden="1" outlineLevel="6">
      <c r="A380" s="2150"/>
      <c r="B380" s="2150"/>
      <c r="C380" s="2238" t="s">
        <v>1416</v>
      </c>
      <c r="D380" s="2230">
        <v>435.95</v>
      </c>
      <c r="M380" s="2098"/>
      <c r="N380" s="2098"/>
      <c r="O380" s="2098"/>
      <c r="P380" s="2098"/>
      <c r="R380" s="2198"/>
      <c r="S380" s="2198"/>
      <c r="T380" s="2198"/>
      <c r="U380" s="2198"/>
      <c r="V380" s="2168"/>
      <c r="W380" s="2168"/>
      <c r="X380" s="2168"/>
      <c r="Y380" s="2168"/>
      <c r="Z380" s="2168"/>
      <c r="AA380" s="2168"/>
      <c r="AB380" s="2168"/>
      <c r="AC380" s="2168"/>
      <c r="AD380" s="2168"/>
      <c r="AE380" s="2231">
        <v>435.95</v>
      </c>
      <c r="AF380" s="2231"/>
      <c r="AG380" s="2231"/>
      <c r="AH380" s="3403">
        <v>112.54</v>
      </c>
      <c r="AI380" s="3403"/>
      <c r="AJ380" s="2231">
        <v>323.41000000000003</v>
      </c>
      <c r="AK380" s="2231"/>
      <c r="AL380" s="2231"/>
      <c r="AM380" s="2231"/>
      <c r="AN380" s="2231">
        <v>435.95</v>
      </c>
      <c r="AO380" s="2231">
        <v>435.95</v>
      </c>
      <c r="AP380" s="2168"/>
      <c r="AQ380" s="2168"/>
      <c r="AR380" s="2168"/>
      <c r="AS380" s="2168"/>
      <c r="AT380" s="2168"/>
      <c r="AU380" s="2168"/>
      <c r="AV380" s="2168"/>
    </row>
    <row r="381" spans="1:48" s="2141" customFormat="1" ht="24" hidden="1" outlineLevel="6">
      <c r="A381" s="2150"/>
      <c r="B381" s="2150"/>
      <c r="C381" s="2238" t="s">
        <v>1417</v>
      </c>
      <c r="D381" s="2230">
        <v>32.58</v>
      </c>
      <c r="M381" s="2098"/>
      <c r="N381" s="2098"/>
      <c r="O381" s="2098"/>
      <c r="P381" s="2098"/>
      <c r="R381" s="2198"/>
      <c r="S381" s="2198"/>
      <c r="T381" s="2198"/>
      <c r="U381" s="2198"/>
      <c r="V381" s="2168"/>
      <c r="W381" s="2168"/>
      <c r="X381" s="2168"/>
      <c r="Y381" s="2168"/>
      <c r="Z381" s="2168"/>
      <c r="AA381" s="2168"/>
      <c r="AB381" s="2168"/>
      <c r="AC381" s="2168"/>
      <c r="AD381" s="2168"/>
      <c r="AE381" s="2231">
        <v>32.58</v>
      </c>
      <c r="AF381" s="2231"/>
      <c r="AG381" s="2231"/>
      <c r="AH381" s="3403">
        <v>10.01</v>
      </c>
      <c r="AI381" s="3403"/>
      <c r="AJ381" s="2231">
        <v>22.57</v>
      </c>
      <c r="AK381" s="2231"/>
      <c r="AL381" s="2231"/>
      <c r="AM381" s="2231"/>
      <c r="AN381" s="2231">
        <v>32.58</v>
      </c>
      <c r="AO381" s="2231">
        <v>32.58</v>
      </c>
      <c r="AP381" s="2168"/>
      <c r="AQ381" s="2168"/>
      <c r="AR381" s="2168"/>
      <c r="AS381" s="2168"/>
      <c r="AT381" s="2168"/>
      <c r="AU381" s="2168"/>
      <c r="AV381" s="2168"/>
    </row>
    <row r="382" spans="1:48" s="2141" customFormat="1" ht="24" hidden="1" outlineLevel="6">
      <c r="A382" s="2150"/>
      <c r="B382" s="2150"/>
      <c r="C382" s="2238" t="s">
        <v>1418</v>
      </c>
      <c r="D382" s="2230">
        <v>78.38</v>
      </c>
      <c r="M382" s="2098"/>
      <c r="N382" s="2098"/>
      <c r="O382" s="2098"/>
      <c r="P382" s="2098"/>
      <c r="R382" s="2198"/>
      <c r="S382" s="2198"/>
      <c r="T382" s="2198"/>
      <c r="U382" s="2198"/>
      <c r="V382" s="2168"/>
      <c r="W382" s="2168"/>
      <c r="X382" s="2168"/>
      <c r="Y382" s="2168"/>
      <c r="Z382" s="2168"/>
      <c r="AA382" s="2168"/>
      <c r="AB382" s="2168"/>
      <c r="AC382" s="2168"/>
      <c r="AD382" s="2168"/>
      <c r="AE382" s="2231">
        <v>78.38</v>
      </c>
      <c r="AF382" s="2231"/>
      <c r="AG382" s="2231"/>
      <c r="AH382" s="3403">
        <v>1.37</v>
      </c>
      <c r="AI382" s="3403"/>
      <c r="AJ382" s="2231">
        <v>77.010000000000005</v>
      </c>
      <c r="AK382" s="2231"/>
      <c r="AL382" s="2231"/>
      <c r="AM382" s="2231"/>
      <c r="AN382" s="2231">
        <v>78.38</v>
      </c>
      <c r="AO382" s="2231">
        <v>78.38</v>
      </c>
      <c r="AP382" s="2168"/>
      <c r="AQ382" s="2168"/>
      <c r="AR382" s="2168"/>
      <c r="AS382" s="2168"/>
      <c r="AT382" s="2168"/>
      <c r="AU382" s="2168"/>
      <c r="AV382" s="2168"/>
    </row>
    <row r="383" spans="1:48" s="2141" customFormat="1" ht="12" hidden="1" outlineLevel="5">
      <c r="A383" s="2150"/>
      <c r="B383" s="2150"/>
      <c r="C383" s="2237" t="s">
        <v>1498</v>
      </c>
      <c r="D383" s="2225">
        <v>251.53</v>
      </c>
      <c r="M383" s="2098"/>
      <c r="N383" s="2098"/>
      <c r="O383" s="2098"/>
      <c r="P383" s="2098"/>
      <c r="R383" s="2198"/>
      <c r="S383" s="2198"/>
      <c r="T383" s="2198"/>
      <c r="U383" s="2198"/>
      <c r="V383" s="2168"/>
      <c r="W383" s="2168"/>
      <c r="X383" s="2168"/>
      <c r="Y383" s="2168"/>
      <c r="Z383" s="2168"/>
      <c r="AA383" s="2168"/>
      <c r="AB383" s="2168"/>
      <c r="AC383" s="2168"/>
      <c r="AD383" s="2168"/>
      <c r="AE383" s="2226">
        <v>251.53</v>
      </c>
      <c r="AF383" s="2226"/>
      <c r="AG383" s="2226"/>
      <c r="AH383" s="3405">
        <v>244.31</v>
      </c>
      <c r="AI383" s="3405"/>
      <c r="AJ383" s="2226">
        <v>7.22</v>
      </c>
      <c r="AK383" s="2226"/>
      <c r="AL383" s="2226"/>
      <c r="AM383" s="2226"/>
      <c r="AN383" s="2226">
        <v>251.53</v>
      </c>
      <c r="AO383" s="2226">
        <v>251.53</v>
      </c>
      <c r="AP383" s="2168"/>
      <c r="AQ383" s="2168"/>
      <c r="AR383" s="2168"/>
      <c r="AS383" s="2168"/>
      <c r="AT383" s="2168"/>
      <c r="AU383" s="2168"/>
      <c r="AV383" s="2168"/>
    </row>
    <row r="384" spans="1:48" s="2141" customFormat="1" ht="12" hidden="1" outlineLevel="6">
      <c r="A384" s="2150"/>
      <c r="B384" s="2150"/>
      <c r="C384" s="2238" t="s">
        <v>1365</v>
      </c>
      <c r="D384" s="2230">
        <v>213.18</v>
      </c>
      <c r="M384" s="2098"/>
      <c r="N384" s="2098"/>
      <c r="O384" s="2098"/>
      <c r="P384" s="2098"/>
      <c r="R384" s="2198"/>
      <c r="S384" s="2198"/>
      <c r="T384" s="2198"/>
      <c r="U384" s="2198"/>
      <c r="V384" s="2168"/>
      <c r="W384" s="2168"/>
      <c r="X384" s="2168"/>
      <c r="Y384" s="2168"/>
      <c r="Z384" s="2168"/>
      <c r="AA384" s="2168"/>
      <c r="AB384" s="2168"/>
      <c r="AC384" s="2168"/>
      <c r="AD384" s="2168"/>
      <c r="AE384" s="2231">
        <v>213.18</v>
      </c>
      <c r="AF384" s="2231"/>
      <c r="AG384" s="2231"/>
      <c r="AH384" s="3403">
        <v>205.96</v>
      </c>
      <c r="AI384" s="3403"/>
      <c r="AJ384" s="2231">
        <v>7.22</v>
      </c>
      <c r="AK384" s="2231"/>
      <c r="AL384" s="2231"/>
      <c r="AM384" s="2231"/>
      <c r="AN384" s="2231">
        <v>213.18</v>
      </c>
      <c r="AO384" s="2231">
        <v>213.18</v>
      </c>
      <c r="AP384" s="2168"/>
      <c r="AQ384" s="2168"/>
      <c r="AR384" s="2168"/>
      <c r="AS384" s="2168"/>
      <c r="AT384" s="2168"/>
      <c r="AU384" s="2168"/>
      <c r="AV384" s="2168"/>
    </row>
    <row r="385" spans="1:48" s="2141" customFormat="1" ht="12" hidden="1" outlineLevel="6">
      <c r="A385" s="2150"/>
      <c r="B385" s="2150"/>
      <c r="C385" s="2238" t="s">
        <v>1367</v>
      </c>
      <c r="D385" s="2230">
        <v>38.35</v>
      </c>
      <c r="M385" s="2098"/>
      <c r="N385" s="2098"/>
      <c r="O385" s="2098"/>
      <c r="P385" s="2098"/>
      <c r="R385" s="2198"/>
      <c r="S385" s="2198"/>
      <c r="T385" s="2198"/>
      <c r="U385" s="2198"/>
      <c r="V385" s="2168"/>
      <c r="W385" s="2168"/>
      <c r="X385" s="2168"/>
      <c r="Y385" s="2168"/>
      <c r="Z385" s="2168"/>
      <c r="AA385" s="2168"/>
      <c r="AB385" s="2168"/>
      <c r="AC385" s="2168"/>
      <c r="AD385" s="2168"/>
      <c r="AE385" s="2231">
        <v>38.35</v>
      </c>
      <c r="AF385" s="2231"/>
      <c r="AG385" s="2231"/>
      <c r="AH385" s="3403">
        <v>38.35</v>
      </c>
      <c r="AI385" s="3403"/>
      <c r="AJ385" s="2231"/>
      <c r="AK385" s="2231"/>
      <c r="AL385" s="2231"/>
      <c r="AM385" s="2231"/>
      <c r="AN385" s="2231">
        <v>38.35</v>
      </c>
      <c r="AO385" s="2231">
        <v>38.35</v>
      </c>
      <c r="AP385" s="2168"/>
      <c r="AQ385" s="2168"/>
      <c r="AR385" s="2168"/>
      <c r="AS385" s="2168"/>
      <c r="AT385" s="2168"/>
      <c r="AU385" s="2168"/>
      <c r="AV385" s="2168"/>
    </row>
    <row r="386" spans="1:48" s="2141" customFormat="1" ht="12" hidden="1" outlineLevel="5">
      <c r="A386" s="2150"/>
      <c r="B386" s="2150"/>
      <c r="C386" s="2236" t="s">
        <v>1444</v>
      </c>
      <c r="D386" s="2230">
        <v>39.979999999999997</v>
      </c>
      <c r="M386" s="2098"/>
      <c r="N386" s="2098"/>
      <c r="O386" s="2098"/>
      <c r="P386" s="2098"/>
      <c r="R386" s="2198"/>
      <c r="S386" s="2198"/>
      <c r="T386" s="2198"/>
      <c r="U386" s="2198"/>
      <c r="V386" s="2168"/>
      <c r="W386" s="2168"/>
      <c r="X386" s="2168"/>
      <c r="Y386" s="2168"/>
      <c r="Z386" s="2168"/>
      <c r="AA386" s="2168"/>
      <c r="AB386" s="2168"/>
      <c r="AC386" s="2168"/>
      <c r="AD386" s="2168"/>
      <c r="AE386" s="2231">
        <v>39.979999999999997</v>
      </c>
      <c r="AF386" s="2231"/>
      <c r="AG386" s="2231"/>
      <c r="AH386" s="3403">
        <v>39.979999999999997</v>
      </c>
      <c r="AI386" s="3403"/>
      <c r="AJ386" s="2231"/>
      <c r="AK386" s="2231"/>
      <c r="AL386" s="2231"/>
      <c r="AM386" s="2231"/>
      <c r="AN386" s="2231">
        <v>39.979999999999997</v>
      </c>
      <c r="AO386" s="2231">
        <v>39.979999999999997</v>
      </c>
      <c r="AP386" s="2168"/>
      <c r="AQ386" s="2168"/>
      <c r="AR386" s="2168"/>
      <c r="AS386" s="2168"/>
      <c r="AT386" s="2168"/>
      <c r="AU386" s="2168"/>
      <c r="AV386" s="2168"/>
    </row>
    <row r="387" spans="1:48" s="2141" customFormat="1" ht="36" hidden="1" outlineLevel="5">
      <c r="A387" s="2150"/>
      <c r="B387" s="2150"/>
      <c r="C387" s="2236" t="s">
        <v>1445</v>
      </c>
      <c r="D387" s="2230">
        <v>23.58</v>
      </c>
      <c r="M387" s="2098"/>
      <c r="N387" s="2098"/>
      <c r="O387" s="2098"/>
      <c r="P387" s="2098"/>
      <c r="R387" s="2198"/>
      <c r="S387" s="2198"/>
      <c r="T387" s="2198"/>
      <c r="U387" s="2198"/>
      <c r="V387" s="2168"/>
      <c r="W387" s="2168"/>
      <c r="X387" s="2168"/>
      <c r="Y387" s="2168"/>
      <c r="Z387" s="2168"/>
      <c r="AA387" s="2168"/>
      <c r="AB387" s="2168"/>
      <c r="AC387" s="2168"/>
      <c r="AD387" s="2168"/>
      <c r="AE387" s="2231">
        <v>23.58</v>
      </c>
      <c r="AF387" s="2231"/>
      <c r="AG387" s="2231"/>
      <c r="AH387" s="3403">
        <v>23.58</v>
      </c>
      <c r="AI387" s="3403"/>
      <c r="AJ387" s="2231"/>
      <c r="AK387" s="2231"/>
      <c r="AL387" s="2231"/>
      <c r="AM387" s="2231"/>
      <c r="AN387" s="2231">
        <v>23.58</v>
      </c>
      <c r="AO387" s="2231">
        <v>23.58</v>
      </c>
      <c r="AP387" s="2168"/>
      <c r="AQ387" s="2168"/>
      <c r="AR387" s="2168"/>
      <c r="AS387" s="2168"/>
      <c r="AT387" s="2168"/>
      <c r="AU387" s="2168"/>
      <c r="AV387" s="2168"/>
    </row>
    <row r="388" spans="1:48" s="2141" customFormat="1" ht="12" hidden="1" outlineLevel="5">
      <c r="A388" s="2150"/>
      <c r="B388" s="2150"/>
      <c r="C388" s="2237" t="s">
        <v>1499</v>
      </c>
      <c r="D388" s="2225">
        <v>297.18</v>
      </c>
      <c r="M388" s="2098"/>
      <c r="N388" s="2098"/>
      <c r="O388" s="2098"/>
      <c r="P388" s="2098"/>
      <c r="R388" s="2198"/>
      <c r="S388" s="2198"/>
      <c r="T388" s="2198"/>
      <c r="U388" s="2198"/>
      <c r="V388" s="2168"/>
      <c r="W388" s="2168"/>
      <c r="X388" s="2168"/>
      <c r="Y388" s="2168"/>
      <c r="Z388" s="2168"/>
      <c r="AA388" s="2168"/>
      <c r="AB388" s="2168"/>
      <c r="AC388" s="2168"/>
      <c r="AD388" s="2168"/>
      <c r="AE388" s="2226">
        <v>297.18</v>
      </c>
      <c r="AF388" s="2226"/>
      <c r="AG388" s="2226"/>
      <c r="AH388" s="3405">
        <v>164</v>
      </c>
      <c r="AI388" s="3405"/>
      <c r="AJ388" s="2226">
        <v>133.18</v>
      </c>
      <c r="AK388" s="2226"/>
      <c r="AL388" s="2226"/>
      <c r="AM388" s="2226"/>
      <c r="AN388" s="2226">
        <v>297.18</v>
      </c>
      <c r="AO388" s="2226">
        <v>297.18</v>
      </c>
      <c r="AP388" s="2168"/>
      <c r="AQ388" s="2168"/>
      <c r="AR388" s="2168"/>
      <c r="AS388" s="2168"/>
      <c r="AT388" s="2168"/>
      <c r="AU388" s="2168"/>
      <c r="AV388" s="2168"/>
    </row>
    <row r="389" spans="1:48" s="2141" customFormat="1" ht="24" hidden="1" outlineLevel="6">
      <c r="A389" s="2150"/>
      <c r="B389" s="2150"/>
      <c r="C389" s="2238" t="s">
        <v>1447</v>
      </c>
      <c r="D389" s="2230">
        <v>149.82</v>
      </c>
      <c r="M389" s="2098"/>
      <c r="N389" s="2098"/>
      <c r="O389" s="2098"/>
      <c r="P389" s="2098"/>
      <c r="R389" s="2198"/>
      <c r="S389" s="2198"/>
      <c r="T389" s="2198"/>
      <c r="U389" s="2198"/>
      <c r="V389" s="2168"/>
      <c r="W389" s="2168"/>
      <c r="X389" s="2168"/>
      <c r="Y389" s="2168"/>
      <c r="Z389" s="2168"/>
      <c r="AA389" s="2168"/>
      <c r="AB389" s="2168"/>
      <c r="AC389" s="2168"/>
      <c r="AD389" s="2168"/>
      <c r="AE389" s="2231">
        <v>149.82</v>
      </c>
      <c r="AF389" s="2231"/>
      <c r="AG389" s="2231"/>
      <c r="AH389" s="3403">
        <v>99.81</v>
      </c>
      <c r="AI389" s="3403"/>
      <c r="AJ389" s="2231">
        <v>50.01</v>
      </c>
      <c r="AK389" s="2231"/>
      <c r="AL389" s="2231"/>
      <c r="AM389" s="2231"/>
      <c r="AN389" s="2231">
        <v>149.82</v>
      </c>
      <c r="AO389" s="2231">
        <v>149.82</v>
      </c>
      <c r="AP389" s="2168"/>
      <c r="AQ389" s="2168"/>
      <c r="AR389" s="2168"/>
      <c r="AS389" s="2168"/>
      <c r="AT389" s="2168"/>
      <c r="AU389" s="2168"/>
      <c r="AV389" s="2168"/>
    </row>
    <row r="390" spans="1:48" s="2141" customFormat="1" ht="24" hidden="1" outlineLevel="6">
      <c r="A390" s="2150"/>
      <c r="B390" s="2150"/>
      <c r="C390" s="2238" t="s">
        <v>1448</v>
      </c>
      <c r="D390" s="2230">
        <v>40.840000000000003</v>
      </c>
      <c r="M390" s="2098"/>
      <c r="N390" s="2098"/>
      <c r="O390" s="2098"/>
      <c r="P390" s="2098"/>
      <c r="R390" s="2198"/>
      <c r="S390" s="2198"/>
      <c r="T390" s="2198"/>
      <c r="U390" s="2198"/>
      <c r="V390" s="2168"/>
      <c r="W390" s="2168"/>
      <c r="X390" s="2168"/>
      <c r="Y390" s="2168"/>
      <c r="Z390" s="2168"/>
      <c r="AA390" s="2168"/>
      <c r="AB390" s="2168"/>
      <c r="AC390" s="2168"/>
      <c r="AD390" s="2168"/>
      <c r="AE390" s="2231">
        <v>40.840000000000003</v>
      </c>
      <c r="AF390" s="2231"/>
      <c r="AG390" s="2231"/>
      <c r="AH390" s="3403">
        <v>27.68</v>
      </c>
      <c r="AI390" s="3403"/>
      <c r="AJ390" s="2231">
        <v>13.16</v>
      </c>
      <c r="AK390" s="2231"/>
      <c r="AL390" s="2231"/>
      <c r="AM390" s="2231"/>
      <c r="AN390" s="2231">
        <v>40.840000000000003</v>
      </c>
      <c r="AO390" s="2231">
        <v>40.840000000000003</v>
      </c>
      <c r="AP390" s="2168"/>
      <c r="AQ390" s="2168"/>
      <c r="AR390" s="2168"/>
      <c r="AS390" s="2168"/>
      <c r="AT390" s="2168"/>
      <c r="AU390" s="2168"/>
      <c r="AV390" s="2168"/>
    </row>
    <row r="391" spans="1:48" s="2141" customFormat="1" ht="24" hidden="1" outlineLevel="6">
      <c r="A391" s="2150"/>
      <c r="B391" s="2150"/>
      <c r="C391" s="2238" t="s">
        <v>1449</v>
      </c>
      <c r="D391" s="2230">
        <v>15.9</v>
      </c>
      <c r="M391" s="2098"/>
      <c r="N391" s="2098"/>
      <c r="O391" s="2098"/>
      <c r="P391" s="2098"/>
      <c r="R391" s="2198"/>
      <c r="S391" s="2198"/>
      <c r="T391" s="2198"/>
      <c r="U391" s="2198"/>
      <c r="V391" s="2168"/>
      <c r="W391" s="2168"/>
      <c r="X391" s="2168"/>
      <c r="Y391" s="2168"/>
      <c r="Z391" s="2168"/>
      <c r="AA391" s="2168"/>
      <c r="AB391" s="2168"/>
      <c r="AC391" s="2168"/>
      <c r="AD391" s="2168"/>
      <c r="AE391" s="2231">
        <v>15.9</v>
      </c>
      <c r="AF391" s="2231"/>
      <c r="AG391" s="2231"/>
      <c r="AH391" s="3403">
        <v>15.24</v>
      </c>
      <c r="AI391" s="3403"/>
      <c r="AJ391" s="2231">
        <v>0.66</v>
      </c>
      <c r="AK391" s="2231"/>
      <c r="AL391" s="2231"/>
      <c r="AM391" s="2231"/>
      <c r="AN391" s="2231">
        <v>15.9</v>
      </c>
      <c r="AO391" s="2231">
        <v>15.9</v>
      </c>
      <c r="AP391" s="2168"/>
      <c r="AQ391" s="2168"/>
      <c r="AR391" s="2168"/>
      <c r="AS391" s="2168"/>
      <c r="AT391" s="2168"/>
      <c r="AU391" s="2168"/>
      <c r="AV391" s="2168"/>
    </row>
    <row r="392" spans="1:48" s="2141" customFormat="1" ht="12" hidden="1" outlineLevel="6">
      <c r="A392" s="2150"/>
      <c r="B392" s="2150"/>
      <c r="C392" s="2238" t="s">
        <v>1450</v>
      </c>
      <c r="D392" s="2230">
        <v>31.38</v>
      </c>
      <c r="M392" s="2098"/>
      <c r="N392" s="2098"/>
      <c r="O392" s="2098"/>
      <c r="P392" s="2098"/>
      <c r="R392" s="2198"/>
      <c r="S392" s="2198"/>
      <c r="T392" s="2198"/>
      <c r="U392" s="2198"/>
      <c r="V392" s="2168"/>
      <c r="W392" s="2168"/>
      <c r="X392" s="2168"/>
      <c r="Y392" s="2168"/>
      <c r="Z392" s="2168"/>
      <c r="AA392" s="2168"/>
      <c r="AB392" s="2168"/>
      <c r="AC392" s="2168"/>
      <c r="AD392" s="2168"/>
      <c r="AE392" s="2231">
        <v>31.38</v>
      </c>
      <c r="AF392" s="2231"/>
      <c r="AG392" s="2231"/>
      <c r="AH392" s="3403">
        <v>18.46</v>
      </c>
      <c r="AI392" s="3403"/>
      <c r="AJ392" s="2231">
        <v>12.92</v>
      </c>
      <c r="AK392" s="2231"/>
      <c r="AL392" s="2231"/>
      <c r="AM392" s="2231"/>
      <c r="AN392" s="2231">
        <v>31.38</v>
      </c>
      <c r="AO392" s="2231">
        <v>31.38</v>
      </c>
      <c r="AP392" s="2168"/>
      <c r="AQ392" s="2168"/>
      <c r="AR392" s="2168"/>
      <c r="AS392" s="2168"/>
      <c r="AT392" s="2168"/>
      <c r="AU392" s="2168"/>
      <c r="AV392" s="2168"/>
    </row>
    <row r="393" spans="1:48" s="2141" customFormat="1" ht="12" hidden="1" outlineLevel="6">
      <c r="A393" s="2150"/>
      <c r="B393" s="2150"/>
      <c r="C393" s="2238" t="s">
        <v>1451</v>
      </c>
      <c r="D393" s="2230">
        <v>56.1</v>
      </c>
      <c r="M393" s="2098"/>
      <c r="N393" s="2098"/>
      <c r="O393" s="2098"/>
      <c r="P393" s="2098"/>
      <c r="R393" s="2198"/>
      <c r="S393" s="2198"/>
      <c r="T393" s="2198"/>
      <c r="U393" s="2198"/>
      <c r="V393" s="2168"/>
      <c r="W393" s="2168"/>
      <c r="X393" s="2168"/>
      <c r="Y393" s="2168"/>
      <c r="Z393" s="2168"/>
      <c r="AA393" s="2168"/>
      <c r="AB393" s="2168"/>
      <c r="AC393" s="2168"/>
      <c r="AD393" s="2168"/>
      <c r="AE393" s="2231">
        <v>56.1</v>
      </c>
      <c r="AF393" s="2231"/>
      <c r="AG393" s="2231"/>
      <c r="AH393" s="2232"/>
      <c r="AI393" s="2233"/>
      <c r="AJ393" s="2231">
        <v>56.1</v>
      </c>
      <c r="AK393" s="2231"/>
      <c r="AL393" s="2231"/>
      <c r="AM393" s="2231"/>
      <c r="AN393" s="2231">
        <v>56.1</v>
      </c>
      <c r="AO393" s="2231">
        <v>56.1</v>
      </c>
      <c r="AP393" s="2168"/>
      <c r="AQ393" s="2168"/>
      <c r="AR393" s="2168"/>
      <c r="AS393" s="2168"/>
      <c r="AT393" s="2168"/>
      <c r="AU393" s="2168"/>
      <c r="AV393" s="2168"/>
    </row>
    <row r="394" spans="1:48" s="2141" customFormat="1" ht="24" hidden="1" outlineLevel="6">
      <c r="A394" s="2150"/>
      <c r="B394" s="2150"/>
      <c r="C394" s="2238" t="s">
        <v>1452</v>
      </c>
      <c r="D394" s="2230">
        <v>2.81</v>
      </c>
      <c r="M394" s="2098"/>
      <c r="N394" s="2098"/>
      <c r="O394" s="2098"/>
      <c r="P394" s="2098"/>
      <c r="R394" s="2198"/>
      <c r="S394" s="2198"/>
      <c r="T394" s="2198"/>
      <c r="U394" s="2198"/>
      <c r="V394" s="2168"/>
      <c r="W394" s="2168"/>
      <c r="X394" s="2168"/>
      <c r="Y394" s="2168"/>
      <c r="Z394" s="2168"/>
      <c r="AA394" s="2168"/>
      <c r="AB394" s="2168"/>
      <c r="AC394" s="2168"/>
      <c r="AD394" s="2168"/>
      <c r="AE394" s="2231">
        <v>2.81</v>
      </c>
      <c r="AF394" s="2231"/>
      <c r="AG394" s="2231"/>
      <c r="AH394" s="3403">
        <v>2.81</v>
      </c>
      <c r="AI394" s="3403"/>
      <c r="AJ394" s="2231"/>
      <c r="AK394" s="2231"/>
      <c r="AL394" s="2231"/>
      <c r="AM394" s="2231"/>
      <c r="AN394" s="2231">
        <v>2.81</v>
      </c>
      <c r="AO394" s="2231">
        <v>2.81</v>
      </c>
      <c r="AP394" s="2168"/>
      <c r="AQ394" s="2168"/>
      <c r="AR394" s="2168"/>
      <c r="AS394" s="2168"/>
      <c r="AT394" s="2168"/>
      <c r="AU394" s="2168"/>
      <c r="AV394" s="2168"/>
    </row>
    <row r="395" spans="1:48" s="2141" customFormat="1" ht="24" hidden="1" outlineLevel="6">
      <c r="A395" s="2150"/>
      <c r="B395" s="2150"/>
      <c r="C395" s="2238" t="s">
        <v>1453</v>
      </c>
      <c r="D395" s="2230">
        <v>0.33</v>
      </c>
      <c r="M395" s="2098"/>
      <c r="N395" s="2098"/>
      <c r="O395" s="2098"/>
      <c r="P395" s="2098"/>
      <c r="R395" s="2198"/>
      <c r="S395" s="2198"/>
      <c r="T395" s="2198"/>
      <c r="U395" s="2198"/>
      <c r="V395" s="2168"/>
      <c r="W395" s="2168"/>
      <c r="X395" s="2168"/>
      <c r="Y395" s="2168"/>
      <c r="Z395" s="2168"/>
      <c r="AA395" s="2168"/>
      <c r="AB395" s="2168"/>
      <c r="AC395" s="2168"/>
      <c r="AD395" s="2168"/>
      <c r="AE395" s="2231">
        <v>0.33</v>
      </c>
      <c r="AF395" s="2231"/>
      <c r="AG395" s="2231"/>
      <c r="AH395" s="2232"/>
      <c r="AI395" s="2233"/>
      <c r="AJ395" s="2231">
        <v>0.33</v>
      </c>
      <c r="AK395" s="2231"/>
      <c r="AL395" s="2231"/>
      <c r="AM395" s="2231"/>
      <c r="AN395" s="2231">
        <v>0.33</v>
      </c>
      <c r="AO395" s="2231">
        <v>0.33</v>
      </c>
      <c r="AP395" s="2168"/>
      <c r="AQ395" s="2168"/>
      <c r="AR395" s="2168"/>
      <c r="AS395" s="2168"/>
      <c r="AT395" s="2168"/>
      <c r="AU395" s="2168"/>
      <c r="AV395" s="2168"/>
    </row>
    <row r="396" spans="1:48" s="2141" customFormat="1" ht="12" hidden="1" outlineLevel="5">
      <c r="A396" s="2150"/>
      <c r="B396" s="2150"/>
      <c r="C396" s="2236" t="s">
        <v>1454</v>
      </c>
      <c r="D396" s="2230">
        <v>6.43</v>
      </c>
      <c r="M396" s="2098"/>
      <c r="N396" s="2098"/>
      <c r="O396" s="2098"/>
      <c r="P396" s="2098"/>
      <c r="R396" s="2198"/>
      <c r="S396" s="2198"/>
      <c r="T396" s="2198"/>
      <c r="U396" s="2198"/>
      <c r="V396" s="2168"/>
      <c r="W396" s="2168"/>
      <c r="X396" s="2168"/>
      <c r="Y396" s="2168"/>
      <c r="Z396" s="2168"/>
      <c r="AA396" s="2168"/>
      <c r="AB396" s="2168"/>
      <c r="AC396" s="2168"/>
      <c r="AD396" s="2168"/>
      <c r="AE396" s="2231">
        <v>6.43</v>
      </c>
      <c r="AF396" s="2231"/>
      <c r="AG396" s="2231"/>
      <c r="AH396" s="2232"/>
      <c r="AI396" s="2233"/>
      <c r="AJ396" s="2231">
        <v>6.43</v>
      </c>
      <c r="AK396" s="2231"/>
      <c r="AL396" s="2231"/>
      <c r="AM396" s="2231"/>
      <c r="AN396" s="2231">
        <v>6.43</v>
      </c>
      <c r="AO396" s="2231">
        <v>6.43</v>
      </c>
      <c r="AP396" s="2168"/>
      <c r="AQ396" s="2168"/>
      <c r="AR396" s="2168"/>
      <c r="AS396" s="2168"/>
      <c r="AT396" s="2168"/>
      <c r="AU396" s="2168"/>
      <c r="AV396" s="2168"/>
    </row>
    <row r="397" spans="1:48" s="2141" customFormat="1" ht="24" hidden="1" outlineLevel="5">
      <c r="A397" s="2150"/>
      <c r="B397" s="2150"/>
      <c r="C397" s="2236" t="s">
        <v>1456</v>
      </c>
      <c r="D397" s="2230">
        <v>539.82000000000005</v>
      </c>
      <c r="M397" s="2098"/>
      <c r="N397" s="2098"/>
      <c r="O397" s="2098"/>
      <c r="P397" s="2098"/>
      <c r="R397" s="2198"/>
      <c r="S397" s="2198"/>
      <c r="T397" s="2198"/>
      <c r="U397" s="2198"/>
      <c r="V397" s="2168"/>
      <c r="W397" s="2168"/>
      <c r="X397" s="2168"/>
      <c r="Y397" s="2168"/>
      <c r="Z397" s="2168"/>
      <c r="AA397" s="2168"/>
      <c r="AB397" s="2168"/>
      <c r="AC397" s="2168"/>
      <c r="AD397" s="2168"/>
      <c r="AE397" s="2231">
        <v>539.82000000000005</v>
      </c>
      <c r="AF397" s="2231"/>
      <c r="AG397" s="2231"/>
      <c r="AH397" s="3403">
        <v>451</v>
      </c>
      <c r="AI397" s="3403"/>
      <c r="AJ397" s="2231">
        <v>88.82</v>
      </c>
      <c r="AK397" s="2231"/>
      <c r="AL397" s="2231"/>
      <c r="AM397" s="2231"/>
      <c r="AN397" s="2231">
        <v>539.82000000000005</v>
      </c>
      <c r="AO397" s="2231">
        <v>539.82000000000005</v>
      </c>
      <c r="AP397" s="2168"/>
      <c r="AQ397" s="2168"/>
      <c r="AR397" s="2168"/>
      <c r="AS397" s="2168"/>
      <c r="AT397" s="2168"/>
      <c r="AU397" s="2168"/>
      <c r="AV397" s="2168"/>
    </row>
    <row r="398" spans="1:48" s="2141" customFormat="1" ht="12" hidden="1" outlineLevel="3">
      <c r="A398" s="2150"/>
      <c r="B398" s="2150"/>
      <c r="C398" s="2224" t="s">
        <v>1500</v>
      </c>
      <c r="D398" s="2225">
        <v>200436.94</v>
      </c>
      <c r="M398" s="2098"/>
      <c r="N398" s="2098"/>
      <c r="O398" s="2098"/>
      <c r="P398" s="2098"/>
      <c r="R398" s="2198"/>
      <c r="S398" s="2198"/>
      <c r="T398" s="2198"/>
      <c r="U398" s="2198"/>
      <c r="V398" s="2168"/>
      <c r="W398" s="2168"/>
      <c r="X398" s="2168"/>
      <c r="Y398" s="2168"/>
      <c r="Z398" s="2168"/>
      <c r="AA398" s="2168"/>
      <c r="AB398" s="2168"/>
      <c r="AC398" s="2168"/>
      <c r="AD398" s="2168"/>
      <c r="AE398" s="2226">
        <v>200436.94</v>
      </c>
      <c r="AF398" s="2226"/>
      <c r="AG398" s="2226"/>
      <c r="AH398" s="3405">
        <v>198324.1</v>
      </c>
      <c r="AI398" s="3405"/>
      <c r="AJ398" s="2226">
        <v>1283.33</v>
      </c>
      <c r="AK398" s="2226">
        <v>829.51</v>
      </c>
      <c r="AL398" s="2226"/>
      <c r="AM398" s="2226"/>
      <c r="AN398" s="2226">
        <v>200436.94</v>
      </c>
      <c r="AO398" s="2226">
        <v>200436.94</v>
      </c>
      <c r="AP398" s="2168"/>
      <c r="AQ398" s="2168"/>
      <c r="AR398" s="2168"/>
      <c r="AS398" s="2168"/>
      <c r="AT398" s="2168"/>
      <c r="AU398" s="2168"/>
      <c r="AV398" s="2168"/>
    </row>
    <row r="399" spans="1:48" s="2141" customFormat="1" ht="24" hidden="1" outlineLevel="4">
      <c r="A399" s="2150"/>
      <c r="B399" s="2150"/>
      <c r="C399" s="2229" t="s">
        <v>1391</v>
      </c>
      <c r="D399" s="2230">
        <v>29760.29</v>
      </c>
      <c r="M399" s="2098"/>
      <c r="N399" s="2098"/>
      <c r="O399" s="2098"/>
      <c r="P399" s="2098"/>
      <c r="R399" s="2198"/>
      <c r="S399" s="2198"/>
      <c r="T399" s="2198"/>
      <c r="U399" s="2198"/>
      <c r="V399" s="2168"/>
      <c r="W399" s="2168"/>
      <c r="X399" s="2168"/>
      <c r="Y399" s="2168"/>
      <c r="Z399" s="2168"/>
      <c r="AA399" s="2168"/>
      <c r="AB399" s="2168"/>
      <c r="AC399" s="2168"/>
      <c r="AD399" s="2168"/>
      <c r="AE399" s="2231">
        <v>29760.29</v>
      </c>
      <c r="AF399" s="2231"/>
      <c r="AG399" s="2231"/>
      <c r="AH399" s="3403">
        <v>29477.38</v>
      </c>
      <c r="AI399" s="3403"/>
      <c r="AJ399" s="2231">
        <v>143.75</v>
      </c>
      <c r="AK399" s="2231">
        <v>139.16</v>
      </c>
      <c r="AL399" s="2231"/>
      <c r="AM399" s="2231"/>
      <c r="AN399" s="2231">
        <v>29760.29</v>
      </c>
      <c r="AO399" s="2231">
        <v>29760.29</v>
      </c>
      <c r="AP399" s="2168"/>
      <c r="AQ399" s="2168"/>
      <c r="AR399" s="2168"/>
      <c r="AS399" s="2168"/>
      <c r="AT399" s="2168"/>
      <c r="AU399" s="2168"/>
      <c r="AV399" s="2168"/>
    </row>
    <row r="400" spans="1:48" s="2141" customFormat="1" ht="36" hidden="1" outlineLevel="4">
      <c r="A400" s="2150"/>
      <c r="B400" s="2150"/>
      <c r="C400" s="2229" t="s">
        <v>1392</v>
      </c>
      <c r="D400" s="2230">
        <v>637.16</v>
      </c>
      <c r="M400" s="2098"/>
      <c r="N400" s="2098"/>
      <c r="O400" s="2098"/>
      <c r="P400" s="2098"/>
      <c r="R400" s="2198"/>
      <c r="S400" s="2198"/>
      <c r="T400" s="2198"/>
      <c r="U400" s="2198"/>
      <c r="V400" s="2168"/>
      <c r="W400" s="2168"/>
      <c r="X400" s="2168"/>
      <c r="Y400" s="2168"/>
      <c r="Z400" s="2168"/>
      <c r="AA400" s="2168"/>
      <c r="AB400" s="2168"/>
      <c r="AC400" s="2168"/>
      <c r="AD400" s="2168"/>
      <c r="AE400" s="2231">
        <v>637.16</v>
      </c>
      <c r="AF400" s="2231"/>
      <c r="AG400" s="2231"/>
      <c r="AH400" s="3403">
        <v>598.32000000000005</v>
      </c>
      <c r="AI400" s="3403"/>
      <c r="AJ400" s="2231">
        <v>38.840000000000003</v>
      </c>
      <c r="AK400" s="2231"/>
      <c r="AL400" s="2231"/>
      <c r="AM400" s="2231"/>
      <c r="AN400" s="2231">
        <v>637.16</v>
      </c>
      <c r="AO400" s="2231">
        <v>637.16</v>
      </c>
      <c r="AP400" s="2168"/>
      <c r="AQ400" s="2168"/>
      <c r="AR400" s="2168"/>
      <c r="AS400" s="2168"/>
      <c r="AT400" s="2168"/>
      <c r="AU400" s="2168"/>
      <c r="AV400" s="2168"/>
    </row>
    <row r="401" spans="1:48" s="2141" customFormat="1" ht="36" hidden="1" outlineLevel="4">
      <c r="A401" s="2150"/>
      <c r="B401" s="2150"/>
      <c r="C401" s="2229" t="s">
        <v>1393</v>
      </c>
      <c r="D401" s="2230">
        <v>713.27</v>
      </c>
      <c r="M401" s="2098"/>
      <c r="N401" s="2098"/>
      <c r="O401" s="2098"/>
      <c r="P401" s="2098"/>
      <c r="R401" s="2198"/>
      <c r="S401" s="2198"/>
      <c r="T401" s="2198"/>
      <c r="U401" s="2198"/>
      <c r="V401" s="2168"/>
      <c r="W401" s="2168"/>
      <c r="X401" s="2168"/>
      <c r="Y401" s="2168"/>
      <c r="Z401" s="2168"/>
      <c r="AA401" s="2168"/>
      <c r="AB401" s="2168"/>
      <c r="AC401" s="2168"/>
      <c r="AD401" s="2168"/>
      <c r="AE401" s="2231">
        <v>713.27</v>
      </c>
      <c r="AF401" s="2231"/>
      <c r="AG401" s="2231"/>
      <c r="AH401" s="3403">
        <v>686.63</v>
      </c>
      <c r="AI401" s="3403"/>
      <c r="AJ401" s="2231">
        <v>26.64</v>
      </c>
      <c r="AK401" s="2231"/>
      <c r="AL401" s="2231"/>
      <c r="AM401" s="2231"/>
      <c r="AN401" s="2231">
        <v>713.27</v>
      </c>
      <c r="AO401" s="2231">
        <v>713.27</v>
      </c>
      <c r="AP401" s="2168"/>
      <c r="AQ401" s="2168"/>
      <c r="AR401" s="2168"/>
      <c r="AS401" s="2168"/>
      <c r="AT401" s="2168"/>
      <c r="AU401" s="2168"/>
      <c r="AV401" s="2168"/>
    </row>
    <row r="402" spans="1:48" s="2141" customFormat="1" ht="36" hidden="1" outlineLevel="4">
      <c r="A402" s="2150"/>
      <c r="B402" s="2150"/>
      <c r="C402" s="2229" t="s">
        <v>1394</v>
      </c>
      <c r="D402" s="2230">
        <v>231.37</v>
      </c>
      <c r="M402" s="2098"/>
      <c r="N402" s="2098"/>
      <c r="O402" s="2098"/>
      <c r="P402" s="2098"/>
      <c r="R402" s="2198"/>
      <c r="S402" s="2198"/>
      <c r="T402" s="2198"/>
      <c r="U402" s="2198"/>
      <c r="V402" s="2168"/>
      <c r="W402" s="2168"/>
      <c r="X402" s="2168"/>
      <c r="Y402" s="2168"/>
      <c r="Z402" s="2168"/>
      <c r="AA402" s="2168"/>
      <c r="AB402" s="2168"/>
      <c r="AC402" s="2168"/>
      <c r="AD402" s="2168"/>
      <c r="AE402" s="2231">
        <v>231.37</v>
      </c>
      <c r="AF402" s="2231"/>
      <c r="AG402" s="2231"/>
      <c r="AH402" s="3403">
        <v>226.74</v>
      </c>
      <c r="AI402" s="3403"/>
      <c r="AJ402" s="2231">
        <v>4.63</v>
      </c>
      <c r="AK402" s="2231"/>
      <c r="AL402" s="2231"/>
      <c r="AM402" s="2231"/>
      <c r="AN402" s="2231">
        <v>231.37</v>
      </c>
      <c r="AO402" s="2231">
        <v>231.37</v>
      </c>
      <c r="AP402" s="2168"/>
      <c r="AQ402" s="2168"/>
      <c r="AR402" s="2168"/>
      <c r="AS402" s="2168"/>
      <c r="AT402" s="2168"/>
      <c r="AU402" s="2168"/>
      <c r="AV402" s="2168"/>
    </row>
    <row r="403" spans="1:48" s="2141" customFormat="1" ht="24" hidden="1" outlineLevel="4">
      <c r="A403" s="2150"/>
      <c r="B403" s="2150"/>
      <c r="C403" s="2229" t="s">
        <v>1395</v>
      </c>
      <c r="D403" s="2230">
        <v>2909.12</v>
      </c>
      <c r="M403" s="2098"/>
      <c r="N403" s="2098"/>
      <c r="O403" s="2098"/>
      <c r="P403" s="2098"/>
      <c r="R403" s="2198"/>
      <c r="S403" s="2198"/>
      <c r="T403" s="2198"/>
      <c r="U403" s="2198"/>
      <c r="V403" s="2168"/>
      <c r="W403" s="2168"/>
      <c r="X403" s="2168"/>
      <c r="Y403" s="2168"/>
      <c r="Z403" s="2168"/>
      <c r="AA403" s="2168"/>
      <c r="AB403" s="2168"/>
      <c r="AC403" s="2168"/>
      <c r="AD403" s="2168"/>
      <c r="AE403" s="2231">
        <v>2909.12</v>
      </c>
      <c r="AF403" s="2231"/>
      <c r="AG403" s="2231"/>
      <c r="AH403" s="3403">
        <v>2894.45</v>
      </c>
      <c r="AI403" s="3403"/>
      <c r="AJ403" s="2231">
        <v>14.67</v>
      </c>
      <c r="AK403" s="2231"/>
      <c r="AL403" s="2231"/>
      <c r="AM403" s="2231"/>
      <c r="AN403" s="2231">
        <v>2909.12</v>
      </c>
      <c r="AO403" s="2231">
        <v>2909.12</v>
      </c>
      <c r="AP403" s="2168"/>
      <c r="AQ403" s="2168"/>
      <c r="AR403" s="2168"/>
      <c r="AS403" s="2168"/>
      <c r="AT403" s="2168"/>
      <c r="AU403" s="2168"/>
      <c r="AV403" s="2168"/>
    </row>
    <row r="404" spans="1:48" s="2141" customFormat="1" ht="24" hidden="1" outlineLevel="4">
      <c r="A404" s="2150"/>
      <c r="B404" s="2150"/>
      <c r="C404" s="2229" t="s">
        <v>1396</v>
      </c>
      <c r="D404" s="2230">
        <v>125166.68</v>
      </c>
      <c r="M404" s="2098"/>
      <c r="N404" s="2098"/>
      <c r="O404" s="2098"/>
      <c r="P404" s="2098"/>
      <c r="R404" s="2198"/>
      <c r="S404" s="2198"/>
      <c r="T404" s="2198"/>
      <c r="U404" s="2198"/>
      <c r="V404" s="2168"/>
      <c r="W404" s="2168"/>
      <c r="X404" s="2168"/>
      <c r="Y404" s="2168"/>
      <c r="Z404" s="2168"/>
      <c r="AA404" s="2168"/>
      <c r="AB404" s="2168"/>
      <c r="AC404" s="2168"/>
      <c r="AD404" s="2168"/>
      <c r="AE404" s="2231">
        <v>125166.68</v>
      </c>
      <c r="AF404" s="2231"/>
      <c r="AG404" s="2231"/>
      <c r="AH404" s="3403">
        <v>123991.52</v>
      </c>
      <c r="AI404" s="3403"/>
      <c r="AJ404" s="2231">
        <v>574.89</v>
      </c>
      <c r="AK404" s="2231">
        <v>600.27</v>
      </c>
      <c r="AL404" s="2231"/>
      <c r="AM404" s="2231"/>
      <c r="AN404" s="2231">
        <v>125166.68</v>
      </c>
      <c r="AO404" s="2231">
        <v>125166.68</v>
      </c>
      <c r="AP404" s="2168"/>
      <c r="AQ404" s="2168"/>
      <c r="AR404" s="2168"/>
      <c r="AS404" s="2168"/>
      <c r="AT404" s="2168"/>
      <c r="AU404" s="2168"/>
      <c r="AV404" s="2168"/>
    </row>
    <row r="405" spans="1:48" s="2141" customFormat="1" ht="36" hidden="1" outlineLevel="4">
      <c r="A405" s="2150"/>
      <c r="B405" s="2150"/>
      <c r="C405" s="2229" t="s">
        <v>1397</v>
      </c>
      <c r="D405" s="2230">
        <v>2748.91</v>
      </c>
      <c r="M405" s="2098"/>
      <c r="N405" s="2098"/>
      <c r="O405" s="2098"/>
      <c r="P405" s="2098"/>
      <c r="R405" s="2198"/>
      <c r="S405" s="2198"/>
      <c r="T405" s="2198"/>
      <c r="U405" s="2198"/>
      <c r="V405" s="2168"/>
      <c r="W405" s="2168"/>
      <c r="X405" s="2168"/>
      <c r="Y405" s="2168"/>
      <c r="Z405" s="2168"/>
      <c r="AA405" s="2168"/>
      <c r="AB405" s="2168"/>
      <c r="AC405" s="2168"/>
      <c r="AD405" s="2168"/>
      <c r="AE405" s="2231">
        <v>2748.91</v>
      </c>
      <c r="AF405" s="2231"/>
      <c r="AG405" s="2231"/>
      <c r="AH405" s="3403">
        <v>2581.35</v>
      </c>
      <c r="AI405" s="3403"/>
      <c r="AJ405" s="2231">
        <v>167.56</v>
      </c>
      <c r="AK405" s="2231"/>
      <c r="AL405" s="2231"/>
      <c r="AM405" s="2231"/>
      <c r="AN405" s="2231">
        <v>2748.91</v>
      </c>
      <c r="AO405" s="2231">
        <v>2748.91</v>
      </c>
      <c r="AP405" s="2168"/>
      <c r="AQ405" s="2168"/>
      <c r="AR405" s="2168"/>
      <c r="AS405" s="2168"/>
      <c r="AT405" s="2168"/>
      <c r="AU405" s="2168"/>
      <c r="AV405" s="2168"/>
    </row>
    <row r="406" spans="1:48" s="2141" customFormat="1" ht="36" hidden="1" outlineLevel="4">
      <c r="A406" s="2150"/>
      <c r="B406" s="2150"/>
      <c r="C406" s="2229" t="s">
        <v>1398</v>
      </c>
      <c r="D406" s="2230">
        <v>3066.45</v>
      </c>
      <c r="M406" s="2098"/>
      <c r="N406" s="2098"/>
      <c r="O406" s="2098"/>
      <c r="P406" s="2098"/>
      <c r="R406" s="2198"/>
      <c r="S406" s="2198"/>
      <c r="T406" s="2198"/>
      <c r="U406" s="2198"/>
      <c r="V406" s="2168"/>
      <c r="W406" s="2168"/>
      <c r="X406" s="2168"/>
      <c r="Y406" s="2168"/>
      <c r="Z406" s="2168"/>
      <c r="AA406" s="2168"/>
      <c r="AB406" s="2168"/>
      <c r="AC406" s="2168"/>
      <c r="AD406" s="2168"/>
      <c r="AE406" s="2231">
        <v>3066.45</v>
      </c>
      <c r="AF406" s="2231"/>
      <c r="AG406" s="2231"/>
      <c r="AH406" s="3403">
        <v>2962.1</v>
      </c>
      <c r="AI406" s="3403"/>
      <c r="AJ406" s="2231">
        <v>104.35</v>
      </c>
      <c r="AK406" s="2231"/>
      <c r="AL406" s="2231"/>
      <c r="AM406" s="2231"/>
      <c r="AN406" s="2231">
        <v>3066.45</v>
      </c>
      <c r="AO406" s="2231">
        <v>3066.45</v>
      </c>
      <c r="AP406" s="2168"/>
      <c r="AQ406" s="2168"/>
      <c r="AR406" s="2168"/>
      <c r="AS406" s="2168"/>
      <c r="AT406" s="2168"/>
      <c r="AU406" s="2168"/>
      <c r="AV406" s="2168"/>
    </row>
    <row r="407" spans="1:48" s="2141" customFormat="1" ht="36" hidden="1" outlineLevel="4">
      <c r="A407" s="2150"/>
      <c r="B407" s="2150"/>
      <c r="C407" s="2229" t="s">
        <v>1399</v>
      </c>
      <c r="D407" s="2230">
        <v>998</v>
      </c>
      <c r="M407" s="2098"/>
      <c r="N407" s="2098"/>
      <c r="O407" s="2098"/>
      <c r="P407" s="2098"/>
      <c r="R407" s="2198"/>
      <c r="S407" s="2198"/>
      <c r="T407" s="2198"/>
      <c r="U407" s="2198"/>
      <c r="V407" s="2168"/>
      <c r="W407" s="2168"/>
      <c r="X407" s="2168"/>
      <c r="Y407" s="2168"/>
      <c r="Z407" s="2168"/>
      <c r="AA407" s="2168"/>
      <c r="AB407" s="2168"/>
      <c r="AC407" s="2168"/>
      <c r="AD407" s="2168"/>
      <c r="AE407" s="2231">
        <v>998</v>
      </c>
      <c r="AF407" s="2231"/>
      <c r="AG407" s="2231"/>
      <c r="AH407" s="3403">
        <v>977.88</v>
      </c>
      <c r="AI407" s="3403"/>
      <c r="AJ407" s="2231">
        <v>20.12</v>
      </c>
      <c r="AK407" s="2231"/>
      <c r="AL407" s="2231"/>
      <c r="AM407" s="2231"/>
      <c r="AN407" s="2231">
        <v>998</v>
      </c>
      <c r="AO407" s="2231">
        <v>998</v>
      </c>
      <c r="AP407" s="2168"/>
      <c r="AQ407" s="2168"/>
      <c r="AR407" s="2168"/>
      <c r="AS407" s="2168"/>
      <c r="AT407" s="2168"/>
      <c r="AU407" s="2168"/>
      <c r="AV407" s="2168"/>
    </row>
    <row r="408" spans="1:48" s="2141" customFormat="1" ht="24" hidden="1" outlineLevel="4">
      <c r="A408" s="2150"/>
      <c r="B408" s="2150"/>
      <c r="C408" s="2229" t="s">
        <v>1400</v>
      </c>
      <c r="D408" s="2230">
        <v>12543.32</v>
      </c>
      <c r="M408" s="2098"/>
      <c r="N408" s="2098"/>
      <c r="O408" s="2098"/>
      <c r="P408" s="2098"/>
      <c r="R408" s="2198"/>
      <c r="S408" s="2198"/>
      <c r="T408" s="2198"/>
      <c r="U408" s="2198"/>
      <c r="V408" s="2168"/>
      <c r="W408" s="2168"/>
      <c r="X408" s="2168"/>
      <c r="Y408" s="2168"/>
      <c r="Z408" s="2168"/>
      <c r="AA408" s="2168"/>
      <c r="AB408" s="2168"/>
      <c r="AC408" s="2168"/>
      <c r="AD408" s="2168"/>
      <c r="AE408" s="2231">
        <v>12543.32</v>
      </c>
      <c r="AF408" s="2231"/>
      <c r="AG408" s="2231"/>
      <c r="AH408" s="3403">
        <v>12483.89</v>
      </c>
      <c r="AI408" s="3403"/>
      <c r="AJ408" s="2231">
        <v>59.43</v>
      </c>
      <c r="AK408" s="2231"/>
      <c r="AL408" s="2231"/>
      <c r="AM408" s="2231"/>
      <c r="AN408" s="2231">
        <v>12543.32</v>
      </c>
      <c r="AO408" s="2231">
        <v>12543.32</v>
      </c>
      <c r="AP408" s="2168"/>
      <c r="AQ408" s="2168"/>
      <c r="AR408" s="2168"/>
      <c r="AS408" s="2168"/>
      <c r="AT408" s="2168"/>
      <c r="AU408" s="2168"/>
      <c r="AV408" s="2168"/>
    </row>
    <row r="409" spans="1:48" s="2141" customFormat="1" ht="24" hidden="1" outlineLevel="4">
      <c r="A409" s="2150"/>
      <c r="B409" s="2150"/>
      <c r="C409" s="2229" t="s">
        <v>1401</v>
      </c>
      <c r="D409" s="2230">
        <v>2275.89</v>
      </c>
      <c r="M409" s="2098"/>
      <c r="N409" s="2098"/>
      <c r="O409" s="2098"/>
      <c r="P409" s="2098"/>
      <c r="R409" s="2198"/>
      <c r="S409" s="2198"/>
      <c r="T409" s="2198"/>
      <c r="U409" s="2198"/>
      <c r="V409" s="2168"/>
      <c r="W409" s="2168"/>
      <c r="X409" s="2168"/>
      <c r="Y409" s="2168"/>
      <c r="Z409" s="2168"/>
      <c r="AA409" s="2168"/>
      <c r="AB409" s="2168"/>
      <c r="AC409" s="2168"/>
      <c r="AD409" s="2168"/>
      <c r="AE409" s="2231">
        <v>2275.89</v>
      </c>
      <c r="AF409" s="2231"/>
      <c r="AG409" s="2231"/>
      <c r="AH409" s="3403">
        <v>2253.79</v>
      </c>
      <c r="AI409" s="3403"/>
      <c r="AJ409" s="2231">
        <v>11.17</v>
      </c>
      <c r="AK409" s="2231">
        <v>10.93</v>
      </c>
      <c r="AL409" s="2231"/>
      <c r="AM409" s="2231"/>
      <c r="AN409" s="2231">
        <v>2275.89</v>
      </c>
      <c r="AO409" s="2231">
        <v>2275.89</v>
      </c>
      <c r="AP409" s="2168"/>
      <c r="AQ409" s="2168"/>
      <c r="AR409" s="2168"/>
      <c r="AS409" s="2168"/>
      <c r="AT409" s="2168"/>
      <c r="AU409" s="2168"/>
      <c r="AV409" s="2168"/>
    </row>
    <row r="410" spans="1:48" s="2141" customFormat="1" ht="24" hidden="1" outlineLevel="4">
      <c r="A410" s="2150"/>
      <c r="B410" s="2150"/>
      <c r="C410" s="2229" t="s">
        <v>1402</v>
      </c>
      <c r="D410" s="2230">
        <v>50.02</v>
      </c>
      <c r="M410" s="2098"/>
      <c r="N410" s="2098"/>
      <c r="O410" s="2098"/>
      <c r="P410" s="2098"/>
      <c r="R410" s="2198"/>
      <c r="S410" s="2198"/>
      <c r="T410" s="2198"/>
      <c r="U410" s="2198"/>
      <c r="V410" s="2168"/>
      <c r="W410" s="2168"/>
      <c r="X410" s="2168"/>
      <c r="Y410" s="2168"/>
      <c r="Z410" s="2168"/>
      <c r="AA410" s="2168"/>
      <c r="AB410" s="2168"/>
      <c r="AC410" s="2168"/>
      <c r="AD410" s="2168"/>
      <c r="AE410" s="2231">
        <v>50.02</v>
      </c>
      <c r="AF410" s="2231"/>
      <c r="AG410" s="2231"/>
      <c r="AH410" s="3403">
        <v>46.98</v>
      </c>
      <c r="AI410" s="3403"/>
      <c r="AJ410" s="2231">
        <v>3.04</v>
      </c>
      <c r="AK410" s="2231"/>
      <c r="AL410" s="2231"/>
      <c r="AM410" s="2231"/>
      <c r="AN410" s="2231">
        <v>50.02</v>
      </c>
      <c r="AO410" s="2231">
        <v>50.02</v>
      </c>
      <c r="AP410" s="2168"/>
      <c r="AQ410" s="2168"/>
      <c r="AR410" s="2168"/>
      <c r="AS410" s="2168"/>
      <c r="AT410" s="2168"/>
      <c r="AU410" s="2168"/>
      <c r="AV410" s="2168"/>
    </row>
    <row r="411" spans="1:48" s="2141" customFormat="1" ht="24" hidden="1" outlineLevel="4">
      <c r="A411" s="2150"/>
      <c r="B411" s="2150"/>
      <c r="C411" s="2229" t="s">
        <v>1403</v>
      </c>
      <c r="D411" s="2230">
        <v>55.48</v>
      </c>
      <c r="M411" s="2098"/>
      <c r="N411" s="2098"/>
      <c r="O411" s="2098"/>
      <c r="P411" s="2098"/>
      <c r="R411" s="2198"/>
      <c r="S411" s="2198"/>
      <c r="T411" s="2198"/>
      <c r="U411" s="2198"/>
      <c r="V411" s="2168"/>
      <c r="W411" s="2168"/>
      <c r="X411" s="2168"/>
      <c r="Y411" s="2168"/>
      <c r="Z411" s="2168"/>
      <c r="AA411" s="2168"/>
      <c r="AB411" s="2168"/>
      <c r="AC411" s="2168"/>
      <c r="AD411" s="2168"/>
      <c r="AE411" s="2231">
        <v>55.48</v>
      </c>
      <c r="AF411" s="2231"/>
      <c r="AG411" s="2231"/>
      <c r="AH411" s="3403">
        <v>53.69</v>
      </c>
      <c r="AI411" s="3403"/>
      <c r="AJ411" s="2231">
        <v>1.79</v>
      </c>
      <c r="AK411" s="2231"/>
      <c r="AL411" s="2231"/>
      <c r="AM411" s="2231"/>
      <c r="AN411" s="2231">
        <v>55.48</v>
      </c>
      <c r="AO411" s="2231">
        <v>55.48</v>
      </c>
      <c r="AP411" s="2168"/>
      <c r="AQ411" s="2168"/>
      <c r="AR411" s="2168"/>
      <c r="AS411" s="2168"/>
      <c r="AT411" s="2168"/>
      <c r="AU411" s="2168"/>
      <c r="AV411" s="2168"/>
    </row>
    <row r="412" spans="1:48" s="2141" customFormat="1" ht="24" hidden="1" outlineLevel="4">
      <c r="A412" s="2150"/>
      <c r="B412" s="2150"/>
      <c r="C412" s="2229" t="s">
        <v>1404</v>
      </c>
      <c r="D412" s="2230">
        <v>17.989999999999998</v>
      </c>
      <c r="M412" s="2098"/>
      <c r="N412" s="2098"/>
      <c r="O412" s="2098"/>
      <c r="P412" s="2098"/>
      <c r="R412" s="2198"/>
      <c r="S412" s="2198"/>
      <c r="T412" s="2198"/>
      <c r="U412" s="2198"/>
      <c r="V412" s="2168"/>
      <c r="W412" s="2168"/>
      <c r="X412" s="2168"/>
      <c r="Y412" s="2168"/>
      <c r="Z412" s="2168"/>
      <c r="AA412" s="2168"/>
      <c r="AB412" s="2168"/>
      <c r="AC412" s="2168"/>
      <c r="AD412" s="2168"/>
      <c r="AE412" s="2231">
        <v>17.989999999999998</v>
      </c>
      <c r="AF412" s="2231"/>
      <c r="AG412" s="2231"/>
      <c r="AH412" s="3403">
        <v>17.649999999999999</v>
      </c>
      <c r="AI412" s="3403"/>
      <c r="AJ412" s="2231">
        <v>0.34</v>
      </c>
      <c r="AK412" s="2231"/>
      <c r="AL412" s="2231"/>
      <c r="AM412" s="2231"/>
      <c r="AN412" s="2231">
        <v>17.989999999999998</v>
      </c>
      <c r="AO412" s="2231">
        <v>17.989999999999998</v>
      </c>
      <c r="AP412" s="2168"/>
      <c r="AQ412" s="2168"/>
      <c r="AR412" s="2168"/>
      <c r="AS412" s="2168"/>
      <c r="AT412" s="2168"/>
      <c r="AU412" s="2168"/>
      <c r="AV412" s="2168"/>
    </row>
    <row r="413" spans="1:48" s="2141" customFormat="1" ht="24" hidden="1" outlineLevel="4">
      <c r="A413" s="2150"/>
      <c r="B413" s="2150"/>
      <c r="C413" s="2229" t="s">
        <v>1405</v>
      </c>
      <c r="D413" s="2230">
        <v>225.88</v>
      </c>
      <c r="M413" s="2098"/>
      <c r="N413" s="2098"/>
      <c r="O413" s="2098"/>
      <c r="P413" s="2098"/>
      <c r="R413" s="2198"/>
      <c r="S413" s="2198"/>
      <c r="T413" s="2198"/>
      <c r="U413" s="2198"/>
      <c r="V413" s="2168"/>
      <c r="W413" s="2168"/>
      <c r="X413" s="2168"/>
      <c r="Y413" s="2168"/>
      <c r="Z413" s="2168"/>
      <c r="AA413" s="2168"/>
      <c r="AB413" s="2168"/>
      <c r="AC413" s="2168"/>
      <c r="AD413" s="2168"/>
      <c r="AE413" s="2231">
        <v>225.88</v>
      </c>
      <c r="AF413" s="2231"/>
      <c r="AG413" s="2231"/>
      <c r="AH413" s="3403">
        <v>225.36</v>
      </c>
      <c r="AI413" s="3403"/>
      <c r="AJ413" s="2231">
        <v>0.52</v>
      </c>
      <c r="AK413" s="2231"/>
      <c r="AL413" s="2231"/>
      <c r="AM413" s="2231"/>
      <c r="AN413" s="2231">
        <v>225.88</v>
      </c>
      <c r="AO413" s="2231">
        <v>225.88</v>
      </c>
      <c r="AP413" s="2168"/>
      <c r="AQ413" s="2168"/>
      <c r="AR413" s="2168"/>
      <c r="AS413" s="2168"/>
      <c r="AT413" s="2168"/>
      <c r="AU413" s="2168"/>
      <c r="AV413" s="2168"/>
    </row>
    <row r="414" spans="1:48" s="2141" customFormat="1" ht="24" hidden="1" outlineLevel="4">
      <c r="A414" s="2150"/>
      <c r="B414" s="2150"/>
      <c r="C414" s="2229" t="s">
        <v>1406</v>
      </c>
      <c r="D414" s="2230">
        <v>16489.57</v>
      </c>
      <c r="M414" s="2098"/>
      <c r="N414" s="2098"/>
      <c r="O414" s="2098"/>
      <c r="P414" s="2098"/>
      <c r="R414" s="2198"/>
      <c r="S414" s="2198"/>
      <c r="T414" s="2198"/>
      <c r="U414" s="2198"/>
      <c r="V414" s="2168"/>
      <c r="W414" s="2168"/>
      <c r="X414" s="2168"/>
      <c r="Y414" s="2168"/>
      <c r="Z414" s="2168"/>
      <c r="AA414" s="2168"/>
      <c r="AB414" s="2168"/>
      <c r="AC414" s="2168"/>
      <c r="AD414" s="2168"/>
      <c r="AE414" s="2231">
        <v>16489.57</v>
      </c>
      <c r="AF414" s="2231"/>
      <c r="AG414" s="2231"/>
      <c r="AH414" s="3403">
        <v>16342.18</v>
      </c>
      <c r="AI414" s="3403"/>
      <c r="AJ414" s="2231">
        <v>68.239999999999995</v>
      </c>
      <c r="AK414" s="2231">
        <v>79.150000000000006</v>
      </c>
      <c r="AL414" s="2231"/>
      <c r="AM414" s="2231"/>
      <c r="AN414" s="2231">
        <v>16489.57</v>
      </c>
      <c r="AO414" s="2231">
        <v>16489.57</v>
      </c>
      <c r="AP414" s="2168"/>
      <c r="AQ414" s="2168"/>
      <c r="AR414" s="2168"/>
      <c r="AS414" s="2168"/>
      <c r="AT414" s="2168"/>
      <c r="AU414" s="2168"/>
      <c r="AV414" s="2168"/>
    </row>
    <row r="415" spans="1:48" s="2141" customFormat="1" ht="36" hidden="1" outlineLevel="4">
      <c r="A415" s="2150"/>
      <c r="B415" s="2150"/>
      <c r="C415" s="2229" t="s">
        <v>1407</v>
      </c>
      <c r="D415" s="2230">
        <v>362.31</v>
      </c>
      <c r="M415" s="2098"/>
      <c r="N415" s="2098"/>
      <c r="O415" s="2098"/>
      <c r="P415" s="2098"/>
      <c r="R415" s="2198"/>
      <c r="S415" s="2198"/>
      <c r="T415" s="2198"/>
      <c r="U415" s="2198"/>
      <c r="V415" s="2168"/>
      <c r="W415" s="2168"/>
      <c r="X415" s="2168"/>
      <c r="Y415" s="2168"/>
      <c r="Z415" s="2168"/>
      <c r="AA415" s="2168"/>
      <c r="AB415" s="2168"/>
      <c r="AC415" s="2168"/>
      <c r="AD415" s="2168"/>
      <c r="AE415" s="2231">
        <v>362.31</v>
      </c>
      <c r="AF415" s="2231"/>
      <c r="AG415" s="2231"/>
      <c r="AH415" s="3403">
        <v>340.23</v>
      </c>
      <c r="AI415" s="3403"/>
      <c r="AJ415" s="2231">
        <v>22.08</v>
      </c>
      <c r="AK415" s="2231"/>
      <c r="AL415" s="2231"/>
      <c r="AM415" s="2231"/>
      <c r="AN415" s="2231">
        <v>362.31</v>
      </c>
      <c r="AO415" s="2231">
        <v>362.31</v>
      </c>
      <c r="AP415" s="2168"/>
      <c r="AQ415" s="2168"/>
      <c r="AR415" s="2168"/>
      <c r="AS415" s="2168"/>
      <c r="AT415" s="2168"/>
      <c r="AU415" s="2168"/>
      <c r="AV415" s="2168"/>
    </row>
    <row r="416" spans="1:48" s="2141" customFormat="1" ht="36" hidden="1" outlineLevel="4">
      <c r="A416" s="2150"/>
      <c r="B416" s="2150"/>
      <c r="C416" s="2229" t="s">
        <v>1408</v>
      </c>
      <c r="D416" s="2230">
        <v>402.2</v>
      </c>
      <c r="M416" s="2098"/>
      <c r="N416" s="2098"/>
      <c r="O416" s="2098"/>
      <c r="P416" s="2098"/>
      <c r="R416" s="2198"/>
      <c r="S416" s="2198"/>
      <c r="T416" s="2198"/>
      <c r="U416" s="2198"/>
      <c r="V416" s="2168"/>
      <c r="W416" s="2168"/>
      <c r="X416" s="2168"/>
      <c r="Y416" s="2168"/>
      <c r="Z416" s="2168"/>
      <c r="AA416" s="2168"/>
      <c r="AB416" s="2168"/>
      <c r="AC416" s="2168"/>
      <c r="AD416" s="2168"/>
      <c r="AE416" s="2231">
        <v>402.2</v>
      </c>
      <c r="AF416" s="2231"/>
      <c r="AG416" s="2231"/>
      <c r="AH416" s="3403">
        <v>390.26</v>
      </c>
      <c r="AI416" s="3403"/>
      <c r="AJ416" s="2231">
        <v>11.94</v>
      </c>
      <c r="AK416" s="2231"/>
      <c r="AL416" s="2231"/>
      <c r="AM416" s="2231"/>
      <c r="AN416" s="2231">
        <v>402.2</v>
      </c>
      <c r="AO416" s="2231">
        <v>402.2</v>
      </c>
      <c r="AP416" s="2168"/>
      <c r="AQ416" s="2168"/>
      <c r="AR416" s="2168"/>
      <c r="AS416" s="2168"/>
      <c r="AT416" s="2168"/>
      <c r="AU416" s="2168"/>
      <c r="AV416" s="2168"/>
    </row>
    <row r="417" spans="1:48" s="2141" customFormat="1" ht="36" hidden="1" outlineLevel="4">
      <c r="A417" s="2150"/>
      <c r="B417" s="2150"/>
      <c r="C417" s="2229" t="s">
        <v>1409</v>
      </c>
      <c r="D417" s="2230">
        <v>131.46</v>
      </c>
      <c r="M417" s="2098"/>
      <c r="N417" s="2098"/>
      <c r="O417" s="2098"/>
      <c r="P417" s="2098"/>
      <c r="R417" s="2198"/>
      <c r="S417" s="2198"/>
      <c r="T417" s="2198"/>
      <c r="U417" s="2198"/>
      <c r="V417" s="2168"/>
      <c r="W417" s="2168"/>
      <c r="X417" s="2168"/>
      <c r="Y417" s="2168"/>
      <c r="Z417" s="2168"/>
      <c r="AA417" s="2168"/>
      <c r="AB417" s="2168"/>
      <c r="AC417" s="2168"/>
      <c r="AD417" s="2168"/>
      <c r="AE417" s="2231">
        <v>131.46</v>
      </c>
      <c r="AF417" s="2231"/>
      <c r="AG417" s="2231"/>
      <c r="AH417" s="3403">
        <v>128.84</v>
      </c>
      <c r="AI417" s="3403"/>
      <c r="AJ417" s="2231">
        <v>2.62</v>
      </c>
      <c r="AK417" s="2231"/>
      <c r="AL417" s="2231"/>
      <c r="AM417" s="2231"/>
      <c r="AN417" s="2231">
        <v>131.46</v>
      </c>
      <c r="AO417" s="2231">
        <v>131.46</v>
      </c>
      <c r="AP417" s="2168"/>
      <c r="AQ417" s="2168"/>
      <c r="AR417" s="2168"/>
      <c r="AS417" s="2168"/>
      <c r="AT417" s="2168"/>
      <c r="AU417" s="2168"/>
      <c r="AV417" s="2168"/>
    </row>
    <row r="418" spans="1:48" s="2141" customFormat="1" ht="24" hidden="1" outlineLevel="4">
      <c r="A418" s="2150"/>
      <c r="B418" s="2150"/>
      <c r="C418" s="2229" t="s">
        <v>1410</v>
      </c>
      <c r="D418" s="2230">
        <v>1651.57</v>
      </c>
      <c r="M418" s="2098"/>
      <c r="N418" s="2098"/>
      <c r="O418" s="2098"/>
      <c r="P418" s="2098"/>
      <c r="R418" s="2198"/>
      <c r="S418" s="2198"/>
      <c r="T418" s="2198"/>
      <c r="U418" s="2198"/>
      <c r="V418" s="2168"/>
      <c r="W418" s="2168"/>
      <c r="X418" s="2168"/>
      <c r="Y418" s="2168"/>
      <c r="Z418" s="2168"/>
      <c r="AA418" s="2168"/>
      <c r="AB418" s="2168"/>
      <c r="AC418" s="2168"/>
      <c r="AD418" s="2168"/>
      <c r="AE418" s="2231">
        <v>1651.57</v>
      </c>
      <c r="AF418" s="2231"/>
      <c r="AG418" s="2231"/>
      <c r="AH418" s="3403">
        <v>1644.86</v>
      </c>
      <c r="AI418" s="3403"/>
      <c r="AJ418" s="2231">
        <v>6.71</v>
      </c>
      <c r="AK418" s="2231"/>
      <c r="AL418" s="2231"/>
      <c r="AM418" s="2231"/>
      <c r="AN418" s="2231">
        <v>1651.57</v>
      </c>
      <c r="AO418" s="2231">
        <v>1651.57</v>
      </c>
      <c r="AP418" s="2168"/>
      <c r="AQ418" s="2168"/>
      <c r="AR418" s="2168"/>
      <c r="AS418" s="2168"/>
      <c r="AT418" s="2168"/>
      <c r="AU418" s="2168"/>
      <c r="AV418" s="2168"/>
    </row>
    <row r="419" spans="1:48" s="2141" customFormat="1" ht="24" hidden="1" outlineLevel="2">
      <c r="A419" s="2150"/>
      <c r="B419" s="2150"/>
      <c r="C419" s="2219" t="s">
        <v>738</v>
      </c>
      <c r="D419" s="2220">
        <v>25830.23</v>
      </c>
      <c r="M419" s="2098"/>
      <c r="N419" s="2098"/>
      <c r="O419" s="2098"/>
      <c r="P419" s="2098"/>
      <c r="R419" s="2198"/>
      <c r="S419" s="2198"/>
      <c r="T419" s="2198"/>
      <c r="U419" s="2198"/>
      <c r="V419" s="2168"/>
      <c r="W419" s="2168"/>
      <c r="X419" s="2168"/>
      <c r="Y419" s="2168"/>
      <c r="Z419" s="2168"/>
      <c r="AA419" s="2168"/>
      <c r="AB419" s="2168"/>
      <c r="AC419" s="2168"/>
      <c r="AD419" s="2168"/>
      <c r="AE419" s="2221">
        <v>25830.23</v>
      </c>
      <c r="AF419" s="2221"/>
      <c r="AG419" s="2221"/>
      <c r="AH419" s="3406">
        <v>25575.02</v>
      </c>
      <c r="AI419" s="3406"/>
      <c r="AJ419" s="2221">
        <v>255.21</v>
      </c>
      <c r="AK419" s="2221"/>
      <c r="AL419" s="2221"/>
      <c r="AM419" s="2221"/>
      <c r="AN419" s="2221">
        <v>25830.23</v>
      </c>
      <c r="AO419" s="2221">
        <v>25830.23</v>
      </c>
      <c r="AP419" s="2168"/>
      <c r="AQ419" s="2168"/>
      <c r="AR419" s="2168"/>
      <c r="AS419" s="2168"/>
      <c r="AT419" s="2168"/>
      <c r="AU419" s="2168"/>
      <c r="AV419" s="2168"/>
    </row>
    <row r="420" spans="1:48" s="2141" customFormat="1" ht="12" hidden="1" outlineLevel="3">
      <c r="A420" s="2150"/>
      <c r="B420" s="2150"/>
      <c r="C420" s="2224" t="s">
        <v>1469</v>
      </c>
      <c r="D420" s="2225">
        <v>165.31</v>
      </c>
      <c r="M420" s="2098"/>
      <c r="N420" s="2098"/>
      <c r="O420" s="2098"/>
      <c r="P420" s="2098"/>
      <c r="R420" s="2198"/>
      <c r="S420" s="2198"/>
      <c r="T420" s="2198"/>
      <c r="U420" s="2198"/>
      <c r="V420" s="2168"/>
      <c r="W420" s="2168"/>
      <c r="X420" s="2168"/>
      <c r="Y420" s="2168"/>
      <c r="Z420" s="2168"/>
      <c r="AA420" s="2168"/>
      <c r="AB420" s="2168"/>
      <c r="AC420" s="2168"/>
      <c r="AD420" s="2168"/>
      <c r="AE420" s="2226">
        <v>165.31</v>
      </c>
      <c r="AF420" s="2226"/>
      <c r="AG420" s="2226"/>
      <c r="AH420" s="3405">
        <v>162.80000000000001</v>
      </c>
      <c r="AI420" s="3405"/>
      <c r="AJ420" s="2226">
        <v>2.5099999999999998</v>
      </c>
      <c r="AK420" s="2226"/>
      <c r="AL420" s="2226"/>
      <c r="AM420" s="2226"/>
      <c r="AN420" s="2226">
        <v>165.31</v>
      </c>
      <c r="AO420" s="2226">
        <v>165.31</v>
      </c>
      <c r="AP420" s="2168"/>
      <c r="AQ420" s="2168"/>
      <c r="AR420" s="2168"/>
      <c r="AS420" s="2168"/>
      <c r="AT420" s="2168"/>
      <c r="AU420" s="2168"/>
      <c r="AV420" s="2168"/>
    </row>
    <row r="421" spans="1:48" s="2141" customFormat="1" ht="12" hidden="1" outlineLevel="4">
      <c r="A421" s="2150"/>
      <c r="B421" s="2150"/>
      <c r="C421" s="2229" t="s">
        <v>1319</v>
      </c>
      <c r="D421" s="2230">
        <v>0.39</v>
      </c>
      <c r="M421" s="2098"/>
      <c r="N421" s="2098"/>
      <c r="O421" s="2098"/>
      <c r="P421" s="2098"/>
      <c r="R421" s="2198"/>
      <c r="S421" s="2198"/>
      <c r="T421" s="2198"/>
      <c r="U421" s="2198"/>
      <c r="V421" s="2168"/>
      <c r="W421" s="2168"/>
      <c r="X421" s="2168"/>
      <c r="Y421" s="2168"/>
      <c r="Z421" s="2168"/>
      <c r="AA421" s="2168"/>
      <c r="AB421" s="2168"/>
      <c r="AC421" s="2168"/>
      <c r="AD421" s="2168"/>
      <c r="AE421" s="2231">
        <v>0.39</v>
      </c>
      <c r="AF421" s="2231"/>
      <c r="AG421" s="2231"/>
      <c r="AH421" s="3403">
        <v>0.39</v>
      </c>
      <c r="AI421" s="3403"/>
      <c r="AJ421" s="2231"/>
      <c r="AK421" s="2231"/>
      <c r="AL421" s="2231"/>
      <c r="AM421" s="2231"/>
      <c r="AN421" s="2231">
        <v>0.39</v>
      </c>
      <c r="AO421" s="2231">
        <v>0.39</v>
      </c>
      <c r="AP421" s="2168"/>
      <c r="AQ421" s="2168"/>
      <c r="AR421" s="2168"/>
      <c r="AS421" s="2168"/>
      <c r="AT421" s="2168"/>
      <c r="AU421" s="2168"/>
      <c r="AV421" s="2168"/>
    </row>
    <row r="422" spans="1:48" s="2141" customFormat="1" ht="12" hidden="1" outlineLevel="4">
      <c r="A422" s="2150"/>
      <c r="B422" s="2150"/>
      <c r="C422" s="2229" t="s">
        <v>1320</v>
      </c>
      <c r="D422" s="2230">
        <v>164.92</v>
      </c>
      <c r="M422" s="2098"/>
      <c r="N422" s="2098"/>
      <c r="O422" s="2098"/>
      <c r="P422" s="2098"/>
      <c r="R422" s="2198"/>
      <c r="S422" s="2198"/>
      <c r="T422" s="2198"/>
      <c r="U422" s="2198"/>
      <c r="V422" s="2168"/>
      <c r="W422" s="2168"/>
      <c r="X422" s="2168"/>
      <c r="Y422" s="2168"/>
      <c r="Z422" s="2168"/>
      <c r="AA422" s="2168"/>
      <c r="AB422" s="2168"/>
      <c r="AC422" s="2168"/>
      <c r="AD422" s="2168"/>
      <c r="AE422" s="2231">
        <v>164.92</v>
      </c>
      <c r="AF422" s="2231"/>
      <c r="AG422" s="2231"/>
      <c r="AH422" s="3403">
        <v>162.41</v>
      </c>
      <c r="AI422" s="3403"/>
      <c r="AJ422" s="2231">
        <v>2.5099999999999998</v>
      </c>
      <c r="AK422" s="2231"/>
      <c r="AL422" s="2231"/>
      <c r="AM422" s="2231"/>
      <c r="AN422" s="2231">
        <v>164.92</v>
      </c>
      <c r="AO422" s="2231">
        <v>164.92</v>
      </c>
      <c r="AP422" s="2168"/>
      <c r="AQ422" s="2168"/>
      <c r="AR422" s="2168"/>
      <c r="AS422" s="2168"/>
      <c r="AT422" s="2168"/>
      <c r="AU422" s="2168"/>
      <c r="AV422" s="2168"/>
    </row>
    <row r="423" spans="1:48" s="2141" customFormat="1" ht="12" hidden="1" outlineLevel="3">
      <c r="A423" s="2150"/>
      <c r="B423" s="2150"/>
      <c r="C423" s="2224" t="s">
        <v>1470</v>
      </c>
      <c r="D423" s="2225">
        <v>18985.099999999999</v>
      </c>
      <c r="M423" s="2098"/>
      <c r="N423" s="2098"/>
      <c r="O423" s="2098"/>
      <c r="P423" s="2098"/>
      <c r="R423" s="2198"/>
      <c r="S423" s="2198"/>
      <c r="T423" s="2198"/>
      <c r="U423" s="2198"/>
      <c r="V423" s="2168"/>
      <c r="W423" s="2168"/>
      <c r="X423" s="2168"/>
      <c r="Y423" s="2168"/>
      <c r="Z423" s="2168"/>
      <c r="AA423" s="2168"/>
      <c r="AB423" s="2168"/>
      <c r="AC423" s="2168"/>
      <c r="AD423" s="2168"/>
      <c r="AE423" s="2226">
        <v>18985.099999999999</v>
      </c>
      <c r="AF423" s="2226"/>
      <c r="AG423" s="2226"/>
      <c r="AH423" s="3405">
        <v>18829.3</v>
      </c>
      <c r="AI423" s="3405"/>
      <c r="AJ423" s="2226">
        <v>155.80000000000001</v>
      </c>
      <c r="AK423" s="2226"/>
      <c r="AL423" s="2226"/>
      <c r="AM423" s="2226"/>
      <c r="AN423" s="2226">
        <v>18985.099999999999</v>
      </c>
      <c r="AO423" s="2226">
        <v>18985.099999999999</v>
      </c>
      <c r="AP423" s="2168"/>
      <c r="AQ423" s="2168"/>
      <c r="AR423" s="2168"/>
      <c r="AS423" s="2168"/>
      <c r="AT423" s="2168"/>
      <c r="AU423" s="2168"/>
      <c r="AV423" s="2168"/>
    </row>
    <row r="424" spans="1:48" s="2141" customFormat="1" ht="24" hidden="1" outlineLevel="4">
      <c r="A424" s="2150"/>
      <c r="B424" s="2150"/>
      <c r="C424" s="2229" t="s">
        <v>1325</v>
      </c>
      <c r="D424" s="2230">
        <v>0.51</v>
      </c>
      <c r="M424" s="2098"/>
      <c r="N424" s="2098"/>
      <c r="O424" s="2098"/>
      <c r="P424" s="2098"/>
      <c r="R424" s="2198"/>
      <c r="S424" s="2198"/>
      <c r="T424" s="2198"/>
      <c r="U424" s="2198"/>
      <c r="V424" s="2168"/>
      <c r="W424" s="2168"/>
      <c r="X424" s="2168"/>
      <c r="Y424" s="2168"/>
      <c r="Z424" s="2168"/>
      <c r="AA424" s="2168"/>
      <c r="AB424" s="2168"/>
      <c r="AC424" s="2168"/>
      <c r="AD424" s="2168"/>
      <c r="AE424" s="2231">
        <v>0.51</v>
      </c>
      <c r="AF424" s="2231"/>
      <c r="AG424" s="2231"/>
      <c r="AH424" s="3403">
        <v>0.51</v>
      </c>
      <c r="AI424" s="3403"/>
      <c r="AJ424" s="2231"/>
      <c r="AK424" s="2231"/>
      <c r="AL424" s="2231"/>
      <c r="AM424" s="2231"/>
      <c r="AN424" s="2231">
        <v>0.51</v>
      </c>
      <c r="AO424" s="2231">
        <v>0.51</v>
      </c>
      <c r="AP424" s="2168"/>
      <c r="AQ424" s="2168"/>
      <c r="AR424" s="2168"/>
      <c r="AS424" s="2168"/>
      <c r="AT424" s="2168"/>
      <c r="AU424" s="2168"/>
      <c r="AV424" s="2168"/>
    </row>
    <row r="425" spans="1:48" s="2141" customFormat="1" ht="12" hidden="1" outlineLevel="4">
      <c r="A425" s="2150"/>
      <c r="B425" s="2150"/>
      <c r="C425" s="2229" t="s">
        <v>1326</v>
      </c>
      <c r="D425" s="2234"/>
      <c r="M425" s="2098"/>
      <c r="N425" s="2098"/>
      <c r="O425" s="2098"/>
      <c r="P425" s="2098"/>
      <c r="R425" s="2198"/>
      <c r="S425" s="2198"/>
      <c r="T425" s="2198"/>
      <c r="U425" s="2198"/>
      <c r="V425" s="2168"/>
      <c r="W425" s="2168"/>
      <c r="X425" s="2168"/>
      <c r="Y425" s="2168"/>
      <c r="Z425" s="2168"/>
      <c r="AA425" s="2168"/>
      <c r="AB425" s="2168"/>
      <c r="AC425" s="2168"/>
      <c r="AD425" s="2168"/>
      <c r="AE425" s="2231"/>
      <c r="AF425" s="2231"/>
      <c r="AG425" s="2231"/>
      <c r="AH425" s="2232"/>
      <c r="AI425" s="2233"/>
      <c r="AJ425" s="2231"/>
      <c r="AK425" s="2231"/>
      <c r="AL425" s="2231"/>
      <c r="AM425" s="2231"/>
      <c r="AN425" s="2231"/>
      <c r="AO425" s="2231"/>
      <c r="AP425" s="2168"/>
      <c r="AQ425" s="2168"/>
      <c r="AR425" s="2168"/>
      <c r="AS425" s="2168"/>
      <c r="AT425" s="2168"/>
      <c r="AU425" s="2168"/>
      <c r="AV425" s="2168"/>
    </row>
    <row r="426" spans="1:48" s="2141" customFormat="1" ht="24" hidden="1" outlineLevel="4">
      <c r="A426" s="2150"/>
      <c r="B426" s="2150"/>
      <c r="C426" s="2229" t="s">
        <v>1331</v>
      </c>
      <c r="D426" s="2230">
        <v>1129.8699999999999</v>
      </c>
      <c r="M426" s="2098"/>
      <c r="N426" s="2098"/>
      <c r="O426" s="2098"/>
      <c r="P426" s="2098"/>
      <c r="R426" s="2198"/>
      <c r="S426" s="2198"/>
      <c r="T426" s="2198"/>
      <c r="U426" s="2198"/>
      <c r="V426" s="2168"/>
      <c r="W426" s="2168"/>
      <c r="X426" s="2168"/>
      <c r="Y426" s="2168"/>
      <c r="Z426" s="2168"/>
      <c r="AA426" s="2168"/>
      <c r="AB426" s="2168"/>
      <c r="AC426" s="2168"/>
      <c r="AD426" s="2168"/>
      <c r="AE426" s="2231">
        <v>1129.8699999999999</v>
      </c>
      <c r="AF426" s="2231"/>
      <c r="AG426" s="2231"/>
      <c r="AH426" s="3403">
        <v>1124.2</v>
      </c>
      <c r="AI426" s="3403"/>
      <c r="AJ426" s="2231">
        <v>5.67</v>
      </c>
      <c r="AK426" s="2231"/>
      <c r="AL426" s="2231"/>
      <c r="AM426" s="2231"/>
      <c r="AN426" s="2231">
        <v>1129.8699999999999</v>
      </c>
      <c r="AO426" s="2231">
        <v>1129.8699999999999</v>
      </c>
      <c r="AP426" s="2168"/>
      <c r="AQ426" s="2168"/>
      <c r="AR426" s="2168"/>
      <c r="AS426" s="2168"/>
      <c r="AT426" s="2168"/>
      <c r="AU426" s="2168"/>
      <c r="AV426" s="2168"/>
    </row>
    <row r="427" spans="1:48" s="2141" customFormat="1" ht="24" hidden="1" outlineLevel="4">
      <c r="A427" s="2150"/>
      <c r="B427" s="2150"/>
      <c r="C427" s="2229" t="s">
        <v>1332</v>
      </c>
      <c r="D427" s="2230">
        <v>1354.18</v>
      </c>
      <c r="M427" s="2098"/>
      <c r="N427" s="2098"/>
      <c r="O427" s="2098"/>
      <c r="P427" s="2098"/>
      <c r="R427" s="2198"/>
      <c r="S427" s="2198"/>
      <c r="T427" s="2198"/>
      <c r="U427" s="2198"/>
      <c r="V427" s="2168"/>
      <c r="W427" s="2168"/>
      <c r="X427" s="2168"/>
      <c r="Y427" s="2168"/>
      <c r="Z427" s="2168"/>
      <c r="AA427" s="2168"/>
      <c r="AB427" s="2168"/>
      <c r="AC427" s="2168"/>
      <c r="AD427" s="2168"/>
      <c r="AE427" s="2231">
        <v>1354.18</v>
      </c>
      <c r="AF427" s="2231"/>
      <c r="AG427" s="2231"/>
      <c r="AH427" s="3403">
        <v>1347.84</v>
      </c>
      <c r="AI427" s="3403"/>
      <c r="AJ427" s="2231">
        <v>6.34</v>
      </c>
      <c r="AK427" s="2231"/>
      <c r="AL427" s="2231"/>
      <c r="AM427" s="2231"/>
      <c r="AN427" s="2231">
        <v>1354.18</v>
      </c>
      <c r="AO427" s="2231">
        <v>1354.18</v>
      </c>
      <c r="AP427" s="2168"/>
      <c r="AQ427" s="2168"/>
      <c r="AR427" s="2168"/>
      <c r="AS427" s="2168"/>
      <c r="AT427" s="2168"/>
      <c r="AU427" s="2168"/>
      <c r="AV427" s="2168"/>
    </row>
    <row r="428" spans="1:48" s="2141" customFormat="1" ht="12" hidden="1" outlineLevel="4">
      <c r="A428" s="2150"/>
      <c r="B428" s="2150"/>
      <c r="C428" s="2229" t="s">
        <v>1338</v>
      </c>
      <c r="D428" s="2230">
        <v>0.62</v>
      </c>
      <c r="M428" s="2098"/>
      <c r="N428" s="2098"/>
      <c r="O428" s="2098"/>
      <c r="P428" s="2098"/>
      <c r="R428" s="2198"/>
      <c r="S428" s="2198"/>
      <c r="T428" s="2198"/>
      <c r="U428" s="2198"/>
      <c r="V428" s="2168"/>
      <c r="W428" s="2168"/>
      <c r="X428" s="2168"/>
      <c r="Y428" s="2168"/>
      <c r="Z428" s="2168"/>
      <c r="AA428" s="2168"/>
      <c r="AB428" s="2168"/>
      <c r="AC428" s="2168"/>
      <c r="AD428" s="2168"/>
      <c r="AE428" s="2231">
        <v>0.62</v>
      </c>
      <c r="AF428" s="2231"/>
      <c r="AG428" s="2231"/>
      <c r="AH428" s="2232"/>
      <c r="AI428" s="2233"/>
      <c r="AJ428" s="2231">
        <v>0.62</v>
      </c>
      <c r="AK428" s="2231"/>
      <c r="AL428" s="2231"/>
      <c r="AM428" s="2231"/>
      <c r="AN428" s="2231">
        <v>0.62</v>
      </c>
      <c r="AO428" s="2231">
        <v>0.62</v>
      </c>
      <c r="AP428" s="2168"/>
      <c r="AQ428" s="2168"/>
      <c r="AR428" s="2168"/>
      <c r="AS428" s="2168"/>
      <c r="AT428" s="2168"/>
      <c r="AU428" s="2168"/>
      <c r="AV428" s="2168"/>
    </row>
    <row r="429" spans="1:48" s="2141" customFormat="1" ht="12" hidden="1" outlineLevel="4">
      <c r="A429" s="2150"/>
      <c r="B429" s="2150"/>
      <c r="C429" s="2229" t="s">
        <v>1362</v>
      </c>
      <c r="D429" s="2230">
        <v>244.49</v>
      </c>
      <c r="M429" s="2098"/>
      <c r="N429" s="2098"/>
      <c r="O429" s="2098"/>
      <c r="P429" s="2098"/>
      <c r="R429" s="2198"/>
      <c r="S429" s="2198"/>
      <c r="T429" s="2198"/>
      <c r="U429" s="2198"/>
      <c r="V429" s="2168"/>
      <c r="W429" s="2168"/>
      <c r="X429" s="2168"/>
      <c r="Y429" s="2168"/>
      <c r="Z429" s="2168"/>
      <c r="AA429" s="2168"/>
      <c r="AB429" s="2168"/>
      <c r="AC429" s="2168"/>
      <c r="AD429" s="2168"/>
      <c r="AE429" s="2231">
        <v>244.49</v>
      </c>
      <c r="AF429" s="2231"/>
      <c r="AG429" s="2231"/>
      <c r="AH429" s="3403">
        <v>244.18</v>
      </c>
      <c r="AI429" s="3403"/>
      <c r="AJ429" s="2231">
        <v>0.31</v>
      </c>
      <c r="AK429" s="2231"/>
      <c r="AL429" s="2231"/>
      <c r="AM429" s="2231"/>
      <c r="AN429" s="2231">
        <v>244.49</v>
      </c>
      <c r="AO429" s="2231">
        <v>244.49</v>
      </c>
      <c r="AP429" s="2168"/>
      <c r="AQ429" s="2168"/>
      <c r="AR429" s="2168"/>
      <c r="AS429" s="2168"/>
      <c r="AT429" s="2168"/>
      <c r="AU429" s="2168"/>
      <c r="AV429" s="2168"/>
    </row>
    <row r="430" spans="1:48" s="2141" customFormat="1" ht="12" hidden="1" outlineLevel="4">
      <c r="A430" s="2150"/>
      <c r="B430" s="2150"/>
      <c r="C430" s="2229" t="s">
        <v>1363</v>
      </c>
      <c r="D430" s="2230">
        <v>1.0900000000000001</v>
      </c>
      <c r="M430" s="2098"/>
      <c r="N430" s="2098"/>
      <c r="O430" s="2098"/>
      <c r="P430" s="2098"/>
      <c r="R430" s="2198"/>
      <c r="S430" s="2198"/>
      <c r="T430" s="2198"/>
      <c r="U430" s="2198"/>
      <c r="V430" s="2168"/>
      <c r="W430" s="2168"/>
      <c r="X430" s="2168"/>
      <c r="Y430" s="2168"/>
      <c r="Z430" s="2168"/>
      <c r="AA430" s="2168"/>
      <c r="AB430" s="2168"/>
      <c r="AC430" s="2168"/>
      <c r="AD430" s="2168"/>
      <c r="AE430" s="2231">
        <v>1.0900000000000001</v>
      </c>
      <c r="AF430" s="2231"/>
      <c r="AG430" s="2231"/>
      <c r="AH430" s="3403">
        <v>0.99</v>
      </c>
      <c r="AI430" s="3403"/>
      <c r="AJ430" s="2231">
        <v>0.1</v>
      </c>
      <c r="AK430" s="2231"/>
      <c r="AL430" s="2231"/>
      <c r="AM430" s="2231"/>
      <c r="AN430" s="2231">
        <v>1.0900000000000001</v>
      </c>
      <c r="AO430" s="2231">
        <v>1.0900000000000001</v>
      </c>
      <c r="AP430" s="2168"/>
      <c r="AQ430" s="2168"/>
      <c r="AR430" s="2168"/>
      <c r="AS430" s="2168"/>
      <c r="AT430" s="2168"/>
      <c r="AU430" s="2168"/>
      <c r="AV430" s="2168"/>
    </row>
    <row r="431" spans="1:48" s="2141" customFormat="1" ht="12" hidden="1" outlineLevel="4">
      <c r="A431" s="2150"/>
      <c r="B431" s="2150"/>
      <c r="C431" s="2229" t="s">
        <v>1364</v>
      </c>
      <c r="D431" s="2230">
        <v>11014.71</v>
      </c>
      <c r="M431" s="2098"/>
      <c r="N431" s="2098"/>
      <c r="O431" s="2098"/>
      <c r="P431" s="2098"/>
      <c r="R431" s="2198"/>
      <c r="S431" s="2198"/>
      <c r="T431" s="2198"/>
      <c r="U431" s="2198"/>
      <c r="V431" s="2168"/>
      <c r="W431" s="2168"/>
      <c r="X431" s="2168"/>
      <c r="Y431" s="2168"/>
      <c r="Z431" s="2168"/>
      <c r="AA431" s="2168"/>
      <c r="AB431" s="2168"/>
      <c r="AC431" s="2168"/>
      <c r="AD431" s="2168"/>
      <c r="AE431" s="2231">
        <v>11014.71</v>
      </c>
      <c r="AF431" s="2231"/>
      <c r="AG431" s="2231"/>
      <c r="AH431" s="3403">
        <v>10948.07</v>
      </c>
      <c r="AI431" s="3403"/>
      <c r="AJ431" s="2231">
        <v>66.64</v>
      </c>
      <c r="AK431" s="2231"/>
      <c r="AL431" s="2231"/>
      <c r="AM431" s="2231"/>
      <c r="AN431" s="2231">
        <v>11014.71</v>
      </c>
      <c r="AO431" s="2231">
        <v>11014.71</v>
      </c>
      <c r="AP431" s="2168"/>
      <c r="AQ431" s="2168"/>
      <c r="AR431" s="2168"/>
      <c r="AS431" s="2168"/>
      <c r="AT431" s="2168"/>
      <c r="AU431" s="2168"/>
      <c r="AV431" s="2168"/>
    </row>
    <row r="432" spans="1:48" s="2141" customFormat="1" ht="24" hidden="1" outlineLevel="4">
      <c r="A432" s="2150"/>
      <c r="B432" s="2150"/>
      <c r="C432" s="2229" t="s">
        <v>1381</v>
      </c>
      <c r="D432" s="2230">
        <v>606.46</v>
      </c>
      <c r="M432" s="2098"/>
      <c r="N432" s="2098"/>
      <c r="O432" s="2098"/>
      <c r="P432" s="2098"/>
      <c r="R432" s="2198"/>
      <c r="S432" s="2198"/>
      <c r="T432" s="2198"/>
      <c r="U432" s="2198"/>
      <c r="V432" s="2168"/>
      <c r="W432" s="2168"/>
      <c r="X432" s="2168"/>
      <c r="Y432" s="2168"/>
      <c r="Z432" s="2168"/>
      <c r="AA432" s="2168"/>
      <c r="AB432" s="2168"/>
      <c r="AC432" s="2168"/>
      <c r="AD432" s="2168"/>
      <c r="AE432" s="2231">
        <v>606.46</v>
      </c>
      <c r="AF432" s="2231"/>
      <c r="AG432" s="2231"/>
      <c r="AH432" s="3403">
        <v>569.48</v>
      </c>
      <c r="AI432" s="3403"/>
      <c r="AJ432" s="2231">
        <v>36.979999999999997</v>
      </c>
      <c r="AK432" s="2231"/>
      <c r="AL432" s="2231"/>
      <c r="AM432" s="2231"/>
      <c r="AN432" s="2231">
        <v>606.46</v>
      </c>
      <c r="AO432" s="2231">
        <v>606.46</v>
      </c>
      <c r="AP432" s="2168"/>
      <c r="AQ432" s="2168"/>
      <c r="AR432" s="2168"/>
      <c r="AS432" s="2168"/>
      <c r="AT432" s="2168"/>
      <c r="AU432" s="2168"/>
      <c r="AV432" s="2168"/>
    </row>
    <row r="433" spans="1:48" s="2141" customFormat="1" ht="24" hidden="1" outlineLevel="4">
      <c r="A433" s="2150"/>
      <c r="B433" s="2150"/>
      <c r="C433" s="2229" t="s">
        <v>1382</v>
      </c>
      <c r="D433" s="2230">
        <v>117.71</v>
      </c>
      <c r="M433" s="2098"/>
      <c r="N433" s="2098"/>
      <c r="O433" s="2098"/>
      <c r="P433" s="2098"/>
      <c r="R433" s="2198"/>
      <c r="S433" s="2198"/>
      <c r="T433" s="2198"/>
      <c r="U433" s="2198"/>
      <c r="V433" s="2168"/>
      <c r="W433" s="2168"/>
      <c r="X433" s="2168"/>
      <c r="Y433" s="2168"/>
      <c r="Z433" s="2168"/>
      <c r="AA433" s="2168"/>
      <c r="AB433" s="2168"/>
      <c r="AC433" s="2168"/>
      <c r="AD433" s="2168"/>
      <c r="AE433" s="2231">
        <v>117.71</v>
      </c>
      <c r="AF433" s="2231"/>
      <c r="AG433" s="2231"/>
      <c r="AH433" s="3403">
        <v>103.47</v>
      </c>
      <c r="AI433" s="3403"/>
      <c r="AJ433" s="2231">
        <v>14.24</v>
      </c>
      <c r="AK433" s="2231"/>
      <c r="AL433" s="2231"/>
      <c r="AM433" s="2231"/>
      <c r="AN433" s="2231">
        <v>117.71</v>
      </c>
      <c r="AO433" s="2231">
        <v>117.71</v>
      </c>
      <c r="AP433" s="2168"/>
      <c r="AQ433" s="2168"/>
      <c r="AR433" s="2168"/>
      <c r="AS433" s="2168"/>
      <c r="AT433" s="2168"/>
      <c r="AU433" s="2168"/>
      <c r="AV433" s="2168"/>
    </row>
    <row r="434" spans="1:48" s="2141" customFormat="1" ht="24" hidden="1" outlineLevel="4">
      <c r="A434" s="2150"/>
      <c r="B434" s="2150"/>
      <c r="C434" s="2229" t="s">
        <v>1383</v>
      </c>
      <c r="D434" s="2230">
        <v>220.2</v>
      </c>
      <c r="M434" s="2098"/>
      <c r="N434" s="2098"/>
      <c r="O434" s="2098"/>
      <c r="P434" s="2098"/>
      <c r="R434" s="2198"/>
      <c r="S434" s="2198"/>
      <c r="T434" s="2198"/>
      <c r="U434" s="2198"/>
      <c r="V434" s="2168"/>
      <c r="W434" s="2168"/>
      <c r="X434" s="2168"/>
      <c r="Y434" s="2168"/>
      <c r="Z434" s="2168"/>
      <c r="AA434" s="2168"/>
      <c r="AB434" s="2168"/>
      <c r="AC434" s="2168"/>
      <c r="AD434" s="2168"/>
      <c r="AE434" s="2231">
        <v>220.2</v>
      </c>
      <c r="AF434" s="2231"/>
      <c r="AG434" s="2231"/>
      <c r="AH434" s="3403">
        <v>215.76</v>
      </c>
      <c r="AI434" s="3403"/>
      <c r="AJ434" s="2231">
        <v>4.4400000000000004</v>
      </c>
      <c r="AK434" s="2231"/>
      <c r="AL434" s="2231"/>
      <c r="AM434" s="2231"/>
      <c r="AN434" s="2231">
        <v>220.2</v>
      </c>
      <c r="AO434" s="2231">
        <v>220.2</v>
      </c>
      <c r="AP434" s="2168"/>
      <c r="AQ434" s="2168"/>
      <c r="AR434" s="2168"/>
      <c r="AS434" s="2168"/>
      <c r="AT434" s="2168"/>
      <c r="AU434" s="2168"/>
      <c r="AV434" s="2168"/>
    </row>
    <row r="435" spans="1:48" s="2141" customFormat="1" ht="12" hidden="1" outlineLevel="4">
      <c r="A435" s="2150"/>
      <c r="B435" s="2150"/>
      <c r="C435" s="2229" t="s">
        <v>1384</v>
      </c>
      <c r="D435" s="2230">
        <v>1693.72</v>
      </c>
      <c r="M435" s="2098"/>
      <c r="N435" s="2098"/>
      <c r="O435" s="2098"/>
      <c r="P435" s="2098"/>
      <c r="R435" s="2198"/>
      <c r="S435" s="2198"/>
      <c r="T435" s="2198"/>
      <c r="U435" s="2198"/>
      <c r="V435" s="2168"/>
      <c r="W435" s="2168"/>
      <c r="X435" s="2168"/>
      <c r="Y435" s="2168"/>
      <c r="Z435" s="2168"/>
      <c r="AA435" s="2168"/>
      <c r="AB435" s="2168"/>
      <c r="AC435" s="2168"/>
      <c r="AD435" s="2168"/>
      <c r="AE435" s="2231">
        <v>1693.72</v>
      </c>
      <c r="AF435" s="2231"/>
      <c r="AG435" s="2231"/>
      <c r="AH435" s="3403">
        <v>1684.17</v>
      </c>
      <c r="AI435" s="3403"/>
      <c r="AJ435" s="2231">
        <v>9.5500000000000007</v>
      </c>
      <c r="AK435" s="2231"/>
      <c r="AL435" s="2231"/>
      <c r="AM435" s="2231"/>
      <c r="AN435" s="2231">
        <v>1693.72</v>
      </c>
      <c r="AO435" s="2231">
        <v>1693.72</v>
      </c>
      <c r="AP435" s="2168"/>
      <c r="AQ435" s="2168"/>
      <c r="AR435" s="2168"/>
      <c r="AS435" s="2168"/>
      <c r="AT435" s="2168"/>
      <c r="AU435" s="2168"/>
      <c r="AV435" s="2168"/>
    </row>
    <row r="436" spans="1:48" s="2141" customFormat="1" ht="24" hidden="1" outlineLevel="4">
      <c r="A436" s="2150"/>
      <c r="B436" s="2150"/>
      <c r="C436" s="2229" t="s">
        <v>1386</v>
      </c>
      <c r="D436" s="2230">
        <v>2601.54</v>
      </c>
      <c r="M436" s="2098"/>
      <c r="N436" s="2098"/>
      <c r="O436" s="2098"/>
      <c r="P436" s="2098"/>
      <c r="R436" s="2198"/>
      <c r="S436" s="2198"/>
      <c r="T436" s="2198"/>
      <c r="U436" s="2198"/>
      <c r="V436" s="2168"/>
      <c r="W436" s="2168"/>
      <c r="X436" s="2168"/>
      <c r="Y436" s="2168"/>
      <c r="Z436" s="2168"/>
      <c r="AA436" s="2168"/>
      <c r="AB436" s="2168"/>
      <c r="AC436" s="2168"/>
      <c r="AD436" s="2168"/>
      <c r="AE436" s="2231">
        <v>2601.54</v>
      </c>
      <c r="AF436" s="2231"/>
      <c r="AG436" s="2231"/>
      <c r="AH436" s="3403">
        <v>2590.63</v>
      </c>
      <c r="AI436" s="3403"/>
      <c r="AJ436" s="2231">
        <v>10.91</v>
      </c>
      <c r="AK436" s="2231"/>
      <c r="AL436" s="2231"/>
      <c r="AM436" s="2231"/>
      <c r="AN436" s="2231">
        <v>2601.54</v>
      </c>
      <c r="AO436" s="2231">
        <v>2601.54</v>
      </c>
      <c r="AP436" s="2168"/>
      <c r="AQ436" s="2168"/>
      <c r="AR436" s="2168"/>
      <c r="AS436" s="2168"/>
      <c r="AT436" s="2168"/>
      <c r="AU436" s="2168"/>
      <c r="AV436" s="2168"/>
    </row>
    <row r="437" spans="1:48" s="2141" customFormat="1" ht="12" hidden="1" outlineLevel="3">
      <c r="A437" s="2150"/>
      <c r="B437" s="2150"/>
      <c r="C437" s="2224" t="s">
        <v>1471</v>
      </c>
      <c r="D437" s="2225">
        <v>122.15</v>
      </c>
      <c r="M437" s="2098"/>
      <c r="N437" s="2098"/>
      <c r="O437" s="2098"/>
      <c r="P437" s="2098"/>
      <c r="R437" s="2198"/>
      <c r="S437" s="2198"/>
      <c r="T437" s="2198"/>
      <c r="U437" s="2198"/>
      <c r="V437" s="2168"/>
      <c r="W437" s="2168"/>
      <c r="X437" s="2168"/>
      <c r="Y437" s="2168"/>
      <c r="Z437" s="2168"/>
      <c r="AA437" s="2168"/>
      <c r="AB437" s="2168"/>
      <c r="AC437" s="2168"/>
      <c r="AD437" s="2168"/>
      <c r="AE437" s="2226">
        <v>122.15</v>
      </c>
      <c r="AF437" s="2226"/>
      <c r="AG437" s="2226"/>
      <c r="AH437" s="3405">
        <v>106.46</v>
      </c>
      <c r="AI437" s="3405"/>
      <c r="AJ437" s="2226">
        <v>15.69</v>
      </c>
      <c r="AK437" s="2226"/>
      <c r="AL437" s="2226"/>
      <c r="AM437" s="2226"/>
      <c r="AN437" s="2226">
        <v>122.15</v>
      </c>
      <c r="AO437" s="2226">
        <v>122.15</v>
      </c>
      <c r="AP437" s="2168"/>
      <c r="AQ437" s="2168"/>
      <c r="AR437" s="2168"/>
      <c r="AS437" s="2168"/>
      <c r="AT437" s="2168"/>
      <c r="AU437" s="2168"/>
      <c r="AV437" s="2168"/>
    </row>
    <row r="438" spans="1:48" s="2141" customFormat="1" ht="24" hidden="1" outlineLevel="4" collapsed="1">
      <c r="A438" s="2150"/>
      <c r="B438" s="2150"/>
      <c r="C438" s="2235" t="s">
        <v>1472</v>
      </c>
      <c r="D438" s="2225">
        <v>28.41</v>
      </c>
      <c r="M438" s="2098"/>
      <c r="N438" s="2098"/>
      <c r="O438" s="2098"/>
      <c r="P438" s="2098"/>
      <c r="R438" s="2198"/>
      <c r="S438" s="2198"/>
      <c r="T438" s="2198"/>
      <c r="U438" s="2198"/>
      <c r="V438" s="2168"/>
      <c r="W438" s="2168"/>
      <c r="X438" s="2168"/>
      <c r="Y438" s="2168"/>
      <c r="Z438" s="2168"/>
      <c r="AA438" s="2168"/>
      <c r="AB438" s="2168"/>
      <c r="AC438" s="2168"/>
      <c r="AD438" s="2168"/>
      <c r="AE438" s="2226">
        <v>28.41</v>
      </c>
      <c r="AF438" s="2226"/>
      <c r="AG438" s="2226"/>
      <c r="AH438" s="3405">
        <v>28.41</v>
      </c>
      <c r="AI438" s="3405"/>
      <c r="AJ438" s="2226"/>
      <c r="AK438" s="2226"/>
      <c r="AL438" s="2226"/>
      <c r="AM438" s="2226"/>
      <c r="AN438" s="2226">
        <v>28.41</v>
      </c>
      <c r="AO438" s="2226">
        <v>28.41</v>
      </c>
      <c r="AP438" s="2168"/>
      <c r="AQ438" s="2168"/>
      <c r="AR438" s="2168"/>
      <c r="AS438" s="2168"/>
      <c r="AT438" s="2168"/>
      <c r="AU438" s="2168"/>
      <c r="AV438" s="2168"/>
    </row>
    <row r="439" spans="1:48" s="2141" customFormat="1" ht="24" hidden="1" outlineLevel="5">
      <c r="A439" s="2150"/>
      <c r="B439" s="2150"/>
      <c r="C439" s="2236" t="s">
        <v>1411</v>
      </c>
      <c r="D439" s="2230">
        <v>2.63</v>
      </c>
      <c r="M439" s="2098"/>
      <c r="N439" s="2098"/>
      <c r="O439" s="2098"/>
      <c r="P439" s="2098"/>
      <c r="R439" s="2198"/>
      <c r="S439" s="2198"/>
      <c r="T439" s="2198"/>
      <c r="U439" s="2198"/>
      <c r="V439" s="2168"/>
      <c r="W439" s="2168"/>
      <c r="X439" s="2168"/>
      <c r="Y439" s="2168"/>
      <c r="Z439" s="2168"/>
      <c r="AA439" s="2168"/>
      <c r="AB439" s="2168"/>
      <c r="AC439" s="2168"/>
      <c r="AD439" s="2168"/>
      <c r="AE439" s="2231">
        <v>2.63</v>
      </c>
      <c r="AF439" s="2231"/>
      <c r="AG439" s="2231"/>
      <c r="AH439" s="3403">
        <v>2.63</v>
      </c>
      <c r="AI439" s="3403"/>
      <c r="AJ439" s="2231"/>
      <c r="AK439" s="2231"/>
      <c r="AL439" s="2231"/>
      <c r="AM439" s="2231"/>
      <c r="AN439" s="2231">
        <v>2.63</v>
      </c>
      <c r="AO439" s="2231">
        <v>2.63</v>
      </c>
      <c r="AP439" s="2168"/>
      <c r="AQ439" s="2168"/>
      <c r="AR439" s="2168"/>
      <c r="AS439" s="2168"/>
      <c r="AT439" s="2168"/>
      <c r="AU439" s="2168"/>
      <c r="AV439" s="2168"/>
    </row>
    <row r="440" spans="1:48" s="2141" customFormat="1" ht="24" hidden="1" outlineLevel="5">
      <c r="A440" s="2150"/>
      <c r="B440" s="2150"/>
      <c r="C440" s="2236" t="s">
        <v>1459</v>
      </c>
      <c r="D440" s="2230">
        <v>25.78</v>
      </c>
      <c r="M440" s="2098"/>
      <c r="N440" s="2098"/>
      <c r="O440" s="2098"/>
      <c r="P440" s="2098"/>
      <c r="R440" s="2198"/>
      <c r="S440" s="2198"/>
      <c r="T440" s="2198"/>
      <c r="U440" s="2198"/>
      <c r="V440" s="2168"/>
      <c r="W440" s="2168"/>
      <c r="X440" s="2168"/>
      <c r="Y440" s="2168"/>
      <c r="Z440" s="2168"/>
      <c r="AA440" s="2168"/>
      <c r="AB440" s="2168"/>
      <c r="AC440" s="2168"/>
      <c r="AD440" s="2168"/>
      <c r="AE440" s="2231">
        <v>25.78</v>
      </c>
      <c r="AF440" s="2231"/>
      <c r="AG440" s="2231"/>
      <c r="AH440" s="3403">
        <v>25.78</v>
      </c>
      <c r="AI440" s="3403"/>
      <c r="AJ440" s="2231"/>
      <c r="AK440" s="2231"/>
      <c r="AL440" s="2231"/>
      <c r="AM440" s="2231"/>
      <c r="AN440" s="2231">
        <v>25.78</v>
      </c>
      <c r="AO440" s="2231">
        <v>25.78</v>
      </c>
      <c r="AP440" s="2168"/>
      <c r="AQ440" s="2168"/>
      <c r="AR440" s="2168"/>
      <c r="AS440" s="2168"/>
      <c r="AT440" s="2168"/>
      <c r="AU440" s="2168"/>
      <c r="AV440" s="2168"/>
    </row>
    <row r="441" spans="1:48" s="2141" customFormat="1" ht="24" hidden="1" outlineLevel="4" collapsed="1">
      <c r="A441" s="2150"/>
      <c r="B441" s="2150"/>
      <c r="C441" s="2235" t="s">
        <v>1473</v>
      </c>
      <c r="D441" s="2225">
        <v>14.52</v>
      </c>
      <c r="M441" s="2098"/>
      <c r="N441" s="2098"/>
      <c r="O441" s="2098"/>
      <c r="P441" s="2098"/>
      <c r="R441" s="2198"/>
      <c r="S441" s="2198"/>
      <c r="T441" s="2198"/>
      <c r="U441" s="2198"/>
      <c r="V441" s="2168"/>
      <c r="W441" s="2168"/>
      <c r="X441" s="2168"/>
      <c r="Y441" s="2168"/>
      <c r="Z441" s="2168"/>
      <c r="AA441" s="2168"/>
      <c r="AB441" s="2168"/>
      <c r="AC441" s="2168"/>
      <c r="AD441" s="2168"/>
      <c r="AE441" s="2226">
        <v>14.52</v>
      </c>
      <c r="AF441" s="2226"/>
      <c r="AG441" s="2226"/>
      <c r="AH441" s="3405">
        <v>10.54</v>
      </c>
      <c r="AI441" s="3405"/>
      <c r="AJ441" s="2226">
        <v>3.98</v>
      </c>
      <c r="AK441" s="2226"/>
      <c r="AL441" s="2226"/>
      <c r="AM441" s="2226"/>
      <c r="AN441" s="2226">
        <v>14.52</v>
      </c>
      <c r="AO441" s="2226">
        <v>14.52</v>
      </c>
      <c r="AP441" s="2168"/>
      <c r="AQ441" s="2168"/>
      <c r="AR441" s="2168"/>
      <c r="AS441" s="2168"/>
      <c r="AT441" s="2168"/>
      <c r="AU441" s="2168"/>
      <c r="AV441" s="2168"/>
    </row>
    <row r="442" spans="1:48" s="2141" customFormat="1" ht="12" hidden="1" outlineLevel="5">
      <c r="A442" s="2150"/>
      <c r="B442" s="2150"/>
      <c r="C442" s="2237" t="s">
        <v>1474</v>
      </c>
      <c r="D442" s="2225">
        <v>2.94</v>
      </c>
      <c r="M442" s="2098"/>
      <c r="N442" s="2098"/>
      <c r="O442" s="2098"/>
      <c r="P442" s="2098"/>
      <c r="R442" s="2198"/>
      <c r="S442" s="2198"/>
      <c r="T442" s="2198"/>
      <c r="U442" s="2198"/>
      <c r="V442" s="2168"/>
      <c r="W442" s="2168"/>
      <c r="X442" s="2168"/>
      <c r="Y442" s="2168"/>
      <c r="Z442" s="2168"/>
      <c r="AA442" s="2168"/>
      <c r="AB442" s="2168"/>
      <c r="AC442" s="2168"/>
      <c r="AD442" s="2168"/>
      <c r="AE442" s="2226">
        <v>2.94</v>
      </c>
      <c r="AF442" s="2226"/>
      <c r="AG442" s="2226"/>
      <c r="AH442" s="2227"/>
      <c r="AI442" s="2228"/>
      <c r="AJ442" s="2226">
        <v>2.94</v>
      </c>
      <c r="AK442" s="2226"/>
      <c r="AL442" s="2226"/>
      <c r="AM442" s="2226"/>
      <c r="AN442" s="2226">
        <v>2.94</v>
      </c>
      <c r="AO442" s="2226">
        <v>2.94</v>
      </c>
      <c r="AP442" s="2168"/>
      <c r="AQ442" s="2168"/>
      <c r="AR442" s="2168"/>
      <c r="AS442" s="2168"/>
      <c r="AT442" s="2168"/>
      <c r="AU442" s="2168"/>
      <c r="AV442" s="2168"/>
    </row>
    <row r="443" spans="1:48" s="2141" customFormat="1" ht="24" hidden="1" outlineLevel="6">
      <c r="A443" s="2150"/>
      <c r="B443" s="2150"/>
      <c r="C443" s="2238" t="s">
        <v>1433</v>
      </c>
      <c r="D443" s="2230">
        <v>2.94</v>
      </c>
      <c r="M443" s="2098"/>
      <c r="N443" s="2098"/>
      <c r="O443" s="2098"/>
      <c r="P443" s="2098"/>
      <c r="R443" s="2198"/>
      <c r="S443" s="2198"/>
      <c r="T443" s="2198"/>
      <c r="U443" s="2198"/>
      <c r="V443" s="2168"/>
      <c r="W443" s="2168"/>
      <c r="X443" s="2168"/>
      <c r="Y443" s="2168"/>
      <c r="Z443" s="2168"/>
      <c r="AA443" s="2168"/>
      <c r="AB443" s="2168"/>
      <c r="AC443" s="2168"/>
      <c r="AD443" s="2168"/>
      <c r="AE443" s="2231">
        <v>2.94</v>
      </c>
      <c r="AF443" s="2231"/>
      <c r="AG443" s="2231"/>
      <c r="AH443" s="2232"/>
      <c r="AI443" s="2233"/>
      <c r="AJ443" s="2231">
        <v>2.94</v>
      </c>
      <c r="AK443" s="2231"/>
      <c r="AL443" s="2231"/>
      <c r="AM443" s="2231"/>
      <c r="AN443" s="2231">
        <v>2.94</v>
      </c>
      <c r="AO443" s="2231">
        <v>2.94</v>
      </c>
      <c r="AP443" s="2168"/>
      <c r="AQ443" s="2168"/>
      <c r="AR443" s="2168"/>
      <c r="AS443" s="2168"/>
      <c r="AT443" s="2168"/>
      <c r="AU443" s="2168"/>
      <c r="AV443" s="2168"/>
    </row>
    <row r="444" spans="1:48" s="2141" customFormat="1" ht="12" hidden="1" outlineLevel="5">
      <c r="A444" s="2150"/>
      <c r="B444" s="2150"/>
      <c r="C444" s="2237" t="s">
        <v>3826</v>
      </c>
      <c r="D444" s="2225">
        <v>0.13</v>
      </c>
      <c r="M444" s="2098"/>
      <c r="N444" s="2098"/>
      <c r="O444" s="2098"/>
      <c r="P444" s="2098"/>
      <c r="R444" s="2198"/>
      <c r="S444" s="2198"/>
      <c r="T444" s="2198"/>
      <c r="U444" s="2198"/>
      <c r="V444" s="2168"/>
      <c r="W444" s="2168"/>
      <c r="X444" s="2168"/>
      <c r="Y444" s="2168"/>
      <c r="Z444" s="2168"/>
      <c r="AA444" s="2168"/>
      <c r="AB444" s="2168"/>
      <c r="AC444" s="2168"/>
      <c r="AD444" s="2168"/>
      <c r="AE444" s="2226">
        <v>0.13</v>
      </c>
      <c r="AF444" s="2226"/>
      <c r="AG444" s="2226"/>
      <c r="AH444" s="3405">
        <v>0.09</v>
      </c>
      <c r="AI444" s="3405"/>
      <c r="AJ444" s="2226">
        <v>0.04</v>
      </c>
      <c r="AK444" s="2226"/>
      <c r="AL444" s="2226"/>
      <c r="AM444" s="2226"/>
      <c r="AN444" s="2226">
        <v>0.13</v>
      </c>
      <c r="AO444" s="2226">
        <v>0.13</v>
      </c>
      <c r="AP444" s="2168"/>
      <c r="AQ444" s="2168"/>
      <c r="AR444" s="2168"/>
      <c r="AS444" s="2168"/>
      <c r="AT444" s="2168"/>
      <c r="AU444" s="2168"/>
      <c r="AV444" s="2168"/>
    </row>
    <row r="445" spans="1:48" s="2141" customFormat="1" ht="24" hidden="1" outlineLevel="6">
      <c r="A445" s="2150"/>
      <c r="B445" s="2150"/>
      <c r="C445" s="2238" t="s">
        <v>3811</v>
      </c>
      <c r="D445" s="2230">
        <v>0.13</v>
      </c>
      <c r="M445" s="2098"/>
      <c r="N445" s="2098"/>
      <c r="O445" s="2098"/>
      <c r="P445" s="2098"/>
      <c r="R445" s="2198"/>
      <c r="S445" s="2198"/>
      <c r="T445" s="2198"/>
      <c r="U445" s="2198"/>
      <c r="V445" s="2168"/>
      <c r="W445" s="2168"/>
      <c r="X445" s="2168"/>
      <c r="Y445" s="2168"/>
      <c r="Z445" s="2168"/>
      <c r="AA445" s="2168"/>
      <c r="AB445" s="2168"/>
      <c r="AC445" s="2168"/>
      <c r="AD445" s="2168"/>
      <c r="AE445" s="2231">
        <v>0.13</v>
      </c>
      <c r="AF445" s="2231"/>
      <c r="AG445" s="2231"/>
      <c r="AH445" s="3403">
        <v>0.09</v>
      </c>
      <c r="AI445" s="3403"/>
      <c r="AJ445" s="2231">
        <v>0.04</v>
      </c>
      <c r="AK445" s="2231"/>
      <c r="AL445" s="2231"/>
      <c r="AM445" s="2231"/>
      <c r="AN445" s="2231">
        <v>0.13</v>
      </c>
      <c r="AO445" s="2231">
        <v>0.13</v>
      </c>
      <c r="AP445" s="2168"/>
      <c r="AQ445" s="2168"/>
      <c r="AR445" s="2168"/>
      <c r="AS445" s="2168"/>
      <c r="AT445" s="2168"/>
      <c r="AU445" s="2168"/>
      <c r="AV445" s="2168"/>
    </row>
    <row r="446" spans="1:48" s="2141" customFormat="1" ht="24" hidden="1" outlineLevel="5">
      <c r="A446" s="2150"/>
      <c r="B446" s="2150"/>
      <c r="C446" s="2236" t="s">
        <v>1427</v>
      </c>
      <c r="D446" s="2230">
        <v>1.83</v>
      </c>
      <c r="M446" s="2098"/>
      <c r="N446" s="2098"/>
      <c r="O446" s="2098"/>
      <c r="P446" s="2098"/>
      <c r="R446" s="2198"/>
      <c r="S446" s="2198"/>
      <c r="T446" s="2198"/>
      <c r="U446" s="2198"/>
      <c r="V446" s="2168"/>
      <c r="W446" s="2168"/>
      <c r="X446" s="2168"/>
      <c r="Y446" s="2168"/>
      <c r="Z446" s="2168"/>
      <c r="AA446" s="2168"/>
      <c r="AB446" s="2168"/>
      <c r="AC446" s="2168"/>
      <c r="AD446" s="2168"/>
      <c r="AE446" s="2231">
        <v>1.83</v>
      </c>
      <c r="AF446" s="2231"/>
      <c r="AG446" s="2231"/>
      <c r="AH446" s="3403">
        <v>1.83</v>
      </c>
      <c r="AI446" s="3403"/>
      <c r="AJ446" s="2231"/>
      <c r="AK446" s="2231"/>
      <c r="AL446" s="2231"/>
      <c r="AM446" s="2231"/>
      <c r="AN446" s="2231">
        <v>1.83</v>
      </c>
      <c r="AO446" s="2231">
        <v>1.83</v>
      </c>
      <c r="AP446" s="2168"/>
      <c r="AQ446" s="2168"/>
      <c r="AR446" s="2168"/>
      <c r="AS446" s="2168"/>
      <c r="AT446" s="2168"/>
      <c r="AU446" s="2168"/>
      <c r="AV446" s="2168"/>
    </row>
    <row r="447" spans="1:48" s="2141" customFormat="1" ht="24" hidden="1" outlineLevel="5">
      <c r="A447" s="2150"/>
      <c r="B447" s="2150"/>
      <c r="C447" s="2237" t="s">
        <v>1475</v>
      </c>
      <c r="D447" s="2225">
        <v>9.6199999999999992</v>
      </c>
      <c r="M447" s="2098"/>
      <c r="N447" s="2098"/>
      <c r="O447" s="2098"/>
      <c r="P447" s="2098"/>
      <c r="R447" s="2198"/>
      <c r="S447" s="2198"/>
      <c r="T447" s="2198"/>
      <c r="U447" s="2198"/>
      <c r="V447" s="2168"/>
      <c r="W447" s="2168"/>
      <c r="X447" s="2168"/>
      <c r="Y447" s="2168"/>
      <c r="Z447" s="2168"/>
      <c r="AA447" s="2168"/>
      <c r="AB447" s="2168"/>
      <c r="AC447" s="2168"/>
      <c r="AD447" s="2168"/>
      <c r="AE447" s="2226">
        <v>9.6199999999999992</v>
      </c>
      <c r="AF447" s="2226"/>
      <c r="AG447" s="2226"/>
      <c r="AH447" s="3405">
        <v>8.6199999999999992</v>
      </c>
      <c r="AI447" s="3405"/>
      <c r="AJ447" s="2226">
        <v>1</v>
      </c>
      <c r="AK447" s="2226"/>
      <c r="AL447" s="2226"/>
      <c r="AM447" s="2226"/>
      <c r="AN447" s="2226">
        <v>9.6199999999999992</v>
      </c>
      <c r="AO447" s="2226">
        <v>9.6199999999999992</v>
      </c>
      <c r="AP447" s="2168"/>
      <c r="AQ447" s="2168"/>
      <c r="AR447" s="2168"/>
      <c r="AS447" s="2168"/>
      <c r="AT447" s="2168"/>
      <c r="AU447" s="2168"/>
      <c r="AV447" s="2168"/>
    </row>
    <row r="448" spans="1:48" s="2141" customFormat="1" ht="12" hidden="1" outlineLevel="6">
      <c r="A448" s="2150"/>
      <c r="B448" s="2150"/>
      <c r="C448" s="2239" t="s">
        <v>1476</v>
      </c>
      <c r="D448" s="2225">
        <v>5.35</v>
      </c>
      <c r="M448" s="2098"/>
      <c r="N448" s="2098"/>
      <c r="O448" s="2098"/>
      <c r="P448" s="2098"/>
      <c r="R448" s="2198"/>
      <c r="S448" s="2198"/>
      <c r="T448" s="2198"/>
      <c r="U448" s="2198"/>
      <c r="V448" s="2168"/>
      <c r="W448" s="2168"/>
      <c r="X448" s="2168"/>
      <c r="Y448" s="2168"/>
      <c r="Z448" s="2168"/>
      <c r="AA448" s="2168"/>
      <c r="AB448" s="2168"/>
      <c r="AC448" s="2168"/>
      <c r="AD448" s="2168"/>
      <c r="AE448" s="2226">
        <v>5.35</v>
      </c>
      <c r="AF448" s="2226"/>
      <c r="AG448" s="2226"/>
      <c r="AH448" s="3405">
        <v>4.8</v>
      </c>
      <c r="AI448" s="3405"/>
      <c r="AJ448" s="2226">
        <v>0.55000000000000004</v>
      </c>
      <c r="AK448" s="2226"/>
      <c r="AL448" s="2226"/>
      <c r="AM448" s="2226"/>
      <c r="AN448" s="2226">
        <v>5.35</v>
      </c>
      <c r="AO448" s="2226">
        <v>5.35</v>
      </c>
      <c r="AP448" s="2168"/>
      <c r="AQ448" s="2168"/>
      <c r="AR448" s="2168"/>
      <c r="AS448" s="2168"/>
      <c r="AT448" s="2168"/>
      <c r="AU448" s="2168"/>
      <c r="AV448" s="2168"/>
    </row>
    <row r="449" spans="1:48" s="2141" customFormat="1" ht="24" hidden="1" outlineLevel="7">
      <c r="A449" s="2150"/>
      <c r="B449" s="2150"/>
      <c r="C449" s="2240" t="s">
        <v>1437</v>
      </c>
      <c r="D449" s="2230">
        <v>4.28</v>
      </c>
      <c r="M449" s="2098"/>
      <c r="N449" s="2098"/>
      <c r="O449" s="2098"/>
      <c r="P449" s="2098"/>
      <c r="R449" s="2198"/>
      <c r="S449" s="2198"/>
      <c r="T449" s="2198"/>
      <c r="U449" s="2198"/>
      <c r="V449" s="2168"/>
      <c r="W449" s="2168"/>
      <c r="X449" s="2168"/>
      <c r="Y449" s="2168"/>
      <c r="Z449" s="2168"/>
      <c r="AA449" s="2168"/>
      <c r="AB449" s="2168"/>
      <c r="AC449" s="2168"/>
      <c r="AD449" s="2168"/>
      <c r="AE449" s="2231">
        <v>4.28</v>
      </c>
      <c r="AF449" s="2231"/>
      <c r="AG449" s="2231"/>
      <c r="AH449" s="3403">
        <v>3.97</v>
      </c>
      <c r="AI449" s="3403"/>
      <c r="AJ449" s="2231">
        <v>0.31</v>
      </c>
      <c r="AK449" s="2231"/>
      <c r="AL449" s="2231"/>
      <c r="AM449" s="2231"/>
      <c r="AN449" s="2231">
        <v>4.28</v>
      </c>
      <c r="AO449" s="2231">
        <v>4.28</v>
      </c>
      <c r="AP449" s="2168"/>
      <c r="AQ449" s="2168"/>
      <c r="AR449" s="2168"/>
      <c r="AS449" s="2168"/>
      <c r="AT449" s="2168"/>
      <c r="AU449" s="2168"/>
      <c r="AV449" s="2168"/>
    </row>
    <row r="450" spans="1:48" s="2141" customFormat="1" ht="24" hidden="1" outlineLevel="7">
      <c r="A450" s="2150"/>
      <c r="B450" s="2150"/>
      <c r="C450" s="2240" t="s">
        <v>1438</v>
      </c>
      <c r="D450" s="2230">
        <v>1.07</v>
      </c>
      <c r="M450" s="2098"/>
      <c r="N450" s="2098"/>
      <c r="O450" s="2098"/>
      <c r="P450" s="2098"/>
      <c r="R450" s="2198"/>
      <c r="S450" s="2198"/>
      <c r="T450" s="2198"/>
      <c r="U450" s="2198"/>
      <c r="V450" s="2168"/>
      <c r="W450" s="2168"/>
      <c r="X450" s="2168"/>
      <c r="Y450" s="2168"/>
      <c r="Z450" s="2168"/>
      <c r="AA450" s="2168"/>
      <c r="AB450" s="2168"/>
      <c r="AC450" s="2168"/>
      <c r="AD450" s="2168"/>
      <c r="AE450" s="2231">
        <v>1.07</v>
      </c>
      <c r="AF450" s="2231"/>
      <c r="AG450" s="2231"/>
      <c r="AH450" s="3403">
        <v>0.83</v>
      </c>
      <c r="AI450" s="3403"/>
      <c r="AJ450" s="2231">
        <v>0.24</v>
      </c>
      <c r="AK450" s="2231"/>
      <c r="AL450" s="2231"/>
      <c r="AM450" s="2231"/>
      <c r="AN450" s="2231">
        <v>1.07</v>
      </c>
      <c r="AO450" s="2231">
        <v>1.07</v>
      </c>
      <c r="AP450" s="2168"/>
      <c r="AQ450" s="2168"/>
      <c r="AR450" s="2168"/>
      <c r="AS450" s="2168"/>
      <c r="AT450" s="2168"/>
      <c r="AU450" s="2168"/>
      <c r="AV450" s="2168"/>
    </row>
    <row r="451" spans="1:48" s="2141" customFormat="1" ht="12" hidden="1" outlineLevel="6">
      <c r="A451" s="2150"/>
      <c r="B451" s="2150"/>
      <c r="C451" s="2239" t="s">
        <v>1477</v>
      </c>
      <c r="D451" s="2225">
        <v>4.2699999999999996</v>
      </c>
      <c r="M451" s="2098"/>
      <c r="N451" s="2098"/>
      <c r="O451" s="2098"/>
      <c r="P451" s="2098"/>
      <c r="R451" s="2198"/>
      <c r="S451" s="2198"/>
      <c r="T451" s="2198"/>
      <c r="U451" s="2198"/>
      <c r="V451" s="2168"/>
      <c r="W451" s="2168"/>
      <c r="X451" s="2168"/>
      <c r="Y451" s="2168"/>
      <c r="Z451" s="2168"/>
      <c r="AA451" s="2168"/>
      <c r="AB451" s="2168"/>
      <c r="AC451" s="2168"/>
      <c r="AD451" s="2168"/>
      <c r="AE451" s="2226">
        <v>4.2699999999999996</v>
      </c>
      <c r="AF451" s="2226"/>
      <c r="AG451" s="2226"/>
      <c r="AH451" s="3405">
        <v>3.82</v>
      </c>
      <c r="AI451" s="3405"/>
      <c r="AJ451" s="2226">
        <v>0.45</v>
      </c>
      <c r="AK451" s="2226"/>
      <c r="AL451" s="2226"/>
      <c r="AM451" s="2226"/>
      <c r="AN451" s="2226">
        <v>4.2699999999999996</v>
      </c>
      <c r="AO451" s="2226">
        <v>4.2699999999999996</v>
      </c>
      <c r="AP451" s="2168"/>
      <c r="AQ451" s="2168"/>
      <c r="AR451" s="2168"/>
      <c r="AS451" s="2168"/>
      <c r="AT451" s="2168"/>
      <c r="AU451" s="2168"/>
      <c r="AV451" s="2168"/>
    </row>
    <row r="452" spans="1:48" s="2141" customFormat="1" ht="24" hidden="1" outlineLevel="7">
      <c r="A452" s="2150"/>
      <c r="B452" s="2150"/>
      <c r="C452" s="2240" t="s">
        <v>1439</v>
      </c>
      <c r="D452" s="2230">
        <v>0.11</v>
      </c>
      <c r="M452" s="2098"/>
      <c r="N452" s="2098"/>
      <c r="O452" s="2098"/>
      <c r="P452" s="2098"/>
      <c r="R452" s="2198"/>
      <c r="S452" s="2198"/>
      <c r="T452" s="2198"/>
      <c r="U452" s="2198"/>
      <c r="V452" s="2168"/>
      <c r="W452" s="2168"/>
      <c r="X452" s="2168"/>
      <c r="Y452" s="2168"/>
      <c r="Z452" s="2168"/>
      <c r="AA452" s="2168"/>
      <c r="AB452" s="2168"/>
      <c r="AC452" s="2168"/>
      <c r="AD452" s="2168"/>
      <c r="AE452" s="2231">
        <v>0.11</v>
      </c>
      <c r="AF452" s="2231"/>
      <c r="AG452" s="2231"/>
      <c r="AH452" s="3403">
        <v>0.11</v>
      </c>
      <c r="AI452" s="3403"/>
      <c r="AJ452" s="2231"/>
      <c r="AK452" s="2231"/>
      <c r="AL452" s="2231"/>
      <c r="AM452" s="2231"/>
      <c r="AN452" s="2231">
        <v>0.11</v>
      </c>
      <c r="AO452" s="2231">
        <v>0.11</v>
      </c>
      <c r="AP452" s="2168"/>
      <c r="AQ452" s="2168"/>
      <c r="AR452" s="2168"/>
      <c r="AS452" s="2168"/>
      <c r="AT452" s="2168"/>
      <c r="AU452" s="2168"/>
      <c r="AV452" s="2168"/>
    </row>
    <row r="453" spans="1:48" s="2141" customFormat="1" ht="24" hidden="1" outlineLevel="7">
      <c r="A453" s="2150"/>
      <c r="B453" s="2150"/>
      <c r="C453" s="2240" t="s">
        <v>1440</v>
      </c>
      <c r="D453" s="2230">
        <v>0.05</v>
      </c>
      <c r="M453" s="2098"/>
      <c r="N453" s="2098"/>
      <c r="O453" s="2098"/>
      <c r="P453" s="2098"/>
      <c r="R453" s="2198"/>
      <c r="S453" s="2198"/>
      <c r="T453" s="2198"/>
      <c r="U453" s="2198"/>
      <c r="V453" s="2168"/>
      <c r="W453" s="2168"/>
      <c r="X453" s="2168"/>
      <c r="Y453" s="2168"/>
      <c r="Z453" s="2168"/>
      <c r="AA453" s="2168"/>
      <c r="AB453" s="2168"/>
      <c r="AC453" s="2168"/>
      <c r="AD453" s="2168"/>
      <c r="AE453" s="2231">
        <v>0.05</v>
      </c>
      <c r="AF453" s="2231"/>
      <c r="AG453" s="2231"/>
      <c r="AH453" s="3403">
        <v>0.01</v>
      </c>
      <c r="AI453" s="3403"/>
      <c r="AJ453" s="2231">
        <v>0.04</v>
      </c>
      <c r="AK453" s="2231"/>
      <c r="AL453" s="2231"/>
      <c r="AM453" s="2231"/>
      <c r="AN453" s="2231">
        <v>0.05</v>
      </c>
      <c r="AO453" s="2231">
        <v>0.05</v>
      </c>
      <c r="AP453" s="2168"/>
      <c r="AQ453" s="2168"/>
      <c r="AR453" s="2168"/>
      <c r="AS453" s="2168"/>
      <c r="AT453" s="2168"/>
      <c r="AU453" s="2168"/>
      <c r="AV453" s="2168"/>
    </row>
    <row r="454" spans="1:48" s="2141" customFormat="1" ht="24" hidden="1" outlineLevel="7">
      <c r="A454" s="2150"/>
      <c r="B454" s="2150"/>
      <c r="C454" s="2240" t="s">
        <v>1441</v>
      </c>
      <c r="D454" s="2230">
        <v>0.01</v>
      </c>
      <c r="M454" s="2098"/>
      <c r="N454" s="2098"/>
      <c r="O454" s="2098"/>
      <c r="P454" s="2098"/>
      <c r="R454" s="2198"/>
      <c r="S454" s="2198"/>
      <c r="T454" s="2198"/>
      <c r="U454" s="2198"/>
      <c r="V454" s="2168"/>
      <c r="W454" s="2168"/>
      <c r="X454" s="2168"/>
      <c r="Y454" s="2168"/>
      <c r="Z454" s="2168"/>
      <c r="AA454" s="2168"/>
      <c r="AB454" s="2168"/>
      <c r="AC454" s="2168"/>
      <c r="AD454" s="2168"/>
      <c r="AE454" s="2231">
        <v>0.01</v>
      </c>
      <c r="AF454" s="2231"/>
      <c r="AG454" s="2231"/>
      <c r="AH454" s="2232"/>
      <c r="AI454" s="2233"/>
      <c r="AJ454" s="2231">
        <v>0.01</v>
      </c>
      <c r="AK454" s="2231"/>
      <c r="AL454" s="2231"/>
      <c r="AM454" s="2231"/>
      <c r="AN454" s="2231">
        <v>0.01</v>
      </c>
      <c r="AO454" s="2231">
        <v>0.01</v>
      </c>
      <c r="AP454" s="2168"/>
      <c r="AQ454" s="2168"/>
      <c r="AR454" s="2168"/>
      <c r="AS454" s="2168"/>
      <c r="AT454" s="2168"/>
      <c r="AU454" s="2168"/>
      <c r="AV454" s="2168"/>
    </row>
    <row r="455" spans="1:48" s="2141" customFormat="1" ht="36" hidden="1" outlineLevel="7">
      <c r="A455" s="2150"/>
      <c r="B455" s="2150"/>
      <c r="C455" s="2240" t="s">
        <v>1442</v>
      </c>
      <c r="D455" s="2230">
        <v>3.23</v>
      </c>
      <c r="M455" s="2098"/>
      <c r="N455" s="2098"/>
      <c r="O455" s="2098"/>
      <c r="P455" s="2098"/>
      <c r="R455" s="2198"/>
      <c r="S455" s="2198"/>
      <c r="T455" s="2198"/>
      <c r="U455" s="2198"/>
      <c r="V455" s="2168"/>
      <c r="W455" s="2168"/>
      <c r="X455" s="2168"/>
      <c r="Y455" s="2168"/>
      <c r="Z455" s="2168"/>
      <c r="AA455" s="2168"/>
      <c r="AB455" s="2168"/>
      <c r="AC455" s="2168"/>
      <c r="AD455" s="2168"/>
      <c r="AE455" s="2231">
        <v>3.23</v>
      </c>
      <c r="AF455" s="2231"/>
      <c r="AG455" s="2231"/>
      <c r="AH455" s="3403">
        <v>2.93</v>
      </c>
      <c r="AI455" s="3403"/>
      <c r="AJ455" s="2231">
        <v>0.3</v>
      </c>
      <c r="AK455" s="2231"/>
      <c r="AL455" s="2231"/>
      <c r="AM455" s="2231"/>
      <c r="AN455" s="2231">
        <v>3.23</v>
      </c>
      <c r="AO455" s="2231">
        <v>3.23</v>
      </c>
      <c r="AP455" s="2168"/>
      <c r="AQ455" s="2168"/>
      <c r="AR455" s="2168"/>
      <c r="AS455" s="2168"/>
      <c r="AT455" s="2168"/>
      <c r="AU455" s="2168"/>
      <c r="AV455" s="2168"/>
    </row>
    <row r="456" spans="1:48" s="2141" customFormat="1" ht="24" hidden="1" outlineLevel="7">
      <c r="A456" s="2150"/>
      <c r="B456" s="2150"/>
      <c r="C456" s="2240" t="s">
        <v>1443</v>
      </c>
      <c r="D456" s="2230">
        <v>0.87</v>
      </c>
      <c r="M456" s="2098"/>
      <c r="N456" s="2098"/>
      <c r="O456" s="2098"/>
      <c r="P456" s="2098"/>
      <c r="R456" s="2198"/>
      <c r="S456" s="2198"/>
      <c r="T456" s="2198"/>
      <c r="U456" s="2198"/>
      <c r="V456" s="2168"/>
      <c r="W456" s="2168"/>
      <c r="X456" s="2168"/>
      <c r="Y456" s="2168"/>
      <c r="Z456" s="2168"/>
      <c r="AA456" s="2168"/>
      <c r="AB456" s="2168"/>
      <c r="AC456" s="2168"/>
      <c r="AD456" s="2168"/>
      <c r="AE456" s="2231">
        <v>0.87</v>
      </c>
      <c r="AF456" s="2231"/>
      <c r="AG456" s="2231"/>
      <c r="AH456" s="3403">
        <v>0.77</v>
      </c>
      <c r="AI456" s="3403"/>
      <c r="AJ456" s="2231">
        <v>0.1</v>
      </c>
      <c r="AK456" s="2231"/>
      <c r="AL456" s="2231"/>
      <c r="AM456" s="2231"/>
      <c r="AN456" s="2231">
        <v>0.87</v>
      </c>
      <c r="AO456" s="2231">
        <v>0.87</v>
      </c>
      <c r="AP456" s="2168"/>
      <c r="AQ456" s="2168"/>
      <c r="AR456" s="2168"/>
      <c r="AS456" s="2168"/>
      <c r="AT456" s="2168"/>
      <c r="AU456" s="2168"/>
      <c r="AV456" s="2168"/>
    </row>
    <row r="457" spans="1:48" s="2141" customFormat="1" ht="12" hidden="1" outlineLevel="4" collapsed="1">
      <c r="A457" s="2150"/>
      <c r="B457" s="2150"/>
      <c r="C457" s="2235" t="s">
        <v>1478</v>
      </c>
      <c r="D457" s="2225">
        <v>79.22</v>
      </c>
      <c r="M457" s="2098"/>
      <c r="N457" s="2098"/>
      <c r="O457" s="2098"/>
      <c r="P457" s="2098"/>
      <c r="R457" s="2198"/>
      <c r="S457" s="2198"/>
      <c r="T457" s="2198"/>
      <c r="U457" s="2198"/>
      <c r="V457" s="2168"/>
      <c r="W457" s="2168"/>
      <c r="X457" s="2168"/>
      <c r="Y457" s="2168"/>
      <c r="Z457" s="2168"/>
      <c r="AA457" s="2168"/>
      <c r="AB457" s="2168"/>
      <c r="AC457" s="2168"/>
      <c r="AD457" s="2168"/>
      <c r="AE457" s="2226">
        <v>79.22</v>
      </c>
      <c r="AF457" s="2226"/>
      <c r="AG457" s="2226"/>
      <c r="AH457" s="3405">
        <v>67.510000000000005</v>
      </c>
      <c r="AI457" s="3405"/>
      <c r="AJ457" s="2226">
        <v>11.71</v>
      </c>
      <c r="AK457" s="2226"/>
      <c r="AL457" s="2226"/>
      <c r="AM457" s="2226"/>
      <c r="AN457" s="2226">
        <v>79.22</v>
      </c>
      <c r="AO457" s="2226">
        <v>79.22</v>
      </c>
      <c r="AP457" s="2168"/>
      <c r="AQ457" s="2168"/>
      <c r="AR457" s="2168"/>
      <c r="AS457" s="2168"/>
      <c r="AT457" s="2168"/>
      <c r="AU457" s="2168"/>
      <c r="AV457" s="2168"/>
    </row>
    <row r="458" spans="1:48" s="2141" customFormat="1" ht="12" hidden="1" outlineLevel="5">
      <c r="A458" s="2150"/>
      <c r="B458" s="2150"/>
      <c r="C458" s="2237" t="s">
        <v>1479</v>
      </c>
      <c r="D458" s="2225">
        <v>34.72</v>
      </c>
      <c r="M458" s="2098"/>
      <c r="N458" s="2098"/>
      <c r="O458" s="2098"/>
      <c r="P458" s="2098"/>
      <c r="R458" s="2198"/>
      <c r="S458" s="2198"/>
      <c r="T458" s="2198"/>
      <c r="U458" s="2198"/>
      <c r="V458" s="2168"/>
      <c r="W458" s="2168"/>
      <c r="X458" s="2168"/>
      <c r="Y458" s="2168"/>
      <c r="Z458" s="2168"/>
      <c r="AA458" s="2168"/>
      <c r="AB458" s="2168"/>
      <c r="AC458" s="2168"/>
      <c r="AD458" s="2168"/>
      <c r="AE458" s="2226">
        <v>34.72</v>
      </c>
      <c r="AF458" s="2226"/>
      <c r="AG458" s="2226"/>
      <c r="AH458" s="3405">
        <v>30.85</v>
      </c>
      <c r="AI458" s="3405"/>
      <c r="AJ458" s="2226">
        <v>3.87</v>
      </c>
      <c r="AK458" s="2226"/>
      <c r="AL458" s="2226"/>
      <c r="AM458" s="2226"/>
      <c r="AN458" s="2226">
        <v>34.72</v>
      </c>
      <c r="AO458" s="2226">
        <v>34.72</v>
      </c>
      <c r="AP458" s="2168"/>
      <c r="AQ458" s="2168"/>
      <c r="AR458" s="2168"/>
      <c r="AS458" s="2168"/>
      <c r="AT458" s="2168"/>
      <c r="AU458" s="2168"/>
      <c r="AV458" s="2168"/>
    </row>
    <row r="459" spans="1:48" s="2141" customFormat="1" ht="24" hidden="1" outlineLevel="6">
      <c r="A459" s="2150"/>
      <c r="B459" s="2150"/>
      <c r="C459" s="2238" t="s">
        <v>1327</v>
      </c>
      <c r="D459" s="2230">
        <v>19.670000000000002</v>
      </c>
      <c r="M459" s="2098"/>
      <c r="N459" s="2098"/>
      <c r="O459" s="2098"/>
      <c r="P459" s="2098"/>
      <c r="R459" s="2198"/>
      <c r="S459" s="2198"/>
      <c r="T459" s="2198"/>
      <c r="U459" s="2198"/>
      <c r="V459" s="2168"/>
      <c r="W459" s="2168"/>
      <c r="X459" s="2168"/>
      <c r="Y459" s="2168"/>
      <c r="Z459" s="2168"/>
      <c r="AA459" s="2168"/>
      <c r="AB459" s="2168"/>
      <c r="AC459" s="2168"/>
      <c r="AD459" s="2168"/>
      <c r="AE459" s="2231">
        <v>19.670000000000002</v>
      </c>
      <c r="AF459" s="2231"/>
      <c r="AG459" s="2231"/>
      <c r="AH459" s="3403">
        <v>18.47</v>
      </c>
      <c r="AI459" s="3403"/>
      <c r="AJ459" s="2231">
        <v>1.2</v>
      </c>
      <c r="AK459" s="2231"/>
      <c r="AL459" s="2231"/>
      <c r="AM459" s="2231"/>
      <c r="AN459" s="2231">
        <v>19.670000000000002</v>
      </c>
      <c r="AO459" s="2231">
        <v>19.670000000000002</v>
      </c>
      <c r="AP459" s="2168"/>
      <c r="AQ459" s="2168"/>
      <c r="AR459" s="2168"/>
      <c r="AS459" s="2168"/>
      <c r="AT459" s="2168"/>
      <c r="AU459" s="2168"/>
      <c r="AV459" s="2168"/>
    </row>
    <row r="460" spans="1:48" s="2141" customFormat="1" ht="24" hidden="1" outlineLevel="6">
      <c r="A460" s="2150"/>
      <c r="B460" s="2150"/>
      <c r="C460" s="2238" t="s">
        <v>1328</v>
      </c>
      <c r="D460" s="2230">
        <v>15.05</v>
      </c>
      <c r="M460" s="2098"/>
      <c r="N460" s="2098"/>
      <c r="O460" s="2098"/>
      <c r="P460" s="2098"/>
      <c r="R460" s="2198"/>
      <c r="S460" s="2198"/>
      <c r="T460" s="2198"/>
      <c r="U460" s="2198"/>
      <c r="V460" s="2168"/>
      <c r="W460" s="2168"/>
      <c r="X460" s="2168"/>
      <c r="Y460" s="2168"/>
      <c r="Z460" s="2168"/>
      <c r="AA460" s="2168"/>
      <c r="AB460" s="2168"/>
      <c r="AC460" s="2168"/>
      <c r="AD460" s="2168"/>
      <c r="AE460" s="2231">
        <v>15.05</v>
      </c>
      <c r="AF460" s="2231"/>
      <c r="AG460" s="2231"/>
      <c r="AH460" s="3403">
        <v>12.38</v>
      </c>
      <c r="AI460" s="3403"/>
      <c r="AJ460" s="2231">
        <v>2.67</v>
      </c>
      <c r="AK460" s="2231"/>
      <c r="AL460" s="2231"/>
      <c r="AM460" s="2231"/>
      <c r="AN460" s="2231">
        <v>15.05</v>
      </c>
      <c r="AO460" s="2231">
        <v>15.05</v>
      </c>
      <c r="AP460" s="2168"/>
      <c r="AQ460" s="2168"/>
      <c r="AR460" s="2168"/>
      <c r="AS460" s="2168"/>
      <c r="AT460" s="2168"/>
      <c r="AU460" s="2168"/>
      <c r="AV460" s="2168"/>
    </row>
    <row r="461" spans="1:48" s="2141" customFormat="1" ht="24" hidden="1" outlineLevel="5">
      <c r="A461" s="2150"/>
      <c r="B461" s="2150"/>
      <c r="C461" s="2236" t="s">
        <v>3828</v>
      </c>
      <c r="D461" s="2234"/>
      <c r="M461" s="2098"/>
      <c r="N461" s="2098"/>
      <c r="O461" s="2098"/>
      <c r="P461" s="2098"/>
      <c r="R461" s="2198"/>
      <c r="S461" s="2198"/>
      <c r="T461" s="2198"/>
      <c r="U461" s="2198"/>
      <c r="V461" s="2168"/>
      <c r="W461" s="2168"/>
      <c r="X461" s="2168"/>
      <c r="Y461" s="2168"/>
      <c r="Z461" s="2168"/>
      <c r="AA461" s="2168"/>
      <c r="AB461" s="2168"/>
      <c r="AC461" s="2168"/>
      <c r="AD461" s="2168"/>
      <c r="AE461" s="2231"/>
      <c r="AF461" s="2231"/>
      <c r="AG461" s="2231"/>
      <c r="AH461" s="2232"/>
      <c r="AI461" s="2233"/>
      <c r="AJ461" s="2231"/>
      <c r="AK461" s="2231"/>
      <c r="AL461" s="2231"/>
      <c r="AM461" s="2231"/>
      <c r="AN461" s="2231"/>
      <c r="AO461" s="2231"/>
      <c r="AP461" s="2168"/>
      <c r="AQ461" s="2168"/>
      <c r="AR461" s="2168"/>
      <c r="AS461" s="2168"/>
      <c r="AT461" s="2168"/>
      <c r="AU461" s="2168"/>
      <c r="AV461" s="2168"/>
    </row>
    <row r="462" spans="1:48" s="2141" customFormat="1" ht="12" hidden="1" outlineLevel="5">
      <c r="A462" s="2150"/>
      <c r="B462" s="2150"/>
      <c r="C462" s="2237" t="s">
        <v>1480</v>
      </c>
      <c r="D462" s="2225">
        <v>9.83</v>
      </c>
      <c r="M462" s="2098"/>
      <c r="N462" s="2098"/>
      <c r="O462" s="2098"/>
      <c r="P462" s="2098"/>
      <c r="R462" s="2198"/>
      <c r="S462" s="2198"/>
      <c r="T462" s="2198"/>
      <c r="U462" s="2198"/>
      <c r="V462" s="2168"/>
      <c r="W462" s="2168"/>
      <c r="X462" s="2168"/>
      <c r="Y462" s="2168"/>
      <c r="Z462" s="2168"/>
      <c r="AA462" s="2168"/>
      <c r="AB462" s="2168"/>
      <c r="AC462" s="2168"/>
      <c r="AD462" s="2168"/>
      <c r="AE462" s="2226">
        <v>9.83</v>
      </c>
      <c r="AF462" s="2226"/>
      <c r="AG462" s="2226"/>
      <c r="AH462" s="3405">
        <v>9.16</v>
      </c>
      <c r="AI462" s="3405"/>
      <c r="AJ462" s="2226">
        <v>0.67</v>
      </c>
      <c r="AK462" s="2226"/>
      <c r="AL462" s="2226"/>
      <c r="AM462" s="2226"/>
      <c r="AN462" s="2226">
        <v>9.83</v>
      </c>
      <c r="AO462" s="2226">
        <v>9.83</v>
      </c>
      <c r="AP462" s="2168"/>
      <c r="AQ462" s="2168"/>
      <c r="AR462" s="2168"/>
      <c r="AS462" s="2168"/>
      <c r="AT462" s="2168"/>
      <c r="AU462" s="2168"/>
      <c r="AV462" s="2168"/>
    </row>
    <row r="463" spans="1:48" s="2141" customFormat="1" ht="36" hidden="1" outlineLevel="6">
      <c r="A463" s="2150"/>
      <c r="B463" s="2150"/>
      <c r="C463" s="2238" t="s">
        <v>1350</v>
      </c>
      <c r="D463" s="2230">
        <v>6.34</v>
      </c>
      <c r="M463" s="2098"/>
      <c r="N463" s="2098"/>
      <c r="O463" s="2098"/>
      <c r="P463" s="2098"/>
      <c r="R463" s="2198"/>
      <c r="S463" s="2198"/>
      <c r="T463" s="2198"/>
      <c r="U463" s="2198"/>
      <c r="V463" s="2168"/>
      <c r="W463" s="2168"/>
      <c r="X463" s="2168"/>
      <c r="Y463" s="2168"/>
      <c r="Z463" s="2168"/>
      <c r="AA463" s="2168"/>
      <c r="AB463" s="2168"/>
      <c r="AC463" s="2168"/>
      <c r="AD463" s="2168"/>
      <c r="AE463" s="2231">
        <v>6.34</v>
      </c>
      <c r="AF463" s="2231"/>
      <c r="AG463" s="2231"/>
      <c r="AH463" s="3403">
        <v>5.86</v>
      </c>
      <c r="AI463" s="3403"/>
      <c r="AJ463" s="2231">
        <v>0.48</v>
      </c>
      <c r="AK463" s="2231"/>
      <c r="AL463" s="2231"/>
      <c r="AM463" s="2231"/>
      <c r="AN463" s="2231">
        <v>6.34</v>
      </c>
      <c r="AO463" s="2231">
        <v>6.34</v>
      </c>
      <c r="AP463" s="2168"/>
      <c r="AQ463" s="2168"/>
      <c r="AR463" s="2168"/>
      <c r="AS463" s="2168"/>
      <c r="AT463" s="2168"/>
      <c r="AU463" s="2168"/>
      <c r="AV463" s="2168"/>
    </row>
    <row r="464" spans="1:48" s="2141" customFormat="1" ht="24" hidden="1" outlineLevel="6">
      <c r="A464" s="2150"/>
      <c r="B464" s="2150"/>
      <c r="C464" s="2238" t="s">
        <v>1352</v>
      </c>
      <c r="D464" s="2230">
        <v>1.57</v>
      </c>
      <c r="M464" s="2098"/>
      <c r="N464" s="2098"/>
      <c r="O464" s="2098"/>
      <c r="P464" s="2098"/>
      <c r="R464" s="2198"/>
      <c r="S464" s="2198"/>
      <c r="T464" s="2198"/>
      <c r="U464" s="2198"/>
      <c r="V464" s="2168"/>
      <c r="W464" s="2168"/>
      <c r="X464" s="2168"/>
      <c r="Y464" s="2168"/>
      <c r="Z464" s="2168"/>
      <c r="AA464" s="2168"/>
      <c r="AB464" s="2168"/>
      <c r="AC464" s="2168"/>
      <c r="AD464" s="2168"/>
      <c r="AE464" s="2231">
        <v>1.57</v>
      </c>
      <c r="AF464" s="2231"/>
      <c r="AG464" s="2231"/>
      <c r="AH464" s="3403">
        <v>1.38</v>
      </c>
      <c r="AI464" s="3403"/>
      <c r="AJ464" s="2231">
        <v>0.19</v>
      </c>
      <c r="AK464" s="2231"/>
      <c r="AL464" s="2231"/>
      <c r="AM464" s="2231"/>
      <c r="AN464" s="2231">
        <v>1.57</v>
      </c>
      <c r="AO464" s="2231">
        <v>1.57</v>
      </c>
      <c r="AP464" s="2168"/>
      <c r="AQ464" s="2168"/>
      <c r="AR464" s="2168"/>
      <c r="AS464" s="2168"/>
      <c r="AT464" s="2168"/>
      <c r="AU464" s="2168"/>
      <c r="AV464" s="2168"/>
    </row>
    <row r="465" spans="1:48" s="2141" customFormat="1" ht="24" hidden="1" outlineLevel="6">
      <c r="A465" s="2150"/>
      <c r="B465" s="2150"/>
      <c r="C465" s="2238" t="s">
        <v>1354</v>
      </c>
      <c r="D465" s="2230">
        <v>1.9</v>
      </c>
      <c r="M465" s="2098"/>
      <c r="N465" s="2098"/>
      <c r="O465" s="2098"/>
      <c r="P465" s="2098"/>
      <c r="R465" s="2198"/>
      <c r="S465" s="2198"/>
      <c r="T465" s="2198"/>
      <c r="U465" s="2198"/>
      <c r="V465" s="2168"/>
      <c r="W465" s="2168"/>
      <c r="X465" s="2168"/>
      <c r="Y465" s="2168"/>
      <c r="Z465" s="2168"/>
      <c r="AA465" s="2168"/>
      <c r="AB465" s="2168"/>
      <c r="AC465" s="2168"/>
      <c r="AD465" s="2168"/>
      <c r="AE465" s="2231">
        <v>1.9</v>
      </c>
      <c r="AF465" s="2231"/>
      <c r="AG465" s="2231"/>
      <c r="AH465" s="3403">
        <v>1.9</v>
      </c>
      <c r="AI465" s="3403"/>
      <c r="AJ465" s="2231"/>
      <c r="AK465" s="2231"/>
      <c r="AL465" s="2231"/>
      <c r="AM465" s="2231"/>
      <c r="AN465" s="2231">
        <v>1.9</v>
      </c>
      <c r="AO465" s="2231">
        <v>1.9</v>
      </c>
      <c r="AP465" s="2168"/>
      <c r="AQ465" s="2168"/>
      <c r="AR465" s="2168"/>
      <c r="AS465" s="2168"/>
      <c r="AT465" s="2168"/>
      <c r="AU465" s="2168"/>
      <c r="AV465" s="2168"/>
    </row>
    <row r="466" spans="1:48" s="2141" customFormat="1" ht="24" hidden="1" outlineLevel="6">
      <c r="A466" s="2150"/>
      <c r="B466" s="2150"/>
      <c r="C466" s="2238" t="s">
        <v>1357</v>
      </c>
      <c r="D466" s="2230">
        <v>0.02</v>
      </c>
      <c r="M466" s="2098"/>
      <c r="N466" s="2098"/>
      <c r="O466" s="2098"/>
      <c r="P466" s="2098"/>
      <c r="R466" s="2198"/>
      <c r="S466" s="2198"/>
      <c r="T466" s="2198"/>
      <c r="U466" s="2198"/>
      <c r="V466" s="2168"/>
      <c r="W466" s="2168"/>
      <c r="X466" s="2168"/>
      <c r="Y466" s="2168"/>
      <c r="Z466" s="2168"/>
      <c r="AA466" s="2168"/>
      <c r="AB466" s="2168"/>
      <c r="AC466" s="2168"/>
      <c r="AD466" s="2168"/>
      <c r="AE466" s="2231">
        <v>0.02</v>
      </c>
      <c r="AF466" s="2231"/>
      <c r="AG466" s="2231"/>
      <c r="AH466" s="3403">
        <v>0.02</v>
      </c>
      <c r="AI466" s="3403"/>
      <c r="AJ466" s="2231"/>
      <c r="AK466" s="2231"/>
      <c r="AL466" s="2231"/>
      <c r="AM466" s="2231"/>
      <c r="AN466" s="2231">
        <v>0.02</v>
      </c>
      <c r="AO466" s="2231">
        <v>0.02</v>
      </c>
      <c r="AP466" s="2168"/>
      <c r="AQ466" s="2168"/>
      <c r="AR466" s="2168"/>
      <c r="AS466" s="2168"/>
      <c r="AT466" s="2168"/>
      <c r="AU466" s="2168"/>
      <c r="AV466" s="2168"/>
    </row>
    <row r="467" spans="1:48" s="2141" customFormat="1" ht="12" hidden="1" outlineLevel="5">
      <c r="A467" s="2150"/>
      <c r="B467" s="2150"/>
      <c r="C467" s="2237" t="s">
        <v>1481</v>
      </c>
      <c r="D467" s="2225">
        <v>14.63</v>
      </c>
      <c r="M467" s="2098"/>
      <c r="N467" s="2098"/>
      <c r="O467" s="2098"/>
      <c r="P467" s="2098"/>
      <c r="R467" s="2198"/>
      <c r="S467" s="2198"/>
      <c r="T467" s="2198"/>
      <c r="U467" s="2198"/>
      <c r="V467" s="2168"/>
      <c r="W467" s="2168"/>
      <c r="X467" s="2168"/>
      <c r="Y467" s="2168"/>
      <c r="Z467" s="2168"/>
      <c r="AA467" s="2168"/>
      <c r="AB467" s="2168"/>
      <c r="AC467" s="2168"/>
      <c r="AD467" s="2168"/>
      <c r="AE467" s="2226">
        <v>14.63</v>
      </c>
      <c r="AF467" s="2226"/>
      <c r="AG467" s="2226"/>
      <c r="AH467" s="3405">
        <v>9.5299999999999994</v>
      </c>
      <c r="AI467" s="3405"/>
      <c r="AJ467" s="2226">
        <v>5.0999999999999996</v>
      </c>
      <c r="AK467" s="2226"/>
      <c r="AL467" s="2226"/>
      <c r="AM467" s="2226"/>
      <c r="AN467" s="2226">
        <v>14.63</v>
      </c>
      <c r="AO467" s="2226">
        <v>14.63</v>
      </c>
      <c r="AP467" s="2168"/>
      <c r="AQ467" s="2168"/>
      <c r="AR467" s="2168"/>
      <c r="AS467" s="2168"/>
      <c r="AT467" s="2168"/>
      <c r="AU467" s="2168"/>
      <c r="AV467" s="2168"/>
    </row>
    <row r="468" spans="1:48" s="2141" customFormat="1" ht="36" hidden="1" outlineLevel="6">
      <c r="A468" s="2150"/>
      <c r="B468" s="2150"/>
      <c r="C468" s="2238" t="s">
        <v>1351</v>
      </c>
      <c r="D468" s="2230">
        <v>0.73</v>
      </c>
      <c r="M468" s="2098"/>
      <c r="N468" s="2098"/>
      <c r="O468" s="2098"/>
      <c r="P468" s="2098"/>
      <c r="R468" s="2198"/>
      <c r="S468" s="2198"/>
      <c r="T468" s="2198"/>
      <c r="U468" s="2198"/>
      <c r="V468" s="2168"/>
      <c r="W468" s="2168"/>
      <c r="X468" s="2168"/>
      <c r="Y468" s="2168"/>
      <c r="Z468" s="2168"/>
      <c r="AA468" s="2168"/>
      <c r="AB468" s="2168"/>
      <c r="AC468" s="2168"/>
      <c r="AD468" s="2168"/>
      <c r="AE468" s="2231">
        <v>0.73</v>
      </c>
      <c r="AF468" s="2231"/>
      <c r="AG468" s="2231"/>
      <c r="AH468" s="3403">
        <v>0.69</v>
      </c>
      <c r="AI468" s="3403"/>
      <c r="AJ468" s="2231">
        <v>0.04</v>
      </c>
      <c r="AK468" s="2231"/>
      <c r="AL468" s="2231"/>
      <c r="AM468" s="2231"/>
      <c r="AN468" s="2231">
        <v>0.73</v>
      </c>
      <c r="AO468" s="2231">
        <v>0.73</v>
      </c>
      <c r="AP468" s="2168"/>
      <c r="AQ468" s="2168"/>
      <c r="AR468" s="2168"/>
      <c r="AS468" s="2168"/>
      <c r="AT468" s="2168"/>
      <c r="AU468" s="2168"/>
      <c r="AV468" s="2168"/>
    </row>
    <row r="469" spans="1:48" s="2141" customFormat="1" ht="24" hidden="1" outlineLevel="6">
      <c r="A469" s="2150"/>
      <c r="B469" s="2150"/>
      <c r="C469" s="2238" t="s">
        <v>1353</v>
      </c>
      <c r="D469" s="2230">
        <v>2.17</v>
      </c>
      <c r="M469" s="2098"/>
      <c r="N469" s="2098"/>
      <c r="O469" s="2098"/>
      <c r="P469" s="2098"/>
      <c r="R469" s="2198"/>
      <c r="S469" s="2198"/>
      <c r="T469" s="2198"/>
      <c r="U469" s="2198"/>
      <c r="V469" s="2168"/>
      <c r="W469" s="2168"/>
      <c r="X469" s="2168"/>
      <c r="Y469" s="2168"/>
      <c r="Z469" s="2168"/>
      <c r="AA469" s="2168"/>
      <c r="AB469" s="2168"/>
      <c r="AC469" s="2168"/>
      <c r="AD469" s="2168"/>
      <c r="AE469" s="2231">
        <v>2.17</v>
      </c>
      <c r="AF469" s="2231"/>
      <c r="AG469" s="2231"/>
      <c r="AH469" s="3403">
        <v>1.79</v>
      </c>
      <c r="AI469" s="3403"/>
      <c r="AJ469" s="2231">
        <v>0.38</v>
      </c>
      <c r="AK469" s="2231"/>
      <c r="AL469" s="2231"/>
      <c r="AM469" s="2231"/>
      <c r="AN469" s="2231">
        <v>2.17</v>
      </c>
      <c r="AO469" s="2231">
        <v>2.17</v>
      </c>
      <c r="AP469" s="2168"/>
      <c r="AQ469" s="2168"/>
      <c r="AR469" s="2168"/>
      <c r="AS469" s="2168"/>
      <c r="AT469" s="2168"/>
      <c r="AU469" s="2168"/>
      <c r="AV469" s="2168"/>
    </row>
    <row r="470" spans="1:48" s="2141" customFormat="1" ht="24" hidden="1" outlineLevel="6">
      <c r="A470" s="2150"/>
      <c r="B470" s="2150"/>
      <c r="C470" s="2238" t="s">
        <v>1355</v>
      </c>
      <c r="D470" s="2230">
        <v>2.94</v>
      </c>
      <c r="M470" s="2098"/>
      <c r="N470" s="2098"/>
      <c r="O470" s="2098"/>
      <c r="P470" s="2098"/>
      <c r="R470" s="2198"/>
      <c r="S470" s="2198"/>
      <c r="T470" s="2198"/>
      <c r="U470" s="2198"/>
      <c r="V470" s="2168"/>
      <c r="W470" s="2168"/>
      <c r="X470" s="2168"/>
      <c r="Y470" s="2168"/>
      <c r="Z470" s="2168"/>
      <c r="AA470" s="2168"/>
      <c r="AB470" s="2168"/>
      <c r="AC470" s="2168"/>
      <c r="AD470" s="2168"/>
      <c r="AE470" s="2231">
        <v>2.94</v>
      </c>
      <c r="AF470" s="2231"/>
      <c r="AG470" s="2231"/>
      <c r="AH470" s="3403">
        <v>0.02</v>
      </c>
      <c r="AI470" s="3403"/>
      <c r="AJ470" s="2231">
        <v>2.92</v>
      </c>
      <c r="AK470" s="2231"/>
      <c r="AL470" s="2231"/>
      <c r="AM470" s="2231"/>
      <c r="AN470" s="2231">
        <v>2.94</v>
      </c>
      <c r="AO470" s="2231">
        <v>2.94</v>
      </c>
      <c r="AP470" s="2168"/>
      <c r="AQ470" s="2168"/>
      <c r="AR470" s="2168"/>
      <c r="AS470" s="2168"/>
      <c r="AT470" s="2168"/>
      <c r="AU470" s="2168"/>
      <c r="AV470" s="2168"/>
    </row>
    <row r="471" spans="1:48" s="2141" customFormat="1" ht="12" hidden="1" outlineLevel="6">
      <c r="A471" s="2150"/>
      <c r="B471" s="2150"/>
      <c r="C471" s="2238" t="s">
        <v>1356</v>
      </c>
      <c r="D471" s="2230">
        <v>8.2899999999999991</v>
      </c>
      <c r="M471" s="2098"/>
      <c r="N471" s="2098"/>
      <c r="O471" s="2098"/>
      <c r="P471" s="2098"/>
      <c r="R471" s="2198"/>
      <c r="S471" s="2198"/>
      <c r="T471" s="2198"/>
      <c r="U471" s="2198"/>
      <c r="V471" s="2168"/>
      <c r="W471" s="2168"/>
      <c r="X471" s="2168"/>
      <c r="Y471" s="2168"/>
      <c r="Z471" s="2168"/>
      <c r="AA471" s="2168"/>
      <c r="AB471" s="2168"/>
      <c r="AC471" s="2168"/>
      <c r="AD471" s="2168"/>
      <c r="AE471" s="2231">
        <v>8.2899999999999991</v>
      </c>
      <c r="AF471" s="2231"/>
      <c r="AG471" s="2231"/>
      <c r="AH471" s="3403">
        <v>6.53</v>
      </c>
      <c r="AI471" s="3403"/>
      <c r="AJ471" s="2231">
        <v>1.76</v>
      </c>
      <c r="AK471" s="2231"/>
      <c r="AL471" s="2231"/>
      <c r="AM471" s="2231"/>
      <c r="AN471" s="2231">
        <v>8.2899999999999991</v>
      </c>
      <c r="AO471" s="2231">
        <v>8.2899999999999991</v>
      </c>
      <c r="AP471" s="2168"/>
      <c r="AQ471" s="2168"/>
      <c r="AR471" s="2168"/>
      <c r="AS471" s="2168"/>
      <c r="AT471" s="2168"/>
      <c r="AU471" s="2168"/>
      <c r="AV471" s="2168"/>
    </row>
    <row r="472" spans="1:48" s="2141" customFormat="1" ht="24" hidden="1" outlineLevel="6">
      <c r="A472" s="2150"/>
      <c r="B472" s="2150"/>
      <c r="C472" s="2238" t="s">
        <v>1358</v>
      </c>
      <c r="D472" s="2230">
        <v>0.09</v>
      </c>
      <c r="M472" s="2098"/>
      <c r="N472" s="2098"/>
      <c r="O472" s="2098"/>
      <c r="P472" s="2098"/>
      <c r="R472" s="2198"/>
      <c r="S472" s="2198"/>
      <c r="T472" s="2198"/>
      <c r="U472" s="2198"/>
      <c r="V472" s="2168"/>
      <c r="W472" s="2168"/>
      <c r="X472" s="2168"/>
      <c r="Y472" s="2168"/>
      <c r="Z472" s="2168"/>
      <c r="AA472" s="2168"/>
      <c r="AB472" s="2168"/>
      <c r="AC472" s="2168"/>
      <c r="AD472" s="2168"/>
      <c r="AE472" s="2231">
        <v>0.09</v>
      </c>
      <c r="AF472" s="2231"/>
      <c r="AG472" s="2231"/>
      <c r="AH472" s="3403">
        <v>0.09</v>
      </c>
      <c r="AI472" s="3403"/>
      <c r="AJ472" s="2231"/>
      <c r="AK472" s="2231"/>
      <c r="AL472" s="2231"/>
      <c r="AM472" s="2231"/>
      <c r="AN472" s="2231">
        <v>0.09</v>
      </c>
      <c r="AO472" s="2231">
        <v>0.09</v>
      </c>
      <c r="AP472" s="2168"/>
      <c r="AQ472" s="2168"/>
      <c r="AR472" s="2168"/>
      <c r="AS472" s="2168"/>
      <c r="AT472" s="2168"/>
      <c r="AU472" s="2168"/>
      <c r="AV472" s="2168"/>
    </row>
    <row r="473" spans="1:48" s="2141" customFormat="1" ht="12" hidden="1" outlineLevel="6">
      <c r="A473" s="2150"/>
      <c r="B473" s="2150"/>
      <c r="C473" s="2238" t="s">
        <v>1360</v>
      </c>
      <c r="D473" s="2230">
        <v>0.41</v>
      </c>
      <c r="M473" s="2098"/>
      <c r="N473" s="2098"/>
      <c r="O473" s="2098"/>
      <c r="P473" s="2098"/>
      <c r="R473" s="2198"/>
      <c r="S473" s="2198"/>
      <c r="T473" s="2198"/>
      <c r="U473" s="2198"/>
      <c r="V473" s="2168"/>
      <c r="W473" s="2168"/>
      <c r="X473" s="2168"/>
      <c r="Y473" s="2168"/>
      <c r="Z473" s="2168"/>
      <c r="AA473" s="2168"/>
      <c r="AB473" s="2168"/>
      <c r="AC473" s="2168"/>
      <c r="AD473" s="2168"/>
      <c r="AE473" s="2231">
        <v>0.41</v>
      </c>
      <c r="AF473" s="2231"/>
      <c r="AG473" s="2231"/>
      <c r="AH473" s="3403">
        <v>0.41</v>
      </c>
      <c r="AI473" s="3403"/>
      <c r="AJ473" s="2231"/>
      <c r="AK473" s="2231"/>
      <c r="AL473" s="2231"/>
      <c r="AM473" s="2231"/>
      <c r="AN473" s="2231">
        <v>0.41</v>
      </c>
      <c r="AO473" s="2231">
        <v>0.41</v>
      </c>
      <c r="AP473" s="2168"/>
      <c r="AQ473" s="2168"/>
      <c r="AR473" s="2168"/>
      <c r="AS473" s="2168"/>
      <c r="AT473" s="2168"/>
      <c r="AU473" s="2168"/>
      <c r="AV473" s="2168"/>
    </row>
    <row r="474" spans="1:48" s="2141" customFormat="1" ht="12" hidden="1" outlineLevel="5">
      <c r="A474" s="2150"/>
      <c r="B474" s="2150"/>
      <c r="C474" s="2237" t="s">
        <v>1482</v>
      </c>
      <c r="D474" s="2225">
        <v>20.04</v>
      </c>
      <c r="M474" s="2098"/>
      <c r="N474" s="2098"/>
      <c r="O474" s="2098"/>
      <c r="P474" s="2098"/>
      <c r="R474" s="2198"/>
      <c r="S474" s="2198"/>
      <c r="T474" s="2198"/>
      <c r="U474" s="2198"/>
      <c r="V474" s="2168"/>
      <c r="W474" s="2168"/>
      <c r="X474" s="2168"/>
      <c r="Y474" s="2168"/>
      <c r="Z474" s="2168"/>
      <c r="AA474" s="2168"/>
      <c r="AB474" s="2168"/>
      <c r="AC474" s="2168"/>
      <c r="AD474" s="2168"/>
      <c r="AE474" s="2226">
        <v>20.04</v>
      </c>
      <c r="AF474" s="2226"/>
      <c r="AG474" s="2226"/>
      <c r="AH474" s="3405">
        <v>17.97</v>
      </c>
      <c r="AI474" s="3405"/>
      <c r="AJ474" s="2226">
        <v>2.0699999999999998</v>
      </c>
      <c r="AK474" s="2226"/>
      <c r="AL474" s="2226"/>
      <c r="AM474" s="2226"/>
      <c r="AN474" s="2226">
        <v>20.04</v>
      </c>
      <c r="AO474" s="2226">
        <v>20.04</v>
      </c>
      <c r="AP474" s="2168"/>
      <c r="AQ474" s="2168"/>
      <c r="AR474" s="2168"/>
      <c r="AS474" s="2168"/>
      <c r="AT474" s="2168"/>
      <c r="AU474" s="2168"/>
      <c r="AV474" s="2168"/>
    </row>
    <row r="475" spans="1:48" s="2141" customFormat="1" ht="12" hidden="1" outlineLevel="6">
      <c r="A475" s="2150"/>
      <c r="B475" s="2150"/>
      <c r="C475" s="2238" t="s">
        <v>1369</v>
      </c>
      <c r="D475" s="2230">
        <v>1.21</v>
      </c>
      <c r="M475" s="2098"/>
      <c r="N475" s="2098"/>
      <c r="O475" s="2098"/>
      <c r="P475" s="2098"/>
      <c r="R475" s="2198"/>
      <c r="S475" s="2198"/>
      <c r="T475" s="2198"/>
      <c r="U475" s="2198"/>
      <c r="V475" s="2168"/>
      <c r="W475" s="2168"/>
      <c r="X475" s="2168"/>
      <c r="Y475" s="2168"/>
      <c r="Z475" s="2168"/>
      <c r="AA475" s="2168"/>
      <c r="AB475" s="2168"/>
      <c r="AC475" s="2168"/>
      <c r="AD475" s="2168"/>
      <c r="AE475" s="2231">
        <v>1.21</v>
      </c>
      <c r="AF475" s="2231"/>
      <c r="AG475" s="2231"/>
      <c r="AH475" s="3403">
        <v>0.93</v>
      </c>
      <c r="AI475" s="3403"/>
      <c r="AJ475" s="2231">
        <v>0.28000000000000003</v>
      </c>
      <c r="AK475" s="2231"/>
      <c r="AL475" s="2231"/>
      <c r="AM475" s="2231"/>
      <c r="AN475" s="2231">
        <v>1.21</v>
      </c>
      <c r="AO475" s="2231">
        <v>1.21</v>
      </c>
      <c r="AP475" s="2168"/>
      <c r="AQ475" s="2168"/>
      <c r="AR475" s="2168"/>
      <c r="AS475" s="2168"/>
      <c r="AT475" s="2168"/>
      <c r="AU475" s="2168"/>
      <c r="AV475" s="2168"/>
    </row>
    <row r="476" spans="1:48" s="2141" customFormat="1" ht="12" hidden="1" outlineLevel="6">
      <c r="A476" s="2150"/>
      <c r="B476" s="2150"/>
      <c r="C476" s="2238" t="s">
        <v>1370</v>
      </c>
      <c r="D476" s="2230">
        <v>3.77</v>
      </c>
      <c r="M476" s="2098"/>
      <c r="N476" s="2098"/>
      <c r="O476" s="2098"/>
      <c r="P476" s="2098"/>
      <c r="R476" s="2198"/>
      <c r="S476" s="2198"/>
      <c r="T476" s="2198"/>
      <c r="U476" s="2198"/>
      <c r="V476" s="2168"/>
      <c r="W476" s="2168"/>
      <c r="X476" s="2168"/>
      <c r="Y476" s="2168"/>
      <c r="Z476" s="2168"/>
      <c r="AA476" s="2168"/>
      <c r="AB476" s="2168"/>
      <c r="AC476" s="2168"/>
      <c r="AD476" s="2168"/>
      <c r="AE476" s="2231">
        <v>3.77</v>
      </c>
      <c r="AF476" s="2231"/>
      <c r="AG476" s="2231"/>
      <c r="AH476" s="3403">
        <v>3.08</v>
      </c>
      <c r="AI476" s="3403"/>
      <c r="AJ476" s="2231">
        <v>0.69</v>
      </c>
      <c r="AK476" s="2231"/>
      <c r="AL476" s="2231"/>
      <c r="AM476" s="2231"/>
      <c r="AN476" s="2231">
        <v>3.77</v>
      </c>
      <c r="AO476" s="2231">
        <v>3.77</v>
      </c>
      <c r="AP476" s="2168"/>
      <c r="AQ476" s="2168"/>
      <c r="AR476" s="2168"/>
      <c r="AS476" s="2168"/>
      <c r="AT476" s="2168"/>
      <c r="AU476" s="2168"/>
      <c r="AV476" s="2168"/>
    </row>
    <row r="477" spans="1:48" s="2141" customFormat="1" ht="12" hidden="1" outlineLevel="6">
      <c r="A477" s="2150"/>
      <c r="B477" s="2150"/>
      <c r="C477" s="2238" t="s">
        <v>1372</v>
      </c>
      <c r="D477" s="2230">
        <v>0.24</v>
      </c>
      <c r="M477" s="2098"/>
      <c r="N477" s="2098"/>
      <c r="O477" s="2098"/>
      <c r="P477" s="2098"/>
      <c r="R477" s="2198"/>
      <c r="S477" s="2198"/>
      <c r="T477" s="2198"/>
      <c r="U477" s="2198"/>
      <c r="V477" s="2168"/>
      <c r="W477" s="2168"/>
      <c r="X477" s="2168"/>
      <c r="Y477" s="2168"/>
      <c r="Z477" s="2168"/>
      <c r="AA477" s="2168"/>
      <c r="AB477" s="2168"/>
      <c r="AC477" s="2168"/>
      <c r="AD477" s="2168"/>
      <c r="AE477" s="2231">
        <v>0.24</v>
      </c>
      <c r="AF477" s="2231"/>
      <c r="AG477" s="2231"/>
      <c r="AH477" s="3403">
        <v>0.15</v>
      </c>
      <c r="AI477" s="3403"/>
      <c r="AJ477" s="2231">
        <v>0.09</v>
      </c>
      <c r="AK477" s="2231"/>
      <c r="AL477" s="2231"/>
      <c r="AM477" s="2231"/>
      <c r="AN477" s="2231">
        <v>0.24</v>
      </c>
      <c r="AO477" s="2231">
        <v>0.24</v>
      </c>
      <c r="AP477" s="2168"/>
      <c r="AQ477" s="2168"/>
      <c r="AR477" s="2168"/>
      <c r="AS477" s="2168"/>
      <c r="AT477" s="2168"/>
      <c r="AU477" s="2168"/>
      <c r="AV477" s="2168"/>
    </row>
    <row r="478" spans="1:48" s="2141" customFormat="1" ht="24" hidden="1" outlineLevel="6">
      <c r="A478" s="2150"/>
      <c r="B478" s="2150"/>
      <c r="C478" s="2238" t="s">
        <v>1373</v>
      </c>
      <c r="D478" s="2230">
        <v>0.16</v>
      </c>
      <c r="M478" s="2098"/>
      <c r="N478" s="2098"/>
      <c r="O478" s="2098"/>
      <c r="P478" s="2098"/>
      <c r="R478" s="2198"/>
      <c r="S478" s="2198"/>
      <c r="T478" s="2198"/>
      <c r="U478" s="2198"/>
      <c r="V478" s="2168"/>
      <c r="W478" s="2168"/>
      <c r="X478" s="2168"/>
      <c r="Y478" s="2168"/>
      <c r="Z478" s="2168"/>
      <c r="AA478" s="2168"/>
      <c r="AB478" s="2168"/>
      <c r="AC478" s="2168"/>
      <c r="AD478" s="2168"/>
      <c r="AE478" s="2231">
        <v>0.16</v>
      </c>
      <c r="AF478" s="2231"/>
      <c r="AG478" s="2231"/>
      <c r="AH478" s="3403">
        <v>0.15</v>
      </c>
      <c r="AI478" s="3403"/>
      <c r="AJ478" s="2231">
        <v>0.01</v>
      </c>
      <c r="AK478" s="2231"/>
      <c r="AL478" s="2231"/>
      <c r="AM478" s="2231"/>
      <c r="AN478" s="2231">
        <v>0.16</v>
      </c>
      <c r="AO478" s="2231">
        <v>0.16</v>
      </c>
      <c r="AP478" s="2168"/>
      <c r="AQ478" s="2168"/>
      <c r="AR478" s="2168"/>
      <c r="AS478" s="2168"/>
      <c r="AT478" s="2168"/>
      <c r="AU478" s="2168"/>
      <c r="AV478" s="2168"/>
    </row>
    <row r="479" spans="1:48" s="2141" customFormat="1" ht="12" hidden="1" outlineLevel="6">
      <c r="A479" s="2150"/>
      <c r="B479" s="2150"/>
      <c r="C479" s="2238" t="s">
        <v>1374</v>
      </c>
      <c r="D479" s="2230">
        <v>0.1</v>
      </c>
      <c r="M479" s="2098"/>
      <c r="N479" s="2098"/>
      <c r="O479" s="2098"/>
      <c r="P479" s="2098"/>
      <c r="R479" s="2198"/>
      <c r="S479" s="2198"/>
      <c r="T479" s="2198"/>
      <c r="U479" s="2198"/>
      <c r="V479" s="2168"/>
      <c r="W479" s="2168"/>
      <c r="X479" s="2168"/>
      <c r="Y479" s="2168"/>
      <c r="Z479" s="2168"/>
      <c r="AA479" s="2168"/>
      <c r="AB479" s="2168"/>
      <c r="AC479" s="2168"/>
      <c r="AD479" s="2168"/>
      <c r="AE479" s="2231">
        <v>0.1</v>
      </c>
      <c r="AF479" s="2231"/>
      <c r="AG479" s="2231"/>
      <c r="AH479" s="3403">
        <v>0.1</v>
      </c>
      <c r="AI479" s="3403"/>
      <c r="AJ479" s="2231"/>
      <c r="AK479" s="2231"/>
      <c r="AL479" s="2231"/>
      <c r="AM479" s="2231"/>
      <c r="AN479" s="2231">
        <v>0.1</v>
      </c>
      <c r="AO479" s="2231">
        <v>0.1</v>
      </c>
      <c r="AP479" s="2168"/>
      <c r="AQ479" s="2168"/>
      <c r="AR479" s="2168"/>
      <c r="AS479" s="2168"/>
      <c r="AT479" s="2168"/>
      <c r="AU479" s="2168"/>
      <c r="AV479" s="2168"/>
    </row>
    <row r="480" spans="1:48" s="2141" customFormat="1" ht="24" hidden="1" outlineLevel="6">
      <c r="A480" s="2150"/>
      <c r="B480" s="2150"/>
      <c r="C480" s="2238" t="s">
        <v>1375</v>
      </c>
      <c r="D480" s="2230">
        <v>0.62</v>
      </c>
      <c r="M480" s="2098"/>
      <c r="N480" s="2098"/>
      <c r="O480" s="2098"/>
      <c r="P480" s="2098"/>
      <c r="R480" s="2198"/>
      <c r="S480" s="2198"/>
      <c r="T480" s="2198"/>
      <c r="U480" s="2198"/>
      <c r="V480" s="2168"/>
      <c r="W480" s="2168"/>
      <c r="X480" s="2168"/>
      <c r="Y480" s="2168"/>
      <c r="Z480" s="2168"/>
      <c r="AA480" s="2168"/>
      <c r="AB480" s="2168"/>
      <c r="AC480" s="2168"/>
      <c r="AD480" s="2168"/>
      <c r="AE480" s="2231">
        <v>0.62</v>
      </c>
      <c r="AF480" s="2231"/>
      <c r="AG480" s="2231"/>
      <c r="AH480" s="3403">
        <v>0.62</v>
      </c>
      <c r="AI480" s="3403"/>
      <c r="AJ480" s="2231"/>
      <c r="AK480" s="2231"/>
      <c r="AL480" s="2231"/>
      <c r="AM480" s="2231"/>
      <c r="AN480" s="2231">
        <v>0.62</v>
      </c>
      <c r="AO480" s="2231">
        <v>0.62</v>
      </c>
      <c r="AP480" s="2168"/>
      <c r="AQ480" s="2168"/>
      <c r="AR480" s="2168"/>
      <c r="AS480" s="2168"/>
      <c r="AT480" s="2168"/>
      <c r="AU480" s="2168"/>
      <c r="AV480" s="2168"/>
    </row>
    <row r="481" spans="1:48" s="2141" customFormat="1" ht="12" hidden="1" outlineLevel="6">
      <c r="A481" s="2150"/>
      <c r="B481" s="2150"/>
      <c r="C481" s="2238" t="s">
        <v>1376</v>
      </c>
      <c r="D481" s="2230">
        <v>13.94</v>
      </c>
      <c r="M481" s="2098"/>
      <c r="N481" s="2098"/>
      <c r="O481" s="2098"/>
      <c r="P481" s="2098"/>
      <c r="R481" s="2198"/>
      <c r="S481" s="2198"/>
      <c r="T481" s="2198"/>
      <c r="U481" s="2198"/>
      <c r="V481" s="2168"/>
      <c r="W481" s="2168"/>
      <c r="X481" s="2168"/>
      <c r="Y481" s="2168"/>
      <c r="Z481" s="2168"/>
      <c r="AA481" s="2168"/>
      <c r="AB481" s="2168"/>
      <c r="AC481" s="2168"/>
      <c r="AD481" s="2168"/>
      <c r="AE481" s="2231">
        <v>13.94</v>
      </c>
      <c r="AF481" s="2231"/>
      <c r="AG481" s="2231"/>
      <c r="AH481" s="3403">
        <v>12.94</v>
      </c>
      <c r="AI481" s="3403"/>
      <c r="AJ481" s="2231">
        <v>1</v>
      </c>
      <c r="AK481" s="2231"/>
      <c r="AL481" s="2231"/>
      <c r="AM481" s="2231"/>
      <c r="AN481" s="2231">
        <v>13.94</v>
      </c>
      <c r="AO481" s="2231">
        <v>13.94</v>
      </c>
      <c r="AP481" s="2168"/>
      <c r="AQ481" s="2168"/>
      <c r="AR481" s="2168"/>
      <c r="AS481" s="2168"/>
      <c r="AT481" s="2168"/>
      <c r="AU481" s="2168"/>
      <c r="AV481" s="2168"/>
    </row>
    <row r="482" spans="1:48" s="2141" customFormat="1" ht="12" hidden="1" outlineLevel="3">
      <c r="A482" s="2150"/>
      <c r="B482" s="2150"/>
      <c r="C482" s="2224" t="s">
        <v>1483</v>
      </c>
      <c r="D482" s="2225">
        <v>866.31</v>
      </c>
      <c r="M482" s="2098"/>
      <c r="N482" s="2098"/>
      <c r="O482" s="2098"/>
      <c r="P482" s="2098"/>
      <c r="R482" s="2198"/>
      <c r="S482" s="2198"/>
      <c r="T482" s="2198"/>
      <c r="U482" s="2198"/>
      <c r="V482" s="2168"/>
      <c r="W482" s="2168"/>
      <c r="X482" s="2168"/>
      <c r="Y482" s="2168"/>
      <c r="Z482" s="2168"/>
      <c r="AA482" s="2168"/>
      <c r="AB482" s="2168"/>
      <c r="AC482" s="2168"/>
      <c r="AD482" s="2168"/>
      <c r="AE482" s="2226">
        <v>866.31</v>
      </c>
      <c r="AF482" s="2226"/>
      <c r="AG482" s="2226"/>
      <c r="AH482" s="3405">
        <v>828.66</v>
      </c>
      <c r="AI482" s="3405"/>
      <c r="AJ482" s="2226">
        <v>37.65</v>
      </c>
      <c r="AK482" s="2226"/>
      <c r="AL482" s="2226"/>
      <c r="AM482" s="2226"/>
      <c r="AN482" s="2226">
        <v>866.31</v>
      </c>
      <c r="AO482" s="2226">
        <v>866.31</v>
      </c>
      <c r="AP482" s="2168"/>
      <c r="AQ482" s="2168"/>
      <c r="AR482" s="2168"/>
      <c r="AS482" s="2168"/>
      <c r="AT482" s="2168"/>
      <c r="AU482" s="2168"/>
      <c r="AV482" s="2168"/>
    </row>
    <row r="483" spans="1:48" s="2141" customFormat="1" ht="12" hidden="1" outlineLevel="4" collapsed="1">
      <c r="A483" s="2150"/>
      <c r="B483" s="2150"/>
      <c r="C483" s="2235" t="s">
        <v>1484</v>
      </c>
      <c r="D483" s="2225">
        <v>0.43</v>
      </c>
      <c r="M483" s="2098"/>
      <c r="N483" s="2098"/>
      <c r="O483" s="2098"/>
      <c r="P483" s="2098"/>
      <c r="R483" s="2198"/>
      <c r="S483" s="2198"/>
      <c r="T483" s="2198"/>
      <c r="U483" s="2198"/>
      <c r="V483" s="2168"/>
      <c r="W483" s="2168"/>
      <c r="X483" s="2168"/>
      <c r="Y483" s="2168"/>
      <c r="Z483" s="2168"/>
      <c r="AA483" s="2168"/>
      <c r="AB483" s="2168"/>
      <c r="AC483" s="2168"/>
      <c r="AD483" s="2168"/>
      <c r="AE483" s="2226">
        <v>0.43</v>
      </c>
      <c r="AF483" s="2226"/>
      <c r="AG483" s="2226"/>
      <c r="AH483" s="3405">
        <v>0.43</v>
      </c>
      <c r="AI483" s="3405"/>
      <c r="AJ483" s="2226"/>
      <c r="AK483" s="2226"/>
      <c r="AL483" s="2226"/>
      <c r="AM483" s="2226"/>
      <c r="AN483" s="2226">
        <v>0.43</v>
      </c>
      <c r="AO483" s="2226">
        <v>0.43</v>
      </c>
      <c r="AP483" s="2168"/>
      <c r="AQ483" s="2168"/>
      <c r="AR483" s="2168"/>
      <c r="AS483" s="2168"/>
      <c r="AT483" s="2168"/>
      <c r="AU483" s="2168"/>
      <c r="AV483" s="2168"/>
    </row>
    <row r="484" spans="1:48" s="2141" customFormat="1" ht="24" hidden="1" outlineLevel="5">
      <c r="A484" s="2150"/>
      <c r="B484" s="2150"/>
      <c r="C484" s="2236" t="s">
        <v>1322</v>
      </c>
      <c r="D484" s="2230">
        <v>0.43</v>
      </c>
      <c r="M484" s="2098"/>
      <c r="N484" s="2098"/>
      <c r="O484" s="2098"/>
      <c r="P484" s="2098"/>
      <c r="R484" s="2198"/>
      <c r="S484" s="2198"/>
      <c r="T484" s="2198"/>
      <c r="U484" s="2198"/>
      <c r="V484" s="2168"/>
      <c r="W484" s="2168"/>
      <c r="X484" s="2168"/>
      <c r="Y484" s="2168"/>
      <c r="Z484" s="2168"/>
      <c r="AA484" s="2168"/>
      <c r="AB484" s="2168"/>
      <c r="AC484" s="2168"/>
      <c r="AD484" s="2168"/>
      <c r="AE484" s="2231">
        <v>0.43</v>
      </c>
      <c r="AF484" s="2231"/>
      <c r="AG484" s="2231"/>
      <c r="AH484" s="3403">
        <v>0.43</v>
      </c>
      <c r="AI484" s="3403"/>
      <c r="AJ484" s="2231"/>
      <c r="AK484" s="2231"/>
      <c r="AL484" s="2231"/>
      <c r="AM484" s="2231"/>
      <c r="AN484" s="2231">
        <v>0.43</v>
      </c>
      <c r="AO484" s="2231">
        <v>0.43</v>
      </c>
      <c r="AP484" s="2168"/>
      <c r="AQ484" s="2168"/>
      <c r="AR484" s="2168"/>
      <c r="AS484" s="2168"/>
      <c r="AT484" s="2168"/>
      <c r="AU484" s="2168"/>
      <c r="AV484" s="2168"/>
    </row>
    <row r="485" spans="1:48" s="2141" customFormat="1" ht="12" hidden="1" outlineLevel="4" collapsed="1">
      <c r="A485" s="2150"/>
      <c r="B485" s="2150"/>
      <c r="C485" s="2235" t="s">
        <v>1485</v>
      </c>
      <c r="D485" s="2225">
        <v>98.2</v>
      </c>
      <c r="M485" s="2098"/>
      <c r="N485" s="2098"/>
      <c r="O485" s="2098"/>
      <c r="P485" s="2098"/>
      <c r="R485" s="2198"/>
      <c r="S485" s="2198"/>
      <c r="T485" s="2198"/>
      <c r="U485" s="2198"/>
      <c r="V485" s="2168"/>
      <c r="W485" s="2168"/>
      <c r="X485" s="2168"/>
      <c r="Y485" s="2168"/>
      <c r="Z485" s="2168"/>
      <c r="AA485" s="2168"/>
      <c r="AB485" s="2168"/>
      <c r="AC485" s="2168"/>
      <c r="AD485" s="2168"/>
      <c r="AE485" s="2226">
        <v>98.2</v>
      </c>
      <c r="AF485" s="2226"/>
      <c r="AG485" s="2226"/>
      <c r="AH485" s="3405">
        <v>97.28</v>
      </c>
      <c r="AI485" s="3405"/>
      <c r="AJ485" s="2226">
        <v>0.92</v>
      </c>
      <c r="AK485" s="2226"/>
      <c r="AL485" s="2226"/>
      <c r="AM485" s="2226"/>
      <c r="AN485" s="2226">
        <v>98.2</v>
      </c>
      <c r="AO485" s="2226">
        <v>98.2</v>
      </c>
      <c r="AP485" s="2168"/>
      <c r="AQ485" s="2168"/>
      <c r="AR485" s="2168"/>
      <c r="AS485" s="2168"/>
      <c r="AT485" s="2168"/>
      <c r="AU485" s="2168"/>
      <c r="AV485" s="2168"/>
    </row>
    <row r="486" spans="1:48" s="2141" customFormat="1" ht="12" hidden="1" outlineLevel="5">
      <c r="A486" s="2150"/>
      <c r="B486" s="2150"/>
      <c r="C486" s="2237" t="s">
        <v>1486</v>
      </c>
      <c r="D486" s="2225">
        <v>2.97</v>
      </c>
      <c r="M486" s="2098"/>
      <c r="N486" s="2098"/>
      <c r="O486" s="2098"/>
      <c r="P486" s="2098"/>
      <c r="R486" s="2198"/>
      <c r="S486" s="2198"/>
      <c r="T486" s="2198"/>
      <c r="U486" s="2198"/>
      <c r="V486" s="2168"/>
      <c r="W486" s="2168"/>
      <c r="X486" s="2168"/>
      <c r="Y486" s="2168"/>
      <c r="Z486" s="2168"/>
      <c r="AA486" s="2168"/>
      <c r="AB486" s="2168"/>
      <c r="AC486" s="2168"/>
      <c r="AD486" s="2168"/>
      <c r="AE486" s="2226">
        <v>2.97</v>
      </c>
      <c r="AF486" s="2226"/>
      <c r="AG486" s="2226"/>
      <c r="AH486" s="3405">
        <v>2.96</v>
      </c>
      <c r="AI486" s="3405"/>
      <c r="AJ486" s="2226">
        <v>0.01</v>
      </c>
      <c r="AK486" s="2226"/>
      <c r="AL486" s="2226"/>
      <c r="AM486" s="2226"/>
      <c r="AN486" s="2226">
        <v>2.97</v>
      </c>
      <c r="AO486" s="2226">
        <v>2.97</v>
      </c>
      <c r="AP486" s="2168"/>
      <c r="AQ486" s="2168"/>
      <c r="AR486" s="2168"/>
      <c r="AS486" s="2168"/>
      <c r="AT486" s="2168"/>
      <c r="AU486" s="2168"/>
      <c r="AV486" s="2168"/>
    </row>
    <row r="487" spans="1:48" s="2141" customFormat="1" ht="24" hidden="1" outlineLevel="6">
      <c r="A487" s="2150"/>
      <c r="B487" s="2150"/>
      <c r="C487" s="2238" t="s">
        <v>1333</v>
      </c>
      <c r="D487" s="2230">
        <v>2.97</v>
      </c>
      <c r="M487" s="2098"/>
      <c r="N487" s="2098"/>
      <c r="O487" s="2098"/>
      <c r="P487" s="2098"/>
      <c r="R487" s="2198"/>
      <c r="S487" s="2198"/>
      <c r="T487" s="2198"/>
      <c r="U487" s="2198"/>
      <c r="V487" s="2168"/>
      <c r="W487" s="2168"/>
      <c r="X487" s="2168"/>
      <c r="Y487" s="2168"/>
      <c r="Z487" s="2168"/>
      <c r="AA487" s="2168"/>
      <c r="AB487" s="2168"/>
      <c r="AC487" s="2168"/>
      <c r="AD487" s="2168"/>
      <c r="AE487" s="2231">
        <v>2.97</v>
      </c>
      <c r="AF487" s="2231"/>
      <c r="AG487" s="2231"/>
      <c r="AH487" s="3403">
        <v>2.96</v>
      </c>
      <c r="AI487" s="3403"/>
      <c r="AJ487" s="2231">
        <v>0.01</v>
      </c>
      <c r="AK487" s="2231"/>
      <c r="AL487" s="2231"/>
      <c r="AM487" s="2231"/>
      <c r="AN487" s="2231">
        <v>2.97</v>
      </c>
      <c r="AO487" s="2231">
        <v>2.97</v>
      </c>
      <c r="AP487" s="2168"/>
      <c r="AQ487" s="2168"/>
      <c r="AR487" s="2168"/>
      <c r="AS487" s="2168"/>
      <c r="AT487" s="2168"/>
      <c r="AU487" s="2168"/>
      <c r="AV487" s="2168"/>
    </row>
    <row r="488" spans="1:48" s="2141" customFormat="1" ht="12" hidden="1" outlineLevel="5">
      <c r="A488" s="2150"/>
      <c r="B488" s="2150"/>
      <c r="C488" s="2236" t="s">
        <v>3829</v>
      </c>
      <c r="D488" s="2230">
        <v>0.04</v>
      </c>
      <c r="M488" s="2098"/>
      <c r="N488" s="2098"/>
      <c r="O488" s="2098"/>
      <c r="P488" s="2098"/>
      <c r="R488" s="2198"/>
      <c r="S488" s="2198"/>
      <c r="T488" s="2198"/>
      <c r="U488" s="2198"/>
      <c r="V488" s="2168"/>
      <c r="W488" s="2168"/>
      <c r="X488" s="2168"/>
      <c r="Y488" s="2168"/>
      <c r="Z488" s="2168"/>
      <c r="AA488" s="2168"/>
      <c r="AB488" s="2168"/>
      <c r="AC488" s="2168"/>
      <c r="AD488" s="2168"/>
      <c r="AE488" s="2231">
        <v>0.04</v>
      </c>
      <c r="AF488" s="2231"/>
      <c r="AG488" s="2231"/>
      <c r="AH488" s="2232"/>
      <c r="AI488" s="2233"/>
      <c r="AJ488" s="2231">
        <v>0.04</v>
      </c>
      <c r="AK488" s="2231"/>
      <c r="AL488" s="2231"/>
      <c r="AM488" s="2231"/>
      <c r="AN488" s="2231">
        <v>0.04</v>
      </c>
      <c r="AO488" s="2231">
        <v>0.04</v>
      </c>
      <c r="AP488" s="2168"/>
      <c r="AQ488" s="2168"/>
      <c r="AR488" s="2168"/>
      <c r="AS488" s="2168"/>
      <c r="AT488" s="2168"/>
      <c r="AU488" s="2168"/>
      <c r="AV488" s="2168"/>
    </row>
    <row r="489" spans="1:48" s="2141" customFormat="1" ht="12" hidden="1" outlineLevel="5">
      <c r="A489" s="2150"/>
      <c r="B489" s="2150"/>
      <c r="C489" s="2237" t="s">
        <v>1487</v>
      </c>
      <c r="D489" s="2225">
        <v>19.170000000000002</v>
      </c>
      <c r="M489" s="2098"/>
      <c r="N489" s="2098"/>
      <c r="O489" s="2098"/>
      <c r="P489" s="2098"/>
      <c r="R489" s="2198"/>
      <c r="S489" s="2198"/>
      <c r="T489" s="2198"/>
      <c r="U489" s="2198"/>
      <c r="V489" s="2168"/>
      <c r="W489" s="2168"/>
      <c r="X489" s="2168"/>
      <c r="Y489" s="2168"/>
      <c r="Z489" s="2168"/>
      <c r="AA489" s="2168"/>
      <c r="AB489" s="2168"/>
      <c r="AC489" s="2168"/>
      <c r="AD489" s="2168"/>
      <c r="AE489" s="2226">
        <v>19.170000000000002</v>
      </c>
      <c r="AF489" s="2226"/>
      <c r="AG489" s="2226"/>
      <c r="AH489" s="3405">
        <v>19.170000000000002</v>
      </c>
      <c r="AI489" s="3405"/>
      <c r="AJ489" s="2226"/>
      <c r="AK489" s="2226"/>
      <c r="AL489" s="2226"/>
      <c r="AM489" s="2226"/>
      <c r="AN489" s="2226">
        <v>19.170000000000002</v>
      </c>
      <c r="AO489" s="2226">
        <v>19.170000000000002</v>
      </c>
      <c r="AP489" s="2168"/>
      <c r="AQ489" s="2168"/>
      <c r="AR489" s="2168"/>
      <c r="AS489" s="2168"/>
      <c r="AT489" s="2168"/>
      <c r="AU489" s="2168"/>
      <c r="AV489" s="2168"/>
    </row>
    <row r="490" spans="1:48" s="2141" customFormat="1" ht="24" hidden="1" outlineLevel="6">
      <c r="A490" s="2150"/>
      <c r="B490" s="2150"/>
      <c r="C490" s="2238" t="s">
        <v>1378</v>
      </c>
      <c r="D490" s="2230">
        <v>-0.03</v>
      </c>
      <c r="M490" s="2098"/>
      <c r="N490" s="2098"/>
      <c r="O490" s="2098"/>
      <c r="P490" s="2098"/>
      <c r="R490" s="2198"/>
      <c r="S490" s="2198"/>
      <c r="T490" s="2198"/>
      <c r="U490" s="2198"/>
      <c r="V490" s="2168"/>
      <c r="W490" s="2168"/>
      <c r="X490" s="2168"/>
      <c r="Y490" s="2168"/>
      <c r="Z490" s="2168"/>
      <c r="AA490" s="2168"/>
      <c r="AB490" s="2168"/>
      <c r="AC490" s="2168"/>
      <c r="AD490" s="2168"/>
      <c r="AE490" s="2231">
        <v>-0.03</v>
      </c>
      <c r="AF490" s="2231"/>
      <c r="AG490" s="2231"/>
      <c r="AH490" s="3403">
        <v>-0.03</v>
      </c>
      <c r="AI490" s="3403"/>
      <c r="AJ490" s="2231"/>
      <c r="AK490" s="2231"/>
      <c r="AL490" s="2231"/>
      <c r="AM490" s="2231"/>
      <c r="AN490" s="2231">
        <v>-0.03</v>
      </c>
      <c r="AO490" s="2231">
        <v>-0.03</v>
      </c>
      <c r="AP490" s="2168"/>
      <c r="AQ490" s="2168"/>
      <c r="AR490" s="2168"/>
      <c r="AS490" s="2168"/>
      <c r="AT490" s="2168"/>
      <c r="AU490" s="2168"/>
      <c r="AV490" s="2168"/>
    </row>
    <row r="491" spans="1:48" s="2141" customFormat="1" ht="36" hidden="1" outlineLevel="6">
      <c r="A491" s="2150"/>
      <c r="B491" s="2150"/>
      <c r="C491" s="2238" t="s">
        <v>1379</v>
      </c>
      <c r="D491" s="2230">
        <v>0.47</v>
      </c>
      <c r="M491" s="2098"/>
      <c r="N491" s="2098"/>
      <c r="O491" s="2098"/>
      <c r="P491" s="2098"/>
      <c r="R491" s="2198"/>
      <c r="S491" s="2198"/>
      <c r="T491" s="2198"/>
      <c r="U491" s="2198"/>
      <c r="V491" s="2168"/>
      <c r="W491" s="2168"/>
      <c r="X491" s="2168"/>
      <c r="Y491" s="2168"/>
      <c r="Z491" s="2168"/>
      <c r="AA491" s="2168"/>
      <c r="AB491" s="2168"/>
      <c r="AC491" s="2168"/>
      <c r="AD491" s="2168"/>
      <c r="AE491" s="2231">
        <v>0.47</v>
      </c>
      <c r="AF491" s="2231"/>
      <c r="AG491" s="2231"/>
      <c r="AH491" s="3403">
        <v>0.47</v>
      </c>
      <c r="AI491" s="3403"/>
      <c r="AJ491" s="2231"/>
      <c r="AK491" s="2231"/>
      <c r="AL491" s="2231"/>
      <c r="AM491" s="2231"/>
      <c r="AN491" s="2231">
        <v>0.47</v>
      </c>
      <c r="AO491" s="2231">
        <v>0.47</v>
      </c>
      <c r="AP491" s="2168"/>
      <c r="AQ491" s="2168"/>
      <c r="AR491" s="2168"/>
      <c r="AS491" s="2168"/>
      <c r="AT491" s="2168"/>
      <c r="AU491" s="2168"/>
      <c r="AV491" s="2168"/>
    </row>
    <row r="492" spans="1:48" s="2141" customFormat="1" ht="36" hidden="1" outlineLevel="6">
      <c r="A492" s="2150"/>
      <c r="B492" s="2150"/>
      <c r="C492" s="2238" t="s">
        <v>1380</v>
      </c>
      <c r="D492" s="2230">
        <v>18.73</v>
      </c>
      <c r="M492" s="2098"/>
      <c r="N492" s="2098"/>
      <c r="O492" s="2098"/>
      <c r="P492" s="2098"/>
      <c r="R492" s="2198"/>
      <c r="S492" s="2198"/>
      <c r="T492" s="2198"/>
      <c r="U492" s="2198"/>
      <c r="V492" s="2168"/>
      <c r="W492" s="2168"/>
      <c r="X492" s="2168"/>
      <c r="Y492" s="2168"/>
      <c r="Z492" s="2168"/>
      <c r="AA492" s="2168"/>
      <c r="AB492" s="2168"/>
      <c r="AC492" s="2168"/>
      <c r="AD492" s="2168"/>
      <c r="AE492" s="2231">
        <v>18.73</v>
      </c>
      <c r="AF492" s="2231"/>
      <c r="AG492" s="2231"/>
      <c r="AH492" s="3403">
        <v>18.73</v>
      </c>
      <c r="AI492" s="3403"/>
      <c r="AJ492" s="2231"/>
      <c r="AK492" s="2231"/>
      <c r="AL492" s="2231"/>
      <c r="AM492" s="2231"/>
      <c r="AN492" s="2231">
        <v>18.73</v>
      </c>
      <c r="AO492" s="2231">
        <v>18.73</v>
      </c>
      <c r="AP492" s="2168"/>
      <c r="AQ492" s="2168"/>
      <c r="AR492" s="2168"/>
      <c r="AS492" s="2168"/>
      <c r="AT492" s="2168"/>
      <c r="AU492" s="2168"/>
      <c r="AV492" s="2168"/>
    </row>
    <row r="493" spans="1:48" s="2141" customFormat="1" ht="12" hidden="1" outlineLevel="5">
      <c r="A493" s="2150"/>
      <c r="B493" s="2150"/>
      <c r="C493" s="2236" t="s">
        <v>1339</v>
      </c>
      <c r="D493" s="2230">
        <v>75.84</v>
      </c>
      <c r="M493" s="2098"/>
      <c r="N493" s="2098"/>
      <c r="O493" s="2098"/>
      <c r="P493" s="2098"/>
      <c r="R493" s="2198"/>
      <c r="S493" s="2198"/>
      <c r="T493" s="2198"/>
      <c r="U493" s="2198"/>
      <c r="V493" s="2168"/>
      <c r="W493" s="2168"/>
      <c r="X493" s="2168"/>
      <c r="Y493" s="2168"/>
      <c r="Z493" s="2168"/>
      <c r="AA493" s="2168"/>
      <c r="AB493" s="2168"/>
      <c r="AC493" s="2168"/>
      <c r="AD493" s="2168"/>
      <c r="AE493" s="2231">
        <v>75.84</v>
      </c>
      <c r="AF493" s="2231"/>
      <c r="AG493" s="2231"/>
      <c r="AH493" s="3403">
        <v>75.150000000000006</v>
      </c>
      <c r="AI493" s="3403"/>
      <c r="AJ493" s="2231">
        <v>0.69</v>
      </c>
      <c r="AK493" s="2231"/>
      <c r="AL493" s="2231"/>
      <c r="AM493" s="2231"/>
      <c r="AN493" s="2231">
        <v>75.84</v>
      </c>
      <c r="AO493" s="2231">
        <v>75.84</v>
      </c>
      <c r="AP493" s="2168"/>
      <c r="AQ493" s="2168"/>
      <c r="AR493" s="2168"/>
      <c r="AS493" s="2168"/>
      <c r="AT493" s="2168"/>
      <c r="AU493" s="2168"/>
      <c r="AV493" s="2168"/>
    </row>
    <row r="494" spans="1:48" s="2141" customFormat="1" ht="12" hidden="1" outlineLevel="5">
      <c r="A494" s="2150"/>
      <c r="B494" s="2150"/>
      <c r="C494" s="2236" t="s">
        <v>1446</v>
      </c>
      <c r="D494" s="2230">
        <v>0.18</v>
      </c>
      <c r="M494" s="2098"/>
      <c r="N494" s="2098"/>
      <c r="O494" s="2098"/>
      <c r="P494" s="2098"/>
      <c r="R494" s="2198"/>
      <c r="S494" s="2198"/>
      <c r="T494" s="2198"/>
      <c r="U494" s="2198"/>
      <c r="V494" s="2168"/>
      <c r="W494" s="2168"/>
      <c r="X494" s="2168"/>
      <c r="Y494" s="2168"/>
      <c r="Z494" s="2168"/>
      <c r="AA494" s="2168"/>
      <c r="AB494" s="2168"/>
      <c r="AC494" s="2168"/>
      <c r="AD494" s="2168"/>
      <c r="AE494" s="2231">
        <v>0.18</v>
      </c>
      <c r="AF494" s="2231"/>
      <c r="AG494" s="2231"/>
      <c r="AH494" s="2232"/>
      <c r="AI494" s="2233"/>
      <c r="AJ494" s="2231">
        <v>0.18</v>
      </c>
      <c r="AK494" s="2231"/>
      <c r="AL494" s="2231"/>
      <c r="AM494" s="2231"/>
      <c r="AN494" s="2231">
        <v>0.18</v>
      </c>
      <c r="AO494" s="2231">
        <v>0.18</v>
      </c>
      <c r="AP494" s="2168"/>
      <c r="AQ494" s="2168"/>
      <c r="AR494" s="2168"/>
      <c r="AS494" s="2168"/>
      <c r="AT494" s="2168"/>
      <c r="AU494" s="2168"/>
      <c r="AV494" s="2168"/>
    </row>
    <row r="495" spans="1:48" s="2141" customFormat="1" ht="12" hidden="1" outlineLevel="4" collapsed="1">
      <c r="A495" s="2150"/>
      <c r="B495" s="2150"/>
      <c r="C495" s="2235" t="s">
        <v>1488</v>
      </c>
      <c r="D495" s="2225">
        <v>16.600000000000001</v>
      </c>
      <c r="M495" s="2098"/>
      <c r="N495" s="2098"/>
      <c r="O495" s="2098"/>
      <c r="P495" s="2098"/>
      <c r="R495" s="2198"/>
      <c r="S495" s="2198"/>
      <c r="T495" s="2198"/>
      <c r="U495" s="2198"/>
      <c r="V495" s="2168"/>
      <c r="W495" s="2168"/>
      <c r="X495" s="2168"/>
      <c r="Y495" s="2168"/>
      <c r="Z495" s="2168"/>
      <c r="AA495" s="2168"/>
      <c r="AB495" s="2168"/>
      <c r="AC495" s="2168"/>
      <c r="AD495" s="2168"/>
      <c r="AE495" s="2226">
        <v>16.600000000000001</v>
      </c>
      <c r="AF495" s="2226"/>
      <c r="AG495" s="2226"/>
      <c r="AH495" s="3405">
        <v>8.65</v>
      </c>
      <c r="AI495" s="3405"/>
      <c r="AJ495" s="2226">
        <v>7.95</v>
      </c>
      <c r="AK495" s="2226"/>
      <c r="AL495" s="2226"/>
      <c r="AM495" s="2226"/>
      <c r="AN495" s="2226">
        <v>16.600000000000001</v>
      </c>
      <c r="AO495" s="2226">
        <v>16.600000000000001</v>
      </c>
      <c r="AP495" s="2168"/>
      <c r="AQ495" s="2168"/>
      <c r="AR495" s="2168"/>
      <c r="AS495" s="2168"/>
      <c r="AT495" s="2168"/>
      <c r="AU495" s="2168"/>
      <c r="AV495" s="2168"/>
    </row>
    <row r="496" spans="1:48" s="2141" customFormat="1" ht="24" hidden="1" outlineLevel="5">
      <c r="A496" s="2150"/>
      <c r="B496" s="2150"/>
      <c r="C496" s="2236" t="s">
        <v>1329</v>
      </c>
      <c r="D496" s="2230">
        <v>7.48</v>
      </c>
      <c r="M496" s="2098"/>
      <c r="N496" s="2098"/>
      <c r="O496" s="2098"/>
      <c r="P496" s="2098"/>
      <c r="R496" s="2198"/>
      <c r="S496" s="2198"/>
      <c r="T496" s="2198"/>
      <c r="U496" s="2198"/>
      <c r="V496" s="2168"/>
      <c r="W496" s="2168"/>
      <c r="X496" s="2168"/>
      <c r="Y496" s="2168"/>
      <c r="Z496" s="2168"/>
      <c r="AA496" s="2168"/>
      <c r="AB496" s="2168"/>
      <c r="AC496" s="2168"/>
      <c r="AD496" s="2168"/>
      <c r="AE496" s="2231">
        <v>7.48</v>
      </c>
      <c r="AF496" s="2231"/>
      <c r="AG496" s="2231"/>
      <c r="AH496" s="2232"/>
      <c r="AI496" s="2233"/>
      <c r="AJ496" s="2231">
        <v>7.48</v>
      </c>
      <c r="AK496" s="2231"/>
      <c r="AL496" s="2231"/>
      <c r="AM496" s="2231"/>
      <c r="AN496" s="2231">
        <v>7.48</v>
      </c>
      <c r="AO496" s="2231">
        <v>7.48</v>
      </c>
      <c r="AP496" s="2168"/>
      <c r="AQ496" s="2168"/>
      <c r="AR496" s="2168"/>
      <c r="AS496" s="2168"/>
      <c r="AT496" s="2168"/>
      <c r="AU496" s="2168"/>
      <c r="AV496" s="2168"/>
    </row>
    <row r="497" spans="1:48" s="2141" customFormat="1" ht="24" hidden="1" outlineLevel="5">
      <c r="A497" s="2150"/>
      <c r="B497" s="2150"/>
      <c r="C497" s="2236" t="s">
        <v>1330</v>
      </c>
      <c r="D497" s="2230">
        <v>0.24</v>
      </c>
      <c r="M497" s="2098"/>
      <c r="N497" s="2098"/>
      <c r="O497" s="2098"/>
      <c r="P497" s="2098"/>
      <c r="R497" s="2198"/>
      <c r="S497" s="2198"/>
      <c r="T497" s="2198"/>
      <c r="U497" s="2198"/>
      <c r="V497" s="2168"/>
      <c r="W497" s="2168"/>
      <c r="X497" s="2168"/>
      <c r="Y497" s="2168"/>
      <c r="Z497" s="2168"/>
      <c r="AA497" s="2168"/>
      <c r="AB497" s="2168"/>
      <c r="AC497" s="2168"/>
      <c r="AD497" s="2168"/>
      <c r="AE497" s="2231">
        <v>0.24</v>
      </c>
      <c r="AF497" s="2231"/>
      <c r="AG497" s="2231"/>
      <c r="AH497" s="2232"/>
      <c r="AI497" s="2233"/>
      <c r="AJ497" s="2231">
        <v>0.24</v>
      </c>
      <c r="AK497" s="2231"/>
      <c r="AL497" s="2231"/>
      <c r="AM497" s="2231"/>
      <c r="AN497" s="2231">
        <v>0.24</v>
      </c>
      <c r="AO497" s="2231">
        <v>0.24</v>
      </c>
      <c r="AP497" s="2168"/>
      <c r="AQ497" s="2168"/>
      <c r="AR497" s="2168"/>
      <c r="AS497" s="2168"/>
      <c r="AT497" s="2168"/>
      <c r="AU497" s="2168"/>
      <c r="AV497" s="2168"/>
    </row>
    <row r="498" spans="1:48" s="2141" customFormat="1" ht="24" hidden="1" outlineLevel="5">
      <c r="A498" s="2150"/>
      <c r="B498" s="2150"/>
      <c r="C498" s="2236" t="s">
        <v>1387</v>
      </c>
      <c r="D498" s="2230">
        <v>1.25</v>
      </c>
      <c r="M498" s="2098"/>
      <c r="N498" s="2098"/>
      <c r="O498" s="2098"/>
      <c r="P498" s="2098"/>
      <c r="R498" s="2198"/>
      <c r="S498" s="2198"/>
      <c r="T498" s="2198"/>
      <c r="U498" s="2198"/>
      <c r="V498" s="2168"/>
      <c r="W498" s="2168"/>
      <c r="X498" s="2168"/>
      <c r="Y498" s="2168"/>
      <c r="Z498" s="2168"/>
      <c r="AA498" s="2168"/>
      <c r="AB498" s="2168"/>
      <c r="AC498" s="2168"/>
      <c r="AD498" s="2168"/>
      <c r="AE498" s="2231">
        <v>1.25</v>
      </c>
      <c r="AF498" s="2231"/>
      <c r="AG498" s="2231"/>
      <c r="AH498" s="3403">
        <v>1.1399999999999999</v>
      </c>
      <c r="AI498" s="3403"/>
      <c r="AJ498" s="2231">
        <v>0.11</v>
      </c>
      <c r="AK498" s="2231"/>
      <c r="AL498" s="2231"/>
      <c r="AM498" s="2231"/>
      <c r="AN498" s="2231">
        <v>1.25</v>
      </c>
      <c r="AO498" s="2231">
        <v>1.25</v>
      </c>
      <c r="AP498" s="2168"/>
      <c r="AQ498" s="2168"/>
      <c r="AR498" s="2168"/>
      <c r="AS498" s="2168"/>
      <c r="AT498" s="2168"/>
      <c r="AU498" s="2168"/>
      <c r="AV498" s="2168"/>
    </row>
    <row r="499" spans="1:48" s="2141" customFormat="1" ht="12" hidden="1" outlineLevel="5">
      <c r="A499" s="2150"/>
      <c r="B499" s="2150"/>
      <c r="C499" s="2236" t="s">
        <v>1389</v>
      </c>
      <c r="D499" s="2230">
        <v>6.74</v>
      </c>
      <c r="M499" s="2098"/>
      <c r="N499" s="2098"/>
      <c r="O499" s="2098"/>
      <c r="P499" s="2098"/>
      <c r="R499" s="2198"/>
      <c r="S499" s="2198"/>
      <c r="T499" s="2198"/>
      <c r="U499" s="2198"/>
      <c r="V499" s="2168"/>
      <c r="W499" s="2168"/>
      <c r="X499" s="2168"/>
      <c r="Y499" s="2168"/>
      <c r="Z499" s="2168"/>
      <c r="AA499" s="2168"/>
      <c r="AB499" s="2168"/>
      <c r="AC499" s="2168"/>
      <c r="AD499" s="2168"/>
      <c r="AE499" s="2231">
        <v>6.74</v>
      </c>
      <c r="AF499" s="2231"/>
      <c r="AG499" s="2231"/>
      <c r="AH499" s="3403">
        <v>6.74</v>
      </c>
      <c r="AI499" s="3403"/>
      <c r="AJ499" s="2231"/>
      <c r="AK499" s="2231"/>
      <c r="AL499" s="2231"/>
      <c r="AM499" s="2231"/>
      <c r="AN499" s="2231">
        <v>6.74</v>
      </c>
      <c r="AO499" s="2231">
        <v>6.74</v>
      </c>
      <c r="AP499" s="2168"/>
      <c r="AQ499" s="2168"/>
      <c r="AR499" s="2168"/>
      <c r="AS499" s="2168"/>
      <c r="AT499" s="2168"/>
      <c r="AU499" s="2168"/>
      <c r="AV499" s="2168"/>
    </row>
    <row r="500" spans="1:48" s="2141" customFormat="1" ht="12" hidden="1" outlineLevel="5">
      <c r="A500" s="2150"/>
      <c r="B500" s="2150"/>
      <c r="C500" s="2236" t="s">
        <v>1390</v>
      </c>
      <c r="D500" s="2230">
        <v>0.89</v>
      </c>
      <c r="M500" s="2098"/>
      <c r="N500" s="2098"/>
      <c r="O500" s="2098"/>
      <c r="P500" s="2098"/>
      <c r="R500" s="2198"/>
      <c r="S500" s="2198"/>
      <c r="T500" s="2198"/>
      <c r="U500" s="2198"/>
      <c r="V500" s="2168"/>
      <c r="W500" s="2168"/>
      <c r="X500" s="2168"/>
      <c r="Y500" s="2168"/>
      <c r="Z500" s="2168"/>
      <c r="AA500" s="2168"/>
      <c r="AB500" s="2168"/>
      <c r="AC500" s="2168"/>
      <c r="AD500" s="2168"/>
      <c r="AE500" s="2231">
        <v>0.89</v>
      </c>
      <c r="AF500" s="2231"/>
      <c r="AG500" s="2231"/>
      <c r="AH500" s="3403">
        <v>0.77</v>
      </c>
      <c r="AI500" s="3403"/>
      <c r="AJ500" s="2231">
        <v>0.12</v>
      </c>
      <c r="AK500" s="2231"/>
      <c r="AL500" s="2231"/>
      <c r="AM500" s="2231"/>
      <c r="AN500" s="2231">
        <v>0.89</v>
      </c>
      <c r="AO500" s="2231">
        <v>0.89</v>
      </c>
      <c r="AP500" s="2168"/>
      <c r="AQ500" s="2168"/>
      <c r="AR500" s="2168"/>
      <c r="AS500" s="2168"/>
      <c r="AT500" s="2168"/>
      <c r="AU500" s="2168"/>
      <c r="AV500" s="2168"/>
    </row>
    <row r="501" spans="1:48" s="2141" customFormat="1" ht="12" hidden="1" outlineLevel="4" collapsed="1">
      <c r="A501" s="2150"/>
      <c r="B501" s="2150"/>
      <c r="C501" s="2235" t="s">
        <v>1489</v>
      </c>
      <c r="D501" s="2225">
        <v>639.07000000000005</v>
      </c>
      <c r="M501" s="2098"/>
      <c r="N501" s="2098"/>
      <c r="O501" s="2098"/>
      <c r="P501" s="2098"/>
      <c r="R501" s="2198"/>
      <c r="S501" s="2198"/>
      <c r="T501" s="2198"/>
      <c r="U501" s="2198"/>
      <c r="V501" s="2168"/>
      <c r="W501" s="2168"/>
      <c r="X501" s="2168"/>
      <c r="Y501" s="2168"/>
      <c r="Z501" s="2168"/>
      <c r="AA501" s="2168"/>
      <c r="AB501" s="2168"/>
      <c r="AC501" s="2168"/>
      <c r="AD501" s="2168"/>
      <c r="AE501" s="2226">
        <v>639.07000000000005</v>
      </c>
      <c r="AF501" s="2226"/>
      <c r="AG501" s="2226"/>
      <c r="AH501" s="3405">
        <v>637.63</v>
      </c>
      <c r="AI501" s="3405"/>
      <c r="AJ501" s="2226">
        <v>1.44</v>
      </c>
      <c r="AK501" s="2226"/>
      <c r="AL501" s="2226"/>
      <c r="AM501" s="2226"/>
      <c r="AN501" s="2226">
        <v>639.07000000000005</v>
      </c>
      <c r="AO501" s="2226">
        <v>639.07000000000005</v>
      </c>
      <c r="AP501" s="2168"/>
      <c r="AQ501" s="2168"/>
      <c r="AR501" s="2168"/>
      <c r="AS501" s="2168"/>
      <c r="AT501" s="2168"/>
      <c r="AU501" s="2168"/>
      <c r="AV501" s="2168"/>
    </row>
    <row r="502" spans="1:48" s="2141" customFormat="1" ht="24" hidden="1" outlineLevel="5">
      <c r="A502" s="2150"/>
      <c r="B502" s="2150"/>
      <c r="C502" s="2237" t="s">
        <v>1490</v>
      </c>
      <c r="D502" s="2225">
        <v>635.04</v>
      </c>
      <c r="M502" s="2098"/>
      <c r="N502" s="2098"/>
      <c r="O502" s="2098"/>
      <c r="P502" s="2098"/>
      <c r="R502" s="2198"/>
      <c r="S502" s="2198"/>
      <c r="T502" s="2198"/>
      <c r="U502" s="2198"/>
      <c r="V502" s="2168"/>
      <c r="W502" s="2168"/>
      <c r="X502" s="2168"/>
      <c r="Y502" s="2168"/>
      <c r="Z502" s="2168"/>
      <c r="AA502" s="2168"/>
      <c r="AB502" s="2168"/>
      <c r="AC502" s="2168"/>
      <c r="AD502" s="2168"/>
      <c r="AE502" s="2226">
        <v>635.04</v>
      </c>
      <c r="AF502" s="2226"/>
      <c r="AG502" s="2226"/>
      <c r="AH502" s="3405">
        <v>634.94000000000005</v>
      </c>
      <c r="AI502" s="3405"/>
      <c r="AJ502" s="2226">
        <v>0.1</v>
      </c>
      <c r="AK502" s="2226"/>
      <c r="AL502" s="2226"/>
      <c r="AM502" s="2226"/>
      <c r="AN502" s="2226">
        <v>635.04</v>
      </c>
      <c r="AO502" s="2226">
        <v>635.04</v>
      </c>
      <c r="AP502" s="2168"/>
      <c r="AQ502" s="2168"/>
      <c r="AR502" s="2168"/>
      <c r="AS502" s="2168"/>
      <c r="AT502" s="2168"/>
      <c r="AU502" s="2168"/>
      <c r="AV502" s="2168"/>
    </row>
    <row r="503" spans="1:48" s="2141" customFormat="1" ht="24" hidden="1" outlineLevel="6">
      <c r="A503" s="2150"/>
      <c r="B503" s="2150"/>
      <c r="C503" s="2238" t="s">
        <v>1342</v>
      </c>
      <c r="D503" s="2230">
        <v>79.099999999999994</v>
      </c>
      <c r="M503" s="2098"/>
      <c r="N503" s="2098"/>
      <c r="O503" s="2098"/>
      <c r="P503" s="2098"/>
      <c r="R503" s="2198"/>
      <c r="S503" s="2198"/>
      <c r="T503" s="2198"/>
      <c r="U503" s="2198"/>
      <c r="V503" s="2168"/>
      <c r="W503" s="2168"/>
      <c r="X503" s="2168"/>
      <c r="Y503" s="2168"/>
      <c r="Z503" s="2168"/>
      <c r="AA503" s="2168"/>
      <c r="AB503" s="2168"/>
      <c r="AC503" s="2168"/>
      <c r="AD503" s="2168"/>
      <c r="AE503" s="2231">
        <v>79.099999999999994</v>
      </c>
      <c r="AF503" s="2231"/>
      <c r="AG503" s="2231"/>
      <c r="AH503" s="3403">
        <v>79.08</v>
      </c>
      <c r="AI503" s="3403"/>
      <c r="AJ503" s="2231">
        <v>0.02</v>
      </c>
      <c r="AK503" s="2231"/>
      <c r="AL503" s="2231"/>
      <c r="AM503" s="2231"/>
      <c r="AN503" s="2231">
        <v>79.099999999999994</v>
      </c>
      <c r="AO503" s="2231">
        <v>79.099999999999994</v>
      </c>
      <c r="AP503" s="2168"/>
      <c r="AQ503" s="2168"/>
      <c r="AR503" s="2168"/>
      <c r="AS503" s="2168"/>
      <c r="AT503" s="2168"/>
      <c r="AU503" s="2168"/>
      <c r="AV503" s="2168"/>
    </row>
    <row r="504" spans="1:48" s="2141" customFormat="1" ht="24" hidden="1" outlineLevel="6">
      <c r="A504" s="2150"/>
      <c r="B504" s="2150"/>
      <c r="C504" s="2238" t="s">
        <v>1343</v>
      </c>
      <c r="D504" s="2230">
        <v>280.83999999999997</v>
      </c>
      <c r="M504" s="2098"/>
      <c r="N504" s="2098"/>
      <c r="O504" s="2098"/>
      <c r="P504" s="2098"/>
      <c r="R504" s="2198"/>
      <c r="S504" s="2198"/>
      <c r="T504" s="2198"/>
      <c r="U504" s="2198"/>
      <c r="V504" s="2168"/>
      <c r="W504" s="2168"/>
      <c r="X504" s="2168"/>
      <c r="Y504" s="2168"/>
      <c r="Z504" s="2168"/>
      <c r="AA504" s="2168"/>
      <c r="AB504" s="2168"/>
      <c r="AC504" s="2168"/>
      <c r="AD504" s="2168"/>
      <c r="AE504" s="2231">
        <v>280.83999999999997</v>
      </c>
      <c r="AF504" s="2231"/>
      <c r="AG504" s="2231"/>
      <c r="AH504" s="3403">
        <v>280.8</v>
      </c>
      <c r="AI504" s="3403"/>
      <c r="AJ504" s="2231">
        <v>0.04</v>
      </c>
      <c r="AK504" s="2231"/>
      <c r="AL504" s="2231"/>
      <c r="AM504" s="2231"/>
      <c r="AN504" s="2231">
        <v>280.83999999999997</v>
      </c>
      <c r="AO504" s="2231">
        <v>280.83999999999997</v>
      </c>
      <c r="AP504" s="2168"/>
      <c r="AQ504" s="2168"/>
      <c r="AR504" s="2168"/>
      <c r="AS504" s="2168"/>
      <c r="AT504" s="2168"/>
      <c r="AU504" s="2168"/>
      <c r="AV504" s="2168"/>
    </row>
    <row r="505" spans="1:48" s="2141" customFormat="1" ht="24" hidden="1" outlineLevel="6">
      <c r="A505" s="2150"/>
      <c r="B505" s="2150"/>
      <c r="C505" s="2238" t="s">
        <v>1344</v>
      </c>
      <c r="D505" s="2230">
        <v>275.10000000000002</v>
      </c>
      <c r="M505" s="2098"/>
      <c r="N505" s="2098"/>
      <c r="O505" s="2098"/>
      <c r="P505" s="2098"/>
      <c r="R505" s="2198"/>
      <c r="S505" s="2198"/>
      <c r="T505" s="2198"/>
      <c r="U505" s="2198"/>
      <c r="V505" s="2168"/>
      <c r="W505" s="2168"/>
      <c r="X505" s="2168"/>
      <c r="Y505" s="2168"/>
      <c r="Z505" s="2168"/>
      <c r="AA505" s="2168"/>
      <c r="AB505" s="2168"/>
      <c r="AC505" s="2168"/>
      <c r="AD505" s="2168"/>
      <c r="AE505" s="2231">
        <v>275.10000000000002</v>
      </c>
      <c r="AF505" s="2231"/>
      <c r="AG505" s="2231"/>
      <c r="AH505" s="3403">
        <v>275.06</v>
      </c>
      <c r="AI505" s="3403"/>
      <c r="AJ505" s="2231">
        <v>0.04</v>
      </c>
      <c r="AK505" s="2231"/>
      <c r="AL505" s="2231"/>
      <c r="AM505" s="2231"/>
      <c r="AN505" s="2231">
        <v>275.10000000000002</v>
      </c>
      <c r="AO505" s="2231">
        <v>275.10000000000002</v>
      </c>
      <c r="AP505" s="2168"/>
      <c r="AQ505" s="2168"/>
      <c r="AR505" s="2168"/>
      <c r="AS505" s="2168"/>
      <c r="AT505" s="2168"/>
      <c r="AU505" s="2168"/>
      <c r="AV505" s="2168"/>
    </row>
    <row r="506" spans="1:48" s="2141" customFormat="1" ht="24" hidden="1" outlineLevel="5">
      <c r="A506" s="2150"/>
      <c r="B506" s="2150"/>
      <c r="C506" s="2237" t="s">
        <v>1491</v>
      </c>
      <c r="D506" s="2225">
        <v>4.03</v>
      </c>
      <c r="M506" s="2098"/>
      <c r="N506" s="2098"/>
      <c r="O506" s="2098"/>
      <c r="P506" s="2098"/>
      <c r="R506" s="2198"/>
      <c r="S506" s="2198"/>
      <c r="T506" s="2198"/>
      <c r="U506" s="2198"/>
      <c r="V506" s="2168"/>
      <c r="W506" s="2168"/>
      <c r="X506" s="2168"/>
      <c r="Y506" s="2168"/>
      <c r="Z506" s="2168"/>
      <c r="AA506" s="2168"/>
      <c r="AB506" s="2168"/>
      <c r="AC506" s="2168"/>
      <c r="AD506" s="2168"/>
      <c r="AE506" s="2226">
        <v>4.03</v>
      </c>
      <c r="AF506" s="2226"/>
      <c r="AG506" s="2226"/>
      <c r="AH506" s="3405">
        <v>2.69</v>
      </c>
      <c r="AI506" s="3405"/>
      <c r="AJ506" s="2226">
        <v>1.34</v>
      </c>
      <c r="AK506" s="2226"/>
      <c r="AL506" s="2226"/>
      <c r="AM506" s="2226"/>
      <c r="AN506" s="2226">
        <v>4.03</v>
      </c>
      <c r="AO506" s="2226">
        <v>4.03</v>
      </c>
      <c r="AP506" s="2168"/>
      <c r="AQ506" s="2168"/>
      <c r="AR506" s="2168"/>
      <c r="AS506" s="2168"/>
      <c r="AT506" s="2168"/>
      <c r="AU506" s="2168"/>
      <c r="AV506" s="2168"/>
    </row>
    <row r="507" spans="1:48" s="2141" customFormat="1" ht="24" hidden="1" outlineLevel="6">
      <c r="A507" s="2150"/>
      <c r="B507" s="2150"/>
      <c r="C507" s="2238" t="s">
        <v>1345</v>
      </c>
      <c r="D507" s="2230">
        <v>0.03</v>
      </c>
      <c r="M507" s="2098"/>
      <c r="N507" s="2098"/>
      <c r="O507" s="2098"/>
      <c r="P507" s="2098"/>
      <c r="R507" s="2198"/>
      <c r="S507" s="2198"/>
      <c r="T507" s="2198"/>
      <c r="U507" s="2198"/>
      <c r="V507" s="2168"/>
      <c r="W507" s="2168"/>
      <c r="X507" s="2168"/>
      <c r="Y507" s="2168"/>
      <c r="Z507" s="2168"/>
      <c r="AA507" s="2168"/>
      <c r="AB507" s="2168"/>
      <c r="AC507" s="2168"/>
      <c r="AD507" s="2168"/>
      <c r="AE507" s="2231">
        <v>0.03</v>
      </c>
      <c r="AF507" s="2231"/>
      <c r="AG507" s="2231"/>
      <c r="AH507" s="2232"/>
      <c r="AI507" s="2233"/>
      <c r="AJ507" s="2231">
        <v>0.03</v>
      </c>
      <c r="AK507" s="2231"/>
      <c r="AL507" s="2231"/>
      <c r="AM507" s="2231"/>
      <c r="AN507" s="2231">
        <v>0.03</v>
      </c>
      <c r="AO507" s="2231">
        <v>0.03</v>
      </c>
      <c r="AP507" s="2168"/>
      <c r="AQ507" s="2168"/>
      <c r="AR507" s="2168"/>
      <c r="AS507" s="2168"/>
      <c r="AT507" s="2168"/>
      <c r="AU507" s="2168"/>
      <c r="AV507" s="2168"/>
    </row>
    <row r="508" spans="1:48" s="2141" customFormat="1" ht="24" hidden="1" outlineLevel="6">
      <c r="A508" s="2150"/>
      <c r="B508" s="2150"/>
      <c r="C508" s="2238" t="s">
        <v>1347</v>
      </c>
      <c r="D508" s="2230">
        <v>7.0000000000000007E-2</v>
      </c>
      <c r="M508" s="2098"/>
      <c r="N508" s="2098"/>
      <c r="O508" s="2098"/>
      <c r="P508" s="2098"/>
      <c r="R508" s="2198"/>
      <c r="S508" s="2198"/>
      <c r="T508" s="2198"/>
      <c r="U508" s="2198"/>
      <c r="V508" s="2168"/>
      <c r="W508" s="2168"/>
      <c r="X508" s="2168"/>
      <c r="Y508" s="2168"/>
      <c r="Z508" s="2168"/>
      <c r="AA508" s="2168"/>
      <c r="AB508" s="2168"/>
      <c r="AC508" s="2168"/>
      <c r="AD508" s="2168"/>
      <c r="AE508" s="2231">
        <v>7.0000000000000007E-2</v>
      </c>
      <c r="AF508" s="2231"/>
      <c r="AG508" s="2231"/>
      <c r="AH508" s="3403">
        <v>0.01</v>
      </c>
      <c r="AI508" s="3403"/>
      <c r="AJ508" s="2231">
        <v>0.06</v>
      </c>
      <c r="AK508" s="2231"/>
      <c r="AL508" s="2231"/>
      <c r="AM508" s="2231"/>
      <c r="AN508" s="2231">
        <v>7.0000000000000007E-2</v>
      </c>
      <c r="AO508" s="2231">
        <v>7.0000000000000007E-2</v>
      </c>
      <c r="AP508" s="2168"/>
      <c r="AQ508" s="2168"/>
      <c r="AR508" s="2168"/>
      <c r="AS508" s="2168"/>
      <c r="AT508" s="2168"/>
      <c r="AU508" s="2168"/>
      <c r="AV508" s="2168"/>
    </row>
    <row r="509" spans="1:48" s="2141" customFormat="1" ht="24" hidden="1" outlineLevel="6">
      <c r="A509" s="2150"/>
      <c r="B509" s="2150"/>
      <c r="C509" s="2238" t="s">
        <v>1348</v>
      </c>
      <c r="D509" s="2230">
        <v>2.67</v>
      </c>
      <c r="M509" s="2098"/>
      <c r="N509" s="2098"/>
      <c r="O509" s="2098"/>
      <c r="P509" s="2098"/>
      <c r="R509" s="2198"/>
      <c r="S509" s="2198"/>
      <c r="T509" s="2198"/>
      <c r="U509" s="2198"/>
      <c r="V509" s="2168"/>
      <c r="W509" s="2168"/>
      <c r="X509" s="2168"/>
      <c r="Y509" s="2168"/>
      <c r="Z509" s="2168"/>
      <c r="AA509" s="2168"/>
      <c r="AB509" s="2168"/>
      <c r="AC509" s="2168"/>
      <c r="AD509" s="2168"/>
      <c r="AE509" s="2231">
        <v>2.67</v>
      </c>
      <c r="AF509" s="2231"/>
      <c r="AG509" s="2231"/>
      <c r="AH509" s="3403">
        <v>1.68</v>
      </c>
      <c r="AI509" s="3403"/>
      <c r="AJ509" s="2231">
        <v>0.99</v>
      </c>
      <c r="AK509" s="2231"/>
      <c r="AL509" s="2231"/>
      <c r="AM509" s="2231"/>
      <c r="AN509" s="2231">
        <v>2.67</v>
      </c>
      <c r="AO509" s="2231">
        <v>2.67</v>
      </c>
      <c r="AP509" s="2168"/>
      <c r="AQ509" s="2168"/>
      <c r="AR509" s="2168"/>
      <c r="AS509" s="2168"/>
      <c r="AT509" s="2168"/>
      <c r="AU509" s="2168"/>
      <c r="AV509" s="2168"/>
    </row>
    <row r="510" spans="1:48" s="2141" customFormat="1" ht="24" hidden="1" outlineLevel="6">
      <c r="A510" s="2150"/>
      <c r="B510" s="2150"/>
      <c r="C510" s="2238" t="s">
        <v>1349</v>
      </c>
      <c r="D510" s="2230">
        <v>1.26</v>
      </c>
      <c r="M510" s="2098"/>
      <c r="N510" s="2098"/>
      <c r="O510" s="2098"/>
      <c r="P510" s="2098"/>
      <c r="R510" s="2198"/>
      <c r="S510" s="2198"/>
      <c r="T510" s="2198"/>
      <c r="U510" s="2198"/>
      <c r="V510" s="2168"/>
      <c r="W510" s="2168"/>
      <c r="X510" s="2168"/>
      <c r="Y510" s="2168"/>
      <c r="Z510" s="2168"/>
      <c r="AA510" s="2168"/>
      <c r="AB510" s="2168"/>
      <c r="AC510" s="2168"/>
      <c r="AD510" s="2168"/>
      <c r="AE510" s="2231">
        <v>1.26</v>
      </c>
      <c r="AF510" s="2231"/>
      <c r="AG510" s="2231"/>
      <c r="AH510" s="3403">
        <v>1</v>
      </c>
      <c r="AI510" s="3403"/>
      <c r="AJ510" s="2231">
        <v>0.26</v>
      </c>
      <c r="AK510" s="2231"/>
      <c r="AL510" s="2231"/>
      <c r="AM510" s="2231"/>
      <c r="AN510" s="2231">
        <v>1.26</v>
      </c>
      <c r="AO510" s="2231">
        <v>1.26</v>
      </c>
      <c r="AP510" s="2168"/>
      <c r="AQ510" s="2168"/>
      <c r="AR510" s="2168"/>
      <c r="AS510" s="2168"/>
      <c r="AT510" s="2168"/>
      <c r="AU510" s="2168"/>
      <c r="AV510" s="2168"/>
    </row>
    <row r="511" spans="1:48" s="2141" customFormat="1" ht="12" hidden="1" outlineLevel="4" collapsed="1">
      <c r="A511" s="2150"/>
      <c r="B511" s="2150"/>
      <c r="C511" s="2235" t="s">
        <v>1492</v>
      </c>
      <c r="D511" s="2225">
        <v>38.79</v>
      </c>
      <c r="M511" s="2098"/>
      <c r="N511" s="2098"/>
      <c r="O511" s="2098"/>
      <c r="P511" s="2098"/>
      <c r="R511" s="2198"/>
      <c r="S511" s="2198"/>
      <c r="T511" s="2198"/>
      <c r="U511" s="2198"/>
      <c r="V511" s="2168"/>
      <c r="W511" s="2168"/>
      <c r="X511" s="2168"/>
      <c r="Y511" s="2168"/>
      <c r="Z511" s="2168"/>
      <c r="AA511" s="2168"/>
      <c r="AB511" s="2168"/>
      <c r="AC511" s="2168"/>
      <c r="AD511" s="2168"/>
      <c r="AE511" s="2226">
        <v>38.79</v>
      </c>
      <c r="AF511" s="2226"/>
      <c r="AG511" s="2226"/>
      <c r="AH511" s="3405">
        <v>38.4</v>
      </c>
      <c r="AI511" s="3405"/>
      <c r="AJ511" s="2226">
        <v>0.39</v>
      </c>
      <c r="AK511" s="2226"/>
      <c r="AL511" s="2226"/>
      <c r="AM511" s="2226"/>
      <c r="AN511" s="2226">
        <v>38.79</v>
      </c>
      <c r="AO511" s="2226">
        <v>38.79</v>
      </c>
      <c r="AP511" s="2168"/>
      <c r="AQ511" s="2168"/>
      <c r="AR511" s="2168"/>
      <c r="AS511" s="2168"/>
      <c r="AT511" s="2168"/>
      <c r="AU511" s="2168"/>
      <c r="AV511" s="2168"/>
    </row>
    <row r="512" spans="1:48" s="2141" customFormat="1" ht="12" hidden="1" outlineLevel="5">
      <c r="A512" s="2150"/>
      <c r="B512" s="2150"/>
      <c r="C512" s="2236" t="s">
        <v>1337</v>
      </c>
      <c r="D512" s="2230">
        <v>0.05</v>
      </c>
      <c r="M512" s="2098"/>
      <c r="N512" s="2098"/>
      <c r="O512" s="2098"/>
      <c r="P512" s="2098"/>
      <c r="R512" s="2198"/>
      <c r="S512" s="2198"/>
      <c r="T512" s="2198"/>
      <c r="U512" s="2198"/>
      <c r="V512" s="2168"/>
      <c r="W512" s="2168"/>
      <c r="X512" s="2168"/>
      <c r="Y512" s="2168"/>
      <c r="Z512" s="2168"/>
      <c r="AA512" s="2168"/>
      <c r="AB512" s="2168"/>
      <c r="AC512" s="2168"/>
      <c r="AD512" s="2168"/>
      <c r="AE512" s="2231">
        <v>0.05</v>
      </c>
      <c r="AF512" s="2231"/>
      <c r="AG512" s="2231"/>
      <c r="AH512" s="3403">
        <v>0.05</v>
      </c>
      <c r="AI512" s="3403"/>
      <c r="AJ512" s="2231"/>
      <c r="AK512" s="2231"/>
      <c r="AL512" s="2231"/>
      <c r="AM512" s="2231"/>
      <c r="AN512" s="2231">
        <v>0.05</v>
      </c>
      <c r="AO512" s="2231">
        <v>0.05</v>
      </c>
      <c r="AP512" s="2168"/>
      <c r="AQ512" s="2168"/>
      <c r="AR512" s="2168"/>
      <c r="AS512" s="2168"/>
      <c r="AT512" s="2168"/>
      <c r="AU512" s="2168"/>
      <c r="AV512" s="2168"/>
    </row>
    <row r="513" spans="1:48" s="2141" customFormat="1" ht="12" hidden="1" outlineLevel="5">
      <c r="A513" s="2150"/>
      <c r="B513" s="2150"/>
      <c r="C513" s="2236" t="s">
        <v>1361</v>
      </c>
      <c r="D513" s="2230">
        <v>37.29</v>
      </c>
      <c r="M513" s="2098"/>
      <c r="N513" s="2098"/>
      <c r="O513" s="2098"/>
      <c r="P513" s="2098"/>
      <c r="R513" s="2198"/>
      <c r="S513" s="2198"/>
      <c r="T513" s="2198"/>
      <c r="U513" s="2198"/>
      <c r="V513" s="2168"/>
      <c r="W513" s="2168"/>
      <c r="X513" s="2168"/>
      <c r="Y513" s="2168"/>
      <c r="Z513" s="2168"/>
      <c r="AA513" s="2168"/>
      <c r="AB513" s="2168"/>
      <c r="AC513" s="2168"/>
      <c r="AD513" s="2168"/>
      <c r="AE513" s="2231">
        <v>37.29</v>
      </c>
      <c r="AF513" s="2231"/>
      <c r="AG513" s="2231"/>
      <c r="AH513" s="3403">
        <v>37.29</v>
      </c>
      <c r="AI513" s="3403"/>
      <c r="AJ513" s="2231"/>
      <c r="AK513" s="2231"/>
      <c r="AL513" s="2231"/>
      <c r="AM513" s="2231"/>
      <c r="AN513" s="2231">
        <v>37.29</v>
      </c>
      <c r="AO513" s="2231">
        <v>37.29</v>
      </c>
      <c r="AP513" s="2168"/>
      <c r="AQ513" s="2168"/>
      <c r="AR513" s="2168"/>
      <c r="AS513" s="2168"/>
      <c r="AT513" s="2168"/>
      <c r="AU513" s="2168"/>
      <c r="AV513" s="2168"/>
    </row>
    <row r="514" spans="1:48" s="2141" customFormat="1" ht="12" hidden="1" outlineLevel="5">
      <c r="A514" s="2150"/>
      <c r="B514" s="2150"/>
      <c r="C514" s="2236" t="s">
        <v>1412</v>
      </c>
      <c r="D514" s="2230">
        <v>1.24</v>
      </c>
      <c r="M514" s="2098"/>
      <c r="N514" s="2098"/>
      <c r="O514" s="2098"/>
      <c r="P514" s="2098"/>
      <c r="R514" s="2198"/>
      <c r="S514" s="2198"/>
      <c r="T514" s="2198"/>
      <c r="U514" s="2198"/>
      <c r="V514" s="2168"/>
      <c r="W514" s="2168"/>
      <c r="X514" s="2168"/>
      <c r="Y514" s="2168"/>
      <c r="Z514" s="2168"/>
      <c r="AA514" s="2168"/>
      <c r="AB514" s="2168"/>
      <c r="AC514" s="2168"/>
      <c r="AD514" s="2168"/>
      <c r="AE514" s="2231">
        <v>1.24</v>
      </c>
      <c r="AF514" s="2231"/>
      <c r="AG514" s="2231"/>
      <c r="AH514" s="3403">
        <v>0.95</v>
      </c>
      <c r="AI514" s="3403"/>
      <c r="AJ514" s="2231">
        <v>0.28999999999999998</v>
      </c>
      <c r="AK514" s="2231"/>
      <c r="AL514" s="2231"/>
      <c r="AM514" s="2231"/>
      <c r="AN514" s="2231">
        <v>1.24</v>
      </c>
      <c r="AO514" s="2231">
        <v>1.24</v>
      </c>
      <c r="AP514" s="2168"/>
      <c r="AQ514" s="2168"/>
      <c r="AR514" s="2168"/>
      <c r="AS514" s="2168"/>
      <c r="AT514" s="2168"/>
      <c r="AU514" s="2168"/>
      <c r="AV514" s="2168"/>
    </row>
    <row r="515" spans="1:48" s="2141" customFormat="1" ht="24" hidden="1" outlineLevel="5">
      <c r="A515" s="2150"/>
      <c r="B515" s="2150"/>
      <c r="C515" s="2236" t="s">
        <v>1457</v>
      </c>
      <c r="D515" s="2230">
        <v>0.21</v>
      </c>
      <c r="M515" s="2098"/>
      <c r="N515" s="2098"/>
      <c r="O515" s="2098"/>
      <c r="P515" s="2098"/>
      <c r="R515" s="2198"/>
      <c r="S515" s="2198"/>
      <c r="T515" s="2198"/>
      <c r="U515" s="2198"/>
      <c r="V515" s="2168"/>
      <c r="W515" s="2168"/>
      <c r="X515" s="2168"/>
      <c r="Y515" s="2168"/>
      <c r="Z515" s="2168"/>
      <c r="AA515" s="2168"/>
      <c r="AB515" s="2168"/>
      <c r="AC515" s="2168"/>
      <c r="AD515" s="2168"/>
      <c r="AE515" s="2231">
        <v>0.21</v>
      </c>
      <c r="AF515" s="2231"/>
      <c r="AG515" s="2231"/>
      <c r="AH515" s="3403">
        <v>0.11</v>
      </c>
      <c r="AI515" s="3403"/>
      <c r="AJ515" s="2231">
        <v>0.1</v>
      </c>
      <c r="AK515" s="2231"/>
      <c r="AL515" s="2231"/>
      <c r="AM515" s="2231"/>
      <c r="AN515" s="2231">
        <v>0.21</v>
      </c>
      <c r="AO515" s="2231">
        <v>0.21</v>
      </c>
      <c r="AP515" s="2168"/>
      <c r="AQ515" s="2168"/>
      <c r="AR515" s="2168"/>
      <c r="AS515" s="2168"/>
      <c r="AT515" s="2168"/>
      <c r="AU515" s="2168"/>
      <c r="AV515" s="2168"/>
    </row>
    <row r="516" spans="1:48" s="2141" customFormat="1" ht="12" hidden="1" outlineLevel="4" collapsed="1">
      <c r="A516" s="2150"/>
      <c r="B516" s="2150"/>
      <c r="C516" s="2235" t="s">
        <v>1493</v>
      </c>
      <c r="D516" s="2225">
        <v>73.22</v>
      </c>
      <c r="M516" s="2098"/>
      <c r="N516" s="2098"/>
      <c r="O516" s="2098"/>
      <c r="P516" s="2098"/>
      <c r="R516" s="2198"/>
      <c r="S516" s="2198"/>
      <c r="T516" s="2198"/>
      <c r="U516" s="2198"/>
      <c r="V516" s="2168"/>
      <c r="W516" s="2168"/>
      <c r="X516" s="2168"/>
      <c r="Y516" s="2168"/>
      <c r="Z516" s="2168"/>
      <c r="AA516" s="2168"/>
      <c r="AB516" s="2168"/>
      <c r="AC516" s="2168"/>
      <c r="AD516" s="2168"/>
      <c r="AE516" s="2226">
        <v>73.22</v>
      </c>
      <c r="AF516" s="2226"/>
      <c r="AG516" s="2226"/>
      <c r="AH516" s="3405">
        <v>46.27</v>
      </c>
      <c r="AI516" s="3405"/>
      <c r="AJ516" s="2226">
        <v>26.95</v>
      </c>
      <c r="AK516" s="2226"/>
      <c r="AL516" s="2226"/>
      <c r="AM516" s="2226"/>
      <c r="AN516" s="2226">
        <v>73.22</v>
      </c>
      <c r="AO516" s="2226">
        <v>73.22</v>
      </c>
      <c r="AP516" s="2168"/>
      <c r="AQ516" s="2168"/>
      <c r="AR516" s="2168"/>
      <c r="AS516" s="2168"/>
      <c r="AT516" s="2168"/>
      <c r="AU516" s="2168"/>
      <c r="AV516" s="2168"/>
    </row>
    <row r="517" spans="1:48" s="2141" customFormat="1" ht="24" hidden="1" outlineLevel="5">
      <c r="A517" s="2150"/>
      <c r="B517" s="2150"/>
      <c r="C517" s="2237" t="s">
        <v>1494</v>
      </c>
      <c r="D517" s="2225">
        <v>2.4300000000000002</v>
      </c>
      <c r="M517" s="2098"/>
      <c r="N517" s="2098"/>
      <c r="O517" s="2098"/>
      <c r="P517" s="2098"/>
      <c r="R517" s="2198"/>
      <c r="S517" s="2198"/>
      <c r="T517" s="2198"/>
      <c r="U517" s="2198"/>
      <c r="V517" s="2168"/>
      <c r="W517" s="2168"/>
      <c r="X517" s="2168"/>
      <c r="Y517" s="2168"/>
      <c r="Z517" s="2168"/>
      <c r="AA517" s="2168"/>
      <c r="AB517" s="2168"/>
      <c r="AC517" s="2168"/>
      <c r="AD517" s="2168"/>
      <c r="AE517" s="2226">
        <v>2.4300000000000002</v>
      </c>
      <c r="AF517" s="2226"/>
      <c r="AG517" s="2226"/>
      <c r="AH517" s="3405">
        <v>2.13</v>
      </c>
      <c r="AI517" s="3405"/>
      <c r="AJ517" s="2226">
        <v>0.3</v>
      </c>
      <c r="AK517" s="2226"/>
      <c r="AL517" s="2226"/>
      <c r="AM517" s="2226"/>
      <c r="AN517" s="2226">
        <v>2.4300000000000002</v>
      </c>
      <c r="AO517" s="2226">
        <v>2.4300000000000002</v>
      </c>
      <c r="AP517" s="2168"/>
      <c r="AQ517" s="2168"/>
      <c r="AR517" s="2168"/>
      <c r="AS517" s="2168"/>
      <c r="AT517" s="2168"/>
      <c r="AU517" s="2168"/>
      <c r="AV517" s="2168"/>
    </row>
    <row r="518" spans="1:48" s="2141" customFormat="1" ht="24" hidden="1" outlineLevel="6">
      <c r="A518" s="2150"/>
      <c r="B518" s="2150"/>
      <c r="C518" s="2238" t="s">
        <v>1413</v>
      </c>
      <c r="D518" s="2230">
        <v>0.05</v>
      </c>
      <c r="M518" s="2098"/>
      <c r="N518" s="2098"/>
      <c r="O518" s="2098"/>
      <c r="P518" s="2098"/>
      <c r="R518" s="2198"/>
      <c r="S518" s="2198"/>
      <c r="T518" s="2198"/>
      <c r="U518" s="2198"/>
      <c r="V518" s="2168"/>
      <c r="W518" s="2168"/>
      <c r="X518" s="2168"/>
      <c r="Y518" s="2168"/>
      <c r="Z518" s="2168"/>
      <c r="AA518" s="2168"/>
      <c r="AB518" s="2168"/>
      <c r="AC518" s="2168"/>
      <c r="AD518" s="2168"/>
      <c r="AE518" s="2231">
        <v>0.05</v>
      </c>
      <c r="AF518" s="2231"/>
      <c r="AG518" s="2231"/>
      <c r="AH518" s="2232"/>
      <c r="AI518" s="2233"/>
      <c r="AJ518" s="2231">
        <v>0.05</v>
      </c>
      <c r="AK518" s="2231"/>
      <c r="AL518" s="2231"/>
      <c r="AM518" s="2231"/>
      <c r="AN518" s="2231">
        <v>0.05</v>
      </c>
      <c r="AO518" s="2231">
        <v>0.05</v>
      </c>
      <c r="AP518" s="2168"/>
      <c r="AQ518" s="2168"/>
      <c r="AR518" s="2168"/>
      <c r="AS518" s="2168"/>
      <c r="AT518" s="2168"/>
      <c r="AU518" s="2168"/>
      <c r="AV518" s="2168"/>
    </row>
    <row r="519" spans="1:48" s="2141" customFormat="1" ht="36" hidden="1" outlineLevel="6">
      <c r="A519" s="2150"/>
      <c r="B519" s="2150"/>
      <c r="C519" s="2238" t="s">
        <v>1429</v>
      </c>
      <c r="D519" s="2230">
        <v>0.43</v>
      </c>
      <c r="M519" s="2098"/>
      <c r="N519" s="2098"/>
      <c r="O519" s="2098"/>
      <c r="P519" s="2098"/>
      <c r="R519" s="2198"/>
      <c r="S519" s="2198"/>
      <c r="T519" s="2198"/>
      <c r="U519" s="2198"/>
      <c r="V519" s="2168"/>
      <c r="W519" s="2168"/>
      <c r="X519" s="2168"/>
      <c r="Y519" s="2168"/>
      <c r="Z519" s="2168"/>
      <c r="AA519" s="2168"/>
      <c r="AB519" s="2168"/>
      <c r="AC519" s="2168"/>
      <c r="AD519" s="2168"/>
      <c r="AE519" s="2231">
        <v>0.43</v>
      </c>
      <c r="AF519" s="2231"/>
      <c r="AG519" s="2231"/>
      <c r="AH519" s="3403">
        <v>0.39</v>
      </c>
      <c r="AI519" s="3403"/>
      <c r="AJ519" s="2231">
        <v>0.04</v>
      </c>
      <c r="AK519" s="2231"/>
      <c r="AL519" s="2231"/>
      <c r="AM519" s="2231"/>
      <c r="AN519" s="2231">
        <v>0.43</v>
      </c>
      <c r="AO519" s="2231">
        <v>0.43</v>
      </c>
      <c r="AP519" s="2168"/>
      <c r="AQ519" s="2168"/>
      <c r="AR519" s="2168"/>
      <c r="AS519" s="2168"/>
      <c r="AT519" s="2168"/>
      <c r="AU519" s="2168"/>
      <c r="AV519" s="2168"/>
    </row>
    <row r="520" spans="1:48" s="2141" customFormat="1" ht="36" hidden="1" outlineLevel="6">
      <c r="A520" s="2150"/>
      <c r="B520" s="2150"/>
      <c r="C520" s="2238" t="s">
        <v>1430</v>
      </c>
      <c r="D520" s="2230">
        <v>0.55000000000000004</v>
      </c>
      <c r="M520" s="2098"/>
      <c r="N520" s="2098"/>
      <c r="O520" s="2098"/>
      <c r="P520" s="2098"/>
      <c r="R520" s="2198"/>
      <c r="S520" s="2198"/>
      <c r="T520" s="2198"/>
      <c r="U520" s="2198"/>
      <c r="V520" s="2168"/>
      <c r="W520" s="2168"/>
      <c r="X520" s="2168"/>
      <c r="Y520" s="2168"/>
      <c r="Z520" s="2168"/>
      <c r="AA520" s="2168"/>
      <c r="AB520" s="2168"/>
      <c r="AC520" s="2168"/>
      <c r="AD520" s="2168"/>
      <c r="AE520" s="2231">
        <v>0.55000000000000004</v>
      </c>
      <c r="AF520" s="2231"/>
      <c r="AG520" s="2231"/>
      <c r="AH520" s="3403">
        <v>0.51</v>
      </c>
      <c r="AI520" s="3403"/>
      <c r="AJ520" s="2231">
        <v>0.04</v>
      </c>
      <c r="AK520" s="2231"/>
      <c r="AL520" s="2231"/>
      <c r="AM520" s="2231"/>
      <c r="AN520" s="2231">
        <v>0.55000000000000004</v>
      </c>
      <c r="AO520" s="2231">
        <v>0.55000000000000004</v>
      </c>
      <c r="AP520" s="2168"/>
      <c r="AQ520" s="2168"/>
      <c r="AR520" s="2168"/>
      <c r="AS520" s="2168"/>
      <c r="AT520" s="2168"/>
      <c r="AU520" s="2168"/>
      <c r="AV520" s="2168"/>
    </row>
    <row r="521" spans="1:48" s="2141" customFormat="1" ht="24" hidden="1" outlineLevel="6">
      <c r="A521" s="2150"/>
      <c r="B521" s="2150"/>
      <c r="C521" s="2238" t="s">
        <v>1431</v>
      </c>
      <c r="D521" s="2230">
        <v>0.97</v>
      </c>
      <c r="M521" s="2098"/>
      <c r="N521" s="2098"/>
      <c r="O521" s="2098"/>
      <c r="P521" s="2098"/>
      <c r="R521" s="2198"/>
      <c r="S521" s="2198"/>
      <c r="T521" s="2198"/>
      <c r="U521" s="2198"/>
      <c r="V521" s="2168"/>
      <c r="W521" s="2168"/>
      <c r="X521" s="2168"/>
      <c r="Y521" s="2168"/>
      <c r="Z521" s="2168"/>
      <c r="AA521" s="2168"/>
      <c r="AB521" s="2168"/>
      <c r="AC521" s="2168"/>
      <c r="AD521" s="2168"/>
      <c r="AE521" s="2231">
        <v>0.97</v>
      </c>
      <c r="AF521" s="2231"/>
      <c r="AG521" s="2231"/>
      <c r="AH521" s="3403">
        <v>0.97</v>
      </c>
      <c r="AI521" s="3403"/>
      <c r="AJ521" s="2231"/>
      <c r="AK521" s="2231"/>
      <c r="AL521" s="2231"/>
      <c r="AM521" s="2231"/>
      <c r="AN521" s="2231">
        <v>0.97</v>
      </c>
      <c r="AO521" s="2231">
        <v>0.97</v>
      </c>
      <c r="AP521" s="2168"/>
      <c r="AQ521" s="2168"/>
      <c r="AR521" s="2168"/>
      <c r="AS521" s="2168"/>
      <c r="AT521" s="2168"/>
      <c r="AU521" s="2168"/>
      <c r="AV521" s="2168"/>
    </row>
    <row r="522" spans="1:48" s="2141" customFormat="1" ht="12" hidden="1" outlineLevel="6">
      <c r="A522" s="2150"/>
      <c r="B522" s="2150"/>
      <c r="C522" s="2238" t="s">
        <v>1432</v>
      </c>
      <c r="D522" s="2230">
        <v>0.08</v>
      </c>
      <c r="M522" s="2098"/>
      <c r="N522" s="2098"/>
      <c r="O522" s="2098"/>
      <c r="P522" s="2098"/>
      <c r="R522" s="2198"/>
      <c r="S522" s="2198"/>
      <c r="T522" s="2198"/>
      <c r="U522" s="2198"/>
      <c r="V522" s="2168"/>
      <c r="W522" s="2168"/>
      <c r="X522" s="2168"/>
      <c r="Y522" s="2168"/>
      <c r="Z522" s="2168"/>
      <c r="AA522" s="2168"/>
      <c r="AB522" s="2168"/>
      <c r="AC522" s="2168"/>
      <c r="AD522" s="2168"/>
      <c r="AE522" s="2231">
        <v>0.08</v>
      </c>
      <c r="AF522" s="2231"/>
      <c r="AG522" s="2231"/>
      <c r="AH522" s="2232"/>
      <c r="AI522" s="2233"/>
      <c r="AJ522" s="2231">
        <v>0.08</v>
      </c>
      <c r="AK522" s="2231"/>
      <c r="AL522" s="2231"/>
      <c r="AM522" s="2231"/>
      <c r="AN522" s="2231">
        <v>0.08</v>
      </c>
      <c r="AO522" s="2231">
        <v>0.08</v>
      </c>
      <c r="AP522" s="2168"/>
      <c r="AQ522" s="2168"/>
      <c r="AR522" s="2168"/>
      <c r="AS522" s="2168"/>
      <c r="AT522" s="2168"/>
      <c r="AU522" s="2168"/>
      <c r="AV522" s="2168"/>
    </row>
    <row r="523" spans="1:48" s="2141" customFormat="1" ht="36" hidden="1" outlineLevel="6">
      <c r="A523" s="2150"/>
      <c r="B523" s="2150"/>
      <c r="C523" s="2238" t="s">
        <v>1435</v>
      </c>
      <c r="D523" s="2230">
        <v>0.33</v>
      </c>
      <c r="M523" s="2098"/>
      <c r="N523" s="2098"/>
      <c r="O523" s="2098"/>
      <c r="P523" s="2098"/>
      <c r="R523" s="2198"/>
      <c r="S523" s="2198"/>
      <c r="T523" s="2198"/>
      <c r="U523" s="2198"/>
      <c r="V523" s="2168"/>
      <c r="W523" s="2168"/>
      <c r="X523" s="2168"/>
      <c r="Y523" s="2168"/>
      <c r="Z523" s="2168"/>
      <c r="AA523" s="2168"/>
      <c r="AB523" s="2168"/>
      <c r="AC523" s="2168"/>
      <c r="AD523" s="2168"/>
      <c r="AE523" s="2231">
        <v>0.33</v>
      </c>
      <c r="AF523" s="2231"/>
      <c r="AG523" s="2231"/>
      <c r="AH523" s="3403">
        <v>0.26</v>
      </c>
      <c r="AI523" s="3403"/>
      <c r="AJ523" s="2231">
        <v>7.0000000000000007E-2</v>
      </c>
      <c r="AK523" s="2231"/>
      <c r="AL523" s="2231"/>
      <c r="AM523" s="2231"/>
      <c r="AN523" s="2231">
        <v>0.33</v>
      </c>
      <c r="AO523" s="2231">
        <v>0.33</v>
      </c>
      <c r="AP523" s="2168"/>
      <c r="AQ523" s="2168"/>
      <c r="AR523" s="2168"/>
      <c r="AS523" s="2168"/>
      <c r="AT523" s="2168"/>
      <c r="AU523" s="2168"/>
      <c r="AV523" s="2168"/>
    </row>
    <row r="524" spans="1:48" s="2141" customFormat="1" ht="12" hidden="1" outlineLevel="6">
      <c r="A524" s="2150"/>
      <c r="B524" s="2150"/>
      <c r="C524" s="2238" t="s">
        <v>1455</v>
      </c>
      <c r="D524" s="2230">
        <v>0.02</v>
      </c>
      <c r="M524" s="2098"/>
      <c r="N524" s="2098"/>
      <c r="O524" s="2098"/>
      <c r="P524" s="2098"/>
      <c r="R524" s="2198"/>
      <c r="S524" s="2198"/>
      <c r="T524" s="2198"/>
      <c r="U524" s="2198"/>
      <c r="V524" s="2168"/>
      <c r="W524" s="2168"/>
      <c r="X524" s="2168"/>
      <c r="Y524" s="2168"/>
      <c r="Z524" s="2168"/>
      <c r="AA524" s="2168"/>
      <c r="AB524" s="2168"/>
      <c r="AC524" s="2168"/>
      <c r="AD524" s="2168"/>
      <c r="AE524" s="2231">
        <v>0.02</v>
      </c>
      <c r="AF524" s="2231"/>
      <c r="AG524" s="2231"/>
      <c r="AH524" s="2232"/>
      <c r="AI524" s="2233"/>
      <c r="AJ524" s="2231">
        <v>0.02</v>
      </c>
      <c r="AK524" s="2231"/>
      <c r="AL524" s="2231"/>
      <c r="AM524" s="2231"/>
      <c r="AN524" s="2231">
        <v>0.02</v>
      </c>
      <c r="AO524" s="2231">
        <v>0.02</v>
      </c>
      <c r="AP524" s="2168"/>
      <c r="AQ524" s="2168"/>
      <c r="AR524" s="2168"/>
      <c r="AS524" s="2168"/>
      <c r="AT524" s="2168"/>
      <c r="AU524" s="2168"/>
      <c r="AV524" s="2168"/>
    </row>
    <row r="525" spans="1:48" s="2141" customFormat="1" ht="12" hidden="1" outlineLevel="5">
      <c r="A525" s="2150"/>
      <c r="B525" s="2150"/>
      <c r="C525" s="2237" t="s">
        <v>1495</v>
      </c>
      <c r="D525" s="2225">
        <v>4.42</v>
      </c>
      <c r="M525" s="2098"/>
      <c r="N525" s="2098"/>
      <c r="O525" s="2098"/>
      <c r="P525" s="2098"/>
      <c r="R525" s="2198"/>
      <c r="S525" s="2198"/>
      <c r="T525" s="2198"/>
      <c r="U525" s="2198"/>
      <c r="V525" s="2168"/>
      <c r="W525" s="2168"/>
      <c r="X525" s="2168"/>
      <c r="Y525" s="2168"/>
      <c r="Z525" s="2168"/>
      <c r="AA525" s="2168"/>
      <c r="AB525" s="2168"/>
      <c r="AC525" s="2168"/>
      <c r="AD525" s="2168"/>
      <c r="AE525" s="2226">
        <v>4.42</v>
      </c>
      <c r="AF525" s="2226"/>
      <c r="AG525" s="2226"/>
      <c r="AH525" s="3405">
        <v>4.18</v>
      </c>
      <c r="AI525" s="3405"/>
      <c r="AJ525" s="2226">
        <v>0.24</v>
      </c>
      <c r="AK525" s="2226"/>
      <c r="AL525" s="2226"/>
      <c r="AM525" s="2226"/>
      <c r="AN525" s="2226">
        <v>4.42</v>
      </c>
      <c r="AO525" s="2226">
        <v>4.42</v>
      </c>
      <c r="AP525" s="2168"/>
      <c r="AQ525" s="2168"/>
      <c r="AR525" s="2168"/>
      <c r="AS525" s="2168"/>
      <c r="AT525" s="2168"/>
      <c r="AU525" s="2168"/>
      <c r="AV525" s="2168"/>
    </row>
    <row r="526" spans="1:48" s="2141" customFormat="1" ht="12" hidden="1" outlineLevel="6">
      <c r="A526" s="2150"/>
      <c r="B526" s="2150"/>
      <c r="C526" s="2238" t="s">
        <v>1419</v>
      </c>
      <c r="D526" s="2230">
        <v>0.38</v>
      </c>
      <c r="M526" s="2098"/>
      <c r="N526" s="2098"/>
      <c r="O526" s="2098"/>
      <c r="P526" s="2098"/>
      <c r="R526" s="2198"/>
      <c r="S526" s="2198"/>
      <c r="T526" s="2198"/>
      <c r="U526" s="2198"/>
      <c r="V526" s="2168"/>
      <c r="W526" s="2168"/>
      <c r="X526" s="2168"/>
      <c r="Y526" s="2168"/>
      <c r="Z526" s="2168"/>
      <c r="AA526" s="2168"/>
      <c r="AB526" s="2168"/>
      <c r="AC526" s="2168"/>
      <c r="AD526" s="2168"/>
      <c r="AE526" s="2231">
        <v>0.38</v>
      </c>
      <c r="AF526" s="2231"/>
      <c r="AG526" s="2231"/>
      <c r="AH526" s="3403">
        <v>0.38</v>
      </c>
      <c r="AI526" s="3403"/>
      <c r="AJ526" s="2231"/>
      <c r="AK526" s="2231"/>
      <c r="AL526" s="2231"/>
      <c r="AM526" s="2231"/>
      <c r="AN526" s="2231">
        <v>0.38</v>
      </c>
      <c r="AO526" s="2231">
        <v>0.38</v>
      </c>
      <c r="AP526" s="2168"/>
      <c r="AQ526" s="2168"/>
      <c r="AR526" s="2168"/>
      <c r="AS526" s="2168"/>
      <c r="AT526" s="2168"/>
      <c r="AU526" s="2168"/>
      <c r="AV526" s="2168"/>
    </row>
    <row r="527" spans="1:48" s="2141" customFormat="1" ht="12" hidden="1" outlineLevel="6">
      <c r="A527" s="2150"/>
      <c r="B527" s="2150"/>
      <c r="C527" s="2238" t="s">
        <v>1420</v>
      </c>
      <c r="D527" s="2230">
        <v>3.75</v>
      </c>
      <c r="M527" s="2098"/>
      <c r="N527" s="2098"/>
      <c r="O527" s="2098"/>
      <c r="P527" s="2098"/>
      <c r="R527" s="2198"/>
      <c r="S527" s="2198"/>
      <c r="T527" s="2198"/>
      <c r="U527" s="2198"/>
      <c r="V527" s="2168"/>
      <c r="W527" s="2168"/>
      <c r="X527" s="2168"/>
      <c r="Y527" s="2168"/>
      <c r="Z527" s="2168"/>
      <c r="AA527" s="2168"/>
      <c r="AB527" s="2168"/>
      <c r="AC527" s="2168"/>
      <c r="AD527" s="2168"/>
      <c r="AE527" s="2231">
        <v>3.75</v>
      </c>
      <c r="AF527" s="2231"/>
      <c r="AG527" s="2231"/>
      <c r="AH527" s="3403">
        <v>3.51</v>
      </c>
      <c r="AI527" s="3403"/>
      <c r="AJ527" s="2231">
        <v>0.24</v>
      </c>
      <c r="AK527" s="2231"/>
      <c r="AL527" s="2231"/>
      <c r="AM527" s="2231"/>
      <c r="AN527" s="2231">
        <v>3.75</v>
      </c>
      <c r="AO527" s="2231">
        <v>3.75</v>
      </c>
      <c r="AP527" s="2168"/>
      <c r="AQ527" s="2168"/>
      <c r="AR527" s="2168"/>
      <c r="AS527" s="2168"/>
      <c r="AT527" s="2168"/>
      <c r="AU527" s="2168"/>
      <c r="AV527" s="2168"/>
    </row>
    <row r="528" spans="1:48" s="2141" customFormat="1" ht="24" hidden="1" outlineLevel="6">
      <c r="A528" s="2150"/>
      <c r="B528" s="2150"/>
      <c r="C528" s="2238" t="s">
        <v>1422</v>
      </c>
      <c r="D528" s="2230">
        <v>0.28999999999999998</v>
      </c>
      <c r="M528" s="2098"/>
      <c r="N528" s="2098"/>
      <c r="O528" s="2098"/>
      <c r="P528" s="2098"/>
      <c r="R528" s="2198"/>
      <c r="S528" s="2198"/>
      <c r="T528" s="2198"/>
      <c r="U528" s="2198"/>
      <c r="V528" s="2168"/>
      <c r="W528" s="2168"/>
      <c r="X528" s="2168"/>
      <c r="Y528" s="2168"/>
      <c r="Z528" s="2168"/>
      <c r="AA528" s="2168"/>
      <c r="AB528" s="2168"/>
      <c r="AC528" s="2168"/>
      <c r="AD528" s="2168"/>
      <c r="AE528" s="2231">
        <v>0.28999999999999998</v>
      </c>
      <c r="AF528" s="2231"/>
      <c r="AG528" s="2231"/>
      <c r="AH528" s="3403">
        <v>0.28999999999999998</v>
      </c>
      <c r="AI528" s="3403"/>
      <c r="AJ528" s="2231"/>
      <c r="AK528" s="2231"/>
      <c r="AL528" s="2231"/>
      <c r="AM528" s="2231"/>
      <c r="AN528" s="2231">
        <v>0.28999999999999998</v>
      </c>
      <c r="AO528" s="2231">
        <v>0.28999999999999998</v>
      </c>
      <c r="AP528" s="2168"/>
      <c r="AQ528" s="2168"/>
      <c r="AR528" s="2168"/>
      <c r="AS528" s="2168"/>
      <c r="AT528" s="2168"/>
      <c r="AU528" s="2168"/>
      <c r="AV528" s="2168"/>
    </row>
    <row r="529" spans="1:48" s="2141" customFormat="1" ht="12" hidden="1" outlineLevel="5">
      <c r="A529" s="2150"/>
      <c r="B529" s="2150"/>
      <c r="C529" s="2236" t="s">
        <v>3812</v>
      </c>
      <c r="D529" s="2230">
        <v>0.28999999999999998</v>
      </c>
      <c r="M529" s="2098"/>
      <c r="N529" s="2098"/>
      <c r="O529" s="2098"/>
      <c r="P529" s="2098"/>
      <c r="R529" s="2198"/>
      <c r="S529" s="2198"/>
      <c r="T529" s="2198"/>
      <c r="U529" s="2198"/>
      <c r="V529" s="2168"/>
      <c r="W529" s="2168"/>
      <c r="X529" s="2168"/>
      <c r="Y529" s="2168"/>
      <c r="Z529" s="2168"/>
      <c r="AA529" s="2168"/>
      <c r="AB529" s="2168"/>
      <c r="AC529" s="2168"/>
      <c r="AD529" s="2168"/>
      <c r="AE529" s="2231">
        <v>0.28999999999999998</v>
      </c>
      <c r="AF529" s="2231"/>
      <c r="AG529" s="2231"/>
      <c r="AH529" s="2232"/>
      <c r="AI529" s="2233"/>
      <c r="AJ529" s="2231">
        <v>0.28999999999999998</v>
      </c>
      <c r="AK529" s="2231"/>
      <c r="AL529" s="2231"/>
      <c r="AM529" s="2231"/>
      <c r="AN529" s="2231">
        <v>0.28999999999999998</v>
      </c>
      <c r="AO529" s="2231">
        <v>0.28999999999999998</v>
      </c>
      <c r="AP529" s="2168"/>
      <c r="AQ529" s="2168"/>
      <c r="AR529" s="2168"/>
      <c r="AS529" s="2168"/>
      <c r="AT529" s="2168"/>
      <c r="AU529" s="2168"/>
      <c r="AV529" s="2168"/>
    </row>
    <row r="530" spans="1:48" s="2141" customFormat="1" ht="12" hidden="1" outlineLevel="5">
      <c r="A530" s="2150"/>
      <c r="B530" s="2150"/>
      <c r="C530" s="2237" t="s">
        <v>1497</v>
      </c>
      <c r="D530" s="2225">
        <v>23.95</v>
      </c>
      <c r="M530" s="2098"/>
      <c r="N530" s="2098"/>
      <c r="O530" s="2098"/>
      <c r="P530" s="2098"/>
      <c r="R530" s="2198"/>
      <c r="S530" s="2198"/>
      <c r="T530" s="2198"/>
      <c r="U530" s="2198"/>
      <c r="V530" s="2168"/>
      <c r="W530" s="2168"/>
      <c r="X530" s="2168"/>
      <c r="Y530" s="2168"/>
      <c r="Z530" s="2168"/>
      <c r="AA530" s="2168"/>
      <c r="AB530" s="2168"/>
      <c r="AC530" s="2168"/>
      <c r="AD530" s="2168"/>
      <c r="AE530" s="2226">
        <v>23.95</v>
      </c>
      <c r="AF530" s="2226"/>
      <c r="AG530" s="2226"/>
      <c r="AH530" s="3405">
        <v>5.57</v>
      </c>
      <c r="AI530" s="3405"/>
      <c r="AJ530" s="2226">
        <v>18.38</v>
      </c>
      <c r="AK530" s="2226"/>
      <c r="AL530" s="2226"/>
      <c r="AM530" s="2226"/>
      <c r="AN530" s="2226">
        <v>23.95</v>
      </c>
      <c r="AO530" s="2226">
        <v>23.95</v>
      </c>
      <c r="AP530" s="2168"/>
      <c r="AQ530" s="2168"/>
      <c r="AR530" s="2168"/>
      <c r="AS530" s="2168"/>
      <c r="AT530" s="2168"/>
      <c r="AU530" s="2168"/>
      <c r="AV530" s="2168"/>
    </row>
    <row r="531" spans="1:48" s="2141" customFormat="1" ht="12" hidden="1" outlineLevel="6">
      <c r="A531" s="2150"/>
      <c r="B531" s="2150"/>
      <c r="C531" s="2238" t="s">
        <v>1414</v>
      </c>
      <c r="D531" s="2230">
        <v>6.67</v>
      </c>
      <c r="M531" s="2098"/>
      <c r="N531" s="2098"/>
      <c r="O531" s="2098"/>
      <c r="P531" s="2098"/>
      <c r="R531" s="2198"/>
      <c r="S531" s="2198"/>
      <c r="T531" s="2198"/>
      <c r="U531" s="2198"/>
      <c r="V531" s="2168"/>
      <c r="W531" s="2168"/>
      <c r="X531" s="2168"/>
      <c r="Y531" s="2168"/>
      <c r="Z531" s="2168"/>
      <c r="AA531" s="2168"/>
      <c r="AB531" s="2168"/>
      <c r="AC531" s="2168"/>
      <c r="AD531" s="2168"/>
      <c r="AE531" s="2231">
        <v>6.67</v>
      </c>
      <c r="AF531" s="2231"/>
      <c r="AG531" s="2231"/>
      <c r="AH531" s="3403">
        <v>4.62</v>
      </c>
      <c r="AI531" s="3403"/>
      <c r="AJ531" s="2231">
        <v>2.0499999999999998</v>
      </c>
      <c r="AK531" s="2231"/>
      <c r="AL531" s="2231"/>
      <c r="AM531" s="2231"/>
      <c r="AN531" s="2231">
        <v>6.67</v>
      </c>
      <c r="AO531" s="2231">
        <v>6.67</v>
      </c>
      <c r="AP531" s="2168"/>
      <c r="AQ531" s="2168"/>
      <c r="AR531" s="2168"/>
      <c r="AS531" s="2168"/>
      <c r="AT531" s="2168"/>
      <c r="AU531" s="2168"/>
      <c r="AV531" s="2168"/>
    </row>
    <row r="532" spans="1:48" s="2141" customFormat="1" ht="24" hidden="1" outlineLevel="6">
      <c r="A532" s="2150"/>
      <c r="B532" s="2150"/>
      <c r="C532" s="2238" t="s">
        <v>1415</v>
      </c>
      <c r="D532" s="2230">
        <v>0.36</v>
      </c>
      <c r="M532" s="2098"/>
      <c r="N532" s="2098"/>
      <c r="O532" s="2098"/>
      <c r="P532" s="2098"/>
      <c r="R532" s="2198"/>
      <c r="S532" s="2198"/>
      <c r="T532" s="2198"/>
      <c r="U532" s="2198"/>
      <c r="V532" s="2168"/>
      <c r="W532" s="2168"/>
      <c r="X532" s="2168"/>
      <c r="Y532" s="2168"/>
      <c r="Z532" s="2168"/>
      <c r="AA532" s="2168"/>
      <c r="AB532" s="2168"/>
      <c r="AC532" s="2168"/>
      <c r="AD532" s="2168"/>
      <c r="AE532" s="2231">
        <v>0.36</v>
      </c>
      <c r="AF532" s="2231"/>
      <c r="AG532" s="2231"/>
      <c r="AH532" s="2232"/>
      <c r="AI532" s="2233"/>
      <c r="AJ532" s="2231">
        <v>0.36</v>
      </c>
      <c r="AK532" s="2231"/>
      <c r="AL532" s="2231"/>
      <c r="AM532" s="2231"/>
      <c r="AN532" s="2231">
        <v>0.36</v>
      </c>
      <c r="AO532" s="2231">
        <v>0.36</v>
      </c>
      <c r="AP532" s="2168"/>
      <c r="AQ532" s="2168"/>
      <c r="AR532" s="2168"/>
      <c r="AS532" s="2168"/>
      <c r="AT532" s="2168"/>
      <c r="AU532" s="2168"/>
      <c r="AV532" s="2168"/>
    </row>
    <row r="533" spans="1:48" s="2141" customFormat="1" ht="24" hidden="1" outlineLevel="6">
      <c r="A533" s="2150"/>
      <c r="B533" s="2150"/>
      <c r="C533" s="2238" t="s">
        <v>1416</v>
      </c>
      <c r="D533" s="2230">
        <v>13.33</v>
      </c>
      <c r="M533" s="2098"/>
      <c r="N533" s="2098"/>
      <c r="O533" s="2098"/>
      <c r="P533" s="2098"/>
      <c r="R533" s="2198"/>
      <c r="S533" s="2198"/>
      <c r="T533" s="2198"/>
      <c r="U533" s="2198"/>
      <c r="V533" s="2168"/>
      <c r="W533" s="2168"/>
      <c r="X533" s="2168"/>
      <c r="Y533" s="2168"/>
      <c r="Z533" s="2168"/>
      <c r="AA533" s="2168"/>
      <c r="AB533" s="2168"/>
      <c r="AC533" s="2168"/>
      <c r="AD533" s="2168"/>
      <c r="AE533" s="2231">
        <v>13.33</v>
      </c>
      <c r="AF533" s="2231"/>
      <c r="AG533" s="2231"/>
      <c r="AH533" s="3403">
        <v>0.47</v>
      </c>
      <c r="AI533" s="3403"/>
      <c r="AJ533" s="2231">
        <v>12.86</v>
      </c>
      <c r="AK533" s="2231"/>
      <c r="AL533" s="2231"/>
      <c r="AM533" s="2231"/>
      <c r="AN533" s="2231">
        <v>13.33</v>
      </c>
      <c r="AO533" s="2231">
        <v>13.33</v>
      </c>
      <c r="AP533" s="2168"/>
      <c r="AQ533" s="2168"/>
      <c r="AR533" s="2168"/>
      <c r="AS533" s="2168"/>
      <c r="AT533" s="2168"/>
      <c r="AU533" s="2168"/>
      <c r="AV533" s="2168"/>
    </row>
    <row r="534" spans="1:48" s="2141" customFormat="1" ht="24" hidden="1" outlineLevel="6">
      <c r="A534" s="2150"/>
      <c r="B534" s="2150"/>
      <c r="C534" s="2238" t="s">
        <v>1417</v>
      </c>
      <c r="D534" s="2230">
        <v>1.31</v>
      </c>
      <c r="M534" s="2098"/>
      <c r="N534" s="2098"/>
      <c r="O534" s="2098"/>
      <c r="P534" s="2098"/>
      <c r="R534" s="2198"/>
      <c r="S534" s="2198"/>
      <c r="T534" s="2198"/>
      <c r="U534" s="2198"/>
      <c r="V534" s="2168"/>
      <c r="W534" s="2168"/>
      <c r="X534" s="2168"/>
      <c r="Y534" s="2168"/>
      <c r="Z534" s="2168"/>
      <c r="AA534" s="2168"/>
      <c r="AB534" s="2168"/>
      <c r="AC534" s="2168"/>
      <c r="AD534" s="2168"/>
      <c r="AE534" s="2231">
        <v>1.31</v>
      </c>
      <c r="AF534" s="2231"/>
      <c r="AG534" s="2231"/>
      <c r="AH534" s="3403">
        <v>0.48</v>
      </c>
      <c r="AI534" s="3403"/>
      <c r="AJ534" s="2231">
        <v>0.83</v>
      </c>
      <c r="AK534" s="2231"/>
      <c r="AL534" s="2231"/>
      <c r="AM534" s="2231"/>
      <c r="AN534" s="2231">
        <v>1.31</v>
      </c>
      <c r="AO534" s="2231">
        <v>1.31</v>
      </c>
      <c r="AP534" s="2168"/>
      <c r="AQ534" s="2168"/>
      <c r="AR534" s="2168"/>
      <c r="AS534" s="2168"/>
      <c r="AT534" s="2168"/>
      <c r="AU534" s="2168"/>
      <c r="AV534" s="2168"/>
    </row>
    <row r="535" spans="1:48" s="2141" customFormat="1" ht="24" hidden="1" outlineLevel="6">
      <c r="A535" s="2150"/>
      <c r="B535" s="2150"/>
      <c r="C535" s="2238" t="s">
        <v>1418</v>
      </c>
      <c r="D535" s="2230">
        <v>2.2799999999999998</v>
      </c>
      <c r="M535" s="2098"/>
      <c r="N535" s="2098"/>
      <c r="O535" s="2098"/>
      <c r="P535" s="2098"/>
      <c r="R535" s="2198"/>
      <c r="S535" s="2198"/>
      <c r="T535" s="2198"/>
      <c r="U535" s="2198"/>
      <c r="V535" s="2168"/>
      <c r="W535" s="2168"/>
      <c r="X535" s="2168"/>
      <c r="Y535" s="2168"/>
      <c r="Z535" s="2168"/>
      <c r="AA535" s="2168"/>
      <c r="AB535" s="2168"/>
      <c r="AC535" s="2168"/>
      <c r="AD535" s="2168"/>
      <c r="AE535" s="2231">
        <v>2.2799999999999998</v>
      </c>
      <c r="AF535" s="2231"/>
      <c r="AG535" s="2231"/>
      <c r="AH535" s="2232"/>
      <c r="AI535" s="2233"/>
      <c r="AJ535" s="2231">
        <v>2.2799999999999998</v>
      </c>
      <c r="AK535" s="2231"/>
      <c r="AL535" s="2231"/>
      <c r="AM535" s="2231"/>
      <c r="AN535" s="2231">
        <v>2.2799999999999998</v>
      </c>
      <c r="AO535" s="2231">
        <v>2.2799999999999998</v>
      </c>
      <c r="AP535" s="2168"/>
      <c r="AQ535" s="2168"/>
      <c r="AR535" s="2168"/>
      <c r="AS535" s="2168"/>
      <c r="AT535" s="2168"/>
      <c r="AU535" s="2168"/>
      <c r="AV535" s="2168"/>
    </row>
    <row r="536" spans="1:48" s="2141" customFormat="1" ht="12" hidden="1" outlineLevel="5">
      <c r="A536" s="2150"/>
      <c r="B536" s="2150"/>
      <c r="C536" s="2237" t="s">
        <v>1498</v>
      </c>
      <c r="D536" s="2225">
        <v>11.4</v>
      </c>
      <c r="M536" s="2098"/>
      <c r="N536" s="2098"/>
      <c r="O536" s="2098"/>
      <c r="P536" s="2098"/>
      <c r="R536" s="2198"/>
      <c r="S536" s="2198"/>
      <c r="T536" s="2198"/>
      <c r="U536" s="2198"/>
      <c r="V536" s="2168"/>
      <c r="W536" s="2168"/>
      <c r="X536" s="2168"/>
      <c r="Y536" s="2168"/>
      <c r="Z536" s="2168"/>
      <c r="AA536" s="2168"/>
      <c r="AB536" s="2168"/>
      <c r="AC536" s="2168"/>
      <c r="AD536" s="2168"/>
      <c r="AE536" s="2226">
        <v>11.4</v>
      </c>
      <c r="AF536" s="2226"/>
      <c r="AG536" s="2226"/>
      <c r="AH536" s="3405">
        <v>11.26</v>
      </c>
      <c r="AI536" s="3405"/>
      <c r="AJ536" s="2226">
        <v>0.14000000000000001</v>
      </c>
      <c r="AK536" s="2226"/>
      <c r="AL536" s="2226"/>
      <c r="AM536" s="2226"/>
      <c r="AN536" s="2226">
        <v>11.4</v>
      </c>
      <c r="AO536" s="2226">
        <v>11.4</v>
      </c>
      <c r="AP536" s="2168"/>
      <c r="AQ536" s="2168"/>
      <c r="AR536" s="2168"/>
      <c r="AS536" s="2168"/>
      <c r="AT536" s="2168"/>
      <c r="AU536" s="2168"/>
      <c r="AV536" s="2168"/>
    </row>
    <row r="537" spans="1:48" s="2141" customFormat="1" ht="12" hidden="1" outlineLevel="6">
      <c r="A537" s="2150"/>
      <c r="B537" s="2150"/>
      <c r="C537" s="2238" t="s">
        <v>1365</v>
      </c>
      <c r="D537" s="2230">
        <v>8.81</v>
      </c>
      <c r="M537" s="2098"/>
      <c r="N537" s="2098"/>
      <c r="O537" s="2098"/>
      <c r="P537" s="2098"/>
      <c r="R537" s="2198"/>
      <c r="S537" s="2198"/>
      <c r="T537" s="2198"/>
      <c r="U537" s="2198"/>
      <c r="V537" s="2168"/>
      <c r="W537" s="2168"/>
      <c r="X537" s="2168"/>
      <c r="Y537" s="2168"/>
      <c r="Z537" s="2168"/>
      <c r="AA537" s="2168"/>
      <c r="AB537" s="2168"/>
      <c r="AC537" s="2168"/>
      <c r="AD537" s="2168"/>
      <c r="AE537" s="2231">
        <v>8.81</v>
      </c>
      <c r="AF537" s="2231"/>
      <c r="AG537" s="2231"/>
      <c r="AH537" s="3403">
        <v>8.67</v>
      </c>
      <c r="AI537" s="3403"/>
      <c r="AJ537" s="2231">
        <v>0.14000000000000001</v>
      </c>
      <c r="AK537" s="2231"/>
      <c r="AL537" s="2231"/>
      <c r="AM537" s="2231"/>
      <c r="AN537" s="2231">
        <v>8.81</v>
      </c>
      <c r="AO537" s="2231">
        <v>8.81</v>
      </c>
      <c r="AP537" s="2168"/>
      <c r="AQ537" s="2168"/>
      <c r="AR537" s="2168"/>
      <c r="AS537" s="2168"/>
      <c r="AT537" s="2168"/>
      <c r="AU537" s="2168"/>
      <c r="AV537" s="2168"/>
    </row>
    <row r="538" spans="1:48" s="2141" customFormat="1" ht="12" hidden="1" outlineLevel="6">
      <c r="A538" s="2150"/>
      <c r="B538" s="2150"/>
      <c r="C538" s="2238" t="s">
        <v>1367</v>
      </c>
      <c r="D538" s="2230">
        <v>2.59</v>
      </c>
      <c r="M538" s="2098"/>
      <c r="N538" s="2098"/>
      <c r="O538" s="2098"/>
      <c r="P538" s="2098"/>
      <c r="R538" s="2198"/>
      <c r="S538" s="2198"/>
      <c r="T538" s="2198"/>
      <c r="U538" s="2198"/>
      <c r="V538" s="2168"/>
      <c r="W538" s="2168"/>
      <c r="X538" s="2168"/>
      <c r="Y538" s="2168"/>
      <c r="Z538" s="2168"/>
      <c r="AA538" s="2168"/>
      <c r="AB538" s="2168"/>
      <c r="AC538" s="2168"/>
      <c r="AD538" s="2168"/>
      <c r="AE538" s="2231">
        <v>2.59</v>
      </c>
      <c r="AF538" s="2231"/>
      <c r="AG538" s="2231"/>
      <c r="AH538" s="3403">
        <v>2.59</v>
      </c>
      <c r="AI538" s="3403"/>
      <c r="AJ538" s="2231"/>
      <c r="AK538" s="2231"/>
      <c r="AL538" s="2231"/>
      <c r="AM538" s="2231"/>
      <c r="AN538" s="2231">
        <v>2.59</v>
      </c>
      <c r="AO538" s="2231">
        <v>2.59</v>
      </c>
      <c r="AP538" s="2168"/>
      <c r="AQ538" s="2168"/>
      <c r="AR538" s="2168"/>
      <c r="AS538" s="2168"/>
      <c r="AT538" s="2168"/>
      <c r="AU538" s="2168"/>
      <c r="AV538" s="2168"/>
    </row>
    <row r="539" spans="1:48" s="2141" customFormat="1" ht="12" hidden="1" outlineLevel="5">
      <c r="A539" s="2150"/>
      <c r="B539" s="2150"/>
      <c r="C539" s="2236" t="s">
        <v>1444</v>
      </c>
      <c r="D539" s="2230">
        <v>1.83</v>
      </c>
      <c r="M539" s="2098"/>
      <c r="N539" s="2098"/>
      <c r="O539" s="2098"/>
      <c r="P539" s="2098"/>
      <c r="R539" s="2198"/>
      <c r="S539" s="2198"/>
      <c r="T539" s="2198"/>
      <c r="U539" s="2198"/>
      <c r="V539" s="2168"/>
      <c r="W539" s="2168"/>
      <c r="X539" s="2168"/>
      <c r="Y539" s="2168"/>
      <c r="Z539" s="2168"/>
      <c r="AA539" s="2168"/>
      <c r="AB539" s="2168"/>
      <c r="AC539" s="2168"/>
      <c r="AD539" s="2168"/>
      <c r="AE539" s="2231">
        <v>1.83</v>
      </c>
      <c r="AF539" s="2231"/>
      <c r="AG539" s="2231"/>
      <c r="AH539" s="3403">
        <v>1.83</v>
      </c>
      <c r="AI539" s="3403"/>
      <c r="AJ539" s="2231"/>
      <c r="AK539" s="2231"/>
      <c r="AL539" s="2231"/>
      <c r="AM539" s="2231"/>
      <c r="AN539" s="2231">
        <v>1.83</v>
      </c>
      <c r="AO539" s="2231">
        <v>1.83</v>
      </c>
      <c r="AP539" s="2168"/>
      <c r="AQ539" s="2168"/>
      <c r="AR539" s="2168"/>
      <c r="AS539" s="2168"/>
      <c r="AT539" s="2168"/>
      <c r="AU539" s="2168"/>
      <c r="AV539" s="2168"/>
    </row>
    <row r="540" spans="1:48" s="2141" customFormat="1" ht="36" hidden="1" outlineLevel="5">
      <c r="A540" s="2150"/>
      <c r="B540" s="2150"/>
      <c r="C540" s="2236" t="s">
        <v>1445</v>
      </c>
      <c r="D540" s="2230">
        <v>0.8</v>
      </c>
      <c r="M540" s="2098"/>
      <c r="N540" s="2098"/>
      <c r="O540" s="2098"/>
      <c r="P540" s="2098"/>
      <c r="R540" s="2198"/>
      <c r="S540" s="2198"/>
      <c r="T540" s="2198"/>
      <c r="U540" s="2198"/>
      <c r="V540" s="2168"/>
      <c r="W540" s="2168"/>
      <c r="X540" s="2168"/>
      <c r="Y540" s="2168"/>
      <c r="Z540" s="2168"/>
      <c r="AA540" s="2168"/>
      <c r="AB540" s="2168"/>
      <c r="AC540" s="2168"/>
      <c r="AD540" s="2168"/>
      <c r="AE540" s="2231">
        <v>0.8</v>
      </c>
      <c r="AF540" s="2231"/>
      <c r="AG540" s="2231"/>
      <c r="AH540" s="3403">
        <v>0.8</v>
      </c>
      <c r="AI540" s="3403"/>
      <c r="AJ540" s="2231"/>
      <c r="AK540" s="2231"/>
      <c r="AL540" s="2231"/>
      <c r="AM540" s="2231"/>
      <c r="AN540" s="2231">
        <v>0.8</v>
      </c>
      <c r="AO540" s="2231">
        <v>0.8</v>
      </c>
      <c r="AP540" s="2168"/>
      <c r="AQ540" s="2168"/>
      <c r="AR540" s="2168"/>
      <c r="AS540" s="2168"/>
      <c r="AT540" s="2168"/>
      <c r="AU540" s="2168"/>
      <c r="AV540" s="2168"/>
    </row>
    <row r="541" spans="1:48" s="2141" customFormat="1" ht="12" hidden="1" outlineLevel="5">
      <c r="A541" s="2150"/>
      <c r="B541" s="2150"/>
      <c r="C541" s="2237" t="s">
        <v>1499</v>
      </c>
      <c r="D541" s="2225">
        <v>10.02</v>
      </c>
      <c r="M541" s="2098"/>
      <c r="N541" s="2098"/>
      <c r="O541" s="2098"/>
      <c r="P541" s="2098"/>
      <c r="R541" s="2198"/>
      <c r="S541" s="2198"/>
      <c r="T541" s="2198"/>
      <c r="U541" s="2198"/>
      <c r="V541" s="2168"/>
      <c r="W541" s="2168"/>
      <c r="X541" s="2168"/>
      <c r="Y541" s="2168"/>
      <c r="Z541" s="2168"/>
      <c r="AA541" s="2168"/>
      <c r="AB541" s="2168"/>
      <c r="AC541" s="2168"/>
      <c r="AD541" s="2168"/>
      <c r="AE541" s="2226">
        <v>10.02</v>
      </c>
      <c r="AF541" s="2226"/>
      <c r="AG541" s="2226"/>
      <c r="AH541" s="3405">
        <v>5.61</v>
      </c>
      <c r="AI541" s="3405"/>
      <c r="AJ541" s="2226">
        <v>4.41</v>
      </c>
      <c r="AK541" s="2226"/>
      <c r="AL541" s="2226"/>
      <c r="AM541" s="2226"/>
      <c r="AN541" s="2226">
        <v>10.02</v>
      </c>
      <c r="AO541" s="2226">
        <v>10.02</v>
      </c>
      <c r="AP541" s="2168"/>
      <c r="AQ541" s="2168"/>
      <c r="AR541" s="2168"/>
      <c r="AS541" s="2168"/>
      <c r="AT541" s="2168"/>
      <c r="AU541" s="2168"/>
      <c r="AV541" s="2168"/>
    </row>
    <row r="542" spans="1:48" s="2141" customFormat="1" ht="24" hidden="1" outlineLevel="6">
      <c r="A542" s="2150"/>
      <c r="B542" s="2150"/>
      <c r="C542" s="2238" t="s">
        <v>1447</v>
      </c>
      <c r="D542" s="2230">
        <v>5.58</v>
      </c>
      <c r="M542" s="2098"/>
      <c r="N542" s="2098"/>
      <c r="O542" s="2098"/>
      <c r="P542" s="2098"/>
      <c r="R542" s="2198"/>
      <c r="S542" s="2198"/>
      <c r="T542" s="2198"/>
      <c r="U542" s="2198"/>
      <c r="V542" s="2168"/>
      <c r="W542" s="2168"/>
      <c r="X542" s="2168"/>
      <c r="Y542" s="2168"/>
      <c r="Z542" s="2168"/>
      <c r="AA542" s="2168"/>
      <c r="AB542" s="2168"/>
      <c r="AC542" s="2168"/>
      <c r="AD542" s="2168"/>
      <c r="AE542" s="2231">
        <v>5.58</v>
      </c>
      <c r="AF542" s="2231"/>
      <c r="AG542" s="2231"/>
      <c r="AH542" s="3403">
        <v>3.9</v>
      </c>
      <c r="AI542" s="3403"/>
      <c r="AJ542" s="2231">
        <v>1.68</v>
      </c>
      <c r="AK542" s="2231"/>
      <c r="AL542" s="2231"/>
      <c r="AM542" s="2231"/>
      <c r="AN542" s="2231">
        <v>5.58</v>
      </c>
      <c r="AO542" s="2231">
        <v>5.58</v>
      </c>
      <c r="AP542" s="2168"/>
      <c r="AQ542" s="2168"/>
      <c r="AR542" s="2168"/>
      <c r="AS542" s="2168"/>
      <c r="AT542" s="2168"/>
      <c r="AU542" s="2168"/>
      <c r="AV542" s="2168"/>
    </row>
    <row r="543" spans="1:48" s="2141" customFormat="1" ht="24" hidden="1" outlineLevel="6">
      <c r="A543" s="2150"/>
      <c r="B543" s="2150"/>
      <c r="C543" s="2238" t="s">
        <v>1448</v>
      </c>
      <c r="D543" s="2230">
        <v>1.35</v>
      </c>
      <c r="M543" s="2098"/>
      <c r="N543" s="2098"/>
      <c r="O543" s="2098"/>
      <c r="P543" s="2098"/>
      <c r="R543" s="2198"/>
      <c r="S543" s="2198"/>
      <c r="T543" s="2198"/>
      <c r="U543" s="2198"/>
      <c r="V543" s="2168"/>
      <c r="W543" s="2168"/>
      <c r="X543" s="2168"/>
      <c r="Y543" s="2168"/>
      <c r="Z543" s="2168"/>
      <c r="AA543" s="2168"/>
      <c r="AB543" s="2168"/>
      <c r="AC543" s="2168"/>
      <c r="AD543" s="2168"/>
      <c r="AE543" s="2231">
        <v>1.35</v>
      </c>
      <c r="AF543" s="2231"/>
      <c r="AG543" s="2231"/>
      <c r="AH543" s="3403">
        <v>0.93</v>
      </c>
      <c r="AI543" s="3403"/>
      <c r="AJ543" s="2231">
        <v>0.42</v>
      </c>
      <c r="AK543" s="2231"/>
      <c r="AL543" s="2231"/>
      <c r="AM543" s="2231"/>
      <c r="AN543" s="2231">
        <v>1.35</v>
      </c>
      <c r="AO543" s="2231">
        <v>1.35</v>
      </c>
      <c r="AP543" s="2168"/>
      <c r="AQ543" s="2168"/>
      <c r="AR543" s="2168"/>
      <c r="AS543" s="2168"/>
      <c r="AT543" s="2168"/>
      <c r="AU543" s="2168"/>
      <c r="AV543" s="2168"/>
    </row>
    <row r="544" spans="1:48" s="2141" customFormat="1" ht="12" hidden="1" outlineLevel="6">
      <c r="A544" s="2150"/>
      <c r="B544" s="2150"/>
      <c r="C544" s="2238" t="s">
        <v>1450</v>
      </c>
      <c r="D544" s="2230">
        <v>1.1299999999999999</v>
      </c>
      <c r="M544" s="2098"/>
      <c r="N544" s="2098"/>
      <c r="O544" s="2098"/>
      <c r="P544" s="2098"/>
      <c r="R544" s="2198"/>
      <c r="S544" s="2198"/>
      <c r="T544" s="2198"/>
      <c r="U544" s="2198"/>
      <c r="V544" s="2168"/>
      <c r="W544" s="2168"/>
      <c r="X544" s="2168"/>
      <c r="Y544" s="2168"/>
      <c r="Z544" s="2168"/>
      <c r="AA544" s="2168"/>
      <c r="AB544" s="2168"/>
      <c r="AC544" s="2168"/>
      <c r="AD544" s="2168"/>
      <c r="AE544" s="2231">
        <v>1.1299999999999999</v>
      </c>
      <c r="AF544" s="2231"/>
      <c r="AG544" s="2231"/>
      <c r="AH544" s="3403">
        <v>0.65</v>
      </c>
      <c r="AI544" s="3403"/>
      <c r="AJ544" s="2231">
        <v>0.48</v>
      </c>
      <c r="AK544" s="2231"/>
      <c r="AL544" s="2231"/>
      <c r="AM544" s="2231"/>
      <c r="AN544" s="2231">
        <v>1.1299999999999999</v>
      </c>
      <c r="AO544" s="2231">
        <v>1.1299999999999999</v>
      </c>
      <c r="AP544" s="2168"/>
      <c r="AQ544" s="2168"/>
      <c r="AR544" s="2168"/>
      <c r="AS544" s="2168"/>
      <c r="AT544" s="2168"/>
      <c r="AU544" s="2168"/>
      <c r="AV544" s="2168"/>
    </row>
    <row r="545" spans="1:48" s="2141" customFormat="1" ht="12" hidden="1" outlineLevel="6">
      <c r="A545" s="2150"/>
      <c r="B545" s="2150"/>
      <c r="C545" s="2238" t="s">
        <v>1451</v>
      </c>
      <c r="D545" s="2230">
        <v>1.81</v>
      </c>
      <c r="M545" s="2098"/>
      <c r="N545" s="2098"/>
      <c r="O545" s="2098"/>
      <c r="P545" s="2098"/>
      <c r="R545" s="2198"/>
      <c r="S545" s="2198"/>
      <c r="T545" s="2198"/>
      <c r="U545" s="2198"/>
      <c r="V545" s="2168"/>
      <c r="W545" s="2168"/>
      <c r="X545" s="2168"/>
      <c r="Y545" s="2168"/>
      <c r="Z545" s="2168"/>
      <c r="AA545" s="2168"/>
      <c r="AB545" s="2168"/>
      <c r="AC545" s="2168"/>
      <c r="AD545" s="2168"/>
      <c r="AE545" s="2231">
        <v>1.81</v>
      </c>
      <c r="AF545" s="2231"/>
      <c r="AG545" s="2231"/>
      <c r="AH545" s="2232"/>
      <c r="AI545" s="2233"/>
      <c r="AJ545" s="2231">
        <v>1.81</v>
      </c>
      <c r="AK545" s="2231"/>
      <c r="AL545" s="2231"/>
      <c r="AM545" s="2231"/>
      <c r="AN545" s="2231">
        <v>1.81</v>
      </c>
      <c r="AO545" s="2231">
        <v>1.81</v>
      </c>
      <c r="AP545" s="2168"/>
      <c r="AQ545" s="2168"/>
      <c r="AR545" s="2168"/>
      <c r="AS545" s="2168"/>
      <c r="AT545" s="2168"/>
      <c r="AU545" s="2168"/>
      <c r="AV545" s="2168"/>
    </row>
    <row r="546" spans="1:48" s="2141" customFormat="1" ht="24" hidden="1" outlineLevel="6">
      <c r="A546" s="2150"/>
      <c r="B546" s="2150"/>
      <c r="C546" s="2238" t="s">
        <v>1452</v>
      </c>
      <c r="D546" s="2230">
        <v>0.13</v>
      </c>
      <c r="M546" s="2098"/>
      <c r="N546" s="2098"/>
      <c r="O546" s="2098"/>
      <c r="P546" s="2098"/>
      <c r="R546" s="2198"/>
      <c r="S546" s="2198"/>
      <c r="T546" s="2198"/>
      <c r="U546" s="2198"/>
      <c r="V546" s="2168"/>
      <c r="W546" s="2168"/>
      <c r="X546" s="2168"/>
      <c r="Y546" s="2168"/>
      <c r="Z546" s="2168"/>
      <c r="AA546" s="2168"/>
      <c r="AB546" s="2168"/>
      <c r="AC546" s="2168"/>
      <c r="AD546" s="2168"/>
      <c r="AE546" s="2231">
        <v>0.13</v>
      </c>
      <c r="AF546" s="2231"/>
      <c r="AG546" s="2231"/>
      <c r="AH546" s="3403">
        <v>0.13</v>
      </c>
      <c r="AI546" s="3403"/>
      <c r="AJ546" s="2231"/>
      <c r="AK546" s="2231"/>
      <c r="AL546" s="2231"/>
      <c r="AM546" s="2231"/>
      <c r="AN546" s="2231">
        <v>0.13</v>
      </c>
      <c r="AO546" s="2231">
        <v>0.13</v>
      </c>
      <c r="AP546" s="2168"/>
      <c r="AQ546" s="2168"/>
      <c r="AR546" s="2168"/>
      <c r="AS546" s="2168"/>
      <c r="AT546" s="2168"/>
      <c r="AU546" s="2168"/>
      <c r="AV546" s="2168"/>
    </row>
    <row r="547" spans="1:48" s="2141" customFormat="1" ht="24" hidden="1" outlineLevel="6">
      <c r="A547" s="2150"/>
      <c r="B547" s="2150"/>
      <c r="C547" s="2238" t="s">
        <v>1453</v>
      </c>
      <c r="D547" s="2230">
        <v>0.02</v>
      </c>
      <c r="M547" s="2098"/>
      <c r="N547" s="2098"/>
      <c r="O547" s="2098"/>
      <c r="P547" s="2098"/>
      <c r="R547" s="2198"/>
      <c r="S547" s="2198"/>
      <c r="T547" s="2198"/>
      <c r="U547" s="2198"/>
      <c r="V547" s="2168"/>
      <c r="W547" s="2168"/>
      <c r="X547" s="2168"/>
      <c r="Y547" s="2168"/>
      <c r="Z547" s="2168"/>
      <c r="AA547" s="2168"/>
      <c r="AB547" s="2168"/>
      <c r="AC547" s="2168"/>
      <c r="AD547" s="2168"/>
      <c r="AE547" s="2231">
        <v>0.02</v>
      </c>
      <c r="AF547" s="2231"/>
      <c r="AG547" s="2231"/>
      <c r="AH547" s="2232"/>
      <c r="AI547" s="2233"/>
      <c r="AJ547" s="2231">
        <v>0.02</v>
      </c>
      <c r="AK547" s="2231"/>
      <c r="AL547" s="2231"/>
      <c r="AM547" s="2231"/>
      <c r="AN547" s="2231">
        <v>0.02</v>
      </c>
      <c r="AO547" s="2231">
        <v>0.02</v>
      </c>
      <c r="AP547" s="2168"/>
      <c r="AQ547" s="2168"/>
      <c r="AR547" s="2168"/>
      <c r="AS547" s="2168"/>
      <c r="AT547" s="2168"/>
      <c r="AU547" s="2168"/>
      <c r="AV547" s="2168"/>
    </row>
    <row r="548" spans="1:48" s="2141" customFormat="1" ht="12" hidden="1" outlineLevel="5">
      <c r="A548" s="2150"/>
      <c r="B548" s="2150"/>
      <c r="C548" s="2236" t="s">
        <v>1454</v>
      </c>
      <c r="D548" s="2230">
        <v>0.22</v>
      </c>
      <c r="M548" s="2098"/>
      <c r="N548" s="2098"/>
      <c r="O548" s="2098"/>
      <c r="P548" s="2098"/>
      <c r="R548" s="2198"/>
      <c r="S548" s="2198"/>
      <c r="T548" s="2198"/>
      <c r="U548" s="2198"/>
      <c r="V548" s="2168"/>
      <c r="W548" s="2168"/>
      <c r="X548" s="2168"/>
      <c r="Y548" s="2168"/>
      <c r="Z548" s="2168"/>
      <c r="AA548" s="2168"/>
      <c r="AB548" s="2168"/>
      <c r="AC548" s="2168"/>
      <c r="AD548" s="2168"/>
      <c r="AE548" s="2231">
        <v>0.22</v>
      </c>
      <c r="AF548" s="2231"/>
      <c r="AG548" s="2231"/>
      <c r="AH548" s="2232"/>
      <c r="AI548" s="2233"/>
      <c r="AJ548" s="2231">
        <v>0.22</v>
      </c>
      <c r="AK548" s="2231"/>
      <c r="AL548" s="2231"/>
      <c r="AM548" s="2231"/>
      <c r="AN548" s="2231">
        <v>0.22</v>
      </c>
      <c r="AO548" s="2231">
        <v>0.22</v>
      </c>
      <c r="AP548" s="2168"/>
      <c r="AQ548" s="2168"/>
      <c r="AR548" s="2168"/>
      <c r="AS548" s="2168"/>
      <c r="AT548" s="2168"/>
      <c r="AU548" s="2168"/>
      <c r="AV548" s="2168"/>
    </row>
    <row r="549" spans="1:48" s="2141" customFormat="1" ht="24" hidden="1" outlineLevel="5">
      <c r="A549" s="2150"/>
      <c r="B549" s="2150"/>
      <c r="C549" s="2236" t="s">
        <v>1456</v>
      </c>
      <c r="D549" s="2230">
        <v>17.86</v>
      </c>
      <c r="M549" s="2098"/>
      <c r="N549" s="2098"/>
      <c r="O549" s="2098"/>
      <c r="P549" s="2098"/>
      <c r="R549" s="2198"/>
      <c r="S549" s="2198"/>
      <c r="T549" s="2198"/>
      <c r="U549" s="2198"/>
      <c r="V549" s="2168"/>
      <c r="W549" s="2168"/>
      <c r="X549" s="2168"/>
      <c r="Y549" s="2168"/>
      <c r="Z549" s="2168"/>
      <c r="AA549" s="2168"/>
      <c r="AB549" s="2168"/>
      <c r="AC549" s="2168"/>
      <c r="AD549" s="2168"/>
      <c r="AE549" s="2231">
        <v>17.86</v>
      </c>
      <c r="AF549" s="2231"/>
      <c r="AG549" s="2231"/>
      <c r="AH549" s="3403">
        <v>14.89</v>
      </c>
      <c r="AI549" s="3403"/>
      <c r="AJ549" s="2231">
        <v>2.97</v>
      </c>
      <c r="AK549" s="2231"/>
      <c r="AL549" s="2231"/>
      <c r="AM549" s="2231"/>
      <c r="AN549" s="2231">
        <v>17.86</v>
      </c>
      <c r="AO549" s="2231">
        <v>17.86</v>
      </c>
      <c r="AP549" s="2168"/>
      <c r="AQ549" s="2168"/>
      <c r="AR549" s="2168"/>
      <c r="AS549" s="2168"/>
      <c r="AT549" s="2168"/>
      <c r="AU549" s="2168"/>
      <c r="AV549" s="2168"/>
    </row>
    <row r="550" spans="1:48" s="2141" customFormat="1" ht="12" hidden="1" outlineLevel="3">
      <c r="A550" s="2150"/>
      <c r="B550" s="2150"/>
      <c r="C550" s="2224" t="s">
        <v>1500</v>
      </c>
      <c r="D550" s="2225">
        <v>5691.36</v>
      </c>
      <c r="M550" s="2098"/>
      <c r="N550" s="2098"/>
      <c r="O550" s="2098"/>
      <c r="P550" s="2098"/>
      <c r="R550" s="2198"/>
      <c r="S550" s="2198"/>
      <c r="T550" s="2198"/>
      <c r="U550" s="2198"/>
      <c r="V550" s="2168"/>
      <c r="W550" s="2168"/>
      <c r="X550" s="2168"/>
      <c r="Y550" s="2168"/>
      <c r="Z550" s="2168"/>
      <c r="AA550" s="2168"/>
      <c r="AB550" s="2168"/>
      <c r="AC550" s="2168"/>
      <c r="AD550" s="2168"/>
      <c r="AE550" s="2226">
        <v>5691.36</v>
      </c>
      <c r="AF550" s="2226"/>
      <c r="AG550" s="2226"/>
      <c r="AH550" s="3405">
        <v>5647.8</v>
      </c>
      <c r="AI550" s="3405"/>
      <c r="AJ550" s="2226">
        <v>43.56</v>
      </c>
      <c r="AK550" s="2226"/>
      <c r="AL550" s="2226"/>
      <c r="AM550" s="2226"/>
      <c r="AN550" s="2226">
        <v>5691.36</v>
      </c>
      <c r="AO550" s="2226">
        <v>5691.36</v>
      </c>
      <c r="AP550" s="2168"/>
      <c r="AQ550" s="2168"/>
      <c r="AR550" s="2168"/>
      <c r="AS550" s="2168"/>
      <c r="AT550" s="2168"/>
      <c r="AU550" s="2168"/>
      <c r="AV550" s="2168"/>
    </row>
    <row r="551" spans="1:48" s="2141" customFormat="1" ht="24" hidden="1" outlineLevel="4">
      <c r="A551" s="2150"/>
      <c r="B551" s="2150"/>
      <c r="C551" s="2229" t="s">
        <v>1391</v>
      </c>
      <c r="D551" s="2230">
        <v>821.49</v>
      </c>
      <c r="M551" s="2098"/>
      <c r="N551" s="2098"/>
      <c r="O551" s="2098"/>
      <c r="P551" s="2098"/>
      <c r="R551" s="2198"/>
      <c r="S551" s="2198"/>
      <c r="T551" s="2198"/>
      <c r="U551" s="2198"/>
      <c r="V551" s="2168"/>
      <c r="W551" s="2168"/>
      <c r="X551" s="2168"/>
      <c r="Y551" s="2168"/>
      <c r="Z551" s="2168"/>
      <c r="AA551" s="2168"/>
      <c r="AB551" s="2168"/>
      <c r="AC551" s="2168"/>
      <c r="AD551" s="2168"/>
      <c r="AE551" s="2231">
        <v>821.49</v>
      </c>
      <c r="AF551" s="2231"/>
      <c r="AG551" s="2231"/>
      <c r="AH551" s="3403">
        <v>816.75</v>
      </c>
      <c r="AI551" s="3403"/>
      <c r="AJ551" s="2231">
        <v>4.74</v>
      </c>
      <c r="AK551" s="2231"/>
      <c r="AL551" s="2231"/>
      <c r="AM551" s="2231"/>
      <c r="AN551" s="2231">
        <v>821.49</v>
      </c>
      <c r="AO551" s="2231">
        <v>821.49</v>
      </c>
      <c r="AP551" s="2168"/>
      <c r="AQ551" s="2168"/>
      <c r="AR551" s="2168"/>
      <c r="AS551" s="2168"/>
      <c r="AT551" s="2168"/>
      <c r="AU551" s="2168"/>
      <c r="AV551" s="2168"/>
    </row>
    <row r="552" spans="1:48" s="2141" customFormat="1" ht="36" hidden="1" outlineLevel="4">
      <c r="A552" s="2150"/>
      <c r="B552" s="2150"/>
      <c r="C552" s="2229" t="s">
        <v>1392</v>
      </c>
      <c r="D552" s="2230">
        <v>30.91</v>
      </c>
      <c r="M552" s="2098"/>
      <c r="N552" s="2098"/>
      <c r="O552" s="2098"/>
      <c r="P552" s="2098"/>
      <c r="R552" s="2198"/>
      <c r="S552" s="2198"/>
      <c r="T552" s="2198"/>
      <c r="U552" s="2198"/>
      <c r="V552" s="2168"/>
      <c r="W552" s="2168"/>
      <c r="X552" s="2168"/>
      <c r="Y552" s="2168"/>
      <c r="Z552" s="2168"/>
      <c r="AA552" s="2168"/>
      <c r="AB552" s="2168"/>
      <c r="AC552" s="2168"/>
      <c r="AD552" s="2168"/>
      <c r="AE552" s="2231">
        <v>30.91</v>
      </c>
      <c r="AF552" s="2231"/>
      <c r="AG552" s="2231"/>
      <c r="AH552" s="3403">
        <v>29.02</v>
      </c>
      <c r="AI552" s="3403"/>
      <c r="AJ552" s="2231">
        <v>1.89</v>
      </c>
      <c r="AK552" s="2231"/>
      <c r="AL552" s="2231"/>
      <c r="AM552" s="2231"/>
      <c r="AN552" s="2231">
        <v>30.91</v>
      </c>
      <c r="AO552" s="2231">
        <v>30.91</v>
      </c>
      <c r="AP552" s="2168"/>
      <c r="AQ552" s="2168"/>
      <c r="AR552" s="2168"/>
      <c r="AS552" s="2168"/>
      <c r="AT552" s="2168"/>
      <c r="AU552" s="2168"/>
      <c r="AV552" s="2168"/>
    </row>
    <row r="553" spans="1:48" s="2141" customFormat="1" ht="36" hidden="1" outlineLevel="4">
      <c r="A553" s="2150"/>
      <c r="B553" s="2150"/>
      <c r="C553" s="2229" t="s">
        <v>1393</v>
      </c>
      <c r="D553" s="2230">
        <v>5.95</v>
      </c>
      <c r="M553" s="2098"/>
      <c r="N553" s="2098"/>
      <c r="O553" s="2098"/>
      <c r="P553" s="2098"/>
      <c r="R553" s="2198"/>
      <c r="S553" s="2198"/>
      <c r="T553" s="2198"/>
      <c r="U553" s="2198"/>
      <c r="V553" s="2168"/>
      <c r="W553" s="2168"/>
      <c r="X553" s="2168"/>
      <c r="Y553" s="2168"/>
      <c r="Z553" s="2168"/>
      <c r="AA553" s="2168"/>
      <c r="AB553" s="2168"/>
      <c r="AC553" s="2168"/>
      <c r="AD553" s="2168"/>
      <c r="AE553" s="2231">
        <v>5.95</v>
      </c>
      <c r="AF553" s="2231"/>
      <c r="AG553" s="2231"/>
      <c r="AH553" s="3403">
        <v>5.25</v>
      </c>
      <c r="AI553" s="3403"/>
      <c r="AJ553" s="2231">
        <v>0.7</v>
      </c>
      <c r="AK553" s="2231"/>
      <c r="AL553" s="2231"/>
      <c r="AM553" s="2231"/>
      <c r="AN553" s="2231">
        <v>5.95</v>
      </c>
      <c r="AO553" s="2231">
        <v>5.95</v>
      </c>
      <c r="AP553" s="2168"/>
      <c r="AQ553" s="2168"/>
      <c r="AR553" s="2168"/>
      <c r="AS553" s="2168"/>
      <c r="AT553" s="2168"/>
      <c r="AU553" s="2168"/>
      <c r="AV553" s="2168"/>
    </row>
    <row r="554" spans="1:48" s="2141" customFormat="1" ht="36" hidden="1" outlineLevel="4">
      <c r="A554" s="2150"/>
      <c r="B554" s="2150"/>
      <c r="C554" s="2229" t="s">
        <v>1394</v>
      </c>
      <c r="D554" s="2230">
        <v>11.12</v>
      </c>
      <c r="M554" s="2098"/>
      <c r="N554" s="2098"/>
      <c r="O554" s="2098"/>
      <c r="P554" s="2098"/>
      <c r="R554" s="2198"/>
      <c r="S554" s="2198"/>
      <c r="T554" s="2198"/>
      <c r="U554" s="2198"/>
      <c r="V554" s="2168"/>
      <c r="W554" s="2168"/>
      <c r="X554" s="2168"/>
      <c r="Y554" s="2168"/>
      <c r="Z554" s="2168"/>
      <c r="AA554" s="2168"/>
      <c r="AB554" s="2168"/>
      <c r="AC554" s="2168"/>
      <c r="AD554" s="2168"/>
      <c r="AE554" s="2231">
        <v>11.12</v>
      </c>
      <c r="AF554" s="2231"/>
      <c r="AG554" s="2231"/>
      <c r="AH554" s="3403">
        <v>10.91</v>
      </c>
      <c r="AI554" s="3403"/>
      <c r="AJ554" s="2231">
        <v>0.21</v>
      </c>
      <c r="AK554" s="2231"/>
      <c r="AL554" s="2231"/>
      <c r="AM554" s="2231"/>
      <c r="AN554" s="2231">
        <v>11.12</v>
      </c>
      <c r="AO554" s="2231">
        <v>11.12</v>
      </c>
      <c r="AP554" s="2168"/>
      <c r="AQ554" s="2168"/>
      <c r="AR554" s="2168"/>
      <c r="AS554" s="2168"/>
      <c r="AT554" s="2168"/>
      <c r="AU554" s="2168"/>
      <c r="AV554" s="2168"/>
    </row>
    <row r="555" spans="1:48" s="2141" customFormat="1" ht="24" hidden="1" outlineLevel="4">
      <c r="A555" s="2150"/>
      <c r="B555" s="2150"/>
      <c r="C555" s="2229" t="s">
        <v>1395</v>
      </c>
      <c r="D555" s="2230">
        <v>85.7</v>
      </c>
      <c r="M555" s="2098"/>
      <c r="N555" s="2098"/>
      <c r="O555" s="2098"/>
      <c r="P555" s="2098"/>
      <c r="R555" s="2198"/>
      <c r="S555" s="2198"/>
      <c r="T555" s="2198"/>
      <c r="U555" s="2198"/>
      <c r="V555" s="2168"/>
      <c r="W555" s="2168"/>
      <c r="X555" s="2168"/>
      <c r="Y555" s="2168"/>
      <c r="Z555" s="2168"/>
      <c r="AA555" s="2168"/>
      <c r="AB555" s="2168"/>
      <c r="AC555" s="2168"/>
      <c r="AD555" s="2168"/>
      <c r="AE555" s="2231">
        <v>85.7</v>
      </c>
      <c r="AF555" s="2231"/>
      <c r="AG555" s="2231"/>
      <c r="AH555" s="3403">
        <v>85.43</v>
      </c>
      <c r="AI555" s="3403"/>
      <c r="AJ555" s="2231">
        <v>0.27</v>
      </c>
      <c r="AK555" s="2231"/>
      <c r="AL555" s="2231"/>
      <c r="AM555" s="2231"/>
      <c r="AN555" s="2231">
        <v>85.7</v>
      </c>
      <c r="AO555" s="2231">
        <v>85.7</v>
      </c>
      <c r="AP555" s="2168"/>
      <c r="AQ555" s="2168"/>
      <c r="AR555" s="2168"/>
      <c r="AS555" s="2168"/>
      <c r="AT555" s="2168"/>
      <c r="AU555" s="2168"/>
      <c r="AV555" s="2168"/>
    </row>
    <row r="556" spans="1:48" s="2141" customFormat="1" ht="24" hidden="1" outlineLevel="4">
      <c r="A556" s="2150"/>
      <c r="B556" s="2150"/>
      <c r="C556" s="2229" t="s">
        <v>1396</v>
      </c>
      <c r="D556" s="2230">
        <v>3541.3</v>
      </c>
      <c r="M556" s="2098"/>
      <c r="N556" s="2098"/>
      <c r="O556" s="2098"/>
      <c r="P556" s="2098"/>
      <c r="R556" s="2198"/>
      <c r="S556" s="2198"/>
      <c r="T556" s="2198"/>
      <c r="U556" s="2198"/>
      <c r="V556" s="2168"/>
      <c r="W556" s="2168"/>
      <c r="X556" s="2168"/>
      <c r="Y556" s="2168"/>
      <c r="Z556" s="2168"/>
      <c r="AA556" s="2168"/>
      <c r="AB556" s="2168"/>
      <c r="AC556" s="2168"/>
      <c r="AD556" s="2168"/>
      <c r="AE556" s="2231">
        <v>3541.3</v>
      </c>
      <c r="AF556" s="2231"/>
      <c r="AG556" s="2231"/>
      <c r="AH556" s="3403">
        <v>3523.01</v>
      </c>
      <c r="AI556" s="3403"/>
      <c r="AJ556" s="2231">
        <v>18.29</v>
      </c>
      <c r="AK556" s="2231"/>
      <c r="AL556" s="2231"/>
      <c r="AM556" s="2231"/>
      <c r="AN556" s="2231">
        <v>3541.3</v>
      </c>
      <c r="AO556" s="2231">
        <v>3541.3</v>
      </c>
      <c r="AP556" s="2168"/>
      <c r="AQ556" s="2168"/>
      <c r="AR556" s="2168"/>
      <c r="AS556" s="2168"/>
      <c r="AT556" s="2168"/>
      <c r="AU556" s="2168"/>
      <c r="AV556" s="2168"/>
    </row>
    <row r="557" spans="1:48" s="2141" customFormat="1" ht="36" hidden="1" outlineLevel="4">
      <c r="A557" s="2150"/>
      <c r="B557" s="2150"/>
      <c r="C557" s="2229" t="s">
        <v>1397</v>
      </c>
      <c r="D557" s="2230">
        <v>133.44</v>
      </c>
      <c r="M557" s="2098"/>
      <c r="N557" s="2098"/>
      <c r="O557" s="2098"/>
      <c r="P557" s="2098"/>
      <c r="R557" s="2198"/>
      <c r="S557" s="2198"/>
      <c r="T557" s="2198"/>
      <c r="U557" s="2198"/>
      <c r="V557" s="2168"/>
      <c r="W557" s="2168"/>
      <c r="X557" s="2168"/>
      <c r="Y557" s="2168"/>
      <c r="Z557" s="2168"/>
      <c r="AA557" s="2168"/>
      <c r="AB557" s="2168"/>
      <c r="AC557" s="2168"/>
      <c r="AD557" s="2168"/>
      <c r="AE557" s="2231">
        <v>133.44</v>
      </c>
      <c r="AF557" s="2231"/>
      <c r="AG557" s="2231"/>
      <c r="AH557" s="3403">
        <v>125.31</v>
      </c>
      <c r="AI557" s="3403"/>
      <c r="AJ557" s="2231">
        <v>8.1300000000000008</v>
      </c>
      <c r="AK557" s="2231"/>
      <c r="AL557" s="2231"/>
      <c r="AM557" s="2231"/>
      <c r="AN557" s="2231">
        <v>133.44</v>
      </c>
      <c r="AO557" s="2231">
        <v>133.44</v>
      </c>
      <c r="AP557" s="2168"/>
      <c r="AQ557" s="2168"/>
      <c r="AR557" s="2168"/>
      <c r="AS557" s="2168"/>
      <c r="AT557" s="2168"/>
      <c r="AU557" s="2168"/>
      <c r="AV557" s="2168"/>
    </row>
    <row r="558" spans="1:48" s="2141" customFormat="1" ht="36" hidden="1" outlineLevel="4">
      <c r="A558" s="2150"/>
      <c r="B558" s="2150"/>
      <c r="C558" s="2229" t="s">
        <v>1398</v>
      </c>
      <c r="D558" s="2230">
        <v>25.64</v>
      </c>
      <c r="M558" s="2098"/>
      <c r="N558" s="2098"/>
      <c r="O558" s="2098"/>
      <c r="P558" s="2098"/>
      <c r="R558" s="2198"/>
      <c r="S558" s="2198"/>
      <c r="T558" s="2198"/>
      <c r="U558" s="2198"/>
      <c r="V558" s="2168"/>
      <c r="W558" s="2168"/>
      <c r="X558" s="2168"/>
      <c r="Y558" s="2168"/>
      <c r="Z558" s="2168"/>
      <c r="AA558" s="2168"/>
      <c r="AB558" s="2168"/>
      <c r="AC558" s="2168"/>
      <c r="AD558" s="2168"/>
      <c r="AE558" s="2231">
        <v>25.64</v>
      </c>
      <c r="AF558" s="2231"/>
      <c r="AG558" s="2231"/>
      <c r="AH558" s="3403">
        <v>22.75</v>
      </c>
      <c r="AI558" s="3403"/>
      <c r="AJ558" s="2231">
        <v>2.89</v>
      </c>
      <c r="AK558" s="2231"/>
      <c r="AL558" s="2231"/>
      <c r="AM558" s="2231"/>
      <c r="AN558" s="2231">
        <v>25.64</v>
      </c>
      <c r="AO558" s="2231">
        <v>25.64</v>
      </c>
      <c r="AP558" s="2168"/>
      <c r="AQ558" s="2168"/>
      <c r="AR558" s="2168"/>
      <c r="AS558" s="2168"/>
      <c r="AT558" s="2168"/>
      <c r="AU558" s="2168"/>
      <c r="AV558" s="2168"/>
    </row>
    <row r="559" spans="1:48" s="2141" customFormat="1" ht="36" hidden="1" outlineLevel="4">
      <c r="A559" s="2150"/>
      <c r="B559" s="2150"/>
      <c r="C559" s="2229" t="s">
        <v>1399</v>
      </c>
      <c r="D559" s="2230">
        <v>48.47</v>
      </c>
      <c r="M559" s="2098"/>
      <c r="N559" s="2098"/>
      <c r="O559" s="2098"/>
      <c r="P559" s="2098"/>
      <c r="R559" s="2198"/>
      <c r="S559" s="2198"/>
      <c r="T559" s="2198"/>
      <c r="U559" s="2198"/>
      <c r="V559" s="2168"/>
      <c r="W559" s="2168"/>
      <c r="X559" s="2168"/>
      <c r="Y559" s="2168"/>
      <c r="Z559" s="2168"/>
      <c r="AA559" s="2168"/>
      <c r="AB559" s="2168"/>
      <c r="AC559" s="2168"/>
      <c r="AD559" s="2168"/>
      <c r="AE559" s="2231">
        <v>48.47</v>
      </c>
      <c r="AF559" s="2231"/>
      <c r="AG559" s="2231"/>
      <c r="AH559" s="3403">
        <v>47.5</v>
      </c>
      <c r="AI559" s="3403"/>
      <c r="AJ559" s="2231">
        <v>0.97</v>
      </c>
      <c r="AK559" s="2231"/>
      <c r="AL559" s="2231"/>
      <c r="AM559" s="2231"/>
      <c r="AN559" s="2231">
        <v>48.47</v>
      </c>
      <c r="AO559" s="2231">
        <v>48.47</v>
      </c>
      <c r="AP559" s="2168"/>
      <c r="AQ559" s="2168"/>
      <c r="AR559" s="2168"/>
      <c r="AS559" s="2168"/>
      <c r="AT559" s="2168"/>
      <c r="AU559" s="2168"/>
      <c r="AV559" s="2168"/>
    </row>
    <row r="560" spans="1:48" s="2141" customFormat="1" ht="24" hidden="1" outlineLevel="4">
      <c r="A560" s="2150"/>
      <c r="B560" s="2150"/>
      <c r="C560" s="2229" t="s">
        <v>1400</v>
      </c>
      <c r="D560" s="2230">
        <v>372.13</v>
      </c>
      <c r="M560" s="2098"/>
      <c r="N560" s="2098"/>
      <c r="O560" s="2098"/>
      <c r="P560" s="2098"/>
      <c r="R560" s="2198"/>
      <c r="S560" s="2198"/>
      <c r="T560" s="2198"/>
      <c r="U560" s="2198"/>
      <c r="V560" s="2168"/>
      <c r="W560" s="2168"/>
      <c r="X560" s="2168"/>
      <c r="Y560" s="2168"/>
      <c r="Z560" s="2168"/>
      <c r="AA560" s="2168"/>
      <c r="AB560" s="2168"/>
      <c r="AC560" s="2168"/>
      <c r="AD560" s="2168"/>
      <c r="AE560" s="2231">
        <v>372.13</v>
      </c>
      <c r="AF560" s="2231"/>
      <c r="AG560" s="2231"/>
      <c r="AH560" s="3403">
        <v>370.29</v>
      </c>
      <c r="AI560" s="3403"/>
      <c r="AJ560" s="2231">
        <v>1.84</v>
      </c>
      <c r="AK560" s="2231"/>
      <c r="AL560" s="2231"/>
      <c r="AM560" s="2231"/>
      <c r="AN560" s="2231">
        <v>372.13</v>
      </c>
      <c r="AO560" s="2231">
        <v>372.13</v>
      </c>
      <c r="AP560" s="2168"/>
      <c r="AQ560" s="2168"/>
      <c r="AR560" s="2168"/>
      <c r="AS560" s="2168"/>
      <c r="AT560" s="2168"/>
      <c r="AU560" s="2168"/>
      <c r="AV560" s="2168"/>
    </row>
    <row r="561" spans="1:48" s="2141" customFormat="1" ht="24" hidden="1" outlineLevel="4">
      <c r="A561" s="2150"/>
      <c r="B561" s="2150"/>
      <c r="C561" s="2229" t="s">
        <v>1401</v>
      </c>
      <c r="D561" s="2230">
        <v>63.77</v>
      </c>
      <c r="M561" s="2098"/>
      <c r="N561" s="2098"/>
      <c r="O561" s="2098"/>
      <c r="P561" s="2098"/>
      <c r="R561" s="2198"/>
      <c r="S561" s="2198"/>
      <c r="T561" s="2198"/>
      <c r="U561" s="2198"/>
      <c r="V561" s="2168"/>
      <c r="W561" s="2168"/>
      <c r="X561" s="2168"/>
      <c r="Y561" s="2168"/>
      <c r="Z561" s="2168"/>
      <c r="AA561" s="2168"/>
      <c r="AB561" s="2168"/>
      <c r="AC561" s="2168"/>
      <c r="AD561" s="2168"/>
      <c r="AE561" s="2231">
        <v>63.77</v>
      </c>
      <c r="AF561" s="2231"/>
      <c r="AG561" s="2231"/>
      <c r="AH561" s="3403">
        <v>63.63</v>
      </c>
      <c r="AI561" s="3403"/>
      <c r="AJ561" s="2231">
        <v>0.14000000000000001</v>
      </c>
      <c r="AK561" s="2231"/>
      <c r="AL561" s="2231"/>
      <c r="AM561" s="2231"/>
      <c r="AN561" s="2231">
        <v>63.77</v>
      </c>
      <c r="AO561" s="2231">
        <v>63.77</v>
      </c>
      <c r="AP561" s="2168"/>
      <c r="AQ561" s="2168"/>
      <c r="AR561" s="2168"/>
      <c r="AS561" s="2168"/>
      <c r="AT561" s="2168"/>
      <c r="AU561" s="2168"/>
      <c r="AV561" s="2168"/>
    </row>
    <row r="562" spans="1:48" s="2141" customFormat="1" ht="24" hidden="1" outlineLevel="4">
      <c r="A562" s="2150"/>
      <c r="B562" s="2150"/>
      <c r="C562" s="2229" t="s">
        <v>1402</v>
      </c>
      <c r="D562" s="2230">
        <v>2.21</v>
      </c>
      <c r="M562" s="2098"/>
      <c r="N562" s="2098"/>
      <c r="O562" s="2098"/>
      <c r="P562" s="2098"/>
      <c r="R562" s="2198"/>
      <c r="S562" s="2198"/>
      <c r="T562" s="2198"/>
      <c r="U562" s="2198"/>
      <c r="V562" s="2168"/>
      <c r="W562" s="2168"/>
      <c r="X562" s="2168"/>
      <c r="Y562" s="2168"/>
      <c r="Z562" s="2168"/>
      <c r="AA562" s="2168"/>
      <c r="AB562" s="2168"/>
      <c r="AC562" s="2168"/>
      <c r="AD562" s="2168"/>
      <c r="AE562" s="2231">
        <v>2.21</v>
      </c>
      <c r="AF562" s="2231"/>
      <c r="AG562" s="2231"/>
      <c r="AH562" s="3403">
        <v>2.11</v>
      </c>
      <c r="AI562" s="3403"/>
      <c r="AJ562" s="2231">
        <v>0.1</v>
      </c>
      <c r="AK562" s="2231"/>
      <c r="AL562" s="2231"/>
      <c r="AM562" s="2231"/>
      <c r="AN562" s="2231">
        <v>2.21</v>
      </c>
      <c r="AO562" s="2231">
        <v>2.21</v>
      </c>
      <c r="AP562" s="2168"/>
      <c r="AQ562" s="2168"/>
      <c r="AR562" s="2168"/>
      <c r="AS562" s="2168"/>
      <c r="AT562" s="2168"/>
      <c r="AU562" s="2168"/>
      <c r="AV562" s="2168"/>
    </row>
    <row r="563" spans="1:48" s="2141" customFormat="1" ht="24" hidden="1" outlineLevel="4">
      <c r="A563" s="2150"/>
      <c r="B563" s="2150"/>
      <c r="C563" s="2229" t="s">
        <v>1403</v>
      </c>
      <c r="D563" s="2230">
        <v>0.4</v>
      </c>
      <c r="M563" s="2098"/>
      <c r="N563" s="2098"/>
      <c r="O563" s="2098"/>
      <c r="P563" s="2098"/>
      <c r="R563" s="2198"/>
      <c r="S563" s="2198"/>
      <c r="T563" s="2198"/>
      <c r="U563" s="2198"/>
      <c r="V563" s="2168"/>
      <c r="W563" s="2168"/>
      <c r="X563" s="2168"/>
      <c r="Y563" s="2168"/>
      <c r="Z563" s="2168"/>
      <c r="AA563" s="2168"/>
      <c r="AB563" s="2168"/>
      <c r="AC563" s="2168"/>
      <c r="AD563" s="2168"/>
      <c r="AE563" s="2231">
        <v>0.4</v>
      </c>
      <c r="AF563" s="2231"/>
      <c r="AG563" s="2231"/>
      <c r="AH563" s="3403">
        <v>0.38</v>
      </c>
      <c r="AI563" s="3403"/>
      <c r="AJ563" s="2231">
        <v>0.02</v>
      </c>
      <c r="AK563" s="2231"/>
      <c r="AL563" s="2231"/>
      <c r="AM563" s="2231"/>
      <c r="AN563" s="2231">
        <v>0.4</v>
      </c>
      <c r="AO563" s="2231">
        <v>0.4</v>
      </c>
      <c r="AP563" s="2168"/>
      <c r="AQ563" s="2168"/>
      <c r="AR563" s="2168"/>
      <c r="AS563" s="2168"/>
      <c r="AT563" s="2168"/>
      <c r="AU563" s="2168"/>
      <c r="AV563" s="2168"/>
    </row>
    <row r="564" spans="1:48" s="2141" customFormat="1" ht="24" hidden="1" outlineLevel="4">
      <c r="A564" s="2150"/>
      <c r="B564" s="2150"/>
      <c r="C564" s="2229" t="s">
        <v>1404</v>
      </c>
      <c r="D564" s="2230">
        <v>0.82</v>
      </c>
      <c r="M564" s="2098"/>
      <c r="N564" s="2098"/>
      <c r="O564" s="2098"/>
      <c r="P564" s="2098"/>
      <c r="R564" s="2198"/>
      <c r="S564" s="2198"/>
      <c r="T564" s="2198"/>
      <c r="U564" s="2198"/>
      <c r="V564" s="2168"/>
      <c r="W564" s="2168"/>
      <c r="X564" s="2168"/>
      <c r="Y564" s="2168"/>
      <c r="Z564" s="2168"/>
      <c r="AA564" s="2168"/>
      <c r="AB564" s="2168"/>
      <c r="AC564" s="2168"/>
      <c r="AD564" s="2168"/>
      <c r="AE564" s="2231">
        <v>0.82</v>
      </c>
      <c r="AF564" s="2231"/>
      <c r="AG564" s="2231"/>
      <c r="AH564" s="3403">
        <v>0.82</v>
      </c>
      <c r="AI564" s="3403"/>
      <c r="AJ564" s="2231"/>
      <c r="AK564" s="2231"/>
      <c r="AL564" s="2231"/>
      <c r="AM564" s="2231"/>
      <c r="AN564" s="2231">
        <v>0.82</v>
      </c>
      <c r="AO564" s="2231">
        <v>0.82</v>
      </c>
      <c r="AP564" s="2168"/>
      <c r="AQ564" s="2168"/>
      <c r="AR564" s="2168"/>
      <c r="AS564" s="2168"/>
      <c r="AT564" s="2168"/>
      <c r="AU564" s="2168"/>
      <c r="AV564" s="2168"/>
    </row>
    <row r="565" spans="1:48" s="2141" customFormat="1" ht="24" hidden="1" outlineLevel="4">
      <c r="A565" s="2150"/>
      <c r="B565" s="2150"/>
      <c r="C565" s="2229" t="s">
        <v>1405</v>
      </c>
      <c r="D565" s="2230">
        <v>6.68</v>
      </c>
      <c r="M565" s="2098"/>
      <c r="N565" s="2098"/>
      <c r="O565" s="2098"/>
      <c r="P565" s="2098"/>
      <c r="R565" s="2198"/>
      <c r="S565" s="2198"/>
      <c r="T565" s="2198"/>
      <c r="U565" s="2198"/>
      <c r="V565" s="2168"/>
      <c r="W565" s="2168"/>
      <c r="X565" s="2168"/>
      <c r="Y565" s="2168"/>
      <c r="Z565" s="2168"/>
      <c r="AA565" s="2168"/>
      <c r="AB565" s="2168"/>
      <c r="AC565" s="2168"/>
      <c r="AD565" s="2168"/>
      <c r="AE565" s="2231">
        <v>6.68</v>
      </c>
      <c r="AF565" s="2231"/>
      <c r="AG565" s="2231"/>
      <c r="AH565" s="3403">
        <v>6.68</v>
      </c>
      <c r="AI565" s="3403"/>
      <c r="AJ565" s="2231"/>
      <c r="AK565" s="2231"/>
      <c r="AL565" s="2231"/>
      <c r="AM565" s="2231"/>
      <c r="AN565" s="2231">
        <v>6.68</v>
      </c>
      <c r="AO565" s="2231">
        <v>6.68</v>
      </c>
      <c r="AP565" s="2168"/>
      <c r="AQ565" s="2168"/>
      <c r="AR565" s="2168"/>
      <c r="AS565" s="2168"/>
      <c r="AT565" s="2168"/>
      <c r="AU565" s="2168"/>
      <c r="AV565" s="2168"/>
    </row>
    <row r="566" spans="1:48" s="2141" customFormat="1" ht="24" hidden="1" outlineLevel="4">
      <c r="A566" s="2150"/>
      <c r="B566" s="2150"/>
      <c r="C566" s="2229" t="s">
        <v>1406</v>
      </c>
      <c r="D566" s="2230">
        <v>466.16</v>
      </c>
      <c r="M566" s="2098"/>
      <c r="N566" s="2098"/>
      <c r="O566" s="2098"/>
      <c r="P566" s="2098"/>
      <c r="R566" s="2198"/>
      <c r="S566" s="2198"/>
      <c r="T566" s="2198"/>
      <c r="U566" s="2198"/>
      <c r="V566" s="2168"/>
      <c r="W566" s="2168"/>
      <c r="X566" s="2168"/>
      <c r="Y566" s="2168"/>
      <c r="Z566" s="2168"/>
      <c r="AA566" s="2168"/>
      <c r="AB566" s="2168"/>
      <c r="AC566" s="2168"/>
      <c r="AD566" s="2168"/>
      <c r="AE566" s="2231">
        <v>466.16</v>
      </c>
      <c r="AF566" s="2231"/>
      <c r="AG566" s="2231"/>
      <c r="AH566" s="3403">
        <v>464.23</v>
      </c>
      <c r="AI566" s="3403"/>
      <c r="AJ566" s="2231">
        <v>1.93</v>
      </c>
      <c r="AK566" s="2231"/>
      <c r="AL566" s="2231"/>
      <c r="AM566" s="2231"/>
      <c r="AN566" s="2231">
        <v>466.16</v>
      </c>
      <c r="AO566" s="2231">
        <v>466.16</v>
      </c>
      <c r="AP566" s="2168"/>
      <c r="AQ566" s="2168"/>
      <c r="AR566" s="2168"/>
      <c r="AS566" s="2168"/>
      <c r="AT566" s="2168"/>
      <c r="AU566" s="2168"/>
      <c r="AV566" s="2168"/>
    </row>
    <row r="567" spans="1:48" s="2141" customFormat="1" ht="36" hidden="1" outlineLevel="4">
      <c r="A567" s="2150"/>
      <c r="B567" s="2150"/>
      <c r="C567" s="2229" t="s">
        <v>1407</v>
      </c>
      <c r="D567" s="2230">
        <v>17.54</v>
      </c>
      <c r="M567" s="2098"/>
      <c r="N567" s="2098"/>
      <c r="O567" s="2098"/>
      <c r="P567" s="2098"/>
      <c r="R567" s="2198"/>
      <c r="S567" s="2198"/>
      <c r="T567" s="2198"/>
      <c r="U567" s="2198"/>
      <c r="V567" s="2168"/>
      <c r="W567" s="2168"/>
      <c r="X567" s="2168"/>
      <c r="Y567" s="2168"/>
      <c r="Z567" s="2168"/>
      <c r="AA567" s="2168"/>
      <c r="AB567" s="2168"/>
      <c r="AC567" s="2168"/>
      <c r="AD567" s="2168"/>
      <c r="AE567" s="2231">
        <v>17.54</v>
      </c>
      <c r="AF567" s="2231"/>
      <c r="AG567" s="2231"/>
      <c r="AH567" s="3403">
        <v>16.46</v>
      </c>
      <c r="AI567" s="3403"/>
      <c r="AJ567" s="2231">
        <v>1.08</v>
      </c>
      <c r="AK567" s="2231"/>
      <c r="AL567" s="2231"/>
      <c r="AM567" s="2231"/>
      <c r="AN567" s="2231">
        <v>17.54</v>
      </c>
      <c r="AO567" s="2231">
        <v>17.54</v>
      </c>
      <c r="AP567" s="2168"/>
      <c r="AQ567" s="2168"/>
      <c r="AR567" s="2168"/>
      <c r="AS567" s="2168"/>
      <c r="AT567" s="2168"/>
      <c r="AU567" s="2168"/>
      <c r="AV567" s="2168"/>
    </row>
    <row r="568" spans="1:48" s="2141" customFormat="1" ht="36" hidden="1" outlineLevel="4">
      <c r="A568" s="2150"/>
      <c r="B568" s="2150"/>
      <c r="C568" s="2229" t="s">
        <v>1408</v>
      </c>
      <c r="D568" s="2230">
        <v>3.15</v>
      </c>
      <c r="M568" s="2098"/>
      <c r="N568" s="2098"/>
      <c r="O568" s="2098"/>
      <c r="P568" s="2098"/>
      <c r="R568" s="2198"/>
      <c r="S568" s="2198"/>
      <c r="T568" s="2198"/>
      <c r="U568" s="2198"/>
      <c r="V568" s="2168"/>
      <c r="W568" s="2168"/>
      <c r="X568" s="2168"/>
      <c r="Y568" s="2168"/>
      <c r="Z568" s="2168"/>
      <c r="AA568" s="2168"/>
      <c r="AB568" s="2168"/>
      <c r="AC568" s="2168"/>
      <c r="AD568" s="2168"/>
      <c r="AE568" s="2231">
        <v>3.15</v>
      </c>
      <c r="AF568" s="2231"/>
      <c r="AG568" s="2231"/>
      <c r="AH568" s="3403">
        <v>2.88</v>
      </c>
      <c r="AI568" s="3403"/>
      <c r="AJ568" s="2231">
        <v>0.27</v>
      </c>
      <c r="AK568" s="2231"/>
      <c r="AL568" s="2231"/>
      <c r="AM568" s="2231"/>
      <c r="AN568" s="2231">
        <v>3.15</v>
      </c>
      <c r="AO568" s="2231">
        <v>3.15</v>
      </c>
      <c r="AP568" s="2168"/>
      <c r="AQ568" s="2168"/>
      <c r="AR568" s="2168"/>
      <c r="AS568" s="2168"/>
      <c r="AT568" s="2168"/>
      <c r="AU568" s="2168"/>
      <c r="AV568" s="2168"/>
    </row>
    <row r="569" spans="1:48" s="2141" customFormat="1" ht="36" hidden="1" outlineLevel="4">
      <c r="A569" s="2150"/>
      <c r="B569" s="2150"/>
      <c r="C569" s="2229" t="s">
        <v>1409</v>
      </c>
      <c r="D569" s="2230">
        <v>6.15</v>
      </c>
      <c r="M569" s="2098"/>
      <c r="N569" s="2098"/>
      <c r="O569" s="2098"/>
      <c r="P569" s="2098"/>
      <c r="R569" s="2198"/>
      <c r="S569" s="2198"/>
      <c r="T569" s="2198"/>
      <c r="U569" s="2198"/>
      <c r="V569" s="2168"/>
      <c r="W569" s="2168"/>
      <c r="X569" s="2168"/>
      <c r="Y569" s="2168"/>
      <c r="Z569" s="2168"/>
      <c r="AA569" s="2168"/>
      <c r="AB569" s="2168"/>
      <c r="AC569" s="2168"/>
      <c r="AD569" s="2168"/>
      <c r="AE569" s="2231">
        <v>6.15</v>
      </c>
      <c r="AF569" s="2231"/>
      <c r="AG569" s="2231"/>
      <c r="AH569" s="3403">
        <v>6.06</v>
      </c>
      <c r="AI569" s="3403"/>
      <c r="AJ569" s="2231">
        <v>0.09</v>
      </c>
      <c r="AK569" s="2231"/>
      <c r="AL569" s="2231"/>
      <c r="AM569" s="2231"/>
      <c r="AN569" s="2231">
        <v>6.15</v>
      </c>
      <c r="AO569" s="2231">
        <v>6.15</v>
      </c>
      <c r="AP569" s="2168"/>
      <c r="AQ569" s="2168"/>
      <c r="AR569" s="2168"/>
      <c r="AS569" s="2168"/>
      <c r="AT569" s="2168"/>
      <c r="AU569" s="2168"/>
      <c r="AV569" s="2168"/>
    </row>
    <row r="570" spans="1:48" s="2141" customFormat="1" ht="24" hidden="1" outlineLevel="4">
      <c r="A570" s="2150"/>
      <c r="B570" s="2150"/>
      <c r="C570" s="2229" t="s">
        <v>1410</v>
      </c>
      <c r="D570" s="2230">
        <v>48.33</v>
      </c>
      <c r="M570" s="2098"/>
      <c r="N570" s="2098"/>
      <c r="O570" s="2098"/>
      <c r="P570" s="2098"/>
      <c r="R570" s="2198"/>
      <c r="S570" s="2198"/>
      <c r="T570" s="2198"/>
      <c r="U570" s="2198"/>
      <c r="V570" s="2168"/>
      <c r="W570" s="2168"/>
      <c r="X570" s="2168"/>
      <c r="Y570" s="2168"/>
      <c r="Z570" s="2168"/>
      <c r="AA570" s="2168"/>
      <c r="AB570" s="2168"/>
      <c r="AC570" s="2168"/>
      <c r="AD570" s="2168"/>
      <c r="AE570" s="2231">
        <v>48.33</v>
      </c>
      <c r="AF570" s="2231"/>
      <c r="AG570" s="2231"/>
      <c r="AH570" s="3403">
        <v>48.33</v>
      </c>
      <c r="AI570" s="3403"/>
      <c r="AJ570" s="2231"/>
      <c r="AK570" s="2231"/>
      <c r="AL570" s="2231"/>
      <c r="AM570" s="2231"/>
      <c r="AN570" s="2231">
        <v>48.33</v>
      </c>
      <c r="AO570" s="2231">
        <v>48.33</v>
      </c>
      <c r="AP570" s="2168"/>
      <c r="AQ570" s="2168"/>
      <c r="AR570" s="2168"/>
      <c r="AS570" s="2168"/>
      <c r="AT570" s="2168"/>
      <c r="AU570" s="2168"/>
      <c r="AV570" s="2168"/>
    </row>
    <row r="571" spans="1:48" s="2141" customFormat="1" ht="12.75" hidden="1" outlineLevel="1">
      <c r="A571" s="2150"/>
      <c r="B571" s="2150"/>
      <c r="C571" s="2241" t="s">
        <v>21</v>
      </c>
      <c r="D571" s="2242">
        <v>4676399.21</v>
      </c>
      <c r="M571" s="2098"/>
      <c r="N571" s="2098"/>
      <c r="O571" s="2098"/>
      <c r="P571" s="2098"/>
      <c r="R571" s="2198"/>
      <c r="S571" s="2198"/>
      <c r="T571" s="2198"/>
      <c r="U571" s="2198"/>
      <c r="V571" s="2168"/>
      <c r="W571" s="2168"/>
      <c r="X571" s="2168"/>
      <c r="Y571" s="2168"/>
      <c r="Z571" s="2168"/>
      <c r="AA571" s="2168"/>
      <c r="AB571" s="2168"/>
      <c r="AC571" s="2168"/>
      <c r="AD571" s="2168"/>
      <c r="AE571" s="2243">
        <v>4676399.21</v>
      </c>
      <c r="AF571" s="2243">
        <v>8857.5400000000009</v>
      </c>
      <c r="AG571" s="2243">
        <v>101313.87</v>
      </c>
      <c r="AH571" s="3404">
        <v>4357504.9400000004</v>
      </c>
      <c r="AI571" s="3404"/>
      <c r="AJ571" s="2243">
        <v>55743.65</v>
      </c>
      <c r="AK571" s="2243">
        <v>21689.52</v>
      </c>
      <c r="AL571" s="2243">
        <v>71346.69</v>
      </c>
      <c r="AM571" s="2243">
        <v>59943</v>
      </c>
      <c r="AN571" s="2243">
        <v>4676399.21</v>
      </c>
      <c r="AO571" s="2243">
        <v>4676399.21</v>
      </c>
      <c r="AP571" s="2168"/>
      <c r="AQ571" s="2168"/>
      <c r="AR571" s="2168"/>
      <c r="AS571" s="2168"/>
      <c r="AT571" s="2168"/>
      <c r="AU571" s="2168"/>
      <c r="AV571" s="2168"/>
    </row>
    <row r="572" spans="1:48">
      <c r="M572" s="2098"/>
      <c r="N572" s="2098"/>
      <c r="O572" s="2098"/>
      <c r="P572" s="2098"/>
      <c r="R572" s="2198"/>
      <c r="S572" s="2198"/>
      <c r="T572" s="2198"/>
      <c r="U572" s="2198"/>
      <c r="V572" s="2168"/>
      <c r="W572" s="2168"/>
      <c r="X572" s="2168"/>
      <c r="Y572" s="2168"/>
      <c r="Z572" s="2168"/>
      <c r="AA572" s="2168"/>
      <c r="AB572" s="2168"/>
      <c r="AC572" s="2168"/>
      <c r="AD572" s="2168"/>
      <c r="AE572" s="2168"/>
      <c r="AF572" s="2168"/>
      <c r="AG572" s="2168"/>
      <c r="AH572" s="2168"/>
      <c r="AI572" s="2168"/>
      <c r="AJ572" s="2168"/>
      <c r="AK572" s="2168"/>
      <c r="AL572" s="2168"/>
      <c r="AM572" s="2168"/>
      <c r="AN572" s="2168"/>
      <c r="AO572" s="2168"/>
      <c r="AP572" s="2168"/>
      <c r="AQ572" s="2168"/>
      <c r="AR572" s="2168"/>
      <c r="AS572" s="2168"/>
      <c r="AT572" s="2168"/>
      <c r="AU572" s="2168"/>
      <c r="AV572" s="2168"/>
    </row>
    <row r="573" spans="1:48">
      <c r="M573" s="2098"/>
      <c r="N573" s="2098"/>
      <c r="O573" s="2098"/>
      <c r="P573" s="2098"/>
      <c r="R573" s="2198"/>
      <c r="S573" s="2198"/>
      <c r="T573" s="2198"/>
      <c r="U573" s="2198"/>
      <c r="V573" s="2168"/>
      <c r="W573" s="2168"/>
      <c r="X573" s="2168"/>
      <c r="Y573" s="2168"/>
      <c r="Z573" s="2168"/>
      <c r="AA573" s="2168"/>
      <c r="AB573" s="2168"/>
      <c r="AC573" s="2168"/>
      <c r="AD573" s="2168"/>
      <c r="AE573" s="2168"/>
      <c r="AF573" s="2168"/>
      <c r="AG573" s="2168"/>
      <c r="AH573" s="2168"/>
      <c r="AI573" s="2168"/>
      <c r="AJ573" s="2168"/>
      <c r="AK573" s="2168"/>
      <c r="AL573" s="2168"/>
      <c r="AM573" s="2168"/>
      <c r="AN573" s="2168"/>
      <c r="AO573" s="2168"/>
      <c r="AP573" s="2168"/>
      <c r="AQ573" s="2168"/>
      <c r="AR573" s="2168"/>
      <c r="AS573" s="2168"/>
      <c r="AT573" s="2168"/>
      <c r="AU573" s="2168"/>
      <c r="AV573" s="2168"/>
    </row>
    <row r="574" spans="1:48">
      <c r="M574" s="2098"/>
      <c r="N574" s="2098"/>
      <c r="O574" s="2098"/>
      <c r="P574" s="2098"/>
      <c r="R574" s="2198"/>
      <c r="S574" s="2198"/>
      <c r="T574" s="2198"/>
      <c r="U574" s="2198"/>
      <c r="V574" s="2168"/>
      <c r="W574" s="2168"/>
      <c r="X574" s="2168"/>
      <c r="Y574" s="2168"/>
      <c r="Z574" s="2168"/>
      <c r="AA574" s="2168"/>
      <c r="AB574" s="2168"/>
      <c r="AC574" s="2168"/>
      <c r="AD574" s="2168"/>
      <c r="AE574" s="2168"/>
      <c r="AF574" s="2168"/>
      <c r="AG574" s="2168"/>
      <c r="AH574" s="2168"/>
      <c r="AI574" s="2168"/>
      <c r="AJ574" s="2168"/>
      <c r="AK574" s="2168"/>
      <c r="AL574" s="2168"/>
      <c r="AM574" s="2168"/>
      <c r="AN574" s="2168"/>
      <c r="AO574" s="2168"/>
      <c r="AP574" s="2168"/>
      <c r="AQ574" s="2168"/>
      <c r="AR574" s="2168"/>
      <c r="AS574" s="2168"/>
      <c r="AT574" s="2168"/>
      <c r="AU574" s="2168"/>
      <c r="AV574" s="2168"/>
    </row>
    <row r="575" spans="1:48">
      <c r="M575" s="2098"/>
      <c r="N575" s="2098"/>
      <c r="O575" s="2098"/>
      <c r="P575" s="2098"/>
      <c r="R575" s="2198"/>
      <c r="S575" s="2198"/>
      <c r="T575" s="2198"/>
      <c r="U575" s="2198"/>
      <c r="V575" s="2168"/>
      <c r="W575" s="2168"/>
      <c r="X575" s="2168"/>
      <c r="Y575" s="2168"/>
      <c r="Z575" s="2168"/>
      <c r="AA575" s="2168"/>
      <c r="AB575" s="2168"/>
      <c r="AC575" s="2168"/>
      <c r="AD575" s="2168"/>
      <c r="AE575" s="2168"/>
      <c r="AF575" s="2168"/>
      <c r="AG575" s="2168"/>
      <c r="AH575" s="2168"/>
      <c r="AI575" s="2168"/>
      <c r="AJ575" s="2168"/>
      <c r="AK575" s="2168"/>
      <c r="AL575" s="2168"/>
      <c r="AM575" s="2168"/>
      <c r="AN575" s="2168"/>
      <c r="AO575" s="2168"/>
      <c r="AP575" s="2168"/>
      <c r="AQ575" s="2168"/>
      <c r="AR575" s="2168"/>
      <c r="AS575" s="2168"/>
      <c r="AT575" s="2168"/>
      <c r="AU575" s="2168"/>
      <c r="AV575" s="2168"/>
    </row>
    <row r="576" spans="1:48">
      <c r="M576" s="2098"/>
      <c r="N576" s="2098"/>
      <c r="O576" s="2098"/>
      <c r="P576" s="2098"/>
      <c r="R576" s="2198"/>
      <c r="S576" s="2198"/>
      <c r="T576" s="2198"/>
      <c r="U576" s="2198"/>
      <c r="V576" s="2168"/>
      <c r="W576" s="2168"/>
      <c r="X576" s="2168"/>
      <c r="Y576" s="2168"/>
      <c r="Z576" s="2168"/>
      <c r="AA576" s="2168"/>
      <c r="AB576" s="2168"/>
      <c r="AC576" s="2168"/>
      <c r="AD576" s="2168"/>
      <c r="AE576" s="2168"/>
      <c r="AF576" s="2168"/>
      <c r="AG576" s="2168"/>
      <c r="AH576" s="2168"/>
      <c r="AI576" s="2168"/>
      <c r="AJ576" s="2168"/>
      <c r="AK576" s="2168"/>
      <c r="AL576" s="2168"/>
      <c r="AM576" s="2168"/>
      <c r="AN576" s="2168"/>
      <c r="AO576" s="2168"/>
      <c r="AP576" s="2168"/>
      <c r="AQ576" s="2168"/>
      <c r="AR576" s="2168"/>
      <c r="AS576" s="2168"/>
      <c r="AT576" s="2168"/>
      <c r="AU576" s="2168"/>
      <c r="AV576" s="2168"/>
    </row>
    <row r="577" spans="13:48">
      <c r="M577" s="2098"/>
      <c r="N577" s="2098"/>
      <c r="O577" s="2098"/>
      <c r="P577" s="2098"/>
      <c r="R577" s="2198"/>
      <c r="S577" s="2198"/>
      <c r="T577" s="2198"/>
      <c r="U577" s="2198"/>
      <c r="V577" s="2168"/>
      <c r="W577" s="2168"/>
      <c r="X577" s="2168"/>
      <c r="Y577" s="2168"/>
      <c r="Z577" s="2168"/>
      <c r="AA577" s="2168"/>
      <c r="AB577" s="2168"/>
      <c r="AC577" s="2168"/>
      <c r="AD577" s="2168"/>
      <c r="AE577" s="2168"/>
      <c r="AF577" s="2168"/>
      <c r="AG577" s="2168"/>
      <c r="AH577" s="2168"/>
      <c r="AI577" s="2168"/>
      <c r="AJ577" s="2168"/>
      <c r="AK577" s="2168"/>
      <c r="AL577" s="2168"/>
      <c r="AM577" s="2168"/>
      <c r="AN577" s="2168"/>
      <c r="AO577" s="2168"/>
      <c r="AP577" s="2168"/>
      <c r="AQ577" s="2168"/>
      <c r="AR577" s="2168"/>
      <c r="AS577" s="2168"/>
      <c r="AT577" s="2168"/>
      <c r="AU577" s="2168"/>
      <c r="AV577" s="2168"/>
    </row>
    <row r="578" spans="13:48">
      <c r="M578" s="2098"/>
      <c r="N578" s="2098"/>
      <c r="O578" s="2098"/>
      <c r="P578" s="2098"/>
      <c r="R578" s="2198"/>
      <c r="S578" s="2198"/>
      <c r="T578" s="2198"/>
      <c r="U578" s="2198"/>
      <c r="V578" s="2168"/>
      <c r="W578" s="2168"/>
      <c r="X578" s="2168"/>
      <c r="Y578" s="2168"/>
      <c r="Z578" s="2168"/>
      <c r="AA578" s="2168"/>
      <c r="AB578" s="2168"/>
      <c r="AC578" s="2168"/>
      <c r="AD578" s="2168"/>
      <c r="AE578" s="2168"/>
      <c r="AF578" s="2168"/>
      <c r="AG578" s="2168"/>
      <c r="AH578" s="2168"/>
      <c r="AI578" s="2168"/>
      <c r="AJ578" s="2168"/>
      <c r="AK578" s="2168"/>
      <c r="AL578" s="2168"/>
      <c r="AM578" s="2168"/>
      <c r="AN578" s="2168"/>
      <c r="AO578" s="2168"/>
      <c r="AP578" s="2168"/>
      <c r="AQ578" s="2168"/>
      <c r="AR578" s="2168"/>
      <c r="AS578" s="2168"/>
      <c r="AT578" s="2168"/>
      <c r="AU578" s="2168"/>
      <c r="AV578" s="2168"/>
    </row>
    <row r="579" spans="13:48">
      <c r="M579" s="2098"/>
      <c r="N579" s="2098"/>
      <c r="O579" s="2098"/>
      <c r="P579" s="2098"/>
      <c r="R579" s="2198"/>
      <c r="S579" s="2198"/>
      <c r="T579" s="2198"/>
      <c r="U579" s="2198"/>
      <c r="V579" s="2168"/>
      <c r="W579" s="2168"/>
      <c r="X579" s="2168"/>
      <c r="Y579" s="2168"/>
      <c r="Z579" s="2168"/>
      <c r="AA579" s="2168"/>
      <c r="AB579" s="2168"/>
      <c r="AC579" s="2168"/>
      <c r="AD579" s="2168"/>
      <c r="AE579" s="2168"/>
      <c r="AF579" s="2168"/>
      <c r="AG579" s="2168"/>
      <c r="AH579" s="2168"/>
      <c r="AI579" s="2168"/>
      <c r="AJ579" s="2168"/>
      <c r="AK579" s="2168"/>
      <c r="AL579" s="2168"/>
      <c r="AM579" s="2168"/>
      <c r="AN579" s="2168"/>
      <c r="AO579" s="2168"/>
      <c r="AP579" s="2168"/>
      <c r="AQ579" s="2168"/>
      <c r="AR579" s="2168"/>
      <c r="AS579" s="2168"/>
      <c r="AT579" s="2168"/>
      <c r="AU579" s="2168"/>
      <c r="AV579" s="2168"/>
    </row>
    <row r="580" spans="13:48">
      <c r="M580" s="2098"/>
      <c r="N580" s="2098"/>
      <c r="O580" s="2098"/>
      <c r="P580" s="2098"/>
      <c r="R580" s="2198"/>
      <c r="S580" s="2198"/>
      <c r="T580" s="2198"/>
      <c r="U580" s="2198"/>
      <c r="V580" s="2168"/>
      <c r="W580" s="2168"/>
      <c r="X580" s="2168"/>
      <c r="Y580" s="2168"/>
      <c r="Z580" s="2168"/>
      <c r="AA580" s="2168"/>
      <c r="AB580" s="2168"/>
      <c r="AC580" s="2168"/>
      <c r="AD580" s="2168"/>
      <c r="AE580" s="2168"/>
      <c r="AF580" s="2168"/>
      <c r="AG580" s="2168"/>
      <c r="AH580" s="2168"/>
      <c r="AI580" s="2168"/>
      <c r="AJ580" s="2168"/>
      <c r="AK580" s="2168"/>
      <c r="AL580" s="2168"/>
      <c r="AM580" s="2168"/>
      <c r="AN580" s="2168"/>
      <c r="AO580" s="2168"/>
      <c r="AP580" s="2168"/>
      <c r="AQ580" s="2168"/>
      <c r="AR580" s="2168"/>
      <c r="AS580" s="2168"/>
      <c r="AT580" s="2168"/>
      <c r="AU580" s="2168"/>
      <c r="AV580" s="2168"/>
    </row>
    <row r="581" spans="13:48">
      <c r="M581" s="2098"/>
      <c r="N581" s="2098"/>
      <c r="O581" s="2098"/>
      <c r="P581" s="2098"/>
      <c r="R581" s="2198"/>
      <c r="S581" s="2198"/>
      <c r="T581" s="2198"/>
      <c r="U581" s="2198"/>
      <c r="V581" s="2168"/>
      <c r="W581" s="2168"/>
      <c r="X581" s="2168"/>
      <c r="Y581" s="2168"/>
      <c r="Z581" s="2168"/>
      <c r="AA581" s="2168"/>
      <c r="AB581" s="2168"/>
      <c r="AC581" s="2168"/>
      <c r="AD581" s="2168"/>
      <c r="AE581" s="2168"/>
      <c r="AF581" s="2168"/>
      <c r="AG581" s="2168"/>
      <c r="AH581" s="2168"/>
      <c r="AI581" s="2168"/>
      <c r="AJ581" s="2168"/>
      <c r="AK581" s="2168"/>
      <c r="AL581" s="2168"/>
      <c r="AM581" s="2168"/>
      <c r="AN581" s="2168"/>
      <c r="AO581" s="2168"/>
      <c r="AP581" s="2168"/>
      <c r="AQ581" s="2168"/>
      <c r="AR581" s="2168"/>
      <c r="AS581" s="2168"/>
      <c r="AT581" s="2168"/>
      <c r="AU581" s="2168"/>
      <c r="AV581" s="2168"/>
    </row>
    <row r="582" spans="13:48">
      <c r="M582" s="2098"/>
      <c r="N582" s="2098"/>
      <c r="O582" s="2098"/>
      <c r="P582" s="2098"/>
      <c r="R582" s="2198"/>
      <c r="S582" s="2198"/>
      <c r="T582" s="2198"/>
      <c r="U582" s="2198"/>
      <c r="V582" s="2168"/>
      <c r="W582" s="2168"/>
      <c r="X582" s="2168"/>
      <c r="Y582" s="2168"/>
      <c r="Z582" s="2168"/>
      <c r="AA582" s="2168"/>
      <c r="AB582" s="2168"/>
      <c r="AC582" s="2168"/>
      <c r="AD582" s="2168"/>
      <c r="AE582" s="2168"/>
      <c r="AF582" s="2168"/>
      <c r="AG582" s="2168"/>
      <c r="AH582" s="2168"/>
      <c r="AI582" s="2168"/>
      <c r="AJ582" s="2168"/>
      <c r="AK582" s="2168"/>
      <c r="AL582" s="2168"/>
      <c r="AM582" s="2168"/>
      <c r="AN582" s="2168"/>
      <c r="AO582" s="2168"/>
      <c r="AP582" s="2168"/>
      <c r="AQ582" s="2168"/>
      <c r="AR582" s="2168"/>
      <c r="AS582" s="2168"/>
      <c r="AT582" s="2168"/>
      <c r="AU582" s="2168"/>
      <c r="AV582" s="2168"/>
    </row>
    <row r="583" spans="13:48">
      <c r="M583" s="2098"/>
      <c r="N583" s="2098"/>
      <c r="O583" s="2098"/>
      <c r="P583" s="2098"/>
      <c r="R583" s="2198"/>
      <c r="S583" s="2198"/>
      <c r="T583" s="2198"/>
      <c r="U583" s="2198"/>
      <c r="V583" s="2168"/>
      <c r="W583" s="2168"/>
      <c r="X583" s="2168"/>
      <c r="Y583" s="2168"/>
      <c r="Z583" s="2168"/>
      <c r="AA583" s="2168"/>
      <c r="AB583" s="2168"/>
      <c r="AC583" s="2168"/>
      <c r="AD583" s="2168"/>
      <c r="AE583" s="2168"/>
      <c r="AF583" s="2168"/>
      <c r="AG583" s="2168"/>
      <c r="AH583" s="2168"/>
      <c r="AI583" s="2168"/>
      <c r="AJ583" s="2168"/>
      <c r="AK583" s="2168"/>
      <c r="AL583" s="2168"/>
      <c r="AM583" s="2168"/>
      <c r="AN583" s="2168"/>
      <c r="AO583" s="2168"/>
      <c r="AP583" s="2168"/>
      <c r="AQ583" s="2168"/>
      <c r="AR583" s="2168"/>
      <c r="AS583" s="2168"/>
      <c r="AT583" s="2168"/>
      <c r="AU583" s="2168"/>
      <c r="AV583" s="2168"/>
    </row>
    <row r="584" spans="13:48">
      <c r="M584" s="2098"/>
      <c r="N584" s="2098"/>
      <c r="O584" s="2098"/>
      <c r="P584" s="2098"/>
      <c r="R584" s="2198"/>
      <c r="S584" s="2198"/>
      <c r="T584" s="2198"/>
      <c r="U584" s="2198"/>
      <c r="V584" s="2168"/>
      <c r="W584" s="2168"/>
      <c r="X584" s="2168"/>
      <c r="Y584" s="2168"/>
      <c r="Z584" s="2168"/>
      <c r="AA584" s="2168"/>
      <c r="AB584" s="2168"/>
      <c r="AC584" s="2168"/>
      <c r="AD584" s="2168"/>
      <c r="AE584" s="2168"/>
      <c r="AF584" s="2168"/>
      <c r="AG584" s="2168"/>
      <c r="AH584" s="2168"/>
      <c r="AI584" s="2168"/>
      <c r="AJ584" s="2168"/>
      <c r="AK584" s="2168"/>
      <c r="AL584" s="2168"/>
      <c r="AM584" s="2168"/>
      <c r="AN584" s="2168"/>
      <c r="AO584" s="2168"/>
      <c r="AP584" s="2168"/>
      <c r="AQ584" s="2168"/>
      <c r="AR584" s="2168"/>
      <c r="AS584" s="2168"/>
      <c r="AT584" s="2168"/>
      <c r="AU584" s="2168"/>
      <c r="AV584" s="2168"/>
    </row>
    <row r="585" spans="13:48">
      <c r="M585" s="2098"/>
      <c r="N585" s="2098"/>
      <c r="O585" s="2098"/>
      <c r="P585" s="2098"/>
      <c r="R585" s="2198"/>
      <c r="S585" s="2198"/>
      <c r="T585" s="2198"/>
      <c r="U585" s="2198"/>
      <c r="V585" s="2168"/>
      <c r="W585" s="2168"/>
      <c r="X585" s="2168"/>
      <c r="Y585" s="2168"/>
      <c r="Z585" s="2168"/>
      <c r="AA585" s="2168"/>
      <c r="AB585" s="2168"/>
      <c r="AC585" s="2168"/>
      <c r="AD585" s="2168"/>
      <c r="AE585" s="2168"/>
      <c r="AF585" s="2168"/>
      <c r="AG585" s="2168"/>
      <c r="AH585" s="2168"/>
      <c r="AI585" s="2168"/>
      <c r="AJ585" s="2168"/>
      <c r="AK585" s="2168"/>
      <c r="AL585" s="2168"/>
      <c r="AM585" s="2168"/>
      <c r="AN585" s="2168"/>
      <c r="AO585" s="2168"/>
      <c r="AP585" s="2168"/>
      <c r="AQ585" s="2168"/>
      <c r="AR585" s="2168"/>
      <c r="AS585" s="2168"/>
      <c r="AT585" s="2168"/>
      <c r="AU585" s="2168"/>
      <c r="AV585" s="2168"/>
    </row>
    <row r="586" spans="13:48">
      <c r="M586" s="2098"/>
      <c r="N586" s="2098"/>
      <c r="O586" s="2098"/>
      <c r="P586" s="2098"/>
      <c r="R586" s="2198"/>
      <c r="S586" s="2198"/>
      <c r="T586" s="2198"/>
      <c r="U586" s="2198"/>
      <c r="V586" s="2168"/>
      <c r="W586" s="2168"/>
      <c r="X586" s="2168"/>
      <c r="Y586" s="2168"/>
      <c r="Z586" s="2168"/>
      <c r="AA586" s="2168"/>
      <c r="AB586" s="2168"/>
      <c r="AC586" s="2168"/>
      <c r="AD586" s="2168"/>
      <c r="AE586" s="2168"/>
      <c r="AF586" s="2168"/>
      <c r="AG586" s="2168"/>
      <c r="AH586" s="2168"/>
      <c r="AI586" s="2168"/>
      <c r="AJ586" s="2168"/>
      <c r="AK586" s="2168"/>
      <c r="AL586" s="2168"/>
      <c r="AM586" s="2168"/>
      <c r="AN586" s="2168"/>
      <c r="AO586" s="2168"/>
      <c r="AP586" s="2168"/>
      <c r="AQ586" s="2168"/>
      <c r="AR586" s="2168"/>
      <c r="AS586" s="2168"/>
      <c r="AT586" s="2168"/>
      <c r="AU586" s="2168"/>
      <c r="AV586" s="2168"/>
    </row>
    <row r="587" spans="13:48">
      <c r="M587" s="2098"/>
      <c r="N587" s="2098"/>
      <c r="O587" s="2098"/>
      <c r="P587" s="2098"/>
      <c r="R587" s="2198"/>
      <c r="S587" s="2198"/>
      <c r="T587" s="2198"/>
      <c r="U587" s="2198"/>
      <c r="V587" s="2168"/>
      <c r="W587" s="2168"/>
      <c r="X587" s="2168"/>
      <c r="Y587" s="2168"/>
      <c r="Z587" s="2168"/>
      <c r="AA587" s="2168"/>
      <c r="AB587" s="2168"/>
      <c r="AC587" s="2168"/>
      <c r="AD587" s="2168"/>
      <c r="AE587" s="2168"/>
      <c r="AF587" s="2168"/>
      <c r="AG587" s="2168"/>
      <c r="AH587" s="2168"/>
      <c r="AI587" s="2168"/>
      <c r="AJ587" s="2168"/>
      <c r="AK587" s="2168"/>
      <c r="AL587" s="2168"/>
      <c r="AM587" s="2168"/>
      <c r="AN587" s="2168"/>
      <c r="AO587" s="2168"/>
      <c r="AP587" s="2168"/>
      <c r="AQ587" s="2168"/>
      <c r="AR587" s="2168"/>
      <c r="AS587" s="2168"/>
      <c r="AT587" s="2168"/>
      <c r="AU587" s="2168"/>
      <c r="AV587" s="2168"/>
    </row>
    <row r="588" spans="13:48">
      <c r="M588" s="2098"/>
      <c r="N588" s="2098"/>
      <c r="O588" s="2098"/>
      <c r="P588" s="2098"/>
      <c r="R588" s="2198"/>
      <c r="S588" s="2198"/>
      <c r="T588" s="2198"/>
      <c r="U588" s="2198"/>
      <c r="V588" s="2168"/>
      <c r="W588" s="2168"/>
      <c r="X588" s="2168"/>
      <c r="Y588" s="2168"/>
      <c r="Z588" s="2168"/>
      <c r="AA588" s="2168"/>
      <c r="AB588" s="2168"/>
      <c r="AC588" s="2168"/>
      <c r="AD588" s="2168"/>
      <c r="AE588" s="2168"/>
      <c r="AF588" s="2168"/>
      <c r="AG588" s="2168"/>
      <c r="AH588" s="2168"/>
      <c r="AI588" s="2168"/>
      <c r="AJ588" s="2168"/>
      <c r="AK588" s="2168"/>
      <c r="AL588" s="2168"/>
      <c r="AM588" s="2168"/>
      <c r="AN588" s="2168"/>
      <c r="AO588" s="2168"/>
      <c r="AP588" s="2168"/>
      <c r="AQ588" s="2168"/>
      <c r="AR588" s="2168"/>
      <c r="AS588" s="2168"/>
      <c r="AT588" s="2168"/>
      <c r="AU588" s="2168"/>
      <c r="AV588" s="2168"/>
    </row>
    <row r="589" spans="13:48">
      <c r="M589" s="2098"/>
      <c r="N589" s="2098"/>
      <c r="O589" s="2098"/>
      <c r="P589" s="2098"/>
      <c r="R589" s="2198"/>
      <c r="S589" s="2198"/>
      <c r="T589" s="2198"/>
      <c r="U589" s="2198"/>
      <c r="V589" s="2168"/>
      <c r="W589" s="2168"/>
      <c r="X589" s="2168"/>
      <c r="Y589" s="2168"/>
      <c r="Z589" s="2168"/>
      <c r="AA589" s="2168"/>
      <c r="AB589" s="2168"/>
      <c r="AC589" s="2168"/>
      <c r="AD589" s="2168"/>
      <c r="AE589" s="2168"/>
      <c r="AF589" s="2168"/>
      <c r="AG589" s="2168"/>
      <c r="AH589" s="2168"/>
      <c r="AI589" s="2168"/>
      <c r="AJ589" s="2168"/>
      <c r="AK589" s="2168"/>
      <c r="AL589" s="2168"/>
      <c r="AM589" s="2168"/>
      <c r="AN589" s="2168"/>
      <c r="AO589" s="2168"/>
      <c r="AP589" s="2168"/>
      <c r="AQ589" s="2168"/>
      <c r="AR589" s="2168"/>
      <c r="AS589" s="2168"/>
      <c r="AT589" s="2168"/>
      <c r="AU589" s="2168"/>
      <c r="AV589" s="2168"/>
    </row>
    <row r="590" spans="13:48">
      <c r="M590" s="2098"/>
      <c r="N590" s="2098"/>
      <c r="O590" s="2098"/>
      <c r="P590" s="2098"/>
      <c r="R590" s="2198"/>
      <c r="S590" s="2198"/>
      <c r="T590" s="2198"/>
      <c r="U590" s="2198"/>
      <c r="V590" s="2168"/>
      <c r="W590" s="2168"/>
      <c r="X590" s="2168"/>
      <c r="Y590" s="2168"/>
      <c r="Z590" s="2168"/>
      <c r="AA590" s="2168"/>
      <c r="AB590" s="2168"/>
      <c r="AC590" s="2168"/>
      <c r="AD590" s="2168"/>
      <c r="AE590" s="2168"/>
      <c r="AF590" s="2168"/>
      <c r="AG590" s="2168"/>
      <c r="AH590" s="2168"/>
      <c r="AI590" s="2168"/>
      <c r="AJ590" s="2168"/>
      <c r="AK590" s="2168"/>
      <c r="AL590" s="2168"/>
      <c r="AM590" s="2168"/>
      <c r="AN590" s="2168"/>
      <c r="AO590" s="2168"/>
      <c r="AP590" s="2168"/>
      <c r="AQ590" s="2168"/>
      <c r="AR590" s="2168"/>
      <c r="AS590" s="2168"/>
      <c r="AT590" s="2168"/>
      <c r="AU590" s="2168"/>
      <c r="AV590" s="2168"/>
    </row>
    <row r="591" spans="13:48">
      <c r="M591" s="2098"/>
      <c r="N591" s="2098"/>
      <c r="O591" s="2098"/>
      <c r="P591" s="2098"/>
      <c r="R591" s="2198"/>
      <c r="S591" s="2198"/>
      <c r="T591" s="2198"/>
      <c r="U591" s="2198"/>
      <c r="V591" s="2168"/>
      <c r="W591" s="2168"/>
      <c r="X591" s="2168"/>
      <c r="Y591" s="2168"/>
      <c r="Z591" s="2168"/>
      <c r="AA591" s="2168"/>
      <c r="AB591" s="2168"/>
      <c r="AC591" s="2168"/>
      <c r="AD591" s="2168"/>
      <c r="AE591" s="2168"/>
      <c r="AF591" s="2168"/>
      <c r="AG591" s="2168"/>
      <c r="AH591" s="2168"/>
      <c r="AI591" s="2168"/>
      <c r="AJ591" s="2168"/>
      <c r="AK591" s="2168"/>
      <c r="AL591" s="2168"/>
      <c r="AM591" s="2168"/>
      <c r="AN591" s="2168"/>
      <c r="AO591" s="2168"/>
      <c r="AP591" s="2168"/>
      <c r="AQ591" s="2168"/>
      <c r="AR591" s="2168"/>
      <c r="AS591" s="2168"/>
      <c r="AT591" s="2168"/>
      <c r="AU591" s="2168"/>
      <c r="AV591" s="2168"/>
    </row>
    <row r="592" spans="13:48">
      <c r="M592" s="2098"/>
      <c r="N592" s="2098"/>
      <c r="O592" s="2098"/>
      <c r="P592" s="2098"/>
      <c r="R592" s="2198"/>
      <c r="S592" s="2198"/>
      <c r="T592" s="2198"/>
      <c r="U592" s="2198"/>
      <c r="V592" s="2168"/>
      <c r="W592" s="2168"/>
      <c r="X592" s="2168"/>
      <c r="Y592" s="2168"/>
      <c r="Z592" s="2168"/>
      <c r="AA592" s="2168"/>
      <c r="AB592" s="2168"/>
      <c r="AC592" s="2168"/>
      <c r="AD592" s="2168"/>
      <c r="AE592" s="2168"/>
      <c r="AF592" s="2168"/>
      <c r="AG592" s="2168"/>
      <c r="AH592" s="2168"/>
      <c r="AI592" s="2168"/>
      <c r="AJ592" s="2168"/>
      <c r="AK592" s="2168"/>
      <c r="AL592" s="2168"/>
      <c r="AM592" s="2168"/>
      <c r="AN592" s="2168"/>
      <c r="AO592" s="2168"/>
      <c r="AP592" s="2168"/>
      <c r="AQ592" s="2168"/>
      <c r="AR592" s="2168"/>
      <c r="AS592" s="2168"/>
      <c r="AT592" s="2168"/>
      <c r="AU592" s="2168"/>
      <c r="AV592" s="2168"/>
    </row>
    <row r="593" spans="13:48">
      <c r="M593" s="2098"/>
      <c r="N593" s="2098"/>
      <c r="O593" s="2098"/>
      <c r="P593" s="2098"/>
      <c r="R593" s="2198"/>
      <c r="S593" s="2198"/>
      <c r="T593" s="2198"/>
      <c r="U593" s="2198"/>
      <c r="V593" s="2168"/>
      <c r="W593" s="2168"/>
      <c r="X593" s="2168"/>
      <c r="Y593" s="2168"/>
      <c r="Z593" s="2168"/>
      <c r="AA593" s="2168"/>
      <c r="AB593" s="2168"/>
      <c r="AC593" s="2168"/>
      <c r="AD593" s="2168"/>
      <c r="AE593" s="2168"/>
      <c r="AF593" s="2168"/>
      <c r="AG593" s="2168"/>
      <c r="AH593" s="2168"/>
      <c r="AI593" s="2168"/>
      <c r="AJ593" s="2168"/>
      <c r="AK593" s="2168"/>
      <c r="AL593" s="2168"/>
      <c r="AM593" s="2168"/>
      <c r="AN593" s="2168"/>
      <c r="AO593" s="2168"/>
      <c r="AP593" s="2168"/>
      <c r="AQ593" s="2168"/>
      <c r="AR593" s="2168"/>
      <c r="AS593" s="2168"/>
      <c r="AT593" s="2168"/>
      <c r="AU593" s="2168"/>
      <c r="AV593" s="2168"/>
    </row>
    <row r="594" spans="13:48">
      <c r="M594" s="2098"/>
      <c r="N594" s="2098"/>
      <c r="O594" s="2098"/>
      <c r="P594" s="2098"/>
      <c r="R594" s="2198"/>
      <c r="S594" s="2198"/>
      <c r="T594" s="2198"/>
      <c r="U594" s="2198"/>
      <c r="V594" s="2168"/>
      <c r="W594" s="2168"/>
      <c r="X594" s="2168"/>
      <c r="Y594" s="2168"/>
      <c r="Z594" s="2168"/>
      <c r="AA594" s="2168"/>
      <c r="AB594" s="2168"/>
      <c r="AC594" s="2168"/>
      <c r="AD594" s="2168"/>
      <c r="AE594" s="2168"/>
      <c r="AF594" s="2168"/>
      <c r="AG594" s="2168"/>
      <c r="AH594" s="2168"/>
      <c r="AI594" s="2168"/>
      <c r="AJ594" s="2168"/>
      <c r="AK594" s="2168"/>
      <c r="AL594" s="2168"/>
      <c r="AM594" s="2168"/>
      <c r="AN594" s="2168"/>
      <c r="AO594" s="2168"/>
      <c r="AP594" s="2168"/>
      <c r="AQ594" s="2168"/>
      <c r="AR594" s="2168"/>
      <c r="AS594" s="2168"/>
      <c r="AT594" s="2168"/>
      <c r="AU594" s="2168"/>
      <c r="AV594" s="2168"/>
    </row>
    <row r="595" spans="13:48">
      <c r="M595" s="2098"/>
      <c r="N595" s="2098"/>
      <c r="O595" s="2098"/>
      <c r="P595" s="2098"/>
      <c r="R595" s="2198"/>
      <c r="S595" s="2198"/>
      <c r="T595" s="2198"/>
      <c r="U595" s="2198"/>
      <c r="V595" s="2168"/>
      <c r="W595" s="2168"/>
      <c r="X595" s="2168"/>
      <c r="Y595" s="2168"/>
      <c r="Z595" s="2168"/>
      <c r="AA595" s="2168"/>
      <c r="AB595" s="2168"/>
      <c r="AC595" s="2168"/>
      <c r="AD595" s="2168"/>
      <c r="AE595" s="2168"/>
      <c r="AF595" s="2168"/>
      <c r="AG595" s="2168"/>
      <c r="AH595" s="2168"/>
      <c r="AI595" s="2168"/>
      <c r="AJ595" s="2168"/>
      <c r="AK595" s="2168"/>
      <c r="AL595" s="2168"/>
      <c r="AM595" s="2168"/>
      <c r="AN595" s="2168"/>
      <c r="AO595" s="2168"/>
      <c r="AP595" s="2168"/>
      <c r="AQ595" s="2168"/>
      <c r="AR595" s="2168"/>
      <c r="AS595" s="2168"/>
      <c r="AT595" s="2168"/>
      <c r="AU595" s="2168"/>
      <c r="AV595" s="2168"/>
    </row>
    <row r="596" spans="13:48">
      <c r="M596" s="2098"/>
      <c r="N596" s="2098"/>
      <c r="O596" s="2098"/>
      <c r="P596" s="2098"/>
      <c r="R596" s="2198"/>
      <c r="S596" s="2198"/>
      <c r="T596" s="2198"/>
      <c r="U596" s="2198"/>
      <c r="V596" s="2168"/>
      <c r="W596" s="2168"/>
      <c r="X596" s="2168"/>
      <c r="Y596" s="2168"/>
      <c r="Z596" s="2168"/>
      <c r="AA596" s="2168"/>
      <c r="AB596" s="2168"/>
      <c r="AC596" s="2168"/>
      <c r="AD596" s="2168"/>
      <c r="AE596" s="2168"/>
      <c r="AF596" s="2168"/>
      <c r="AG596" s="2168"/>
      <c r="AH596" s="2168"/>
      <c r="AI596" s="2168"/>
      <c r="AJ596" s="2168"/>
      <c r="AK596" s="2168"/>
      <c r="AL596" s="2168"/>
      <c r="AM596" s="2168"/>
      <c r="AN596" s="2168"/>
      <c r="AO596" s="2168"/>
      <c r="AP596" s="2168"/>
      <c r="AQ596" s="2168"/>
      <c r="AR596" s="2168"/>
      <c r="AS596" s="2168"/>
      <c r="AT596" s="2168"/>
      <c r="AU596" s="2168"/>
      <c r="AV596" s="2168"/>
    </row>
    <row r="597" spans="13:48">
      <c r="M597" s="2098"/>
      <c r="N597" s="2098"/>
      <c r="O597" s="2098"/>
      <c r="P597" s="2098"/>
      <c r="R597" s="2198"/>
      <c r="S597" s="2198"/>
      <c r="T597" s="2198"/>
      <c r="U597" s="2198"/>
      <c r="V597" s="2168"/>
      <c r="W597" s="2168"/>
      <c r="X597" s="2168"/>
      <c r="Y597" s="2168"/>
      <c r="Z597" s="2168"/>
      <c r="AA597" s="2168"/>
      <c r="AB597" s="2168"/>
      <c r="AC597" s="2168"/>
      <c r="AD597" s="2168"/>
      <c r="AE597" s="2168"/>
      <c r="AF597" s="2168"/>
      <c r="AG597" s="2168"/>
      <c r="AH597" s="2168"/>
      <c r="AI597" s="2168"/>
      <c r="AJ597" s="2168"/>
      <c r="AK597" s="2168"/>
      <c r="AL597" s="2168"/>
      <c r="AM597" s="2168"/>
      <c r="AN597" s="2168"/>
      <c r="AO597" s="2168"/>
      <c r="AP597" s="2168"/>
      <c r="AQ597" s="2168"/>
      <c r="AR597" s="2168"/>
      <c r="AS597" s="2168"/>
      <c r="AT597" s="2168"/>
      <c r="AU597" s="2168"/>
      <c r="AV597" s="2168"/>
    </row>
    <row r="598" spans="13:48">
      <c r="M598" s="2098"/>
      <c r="N598" s="2098"/>
      <c r="O598" s="2098"/>
      <c r="P598" s="2098"/>
      <c r="R598" s="2198"/>
      <c r="S598" s="2198"/>
      <c r="T598" s="2198"/>
      <c r="U598" s="2198"/>
      <c r="V598" s="2168"/>
      <c r="W598" s="2168"/>
      <c r="X598" s="2168"/>
      <c r="Y598" s="2168"/>
      <c r="Z598" s="2168"/>
      <c r="AA598" s="2168"/>
      <c r="AB598" s="2168"/>
      <c r="AC598" s="2168"/>
      <c r="AD598" s="2168"/>
      <c r="AE598" s="2168"/>
      <c r="AF598" s="2168"/>
      <c r="AG598" s="2168"/>
      <c r="AH598" s="2168"/>
      <c r="AI598" s="2168"/>
      <c r="AJ598" s="2168"/>
      <c r="AK598" s="2168"/>
      <c r="AL598" s="2168"/>
      <c r="AM598" s="2168"/>
      <c r="AN598" s="2168"/>
      <c r="AO598" s="2168"/>
      <c r="AP598" s="2168"/>
      <c r="AQ598" s="2168"/>
      <c r="AR598" s="2168"/>
      <c r="AS598" s="2168"/>
      <c r="AT598" s="2168"/>
      <c r="AU598" s="2168"/>
      <c r="AV598" s="2168"/>
    </row>
    <row r="599" spans="13:48">
      <c r="M599" s="2098"/>
      <c r="N599" s="2098"/>
      <c r="O599" s="2098"/>
      <c r="P599" s="2098"/>
      <c r="R599" s="2198"/>
      <c r="S599" s="2198"/>
      <c r="T599" s="2198"/>
      <c r="U599" s="2198"/>
      <c r="V599" s="2168"/>
      <c r="W599" s="2168"/>
      <c r="X599" s="2168"/>
      <c r="Y599" s="2168"/>
      <c r="Z599" s="2168"/>
      <c r="AA599" s="2168"/>
      <c r="AB599" s="2168"/>
      <c r="AC599" s="2168"/>
      <c r="AD599" s="2168"/>
      <c r="AE599" s="2168"/>
      <c r="AF599" s="2168"/>
      <c r="AG599" s="2168"/>
      <c r="AH599" s="2168"/>
      <c r="AI599" s="2168"/>
      <c r="AJ599" s="2168"/>
      <c r="AK599" s="2168"/>
      <c r="AL599" s="2168"/>
      <c r="AM599" s="2168"/>
      <c r="AN599" s="2168"/>
      <c r="AO599" s="2168"/>
      <c r="AP599" s="2168"/>
      <c r="AQ599" s="2168"/>
      <c r="AR599" s="2168"/>
      <c r="AS599" s="2168"/>
      <c r="AT599" s="2168"/>
      <c r="AU599" s="2168"/>
      <c r="AV599" s="2168"/>
    </row>
    <row r="600" spans="13:48">
      <c r="M600" s="2098"/>
      <c r="N600" s="2098"/>
      <c r="O600" s="2098"/>
      <c r="P600" s="2098"/>
      <c r="R600" s="2198"/>
      <c r="S600" s="2198"/>
      <c r="T600" s="2198"/>
      <c r="U600" s="2198"/>
      <c r="V600" s="2168"/>
      <c r="W600" s="2168"/>
      <c r="X600" s="2168"/>
      <c r="Y600" s="2168"/>
      <c r="Z600" s="2168"/>
      <c r="AA600" s="2168"/>
      <c r="AB600" s="2168"/>
      <c r="AC600" s="2168"/>
      <c r="AD600" s="2168"/>
      <c r="AE600" s="2168"/>
      <c r="AF600" s="2168"/>
      <c r="AG600" s="2168"/>
      <c r="AH600" s="2168"/>
      <c r="AI600" s="2168"/>
      <c r="AJ600" s="2168"/>
      <c r="AK600" s="2168"/>
      <c r="AL600" s="2168"/>
      <c r="AM600" s="2168"/>
      <c r="AN600" s="2168"/>
      <c r="AO600" s="2168"/>
      <c r="AP600" s="2168"/>
      <c r="AQ600" s="2168"/>
      <c r="AR600" s="2168"/>
      <c r="AS600" s="2168"/>
      <c r="AT600" s="2168"/>
      <c r="AU600" s="2168"/>
      <c r="AV600" s="2168"/>
    </row>
    <row r="601" spans="13:48">
      <c r="M601" s="2098"/>
      <c r="N601" s="2098"/>
      <c r="O601" s="2098"/>
      <c r="P601" s="2098"/>
      <c r="R601" s="2198"/>
      <c r="S601" s="2198"/>
      <c r="T601" s="2198"/>
      <c r="U601" s="2198"/>
      <c r="V601" s="2168"/>
      <c r="W601" s="2168"/>
      <c r="X601" s="2168"/>
      <c r="Y601" s="2168"/>
      <c r="Z601" s="2168"/>
      <c r="AA601" s="2168"/>
      <c r="AB601" s="2168"/>
      <c r="AC601" s="2168"/>
      <c r="AD601" s="2168"/>
      <c r="AE601" s="2168"/>
      <c r="AF601" s="2168"/>
      <c r="AG601" s="2168"/>
      <c r="AH601" s="2168"/>
      <c r="AI601" s="2168"/>
      <c r="AJ601" s="2168"/>
      <c r="AK601" s="2168"/>
      <c r="AL601" s="2168"/>
      <c r="AM601" s="2168"/>
      <c r="AN601" s="2168"/>
      <c r="AO601" s="2168"/>
      <c r="AP601" s="2168"/>
      <c r="AQ601" s="2168"/>
      <c r="AR601" s="2168"/>
      <c r="AS601" s="2168"/>
      <c r="AT601" s="2168"/>
      <c r="AU601" s="2168"/>
      <c r="AV601" s="2168"/>
    </row>
    <row r="602" spans="13:48">
      <c r="M602" s="2098"/>
      <c r="N602" s="2098"/>
      <c r="O602" s="2098"/>
      <c r="P602" s="2098"/>
      <c r="R602" s="2198"/>
      <c r="S602" s="2198"/>
      <c r="T602" s="2198"/>
      <c r="U602" s="2198"/>
      <c r="V602" s="2168"/>
      <c r="W602" s="2168"/>
      <c r="X602" s="2168"/>
      <c r="Y602" s="2168"/>
      <c r="Z602" s="2168"/>
      <c r="AA602" s="2168"/>
      <c r="AB602" s="2168"/>
      <c r="AC602" s="2168"/>
      <c r="AD602" s="2168"/>
      <c r="AE602" s="2168"/>
      <c r="AF602" s="2168"/>
      <c r="AG602" s="2168"/>
      <c r="AH602" s="2168"/>
      <c r="AI602" s="2168"/>
      <c r="AJ602" s="2168"/>
      <c r="AK602" s="2168"/>
      <c r="AL602" s="2168"/>
      <c r="AM602" s="2168"/>
      <c r="AN602" s="2168"/>
      <c r="AO602" s="2168"/>
      <c r="AP602" s="2168"/>
      <c r="AQ602" s="2168"/>
      <c r="AR602" s="2168"/>
      <c r="AS602" s="2168"/>
      <c r="AT602" s="2168"/>
      <c r="AU602" s="2168"/>
      <c r="AV602" s="2168"/>
    </row>
    <row r="603" spans="13:48">
      <c r="M603" s="2098"/>
      <c r="N603" s="2098"/>
      <c r="O603" s="2098"/>
      <c r="P603" s="2098"/>
      <c r="R603" s="2198"/>
      <c r="S603" s="2198"/>
      <c r="T603" s="2198"/>
      <c r="U603" s="2198"/>
      <c r="V603" s="2168"/>
      <c r="W603" s="2168"/>
      <c r="X603" s="2168"/>
      <c r="Y603" s="2168"/>
      <c r="Z603" s="2168"/>
      <c r="AA603" s="2168"/>
      <c r="AB603" s="2168"/>
      <c r="AC603" s="2168"/>
      <c r="AD603" s="2168"/>
      <c r="AE603" s="2168"/>
      <c r="AF603" s="2168"/>
      <c r="AG603" s="2168"/>
      <c r="AH603" s="2168"/>
      <c r="AI603" s="2168"/>
      <c r="AJ603" s="2168"/>
      <c r="AK603" s="2168"/>
      <c r="AL603" s="2168"/>
      <c r="AM603" s="2168"/>
      <c r="AN603" s="2168"/>
      <c r="AO603" s="2168"/>
      <c r="AP603" s="2168"/>
      <c r="AQ603" s="2168"/>
      <c r="AR603" s="2168"/>
      <c r="AS603" s="2168"/>
      <c r="AT603" s="2168"/>
      <c r="AU603" s="2168"/>
      <c r="AV603" s="2168"/>
    </row>
    <row r="604" spans="13:48">
      <c r="M604" s="2098"/>
      <c r="N604" s="2098"/>
      <c r="O604" s="2098"/>
      <c r="P604" s="2098"/>
      <c r="R604" s="2198"/>
      <c r="S604" s="2198"/>
      <c r="T604" s="2198"/>
      <c r="U604" s="2198"/>
      <c r="V604" s="2168"/>
      <c r="W604" s="2168"/>
      <c r="X604" s="2168"/>
      <c r="Y604" s="2168"/>
      <c r="Z604" s="2168"/>
      <c r="AA604" s="2168"/>
      <c r="AB604" s="2168"/>
      <c r="AC604" s="2168"/>
      <c r="AD604" s="2168"/>
      <c r="AE604" s="2168"/>
      <c r="AF604" s="2168"/>
      <c r="AG604" s="2168"/>
      <c r="AH604" s="2168"/>
      <c r="AI604" s="2168"/>
      <c r="AJ604" s="2168"/>
      <c r="AK604" s="2168"/>
      <c r="AL604" s="2168"/>
      <c r="AM604" s="2168"/>
      <c r="AN604" s="2168"/>
      <c r="AO604" s="2168"/>
      <c r="AP604" s="2168"/>
      <c r="AQ604" s="2168"/>
      <c r="AR604" s="2168"/>
      <c r="AS604" s="2168"/>
      <c r="AT604" s="2168"/>
      <c r="AU604" s="2168"/>
      <c r="AV604" s="2168"/>
    </row>
    <row r="605" spans="13:48">
      <c r="M605" s="2098"/>
      <c r="N605" s="2098"/>
      <c r="O605" s="2098"/>
      <c r="P605" s="2098"/>
      <c r="R605" s="2198"/>
      <c r="S605" s="2198"/>
      <c r="T605" s="2198"/>
      <c r="U605" s="2198"/>
      <c r="V605" s="2168"/>
      <c r="W605" s="2168"/>
      <c r="X605" s="2168"/>
      <c r="Y605" s="2168"/>
      <c r="Z605" s="2168"/>
      <c r="AA605" s="2168"/>
      <c r="AB605" s="2168"/>
      <c r="AC605" s="2168"/>
      <c r="AD605" s="2168"/>
      <c r="AE605" s="2168"/>
      <c r="AF605" s="2168"/>
      <c r="AG605" s="2168"/>
      <c r="AH605" s="2168"/>
      <c r="AI605" s="2168"/>
      <c r="AJ605" s="2168"/>
      <c r="AK605" s="2168"/>
      <c r="AL605" s="2168"/>
      <c r="AM605" s="2168"/>
      <c r="AN605" s="2168"/>
      <c r="AO605" s="2168"/>
      <c r="AP605" s="2168"/>
      <c r="AQ605" s="2168"/>
      <c r="AR605" s="2168"/>
      <c r="AS605" s="2168"/>
      <c r="AT605" s="2168"/>
      <c r="AU605" s="2168"/>
      <c r="AV605" s="2168"/>
    </row>
    <row r="606" spans="13:48">
      <c r="M606" s="2098"/>
      <c r="N606" s="2098"/>
      <c r="O606" s="2098"/>
      <c r="P606" s="2098"/>
      <c r="R606" s="2198"/>
      <c r="S606" s="2198"/>
      <c r="T606" s="2198"/>
      <c r="U606" s="2198"/>
      <c r="V606" s="2168"/>
      <c r="W606" s="2168"/>
      <c r="X606" s="2168"/>
      <c r="Y606" s="2168"/>
      <c r="Z606" s="2168"/>
      <c r="AA606" s="2168"/>
      <c r="AB606" s="2168"/>
      <c r="AC606" s="2168"/>
      <c r="AD606" s="2168"/>
      <c r="AE606" s="2168"/>
      <c r="AF606" s="2168"/>
      <c r="AG606" s="2168"/>
      <c r="AH606" s="2168"/>
      <c r="AI606" s="2168"/>
      <c r="AJ606" s="2168"/>
      <c r="AK606" s="2168"/>
      <c r="AL606" s="2168"/>
      <c r="AM606" s="2168"/>
      <c r="AN606" s="2168"/>
      <c r="AO606" s="2168"/>
      <c r="AP606" s="2168"/>
      <c r="AQ606" s="2168"/>
      <c r="AR606" s="2168"/>
      <c r="AS606" s="2168"/>
      <c r="AT606" s="2168"/>
      <c r="AU606" s="2168"/>
      <c r="AV606" s="2168"/>
    </row>
    <row r="607" spans="13:48">
      <c r="M607" s="2098"/>
      <c r="N607" s="2098"/>
      <c r="O607" s="2098"/>
      <c r="P607" s="2098"/>
      <c r="R607" s="2198"/>
      <c r="S607" s="2198"/>
      <c r="T607" s="2198"/>
      <c r="U607" s="2198"/>
      <c r="V607" s="2168"/>
      <c r="W607" s="2168"/>
      <c r="X607" s="2168"/>
      <c r="Y607" s="2168"/>
      <c r="Z607" s="2168"/>
      <c r="AA607" s="2168"/>
      <c r="AB607" s="2168"/>
      <c r="AC607" s="2168"/>
      <c r="AD607" s="2168"/>
      <c r="AE607" s="2168"/>
      <c r="AF607" s="2168"/>
      <c r="AG607" s="2168"/>
      <c r="AH607" s="2168"/>
      <c r="AI607" s="2168"/>
      <c r="AJ607" s="2168"/>
      <c r="AK607" s="2168"/>
      <c r="AL607" s="2168"/>
      <c r="AM607" s="2168"/>
      <c r="AN607" s="2168"/>
      <c r="AO607" s="2168"/>
      <c r="AP607" s="2168"/>
      <c r="AQ607" s="2168"/>
      <c r="AR607" s="2168"/>
      <c r="AS607" s="2168"/>
      <c r="AT607" s="2168"/>
      <c r="AU607" s="2168"/>
      <c r="AV607" s="2168"/>
    </row>
    <row r="608" spans="13:48">
      <c r="M608" s="2098"/>
      <c r="N608" s="2098"/>
      <c r="O608" s="2098"/>
      <c r="P608" s="2098"/>
      <c r="R608" s="2198"/>
      <c r="S608" s="2198"/>
      <c r="T608" s="2198"/>
      <c r="U608" s="2198"/>
      <c r="V608" s="2168"/>
      <c r="W608" s="2168"/>
      <c r="X608" s="2168"/>
      <c r="Y608" s="2168"/>
      <c r="Z608" s="2168"/>
      <c r="AA608" s="2168"/>
      <c r="AB608" s="2168"/>
      <c r="AC608" s="2168"/>
      <c r="AD608" s="2168"/>
      <c r="AE608" s="2168"/>
      <c r="AF608" s="2168"/>
      <c r="AG608" s="2168"/>
      <c r="AH608" s="2168"/>
      <c r="AI608" s="2168"/>
      <c r="AJ608" s="2168"/>
      <c r="AK608" s="2168"/>
      <c r="AL608" s="2168"/>
      <c r="AM608" s="2168"/>
      <c r="AN608" s="2168"/>
      <c r="AO608" s="2168"/>
      <c r="AP608" s="2168"/>
      <c r="AQ608" s="2168"/>
      <c r="AR608" s="2168"/>
      <c r="AS608" s="2168"/>
      <c r="AT608" s="2168"/>
      <c r="AU608" s="2168"/>
      <c r="AV608" s="2168"/>
    </row>
    <row r="609" spans="13:48">
      <c r="M609" s="2098"/>
      <c r="N609" s="2098"/>
      <c r="O609" s="2098"/>
      <c r="P609" s="2098"/>
      <c r="R609" s="2198"/>
      <c r="S609" s="2198"/>
      <c r="T609" s="2198"/>
      <c r="U609" s="2198"/>
      <c r="V609" s="2168"/>
      <c r="W609" s="2168"/>
      <c r="X609" s="2168"/>
      <c r="Y609" s="2168"/>
      <c r="Z609" s="2168"/>
      <c r="AA609" s="2168"/>
      <c r="AB609" s="2168"/>
      <c r="AC609" s="2168"/>
      <c r="AD609" s="2168"/>
      <c r="AE609" s="2168"/>
      <c r="AF609" s="2168"/>
      <c r="AG609" s="2168"/>
      <c r="AH609" s="2168"/>
      <c r="AI609" s="2168"/>
      <c r="AJ609" s="2168"/>
      <c r="AK609" s="2168"/>
      <c r="AL609" s="2168"/>
      <c r="AM609" s="2168"/>
      <c r="AN609" s="2168"/>
      <c r="AO609" s="2168"/>
      <c r="AP609" s="2168"/>
      <c r="AQ609" s="2168"/>
      <c r="AR609" s="2168"/>
      <c r="AS609" s="2168"/>
      <c r="AT609" s="2168"/>
      <c r="AU609" s="2168"/>
      <c r="AV609" s="2168"/>
    </row>
    <row r="610" spans="13:48">
      <c r="M610" s="2098"/>
      <c r="N610" s="2098"/>
      <c r="O610" s="2098"/>
      <c r="P610" s="2098"/>
      <c r="R610" s="2198"/>
      <c r="S610" s="2198"/>
      <c r="T610" s="2198"/>
      <c r="U610" s="2198"/>
      <c r="V610" s="2168"/>
      <c r="W610" s="2168"/>
      <c r="X610" s="2168"/>
      <c r="Y610" s="2168"/>
      <c r="Z610" s="2168"/>
      <c r="AA610" s="2168"/>
      <c r="AB610" s="2168"/>
      <c r="AC610" s="2168"/>
      <c r="AD610" s="2168"/>
      <c r="AE610" s="2168"/>
      <c r="AF610" s="2168"/>
      <c r="AG610" s="2168"/>
      <c r="AH610" s="2168"/>
      <c r="AI610" s="2168"/>
      <c r="AJ610" s="2168"/>
      <c r="AK610" s="2168"/>
      <c r="AL610" s="2168"/>
      <c r="AM610" s="2168"/>
      <c r="AN610" s="2168"/>
      <c r="AO610" s="2168"/>
      <c r="AP610" s="2168"/>
      <c r="AQ610" s="2168"/>
      <c r="AR610" s="2168"/>
      <c r="AS610" s="2168"/>
      <c r="AT610" s="2168"/>
      <c r="AU610" s="2168"/>
      <c r="AV610" s="2168"/>
    </row>
    <row r="611" spans="13:48">
      <c r="M611" s="2098"/>
      <c r="N611" s="2098"/>
      <c r="O611" s="2098"/>
      <c r="P611" s="2098"/>
      <c r="R611" s="2098"/>
      <c r="S611" s="2098"/>
      <c r="T611" s="2098"/>
      <c r="U611" s="2098"/>
      <c r="V611" s="2168"/>
      <c r="W611" s="2168"/>
      <c r="X611" s="2168"/>
      <c r="Y611" s="2168"/>
      <c r="Z611" s="2168"/>
      <c r="AA611" s="2168"/>
      <c r="AB611" s="2168"/>
      <c r="AC611" s="2168"/>
      <c r="AD611" s="2168"/>
      <c r="AE611" s="2168"/>
      <c r="AF611" s="2168"/>
      <c r="AG611" s="2168"/>
      <c r="AH611" s="2168"/>
      <c r="AI611" s="2168"/>
      <c r="AJ611" s="2168"/>
      <c r="AK611" s="2168"/>
      <c r="AL611" s="2168"/>
      <c r="AM611" s="2168"/>
      <c r="AN611" s="2168"/>
      <c r="AO611" s="2168"/>
      <c r="AP611" s="2168"/>
      <c r="AQ611" s="2168"/>
      <c r="AR611" s="2168"/>
      <c r="AS611" s="2168"/>
      <c r="AT611" s="2168"/>
      <c r="AU611" s="2168"/>
      <c r="AV611" s="2168"/>
    </row>
    <row r="612" spans="13:48">
      <c r="M612" s="2098"/>
      <c r="N612" s="2098"/>
      <c r="O612" s="2098"/>
      <c r="P612" s="2098"/>
      <c r="R612" s="2098"/>
      <c r="S612" s="2098"/>
      <c r="T612" s="2098"/>
      <c r="U612" s="2098"/>
      <c r="V612" s="2168"/>
      <c r="W612" s="2168"/>
      <c r="X612" s="2168"/>
      <c r="Y612" s="2168"/>
      <c r="Z612" s="2168"/>
      <c r="AA612" s="2168"/>
      <c r="AB612" s="2168"/>
      <c r="AC612" s="2168"/>
      <c r="AD612" s="2168"/>
      <c r="AE612" s="2168"/>
      <c r="AF612" s="2168"/>
      <c r="AG612" s="2168"/>
      <c r="AH612" s="2168"/>
      <c r="AI612" s="2168"/>
      <c r="AJ612" s="2168"/>
      <c r="AK612" s="2168"/>
      <c r="AL612" s="2168"/>
      <c r="AM612" s="2168"/>
      <c r="AN612" s="2168"/>
      <c r="AO612" s="2168"/>
      <c r="AP612" s="2168"/>
      <c r="AQ612" s="2168"/>
      <c r="AR612" s="2168"/>
      <c r="AS612" s="2168"/>
      <c r="AT612" s="2168"/>
      <c r="AU612" s="2168"/>
      <c r="AV612" s="2168"/>
    </row>
    <row r="613" spans="13:48">
      <c r="M613" s="2098"/>
      <c r="N613" s="2098"/>
      <c r="O613" s="2098"/>
      <c r="P613" s="2098"/>
      <c r="R613" s="2098"/>
      <c r="S613" s="2098"/>
      <c r="T613" s="2098"/>
      <c r="U613" s="2098"/>
      <c r="V613" s="2168"/>
      <c r="W613" s="2168"/>
      <c r="X613" s="2168"/>
      <c r="Y613" s="2168"/>
      <c r="Z613" s="2168"/>
      <c r="AA613" s="2168"/>
      <c r="AB613" s="2168"/>
      <c r="AC613" s="2168"/>
      <c r="AD613" s="2168"/>
      <c r="AE613" s="2168"/>
      <c r="AF613" s="2168"/>
      <c r="AG613" s="2168"/>
      <c r="AH613" s="2168"/>
      <c r="AI613" s="2168"/>
      <c r="AJ613" s="2168"/>
      <c r="AK613" s="2168"/>
      <c r="AL613" s="2168"/>
      <c r="AM613" s="2168"/>
      <c r="AN613" s="2168"/>
      <c r="AO613" s="2168"/>
      <c r="AP613" s="2168"/>
      <c r="AQ613" s="2168"/>
      <c r="AR613" s="2168"/>
      <c r="AS613" s="2168"/>
      <c r="AT613" s="2168"/>
      <c r="AU613" s="2168"/>
      <c r="AV613" s="2168"/>
    </row>
    <row r="614" spans="13:48">
      <c r="M614" s="2098"/>
      <c r="N614" s="2098"/>
      <c r="O614" s="2098"/>
      <c r="P614" s="2098"/>
      <c r="R614" s="2098"/>
      <c r="S614" s="2098"/>
      <c r="T614" s="2098"/>
      <c r="U614" s="2098"/>
      <c r="V614" s="2168"/>
      <c r="W614" s="2168"/>
      <c r="X614" s="2168"/>
      <c r="Y614" s="2168"/>
      <c r="Z614" s="2168"/>
      <c r="AA614" s="2168"/>
      <c r="AB614" s="2168"/>
      <c r="AC614" s="2168"/>
      <c r="AD614" s="2168"/>
      <c r="AE614" s="2168"/>
      <c r="AF614" s="2168"/>
      <c r="AG614" s="2168"/>
      <c r="AH614" s="2168"/>
      <c r="AI614" s="2168"/>
      <c r="AJ614" s="2168"/>
      <c r="AK614" s="2168"/>
      <c r="AL614" s="2168"/>
      <c r="AM614" s="2168"/>
      <c r="AN614" s="2168"/>
      <c r="AO614" s="2168"/>
      <c r="AP614" s="2168"/>
      <c r="AQ614" s="2168"/>
      <c r="AR614" s="2168"/>
      <c r="AS614" s="2168"/>
      <c r="AT614" s="2168"/>
      <c r="AU614" s="2168"/>
      <c r="AV614" s="2168"/>
    </row>
    <row r="615" spans="13:48">
      <c r="M615" s="2098"/>
      <c r="N615" s="2098"/>
      <c r="O615" s="2098"/>
      <c r="P615" s="2098"/>
      <c r="R615" s="2098"/>
      <c r="S615" s="2098"/>
      <c r="T615" s="2098"/>
      <c r="U615" s="2098"/>
      <c r="V615" s="2168"/>
      <c r="W615" s="2168"/>
      <c r="X615" s="2168"/>
      <c r="Y615" s="2168"/>
      <c r="Z615" s="2168"/>
      <c r="AA615" s="2168"/>
      <c r="AB615" s="2168"/>
      <c r="AC615" s="2168"/>
      <c r="AD615" s="2168"/>
      <c r="AE615" s="2168"/>
      <c r="AF615" s="2168"/>
      <c r="AG615" s="2168"/>
      <c r="AH615" s="2168"/>
      <c r="AI615" s="2168"/>
      <c r="AJ615" s="2168"/>
      <c r="AK615" s="2168"/>
      <c r="AL615" s="2168"/>
      <c r="AM615" s="2168"/>
      <c r="AN615" s="2168"/>
      <c r="AO615" s="2168"/>
      <c r="AP615" s="2168"/>
      <c r="AQ615" s="2168"/>
      <c r="AR615" s="2168"/>
      <c r="AS615" s="2168"/>
      <c r="AT615" s="2168"/>
      <c r="AU615" s="2168"/>
      <c r="AV615" s="2168"/>
    </row>
    <row r="616" spans="13:48">
      <c r="M616" s="2098"/>
      <c r="N616" s="2098"/>
      <c r="O616" s="2098"/>
      <c r="P616" s="2098"/>
      <c r="R616" s="2098"/>
      <c r="S616" s="2098"/>
      <c r="T616" s="2098"/>
      <c r="U616" s="2098"/>
      <c r="V616" s="2168"/>
      <c r="W616" s="2168"/>
      <c r="X616" s="2168"/>
      <c r="Y616" s="2168"/>
      <c r="Z616" s="2168"/>
      <c r="AA616" s="2168"/>
      <c r="AB616" s="2168"/>
      <c r="AC616" s="2168"/>
      <c r="AD616" s="2168"/>
      <c r="AE616" s="2168"/>
      <c r="AF616" s="2168"/>
      <c r="AG616" s="2168"/>
      <c r="AH616" s="2168"/>
      <c r="AI616" s="2168"/>
      <c r="AJ616" s="2168"/>
      <c r="AK616" s="2168"/>
      <c r="AL616" s="2168"/>
      <c r="AM616" s="2168"/>
      <c r="AN616" s="2168"/>
      <c r="AO616" s="2168"/>
      <c r="AP616" s="2168"/>
      <c r="AQ616" s="2168"/>
      <c r="AR616" s="2168"/>
      <c r="AS616" s="2168"/>
      <c r="AT616" s="2168"/>
      <c r="AU616" s="2168"/>
      <c r="AV616" s="2168"/>
    </row>
    <row r="617" spans="13:48">
      <c r="M617" s="2098"/>
      <c r="N617" s="2098"/>
      <c r="O617" s="2098"/>
      <c r="P617" s="2098"/>
      <c r="R617" s="2098"/>
      <c r="S617" s="2098"/>
      <c r="T617" s="2098"/>
      <c r="U617" s="2098"/>
      <c r="V617" s="2168"/>
      <c r="W617" s="2168"/>
      <c r="X617" s="2168"/>
      <c r="Y617" s="2168"/>
      <c r="Z617" s="2168"/>
      <c r="AA617" s="2168"/>
      <c r="AB617" s="2168"/>
      <c r="AC617" s="2168"/>
      <c r="AD617" s="2168"/>
      <c r="AE617" s="2168"/>
      <c r="AF617" s="2168"/>
      <c r="AG617" s="2168"/>
      <c r="AH617" s="2168"/>
      <c r="AI617" s="2168"/>
      <c r="AJ617" s="2168"/>
      <c r="AK617" s="2168"/>
      <c r="AL617" s="2168"/>
      <c r="AM617" s="2168"/>
      <c r="AN617" s="2168"/>
      <c r="AO617" s="2168"/>
      <c r="AP617" s="2168"/>
      <c r="AQ617" s="2168"/>
      <c r="AR617" s="2168"/>
      <c r="AS617" s="2168"/>
      <c r="AT617" s="2168"/>
      <c r="AU617" s="2168"/>
      <c r="AV617" s="2168"/>
    </row>
    <row r="618" spans="13:48">
      <c r="M618" s="2098"/>
      <c r="N618" s="2098"/>
      <c r="O618" s="2098"/>
      <c r="P618" s="2098"/>
      <c r="R618" s="2098"/>
      <c r="S618" s="2098"/>
      <c r="T618" s="2098"/>
      <c r="U618" s="2098"/>
      <c r="V618" s="2168"/>
      <c r="W618" s="2168"/>
      <c r="X618" s="2168"/>
      <c r="Y618" s="2168"/>
      <c r="Z618" s="2168"/>
      <c r="AA618" s="2168"/>
      <c r="AB618" s="2168"/>
      <c r="AC618" s="2168"/>
      <c r="AD618" s="2168"/>
      <c r="AE618" s="2168"/>
      <c r="AF618" s="2168"/>
      <c r="AG618" s="2168"/>
      <c r="AH618" s="2168"/>
      <c r="AI618" s="2168"/>
      <c r="AJ618" s="2168"/>
      <c r="AK618" s="2168"/>
      <c r="AL618" s="2168"/>
      <c r="AM618" s="2168"/>
      <c r="AN618" s="2168"/>
      <c r="AO618" s="2168"/>
      <c r="AP618" s="2168"/>
      <c r="AQ618" s="2168"/>
      <c r="AR618" s="2168"/>
      <c r="AS618" s="2168"/>
      <c r="AT618" s="2168"/>
      <c r="AU618" s="2168"/>
      <c r="AV618" s="2168"/>
    </row>
    <row r="619" spans="13:48">
      <c r="M619" s="2098"/>
      <c r="N619" s="2098"/>
      <c r="O619" s="2098"/>
      <c r="P619" s="2098"/>
      <c r="R619" s="2098"/>
      <c r="S619" s="2098"/>
      <c r="T619" s="2098"/>
      <c r="U619" s="2098"/>
      <c r="V619" s="2168"/>
      <c r="W619" s="2168"/>
      <c r="X619" s="2168"/>
      <c r="Y619" s="2168"/>
      <c r="Z619" s="2168"/>
      <c r="AA619" s="2168"/>
      <c r="AB619" s="2168"/>
      <c r="AC619" s="2168"/>
      <c r="AD619" s="2168"/>
      <c r="AE619" s="2168"/>
      <c r="AF619" s="2168"/>
      <c r="AG619" s="2168"/>
      <c r="AH619" s="2168"/>
      <c r="AI619" s="2168"/>
      <c r="AJ619" s="2168"/>
      <c r="AK619" s="2168"/>
      <c r="AL619" s="2168"/>
      <c r="AM619" s="2168"/>
      <c r="AN619" s="2168"/>
      <c r="AO619" s="2168"/>
      <c r="AP619" s="2168"/>
      <c r="AQ619" s="2168"/>
      <c r="AR619" s="2168"/>
      <c r="AS619" s="2168"/>
      <c r="AT619" s="2168"/>
      <c r="AU619" s="2168"/>
      <c r="AV619" s="2168"/>
    </row>
    <row r="620" spans="13:48">
      <c r="M620" s="2098"/>
      <c r="N620" s="2098"/>
      <c r="O620" s="2098"/>
      <c r="P620" s="2098"/>
      <c r="R620" s="2098"/>
      <c r="S620" s="2098"/>
      <c r="T620" s="2098"/>
      <c r="U620" s="2098"/>
      <c r="V620" s="2168"/>
      <c r="W620" s="2168"/>
      <c r="X620" s="2168"/>
      <c r="Y620" s="2168"/>
      <c r="Z620" s="2168"/>
      <c r="AA620" s="2168"/>
      <c r="AB620" s="2168"/>
      <c r="AC620" s="2168"/>
      <c r="AD620" s="2168"/>
      <c r="AE620" s="2168"/>
      <c r="AF620" s="2168"/>
      <c r="AG620" s="2168"/>
      <c r="AH620" s="2168"/>
      <c r="AI620" s="2168"/>
      <c r="AJ620" s="2168"/>
      <c r="AK620" s="2168"/>
      <c r="AL620" s="2168"/>
      <c r="AM620" s="2168"/>
      <c r="AN620" s="2168"/>
      <c r="AO620" s="2168"/>
      <c r="AP620" s="2168"/>
      <c r="AQ620" s="2168"/>
      <c r="AR620" s="2168"/>
      <c r="AS620" s="2168"/>
      <c r="AT620" s="2168"/>
      <c r="AU620" s="2168"/>
      <c r="AV620" s="2168"/>
    </row>
    <row r="621" spans="13:48">
      <c r="M621" s="2098"/>
      <c r="N621" s="2098"/>
      <c r="O621" s="2098"/>
      <c r="P621" s="2098"/>
      <c r="R621" s="2098"/>
      <c r="S621" s="2098"/>
      <c r="T621" s="2098"/>
      <c r="U621" s="2098"/>
      <c r="V621" s="2168"/>
      <c r="W621" s="2168"/>
      <c r="X621" s="2168"/>
      <c r="Y621" s="2168"/>
      <c r="Z621" s="2168"/>
      <c r="AA621" s="2168"/>
      <c r="AB621" s="2168"/>
      <c r="AC621" s="2168"/>
      <c r="AD621" s="2168"/>
      <c r="AE621" s="2168"/>
      <c r="AF621" s="2168"/>
      <c r="AG621" s="2168"/>
      <c r="AH621" s="2168"/>
      <c r="AI621" s="2168"/>
      <c r="AJ621" s="2168"/>
      <c r="AK621" s="2168"/>
      <c r="AL621" s="2168"/>
      <c r="AM621" s="2168"/>
      <c r="AN621" s="2168"/>
      <c r="AO621" s="2168"/>
      <c r="AP621" s="2168"/>
      <c r="AQ621" s="2168"/>
      <c r="AR621" s="2168"/>
      <c r="AS621" s="2168"/>
      <c r="AT621" s="2168"/>
      <c r="AU621" s="2168"/>
      <c r="AV621" s="2168"/>
    </row>
    <row r="622" spans="13:48">
      <c r="M622" s="2098"/>
      <c r="N622" s="2098"/>
      <c r="O622" s="2098"/>
      <c r="P622" s="2098"/>
      <c r="R622" s="2098"/>
      <c r="S622" s="2098"/>
      <c r="T622" s="2098"/>
      <c r="U622" s="2098"/>
      <c r="V622" s="2168"/>
      <c r="W622" s="2168"/>
      <c r="X622" s="2168"/>
      <c r="Y622" s="2168"/>
      <c r="Z622" s="2168"/>
      <c r="AA622" s="2168"/>
      <c r="AB622" s="2168"/>
      <c r="AC622" s="2168"/>
      <c r="AD622" s="2168"/>
      <c r="AE622" s="2168"/>
      <c r="AF622" s="2168"/>
      <c r="AG622" s="2168"/>
      <c r="AH622" s="2168"/>
      <c r="AI622" s="2168"/>
      <c r="AJ622" s="2168"/>
      <c r="AK622" s="2168"/>
      <c r="AL622" s="2168"/>
      <c r="AM622" s="2168"/>
      <c r="AN622" s="2168"/>
      <c r="AO622" s="2168"/>
      <c r="AP622" s="2168"/>
      <c r="AQ622" s="2168"/>
      <c r="AR622" s="2168"/>
      <c r="AS622" s="2168"/>
      <c r="AT622" s="2168"/>
      <c r="AU622" s="2168"/>
      <c r="AV622" s="2168"/>
    </row>
    <row r="623" spans="13:48">
      <c r="M623" s="2098"/>
      <c r="N623" s="2098"/>
      <c r="O623" s="2098"/>
      <c r="P623" s="2098"/>
      <c r="R623" s="2098"/>
      <c r="S623" s="2098"/>
      <c r="T623" s="2098"/>
      <c r="U623" s="2098"/>
      <c r="V623" s="2168"/>
      <c r="W623" s="2168"/>
      <c r="X623" s="2168"/>
      <c r="Y623" s="2168"/>
      <c r="Z623" s="2168"/>
      <c r="AA623" s="2168"/>
      <c r="AB623" s="2168"/>
      <c r="AC623" s="2168"/>
      <c r="AD623" s="2168"/>
      <c r="AE623" s="2168"/>
      <c r="AF623" s="2168"/>
      <c r="AG623" s="2168"/>
      <c r="AH623" s="2168"/>
      <c r="AI623" s="2168"/>
      <c r="AJ623" s="2168"/>
      <c r="AK623" s="2168"/>
      <c r="AL623" s="2168"/>
      <c r="AM623" s="2168"/>
      <c r="AN623" s="2168"/>
      <c r="AO623" s="2168"/>
      <c r="AP623" s="2168"/>
      <c r="AQ623" s="2168"/>
      <c r="AR623" s="2168"/>
      <c r="AS623" s="2168"/>
      <c r="AT623" s="2168"/>
      <c r="AU623" s="2168"/>
      <c r="AV623" s="2168"/>
    </row>
    <row r="624" spans="13:48">
      <c r="M624" s="2098"/>
      <c r="N624" s="2098"/>
      <c r="O624" s="2098"/>
      <c r="P624" s="2098"/>
      <c r="R624" s="2098"/>
      <c r="S624" s="2098"/>
      <c r="T624" s="2098"/>
      <c r="U624" s="2098"/>
      <c r="V624" s="2168"/>
      <c r="W624" s="2168"/>
      <c r="X624" s="2168"/>
      <c r="Y624" s="2168"/>
      <c r="Z624" s="2168"/>
      <c r="AA624" s="2168"/>
      <c r="AB624" s="2168"/>
      <c r="AC624" s="2168"/>
      <c r="AD624" s="2168"/>
      <c r="AE624" s="2168"/>
      <c r="AF624" s="2168"/>
      <c r="AG624" s="2168"/>
      <c r="AH624" s="2168"/>
      <c r="AI624" s="2168"/>
      <c r="AJ624" s="2168"/>
      <c r="AK624" s="2168"/>
      <c r="AL624" s="2168"/>
      <c r="AM624" s="2168"/>
      <c r="AN624" s="2168"/>
      <c r="AO624" s="2168"/>
      <c r="AP624" s="2168"/>
      <c r="AQ624" s="2168"/>
      <c r="AR624" s="2168"/>
      <c r="AS624" s="2168"/>
      <c r="AT624" s="2168"/>
      <c r="AU624" s="2168"/>
      <c r="AV624" s="2168"/>
    </row>
    <row r="625" spans="13:48">
      <c r="M625" s="2098"/>
      <c r="N625" s="2098"/>
      <c r="O625" s="2098"/>
      <c r="P625" s="2098"/>
      <c r="R625" s="2098"/>
      <c r="S625" s="2098"/>
      <c r="T625" s="2098"/>
      <c r="U625" s="2098"/>
      <c r="V625" s="2168"/>
      <c r="W625" s="2168"/>
      <c r="X625" s="2168"/>
      <c r="Y625" s="2168"/>
      <c r="Z625" s="2168"/>
      <c r="AA625" s="2168"/>
      <c r="AB625" s="2168"/>
      <c r="AC625" s="2168"/>
      <c r="AD625" s="2168"/>
      <c r="AE625" s="2168"/>
      <c r="AF625" s="2168"/>
      <c r="AG625" s="2168"/>
      <c r="AH625" s="2168"/>
      <c r="AI625" s="2168"/>
      <c r="AJ625" s="2168"/>
      <c r="AK625" s="2168"/>
      <c r="AL625" s="2168"/>
      <c r="AM625" s="2168"/>
      <c r="AN625" s="2168"/>
      <c r="AO625" s="2168"/>
      <c r="AP625" s="2168"/>
      <c r="AQ625" s="2168"/>
      <c r="AR625" s="2168"/>
      <c r="AS625" s="2168"/>
      <c r="AT625" s="2168"/>
      <c r="AU625" s="2168"/>
      <c r="AV625" s="2168"/>
    </row>
    <row r="626" spans="13:48">
      <c r="M626" s="2098"/>
      <c r="N626" s="2098"/>
      <c r="O626" s="2098"/>
      <c r="P626" s="2098"/>
      <c r="R626" s="2098"/>
      <c r="S626" s="2098"/>
      <c r="T626" s="2098"/>
      <c r="U626" s="2098"/>
      <c r="V626" s="2168"/>
      <c r="W626" s="2168"/>
      <c r="X626" s="2168"/>
      <c r="Y626" s="2168"/>
      <c r="Z626" s="2168"/>
      <c r="AA626" s="2168"/>
      <c r="AB626" s="2168"/>
      <c r="AC626" s="2168"/>
      <c r="AD626" s="2168"/>
      <c r="AE626" s="2168"/>
      <c r="AF626" s="2168"/>
      <c r="AG626" s="2168"/>
      <c r="AH626" s="2168"/>
      <c r="AI626" s="2168"/>
      <c r="AJ626" s="2168"/>
      <c r="AK626" s="2168"/>
      <c r="AL626" s="2168"/>
      <c r="AM626" s="2168"/>
      <c r="AN626" s="2168"/>
      <c r="AO626" s="2168"/>
      <c r="AP626" s="2168"/>
      <c r="AQ626" s="2168"/>
      <c r="AR626" s="2168"/>
      <c r="AS626" s="2168"/>
      <c r="AT626" s="2168"/>
      <c r="AU626" s="2168"/>
      <c r="AV626" s="2168"/>
    </row>
    <row r="627" spans="13:48">
      <c r="M627" s="2098"/>
      <c r="N627" s="2098"/>
      <c r="O627" s="2098"/>
      <c r="P627" s="2098"/>
      <c r="R627" s="2098"/>
      <c r="S627" s="2098"/>
      <c r="T627" s="2098"/>
      <c r="U627" s="2098"/>
      <c r="V627" s="2168"/>
      <c r="W627" s="2168"/>
      <c r="X627" s="2168"/>
      <c r="Y627" s="2168"/>
      <c r="Z627" s="2168"/>
      <c r="AA627" s="2168"/>
      <c r="AB627" s="2168"/>
      <c r="AC627" s="2168"/>
      <c r="AD627" s="2168"/>
      <c r="AE627" s="2168"/>
      <c r="AF627" s="2168"/>
      <c r="AG627" s="2168"/>
      <c r="AH627" s="2168"/>
      <c r="AI627" s="2168"/>
      <c r="AJ627" s="2168"/>
      <c r="AK627" s="2168"/>
      <c r="AL627" s="2168"/>
      <c r="AM627" s="2168"/>
      <c r="AN627" s="2168"/>
      <c r="AO627" s="2168"/>
      <c r="AP627" s="2168"/>
      <c r="AQ627" s="2168"/>
      <c r="AR627" s="2168"/>
      <c r="AS627" s="2168"/>
      <c r="AT627" s="2168"/>
      <c r="AU627" s="2168"/>
      <c r="AV627" s="2168"/>
    </row>
    <row r="628" spans="13:48">
      <c r="M628" s="2098"/>
      <c r="N628" s="2098"/>
      <c r="O628" s="2098"/>
      <c r="P628" s="2098"/>
      <c r="R628" s="2098"/>
      <c r="S628" s="2098"/>
      <c r="T628" s="2098"/>
      <c r="U628" s="2098"/>
      <c r="V628" s="2168"/>
      <c r="W628" s="2168"/>
      <c r="X628" s="2168"/>
      <c r="Y628" s="2168"/>
      <c r="Z628" s="2168"/>
      <c r="AA628" s="2168"/>
      <c r="AB628" s="2168"/>
      <c r="AC628" s="2168"/>
      <c r="AD628" s="2168"/>
      <c r="AE628" s="2168"/>
      <c r="AF628" s="2168"/>
      <c r="AG628" s="2168"/>
      <c r="AH628" s="2168"/>
      <c r="AI628" s="2168"/>
      <c r="AJ628" s="2168"/>
      <c r="AK628" s="2168"/>
      <c r="AL628" s="2168"/>
      <c r="AM628" s="2168"/>
      <c r="AN628" s="2168"/>
      <c r="AO628" s="2168"/>
      <c r="AP628" s="2168"/>
      <c r="AQ628" s="2168"/>
      <c r="AR628" s="2168"/>
      <c r="AS628" s="2168"/>
      <c r="AT628" s="2168"/>
      <c r="AU628" s="2168"/>
      <c r="AV628" s="2168"/>
    </row>
    <row r="629" spans="13:48">
      <c r="M629" s="2098"/>
      <c r="N629" s="2098"/>
      <c r="O629" s="2098"/>
      <c r="P629" s="2098"/>
      <c r="R629" s="2098"/>
      <c r="S629" s="2098"/>
      <c r="T629" s="2098"/>
      <c r="U629" s="2098"/>
      <c r="V629" s="2168"/>
      <c r="W629" s="2168"/>
      <c r="X629" s="2168"/>
      <c r="Y629" s="2168"/>
      <c r="Z629" s="2168"/>
      <c r="AA629" s="2168"/>
      <c r="AB629" s="2168"/>
      <c r="AC629" s="2168"/>
      <c r="AD629" s="2168"/>
      <c r="AE629" s="2168"/>
      <c r="AF629" s="2168"/>
      <c r="AG629" s="2168"/>
      <c r="AH629" s="2168"/>
      <c r="AI629" s="2168"/>
      <c r="AJ629" s="2168"/>
      <c r="AK629" s="2168"/>
      <c r="AL629" s="2168"/>
      <c r="AM629" s="2168"/>
      <c r="AN629" s="2168"/>
      <c r="AO629" s="2168"/>
      <c r="AP629" s="2168"/>
      <c r="AQ629" s="2168"/>
      <c r="AR629" s="2168"/>
      <c r="AS629" s="2168"/>
      <c r="AT629" s="2168"/>
      <c r="AU629" s="2168"/>
      <c r="AV629" s="2168"/>
    </row>
    <row r="630" spans="13:48">
      <c r="M630" s="2098"/>
      <c r="N630" s="2098"/>
      <c r="O630" s="2098"/>
      <c r="P630" s="2098"/>
      <c r="R630" s="2098"/>
      <c r="S630" s="2098"/>
      <c r="T630" s="2098"/>
      <c r="U630" s="2098"/>
      <c r="V630" s="2168"/>
      <c r="W630" s="2168"/>
      <c r="X630" s="2168"/>
      <c r="Y630" s="2168"/>
      <c r="Z630" s="2168"/>
      <c r="AA630" s="2168"/>
      <c r="AB630" s="2168"/>
      <c r="AC630" s="2168"/>
      <c r="AD630" s="2168"/>
      <c r="AE630" s="2168"/>
      <c r="AF630" s="2168"/>
      <c r="AG630" s="2168"/>
      <c r="AH630" s="2168"/>
      <c r="AI630" s="2168"/>
      <c r="AJ630" s="2168"/>
      <c r="AK630" s="2168"/>
      <c r="AL630" s="2168"/>
      <c r="AM630" s="2168"/>
      <c r="AN630" s="2168"/>
      <c r="AO630" s="2168"/>
      <c r="AP630" s="2168"/>
      <c r="AQ630" s="2168"/>
      <c r="AR630" s="2168"/>
      <c r="AS630" s="2168"/>
      <c r="AT630" s="2168"/>
      <c r="AU630" s="2168"/>
      <c r="AV630" s="2168"/>
    </row>
    <row r="631" spans="13:48">
      <c r="M631" s="2098"/>
      <c r="N631" s="2098"/>
      <c r="O631" s="2098"/>
      <c r="P631" s="2098"/>
      <c r="R631" s="2098"/>
      <c r="S631" s="2098"/>
      <c r="T631" s="2098"/>
      <c r="U631" s="2098"/>
      <c r="V631" s="2168"/>
      <c r="W631" s="2168"/>
      <c r="X631" s="2168"/>
      <c r="Y631" s="2168"/>
      <c r="Z631" s="2168"/>
      <c r="AA631" s="2168"/>
      <c r="AB631" s="2168"/>
      <c r="AC631" s="2168"/>
      <c r="AD631" s="2168"/>
      <c r="AE631" s="2168"/>
      <c r="AF631" s="2168"/>
      <c r="AG631" s="2168"/>
      <c r="AH631" s="2168"/>
      <c r="AI631" s="2168"/>
      <c r="AJ631" s="2168"/>
      <c r="AK631" s="2168"/>
      <c r="AL631" s="2168"/>
      <c r="AM631" s="2168"/>
      <c r="AN631" s="2168"/>
      <c r="AO631" s="2168"/>
      <c r="AP631" s="2168"/>
      <c r="AQ631" s="2168"/>
      <c r="AR631" s="2168"/>
      <c r="AS631" s="2168"/>
      <c r="AT631" s="2168"/>
      <c r="AU631" s="2168"/>
      <c r="AV631" s="2168"/>
    </row>
    <row r="632" spans="13:48">
      <c r="M632" s="2098"/>
      <c r="N632" s="2098"/>
      <c r="O632" s="2098"/>
      <c r="P632" s="2098"/>
      <c r="R632" s="2098"/>
      <c r="S632" s="2098"/>
      <c r="T632" s="2098"/>
      <c r="U632" s="2098"/>
      <c r="V632" s="2168"/>
      <c r="W632" s="2168"/>
      <c r="X632" s="2168"/>
      <c r="Y632" s="2168"/>
      <c r="Z632" s="2168"/>
      <c r="AA632" s="2168"/>
      <c r="AB632" s="2168"/>
      <c r="AC632" s="2168"/>
      <c r="AD632" s="2168"/>
      <c r="AE632" s="2168"/>
      <c r="AF632" s="2168"/>
      <c r="AG632" s="2168"/>
      <c r="AH632" s="2168"/>
      <c r="AI632" s="2168"/>
      <c r="AJ632" s="2168"/>
      <c r="AK632" s="2168"/>
      <c r="AL632" s="2168"/>
      <c r="AM632" s="2168"/>
      <c r="AN632" s="2168"/>
      <c r="AO632" s="2168"/>
      <c r="AP632" s="2168"/>
      <c r="AQ632" s="2168"/>
      <c r="AR632" s="2168"/>
      <c r="AS632" s="2168"/>
      <c r="AT632" s="2168"/>
      <c r="AU632" s="2168"/>
      <c r="AV632" s="2168"/>
    </row>
    <row r="633" spans="13:48">
      <c r="M633" s="2098"/>
      <c r="N633" s="2098"/>
      <c r="O633" s="2098"/>
      <c r="P633" s="2098"/>
      <c r="R633" s="2098"/>
      <c r="S633" s="2098"/>
      <c r="T633" s="2098"/>
      <c r="U633" s="2098"/>
      <c r="V633" s="2168"/>
      <c r="W633" s="2168"/>
      <c r="X633" s="2168"/>
      <c r="Y633" s="2168"/>
      <c r="Z633" s="2168"/>
      <c r="AA633" s="2168"/>
      <c r="AB633" s="2168"/>
      <c r="AC633" s="2168"/>
      <c r="AD633" s="2168"/>
      <c r="AE633" s="2168"/>
      <c r="AF633" s="2168"/>
      <c r="AG633" s="2168"/>
      <c r="AH633" s="2168"/>
      <c r="AI633" s="2168"/>
      <c r="AJ633" s="2168"/>
      <c r="AK633" s="2168"/>
      <c r="AL633" s="2168"/>
      <c r="AM633" s="2168"/>
      <c r="AN633" s="2168"/>
      <c r="AO633" s="2168"/>
      <c r="AP633" s="2168"/>
      <c r="AQ633" s="2168"/>
      <c r="AR633" s="2168"/>
      <c r="AS633" s="2168"/>
      <c r="AT633" s="2168"/>
      <c r="AU633" s="2168"/>
      <c r="AV633" s="2168"/>
    </row>
    <row r="634" spans="13:48">
      <c r="M634" s="2098"/>
      <c r="N634" s="2098"/>
      <c r="O634" s="2098"/>
      <c r="P634" s="2098"/>
      <c r="R634" s="2098"/>
      <c r="S634" s="2098"/>
      <c r="T634" s="2098"/>
      <c r="U634" s="2098"/>
      <c r="V634" s="2168"/>
      <c r="W634" s="2168"/>
      <c r="X634" s="2168"/>
      <c r="Y634" s="2168"/>
      <c r="Z634" s="2168"/>
      <c r="AA634" s="2168"/>
      <c r="AB634" s="2168"/>
      <c r="AC634" s="2168"/>
      <c r="AD634" s="2168"/>
      <c r="AE634" s="2168"/>
      <c r="AF634" s="2168"/>
      <c r="AG634" s="2168"/>
      <c r="AH634" s="2168"/>
      <c r="AI634" s="2168"/>
      <c r="AJ634" s="2168"/>
      <c r="AK634" s="2168"/>
      <c r="AL634" s="2168"/>
      <c r="AM634" s="2168"/>
      <c r="AN634" s="2168"/>
      <c r="AO634" s="2168"/>
      <c r="AP634" s="2168"/>
      <c r="AQ634" s="2168"/>
      <c r="AR634" s="2168"/>
      <c r="AS634" s="2168"/>
      <c r="AT634" s="2168"/>
      <c r="AU634" s="2168"/>
      <c r="AV634" s="2168"/>
    </row>
    <row r="635" spans="13:48">
      <c r="M635" s="2098"/>
      <c r="N635" s="2098"/>
      <c r="O635" s="2098"/>
      <c r="P635" s="2098"/>
      <c r="R635" s="2098"/>
      <c r="S635" s="2098"/>
      <c r="T635" s="2098"/>
      <c r="U635" s="2098"/>
      <c r="V635" s="2168"/>
      <c r="W635" s="2168"/>
      <c r="X635" s="2168"/>
      <c r="Y635" s="2168"/>
      <c r="Z635" s="2168"/>
      <c r="AA635" s="2168"/>
      <c r="AB635" s="2168"/>
      <c r="AC635" s="2168"/>
      <c r="AD635" s="2168"/>
      <c r="AE635" s="2168"/>
      <c r="AF635" s="2168"/>
      <c r="AG635" s="2168"/>
      <c r="AH635" s="2168"/>
      <c r="AI635" s="2168"/>
      <c r="AJ635" s="2168"/>
      <c r="AK635" s="2168"/>
      <c r="AL635" s="2168"/>
      <c r="AM635" s="2168"/>
      <c r="AN635" s="2168"/>
      <c r="AO635" s="2168"/>
      <c r="AP635" s="2168"/>
      <c r="AQ635" s="2168"/>
      <c r="AR635" s="2168"/>
      <c r="AS635" s="2168"/>
      <c r="AT635" s="2168"/>
      <c r="AU635" s="2168"/>
      <c r="AV635" s="2168"/>
    </row>
    <row r="636" spans="13:48">
      <c r="M636" s="2098"/>
      <c r="N636" s="2098"/>
      <c r="O636" s="2098"/>
      <c r="P636" s="2098"/>
      <c r="R636" s="2098"/>
      <c r="S636" s="2098"/>
      <c r="T636" s="2098"/>
      <c r="U636" s="2098"/>
      <c r="V636" s="2168"/>
      <c r="W636" s="2168"/>
      <c r="X636" s="2168"/>
      <c r="Y636" s="2168"/>
      <c r="Z636" s="2168"/>
      <c r="AA636" s="2168"/>
      <c r="AB636" s="2168"/>
      <c r="AC636" s="2168"/>
      <c r="AD636" s="2168"/>
      <c r="AE636" s="2168"/>
      <c r="AF636" s="2168"/>
      <c r="AG636" s="2168"/>
      <c r="AH636" s="2168"/>
      <c r="AI636" s="2168"/>
      <c r="AJ636" s="2168"/>
      <c r="AK636" s="2168"/>
      <c r="AL636" s="2168"/>
      <c r="AM636" s="2168"/>
      <c r="AN636" s="2168"/>
      <c r="AO636" s="2168"/>
      <c r="AP636" s="2168"/>
      <c r="AQ636" s="2168"/>
      <c r="AR636" s="2168"/>
      <c r="AS636" s="2168"/>
      <c r="AT636" s="2168"/>
      <c r="AU636" s="2168"/>
      <c r="AV636" s="2168"/>
    </row>
    <row r="637" spans="13:48">
      <c r="M637" s="2098"/>
      <c r="N637" s="2098"/>
      <c r="O637" s="2098"/>
      <c r="P637" s="2098"/>
      <c r="R637" s="2098"/>
      <c r="S637" s="2098"/>
      <c r="T637" s="2098"/>
      <c r="U637" s="2098"/>
      <c r="V637" s="2168"/>
      <c r="W637" s="2168"/>
      <c r="X637" s="2168"/>
      <c r="Y637" s="2168"/>
      <c r="Z637" s="2168"/>
      <c r="AA637" s="2168"/>
      <c r="AB637" s="2168"/>
      <c r="AC637" s="2168"/>
      <c r="AD637" s="2168"/>
      <c r="AE637" s="2168"/>
      <c r="AF637" s="2168"/>
      <c r="AG637" s="2168"/>
      <c r="AH637" s="2168"/>
      <c r="AI637" s="2168"/>
      <c r="AJ637" s="2168"/>
      <c r="AK637" s="2168"/>
      <c r="AL637" s="2168"/>
      <c r="AM637" s="2168"/>
      <c r="AN637" s="2168"/>
      <c r="AO637" s="2168"/>
      <c r="AP637" s="2168"/>
      <c r="AQ637" s="2168"/>
      <c r="AR637" s="2168"/>
      <c r="AS637" s="2168"/>
      <c r="AT637" s="2168"/>
      <c r="AU637" s="2168"/>
      <c r="AV637" s="2168"/>
    </row>
    <row r="638" spans="13:48">
      <c r="M638" s="2098"/>
      <c r="N638" s="2098"/>
      <c r="O638" s="2098"/>
      <c r="P638" s="2098"/>
      <c r="R638" s="2098"/>
      <c r="S638" s="2098"/>
      <c r="T638" s="2098"/>
      <c r="U638" s="2098"/>
      <c r="V638" s="2168"/>
      <c r="W638" s="2168"/>
      <c r="X638" s="2168"/>
      <c r="Y638" s="2168"/>
      <c r="Z638" s="2168"/>
      <c r="AA638" s="2168"/>
      <c r="AB638" s="2168"/>
      <c r="AC638" s="2168"/>
      <c r="AD638" s="2168"/>
      <c r="AE638" s="2168"/>
      <c r="AF638" s="2168"/>
      <c r="AG638" s="2168"/>
      <c r="AH638" s="2168"/>
      <c r="AI638" s="2168"/>
      <c r="AJ638" s="2168"/>
      <c r="AK638" s="2168"/>
      <c r="AL638" s="2168"/>
      <c r="AM638" s="2168"/>
      <c r="AN638" s="2168"/>
      <c r="AO638" s="2168"/>
      <c r="AP638" s="2168"/>
      <c r="AQ638" s="2168"/>
      <c r="AR638" s="2168"/>
      <c r="AS638" s="2168"/>
      <c r="AT638" s="2168"/>
      <c r="AU638" s="2168"/>
      <c r="AV638" s="2168"/>
    </row>
    <row r="639" spans="13:48">
      <c r="M639" s="2098"/>
      <c r="N639" s="2098"/>
      <c r="O639" s="2098"/>
      <c r="P639" s="2098"/>
      <c r="R639" s="2098"/>
      <c r="S639" s="2098"/>
      <c r="T639" s="2098"/>
      <c r="U639" s="2098"/>
      <c r="V639" s="2168"/>
      <c r="W639" s="2168"/>
      <c r="X639" s="2168"/>
      <c r="Y639" s="2168"/>
      <c r="Z639" s="2168"/>
      <c r="AA639" s="2168"/>
      <c r="AB639" s="2168"/>
      <c r="AC639" s="2168"/>
      <c r="AD639" s="2168"/>
      <c r="AE639" s="2168"/>
      <c r="AF639" s="2168"/>
      <c r="AG639" s="2168"/>
      <c r="AH639" s="2168"/>
      <c r="AI639" s="2168"/>
      <c r="AJ639" s="2168"/>
      <c r="AK639" s="2168"/>
      <c r="AL639" s="2168"/>
      <c r="AM639" s="2168"/>
      <c r="AN639" s="2168"/>
      <c r="AO639" s="2168"/>
      <c r="AP639" s="2168"/>
      <c r="AQ639" s="2168"/>
      <c r="AR639" s="2168"/>
      <c r="AS639" s="2168"/>
      <c r="AT639" s="2168"/>
      <c r="AU639" s="2168"/>
      <c r="AV639" s="2168"/>
    </row>
    <row r="640" spans="13:48">
      <c r="M640" s="2098"/>
      <c r="N640" s="2098"/>
      <c r="O640" s="2098"/>
      <c r="P640" s="2098"/>
      <c r="R640" s="2098"/>
      <c r="S640" s="2098"/>
      <c r="T640" s="2098"/>
      <c r="U640" s="2098"/>
      <c r="V640" s="2168"/>
      <c r="W640" s="2168"/>
      <c r="X640" s="2168"/>
      <c r="Y640" s="2168"/>
      <c r="Z640" s="2168"/>
      <c r="AA640" s="2168"/>
      <c r="AB640" s="2168"/>
      <c r="AC640" s="2168"/>
      <c r="AD640" s="2168"/>
      <c r="AE640" s="2168"/>
      <c r="AF640" s="2168"/>
      <c r="AG640" s="2168"/>
      <c r="AH640" s="2168"/>
      <c r="AI640" s="2168"/>
      <c r="AJ640" s="2168"/>
      <c r="AK640" s="2168"/>
      <c r="AL640" s="2168"/>
      <c r="AM640" s="2168"/>
      <c r="AN640" s="2168"/>
      <c r="AO640" s="2168"/>
      <c r="AP640" s="2168"/>
      <c r="AQ640" s="2168"/>
      <c r="AR640" s="2168"/>
      <c r="AS640" s="2168"/>
      <c r="AT640" s="2168"/>
      <c r="AU640" s="2168"/>
      <c r="AV640" s="2168"/>
    </row>
    <row r="641" spans="13:48">
      <c r="M641" s="2098"/>
      <c r="N641" s="2098"/>
      <c r="O641" s="2098"/>
      <c r="P641" s="2098"/>
      <c r="R641" s="2098"/>
      <c r="S641" s="2098"/>
      <c r="T641" s="2098"/>
      <c r="U641" s="2098"/>
      <c r="V641" s="2168"/>
      <c r="W641" s="2168"/>
      <c r="X641" s="2168"/>
      <c r="Y641" s="2168"/>
      <c r="Z641" s="2168"/>
      <c r="AA641" s="2168"/>
      <c r="AB641" s="2168"/>
      <c r="AC641" s="2168"/>
      <c r="AD641" s="2168"/>
      <c r="AE641" s="2168"/>
      <c r="AF641" s="2168"/>
      <c r="AG641" s="2168"/>
      <c r="AH641" s="2168"/>
      <c r="AI641" s="2168"/>
      <c r="AJ641" s="2168"/>
      <c r="AK641" s="2168"/>
      <c r="AL641" s="2168"/>
      <c r="AM641" s="2168"/>
      <c r="AN641" s="2168"/>
      <c r="AO641" s="2168"/>
      <c r="AP641" s="2168"/>
      <c r="AQ641" s="2168"/>
      <c r="AR641" s="2168"/>
      <c r="AS641" s="2168"/>
      <c r="AT641" s="2168"/>
      <c r="AU641" s="2168"/>
      <c r="AV641" s="2168"/>
    </row>
    <row r="642" spans="13:48">
      <c r="M642" s="2098"/>
      <c r="N642" s="2098"/>
      <c r="O642" s="2098"/>
      <c r="P642" s="2098"/>
      <c r="R642" s="2098"/>
      <c r="S642" s="2098"/>
      <c r="T642" s="2098"/>
      <c r="U642" s="2098"/>
      <c r="V642" s="2168"/>
      <c r="W642" s="2168"/>
      <c r="X642" s="2168"/>
      <c r="Y642" s="2168"/>
      <c r="Z642" s="2168"/>
      <c r="AA642" s="2168"/>
      <c r="AB642" s="2168"/>
      <c r="AC642" s="2168"/>
      <c r="AD642" s="2168"/>
      <c r="AE642" s="2168"/>
      <c r="AF642" s="2168"/>
      <c r="AG642" s="2168"/>
      <c r="AH642" s="2168"/>
      <c r="AI642" s="2168"/>
      <c r="AJ642" s="2168"/>
      <c r="AK642" s="2168"/>
      <c r="AL642" s="2168"/>
      <c r="AM642" s="2168"/>
      <c r="AN642" s="2168"/>
      <c r="AO642" s="2168"/>
      <c r="AP642" s="2168"/>
      <c r="AQ642" s="2168"/>
      <c r="AR642" s="2168"/>
      <c r="AS642" s="2168"/>
      <c r="AT642" s="2168"/>
      <c r="AU642" s="2168"/>
      <c r="AV642" s="2168"/>
    </row>
    <row r="643" spans="13:48">
      <c r="M643" s="2098"/>
      <c r="N643" s="2098"/>
      <c r="O643" s="2098"/>
      <c r="P643" s="2098"/>
      <c r="R643" s="2098"/>
      <c r="S643" s="2098"/>
      <c r="T643" s="2098"/>
      <c r="U643" s="2098"/>
      <c r="V643" s="2168"/>
      <c r="W643" s="2168"/>
      <c r="X643" s="2168"/>
      <c r="Y643" s="2168"/>
      <c r="Z643" s="2168"/>
      <c r="AA643" s="2168"/>
      <c r="AB643" s="2168"/>
      <c r="AC643" s="2168"/>
      <c r="AD643" s="2168"/>
      <c r="AE643" s="2168"/>
      <c r="AF643" s="2168"/>
      <c r="AG643" s="2168"/>
      <c r="AH643" s="2168"/>
      <c r="AI643" s="2168"/>
      <c r="AJ643" s="2168"/>
      <c r="AK643" s="2168"/>
      <c r="AL643" s="2168"/>
      <c r="AM643" s="2168"/>
      <c r="AN643" s="2168"/>
      <c r="AO643" s="2168"/>
      <c r="AP643" s="2168"/>
      <c r="AQ643" s="2168"/>
      <c r="AR643" s="2168"/>
      <c r="AS643" s="2168"/>
      <c r="AT643" s="2168"/>
      <c r="AU643" s="2168"/>
      <c r="AV643" s="2168"/>
    </row>
    <row r="644" spans="13:48">
      <c r="M644" s="2098"/>
      <c r="N644" s="2098"/>
      <c r="O644" s="2098"/>
      <c r="P644" s="2098"/>
      <c r="R644" s="2098"/>
      <c r="S644" s="2098"/>
      <c r="T644" s="2098"/>
      <c r="U644" s="2098"/>
      <c r="V644" s="2168"/>
      <c r="W644" s="2168"/>
      <c r="X644" s="2168"/>
      <c r="Y644" s="2168"/>
      <c r="Z644" s="2168"/>
      <c r="AA644" s="2168"/>
      <c r="AB644" s="2168"/>
      <c r="AC644" s="2168"/>
      <c r="AD644" s="2168"/>
      <c r="AE644" s="2168"/>
      <c r="AF644" s="2168"/>
      <c r="AG644" s="2168"/>
      <c r="AH644" s="2168"/>
      <c r="AI644" s="2168"/>
      <c r="AJ644" s="2168"/>
      <c r="AK644" s="2168"/>
      <c r="AL644" s="2168"/>
      <c r="AM644" s="2168"/>
      <c r="AN644" s="2168"/>
      <c r="AO644" s="2168"/>
      <c r="AP644" s="2168"/>
      <c r="AQ644" s="2168"/>
      <c r="AR644" s="2168"/>
      <c r="AS644" s="2168"/>
      <c r="AT644" s="2168"/>
      <c r="AU644" s="2168"/>
      <c r="AV644" s="2168"/>
    </row>
    <row r="645" spans="13:48">
      <c r="M645" s="2098"/>
      <c r="N645" s="2098"/>
      <c r="O645" s="2098"/>
      <c r="P645" s="2098"/>
      <c r="R645" s="2098"/>
      <c r="S645" s="2098"/>
      <c r="T645" s="2098"/>
      <c r="U645" s="2098"/>
      <c r="V645" s="2168"/>
      <c r="W645" s="2168"/>
      <c r="X645" s="2168"/>
      <c r="Y645" s="2168"/>
      <c r="Z645" s="2168"/>
      <c r="AA645" s="2168"/>
      <c r="AB645" s="2168"/>
      <c r="AC645" s="2168"/>
      <c r="AD645" s="2168"/>
      <c r="AE645" s="2168"/>
      <c r="AF645" s="2168"/>
      <c r="AG645" s="2168"/>
      <c r="AH645" s="2168"/>
      <c r="AI645" s="2168"/>
      <c r="AJ645" s="2168"/>
      <c r="AK645" s="2168"/>
      <c r="AL645" s="2168"/>
      <c r="AM645" s="2168"/>
      <c r="AN645" s="2168"/>
      <c r="AO645" s="2168"/>
      <c r="AP645" s="2168"/>
      <c r="AQ645" s="2168"/>
      <c r="AR645" s="2168"/>
      <c r="AS645" s="2168"/>
      <c r="AT645" s="2168"/>
      <c r="AU645" s="2168"/>
      <c r="AV645" s="2168"/>
    </row>
    <row r="646" spans="13:48">
      <c r="M646" s="2098"/>
      <c r="N646" s="2098"/>
      <c r="O646" s="2098"/>
      <c r="P646" s="2098"/>
      <c r="R646" s="2098"/>
      <c r="S646" s="2098"/>
      <c r="T646" s="2098"/>
      <c r="U646" s="2098"/>
      <c r="V646" s="2168"/>
      <c r="W646" s="2168"/>
      <c r="X646" s="2168"/>
      <c r="Y646" s="2168"/>
      <c r="Z646" s="2168"/>
      <c r="AA646" s="2168"/>
      <c r="AB646" s="2168"/>
      <c r="AC646" s="2168"/>
      <c r="AD646" s="2168"/>
      <c r="AE646" s="2168"/>
      <c r="AF646" s="2168"/>
      <c r="AG646" s="2168"/>
      <c r="AH646" s="2168"/>
      <c r="AI646" s="2168"/>
      <c r="AJ646" s="2168"/>
      <c r="AK646" s="2168"/>
      <c r="AL646" s="2168"/>
      <c r="AM646" s="2168"/>
      <c r="AN646" s="2168"/>
      <c r="AO646" s="2168"/>
      <c r="AP646" s="2168"/>
      <c r="AQ646" s="2168"/>
      <c r="AR646" s="2168"/>
      <c r="AS646" s="2168"/>
      <c r="AT646" s="2168"/>
      <c r="AU646" s="2168"/>
      <c r="AV646" s="2168"/>
    </row>
    <row r="647" spans="13:48">
      <c r="M647" s="2098"/>
      <c r="N647" s="2098"/>
      <c r="O647" s="2098"/>
      <c r="P647" s="2098"/>
      <c r="R647" s="2098"/>
      <c r="S647" s="2098"/>
      <c r="T647" s="2098"/>
      <c r="U647" s="2098"/>
      <c r="V647" s="2168"/>
      <c r="W647" s="2168"/>
      <c r="X647" s="2168"/>
      <c r="Y647" s="2168"/>
      <c r="Z647" s="2168"/>
      <c r="AA647" s="2168"/>
      <c r="AB647" s="2168"/>
      <c r="AC647" s="2168"/>
      <c r="AD647" s="2168"/>
      <c r="AE647" s="2168"/>
      <c r="AF647" s="2168"/>
      <c r="AG647" s="2168"/>
      <c r="AH647" s="2168"/>
      <c r="AI647" s="2168"/>
      <c r="AJ647" s="2168"/>
      <c r="AK647" s="2168"/>
      <c r="AL647" s="2168"/>
      <c r="AM647" s="2168"/>
      <c r="AN647" s="2168"/>
      <c r="AO647" s="2168"/>
      <c r="AP647" s="2168"/>
      <c r="AQ647" s="2168"/>
      <c r="AR647" s="2168"/>
      <c r="AS647" s="2168"/>
      <c r="AT647" s="2168"/>
      <c r="AU647" s="2168"/>
      <c r="AV647" s="2168"/>
    </row>
    <row r="648" spans="13:48">
      <c r="M648" s="2098"/>
      <c r="N648" s="2098"/>
      <c r="O648" s="2098"/>
      <c r="P648" s="2098"/>
      <c r="R648" s="2098"/>
      <c r="S648" s="2098"/>
      <c r="T648" s="2098"/>
      <c r="U648" s="2098"/>
      <c r="V648" s="2168"/>
      <c r="W648" s="2168"/>
      <c r="X648" s="2168"/>
      <c r="Y648" s="2168"/>
      <c r="Z648" s="2168"/>
      <c r="AA648" s="2168"/>
      <c r="AB648" s="2168"/>
      <c r="AC648" s="2168"/>
      <c r="AD648" s="2168"/>
      <c r="AE648" s="2168"/>
      <c r="AF648" s="2168"/>
      <c r="AG648" s="2168"/>
      <c r="AH648" s="2168"/>
      <c r="AI648" s="2168"/>
      <c r="AJ648" s="2168"/>
      <c r="AK648" s="2168"/>
      <c r="AL648" s="2168"/>
      <c r="AM648" s="2168"/>
      <c r="AN648" s="2168"/>
      <c r="AO648" s="2168"/>
      <c r="AP648" s="2168"/>
      <c r="AQ648" s="2168"/>
      <c r="AR648" s="2168"/>
      <c r="AS648" s="2168"/>
      <c r="AT648" s="2168"/>
      <c r="AU648" s="2168"/>
      <c r="AV648" s="2168"/>
    </row>
    <row r="649" spans="13:48">
      <c r="M649" s="2098"/>
      <c r="N649" s="2098"/>
      <c r="O649" s="2098"/>
      <c r="P649" s="2098"/>
      <c r="R649" s="2098"/>
      <c r="S649" s="2098"/>
      <c r="T649" s="2098"/>
      <c r="U649" s="2098"/>
      <c r="V649" s="2168"/>
      <c r="W649" s="2168"/>
      <c r="X649" s="2168"/>
      <c r="Y649" s="2168"/>
      <c r="Z649" s="2168"/>
      <c r="AA649" s="2168"/>
      <c r="AB649" s="2168"/>
      <c r="AC649" s="2168"/>
      <c r="AD649" s="2168"/>
      <c r="AE649" s="2168"/>
      <c r="AF649" s="2168"/>
      <c r="AG649" s="2168"/>
      <c r="AH649" s="2168"/>
      <c r="AI649" s="2168"/>
      <c r="AJ649" s="2168"/>
      <c r="AK649" s="2168"/>
      <c r="AL649" s="2168"/>
      <c r="AM649" s="2168"/>
      <c r="AN649" s="2168"/>
      <c r="AO649" s="2168"/>
      <c r="AP649" s="2168"/>
      <c r="AQ649" s="2168"/>
      <c r="AR649" s="2168"/>
      <c r="AS649" s="2168"/>
      <c r="AT649" s="2168"/>
      <c r="AU649" s="2168"/>
      <c r="AV649" s="2168"/>
    </row>
    <row r="650" spans="13:48">
      <c r="M650" s="2098"/>
      <c r="N650" s="2098"/>
      <c r="O650" s="2098"/>
      <c r="P650" s="2098"/>
      <c r="R650" s="2098"/>
      <c r="S650" s="2098"/>
      <c r="T650" s="2098"/>
      <c r="U650" s="2098"/>
      <c r="V650" s="2168"/>
      <c r="W650" s="2168"/>
      <c r="X650" s="2168"/>
      <c r="Y650" s="2168"/>
      <c r="Z650" s="2168"/>
      <c r="AA650" s="2168"/>
      <c r="AB650" s="2168"/>
      <c r="AC650" s="2168"/>
      <c r="AD650" s="2168"/>
      <c r="AE650" s="2168"/>
      <c r="AF650" s="2168"/>
      <c r="AG650" s="2168"/>
      <c r="AH650" s="2168"/>
      <c r="AI650" s="2168"/>
      <c r="AJ650" s="2168"/>
      <c r="AK650" s="2168"/>
      <c r="AL650" s="2168"/>
      <c r="AM650" s="2168"/>
      <c r="AN650" s="2168"/>
      <c r="AO650" s="2168"/>
      <c r="AP650" s="2168"/>
      <c r="AQ650" s="2168"/>
      <c r="AR650" s="2168"/>
      <c r="AS650" s="2168"/>
      <c r="AT650" s="2168"/>
      <c r="AU650" s="2168"/>
      <c r="AV650" s="2168"/>
    </row>
    <row r="651" spans="13:48">
      <c r="M651" s="2098"/>
      <c r="N651" s="2098"/>
      <c r="O651" s="2098"/>
      <c r="P651" s="2098"/>
      <c r="R651" s="2098"/>
      <c r="S651" s="2098"/>
      <c r="T651" s="2098"/>
      <c r="U651" s="2098"/>
      <c r="V651" s="2168"/>
      <c r="W651" s="2168"/>
      <c r="X651" s="2168"/>
      <c r="Y651" s="2168"/>
      <c r="Z651" s="2168"/>
      <c r="AA651" s="2168"/>
      <c r="AB651" s="2168"/>
      <c r="AC651" s="2168"/>
      <c r="AD651" s="2168"/>
      <c r="AE651" s="2168"/>
      <c r="AF651" s="2168"/>
      <c r="AG651" s="2168"/>
      <c r="AH651" s="2168"/>
      <c r="AI651" s="2168"/>
      <c r="AJ651" s="2168"/>
      <c r="AK651" s="2168"/>
      <c r="AL651" s="2168"/>
      <c r="AM651" s="2168"/>
      <c r="AN651" s="2168"/>
      <c r="AO651" s="2168"/>
      <c r="AP651" s="2168"/>
      <c r="AQ651" s="2168"/>
      <c r="AR651" s="2168"/>
      <c r="AS651" s="2168"/>
      <c r="AT651" s="2168"/>
      <c r="AU651" s="2168"/>
      <c r="AV651" s="2168"/>
    </row>
    <row r="652" spans="13:48">
      <c r="M652" s="2098"/>
      <c r="N652" s="2098"/>
      <c r="O652" s="2098"/>
      <c r="P652" s="2098"/>
      <c r="R652" s="2098"/>
      <c r="S652" s="2098"/>
      <c r="T652" s="2098"/>
      <c r="U652" s="2098"/>
      <c r="V652" s="2168"/>
      <c r="W652" s="2168"/>
      <c r="X652" s="2168"/>
      <c r="Y652" s="2168"/>
      <c r="Z652" s="2168"/>
      <c r="AA652" s="2168"/>
      <c r="AB652" s="2168"/>
      <c r="AC652" s="2168"/>
      <c r="AD652" s="2168"/>
      <c r="AE652" s="2168"/>
      <c r="AF652" s="2168"/>
      <c r="AG652" s="2168"/>
      <c r="AH652" s="2168"/>
      <c r="AI652" s="2168"/>
      <c r="AJ652" s="2168"/>
      <c r="AK652" s="2168"/>
      <c r="AL652" s="2168"/>
      <c r="AM652" s="2168"/>
      <c r="AN652" s="2168"/>
      <c r="AO652" s="2168"/>
      <c r="AP652" s="2168"/>
      <c r="AQ652" s="2168"/>
      <c r="AR652" s="2168"/>
      <c r="AS652" s="2168"/>
      <c r="AT652" s="2168"/>
      <c r="AU652" s="2168"/>
      <c r="AV652" s="2168"/>
    </row>
    <row r="653" spans="13:48">
      <c r="M653" s="2098"/>
      <c r="N653" s="2098"/>
      <c r="O653" s="2098"/>
      <c r="P653" s="2098"/>
      <c r="R653" s="2098"/>
      <c r="S653" s="2098"/>
      <c r="T653" s="2098"/>
      <c r="U653" s="2098"/>
      <c r="V653" s="2168"/>
      <c r="W653" s="2168"/>
      <c r="X653" s="2168"/>
      <c r="Y653" s="2168"/>
      <c r="Z653" s="2168"/>
      <c r="AA653" s="2168"/>
      <c r="AB653" s="2168"/>
      <c r="AC653" s="2168"/>
      <c r="AD653" s="2168"/>
      <c r="AE653" s="2168"/>
      <c r="AF653" s="2168"/>
      <c r="AG653" s="2168"/>
      <c r="AH653" s="2168"/>
      <c r="AI653" s="2168"/>
      <c r="AJ653" s="2168"/>
      <c r="AK653" s="2168"/>
      <c r="AL653" s="2168"/>
      <c r="AM653" s="2168"/>
      <c r="AN653" s="2168"/>
      <c r="AO653" s="2168"/>
      <c r="AP653" s="2168"/>
      <c r="AQ653" s="2168"/>
      <c r="AR653" s="2168"/>
      <c r="AS653" s="2168"/>
      <c r="AT653" s="2168"/>
      <c r="AU653" s="2168"/>
      <c r="AV653" s="2168"/>
    </row>
    <row r="654" spans="13:48">
      <c r="M654" s="2098"/>
      <c r="N654" s="2098"/>
      <c r="O654" s="2098"/>
      <c r="P654" s="2098"/>
      <c r="R654" s="2098"/>
      <c r="S654" s="2098"/>
      <c r="T654" s="2098"/>
      <c r="U654" s="2098"/>
      <c r="V654" s="2168"/>
      <c r="W654" s="2168"/>
      <c r="X654" s="2168"/>
      <c r="Y654" s="2168"/>
      <c r="Z654" s="2168"/>
      <c r="AA654" s="2168"/>
      <c r="AB654" s="2168"/>
      <c r="AC654" s="2168"/>
      <c r="AD654" s="2168"/>
      <c r="AE654" s="2168"/>
      <c r="AF654" s="2168"/>
      <c r="AG654" s="2168"/>
      <c r="AH654" s="2168"/>
      <c r="AI654" s="2168"/>
      <c r="AJ654" s="2168"/>
      <c r="AK654" s="2168"/>
      <c r="AL654" s="2168"/>
      <c r="AM654" s="2168"/>
      <c r="AN654" s="2168"/>
      <c r="AO654" s="2168"/>
      <c r="AP654" s="2168"/>
      <c r="AQ654" s="2168"/>
      <c r="AR654" s="2168"/>
      <c r="AS654" s="2168"/>
      <c r="AT654" s="2168"/>
      <c r="AU654" s="2168"/>
      <c r="AV654" s="2168"/>
    </row>
    <row r="655" spans="13:48">
      <c r="M655" s="2098"/>
      <c r="N655" s="2098"/>
      <c r="O655" s="2098"/>
      <c r="P655" s="2098"/>
      <c r="R655" s="2098"/>
      <c r="S655" s="2098"/>
      <c r="T655" s="2098"/>
      <c r="U655" s="2098"/>
      <c r="V655" s="2168"/>
      <c r="W655" s="2168"/>
      <c r="X655" s="2168"/>
      <c r="Y655" s="2168"/>
      <c r="Z655" s="2168"/>
      <c r="AA655" s="2168"/>
      <c r="AB655" s="2168"/>
      <c r="AC655" s="2168"/>
      <c r="AD655" s="2168"/>
      <c r="AE655" s="2168"/>
      <c r="AF655" s="2168"/>
      <c r="AG655" s="2168"/>
      <c r="AH655" s="2168"/>
      <c r="AI655" s="2168"/>
      <c r="AJ655" s="2168"/>
      <c r="AK655" s="2168"/>
      <c r="AL655" s="2168"/>
      <c r="AM655" s="2168"/>
      <c r="AN655" s="2168"/>
      <c r="AO655" s="2168"/>
      <c r="AP655" s="2168"/>
      <c r="AQ655" s="2168"/>
      <c r="AR655" s="2168"/>
      <c r="AS655" s="2168"/>
      <c r="AT655" s="2168"/>
      <c r="AU655" s="2168"/>
      <c r="AV655" s="2168"/>
    </row>
    <row r="656" spans="13:48">
      <c r="M656" s="2098"/>
      <c r="N656" s="2098"/>
      <c r="O656" s="2098"/>
      <c r="P656" s="2098"/>
      <c r="R656" s="2098"/>
      <c r="S656" s="2098"/>
      <c r="T656" s="2098"/>
      <c r="U656" s="2098"/>
      <c r="V656" s="2168"/>
      <c r="W656" s="2168"/>
      <c r="X656" s="2168"/>
      <c r="Y656" s="2168"/>
      <c r="Z656" s="2168"/>
      <c r="AA656" s="2168"/>
      <c r="AB656" s="2168"/>
      <c r="AC656" s="2168"/>
      <c r="AD656" s="2168"/>
      <c r="AE656" s="2168"/>
      <c r="AF656" s="2168"/>
      <c r="AG656" s="2168"/>
      <c r="AH656" s="2168"/>
      <c r="AI656" s="2168"/>
      <c r="AJ656" s="2168"/>
      <c r="AK656" s="2168"/>
      <c r="AL656" s="2168"/>
      <c r="AM656" s="2168"/>
      <c r="AN656" s="2168"/>
      <c r="AO656" s="2168"/>
      <c r="AP656" s="2168"/>
      <c r="AQ656" s="2168"/>
      <c r="AR656" s="2168"/>
      <c r="AS656" s="2168"/>
      <c r="AT656" s="2168"/>
      <c r="AU656" s="2168"/>
      <c r="AV656" s="2168"/>
    </row>
    <row r="657" spans="13:48">
      <c r="M657" s="2098"/>
      <c r="N657" s="2098"/>
      <c r="O657" s="2098"/>
      <c r="P657" s="2098"/>
      <c r="R657" s="2098"/>
      <c r="S657" s="2098"/>
      <c r="T657" s="2098"/>
      <c r="U657" s="2098"/>
      <c r="V657" s="2168"/>
      <c r="W657" s="2168"/>
      <c r="X657" s="2168"/>
      <c r="Y657" s="2168"/>
      <c r="Z657" s="2168"/>
      <c r="AA657" s="2168"/>
      <c r="AB657" s="2168"/>
      <c r="AC657" s="2168"/>
      <c r="AD657" s="2168"/>
      <c r="AE657" s="2168"/>
      <c r="AF657" s="2168"/>
      <c r="AG657" s="2168"/>
      <c r="AH657" s="2168"/>
      <c r="AI657" s="2168"/>
      <c r="AJ657" s="2168"/>
      <c r="AK657" s="2168"/>
      <c r="AL657" s="2168"/>
      <c r="AM657" s="2168"/>
      <c r="AN657" s="2168"/>
      <c r="AO657" s="2168"/>
      <c r="AP657" s="2168"/>
      <c r="AQ657" s="2168"/>
      <c r="AR657" s="2168"/>
      <c r="AS657" s="2168"/>
      <c r="AT657" s="2168"/>
      <c r="AU657" s="2168"/>
      <c r="AV657" s="2168"/>
    </row>
    <row r="658" spans="13:48">
      <c r="M658" s="2098"/>
      <c r="N658" s="2098"/>
      <c r="O658" s="2098"/>
      <c r="P658" s="2098"/>
      <c r="R658" s="2098"/>
      <c r="S658" s="2098"/>
      <c r="T658" s="2098"/>
      <c r="U658" s="2098"/>
      <c r="V658" s="2168"/>
      <c r="W658" s="2168"/>
      <c r="X658" s="2168"/>
      <c r="Y658" s="2168"/>
      <c r="Z658" s="2168"/>
      <c r="AA658" s="2168"/>
      <c r="AB658" s="2168"/>
      <c r="AC658" s="2168"/>
      <c r="AD658" s="2168"/>
      <c r="AE658" s="2168"/>
      <c r="AF658" s="2168"/>
      <c r="AG658" s="2168"/>
      <c r="AH658" s="2168"/>
      <c r="AI658" s="2168"/>
      <c r="AJ658" s="2168"/>
      <c r="AK658" s="2168"/>
      <c r="AL658" s="2168"/>
      <c r="AM658" s="2168"/>
      <c r="AN658" s="2168"/>
      <c r="AO658" s="2168"/>
      <c r="AP658" s="2168"/>
      <c r="AQ658" s="2168"/>
      <c r="AR658" s="2168"/>
      <c r="AS658" s="2168"/>
      <c r="AT658" s="2168"/>
      <c r="AU658" s="2168"/>
      <c r="AV658" s="2168"/>
    </row>
    <row r="659" spans="13:48">
      <c r="M659" s="2098"/>
      <c r="N659" s="2098"/>
      <c r="O659" s="2098"/>
      <c r="P659" s="2098"/>
      <c r="R659" s="2098"/>
      <c r="S659" s="2098"/>
      <c r="T659" s="2098"/>
      <c r="U659" s="2098"/>
      <c r="V659" s="2168"/>
      <c r="W659" s="2168"/>
      <c r="X659" s="2168"/>
      <c r="Y659" s="2168"/>
      <c r="Z659" s="2168"/>
      <c r="AA659" s="2168"/>
      <c r="AB659" s="2168"/>
      <c r="AC659" s="2168"/>
      <c r="AD659" s="2168"/>
      <c r="AE659" s="2168"/>
      <c r="AF659" s="2168"/>
      <c r="AG659" s="2168"/>
      <c r="AH659" s="2168"/>
      <c r="AI659" s="2168"/>
      <c r="AJ659" s="2168"/>
      <c r="AK659" s="2168"/>
      <c r="AL659" s="2168"/>
      <c r="AM659" s="2168"/>
      <c r="AN659" s="2168"/>
      <c r="AO659" s="2168"/>
      <c r="AP659" s="2168"/>
      <c r="AQ659" s="2168"/>
      <c r="AR659" s="2168"/>
      <c r="AS659" s="2168"/>
      <c r="AT659" s="2168"/>
      <c r="AU659" s="2168"/>
      <c r="AV659" s="2168"/>
    </row>
    <row r="660" spans="13:48">
      <c r="M660" s="2098"/>
      <c r="N660" s="2098"/>
      <c r="O660" s="2098"/>
      <c r="P660" s="2098"/>
      <c r="R660" s="2098"/>
      <c r="S660" s="2098"/>
      <c r="T660" s="2098"/>
      <c r="U660" s="2098"/>
      <c r="V660" s="2168"/>
      <c r="W660" s="2168"/>
      <c r="X660" s="2168"/>
      <c r="Y660" s="2168"/>
      <c r="Z660" s="2168"/>
      <c r="AA660" s="2168"/>
      <c r="AB660" s="2168"/>
      <c r="AC660" s="2168"/>
      <c r="AD660" s="2168"/>
      <c r="AE660" s="2168"/>
      <c r="AF660" s="2168"/>
      <c r="AG660" s="2168"/>
      <c r="AH660" s="2168"/>
      <c r="AI660" s="2168"/>
      <c r="AJ660" s="2168"/>
      <c r="AK660" s="2168"/>
      <c r="AL660" s="2168"/>
      <c r="AM660" s="2168"/>
      <c r="AN660" s="2168"/>
      <c r="AO660" s="2168"/>
      <c r="AP660" s="2168"/>
      <c r="AQ660" s="2168"/>
      <c r="AR660" s="2168"/>
      <c r="AS660" s="2168"/>
      <c r="AT660" s="2168"/>
      <c r="AU660" s="2168"/>
      <c r="AV660" s="2168"/>
    </row>
    <row r="661" spans="13:48">
      <c r="M661" s="2098"/>
      <c r="N661" s="2098"/>
      <c r="O661" s="2098"/>
      <c r="P661" s="2098"/>
      <c r="R661" s="2098"/>
      <c r="S661" s="2098"/>
      <c r="T661" s="2098"/>
      <c r="U661" s="2098"/>
      <c r="V661" s="2168"/>
      <c r="W661" s="2168"/>
      <c r="X661" s="2168"/>
      <c r="Y661" s="2168"/>
      <c r="Z661" s="2168"/>
      <c r="AA661" s="2168"/>
      <c r="AB661" s="2168"/>
      <c r="AC661" s="2168"/>
      <c r="AD661" s="2168"/>
      <c r="AE661" s="2168"/>
      <c r="AF661" s="2168"/>
      <c r="AG661" s="2168"/>
      <c r="AH661" s="2168"/>
      <c r="AI661" s="2168"/>
      <c r="AJ661" s="2168"/>
      <c r="AK661" s="2168"/>
      <c r="AL661" s="2168"/>
      <c r="AM661" s="2168"/>
      <c r="AN661" s="2168"/>
      <c r="AO661" s="2168"/>
      <c r="AP661" s="2168"/>
      <c r="AQ661" s="2168"/>
      <c r="AR661" s="2168"/>
      <c r="AS661" s="2168"/>
      <c r="AT661" s="2168"/>
      <c r="AU661" s="2168"/>
      <c r="AV661" s="2168"/>
    </row>
    <row r="662" spans="13:48">
      <c r="M662" s="2098"/>
      <c r="N662" s="2098"/>
      <c r="O662" s="2098"/>
      <c r="P662" s="2098"/>
      <c r="R662" s="2098"/>
      <c r="S662" s="2098"/>
      <c r="T662" s="2098"/>
      <c r="U662" s="2098"/>
      <c r="V662" s="2168"/>
      <c r="W662" s="2168"/>
      <c r="X662" s="2168"/>
      <c r="Y662" s="2168"/>
      <c r="Z662" s="2168"/>
      <c r="AA662" s="2168"/>
      <c r="AB662" s="2168"/>
      <c r="AC662" s="2168"/>
      <c r="AD662" s="2168"/>
      <c r="AE662" s="2168"/>
      <c r="AF662" s="2168"/>
      <c r="AG662" s="2168"/>
      <c r="AH662" s="2168"/>
      <c r="AI662" s="2168"/>
      <c r="AJ662" s="2168"/>
      <c r="AK662" s="2168"/>
      <c r="AL662" s="2168"/>
      <c r="AM662" s="2168"/>
      <c r="AN662" s="2168"/>
      <c r="AO662" s="2168"/>
      <c r="AP662" s="2168"/>
      <c r="AQ662" s="2168"/>
      <c r="AR662" s="2168"/>
      <c r="AS662" s="2168"/>
      <c r="AT662" s="2168"/>
      <c r="AU662" s="2168"/>
      <c r="AV662" s="2168"/>
    </row>
    <row r="663" spans="13:48">
      <c r="M663" s="2098"/>
      <c r="N663" s="2098"/>
      <c r="O663" s="2098"/>
      <c r="P663" s="2098"/>
      <c r="R663" s="2098"/>
      <c r="S663" s="2098"/>
      <c r="T663" s="2098"/>
      <c r="U663" s="2098"/>
      <c r="V663" s="2168"/>
      <c r="W663" s="2168"/>
      <c r="X663" s="2168"/>
      <c r="Y663" s="2168"/>
      <c r="Z663" s="2168"/>
      <c r="AA663" s="2168"/>
      <c r="AB663" s="2168"/>
      <c r="AC663" s="2168"/>
      <c r="AD663" s="2168"/>
      <c r="AE663" s="2168"/>
      <c r="AF663" s="2168"/>
      <c r="AG663" s="2168"/>
      <c r="AH663" s="2168"/>
      <c r="AI663" s="2168"/>
      <c r="AJ663" s="2168"/>
      <c r="AK663" s="2168"/>
      <c r="AL663" s="2168"/>
      <c r="AM663" s="2168"/>
      <c r="AN663" s="2168"/>
      <c r="AO663" s="2168"/>
      <c r="AP663" s="2168"/>
      <c r="AQ663" s="2168"/>
      <c r="AR663" s="2168"/>
      <c r="AS663" s="2168"/>
      <c r="AT663" s="2168"/>
      <c r="AU663" s="2168"/>
      <c r="AV663" s="2168"/>
    </row>
    <row r="664" spans="13:48">
      <c r="M664" s="2098"/>
      <c r="N664" s="2098"/>
      <c r="O664" s="2098"/>
      <c r="P664" s="2098"/>
      <c r="R664" s="2098"/>
      <c r="S664" s="2098"/>
      <c r="T664" s="2098"/>
      <c r="U664" s="2098"/>
      <c r="V664" s="2168"/>
      <c r="W664" s="2168"/>
      <c r="X664" s="2168"/>
      <c r="Y664" s="2168"/>
      <c r="Z664" s="2168"/>
      <c r="AA664" s="2168"/>
      <c r="AB664" s="2168"/>
      <c r="AC664" s="2168"/>
      <c r="AD664" s="2168"/>
      <c r="AE664" s="2168"/>
      <c r="AF664" s="2168"/>
      <c r="AG664" s="2168"/>
      <c r="AH664" s="2168"/>
      <c r="AI664" s="2168"/>
      <c r="AJ664" s="2168"/>
      <c r="AK664" s="2168"/>
      <c r="AL664" s="2168"/>
      <c r="AM664" s="2168"/>
      <c r="AN664" s="2168"/>
      <c r="AO664" s="2168"/>
      <c r="AP664" s="2168"/>
      <c r="AQ664" s="2168"/>
      <c r="AR664" s="2168"/>
      <c r="AS664" s="2168"/>
      <c r="AT664" s="2168"/>
      <c r="AU664" s="2168"/>
      <c r="AV664" s="2168"/>
    </row>
    <row r="665" spans="13:48">
      <c r="M665" s="2098"/>
      <c r="N665" s="2098"/>
      <c r="O665" s="2098"/>
      <c r="P665" s="2098"/>
      <c r="R665" s="2098"/>
      <c r="S665" s="2098"/>
      <c r="T665" s="2098"/>
      <c r="U665" s="2098"/>
      <c r="V665" s="2168"/>
      <c r="W665" s="2168"/>
      <c r="X665" s="2168"/>
      <c r="Y665" s="2168"/>
      <c r="Z665" s="2168"/>
      <c r="AA665" s="2168"/>
      <c r="AB665" s="2168"/>
      <c r="AC665" s="2168"/>
      <c r="AD665" s="2168"/>
      <c r="AE665" s="2168"/>
      <c r="AF665" s="2168"/>
      <c r="AG665" s="2168"/>
      <c r="AH665" s="2168"/>
      <c r="AI665" s="2168"/>
      <c r="AJ665" s="2168"/>
      <c r="AK665" s="2168"/>
      <c r="AL665" s="2168"/>
      <c r="AM665" s="2168"/>
      <c r="AN665" s="2168"/>
      <c r="AO665" s="2168"/>
      <c r="AP665" s="2168"/>
      <c r="AQ665" s="2168"/>
      <c r="AR665" s="2168"/>
      <c r="AS665" s="2168"/>
      <c r="AT665" s="2168"/>
      <c r="AU665" s="2168"/>
      <c r="AV665" s="2168"/>
    </row>
    <row r="666" spans="13:48">
      <c r="M666" s="2098"/>
      <c r="N666" s="2098"/>
      <c r="O666" s="2098"/>
      <c r="P666" s="2098"/>
      <c r="R666" s="2098"/>
      <c r="S666" s="2098"/>
      <c r="T666" s="2098"/>
      <c r="U666" s="2098"/>
      <c r="V666" s="2168"/>
      <c r="W666" s="2168"/>
      <c r="X666" s="2168"/>
      <c r="Y666" s="2168"/>
      <c r="Z666" s="2168"/>
      <c r="AA666" s="2168"/>
      <c r="AB666" s="2168"/>
      <c r="AC666" s="2168"/>
      <c r="AD666" s="2168"/>
      <c r="AE666" s="2168"/>
      <c r="AF666" s="2168"/>
      <c r="AG666" s="2168"/>
      <c r="AH666" s="2168"/>
      <c r="AI666" s="2168"/>
      <c r="AJ666" s="2168"/>
      <c r="AK666" s="2168"/>
      <c r="AL666" s="2168"/>
      <c r="AM666" s="2168"/>
      <c r="AN666" s="2168"/>
      <c r="AO666" s="2168"/>
      <c r="AP666" s="2168"/>
      <c r="AQ666" s="2168"/>
      <c r="AR666" s="2168"/>
      <c r="AS666" s="2168"/>
      <c r="AT666" s="2168"/>
      <c r="AU666" s="2168"/>
      <c r="AV666" s="2168"/>
    </row>
    <row r="667" spans="13:48">
      <c r="M667" s="2098"/>
      <c r="N667" s="2098"/>
      <c r="O667" s="2098"/>
      <c r="P667" s="2098"/>
      <c r="R667" s="2098"/>
      <c r="S667" s="2098"/>
      <c r="T667" s="2098"/>
      <c r="U667" s="2098"/>
      <c r="V667" s="2168"/>
      <c r="W667" s="2168"/>
      <c r="X667" s="2168"/>
      <c r="Y667" s="2168"/>
      <c r="Z667" s="2168"/>
      <c r="AA667" s="2168"/>
      <c r="AB667" s="2168"/>
      <c r="AC667" s="2168"/>
      <c r="AD667" s="2168"/>
      <c r="AE667" s="2168"/>
      <c r="AF667" s="2168"/>
      <c r="AG667" s="2168"/>
      <c r="AH667" s="2168"/>
      <c r="AI667" s="2168"/>
      <c r="AJ667" s="2168"/>
      <c r="AK667" s="2168"/>
      <c r="AL667" s="2168"/>
      <c r="AM667" s="2168"/>
      <c r="AN667" s="2168"/>
      <c r="AO667" s="2168"/>
      <c r="AP667" s="2168"/>
      <c r="AQ667" s="2168"/>
      <c r="AR667" s="2168"/>
      <c r="AS667" s="2168"/>
      <c r="AT667" s="2168"/>
      <c r="AU667" s="2168"/>
      <c r="AV667" s="2168"/>
    </row>
    <row r="668" spans="13:48">
      <c r="M668" s="2098"/>
      <c r="N668" s="2098"/>
      <c r="O668" s="2098"/>
      <c r="P668" s="2098"/>
      <c r="R668" s="2098"/>
      <c r="S668" s="2098"/>
      <c r="T668" s="2098"/>
      <c r="U668" s="2098"/>
      <c r="V668" s="2168"/>
      <c r="W668" s="2168"/>
      <c r="X668" s="2168"/>
      <c r="Y668" s="2168"/>
      <c r="Z668" s="2168"/>
      <c r="AA668" s="2168"/>
      <c r="AB668" s="2168"/>
      <c r="AC668" s="2168"/>
      <c r="AD668" s="2168"/>
      <c r="AE668" s="2168"/>
      <c r="AF668" s="2168"/>
      <c r="AG668" s="2168"/>
      <c r="AH668" s="2168"/>
      <c r="AI668" s="2168"/>
      <c r="AJ668" s="2168"/>
      <c r="AK668" s="2168"/>
      <c r="AL668" s="2168"/>
      <c r="AM668" s="2168"/>
      <c r="AN668" s="2168"/>
      <c r="AO668" s="2168"/>
      <c r="AP668" s="2168"/>
      <c r="AQ668" s="2168"/>
      <c r="AR668" s="2168"/>
      <c r="AS668" s="2168"/>
      <c r="AT668" s="2168"/>
      <c r="AU668" s="2168"/>
      <c r="AV668" s="2168"/>
    </row>
    <row r="669" spans="13:48">
      <c r="M669" s="2098"/>
      <c r="N669" s="2098"/>
      <c r="O669" s="2098"/>
      <c r="P669" s="2098"/>
      <c r="R669" s="2098"/>
      <c r="S669" s="2098"/>
      <c r="T669" s="2098"/>
      <c r="U669" s="2098"/>
      <c r="V669" s="2168"/>
      <c r="W669" s="2168"/>
      <c r="X669" s="2168"/>
      <c r="Y669" s="2168"/>
      <c r="Z669" s="2168"/>
      <c r="AA669" s="2168"/>
      <c r="AB669" s="2168"/>
      <c r="AC669" s="2168"/>
      <c r="AD669" s="2168"/>
      <c r="AE669" s="2168"/>
      <c r="AF669" s="2168"/>
      <c r="AG669" s="2168"/>
      <c r="AH669" s="2168"/>
      <c r="AI669" s="2168"/>
      <c r="AJ669" s="2168"/>
      <c r="AK669" s="2168"/>
      <c r="AL669" s="2168"/>
      <c r="AM669" s="2168"/>
      <c r="AN669" s="2168"/>
      <c r="AO669" s="2168"/>
      <c r="AP669" s="2168"/>
      <c r="AQ669" s="2168"/>
      <c r="AR669" s="2168"/>
      <c r="AS669" s="2168"/>
      <c r="AT669" s="2168"/>
      <c r="AU669" s="2168"/>
      <c r="AV669" s="2168"/>
    </row>
    <row r="670" spans="13:48">
      <c r="M670" s="2098"/>
      <c r="N670" s="2098"/>
      <c r="O670" s="2098"/>
      <c r="P670" s="2098"/>
      <c r="R670" s="2098"/>
      <c r="S670" s="2098"/>
      <c r="T670" s="2098"/>
      <c r="U670" s="2098"/>
      <c r="V670" s="2168"/>
      <c r="W670" s="2168"/>
      <c r="X670" s="2168"/>
      <c r="Y670" s="2168"/>
      <c r="Z670" s="2168"/>
      <c r="AA670" s="2168"/>
      <c r="AB670" s="2168"/>
      <c r="AC670" s="2168"/>
      <c r="AD670" s="2168"/>
      <c r="AE670" s="2168"/>
      <c r="AF670" s="2168"/>
      <c r="AG670" s="2168"/>
      <c r="AH670" s="2168"/>
      <c r="AI670" s="2168"/>
      <c r="AJ670" s="2168"/>
      <c r="AK670" s="2168"/>
      <c r="AL670" s="2168"/>
      <c r="AM670" s="2168"/>
      <c r="AN670" s="2168"/>
      <c r="AO670" s="2168"/>
      <c r="AP670" s="2168"/>
      <c r="AQ670" s="2168"/>
      <c r="AR670" s="2168"/>
      <c r="AS670" s="2168"/>
      <c r="AT670" s="2168"/>
      <c r="AU670" s="2168"/>
      <c r="AV670" s="2168"/>
    </row>
    <row r="671" spans="13:48">
      <c r="M671" s="2098"/>
      <c r="N671" s="2098"/>
      <c r="O671" s="2098"/>
      <c r="P671" s="2098"/>
      <c r="R671" s="2098"/>
      <c r="S671" s="2098"/>
      <c r="T671" s="2098"/>
      <c r="U671" s="2098"/>
      <c r="V671" s="2168"/>
      <c r="W671" s="2168"/>
      <c r="X671" s="2168"/>
      <c r="Y671" s="2168"/>
      <c r="Z671" s="2168"/>
      <c r="AA671" s="2168"/>
      <c r="AB671" s="2168"/>
      <c r="AC671" s="2168"/>
      <c r="AD671" s="2168"/>
      <c r="AE671" s="2168"/>
      <c r="AF671" s="2168"/>
      <c r="AG671" s="2168"/>
      <c r="AH671" s="2168"/>
      <c r="AI671" s="2168"/>
      <c r="AJ671" s="2168"/>
      <c r="AK671" s="2168"/>
      <c r="AL671" s="2168"/>
      <c r="AM671" s="2168"/>
      <c r="AN671" s="2168"/>
      <c r="AO671" s="2168"/>
      <c r="AP671" s="2168"/>
      <c r="AQ671" s="2168"/>
      <c r="AR671" s="2168"/>
      <c r="AS671" s="2168"/>
      <c r="AT671" s="2168"/>
      <c r="AU671" s="2168"/>
      <c r="AV671" s="2168"/>
    </row>
    <row r="672" spans="13:48">
      <c r="M672" s="2098"/>
      <c r="N672" s="2098"/>
      <c r="O672" s="2098"/>
      <c r="P672" s="2098"/>
      <c r="R672" s="2098"/>
      <c r="S672" s="2098"/>
      <c r="T672" s="2098"/>
      <c r="U672" s="2098"/>
      <c r="V672" s="2168"/>
      <c r="W672" s="2168"/>
      <c r="X672" s="2168"/>
      <c r="Y672" s="2168"/>
      <c r="Z672" s="2168"/>
      <c r="AA672" s="2168"/>
      <c r="AB672" s="2168"/>
      <c r="AC672" s="2168"/>
      <c r="AD672" s="2168"/>
      <c r="AE672" s="2168"/>
      <c r="AF672" s="2168"/>
      <c r="AG672" s="2168"/>
      <c r="AH672" s="2168"/>
      <c r="AI672" s="2168"/>
      <c r="AJ672" s="2168"/>
      <c r="AK672" s="2168"/>
      <c r="AL672" s="2168"/>
      <c r="AM672" s="2168"/>
      <c r="AN672" s="2168"/>
      <c r="AO672" s="2168"/>
      <c r="AP672" s="2168"/>
      <c r="AQ672" s="2168"/>
      <c r="AR672" s="2168"/>
      <c r="AS672" s="2168"/>
      <c r="AT672" s="2168"/>
      <c r="AU672" s="2168"/>
      <c r="AV672" s="2168"/>
    </row>
    <row r="673" spans="13:48">
      <c r="M673" s="2098"/>
      <c r="N673" s="2098"/>
      <c r="O673" s="2098"/>
      <c r="P673" s="2098"/>
      <c r="R673" s="2098"/>
      <c r="S673" s="2098"/>
      <c r="T673" s="2098"/>
      <c r="U673" s="2098"/>
      <c r="V673" s="2168"/>
      <c r="W673" s="2168"/>
      <c r="X673" s="2168"/>
      <c r="Y673" s="2168"/>
      <c r="Z673" s="2168"/>
      <c r="AA673" s="2168"/>
      <c r="AB673" s="2168"/>
      <c r="AC673" s="2168"/>
      <c r="AD673" s="2168"/>
      <c r="AE673" s="2168"/>
      <c r="AF673" s="2168"/>
      <c r="AG673" s="2168"/>
      <c r="AH673" s="2168"/>
      <c r="AI673" s="2168"/>
      <c r="AJ673" s="2168"/>
      <c r="AK673" s="2168"/>
      <c r="AL673" s="2168"/>
      <c r="AM673" s="2168"/>
      <c r="AN673" s="2168"/>
      <c r="AO673" s="2168"/>
      <c r="AP673" s="2168"/>
      <c r="AQ673" s="2168"/>
      <c r="AR673" s="2168"/>
      <c r="AS673" s="2168"/>
      <c r="AT673" s="2168"/>
      <c r="AU673" s="2168"/>
      <c r="AV673" s="2168"/>
    </row>
    <row r="674" spans="13:48">
      <c r="M674" s="2098"/>
      <c r="N674" s="2098"/>
      <c r="O674" s="2098"/>
      <c r="P674" s="2098"/>
      <c r="R674" s="2098"/>
      <c r="S674" s="2098"/>
      <c r="T674" s="2098"/>
      <c r="U674" s="2098"/>
      <c r="V674" s="2168"/>
      <c r="W674" s="2168"/>
      <c r="X674" s="2168"/>
      <c r="Y674" s="2168"/>
      <c r="Z674" s="2168"/>
      <c r="AA674" s="2168"/>
      <c r="AB674" s="2168"/>
      <c r="AC674" s="2168"/>
      <c r="AD674" s="2168"/>
      <c r="AE674" s="2168"/>
      <c r="AF674" s="2168"/>
      <c r="AG674" s="2168"/>
      <c r="AH674" s="2168"/>
      <c r="AI674" s="2168"/>
      <c r="AJ674" s="2168"/>
      <c r="AK674" s="2168"/>
      <c r="AL674" s="2168"/>
      <c r="AM674" s="2168"/>
      <c r="AN674" s="2168"/>
      <c r="AO674" s="2168"/>
      <c r="AP674" s="2168"/>
      <c r="AQ674" s="2168"/>
      <c r="AR674" s="2168"/>
      <c r="AS674" s="2168"/>
      <c r="AT674" s="2168"/>
      <c r="AU674" s="2168"/>
      <c r="AV674" s="2168"/>
    </row>
    <row r="675" spans="13:48">
      <c r="M675" s="2098"/>
      <c r="N675" s="2098"/>
      <c r="O675" s="2098"/>
      <c r="P675" s="2098"/>
      <c r="R675" s="2098"/>
      <c r="S675" s="2098"/>
      <c r="T675" s="2098"/>
      <c r="U675" s="2098"/>
      <c r="V675" s="2168"/>
      <c r="W675" s="2168"/>
      <c r="X675" s="2168"/>
      <c r="Y675" s="2168"/>
      <c r="Z675" s="2168"/>
      <c r="AA675" s="2168"/>
      <c r="AB675" s="2168"/>
      <c r="AC675" s="2168"/>
      <c r="AD675" s="2168"/>
      <c r="AE675" s="2168"/>
      <c r="AF675" s="2168"/>
      <c r="AG675" s="2168"/>
      <c r="AH675" s="2168"/>
      <c r="AI675" s="2168"/>
      <c r="AJ675" s="2168"/>
      <c r="AK675" s="2168"/>
      <c r="AL675" s="2168"/>
      <c r="AM675" s="2168"/>
      <c r="AN675" s="2168"/>
      <c r="AO675" s="2168"/>
      <c r="AP675" s="2168"/>
      <c r="AQ675" s="2168"/>
      <c r="AR675" s="2168"/>
      <c r="AS675" s="2168"/>
      <c r="AT675" s="2168"/>
      <c r="AU675" s="2168"/>
      <c r="AV675" s="2168"/>
    </row>
    <row r="676" spans="13:48">
      <c r="M676" s="2098"/>
      <c r="N676" s="2098"/>
      <c r="O676" s="2098"/>
      <c r="P676" s="2098"/>
      <c r="R676" s="2098"/>
      <c r="S676" s="2098"/>
      <c r="T676" s="2098"/>
      <c r="U676" s="2098"/>
      <c r="V676" s="2168"/>
      <c r="W676" s="2168"/>
      <c r="X676" s="2168"/>
      <c r="Y676" s="2168"/>
      <c r="Z676" s="2168"/>
      <c r="AA676" s="2168"/>
      <c r="AB676" s="2168"/>
      <c r="AC676" s="2168"/>
      <c r="AD676" s="2168"/>
      <c r="AE676" s="2168"/>
      <c r="AF676" s="2168"/>
      <c r="AG676" s="2168"/>
      <c r="AH676" s="2168"/>
      <c r="AI676" s="2168"/>
      <c r="AJ676" s="2168"/>
      <c r="AK676" s="2168"/>
      <c r="AL676" s="2168"/>
      <c r="AM676" s="2168"/>
      <c r="AN676" s="2168"/>
      <c r="AO676" s="2168"/>
      <c r="AP676" s="2168"/>
      <c r="AQ676" s="2168"/>
      <c r="AR676" s="2168"/>
      <c r="AS676" s="2168"/>
      <c r="AT676" s="2168"/>
      <c r="AU676" s="2168"/>
      <c r="AV676" s="2168"/>
    </row>
    <row r="677" spans="13:48">
      <c r="M677" s="2098"/>
      <c r="N677" s="2098"/>
      <c r="O677" s="2098"/>
      <c r="P677" s="2098"/>
      <c r="R677" s="2098"/>
      <c r="S677" s="2098"/>
      <c r="T677" s="2098"/>
      <c r="U677" s="2098"/>
      <c r="V677" s="2168"/>
      <c r="W677" s="2168"/>
      <c r="X677" s="2168"/>
      <c r="Y677" s="2168"/>
      <c r="Z677" s="2168"/>
      <c r="AA677" s="2168"/>
      <c r="AB677" s="2168"/>
      <c r="AC677" s="2168"/>
      <c r="AD677" s="2168"/>
      <c r="AE677" s="2168"/>
      <c r="AF677" s="2168"/>
      <c r="AG677" s="2168"/>
      <c r="AH677" s="2168"/>
      <c r="AI677" s="2168"/>
      <c r="AJ677" s="2168"/>
      <c r="AK677" s="2168"/>
      <c r="AL677" s="2168"/>
      <c r="AM677" s="2168"/>
      <c r="AN677" s="2168"/>
      <c r="AO677" s="2168"/>
      <c r="AP677" s="2168"/>
      <c r="AQ677" s="2168"/>
      <c r="AR677" s="2168"/>
      <c r="AS677" s="2168"/>
      <c r="AT677" s="2168"/>
      <c r="AU677" s="2168"/>
      <c r="AV677" s="2168"/>
    </row>
    <row r="678" spans="13:48">
      <c r="M678" s="2098"/>
      <c r="N678" s="2098"/>
      <c r="O678" s="2098"/>
      <c r="P678" s="2098"/>
      <c r="R678" s="2098"/>
      <c r="S678" s="2098"/>
      <c r="T678" s="2098"/>
      <c r="U678" s="2098"/>
      <c r="V678" s="2168"/>
      <c r="W678" s="2168"/>
      <c r="X678" s="2168"/>
      <c r="Y678" s="2168"/>
      <c r="Z678" s="2168"/>
      <c r="AA678" s="2168"/>
      <c r="AB678" s="2168"/>
      <c r="AC678" s="2168"/>
      <c r="AD678" s="2168"/>
      <c r="AE678" s="2168"/>
      <c r="AF678" s="2168"/>
      <c r="AG678" s="2168"/>
      <c r="AH678" s="2168"/>
      <c r="AI678" s="2168"/>
      <c r="AJ678" s="2168"/>
      <c r="AK678" s="2168"/>
      <c r="AL678" s="2168"/>
      <c r="AM678" s="2168"/>
      <c r="AN678" s="2168"/>
      <c r="AO678" s="2168"/>
      <c r="AP678" s="2168"/>
      <c r="AQ678" s="2168"/>
      <c r="AR678" s="2168"/>
      <c r="AS678" s="2168"/>
      <c r="AT678" s="2168"/>
      <c r="AU678" s="2168"/>
      <c r="AV678" s="2168"/>
    </row>
    <row r="679" spans="13:48">
      <c r="M679" s="2098"/>
      <c r="N679" s="2098"/>
      <c r="O679" s="2098"/>
      <c r="P679" s="2098"/>
      <c r="R679" s="2098"/>
      <c r="S679" s="2098"/>
      <c r="T679" s="2098"/>
      <c r="U679" s="2098"/>
      <c r="V679" s="2168"/>
      <c r="W679" s="2168"/>
      <c r="X679" s="2168"/>
      <c r="Y679" s="2168"/>
      <c r="Z679" s="2168"/>
      <c r="AA679" s="2168"/>
      <c r="AB679" s="2168"/>
      <c r="AC679" s="2168"/>
      <c r="AD679" s="2168"/>
      <c r="AE679" s="2168"/>
      <c r="AF679" s="2168"/>
      <c r="AG679" s="2168"/>
      <c r="AH679" s="2168"/>
      <c r="AI679" s="2168"/>
      <c r="AJ679" s="2168"/>
      <c r="AK679" s="2168"/>
      <c r="AL679" s="2168"/>
      <c r="AM679" s="2168"/>
      <c r="AN679" s="2168"/>
      <c r="AO679" s="2168"/>
      <c r="AP679" s="2168"/>
      <c r="AQ679" s="2168"/>
      <c r="AR679" s="2168"/>
      <c r="AS679" s="2168"/>
      <c r="AT679" s="2168"/>
      <c r="AU679" s="2168"/>
      <c r="AV679" s="2168"/>
    </row>
    <row r="680" spans="13:48">
      <c r="M680" s="2098"/>
      <c r="N680" s="2098"/>
      <c r="O680" s="2098"/>
      <c r="P680" s="2098"/>
      <c r="R680" s="2098"/>
      <c r="S680" s="2098"/>
      <c r="T680" s="2098"/>
      <c r="U680" s="2098"/>
      <c r="V680" s="2168"/>
      <c r="W680" s="2168"/>
      <c r="X680" s="2168"/>
      <c r="Y680" s="2168"/>
      <c r="Z680" s="2168"/>
      <c r="AA680" s="2168"/>
      <c r="AB680" s="2168"/>
      <c r="AC680" s="2168"/>
      <c r="AD680" s="2168"/>
      <c r="AE680" s="2168"/>
      <c r="AF680" s="2168"/>
      <c r="AG680" s="2168"/>
      <c r="AH680" s="2168"/>
      <c r="AI680" s="2168"/>
      <c r="AJ680" s="2168"/>
      <c r="AK680" s="2168"/>
      <c r="AL680" s="2168"/>
      <c r="AM680" s="2168"/>
      <c r="AN680" s="2168"/>
      <c r="AO680" s="2168"/>
      <c r="AP680" s="2168"/>
      <c r="AQ680" s="2168"/>
      <c r="AR680" s="2168"/>
      <c r="AS680" s="2168"/>
      <c r="AT680" s="2168"/>
      <c r="AU680" s="2168"/>
      <c r="AV680" s="2168"/>
    </row>
    <row r="681" spans="13:48">
      <c r="M681" s="2098"/>
      <c r="N681" s="2098"/>
      <c r="O681" s="2098"/>
      <c r="P681" s="2098"/>
      <c r="R681" s="2098"/>
      <c r="S681" s="2098"/>
      <c r="T681" s="2098"/>
      <c r="U681" s="2098"/>
      <c r="V681" s="2168"/>
      <c r="W681" s="2168"/>
      <c r="X681" s="2168"/>
      <c r="Y681" s="2168"/>
      <c r="Z681" s="2168"/>
      <c r="AA681" s="2168"/>
      <c r="AB681" s="2168"/>
      <c r="AC681" s="2168"/>
      <c r="AD681" s="2168"/>
      <c r="AE681" s="2168"/>
      <c r="AF681" s="2168"/>
      <c r="AG681" s="2168"/>
      <c r="AH681" s="2168"/>
      <c r="AI681" s="2168"/>
      <c r="AJ681" s="2168"/>
      <c r="AK681" s="2168"/>
      <c r="AL681" s="2168"/>
      <c r="AM681" s="2168"/>
      <c r="AN681" s="2168"/>
      <c r="AO681" s="2168"/>
      <c r="AP681" s="2168"/>
      <c r="AQ681" s="2168"/>
      <c r="AR681" s="2168"/>
      <c r="AS681" s="2168"/>
      <c r="AT681" s="2168"/>
      <c r="AU681" s="2168"/>
      <c r="AV681" s="2168"/>
    </row>
    <row r="682" spans="13:48">
      <c r="M682" s="2098"/>
      <c r="N682" s="2098"/>
      <c r="O682" s="2098"/>
      <c r="P682" s="2098"/>
      <c r="R682" s="2098"/>
      <c r="S682" s="2098"/>
      <c r="T682" s="2098"/>
      <c r="U682" s="2098"/>
      <c r="V682" s="2168"/>
      <c r="W682" s="2168"/>
      <c r="X682" s="2168"/>
      <c r="Y682" s="2168"/>
      <c r="Z682" s="2168"/>
      <c r="AA682" s="2168"/>
      <c r="AB682" s="2168"/>
      <c r="AC682" s="2168"/>
      <c r="AD682" s="2168"/>
      <c r="AE682" s="2168"/>
      <c r="AF682" s="2168"/>
      <c r="AG682" s="2168"/>
      <c r="AH682" s="2168"/>
      <c r="AI682" s="2168"/>
      <c r="AJ682" s="2168"/>
      <c r="AK682" s="2168"/>
      <c r="AL682" s="2168"/>
      <c r="AM682" s="2168"/>
      <c r="AN682" s="2168"/>
      <c r="AO682" s="2168"/>
      <c r="AP682" s="2168"/>
      <c r="AQ682" s="2168"/>
      <c r="AR682" s="2168"/>
      <c r="AS682" s="2168"/>
      <c r="AT682" s="2168"/>
      <c r="AU682" s="2168"/>
      <c r="AV682" s="2168"/>
    </row>
    <row r="683" spans="13:48">
      <c r="M683" s="2098"/>
      <c r="N683" s="2098"/>
      <c r="O683" s="2098"/>
      <c r="P683" s="2098"/>
      <c r="R683" s="2098"/>
      <c r="S683" s="2098"/>
      <c r="T683" s="2098"/>
      <c r="U683" s="2098"/>
      <c r="V683" s="2168"/>
      <c r="W683" s="2168"/>
      <c r="X683" s="2168"/>
      <c r="Y683" s="2168"/>
      <c r="Z683" s="2168"/>
      <c r="AA683" s="2168"/>
      <c r="AB683" s="2168"/>
      <c r="AC683" s="2168"/>
      <c r="AD683" s="2168"/>
      <c r="AE683" s="2168"/>
      <c r="AF683" s="2168"/>
      <c r="AG683" s="2168"/>
      <c r="AH683" s="2168"/>
      <c r="AI683" s="2168"/>
      <c r="AJ683" s="2168"/>
      <c r="AK683" s="2168"/>
      <c r="AL683" s="2168"/>
      <c r="AM683" s="2168"/>
      <c r="AN683" s="2168"/>
      <c r="AO683" s="2168"/>
      <c r="AP683" s="2168"/>
      <c r="AQ683" s="2168"/>
      <c r="AR683" s="2168"/>
      <c r="AS683" s="2168"/>
      <c r="AT683" s="2168"/>
      <c r="AU683" s="2168"/>
      <c r="AV683" s="2168"/>
    </row>
    <row r="684" spans="13:48">
      <c r="M684" s="2098"/>
      <c r="N684" s="2098"/>
      <c r="O684" s="2098"/>
      <c r="P684" s="2098"/>
      <c r="R684" s="2098"/>
      <c r="S684" s="2098"/>
      <c r="T684" s="2098"/>
      <c r="U684" s="2098"/>
      <c r="V684" s="2168"/>
      <c r="W684" s="2168"/>
      <c r="X684" s="2168"/>
      <c r="Y684" s="2168"/>
      <c r="Z684" s="2168"/>
      <c r="AA684" s="2168"/>
      <c r="AB684" s="2168"/>
      <c r="AC684" s="2168"/>
      <c r="AD684" s="2168"/>
      <c r="AE684" s="2168"/>
      <c r="AF684" s="2168"/>
      <c r="AG684" s="2168"/>
      <c r="AH684" s="2168"/>
      <c r="AI684" s="2168"/>
      <c r="AJ684" s="2168"/>
      <c r="AK684" s="2168"/>
      <c r="AL684" s="2168"/>
      <c r="AM684" s="2168"/>
      <c r="AN684" s="2168"/>
      <c r="AO684" s="2168"/>
      <c r="AP684" s="2168"/>
      <c r="AQ684" s="2168"/>
      <c r="AR684" s="2168"/>
      <c r="AS684" s="2168"/>
      <c r="AT684" s="2168"/>
      <c r="AU684" s="2168"/>
      <c r="AV684" s="2168"/>
    </row>
    <row r="685" spans="13:48">
      <c r="M685" s="2098"/>
      <c r="N685" s="2098"/>
      <c r="O685" s="2098"/>
      <c r="P685" s="2098"/>
      <c r="R685" s="2098"/>
      <c r="S685" s="2098"/>
      <c r="T685" s="2098"/>
      <c r="U685" s="2098"/>
      <c r="V685" s="2168"/>
      <c r="W685" s="2168"/>
      <c r="X685" s="2168"/>
      <c r="Y685" s="2168"/>
      <c r="Z685" s="2168"/>
      <c r="AA685" s="2168"/>
      <c r="AB685" s="2168"/>
      <c r="AC685" s="2168"/>
      <c r="AD685" s="2168"/>
      <c r="AE685" s="2168"/>
      <c r="AF685" s="2168"/>
      <c r="AG685" s="2168"/>
      <c r="AH685" s="2168"/>
      <c r="AI685" s="2168"/>
      <c r="AJ685" s="2168"/>
      <c r="AK685" s="2168"/>
      <c r="AL685" s="2168"/>
      <c r="AM685" s="2168"/>
      <c r="AN685" s="2168"/>
      <c r="AO685" s="2168"/>
      <c r="AP685" s="2168"/>
      <c r="AQ685" s="2168"/>
      <c r="AR685" s="2168"/>
      <c r="AS685" s="2168"/>
      <c r="AT685" s="2168"/>
      <c r="AU685" s="2168"/>
      <c r="AV685" s="2168"/>
    </row>
    <row r="686" spans="13:48">
      <c r="M686" s="2098"/>
      <c r="N686" s="2098"/>
      <c r="O686" s="2098"/>
      <c r="P686" s="2098"/>
      <c r="R686" s="2098"/>
      <c r="S686" s="2098"/>
      <c r="T686" s="2098"/>
      <c r="U686" s="2098"/>
      <c r="V686" s="2168"/>
      <c r="W686" s="2168"/>
      <c r="X686" s="2168"/>
      <c r="Y686" s="2168"/>
      <c r="Z686" s="2168"/>
      <c r="AA686" s="2168"/>
      <c r="AB686" s="2168"/>
      <c r="AC686" s="2168"/>
      <c r="AD686" s="2168"/>
      <c r="AE686" s="2168"/>
      <c r="AF686" s="2168"/>
      <c r="AG686" s="2168"/>
      <c r="AH686" s="2168"/>
      <c r="AI686" s="2168"/>
      <c r="AJ686" s="2168"/>
      <c r="AK686" s="2168"/>
      <c r="AL686" s="2168"/>
      <c r="AM686" s="2168"/>
      <c r="AN686" s="2168"/>
      <c r="AO686" s="2168"/>
      <c r="AP686" s="2168"/>
      <c r="AQ686" s="2168"/>
      <c r="AR686" s="2168"/>
      <c r="AS686" s="2168"/>
      <c r="AT686" s="2168"/>
      <c r="AU686" s="2168"/>
      <c r="AV686" s="2168"/>
    </row>
    <row r="687" spans="13:48">
      <c r="M687" s="2098"/>
      <c r="N687" s="2098"/>
      <c r="O687" s="2098"/>
      <c r="P687" s="2098"/>
      <c r="R687" s="2098"/>
      <c r="S687" s="2098"/>
      <c r="T687" s="2098"/>
      <c r="U687" s="2098"/>
      <c r="V687" s="2168"/>
      <c r="W687" s="2168"/>
      <c r="X687" s="2168"/>
      <c r="Y687" s="2168"/>
      <c r="Z687" s="2168"/>
      <c r="AA687" s="2168"/>
      <c r="AB687" s="2168"/>
      <c r="AC687" s="2168"/>
      <c r="AD687" s="2168"/>
      <c r="AE687" s="2168"/>
      <c r="AF687" s="2168"/>
      <c r="AG687" s="2168"/>
      <c r="AH687" s="2168"/>
      <c r="AI687" s="2168"/>
      <c r="AJ687" s="2168"/>
      <c r="AK687" s="2168"/>
      <c r="AL687" s="2168"/>
      <c r="AM687" s="2168"/>
      <c r="AN687" s="2168"/>
      <c r="AO687" s="2168"/>
      <c r="AP687" s="2168"/>
      <c r="AQ687" s="2168"/>
      <c r="AR687" s="2168"/>
      <c r="AS687" s="2168"/>
      <c r="AT687" s="2168"/>
      <c r="AU687" s="2168"/>
      <c r="AV687" s="2168"/>
    </row>
    <row r="688" spans="13:48">
      <c r="M688" s="2098"/>
      <c r="N688" s="2098"/>
      <c r="O688" s="2098"/>
      <c r="P688" s="2098"/>
      <c r="R688" s="2098"/>
      <c r="S688" s="2098"/>
      <c r="T688" s="2098"/>
      <c r="U688" s="2098"/>
      <c r="V688" s="2168"/>
      <c r="W688" s="2168"/>
      <c r="X688" s="2168"/>
      <c r="Y688" s="2168"/>
      <c r="Z688" s="2168"/>
      <c r="AA688" s="2168"/>
      <c r="AB688" s="2168"/>
      <c r="AC688" s="2168"/>
      <c r="AD688" s="2168"/>
      <c r="AE688" s="2168"/>
      <c r="AF688" s="2168"/>
      <c r="AG688" s="2168"/>
      <c r="AH688" s="2168"/>
      <c r="AI688" s="2168"/>
      <c r="AJ688" s="2168"/>
      <c r="AK688" s="2168"/>
      <c r="AL688" s="2168"/>
      <c r="AM688" s="2168"/>
      <c r="AN688" s="2168"/>
      <c r="AO688" s="2168"/>
      <c r="AP688" s="2168"/>
      <c r="AQ688" s="2168"/>
      <c r="AR688" s="2168"/>
      <c r="AS688" s="2168"/>
      <c r="AT688" s="2168"/>
      <c r="AU688" s="2168"/>
      <c r="AV688" s="2168"/>
    </row>
    <row r="689" spans="13:48">
      <c r="M689" s="2098"/>
      <c r="N689" s="2098"/>
      <c r="O689" s="2098"/>
      <c r="P689" s="2098"/>
      <c r="R689" s="2098"/>
      <c r="S689" s="2098"/>
      <c r="T689" s="2098"/>
      <c r="U689" s="2098"/>
      <c r="V689" s="2168"/>
      <c r="W689" s="2168"/>
      <c r="X689" s="2168"/>
      <c r="Y689" s="2168"/>
      <c r="Z689" s="2168"/>
      <c r="AA689" s="2168"/>
      <c r="AB689" s="2168"/>
      <c r="AC689" s="2168"/>
      <c r="AD689" s="2168"/>
      <c r="AE689" s="2168"/>
      <c r="AF689" s="2168"/>
      <c r="AG689" s="2168"/>
      <c r="AH689" s="2168"/>
      <c r="AI689" s="2168"/>
      <c r="AJ689" s="2168"/>
      <c r="AK689" s="2168"/>
      <c r="AL689" s="2168"/>
      <c r="AM689" s="2168"/>
      <c r="AN689" s="2168"/>
      <c r="AO689" s="2168"/>
      <c r="AP689" s="2168"/>
      <c r="AQ689" s="2168"/>
      <c r="AR689" s="2168"/>
      <c r="AS689" s="2168"/>
      <c r="AT689" s="2168"/>
      <c r="AU689" s="2168"/>
      <c r="AV689" s="2168"/>
    </row>
    <row r="690" spans="13:48">
      <c r="M690" s="2098"/>
      <c r="N690" s="2098"/>
      <c r="O690" s="2098"/>
      <c r="P690" s="2098"/>
      <c r="R690" s="2098"/>
      <c r="S690" s="2098"/>
      <c r="T690" s="2098"/>
      <c r="U690" s="2098"/>
      <c r="V690" s="2168"/>
      <c r="W690" s="2168"/>
      <c r="X690" s="2168"/>
      <c r="Y690" s="2168"/>
      <c r="Z690" s="2168"/>
      <c r="AA690" s="2168"/>
      <c r="AB690" s="2168"/>
      <c r="AC690" s="2168"/>
      <c r="AD690" s="2168"/>
      <c r="AE690" s="2168"/>
      <c r="AF690" s="2168"/>
      <c r="AG690" s="2168"/>
      <c r="AH690" s="2168"/>
      <c r="AI690" s="2168"/>
      <c r="AJ690" s="2168"/>
      <c r="AK690" s="2168"/>
      <c r="AL690" s="2168"/>
      <c r="AM690" s="2168"/>
      <c r="AN690" s="2168"/>
      <c r="AO690" s="2168"/>
      <c r="AP690" s="2168"/>
      <c r="AQ690" s="2168"/>
      <c r="AR690" s="2168"/>
      <c r="AS690" s="2168"/>
      <c r="AT690" s="2168"/>
      <c r="AU690" s="2168"/>
      <c r="AV690" s="2168"/>
    </row>
    <row r="691" spans="13:48">
      <c r="M691" s="2098"/>
      <c r="N691" s="2098"/>
      <c r="O691" s="2098"/>
      <c r="P691" s="2098"/>
      <c r="R691" s="2098"/>
      <c r="S691" s="2098"/>
      <c r="T691" s="2098"/>
      <c r="U691" s="2098"/>
      <c r="V691" s="2168"/>
      <c r="W691" s="2168"/>
      <c r="X691" s="2168"/>
      <c r="Y691" s="2168"/>
      <c r="Z691" s="2168"/>
      <c r="AA691" s="2168"/>
      <c r="AB691" s="2168"/>
      <c r="AC691" s="2168"/>
      <c r="AD691" s="2168"/>
      <c r="AE691" s="2168"/>
      <c r="AF691" s="2168"/>
      <c r="AG691" s="2168"/>
      <c r="AH691" s="2168"/>
      <c r="AI691" s="2168"/>
      <c r="AJ691" s="2168"/>
      <c r="AK691" s="2168"/>
      <c r="AL691" s="2168"/>
      <c r="AM691" s="2168"/>
      <c r="AN691" s="2168"/>
      <c r="AO691" s="2168"/>
      <c r="AP691" s="2168"/>
      <c r="AQ691" s="2168"/>
      <c r="AR691" s="2168"/>
      <c r="AS691" s="2168"/>
      <c r="AT691" s="2168"/>
      <c r="AU691" s="2168"/>
      <c r="AV691" s="2168"/>
    </row>
    <row r="692" spans="13:48">
      <c r="M692" s="2098"/>
      <c r="N692" s="2098"/>
      <c r="O692" s="2098"/>
      <c r="P692" s="2098"/>
      <c r="R692" s="2098"/>
      <c r="S692" s="2098"/>
      <c r="T692" s="2098"/>
      <c r="U692" s="2098"/>
      <c r="V692" s="2168"/>
      <c r="W692" s="2168"/>
      <c r="X692" s="2168"/>
      <c r="Y692" s="2168"/>
      <c r="Z692" s="2168"/>
      <c r="AA692" s="2168"/>
      <c r="AB692" s="2168"/>
      <c r="AC692" s="2168"/>
      <c r="AD692" s="2168"/>
      <c r="AE692" s="2168"/>
      <c r="AF692" s="2168"/>
      <c r="AG692" s="2168"/>
      <c r="AH692" s="2168"/>
      <c r="AI692" s="2168"/>
      <c r="AJ692" s="2168"/>
      <c r="AK692" s="2168"/>
      <c r="AL692" s="2168"/>
      <c r="AM692" s="2168"/>
      <c r="AN692" s="2168"/>
      <c r="AO692" s="2168"/>
      <c r="AP692" s="2168"/>
      <c r="AQ692" s="2168"/>
      <c r="AR692" s="2168"/>
      <c r="AS692" s="2168"/>
      <c r="AT692" s="2168"/>
      <c r="AU692" s="2168"/>
      <c r="AV692" s="2168"/>
    </row>
    <row r="693" spans="13:48">
      <c r="M693" s="2098"/>
      <c r="N693" s="2098"/>
      <c r="O693" s="2098"/>
      <c r="P693" s="2098"/>
      <c r="R693" s="2098"/>
      <c r="S693" s="2098"/>
      <c r="T693" s="2098"/>
      <c r="U693" s="2098"/>
      <c r="V693" s="2168"/>
      <c r="W693" s="2168"/>
      <c r="X693" s="2168"/>
      <c r="Y693" s="2168"/>
      <c r="Z693" s="2168"/>
      <c r="AA693" s="2168"/>
      <c r="AB693" s="2168"/>
      <c r="AC693" s="2168"/>
      <c r="AD693" s="2168"/>
      <c r="AE693" s="2168"/>
      <c r="AF693" s="2168"/>
      <c r="AG693" s="2168"/>
      <c r="AH693" s="2168"/>
      <c r="AI693" s="2168"/>
      <c r="AJ693" s="2168"/>
      <c r="AK693" s="2168"/>
      <c r="AL693" s="2168"/>
      <c r="AM693" s="2168"/>
      <c r="AN693" s="2168"/>
      <c r="AO693" s="2168"/>
      <c r="AP693" s="2168"/>
      <c r="AQ693" s="2168"/>
      <c r="AR693" s="2168"/>
      <c r="AS693" s="2168"/>
      <c r="AT693" s="2168"/>
      <c r="AU693" s="2168"/>
      <c r="AV693" s="2168"/>
    </row>
    <row r="694" spans="13:48">
      <c r="M694" s="2098"/>
      <c r="N694" s="2098"/>
      <c r="O694" s="2098"/>
      <c r="P694" s="2098"/>
      <c r="R694" s="2098"/>
      <c r="S694" s="2098"/>
      <c r="T694" s="2098"/>
      <c r="U694" s="2098"/>
      <c r="V694" s="2168"/>
      <c r="W694" s="2168"/>
      <c r="X694" s="2168"/>
      <c r="Y694" s="2168"/>
      <c r="Z694" s="2168"/>
      <c r="AA694" s="2168"/>
      <c r="AB694" s="2168"/>
      <c r="AC694" s="2168"/>
      <c r="AD694" s="2168"/>
      <c r="AE694" s="2168"/>
      <c r="AF694" s="2168"/>
      <c r="AG694" s="2168"/>
      <c r="AH694" s="2168"/>
      <c r="AI694" s="2168"/>
      <c r="AJ694" s="2168"/>
      <c r="AK694" s="2168"/>
      <c r="AL694" s="2168"/>
      <c r="AM694" s="2168"/>
      <c r="AN694" s="2168"/>
      <c r="AO694" s="2168"/>
      <c r="AP694" s="2168"/>
      <c r="AQ694" s="2168"/>
      <c r="AR694" s="2168"/>
      <c r="AS694" s="2168"/>
      <c r="AT694" s="2168"/>
      <c r="AU694" s="2168"/>
      <c r="AV694" s="2168"/>
    </row>
    <row r="695" spans="13:48">
      <c r="M695" s="2098"/>
      <c r="N695" s="2098"/>
      <c r="O695" s="2098"/>
      <c r="P695" s="2098"/>
      <c r="R695" s="2098"/>
      <c r="S695" s="2098"/>
      <c r="T695" s="2098"/>
      <c r="U695" s="2098"/>
      <c r="V695" s="2168"/>
      <c r="W695" s="2168"/>
      <c r="X695" s="2168"/>
      <c r="Y695" s="2168"/>
      <c r="Z695" s="2168"/>
      <c r="AA695" s="2168"/>
      <c r="AB695" s="2168"/>
      <c r="AC695" s="2168"/>
      <c r="AD695" s="2168"/>
      <c r="AE695" s="2168"/>
      <c r="AF695" s="2168"/>
      <c r="AG695" s="2168"/>
      <c r="AH695" s="2168"/>
      <c r="AI695" s="2168"/>
      <c r="AJ695" s="2168"/>
      <c r="AK695" s="2168"/>
      <c r="AL695" s="2168"/>
      <c r="AM695" s="2168"/>
      <c r="AN695" s="2168"/>
      <c r="AO695" s="2168"/>
      <c r="AP695" s="2168"/>
      <c r="AQ695" s="2168"/>
      <c r="AR695" s="2168"/>
      <c r="AS695" s="2168"/>
      <c r="AT695" s="2168"/>
      <c r="AU695" s="2168"/>
      <c r="AV695" s="2168"/>
    </row>
    <row r="696" spans="13:48">
      <c r="M696" s="2098"/>
      <c r="N696" s="2098"/>
      <c r="O696" s="2098"/>
      <c r="P696" s="2098"/>
      <c r="R696" s="2098"/>
      <c r="S696" s="2098"/>
      <c r="T696" s="2098"/>
      <c r="U696" s="2098"/>
      <c r="V696" s="2168"/>
      <c r="W696" s="2168"/>
      <c r="X696" s="2168"/>
      <c r="Y696" s="2168"/>
      <c r="Z696" s="2168"/>
      <c r="AA696" s="2168"/>
      <c r="AB696" s="2168"/>
      <c r="AC696" s="2168"/>
      <c r="AD696" s="2168"/>
      <c r="AE696" s="2168"/>
      <c r="AF696" s="2168"/>
      <c r="AG696" s="2168"/>
      <c r="AH696" s="2168"/>
      <c r="AI696" s="2168"/>
      <c r="AJ696" s="2168"/>
      <c r="AK696" s="2168"/>
      <c r="AL696" s="2168"/>
      <c r="AM696" s="2168"/>
      <c r="AN696" s="2168"/>
      <c r="AO696" s="2168"/>
      <c r="AP696" s="2168"/>
      <c r="AQ696" s="2168"/>
      <c r="AR696" s="2168"/>
      <c r="AS696" s="2168"/>
      <c r="AT696" s="2168"/>
      <c r="AU696" s="2168"/>
      <c r="AV696" s="2168"/>
    </row>
    <row r="697" spans="13:48">
      <c r="M697" s="2098"/>
      <c r="N697" s="2098"/>
      <c r="O697" s="2098"/>
      <c r="P697" s="2098"/>
      <c r="R697" s="2098"/>
      <c r="S697" s="2098"/>
      <c r="T697" s="2098"/>
      <c r="U697" s="2098"/>
      <c r="V697" s="2168"/>
      <c r="W697" s="2168"/>
      <c r="X697" s="2168"/>
      <c r="Y697" s="2168"/>
      <c r="Z697" s="2168"/>
      <c r="AA697" s="2168"/>
      <c r="AB697" s="2168"/>
      <c r="AC697" s="2168"/>
      <c r="AD697" s="2168"/>
      <c r="AE697" s="2168"/>
      <c r="AF697" s="2168"/>
      <c r="AG697" s="2168"/>
      <c r="AH697" s="2168"/>
      <c r="AI697" s="2168"/>
      <c r="AJ697" s="2168"/>
      <c r="AK697" s="2168"/>
      <c r="AL697" s="2168"/>
      <c r="AM697" s="2168"/>
      <c r="AN697" s="2168"/>
      <c r="AO697" s="2168"/>
      <c r="AP697" s="2168"/>
      <c r="AQ697" s="2168"/>
      <c r="AR697" s="2168"/>
      <c r="AS697" s="2168"/>
      <c r="AT697" s="2168"/>
      <c r="AU697" s="2168"/>
      <c r="AV697" s="2168"/>
    </row>
    <row r="698" spans="13:48">
      <c r="M698" s="2098"/>
      <c r="N698" s="2098"/>
      <c r="O698" s="2098"/>
      <c r="P698" s="2098"/>
      <c r="R698" s="2098"/>
      <c r="S698" s="2098"/>
      <c r="T698" s="2098"/>
      <c r="U698" s="2098"/>
      <c r="V698" s="2168"/>
      <c r="W698" s="2168"/>
      <c r="X698" s="2168"/>
      <c r="Y698" s="2168"/>
      <c r="Z698" s="2168"/>
      <c r="AA698" s="2168"/>
      <c r="AB698" s="2168"/>
      <c r="AC698" s="2168"/>
      <c r="AD698" s="2168"/>
      <c r="AE698" s="2168"/>
      <c r="AF698" s="2168"/>
      <c r="AG698" s="2168"/>
      <c r="AH698" s="2168"/>
      <c r="AI698" s="2168"/>
      <c r="AJ698" s="2168"/>
      <c r="AK698" s="2168"/>
      <c r="AL698" s="2168"/>
      <c r="AM698" s="2168"/>
      <c r="AN698" s="2168"/>
      <c r="AO698" s="2168"/>
      <c r="AP698" s="2168"/>
      <c r="AQ698" s="2168"/>
      <c r="AR698" s="2168"/>
      <c r="AS698" s="2168"/>
      <c r="AT698" s="2168"/>
      <c r="AU698" s="2168"/>
      <c r="AV698" s="2168"/>
    </row>
    <row r="699" spans="13:48">
      <c r="M699" s="2098"/>
      <c r="N699" s="2098"/>
      <c r="O699" s="2098"/>
      <c r="P699" s="2098"/>
      <c r="R699" s="2098"/>
      <c r="S699" s="2098"/>
      <c r="T699" s="2098"/>
      <c r="U699" s="2098"/>
      <c r="V699" s="2168"/>
      <c r="W699" s="2168"/>
      <c r="X699" s="2168"/>
      <c r="Y699" s="2168"/>
      <c r="Z699" s="2168"/>
      <c r="AA699" s="2168"/>
      <c r="AB699" s="2168"/>
      <c r="AC699" s="2168"/>
      <c r="AD699" s="2168"/>
      <c r="AE699" s="2168"/>
      <c r="AF699" s="2168"/>
      <c r="AG699" s="2168"/>
      <c r="AH699" s="2168"/>
      <c r="AI699" s="2168"/>
      <c r="AJ699" s="2168"/>
      <c r="AK699" s="2168"/>
      <c r="AL699" s="2168"/>
      <c r="AM699" s="2168"/>
      <c r="AN699" s="2168"/>
      <c r="AO699" s="2168"/>
      <c r="AP699" s="2168"/>
      <c r="AQ699" s="2168"/>
      <c r="AR699" s="2168"/>
      <c r="AS699" s="2168"/>
      <c r="AT699" s="2168"/>
      <c r="AU699" s="2168"/>
      <c r="AV699" s="2168"/>
    </row>
    <row r="700" spans="13:48">
      <c r="M700" s="2098"/>
      <c r="N700" s="2098"/>
      <c r="O700" s="2098"/>
      <c r="P700" s="2098"/>
      <c r="R700" s="2098"/>
      <c r="S700" s="2098"/>
      <c r="T700" s="2098"/>
      <c r="U700" s="2098"/>
      <c r="V700" s="2168"/>
      <c r="W700" s="2168"/>
      <c r="X700" s="2168"/>
      <c r="Y700" s="2168"/>
      <c r="Z700" s="2168"/>
      <c r="AA700" s="2168"/>
      <c r="AB700" s="2168"/>
      <c r="AC700" s="2168"/>
      <c r="AD700" s="2168"/>
      <c r="AE700" s="2168"/>
      <c r="AF700" s="2168"/>
      <c r="AG700" s="2168"/>
      <c r="AH700" s="2168"/>
      <c r="AI700" s="2168"/>
      <c r="AJ700" s="2168"/>
      <c r="AK700" s="2168"/>
      <c r="AL700" s="2168"/>
      <c r="AM700" s="2168"/>
      <c r="AN700" s="2168"/>
      <c r="AO700" s="2168"/>
      <c r="AP700" s="2168"/>
      <c r="AQ700" s="2168"/>
      <c r="AR700" s="2168"/>
      <c r="AS700" s="2168"/>
      <c r="AT700" s="2168"/>
      <c r="AU700" s="2168"/>
      <c r="AV700" s="2168"/>
    </row>
    <row r="701" spans="13:48">
      <c r="M701" s="2098"/>
      <c r="N701" s="2098"/>
      <c r="O701" s="2098"/>
      <c r="P701" s="2098"/>
      <c r="R701" s="2098"/>
      <c r="S701" s="2098"/>
      <c r="T701" s="2098"/>
      <c r="U701" s="2098"/>
      <c r="V701" s="2168"/>
      <c r="W701" s="2168"/>
      <c r="X701" s="2168"/>
      <c r="Y701" s="2168"/>
      <c r="Z701" s="2168"/>
      <c r="AA701" s="2168"/>
      <c r="AB701" s="2168"/>
      <c r="AC701" s="2168"/>
      <c r="AD701" s="2168"/>
      <c r="AE701" s="2168"/>
      <c r="AF701" s="2168"/>
      <c r="AG701" s="2168"/>
      <c r="AH701" s="2168"/>
      <c r="AI701" s="2168"/>
      <c r="AJ701" s="2168"/>
      <c r="AK701" s="2168"/>
      <c r="AL701" s="2168"/>
      <c r="AM701" s="2168"/>
      <c r="AN701" s="2168"/>
      <c r="AO701" s="2168"/>
      <c r="AP701" s="2168"/>
      <c r="AQ701" s="2168"/>
      <c r="AR701" s="2168"/>
      <c r="AS701" s="2168"/>
      <c r="AT701" s="2168"/>
      <c r="AU701" s="2168"/>
      <c r="AV701" s="2168"/>
    </row>
    <row r="702" spans="13:48">
      <c r="M702" s="2098"/>
      <c r="N702" s="2098"/>
      <c r="O702" s="2098"/>
      <c r="P702" s="2098"/>
      <c r="R702" s="2098"/>
      <c r="S702" s="2098"/>
      <c r="T702" s="2098"/>
      <c r="U702" s="2098"/>
      <c r="V702" s="2168"/>
      <c r="W702" s="2168"/>
      <c r="X702" s="2168"/>
      <c r="Y702" s="2168"/>
      <c r="Z702" s="2168"/>
      <c r="AA702" s="2168"/>
      <c r="AB702" s="2168"/>
      <c r="AC702" s="2168"/>
      <c r="AD702" s="2168"/>
      <c r="AE702" s="2168"/>
      <c r="AF702" s="2168"/>
      <c r="AG702" s="2168"/>
      <c r="AH702" s="2168"/>
      <c r="AI702" s="2168"/>
      <c r="AJ702" s="2168"/>
      <c r="AK702" s="2168"/>
      <c r="AL702" s="2168"/>
      <c r="AM702" s="2168"/>
      <c r="AN702" s="2168"/>
      <c r="AO702" s="2168"/>
      <c r="AP702" s="2168"/>
      <c r="AQ702" s="2168"/>
      <c r="AR702" s="2168"/>
      <c r="AS702" s="2168"/>
      <c r="AT702" s="2168"/>
      <c r="AU702" s="2168"/>
      <c r="AV702" s="2168"/>
    </row>
    <row r="703" spans="13:48">
      <c r="M703" s="2098"/>
      <c r="N703" s="2098"/>
      <c r="O703" s="2098"/>
      <c r="P703" s="2098"/>
      <c r="R703" s="2098"/>
      <c r="S703" s="2098"/>
      <c r="T703" s="2098"/>
      <c r="U703" s="2098"/>
      <c r="V703" s="2168"/>
      <c r="W703" s="2168"/>
      <c r="X703" s="2168"/>
      <c r="Y703" s="2168"/>
      <c r="Z703" s="2168"/>
      <c r="AA703" s="2168"/>
      <c r="AB703" s="2168"/>
      <c r="AC703" s="2168"/>
      <c r="AD703" s="2168"/>
      <c r="AE703" s="2168"/>
      <c r="AF703" s="2168"/>
      <c r="AG703" s="2168"/>
      <c r="AH703" s="2168"/>
      <c r="AI703" s="2168"/>
      <c r="AJ703" s="2168"/>
      <c r="AK703" s="2168"/>
      <c r="AL703" s="2168"/>
      <c r="AM703" s="2168"/>
      <c r="AN703" s="2168"/>
      <c r="AO703" s="2168"/>
      <c r="AP703" s="2168"/>
      <c r="AQ703" s="2168"/>
      <c r="AR703" s="2168"/>
      <c r="AS703" s="2168"/>
      <c r="AT703" s="2168"/>
      <c r="AU703" s="2168"/>
      <c r="AV703" s="2168"/>
    </row>
    <row r="704" spans="13:48">
      <c r="M704" s="2098"/>
      <c r="N704" s="2098"/>
      <c r="O704" s="2098"/>
      <c r="P704" s="2098"/>
      <c r="R704" s="2098"/>
      <c r="S704" s="2098"/>
      <c r="T704" s="2098"/>
      <c r="U704" s="2098"/>
      <c r="V704" s="2168"/>
      <c r="W704" s="2168"/>
      <c r="X704" s="2168"/>
      <c r="Y704" s="2168"/>
      <c r="Z704" s="2168"/>
      <c r="AA704" s="2168"/>
      <c r="AB704" s="2168"/>
      <c r="AC704" s="2168"/>
      <c r="AD704" s="2168"/>
      <c r="AE704" s="2168"/>
      <c r="AF704" s="2168"/>
      <c r="AG704" s="2168"/>
      <c r="AH704" s="2168"/>
      <c r="AI704" s="2168"/>
      <c r="AJ704" s="2168"/>
      <c r="AK704" s="2168"/>
      <c r="AL704" s="2168"/>
      <c r="AM704" s="2168"/>
      <c r="AN704" s="2168"/>
      <c r="AO704" s="2168"/>
      <c r="AP704" s="2168"/>
      <c r="AQ704" s="2168"/>
      <c r="AR704" s="2168"/>
      <c r="AS704" s="2168"/>
      <c r="AT704" s="2168"/>
      <c r="AU704" s="2168"/>
      <c r="AV704" s="2168"/>
    </row>
    <row r="705" spans="13:48">
      <c r="M705" s="2098"/>
      <c r="N705" s="2098"/>
      <c r="O705" s="2098"/>
      <c r="P705" s="2098"/>
      <c r="R705" s="2098"/>
      <c r="S705" s="2098"/>
      <c r="T705" s="2098"/>
      <c r="U705" s="2098"/>
      <c r="V705" s="2168"/>
      <c r="W705" s="2168"/>
      <c r="X705" s="2168"/>
      <c r="Y705" s="2168"/>
      <c r="Z705" s="2168"/>
      <c r="AA705" s="2168"/>
      <c r="AB705" s="2168"/>
      <c r="AC705" s="2168"/>
      <c r="AD705" s="2168"/>
      <c r="AE705" s="2168"/>
      <c r="AF705" s="2168"/>
      <c r="AG705" s="2168"/>
      <c r="AH705" s="2168"/>
      <c r="AI705" s="2168"/>
      <c r="AJ705" s="2168"/>
      <c r="AK705" s="2168"/>
      <c r="AL705" s="2168"/>
      <c r="AM705" s="2168"/>
      <c r="AN705" s="2168"/>
      <c r="AO705" s="2168"/>
      <c r="AP705" s="2168"/>
      <c r="AQ705" s="2168"/>
      <c r="AR705" s="2168"/>
      <c r="AS705" s="2168"/>
      <c r="AT705" s="2168"/>
      <c r="AU705" s="2168"/>
      <c r="AV705" s="2168"/>
    </row>
    <row r="706" spans="13:48">
      <c r="M706" s="2098"/>
      <c r="N706" s="2098"/>
      <c r="O706" s="2098"/>
      <c r="P706" s="2098"/>
      <c r="R706" s="2098"/>
      <c r="S706" s="2098"/>
      <c r="T706" s="2098"/>
      <c r="U706" s="2098"/>
      <c r="V706" s="2168"/>
      <c r="W706" s="2168"/>
      <c r="X706" s="2168"/>
      <c r="Y706" s="2168"/>
      <c r="Z706" s="2168"/>
      <c r="AA706" s="2168"/>
      <c r="AB706" s="2168"/>
      <c r="AC706" s="2168"/>
      <c r="AD706" s="2168"/>
      <c r="AE706" s="2168"/>
      <c r="AF706" s="2168"/>
      <c r="AG706" s="2168"/>
      <c r="AH706" s="2168"/>
      <c r="AI706" s="2168"/>
      <c r="AJ706" s="2168"/>
      <c r="AK706" s="2168"/>
      <c r="AL706" s="2168"/>
      <c r="AM706" s="2168"/>
      <c r="AN706" s="2168"/>
      <c r="AO706" s="2168"/>
      <c r="AP706" s="2168"/>
      <c r="AQ706" s="2168"/>
      <c r="AR706" s="2168"/>
      <c r="AS706" s="2168"/>
      <c r="AT706" s="2168"/>
      <c r="AU706" s="2168"/>
      <c r="AV706" s="2168"/>
    </row>
    <row r="707" spans="13:48">
      <c r="M707" s="2098"/>
      <c r="N707" s="2098"/>
      <c r="O707" s="2098"/>
      <c r="P707" s="2098"/>
      <c r="R707" s="2098"/>
      <c r="S707" s="2098"/>
      <c r="T707" s="2098"/>
      <c r="U707" s="2098"/>
      <c r="V707" s="2168"/>
      <c r="W707" s="2168"/>
      <c r="X707" s="2168"/>
      <c r="Y707" s="2168"/>
      <c r="Z707" s="2168"/>
      <c r="AA707" s="2168"/>
      <c r="AB707" s="2168"/>
      <c r="AC707" s="2168"/>
      <c r="AD707" s="2168"/>
      <c r="AE707" s="2168"/>
      <c r="AF707" s="2168"/>
      <c r="AG707" s="2168"/>
      <c r="AH707" s="2168"/>
      <c r="AI707" s="2168"/>
      <c r="AJ707" s="2168"/>
      <c r="AK707" s="2168"/>
      <c r="AL707" s="2168"/>
      <c r="AM707" s="2168"/>
      <c r="AN707" s="2168"/>
      <c r="AO707" s="2168"/>
      <c r="AP707" s="2168"/>
      <c r="AQ707" s="2168"/>
      <c r="AR707" s="2168"/>
      <c r="AS707" s="2168"/>
      <c r="AT707" s="2168"/>
      <c r="AU707" s="2168"/>
      <c r="AV707" s="2168"/>
    </row>
    <row r="708" spans="13:48">
      <c r="M708" s="2098"/>
      <c r="N708" s="2098"/>
      <c r="O708" s="2098"/>
      <c r="P708" s="2098"/>
      <c r="R708" s="2098"/>
      <c r="S708" s="2098"/>
      <c r="T708" s="2098"/>
      <c r="U708" s="2098"/>
      <c r="V708" s="2168"/>
      <c r="W708" s="2168"/>
      <c r="X708" s="2168"/>
      <c r="Y708" s="2168"/>
      <c r="Z708" s="2168"/>
      <c r="AA708" s="2168"/>
      <c r="AB708" s="2168"/>
      <c r="AC708" s="2168"/>
      <c r="AD708" s="2168"/>
      <c r="AE708" s="2168"/>
      <c r="AF708" s="2168"/>
      <c r="AG708" s="2168"/>
      <c r="AH708" s="2168"/>
      <c r="AI708" s="2168"/>
      <c r="AJ708" s="2168"/>
      <c r="AK708" s="2168"/>
      <c r="AL708" s="2168"/>
      <c r="AM708" s="2168"/>
      <c r="AN708" s="2168"/>
      <c r="AO708" s="2168"/>
      <c r="AP708" s="2168"/>
      <c r="AQ708" s="2168"/>
      <c r="AR708" s="2168"/>
      <c r="AS708" s="2168"/>
      <c r="AT708" s="2168"/>
      <c r="AU708" s="2168"/>
      <c r="AV708" s="2168"/>
    </row>
    <row r="709" spans="13:48">
      <c r="M709" s="2098"/>
      <c r="N709" s="2098"/>
      <c r="O709" s="2098"/>
      <c r="P709" s="2098"/>
      <c r="R709" s="2098"/>
      <c r="S709" s="2098"/>
      <c r="T709" s="2098"/>
      <c r="U709" s="2098"/>
      <c r="V709" s="2168"/>
      <c r="W709" s="2168"/>
      <c r="X709" s="2168"/>
      <c r="Y709" s="2168"/>
      <c r="Z709" s="2168"/>
      <c r="AA709" s="2168"/>
      <c r="AB709" s="2168"/>
      <c r="AC709" s="2168"/>
      <c r="AD709" s="2168"/>
      <c r="AE709" s="2168"/>
      <c r="AF709" s="2168"/>
      <c r="AG709" s="2168"/>
      <c r="AH709" s="2168"/>
      <c r="AI709" s="2168"/>
      <c r="AJ709" s="2168"/>
      <c r="AK709" s="2168"/>
      <c r="AL709" s="2168"/>
      <c r="AM709" s="2168"/>
      <c r="AN709" s="2168"/>
      <c r="AO709" s="2168"/>
      <c r="AP709" s="2168"/>
      <c r="AQ709" s="2168"/>
      <c r="AR709" s="2168"/>
      <c r="AS709" s="2168"/>
      <c r="AT709" s="2168"/>
      <c r="AU709" s="2168"/>
      <c r="AV709" s="2168"/>
    </row>
    <row r="710" spans="13:48">
      <c r="M710" s="2098"/>
      <c r="N710" s="2098"/>
      <c r="O710" s="2098"/>
      <c r="P710" s="2098"/>
      <c r="R710" s="2098"/>
      <c r="S710" s="2098"/>
      <c r="T710" s="2098"/>
      <c r="U710" s="2098"/>
      <c r="V710" s="2168"/>
      <c r="W710" s="2168"/>
      <c r="X710" s="2168"/>
      <c r="Y710" s="2168"/>
      <c r="Z710" s="2168"/>
      <c r="AA710" s="2168"/>
      <c r="AB710" s="2168"/>
      <c r="AC710" s="2168"/>
      <c r="AD710" s="2168"/>
      <c r="AE710" s="2168"/>
      <c r="AF710" s="2168"/>
      <c r="AG710" s="2168"/>
      <c r="AH710" s="2168"/>
      <c r="AI710" s="2168"/>
      <c r="AJ710" s="2168"/>
      <c r="AK710" s="2168"/>
      <c r="AL710" s="2168"/>
      <c r="AM710" s="2168"/>
      <c r="AN710" s="2168"/>
      <c r="AO710" s="2168"/>
      <c r="AP710" s="2168"/>
      <c r="AQ710" s="2168"/>
      <c r="AR710" s="2168"/>
      <c r="AS710" s="2168"/>
      <c r="AT710" s="2168"/>
      <c r="AU710" s="2168"/>
      <c r="AV710" s="2168"/>
    </row>
    <row r="711" spans="13:48">
      <c r="M711" s="2098"/>
      <c r="N711" s="2098"/>
      <c r="O711" s="2098"/>
      <c r="P711" s="2098"/>
      <c r="R711" s="2098"/>
      <c r="S711" s="2098"/>
      <c r="T711" s="2098"/>
      <c r="U711" s="2098"/>
      <c r="V711" s="2168"/>
      <c r="W711" s="2168"/>
      <c r="X711" s="2168"/>
      <c r="Y711" s="2168"/>
      <c r="Z711" s="2168"/>
      <c r="AA711" s="2168"/>
      <c r="AB711" s="2168"/>
      <c r="AC711" s="2168"/>
      <c r="AD711" s="2168"/>
      <c r="AE711" s="2168"/>
      <c r="AF711" s="2168"/>
      <c r="AG711" s="2168"/>
      <c r="AH711" s="2168"/>
      <c r="AI711" s="2168"/>
      <c r="AJ711" s="2168"/>
      <c r="AK711" s="2168"/>
      <c r="AL711" s="2168"/>
      <c r="AM711" s="2168"/>
      <c r="AN711" s="2168"/>
      <c r="AO711" s="2168"/>
      <c r="AP711" s="2168"/>
      <c r="AQ711" s="2168"/>
      <c r="AR711" s="2168"/>
      <c r="AS711" s="2168"/>
      <c r="AT711" s="2168"/>
      <c r="AU711" s="2168"/>
      <c r="AV711" s="2168"/>
    </row>
    <row r="712" spans="13:48">
      <c r="M712" s="2098"/>
      <c r="N712" s="2098"/>
      <c r="O712" s="2098"/>
      <c r="P712" s="2098"/>
      <c r="R712" s="2098"/>
      <c r="S712" s="2098"/>
      <c r="T712" s="2098"/>
      <c r="U712" s="2098"/>
      <c r="V712" s="2168"/>
      <c r="W712" s="2168"/>
      <c r="X712" s="2168"/>
      <c r="Y712" s="2168"/>
      <c r="Z712" s="2168"/>
      <c r="AA712" s="2168"/>
      <c r="AB712" s="2168"/>
      <c r="AC712" s="2168"/>
      <c r="AD712" s="2168"/>
      <c r="AE712" s="2168"/>
      <c r="AF712" s="2168"/>
      <c r="AG712" s="2168"/>
      <c r="AH712" s="2168"/>
      <c r="AI712" s="2168"/>
      <c r="AJ712" s="2168"/>
      <c r="AK712" s="2168"/>
      <c r="AL712" s="2168"/>
      <c r="AM712" s="2168"/>
      <c r="AN712" s="2168"/>
      <c r="AO712" s="2168"/>
      <c r="AP712" s="2168"/>
      <c r="AQ712" s="2168"/>
      <c r="AR712" s="2168"/>
      <c r="AS712" s="2168"/>
      <c r="AT712" s="2168"/>
      <c r="AU712" s="2168"/>
      <c r="AV712" s="2168"/>
    </row>
    <row r="713" spans="13:48">
      <c r="M713" s="2098"/>
      <c r="N713" s="2098"/>
      <c r="O713" s="2098"/>
      <c r="P713" s="2098"/>
      <c r="R713" s="2098"/>
      <c r="S713" s="2098"/>
      <c r="T713" s="2098"/>
      <c r="U713" s="2098"/>
      <c r="V713" s="2168"/>
      <c r="W713" s="2168"/>
      <c r="X713" s="2168"/>
      <c r="Y713" s="2168"/>
      <c r="Z713" s="2168"/>
      <c r="AA713" s="2168"/>
      <c r="AB713" s="2168"/>
      <c r="AC713" s="2168"/>
      <c r="AD713" s="2168"/>
      <c r="AE713" s="2168"/>
      <c r="AF713" s="2168"/>
      <c r="AG713" s="2168"/>
      <c r="AH713" s="2168"/>
      <c r="AI713" s="2168"/>
      <c r="AJ713" s="2168"/>
      <c r="AK713" s="2168"/>
      <c r="AL713" s="2168"/>
      <c r="AM713" s="2168"/>
      <c r="AN713" s="2168"/>
      <c r="AO713" s="2168"/>
      <c r="AP713" s="2168"/>
      <c r="AQ713" s="2168"/>
      <c r="AR713" s="2168"/>
      <c r="AS713" s="2168"/>
      <c r="AT713" s="2168"/>
      <c r="AU713" s="2168"/>
      <c r="AV713" s="2168"/>
    </row>
    <row r="714" spans="13:48">
      <c r="M714" s="2098"/>
      <c r="N714" s="2098"/>
      <c r="O714" s="2098"/>
      <c r="P714" s="2098"/>
      <c r="R714" s="2098"/>
      <c r="S714" s="2098"/>
      <c r="T714" s="2098"/>
      <c r="U714" s="2098"/>
      <c r="V714" s="2168"/>
      <c r="W714" s="2168"/>
      <c r="X714" s="2168"/>
      <c r="Y714" s="2168"/>
      <c r="Z714" s="2168"/>
      <c r="AA714" s="2168"/>
      <c r="AB714" s="2168"/>
      <c r="AC714" s="2168"/>
      <c r="AD714" s="2168"/>
      <c r="AE714" s="2168"/>
      <c r="AF714" s="2168"/>
      <c r="AG714" s="2168"/>
      <c r="AH714" s="2168"/>
      <c r="AI714" s="2168"/>
      <c r="AJ714" s="2168"/>
      <c r="AK714" s="2168"/>
      <c r="AL714" s="2168"/>
      <c r="AM714" s="2168"/>
      <c r="AN714" s="2168"/>
      <c r="AO714" s="2168"/>
      <c r="AP714" s="2168"/>
      <c r="AQ714" s="2168"/>
      <c r="AR714" s="2168"/>
      <c r="AS714" s="2168"/>
      <c r="AT714" s="2168"/>
      <c r="AU714" s="2168"/>
      <c r="AV714" s="2168"/>
    </row>
    <row r="715" spans="13:48">
      <c r="M715" s="2098"/>
      <c r="N715" s="2098"/>
      <c r="O715" s="2098"/>
      <c r="P715" s="2098"/>
      <c r="R715" s="2098"/>
      <c r="S715" s="2098"/>
      <c r="T715" s="2098"/>
      <c r="U715" s="2098"/>
      <c r="V715" s="2168"/>
      <c r="W715" s="2168"/>
      <c r="X715" s="2168"/>
      <c r="Y715" s="2168"/>
      <c r="Z715" s="2168"/>
      <c r="AA715" s="2168"/>
      <c r="AB715" s="2168"/>
      <c r="AC715" s="2168"/>
      <c r="AD715" s="2168"/>
      <c r="AE715" s="2168"/>
      <c r="AF715" s="2168"/>
      <c r="AG715" s="2168"/>
      <c r="AH715" s="2168"/>
      <c r="AI715" s="2168"/>
      <c r="AJ715" s="2168"/>
      <c r="AK715" s="2168"/>
      <c r="AL715" s="2168"/>
      <c r="AM715" s="2168"/>
      <c r="AN715" s="2168"/>
      <c r="AO715" s="2168"/>
      <c r="AP715" s="2168"/>
      <c r="AQ715" s="2168"/>
      <c r="AR715" s="2168"/>
      <c r="AS715" s="2168"/>
      <c r="AT715" s="2168"/>
      <c r="AU715" s="2168"/>
      <c r="AV715" s="2168"/>
    </row>
    <row r="716" spans="13:48">
      <c r="M716" s="2098"/>
      <c r="N716" s="2098"/>
      <c r="O716" s="2098"/>
      <c r="P716" s="2098"/>
      <c r="R716" s="2098"/>
      <c r="S716" s="2098"/>
      <c r="T716" s="2098"/>
      <c r="U716" s="2098"/>
      <c r="V716" s="2168"/>
      <c r="W716" s="2168"/>
      <c r="X716" s="2168"/>
      <c r="Y716" s="2168"/>
      <c r="Z716" s="2168"/>
      <c r="AA716" s="2168"/>
      <c r="AB716" s="2168"/>
      <c r="AC716" s="2168"/>
      <c r="AD716" s="2168"/>
      <c r="AE716" s="2168"/>
      <c r="AF716" s="2168"/>
      <c r="AG716" s="2168"/>
      <c r="AH716" s="2168"/>
      <c r="AI716" s="2168"/>
      <c r="AJ716" s="2168"/>
      <c r="AK716" s="2168"/>
      <c r="AL716" s="2168"/>
      <c r="AM716" s="2168"/>
      <c r="AN716" s="2168"/>
      <c r="AO716" s="2168"/>
      <c r="AP716" s="2168"/>
      <c r="AQ716" s="2168"/>
      <c r="AR716" s="2168"/>
      <c r="AS716" s="2168"/>
      <c r="AT716" s="2168"/>
      <c r="AU716" s="2168"/>
      <c r="AV716" s="2168"/>
    </row>
    <row r="717" spans="13:48">
      <c r="M717" s="2098"/>
      <c r="N717" s="2098"/>
      <c r="O717" s="2098"/>
      <c r="P717" s="2098"/>
      <c r="R717" s="2098"/>
      <c r="S717" s="2098"/>
      <c r="T717" s="2098"/>
      <c r="U717" s="2098"/>
      <c r="V717" s="2168"/>
      <c r="W717" s="2168"/>
      <c r="X717" s="2168"/>
      <c r="Y717" s="2168"/>
      <c r="Z717" s="2168"/>
      <c r="AA717" s="2168"/>
      <c r="AB717" s="2168"/>
      <c r="AC717" s="2168"/>
      <c r="AD717" s="2168"/>
      <c r="AE717" s="2168"/>
      <c r="AF717" s="2168"/>
      <c r="AG717" s="2168"/>
      <c r="AH717" s="2168"/>
      <c r="AI717" s="2168"/>
      <c r="AJ717" s="2168"/>
      <c r="AK717" s="2168"/>
      <c r="AL717" s="2168"/>
      <c r="AM717" s="2168"/>
      <c r="AN717" s="2168"/>
      <c r="AO717" s="2168"/>
      <c r="AP717" s="2168"/>
      <c r="AQ717" s="2168"/>
      <c r="AR717" s="2168"/>
      <c r="AS717" s="2168"/>
      <c r="AT717" s="2168"/>
      <c r="AU717" s="2168"/>
      <c r="AV717" s="2168"/>
    </row>
    <row r="718" spans="13:48">
      <c r="M718" s="2098"/>
      <c r="N718" s="2098"/>
      <c r="O718" s="2098"/>
      <c r="P718" s="2098"/>
      <c r="R718" s="2098"/>
      <c r="S718" s="2098"/>
      <c r="T718" s="2098"/>
      <c r="U718" s="2098"/>
      <c r="V718" s="2168"/>
      <c r="W718" s="2168"/>
      <c r="X718" s="2168"/>
      <c r="Y718" s="2168"/>
      <c r="Z718" s="2168"/>
      <c r="AA718" s="2168"/>
      <c r="AB718" s="2168"/>
      <c r="AC718" s="2168"/>
      <c r="AD718" s="2168"/>
      <c r="AE718" s="2168"/>
      <c r="AF718" s="2168"/>
      <c r="AG718" s="2168"/>
      <c r="AH718" s="2168"/>
      <c r="AI718" s="2168"/>
      <c r="AJ718" s="2168"/>
      <c r="AK718" s="2168"/>
      <c r="AL718" s="2168"/>
      <c r="AM718" s="2168"/>
      <c r="AN718" s="2168"/>
      <c r="AO718" s="2168"/>
      <c r="AP718" s="2168"/>
      <c r="AQ718" s="2168"/>
      <c r="AR718" s="2168"/>
      <c r="AS718" s="2168"/>
      <c r="AT718" s="2168"/>
      <c r="AU718" s="2168"/>
      <c r="AV718" s="2168"/>
    </row>
    <row r="719" spans="13:48">
      <c r="M719" s="2098"/>
      <c r="N719" s="2098"/>
      <c r="O719" s="2098"/>
      <c r="P719" s="2098"/>
      <c r="R719" s="2098"/>
      <c r="S719" s="2098"/>
      <c r="T719" s="2098"/>
      <c r="U719" s="2098"/>
      <c r="V719" s="2168"/>
      <c r="W719" s="2168"/>
      <c r="X719" s="2168"/>
      <c r="Y719" s="2168"/>
      <c r="Z719" s="2168"/>
      <c r="AA719" s="2168"/>
      <c r="AB719" s="2168"/>
      <c r="AC719" s="2168"/>
      <c r="AD719" s="2168"/>
      <c r="AE719" s="2168"/>
      <c r="AF719" s="2168"/>
      <c r="AG719" s="2168"/>
      <c r="AH719" s="2168"/>
      <c r="AI719" s="2168"/>
      <c r="AJ719" s="2168"/>
      <c r="AK719" s="2168"/>
      <c r="AL719" s="2168"/>
      <c r="AM719" s="2168"/>
      <c r="AN719" s="2168"/>
      <c r="AO719" s="2168"/>
      <c r="AP719" s="2168"/>
      <c r="AQ719" s="2168"/>
      <c r="AR719" s="2168"/>
      <c r="AS719" s="2168"/>
      <c r="AT719" s="2168"/>
      <c r="AU719" s="2168"/>
      <c r="AV719" s="2168"/>
    </row>
    <row r="720" spans="13:48">
      <c r="M720" s="2098"/>
      <c r="N720" s="2098"/>
      <c r="O720" s="2098"/>
      <c r="P720" s="2098"/>
      <c r="R720" s="2098"/>
      <c r="S720" s="2098"/>
      <c r="T720" s="2098"/>
      <c r="U720" s="2098"/>
      <c r="V720" s="2168"/>
      <c r="W720" s="2168"/>
      <c r="X720" s="2168"/>
      <c r="Y720" s="2168"/>
      <c r="Z720" s="2168"/>
      <c r="AA720" s="2168"/>
      <c r="AB720" s="2168"/>
      <c r="AC720" s="2168"/>
      <c r="AD720" s="2168"/>
      <c r="AE720" s="2168"/>
      <c r="AF720" s="2168"/>
      <c r="AG720" s="2168"/>
      <c r="AH720" s="2168"/>
      <c r="AI720" s="2168"/>
      <c r="AJ720" s="2168"/>
      <c r="AK720" s="2168"/>
      <c r="AL720" s="2168"/>
      <c r="AM720" s="2168"/>
      <c r="AN720" s="2168"/>
      <c r="AO720" s="2168"/>
      <c r="AP720" s="2168"/>
      <c r="AQ720" s="2168"/>
      <c r="AR720" s="2168"/>
      <c r="AS720" s="2168"/>
      <c r="AT720" s="2168"/>
      <c r="AU720" s="2168"/>
      <c r="AV720" s="2168"/>
    </row>
    <row r="721" spans="13:48">
      <c r="M721" s="2098"/>
      <c r="N721" s="2098"/>
      <c r="O721" s="2098"/>
      <c r="P721" s="2098"/>
      <c r="R721" s="2098"/>
      <c r="S721" s="2098"/>
      <c r="T721" s="2098"/>
      <c r="U721" s="2098"/>
      <c r="V721" s="2168"/>
      <c r="W721" s="2168"/>
      <c r="X721" s="2168"/>
      <c r="Y721" s="2168"/>
      <c r="Z721" s="2168"/>
      <c r="AA721" s="2168"/>
      <c r="AB721" s="2168"/>
      <c r="AC721" s="2168"/>
      <c r="AD721" s="2168"/>
      <c r="AE721" s="2168"/>
      <c r="AF721" s="2168"/>
      <c r="AG721" s="2168"/>
      <c r="AH721" s="2168"/>
      <c r="AI721" s="2168"/>
      <c r="AJ721" s="2168"/>
      <c r="AK721" s="2168"/>
      <c r="AL721" s="2168"/>
      <c r="AM721" s="2168"/>
      <c r="AN721" s="2168"/>
      <c r="AO721" s="2168"/>
      <c r="AP721" s="2168"/>
      <c r="AQ721" s="2168"/>
      <c r="AR721" s="2168"/>
      <c r="AS721" s="2168"/>
      <c r="AT721" s="2168"/>
      <c r="AU721" s="2168"/>
      <c r="AV721" s="2168"/>
    </row>
    <row r="722" spans="13:48">
      <c r="M722" s="2098"/>
      <c r="N722" s="2098"/>
      <c r="O722" s="2098"/>
      <c r="P722" s="2098"/>
      <c r="R722" s="2098"/>
      <c r="S722" s="2098"/>
      <c r="T722" s="2098"/>
      <c r="U722" s="2098"/>
      <c r="V722" s="2168"/>
      <c r="W722" s="2168"/>
      <c r="X722" s="2168"/>
      <c r="Y722" s="2168"/>
      <c r="Z722" s="2168"/>
      <c r="AA722" s="2168"/>
      <c r="AB722" s="2168"/>
      <c r="AC722" s="2168"/>
      <c r="AD722" s="2168"/>
      <c r="AE722" s="2168"/>
      <c r="AF722" s="2168"/>
      <c r="AG722" s="2168"/>
      <c r="AH722" s="2168"/>
      <c r="AI722" s="2168"/>
      <c r="AJ722" s="2168"/>
      <c r="AK722" s="2168"/>
      <c r="AL722" s="2168"/>
      <c r="AM722" s="2168"/>
      <c r="AN722" s="2168"/>
      <c r="AO722" s="2168"/>
      <c r="AP722" s="2168"/>
      <c r="AQ722" s="2168"/>
      <c r="AR722" s="2168"/>
      <c r="AS722" s="2168"/>
      <c r="AT722" s="2168"/>
      <c r="AU722" s="2168"/>
      <c r="AV722" s="2168"/>
    </row>
    <row r="723" spans="13:48">
      <c r="M723" s="2098"/>
      <c r="N723" s="2098"/>
      <c r="O723" s="2098"/>
      <c r="P723" s="2098"/>
      <c r="R723" s="2098"/>
      <c r="S723" s="2098"/>
      <c r="T723" s="2098"/>
      <c r="U723" s="2098"/>
      <c r="V723" s="2168"/>
      <c r="W723" s="2168"/>
      <c r="X723" s="2168"/>
      <c r="Y723" s="2168"/>
      <c r="Z723" s="2168"/>
      <c r="AA723" s="2168"/>
      <c r="AB723" s="2168"/>
      <c r="AC723" s="2168"/>
      <c r="AD723" s="2168"/>
      <c r="AE723" s="2168"/>
      <c r="AF723" s="2168"/>
      <c r="AG723" s="2168"/>
      <c r="AH723" s="2168"/>
      <c r="AI723" s="2168"/>
      <c r="AJ723" s="2168"/>
      <c r="AK723" s="2168"/>
      <c r="AL723" s="2168"/>
      <c r="AM723" s="2168"/>
      <c r="AN723" s="2168"/>
      <c r="AO723" s="2168"/>
      <c r="AP723" s="2168"/>
      <c r="AQ723" s="2168"/>
      <c r="AR723" s="2168"/>
      <c r="AS723" s="2168"/>
      <c r="AT723" s="2168"/>
      <c r="AU723" s="2168"/>
      <c r="AV723" s="2168"/>
    </row>
    <row r="724" spans="13:48">
      <c r="M724" s="2098"/>
      <c r="N724" s="2098"/>
      <c r="O724" s="2098"/>
      <c r="P724" s="2098"/>
      <c r="R724" s="2098"/>
      <c r="S724" s="2098"/>
      <c r="T724" s="2098"/>
      <c r="U724" s="2098"/>
      <c r="V724" s="2168"/>
      <c r="W724" s="2168"/>
      <c r="X724" s="2168"/>
      <c r="Y724" s="2168"/>
      <c r="Z724" s="2168"/>
      <c r="AA724" s="2168"/>
      <c r="AB724" s="2168"/>
      <c r="AC724" s="2168"/>
      <c r="AD724" s="2168"/>
      <c r="AE724" s="2168"/>
      <c r="AF724" s="2168"/>
      <c r="AG724" s="2168"/>
      <c r="AH724" s="2168"/>
      <c r="AI724" s="2168"/>
      <c r="AJ724" s="2168"/>
      <c r="AK724" s="2168"/>
      <c r="AL724" s="2168"/>
      <c r="AM724" s="2168"/>
      <c r="AN724" s="2168"/>
      <c r="AO724" s="2168"/>
      <c r="AP724" s="2168"/>
      <c r="AQ724" s="2168"/>
      <c r="AR724" s="2168"/>
      <c r="AS724" s="2168"/>
      <c r="AT724" s="2168"/>
      <c r="AU724" s="2168"/>
      <c r="AV724" s="2168"/>
    </row>
    <row r="725" spans="13:48">
      <c r="M725" s="2098"/>
      <c r="N725" s="2098"/>
      <c r="O725" s="2098"/>
      <c r="P725" s="2098"/>
      <c r="R725" s="2098"/>
      <c r="S725" s="2098"/>
      <c r="T725" s="2098"/>
      <c r="U725" s="2098"/>
      <c r="V725" s="2168"/>
      <c r="W725" s="2168"/>
      <c r="X725" s="2168"/>
      <c r="Y725" s="2168"/>
      <c r="Z725" s="2168"/>
      <c r="AA725" s="2168"/>
      <c r="AB725" s="2168"/>
      <c r="AC725" s="2168"/>
      <c r="AD725" s="2168"/>
      <c r="AE725" s="2168"/>
      <c r="AF725" s="2168"/>
      <c r="AG725" s="2168"/>
      <c r="AH725" s="2168"/>
      <c r="AI725" s="2168"/>
      <c r="AJ725" s="2168"/>
      <c r="AK725" s="2168"/>
      <c r="AL725" s="2168"/>
      <c r="AM725" s="2168"/>
      <c r="AN725" s="2168"/>
      <c r="AO725" s="2168"/>
      <c r="AP725" s="2168"/>
      <c r="AQ725" s="2168"/>
      <c r="AR725" s="2168"/>
      <c r="AS725" s="2168"/>
      <c r="AT725" s="2168"/>
      <c r="AU725" s="2168"/>
      <c r="AV725" s="2168"/>
    </row>
    <row r="726" spans="13:48">
      <c r="M726" s="2098"/>
      <c r="N726" s="2098"/>
      <c r="O726" s="2098"/>
      <c r="P726" s="2098"/>
      <c r="R726" s="2098"/>
      <c r="S726" s="2098"/>
      <c r="T726" s="2098"/>
      <c r="U726" s="2098"/>
      <c r="V726" s="2168"/>
      <c r="W726" s="2168"/>
      <c r="X726" s="2168"/>
      <c r="Y726" s="2168"/>
      <c r="Z726" s="2168"/>
      <c r="AA726" s="2168"/>
      <c r="AB726" s="2168"/>
      <c r="AC726" s="2168"/>
      <c r="AD726" s="2168"/>
      <c r="AE726" s="2168"/>
      <c r="AF726" s="2168"/>
      <c r="AG726" s="2168"/>
      <c r="AH726" s="2168"/>
      <c r="AI726" s="2168"/>
      <c r="AJ726" s="2168"/>
      <c r="AK726" s="2168"/>
      <c r="AL726" s="2168"/>
      <c r="AM726" s="2168"/>
      <c r="AN726" s="2168"/>
      <c r="AO726" s="2168"/>
      <c r="AP726" s="2168"/>
      <c r="AQ726" s="2168"/>
      <c r="AR726" s="2168"/>
      <c r="AS726" s="2168"/>
      <c r="AT726" s="2168"/>
      <c r="AU726" s="2168"/>
      <c r="AV726" s="2168"/>
    </row>
    <row r="727" spans="13:48">
      <c r="M727" s="2098"/>
      <c r="N727" s="2098"/>
      <c r="O727" s="2098"/>
      <c r="P727" s="2098"/>
      <c r="R727" s="2098"/>
      <c r="S727" s="2098"/>
      <c r="T727" s="2098"/>
      <c r="U727" s="2098"/>
      <c r="V727" s="2168"/>
      <c r="W727" s="2168"/>
      <c r="X727" s="2168"/>
      <c r="Y727" s="2168"/>
      <c r="Z727" s="2168"/>
      <c r="AA727" s="2168"/>
      <c r="AB727" s="2168"/>
      <c r="AC727" s="2168"/>
      <c r="AD727" s="2168"/>
      <c r="AE727" s="2168"/>
      <c r="AF727" s="2168"/>
      <c r="AG727" s="2168"/>
      <c r="AH727" s="2168"/>
      <c r="AI727" s="2168"/>
      <c r="AJ727" s="2168"/>
      <c r="AK727" s="2168"/>
      <c r="AL727" s="2168"/>
      <c r="AM727" s="2168"/>
      <c r="AN727" s="2168"/>
      <c r="AO727" s="2168"/>
      <c r="AP727" s="2168"/>
      <c r="AQ727" s="2168"/>
      <c r="AR727" s="2168"/>
      <c r="AS727" s="2168"/>
      <c r="AT727" s="2168"/>
      <c r="AU727" s="2168"/>
      <c r="AV727" s="2168"/>
    </row>
    <row r="728" spans="13:48">
      <c r="M728" s="2098"/>
      <c r="N728" s="2098"/>
      <c r="O728" s="2098"/>
      <c r="P728" s="2098"/>
      <c r="R728" s="2098"/>
      <c r="S728" s="2098"/>
      <c r="T728" s="2098"/>
      <c r="U728" s="2098"/>
      <c r="V728" s="2168"/>
      <c r="W728" s="2168"/>
      <c r="X728" s="2168"/>
      <c r="Y728" s="2168"/>
      <c r="Z728" s="2168"/>
      <c r="AA728" s="2168"/>
      <c r="AB728" s="2168"/>
      <c r="AC728" s="2168"/>
      <c r="AD728" s="2168"/>
      <c r="AE728" s="2168"/>
      <c r="AF728" s="2168"/>
      <c r="AG728" s="2168"/>
      <c r="AH728" s="2168"/>
      <c r="AI728" s="2168"/>
      <c r="AJ728" s="2168"/>
      <c r="AK728" s="2168"/>
      <c r="AL728" s="2168"/>
      <c r="AM728" s="2168"/>
      <c r="AN728" s="2168"/>
      <c r="AO728" s="2168"/>
      <c r="AP728" s="2168"/>
      <c r="AQ728" s="2168"/>
      <c r="AR728" s="2168"/>
      <c r="AS728" s="2168"/>
      <c r="AT728" s="2168"/>
      <c r="AU728" s="2168"/>
      <c r="AV728" s="2168"/>
    </row>
    <row r="729" spans="13:48">
      <c r="M729" s="2098"/>
      <c r="N729" s="2098"/>
      <c r="O729" s="2098"/>
      <c r="P729" s="2098"/>
      <c r="R729" s="2098"/>
      <c r="S729" s="2098"/>
      <c r="T729" s="2098"/>
      <c r="U729" s="2098"/>
      <c r="V729" s="2168"/>
      <c r="W729" s="2168"/>
      <c r="X729" s="2168"/>
      <c r="Y729" s="2168"/>
      <c r="Z729" s="2168"/>
      <c r="AA729" s="2168"/>
      <c r="AB729" s="2168"/>
      <c r="AC729" s="2168"/>
      <c r="AD729" s="2168"/>
      <c r="AE729" s="2168"/>
      <c r="AF729" s="2168"/>
      <c r="AG729" s="2168"/>
      <c r="AH729" s="2168"/>
      <c r="AI729" s="2168"/>
      <c r="AJ729" s="2168"/>
      <c r="AK729" s="2168"/>
      <c r="AL729" s="2168"/>
      <c r="AM729" s="2168"/>
      <c r="AN729" s="2168"/>
      <c r="AO729" s="2168"/>
      <c r="AP729" s="2168"/>
      <c r="AQ729" s="2168"/>
      <c r="AR729" s="2168"/>
      <c r="AS729" s="2168"/>
      <c r="AT729" s="2168"/>
      <c r="AU729" s="2168"/>
      <c r="AV729" s="2168"/>
    </row>
    <row r="730" spans="13:48">
      <c r="M730" s="2098"/>
      <c r="N730" s="2098"/>
      <c r="O730" s="2098"/>
      <c r="P730" s="2098"/>
      <c r="R730" s="2098"/>
      <c r="S730" s="2098"/>
      <c r="T730" s="2098"/>
      <c r="U730" s="2098"/>
      <c r="V730" s="2168"/>
      <c r="W730" s="2168"/>
      <c r="X730" s="2168"/>
      <c r="Y730" s="2168"/>
      <c r="Z730" s="2168"/>
      <c r="AA730" s="2168"/>
      <c r="AB730" s="2168"/>
      <c r="AC730" s="2168"/>
      <c r="AD730" s="2168"/>
      <c r="AE730" s="2168"/>
      <c r="AF730" s="2168"/>
      <c r="AG730" s="2168"/>
      <c r="AH730" s="2168"/>
      <c r="AI730" s="2168"/>
      <c r="AJ730" s="2168"/>
      <c r="AK730" s="2168"/>
      <c r="AL730" s="2168"/>
      <c r="AM730" s="2168"/>
      <c r="AN730" s="2168"/>
      <c r="AO730" s="2168"/>
      <c r="AP730" s="2168"/>
      <c r="AQ730" s="2168"/>
      <c r="AR730" s="2168"/>
      <c r="AS730" s="2168"/>
      <c r="AT730" s="2168"/>
      <c r="AU730" s="2168"/>
      <c r="AV730" s="2168"/>
    </row>
    <row r="731" spans="13:48">
      <c r="M731" s="2098"/>
      <c r="N731" s="2098"/>
      <c r="O731" s="2098"/>
      <c r="P731" s="2098"/>
      <c r="R731" s="2098"/>
      <c r="S731" s="2098"/>
      <c r="T731" s="2098"/>
      <c r="U731" s="2098"/>
      <c r="V731" s="2168"/>
      <c r="W731" s="2168"/>
      <c r="X731" s="2168"/>
      <c r="Y731" s="2168"/>
      <c r="Z731" s="2168"/>
      <c r="AA731" s="2168"/>
      <c r="AB731" s="2168"/>
      <c r="AC731" s="2168"/>
      <c r="AD731" s="2168"/>
      <c r="AE731" s="2168"/>
      <c r="AF731" s="2168"/>
      <c r="AG731" s="2168"/>
      <c r="AH731" s="2168"/>
      <c r="AI731" s="2168"/>
      <c r="AJ731" s="2168"/>
      <c r="AK731" s="2168"/>
      <c r="AL731" s="2168"/>
      <c r="AM731" s="2168"/>
      <c r="AN731" s="2168"/>
      <c r="AO731" s="2168"/>
      <c r="AP731" s="2168"/>
      <c r="AQ731" s="2168"/>
      <c r="AR731" s="2168"/>
      <c r="AS731" s="2168"/>
      <c r="AT731" s="2168"/>
      <c r="AU731" s="2168"/>
      <c r="AV731" s="2168"/>
    </row>
    <row r="732" spans="13:48">
      <c r="M732" s="2098"/>
      <c r="N732" s="2098"/>
      <c r="O732" s="2098"/>
      <c r="P732" s="2098"/>
      <c r="R732" s="2098"/>
      <c r="S732" s="2098"/>
      <c r="T732" s="2098"/>
      <c r="U732" s="2098"/>
      <c r="V732" s="2168"/>
      <c r="W732" s="2168"/>
      <c r="X732" s="2168"/>
      <c r="Y732" s="2168"/>
      <c r="Z732" s="2168"/>
      <c r="AA732" s="2168"/>
      <c r="AB732" s="2168"/>
      <c r="AC732" s="2168"/>
      <c r="AD732" s="2168"/>
      <c r="AE732" s="2168"/>
      <c r="AF732" s="2168"/>
      <c r="AG732" s="2168"/>
      <c r="AH732" s="2168"/>
      <c r="AI732" s="2168"/>
      <c r="AJ732" s="2168"/>
      <c r="AK732" s="2168"/>
      <c r="AL732" s="2168"/>
      <c r="AM732" s="2168"/>
      <c r="AN732" s="2168"/>
      <c r="AO732" s="2168"/>
      <c r="AP732" s="2168"/>
      <c r="AQ732" s="2168"/>
      <c r="AR732" s="2168"/>
      <c r="AS732" s="2168"/>
      <c r="AT732" s="2168"/>
      <c r="AU732" s="2168"/>
      <c r="AV732" s="2168"/>
    </row>
    <row r="733" spans="13:48">
      <c r="M733" s="2098"/>
      <c r="N733" s="2098"/>
      <c r="O733" s="2098"/>
      <c r="P733" s="2098"/>
      <c r="R733" s="2098"/>
      <c r="S733" s="2098"/>
      <c r="T733" s="2098"/>
      <c r="U733" s="2098"/>
      <c r="V733" s="2168"/>
      <c r="W733" s="2168"/>
      <c r="X733" s="2168"/>
      <c r="Y733" s="2168"/>
      <c r="Z733" s="2168"/>
      <c r="AA733" s="2168"/>
      <c r="AB733" s="2168"/>
      <c r="AC733" s="2168"/>
      <c r="AD733" s="2168"/>
      <c r="AE733" s="2168"/>
      <c r="AF733" s="2168"/>
      <c r="AG733" s="2168"/>
      <c r="AH733" s="2168"/>
      <c r="AI733" s="2168"/>
      <c r="AJ733" s="2168"/>
      <c r="AK733" s="2168"/>
      <c r="AL733" s="2168"/>
      <c r="AM733" s="2168"/>
      <c r="AN733" s="2168"/>
      <c r="AO733" s="2168"/>
      <c r="AP733" s="2168"/>
      <c r="AQ733" s="2168"/>
      <c r="AR733" s="2168"/>
      <c r="AS733" s="2168"/>
      <c r="AT733" s="2168"/>
      <c r="AU733" s="2168"/>
      <c r="AV733" s="2168"/>
    </row>
    <row r="734" spans="13:48">
      <c r="M734" s="2098"/>
      <c r="N734" s="2098"/>
      <c r="O734" s="2098"/>
      <c r="P734" s="2098"/>
      <c r="R734" s="2098"/>
      <c r="S734" s="2098"/>
      <c r="T734" s="2098"/>
      <c r="U734" s="2098"/>
      <c r="V734" s="2168"/>
      <c r="W734" s="2168"/>
      <c r="X734" s="2168"/>
      <c r="Y734" s="2168"/>
      <c r="Z734" s="2168"/>
      <c r="AA734" s="2168"/>
      <c r="AB734" s="2168"/>
      <c r="AC734" s="2168"/>
      <c r="AD734" s="2168"/>
      <c r="AE734" s="2168"/>
      <c r="AF734" s="2168"/>
      <c r="AG734" s="2168"/>
      <c r="AH734" s="2168"/>
      <c r="AI734" s="2168"/>
      <c r="AJ734" s="2168"/>
      <c r="AK734" s="2168"/>
      <c r="AL734" s="2168"/>
      <c r="AM734" s="2168"/>
      <c r="AN734" s="2168"/>
      <c r="AO734" s="2168"/>
      <c r="AP734" s="2168"/>
      <c r="AQ734" s="2168"/>
      <c r="AR734" s="2168"/>
      <c r="AS734" s="2168"/>
      <c r="AT734" s="2168"/>
      <c r="AU734" s="2168"/>
      <c r="AV734" s="2168"/>
    </row>
    <row r="735" spans="13:48">
      <c r="M735" s="2098"/>
      <c r="N735" s="2098"/>
      <c r="O735" s="2098"/>
      <c r="P735" s="2098"/>
      <c r="R735" s="2098"/>
      <c r="S735" s="2098"/>
      <c r="T735" s="2098"/>
      <c r="U735" s="2098"/>
      <c r="V735" s="2168"/>
      <c r="W735" s="2168"/>
      <c r="X735" s="2168"/>
      <c r="Y735" s="2168"/>
      <c r="Z735" s="2168"/>
      <c r="AA735" s="2168"/>
      <c r="AB735" s="2168"/>
      <c r="AC735" s="2168"/>
      <c r="AD735" s="2168"/>
      <c r="AE735" s="2168"/>
      <c r="AF735" s="2168"/>
      <c r="AG735" s="2168"/>
      <c r="AH735" s="2168"/>
      <c r="AI735" s="2168"/>
      <c r="AJ735" s="2168"/>
      <c r="AK735" s="2168"/>
      <c r="AL735" s="2168"/>
      <c r="AM735" s="2168"/>
      <c r="AN735" s="2168"/>
      <c r="AO735" s="2168"/>
      <c r="AP735" s="2168"/>
      <c r="AQ735" s="2168"/>
      <c r="AR735" s="2168"/>
      <c r="AS735" s="2168"/>
      <c r="AT735" s="2168"/>
      <c r="AU735" s="2168"/>
      <c r="AV735" s="2168"/>
    </row>
    <row r="736" spans="13:48">
      <c r="M736" s="2098"/>
      <c r="N736" s="2098"/>
      <c r="O736" s="2098"/>
      <c r="P736" s="2098"/>
      <c r="R736" s="2098"/>
      <c r="S736" s="2098"/>
      <c r="T736" s="2098"/>
      <c r="U736" s="2098"/>
      <c r="V736" s="2168"/>
      <c r="W736" s="2168"/>
      <c r="X736" s="2168"/>
      <c r="Y736" s="2168"/>
      <c r="Z736" s="2168"/>
      <c r="AA736" s="2168"/>
      <c r="AB736" s="2168"/>
      <c r="AC736" s="2168"/>
      <c r="AD736" s="2168"/>
      <c r="AE736" s="2168"/>
      <c r="AF736" s="2168"/>
      <c r="AG736" s="2168"/>
      <c r="AH736" s="2168"/>
      <c r="AI736" s="2168"/>
      <c r="AJ736" s="2168"/>
      <c r="AK736" s="2168"/>
      <c r="AL736" s="2168"/>
      <c r="AM736" s="2168"/>
      <c r="AN736" s="2168"/>
      <c r="AO736" s="2168"/>
      <c r="AP736" s="2168"/>
      <c r="AQ736" s="2168"/>
      <c r="AR736" s="2168"/>
      <c r="AS736" s="2168"/>
      <c r="AT736" s="2168"/>
      <c r="AU736" s="2168"/>
      <c r="AV736" s="2168"/>
    </row>
    <row r="737" spans="13:48">
      <c r="M737" s="2098"/>
      <c r="N737" s="2098"/>
      <c r="O737" s="2098"/>
      <c r="P737" s="2098"/>
      <c r="R737" s="2098"/>
      <c r="S737" s="2098"/>
      <c r="T737" s="2098"/>
      <c r="U737" s="2098"/>
      <c r="V737" s="2168"/>
      <c r="W737" s="2168"/>
      <c r="X737" s="2168"/>
      <c r="Y737" s="2168"/>
      <c r="Z737" s="2168"/>
      <c r="AA737" s="2168"/>
      <c r="AB737" s="2168"/>
      <c r="AC737" s="2168"/>
      <c r="AD737" s="2168"/>
      <c r="AE737" s="2168"/>
      <c r="AF737" s="2168"/>
      <c r="AG737" s="2168"/>
      <c r="AH737" s="2168"/>
      <c r="AI737" s="2168"/>
      <c r="AJ737" s="2168"/>
      <c r="AK737" s="2168"/>
      <c r="AL737" s="2168"/>
      <c r="AM737" s="2168"/>
      <c r="AN737" s="2168"/>
      <c r="AO737" s="2168"/>
      <c r="AP737" s="2168"/>
      <c r="AQ737" s="2168"/>
      <c r="AR737" s="2168"/>
      <c r="AS737" s="2168"/>
      <c r="AT737" s="2168"/>
      <c r="AU737" s="2168"/>
      <c r="AV737" s="2168"/>
    </row>
    <row r="738" spans="13:48">
      <c r="M738" s="2098"/>
      <c r="N738" s="2098"/>
      <c r="O738" s="2098"/>
      <c r="P738" s="2098"/>
      <c r="R738" s="2098"/>
      <c r="S738" s="2098"/>
      <c r="T738" s="2098"/>
      <c r="U738" s="2098"/>
      <c r="V738" s="2168"/>
      <c r="W738" s="2168"/>
      <c r="X738" s="2168"/>
      <c r="Y738" s="2168"/>
      <c r="Z738" s="2168"/>
      <c r="AA738" s="2168"/>
      <c r="AB738" s="2168"/>
      <c r="AC738" s="2168"/>
      <c r="AD738" s="2168"/>
      <c r="AE738" s="2168"/>
      <c r="AF738" s="2168"/>
      <c r="AG738" s="2168"/>
      <c r="AH738" s="2168"/>
      <c r="AI738" s="2168"/>
      <c r="AJ738" s="2168"/>
      <c r="AK738" s="2168"/>
      <c r="AL738" s="2168"/>
      <c r="AM738" s="2168"/>
      <c r="AN738" s="2168"/>
      <c r="AO738" s="2168"/>
      <c r="AP738" s="2168"/>
      <c r="AQ738" s="2168"/>
      <c r="AR738" s="2168"/>
      <c r="AS738" s="2168"/>
      <c r="AT738" s="2168"/>
      <c r="AU738" s="2168"/>
      <c r="AV738" s="2168"/>
    </row>
    <row r="739" spans="13:48">
      <c r="M739" s="2098"/>
      <c r="N739" s="2098"/>
      <c r="O739" s="2098"/>
      <c r="P739" s="2098"/>
      <c r="R739" s="2098"/>
      <c r="S739" s="2098"/>
      <c r="T739" s="2098"/>
      <c r="U739" s="2098"/>
      <c r="V739" s="2168"/>
      <c r="W739" s="2168"/>
      <c r="X739" s="2168"/>
      <c r="Y739" s="2168"/>
      <c r="Z739" s="2168"/>
      <c r="AA739" s="2168"/>
      <c r="AB739" s="2168"/>
      <c r="AC739" s="2168"/>
      <c r="AD739" s="2168"/>
      <c r="AE739" s="2168"/>
      <c r="AF739" s="2168"/>
      <c r="AG739" s="2168"/>
      <c r="AH739" s="2168"/>
      <c r="AI739" s="2168"/>
      <c r="AJ739" s="2168"/>
      <c r="AK739" s="2168"/>
      <c r="AL739" s="2168"/>
      <c r="AM739" s="2168"/>
      <c r="AN739" s="2168"/>
      <c r="AO739" s="2168"/>
      <c r="AP739" s="2168"/>
      <c r="AQ739" s="2168"/>
      <c r="AR739" s="2168"/>
      <c r="AS739" s="2168"/>
      <c r="AT739" s="2168"/>
      <c r="AU739" s="2168"/>
      <c r="AV739" s="2168"/>
    </row>
    <row r="740" spans="13:48">
      <c r="M740" s="2098"/>
      <c r="N740" s="2098"/>
      <c r="O740" s="2098"/>
      <c r="P740" s="2098"/>
      <c r="R740" s="2098"/>
      <c r="S740" s="2098"/>
      <c r="T740" s="2098"/>
      <c r="U740" s="2098"/>
      <c r="V740" s="2168"/>
      <c r="W740" s="2168"/>
      <c r="X740" s="2168"/>
      <c r="Y740" s="2168"/>
      <c r="Z740" s="2168"/>
      <c r="AA740" s="2168"/>
      <c r="AB740" s="2168"/>
      <c r="AC740" s="2168"/>
      <c r="AD740" s="2168"/>
      <c r="AE740" s="2168"/>
      <c r="AF740" s="2168"/>
      <c r="AG740" s="2168"/>
      <c r="AH740" s="2168"/>
      <c r="AI740" s="2168"/>
      <c r="AJ740" s="2168"/>
      <c r="AK740" s="2168"/>
      <c r="AL740" s="2168"/>
      <c r="AM740" s="2168"/>
      <c r="AN740" s="2168"/>
      <c r="AO740" s="2168"/>
      <c r="AP740" s="2168"/>
      <c r="AQ740" s="2168"/>
      <c r="AR740" s="2168"/>
      <c r="AS740" s="2168"/>
      <c r="AT740" s="2168"/>
      <c r="AU740" s="2168"/>
      <c r="AV740" s="2168"/>
    </row>
    <row r="741" spans="13:48">
      <c r="M741" s="2098"/>
      <c r="N741" s="2098"/>
      <c r="O741" s="2098"/>
      <c r="P741" s="2098"/>
      <c r="R741" s="2098"/>
      <c r="S741" s="2098"/>
      <c r="T741" s="2098"/>
      <c r="U741" s="2098"/>
      <c r="V741" s="2168"/>
      <c r="W741" s="2168"/>
      <c r="X741" s="2168"/>
      <c r="Y741" s="2168"/>
      <c r="Z741" s="2168"/>
      <c r="AA741" s="2168"/>
      <c r="AB741" s="2168"/>
      <c r="AC741" s="2168"/>
      <c r="AD741" s="2168"/>
      <c r="AE741" s="2168"/>
      <c r="AF741" s="2168"/>
      <c r="AG741" s="2168"/>
      <c r="AH741" s="2168"/>
      <c r="AI741" s="2168"/>
      <c r="AJ741" s="2168"/>
      <c r="AK741" s="2168"/>
      <c r="AL741" s="2168"/>
      <c r="AM741" s="2168"/>
      <c r="AN741" s="2168"/>
      <c r="AO741" s="2168"/>
      <c r="AP741" s="2168"/>
      <c r="AQ741" s="2168"/>
      <c r="AR741" s="2168"/>
      <c r="AS741" s="2168"/>
      <c r="AT741" s="2168"/>
      <c r="AU741" s="2168"/>
      <c r="AV741" s="2168"/>
    </row>
    <row r="742" spans="13:48">
      <c r="M742" s="2098"/>
      <c r="N742" s="2098"/>
      <c r="O742" s="2098"/>
      <c r="P742" s="2098"/>
      <c r="R742" s="2098"/>
      <c r="S742" s="2098"/>
      <c r="T742" s="2098"/>
      <c r="U742" s="2098"/>
      <c r="V742" s="2168"/>
      <c r="W742" s="2168"/>
      <c r="X742" s="2168"/>
      <c r="Y742" s="2168"/>
      <c r="Z742" s="2168"/>
      <c r="AA742" s="2168"/>
      <c r="AB742" s="2168"/>
      <c r="AC742" s="2168"/>
      <c r="AD742" s="2168"/>
      <c r="AE742" s="2168"/>
      <c r="AF742" s="2168"/>
      <c r="AG742" s="2168"/>
      <c r="AH742" s="2168"/>
      <c r="AI742" s="2168"/>
      <c r="AJ742" s="2168"/>
      <c r="AK742" s="2168"/>
      <c r="AL742" s="2168"/>
      <c r="AM742" s="2168"/>
      <c r="AN742" s="2168"/>
      <c r="AO742" s="2168"/>
      <c r="AP742" s="2168"/>
      <c r="AQ742" s="2168"/>
      <c r="AR742" s="2168"/>
      <c r="AS742" s="2168"/>
      <c r="AT742" s="2168"/>
      <c r="AU742" s="2168"/>
      <c r="AV742" s="2168"/>
    </row>
    <row r="743" spans="13:48">
      <c r="M743" s="2098"/>
      <c r="N743" s="2098"/>
      <c r="O743" s="2098"/>
      <c r="P743" s="2098"/>
      <c r="R743" s="2098"/>
      <c r="S743" s="2098"/>
      <c r="T743" s="2098"/>
      <c r="U743" s="2098"/>
      <c r="V743" s="2168"/>
      <c r="W743" s="2168"/>
      <c r="X743" s="2168"/>
      <c r="Y743" s="2168"/>
      <c r="Z743" s="2168"/>
      <c r="AA743" s="2168"/>
      <c r="AB743" s="2168"/>
      <c r="AC743" s="2168"/>
      <c r="AD743" s="2168"/>
      <c r="AE743" s="2168"/>
      <c r="AF743" s="2168"/>
      <c r="AG743" s="2168"/>
      <c r="AH743" s="2168"/>
      <c r="AI743" s="2168"/>
      <c r="AJ743" s="2168"/>
      <c r="AK743" s="2168"/>
      <c r="AL743" s="2168"/>
      <c r="AM743" s="2168"/>
      <c r="AN743" s="2168"/>
      <c r="AO743" s="2168"/>
      <c r="AP743" s="2168"/>
      <c r="AQ743" s="2168"/>
      <c r="AR743" s="2168"/>
      <c r="AS743" s="2168"/>
      <c r="AT743" s="2168"/>
      <c r="AU743" s="2168"/>
      <c r="AV743" s="2168"/>
    </row>
    <row r="744" spans="13:48">
      <c r="M744" s="2098"/>
      <c r="N744" s="2098"/>
      <c r="O744" s="2098"/>
      <c r="P744" s="2098"/>
      <c r="R744" s="2098"/>
      <c r="S744" s="2098"/>
      <c r="T744" s="2098"/>
      <c r="U744" s="2098"/>
      <c r="V744" s="2168"/>
      <c r="W744" s="2168"/>
      <c r="X744" s="2168"/>
      <c r="Y744" s="2168"/>
      <c r="Z744" s="2168"/>
      <c r="AA744" s="2168"/>
      <c r="AB744" s="2168"/>
      <c r="AC744" s="2168"/>
      <c r="AD744" s="2168"/>
      <c r="AE744" s="2168"/>
      <c r="AF744" s="2168"/>
      <c r="AG744" s="2168"/>
      <c r="AH744" s="2168"/>
      <c r="AI744" s="2168"/>
      <c r="AJ744" s="2168"/>
      <c r="AK744" s="2168"/>
      <c r="AL744" s="2168"/>
      <c r="AM744" s="2168"/>
      <c r="AN744" s="2168"/>
      <c r="AO744" s="2168"/>
      <c r="AP744" s="2168"/>
      <c r="AQ744" s="2168"/>
      <c r="AR744" s="2168"/>
      <c r="AS744" s="2168"/>
      <c r="AT744" s="2168"/>
      <c r="AU744" s="2168"/>
      <c r="AV744" s="2168"/>
    </row>
    <row r="745" spans="13:48">
      <c r="M745" s="2098"/>
      <c r="N745" s="2098"/>
      <c r="O745" s="2098"/>
      <c r="P745" s="2098"/>
      <c r="R745" s="2098"/>
      <c r="S745" s="2098"/>
      <c r="T745" s="2098"/>
      <c r="U745" s="2098"/>
      <c r="V745" s="2168"/>
      <c r="W745" s="2168"/>
      <c r="X745" s="2168"/>
      <c r="Y745" s="2168"/>
      <c r="Z745" s="2168"/>
      <c r="AA745" s="2168"/>
      <c r="AB745" s="2168"/>
      <c r="AC745" s="2168"/>
      <c r="AD745" s="2168"/>
      <c r="AE745" s="2168"/>
      <c r="AF745" s="2168"/>
      <c r="AG745" s="2168"/>
      <c r="AH745" s="2168"/>
      <c r="AI745" s="2168"/>
      <c r="AJ745" s="2168"/>
      <c r="AK745" s="2168"/>
      <c r="AL745" s="2168"/>
      <c r="AM745" s="2168"/>
      <c r="AN745" s="2168"/>
      <c r="AO745" s="2168"/>
      <c r="AP745" s="2168"/>
      <c r="AQ745" s="2168"/>
      <c r="AR745" s="2168"/>
      <c r="AS745" s="2168"/>
      <c r="AT745" s="2168"/>
      <c r="AU745" s="2168"/>
      <c r="AV745" s="2168"/>
    </row>
    <row r="746" spans="13:48">
      <c r="M746" s="2098"/>
      <c r="N746" s="2098"/>
      <c r="O746" s="2098"/>
      <c r="P746" s="2098"/>
      <c r="R746" s="2098"/>
      <c r="S746" s="2098"/>
      <c r="T746" s="2098"/>
      <c r="U746" s="2098"/>
      <c r="V746" s="2168"/>
      <c r="W746" s="2168"/>
      <c r="X746" s="2168"/>
      <c r="Y746" s="2168"/>
      <c r="Z746" s="2168"/>
      <c r="AA746" s="2168"/>
      <c r="AB746" s="2168"/>
      <c r="AC746" s="2168"/>
      <c r="AD746" s="2168"/>
      <c r="AE746" s="2168"/>
      <c r="AF746" s="2168"/>
      <c r="AG746" s="2168"/>
      <c r="AH746" s="2168"/>
      <c r="AI746" s="2168"/>
      <c r="AJ746" s="2168"/>
      <c r="AK746" s="2168"/>
      <c r="AL746" s="2168"/>
      <c r="AM746" s="2168"/>
      <c r="AN746" s="2168"/>
      <c r="AO746" s="2168"/>
      <c r="AP746" s="2168"/>
      <c r="AQ746" s="2168"/>
      <c r="AR746" s="2168"/>
      <c r="AS746" s="2168"/>
      <c r="AT746" s="2168"/>
      <c r="AU746" s="2168"/>
      <c r="AV746" s="2168"/>
    </row>
    <row r="747" spans="13:48">
      <c r="M747" s="2098"/>
      <c r="N747" s="2098"/>
      <c r="O747" s="2098"/>
      <c r="P747" s="2098"/>
      <c r="R747" s="2098"/>
      <c r="S747" s="2098"/>
      <c r="T747" s="2098"/>
      <c r="U747" s="2098"/>
      <c r="V747" s="2168"/>
      <c r="W747" s="2168"/>
      <c r="X747" s="2168"/>
      <c r="Y747" s="2168"/>
      <c r="Z747" s="2168"/>
      <c r="AA747" s="2168"/>
      <c r="AB747" s="2168"/>
      <c r="AC747" s="2168"/>
      <c r="AD747" s="2168"/>
      <c r="AE747" s="2168"/>
      <c r="AF747" s="2168"/>
      <c r="AG747" s="2168"/>
      <c r="AH747" s="2168"/>
      <c r="AI747" s="2168"/>
      <c r="AJ747" s="2168"/>
      <c r="AK747" s="2168"/>
      <c r="AL747" s="2168"/>
      <c r="AM747" s="2168"/>
      <c r="AN747" s="2168"/>
      <c r="AO747" s="2168"/>
      <c r="AP747" s="2168"/>
      <c r="AQ747" s="2168"/>
      <c r="AR747" s="2168"/>
      <c r="AS747" s="2168"/>
      <c r="AT747" s="2168"/>
      <c r="AU747" s="2168"/>
      <c r="AV747" s="2168"/>
    </row>
    <row r="748" spans="13:48">
      <c r="M748" s="2098"/>
      <c r="N748" s="2098"/>
      <c r="O748" s="2098"/>
      <c r="P748" s="2098"/>
      <c r="R748" s="2098"/>
      <c r="S748" s="2098"/>
      <c r="T748" s="2098"/>
      <c r="U748" s="2098"/>
      <c r="V748" s="2168"/>
      <c r="W748" s="2168"/>
      <c r="X748" s="2168"/>
      <c r="Y748" s="2168"/>
      <c r="Z748" s="2168"/>
      <c r="AA748" s="2168"/>
      <c r="AB748" s="2168"/>
      <c r="AC748" s="2168"/>
      <c r="AD748" s="2168"/>
      <c r="AE748" s="2168"/>
      <c r="AF748" s="2168"/>
      <c r="AG748" s="2168"/>
      <c r="AH748" s="2168"/>
      <c r="AI748" s="2168"/>
      <c r="AJ748" s="2168"/>
      <c r="AK748" s="2168"/>
      <c r="AL748" s="2168"/>
      <c r="AM748" s="2168"/>
      <c r="AN748" s="2168"/>
      <c r="AO748" s="2168"/>
      <c r="AP748" s="2168"/>
      <c r="AQ748" s="2168"/>
      <c r="AR748" s="2168"/>
      <c r="AS748" s="2168"/>
      <c r="AT748" s="2168"/>
      <c r="AU748" s="2168"/>
      <c r="AV748" s="2168"/>
    </row>
    <row r="749" spans="13:48">
      <c r="M749" s="2098"/>
      <c r="N749" s="2098"/>
      <c r="O749" s="2098"/>
      <c r="P749" s="2098"/>
      <c r="R749" s="2098"/>
      <c r="S749" s="2098"/>
      <c r="T749" s="2098"/>
      <c r="U749" s="2098"/>
      <c r="V749" s="2168"/>
      <c r="W749" s="2168"/>
      <c r="X749" s="2168"/>
      <c r="Y749" s="2168"/>
      <c r="Z749" s="2168"/>
      <c r="AA749" s="2168"/>
      <c r="AB749" s="2168"/>
      <c r="AC749" s="2168"/>
      <c r="AD749" s="2168"/>
      <c r="AE749" s="2168"/>
      <c r="AF749" s="2168"/>
      <c r="AG749" s="2168"/>
      <c r="AH749" s="2168"/>
      <c r="AI749" s="2168"/>
      <c r="AJ749" s="2168"/>
      <c r="AK749" s="2168"/>
      <c r="AL749" s="2168"/>
      <c r="AM749" s="2168"/>
      <c r="AN749" s="2168"/>
      <c r="AO749" s="2168"/>
      <c r="AP749" s="2168"/>
      <c r="AQ749" s="2168"/>
      <c r="AR749" s="2168"/>
      <c r="AS749" s="2168"/>
      <c r="AT749" s="2168"/>
      <c r="AU749" s="2168"/>
      <c r="AV749" s="2168"/>
    </row>
    <row r="750" spans="13:48">
      <c r="M750" s="2098"/>
      <c r="N750" s="2098"/>
      <c r="O750" s="2098"/>
      <c r="P750" s="2098"/>
      <c r="R750" s="2098"/>
      <c r="S750" s="2098"/>
      <c r="T750" s="2098"/>
      <c r="U750" s="2098"/>
      <c r="V750" s="2168"/>
      <c r="W750" s="2168"/>
      <c r="X750" s="2168"/>
      <c r="Y750" s="2168"/>
      <c r="Z750" s="2168"/>
      <c r="AA750" s="2168"/>
      <c r="AB750" s="2168"/>
      <c r="AC750" s="2168"/>
      <c r="AD750" s="2168"/>
      <c r="AE750" s="2168"/>
      <c r="AF750" s="2168"/>
      <c r="AG750" s="2168"/>
      <c r="AH750" s="2168"/>
      <c r="AI750" s="2168"/>
      <c r="AJ750" s="2168"/>
      <c r="AK750" s="2168"/>
      <c r="AL750" s="2168"/>
      <c r="AM750" s="2168"/>
      <c r="AN750" s="2168"/>
      <c r="AO750" s="2168"/>
      <c r="AP750" s="2168"/>
      <c r="AQ750" s="2168"/>
      <c r="AR750" s="2168"/>
      <c r="AS750" s="2168"/>
      <c r="AT750" s="2168"/>
      <c r="AU750" s="2168"/>
      <c r="AV750" s="2168"/>
    </row>
    <row r="751" spans="13:48">
      <c r="M751" s="2098"/>
      <c r="N751" s="2098"/>
      <c r="O751" s="2098"/>
      <c r="P751" s="2098"/>
      <c r="R751" s="2098"/>
      <c r="S751" s="2098"/>
      <c r="T751" s="2098"/>
      <c r="U751" s="2098"/>
      <c r="V751" s="2168"/>
      <c r="W751" s="2168"/>
      <c r="X751" s="2168"/>
      <c r="Y751" s="2168"/>
      <c r="Z751" s="2168"/>
      <c r="AA751" s="2168"/>
      <c r="AB751" s="2168"/>
      <c r="AC751" s="2168"/>
      <c r="AD751" s="2168"/>
      <c r="AE751" s="2168"/>
      <c r="AF751" s="2168"/>
      <c r="AG751" s="2168"/>
      <c r="AH751" s="2168"/>
      <c r="AI751" s="2168"/>
      <c r="AJ751" s="2168"/>
      <c r="AK751" s="2168"/>
      <c r="AL751" s="2168"/>
      <c r="AM751" s="2168"/>
      <c r="AN751" s="2168"/>
      <c r="AO751" s="2168"/>
      <c r="AP751" s="2168"/>
      <c r="AQ751" s="2168"/>
      <c r="AR751" s="2168"/>
      <c r="AS751" s="2168"/>
      <c r="AT751" s="2168"/>
      <c r="AU751" s="2168"/>
      <c r="AV751" s="2168"/>
    </row>
    <row r="752" spans="13:48">
      <c r="M752" s="2098"/>
      <c r="N752" s="2098"/>
      <c r="O752" s="2098"/>
      <c r="P752" s="2098"/>
      <c r="R752" s="2098"/>
      <c r="S752" s="2098"/>
      <c r="T752" s="2098"/>
      <c r="U752" s="2098"/>
      <c r="V752" s="2168"/>
      <c r="W752" s="2168"/>
      <c r="X752" s="2168"/>
      <c r="Y752" s="2168"/>
      <c r="Z752" s="2168"/>
      <c r="AA752" s="2168"/>
      <c r="AB752" s="2168"/>
      <c r="AC752" s="2168"/>
      <c r="AD752" s="2168"/>
      <c r="AE752" s="2168"/>
      <c r="AF752" s="2168"/>
      <c r="AG752" s="2168"/>
      <c r="AH752" s="2168"/>
      <c r="AI752" s="2168"/>
      <c r="AJ752" s="2168"/>
      <c r="AK752" s="2168"/>
      <c r="AL752" s="2168"/>
      <c r="AM752" s="2168"/>
      <c r="AN752" s="2168"/>
      <c r="AO752" s="2168"/>
      <c r="AP752" s="2168"/>
      <c r="AQ752" s="2168"/>
      <c r="AR752" s="2168"/>
      <c r="AS752" s="2168"/>
      <c r="AT752" s="2168"/>
      <c r="AU752" s="2168"/>
      <c r="AV752" s="2168"/>
    </row>
    <row r="753" spans="13:48">
      <c r="M753" s="2098"/>
      <c r="N753" s="2098"/>
      <c r="O753" s="2098"/>
      <c r="P753" s="2098"/>
      <c r="R753" s="2098"/>
      <c r="S753" s="2098"/>
      <c r="T753" s="2098"/>
      <c r="U753" s="2098"/>
      <c r="V753" s="2168"/>
      <c r="W753" s="2168"/>
      <c r="X753" s="2168"/>
      <c r="Y753" s="2168"/>
      <c r="Z753" s="2168"/>
      <c r="AA753" s="2168"/>
      <c r="AB753" s="2168"/>
      <c r="AC753" s="2168"/>
      <c r="AD753" s="2168"/>
      <c r="AE753" s="2168"/>
      <c r="AF753" s="2168"/>
      <c r="AG753" s="2168"/>
      <c r="AH753" s="2168"/>
      <c r="AI753" s="2168"/>
      <c r="AJ753" s="2168"/>
      <c r="AK753" s="2168"/>
      <c r="AL753" s="2168"/>
      <c r="AM753" s="2168"/>
      <c r="AN753" s="2168"/>
      <c r="AO753" s="2168"/>
      <c r="AP753" s="2168"/>
      <c r="AQ753" s="2168"/>
      <c r="AR753" s="2168"/>
      <c r="AS753" s="2168"/>
      <c r="AT753" s="2168"/>
      <c r="AU753" s="2168"/>
      <c r="AV753" s="2168"/>
    </row>
    <row r="754" spans="13:48">
      <c r="M754" s="2098"/>
      <c r="N754" s="2098"/>
      <c r="O754" s="2098"/>
      <c r="P754" s="2098"/>
      <c r="R754" s="2098"/>
      <c r="S754" s="2098"/>
      <c r="T754" s="2098"/>
      <c r="U754" s="2098"/>
      <c r="V754" s="2168"/>
      <c r="W754" s="2168"/>
      <c r="X754" s="2168"/>
      <c r="Y754" s="2168"/>
      <c r="Z754" s="2168"/>
      <c r="AA754" s="2168"/>
      <c r="AB754" s="2168"/>
      <c r="AC754" s="2168"/>
      <c r="AD754" s="2168"/>
      <c r="AE754" s="2168"/>
      <c r="AF754" s="2168"/>
      <c r="AG754" s="2168"/>
      <c r="AH754" s="2168"/>
      <c r="AI754" s="2168"/>
      <c r="AJ754" s="2168"/>
      <c r="AK754" s="2168"/>
      <c r="AL754" s="2168"/>
      <c r="AM754" s="2168"/>
      <c r="AN754" s="2168"/>
      <c r="AO754" s="2168"/>
      <c r="AP754" s="2168"/>
      <c r="AQ754" s="2168"/>
      <c r="AR754" s="2168"/>
      <c r="AS754" s="2168"/>
      <c r="AT754" s="2168"/>
      <c r="AU754" s="2168"/>
      <c r="AV754" s="2168"/>
    </row>
    <row r="755" spans="13:48">
      <c r="M755" s="2098"/>
      <c r="N755" s="2098"/>
      <c r="O755" s="2098"/>
      <c r="P755" s="2098"/>
      <c r="R755" s="2098"/>
      <c r="S755" s="2098"/>
      <c r="T755" s="2098"/>
      <c r="U755" s="2098"/>
      <c r="V755" s="2168"/>
      <c r="W755" s="2168"/>
      <c r="X755" s="2168"/>
      <c r="Y755" s="2168"/>
      <c r="Z755" s="2168"/>
      <c r="AA755" s="2168"/>
      <c r="AB755" s="2168"/>
      <c r="AC755" s="2168"/>
      <c r="AD755" s="2168"/>
      <c r="AE755" s="2168"/>
      <c r="AF755" s="2168"/>
      <c r="AG755" s="2168"/>
      <c r="AH755" s="2168"/>
      <c r="AI755" s="2168"/>
      <c r="AJ755" s="2168"/>
      <c r="AK755" s="2168"/>
      <c r="AL755" s="2168"/>
      <c r="AM755" s="2168"/>
      <c r="AN755" s="2168"/>
      <c r="AO755" s="2168"/>
      <c r="AP755" s="2168"/>
      <c r="AQ755" s="2168"/>
      <c r="AR755" s="2168"/>
      <c r="AS755" s="2168"/>
      <c r="AT755" s="2168"/>
      <c r="AU755" s="2168"/>
      <c r="AV755" s="2168"/>
    </row>
    <row r="756" spans="13:48">
      <c r="M756" s="2098"/>
      <c r="N756" s="2098"/>
      <c r="O756" s="2098"/>
      <c r="P756" s="2098"/>
      <c r="R756" s="2098"/>
      <c r="S756" s="2098"/>
      <c r="T756" s="2098"/>
      <c r="U756" s="2098"/>
      <c r="V756" s="2168"/>
      <c r="W756" s="2168"/>
      <c r="X756" s="2168"/>
      <c r="Y756" s="2168"/>
      <c r="Z756" s="2168"/>
      <c r="AA756" s="2168"/>
      <c r="AB756" s="2168"/>
      <c r="AC756" s="2168"/>
      <c r="AD756" s="2168"/>
      <c r="AE756" s="2168"/>
      <c r="AF756" s="2168"/>
      <c r="AG756" s="2168"/>
      <c r="AH756" s="2168"/>
      <c r="AI756" s="2168"/>
      <c r="AJ756" s="2168"/>
      <c r="AK756" s="2168"/>
      <c r="AL756" s="2168"/>
      <c r="AM756" s="2168"/>
      <c r="AN756" s="2168"/>
      <c r="AO756" s="2168"/>
      <c r="AP756" s="2168"/>
      <c r="AQ756" s="2168"/>
      <c r="AR756" s="2168"/>
      <c r="AS756" s="2168"/>
      <c r="AT756" s="2168"/>
      <c r="AU756" s="2168"/>
      <c r="AV756" s="2168"/>
    </row>
    <row r="757" spans="13:48">
      <c r="M757" s="2098"/>
      <c r="N757" s="2098"/>
      <c r="O757" s="2098"/>
      <c r="P757" s="2098"/>
      <c r="R757" s="2098"/>
      <c r="S757" s="2098"/>
      <c r="T757" s="2098"/>
      <c r="U757" s="2098"/>
      <c r="V757" s="2168"/>
      <c r="W757" s="2168"/>
      <c r="X757" s="2168"/>
      <c r="Y757" s="2168"/>
      <c r="Z757" s="2168"/>
      <c r="AA757" s="2168"/>
      <c r="AB757" s="2168"/>
      <c r="AC757" s="2168"/>
      <c r="AD757" s="2168"/>
      <c r="AE757" s="2168"/>
      <c r="AF757" s="2168"/>
      <c r="AG757" s="2168"/>
      <c r="AH757" s="2168"/>
      <c r="AI757" s="2168"/>
      <c r="AJ757" s="2168"/>
      <c r="AK757" s="2168"/>
      <c r="AL757" s="2168"/>
      <c r="AM757" s="2168"/>
      <c r="AN757" s="2168"/>
      <c r="AO757" s="2168"/>
      <c r="AP757" s="2168"/>
      <c r="AQ757" s="2168"/>
      <c r="AR757" s="2168"/>
      <c r="AS757" s="2168"/>
      <c r="AT757" s="2168"/>
      <c r="AU757" s="2168"/>
      <c r="AV757" s="2168"/>
    </row>
    <row r="758" spans="13:48">
      <c r="M758" s="2098"/>
      <c r="N758" s="2098"/>
      <c r="O758" s="2098"/>
      <c r="P758" s="2098"/>
      <c r="R758" s="2098"/>
      <c r="S758" s="2098"/>
      <c r="T758" s="2098"/>
      <c r="U758" s="2098"/>
      <c r="V758" s="2168"/>
      <c r="W758" s="2168"/>
      <c r="X758" s="2168"/>
      <c r="Y758" s="2168"/>
      <c r="Z758" s="2168"/>
      <c r="AA758" s="2168"/>
      <c r="AB758" s="2168"/>
      <c r="AC758" s="2168"/>
      <c r="AD758" s="2168"/>
      <c r="AE758" s="2168"/>
      <c r="AF758" s="2168"/>
      <c r="AG758" s="2168"/>
      <c r="AH758" s="2168"/>
      <c r="AI758" s="2168"/>
      <c r="AJ758" s="2168"/>
      <c r="AK758" s="2168"/>
      <c r="AL758" s="2168"/>
      <c r="AM758" s="2168"/>
      <c r="AN758" s="2168"/>
      <c r="AO758" s="2168"/>
      <c r="AP758" s="2168"/>
      <c r="AQ758" s="2168"/>
      <c r="AR758" s="2168"/>
      <c r="AS758" s="2168"/>
      <c r="AT758" s="2168"/>
      <c r="AU758" s="2168"/>
      <c r="AV758" s="2168"/>
    </row>
    <row r="759" spans="13:48">
      <c r="M759" s="2098"/>
      <c r="N759" s="2098"/>
      <c r="O759" s="2098"/>
      <c r="P759" s="2098"/>
      <c r="R759" s="2098"/>
      <c r="S759" s="2098"/>
      <c r="T759" s="2098"/>
      <c r="U759" s="2098"/>
      <c r="V759" s="2168"/>
      <c r="W759" s="2168"/>
      <c r="X759" s="2168"/>
      <c r="Y759" s="2168"/>
      <c r="Z759" s="2168"/>
      <c r="AA759" s="2168"/>
      <c r="AB759" s="2168"/>
      <c r="AC759" s="2168"/>
      <c r="AD759" s="2168"/>
      <c r="AE759" s="2168"/>
      <c r="AF759" s="2168"/>
      <c r="AG759" s="2168"/>
      <c r="AH759" s="2168"/>
      <c r="AI759" s="2168"/>
      <c r="AJ759" s="2168"/>
      <c r="AK759" s="2168"/>
      <c r="AL759" s="2168"/>
      <c r="AM759" s="2168"/>
      <c r="AN759" s="2168"/>
      <c r="AO759" s="2168"/>
      <c r="AP759" s="2168"/>
      <c r="AQ759" s="2168"/>
      <c r="AR759" s="2168"/>
      <c r="AS759" s="2168"/>
      <c r="AT759" s="2168"/>
      <c r="AU759" s="2168"/>
      <c r="AV759" s="2168"/>
    </row>
    <row r="760" spans="13:48">
      <c r="M760" s="2098"/>
      <c r="N760" s="2098"/>
      <c r="O760" s="2098"/>
      <c r="P760" s="2098"/>
      <c r="R760" s="2098"/>
      <c r="S760" s="2098"/>
      <c r="T760" s="2098"/>
      <c r="U760" s="2098"/>
      <c r="V760" s="2168"/>
      <c r="W760" s="2168"/>
      <c r="X760" s="2168"/>
      <c r="Y760" s="2168"/>
      <c r="Z760" s="2168"/>
      <c r="AA760" s="2168"/>
      <c r="AB760" s="2168"/>
      <c r="AC760" s="2168"/>
      <c r="AD760" s="2168"/>
      <c r="AE760" s="2168"/>
      <c r="AF760" s="2168"/>
      <c r="AG760" s="2168"/>
      <c r="AH760" s="2168"/>
      <c r="AI760" s="2168"/>
      <c r="AJ760" s="2168"/>
      <c r="AK760" s="2168"/>
      <c r="AL760" s="2168"/>
      <c r="AM760" s="2168"/>
      <c r="AN760" s="2168"/>
      <c r="AO760" s="2168"/>
      <c r="AP760" s="2168"/>
      <c r="AQ760" s="2168"/>
      <c r="AR760" s="2168"/>
      <c r="AS760" s="2168"/>
      <c r="AT760" s="2168"/>
      <c r="AU760" s="2168"/>
      <c r="AV760" s="2168"/>
    </row>
    <row r="761" spans="13:48">
      <c r="M761" s="2098"/>
      <c r="N761" s="2098"/>
      <c r="O761" s="2098"/>
      <c r="P761" s="2098"/>
      <c r="R761" s="2098"/>
      <c r="S761" s="2098"/>
      <c r="T761" s="2098"/>
      <c r="U761" s="2098"/>
      <c r="V761" s="2168"/>
      <c r="W761" s="2168"/>
      <c r="X761" s="2168"/>
      <c r="Y761" s="2168"/>
      <c r="Z761" s="2168"/>
      <c r="AA761" s="2168"/>
      <c r="AB761" s="2168"/>
      <c r="AC761" s="2168"/>
      <c r="AD761" s="2168"/>
      <c r="AE761" s="2168"/>
      <c r="AF761" s="2168"/>
      <c r="AG761" s="2168"/>
      <c r="AH761" s="2168"/>
      <c r="AI761" s="2168"/>
      <c r="AJ761" s="2168"/>
      <c r="AK761" s="2168"/>
      <c r="AL761" s="2168"/>
      <c r="AM761" s="2168"/>
      <c r="AN761" s="2168"/>
      <c r="AO761" s="2168"/>
      <c r="AP761" s="2168"/>
      <c r="AQ761" s="2168"/>
      <c r="AR761" s="2168"/>
      <c r="AS761" s="2168"/>
      <c r="AT761" s="2168"/>
      <c r="AU761" s="2168"/>
      <c r="AV761" s="2168"/>
    </row>
    <row r="762" spans="13:48">
      <c r="M762" s="2098"/>
      <c r="N762" s="2098"/>
      <c r="O762" s="2098"/>
      <c r="P762" s="2098"/>
      <c r="R762" s="2098"/>
      <c r="S762" s="2098"/>
      <c r="T762" s="2098"/>
      <c r="U762" s="2098"/>
      <c r="V762" s="2168"/>
      <c r="W762" s="2168"/>
      <c r="X762" s="2168"/>
      <c r="Y762" s="2168"/>
      <c r="Z762" s="2168"/>
      <c r="AA762" s="2168"/>
      <c r="AB762" s="2168"/>
      <c r="AC762" s="2168"/>
      <c r="AD762" s="2168"/>
      <c r="AE762" s="2168"/>
      <c r="AF762" s="2168"/>
      <c r="AG762" s="2168"/>
      <c r="AH762" s="2168"/>
      <c r="AI762" s="2168"/>
      <c r="AJ762" s="2168"/>
      <c r="AK762" s="2168"/>
      <c r="AL762" s="2168"/>
      <c r="AM762" s="2168"/>
      <c r="AN762" s="2168"/>
      <c r="AO762" s="2168"/>
      <c r="AP762" s="2168"/>
      <c r="AQ762" s="2168"/>
      <c r="AR762" s="2168"/>
      <c r="AS762" s="2168"/>
      <c r="AT762" s="2168"/>
      <c r="AU762" s="2168"/>
      <c r="AV762" s="2168"/>
    </row>
    <row r="763" spans="13:48">
      <c r="M763" s="2098"/>
      <c r="N763" s="2098"/>
      <c r="O763" s="2098"/>
      <c r="P763" s="2098"/>
      <c r="R763" s="2098"/>
      <c r="S763" s="2098"/>
      <c r="T763" s="2098"/>
      <c r="U763" s="2098"/>
      <c r="V763" s="2168"/>
      <c r="W763" s="2168"/>
      <c r="X763" s="2168"/>
      <c r="Y763" s="2168"/>
      <c r="Z763" s="2168"/>
      <c r="AA763" s="2168"/>
      <c r="AB763" s="2168"/>
      <c r="AC763" s="2168"/>
      <c r="AD763" s="2168"/>
      <c r="AE763" s="2168"/>
      <c r="AF763" s="2168"/>
      <c r="AG763" s="2168"/>
      <c r="AH763" s="2168"/>
      <c r="AI763" s="2168"/>
      <c r="AJ763" s="2168"/>
      <c r="AK763" s="2168"/>
      <c r="AL763" s="2168"/>
      <c r="AM763" s="2168"/>
      <c r="AN763" s="2168"/>
      <c r="AO763" s="2168"/>
      <c r="AP763" s="2168"/>
      <c r="AQ763" s="2168"/>
      <c r="AR763" s="2168"/>
      <c r="AS763" s="2168"/>
      <c r="AT763" s="2168"/>
      <c r="AU763" s="2168"/>
      <c r="AV763" s="2168"/>
    </row>
    <row r="764" spans="13:48">
      <c r="M764" s="2098"/>
      <c r="N764" s="2098"/>
      <c r="O764" s="2098"/>
      <c r="P764" s="2098"/>
      <c r="R764" s="2098"/>
      <c r="S764" s="2098"/>
      <c r="T764" s="2098"/>
      <c r="U764" s="2098"/>
      <c r="V764" s="2168"/>
      <c r="W764" s="2168"/>
      <c r="X764" s="2168"/>
      <c r="Y764" s="2168"/>
      <c r="Z764" s="2168"/>
      <c r="AA764" s="2168"/>
      <c r="AB764" s="2168"/>
      <c r="AC764" s="2168"/>
      <c r="AD764" s="2168"/>
      <c r="AE764" s="2168"/>
      <c r="AF764" s="2168"/>
      <c r="AG764" s="2168"/>
      <c r="AH764" s="2168"/>
      <c r="AI764" s="2168"/>
      <c r="AJ764" s="2168"/>
      <c r="AK764" s="2168"/>
      <c r="AL764" s="2168"/>
      <c r="AM764" s="2168"/>
      <c r="AN764" s="2168"/>
      <c r="AO764" s="2168"/>
      <c r="AP764" s="2168"/>
      <c r="AQ764" s="2168"/>
      <c r="AR764" s="2168"/>
      <c r="AS764" s="2168"/>
      <c r="AT764" s="2168"/>
      <c r="AU764" s="2168"/>
      <c r="AV764" s="2168"/>
    </row>
    <row r="765" spans="13:48">
      <c r="M765" s="2098"/>
      <c r="N765" s="2098"/>
      <c r="O765" s="2098"/>
      <c r="P765" s="2098"/>
      <c r="R765" s="2098"/>
      <c r="S765" s="2098"/>
      <c r="T765" s="2098"/>
      <c r="U765" s="2098"/>
      <c r="V765" s="2168"/>
      <c r="W765" s="2168"/>
      <c r="X765" s="2168"/>
      <c r="Y765" s="2168"/>
      <c r="Z765" s="2168"/>
      <c r="AA765" s="2168"/>
      <c r="AB765" s="2168"/>
      <c r="AC765" s="2168"/>
      <c r="AD765" s="2168"/>
      <c r="AE765" s="2168"/>
      <c r="AF765" s="2168"/>
      <c r="AG765" s="2168"/>
      <c r="AH765" s="2168"/>
      <c r="AI765" s="2168"/>
      <c r="AJ765" s="2168"/>
      <c r="AK765" s="2168"/>
      <c r="AL765" s="2168"/>
      <c r="AM765" s="2168"/>
      <c r="AN765" s="2168"/>
      <c r="AO765" s="2168"/>
      <c r="AP765" s="2168"/>
      <c r="AQ765" s="2168"/>
      <c r="AR765" s="2168"/>
      <c r="AS765" s="2168"/>
      <c r="AT765" s="2168"/>
      <c r="AU765" s="2168"/>
      <c r="AV765" s="2168"/>
    </row>
    <row r="766" spans="13:48">
      <c r="M766" s="2098"/>
      <c r="N766" s="2098"/>
      <c r="O766" s="2098"/>
      <c r="P766" s="2098"/>
      <c r="R766" s="2098"/>
      <c r="S766" s="2098"/>
      <c r="T766" s="2098"/>
      <c r="U766" s="2098"/>
      <c r="V766" s="2168"/>
      <c r="W766" s="2168"/>
      <c r="X766" s="2168"/>
      <c r="Y766" s="2168"/>
      <c r="Z766" s="2168"/>
      <c r="AA766" s="2168"/>
      <c r="AB766" s="2168"/>
      <c r="AC766" s="2168"/>
      <c r="AD766" s="2168"/>
      <c r="AE766" s="2168"/>
      <c r="AF766" s="2168"/>
      <c r="AG766" s="2168"/>
      <c r="AH766" s="2168"/>
      <c r="AI766" s="2168"/>
      <c r="AJ766" s="2168"/>
      <c r="AK766" s="2168"/>
      <c r="AL766" s="2168"/>
      <c r="AM766" s="2168"/>
      <c r="AN766" s="2168"/>
      <c r="AO766" s="2168"/>
      <c r="AP766" s="2168"/>
      <c r="AQ766" s="2168"/>
      <c r="AR766" s="2168"/>
      <c r="AS766" s="2168"/>
      <c r="AT766" s="2168"/>
      <c r="AU766" s="2168"/>
      <c r="AV766" s="2168"/>
    </row>
    <row r="767" spans="13:48">
      <c r="M767" s="2098"/>
      <c r="N767" s="2098"/>
      <c r="O767" s="2098"/>
      <c r="P767" s="2098"/>
      <c r="R767" s="2098"/>
      <c r="S767" s="2098"/>
      <c r="T767" s="2098"/>
      <c r="U767" s="2098"/>
      <c r="V767" s="2168"/>
      <c r="W767" s="2168"/>
      <c r="X767" s="2168"/>
      <c r="Y767" s="2168"/>
      <c r="Z767" s="2168"/>
      <c r="AA767" s="2168"/>
      <c r="AB767" s="2168"/>
      <c r="AC767" s="2168"/>
      <c r="AD767" s="2168"/>
      <c r="AE767" s="2168"/>
      <c r="AF767" s="2168"/>
      <c r="AG767" s="2168"/>
      <c r="AH767" s="2168"/>
      <c r="AI767" s="2168"/>
      <c r="AJ767" s="2168"/>
      <c r="AK767" s="2168"/>
      <c r="AL767" s="2168"/>
      <c r="AM767" s="2168"/>
      <c r="AN767" s="2168"/>
      <c r="AO767" s="2168"/>
      <c r="AP767" s="2168"/>
      <c r="AQ767" s="2168"/>
      <c r="AR767" s="2168"/>
      <c r="AS767" s="2168"/>
      <c r="AT767" s="2168"/>
      <c r="AU767" s="2168"/>
      <c r="AV767" s="2168"/>
    </row>
    <row r="768" spans="13:48">
      <c r="M768" s="2098"/>
      <c r="N768" s="2098"/>
      <c r="O768" s="2098"/>
      <c r="P768" s="2098"/>
      <c r="R768" s="2098"/>
      <c r="S768" s="2098"/>
      <c r="T768" s="2098"/>
      <c r="U768" s="2098"/>
      <c r="V768" s="2168"/>
      <c r="W768" s="2168"/>
      <c r="X768" s="2168"/>
      <c r="Y768" s="2168"/>
      <c r="Z768" s="2168"/>
      <c r="AA768" s="2168"/>
      <c r="AB768" s="2168"/>
      <c r="AC768" s="2168"/>
      <c r="AD768" s="2168"/>
      <c r="AE768" s="2168"/>
      <c r="AF768" s="2168"/>
      <c r="AG768" s="2168"/>
      <c r="AH768" s="2168"/>
      <c r="AI768" s="2168"/>
      <c r="AJ768" s="2168"/>
      <c r="AK768" s="2168"/>
      <c r="AL768" s="2168"/>
      <c r="AM768" s="2168"/>
      <c r="AN768" s="2168"/>
      <c r="AO768" s="2168"/>
      <c r="AP768" s="2168"/>
      <c r="AQ768" s="2168"/>
      <c r="AR768" s="2168"/>
      <c r="AS768" s="2168"/>
      <c r="AT768" s="2168"/>
      <c r="AU768" s="2168"/>
      <c r="AV768" s="2168"/>
    </row>
    <row r="769" spans="13:48">
      <c r="M769" s="2098"/>
      <c r="N769" s="2098"/>
      <c r="O769" s="2098"/>
      <c r="P769" s="2098"/>
      <c r="R769" s="2098"/>
      <c r="S769" s="2098"/>
      <c r="T769" s="2098"/>
      <c r="U769" s="2098"/>
      <c r="V769" s="2168"/>
      <c r="W769" s="2168"/>
      <c r="X769" s="2168"/>
      <c r="Y769" s="2168"/>
      <c r="Z769" s="2168"/>
      <c r="AA769" s="2168"/>
      <c r="AB769" s="2168"/>
      <c r="AC769" s="2168"/>
      <c r="AD769" s="2168"/>
      <c r="AE769" s="2168"/>
      <c r="AF769" s="2168"/>
      <c r="AG769" s="2168"/>
      <c r="AH769" s="2168"/>
      <c r="AI769" s="2168"/>
      <c r="AJ769" s="2168"/>
      <c r="AK769" s="2168"/>
      <c r="AL769" s="2168"/>
      <c r="AM769" s="2168"/>
      <c r="AN769" s="2168"/>
      <c r="AO769" s="2168"/>
      <c r="AP769" s="2168"/>
      <c r="AQ769" s="2168"/>
      <c r="AR769" s="2168"/>
      <c r="AS769" s="2168"/>
      <c r="AT769" s="2168"/>
      <c r="AU769" s="2168"/>
      <c r="AV769" s="2168"/>
    </row>
    <row r="770" spans="13:48">
      <c r="M770" s="2098"/>
      <c r="N770" s="2098"/>
      <c r="O770" s="2098"/>
      <c r="P770" s="2098"/>
      <c r="R770" s="2098"/>
      <c r="S770" s="2098"/>
      <c r="T770" s="2098"/>
      <c r="U770" s="2098"/>
      <c r="V770" s="2168"/>
      <c r="W770" s="2168"/>
      <c r="X770" s="2168"/>
      <c r="Y770" s="2168"/>
      <c r="Z770" s="2168"/>
      <c r="AA770" s="2168"/>
      <c r="AB770" s="2168"/>
      <c r="AC770" s="2168"/>
      <c r="AD770" s="2168"/>
      <c r="AE770" s="2168"/>
      <c r="AF770" s="2168"/>
      <c r="AG770" s="2168"/>
      <c r="AH770" s="2168"/>
      <c r="AI770" s="2168"/>
      <c r="AJ770" s="2168"/>
      <c r="AK770" s="2168"/>
      <c r="AL770" s="2168"/>
      <c r="AM770" s="2168"/>
      <c r="AN770" s="2168"/>
      <c r="AO770" s="2168"/>
      <c r="AP770" s="2168"/>
      <c r="AQ770" s="2168"/>
      <c r="AR770" s="2168"/>
      <c r="AS770" s="2168"/>
      <c r="AT770" s="2168"/>
      <c r="AU770" s="2168"/>
      <c r="AV770" s="2168"/>
    </row>
    <row r="771" spans="13:48">
      <c r="M771" s="2098"/>
      <c r="N771" s="2098"/>
      <c r="O771" s="2098"/>
      <c r="P771" s="2098"/>
      <c r="R771" s="2098"/>
      <c r="S771" s="2098"/>
      <c r="T771" s="2098"/>
      <c r="U771" s="2098"/>
      <c r="V771" s="2168"/>
      <c r="W771" s="2168"/>
      <c r="X771" s="2168"/>
      <c r="Y771" s="2168"/>
      <c r="Z771" s="2168"/>
      <c r="AA771" s="2168"/>
      <c r="AB771" s="2168"/>
      <c r="AC771" s="2168"/>
      <c r="AD771" s="2168"/>
      <c r="AE771" s="2168"/>
      <c r="AF771" s="2168"/>
      <c r="AG771" s="2168"/>
      <c r="AH771" s="2168"/>
      <c r="AI771" s="2168"/>
      <c r="AJ771" s="2168"/>
      <c r="AK771" s="2168"/>
      <c r="AL771" s="2168"/>
      <c r="AM771" s="2168"/>
      <c r="AN771" s="2168"/>
      <c r="AO771" s="2168"/>
      <c r="AP771" s="2168"/>
      <c r="AQ771" s="2168"/>
      <c r="AR771" s="2168"/>
      <c r="AS771" s="2168"/>
      <c r="AT771" s="2168"/>
      <c r="AU771" s="2168"/>
      <c r="AV771" s="2168"/>
    </row>
    <row r="772" spans="13:48">
      <c r="M772" s="2098"/>
      <c r="N772" s="2098"/>
      <c r="O772" s="2098"/>
      <c r="P772" s="2098"/>
      <c r="R772" s="2098"/>
      <c r="S772" s="2098"/>
      <c r="T772" s="2098"/>
      <c r="U772" s="2098"/>
      <c r="V772" s="2168"/>
      <c r="W772" s="2168"/>
      <c r="X772" s="2168"/>
      <c r="Y772" s="2168"/>
      <c r="Z772" s="2168"/>
      <c r="AA772" s="2168"/>
      <c r="AB772" s="2168"/>
      <c r="AC772" s="2168"/>
      <c r="AD772" s="2168"/>
      <c r="AE772" s="2168"/>
      <c r="AF772" s="2168"/>
      <c r="AG772" s="2168"/>
      <c r="AH772" s="2168"/>
      <c r="AI772" s="2168"/>
      <c r="AJ772" s="2168"/>
      <c r="AK772" s="2168"/>
      <c r="AL772" s="2168"/>
      <c r="AM772" s="2168"/>
      <c r="AN772" s="2168"/>
      <c r="AO772" s="2168"/>
      <c r="AP772" s="2168"/>
      <c r="AQ772" s="2168"/>
      <c r="AR772" s="2168"/>
      <c r="AS772" s="2168"/>
      <c r="AT772" s="2168"/>
      <c r="AU772" s="2168"/>
      <c r="AV772" s="2168"/>
    </row>
    <row r="773" spans="13:48">
      <c r="M773" s="2098"/>
      <c r="N773" s="2098"/>
      <c r="O773" s="2098"/>
      <c r="P773" s="2098"/>
      <c r="R773" s="2098"/>
      <c r="S773" s="2098"/>
      <c r="T773" s="2098"/>
      <c r="U773" s="2098"/>
      <c r="V773" s="2168"/>
      <c r="W773" s="2168"/>
      <c r="X773" s="2168"/>
      <c r="Y773" s="2168"/>
      <c r="Z773" s="2168"/>
      <c r="AA773" s="2168"/>
      <c r="AB773" s="2168"/>
      <c r="AC773" s="2168"/>
      <c r="AD773" s="2168"/>
      <c r="AE773" s="2168"/>
      <c r="AF773" s="2168"/>
      <c r="AG773" s="2168"/>
      <c r="AH773" s="2168"/>
      <c r="AI773" s="2168"/>
      <c r="AJ773" s="2168"/>
      <c r="AK773" s="2168"/>
      <c r="AL773" s="2168"/>
      <c r="AM773" s="2168"/>
      <c r="AN773" s="2168"/>
      <c r="AO773" s="2168"/>
      <c r="AP773" s="2168"/>
      <c r="AQ773" s="2168"/>
      <c r="AR773" s="2168"/>
      <c r="AS773" s="2168"/>
      <c r="AT773" s="2168"/>
      <c r="AU773" s="2168"/>
      <c r="AV773" s="2168"/>
    </row>
    <row r="774" spans="13:48">
      <c r="M774" s="2098"/>
      <c r="N774" s="2098"/>
      <c r="O774" s="2098"/>
      <c r="P774" s="2098"/>
      <c r="R774" s="2098"/>
      <c r="S774" s="2098"/>
      <c r="T774" s="2098"/>
      <c r="U774" s="2098"/>
      <c r="V774" s="2168"/>
      <c r="W774" s="2168"/>
      <c r="X774" s="2168"/>
      <c r="Y774" s="2168"/>
      <c r="Z774" s="2168"/>
      <c r="AA774" s="2168"/>
      <c r="AB774" s="2168"/>
      <c r="AC774" s="2168"/>
      <c r="AD774" s="2168"/>
      <c r="AE774" s="2168"/>
      <c r="AF774" s="2168"/>
      <c r="AG774" s="2168"/>
      <c r="AH774" s="2168"/>
      <c r="AI774" s="2168"/>
      <c r="AJ774" s="2168"/>
      <c r="AK774" s="2168"/>
      <c r="AL774" s="2168"/>
      <c r="AM774" s="2168"/>
      <c r="AN774" s="2168"/>
      <c r="AO774" s="2168"/>
      <c r="AP774" s="2168"/>
      <c r="AQ774" s="2168"/>
      <c r="AR774" s="2168"/>
      <c r="AS774" s="2168"/>
      <c r="AT774" s="2168"/>
      <c r="AU774" s="2168"/>
      <c r="AV774" s="2168"/>
    </row>
    <row r="775" spans="13:48">
      <c r="M775" s="2098"/>
      <c r="N775" s="2098"/>
      <c r="O775" s="2098"/>
      <c r="P775" s="2098"/>
      <c r="R775" s="2098"/>
      <c r="S775" s="2098"/>
      <c r="T775" s="2098"/>
      <c r="U775" s="2098"/>
      <c r="V775" s="2168"/>
      <c r="W775" s="2168"/>
      <c r="X775" s="2168"/>
      <c r="Y775" s="2168"/>
      <c r="Z775" s="2168"/>
      <c r="AA775" s="2168"/>
      <c r="AB775" s="2168"/>
      <c r="AC775" s="2168"/>
      <c r="AD775" s="2168"/>
      <c r="AE775" s="2168"/>
      <c r="AF775" s="2168"/>
      <c r="AG775" s="2168"/>
      <c r="AH775" s="2168"/>
      <c r="AI775" s="2168"/>
      <c r="AJ775" s="2168"/>
      <c r="AK775" s="2168"/>
      <c r="AL775" s="2168"/>
      <c r="AM775" s="2168"/>
      <c r="AN775" s="2168"/>
      <c r="AO775" s="2168"/>
      <c r="AP775" s="2168"/>
      <c r="AQ775" s="2168"/>
      <c r="AR775" s="2168"/>
      <c r="AS775" s="2168"/>
      <c r="AT775" s="2168"/>
      <c r="AU775" s="2168"/>
      <c r="AV775" s="2168"/>
    </row>
    <row r="776" spans="13:48">
      <c r="M776" s="2098"/>
      <c r="N776" s="2098"/>
      <c r="O776" s="2098"/>
      <c r="P776" s="2098"/>
      <c r="R776" s="2098"/>
      <c r="S776" s="2098"/>
      <c r="T776" s="2098"/>
      <c r="U776" s="2098"/>
      <c r="V776" s="2168"/>
      <c r="W776" s="2168"/>
      <c r="X776" s="2168"/>
      <c r="Y776" s="2168"/>
      <c r="Z776" s="2168"/>
      <c r="AA776" s="2168"/>
      <c r="AB776" s="2168"/>
      <c r="AC776" s="2168"/>
      <c r="AD776" s="2168"/>
      <c r="AE776" s="2168"/>
      <c r="AF776" s="2168"/>
      <c r="AG776" s="2168"/>
      <c r="AH776" s="2168"/>
      <c r="AI776" s="2168"/>
      <c r="AJ776" s="2168"/>
      <c r="AK776" s="2168"/>
      <c r="AL776" s="2168"/>
      <c r="AM776" s="2168"/>
      <c r="AN776" s="2168"/>
      <c r="AO776" s="2168"/>
      <c r="AP776" s="2168"/>
      <c r="AQ776" s="2168"/>
      <c r="AR776" s="2168"/>
      <c r="AS776" s="2168"/>
      <c r="AT776" s="2168"/>
      <c r="AU776" s="2168"/>
      <c r="AV776" s="2168"/>
    </row>
    <row r="777" spans="13:48">
      <c r="M777" s="2098"/>
      <c r="N777" s="2098"/>
      <c r="O777" s="2098"/>
      <c r="P777" s="2098"/>
      <c r="R777" s="2098"/>
      <c r="S777" s="2098"/>
      <c r="T777" s="2098"/>
      <c r="U777" s="2098"/>
      <c r="V777" s="2168"/>
      <c r="W777" s="2168"/>
      <c r="X777" s="2168"/>
      <c r="Y777" s="2168"/>
      <c r="Z777" s="2168"/>
      <c r="AA777" s="2168"/>
      <c r="AB777" s="2168"/>
      <c r="AC777" s="2168"/>
      <c r="AD777" s="2168"/>
      <c r="AE777" s="2168"/>
      <c r="AF777" s="2168"/>
      <c r="AG777" s="2168"/>
      <c r="AH777" s="2168"/>
      <c r="AI777" s="2168"/>
      <c r="AJ777" s="2168"/>
      <c r="AK777" s="2168"/>
      <c r="AL777" s="2168"/>
      <c r="AM777" s="2168"/>
      <c r="AN777" s="2168"/>
      <c r="AO777" s="2168"/>
      <c r="AP777" s="2168"/>
      <c r="AQ777" s="2168"/>
      <c r="AR777" s="2168"/>
      <c r="AS777" s="2168"/>
      <c r="AT777" s="2168"/>
      <c r="AU777" s="2168"/>
      <c r="AV777" s="2168"/>
    </row>
    <row r="778" spans="13:48">
      <c r="M778" s="2098"/>
      <c r="N778" s="2098"/>
      <c r="O778" s="2098"/>
      <c r="P778" s="2098"/>
      <c r="R778" s="2098"/>
      <c r="S778" s="2098"/>
      <c r="T778" s="2098"/>
      <c r="U778" s="2098"/>
      <c r="V778" s="2168"/>
      <c r="W778" s="2168"/>
      <c r="X778" s="2168"/>
      <c r="Y778" s="2168"/>
      <c r="Z778" s="2168"/>
      <c r="AA778" s="2168"/>
      <c r="AB778" s="2168"/>
      <c r="AC778" s="2168"/>
      <c r="AD778" s="2168"/>
      <c r="AE778" s="2168"/>
      <c r="AF778" s="2168"/>
      <c r="AG778" s="2168"/>
      <c r="AH778" s="2168"/>
      <c r="AI778" s="2168"/>
      <c r="AJ778" s="2168"/>
      <c r="AK778" s="2168"/>
      <c r="AL778" s="2168"/>
      <c r="AM778" s="2168"/>
      <c r="AN778" s="2168"/>
      <c r="AO778" s="2168"/>
      <c r="AP778" s="2168"/>
      <c r="AQ778" s="2168"/>
      <c r="AR778" s="2168"/>
      <c r="AS778" s="2168"/>
      <c r="AT778" s="2168"/>
      <c r="AU778" s="2168"/>
      <c r="AV778" s="2168"/>
    </row>
    <row r="779" spans="13:48">
      <c r="M779" s="2098"/>
      <c r="N779" s="2098"/>
      <c r="O779" s="2098"/>
      <c r="P779" s="2098"/>
      <c r="R779" s="2098"/>
      <c r="S779" s="2098"/>
      <c r="T779" s="2098"/>
      <c r="U779" s="2098"/>
      <c r="V779" s="2168"/>
      <c r="W779" s="2168"/>
      <c r="X779" s="2168"/>
      <c r="Y779" s="2168"/>
      <c r="Z779" s="2168"/>
      <c r="AA779" s="2168"/>
      <c r="AB779" s="2168"/>
      <c r="AC779" s="2168"/>
      <c r="AD779" s="2168"/>
      <c r="AE779" s="2168"/>
      <c r="AF779" s="2168"/>
      <c r="AG779" s="2168"/>
      <c r="AH779" s="2168"/>
      <c r="AI779" s="2168"/>
      <c r="AJ779" s="2168"/>
      <c r="AK779" s="2168"/>
      <c r="AL779" s="2168"/>
      <c r="AM779" s="2168"/>
      <c r="AN779" s="2168"/>
      <c r="AO779" s="2168"/>
      <c r="AP779" s="2168"/>
      <c r="AQ779" s="2168"/>
      <c r="AR779" s="2168"/>
      <c r="AS779" s="2168"/>
      <c r="AT779" s="2168"/>
      <c r="AU779" s="2168"/>
      <c r="AV779" s="2168"/>
    </row>
    <row r="780" spans="13:48">
      <c r="M780" s="2098"/>
      <c r="N780" s="2098"/>
      <c r="O780" s="2098"/>
      <c r="P780" s="2098"/>
      <c r="R780" s="2098"/>
      <c r="S780" s="2098"/>
      <c r="T780" s="2098"/>
      <c r="U780" s="2098"/>
      <c r="V780" s="2168"/>
      <c r="W780" s="2168"/>
      <c r="X780" s="2168"/>
      <c r="Y780" s="2168"/>
      <c r="Z780" s="2168"/>
      <c r="AA780" s="2168"/>
      <c r="AB780" s="2168"/>
      <c r="AC780" s="2168"/>
      <c r="AD780" s="2168"/>
      <c r="AE780" s="2168"/>
      <c r="AF780" s="2168"/>
      <c r="AG780" s="2168"/>
      <c r="AH780" s="2168"/>
      <c r="AI780" s="2168"/>
      <c r="AJ780" s="2168"/>
      <c r="AK780" s="2168"/>
      <c r="AL780" s="2168"/>
      <c r="AM780" s="2168"/>
      <c r="AN780" s="2168"/>
      <c r="AO780" s="2168"/>
      <c r="AP780" s="2168"/>
      <c r="AQ780" s="2168"/>
      <c r="AR780" s="2168"/>
      <c r="AS780" s="2168"/>
      <c r="AT780" s="2168"/>
      <c r="AU780" s="2168"/>
      <c r="AV780" s="2168"/>
    </row>
    <row r="781" spans="13:48">
      <c r="M781" s="2098"/>
      <c r="N781" s="2098"/>
      <c r="O781" s="2098"/>
      <c r="P781" s="2098"/>
      <c r="R781" s="2098"/>
      <c r="S781" s="2098"/>
      <c r="T781" s="2098"/>
      <c r="U781" s="2098"/>
      <c r="V781" s="2168"/>
      <c r="W781" s="2168"/>
      <c r="X781" s="2168"/>
      <c r="Y781" s="2168"/>
      <c r="Z781" s="2168"/>
      <c r="AA781" s="2168"/>
      <c r="AB781" s="2168"/>
      <c r="AC781" s="2168"/>
      <c r="AD781" s="2168"/>
      <c r="AE781" s="2168"/>
      <c r="AF781" s="2168"/>
      <c r="AG781" s="2168"/>
      <c r="AH781" s="2168"/>
      <c r="AI781" s="2168"/>
      <c r="AJ781" s="2168"/>
      <c r="AK781" s="2168"/>
      <c r="AL781" s="2168"/>
      <c r="AM781" s="2168"/>
      <c r="AN781" s="2168"/>
      <c r="AO781" s="2168"/>
      <c r="AP781" s="2168"/>
      <c r="AQ781" s="2168"/>
      <c r="AR781" s="2168"/>
      <c r="AS781" s="2168"/>
      <c r="AT781" s="2168"/>
      <c r="AU781" s="2168"/>
      <c r="AV781" s="2168"/>
    </row>
    <row r="782" spans="13:48">
      <c r="M782" s="2098"/>
      <c r="N782" s="2098"/>
      <c r="O782" s="2098"/>
      <c r="P782" s="2098"/>
      <c r="R782" s="2098"/>
      <c r="S782" s="2098"/>
      <c r="T782" s="2098"/>
      <c r="U782" s="2098"/>
      <c r="V782" s="2168"/>
      <c r="W782" s="2168"/>
      <c r="X782" s="2168"/>
      <c r="Y782" s="2168"/>
      <c r="Z782" s="2168"/>
      <c r="AA782" s="2168"/>
      <c r="AB782" s="2168"/>
      <c r="AC782" s="2168"/>
      <c r="AD782" s="2168"/>
      <c r="AE782" s="2168"/>
      <c r="AF782" s="2168"/>
      <c r="AG782" s="2168"/>
      <c r="AH782" s="2168"/>
      <c r="AI782" s="2168"/>
      <c r="AJ782" s="2168"/>
      <c r="AK782" s="2168"/>
      <c r="AL782" s="2168"/>
      <c r="AM782" s="2168"/>
      <c r="AN782" s="2168"/>
      <c r="AO782" s="2168"/>
      <c r="AP782" s="2168"/>
      <c r="AQ782" s="2168"/>
      <c r="AR782" s="2168"/>
      <c r="AS782" s="2168"/>
      <c r="AT782" s="2168"/>
      <c r="AU782" s="2168"/>
      <c r="AV782" s="2168"/>
    </row>
    <row r="783" spans="13:48">
      <c r="M783" s="2098"/>
      <c r="N783" s="2098"/>
      <c r="O783" s="2098"/>
      <c r="P783" s="2098"/>
      <c r="R783" s="2098"/>
      <c r="S783" s="2098"/>
      <c r="T783" s="2098"/>
      <c r="U783" s="2098"/>
      <c r="V783" s="2168"/>
      <c r="W783" s="2168"/>
      <c r="X783" s="2168"/>
      <c r="Y783" s="2168"/>
      <c r="Z783" s="2168"/>
      <c r="AA783" s="2168"/>
      <c r="AB783" s="2168"/>
      <c r="AC783" s="2168"/>
      <c r="AD783" s="2168"/>
      <c r="AE783" s="2168"/>
      <c r="AF783" s="2168"/>
      <c r="AG783" s="2168"/>
      <c r="AH783" s="2168"/>
      <c r="AI783" s="2168"/>
      <c r="AJ783" s="2168"/>
      <c r="AK783" s="2168"/>
      <c r="AL783" s="2168"/>
      <c r="AM783" s="2168"/>
      <c r="AN783" s="2168"/>
      <c r="AO783" s="2168"/>
      <c r="AP783" s="2168"/>
      <c r="AQ783" s="2168"/>
      <c r="AR783" s="2168"/>
      <c r="AS783" s="2168"/>
      <c r="AT783" s="2168"/>
      <c r="AU783" s="2168"/>
      <c r="AV783" s="2168"/>
    </row>
    <row r="784" spans="13:48">
      <c r="M784" s="2098"/>
      <c r="N784" s="2098"/>
      <c r="O784" s="2098"/>
      <c r="P784" s="2098"/>
      <c r="R784" s="2098"/>
      <c r="S784" s="2098"/>
      <c r="T784" s="2098"/>
      <c r="U784" s="2098"/>
      <c r="V784" s="2168"/>
      <c r="W784" s="2168"/>
      <c r="X784" s="2168"/>
      <c r="Y784" s="2168"/>
      <c r="Z784" s="2168"/>
      <c r="AA784" s="2168"/>
      <c r="AB784" s="2168"/>
      <c r="AC784" s="2168"/>
      <c r="AD784" s="2168"/>
      <c r="AE784" s="2168"/>
      <c r="AF784" s="2168"/>
      <c r="AG784" s="2168"/>
      <c r="AH784" s="2168"/>
      <c r="AI784" s="2168"/>
      <c r="AJ784" s="2168"/>
      <c r="AK784" s="2168"/>
      <c r="AL784" s="2168"/>
      <c r="AM784" s="2168"/>
      <c r="AN784" s="2168"/>
      <c r="AO784" s="2168"/>
      <c r="AP784" s="2168"/>
      <c r="AQ784" s="2168"/>
      <c r="AR784" s="2168"/>
      <c r="AS784" s="2168"/>
      <c r="AT784" s="2168"/>
      <c r="AU784" s="2168"/>
      <c r="AV784" s="2168"/>
    </row>
    <row r="785" spans="13:48">
      <c r="M785" s="2098"/>
      <c r="N785" s="2098"/>
      <c r="O785" s="2098"/>
      <c r="P785" s="2098"/>
      <c r="R785" s="2098"/>
      <c r="S785" s="2098"/>
      <c r="T785" s="2098"/>
      <c r="U785" s="2098"/>
      <c r="V785" s="2168"/>
      <c r="W785" s="2168"/>
      <c r="X785" s="2168"/>
      <c r="Y785" s="2168"/>
      <c r="Z785" s="2168"/>
      <c r="AA785" s="2168"/>
      <c r="AB785" s="2168"/>
      <c r="AC785" s="2168"/>
      <c r="AD785" s="2168"/>
      <c r="AE785" s="2168"/>
      <c r="AF785" s="2168"/>
      <c r="AG785" s="2168"/>
      <c r="AH785" s="2168"/>
      <c r="AI785" s="2168"/>
      <c r="AJ785" s="2168"/>
      <c r="AK785" s="2168"/>
      <c r="AL785" s="2168"/>
      <c r="AM785" s="2168"/>
      <c r="AN785" s="2168"/>
      <c r="AO785" s="2168"/>
      <c r="AP785" s="2168"/>
      <c r="AQ785" s="2168"/>
      <c r="AR785" s="2168"/>
      <c r="AS785" s="2168"/>
      <c r="AT785" s="2168"/>
      <c r="AU785" s="2168"/>
      <c r="AV785" s="2168"/>
    </row>
    <row r="786" spans="13:48">
      <c r="M786" s="2098"/>
      <c r="N786" s="2098"/>
      <c r="O786" s="2098"/>
      <c r="P786" s="2098"/>
      <c r="R786" s="2098"/>
      <c r="S786" s="2098"/>
      <c r="T786" s="2098"/>
      <c r="U786" s="2098"/>
      <c r="V786" s="2168"/>
      <c r="W786" s="2168"/>
      <c r="X786" s="2168"/>
      <c r="Y786" s="2168"/>
      <c r="Z786" s="2168"/>
      <c r="AA786" s="2168"/>
      <c r="AB786" s="2168"/>
      <c r="AC786" s="2168"/>
      <c r="AD786" s="2168"/>
      <c r="AE786" s="2168"/>
      <c r="AF786" s="2168"/>
      <c r="AG786" s="2168"/>
      <c r="AH786" s="2168"/>
      <c r="AI786" s="2168"/>
      <c r="AJ786" s="2168"/>
      <c r="AK786" s="2168"/>
      <c r="AL786" s="2168"/>
      <c r="AM786" s="2168"/>
      <c r="AN786" s="2168"/>
      <c r="AO786" s="2168"/>
      <c r="AP786" s="2168"/>
      <c r="AQ786" s="2168"/>
      <c r="AR786" s="2168"/>
      <c r="AS786" s="2168"/>
      <c r="AT786" s="2168"/>
      <c r="AU786" s="2168"/>
      <c r="AV786" s="2168"/>
    </row>
    <row r="787" spans="13:48">
      <c r="M787" s="2098"/>
      <c r="N787" s="2098"/>
      <c r="O787" s="2098"/>
      <c r="P787" s="2098"/>
      <c r="R787" s="2098"/>
      <c r="S787" s="2098"/>
      <c r="T787" s="2098"/>
      <c r="U787" s="2098"/>
      <c r="V787" s="2168"/>
      <c r="W787" s="2168"/>
      <c r="X787" s="2168"/>
      <c r="Y787" s="2168"/>
      <c r="Z787" s="2168"/>
      <c r="AA787" s="2168"/>
      <c r="AB787" s="2168"/>
      <c r="AC787" s="2168"/>
      <c r="AD787" s="2168"/>
      <c r="AE787" s="2168"/>
      <c r="AF787" s="2168"/>
      <c r="AG787" s="2168"/>
      <c r="AH787" s="2168"/>
      <c r="AI787" s="2168"/>
      <c r="AJ787" s="2168"/>
      <c r="AK787" s="2168"/>
      <c r="AL787" s="2168"/>
      <c r="AM787" s="2168"/>
      <c r="AN787" s="2168"/>
      <c r="AO787" s="2168"/>
      <c r="AP787" s="2168"/>
      <c r="AQ787" s="2168"/>
      <c r="AR787" s="2168"/>
      <c r="AS787" s="2168"/>
      <c r="AT787" s="2168"/>
      <c r="AU787" s="2168"/>
      <c r="AV787" s="2168"/>
    </row>
    <row r="788" spans="13:48">
      <c r="M788" s="2098"/>
      <c r="N788" s="2098"/>
      <c r="O788" s="2098"/>
      <c r="P788" s="2098"/>
      <c r="R788" s="2098"/>
      <c r="S788" s="2098"/>
      <c r="T788" s="2098"/>
      <c r="U788" s="2098"/>
      <c r="V788" s="2168"/>
      <c r="W788" s="2168"/>
      <c r="X788" s="2168"/>
      <c r="Y788" s="2168"/>
      <c r="Z788" s="2168"/>
      <c r="AA788" s="2168"/>
      <c r="AB788" s="2168"/>
      <c r="AC788" s="2168"/>
      <c r="AD788" s="2168"/>
      <c r="AE788" s="2168"/>
      <c r="AF788" s="2168"/>
      <c r="AG788" s="2168"/>
      <c r="AH788" s="2168"/>
      <c r="AI788" s="2168"/>
      <c r="AJ788" s="2168"/>
      <c r="AK788" s="2168"/>
      <c r="AL788" s="2168"/>
      <c r="AM788" s="2168"/>
      <c r="AN788" s="2168"/>
      <c r="AO788" s="2168"/>
      <c r="AP788" s="2168"/>
      <c r="AQ788" s="2168"/>
      <c r="AR788" s="2168"/>
      <c r="AS788" s="2168"/>
      <c r="AT788" s="2168"/>
      <c r="AU788" s="2168"/>
      <c r="AV788" s="2168"/>
    </row>
    <row r="789" spans="13:48">
      <c r="M789" s="2098"/>
      <c r="N789" s="2098"/>
      <c r="O789" s="2098"/>
      <c r="P789" s="2098"/>
      <c r="R789" s="2098"/>
      <c r="S789" s="2098"/>
      <c r="T789" s="2098"/>
      <c r="U789" s="2098"/>
      <c r="V789" s="2168"/>
      <c r="W789" s="2168"/>
      <c r="X789" s="2168"/>
      <c r="Y789" s="2168"/>
      <c r="Z789" s="2168"/>
      <c r="AA789" s="2168"/>
      <c r="AB789" s="2168"/>
      <c r="AC789" s="2168"/>
      <c r="AD789" s="2168"/>
      <c r="AE789" s="2168"/>
      <c r="AF789" s="2168"/>
      <c r="AG789" s="2168"/>
      <c r="AH789" s="2168"/>
      <c r="AI789" s="2168"/>
      <c r="AJ789" s="2168"/>
      <c r="AK789" s="2168"/>
      <c r="AL789" s="2168"/>
      <c r="AM789" s="2168"/>
      <c r="AN789" s="2168"/>
      <c r="AO789" s="2168"/>
      <c r="AP789" s="2168"/>
      <c r="AQ789" s="2168"/>
      <c r="AR789" s="2168"/>
      <c r="AS789" s="2168"/>
      <c r="AT789" s="2168"/>
      <c r="AU789" s="2168"/>
      <c r="AV789" s="2168"/>
    </row>
    <row r="790" spans="13:48">
      <c r="M790" s="2098"/>
      <c r="N790" s="2098"/>
      <c r="O790" s="2098"/>
      <c r="P790" s="2098"/>
      <c r="R790" s="2098"/>
      <c r="S790" s="2098"/>
      <c r="T790" s="2098"/>
      <c r="U790" s="2098"/>
      <c r="V790" s="2168"/>
      <c r="W790" s="2168"/>
      <c r="X790" s="2168"/>
      <c r="Y790" s="2168"/>
      <c r="Z790" s="2168"/>
      <c r="AA790" s="2168"/>
      <c r="AB790" s="2168"/>
      <c r="AC790" s="2168"/>
      <c r="AD790" s="2168"/>
      <c r="AE790" s="2168"/>
      <c r="AF790" s="2168"/>
      <c r="AG790" s="2168"/>
      <c r="AH790" s="2168"/>
      <c r="AI790" s="2168"/>
      <c r="AJ790" s="2168"/>
      <c r="AK790" s="2168"/>
      <c r="AL790" s="2168"/>
      <c r="AM790" s="2168"/>
      <c r="AN790" s="2168"/>
      <c r="AO790" s="2168"/>
      <c r="AP790" s="2168"/>
      <c r="AQ790" s="2168"/>
      <c r="AR790" s="2168"/>
      <c r="AS790" s="2168"/>
      <c r="AT790" s="2168"/>
      <c r="AU790" s="2168"/>
      <c r="AV790" s="2168"/>
    </row>
    <row r="791" spans="13:48">
      <c r="M791" s="2098"/>
      <c r="N791" s="2098"/>
      <c r="O791" s="2098"/>
      <c r="P791" s="2098"/>
      <c r="R791" s="2098"/>
      <c r="S791" s="2098"/>
      <c r="T791" s="2098"/>
      <c r="U791" s="2098"/>
      <c r="V791" s="2168"/>
      <c r="W791" s="2168"/>
      <c r="X791" s="2168"/>
      <c r="Y791" s="2168"/>
      <c r="Z791" s="2168"/>
      <c r="AA791" s="2168"/>
      <c r="AB791" s="2168"/>
      <c r="AC791" s="2168"/>
      <c r="AD791" s="2168"/>
      <c r="AE791" s="2168"/>
      <c r="AF791" s="2168"/>
      <c r="AG791" s="2168"/>
      <c r="AH791" s="2168"/>
      <c r="AI791" s="2168"/>
      <c r="AJ791" s="2168"/>
      <c r="AK791" s="2168"/>
      <c r="AL791" s="2168"/>
      <c r="AM791" s="2168"/>
      <c r="AN791" s="2168"/>
      <c r="AO791" s="2168"/>
      <c r="AP791" s="2168"/>
      <c r="AQ791" s="2168"/>
      <c r="AR791" s="2168"/>
      <c r="AS791" s="2168"/>
      <c r="AT791" s="2168"/>
      <c r="AU791" s="2168"/>
      <c r="AV791" s="2168"/>
    </row>
    <row r="792" spans="13:48">
      <c r="M792" s="2098"/>
      <c r="N792" s="2098"/>
      <c r="O792" s="2098"/>
      <c r="P792" s="2098"/>
      <c r="R792" s="2098"/>
      <c r="S792" s="2098"/>
      <c r="T792" s="2098"/>
      <c r="U792" s="2098"/>
      <c r="V792" s="2168"/>
      <c r="W792" s="2168"/>
      <c r="X792" s="2168"/>
      <c r="Y792" s="2168"/>
      <c r="Z792" s="2168"/>
      <c r="AA792" s="2168"/>
      <c r="AB792" s="2168"/>
      <c r="AC792" s="2168"/>
      <c r="AD792" s="2168"/>
      <c r="AE792" s="2168"/>
      <c r="AF792" s="2168"/>
      <c r="AG792" s="2168"/>
      <c r="AH792" s="2168"/>
      <c r="AI792" s="2168"/>
      <c r="AJ792" s="2168"/>
      <c r="AK792" s="2168"/>
      <c r="AL792" s="2168"/>
      <c r="AM792" s="2168"/>
      <c r="AN792" s="2168"/>
      <c r="AO792" s="2168"/>
      <c r="AP792" s="2168"/>
      <c r="AQ792" s="2168"/>
      <c r="AR792" s="2168"/>
      <c r="AS792" s="2168"/>
      <c r="AT792" s="2168"/>
      <c r="AU792" s="2168"/>
      <c r="AV792" s="2168"/>
    </row>
    <row r="793" spans="13:48">
      <c r="M793" s="2098"/>
      <c r="N793" s="2098"/>
      <c r="O793" s="2098"/>
      <c r="P793" s="2098"/>
      <c r="R793" s="2098"/>
      <c r="S793" s="2098"/>
      <c r="T793" s="2098"/>
      <c r="U793" s="2098"/>
      <c r="V793" s="2168"/>
      <c r="W793" s="2168"/>
      <c r="X793" s="2168"/>
      <c r="Y793" s="2168"/>
      <c r="Z793" s="2168"/>
      <c r="AA793" s="2168"/>
      <c r="AB793" s="2168"/>
      <c r="AC793" s="2168"/>
      <c r="AD793" s="2168"/>
      <c r="AE793" s="2168"/>
      <c r="AF793" s="2168"/>
      <c r="AG793" s="2168"/>
      <c r="AH793" s="2168"/>
      <c r="AI793" s="2168"/>
      <c r="AJ793" s="2168"/>
      <c r="AK793" s="2168"/>
      <c r="AL793" s="2168"/>
      <c r="AM793" s="2168"/>
      <c r="AN793" s="2168"/>
      <c r="AO793" s="2168"/>
      <c r="AP793" s="2168"/>
      <c r="AQ793" s="2168"/>
      <c r="AR793" s="2168"/>
      <c r="AS793" s="2168"/>
      <c r="AT793" s="2168"/>
      <c r="AU793" s="2168"/>
      <c r="AV793" s="2168"/>
    </row>
    <row r="794" spans="13:48">
      <c r="M794" s="2098"/>
      <c r="N794" s="2098"/>
      <c r="O794" s="2098"/>
      <c r="P794" s="2098"/>
      <c r="R794" s="2098"/>
      <c r="S794" s="2098"/>
      <c r="T794" s="2098"/>
      <c r="U794" s="2098"/>
      <c r="V794" s="2168"/>
      <c r="W794" s="2168"/>
      <c r="X794" s="2168"/>
      <c r="Y794" s="2168"/>
      <c r="Z794" s="2168"/>
      <c r="AA794" s="2168"/>
      <c r="AB794" s="2168"/>
      <c r="AC794" s="2168"/>
      <c r="AD794" s="2168"/>
      <c r="AE794" s="2168"/>
      <c r="AF794" s="2168"/>
      <c r="AG794" s="2168"/>
      <c r="AH794" s="2168"/>
      <c r="AI794" s="2168"/>
      <c r="AJ794" s="2168"/>
      <c r="AK794" s="2168"/>
      <c r="AL794" s="2168"/>
      <c r="AM794" s="2168"/>
      <c r="AN794" s="2168"/>
      <c r="AO794" s="2168"/>
      <c r="AP794" s="2168"/>
      <c r="AQ794" s="2168"/>
      <c r="AR794" s="2168"/>
      <c r="AS794" s="2168"/>
      <c r="AT794" s="2168"/>
      <c r="AU794" s="2168"/>
      <c r="AV794" s="2168"/>
    </row>
    <row r="795" spans="13:48">
      <c r="M795" s="2098"/>
      <c r="N795" s="2098"/>
      <c r="O795" s="2098"/>
      <c r="P795" s="2098"/>
      <c r="R795" s="2098"/>
      <c r="S795" s="2098"/>
      <c r="T795" s="2098"/>
      <c r="U795" s="2098"/>
      <c r="V795" s="2168"/>
      <c r="W795" s="2168"/>
      <c r="X795" s="2168"/>
      <c r="Y795" s="2168"/>
      <c r="Z795" s="2168"/>
      <c r="AA795" s="2168"/>
      <c r="AB795" s="2168"/>
      <c r="AC795" s="2168"/>
      <c r="AD795" s="2168"/>
      <c r="AE795" s="2168"/>
      <c r="AF795" s="2168"/>
      <c r="AG795" s="2168"/>
      <c r="AH795" s="2168"/>
      <c r="AI795" s="2168"/>
      <c r="AJ795" s="2168"/>
      <c r="AK795" s="2168"/>
      <c r="AL795" s="2168"/>
      <c r="AM795" s="2168"/>
      <c r="AN795" s="2168"/>
      <c r="AO795" s="2168"/>
      <c r="AP795" s="2168"/>
      <c r="AQ795" s="2168"/>
      <c r="AR795" s="2168"/>
      <c r="AS795" s="2168"/>
      <c r="AT795" s="2168"/>
      <c r="AU795" s="2168"/>
      <c r="AV795" s="2168"/>
    </row>
    <row r="796" spans="13:48">
      <c r="M796" s="2098"/>
      <c r="N796" s="2098"/>
      <c r="O796" s="2098"/>
      <c r="P796" s="2098"/>
      <c r="R796" s="2098"/>
      <c r="S796" s="2098"/>
      <c r="T796" s="2098"/>
      <c r="U796" s="2098"/>
      <c r="V796" s="2168"/>
      <c r="W796" s="2168"/>
      <c r="X796" s="2168"/>
      <c r="Y796" s="2168"/>
      <c r="Z796" s="2168"/>
      <c r="AA796" s="2168"/>
      <c r="AB796" s="2168"/>
      <c r="AC796" s="2168"/>
      <c r="AD796" s="2168"/>
      <c r="AE796" s="2168"/>
      <c r="AF796" s="2168"/>
      <c r="AG796" s="2168"/>
      <c r="AH796" s="2168"/>
      <c r="AI796" s="2168"/>
      <c r="AJ796" s="2168"/>
      <c r="AK796" s="2168"/>
      <c r="AL796" s="2168"/>
      <c r="AM796" s="2168"/>
      <c r="AN796" s="2168"/>
      <c r="AO796" s="2168"/>
      <c r="AP796" s="2168"/>
      <c r="AQ796" s="2168"/>
      <c r="AR796" s="2168"/>
      <c r="AS796" s="2168"/>
      <c r="AT796" s="2168"/>
      <c r="AU796" s="2168"/>
      <c r="AV796" s="2168"/>
    </row>
    <row r="797" spans="13:48">
      <c r="M797" s="2098"/>
      <c r="N797" s="2098"/>
      <c r="O797" s="2098"/>
      <c r="P797" s="2098"/>
      <c r="R797" s="2098"/>
      <c r="S797" s="2098"/>
      <c r="T797" s="2098"/>
      <c r="U797" s="2098"/>
      <c r="V797" s="2168"/>
      <c r="W797" s="2168"/>
      <c r="X797" s="2168"/>
      <c r="Y797" s="2168"/>
      <c r="Z797" s="2168"/>
      <c r="AA797" s="2168"/>
      <c r="AB797" s="2168"/>
      <c r="AC797" s="2168"/>
      <c r="AD797" s="2168"/>
      <c r="AE797" s="2168"/>
      <c r="AF797" s="2168"/>
      <c r="AG797" s="2168"/>
      <c r="AH797" s="2168"/>
      <c r="AI797" s="2168"/>
      <c r="AJ797" s="2168"/>
      <c r="AK797" s="2168"/>
      <c r="AL797" s="2168"/>
      <c r="AM797" s="2168"/>
      <c r="AN797" s="2168"/>
      <c r="AO797" s="2168"/>
      <c r="AP797" s="2168"/>
      <c r="AQ797" s="2168"/>
      <c r="AR797" s="2168"/>
      <c r="AS797" s="2168"/>
      <c r="AT797" s="2168"/>
      <c r="AU797" s="2168"/>
      <c r="AV797" s="2168"/>
    </row>
    <row r="798" spans="13:48">
      <c r="M798" s="2098"/>
      <c r="N798" s="2098"/>
      <c r="O798" s="2098"/>
      <c r="P798" s="2098"/>
      <c r="R798" s="2098"/>
      <c r="S798" s="2098"/>
      <c r="T798" s="2098"/>
      <c r="U798" s="2098"/>
      <c r="V798" s="2168"/>
      <c r="W798" s="2168"/>
      <c r="X798" s="2168"/>
      <c r="Y798" s="2168"/>
      <c r="Z798" s="2168"/>
      <c r="AA798" s="2168"/>
      <c r="AB798" s="2168"/>
      <c r="AC798" s="2168"/>
      <c r="AD798" s="2168"/>
      <c r="AE798" s="2168"/>
      <c r="AF798" s="2168"/>
      <c r="AG798" s="2168"/>
      <c r="AH798" s="2168"/>
      <c r="AI798" s="2168"/>
      <c r="AJ798" s="2168"/>
      <c r="AK798" s="2168"/>
      <c r="AL798" s="2168"/>
      <c r="AM798" s="2168"/>
      <c r="AN798" s="2168"/>
      <c r="AO798" s="2168"/>
      <c r="AP798" s="2168"/>
      <c r="AQ798" s="2168"/>
      <c r="AR798" s="2168"/>
      <c r="AS798" s="2168"/>
      <c r="AT798" s="2168"/>
      <c r="AU798" s="2168"/>
      <c r="AV798" s="2168"/>
    </row>
    <row r="799" spans="13:48">
      <c r="M799" s="2098"/>
      <c r="N799" s="2098"/>
      <c r="O799" s="2098"/>
      <c r="P799" s="2098"/>
      <c r="R799" s="2098"/>
      <c r="S799" s="2098"/>
      <c r="T799" s="2098"/>
      <c r="U799" s="2098"/>
      <c r="V799" s="2168"/>
      <c r="W799" s="2168"/>
      <c r="X799" s="2168"/>
      <c r="Y799" s="2168"/>
      <c r="Z799" s="2168"/>
      <c r="AA799" s="2168"/>
      <c r="AB799" s="2168"/>
      <c r="AC799" s="2168"/>
      <c r="AD799" s="2168"/>
      <c r="AE799" s="2168"/>
      <c r="AF799" s="2168"/>
      <c r="AG799" s="2168"/>
      <c r="AH799" s="2168"/>
      <c r="AI799" s="2168"/>
      <c r="AJ799" s="2168"/>
      <c r="AK799" s="2168"/>
      <c r="AL799" s="2168"/>
      <c r="AM799" s="2168"/>
      <c r="AN799" s="2168"/>
      <c r="AO799" s="2168"/>
      <c r="AP799" s="2168"/>
      <c r="AQ799" s="2168"/>
      <c r="AR799" s="2168"/>
      <c r="AS799" s="2168"/>
      <c r="AT799" s="2168"/>
      <c r="AU799" s="2168"/>
      <c r="AV799" s="2168"/>
    </row>
    <row r="800" spans="13:48">
      <c r="M800" s="2098"/>
      <c r="N800" s="2098"/>
      <c r="O800" s="2098"/>
      <c r="P800" s="2098"/>
      <c r="R800" s="2098"/>
      <c r="S800" s="2098"/>
      <c r="T800" s="2098"/>
      <c r="U800" s="2098"/>
      <c r="V800" s="2168"/>
      <c r="W800" s="2168"/>
      <c r="X800" s="2168"/>
      <c r="Y800" s="2168"/>
      <c r="Z800" s="2168"/>
      <c r="AA800" s="2168"/>
      <c r="AB800" s="2168"/>
      <c r="AC800" s="2168"/>
      <c r="AD800" s="2168"/>
      <c r="AE800" s="2168"/>
      <c r="AF800" s="2168"/>
      <c r="AG800" s="2168"/>
      <c r="AH800" s="2168"/>
      <c r="AI800" s="2168"/>
      <c r="AJ800" s="2168"/>
      <c r="AK800" s="2168"/>
      <c r="AL800" s="2168"/>
      <c r="AM800" s="2168"/>
      <c r="AN800" s="2168"/>
      <c r="AO800" s="2168"/>
      <c r="AP800" s="2168"/>
      <c r="AQ800" s="2168"/>
      <c r="AR800" s="2168"/>
      <c r="AS800" s="2168"/>
      <c r="AT800" s="2168"/>
      <c r="AU800" s="2168"/>
      <c r="AV800" s="2168"/>
    </row>
    <row r="801" spans="13:48">
      <c r="M801" s="2098"/>
      <c r="N801" s="2098"/>
      <c r="O801" s="2098"/>
      <c r="P801" s="2098"/>
      <c r="R801" s="2098"/>
      <c r="S801" s="2098"/>
      <c r="T801" s="2098"/>
      <c r="U801" s="2098"/>
      <c r="V801" s="2168"/>
      <c r="W801" s="2168"/>
      <c r="X801" s="2168"/>
      <c r="Y801" s="2168"/>
      <c r="Z801" s="2168"/>
      <c r="AA801" s="2168"/>
      <c r="AB801" s="2168"/>
      <c r="AC801" s="2168"/>
      <c r="AD801" s="2168"/>
      <c r="AE801" s="2168"/>
      <c r="AF801" s="2168"/>
      <c r="AG801" s="2168"/>
      <c r="AH801" s="2168"/>
      <c r="AI801" s="2168"/>
      <c r="AJ801" s="2168"/>
      <c r="AK801" s="2168"/>
      <c r="AL801" s="2168"/>
      <c r="AM801" s="2168"/>
      <c r="AN801" s="2168"/>
      <c r="AO801" s="2168"/>
      <c r="AP801" s="2168"/>
      <c r="AQ801" s="2168"/>
      <c r="AR801" s="2168"/>
      <c r="AS801" s="2168"/>
      <c r="AT801" s="2168"/>
      <c r="AU801" s="2168"/>
      <c r="AV801" s="2168"/>
    </row>
    <row r="802" spans="13:48">
      <c r="M802" s="2098"/>
      <c r="N802" s="2098"/>
      <c r="O802" s="2098"/>
      <c r="P802" s="2098"/>
      <c r="R802" s="2098"/>
      <c r="S802" s="2098"/>
      <c r="T802" s="2098"/>
      <c r="U802" s="2098"/>
      <c r="V802" s="2168"/>
      <c r="W802" s="2168"/>
      <c r="X802" s="2168"/>
      <c r="Y802" s="2168"/>
      <c r="Z802" s="2168"/>
      <c r="AA802" s="2168"/>
      <c r="AB802" s="2168"/>
      <c r="AC802" s="2168"/>
      <c r="AD802" s="2168"/>
      <c r="AE802" s="2168"/>
      <c r="AF802" s="2168"/>
      <c r="AG802" s="2168"/>
      <c r="AH802" s="2168"/>
      <c r="AI802" s="2168"/>
      <c r="AJ802" s="2168"/>
      <c r="AK802" s="2168"/>
      <c r="AL802" s="2168"/>
      <c r="AM802" s="2168"/>
      <c r="AN802" s="2168"/>
      <c r="AO802" s="2168"/>
      <c r="AP802" s="2168"/>
      <c r="AQ802" s="2168"/>
      <c r="AR802" s="2168"/>
      <c r="AS802" s="2168"/>
      <c r="AT802" s="2168"/>
      <c r="AU802" s="2168"/>
      <c r="AV802" s="2168"/>
    </row>
    <row r="803" spans="13:48">
      <c r="M803" s="2098"/>
      <c r="N803" s="2098"/>
      <c r="O803" s="2098"/>
      <c r="P803" s="2098"/>
      <c r="R803" s="2098"/>
      <c r="S803" s="2098"/>
      <c r="T803" s="2098"/>
      <c r="U803" s="2098"/>
      <c r="V803" s="2168"/>
      <c r="W803" s="2168"/>
      <c r="X803" s="2168"/>
      <c r="Y803" s="2168"/>
      <c r="Z803" s="2168"/>
      <c r="AA803" s="2168"/>
      <c r="AB803" s="2168"/>
      <c r="AC803" s="2168"/>
      <c r="AD803" s="2168"/>
      <c r="AE803" s="2168"/>
      <c r="AF803" s="2168"/>
      <c r="AG803" s="2168"/>
      <c r="AH803" s="2168"/>
      <c r="AI803" s="2168"/>
      <c r="AJ803" s="2168"/>
      <c r="AK803" s="2168"/>
      <c r="AL803" s="2168"/>
      <c r="AM803" s="2168"/>
      <c r="AN803" s="2168"/>
      <c r="AO803" s="2168"/>
      <c r="AP803" s="2168"/>
      <c r="AQ803" s="2168"/>
      <c r="AR803" s="2168"/>
      <c r="AS803" s="2168"/>
      <c r="AT803" s="2168"/>
      <c r="AU803" s="2168"/>
      <c r="AV803" s="2168"/>
    </row>
    <row r="804" spans="13:48">
      <c r="M804" s="2098"/>
      <c r="N804" s="2098"/>
      <c r="O804" s="2098"/>
      <c r="P804" s="2098"/>
      <c r="R804" s="2098"/>
      <c r="S804" s="2098"/>
      <c r="T804" s="2098"/>
      <c r="U804" s="2098"/>
      <c r="V804" s="2168"/>
      <c r="W804" s="2168"/>
      <c r="X804" s="2168"/>
      <c r="Y804" s="2168"/>
      <c r="Z804" s="2168"/>
      <c r="AA804" s="2168"/>
      <c r="AB804" s="2168"/>
      <c r="AC804" s="2168"/>
      <c r="AD804" s="2168"/>
      <c r="AE804" s="2168"/>
      <c r="AF804" s="2168"/>
      <c r="AG804" s="2168"/>
      <c r="AH804" s="2168"/>
      <c r="AI804" s="2168"/>
      <c r="AJ804" s="2168"/>
      <c r="AK804" s="2168"/>
      <c r="AL804" s="2168"/>
      <c r="AM804" s="2168"/>
      <c r="AN804" s="2168"/>
      <c r="AO804" s="2168"/>
      <c r="AP804" s="2168"/>
      <c r="AQ804" s="2168"/>
      <c r="AR804" s="2168"/>
      <c r="AS804" s="2168"/>
      <c r="AT804" s="2168"/>
      <c r="AU804" s="2168"/>
      <c r="AV804" s="2168"/>
    </row>
    <row r="805" spans="13:48">
      <c r="M805" s="2098"/>
      <c r="N805" s="2098"/>
      <c r="O805" s="2098"/>
      <c r="P805" s="2098"/>
      <c r="R805" s="2098"/>
      <c r="S805" s="2098"/>
      <c r="T805" s="2098"/>
      <c r="U805" s="2098"/>
      <c r="V805" s="2168"/>
      <c r="W805" s="2168"/>
      <c r="X805" s="2168"/>
      <c r="Y805" s="2168"/>
      <c r="Z805" s="2168"/>
      <c r="AA805" s="2168"/>
      <c r="AB805" s="2168"/>
      <c r="AC805" s="2168"/>
      <c r="AD805" s="2168"/>
      <c r="AE805" s="2168"/>
      <c r="AF805" s="2168"/>
      <c r="AG805" s="2168"/>
      <c r="AH805" s="2168"/>
      <c r="AI805" s="2168"/>
      <c r="AJ805" s="2168"/>
      <c r="AK805" s="2168"/>
      <c r="AL805" s="2168"/>
      <c r="AM805" s="2168"/>
      <c r="AN805" s="2168"/>
      <c r="AO805" s="2168"/>
      <c r="AP805" s="2168"/>
      <c r="AQ805" s="2168"/>
      <c r="AR805" s="2168"/>
      <c r="AS805" s="2168"/>
      <c r="AT805" s="2168"/>
      <c r="AU805" s="2168"/>
      <c r="AV805" s="2168"/>
    </row>
    <row r="806" spans="13:48">
      <c r="M806" s="2098"/>
      <c r="N806" s="2098"/>
      <c r="O806" s="2098"/>
      <c r="P806" s="2098"/>
      <c r="R806" s="2098"/>
      <c r="S806" s="2098"/>
      <c r="T806" s="2098"/>
      <c r="U806" s="2098"/>
      <c r="V806" s="2168"/>
      <c r="W806" s="2168"/>
      <c r="X806" s="2168"/>
      <c r="Y806" s="2168"/>
      <c r="Z806" s="2168"/>
      <c r="AA806" s="2168"/>
      <c r="AB806" s="2168"/>
      <c r="AC806" s="2168"/>
      <c r="AD806" s="2168"/>
      <c r="AE806" s="2168"/>
      <c r="AF806" s="2168"/>
      <c r="AG806" s="2168"/>
      <c r="AH806" s="2168"/>
      <c r="AI806" s="2168"/>
      <c r="AJ806" s="2168"/>
      <c r="AK806" s="2168"/>
      <c r="AL806" s="2168"/>
      <c r="AM806" s="2168"/>
      <c r="AN806" s="2168"/>
      <c r="AO806" s="2168"/>
      <c r="AP806" s="2168"/>
      <c r="AQ806" s="2168"/>
      <c r="AR806" s="2168"/>
      <c r="AS806" s="2168"/>
      <c r="AT806" s="2168"/>
      <c r="AU806" s="2168"/>
      <c r="AV806" s="2168"/>
    </row>
    <row r="807" spans="13:48">
      <c r="M807" s="2098"/>
      <c r="N807" s="2098"/>
      <c r="O807" s="2098"/>
      <c r="P807" s="2098"/>
      <c r="R807" s="2098"/>
      <c r="S807" s="2098"/>
      <c r="T807" s="2098"/>
      <c r="U807" s="2098"/>
      <c r="V807" s="2168"/>
      <c r="W807" s="2168"/>
      <c r="X807" s="2168"/>
      <c r="Y807" s="2168"/>
      <c r="Z807" s="2168"/>
      <c r="AA807" s="2168"/>
      <c r="AB807" s="2168"/>
      <c r="AC807" s="2168"/>
      <c r="AD807" s="2168"/>
      <c r="AE807" s="2168"/>
      <c r="AF807" s="2168"/>
      <c r="AG807" s="2168"/>
      <c r="AH807" s="2168"/>
      <c r="AI807" s="2168"/>
      <c r="AJ807" s="2168"/>
      <c r="AK807" s="2168"/>
      <c r="AL807" s="2168"/>
      <c r="AM807" s="2168"/>
      <c r="AN807" s="2168"/>
      <c r="AO807" s="2168"/>
      <c r="AP807" s="2168"/>
      <c r="AQ807" s="2168"/>
      <c r="AR807" s="2168"/>
      <c r="AS807" s="2168"/>
      <c r="AT807" s="2168"/>
      <c r="AU807" s="2168"/>
      <c r="AV807" s="2168"/>
    </row>
    <row r="808" spans="13:48">
      <c r="M808" s="2098"/>
      <c r="N808" s="2098"/>
      <c r="O808" s="2098"/>
      <c r="P808" s="2098"/>
      <c r="R808" s="2098"/>
      <c r="S808" s="2098"/>
      <c r="T808" s="2098"/>
      <c r="U808" s="2098"/>
      <c r="V808" s="2168"/>
      <c r="W808" s="2168"/>
      <c r="X808" s="2168"/>
      <c r="Y808" s="2168"/>
      <c r="Z808" s="2168"/>
      <c r="AA808" s="2168"/>
      <c r="AB808" s="2168"/>
      <c r="AC808" s="2168"/>
      <c r="AD808" s="2168"/>
      <c r="AE808" s="2168"/>
      <c r="AF808" s="2168"/>
      <c r="AG808" s="2168"/>
      <c r="AH808" s="2168"/>
      <c r="AI808" s="2168"/>
      <c r="AJ808" s="2168"/>
      <c r="AK808" s="2168"/>
      <c r="AL808" s="2168"/>
      <c r="AM808" s="2168"/>
      <c r="AN808" s="2168"/>
      <c r="AO808" s="2168"/>
      <c r="AP808" s="2168"/>
      <c r="AQ808" s="2168"/>
      <c r="AR808" s="2168"/>
      <c r="AS808" s="2168"/>
      <c r="AT808" s="2168"/>
      <c r="AU808" s="2168"/>
      <c r="AV808" s="2168"/>
    </row>
    <row r="809" spans="13:48">
      <c r="M809" s="2098"/>
      <c r="N809" s="2098"/>
      <c r="O809" s="2098"/>
      <c r="P809" s="2098"/>
      <c r="R809" s="2098"/>
      <c r="S809" s="2098"/>
      <c r="T809" s="2098"/>
      <c r="U809" s="2098"/>
      <c r="V809" s="2168"/>
      <c r="W809" s="2168"/>
      <c r="X809" s="2168"/>
      <c r="Y809" s="2168"/>
      <c r="Z809" s="2168"/>
      <c r="AA809" s="2168"/>
      <c r="AB809" s="2168"/>
      <c r="AC809" s="2168"/>
      <c r="AD809" s="2168"/>
      <c r="AE809" s="2168"/>
      <c r="AF809" s="2168"/>
      <c r="AG809" s="2168"/>
      <c r="AH809" s="2168"/>
      <c r="AI809" s="2168"/>
      <c r="AJ809" s="2168"/>
      <c r="AK809" s="2168"/>
      <c r="AL809" s="2168"/>
      <c r="AM809" s="2168"/>
      <c r="AN809" s="2168"/>
      <c r="AO809" s="2168"/>
      <c r="AP809" s="2168"/>
      <c r="AQ809" s="2168"/>
      <c r="AR809" s="2168"/>
      <c r="AS809" s="2168"/>
      <c r="AT809" s="2168"/>
      <c r="AU809" s="2168"/>
      <c r="AV809" s="2168"/>
    </row>
    <row r="810" spans="13:48">
      <c r="M810" s="2098"/>
      <c r="N810" s="2098"/>
      <c r="O810" s="2098"/>
      <c r="P810" s="2098"/>
      <c r="R810" s="2098"/>
      <c r="S810" s="2098"/>
      <c r="T810" s="2098"/>
      <c r="U810" s="2098"/>
      <c r="V810" s="2168"/>
      <c r="W810" s="2168"/>
      <c r="X810" s="2168"/>
      <c r="Y810" s="2168"/>
      <c r="Z810" s="2168"/>
      <c r="AA810" s="2168"/>
      <c r="AB810" s="2168"/>
      <c r="AC810" s="2168"/>
      <c r="AD810" s="2168"/>
      <c r="AE810" s="2168"/>
      <c r="AF810" s="2168"/>
      <c r="AG810" s="2168"/>
      <c r="AH810" s="2168"/>
      <c r="AI810" s="2168"/>
      <c r="AJ810" s="2168"/>
      <c r="AK810" s="2168"/>
      <c r="AL810" s="2168"/>
      <c r="AM810" s="2168"/>
      <c r="AN810" s="2168"/>
      <c r="AO810" s="2168"/>
      <c r="AP810" s="2168"/>
      <c r="AQ810" s="2168"/>
      <c r="AR810" s="2168"/>
      <c r="AS810" s="2168"/>
      <c r="AT810" s="2168"/>
      <c r="AU810" s="2168"/>
      <c r="AV810" s="2168"/>
    </row>
    <row r="811" spans="13:48">
      <c r="M811" s="2098"/>
      <c r="N811" s="2098"/>
      <c r="O811" s="2098"/>
      <c r="P811" s="2098"/>
      <c r="R811" s="2098"/>
      <c r="S811" s="2098"/>
      <c r="T811" s="2098"/>
      <c r="U811" s="2098"/>
      <c r="V811" s="2168"/>
      <c r="W811" s="2168"/>
      <c r="X811" s="2168"/>
      <c r="Y811" s="2168"/>
      <c r="Z811" s="2168"/>
      <c r="AA811" s="2168"/>
      <c r="AB811" s="2168"/>
      <c r="AC811" s="2168"/>
      <c r="AD811" s="2168"/>
      <c r="AE811" s="2168"/>
      <c r="AF811" s="2168"/>
      <c r="AG811" s="2168"/>
      <c r="AH811" s="2168"/>
      <c r="AI811" s="2168"/>
      <c r="AJ811" s="2168"/>
      <c r="AK811" s="2168"/>
      <c r="AL811" s="2168"/>
      <c r="AM811" s="2168"/>
      <c r="AN811" s="2168"/>
      <c r="AO811" s="2168"/>
      <c r="AP811" s="2168"/>
      <c r="AQ811" s="2168"/>
      <c r="AR811" s="2168"/>
      <c r="AS811" s="2168"/>
      <c r="AT811" s="2168"/>
      <c r="AU811" s="2168"/>
      <c r="AV811" s="2168"/>
    </row>
    <row r="812" spans="13:48">
      <c r="M812" s="2098"/>
      <c r="N812" s="2098"/>
      <c r="O812" s="2098"/>
      <c r="P812" s="2098"/>
      <c r="R812" s="2098"/>
      <c r="S812" s="2098"/>
      <c r="T812" s="2098"/>
      <c r="U812" s="2098"/>
      <c r="V812" s="2168"/>
      <c r="W812" s="2168"/>
      <c r="X812" s="2168"/>
      <c r="Y812" s="2168"/>
      <c r="Z812" s="2168"/>
      <c r="AA812" s="2168"/>
      <c r="AB812" s="2168"/>
      <c r="AC812" s="2168"/>
      <c r="AD812" s="2168"/>
      <c r="AE812" s="2168"/>
      <c r="AF812" s="2168"/>
      <c r="AG812" s="2168"/>
      <c r="AH812" s="2168"/>
      <c r="AI812" s="2168"/>
      <c r="AJ812" s="2168"/>
      <c r="AK812" s="2168"/>
      <c r="AL812" s="2168"/>
      <c r="AM812" s="2168"/>
      <c r="AN812" s="2168"/>
      <c r="AO812" s="2168"/>
      <c r="AP812" s="2168"/>
      <c r="AQ812" s="2168"/>
      <c r="AR812" s="2168"/>
      <c r="AS812" s="2168"/>
      <c r="AT812" s="2168"/>
      <c r="AU812" s="2168"/>
      <c r="AV812" s="2168"/>
    </row>
    <row r="813" spans="13:48">
      <c r="M813" s="2098"/>
      <c r="N813" s="2098"/>
      <c r="O813" s="2098"/>
      <c r="P813" s="2098"/>
      <c r="R813" s="2098"/>
      <c r="S813" s="2098"/>
      <c r="T813" s="2098"/>
      <c r="U813" s="2098"/>
      <c r="V813" s="2168"/>
      <c r="W813" s="2168"/>
      <c r="X813" s="2168"/>
      <c r="Y813" s="2168"/>
      <c r="Z813" s="2168"/>
      <c r="AA813" s="2168"/>
      <c r="AB813" s="2168"/>
      <c r="AC813" s="2168"/>
      <c r="AD813" s="2168"/>
      <c r="AE813" s="2168"/>
      <c r="AF813" s="2168"/>
      <c r="AG813" s="2168"/>
      <c r="AH813" s="2168"/>
      <c r="AI813" s="2168"/>
      <c r="AJ813" s="2168"/>
      <c r="AK813" s="2168"/>
      <c r="AL813" s="2168"/>
      <c r="AM813" s="2168"/>
      <c r="AN813" s="2168"/>
      <c r="AO813" s="2168"/>
      <c r="AP813" s="2168"/>
      <c r="AQ813" s="2168"/>
      <c r="AR813" s="2168"/>
      <c r="AS813" s="2168"/>
      <c r="AT813" s="2168"/>
      <c r="AU813" s="2168"/>
      <c r="AV813" s="2168"/>
    </row>
    <row r="814" spans="13:48">
      <c r="M814" s="2098"/>
      <c r="N814" s="2098"/>
      <c r="O814" s="2098"/>
      <c r="P814" s="2098"/>
      <c r="R814" s="2098"/>
      <c r="S814" s="2098"/>
      <c r="T814" s="2098"/>
      <c r="U814" s="2098"/>
      <c r="V814" s="2168"/>
      <c r="W814" s="2168"/>
      <c r="X814" s="2168"/>
      <c r="Y814" s="2168"/>
      <c r="Z814" s="2168"/>
      <c r="AA814" s="2168"/>
      <c r="AB814" s="2168"/>
      <c r="AC814" s="2168"/>
      <c r="AD814" s="2168"/>
      <c r="AE814" s="2168"/>
      <c r="AF814" s="2168"/>
      <c r="AG814" s="2168"/>
      <c r="AH814" s="2168"/>
      <c r="AI814" s="2168"/>
      <c r="AJ814" s="2168"/>
      <c r="AK814" s="2168"/>
      <c r="AL814" s="2168"/>
      <c r="AM814" s="2168"/>
      <c r="AN814" s="2168"/>
      <c r="AO814" s="2168"/>
      <c r="AP814" s="2168"/>
      <c r="AQ814" s="2168"/>
      <c r="AR814" s="2168"/>
      <c r="AS814" s="2168"/>
      <c r="AT814" s="2168"/>
      <c r="AU814" s="2168"/>
      <c r="AV814" s="2168"/>
    </row>
    <row r="815" spans="13:48">
      <c r="M815" s="2098"/>
      <c r="N815" s="2098"/>
      <c r="O815" s="2098"/>
      <c r="P815" s="2098"/>
      <c r="R815" s="2098"/>
      <c r="S815" s="2098"/>
      <c r="T815" s="2098"/>
      <c r="U815" s="2098"/>
      <c r="V815" s="2168"/>
      <c r="W815" s="2168"/>
      <c r="X815" s="2168"/>
      <c r="Y815" s="2168"/>
      <c r="Z815" s="2168"/>
      <c r="AA815" s="2168"/>
      <c r="AB815" s="2168"/>
      <c r="AC815" s="2168"/>
      <c r="AD815" s="2168"/>
      <c r="AE815" s="2168"/>
      <c r="AF815" s="2168"/>
      <c r="AG815" s="2168"/>
      <c r="AH815" s="2168"/>
      <c r="AI815" s="2168"/>
      <c r="AJ815" s="2168"/>
      <c r="AK815" s="2168"/>
      <c r="AL815" s="2168"/>
      <c r="AM815" s="2168"/>
      <c r="AN815" s="2168"/>
      <c r="AO815" s="2168"/>
      <c r="AP815" s="2168"/>
      <c r="AQ815" s="2168"/>
      <c r="AR815" s="2168"/>
      <c r="AS815" s="2168"/>
      <c r="AT815" s="2168"/>
      <c r="AU815" s="2168"/>
      <c r="AV815" s="2168"/>
    </row>
    <row r="816" spans="13:48">
      <c r="M816" s="2098"/>
      <c r="N816" s="2098"/>
      <c r="O816" s="2098"/>
      <c r="P816" s="2098"/>
      <c r="R816" s="2098"/>
      <c r="S816" s="2098"/>
      <c r="T816" s="2098"/>
      <c r="U816" s="2098"/>
      <c r="V816" s="2168"/>
      <c r="W816" s="2168"/>
      <c r="X816" s="2168"/>
      <c r="Y816" s="2168"/>
      <c r="Z816" s="2168"/>
      <c r="AA816" s="2168"/>
      <c r="AB816" s="2168"/>
      <c r="AC816" s="2168"/>
      <c r="AD816" s="2168"/>
      <c r="AE816" s="2168"/>
      <c r="AF816" s="2168"/>
      <c r="AG816" s="2168"/>
      <c r="AH816" s="2168"/>
      <c r="AI816" s="2168"/>
      <c r="AJ816" s="2168"/>
      <c r="AK816" s="2168"/>
      <c r="AL816" s="2168"/>
      <c r="AM816" s="2168"/>
      <c r="AN816" s="2168"/>
      <c r="AO816" s="2168"/>
      <c r="AP816" s="2168"/>
      <c r="AQ816" s="2168"/>
      <c r="AR816" s="2168"/>
      <c r="AS816" s="2168"/>
      <c r="AT816" s="2168"/>
      <c r="AU816" s="2168"/>
      <c r="AV816" s="2168"/>
    </row>
    <row r="817" spans="13:48">
      <c r="M817" s="2098"/>
      <c r="N817" s="2098"/>
      <c r="O817" s="2098"/>
      <c r="P817" s="2098"/>
      <c r="R817" s="2098"/>
      <c r="S817" s="2098"/>
      <c r="T817" s="2098"/>
      <c r="U817" s="2098"/>
      <c r="V817" s="2168"/>
      <c r="W817" s="2168"/>
      <c r="X817" s="2168"/>
      <c r="Y817" s="2168"/>
      <c r="Z817" s="2168"/>
      <c r="AA817" s="2168"/>
      <c r="AB817" s="2168"/>
      <c r="AC817" s="2168"/>
      <c r="AD817" s="2168"/>
      <c r="AE817" s="2168"/>
      <c r="AF817" s="2168"/>
      <c r="AG817" s="2168"/>
      <c r="AH817" s="2168"/>
      <c r="AI817" s="2168"/>
      <c r="AJ817" s="2168"/>
      <c r="AK817" s="2168"/>
      <c r="AL817" s="2168"/>
      <c r="AM817" s="2168"/>
      <c r="AN817" s="2168"/>
      <c r="AO817" s="2168"/>
      <c r="AP817" s="2168"/>
      <c r="AQ817" s="2168"/>
      <c r="AR817" s="2168"/>
      <c r="AS817" s="2168"/>
      <c r="AT817" s="2168"/>
      <c r="AU817" s="2168"/>
      <c r="AV817" s="2168"/>
    </row>
    <row r="818" spans="13:48">
      <c r="M818" s="2098"/>
      <c r="N818" s="2098"/>
      <c r="O818" s="2098"/>
      <c r="P818" s="2098"/>
      <c r="R818" s="2098"/>
      <c r="S818" s="2098"/>
      <c r="T818" s="2098"/>
      <c r="U818" s="2098"/>
      <c r="V818" s="2168"/>
      <c r="W818" s="2168"/>
      <c r="X818" s="2168"/>
      <c r="Y818" s="2168"/>
      <c r="Z818" s="2168"/>
      <c r="AA818" s="2168"/>
      <c r="AB818" s="2168"/>
      <c r="AC818" s="2168"/>
      <c r="AD818" s="2168"/>
      <c r="AE818" s="2168"/>
      <c r="AF818" s="2168"/>
      <c r="AG818" s="2168"/>
      <c r="AH818" s="2168"/>
      <c r="AI818" s="2168"/>
      <c r="AJ818" s="2168"/>
      <c r="AK818" s="2168"/>
      <c r="AL818" s="2168"/>
      <c r="AM818" s="2168"/>
      <c r="AN818" s="2168"/>
      <c r="AO818" s="2168"/>
      <c r="AP818" s="2168"/>
      <c r="AQ818" s="2168"/>
      <c r="AR818" s="2168"/>
      <c r="AS818" s="2168"/>
      <c r="AT818" s="2168"/>
      <c r="AU818" s="2168"/>
      <c r="AV818" s="2168"/>
    </row>
    <row r="819" spans="13:48">
      <c r="M819" s="2098"/>
      <c r="N819" s="2098"/>
      <c r="O819" s="2098"/>
      <c r="P819" s="2098"/>
      <c r="R819" s="2098"/>
      <c r="S819" s="2098"/>
      <c r="T819" s="2098"/>
      <c r="U819" s="2098"/>
      <c r="V819" s="2168"/>
      <c r="W819" s="2168"/>
      <c r="X819" s="2168"/>
      <c r="Y819" s="2168"/>
      <c r="Z819" s="2168"/>
      <c r="AA819" s="2168"/>
      <c r="AB819" s="2168"/>
      <c r="AC819" s="2168"/>
      <c r="AD819" s="2168"/>
      <c r="AE819" s="2168"/>
      <c r="AF819" s="2168"/>
      <c r="AG819" s="2168"/>
      <c r="AH819" s="2168"/>
      <c r="AI819" s="2168"/>
      <c r="AJ819" s="2168"/>
      <c r="AK819" s="2168"/>
      <c r="AL819" s="2168"/>
      <c r="AM819" s="2168"/>
      <c r="AN819" s="2168"/>
      <c r="AO819" s="2168"/>
      <c r="AP819" s="2168"/>
      <c r="AQ819" s="2168"/>
      <c r="AR819" s="2168"/>
      <c r="AS819" s="2168"/>
      <c r="AT819" s="2168"/>
      <c r="AU819" s="2168"/>
      <c r="AV819" s="2168"/>
    </row>
    <row r="820" spans="13:48">
      <c r="M820" s="2098"/>
      <c r="N820" s="2098"/>
      <c r="O820" s="2098"/>
      <c r="P820" s="2098"/>
      <c r="R820" s="2098"/>
      <c r="S820" s="2098"/>
      <c r="T820" s="2098"/>
      <c r="U820" s="2098"/>
      <c r="V820" s="2168"/>
      <c r="W820" s="2168"/>
      <c r="X820" s="2168"/>
      <c r="Y820" s="2168"/>
      <c r="Z820" s="2168"/>
      <c r="AA820" s="2168"/>
      <c r="AB820" s="2168"/>
      <c r="AC820" s="2168"/>
      <c r="AD820" s="2168"/>
      <c r="AE820" s="2168"/>
      <c r="AF820" s="2168"/>
      <c r="AG820" s="2168"/>
      <c r="AH820" s="2168"/>
      <c r="AI820" s="2168"/>
      <c r="AJ820" s="2168"/>
      <c r="AK820" s="2168"/>
      <c r="AL820" s="2168"/>
      <c r="AM820" s="2168"/>
      <c r="AN820" s="2168"/>
      <c r="AO820" s="2168"/>
      <c r="AP820" s="2168"/>
      <c r="AQ820" s="2168"/>
      <c r="AR820" s="2168"/>
      <c r="AS820" s="2168"/>
      <c r="AT820" s="2168"/>
      <c r="AU820" s="2168"/>
      <c r="AV820" s="2168"/>
    </row>
    <row r="821" spans="13:48">
      <c r="M821" s="2098"/>
      <c r="N821" s="2098"/>
      <c r="O821" s="2098"/>
      <c r="P821" s="2098"/>
      <c r="R821" s="2098"/>
      <c r="S821" s="2098"/>
      <c r="T821" s="2098"/>
      <c r="U821" s="2098"/>
      <c r="V821" s="2168"/>
      <c r="W821" s="2168"/>
      <c r="X821" s="2168"/>
      <c r="Y821" s="2168"/>
      <c r="Z821" s="2168"/>
      <c r="AA821" s="2168"/>
      <c r="AB821" s="2168"/>
      <c r="AC821" s="2168"/>
      <c r="AD821" s="2168"/>
      <c r="AE821" s="2168"/>
      <c r="AF821" s="2168"/>
      <c r="AG821" s="2168"/>
      <c r="AH821" s="2168"/>
      <c r="AI821" s="2168"/>
      <c r="AJ821" s="2168"/>
      <c r="AK821" s="2168"/>
      <c r="AL821" s="2168"/>
      <c r="AM821" s="2168"/>
      <c r="AN821" s="2168"/>
      <c r="AO821" s="2168"/>
      <c r="AP821" s="2168"/>
      <c r="AQ821" s="2168"/>
      <c r="AR821" s="2168"/>
      <c r="AS821" s="2168"/>
      <c r="AT821" s="2168"/>
      <c r="AU821" s="2168"/>
      <c r="AV821" s="2168"/>
    </row>
    <row r="822" spans="13:48">
      <c r="M822" s="2098"/>
      <c r="N822" s="2098"/>
      <c r="O822" s="2098"/>
      <c r="P822" s="2098"/>
      <c r="R822" s="2098"/>
      <c r="S822" s="2098"/>
      <c r="T822" s="2098"/>
      <c r="U822" s="2098"/>
      <c r="V822" s="2168"/>
      <c r="W822" s="2168"/>
      <c r="X822" s="2168"/>
      <c r="Y822" s="2168"/>
      <c r="Z822" s="2168"/>
      <c r="AA822" s="2168"/>
      <c r="AB822" s="2168"/>
      <c r="AC822" s="2168"/>
      <c r="AD822" s="2168"/>
      <c r="AE822" s="2168"/>
      <c r="AF822" s="2168"/>
      <c r="AG822" s="2168"/>
      <c r="AH822" s="2168"/>
      <c r="AI822" s="2168"/>
      <c r="AJ822" s="2168"/>
      <c r="AK822" s="2168"/>
      <c r="AL822" s="2168"/>
      <c r="AM822" s="2168"/>
      <c r="AN822" s="2168"/>
      <c r="AO822" s="2168"/>
      <c r="AP822" s="2168"/>
      <c r="AQ822" s="2168"/>
      <c r="AR822" s="2168"/>
      <c r="AS822" s="2168"/>
      <c r="AT822" s="2168"/>
      <c r="AU822" s="2168"/>
      <c r="AV822" s="2168"/>
    </row>
    <row r="823" spans="13:48">
      <c r="M823" s="2098"/>
      <c r="N823" s="2098"/>
      <c r="O823" s="2098"/>
      <c r="P823" s="2098"/>
      <c r="R823" s="2098"/>
      <c r="S823" s="2098"/>
      <c r="T823" s="2098"/>
      <c r="U823" s="2098"/>
      <c r="V823" s="2168"/>
      <c r="W823" s="2168"/>
      <c r="X823" s="2168"/>
      <c r="Y823" s="2168"/>
      <c r="Z823" s="2168"/>
      <c r="AA823" s="2168"/>
      <c r="AB823" s="2168"/>
      <c r="AC823" s="2168"/>
      <c r="AD823" s="2168"/>
      <c r="AE823" s="2168"/>
      <c r="AF823" s="2168"/>
      <c r="AG823" s="2168"/>
      <c r="AH823" s="2168"/>
      <c r="AI823" s="2168"/>
      <c r="AJ823" s="2168"/>
      <c r="AK823" s="2168"/>
      <c r="AL823" s="2168"/>
      <c r="AM823" s="2168"/>
      <c r="AN823" s="2168"/>
      <c r="AO823" s="2168"/>
      <c r="AP823" s="2168"/>
      <c r="AQ823" s="2168"/>
      <c r="AR823" s="2168"/>
      <c r="AS823" s="2168"/>
      <c r="AT823" s="2168"/>
      <c r="AU823" s="2168"/>
      <c r="AV823" s="2168"/>
    </row>
    <row r="824" spans="13:48">
      <c r="M824" s="2098"/>
      <c r="N824" s="2098"/>
      <c r="O824" s="2098"/>
      <c r="P824" s="2098"/>
      <c r="R824" s="2098"/>
      <c r="S824" s="2098"/>
      <c r="T824" s="2098"/>
      <c r="U824" s="2098"/>
      <c r="V824" s="2168"/>
      <c r="W824" s="2168"/>
      <c r="X824" s="2168"/>
      <c r="Y824" s="2168"/>
      <c r="Z824" s="2168"/>
      <c r="AA824" s="2168"/>
      <c r="AB824" s="2168"/>
      <c r="AC824" s="2168"/>
      <c r="AD824" s="2168"/>
      <c r="AE824" s="2168"/>
      <c r="AF824" s="2168"/>
      <c r="AG824" s="2168"/>
      <c r="AH824" s="2168"/>
      <c r="AI824" s="2168"/>
      <c r="AJ824" s="2168"/>
      <c r="AK824" s="2168"/>
      <c r="AL824" s="2168"/>
      <c r="AM824" s="2168"/>
      <c r="AN824" s="2168"/>
      <c r="AO824" s="2168"/>
      <c r="AP824" s="2168"/>
      <c r="AQ824" s="2168"/>
      <c r="AR824" s="2168"/>
      <c r="AS824" s="2168"/>
      <c r="AT824" s="2168"/>
      <c r="AU824" s="2168"/>
      <c r="AV824" s="2168"/>
    </row>
    <row r="825" spans="13:48">
      <c r="M825" s="2098"/>
      <c r="N825" s="2098"/>
      <c r="O825" s="2098"/>
      <c r="P825" s="2098"/>
      <c r="R825" s="2098"/>
      <c r="S825" s="2098"/>
      <c r="T825" s="2098"/>
      <c r="U825" s="2098"/>
    </row>
    <row r="826" spans="13:48">
      <c r="M826" s="2098"/>
      <c r="N826" s="2098"/>
      <c r="O826" s="2098"/>
      <c r="P826" s="2098"/>
      <c r="R826" s="2098"/>
      <c r="S826" s="2098"/>
      <c r="T826" s="2098"/>
      <c r="U826" s="2098"/>
    </row>
    <row r="827" spans="13:48">
      <c r="M827" s="2098"/>
      <c r="N827" s="2098"/>
      <c r="O827" s="2098"/>
      <c r="P827" s="2098"/>
      <c r="R827" s="2098"/>
      <c r="S827" s="2098"/>
      <c r="T827" s="2098"/>
      <c r="U827" s="2098"/>
    </row>
    <row r="828" spans="13:48">
      <c r="M828" s="2098"/>
      <c r="N828" s="2098"/>
      <c r="O828" s="2098"/>
      <c r="P828" s="2098"/>
      <c r="R828" s="2098"/>
      <c r="S828" s="2098"/>
      <c r="T828" s="2098"/>
      <c r="U828" s="2098"/>
    </row>
    <row r="829" spans="13:48">
      <c r="M829" s="2098"/>
      <c r="N829" s="2098"/>
      <c r="O829" s="2098"/>
      <c r="P829" s="2098"/>
      <c r="R829" s="2098"/>
      <c r="S829" s="2098"/>
      <c r="T829" s="2098"/>
      <c r="U829" s="2098"/>
    </row>
    <row r="830" spans="13:48">
      <c r="M830" s="2098"/>
      <c r="N830" s="2098"/>
      <c r="O830" s="2098"/>
      <c r="P830" s="2098"/>
      <c r="R830" s="2098"/>
      <c r="S830" s="2098"/>
      <c r="T830" s="2098"/>
      <c r="U830" s="2098"/>
    </row>
    <row r="831" spans="13:48">
      <c r="M831" s="2098"/>
      <c r="N831" s="2098"/>
      <c r="O831" s="2098"/>
      <c r="P831" s="2098"/>
      <c r="R831" s="2098"/>
      <c r="S831" s="2098"/>
      <c r="T831" s="2098"/>
      <c r="U831" s="2098"/>
    </row>
    <row r="832" spans="13:48">
      <c r="M832" s="2098"/>
      <c r="N832" s="2098"/>
      <c r="O832" s="2098"/>
      <c r="P832" s="2098"/>
      <c r="R832" s="2098"/>
      <c r="S832" s="2098"/>
      <c r="T832" s="2098"/>
      <c r="U832" s="2098"/>
    </row>
    <row r="833" spans="13:21">
      <c r="M833" s="2098"/>
      <c r="N833" s="2098"/>
      <c r="O833" s="2098"/>
      <c r="P833" s="2098"/>
      <c r="R833" s="2098"/>
      <c r="S833" s="2098"/>
      <c r="T833" s="2098"/>
      <c r="U833" s="2098"/>
    </row>
    <row r="834" spans="13:21">
      <c r="M834" s="2098"/>
      <c r="N834" s="2098"/>
      <c r="O834" s="2098"/>
      <c r="P834" s="2098"/>
      <c r="R834" s="2098"/>
      <c r="S834" s="2098"/>
      <c r="T834" s="2098"/>
      <c r="U834" s="2098"/>
    </row>
    <row r="835" spans="13:21">
      <c r="M835" s="2098"/>
      <c r="N835" s="2098"/>
      <c r="O835" s="2098"/>
      <c r="P835" s="2098"/>
      <c r="R835" s="2098"/>
      <c r="S835" s="2098"/>
      <c r="T835" s="2098"/>
      <c r="U835" s="2098"/>
    </row>
    <row r="836" spans="13:21">
      <c r="M836" s="2098"/>
      <c r="N836" s="2098"/>
      <c r="O836" s="2098"/>
      <c r="P836" s="2098"/>
      <c r="R836" s="2098"/>
      <c r="S836" s="2098"/>
      <c r="T836" s="2098"/>
      <c r="U836" s="2098"/>
    </row>
    <row r="837" spans="13:21">
      <c r="M837" s="2098"/>
      <c r="N837" s="2098"/>
      <c r="O837" s="2098"/>
      <c r="P837" s="2098"/>
      <c r="R837" s="2098"/>
      <c r="S837" s="2098"/>
      <c r="T837" s="2098"/>
      <c r="U837" s="2098"/>
    </row>
    <row r="838" spans="13:21">
      <c r="M838" s="2098"/>
      <c r="N838" s="2098"/>
      <c r="O838" s="2098"/>
      <c r="P838" s="2098"/>
      <c r="R838" s="2098"/>
      <c r="S838" s="2098"/>
      <c r="T838" s="2098"/>
      <c r="U838" s="2098"/>
    </row>
    <row r="839" spans="13:21">
      <c r="M839" s="2098"/>
      <c r="N839" s="2098"/>
      <c r="O839" s="2098"/>
      <c r="P839" s="2098"/>
      <c r="R839" s="2098"/>
      <c r="S839" s="2098"/>
      <c r="T839" s="2098"/>
      <c r="U839" s="2098"/>
    </row>
    <row r="840" spans="13:21">
      <c r="M840" s="2098"/>
      <c r="N840" s="2098"/>
      <c r="O840" s="2098"/>
      <c r="P840" s="2098"/>
      <c r="R840" s="2098"/>
      <c r="S840" s="2098"/>
      <c r="T840" s="2098"/>
      <c r="U840" s="2098"/>
    </row>
    <row r="841" spans="13:21">
      <c r="M841" s="2098"/>
      <c r="N841" s="2098"/>
      <c r="O841" s="2098"/>
      <c r="P841" s="2098"/>
      <c r="R841" s="2098"/>
      <c r="S841" s="2098"/>
      <c r="T841" s="2098"/>
      <c r="U841" s="2098"/>
    </row>
    <row r="842" spans="13:21">
      <c r="M842" s="2098"/>
      <c r="N842" s="2098"/>
      <c r="O842" s="2098"/>
      <c r="P842" s="2098"/>
      <c r="R842" s="2098"/>
      <c r="S842" s="2098"/>
      <c r="T842" s="2098"/>
      <c r="U842" s="2098"/>
    </row>
    <row r="843" spans="13:21">
      <c r="M843" s="2098"/>
      <c r="N843" s="2098"/>
      <c r="O843" s="2098"/>
      <c r="P843" s="2098"/>
      <c r="R843" s="2098"/>
      <c r="S843" s="2098"/>
      <c r="T843" s="2098"/>
      <c r="U843" s="2098"/>
    </row>
    <row r="844" spans="13:21">
      <c r="M844" s="2098"/>
      <c r="N844" s="2098"/>
      <c r="O844" s="2098"/>
      <c r="P844" s="2098"/>
      <c r="R844" s="2098"/>
      <c r="S844" s="2098"/>
      <c r="T844" s="2098"/>
      <c r="U844" s="2098"/>
    </row>
    <row r="845" spans="13:21">
      <c r="M845" s="2098"/>
      <c r="N845" s="2098"/>
      <c r="O845" s="2098"/>
      <c r="P845" s="2098"/>
      <c r="R845" s="2098"/>
      <c r="S845" s="2098"/>
      <c r="T845" s="2098"/>
      <c r="U845" s="2098"/>
    </row>
    <row r="846" spans="13:21">
      <c r="M846" s="2098"/>
      <c r="N846" s="2098"/>
      <c r="O846" s="2098"/>
      <c r="P846" s="2098"/>
      <c r="R846" s="2098"/>
      <c r="S846" s="2098"/>
      <c r="T846" s="2098"/>
      <c r="U846" s="2098"/>
    </row>
    <row r="847" spans="13:21">
      <c r="M847" s="2098"/>
      <c r="N847" s="2098"/>
      <c r="O847" s="2098"/>
      <c r="P847" s="2098"/>
      <c r="R847" s="2098"/>
      <c r="S847" s="2098"/>
      <c r="T847" s="2098"/>
      <c r="U847" s="2098"/>
    </row>
    <row r="848" spans="13:21">
      <c r="M848" s="2098"/>
      <c r="N848" s="2098"/>
      <c r="O848" s="2098"/>
      <c r="P848" s="2098"/>
      <c r="R848" s="2098"/>
      <c r="S848" s="2098"/>
      <c r="T848" s="2098"/>
      <c r="U848" s="2098"/>
    </row>
    <row r="849" spans="13:21">
      <c r="M849" s="2098"/>
      <c r="N849" s="2098"/>
      <c r="O849" s="2098"/>
      <c r="P849" s="2098"/>
      <c r="R849" s="2098"/>
      <c r="S849" s="2098"/>
      <c r="T849" s="2098"/>
      <c r="U849" s="2098"/>
    </row>
    <row r="850" spans="13:21">
      <c r="M850" s="2098"/>
      <c r="N850" s="2098"/>
      <c r="O850" s="2098"/>
      <c r="P850" s="2098"/>
      <c r="R850" s="2098"/>
      <c r="S850" s="2098"/>
      <c r="T850" s="2098"/>
      <c r="U850" s="2098"/>
    </row>
    <row r="851" spans="13:21">
      <c r="M851" s="2098"/>
      <c r="N851" s="2098"/>
      <c r="O851" s="2098"/>
      <c r="P851" s="2098"/>
      <c r="R851" s="2098"/>
      <c r="S851" s="2098"/>
      <c r="T851" s="2098"/>
      <c r="U851" s="2098"/>
    </row>
    <row r="852" spans="13:21">
      <c r="M852" s="2098"/>
      <c r="N852" s="2098"/>
      <c r="O852" s="2098"/>
      <c r="P852" s="2098"/>
      <c r="R852" s="2098"/>
      <c r="S852" s="2098"/>
      <c r="T852" s="2098"/>
      <c r="U852" s="2098"/>
    </row>
    <row r="853" spans="13:21">
      <c r="M853" s="2098"/>
      <c r="N853" s="2098"/>
      <c r="O853" s="2098"/>
      <c r="P853" s="2098"/>
      <c r="R853" s="2098"/>
      <c r="S853" s="2098"/>
      <c r="T853" s="2098"/>
      <c r="U853" s="2098"/>
    </row>
    <row r="854" spans="13:21">
      <c r="M854" s="2098"/>
      <c r="N854" s="2098"/>
      <c r="O854" s="2098"/>
      <c r="P854" s="2098"/>
      <c r="R854" s="2098"/>
      <c r="S854" s="2098"/>
      <c r="T854" s="2098"/>
      <c r="U854" s="2098"/>
    </row>
    <row r="855" spans="13:21">
      <c r="M855" s="2098"/>
      <c r="N855" s="2098"/>
      <c r="O855" s="2098"/>
      <c r="P855" s="2098"/>
      <c r="R855" s="2098"/>
      <c r="S855" s="2098"/>
      <c r="T855" s="2098"/>
      <c r="U855" s="2098"/>
    </row>
    <row r="856" spans="13:21">
      <c r="M856" s="2098"/>
      <c r="N856" s="2098"/>
      <c r="O856" s="2098"/>
      <c r="P856" s="2098"/>
      <c r="R856" s="2098"/>
      <c r="S856" s="2098"/>
      <c r="T856" s="2098"/>
      <c r="U856" s="2098"/>
    </row>
    <row r="857" spans="13:21">
      <c r="M857" s="2098"/>
      <c r="N857" s="2098"/>
      <c r="O857" s="2098"/>
      <c r="P857" s="2098"/>
      <c r="R857" s="2098"/>
      <c r="S857" s="2098"/>
      <c r="T857" s="2098"/>
      <c r="U857" s="2098"/>
    </row>
    <row r="858" spans="13:21">
      <c r="M858" s="2098"/>
      <c r="N858" s="2098"/>
      <c r="O858" s="2098"/>
      <c r="P858" s="2098"/>
      <c r="R858" s="2098"/>
      <c r="S858" s="2098"/>
      <c r="T858" s="2098"/>
      <c r="U858" s="2098"/>
    </row>
    <row r="859" spans="13:21">
      <c r="M859" s="2098"/>
      <c r="N859" s="2098"/>
      <c r="O859" s="2098"/>
      <c r="P859" s="2098"/>
      <c r="R859" s="2098"/>
      <c r="S859" s="2098"/>
      <c r="T859" s="2098"/>
      <c r="U859" s="2098"/>
    </row>
    <row r="860" spans="13:21">
      <c r="M860" s="2098"/>
      <c r="N860" s="2098"/>
      <c r="O860" s="2098"/>
      <c r="P860" s="2098"/>
      <c r="R860" s="2098"/>
      <c r="S860" s="2098"/>
      <c r="T860" s="2098"/>
      <c r="U860" s="2098"/>
    </row>
    <row r="861" spans="13:21">
      <c r="M861" s="2098"/>
      <c r="N861" s="2098"/>
      <c r="O861" s="2098"/>
      <c r="P861" s="2098"/>
      <c r="R861" s="2098"/>
      <c r="S861" s="2098"/>
      <c r="T861" s="2098"/>
      <c r="U861" s="2098"/>
    </row>
    <row r="862" spans="13:21">
      <c r="M862" s="2098"/>
      <c r="N862" s="2098"/>
      <c r="O862" s="2098"/>
      <c r="P862" s="2098"/>
      <c r="R862" s="2098"/>
      <c r="S862" s="2098"/>
      <c r="T862" s="2098"/>
      <c r="U862" s="2098"/>
    </row>
    <row r="863" spans="13:21">
      <c r="M863" s="2098"/>
      <c r="N863" s="2098"/>
      <c r="O863" s="2098"/>
      <c r="P863" s="2098"/>
      <c r="R863" s="2098"/>
      <c r="S863" s="2098"/>
      <c r="T863" s="2098"/>
      <c r="U863" s="2098"/>
    </row>
    <row r="864" spans="13:21">
      <c r="M864" s="2098"/>
      <c r="N864" s="2098"/>
      <c r="O864" s="2098"/>
      <c r="P864" s="2098"/>
      <c r="R864" s="2098"/>
      <c r="S864" s="2098"/>
      <c r="T864" s="2098"/>
      <c r="U864" s="2098"/>
    </row>
    <row r="865" spans="13:21">
      <c r="M865" s="2098"/>
      <c r="N865" s="2098"/>
      <c r="O865" s="2098"/>
      <c r="P865" s="2098"/>
      <c r="R865" s="2098"/>
      <c r="S865" s="2098"/>
      <c r="T865" s="2098"/>
      <c r="U865" s="2098"/>
    </row>
    <row r="866" spans="13:21">
      <c r="M866" s="2098"/>
      <c r="N866" s="2098"/>
      <c r="O866" s="2098"/>
      <c r="P866" s="2098"/>
      <c r="R866" s="2098"/>
      <c r="S866" s="2098"/>
      <c r="T866" s="2098"/>
      <c r="U866" s="2098"/>
    </row>
    <row r="867" spans="13:21">
      <c r="M867" s="2098"/>
      <c r="N867" s="2098"/>
      <c r="O867" s="2098"/>
      <c r="P867" s="2098"/>
      <c r="R867" s="2098"/>
      <c r="S867" s="2098"/>
      <c r="T867" s="2098"/>
      <c r="U867" s="2098"/>
    </row>
    <row r="868" spans="13:21">
      <c r="M868" s="2098"/>
      <c r="N868" s="2098"/>
      <c r="O868" s="2098"/>
      <c r="P868" s="2098"/>
      <c r="R868" s="2098"/>
      <c r="S868" s="2098"/>
      <c r="T868" s="2098"/>
      <c r="U868" s="2098"/>
    </row>
    <row r="869" spans="13:21">
      <c r="M869" s="2098"/>
      <c r="N869" s="2098"/>
      <c r="O869" s="2098"/>
      <c r="P869" s="2098"/>
      <c r="R869" s="2098"/>
      <c r="S869" s="2098"/>
      <c r="T869" s="2098"/>
      <c r="U869" s="2098"/>
    </row>
    <row r="870" spans="13:21">
      <c r="M870" s="2098"/>
      <c r="N870" s="2098"/>
      <c r="O870" s="2098"/>
      <c r="P870" s="2098"/>
      <c r="R870" s="2098"/>
      <c r="S870" s="2098"/>
      <c r="T870" s="2098"/>
      <c r="U870" s="2098"/>
    </row>
    <row r="871" spans="13:21">
      <c r="M871" s="2098"/>
      <c r="N871" s="2098"/>
      <c r="O871" s="2098"/>
      <c r="P871" s="2098"/>
      <c r="R871" s="2098"/>
      <c r="S871" s="2098"/>
      <c r="T871" s="2098"/>
      <c r="U871" s="2098"/>
    </row>
    <row r="872" spans="13:21">
      <c r="M872" s="2098"/>
      <c r="N872" s="2098"/>
      <c r="O872" s="2098"/>
      <c r="P872" s="2098"/>
      <c r="R872" s="2098"/>
      <c r="S872" s="2098"/>
      <c r="T872" s="2098"/>
      <c r="U872" s="2098"/>
    </row>
    <row r="873" spans="13:21">
      <c r="M873" s="2098"/>
      <c r="N873" s="2098"/>
      <c r="O873" s="2098"/>
      <c r="P873" s="2098"/>
      <c r="R873" s="2098"/>
      <c r="S873" s="2098"/>
      <c r="T873" s="2098"/>
      <c r="U873" s="2098"/>
    </row>
    <row r="874" spans="13:21">
      <c r="M874" s="2098"/>
      <c r="N874" s="2098"/>
      <c r="O874" s="2098"/>
      <c r="P874" s="2098"/>
      <c r="R874" s="2098"/>
      <c r="S874" s="2098"/>
      <c r="T874" s="2098"/>
      <c r="U874" s="2098"/>
    </row>
    <row r="875" spans="13:21">
      <c r="M875" s="2098"/>
      <c r="N875" s="2098"/>
      <c r="O875" s="2098"/>
      <c r="P875" s="2098"/>
      <c r="R875" s="2098"/>
      <c r="S875" s="2098"/>
      <c r="T875" s="2098"/>
      <c r="U875" s="2098"/>
    </row>
    <row r="876" spans="13:21">
      <c r="M876" s="2098"/>
      <c r="N876" s="2098"/>
      <c r="O876" s="2098"/>
      <c r="P876" s="2098"/>
      <c r="R876" s="2098"/>
      <c r="S876" s="2098"/>
      <c r="T876" s="2098"/>
      <c r="U876" s="2098"/>
    </row>
    <row r="877" spans="13:21">
      <c r="M877" s="2098"/>
      <c r="N877" s="2098"/>
      <c r="O877" s="2098"/>
      <c r="P877" s="2098"/>
      <c r="R877" s="2098"/>
      <c r="S877" s="2098"/>
      <c r="T877" s="2098"/>
      <c r="U877" s="2098"/>
    </row>
    <row r="878" spans="13:21">
      <c r="M878" s="2098"/>
      <c r="N878" s="2098"/>
      <c r="O878" s="2098"/>
      <c r="P878" s="2098"/>
      <c r="R878" s="2098"/>
      <c r="S878" s="2098"/>
      <c r="T878" s="2098"/>
      <c r="U878" s="2098"/>
    </row>
    <row r="879" spans="13:21">
      <c r="M879" s="2098"/>
      <c r="N879" s="2098"/>
      <c r="O879" s="2098"/>
      <c r="P879" s="2098"/>
      <c r="R879" s="2098"/>
      <c r="S879" s="2098"/>
      <c r="T879" s="2098"/>
      <c r="U879" s="2098"/>
    </row>
    <row r="880" spans="13:21">
      <c r="M880" s="2098"/>
      <c r="N880" s="2098"/>
      <c r="O880" s="2098"/>
      <c r="P880" s="2098"/>
      <c r="R880" s="2098"/>
      <c r="S880" s="2098"/>
      <c r="T880" s="2098"/>
      <c r="U880" s="2098"/>
    </row>
    <row r="881" spans="13:21">
      <c r="M881" s="2098"/>
      <c r="N881" s="2098"/>
      <c r="O881" s="2098"/>
      <c r="P881" s="2098"/>
      <c r="R881" s="2098"/>
      <c r="S881" s="2098"/>
      <c r="T881" s="2098"/>
      <c r="U881" s="2098"/>
    </row>
    <row r="882" spans="13:21">
      <c r="M882" s="2098"/>
      <c r="N882" s="2098"/>
      <c r="O882" s="2098"/>
      <c r="P882" s="2098"/>
      <c r="R882" s="2098"/>
      <c r="S882" s="2098"/>
      <c r="T882" s="2098"/>
      <c r="U882" s="2098"/>
    </row>
    <row r="883" spans="13:21">
      <c r="M883" s="2098"/>
      <c r="N883" s="2098"/>
      <c r="O883" s="2098"/>
      <c r="P883" s="2098"/>
      <c r="R883" s="2098"/>
      <c r="S883" s="2098"/>
      <c r="T883" s="2098"/>
      <c r="U883" s="2098"/>
    </row>
    <row r="884" spans="13:21">
      <c r="M884" s="2098"/>
      <c r="N884" s="2098"/>
      <c r="O884" s="2098"/>
      <c r="P884" s="2098"/>
      <c r="R884" s="2098"/>
      <c r="S884" s="2098"/>
      <c r="T884" s="2098"/>
      <c r="U884" s="2098"/>
    </row>
    <row r="885" spans="13:21">
      <c r="M885" s="2098"/>
      <c r="N885" s="2098"/>
      <c r="O885" s="2098"/>
      <c r="P885" s="2098"/>
      <c r="R885" s="2098"/>
      <c r="S885" s="2098"/>
      <c r="T885" s="2098"/>
      <c r="U885" s="2098"/>
    </row>
    <row r="886" spans="13:21">
      <c r="M886" s="2098"/>
      <c r="N886" s="2098"/>
      <c r="O886" s="2098"/>
      <c r="P886" s="2098"/>
      <c r="R886" s="2098"/>
      <c r="S886" s="2098"/>
      <c r="T886" s="2098"/>
      <c r="U886" s="2098"/>
    </row>
    <row r="887" spans="13:21">
      <c r="M887" s="2098"/>
      <c r="N887" s="2098"/>
      <c r="O887" s="2098"/>
      <c r="P887" s="2098"/>
      <c r="R887" s="2098"/>
      <c r="S887" s="2098"/>
      <c r="T887" s="2098"/>
      <c r="U887" s="2098"/>
    </row>
    <row r="888" spans="13:21">
      <c r="M888" s="2098"/>
      <c r="N888" s="2098"/>
      <c r="O888" s="2098"/>
      <c r="P888" s="2098"/>
      <c r="R888" s="2098"/>
      <c r="S888" s="2098"/>
      <c r="T888" s="2098"/>
      <c r="U888" s="2098"/>
    </row>
    <row r="889" spans="13:21">
      <c r="M889" s="2098"/>
      <c r="N889" s="2098"/>
      <c r="O889" s="2098"/>
      <c r="P889" s="2098"/>
      <c r="R889" s="2098"/>
      <c r="S889" s="2098"/>
      <c r="T889" s="2098"/>
      <c r="U889" s="2098"/>
    </row>
    <row r="890" spans="13:21">
      <c r="M890" s="2098"/>
      <c r="N890" s="2098"/>
      <c r="O890" s="2098"/>
      <c r="P890" s="2098"/>
      <c r="R890" s="2098"/>
      <c r="S890" s="2098"/>
      <c r="T890" s="2098"/>
      <c r="U890" s="2098"/>
    </row>
    <row r="891" spans="13:21">
      <c r="M891" s="2098"/>
      <c r="N891" s="2098"/>
      <c r="O891" s="2098"/>
      <c r="P891" s="2098"/>
      <c r="R891" s="2098"/>
      <c r="S891" s="2098"/>
      <c r="T891" s="2098"/>
      <c r="U891" s="2098"/>
    </row>
    <row r="892" spans="13:21">
      <c r="M892" s="2098"/>
      <c r="N892" s="2098"/>
      <c r="O892" s="2098"/>
      <c r="P892" s="2098"/>
      <c r="R892" s="2098"/>
      <c r="S892" s="2098"/>
      <c r="T892" s="2098"/>
      <c r="U892" s="2098"/>
    </row>
    <row r="893" spans="13:21">
      <c r="M893" s="2098"/>
      <c r="N893" s="2098"/>
      <c r="O893" s="2098"/>
      <c r="P893" s="2098"/>
      <c r="R893" s="2098"/>
      <c r="S893" s="2098"/>
      <c r="T893" s="2098"/>
      <c r="U893" s="2098"/>
    </row>
    <row r="894" spans="13:21">
      <c r="M894" s="2098"/>
      <c r="N894" s="2098"/>
      <c r="O894" s="2098"/>
      <c r="P894" s="2098"/>
      <c r="R894" s="2098"/>
      <c r="S894" s="2098"/>
      <c r="T894" s="2098"/>
      <c r="U894" s="2098"/>
    </row>
    <row r="895" spans="13:21">
      <c r="M895" s="2098"/>
      <c r="N895" s="2098"/>
      <c r="O895" s="2098"/>
      <c r="P895" s="2098"/>
      <c r="R895" s="2098"/>
      <c r="S895" s="2098"/>
      <c r="T895" s="2098"/>
      <c r="U895" s="2098"/>
    </row>
    <row r="896" spans="13:21">
      <c r="M896" s="2098"/>
      <c r="N896" s="2098"/>
      <c r="O896" s="2098"/>
      <c r="P896" s="2098"/>
      <c r="R896" s="2098"/>
      <c r="S896" s="2098"/>
      <c r="T896" s="2098"/>
      <c r="U896" s="2098"/>
    </row>
    <row r="897" spans="13:21">
      <c r="M897" s="2098"/>
      <c r="N897" s="2098"/>
      <c r="O897" s="2098"/>
      <c r="P897" s="2098"/>
      <c r="R897" s="2098"/>
      <c r="S897" s="2098"/>
      <c r="T897" s="2098"/>
      <c r="U897" s="2098"/>
    </row>
    <row r="898" spans="13:21">
      <c r="M898" s="2098"/>
      <c r="N898" s="2098"/>
      <c r="O898" s="2098"/>
      <c r="P898" s="2098"/>
      <c r="R898" s="2098"/>
      <c r="S898" s="2098"/>
      <c r="T898" s="2098"/>
      <c r="U898" s="2098"/>
    </row>
    <row r="899" spans="13:21">
      <c r="M899" s="2098"/>
      <c r="N899" s="2098"/>
      <c r="O899" s="2098"/>
      <c r="P899" s="2098"/>
      <c r="R899" s="2098"/>
      <c r="S899" s="2098"/>
      <c r="T899" s="2098"/>
      <c r="U899" s="2098"/>
    </row>
    <row r="900" spans="13:21">
      <c r="M900" s="2098"/>
      <c r="N900" s="2098"/>
      <c r="O900" s="2098"/>
      <c r="P900" s="2098"/>
      <c r="R900" s="2098"/>
      <c r="S900" s="2098"/>
      <c r="T900" s="2098"/>
      <c r="U900" s="2098"/>
    </row>
    <row r="901" spans="13:21">
      <c r="M901" s="2098"/>
      <c r="N901" s="2098"/>
      <c r="O901" s="2098"/>
      <c r="P901" s="2098"/>
      <c r="R901" s="2098"/>
      <c r="S901" s="2098"/>
      <c r="T901" s="2098"/>
      <c r="U901" s="2098"/>
    </row>
    <row r="902" spans="13:21">
      <c r="M902" s="2098"/>
      <c r="N902" s="2098"/>
      <c r="O902" s="2098"/>
      <c r="P902" s="2098"/>
      <c r="R902" s="2098"/>
      <c r="S902" s="2098"/>
      <c r="T902" s="2098"/>
      <c r="U902" s="2098"/>
    </row>
    <row r="903" spans="13:21">
      <c r="M903" s="2098"/>
      <c r="N903" s="2098"/>
      <c r="O903" s="2098"/>
      <c r="P903" s="2098"/>
      <c r="R903" s="2098"/>
      <c r="S903" s="2098"/>
      <c r="T903" s="2098"/>
      <c r="U903" s="2098"/>
    </row>
    <row r="904" spans="13:21">
      <c r="M904" s="2098"/>
      <c r="N904" s="2098"/>
      <c r="O904" s="2098"/>
      <c r="P904" s="2098"/>
      <c r="R904" s="2098"/>
      <c r="S904" s="2098"/>
      <c r="T904" s="2098"/>
      <c r="U904" s="2098"/>
    </row>
    <row r="905" spans="13:21">
      <c r="M905" s="2098"/>
      <c r="N905" s="2098"/>
      <c r="O905" s="2098"/>
      <c r="P905" s="2098"/>
      <c r="R905" s="2098"/>
      <c r="S905" s="2098"/>
      <c r="T905" s="2098"/>
      <c r="U905" s="2098"/>
    </row>
    <row r="906" spans="13:21">
      <c r="M906" s="2098"/>
      <c r="N906" s="2098"/>
      <c r="O906" s="2098"/>
      <c r="P906" s="2098"/>
      <c r="R906" s="2098"/>
      <c r="S906" s="2098"/>
      <c r="T906" s="2098"/>
      <c r="U906" s="2098"/>
    </row>
    <row r="907" spans="13:21">
      <c r="M907" s="2098"/>
      <c r="N907" s="2098"/>
      <c r="O907" s="2098"/>
      <c r="P907" s="2098"/>
      <c r="R907" s="2098"/>
      <c r="S907" s="2098"/>
      <c r="T907" s="2098"/>
      <c r="U907" s="2098"/>
    </row>
    <row r="908" spans="13:21">
      <c r="M908" s="2098"/>
      <c r="N908" s="2098"/>
      <c r="O908" s="2098"/>
      <c r="P908" s="2098"/>
      <c r="R908" s="2098"/>
      <c r="S908" s="2098"/>
      <c r="T908" s="2098"/>
      <c r="U908" s="2098"/>
    </row>
    <row r="909" spans="13:21">
      <c r="M909" s="2098"/>
      <c r="N909" s="2098"/>
      <c r="O909" s="2098"/>
      <c r="P909" s="2098"/>
      <c r="R909" s="2098"/>
      <c r="S909" s="2098"/>
      <c r="T909" s="2098"/>
      <c r="U909" s="2098"/>
    </row>
    <row r="910" spans="13:21">
      <c r="M910" s="2098"/>
      <c r="N910" s="2098"/>
      <c r="O910" s="2098"/>
      <c r="P910" s="2098"/>
      <c r="R910" s="2098"/>
      <c r="S910" s="2098"/>
      <c r="T910" s="2098"/>
      <c r="U910" s="2098"/>
    </row>
    <row r="911" spans="13:21">
      <c r="M911" s="2098"/>
      <c r="N911" s="2098"/>
      <c r="O911" s="2098"/>
      <c r="P911" s="2098"/>
      <c r="R911" s="2098"/>
      <c r="S911" s="2098"/>
      <c r="T911" s="2098"/>
      <c r="U911" s="2098"/>
    </row>
    <row r="912" spans="13:21">
      <c r="M912" s="2098"/>
      <c r="N912" s="2098"/>
      <c r="O912" s="2098"/>
      <c r="P912" s="2098"/>
      <c r="R912" s="2098"/>
      <c r="S912" s="2098"/>
      <c r="T912" s="2098"/>
      <c r="U912" s="2098"/>
    </row>
    <row r="913" spans="13:21">
      <c r="M913" s="2098"/>
      <c r="N913" s="2098"/>
      <c r="O913" s="2098"/>
      <c r="P913" s="2098"/>
      <c r="R913" s="2098"/>
      <c r="S913" s="2098"/>
      <c r="T913" s="2098"/>
      <c r="U913" s="2098"/>
    </row>
    <row r="914" spans="13:21">
      <c r="M914" s="2098"/>
      <c r="N914" s="2098"/>
      <c r="O914" s="2098"/>
      <c r="P914" s="2098"/>
      <c r="R914" s="2098"/>
      <c r="S914" s="2098"/>
      <c r="T914" s="2098"/>
      <c r="U914" s="2098"/>
    </row>
    <row r="915" spans="13:21">
      <c r="M915" s="2098"/>
      <c r="N915" s="2098"/>
      <c r="O915" s="2098"/>
      <c r="P915" s="2098"/>
      <c r="R915" s="2098"/>
      <c r="S915" s="2098"/>
      <c r="T915" s="2098"/>
      <c r="U915" s="2098"/>
    </row>
    <row r="916" spans="13:21">
      <c r="M916" s="2098"/>
      <c r="N916" s="2098"/>
      <c r="O916" s="2098"/>
      <c r="P916" s="2098"/>
      <c r="R916" s="2098"/>
      <c r="S916" s="2098"/>
      <c r="T916" s="2098"/>
      <c r="U916" s="2098"/>
    </row>
    <row r="917" spans="13:21">
      <c r="M917" s="2098"/>
      <c r="N917" s="2098"/>
      <c r="O917" s="2098"/>
      <c r="P917" s="2098"/>
      <c r="R917" s="2098"/>
      <c r="S917" s="2098"/>
      <c r="T917" s="2098"/>
      <c r="U917" s="2098"/>
    </row>
    <row r="918" spans="13:21">
      <c r="M918" s="2098"/>
      <c r="N918" s="2098"/>
      <c r="O918" s="2098"/>
      <c r="P918" s="2098"/>
      <c r="R918" s="2098"/>
      <c r="S918" s="2098"/>
      <c r="T918" s="2098"/>
      <c r="U918" s="2098"/>
    </row>
    <row r="919" spans="13:21">
      <c r="M919" s="2098"/>
      <c r="N919" s="2098"/>
      <c r="O919" s="2098"/>
      <c r="P919" s="2098"/>
      <c r="R919" s="2098"/>
      <c r="S919" s="2098"/>
      <c r="T919" s="2098"/>
      <c r="U919" s="2098"/>
    </row>
    <row r="920" spans="13:21">
      <c r="M920" s="2098"/>
      <c r="N920" s="2098"/>
      <c r="O920" s="2098"/>
      <c r="P920" s="2098"/>
      <c r="R920" s="2098"/>
      <c r="S920" s="2098"/>
      <c r="T920" s="2098"/>
      <c r="U920" s="2098"/>
    </row>
    <row r="921" spans="13:21">
      <c r="M921" s="2098"/>
      <c r="N921" s="2098"/>
      <c r="O921" s="2098"/>
      <c r="P921" s="2098"/>
      <c r="R921" s="2098"/>
      <c r="S921" s="2098"/>
      <c r="T921" s="2098"/>
      <c r="U921" s="2098"/>
    </row>
    <row r="922" spans="13:21">
      <c r="M922" s="2098"/>
      <c r="N922" s="2098"/>
      <c r="O922" s="2098"/>
      <c r="P922" s="2098"/>
      <c r="R922" s="2098"/>
      <c r="S922" s="2098"/>
      <c r="T922" s="2098"/>
      <c r="U922" s="2098"/>
    </row>
    <row r="923" spans="13:21">
      <c r="M923" s="2098"/>
      <c r="N923" s="2098"/>
      <c r="O923" s="2098"/>
      <c r="P923" s="2098"/>
      <c r="R923" s="2098"/>
      <c r="S923" s="2098"/>
      <c r="T923" s="2098"/>
      <c r="U923" s="2098"/>
    </row>
    <row r="924" spans="13:21">
      <c r="M924" s="2098"/>
      <c r="N924" s="2098"/>
      <c r="O924" s="2098"/>
      <c r="P924" s="2098"/>
      <c r="R924" s="2098"/>
      <c r="S924" s="2098"/>
      <c r="T924" s="2098"/>
      <c r="U924" s="2098"/>
    </row>
    <row r="925" spans="13:21">
      <c r="M925" s="2098"/>
      <c r="N925" s="2098"/>
      <c r="O925" s="2098"/>
      <c r="P925" s="2098"/>
      <c r="R925" s="2098"/>
      <c r="S925" s="2098"/>
      <c r="T925" s="2098"/>
      <c r="U925" s="2098"/>
    </row>
    <row r="926" spans="13:21">
      <c r="M926" s="2098"/>
      <c r="N926" s="2098"/>
      <c r="O926" s="2098"/>
      <c r="P926" s="2098"/>
      <c r="R926" s="2098"/>
      <c r="S926" s="2098"/>
      <c r="T926" s="2098"/>
      <c r="U926" s="2098"/>
    </row>
    <row r="927" spans="13:21">
      <c r="M927" s="2098"/>
      <c r="N927" s="2098"/>
      <c r="O927" s="2098"/>
      <c r="P927" s="2098"/>
      <c r="R927" s="2098"/>
      <c r="S927" s="2098"/>
      <c r="T927" s="2098"/>
      <c r="U927" s="2098"/>
    </row>
    <row r="928" spans="13:21">
      <c r="M928" s="2098"/>
      <c r="N928" s="2098"/>
      <c r="O928" s="2098"/>
      <c r="P928" s="2098"/>
      <c r="R928" s="2098"/>
      <c r="S928" s="2098"/>
      <c r="T928" s="2098"/>
      <c r="U928" s="2098"/>
    </row>
    <row r="929" spans="13:21">
      <c r="M929" s="2098"/>
      <c r="N929" s="2098"/>
      <c r="O929" s="2098"/>
      <c r="P929" s="2098"/>
      <c r="R929" s="2098"/>
      <c r="S929" s="2098"/>
      <c r="T929" s="2098"/>
      <c r="U929" s="2098"/>
    </row>
    <row r="930" spans="13:21">
      <c r="M930" s="2098"/>
      <c r="N930" s="2098"/>
      <c r="O930" s="2098"/>
      <c r="P930" s="2098"/>
      <c r="R930" s="2098"/>
      <c r="S930" s="2098"/>
      <c r="T930" s="2098"/>
      <c r="U930" s="2098"/>
    </row>
    <row r="931" spans="13:21">
      <c r="M931" s="2098"/>
      <c r="N931" s="2098"/>
      <c r="O931" s="2098"/>
      <c r="P931" s="2098"/>
      <c r="R931" s="2098"/>
      <c r="S931" s="2098"/>
      <c r="T931" s="2098"/>
      <c r="U931" s="2098"/>
    </row>
    <row r="932" spans="13:21">
      <c r="M932" s="2098"/>
      <c r="N932" s="2098"/>
      <c r="O932" s="2098"/>
      <c r="P932" s="2098"/>
      <c r="R932" s="2098"/>
      <c r="S932" s="2098"/>
      <c r="T932" s="2098"/>
      <c r="U932" s="2098"/>
    </row>
    <row r="933" spans="13:21">
      <c r="M933" s="2098"/>
      <c r="N933" s="2098"/>
      <c r="O933" s="2098"/>
      <c r="P933" s="2098"/>
      <c r="R933" s="2098"/>
      <c r="S933" s="2098"/>
      <c r="T933" s="2098"/>
      <c r="U933" s="2098"/>
    </row>
    <row r="934" spans="13:21">
      <c r="M934" s="2098"/>
      <c r="N934" s="2098"/>
      <c r="O934" s="2098"/>
      <c r="P934" s="2098"/>
      <c r="R934" s="2098"/>
      <c r="S934" s="2098"/>
      <c r="T934" s="2098"/>
      <c r="U934" s="2098"/>
    </row>
    <row r="935" spans="13:21">
      <c r="M935" s="2098"/>
      <c r="N935" s="2098"/>
      <c r="O935" s="2098"/>
      <c r="P935" s="2098"/>
      <c r="R935" s="2098"/>
      <c r="S935" s="2098"/>
      <c r="T935" s="2098"/>
      <c r="U935" s="2098"/>
    </row>
    <row r="936" spans="13:21">
      <c r="M936" s="2098"/>
      <c r="N936" s="2098"/>
      <c r="O936" s="2098"/>
      <c r="P936" s="2098"/>
      <c r="R936" s="2098"/>
      <c r="S936" s="2098"/>
      <c r="T936" s="2098"/>
      <c r="U936" s="2098"/>
    </row>
    <row r="937" spans="13:21">
      <c r="M937" s="2098"/>
      <c r="N937" s="2098"/>
      <c r="O937" s="2098"/>
      <c r="P937" s="2098"/>
      <c r="R937" s="2098"/>
      <c r="S937" s="2098"/>
      <c r="T937" s="2098"/>
      <c r="U937" s="2098"/>
    </row>
    <row r="938" spans="13:21">
      <c r="M938" s="2098"/>
      <c r="N938" s="2098"/>
      <c r="O938" s="2098"/>
      <c r="P938" s="2098"/>
      <c r="R938" s="2098"/>
      <c r="S938" s="2098"/>
      <c r="T938" s="2098"/>
      <c r="U938" s="2098"/>
    </row>
    <row r="939" spans="13:21">
      <c r="M939" s="2098"/>
      <c r="N939" s="2098"/>
      <c r="O939" s="2098"/>
      <c r="P939" s="2098"/>
      <c r="R939" s="2098"/>
      <c r="S939" s="2098"/>
      <c r="T939" s="2098"/>
      <c r="U939" s="2098"/>
    </row>
    <row r="940" spans="13:21">
      <c r="M940" s="2098"/>
      <c r="N940" s="2098"/>
      <c r="O940" s="2098"/>
      <c r="P940" s="2098"/>
      <c r="R940" s="2098"/>
      <c r="S940" s="2098"/>
      <c r="T940" s="2098"/>
      <c r="U940" s="2098"/>
    </row>
    <row r="941" spans="13:21">
      <c r="M941" s="2098"/>
      <c r="N941" s="2098"/>
      <c r="O941" s="2098"/>
      <c r="P941" s="2098"/>
      <c r="R941" s="2098"/>
      <c r="S941" s="2098"/>
      <c r="T941" s="2098"/>
      <c r="U941" s="2098"/>
    </row>
    <row r="942" spans="13:21">
      <c r="M942" s="2098"/>
      <c r="N942" s="2098"/>
      <c r="O942" s="2098"/>
      <c r="P942" s="2098"/>
      <c r="R942" s="2098"/>
      <c r="S942" s="2098"/>
      <c r="T942" s="2098"/>
      <c r="U942" s="2098"/>
    </row>
    <row r="943" spans="13:21">
      <c r="M943" s="2098"/>
      <c r="N943" s="2098"/>
      <c r="O943" s="2098"/>
      <c r="P943" s="2098"/>
      <c r="R943" s="2098"/>
      <c r="S943" s="2098"/>
      <c r="T943" s="2098"/>
      <c r="U943" s="2098"/>
    </row>
    <row r="944" spans="13:21">
      <c r="M944" s="2098"/>
      <c r="N944" s="2098"/>
      <c r="O944" s="2098"/>
      <c r="P944" s="2098"/>
      <c r="R944" s="2098"/>
      <c r="S944" s="2098"/>
      <c r="T944" s="2098"/>
      <c r="U944" s="2098"/>
    </row>
    <row r="945" spans="13:21">
      <c r="M945" s="2098"/>
      <c r="N945" s="2098"/>
      <c r="O945" s="2098"/>
      <c r="P945" s="2098"/>
      <c r="R945" s="2098"/>
      <c r="S945" s="2098"/>
      <c r="T945" s="2098"/>
      <c r="U945" s="2098"/>
    </row>
    <row r="946" spans="13:21">
      <c r="M946" s="2098"/>
      <c r="N946" s="2098"/>
      <c r="O946" s="2098"/>
      <c r="P946" s="2098"/>
      <c r="R946" s="2098"/>
      <c r="S946" s="2098"/>
      <c r="T946" s="2098"/>
      <c r="U946" s="2098"/>
    </row>
    <row r="947" spans="13:21">
      <c r="M947" s="2098"/>
      <c r="N947" s="2098"/>
      <c r="O947" s="2098"/>
      <c r="P947" s="2098"/>
      <c r="R947" s="2098"/>
      <c r="S947" s="2098"/>
      <c r="T947" s="2098"/>
      <c r="U947" s="2098"/>
    </row>
    <row r="948" spans="13:21">
      <c r="M948" s="2098"/>
      <c r="N948" s="2098"/>
      <c r="O948" s="2098"/>
      <c r="P948" s="2098"/>
      <c r="R948" s="2098"/>
      <c r="S948" s="2098"/>
      <c r="T948" s="2098"/>
      <c r="U948" s="2098"/>
    </row>
    <row r="949" spans="13:21">
      <c r="M949" s="2098"/>
      <c r="N949" s="2098"/>
      <c r="O949" s="2098"/>
      <c r="P949" s="2098"/>
      <c r="R949" s="2098"/>
      <c r="S949" s="2098"/>
      <c r="T949" s="2098"/>
      <c r="U949" s="2098"/>
    </row>
    <row r="950" spans="13:21">
      <c r="M950" s="2098"/>
      <c r="N950" s="2098"/>
      <c r="O950" s="2098"/>
      <c r="P950" s="2098"/>
      <c r="R950" s="2098"/>
      <c r="S950" s="2098"/>
      <c r="T950" s="2098"/>
      <c r="U950" s="2098"/>
    </row>
    <row r="951" spans="13:21">
      <c r="M951" s="2098"/>
      <c r="N951" s="2098"/>
      <c r="O951" s="2098"/>
      <c r="P951" s="2098"/>
      <c r="R951" s="2098"/>
      <c r="S951" s="2098"/>
      <c r="T951" s="2098"/>
      <c r="U951" s="2098"/>
    </row>
    <row r="952" spans="13:21">
      <c r="M952" s="2098"/>
      <c r="N952" s="2098"/>
      <c r="O952" s="2098"/>
      <c r="P952" s="2098"/>
      <c r="R952" s="2098"/>
      <c r="S952" s="2098"/>
      <c r="T952" s="2098"/>
      <c r="U952" s="2098"/>
    </row>
    <row r="953" spans="13:21">
      <c r="M953" s="2098"/>
      <c r="N953" s="2098"/>
      <c r="O953" s="2098"/>
      <c r="P953" s="2098"/>
      <c r="R953" s="2098"/>
      <c r="S953" s="2098"/>
      <c r="T953" s="2098"/>
      <c r="U953" s="2098"/>
    </row>
    <row r="954" spans="13:21">
      <c r="M954" s="2098"/>
      <c r="N954" s="2098"/>
      <c r="O954" s="2098"/>
      <c r="P954" s="2098"/>
      <c r="R954" s="2098"/>
      <c r="S954" s="2098"/>
      <c r="T954" s="2098"/>
      <c r="U954" s="2098"/>
    </row>
    <row r="955" spans="13:21">
      <c r="M955" s="2098"/>
      <c r="N955" s="2098"/>
      <c r="O955" s="2098"/>
      <c r="P955" s="2098"/>
      <c r="R955" s="2098"/>
      <c r="S955" s="2098"/>
      <c r="T955" s="2098"/>
      <c r="U955" s="2098"/>
    </row>
    <row r="956" spans="13:21">
      <c r="M956" s="2098"/>
      <c r="N956" s="2098"/>
      <c r="O956" s="2098"/>
      <c r="P956" s="2098"/>
      <c r="R956" s="2098"/>
      <c r="S956" s="2098"/>
      <c r="T956" s="2098"/>
      <c r="U956" s="2098"/>
    </row>
    <row r="957" spans="13:21">
      <c r="M957" s="2098"/>
      <c r="N957" s="2098"/>
      <c r="O957" s="2098"/>
      <c r="P957" s="2098"/>
      <c r="R957" s="2098"/>
      <c r="S957" s="2098"/>
      <c r="T957" s="2098"/>
      <c r="U957" s="2098"/>
    </row>
    <row r="958" spans="13:21">
      <c r="M958" s="2098"/>
      <c r="N958" s="2098"/>
      <c r="O958" s="2098"/>
      <c r="P958" s="2098"/>
      <c r="R958" s="2098"/>
      <c r="S958" s="2098"/>
      <c r="T958" s="2098"/>
      <c r="U958" s="2098"/>
    </row>
    <row r="959" spans="13:21">
      <c r="M959" s="2098"/>
      <c r="N959" s="2098"/>
      <c r="O959" s="2098"/>
      <c r="P959" s="2098"/>
      <c r="R959" s="2098"/>
      <c r="S959" s="2098"/>
      <c r="T959" s="2098"/>
      <c r="U959" s="2098"/>
    </row>
    <row r="960" spans="13:21">
      <c r="M960" s="2098"/>
      <c r="N960" s="2098"/>
      <c r="O960" s="2098"/>
      <c r="P960" s="2098"/>
      <c r="R960" s="2098"/>
      <c r="S960" s="2098"/>
      <c r="T960" s="2098"/>
      <c r="U960" s="2098"/>
    </row>
    <row r="961" spans="13:21">
      <c r="M961" s="2098"/>
      <c r="N961" s="2098"/>
      <c r="O961" s="2098"/>
      <c r="P961" s="2098"/>
      <c r="R961" s="2098"/>
      <c r="S961" s="2098"/>
      <c r="T961" s="2098"/>
      <c r="U961" s="2098"/>
    </row>
    <row r="962" spans="13:21">
      <c r="M962" s="2098"/>
      <c r="N962" s="2098"/>
      <c r="O962" s="2098"/>
      <c r="P962" s="2098"/>
      <c r="R962" s="2098"/>
      <c r="S962" s="2098"/>
      <c r="T962" s="2098"/>
      <c r="U962" s="2098"/>
    </row>
    <row r="963" spans="13:21">
      <c r="M963" s="2098"/>
      <c r="N963" s="2098"/>
      <c r="O963" s="2098"/>
      <c r="P963" s="2098"/>
      <c r="R963" s="2098"/>
      <c r="S963" s="2098"/>
      <c r="T963" s="2098"/>
      <c r="U963" s="2098"/>
    </row>
    <row r="964" spans="13:21">
      <c r="M964" s="2098"/>
      <c r="N964" s="2098"/>
      <c r="O964" s="2098"/>
      <c r="P964" s="2098"/>
      <c r="R964" s="2098"/>
      <c r="S964" s="2098"/>
      <c r="T964" s="2098"/>
      <c r="U964" s="2098"/>
    </row>
    <row r="965" spans="13:21">
      <c r="M965" s="2098"/>
      <c r="N965" s="2098"/>
      <c r="O965" s="2098"/>
      <c r="P965" s="2098"/>
      <c r="R965" s="2098"/>
      <c r="S965" s="2098"/>
      <c r="T965" s="2098"/>
      <c r="U965" s="2098"/>
    </row>
    <row r="966" spans="13:21">
      <c r="M966" s="2098"/>
      <c r="N966" s="2098"/>
      <c r="O966" s="2098"/>
      <c r="P966" s="2098"/>
      <c r="R966" s="2098"/>
      <c r="S966" s="2098"/>
      <c r="T966" s="2098"/>
      <c r="U966" s="2098"/>
    </row>
    <row r="967" spans="13:21">
      <c r="M967" s="2098"/>
      <c r="N967" s="2098"/>
      <c r="O967" s="2098"/>
      <c r="P967" s="2098"/>
      <c r="R967" s="2098"/>
      <c r="S967" s="2098"/>
      <c r="T967" s="2098"/>
      <c r="U967" s="2098"/>
    </row>
    <row r="968" spans="13:21">
      <c r="M968" s="2098"/>
      <c r="N968" s="2098"/>
      <c r="O968" s="2098"/>
      <c r="P968" s="2098"/>
      <c r="R968" s="2098"/>
      <c r="S968" s="2098"/>
      <c r="T968" s="2098"/>
      <c r="U968" s="2098"/>
    </row>
    <row r="969" spans="13:21">
      <c r="M969" s="2098"/>
      <c r="N969" s="2098"/>
      <c r="O969" s="2098"/>
      <c r="P969" s="2098"/>
      <c r="R969" s="2098"/>
      <c r="S969" s="2098"/>
      <c r="T969" s="2098"/>
      <c r="U969" s="2098"/>
    </row>
    <row r="970" spans="13:21">
      <c r="M970" s="2098"/>
      <c r="N970" s="2098"/>
      <c r="O970" s="2098"/>
      <c r="P970" s="2098"/>
      <c r="R970" s="2098"/>
      <c r="S970" s="2098"/>
      <c r="T970" s="2098"/>
      <c r="U970" s="2098"/>
    </row>
    <row r="971" spans="13:21">
      <c r="M971" s="2098"/>
      <c r="N971" s="2098"/>
      <c r="O971" s="2098"/>
      <c r="P971" s="2098"/>
      <c r="R971" s="2098"/>
      <c r="S971" s="2098"/>
      <c r="T971" s="2098"/>
      <c r="U971" s="2098"/>
    </row>
    <row r="972" spans="13:21">
      <c r="M972" s="2098"/>
      <c r="N972" s="2098"/>
      <c r="O972" s="2098"/>
      <c r="P972" s="2098"/>
      <c r="R972" s="2098"/>
      <c r="S972" s="2098"/>
      <c r="T972" s="2098"/>
      <c r="U972" s="2098"/>
    </row>
    <row r="973" spans="13:21">
      <c r="M973" s="2098"/>
      <c r="N973" s="2098"/>
      <c r="O973" s="2098"/>
      <c r="P973" s="2098"/>
      <c r="R973" s="2098"/>
      <c r="S973" s="2098"/>
      <c r="T973" s="2098"/>
      <c r="U973" s="2098"/>
    </row>
    <row r="974" spans="13:21">
      <c r="M974" s="2098"/>
      <c r="N974" s="2098"/>
      <c r="O974" s="2098"/>
      <c r="P974" s="2098"/>
      <c r="R974" s="2098"/>
      <c r="S974" s="2098"/>
      <c r="T974" s="2098"/>
      <c r="U974" s="2098"/>
    </row>
    <row r="975" spans="13:21">
      <c r="M975" s="2098"/>
      <c r="N975" s="2098"/>
      <c r="O975" s="2098"/>
      <c r="P975" s="2098"/>
      <c r="R975" s="2098"/>
      <c r="S975" s="2098"/>
      <c r="T975" s="2098"/>
      <c r="U975" s="2098"/>
    </row>
    <row r="976" spans="13:21">
      <c r="M976" s="2098"/>
      <c r="N976" s="2098"/>
      <c r="O976" s="2098"/>
      <c r="P976" s="2098"/>
      <c r="R976" s="2098"/>
      <c r="S976" s="2098"/>
      <c r="T976" s="2098"/>
      <c r="U976" s="2098"/>
    </row>
    <row r="977" spans="13:21">
      <c r="M977" s="2098"/>
      <c r="N977" s="2098"/>
      <c r="O977" s="2098"/>
      <c r="P977" s="2098"/>
      <c r="R977" s="2098"/>
      <c r="S977" s="2098"/>
      <c r="T977" s="2098"/>
      <c r="U977" s="2098"/>
    </row>
    <row r="978" spans="13:21">
      <c r="M978" s="2098"/>
      <c r="N978" s="2098"/>
      <c r="O978" s="2098"/>
      <c r="P978" s="2098"/>
      <c r="R978" s="2098"/>
      <c r="S978" s="2098"/>
      <c r="T978" s="2098"/>
      <c r="U978" s="2098"/>
    </row>
    <row r="979" spans="13:21">
      <c r="M979" s="2098"/>
      <c r="N979" s="2098"/>
      <c r="O979" s="2098"/>
      <c r="P979" s="2098"/>
      <c r="R979" s="2098"/>
      <c r="S979" s="2098"/>
      <c r="T979" s="2098"/>
      <c r="U979" s="2098"/>
    </row>
    <row r="980" spans="13:21">
      <c r="M980" s="2098"/>
      <c r="N980" s="2098"/>
      <c r="O980" s="2098"/>
      <c r="P980" s="2098"/>
      <c r="R980" s="2098"/>
      <c r="S980" s="2098"/>
      <c r="T980" s="2098"/>
      <c r="U980" s="2098"/>
    </row>
    <row r="981" spans="13:21">
      <c r="M981" s="2098"/>
      <c r="N981" s="2098"/>
      <c r="O981" s="2098"/>
      <c r="P981" s="2098"/>
      <c r="R981" s="2098"/>
      <c r="S981" s="2098"/>
      <c r="T981" s="2098"/>
      <c r="U981" s="2098"/>
    </row>
    <row r="982" spans="13:21">
      <c r="M982" s="2098"/>
      <c r="N982" s="2098"/>
      <c r="O982" s="2098"/>
      <c r="P982" s="2098"/>
      <c r="R982" s="2098"/>
      <c r="S982" s="2098"/>
      <c r="T982" s="2098"/>
      <c r="U982" s="2098"/>
    </row>
    <row r="983" spans="13:21">
      <c r="M983" s="2098"/>
      <c r="N983" s="2098"/>
      <c r="O983" s="2098"/>
      <c r="P983" s="2098"/>
      <c r="R983" s="2098"/>
      <c r="S983" s="2098"/>
      <c r="T983" s="2098"/>
      <c r="U983" s="2098"/>
    </row>
    <row r="984" spans="13:21">
      <c r="M984" s="2098"/>
      <c r="N984" s="2098"/>
      <c r="O984" s="2098"/>
      <c r="P984" s="2098"/>
      <c r="R984" s="2098"/>
      <c r="S984" s="2098"/>
      <c r="T984" s="2098"/>
      <c r="U984" s="2098"/>
    </row>
    <row r="985" spans="13:21">
      <c r="M985" s="2098"/>
      <c r="N985" s="2098"/>
      <c r="O985" s="2098"/>
      <c r="P985" s="2098"/>
      <c r="R985" s="2098"/>
      <c r="S985" s="2098"/>
      <c r="T985" s="2098"/>
      <c r="U985" s="2098"/>
    </row>
    <row r="986" spans="13:21">
      <c r="M986" s="2098"/>
      <c r="N986" s="2098"/>
      <c r="O986" s="2098"/>
      <c r="P986" s="2098"/>
      <c r="R986" s="2098"/>
      <c r="S986" s="2098"/>
      <c r="T986" s="2098"/>
      <c r="U986" s="2098"/>
    </row>
    <row r="987" spans="13:21">
      <c r="M987" s="2098"/>
      <c r="N987" s="2098"/>
      <c r="O987" s="2098"/>
      <c r="P987" s="2098"/>
      <c r="R987" s="2098"/>
      <c r="S987" s="2098"/>
      <c r="T987" s="2098"/>
      <c r="U987" s="2098"/>
    </row>
    <row r="988" spans="13:21">
      <c r="M988" s="2098"/>
      <c r="N988" s="2098"/>
      <c r="O988" s="2098"/>
      <c r="P988" s="2098"/>
      <c r="R988" s="2098"/>
      <c r="S988" s="2098"/>
      <c r="T988" s="2098"/>
      <c r="U988" s="2098"/>
    </row>
    <row r="989" spans="13:21">
      <c r="M989" s="2098"/>
      <c r="N989" s="2098"/>
      <c r="O989" s="2098"/>
      <c r="P989" s="2098"/>
      <c r="R989" s="2098"/>
      <c r="S989" s="2098"/>
      <c r="T989" s="2098"/>
      <c r="U989" s="2098"/>
    </row>
    <row r="990" spans="13:21">
      <c r="M990" s="2098"/>
      <c r="N990" s="2098"/>
      <c r="O990" s="2098"/>
      <c r="P990" s="2098"/>
      <c r="R990" s="2098"/>
      <c r="S990" s="2098"/>
      <c r="T990" s="2098"/>
      <c r="U990" s="2098"/>
    </row>
    <row r="991" spans="13:21">
      <c r="M991" s="2098"/>
      <c r="N991" s="2098"/>
      <c r="O991" s="2098"/>
      <c r="P991" s="2098"/>
      <c r="R991" s="2098"/>
      <c r="S991" s="2098"/>
      <c r="T991" s="2098"/>
      <c r="U991" s="2098"/>
    </row>
    <row r="992" spans="13:21">
      <c r="M992" s="2098"/>
      <c r="N992" s="2098"/>
      <c r="O992" s="2098"/>
      <c r="P992" s="2098"/>
      <c r="R992" s="2098"/>
      <c r="S992" s="2098"/>
      <c r="T992" s="2098"/>
      <c r="U992" s="2098"/>
    </row>
    <row r="993" spans="13:21">
      <c r="M993" s="2098"/>
      <c r="N993" s="2098"/>
      <c r="O993" s="2098"/>
      <c r="P993" s="2098"/>
      <c r="R993" s="2098"/>
      <c r="S993" s="2098"/>
      <c r="T993" s="2098"/>
      <c r="U993" s="2098"/>
    </row>
    <row r="994" spans="13:21">
      <c r="M994" s="2098"/>
      <c r="N994" s="2098"/>
      <c r="O994" s="2098"/>
      <c r="P994" s="2098"/>
      <c r="R994" s="2098"/>
      <c r="S994" s="2098"/>
      <c r="T994" s="2098"/>
      <c r="U994" s="2098"/>
    </row>
    <row r="995" spans="13:21">
      <c r="M995" s="2098"/>
      <c r="N995" s="2098"/>
      <c r="O995" s="2098"/>
      <c r="P995" s="2098"/>
      <c r="R995" s="2098"/>
      <c r="S995" s="2098"/>
      <c r="T995" s="2098"/>
      <c r="U995" s="2098"/>
    </row>
    <row r="996" spans="13:21">
      <c r="M996" s="2098"/>
      <c r="N996" s="2098"/>
      <c r="O996" s="2098"/>
      <c r="P996" s="2098"/>
      <c r="R996" s="2098"/>
      <c r="S996" s="2098"/>
      <c r="T996" s="2098"/>
      <c r="U996" s="2098"/>
    </row>
    <row r="997" spans="13:21">
      <c r="M997" s="2098"/>
      <c r="N997" s="2098"/>
      <c r="O997" s="2098"/>
      <c r="P997" s="2098"/>
      <c r="R997" s="2098"/>
      <c r="S997" s="2098"/>
      <c r="T997" s="2098"/>
      <c r="U997" s="2098"/>
    </row>
    <row r="998" spans="13:21">
      <c r="M998" s="2098"/>
      <c r="N998" s="2098"/>
      <c r="O998" s="2098"/>
      <c r="P998" s="2098"/>
      <c r="R998" s="2098"/>
      <c r="S998" s="2098"/>
      <c r="T998" s="2098"/>
      <c r="U998" s="2098"/>
    </row>
    <row r="999" spans="13:21">
      <c r="M999" s="2098"/>
      <c r="N999" s="2098"/>
      <c r="O999" s="2098"/>
      <c r="P999" s="2098"/>
      <c r="R999" s="2098"/>
      <c r="S999" s="2098"/>
      <c r="T999" s="2098"/>
      <c r="U999" s="2098"/>
    </row>
    <row r="1000" spans="13:21">
      <c r="M1000" s="2098"/>
      <c r="N1000" s="2098"/>
      <c r="O1000" s="2098"/>
      <c r="P1000" s="2098"/>
      <c r="R1000" s="2098"/>
      <c r="S1000" s="2098"/>
      <c r="T1000" s="2098"/>
      <c r="U1000" s="2098"/>
    </row>
    <row r="1001" spans="13:21">
      <c r="M1001" s="2098"/>
      <c r="N1001" s="2098"/>
      <c r="O1001" s="2098"/>
      <c r="P1001" s="2098"/>
      <c r="R1001" s="2098"/>
      <c r="S1001" s="2098"/>
      <c r="T1001" s="2098"/>
      <c r="U1001" s="2098"/>
    </row>
    <row r="1002" spans="13:21">
      <c r="M1002" s="2098"/>
      <c r="N1002" s="2098"/>
      <c r="O1002" s="2098"/>
      <c r="P1002" s="2098"/>
      <c r="R1002" s="2098"/>
      <c r="S1002" s="2098"/>
      <c r="T1002" s="2098"/>
      <c r="U1002" s="2098"/>
    </row>
    <row r="1003" spans="13:21">
      <c r="M1003" s="2098"/>
      <c r="N1003" s="2098"/>
      <c r="O1003" s="2098"/>
      <c r="P1003" s="2098"/>
      <c r="R1003" s="2098"/>
      <c r="S1003" s="2098"/>
      <c r="T1003" s="2098"/>
      <c r="U1003" s="2098"/>
    </row>
    <row r="1004" spans="13:21">
      <c r="M1004" s="2098"/>
      <c r="N1004" s="2098"/>
      <c r="O1004" s="2098"/>
      <c r="P1004" s="2098"/>
      <c r="R1004" s="2098"/>
      <c r="S1004" s="2098"/>
      <c r="T1004" s="2098"/>
      <c r="U1004" s="2098"/>
    </row>
    <row r="1005" spans="13:21">
      <c r="M1005" s="2098"/>
      <c r="N1005" s="2098"/>
      <c r="O1005" s="2098"/>
      <c r="P1005" s="2098"/>
      <c r="R1005" s="2098"/>
      <c r="S1005" s="2098"/>
      <c r="T1005" s="2098"/>
      <c r="U1005" s="2098"/>
    </row>
    <row r="1006" spans="13:21">
      <c r="M1006" s="2098"/>
      <c r="N1006" s="2098"/>
      <c r="O1006" s="2098"/>
      <c r="P1006" s="2098"/>
      <c r="R1006" s="2098"/>
      <c r="S1006" s="2098"/>
      <c r="T1006" s="2098"/>
      <c r="U1006" s="2098"/>
    </row>
    <row r="1007" spans="13:21">
      <c r="M1007" s="2098"/>
      <c r="N1007" s="2098"/>
      <c r="O1007" s="2098"/>
      <c r="P1007" s="2098"/>
      <c r="R1007" s="2098"/>
      <c r="S1007" s="2098"/>
      <c r="T1007" s="2098"/>
      <c r="U1007" s="2098"/>
    </row>
    <row r="1008" spans="13:21">
      <c r="M1008" s="2098"/>
      <c r="N1008" s="2098"/>
      <c r="O1008" s="2098"/>
      <c r="P1008" s="2098"/>
      <c r="R1008" s="2098"/>
      <c r="S1008" s="2098"/>
      <c r="T1008" s="2098"/>
      <c r="U1008" s="2098"/>
    </row>
    <row r="1009" spans="13:21">
      <c r="M1009" s="2098"/>
      <c r="N1009" s="2098"/>
      <c r="O1009" s="2098"/>
      <c r="P1009" s="2098"/>
      <c r="R1009" s="2098"/>
      <c r="S1009" s="2098"/>
      <c r="T1009" s="2098"/>
      <c r="U1009" s="2098"/>
    </row>
    <row r="1010" spans="13:21">
      <c r="M1010" s="2098"/>
      <c r="N1010" s="2098"/>
      <c r="O1010" s="2098"/>
      <c r="P1010" s="2098"/>
      <c r="R1010" s="2098"/>
      <c r="S1010" s="2098"/>
      <c r="T1010" s="2098"/>
      <c r="U1010" s="2098"/>
    </row>
    <row r="1011" spans="13:21">
      <c r="M1011" s="2098"/>
      <c r="N1011" s="2098"/>
      <c r="O1011" s="2098"/>
      <c r="P1011" s="2098"/>
      <c r="R1011" s="2098"/>
      <c r="S1011" s="2098"/>
      <c r="T1011" s="2098"/>
      <c r="U1011" s="2098"/>
    </row>
    <row r="1012" spans="13:21">
      <c r="M1012" s="2098"/>
      <c r="N1012" s="2098"/>
      <c r="O1012" s="2098"/>
      <c r="P1012" s="2098"/>
      <c r="R1012" s="2098"/>
      <c r="S1012" s="2098"/>
      <c r="T1012" s="2098"/>
      <c r="U1012" s="2098"/>
    </row>
    <row r="1013" spans="13:21">
      <c r="M1013" s="2098"/>
      <c r="N1013" s="2098"/>
      <c r="O1013" s="2098"/>
      <c r="P1013" s="2098"/>
      <c r="R1013" s="2098"/>
      <c r="S1013" s="2098"/>
      <c r="T1013" s="2098"/>
      <c r="U1013" s="2098"/>
    </row>
    <row r="1014" spans="13:21">
      <c r="M1014" s="2098"/>
      <c r="N1014" s="2098"/>
      <c r="O1014" s="2098"/>
      <c r="P1014" s="2098"/>
      <c r="R1014" s="2098"/>
      <c r="S1014" s="2098"/>
      <c r="T1014" s="2098"/>
      <c r="U1014" s="2098"/>
    </row>
    <row r="1015" spans="13:21">
      <c r="M1015" s="2098"/>
      <c r="N1015" s="2098"/>
      <c r="O1015" s="2098"/>
      <c r="P1015" s="2098"/>
      <c r="R1015" s="2098"/>
      <c r="S1015" s="2098"/>
      <c r="T1015" s="2098"/>
      <c r="U1015" s="2098"/>
    </row>
    <row r="1016" spans="13:21">
      <c r="M1016" s="2098"/>
      <c r="N1016" s="2098"/>
      <c r="O1016" s="2098"/>
      <c r="P1016" s="2098"/>
      <c r="R1016" s="2098"/>
      <c r="S1016" s="2098"/>
      <c r="T1016" s="2098"/>
      <c r="U1016" s="2098"/>
    </row>
    <row r="1017" spans="13:21">
      <c r="M1017" s="2098"/>
      <c r="N1017" s="2098"/>
      <c r="O1017" s="2098"/>
      <c r="P1017" s="2098"/>
      <c r="R1017" s="2098"/>
      <c r="S1017" s="2098"/>
      <c r="T1017" s="2098"/>
      <c r="U1017" s="2098"/>
    </row>
    <row r="1018" spans="13:21">
      <c r="M1018" s="2098"/>
      <c r="N1018" s="2098"/>
      <c r="O1018" s="2098"/>
      <c r="P1018" s="2098"/>
      <c r="R1018" s="2098"/>
      <c r="S1018" s="2098"/>
      <c r="T1018" s="2098"/>
      <c r="U1018" s="2098"/>
    </row>
    <row r="1019" spans="13:21">
      <c r="M1019" s="2098"/>
      <c r="N1019" s="2098"/>
      <c r="O1019" s="2098"/>
      <c r="P1019" s="2098"/>
      <c r="R1019" s="2098"/>
      <c r="S1019" s="2098"/>
      <c r="T1019" s="2098"/>
      <c r="U1019" s="2098"/>
    </row>
    <row r="1020" spans="13:21">
      <c r="M1020" s="2098"/>
      <c r="N1020" s="2098"/>
      <c r="O1020" s="2098"/>
      <c r="P1020" s="2098"/>
      <c r="R1020" s="2098"/>
      <c r="S1020" s="2098"/>
      <c r="T1020" s="2098"/>
      <c r="U1020" s="2098"/>
    </row>
    <row r="1021" spans="13:21">
      <c r="M1021" s="2098"/>
      <c r="N1021" s="2098"/>
      <c r="O1021" s="2098"/>
      <c r="P1021" s="2098"/>
      <c r="R1021" s="2098"/>
      <c r="S1021" s="2098"/>
      <c r="T1021" s="2098"/>
      <c r="U1021" s="2098"/>
    </row>
    <row r="1022" spans="13:21">
      <c r="M1022" s="2098"/>
      <c r="N1022" s="2098"/>
      <c r="O1022" s="2098"/>
      <c r="P1022" s="2098"/>
      <c r="R1022" s="2098"/>
      <c r="S1022" s="2098"/>
      <c r="T1022" s="2098"/>
      <c r="U1022" s="2098"/>
    </row>
    <row r="1023" spans="13:21">
      <c r="M1023" s="2098"/>
      <c r="N1023" s="2098"/>
      <c r="O1023" s="2098"/>
      <c r="P1023" s="2098"/>
      <c r="R1023" s="2098"/>
      <c r="S1023" s="2098"/>
      <c r="T1023" s="2098"/>
      <c r="U1023" s="2098"/>
    </row>
    <row r="1024" spans="13:21">
      <c r="M1024" s="2098"/>
      <c r="N1024" s="2098"/>
      <c r="O1024" s="2098"/>
      <c r="P1024" s="2098"/>
      <c r="R1024" s="2098"/>
      <c r="S1024" s="2098"/>
      <c r="T1024" s="2098"/>
      <c r="U1024" s="2098"/>
    </row>
    <row r="1025" spans="13:21">
      <c r="M1025" s="2098"/>
      <c r="N1025" s="2098"/>
      <c r="O1025" s="2098"/>
      <c r="P1025" s="2098"/>
      <c r="R1025" s="2098"/>
      <c r="S1025" s="2098"/>
      <c r="T1025" s="2098"/>
      <c r="U1025" s="2098"/>
    </row>
    <row r="1026" spans="13:21">
      <c r="M1026" s="2098"/>
      <c r="N1026" s="2098"/>
      <c r="O1026" s="2098"/>
      <c r="P1026" s="2098"/>
      <c r="R1026" s="2098"/>
      <c r="S1026" s="2098"/>
      <c r="T1026" s="2098"/>
      <c r="U1026" s="2098"/>
    </row>
    <row r="1027" spans="13:21">
      <c r="M1027" s="2098"/>
      <c r="N1027" s="2098"/>
      <c r="O1027" s="2098"/>
      <c r="P1027" s="2098"/>
      <c r="R1027" s="2098"/>
      <c r="S1027" s="2098"/>
      <c r="T1027" s="2098"/>
      <c r="U1027" s="2098"/>
    </row>
    <row r="1028" spans="13:21">
      <c r="M1028" s="2098"/>
      <c r="N1028" s="2098"/>
      <c r="O1028" s="2098"/>
      <c r="P1028" s="2098"/>
      <c r="R1028" s="2098"/>
      <c r="S1028" s="2098"/>
      <c r="T1028" s="2098"/>
      <c r="U1028" s="2098"/>
    </row>
    <row r="1029" spans="13:21">
      <c r="M1029" s="2098"/>
      <c r="N1029" s="2098"/>
      <c r="O1029" s="2098"/>
      <c r="P1029" s="2098"/>
      <c r="R1029" s="2098"/>
      <c r="S1029" s="2098"/>
      <c r="T1029" s="2098"/>
      <c r="U1029" s="2098"/>
    </row>
    <row r="1030" spans="13:21">
      <c r="M1030" s="2098"/>
      <c r="N1030" s="2098"/>
      <c r="O1030" s="2098"/>
      <c r="P1030" s="2098"/>
      <c r="R1030" s="2098"/>
      <c r="S1030" s="2098"/>
      <c r="T1030" s="2098"/>
      <c r="U1030" s="2098"/>
    </row>
    <row r="1031" spans="13:21">
      <c r="M1031" s="2098"/>
      <c r="N1031" s="2098"/>
      <c r="O1031" s="2098"/>
      <c r="P1031" s="2098"/>
      <c r="R1031" s="2098"/>
      <c r="S1031" s="2098"/>
      <c r="T1031" s="2098"/>
      <c r="U1031" s="2098"/>
    </row>
    <row r="1032" spans="13:21">
      <c r="M1032" s="2098"/>
      <c r="N1032" s="2098"/>
      <c r="O1032" s="2098"/>
      <c r="P1032" s="2098"/>
      <c r="R1032" s="2098"/>
      <c r="S1032" s="2098"/>
      <c r="T1032" s="2098"/>
      <c r="U1032" s="2098"/>
    </row>
    <row r="1033" spans="13:21">
      <c r="M1033" s="2098"/>
      <c r="N1033" s="2098"/>
      <c r="O1033" s="2098"/>
      <c r="P1033" s="2098"/>
      <c r="R1033" s="2098"/>
      <c r="S1033" s="2098"/>
      <c r="T1033" s="2098"/>
      <c r="U1033" s="2098"/>
    </row>
    <row r="1034" spans="13:21">
      <c r="M1034" s="2098"/>
      <c r="N1034" s="2098"/>
      <c r="O1034" s="2098"/>
      <c r="P1034" s="2098"/>
      <c r="R1034" s="2098"/>
      <c r="S1034" s="2098"/>
      <c r="T1034" s="2098"/>
      <c r="U1034" s="2098"/>
    </row>
    <row r="1035" spans="13:21">
      <c r="M1035" s="2098"/>
      <c r="N1035" s="2098"/>
      <c r="O1035" s="2098"/>
      <c r="P1035" s="2098"/>
      <c r="R1035" s="2098"/>
      <c r="S1035" s="2098"/>
      <c r="T1035" s="2098"/>
      <c r="U1035" s="2098"/>
    </row>
    <row r="1036" spans="13:21">
      <c r="M1036" s="2098"/>
      <c r="N1036" s="2098"/>
      <c r="O1036" s="2098"/>
      <c r="P1036" s="2098"/>
      <c r="R1036" s="2098"/>
      <c r="S1036" s="2098"/>
      <c r="T1036" s="2098"/>
      <c r="U1036" s="2098"/>
    </row>
    <row r="1037" spans="13:21">
      <c r="M1037" s="2098"/>
      <c r="N1037" s="2098"/>
      <c r="O1037" s="2098"/>
      <c r="P1037" s="2098"/>
      <c r="R1037" s="2098"/>
      <c r="S1037" s="2098"/>
      <c r="T1037" s="2098"/>
      <c r="U1037" s="2098"/>
    </row>
    <row r="1038" spans="13:21">
      <c r="M1038" s="2098"/>
      <c r="N1038" s="2098"/>
      <c r="O1038" s="2098"/>
      <c r="P1038" s="2098"/>
      <c r="R1038" s="2098"/>
      <c r="S1038" s="2098"/>
      <c r="T1038" s="2098"/>
      <c r="U1038" s="2098"/>
    </row>
    <row r="1039" spans="13:21">
      <c r="M1039" s="2098"/>
      <c r="N1039" s="2098"/>
      <c r="O1039" s="2098"/>
      <c r="P1039" s="2098"/>
      <c r="R1039" s="2098"/>
      <c r="S1039" s="2098"/>
      <c r="T1039" s="2098"/>
      <c r="U1039" s="2098"/>
    </row>
    <row r="1040" spans="13:21">
      <c r="M1040" s="2098"/>
      <c r="N1040" s="2098"/>
      <c r="O1040" s="2098"/>
      <c r="P1040" s="2098"/>
      <c r="R1040" s="2098"/>
      <c r="S1040" s="2098"/>
      <c r="T1040" s="2098"/>
      <c r="U1040" s="2098"/>
    </row>
    <row r="1041" spans="13:21">
      <c r="M1041" s="2098"/>
      <c r="N1041" s="2098"/>
      <c r="O1041" s="2098"/>
      <c r="P1041" s="2098"/>
      <c r="R1041" s="2098"/>
      <c r="S1041" s="2098"/>
      <c r="T1041" s="2098"/>
      <c r="U1041" s="2098"/>
    </row>
    <row r="1042" spans="13:21">
      <c r="M1042" s="2098"/>
      <c r="N1042" s="2098"/>
      <c r="O1042" s="2098"/>
      <c r="P1042" s="2098"/>
      <c r="R1042" s="2098"/>
      <c r="S1042" s="2098"/>
      <c r="T1042" s="2098"/>
      <c r="U1042" s="2098"/>
    </row>
    <row r="1043" spans="13:21">
      <c r="M1043" s="2098"/>
      <c r="N1043" s="2098"/>
      <c r="O1043" s="2098"/>
      <c r="P1043" s="2098"/>
      <c r="R1043" s="2098"/>
      <c r="S1043" s="2098"/>
      <c r="T1043" s="2098"/>
      <c r="U1043" s="2098"/>
    </row>
    <row r="1044" spans="13:21">
      <c r="M1044" s="2098"/>
      <c r="N1044" s="2098"/>
      <c r="O1044" s="2098"/>
      <c r="P1044" s="2098"/>
      <c r="R1044" s="2098"/>
      <c r="S1044" s="2098"/>
      <c r="T1044" s="2098"/>
      <c r="U1044" s="2098"/>
    </row>
    <row r="1045" spans="13:21">
      <c r="M1045" s="2098"/>
      <c r="N1045" s="2098"/>
      <c r="O1045" s="2098"/>
      <c r="P1045" s="2098"/>
      <c r="R1045" s="2098"/>
      <c r="S1045" s="2098"/>
      <c r="T1045" s="2098"/>
      <c r="U1045" s="2098"/>
    </row>
    <row r="1046" spans="13:21">
      <c r="M1046" s="2098"/>
      <c r="N1046" s="2098"/>
      <c r="O1046" s="2098"/>
      <c r="P1046" s="2098"/>
      <c r="R1046" s="2098"/>
      <c r="S1046" s="2098"/>
      <c r="T1046" s="2098"/>
      <c r="U1046" s="2098"/>
    </row>
    <row r="1047" spans="13:21">
      <c r="M1047" s="2098"/>
      <c r="N1047" s="2098"/>
      <c r="O1047" s="2098"/>
      <c r="P1047" s="2098"/>
      <c r="R1047" s="2098"/>
      <c r="S1047" s="2098"/>
      <c r="T1047" s="2098"/>
      <c r="U1047" s="2098"/>
    </row>
    <row r="1048" spans="13:21">
      <c r="M1048" s="2098"/>
      <c r="N1048" s="2098"/>
      <c r="O1048" s="2098"/>
      <c r="P1048" s="2098"/>
      <c r="R1048" s="2098"/>
      <c r="S1048" s="2098"/>
      <c r="T1048" s="2098"/>
      <c r="U1048" s="2098"/>
    </row>
    <row r="1049" spans="13:21">
      <c r="M1049" s="2098"/>
      <c r="N1049" s="2098"/>
      <c r="O1049" s="2098"/>
      <c r="P1049" s="2098"/>
      <c r="R1049" s="2098"/>
      <c r="S1049" s="2098"/>
      <c r="T1049" s="2098"/>
      <c r="U1049" s="2098"/>
    </row>
    <row r="1050" spans="13:21">
      <c r="M1050" s="2098"/>
      <c r="N1050" s="2098"/>
      <c r="O1050" s="2098"/>
      <c r="P1050" s="2098"/>
      <c r="R1050" s="2098"/>
      <c r="S1050" s="2098"/>
      <c r="T1050" s="2098"/>
      <c r="U1050" s="2098"/>
    </row>
    <row r="1051" spans="13:21">
      <c r="M1051" s="2098"/>
      <c r="N1051" s="2098"/>
      <c r="O1051" s="2098"/>
      <c r="P1051" s="2098"/>
      <c r="R1051" s="2098"/>
      <c r="S1051" s="2098"/>
      <c r="T1051" s="2098"/>
      <c r="U1051" s="2098"/>
    </row>
    <row r="1052" spans="13:21">
      <c r="M1052" s="2098"/>
      <c r="N1052" s="2098"/>
      <c r="O1052" s="2098"/>
      <c r="P1052" s="2098"/>
      <c r="R1052" s="2098"/>
      <c r="S1052" s="2098"/>
      <c r="T1052" s="2098"/>
      <c r="U1052" s="2098"/>
    </row>
    <row r="1053" spans="13:21">
      <c r="M1053" s="2098"/>
      <c r="N1053" s="2098"/>
      <c r="O1053" s="2098"/>
      <c r="P1053" s="2098"/>
      <c r="R1053" s="2098"/>
      <c r="S1053" s="2098"/>
      <c r="T1053" s="2098"/>
      <c r="U1053" s="2098"/>
    </row>
    <row r="1054" spans="13:21">
      <c r="M1054" s="2098"/>
      <c r="N1054" s="2098"/>
      <c r="O1054" s="2098"/>
      <c r="P1054" s="2098"/>
      <c r="R1054" s="2098"/>
      <c r="S1054" s="2098"/>
      <c r="T1054" s="2098"/>
      <c r="U1054" s="2098"/>
    </row>
    <row r="1055" spans="13:21">
      <c r="M1055" s="2098"/>
      <c r="N1055" s="2098"/>
      <c r="O1055" s="2098"/>
      <c r="P1055" s="2098"/>
      <c r="R1055" s="2098"/>
      <c r="S1055" s="2098"/>
      <c r="T1055" s="2098"/>
      <c r="U1055" s="2098"/>
    </row>
    <row r="1056" spans="13:21">
      <c r="M1056" s="2098"/>
      <c r="N1056" s="2098"/>
      <c r="O1056" s="2098"/>
      <c r="P1056" s="2098"/>
      <c r="R1056" s="2098"/>
      <c r="S1056" s="2098"/>
      <c r="T1056" s="2098"/>
      <c r="U1056" s="2098"/>
    </row>
    <row r="1057" spans="13:21">
      <c r="M1057" s="2098"/>
      <c r="N1057" s="2098"/>
      <c r="O1057" s="2098"/>
      <c r="P1057" s="2098"/>
      <c r="R1057" s="2098"/>
      <c r="S1057" s="2098"/>
      <c r="T1057" s="2098"/>
      <c r="U1057" s="2098"/>
    </row>
    <row r="1058" spans="13:21">
      <c r="M1058" s="2098"/>
      <c r="N1058" s="2098"/>
      <c r="O1058" s="2098"/>
      <c r="P1058" s="2098"/>
      <c r="R1058" s="2098"/>
      <c r="S1058" s="2098"/>
      <c r="T1058" s="2098"/>
      <c r="U1058" s="2098"/>
    </row>
    <row r="1059" spans="13:21">
      <c r="M1059" s="2098"/>
      <c r="N1059" s="2098"/>
      <c r="O1059" s="2098"/>
      <c r="P1059" s="2098"/>
      <c r="R1059" s="2098"/>
      <c r="S1059" s="2098"/>
      <c r="T1059" s="2098"/>
      <c r="U1059" s="2098"/>
    </row>
    <row r="1060" spans="13:21">
      <c r="M1060" s="2098"/>
      <c r="N1060" s="2098"/>
      <c r="O1060" s="2098"/>
      <c r="P1060" s="2098"/>
      <c r="R1060" s="2098"/>
      <c r="S1060" s="2098"/>
      <c r="T1060" s="2098"/>
      <c r="U1060" s="2098"/>
    </row>
    <row r="1061" spans="13:21">
      <c r="M1061" s="2098"/>
      <c r="N1061" s="2098"/>
      <c r="O1061" s="2098"/>
      <c r="P1061" s="2098"/>
      <c r="R1061" s="2098"/>
      <c r="S1061" s="2098"/>
      <c r="T1061" s="2098"/>
      <c r="U1061" s="2098"/>
    </row>
  </sheetData>
  <autoFilter ref="B7:V573"/>
  <mergeCells count="475">
    <mergeCell ref="C5:C6"/>
    <mergeCell ref="D5:D6"/>
    <mergeCell ref="E5:E6"/>
    <mergeCell ref="F5:G5"/>
    <mergeCell ref="H5:H6"/>
    <mergeCell ref="I5:I6"/>
    <mergeCell ref="J5:J6"/>
    <mergeCell ref="L5:L6"/>
    <mergeCell ref="M5:M6"/>
    <mergeCell ref="N5:N6"/>
    <mergeCell ref="P5:P6"/>
    <mergeCell ref="Q5:Q6"/>
    <mergeCell ref="AH5:AI5"/>
    <mergeCell ref="R2:S2"/>
    <mergeCell ref="T2:U2"/>
    <mergeCell ref="AE3:AH3"/>
    <mergeCell ref="AH14:AI14"/>
    <mergeCell ref="AH15:AI15"/>
    <mergeCell ref="AH16:AI16"/>
    <mergeCell ref="AH18:AI18"/>
    <mergeCell ref="AH19:AI19"/>
    <mergeCell ref="AH20:AI20"/>
    <mergeCell ref="AH8:AI8"/>
    <mergeCell ref="AH9:AI9"/>
    <mergeCell ref="AH10:AI10"/>
    <mergeCell ref="AH11:AI11"/>
    <mergeCell ref="AH12:AI12"/>
    <mergeCell ref="AH13:AI13"/>
    <mergeCell ref="AH27:AI27"/>
    <mergeCell ref="AH28:AI28"/>
    <mergeCell ref="AH29:AI29"/>
    <mergeCell ref="AH30:AI30"/>
    <mergeCell ref="AH31:AI31"/>
    <mergeCell ref="AH32:AI32"/>
    <mergeCell ref="AH21:AI21"/>
    <mergeCell ref="AH22:AI22"/>
    <mergeCell ref="AH23:AI23"/>
    <mergeCell ref="AH24:AI24"/>
    <mergeCell ref="AH25:AI25"/>
    <mergeCell ref="AH26:AI26"/>
    <mergeCell ref="AH40:AI40"/>
    <mergeCell ref="AH41:AI41"/>
    <mergeCell ref="AH42:AI42"/>
    <mergeCell ref="AH43:AI43"/>
    <mergeCell ref="AH44:AI44"/>
    <mergeCell ref="AH45:AI45"/>
    <mergeCell ref="AH33:AI33"/>
    <mergeCell ref="AH35:AI35"/>
    <mergeCell ref="AH36:AI36"/>
    <mergeCell ref="AH37:AI37"/>
    <mergeCell ref="AH38:AI38"/>
    <mergeCell ref="AH39:AI39"/>
    <mergeCell ref="AH54:AI54"/>
    <mergeCell ref="AH55:AI55"/>
    <mergeCell ref="AH56:AI56"/>
    <mergeCell ref="AH57:AI57"/>
    <mergeCell ref="AH58:AI58"/>
    <mergeCell ref="AH59:AI59"/>
    <mergeCell ref="AH47:AI47"/>
    <mergeCell ref="AH48:AI48"/>
    <mergeCell ref="AH49:AI49"/>
    <mergeCell ref="AH50:AI50"/>
    <mergeCell ref="AH51:AI51"/>
    <mergeCell ref="AH52:AI52"/>
    <mergeCell ref="AH66:AI66"/>
    <mergeCell ref="AH67:AI67"/>
    <mergeCell ref="AH68:AI68"/>
    <mergeCell ref="AH69:AI69"/>
    <mergeCell ref="AH70:AI70"/>
    <mergeCell ref="AH71:AI71"/>
    <mergeCell ref="AH60:AI60"/>
    <mergeCell ref="AH61:AI61"/>
    <mergeCell ref="AH62:AI62"/>
    <mergeCell ref="AH63:AI63"/>
    <mergeCell ref="AH64:AI64"/>
    <mergeCell ref="AH65:AI65"/>
    <mergeCell ref="AH78:AI78"/>
    <mergeCell ref="AH79:AI79"/>
    <mergeCell ref="AH80:AI80"/>
    <mergeCell ref="AH81:AI81"/>
    <mergeCell ref="AH82:AI82"/>
    <mergeCell ref="AH83:AI83"/>
    <mergeCell ref="AH72:AI72"/>
    <mergeCell ref="AH73:AI73"/>
    <mergeCell ref="AH74:AI74"/>
    <mergeCell ref="AH75:AI75"/>
    <mergeCell ref="AH76:AI76"/>
    <mergeCell ref="AH77:AI77"/>
    <mergeCell ref="AH91:AI91"/>
    <mergeCell ref="AH92:AI92"/>
    <mergeCell ref="AH94:AI94"/>
    <mergeCell ref="AH97:AI97"/>
    <mergeCell ref="AH98:AI98"/>
    <mergeCell ref="AH99:AI99"/>
    <mergeCell ref="AH84:AI84"/>
    <mergeCell ref="AH85:AI85"/>
    <mergeCell ref="AH87:AI87"/>
    <mergeCell ref="AH88:AI88"/>
    <mergeCell ref="AH89:AI89"/>
    <mergeCell ref="AH90:AI90"/>
    <mergeCell ref="AH106:AI106"/>
    <mergeCell ref="AH107:AI107"/>
    <mergeCell ref="AH108:AI108"/>
    <mergeCell ref="AH109:AI109"/>
    <mergeCell ref="AH110:AI110"/>
    <mergeCell ref="AH111:AI111"/>
    <mergeCell ref="AH100:AI100"/>
    <mergeCell ref="AH101:AI101"/>
    <mergeCell ref="AH102:AI102"/>
    <mergeCell ref="AH103:AI103"/>
    <mergeCell ref="AH104:AI104"/>
    <mergeCell ref="AH105:AI105"/>
    <mergeCell ref="AH119:AI119"/>
    <mergeCell ref="AH120:AI120"/>
    <mergeCell ref="AH121:AI121"/>
    <mergeCell ref="AH123:AI123"/>
    <mergeCell ref="AH124:AI124"/>
    <mergeCell ref="AH125:AI125"/>
    <mergeCell ref="AH112:AI112"/>
    <mergeCell ref="AH113:AI113"/>
    <mergeCell ref="AH114:AI114"/>
    <mergeCell ref="AH115:AI115"/>
    <mergeCell ref="AH116:AI116"/>
    <mergeCell ref="AH117:AI117"/>
    <mergeCell ref="AH134:AI134"/>
    <mergeCell ref="AH135:AI135"/>
    <mergeCell ref="AH136:AI136"/>
    <mergeCell ref="AH138:AI138"/>
    <mergeCell ref="AH139:AI139"/>
    <mergeCell ref="AH140:AI140"/>
    <mergeCell ref="AH127:AI127"/>
    <mergeCell ref="AH128:AI128"/>
    <mergeCell ref="AH130:AI130"/>
    <mergeCell ref="AH131:AI131"/>
    <mergeCell ref="AH132:AI132"/>
    <mergeCell ref="AH133:AI133"/>
    <mergeCell ref="AH147:AI147"/>
    <mergeCell ref="AH148:AI148"/>
    <mergeCell ref="AH149:AI149"/>
    <mergeCell ref="AH150:AI150"/>
    <mergeCell ref="AH151:AI151"/>
    <mergeCell ref="AH152:AI152"/>
    <mergeCell ref="AH141:AI141"/>
    <mergeCell ref="AH142:AI142"/>
    <mergeCell ref="AH143:AI143"/>
    <mergeCell ref="AH144:AI144"/>
    <mergeCell ref="AH145:AI145"/>
    <mergeCell ref="AH146:AI146"/>
    <mergeCell ref="AH162:AI162"/>
    <mergeCell ref="AH163:AI163"/>
    <mergeCell ref="AH164:AI164"/>
    <mergeCell ref="AH165:AI165"/>
    <mergeCell ref="AH166:AI166"/>
    <mergeCell ref="AH167:AI167"/>
    <mergeCell ref="AH153:AI153"/>
    <mergeCell ref="AH155:AI155"/>
    <mergeCell ref="AH158:AI158"/>
    <mergeCell ref="AH159:AI159"/>
    <mergeCell ref="AH160:AI160"/>
    <mergeCell ref="AH161:AI161"/>
    <mergeCell ref="AH174:AI174"/>
    <mergeCell ref="AH175:AI175"/>
    <mergeCell ref="AH176:AI176"/>
    <mergeCell ref="AH177:AI177"/>
    <mergeCell ref="AH178:AI178"/>
    <mergeCell ref="AH179:AI179"/>
    <mergeCell ref="AH168:AI168"/>
    <mergeCell ref="AH169:AI169"/>
    <mergeCell ref="AH170:AI170"/>
    <mergeCell ref="AH171:AI171"/>
    <mergeCell ref="AH172:AI172"/>
    <mergeCell ref="AH173:AI173"/>
    <mergeCell ref="H206:I206"/>
    <mergeCell ref="J206:J207"/>
    <mergeCell ref="K206:K207"/>
    <mergeCell ref="L206:L207"/>
    <mergeCell ref="Q206:Q207"/>
    <mergeCell ref="B209:C209"/>
    <mergeCell ref="G181:G182"/>
    <mergeCell ref="H181:I181"/>
    <mergeCell ref="J181:J182"/>
    <mergeCell ref="K181:K182"/>
    <mergeCell ref="L181:L182"/>
    <mergeCell ref="B206:B207"/>
    <mergeCell ref="C206:C207"/>
    <mergeCell ref="E206:E207"/>
    <mergeCell ref="F206:F207"/>
    <mergeCell ref="G206:G207"/>
    <mergeCell ref="AH252:AI252"/>
    <mergeCell ref="AH253:AI253"/>
    <mergeCell ref="AH254:AI254"/>
    <mergeCell ref="AH255:AI255"/>
    <mergeCell ref="AH257:AI257"/>
    <mergeCell ref="AH258:AI258"/>
    <mergeCell ref="B225:C225"/>
    <mergeCell ref="AH247:AI247"/>
    <mergeCell ref="AH248:AI248"/>
    <mergeCell ref="AH249:AI249"/>
    <mergeCell ref="AH250:AI250"/>
    <mergeCell ref="AH251:AI251"/>
    <mergeCell ref="AH266:AI266"/>
    <mergeCell ref="AH267:AI267"/>
    <mergeCell ref="AH268:AI268"/>
    <mergeCell ref="AH269:AI269"/>
    <mergeCell ref="AH270:AI270"/>
    <mergeCell ref="AH271:AI271"/>
    <mergeCell ref="AH259:AI259"/>
    <mergeCell ref="AH260:AI260"/>
    <mergeCell ref="AH261:AI261"/>
    <mergeCell ref="AH262:AI262"/>
    <mergeCell ref="AH263:AI263"/>
    <mergeCell ref="AH265:AI265"/>
    <mergeCell ref="AH279:AI279"/>
    <mergeCell ref="AH280:AI280"/>
    <mergeCell ref="AH281:AI281"/>
    <mergeCell ref="AH282:AI282"/>
    <mergeCell ref="AH283:AI283"/>
    <mergeCell ref="AH284:AI284"/>
    <mergeCell ref="AH272:AI272"/>
    <mergeCell ref="AH274:AI274"/>
    <mergeCell ref="AH275:AI275"/>
    <mergeCell ref="AH276:AI276"/>
    <mergeCell ref="AH277:AI277"/>
    <mergeCell ref="AH278:AI278"/>
    <mergeCell ref="AH293:AI293"/>
    <mergeCell ref="AH294:AI294"/>
    <mergeCell ref="AH295:AI295"/>
    <mergeCell ref="AH296:AI296"/>
    <mergeCell ref="AH297:AI297"/>
    <mergeCell ref="AH298:AI298"/>
    <mergeCell ref="AH286:AI286"/>
    <mergeCell ref="AH287:AI287"/>
    <mergeCell ref="AH288:AI288"/>
    <mergeCell ref="AH289:AI289"/>
    <mergeCell ref="AH290:AI290"/>
    <mergeCell ref="AH291:AI291"/>
    <mergeCell ref="AH305:AI305"/>
    <mergeCell ref="AH306:AI306"/>
    <mergeCell ref="AH307:AI307"/>
    <mergeCell ref="AH308:AI308"/>
    <mergeCell ref="AH309:AI309"/>
    <mergeCell ref="AH310:AI310"/>
    <mergeCell ref="AH299:AI299"/>
    <mergeCell ref="AH300:AI300"/>
    <mergeCell ref="AH301:AI301"/>
    <mergeCell ref="AH302:AI302"/>
    <mergeCell ref="AH303:AI303"/>
    <mergeCell ref="AH304:AI304"/>
    <mergeCell ref="AH317:AI317"/>
    <mergeCell ref="AH318:AI318"/>
    <mergeCell ref="AH319:AI319"/>
    <mergeCell ref="AH320:AI320"/>
    <mergeCell ref="AH321:AI321"/>
    <mergeCell ref="AH322:AI322"/>
    <mergeCell ref="AH311:AI311"/>
    <mergeCell ref="AH312:AI312"/>
    <mergeCell ref="AH313:AI313"/>
    <mergeCell ref="AH314:AI314"/>
    <mergeCell ref="AH315:AI315"/>
    <mergeCell ref="AH316:AI316"/>
    <mergeCell ref="AH330:AI330"/>
    <mergeCell ref="AH331:AI331"/>
    <mergeCell ref="AH333:AI333"/>
    <mergeCell ref="AH336:AI336"/>
    <mergeCell ref="AH337:AI337"/>
    <mergeCell ref="AH338:AI338"/>
    <mergeCell ref="AH323:AI323"/>
    <mergeCell ref="AH324:AI324"/>
    <mergeCell ref="AH326:AI326"/>
    <mergeCell ref="AH327:AI327"/>
    <mergeCell ref="AH328:AI328"/>
    <mergeCell ref="AH329:AI329"/>
    <mergeCell ref="AH345:AI345"/>
    <mergeCell ref="AH346:AI346"/>
    <mergeCell ref="AH348:AI348"/>
    <mergeCell ref="AH349:AI349"/>
    <mergeCell ref="AH350:AI350"/>
    <mergeCell ref="AH351:AI351"/>
    <mergeCell ref="AH339:AI339"/>
    <mergeCell ref="AH340:AI340"/>
    <mergeCell ref="AH341:AI341"/>
    <mergeCell ref="AH342:AI342"/>
    <mergeCell ref="AH343:AI343"/>
    <mergeCell ref="AH344:AI344"/>
    <mergeCell ref="AH359:AI359"/>
    <mergeCell ref="AH360:AI360"/>
    <mergeCell ref="AH362:AI362"/>
    <mergeCell ref="AH363:AI363"/>
    <mergeCell ref="AH364:AI364"/>
    <mergeCell ref="AH366:AI366"/>
    <mergeCell ref="AH352:AI352"/>
    <mergeCell ref="AH353:AI353"/>
    <mergeCell ref="AH354:AI354"/>
    <mergeCell ref="AH355:AI355"/>
    <mergeCell ref="AH356:AI356"/>
    <mergeCell ref="AH358:AI358"/>
    <mergeCell ref="AH374:AI374"/>
    <mergeCell ref="AH375:AI375"/>
    <mergeCell ref="AH377:AI377"/>
    <mergeCell ref="AH378:AI378"/>
    <mergeCell ref="AH380:AI380"/>
    <mergeCell ref="AH381:AI381"/>
    <mergeCell ref="AH367:AI367"/>
    <mergeCell ref="AH369:AI369"/>
    <mergeCell ref="AH370:AI370"/>
    <mergeCell ref="AH371:AI371"/>
    <mergeCell ref="AH372:AI372"/>
    <mergeCell ref="AH373:AI373"/>
    <mergeCell ref="AH388:AI388"/>
    <mergeCell ref="AH389:AI389"/>
    <mergeCell ref="AH390:AI390"/>
    <mergeCell ref="AH391:AI391"/>
    <mergeCell ref="AH392:AI392"/>
    <mergeCell ref="AH394:AI394"/>
    <mergeCell ref="AH382:AI382"/>
    <mergeCell ref="AH383:AI383"/>
    <mergeCell ref="AH384:AI384"/>
    <mergeCell ref="AH385:AI385"/>
    <mergeCell ref="AH386:AI386"/>
    <mergeCell ref="AH387:AI387"/>
    <mergeCell ref="AH403:AI403"/>
    <mergeCell ref="AH404:AI404"/>
    <mergeCell ref="AH405:AI405"/>
    <mergeCell ref="AH406:AI406"/>
    <mergeCell ref="AH407:AI407"/>
    <mergeCell ref="AH408:AI408"/>
    <mergeCell ref="AH397:AI397"/>
    <mergeCell ref="AH398:AI398"/>
    <mergeCell ref="AH399:AI399"/>
    <mergeCell ref="AH400:AI400"/>
    <mergeCell ref="AH401:AI401"/>
    <mergeCell ref="AH402:AI402"/>
    <mergeCell ref="AH415:AI415"/>
    <mergeCell ref="AH416:AI416"/>
    <mergeCell ref="AH417:AI417"/>
    <mergeCell ref="AH418:AI418"/>
    <mergeCell ref="AH419:AI419"/>
    <mergeCell ref="AH420:AI420"/>
    <mergeCell ref="AH409:AI409"/>
    <mergeCell ref="AH410:AI410"/>
    <mergeCell ref="AH411:AI411"/>
    <mergeCell ref="AH412:AI412"/>
    <mergeCell ref="AH413:AI413"/>
    <mergeCell ref="AH414:AI414"/>
    <mergeCell ref="AH429:AI429"/>
    <mergeCell ref="AH430:AI430"/>
    <mergeCell ref="AH431:AI431"/>
    <mergeCell ref="AH432:AI432"/>
    <mergeCell ref="AH433:AI433"/>
    <mergeCell ref="AH434:AI434"/>
    <mergeCell ref="AH421:AI421"/>
    <mergeCell ref="AH422:AI422"/>
    <mergeCell ref="AH423:AI423"/>
    <mergeCell ref="AH424:AI424"/>
    <mergeCell ref="AH426:AI426"/>
    <mergeCell ref="AH427:AI427"/>
    <mergeCell ref="AH441:AI441"/>
    <mergeCell ref="AH444:AI444"/>
    <mergeCell ref="AH445:AI445"/>
    <mergeCell ref="AH446:AI446"/>
    <mergeCell ref="AH447:AI447"/>
    <mergeCell ref="AH448:AI448"/>
    <mergeCell ref="AH435:AI435"/>
    <mergeCell ref="AH436:AI436"/>
    <mergeCell ref="AH437:AI437"/>
    <mergeCell ref="AH438:AI438"/>
    <mergeCell ref="AH439:AI439"/>
    <mergeCell ref="AH440:AI440"/>
    <mergeCell ref="AH456:AI456"/>
    <mergeCell ref="AH457:AI457"/>
    <mergeCell ref="AH458:AI458"/>
    <mergeCell ref="AH459:AI459"/>
    <mergeCell ref="AH460:AI460"/>
    <mergeCell ref="AH462:AI462"/>
    <mergeCell ref="AH449:AI449"/>
    <mergeCell ref="AH450:AI450"/>
    <mergeCell ref="AH451:AI451"/>
    <mergeCell ref="AH452:AI452"/>
    <mergeCell ref="AH453:AI453"/>
    <mergeCell ref="AH455:AI455"/>
    <mergeCell ref="AH469:AI469"/>
    <mergeCell ref="AH470:AI470"/>
    <mergeCell ref="AH471:AI471"/>
    <mergeCell ref="AH472:AI472"/>
    <mergeCell ref="AH473:AI473"/>
    <mergeCell ref="AH474:AI474"/>
    <mergeCell ref="AH463:AI463"/>
    <mergeCell ref="AH464:AI464"/>
    <mergeCell ref="AH465:AI465"/>
    <mergeCell ref="AH466:AI466"/>
    <mergeCell ref="AH467:AI467"/>
    <mergeCell ref="AH468:AI468"/>
    <mergeCell ref="AH481:AI481"/>
    <mergeCell ref="AH482:AI482"/>
    <mergeCell ref="AH483:AI483"/>
    <mergeCell ref="AH484:AI484"/>
    <mergeCell ref="AH485:AI485"/>
    <mergeCell ref="AH486:AI486"/>
    <mergeCell ref="AH475:AI475"/>
    <mergeCell ref="AH476:AI476"/>
    <mergeCell ref="AH477:AI477"/>
    <mergeCell ref="AH478:AI478"/>
    <mergeCell ref="AH479:AI479"/>
    <mergeCell ref="AH480:AI480"/>
    <mergeCell ref="AH495:AI495"/>
    <mergeCell ref="AH498:AI498"/>
    <mergeCell ref="AH499:AI499"/>
    <mergeCell ref="AH500:AI500"/>
    <mergeCell ref="AH501:AI501"/>
    <mergeCell ref="AH502:AI502"/>
    <mergeCell ref="AH487:AI487"/>
    <mergeCell ref="AH489:AI489"/>
    <mergeCell ref="AH490:AI490"/>
    <mergeCell ref="AH491:AI491"/>
    <mergeCell ref="AH492:AI492"/>
    <mergeCell ref="AH493:AI493"/>
    <mergeCell ref="AH510:AI510"/>
    <mergeCell ref="AH511:AI511"/>
    <mergeCell ref="AH512:AI512"/>
    <mergeCell ref="AH513:AI513"/>
    <mergeCell ref="AH514:AI514"/>
    <mergeCell ref="AH515:AI515"/>
    <mergeCell ref="AH503:AI503"/>
    <mergeCell ref="AH504:AI504"/>
    <mergeCell ref="AH505:AI505"/>
    <mergeCell ref="AH506:AI506"/>
    <mergeCell ref="AH508:AI508"/>
    <mergeCell ref="AH509:AI509"/>
    <mergeCell ref="AH525:AI525"/>
    <mergeCell ref="AH526:AI526"/>
    <mergeCell ref="AH527:AI527"/>
    <mergeCell ref="AH528:AI528"/>
    <mergeCell ref="AH530:AI530"/>
    <mergeCell ref="AH531:AI531"/>
    <mergeCell ref="AH516:AI516"/>
    <mergeCell ref="AH517:AI517"/>
    <mergeCell ref="AH519:AI519"/>
    <mergeCell ref="AH520:AI520"/>
    <mergeCell ref="AH521:AI521"/>
    <mergeCell ref="AH523:AI523"/>
    <mergeCell ref="AH540:AI540"/>
    <mergeCell ref="AH541:AI541"/>
    <mergeCell ref="AH542:AI542"/>
    <mergeCell ref="AH543:AI543"/>
    <mergeCell ref="AH544:AI544"/>
    <mergeCell ref="AH546:AI546"/>
    <mergeCell ref="AH533:AI533"/>
    <mergeCell ref="AH534:AI534"/>
    <mergeCell ref="AH536:AI536"/>
    <mergeCell ref="AH537:AI537"/>
    <mergeCell ref="AH538:AI538"/>
    <mergeCell ref="AH539:AI539"/>
    <mergeCell ref="AH555:AI555"/>
    <mergeCell ref="AH556:AI556"/>
    <mergeCell ref="AH557:AI557"/>
    <mergeCell ref="AH558:AI558"/>
    <mergeCell ref="AH559:AI559"/>
    <mergeCell ref="AH560:AI560"/>
    <mergeCell ref="AH549:AI549"/>
    <mergeCell ref="AH550:AI550"/>
    <mergeCell ref="AH551:AI551"/>
    <mergeCell ref="AH552:AI552"/>
    <mergeCell ref="AH553:AI553"/>
    <mergeCell ref="AH554:AI554"/>
    <mergeCell ref="AH567:AI567"/>
    <mergeCell ref="AH568:AI568"/>
    <mergeCell ref="AH569:AI569"/>
    <mergeCell ref="AH570:AI570"/>
    <mergeCell ref="AH571:AI571"/>
    <mergeCell ref="AH561:AI561"/>
    <mergeCell ref="AH562:AI562"/>
    <mergeCell ref="AH563:AI563"/>
    <mergeCell ref="AH564:AI564"/>
    <mergeCell ref="AH565:AI565"/>
    <mergeCell ref="AH566:AI566"/>
  </mergeCells>
  <pageMargins left="0.75" right="0.75" top="1" bottom="1" header="0.5" footer="0.5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O612"/>
  <sheetViews>
    <sheetView tabSelected="1" view="pageBreakPreview" zoomScale="70" zoomScaleNormal="69" zoomScaleSheetLayoutView="70" workbookViewId="0">
      <selection activeCell="B6" sqref="B6:S6"/>
    </sheetView>
  </sheetViews>
  <sheetFormatPr defaultRowHeight="15" outlineLevelRow="1" outlineLevelCol="1"/>
  <cols>
    <col min="1" max="1" width="9.140625" style="1118"/>
    <col min="2" max="2" width="15.140625" style="1118" customWidth="1"/>
    <col min="3" max="3" width="24.85546875" style="1118" customWidth="1"/>
    <col min="4" max="4" width="17" style="1118" customWidth="1"/>
    <col min="5" max="5" width="18.7109375" style="1118" customWidth="1"/>
    <col min="6" max="6" width="17.28515625" style="1119" customWidth="1"/>
    <col min="7" max="7" width="34.85546875" style="1119" hidden="1" customWidth="1"/>
    <col min="8" max="10" width="14.42578125" style="1118" customWidth="1"/>
    <col min="11" max="11" width="16.42578125" style="1118" hidden="1" customWidth="1"/>
    <col min="12" max="12" width="16.42578125" style="1118" customWidth="1"/>
    <col min="13" max="13" width="13.5703125" style="1118" customWidth="1"/>
    <col min="14" max="14" width="13.42578125" style="1118" customWidth="1"/>
    <col min="15" max="15" width="13.140625" style="1118" customWidth="1"/>
    <col min="16" max="16" width="16.5703125" style="1118" hidden="1" customWidth="1"/>
    <col min="17" max="17" width="16.5703125" style="1118" customWidth="1"/>
    <col min="18" max="20" width="14.42578125" style="1118" customWidth="1"/>
    <col min="21" max="21" width="16.42578125" style="1118" hidden="1" customWidth="1"/>
    <col min="22" max="22" width="12.7109375" style="1118" hidden="1" customWidth="1" outlineLevel="1"/>
    <col min="23" max="24" width="11.140625" style="1118" hidden="1" customWidth="1" outlineLevel="1"/>
    <col min="25" max="25" width="16.42578125" style="1118" hidden="1" customWidth="1" outlineLevel="1"/>
    <col min="26" max="26" width="12.140625" style="1118" hidden="1" customWidth="1" outlineLevel="1"/>
    <col min="27" max="27" width="11.28515625" style="1118" hidden="1" customWidth="1" outlineLevel="1"/>
    <col min="28" max="29" width="10.5703125" style="1118" hidden="1" customWidth="1" outlineLevel="1"/>
    <col min="30" max="31" width="12.85546875" style="1118" hidden="1" customWidth="1" outlineLevel="1"/>
    <col min="32" max="32" width="12.140625" style="1118" hidden="1" customWidth="1" outlineLevel="1"/>
    <col min="33" max="33" width="15.7109375" style="1118" hidden="1" customWidth="1" outlineLevel="1"/>
    <col min="34" max="34" width="16.140625" style="1118" hidden="1" customWidth="1" outlineLevel="1"/>
    <col min="35" max="35" width="16.42578125" style="1118" hidden="1" customWidth="1" outlineLevel="1"/>
    <col min="36" max="36" width="16.85546875" style="1118" hidden="1" customWidth="1" outlineLevel="1"/>
    <col min="37" max="37" width="15.42578125" style="1118" hidden="1" customWidth="1" outlineLevel="1"/>
    <col min="38" max="38" width="22.7109375" style="1118" hidden="1" customWidth="1" outlineLevel="1"/>
    <col min="39" max="39" width="17" style="1118" hidden="1" customWidth="1" outlineLevel="1"/>
    <col min="40" max="40" width="9.140625" style="1118" collapsed="1"/>
    <col min="41" max="41" width="12.28515625" style="1118" hidden="1" customWidth="1"/>
    <col min="42" max="16384" width="9.140625" style="1118"/>
  </cols>
  <sheetData>
    <row r="1" spans="1:41" ht="53.25" customHeight="1">
      <c r="A1" s="2338"/>
      <c r="B1" s="2338"/>
      <c r="C1" s="2338"/>
      <c r="D1" s="2338"/>
      <c r="E1" s="2338"/>
      <c r="F1" s="3637"/>
      <c r="G1" s="3637"/>
      <c r="H1" s="2338"/>
      <c r="I1" s="2338"/>
      <c r="J1" s="2338"/>
      <c r="K1" s="2338"/>
      <c r="L1" s="2338"/>
      <c r="M1" s="2338"/>
      <c r="N1" s="2338"/>
      <c r="O1" s="2338"/>
      <c r="P1" s="2338"/>
      <c r="Q1" s="2338"/>
      <c r="R1" s="3638"/>
      <c r="S1" s="3638"/>
      <c r="T1" s="3638"/>
      <c r="U1" s="3639"/>
      <c r="V1" s="2490"/>
      <c r="W1" s="2490"/>
      <c r="X1" s="2490"/>
      <c r="Y1" s="2490"/>
    </row>
    <row r="2" spans="1:41">
      <c r="A2" s="2338"/>
      <c r="B2" s="2338"/>
      <c r="C2" s="2338"/>
      <c r="D2" s="2338"/>
      <c r="E2" s="2338"/>
      <c r="F2" s="3637"/>
      <c r="G2" s="3637"/>
      <c r="H2" s="2338"/>
      <c r="I2" s="2338"/>
      <c r="J2" s="2338"/>
      <c r="K2" s="2338"/>
      <c r="L2" s="2338"/>
      <c r="M2" s="2338"/>
      <c r="N2" s="2338"/>
      <c r="O2" s="2338"/>
      <c r="P2" s="2338"/>
      <c r="Q2" s="2338"/>
      <c r="R2" s="2338"/>
      <c r="S2" s="2338"/>
      <c r="T2" s="2338"/>
      <c r="U2" s="2338"/>
      <c r="Z2" s="1118">
        <v>2017</v>
      </c>
      <c r="AA2" s="1118">
        <v>2018</v>
      </c>
      <c r="AB2" s="1118">
        <v>2019</v>
      </c>
    </row>
    <row r="3" spans="1:41" ht="15" customHeight="1">
      <c r="A3" s="2338"/>
      <c r="B3" s="2338"/>
      <c r="C3" s="2338"/>
      <c r="D3" s="2338"/>
      <c r="E3" s="2338"/>
      <c r="F3" s="3637"/>
      <c r="G3" s="3637"/>
      <c r="H3" s="2338"/>
      <c r="I3" s="2338"/>
      <c r="J3" s="2338"/>
      <c r="K3" s="2338"/>
      <c r="L3" s="2338"/>
      <c r="M3" s="2338"/>
      <c r="N3" s="2338"/>
      <c r="O3" s="2338"/>
      <c r="P3" s="2338"/>
      <c r="Q3" s="2338"/>
      <c r="R3" s="2338"/>
      <c r="S3" s="3640" t="s">
        <v>3923</v>
      </c>
      <c r="T3" s="3640"/>
      <c r="U3" s="3641"/>
      <c r="V3" s="2491"/>
      <c r="W3" s="2491"/>
      <c r="X3" s="2491"/>
      <c r="Y3" s="2491"/>
      <c r="Z3" s="1118">
        <f>[22]год!$B$91</f>
        <v>105.89</v>
      </c>
      <c r="AA3" s="1118">
        <f>[22]год!$C$91</f>
        <v>105.07936887282534</v>
      </c>
      <c r="AB3" s="1118">
        <f>[22]год!$D$91</f>
        <v>104.65778158784902</v>
      </c>
    </row>
    <row r="4" spans="1:41" ht="37.5" customHeight="1">
      <c r="A4" s="2338"/>
      <c r="B4" s="2338"/>
      <c r="C4" s="2338"/>
      <c r="D4" s="2338"/>
      <c r="E4" s="2338"/>
      <c r="F4" s="3637"/>
      <c r="G4" s="3637"/>
      <c r="H4" s="2338"/>
      <c r="I4" s="2338"/>
      <c r="J4" s="2338"/>
      <c r="K4" s="2338"/>
      <c r="L4" s="2338"/>
      <c r="M4" s="2338"/>
      <c r="N4" s="2338"/>
      <c r="O4" s="2338"/>
      <c r="P4" s="2338"/>
      <c r="Q4" s="2338"/>
      <c r="R4" s="2338"/>
      <c r="S4" s="3640"/>
      <c r="T4" s="3640"/>
      <c r="U4" s="3641"/>
      <c r="V4" s="2491"/>
      <c r="W4" s="2491"/>
      <c r="X4" s="2491"/>
      <c r="Y4" s="2491"/>
      <c r="Z4" s="1118" t="b">
        <f>Z3/100=AA19</f>
        <v>1</v>
      </c>
      <c r="AA4" s="1118" t="b">
        <f t="shared" ref="AA4:AB4" si="0">AA3/100=AB19</f>
        <v>1</v>
      </c>
      <c r="AB4" s="1118" t="b">
        <f t="shared" si="0"/>
        <v>1</v>
      </c>
    </row>
    <row r="5" spans="1:41" ht="15" customHeight="1">
      <c r="A5" s="2338"/>
      <c r="B5" s="2338"/>
      <c r="C5" s="2338"/>
      <c r="D5" s="2338"/>
      <c r="E5" s="2338"/>
      <c r="F5" s="3637"/>
      <c r="G5" s="3637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3640" t="s">
        <v>3847</v>
      </c>
      <c r="T5" s="3640"/>
      <c r="U5" s="3641"/>
      <c r="V5" s="2491"/>
      <c r="W5" s="2491"/>
      <c r="X5" s="2491"/>
      <c r="Y5" s="2491"/>
      <c r="AJ5" s="2408"/>
      <c r="AK5" s="2408"/>
    </row>
    <row r="6" spans="1:41" ht="30.75" customHeight="1">
      <c r="A6" s="2313"/>
      <c r="B6" s="2994" t="s">
        <v>4282</v>
      </c>
      <c r="C6" s="2994"/>
      <c r="D6" s="2994"/>
      <c r="E6" s="2994"/>
      <c r="F6" s="2994"/>
      <c r="G6" s="2994"/>
      <c r="H6" s="2994"/>
      <c r="I6" s="2994"/>
      <c r="J6" s="2994"/>
      <c r="K6" s="2994"/>
      <c r="L6" s="2994"/>
      <c r="M6" s="2994"/>
      <c r="N6" s="2994"/>
      <c r="O6" s="2994"/>
      <c r="P6" s="2994"/>
      <c r="Q6" s="2994"/>
      <c r="R6" s="2994"/>
      <c r="S6" s="2994"/>
      <c r="T6" s="2313"/>
      <c r="U6" s="2313"/>
      <c r="V6" s="2313"/>
      <c r="W6" s="2313"/>
      <c r="X6" s="2313"/>
      <c r="Y6" s="2313"/>
      <c r="AJ6" s="2408"/>
      <c r="AK6" s="2408"/>
    </row>
    <row r="7" spans="1:41" ht="15.75">
      <c r="A7" s="2313"/>
      <c r="B7" s="2973"/>
      <c r="C7" s="2973"/>
      <c r="D7" s="2973"/>
      <c r="E7" s="2973"/>
      <c r="F7" s="2973"/>
      <c r="G7" s="2973"/>
      <c r="H7" s="2973"/>
      <c r="I7" s="2973"/>
      <c r="J7" s="2973"/>
      <c r="K7" s="2973"/>
      <c r="L7" s="2973"/>
      <c r="M7" s="2973"/>
      <c r="N7" s="2973"/>
      <c r="O7" s="2973"/>
      <c r="P7" s="2973"/>
      <c r="Q7" s="2973"/>
      <c r="R7" s="2973"/>
      <c r="S7" s="2973"/>
      <c r="T7" s="2313"/>
      <c r="U7" s="2313"/>
      <c r="V7" s="2313"/>
      <c r="W7" s="2313"/>
      <c r="X7" s="2313"/>
      <c r="Y7" s="2313"/>
      <c r="AJ7" s="2408"/>
      <c r="AK7" s="2408"/>
    </row>
    <row r="8" spans="1:41" ht="22.5" customHeight="1" thickBot="1">
      <c r="A8" s="2338"/>
      <c r="B8" s="2995" t="s">
        <v>3848</v>
      </c>
      <c r="C8" s="2995"/>
      <c r="D8" s="2995"/>
      <c r="E8" s="2995"/>
      <c r="F8" s="2995"/>
      <c r="G8" s="2996"/>
      <c r="H8" s="2996"/>
      <c r="I8" s="2996"/>
      <c r="J8" s="2996"/>
      <c r="K8" s="2996"/>
      <c r="L8" s="2996"/>
      <c r="M8" s="2996"/>
      <c r="N8" s="2996"/>
      <c r="O8" s="2996"/>
      <c r="P8" s="2996"/>
      <c r="Q8" s="2996"/>
      <c r="R8" s="2996"/>
      <c r="S8" s="2996"/>
      <c r="T8" s="2996"/>
      <c r="U8" s="2966"/>
      <c r="V8" s="2483"/>
      <c r="W8" s="2483"/>
      <c r="X8" s="2483"/>
      <c r="Y8" s="2483"/>
      <c r="AJ8" s="2408"/>
      <c r="AK8" s="2408"/>
    </row>
    <row r="9" spans="1:41" ht="19.5" customHeight="1" thickBot="1">
      <c r="A9" s="3642"/>
      <c r="B9" s="3643"/>
      <c r="C9" s="3643"/>
      <c r="D9" s="3643"/>
      <c r="E9" s="3643"/>
      <c r="F9" s="3644"/>
      <c r="G9" s="3645" t="s">
        <v>3965</v>
      </c>
      <c r="H9" s="3646"/>
      <c r="I9" s="3646"/>
      <c r="J9" s="3646"/>
      <c r="K9" s="3646"/>
      <c r="L9" s="3646"/>
      <c r="M9" s="3646"/>
      <c r="N9" s="3646"/>
      <c r="O9" s="3646"/>
      <c r="P9" s="3646"/>
      <c r="Q9" s="3646"/>
      <c r="R9" s="3646"/>
      <c r="S9" s="3646"/>
      <c r="T9" s="3646"/>
      <c r="U9" s="3647"/>
      <c r="V9" s="2313"/>
      <c r="W9" s="2313"/>
      <c r="X9" s="2313"/>
      <c r="Y9" s="2313"/>
    </row>
    <row r="10" spans="1:41" ht="45" customHeight="1">
      <c r="A10" s="3648" t="s">
        <v>0</v>
      </c>
      <c r="B10" s="3009" t="s">
        <v>3849</v>
      </c>
      <c r="C10" s="3010" t="s">
        <v>3850</v>
      </c>
      <c r="D10" s="3012" t="s">
        <v>3851</v>
      </c>
      <c r="E10" s="3012" t="s">
        <v>3852</v>
      </c>
      <c r="F10" s="2990" t="s">
        <v>3853</v>
      </c>
      <c r="G10" s="3002" t="s">
        <v>3854</v>
      </c>
      <c r="H10" s="3004" t="s">
        <v>3855</v>
      </c>
      <c r="I10" s="3005"/>
      <c r="J10" s="3005"/>
      <c r="K10" s="3005"/>
      <c r="L10" s="3006"/>
      <c r="M10" s="3004" t="s">
        <v>3856</v>
      </c>
      <c r="N10" s="3005"/>
      <c r="O10" s="3005"/>
      <c r="P10" s="3005"/>
      <c r="Q10" s="3006"/>
      <c r="R10" s="3004" t="s">
        <v>3857</v>
      </c>
      <c r="S10" s="3005"/>
      <c r="T10" s="3005"/>
      <c r="U10" s="3006"/>
      <c r="V10" s="3099" t="s">
        <v>3978</v>
      </c>
      <c r="W10" s="3100"/>
      <c r="X10" s="3100"/>
      <c r="Y10" s="3101"/>
      <c r="Z10" s="3093" t="s">
        <v>3858</v>
      </c>
      <c r="AA10" s="3093"/>
      <c r="AB10" s="3093"/>
      <c r="AC10" s="3093"/>
      <c r="AD10" s="3102" t="s">
        <v>3979</v>
      </c>
      <c r="AE10" s="3103"/>
      <c r="AF10" s="3103"/>
      <c r="AG10" s="3104"/>
      <c r="AH10" s="2779" t="s">
        <v>3980</v>
      </c>
      <c r="AI10" s="2500" t="s">
        <v>3974</v>
      </c>
      <c r="AJ10" s="2500" t="s">
        <v>3975</v>
      </c>
      <c r="AK10" s="2893" t="s">
        <v>4262</v>
      </c>
      <c r="AL10" s="2894" t="s">
        <v>4263</v>
      </c>
      <c r="AM10" s="2893" t="s">
        <v>4264</v>
      </c>
      <c r="AO10" s="1118" t="s">
        <v>4000</v>
      </c>
    </row>
    <row r="11" spans="1:41" ht="54" customHeight="1" thickBot="1">
      <c r="A11" s="3649"/>
      <c r="B11" s="3002"/>
      <c r="C11" s="3011"/>
      <c r="D11" s="3013"/>
      <c r="E11" s="3013"/>
      <c r="F11" s="2991"/>
      <c r="G11" s="3003"/>
      <c r="H11" s="2982">
        <v>2015</v>
      </c>
      <c r="I11" s="2971">
        <v>2016</v>
      </c>
      <c r="J11" s="2971">
        <v>2017</v>
      </c>
      <c r="K11" s="2971" t="s">
        <v>3925</v>
      </c>
      <c r="L11" s="2508" t="s">
        <v>2559</v>
      </c>
      <c r="M11" s="2971">
        <f>H11</f>
        <v>2015</v>
      </c>
      <c r="N11" s="2971">
        <f>I11</f>
        <v>2016</v>
      </c>
      <c r="O11" s="2971">
        <f>J11</f>
        <v>2017</v>
      </c>
      <c r="P11" s="2971" t="s">
        <v>3925</v>
      </c>
      <c r="Q11" s="2508" t="s">
        <v>2559</v>
      </c>
      <c r="R11" s="2971">
        <f>H11</f>
        <v>2015</v>
      </c>
      <c r="S11" s="2971">
        <f>I11</f>
        <v>2016</v>
      </c>
      <c r="T11" s="2380">
        <f>J11</f>
        <v>2017</v>
      </c>
      <c r="U11" s="2971" t="s">
        <v>3925</v>
      </c>
      <c r="V11" s="2496">
        <f>R11</f>
        <v>2015</v>
      </c>
      <c r="W11" s="2496">
        <f>S11</f>
        <v>2016</v>
      </c>
      <c r="X11" s="2496">
        <f>T11</f>
        <v>2017</v>
      </c>
      <c r="Y11" s="2496" t="str">
        <f>U11</f>
        <v>План (в случае отсутствия факта за 3 года)</v>
      </c>
      <c r="Z11" s="2674">
        <v>2016</v>
      </c>
      <c r="AA11" s="2674">
        <v>2017</v>
      </c>
      <c r="AB11" s="2674">
        <v>2018</v>
      </c>
      <c r="AC11" s="2674">
        <v>2019</v>
      </c>
      <c r="AD11" s="2503">
        <f>V11</f>
        <v>2015</v>
      </c>
      <c r="AE11" s="2503">
        <f>W11</f>
        <v>2016</v>
      </c>
      <c r="AF11" s="2503">
        <f>X11</f>
        <v>2017</v>
      </c>
      <c r="AG11" s="2503" t="str">
        <f>Y11</f>
        <v>План (в случае отсутствия факта за 3 года)</v>
      </c>
      <c r="AH11" s="2497" t="s">
        <v>3981</v>
      </c>
      <c r="AI11" s="2505" t="s">
        <v>3976</v>
      </c>
      <c r="AJ11" s="2505" t="s">
        <v>3977</v>
      </c>
      <c r="AK11" s="2881">
        <v>2018</v>
      </c>
      <c r="AL11" s="2890" t="s">
        <v>4265</v>
      </c>
      <c r="AM11" s="2881" t="s">
        <v>4265</v>
      </c>
    </row>
    <row r="12" spans="1:41" ht="15.75" thickBot="1">
      <c r="A12" s="3650">
        <v>1</v>
      </c>
      <c r="B12" s="3651">
        <v>2</v>
      </c>
      <c r="C12" s="3652">
        <v>3</v>
      </c>
      <c r="D12" s="3653"/>
      <c r="E12" s="3653"/>
      <c r="F12" s="3654"/>
      <c r="G12" s="3655">
        <v>4</v>
      </c>
      <c r="H12" s="3656">
        <v>5</v>
      </c>
      <c r="I12" s="3657"/>
      <c r="J12" s="3657"/>
      <c r="K12" s="3658"/>
      <c r="L12" s="3659"/>
      <c r="M12" s="3656">
        <v>6</v>
      </c>
      <c r="N12" s="3657"/>
      <c r="O12" s="3657"/>
      <c r="P12" s="3658"/>
      <c r="Q12" s="3659"/>
      <c r="R12" s="3660">
        <v>7</v>
      </c>
      <c r="S12" s="3657"/>
      <c r="T12" s="3657"/>
      <c r="U12" s="3661"/>
      <c r="V12" s="3108">
        <v>8</v>
      </c>
      <c r="W12" s="3022"/>
      <c r="X12" s="3022"/>
      <c r="Y12" s="2481"/>
      <c r="Z12" s="3022">
        <v>9</v>
      </c>
      <c r="AA12" s="3022"/>
      <c r="AB12" s="3022"/>
      <c r="AC12" s="3022"/>
      <c r="AD12" s="3105">
        <v>10</v>
      </c>
      <c r="AE12" s="3106"/>
      <c r="AF12" s="3106"/>
      <c r="AG12" s="3107"/>
      <c r="AH12" s="2498">
        <v>11</v>
      </c>
      <c r="AI12" s="2498">
        <v>12</v>
      </c>
      <c r="AJ12" s="2499">
        <v>13</v>
      </c>
      <c r="AK12" s="2891">
        <v>10</v>
      </c>
      <c r="AL12" s="2892">
        <v>11</v>
      </c>
      <c r="AM12" s="2891">
        <v>12</v>
      </c>
    </row>
    <row r="13" spans="1:41" ht="15" hidden="1" customHeight="1" outlineLevel="1">
      <c r="A13" s="2339"/>
      <c r="B13" s="3032" t="s">
        <v>2952</v>
      </c>
      <c r="C13" s="3034" t="s">
        <v>3859</v>
      </c>
      <c r="D13" s="3036" t="s">
        <v>2949</v>
      </c>
      <c r="E13" s="3037" t="s">
        <v>2950</v>
      </c>
      <c r="F13" s="2381" t="s">
        <v>3860</v>
      </c>
      <c r="G13" s="2968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3"/>
      <c r="S13" s="3663"/>
      <c r="T13" s="3664"/>
      <c r="U13" s="3663"/>
      <c r="V13" s="2504" t="str">
        <f>IFERROR(R13*1000/(H13/1000),"")</f>
        <v/>
      </c>
      <c r="W13" s="2504" t="str">
        <f>IFERROR(S13*1000/(I13/1000),"")</f>
        <v/>
      </c>
      <c r="X13" s="2504" t="str">
        <f>IFERROR(T13*1000/(J13/1000),"")</f>
        <v/>
      </c>
      <c r="Y13" s="2504" t="str">
        <f>IFERROR(U13*1000/(K13/1000),"")</f>
        <v/>
      </c>
      <c r="Z13" s="2614">
        <v>1.0528</v>
      </c>
      <c r="AA13" s="2961">
        <v>1.0589</v>
      </c>
      <c r="AB13" s="2961">
        <v>1.0507936887282501</v>
      </c>
      <c r="AC13" s="2961">
        <v>1.04657781587849</v>
      </c>
      <c r="AD13" s="2444" t="str">
        <f>IFERROR(V13*$Z$13*$AA$13*$AB$13*$AC$13,"")</f>
        <v/>
      </c>
      <c r="AE13" s="2444" t="str">
        <f>IFERROR(W13*$AA$13*$AB$13*$AC$13,"")</f>
        <v/>
      </c>
      <c r="AF13" s="2444" t="str">
        <f>IFERROR(X13*$AB$13*$AC$13,"")</f>
        <v/>
      </c>
      <c r="AG13" s="2319" t="str">
        <f>IFERROR(Y13*AC13*AD13*AE13*AF13,"")</f>
        <v/>
      </c>
      <c r="AH13" s="2444"/>
      <c r="AI13" s="2780"/>
      <c r="AJ13" s="2780" t="str">
        <f>IFERROR((AI13*L13/1000)/Q13,"")</f>
        <v/>
      </c>
      <c r="AK13" s="2896"/>
      <c r="AL13" s="2895">
        <f t="shared" ref="AL13:AL18" si="1">AK13*$AC$13</f>
        <v>0</v>
      </c>
      <c r="AM13" s="2896" t="str">
        <f>IFERROR(AI13/AL13,"")</f>
        <v/>
      </c>
    </row>
    <row r="14" spans="1:41" ht="15" hidden="1" customHeight="1" outlineLevel="1">
      <c r="A14" s="2339"/>
      <c r="B14" s="3033"/>
      <c r="C14" s="3035"/>
      <c r="D14" s="3028"/>
      <c r="E14" s="3029"/>
      <c r="F14" s="2974" t="s">
        <v>3861</v>
      </c>
      <c r="G14" s="2962"/>
      <c r="H14" s="3662"/>
      <c r="I14" s="3662"/>
      <c r="J14" s="3662"/>
      <c r="K14" s="3662"/>
      <c r="L14" s="3662"/>
      <c r="M14" s="3662"/>
      <c r="N14" s="3662"/>
      <c r="O14" s="3662"/>
      <c r="P14" s="3662"/>
      <c r="Q14" s="3662"/>
      <c r="R14" s="2714"/>
      <c r="S14" s="2714"/>
      <c r="T14" s="3665"/>
      <c r="U14" s="2714"/>
      <c r="V14" s="2504" t="str">
        <f t="shared" ref="V14:V60" si="2">IFERROR(R14*1000/(H14/1000),"")</f>
        <v/>
      </c>
      <c r="W14" s="2504" t="str">
        <f t="shared" ref="W14:W60" si="3">IFERROR(S14*1000/(I14/1000),"")</f>
        <v/>
      </c>
      <c r="X14" s="2504" t="str">
        <f t="shared" ref="X14:X60" si="4">IFERROR(T14*1000/(J14/1000),"")</f>
        <v/>
      </c>
      <c r="Y14" s="2504" t="str">
        <f t="shared" ref="Y14:Y60" si="5">IFERROR(U14*1000/(K14/1000),"")</f>
        <v/>
      </c>
      <c r="Z14" s="2775"/>
      <c r="AA14" s="2775"/>
      <c r="AB14" s="2775"/>
      <c r="AC14" s="2775"/>
      <c r="AD14" s="2444" t="str">
        <f t="shared" ref="AD14:AD60" si="6">IFERROR(V14*$Z$13*$AA$13*$AB$13*$AC$13,"")</f>
        <v/>
      </c>
      <c r="AE14" s="2444" t="str">
        <f t="shared" ref="AE14:AE60" si="7">IFERROR(W14*$AA$13*$AB$13*$AC$13,"")</f>
        <v/>
      </c>
      <c r="AF14" s="2444" t="str">
        <f t="shared" ref="AF14:AF60" si="8">IFERROR(X14*$AB$13*$AC$13,"")</f>
        <v/>
      </c>
      <c r="AG14" s="2319"/>
      <c r="AH14" s="2443"/>
      <c r="AI14" s="2780"/>
      <c r="AJ14" s="2780" t="str">
        <f t="shared" ref="AJ14:AJ60" si="9">IFERROR((AI14*L14/1000)/Q14,"")</f>
        <v/>
      </c>
      <c r="AK14" s="2896"/>
      <c r="AL14" s="2895">
        <f t="shared" si="1"/>
        <v>0</v>
      </c>
      <c r="AM14" s="2896" t="str">
        <f t="shared" ref="AM14:AM60" si="10">IFERROR(AI14/AL14,"")</f>
        <v/>
      </c>
    </row>
    <row r="15" spans="1:41" ht="15" hidden="1" customHeight="1" outlineLevel="1">
      <c r="A15" s="2339"/>
      <c r="B15" s="3033"/>
      <c r="C15" s="3035"/>
      <c r="D15" s="3028"/>
      <c r="E15" s="3029"/>
      <c r="F15" s="2974" t="s">
        <v>3862</v>
      </c>
      <c r="G15" s="2962"/>
      <c r="H15" s="3662"/>
      <c r="I15" s="3662"/>
      <c r="J15" s="3662"/>
      <c r="K15" s="3662"/>
      <c r="L15" s="3662"/>
      <c r="M15" s="3662"/>
      <c r="N15" s="3662"/>
      <c r="O15" s="3662"/>
      <c r="P15" s="3662"/>
      <c r="Q15" s="3662"/>
      <c r="R15" s="2714"/>
      <c r="S15" s="2714"/>
      <c r="T15" s="3665"/>
      <c r="U15" s="2714"/>
      <c r="V15" s="2504" t="str">
        <f t="shared" si="2"/>
        <v/>
      </c>
      <c r="W15" s="2504" t="str">
        <f t="shared" si="3"/>
        <v/>
      </c>
      <c r="X15" s="2504" t="str">
        <f t="shared" si="4"/>
        <v/>
      </c>
      <c r="Y15" s="2504" t="str">
        <f t="shared" si="5"/>
        <v/>
      </c>
      <c r="Z15" s="2775"/>
      <c r="AA15" s="2775"/>
      <c r="AB15" s="2775"/>
      <c r="AC15" s="2775"/>
      <c r="AD15" s="2444" t="str">
        <f t="shared" si="6"/>
        <v/>
      </c>
      <c r="AE15" s="2444" t="str">
        <f t="shared" si="7"/>
        <v/>
      </c>
      <c r="AF15" s="2444" t="str">
        <f t="shared" si="8"/>
        <v/>
      </c>
      <c r="AG15" s="2319"/>
      <c r="AH15" s="2443"/>
      <c r="AI15" s="2780"/>
      <c r="AJ15" s="2780" t="str">
        <f t="shared" si="9"/>
        <v/>
      </c>
      <c r="AK15" s="2896"/>
      <c r="AL15" s="2895">
        <f t="shared" si="1"/>
        <v>0</v>
      </c>
      <c r="AM15" s="2896" t="str">
        <f t="shared" si="10"/>
        <v/>
      </c>
    </row>
    <row r="16" spans="1:41" ht="15.75" hidden="1" customHeight="1" outlineLevel="1">
      <c r="A16" s="2339"/>
      <c r="B16" s="3033"/>
      <c r="C16" s="3035"/>
      <c r="D16" s="3028"/>
      <c r="E16" s="3029"/>
      <c r="F16" s="2974" t="s">
        <v>3863</v>
      </c>
      <c r="G16" s="2962"/>
      <c r="H16" s="3662"/>
      <c r="I16" s="3662"/>
      <c r="J16" s="3662"/>
      <c r="K16" s="3662"/>
      <c r="L16" s="3662"/>
      <c r="M16" s="3662"/>
      <c r="N16" s="3662"/>
      <c r="O16" s="3662"/>
      <c r="P16" s="3662"/>
      <c r="Q16" s="3662"/>
      <c r="R16" s="2714"/>
      <c r="S16" s="2714"/>
      <c r="T16" s="3665"/>
      <c r="U16" s="2714"/>
      <c r="V16" s="2504" t="str">
        <f t="shared" si="2"/>
        <v/>
      </c>
      <c r="W16" s="2504" t="str">
        <f t="shared" si="3"/>
        <v/>
      </c>
      <c r="X16" s="2504" t="str">
        <f t="shared" si="4"/>
        <v/>
      </c>
      <c r="Y16" s="2504" t="str">
        <f t="shared" si="5"/>
        <v/>
      </c>
      <c r="Z16" s="2775"/>
      <c r="AA16" s="2775"/>
      <c r="AB16" s="2775"/>
      <c r="AC16" s="2775"/>
      <c r="AD16" s="2444" t="str">
        <f t="shared" si="6"/>
        <v/>
      </c>
      <c r="AE16" s="2444" t="str">
        <f t="shared" si="7"/>
        <v/>
      </c>
      <c r="AF16" s="2444" t="str">
        <f t="shared" si="8"/>
        <v/>
      </c>
      <c r="AG16" s="2319"/>
      <c r="AH16" s="2443"/>
      <c r="AI16" s="2780"/>
      <c r="AJ16" s="2780" t="str">
        <f t="shared" si="9"/>
        <v/>
      </c>
      <c r="AK16" s="2896"/>
      <c r="AL16" s="2895">
        <f t="shared" si="1"/>
        <v>0</v>
      </c>
      <c r="AM16" s="2896" t="str">
        <f t="shared" si="10"/>
        <v/>
      </c>
    </row>
    <row r="17" spans="1:41" ht="13.5" hidden="1" customHeight="1" outlineLevel="1">
      <c r="A17" s="2339"/>
      <c r="B17" s="3033"/>
      <c r="C17" s="3035"/>
      <c r="D17" s="3028"/>
      <c r="E17" s="3029"/>
      <c r="F17" s="2680" t="s">
        <v>3864</v>
      </c>
      <c r="G17" s="2612"/>
      <c r="H17" s="3662"/>
      <c r="I17" s="3662"/>
      <c r="J17" s="3662"/>
      <c r="K17" s="3662"/>
      <c r="L17" s="3662"/>
      <c r="M17" s="3662"/>
      <c r="N17" s="3662"/>
      <c r="O17" s="3662"/>
      <c r="P17" s="3662"/>
      <c r="Q17" s="3662"/>
      <c r="R17" s="2714"/>
      <c r="S17" s="2714"/>
      <c r="T17" s="3665"/>
      <c r="U17" s="2714"/>
      <c r="V17" s="2504" t="str">
        <f t="shared" si="2"/>
        <v/>
      </c>
      <c r="W17" s="2504" t="str">
        <f t="shared" si="3"/>
        <v/>
      </c>
      <c r="X17" s="2504" t="str">
        <f t="shared" si="4"/>
        <v/>
      </c>
      <c r="Y17" s="2504" t="str">
        <f t="shared" si="5"/>
        <v/>
      </c>
      <c r="Z17" s="2775"/>
      <c r="AA17" s="2775"/>
      <c r="AB17" s="2775"/>
      <c r="AC17" s="2775"/>
      <c r="AD17" s="2444" t="str">
        <f t="shared" si="6"/>
        <v/>
      </c>
      <c r="AE17" s="2444" t="str">
        <f t="shared" si="7"/>
        <v/>
      </c>
      <c r="AF17" s="2444" t="str">
        <f t="shared" si="8"/>
        <v/>
      </c>
      <c r="AG17" s="2319"/>
      <c r="AH17" s="2443"/>
      <c r="AI17" s="2780"/>
      <c r="AJ17" s="2780" t="str">
        <f t="shared" si="9"/>
        <v/>
      </c>
      <c r="AK17" s="2896"/>
      <c r="AL17" s="2895">
        <f t="shared" si="1"/>
        <v>0</v>
      </c>
      <c r="AM17" s="2896" t="str">
        <f t="shared" si="10"/>
        <v/>
      </c>
    </row>
    <row r="18" spans="1:41" ht="15" hidden="1" customHeight="1" outlineLevel="1">
      <c r="A18" s="2339"/>
      <c r="B18" s="3033"/>
      <c r="C18" s="3035"/>
      <c r="D18" s="3028"/>
      <c r="E18" s="3029"/>
      <c r="F18" s="2680" t="s">
        <v>3865</v>
      </c>
      <c r="G18" s="2612"/>
      <c r="H18" s="3662"/>
      <c r="I18" s="3662"/>
      <c r="J18" s="3662"/>
      <c r="K18" s="3662"/>
      <c r="L18" s="3662"/>
      <c r="M18" s="3662"/>
      <c r="N18" s="3662"/>
      <c r="O18" s="3662"/>
      <c r="P18" s="3662"/>
      <c r="Q18" s="3662"/>
      <c r="R18" s="2714"/>
      <c r="S18" s="2714"/>
      <c r="T18" s="3665"/>
      <c r="U18" s="2714"/>
      <c r="V18" s="2504" t="str">
        <f t="shared" si="2"/>
        <v/>
      </c>
      <c r="W18" s="2504" t="str">
        <f t="shared" si="3"/>
        <v/>
      </c>
      <c r="X18" s="2504" t="str">
        <f t="shared" si="4"/>
        <v/>
      </c>
      <c r="Y18" s="2504" t="str">
        <f t="shared" si="5"/>
        <v/>
      </c>
      <c r="Z18" s="2775"/>
      <c r="AA18" s="2775"/>
      <c r="AB18" s="2775"/>
      <c r="AC18" s="2775"/>
      <c r="AD18" s="2444" t="str">
        <f t="shared" si="6"/>
        <v/>
      </c>
      <c r="AE18" s="2444" t="str">
        <f t="shared" si="7"/>
        <v/>
      </c>
      <c r="AF18" s="2444" t="str">
        <f t="shared" si="8"/>
        <v/>
      </c>
      <c r="AG18" s="2319"/>
      <c r="AH18" s="2443"/>
      <c r="AI18" s="2780"/>
      <c r="AJ18" s="2780" t="str">
        <f t="shared" si="9"/>
        <v/>
      </c>
      <c r="AK18" s="2896"/>
      <c r="AL18" s="2895">
        <f t="shared" si="1"/>
        <v>0</v>
      </c>
      <c r="AM18" s="2896" t="str">
        <f t="shared" si="10"/>
        <v/>
      </c>
    </row>
    <row r="19" spans="1:41" ht="15" customHeight="1" collapsed="1">
      <c r="A19" s="2339"/>
      <c r="B19" s="3033"/>
      <c r="C19" s="3035"/>
      <c r="D19" s="3028"/>
      <c r="E19" s="3029" t="s">
        <v>2946</v>
      </c>
      <c r="F19" s="2974" t="s">
        <v>3860</v>
      </c>
      <c r="G19" s="2962"/>
      <c r="H19" s="3666">
        <f>'приложение 1(1)'!H19+'приложение 1(1)'!H77</f>
        <v>1720</v>
      </c>
      <c r="I19" s="3667">
        <f>'приложение 1(1)'!I19</f>
        <v>490</v>
      </c>
      <c r="J19" s="3667">
        <f>'приложение 1(1)'!J19+'приложение 1(1)'!J77</f>
        <v>2749.0000000000005</v>
      </c>
      <c r="K19" s="3667"/>
      <c r="L19" s="3668">
        <f t="shared" ref="L19:L49" si="11">SUM(H19:J19)</f>
        <v>4959</v>
      </c>
      <c r="M19" s="3669">
        <f>'приложение 1(1)'!M19+'приложение 1(1)'!M77</f>
        <v>120.4</v>
      </c>
      <c r="N19" s="3669">
        <f>'приложение 1(1)'!N19</f>
        <v>24</v>
      </c>
      <c r="O19" s="3669">
        <f>'приложение 1(1)'!O19+'приложение 1(1)'!O77</f>
        <v>306.5</v>
      </c>
      <c r="P19" s="3669"/>
      <c r="Q19" s="3668">
        <f t="shared" ref="Q19:Q49" si="12">SUM(M19:O19)</f>
        <v>450.9</v>
      </c>
      <c r="R19" s="2714">
        <f>'приложение 1(1)'!R19+'приложение 1(1)'!R77</f>
        <v>638.80056999999999</v>
      </c>
      <c r="S19" s="2714">
        <f>'приложение 1(1)'!S19</f>
        <v>256.41282000000001</v>
      </c>
      <c r="T19" s="3665">
        <f>'приложение 1(1)'!T19+'приложение 1(1)'!T77</f>
        <v>2298.3850899999998</v>
      </c>
      <c r="U19" s="2714"/>
      <c r="V19" s="2776">
        <f>IFERROR(R19*1000/(H19/1000),"")</f>
        <v>371395.68023255811</v>
      </c>
      <c r="W19" s="2776">
        <f t="shared" si="3"/>
        <v>523291.46938775515</v>
      </c>
      <c r="X19" s="2776">
        <f t="shared" si="4"/>
        <v>836080.42560931225</v>
      </c>
      <c r="Y19" s="2504" t="str">
        <f t="shared" si="5"/>
        <v/>
      </c>
      <c r="Z19" s="2775">
        <f>$Z$13</f>
        <v>1.0528</v>
      </c>
      <c r="AA19" s="2775">
        <f>$AA$13</f>
        <v>1.0589</v>
      </c>
      <c r="AB19" s="2775">
        <f>$AB$13</f>
        <v>1.0507936887282501</v>
      </c>
      <c r="AC19" s="2775">
        <f>$AC$13</f>
        <v>1.04657781587849</v>
      </c>
      <c r="AD19" s="2446">
        <f>IFERROR(V19*$Z$19*$AA$19*$AB$19*$AC$19,"")</f>
        <v>455330.40664527274</v>
      </c>
      <c r="AE19" s="2446">
        <f>IFERROR(W19*$AA$19*$AB$19*$AC$19,"")</f>
        <v>609379.14034498378</v>
      </c>
      <c r="AF19" s="2446">
        <f>IFERROR(X19*$AB$19*$AC$19,"")</f>
        <v>919468.88309082121</v>
      </c>
      <c r="AG19" s="2319"/>
      <c r="AH19" s="2507">
        <f>SUM(AD19:AF19)</f>
        <v>1984178.4300810779</v>
      </c>
      <c r="AI19" s="2780">
        <f>AH19/3</f>
        <v>661392.81002702599</v>
      </c>
      <c r="AJ19" s="2780">
        <f>IFERROR((AI19*L19/1000)/Q19,"")</f>
        <v>7274.0007649678901</v>
      </c>
      <c r="AK19" s="2896">
        <f>'Утв.СТС 2018г'!H20</f>
        <v>626875.99</v>
      </c>
      <c r="AL19" s="2895">
        <f>AK19*$AC$13</f>
        <v>656074.50444086606</v>
      </c>
      <c r="AM19" s="2897">
        <f>IFERROR(AI19/AL19,"")</f>
        <v>1.008106252491388</v>
      </c>
      <c r="AO19" s="2506">
        <f>AI19*L19/1000000</f>
        <v>3279.8469449240215</v>
      </c>
    </row>
    <row r="20" spans="1:41" ht="15" customHeight="1">
      <c r="A20" s="2339"/>
      <c r="B20" s="3033"/>
      <c r="C20" s="3035"/>
      <c r="D20" s="3028"/>
      <c r="E20" s="3029"/>
      <c r="F20" s="2974" t="s">
        <v>3861</v>
      </c>
      <c r="G20" s="2962"/>
      <c r="H20" s="3666"/>
      <c r="I20" s="3667"/>
      <c r="J20" s="3667">
        <f>'приложение 1(1)'!J20</f>
        <v>780</v>
      </c>
      <c r="K20" s="3667"/>
      <c r="L20" s="3668">
        <f t="shared" si="11"/>
        <v>780</v>
      </c>
      <c r="M20" s="3669"/>
      <c r="N20" s="3669"/>
      <c r="O20" s="3669">
        <f>'приложение 1(1)'!O20</f>
        <v>16.55</v>
      </c>
      <c r="P20" s="3669"/>
      <c r="Q20" s="3668">
        <f t="shared" si="12"/>
        <v>16.55</v>
      </c>
      <c r="R20" s="2714"/>
      <c r="S20" s="2714"/>
      <c r="T20" s="3665">
        <f>'приложение 1(1)'!T20</f>
        <v>504.04991000000001</v>
      </c>
      <c r="U20" s="2714"/>
      <c r="V20" s="2776" t="str">
        <f t="shared" si="2"/>
        <v/>
      </c>
      <c r="W20" s="2776" t="str">
        <f t="shared" si="3"/>
        <v/>
      </c>
      <c r="X20" s="2776">
        <f t="shared" si="4"/>
        <v>646217.83333333337</v>
      </c>
      <c r="Y20" s="2504" t="str">
        <f t="shared" si="5"/>
        <v/>
      </c>
      <c r="Z20" s="2775">
        <f>$Z$13</f>
        <v>1.0528</v>
      </c>
      <c r="AA20" s="2775">
        <f>$AA$13</f>
        <v>1.0589</v>
      </c>
      <c r="AB20" s="2775">
        <f>$AB$13</f>
        <v>1.0507936887282501</v>
      </c>
      <c r="AC20" s="2775">
        <f>$AC$13</f>
        <v>1.04657781587849</v>
      </c>
      <c r="AD20" s="2446" t="str">
        <f t="shared" si="6"/>
        <v/>
      </c>
      <c r="AE20" s="2446" t="str">
        <f t="shared" si="7"/>
        <v/>
      </c>
      <c r="AF20" s="2446">
        <f>IFERROR(X20*$AB$20*$AC$20,"")</f>
        <v>710669.89639824501</v>
      </c>
      <c r="AG20" s="2319"/>
      <c r="AH20" s="2507">
        <f t="shared" ref="AH20:AH25" si="13">SUM(AD20:AF20)</f>
        <v>710669.89639824501</v>
      </c>
      <c r="AI20" s="2780">
        <f>AH20/1</f>
        <v>710669.89639824501</v>
      </c>
      <c r="AJ20" s="2780">
        <f t="shared" si="9"/>
        <v>33493.807806080426</v>
      </c>
      <c r="AK20" s="2896"/>
      <c r="AL20" s="2895">
        <f t="shared" ref="AL20:AL60" si="14">AK20*$AC$13</f>
        <v>0</v>
      </c>
      <c r="AM20" s="2896" t="str">
        <f t="shared" si="10"/>
        <v/>
      </c>
      <c r="AO20" s="2506">
        <f>AI20*L20/1000000</f>
        <v>554.32251919063117</v>
      </c>
    </row>
    <row r="21" spans="1:41" ht="15" hidden="1" customHeight="1" outlineLevel="1">
      <c r="A21" s="2339"/>
      <c r="B21" s="3033"/>
      <c r="C21" s="3035"/>
      <c r="D21" s="3028"/>
      <c r="E21" s="3029"/>
      <c r="F21" s="2974" t="s">
        <v>3862</v>
      </c>
      <c r="G21" s="2962"/>
      <c r="H21" s="3666"/>
      <c r="I21" s="3667"/>
      <c r="J21" s="3667"/>
      <c r="K21" s="3667"/>
      <c r="L21" s="3668"/>
      <c r="M21" s="3669"/>
      <c r="N21" s="3669"/>
      <c r="O21" s="3669"/>
      <c r="P21" s="3669"/>
      <c r="Q21" s="3668"/>
      <c r="R21" s="2714"/>
      <c r="S21" s="2714"/>
      <c r="T21" s="3665"/>
      <c r="U21" s="2714"/>
      <c r="V21" s="2776" t="str">
        <f t="shared" si="2"/>
        <v/>
      </c>
      <c r="W21" s="2776" t="str">
        <f t="shared" si="3"/>
        <v/>
      </c>
      <c r="X21" s="2776" t="str">
        <f t="shared" si="4"/>
        <v/>
      </c>
      <c r="Y21" s="2504" t="str">
        <f t="shared" si="5"/>
        <v/>
      </c>
      <c r="Z21" s="2775"/>
      <c r="AA21" s="2775"/>
      <c r="AB21" s="2775"/>
      <c r="AC21" s="2775"/>
      <c r="AD21" s="2446" t="str">
        <f t="shared" si="6"/>
        <v/>
      </c>
      <c r="AE21" s="2446" t="str">
        <f t="shared" si="7"/>
        <v/>
      </c>
      <c r="AF21" s="2446" t="str">
        <f t="shared" si="8"/>
        <v/>
      </c>
      <c r="AG21" s="2319"/>
      <c r="AH21" s="2507"/>
      <c r="AI21" s="2780"/>
      <c r="AJ21" s="2780" t="str">
        <f t="shared" si="9"/>
        <v/>
      </c>
      <c r="AK21" s="2896"/>
      <c r="AL21" s="2895">
        <f t="shared" si="14"/>
        <v>0</v>
      </c>
      <c r="AM21" s="2896" t="str">
        <f t="shared" si="10"/>
        <v/>
      </c>
    </row>
    <row r="22" spans="1:41" ht="15.75" hidden="1" customHeight="1" outlineLevel="1">
      <c r="A22" s="2339"/>
      <c r="B22" s="3033"/>
      <c r="C22" s="3035"/>
      <c r="D22" s="3028"/>
      <c r="E22" s="3029"/>
      <c r="F22" s="2974" t="s">
        <v>3863</v>
      </c>
      <c r="G22" s="2962"/>
      <c r="H22" s="3670"/>
      <c r="I22" s="3671"/>
      <c r="J22" s="3671"/>
      <c r="K22" s="3671"/>
      <c r="L22" s="3668"/>
      <c r="M22" s="3672"/>
      <c r="N22" s="3672"/>
      <c r="O22" s="2714"/>
      <c r="P22" s="2714"/>
      <c r="Q22" s="3668"/>
      <c r="R22" s="2714"/>
      <c r="S22" s="2714"/>
      <c r="T22" s="3665"/>
      <c r="U22" s="2714"/>
      <c r="V22" s="2776" t="str">
        <f t="shared" si="2"/>
        <v/>
      </c>
      <c r="W22" s="2776" t="str">
        <f t="shared" si="3"/>
        <v/>
      </c>
      <c r="X22" s="2776" t="str">
        <f t="shared" si="4"/>
        <v/>
      </c>
      <c r="Y22" s="2504" t="str">
        <f t="shared" si="5"/>
        <v/>
      </c>
      <c r="Z22" s="2775"/>
      <c r="AA22" s="2775"/>
      <c r="AB22" s="2775"/>
      <c r="AC22" s="2775"/>
      <c r="AD22" s="2446" t="str">
        <f t="shared" si="6"/>
        <v/>
      </c>
      <c r="AE22" s="2446" t="str">
        <f t="shared" si="7"/>
        <v/>
      </c>
      <c r="AF22" s="2446" t="str">
        <f t="shared" si="8"/>
        <v/>
      </c>
      <c r="AG22" s="2319"/>
      <c r="AH22" s="2507"/>
      <c r="AI22" s="2780"/>
      <c r="AJ22" s="2780" t="str">
        <f t="shared" si="9"/>
        <v/>
      </c>
      <c r="AK22" s="2896"/>
      <c r="AL22" s="2895">
        <f t="shared" si="14"/>
        <v>0</v>
      </c>
      <c r="AM22" s="2896" t="str">
        <f t="shared" si="10"/>
        <v/>
      </c>
    </row>
    <row r="23" spans="1:41" ht="15" hidden="1" customHeight="1" outlineLevel="1">
      <c r="A23" s="2339"/>
      <c r="B23" s="3033"/>
      <c r="C23" s="3035"/>
      <c r="D23" s="3028"/>
      <c r="E23" s="3029"/>
      <c r="F23" s="2680" t="s">
        <v>3864</v>
      </c>
      <c r="G23" s="2612"/>
      <c r="H23" s="3670"/>
      <c r="I23" s="3671"/>
      <c r="J23" s="3671"/>
      <c r="K23" s="3671"/>
      <c r="L23" s="3668"/>
      <c r="M23" s="3672"/>
      <c r="N23" s="3672"/>
      <c r="O23" s="2714"/>
      <c r="P23" s="2714"/>
      <c r="Q23" s="3668"/>
      <c r="R23" s="2714"/>
      <c r="S23" s="2714"/>
      <c r="T23" s="3665"/>
      <c r="U23" s="2714"/>
      <c r="V23" s="2776" t="str">
        <f t="shared" si="2"/>
        <v/>
      </c>
      <c r="W23" s="2776" t="str">
        <f t="shared" si="3"/>
        <v/>
      </c>
      <c r="X23" s="2776" t="str">
        <f t="shared" si="4"/>
        <v/>
      </c>
      <c r="Y23" s="2504" t="str">
        <f t="shared" si="5"/>
        <v/>
      </c>
      <c r="Z23" s="2775"/>
      <c r="AA23" s="2775"/>
      <c r="AB23" s="2775"/>
      <c r="AC23" s="2775"/>
      <c r="AD23" s="2446" t="str">
        <f t="shared" si="6"/>
        <v/>
      </c>
      <c r="AE23" s="2446" t="str">
        <f t="shared" si="7"/>
        <v/>
      </c>
      <c r="AF23" s="2446" t="str">
        <f t="shared" si="8"/>
        <v/>
      </c>
      <c r="AG23" s="2319"/>
      <c r="AH23" s="2507"/>
      <c r="AI23" s="2780"/>
      <c r="AJ23" s="2780" t="str">
        <f t="shared" si="9"/>
        <v/>
      </c>
      <c r="AK23" s="2896"/>
      <c r="AL23" s="2895">
        <f t="shared" si="14"/>
        <v>0</v>
      </c>
      <c r="AM23" s="2896" t="str">
        <f t="shared" si="10"/>
        <v/>
      </c>
    </row>
    <row r="24" spans="1:41" ht="15" hidden="1" customHeight="1" outlineLevel="1">
      <c r="A24" s="2339"/>
      <c r="B24" s="3033"/>
      <c r="C24" s="3035"/>
      <c r="D24" s="3028"/>
      <c r="E24" s="3029"/>
      <c r="F24" s="2680" t="s">
        <v>3865</v>
      </c>
      <c r="G24" s="2612"/>
      <c r="H24" s="3670"/>
      <c r="I24" s="3671"/>
      <c r="J24" s="3671"/>
      <c r="K24" s="3671"/>
      <c r="L24" s="3668"/>
      <c r="M24" s="3672"/>
      <c r="N24" s="3672"/>
      <c r="O24" s="2714"/>
      <c r="P24" s="2714"/>
      <c r="Q24" s="3668"/>
      <c r="R24" s="2714"/>
      <c r="S24" s="2714"/>
      <c r="T24" s="3665"/>
      <c r="U24" s="2714"/>
      <c r="V24" s="2776" t="str">
        <f t="shared" si="2"/>
        <v/>
      </c>
      <c r="W24" s="2776" t="str">
        <f t="shared" si="3"/>
        <v/>
      </c>
      <c r="X24" s="2776" t="str">
        <f t="shared" si="4"/>
        <v/>
      </c>
      <c r="Y24" s="2504" t="str">
        <f t="shared" si="5"/>
        <v/>
      </c>
      <c r="Z24" s="2775"/>
      <c r="AA24" s="2775"/>
      <c r="AB24" s="2775"/>
      <c r="AC24" s="2775"/>
      <c r="AD24" s="2446" t="str">
        <f t="shared" si="6"/>
        <v/>
      </c>
      <c r="AE24" s="2446" t="str">
        <f t="shared" si="7"/>
        <v/>
      </c>
      <c r="AF24" s="2446" t="str">
        <f t="shared" si="8"/>
        <v/>
      </c>
      <c r="AG24" s="2319"/>
      <c r="AH24" s="2507"/>
      <c r="AI24" s="2780"/>
      <c r="AJ24" s="2780" t="str">
        <f t="shared" si="9"/>
        <v/>
      </c>
      <c r="AK24" s="2896"/>
      <c r="AL24" s="2895">
        <f t="shared" si="14"/>
        <v>0</v>
      </c>
      <c r="AM24" s="2896" t="str">
        <f t="shared" si="10"/>
        <v/>
      </c>
    </row>
    <row r="25" spans="1:41" ht="15" customHeight="1" collapsed="1" thickBot="1">
      <c r="A25" s="2339"/>
      <c r="B25" s="3033"/>
      <c r="C25" s="3035"/>
      <c r="D25" s="3028" t="s">
        <v>2954</v>
      </c>
      <c r="E25" s="3029" t="s">
        <v>2950</v>
      </c>
      <c r="F25" s="2974" t="s">
        <v>3860</v>
      </c>
      <c r="G25" s="2962"/>
      <c r="H25" s="3670"/>
      <c r="I25" s="3671"/>
      <c r="J25" s="3671">
        <f>'приложение 1(1)'!J25</f>
        <v>80</v>
      </c>
      <c r="K25" s="3671"/>
      <c r="L25" s="3668">
        <f t="shared" si="11"/>
        <v>80</v>
      </c>
      <c r="M25" s="3672"/>
      <c r="N25" s="3672"/>
      <c r="O25" s="3671">
        <f>'приложение 1(1)'!O25</f>
        <v>4.3</v>
      </c>
      <c r="P25" s="2714"/>
      <c r="Q25" s="3668">
        <f t="shared" si="12"/>
        <v>4.3</v>
      </c>
      <c r="R25" s="2714"/>
      <c r="S25" s="2714"/>
      <c r="T25" s="3671">
        <f>'приложение 1(1)'!T25</f>
        <v>57.053809999999999</v>
      </c>
      <c r="U25" s="2714"/>
      <c r="V25" s="2776" t="str">
        <f t="shared" si="2"/>
        <v/>
      </c>
      <c r="W25" s="2776" t="str">
        <f t="shared" si="3"/>
        <v/>
      </c>
      <c r="X25" s="2776">
        <f t="shared" si="4"/>
        <v>713172.625</v>
      </c>
      <c r="Y25" s="2504" t="str">
        <f t="shared" si="5"/>
        <v/>
      </c>
      <c r="Z25" s="2775">
        <f>$Z$13</f>
        <v>1.0528</v>
      </c>
      <c r="AA25" s="2775">
        <f>$AA$13</f>
        <v>1.0589</v>
      </c>
      <c r="AB25" s="2775">
        <f>$AB$13</f>
        <v>1.0507936887282501</v>
      </c>
      <c r="AC25" s="2775">
        <f>$AC$13</f>
        <v>1.04657781587849</v>
      </c>
      <c r="AD25" s="2446" t="str">
        <f t="shared" si="6"/>
        <v/>
      </c>
      <c r="AE25" s="2446" t="str">
        <f t="shared" si="7"/>
        <v/>
      </c>
      <c r="AF25" s="2446">
        <f>IFERROR(X25*$AB$25*$AC$25,"")</f>
        <v>784302.58247203182</v>
      </c>
      <c r="AG25" s="2319"/>
      <c r="AH25" s="2507">
        <f t="shared" si="13"/>
        <v>784302.58247203182</v>
      </c>
      <c r="AI25" s="2780">
        <f>AH25/1</f>
        <v>784302.58247203182</v>
      </c>
      <c r="AJ25" s="2780">
        <f t="shared" si="9"/>
        <v>14591.675952968035</v>
      </c>
      <c r="AK25" s="2896"/>
      <c r="AL25" s="2895">
        <f t="shared" si="14"/>
        <v>0</v>
      </c>
      <c r="AM25" s="2896" t="str">
        <f t="shared" si="10"/>
        <v/>
      </c>
      <c r="AO25" s="2506">
        <f>AI25*L25/1000000</f>
        <v>62.744206597762549</v>
      </c>
    </row>
    <row r="26" spans="1:41" ht="15" hidden="1" customHeight="1" outlineLevel="1">
      <c r="A26" s="2339"/>
      <c r="B26" s="3033"/>
      <c r="C26" s="3035"/>
      <c r="D26" s="3028"/>
      <c r="E26" s="3029"/>
      <c r="F26" s="2974" t="s">
        <v>3861</v>
      </c>
      <c r="G26" s="2962"/>
      <c r="H26" s="3670"/>
      <c r="I26" s="3671"/>
      <c r="J26" s="3671"/>
      <c r="K26" s="3671"/>
      <c r="L26" s="3668"/>
      <c r="M26" s="3672"/>
      <c r="N26" s="3672"/>
      <c r="O26" s="2714"/>
      <c r="P26" s="2714"/>
      <c r="Q26" s="3668"/>
      <c r="R26" s="2714"/>
      <c r="S26" s="2714"/>
      <c r="T26" s="3665"/>
      <c r="U26" s="2714"/>
      <c r="V26" s="2504" t="str">
        <f t="shared" si="2"/>
        <v/>
      </c>
      <c r="W26" s="2504" t="str">
        <f t="shared" si="3"/>
        <v/>
      </c>
      <c r="X26" s="2504" t="str">
        <f t="shared" si="4"/>
        <v/>
      </c>
      <c r="Y26" s="2504" t="str">
        <f t="shared" si="5"/>
        <v/>
      </c>
      <c r="Z26" s="2775"/>
      <c r="AA26" s="2775"/>
      <c r="AB26" s="2775"/>
      <c r="AC26" s="2775"/>
      <c r="AD26" s="2444" t="str">
        <f t="shared" si="6"/>
        <v/>
      </c>
      <c r="AE26" s="2444" t="str">
        <f t="shared" si="7"/>
        <v/>
      </c>
      <c r="AF26" s="2444" t="str">
        <f t="shared" si="8"/>
        <v/>
      </c>
      <c r="AG26" s="2319"/>
      <c r="AH26" s="2507"/>
      <c r="AI26" s="2780"/>
      <c r="AJ26" s="2780" t="str">
        <f t="shared" si="9"/>
        <v/>
      </c>
      <c r="AK26" s="2896"/>
      <c r="AL26" s="2895">
        <f t="shared" si="14"/>
        <v>0</v>
      </c>
      <c r="AM26" s="2896" t="str">
        <f t="shared" si="10"/>
        <v/>
      </c>
    </row>
    <row r="27" spans="1:41" ht="15" hidden="1" customHeight="1" outlineLevel="1">
      <c r="A27" s="2339"/>
      <c r="B27" s="3033"/>
      <c r="C27" s="3035"/>
      <c r="D27" s="3028"/>
      <c r="E27" s="3029"/>
      <c r="F27" s="2974" t="s">
        <v>3862</v>
      </c>
      <c r="G27" s="2962"/>
      <c r="H27" s="3670"/>
      <c r="I27" s="3671"/>
      <c r="J27" s="3671"/>
      <c r="K27" s="3671"/>
      <c r="L27" s="3668"/>
      <c r="M27" s="3672"/>
      <c r="N27" s="3672"/>
      <c r="O27" s="2714"/>
      <c r="P27" s="2714"/>
      <c r="Q27" s="3668"/>
      <c r="R27" s="2714"/>
      <c r="S27" s="2714"/>
      <c r="T27" s="3665"/>
      <c r="U27" s="2714"/>
      <c r="V27" s="2504" t="str">
        <f t="shared" si="2"/>
        <v/>
      </c>
      <c r="W27" s="2504" t="str">
        <f t="shared" si="3"/>
        <v/>
      </c>
      <c r="X27" s="2504" t="str">
        <f t="shared" si="4"/>
        <v/>
      </c>
      <c r="Y27" s="2504" t="str">
        <f t="shared" si="5"/>
        <v/>
      </c>
      <c r="Z27" s="2775"/>
      <c r="AA27" s="2775"/>
      <c r="AB27" s="2775"/>
      <c r="AC27" s="2775"/>
      <c r="AD27" s="2444" t="str">
        <f t="shared" si="6"/>
        <v/>
      </c>
      <c r="AE27" s="2444" t="str">
        <f t="shared" si="7"/>
        <v/>
      </c>
      <c r="AF27" s="2444" t="str">
        <f t="shared" si="8"/>
        <v/>
      </c>
      <c r="AG27" s="2319"/>
      <c r="AH27" s="2443"/>
      <c r="AI27" s="2780"/>
      <c r="AJ27" s="2780" t="str">
        <f t="shared" si="9"/>
        <v/>
      </c>
      <c r="AK27" s="2896"/>
      <c r="AL27" s="2895">
        <f t="shared" si="14"/>
        <v>0</v>
      </c>
      <c r="AM27" s="2896" t="str">
        <f t="shared" si="10"/>
        <v/>
      </c>
    </row>
    <row r="28" spans="1:41" ht="15" hidden="1" customHeight="1" outlineLevel="1">
      <c r="A28" s="2339"/>
      <c r="B28" s="3033"/>
      <c r="C28" s="3035"/>
      <c r="D28" s="3028"/>
      <c r="E28" s="3029"/>
      <c r="F28" s="2974" t="s">
        <v>3863</v>
      </c>
      <c r="G28" s="2962"/>
      <c r="H28" s="3670"/>
      <c r="I28" s="3671"/>
      <c r="J28" s="3671"/>
      <c r="K28" s="3671"/>
      <c r="L28" s="3668"/>
      <c r="M28" s="3672"/>
      <c r="N28" s="3672"/>
      <c r="O28" s="2714"/>
      <c r="P28" s="2714"/>
      <c r="Q28" s="3668"/>
      <c r="R28" s="2714"/>
      <c r="S28" s="2714"/>
      <c r="T28" s="3665"/>
      <c r="U28" s="2714"/>
      <c r="V28" s="2504" t="str">
        <f t="shared" si="2"/>
        <v/>
      </c>
      <c r="W28" s="2504" t="str">
        <f t="shared" si="3"/>
        <v/>
      </c>
      <c r="X28" s="2504" t="str">
        <f t="shared" si="4"/>
        <v/>
      </c>
      <c r="Y28" s="2504" t="str">
        <f t="shared" si="5"/>
        <v/>
      </c>
      <c r="Z28" s="2775"/>
      <c r="AA28" s="2775"/>
      <c r="AB28" s="2775"/>
      <c r="AC28" s="2775"/>
      <c r="AD28" s="2444" t="str">
        <f t="shared" si="6"/>
        <v/>
      </c>
      <c r="AE28" s="2444" t="str">
        <f t="shared" si="7"/>
        <v/>
      </c>
      <c r="AF28" s="2444" t="str">
        <f t="shared" si="8"/>
        <v/>
      </c>
      <c r="AG28" s="2319"/>
      <c r="AH28" s="2443"/>
      <c r="AI28" s="2780"/>
      <c r="AJ28" s="2780" t="str">
        <f t="shared" si="9"/>
        <v/>
      </c>
      <c r="AK28" s="2896"/>
      <c r="AL28" s="2895">
        <f t="shared" si="14"/>
        <v>0</v>
      </c>
      <c r="AM28" s="2896" t="str">
        <f t="shared" si="10"/>
        <v/>
      </c>
    </row>
    <row r="29" spans="1:41" ht="15" hidden="1" customHeight="1" outlineLevel="1">
      <c r="A29" s="2339"/>
      <c r="B29" s="3033"/>
      <c r="C29" s="3035"/>
      <c r="D29" s="3028"/>
      <c r="E29" s="3029"/>
      <c r="F29" s="2680" t="s">
        <v>3864</v>
      </c>
      <c r="G29" s="2612"/>
      <c r="H29" s="3670"/>
      <c r="I29" s="3671"/>
      <c r="J29" s="3671"/>
      <c r="K29" s="3671"/>
      <c r="L29" s="3668"/>
      <c r="M29" s="3672"/>
      <c r="N29" s="3672"/>
      <c r="O29" s="2714"/>
      <c r="P29" s="2714"/>
      <c r="Q29" s="3668"/>
      <c r="R29" s="2714"/>
      <c r="S29" s="2714"/>
      <c r="T29" s="3665"/>
      <c r="U29" s="2714"/>
      <c r="V29" s="2504" t="str">
        <f t="shared" si="2"/>
        <v/>
      </c>
      <c r="W29" s="2504" t="str">
        <f t="shared" si="3"/>
        <v/>
      </c>
      <c r="X29" s="2504" t="str">
        <f t="shared" si="4"/>
        <v/>
      </c>
      <c r="Y29" s="2504" t="str">
        <f t="shared" si="5"/>
        <v/>
      </c>
      <c r="Z29" s="2775"/>
      <c r="AA29" s="2775"/>
      <c r="AB29" s="2775"/>
      <c r="AC29" s="2775"/>
      <c r="AD29" s="2444" t="str">
        <f t="shared" si="6"/>
        <v/>
      </c>
      <c r="AE29" s="2444" t="str">
        <f t="shared" si="7"/>
        <v/>
      </c>
      <c r="AF29" s="2444" t="str">
        <f t="shared" si="8"/>
        <v/>
      </c>
      <c r="AG29" s="2319"/>
      <c r="AH29" s="2443"/>
      <c r="AI29" s="2780"/>
      <c r="AJ29" s="2780" t="str">
        <f t="shared" si="9"/>
        <v/>
      </c>
      <c r="AK29" s="2896"/>
      <c r="AL29" s="2895">
        <f t="shared" si="14"/>
        <v>0</v>
      </c>
      <c r="AM29" s="2896" t="str">
        <f t="shared" si="10"/>
        <v/>
      </c>
    </row>
    <row r="30" spans="1:41" ht="15.75" hidden="1" customHeight="1" outlineLevel="1">
      <c r="A30" s="2339"/>
      <c r="B30" s="3033"/>
      <c r="C30" s="3035"/>
      <c r="D30" s="3028"/>
      <c r="E30" s="3029"/>
      <c r="F30" s="2680" t="s">
        <v>3865</v>
      </c>
      <c r="G30" s="2612"/>
      <c r="H30" s="3673"/>
      <c r="I30" s="3674"/>
      <c r="J30" s="3674"/>
      <c r="K30" s="3674"/>
      <c r="L30" s="3668"/>
      <c r="M30" s="2714"/>
      <c r="N30" s="2714"/>
      <c r="O30" s="2714"/>
      <c r="P30" s="2714"/>
      <c r="Q30" s="3668"/>
      <c r="R30" s="2714"/>
      <c r="S30" s="2714"/>
      <c r="T30" s="3665"/>
      <c r="U30" s="2714"/>
      <c r="V30" s="2504" t="str">
        <f t="shared" si="2"/>
        <v/>
      </c>
      <c r="W30" s="2504" t="str">
        <f t="shared" si="3"/>
        <v/>
      </c>
      <c r="X30" s="2504" t="str">
        <f t="shared" si="4"/>
        <v/>
      </c>
      <c r="Y30" s="2504" t="str">
        <f t="shared" si="5"/>
        <v/>
      </c>
      <c r="Z30" s="2775"/>
      <c r="AA30" s="2775"/>
      <c r="AB30" s="2775"/>
      <c r="AC30" s="2775"/>
      <c r="AD30" s="2444" t="str">
        <f t="shared" si="6"/>
        <v/>
      </c>
      <c r="AE30" s="2444" t="str">
        <f t="shared" si="7"/>
        <v/>
      </c>
      <c r="AF30" s="2444" t="str">
        <f t="shared" si="8"/>
        <v/>
      </c>
      <c r="AG30" s="2319"/>
      <c r="AH30" s="2443"/>
      <c r="AI30" s="2780"/>
      <c r="AJ30" s="2780" t="str">
        <f t="shared" si="9"/>
        <v/>
      </c>
      <c r="AK30" s="2896"/>
      <c r="AL30" s="2895">
        <f t="shared" si="14"/>
        <v>0</v>
      </c>
      <c r="AM30" s="2896" t="str">
        <f t="shared" si="10"/>
        <v/>
      </c>
    </row>
    <row r="31" spans="1:41" ht="17.25" hidden="1" customHeight="1" outlineLevel="1">
      <c r="A31" s="2339"/>
      <c r="B31" s="3033"/>
      <c r="C31" s="3035"/>
      <c r="D31" s="3028"/>
      <c r="E31" s="3029" t="s">
        <v>2946</v>
      </c>
      <c r="F31" s="2974" t="s">
        <v>3860</v>
      </c>
      <c r="G31" s="2962"/>
      <c r="H31" s="3673"/>
      <c r="I31" s="3674"/>
      <c r="J31" s="3674"/>
      <c r="K31" s="3674"/>
      <c r="L31" s="3668"/>
      <c r="M31" s="2714"/>
      <c r="N31" s="2714"/>
      <c r="O31" s="2714"/>
      <c r="P31" s="2714"/>
      <c r="Q31" s="3668"/>
      <c r="R31" s="2714"/>
      <c r="S31" s="2714"/>
      <c r="T31" s="3665"/>
      <c r="U31" s="2714"/>
      <c r="V31" s="2504" t="str">
        <f t="shared" si="2"/>
        <v/>
      </c>
      <c r="W31" s="2504" t="str">
        <f t="shared" si="3"/>
        <v/>
      </c>
      <c r="X31" s="2504" t="str">
        <f t="shared" si="4"/>
        <v/>
      </c>
      <c r="Y31" s="2504" t="str">
        <f t="shared" si="5"/>
        <v/>
      </c>
      <c r="Z31" s="2775"/>
      <c r="AA31" s="2775"/>
      <c r="AB31" s="2775"/>
      <c r="AC31" s="2775"/>
      <c r="AD31" s="2444" t="str">
        <f t="shared" si="6"/>
        <v/>
      </c>
      <c r="AE31" s="2444" t="str">
        <f t="shared" si="7"/>
        <v/>
      </c>
      <c r="AF31" s="2444" t="str">
        <f t="shared" si="8"/>
        <v/>
      </c>
      <c r="AG31" s="2319"/>
      <c r="AH31" s="2443"/>
      <c r="AI31" s="2780"/>
      <c r="AJ31" s="2780" t="str">
        <f t="shared" si="9"/>
        <v/>
      </c>
      <c r="AK31" s="2896"/>
      <c r="AL31" s="2895">
        <f t="shared" si="14"/>
        <v>0</v>
      </c>
      <c r="AM31" s="2896" t="str">
        <f t="shared" si="10"/>
        <v/>
      </c>
    </row>
    <row r="32" spans="1:41" ht="15" hidden="1" customHeight="1" outlineLevel="1">
      <c r="A32" s="2339"/>
      <c r="B32" s="3033"/>
      <c r="C32" s="3035"/>
      <c r="D32" s="3028"/>
      <c r="E32" s="3029"/>
      <c r="F32" s="2974" t="s">
        <v>3861</v>
      </c>
      <c r="G32" s="2962"/>
      <c r="H32" s="3673"/>
      <c r="I32" s="3674"/>
      <c r="J32" s="3674"/>
      <c r="K32" s="3674"/>
      <c r="L32" s="3668"/>
      <c r="M32" s="2714"/>
      <c r="N32" s="2714"/>
      <c r="O32" s="2714"/>
      <c r="P32" s="2714"/>
      <c r="Q32" s="3668"/>
      <c r="R32" s="2714"/>
      <c r="S32" s="2714"/>
      <c r="T32" s="3665"/>
      <c r="U32" s="2714"/>
      <c r="V32" s="2504" t="str">
        <f t="shared" si="2"/>
        <v/>
      </c>
      <c r="W32" s="2504" t="str">
        <f t="shared" si="3"/>
        <v/>
      </c>
      <c r="X32" s="2504" t="str">
        <f t="shared" si="4"/>
        <v/>
      </c>
      <c r="Y32" s="2504" t="str">
        <f t="shared" si="5"/>
        <v/>
      </c>
      <c r="Z32" s="2775"/>
      <c r="AA32" s="2775"/>
      <c r="AB32" s="2775"/>
      <c r="AC32" s="2775"/>
      <c r="AD32" s="2444" t="str">
        <f t="shared" si="6"/>
        <v/>
      </c>
      <c r="AE32" s="2444" t="str">
        <f t="shared" si="7"/>
        <v/>
      </c>
      <c r="AF32" s="2444" t="str">
        <f t="shared" si="8"/>
        <v/>
      </c>
      <c r="AG32" s="2319"/>
      <c r="AH32" s="2443"/>
      <c r="AI32" s="2780"/>
      <c r="AJ32" s="2780" t="str">
        <f t="shared" si="9"/>
        <v/>
      </c>
      <c r="AK32" s="2896"/>
      <c r="AL32" s="2895">
        <f t="shared" si="14"/>
        <v>0</v>
      </c>
      <c r="AM32" s="2896" t="str">
        <f t="shared" si="10"/>
        <v/>
      </c>
    </row>
    <row r="33" spans="1:41" ht="15" hidden="1" customHeight="1" outlineLevel="1">
      <c r="A33" s="2339"/>
      <c r="B33" s="3033"/>
      <c r="C33" s="3035"/>
      <c r="D33" s="3028"/>
      <c r="E33" s="3029"/>
      <c r="F33" s="2974" t="s">
        <v>3862</v>
      </c>
      <c r="G33" s="2962"/>
      <c r="H33" s="3673"/>
      <c r="I33" s="3674"/>
      <c r="J33" s="3674"/>
      <c r="K33" s="3674"/>
      <c r="L33" s="3668"/>
      <c r="M33" s="2714"/>
      <c r="N33" s="2714"/>
      <c r="O33" s="2714"/>
      <c r="P33" s="2714"/>
      <c r="Q33" s="3668"/>
      <c r="R33" s="2714"/>
      <c r="S33" s="2714"/>
      <c r="T33" s="3665"/>
      <c r="U33" s="2714"/>
      <c r="V33" s="2504" t="str">
        <f t="shared" si="2"/>
        <v/>
      </c>
      <c r="W33" s="2504" t="str">
        <f t="shared" si="3"/>
        <v/>
      </c>
      <c r="X33" s="2504" t="str">
        <f t="shared" si="4"/>
        <v/>
      </c>
      <c r="Y33" s="2504" t="str">
        <f t="shared" si="5"/>
        <v/>
      </c>
      <c r="Z33" s="2775"/>
      <c r="AA33" s="2775"/>
      <c r="AB33" s="2775"/>
      <c r="AC33" s="2775"/>
      <c r="AD33" s="2444" t="str">
        <f t="shared" si="6"/>
        <v/>
      </c>
      <c r="AE33" s="2444" t="str">
        <f t="shared" si="7"/>
        <v/>
      </c>
      <c r="AF33" s="2444" t="str">
        <f t="shared" si="8"/>
        <v/>
      </c>
      <c r="AG33" s="2319"/>
      <c r="AH33" s="2443"/>
      <c r="AI33" s="2780"/>
      <c r="AJ33" s="2780" t="str">
        <f t="shared" si="9"/>
        <v/>
      </c>
      <c r="AK33" s="2896"/>
      <c r="AL33" s="2895">
        <f t="shared" si="14"/>
        <v>0</v>
      </c>
      <c r="AM33" s="2896" t="str">
        <f t="shared" si="10"/>
        <v/>
      </c>
    </row>
    <row r="34" spans="1:41" ht="15" hidden="1" customHeight="1" outlineLevel="1">
      <c r="A34" s="2339"/>
      <c r="B34" s="3033"/>
      <c r="C34" s="3035"/>
      <c r="D34" s="3028"/>
      <c r="E34" s="3029"/>
      <c r="F34" s="2974" t="s">
        <v>3863</v>
      </c>
      <c r="G34" s="2962"/>
      <c r="H34" s="3673"/>
      <c r="I34" s="3674"/>
      <c r="J34" s="3674"/>
      <c r="K34" s="3674"/>
      <c r="L34" s="3668"/>
      <c r="M34" s="2714"/>
      <c r="N34" s="2714"/>
      <c r="O34" s="2714"/>
      <c r="P34" s="2714"/>
      <c r="Q34" s="3668"/>
      <c r="R34" s="2714"/>
      <c r="S34" s="2714"/>
      <c r="T34" s="3665"/>
      <c r="U34" s="2714"/>
      <c r="V34" s="2504" t="str">
        <f t="shared" si="2"/>
        <v/>
      </c>
      <c r="W34" s="2504" t="str">
        <f t="shared" si="3"/>
        <v/>
      </c>
      <c r="X34" s="2504" t="str">
        <f t="shared" si="4"/>
        <v/>
      </c>
      <c r="Y34" s="2504" t="str">
        <f t="shared" si="5"/>
        <v/>
      </c>
      <c r="Z34" s="2775"/>
      <c r="AA34" s="2775"/>
      <c r="AB34" s="2775"/>
      <c r="AC34" s="2775"/>
      <c r="AD34" s="2444" t="str">
        <f t="shared" si="6"/>
        <v/>
      </c>
      <c r="AE34" s="2444" t="str">
        <f t="shared" si="7"/>
        <v/>
      </c>
      <c r="AF34" s="2444" t="str">
        <f t="shared" si="8"/>
        <v/>
      </c>
      <c r="AG34" s="2319"/>
      <c r="AH34" s="2443"/>
      <c r="AI34" s="2780"/>
      <c r="AJ34" s="2780" t="str">
        <f t="shared" si="9"/>
        <v/>
      </c>
      <c r="AK34" s="2896"/>
      <c r="AL34" s="2895">
        <f t="shared" si="14"/>
        <v>0</v>
      </c>
      <c r="AM34" s="2896" t="str">
        <f t="shared" si="10"/>
        <v/>
      </c>
    </row>
    <row r="35" spans="1:41" ht="15" hidden="1" customHeight="1" outlineLevel="1">
      <c r="A35" s="2339"/>
      <c r="B35" s="3033"/>
      <c r="C35" s="3035"/>
      <c r="D35" s="3028"/>
      <c r="E35" s="3029"/>
      <c r="F35" s="2680" t="s">
        <v>3864</v>
      </c>
      <c r="G35" s="2612"/>
      <c r="H35" s="3673"/>
      <c r="I35" s="3674"/>
      <c r="J35" s="3674"/>
      <c r="K35" s="3674"/>
      <c r="L35" s="3668"/>
      <c r="M35" s="2714"/>
      <c r="N35" s="2714"/>
      <c r="O35" s="2714"/>
      <c r="P35" s="2714"/>
      <c r="Q35" s="3668"/>
      <c r="R35" s="2714"/>
      <c r="S35" s="2714"/>
      <c r="T35" s="3665"/>
      <c r="U35" s="2714"/>
      <c r="V35" s="2504" t="str">
        <f t="shared" si="2"/>
        <v/>
      </c>
      <c r="W35" s="2504" t="str">
        <f t="shared" si="3"/>
        <v/>
      </c>
      <c r="X35" s="2504" t="str">
        <f t="shared" si="4"/>
        <v/>
      </c>
      <c r="Y35" s="2504" t="str">
        <f t="shared" si="5"/>
        <v/>
      </c>
      <c r="Z35" s="2775"/>
      <c r="AA35" s="2775"/>
      <c r="AB35" s="2775"/>
      <c r="AC35" s="2775"/>
      <c r="AD35" s="2444" t="str">
        <f t="shared" si="6"/>
        <v/>
      </c>
      <c r="AE35" s="2444" t="str">
        <f t="shared" si="7"/>
        <v/>
      </c>
      <c r="AF35" s="2444" t="str">
        <f t="shared" si="8"/>
        <v/>
      </c>
      <c r="AG35" s="2319"/>
      <c r="AH35" s="2443"/>
      <c r="AI35" s="2780"/>
      <c r="AJ35" s="2780" t="str">
        <f t="shared" si="9"/>
        <v/>
      </c>
      <c r="AK35" s="2896"/>
      <c r="AL35" s="2895">
        <f t="shared" si="14"/>
        <v>0</v>
      </c>
      <c r="AM35" s="2896" t="str">
        <f t="shared" si="10"/>
        <v/>
      </c>
    </row>
    <row r="36" spans="1:41" ht="15.75" hidden="1" customHeight="1" outlineLevel="1">
      <c r="A36" s="2339"/>
      <c r="B36" s="3033"/>
      <c r="C36" s="3035"/>
      <c r="D36" s="3028"/>
      <c r="E36" s="3029"/>
      <c r="F36" s="2680" t="s">
        <v>3865</v>
      </c>
      <c r="G36" s="2612"/>
      <c r="H36" s="3673"/>
      <c r="I36" s="3674"/>
      <c r="J36" s="3674"/>
      <c r="K36" s="3674"/>
      <c r="L36" s="3668"/>
      <c r="M36" s="2714"/>
      <c r="N36" s="2714"/>
      <c r="O36" s="2714"/>
      <c r="P36" s="2714"/>
      <c r="Q36" s="3668"/>
      <c r="R36" s="2714"/>
      <c r="S36" s="2714"/>
      <c r="T36" s="3665"/>
      <c r="U36" s="2714"/>
      <c r="V36" s="2504" t="str">
        <f t="shared" si="2"/>
        <v/>
      </c>
      <c r="W36" s="2504" t="str">
        <f t="shared" si="3"/>
        <v/>
      </c>
      <c r="X36" s="2504" t="str">
        <f t="shared" si="4"/>
        <v/>
      </c>
      <c r="Y36" s="2504" t="str">
        <f t="shared" si="5"/>
        <v/>
      </c>
      <c r="Z36" s="2775"/>
      <c r="AA36" s="2775"/>
      <c r="AB36" s="2775"/>
      <c r="AC36" s="2775"/>
      <c r="AD36" s="2444" t="str">
        <f t="shared" si="6"/>
        <v/>
      </c>
      <c r="AE36" s="2444" t="str">
        <f t="shared" si="7"/>
        <v/>
      </c>
      <c r="AF36" s="2444" t="str">
        <f t="shared" si="8"/>
        <v/>
      </c>
      <c r="AG36" s="2319"/>
      <c r="AH36" s="2443"/>
      <c r="AI36" s="2780"/>
      <c r="AJ36" s="2780" t="str">
        <f t="shared" si="9"/>
        <v/>
      </c>
      <c r="AK36" s="2896"/>
      <c r="AL36" s="2895">
        <f t="shared" si="14"/>
        <v>0</v>
      </c>
      <c r="AM36" s="2896" t="str">
        <f t="shared" si="10"/>
        <v/>
      </c>
    </row>
    <row r="37" spans="1:41" ht="15" hidden="1" customHeight="1" outlineLevel="1" thickBot="1">
      <c r="A37" s="2339"/>
      <c r="B37" s="3023" t="s">
        <v>2948</v>
      </c>
      <c r="C37" s="3026" t="s">
        <v>3859</v>
      </c>
      <c r="D37" s="3028" t="s">
        <v>2949</v>
      </c>
      <c r="E37" s="3029" t="s">
        <v>2950</v>
      </c>
      <c r="F37" s="2974" t="s">
        <v>3860</v>
      </c>
      <c r="G37" s="2962"/>
      <c r="H37" s="3673"/>
      <c r="I37" s="3674"/>
      <c r="J37" s="3674"/>
      <c r="K37" s="3674"/>
      <c r="L37" s="3668"/>
      <c r="M37" s="2714"/>
      <c r="N37" s="2714"/>
      <c r="O37" s="2714"/>
      <c r="P37" s="2714"/>
      <c r="Q37" s="3668"/>
      <c r="R37" s="2714"/>
      <c r="S37" s="2714"/>
      <c r="T37" s="3665"/>
      <c r="U37" s="2714"/>
      <c r="V37" s="2504" t="str">
        <f t="shared" si="2"/>
        <v/>
      </c>
      <c r="W37" s="2504" t="str">
        <f t="shared" si="3"/>
        <v/>
      </c>
      <c r="X37" s="2504" t="str">
        <f t="shared" si="4"/>
        <v/>
      </c>
      <c r="Y37" s="2504" t="str">
        <f t="shared" si="5"/>
        <v/>
      </c>
      <c r="Z37" s="2775"/>
      <c r="AA37" s="2775"/>
      <c r="AB37" s="2775"/>
      <c r="AC37" s="2775"/>
      <c r="AD37" s="2444" t="str">
        <f t="shared" si="6"/>
        <v/>
      </c>
      <c r="AE37" s="2444" t="str">
        <f t="shared" si="7"/>
        <v/>
      </c>
      <c r="AF37" s="2444" t="str">
        <f t="shared" si="8"/>
        <v/>
      </c>
      <c r="AG37" s="2319"/>
      <c r="AH37" s="2443"/>
      <c r="AI37" s="2780"/>
      <c r="AJ37" s="2780" t="str">
        <f t="shared" si="9"/>
        <v/>
      </c>
      <c r="AK37" s="2896"/>
      <c r="AL37" s="2895">
        <f t="shared" si="14"/>
        <v>0</v>
      </c>
      <c r="AM37" s="2896" t="str">
        <f t="shared" si="10"/>
        <v/>
      </c>
    </row>
    <row r="38" spans="1:41" ht="15" hidden="1" customHeight="1" outlineLevel="1" thickBot="1">
      <c r="A38" s="2339"/>
      <c r="B38" s="3024"/>
      <c r="C38" s="3027"/>
      <c r="D38" s="3028"/>
      <c r="E38" s="3029"/>
      <c r="F38" s="2974" t="s">
        <v>3861</v>
      </c>
      <c r="G38" s="2962"/>
      <c r="H38" s="3673"/>
      <c r="I38" s="3674"/>
      <c r="J38" s="3674"/>
      <c r="K38" s="3674"/>
      <c r="L38" s="3668"/>
      <c r="M38" s="2714"/>
      <c r="N38" s="2714"/>
      <c r="O38" s="2714"/>
      <c r="P38" s="2714"/>
      <c r="Q38" s="3668"/>
      <c r="R38" s="2714"/>
      <c r="S38" s="2714"/>
      <c r="T38" s="3665"/>
      <c r="U38" s="2714"/>
      <c r="V38" s="2504" t="str">
        <f t="shared" si="2"/>
        <v/>
      </c>
      <c r="W38" s="2504" t="str">
        <f t="shared" si="3"/>
        <v/>
      </c>
      <c r="X38" s="2504" t="str">
        <f t="shared" si="4"/>
        <v/>
      </c>
      <c r="Y38" s="2504" t="str">
        <f t="shared" si="5"/>
        <v/>
      </c>
      <c r="Z38" s="2775"/>
      <c r="AA38" s="2775"/>
      <c r="AB38" s="2775"/>
      <c r="AC38" s="2775"/>
      <c r="AD38" s="2444" t="str">
        <f t="shared" si="6"/>
        <v/>
      </c>
      <c r="AE38" s="2444" t="str">
        <f t="shared" si="7"/>
        <v/>
      </c>
      <c r="AF38" s="2444" t="str">
        <f t="shared" si="8"/>
        <v/>
      </c>
      <c r="AG38" s="2319"/>
      <c r="AH38" s="2443"/>
      <c r="AI38" s="2780"/>
      <c r="AJ38" s="2780" t="str">
        <f t="shared" si="9"/>
        <v/>
      </c>
      <c r="AK38" s="2896"/>
      <c r="AL38" s="2895">
        <f t="shared" si="14"/>
        <v>0</v>
      </c>
      <c r="AM38" s="2896" t="str">
        <f t="shared" si="10"/>
        <v/>
      </c>
    </row>
    <row r="39" spans="1:41" ht="15" hidden="1" customHeight="1" outlineLevel="1" thickBot="1">
      <c r="A39" s="2339"/>
      <c r="B39" s="3024"/>
      <c r="C39" s="3027"/>
      <c r="D39" s="3028"/>
      <c r="E39" s="3029"/>
      <c r="F39" s="2974" t="s">
        <v>3862</v>
      </c>
      <c r="G39" s="2962"/>
      <c r="H39" s="3673"/>
      <c r="I39" s="3674"/>
      <c r="J39" s="3674"/>
      <c r="K39" s="3674"/>
      <c r="L39" s="3668"/>
      <c r="M39" s="2714"/>
      <c r="N39" s="2714"/>
      <c r="O39" s="2714"/>
      <c r="P39" s="2714"/>
      <c r="Q39" s="3668"/>
      <c r="R39" s="2714"/>
      <c r="S39" s="2714"/>
      <c r="T39" s="3665"/>
      <c r="U39" s="2714"/>
      <c r="V39" s="2504" t="str">
        <f t="shared" si="2"/>
        <v/>
      </c>
      <c r="W39" s="2504" t="str">
        <f t="shared" si="3"/>
        <v/>
      </c>
      <c r="X39" s="2504" t="str">
        <f t="shared" si="4"/>
        <v/>
      </c>
      <c r="Y39" s="2504" t="str">
        <f t="shared" si="5"/>
        <v/>
      </c>
      <c r="Z39" s="2775"/>
      <c r="AA39" s="2775"/>
      <c r="AB39" s="2775"/>
      <c r="AC39" s="2775"/>
      <c r="AD39" s="2444" t="str">
        <f t="shared" si="6"/>
        <v/>
      </c>
      <c r="AE39" s="2444" t="str">
        <f t="shared" si="7"/>
        <v/>
      </c>
      <c r="AF39" s="2444" t="str">
        <f t="shared" si="8"/>
        <v/>
      </c>
      <c r="AG39" s="2319"/>
      <c r="AH39" s="2443"/>
      <c r="AI39" s="2780"/>
      <c r="AJ39" s="2780" t="str">
        <f t="shared" si="9"/>
        <v/>
      </c>
      <c r="AK39" s="2896"/>
      <c r="AL39" s="2895">
        <f t="shared" si="14"/>
        <v>0</v>
      </c>
      <c r="AM39" s="2896" t="str">
        <f t="shared" si="10"/>
        <v/>
      </c>
    </row>
    <row r="40" spans="1:41" ht="15" hidden="1" customHeight="1" outlineLevel="1" thickBot="1">
      <c r="A40" s="2339"/>
      <c r="B40" s="3024"/>
      <c r="C40" s="3027"/>
      <c r="D40" s="3028"/>
      <c r="E40" s="3029"/>
      <c r="F40" s="2974" t="s">
        <v>3863</v>
      </c>
      <c r="G40" s="2962"/>
      <c r="H40" s="3673"/>
      <c r="I40" s="3674"/>
      <c r="J40" s="3674"/>
      <c r="K40" s="3674"/>
      <c r="L40" s="3668"/>
      <c r="M40" s="2714"/>
      <c r="N40" s="2714"/>
      <c r="O40" s="2714"/>
      <c r="P40" s="2714"/>
      <c r="Q40" s="3668"/>
      <c r="R40" s="2714"/>
      <c r="S40" s="2714"/>
      <c r="T40" s="3665"/>
      <c r="U40" s="2714"/>
      <c r="V40" s="2504" t="str">
        <f t="shared" si="2"/>
        <v/>
      </c>
      <c r="W40" s="2504" t="str">
        <f t="shared" si="3"/>
        <v/>
      </c>
      <c r="X40" s="2504" t="str">
        <f t="shared" si="4"/>
        <v/>
      </c>
      <c r="Y40" s="2504" t="str">
        <f t="shared" si="5"/>
        <v/>
      </c>
      <c r="Z40" s="2775"/>
      <c r="AA40" s="2775"/>
      <c r="AB40" s="2775"/>
      <c r="AC40" s="2775"/>
      <c r="AD40" s="2444" t="str">
        <f t="shared" si="6"/>
        <v/>
      </c>
      <c r="AE40" s="2444" t="str">
        <f t="shared" si="7"/>
        <v/>
      </c>
      <c r="AF40" s="2444" t="str">
        <f t="shared" si="8"/>
        <v/>
      </c>
      <c r="AG40" s="2319"/>
      <c r="AH40" s="2443"/>
      <c r="AI40" s="2780"/>
      <c r="AJ40" s="2780" t="str">
        <f t="shared" si="9"/>
        <v/>
      </c>
      <c r="AK40" s="2896"/>
      <c r="AL40" s="2895">
        <f t="shared" si="14"/>
        <v>0</v>
      </c>
      <c r="AM40" s="2896" t="str">
        <f t="shared" si="10"/>
        <v/>
      </c>
    </row>
    <row r="41" spans="1:41" ht="15" hidden="1" customHeight="1" outlineLevel="1" thickBot="1">
      <c r="A41" s="2339"/>
      <c r="B41" s="3024"/>
      <c r="C41" s="3027"/>
      <c r="D41" s="3028"/>
      <c r="E41" s="3029"/>
      <c r="F41" s="2680" t="s">
        <v>3864</v>
      </c>
      <c r="G41" s="2612"/>
      <c r="H41" s="3673"/>
      <c r="I41" s="3674"/>
      <c r="J41" s="3674"/>
      <c r="K41" s="3674"/>
      <c r="L41" s="3668"/>
      <c r="M41" s="2714"/>
      <c r="N41" s="2714"/>
      <c r="O41" s="2714"/>
      <c r="P41" s="2714"/>
      <c r="Q41" s="3668"/>
      <c r="R41" s="2714"/>
      <c r="S41" s="2714"/>
      <c r="T41" s="3665"/>
      <c r="U41" s="2714"/>
      <c r="V41" s="2504" t="str">
        <f t="shared" si="2"/>
        <v/>
      </c>
      <c r="W41" s="2504" t="str">
        <f t="shared" si="3"/>
        <v/>
      </c>
      <c r="X41" s="2504" t="str">
        <f t="shared" si="4"/>
        <v/>
      </c>
      <c r="Y41" s="2504" t="str">
        <f t="shared" si="5"/>
        <v/>
      </c>
      <c r="Z41" s="2775"/>
      <c r="AA41" s="2775"/>
      <c r="AB41" s="2775"/>
      <c r="AC41" s="2775"/>
      <c r="AD41" s="2444" t="str">
        <f t="shared" si="6"/>
        <v/>
      </c>
      <c r="AE41" s="2444" t="str">
        <f t="shared" si="7"/>
        <v/>
      </c>
      <c r="AF41" s="2444" t="str">
        <f t="shared" si="8"/>
        <v/>
      </c>
      <c r="AG41" s="2319"/>
      <c r="AH41" s="2443"/>
      <c r="AI41" s="2780"/>
      <c r="AJ41" s="2780" t="str">
        <f t="shared" si="9"/>
        <v/>
      </c>
      <c r="AK41" s="2896"/>
      <c r="AL41" s="2895">
        <f t="shared" si="14"/>
        <v>0</v>
      </c>
      <c r="AM41" s="2896" t="str">
        <f t="shared" si="10"/>
        <v/>
      </c>
    </row>
    <row r="42" spans="1:41" ht="15.75" hidden="1" customHeight="1" outlineLevel="1" thickBot="1">
      <c r="A42" s="2339"/>
      <c r="B42" s="3024"/>
      <c r="C42" s="3027"/>
      <c r="D42" s="3028"/>
      <c r="E42" s="3029"/>
      <c r="F42" s="2680" t="s">
        <v>3865</v>
      </c>
      <c r="G42" s="2612"/>
      <c r="H42" s="3673"/>
      <c r="I42" s="3674"/>
      <c r="J42" s="3674"/>
      <c r="K42" s="3674"/>
      <c r="L42" s="3668"/>
      <c r="M42" s="2714"/>
      <c r="N42" s="2714"/>
      <c r="O42" s="2714"/>
      <c r="P42" s="2714"/>
      <c r="Q42" s="3668"/>
      <c r="R42" s="2714"/>
      <c r="S42" s="2714"/>
      <c r="T42" s="3665"/>
      <c r="U42" s="2714"/>
      <c r="V42" s="2504" t="str">
        <f t="shared" si="2"/>
        <v/>
      </c>
      <c r="W42" s="2504" t="str">
        <f t="shared" si="3"/>
        <v/>
      </c>
      <c r="X42" s="2504" t="str">
        <f t="shared" si="4"/>
        <v/>
      </c>
      <c r="Y42" s="2504" t="str">
        <f t="shared" si="5"/>
        <v/>
      </c>
      <c r="Z42" s="2775"/>
      <c r="AA42" s="2775"/>
      <c r="AB42" s="2775"/>
      <c r="AC42" s="2775"/>
      <c r="AD42" s="2444" t="str">
        <f t="shared" si="6"/>
        <v/>
      </c>
      <c r="AE42" s="2444" t="str">
        <f t="shared" si="7"/>
        <v/>
      </c>
      <c r="AF42" s="2444" t="str">
        <f t="shared" si="8"/>
        <v/>
      </c>
      <c r="AG42" s="2319"/>
      <c r="AH42" s="2443"/>
      <c r="AI42" s="2780"/>
      <c r="AJ42" s="2780" t="str">
        <f t="shared" si="9"/>
        <v/>
      </c>
      <c r="AK42" s="2896"/>
      <c r="AL42" s="2895">
        <f t="shared" si="14"/>
        <v>0</v>
      </c>
      <c r="AM42" s="2896" t="str">
        <f t="shared" si="10"/>
        <v/>
      </c>
    </row>
    <row r="43" spans="1:41" ht="15" customHeight="1" collapsed="1" thickBot="1">
      <c r="A43" s="2339"/>
      <c r="B43" s="3024"/>
      <c r="C43" s="3027"/>
      <c r="D43" s="3028"/>
      <c r="E43" s="3029" t="s">
        <v>2946</v>
      </c>
      <c r="F43" s="2974" t="s">
        <v>3860</v>
      </c>
      <c r="G43" s="2962"/>
      <c r="H43" s="3673">
        <f>'приложение 1(1)'!H43+'приложение 1(1)'!H101</f>
        <v>4370</v>
      </c>
      <c r="I43" s="3674">
        <f>'приложение 1(1)'!I43+'приложение 1(1)'!I101</f>
        <v>1960.0000000000005</v>
      </c>
      <c r="J43" s="3674">
        <f>'приложение 1(1)'!J43+'приложение 1(1)'!J101</f>
        <v>113</v>
      </c>
      <c r="K43" s="3674"/>
      <c r="L43" s="3668">
        <f t="shared" si="11"/>
        <v>6443</v>
      </c>
      <c r="M43" s="2714">
        <f>'приложение 1(1)'!M43+'приложение 1(1)'!M101</f>
        <v>273.78999999999996</v>
      </c>
      <c r="N43" s="2714">
        <f>'приложение 1(1)'!N43+'приложение 1(1)'!N101</f>
        <v>241.91000000000003</v>
      </c>
      <c r="O43" s="2714">
        <f>'приложение 1(1)'!O43+'приложение 1(1)'!O101</f>
        <v>15.5</v>
      </c>
      <c r="P43" s="2714"/>
      <c r="Q43" s="3668">
        <f t="shared" si="12"/>
        <v>531.20000000000005</v>
      </c>
      <c r="R43" s="2714">
        <f>'приложение 1(1)'!R43+'приложение 1(1)'!R101</f>
        <v>2071.2818499999998</v>
      </c>
      <c r="S43" s="2714">
        <f>'приложение 1(1)'!S43+'приложение 1(1)'!S101</f>
        <v>961.67685999999992</v>
      </c>
      <c r="T43" s="3665">
        <f>'приложение 1(1)'!T43+'приложение 1(1)'!T101</f>
        <v>130.71203</v>
      </c>
      <c r="U43" s="2714"/>
      <c r="V43" s="2776">
        <f>IFERROR(R43*1000/(H43/1000),"")</f>
        <v>473977.54004576657</v>
      </c>
      <c r="W43" s="2776">
        <f t="shared" si="3"/>
        <v>490651.45918367332</v>
      </c>
      <c r="X43" s="2776">
        <f t="shared" si="4"/>
        <v>1156743.6283185841</v>
      </c>
      <c r="Y43" s="2504" t="str">
        <f t="shared" si="5"/>
        <v/>
      </c>
      <c r="Z43" s="2775">
        <f t="shared" ref="Z43:Z44" si="15">$Z$13</f>
        <v>1.0528</v>
      </c>
      <c r="AA43" s="2775">
        <f t="shared" ref="AA43:AA44" si="16">$AA$13</f>
        <v>1.0589</v>
      </c>
      <c r="AB43" s="2775">
        <f t="shared" ref="AB43:AB44" si="17">$AB$13</f>
        <v>1.0507936887282501</v>
      </c>
      <c r="AC43" s="2775">
        <f t="shared" ref="AC43:AC44" si="18">$AC$13</f>
        <v>1.04657781587849</v>
      </c>
      <c r="AD43" s="2446">
        <f>IFERROR(V43*$Z$43*$AA$43*$AB$43*$AC$43,"")</f>
        <v>581095.57417207025</v>
      </c>
      <c r="AE43" s="2446">
        <f>IFERROR(W43*$AA$43*$AB$43*$AC$43,"")</f>
        <v>571369.46022868808</v>
      </c>
      <c r="AF43" s="2446">
        <f>IFERROR(X43*$AB$43*$AC$43,"")</f>
        <v>1272114.1882701032</v>
      </c>
      <c r="AG43" s="2446"/>
      <c r="AH43" s="2507">
        <f>SUM(AD43:AF43)</f>
        <v>2424579.2226708615</v>
      </c>
      <c r="AI43" s="2780">
        <f t="shared" ref="AI43" si="19">AH43/3</f>
        <v>808193.07422362047</v>
      </c>
      <c r="AJ43" s="2780">
        <f t="shared" si="9"/>
        <v>9802.6882101332576</v>
      </c>
      <c r="AK43" s="2896">
        <f>'Утв.СТС 2018г'!H44</f>
        <v>531427.22</v>
      </c>
      <c r="AL43" s="2895">
        <f t="shared" si="14"/>
        <v>556179.93920597772</v>
      </c>
      <c r="AM43" s="2896">
        <f>IFERROR(AI43/AL43,"")</f>
        <v>1.4531143920390686</v>
      </c>
      <c r="AO43" s="2506">
        <f>AI43*L43/1000000</f>
        <v>5207.1879772227867</v>
      </c>
    </row>
    <row r="44" spans="1:41" ht="15" customHeight="1" thickBot="1">
      <c r="A44" s="2339"/>
      <c r="B44" s="3024"/>
      <c r="C44" s="3027"/>
      <c r="D44" s="3028"/>
      <c r="E44" s="3029"/>
      <c r="F44" s="2974" t="s">
        <v>3861</v>
      </c>
      <c r="G44" s="2962"/>
      <c r="H44" s="3673">
        <f>'приложение 1(1)'!H44</f>
        <v>180</v>
      </c>
      <c r="I44" s="3674">
        <f>'приложение 1(1)'!I44</f>
        <v>3452</v>
      </c>
      <c r="J44" s="3674"/>
      <c r="K44" s="3674"/>
      <c r="L44" s="3668">
        <f>SUM(H44:J44)</f>
        <v>3632</v>
      </c>
      <c r="M44" s="2714">
        <f>'приложение 1(1)'!M44</f>
        <v>8</v>
      </c>
      <c r="N44" s="2714">
        <f>'приложение 1(1)'!N44</f>
        <v>1488</v>
      </c>
      <c r="O44" s="2714"/>
      <c r="P44" s="2714"/>
      <c r="Q44" s="3668">
        <f>SUM(M44:O44)</f>
        <v>1496</v>
      </c>
      <c r="R44" s="2714">
        <f>'приложение 1(1)'!R44</f>
        <v>99.586019999999991</v>
      </c>
      <c r="S44" s="2714">
        <f>'приложение 1(1)'!S44</f>
        <v>2983.8598400000001</v>
      </c>
      <c r="T44" s="3665"/>
      <c r="U44" s="2714"/>
      <c r="V44" s="2776">
        <f t="shared" si="2"/>
        <v>553255.66666666663</v>
      </c>
      <c r="W44" s="2776">
        <f t="shared" si="3"/>
        <v>864385.81691772887</v>
      </c>
      <c r="X44" s="2776" t="str">
        <f t="shared" si="4"/>
        <v/>
      </c>
      <c r="Y44" s="2504" t="str">
        <f t="shared" si="5"/>
        <v/>
      </c>
      <c r="Z44" s="2775">
        <f t="shared" si="15"/>
        <v>1.0528</v>
      </c>
      <c r="AA44" s="2775">
        <f t="shared" si="16"/>
        <v>1.0589</v>
      </c>
      <c r="AB44" s="2775">
        <f t="shared" si="17"/>
        <v>1.0507936887282501</v>
      </c>
      <c r="AC44" s="2775">
        <f t="shared" si="18"/>
        <v>1.04657781587849</v>
      </c>
      <c r="AD44" s="2446">
        <f>IFERROR(V44*$Z$44*$AA$44*$AB$44*$AC$44,"")</f>
        <v>678290.40855939116</v>
      </c>
      <c r="AE44" s="2446">
        <f>IFERROR(W44*$AA$44*$AB$44*$AC$44,"")</f>
        <v>1006587.5651594325</v>
      </c>
      <c r="AF44" s="2446" t="str">
        <f t="shared" si="8"/>
        <v/>
      </c>
      <c r="AG44" s="2446"/>
      <c r="AH44" s="2507">
        <f>SUM(AD44:AF44)</f>
        <v>1684877.9737188236</v>
      </c>
      <c r="AI44" s="2780">
        <f>AH44/2</f>
        <v>842438.98685941182</v>
      </c>
      <c r="AJ44" s="2780">
        <f>IFERROR((AI44*L44/1000)/Q44,"")</f>
        <v>2045.2796793271282</v>
      </c>
      <c r="AK44" s="2896">
        <f>'Утв.СТС 2018г'!H45</f>
        <v>747729.47</v>
      </c>
      <c r="AL44" s="2895">
        <f t="shared" si="14"/>
        <v>782557.07558058086</v>
      </c>
      <c r="AM44" s="2896">
        <f t="shared" si="10"/>
        <v>1.0765208227583969</v>
      </c>
      <c r="AO44" s="2506">
        <f t="shared" ref="AO44" si="20">AI44*L44/1000000</f>
        <v>3059.7384002733838</v>
      </c>
    </row>
    <row r="45" spans="1:41" ht="15" hidden="1" customHeight="1" outlineLevel="1" thickBot="1">
      <c r="A45" s="2339"/>
      <c r="B45" s="3024"/>
      <c r="C45" s="3027"/>
      <c r="D45" s="3028"/>
      <c r="E45" s="3029"/>
      <c r="F45" s="2974" t="s">
        <v>3862</v>
      </c>
      <c r="G45" s="2962"/>
      <c r="H45" s="3673"/>
      <c r="I45" s="3674"/>
      <c r="J45" s="3674"/>
      <c r="K45" s="3674"/>
      <c r="L45" s="3668"/>
      <c r="M45" s="2714"/>
      <c r="N45" s="2714"/>
      <c r="O45" s="2714"/>
      <c r="P45" s="2714"/>
      <c r="Q45" s="3668"/>
      <c r="R45" s="2714"/>
      <c r="S45" s="2714"/>
      <c r="T45" s="3665"/>
      <c r="U45" s="2714"/>
      <c r="V45" s="2776" t="str">
        <f t="shared" si="2"/>
        <v/>
      </c>
      <c r="W45" s="2776" t="str">
        <f t="shared" si="3"/>
        <v/>
      </c>
      <c r="X45" s="2776" t="str">
        <f t="shared" si="4"/>
        <v/>
      </c>
      <c r="Y45" s="2504" t="str">
        <f t="shared" si="5"/>
        <v/>
      </c>
      <c r="Z45" s="2775"/>
      <c r="AA45" s="2775"/>
      <c r="AB45" s="2775"/>
      <c r="AC45" s="2775"/>
      <c r="AD45" s="2446" t="str">
        <f t="shared" si="6"/>
        <v/>
      </c>
      <c r="AE45" s="2446" t="str">
        <f t="shared" si="7"/>
        <v/>
      </c>
      <c r="AF45" s="2446" t="str">
        <f t="shared" si="8"/>
        <v/>
      </c>
      <c r="AG45" s="2446"/>
      <c r="AH45" s="2507"/>
      <c r="AI45" s="2780"/>
      <c r="AJ45" s="2780" t="str">
        <f t="shared" si="9"/>
        <v/>
      </c>
      <c r="AK45" s="2896"/>
      <c r="AL45" s="2895">
        <f t="shared" si="14"/>
        <v>0</v>
      </c>
      <c r="AM45" s="2896" t="str">
        <f t="shared" si="10"/>
        <v/>
      </c>
    </row>
    <row r="46" spans="1:41" ht="15" hidden="1" customHeight="1" outlineLevel="1" thickBot="1">
      <c r="A46" s="2339"/>
      <c r="B46" s="3024"/>
      <c r="C46" s="3027"/>
      <c r="D46" s="3028"/>
      <c r="E46" s="3029"/>
      <c r="F46" s="2974" t="s">
        <v>3863</v>
      </c>
      <c r="G46" s="2962"/>
      <c r="H46" s="3673"/>
      <c r="I46" s="3674"/>
      <c r="J46" s="3674"/>
      <c r="K46" s="3674"/>
      <c r="L46" s="3668"/>
      <c r="M46" s="2714"/>
      <c r="N46" s="2714"/>
      <c r="O46" s="2714"/>
      <c r="P46" s="2714"/>
      <c r="Q46" s="3668"/>
      <c r="R46" s="2714"/>
      <c r="S46" s="2714"/>
      <c r="T46" s="3665"/>
      <c r="U46" s="2714"/>
      <c r="V46" s="2776" t="str">
        <f t="shared" si="2"/>
        <v/>
      </c>
      <c r="W46" s="2776" t="str">
        <f t="shared" si="3"/>
        <v/>
      </c>
      <c r="X46" s="2776" t="str">
        <f t="shared" si="4"/>
        <v/>
      </c>
      <c r="Y46" s="2504" t="str">
        <f t="shared" si="5"/>
        <v/>
      </c>
      <c r="Z46" s="2775"/>
      <c r="AA46" s="2775"/>
      <c r="AB46" s="2775"/>
      <c r="AC46" s="2775"/>
      <c r="AD46" s="2446" t="str">
        <f t="shared" si="6"/>
        <v/>
      </c>
      <c r="AE46" s="2446" t="str">
        <f t="shared" si="7"/>
        <v/>
      </c>
      <c r="AF46" s="2446" t="str">
        <f t="shared" si="8"/>
        <v/>
      </c>
      <c r="AG46" s="2446"/>
      <c r="AH46" s="2507"/>
      <c r="AI46" s="2780"/>
      <c r="AJ46" s="2780" t="str">
        <f t="shared" si="9"/>
        <v/>
      </c>
      <c r="AK46" s="2896"/>
      <c r="AL46" s="2895">
        <f t="shared" si="14"/>
        <v>0</v>
      </c>
      <c r="AM46" s="2896" t="str">
        <f t="shared" si="10"/>
        <v/>
      </c>
    </row>
    <row r="47" spans="1:41" ht="15" hidden="1" customHeight="1" outlineLevel="1" thickBot="1">
      <c r="A47" s="2339"/>
      <c r="B47" s="3024"/>
      <c r="C47" s="3027"/>
      <c r="D47" s="3028"/>
      <c r="E47" s="3029"/>
      <c r="F47" s="2680" t="s">
        <v>3864</v>
      </c>
      <c r="G47" s="2612"/>
      <c r="H47" s="3673"/>
      <c r="I47" s="3674"/>
      <c r="J47" s="3674"/>
      <c r="K47" s="3674"/>
      <c r="L47" s="3668"/>
      <c r="M47" s="2714"/>
      <c r="N47" s="2714"/>
      <c r="O47" s="2714"/>
      <c r="P47" s="2714"/>
      <c r="Q47" s="3668"/>
      <c r="R47" s="2714"/>
      <c r="S47" s="2714"/>
      <c r="T47" s="3665"/>
      <c r="U47" s="2714"/>
      <c r="V47" s="2776" t="str">
        <f t="shared" si="2"/>
        <v/>
      </c>
      <c r="W47" s="2776" t="str">
        <f t="shared" si="3"/>
        <v/>
      </c>
      <c r="X47" s="2776" t="str">
        <f t="shared" si="4"/>
        <v/>
      </c>
      <c r="Y47" s="2504" t="str">
        <f t="shared" si="5"/>
        <v/>
      </c>
      <c r="Z47" s="2775"/>
      <c r="AA47" s="2775"/>
      <c r="AB47" s="2775"/>
      <c r="AC47" s="2775"/>
      <c r="AD47" s="2446" t="str">
        <f t="shared" si="6"/>
        <v/>
      </c>
      <c r="AE47" s="2446" t="str">
        <f t="shared" si="7"/>
        <v/>
      </c>
      <c r="AF47" s="2446" t="str">
        <f t="shared" si="8"/>
        <v/>
      </c>
      <c r="AG47" s="2446"/>
      <c r="AH47" s="2507"/>
      <c r="AI47" s="2780"/>
      <c r="AJ47" s="2780" t="str">
        <f t="shared" si="9"/>
        <v/>
      </c>
      <c r="AK47" s="2896"/>
      <c r="AL47" s="2895">
        <f t="shared" si="14"/>
        <v>0</v>
      </c>
      <c r="AM47" s="2896" t="str">
        <f t="shared" si="10"/>
        <v/>
      </c>
    </row>
    <row r="48" spans="1:41" ht="15.75" hidden="1" customHeight="1" outlineLevel="1" thickBot="1">
      <c r="A48" s="2339"/>
      <c r="B48" s="3024"/>
      <c r="C48" s="3027"/>
      <c r="D48" s="3028"/>
      <c r="E48" s="3029"/>
      <c r="F48" s="2680" t="s">
        <v>3865</v>
      </c>
      <c r="G48" s="2612"/>
      <c r="H48" s="3673"/>
      <c r="I48" s="3674"/>
      <c r="J48" s="3674"/>
      <c r="K48" s="3674"/>
      <c r="L48" s="3668"/>
      <c r="M48" s="2714"/>
      <c r="N48" s="2714"/>
      <c r="O48" s="2714"/>
      <c r="P48" s="2714"/>
      <c r="Q48" s="3668"/>
      <c r="R48" s="2714"/>
      <c r="S48" s="2714"/>
      <c r="T48" s="3665"/>
      <c r="U48" s="2714"/>
      <c r="V48" s="2776" t="str">
        <f t="shared" si="2"/>
        <v/>
      </c>
      <c r="W48" s="2776" t="str">
        <f t="shared" si="3"/>
        <v/>
      </c>
      <c r="X48" s="2776" t="str">
        <f t="shared" si="4"/>
        <v/>
      </c>
      <c r="Y48" s="2504" t="str">
        <f t="shared" si="5"/>
        <v/>
      </c>
      <c r="Z48" s="2775"/>
      <c r="AA48" s="2775"/>
      <c r="AB48" s="2775"/>
      <c r="AC48" s="2775"/>
      <c r="AD48" s="2446" t="str">
        <f t="shared" si="6"/>
        <v/>
      </c>
      <c r="AE48" s="2446" t="str">
        <f t="shared" si="7"/>
        <v/>
      </c>
      <c r="AF48" s="2446" t="str">
        <f t="shared" si="8"/>
        <v/>
      </c>
      <c r="AG48" s="2446"/>
      <c r="AH48" s="2507"/>
      <c r="AI48" s="2780"/>
      <c r="AJ48" s="2780" t="str">
        <f t="shared" si="9"/>
        <v/>
      </c>
      <c r="AK48" s="2896"/>
      <c r="AL48" s="2895">
        <f t="shared" si="14"/>
        <v>0</v>
      </c>
      <c r="AM48" s="2896" t="str">
        <f t="shared" si="10"/>
        <v/>
      </c>
    </row>
    <row r="49" spans="1:41" ht="15" customHeight="1" collapsed="1" thickBot="1">
      <c r="A49" s="2339"/>
      <c r="B49" s="3024"/>
      <c r="C49" s="3027"/>
      <c r="D49" s="3028" t="s">
        <v>2954</v>
      </c>
      <c r="E49" s="3029" t="s">
        <v>2950</v>
      </c>
      <c r="F49" s="2974" t="s">
        <v>3860</v>
      </c>
      <c r="G49" s="2962"/>
      <c r="H49" s="3673">
        <f>'приложение 1(1)'!H49</f>
        <v>200</v>
      </c>
      <c r="I49" s="3674"/>
      <c r="J49" s="3674"/>
      <c r="K49" s="3674"/>
      <c r="L49" s="3668">
        <f t="shared" si="11"/>
        <v>200</v>
      </c>
      <c r="M49" s="2714">
        <f>'приложение 1(1)'!M49</f>
        <v>16.079999999999998</v>
      </c>
      <c r="N49" s="2714"/>
      <c r="O49" s="2714"/>
      <c r="P49" s="2714"/>
      <c r="Q49" s="3668">
        <f t="shared" si="12"/>
        <v>16.079999999999998</v>
      </c>
      <c r="R49" s="2714">
        <f>'приложение 1(1)'!R49</f>
        <v>171.20831000000001</v>
      </c>
      <c r="S49" s="2714"/>
      <c r="T49" s="3665"/>
      <c r="U49" s="2714"/>
      <c r="V49" s="2776">
        <f>IFERROR(R49*1000/(H49/1000),"")</f>
        <v>856041.54999999993</v>
      </c>
      <c r="W49" s="2776" t="str">
        <f t="shared" si="3"/>
        <v/>
      </c>
      <c r="X49" s="2776" t="str">
        <f t="shared" si="4"/>
        <v/>
      </c>
      <c r="Y49" s="2504" t="str">
        <f t="shared" si="5"/>
        <v/>
      </c>
      <c r="Z49" s="2775">
        <f t="shared" ref="Z49" si="21">$Z$13</f>
        <v>1.0528</v>
      </c>
      <c r="AA49" s="2775">
        <f t="shared" ref="AA49" si="22">$AA$13</f>
        <v>1.0589</v>
      </c>
      <c r="AB49" s="2775">
        <f t="shared" ref="AB49" si="23">$AB$13</f>
        <v>1.0507936887282501</v>
      </c>
      <c r="AC49" s="2775">
        <f t="shared" ref="AC49" si="24">$AC$13</f>
        <v>1.04657781587849</v>
      </c>
      <c r="AD49" s="2446">
        <f>IFERROR(V49*$Z$49*$AA$49*$AB$49*$AC$49,"")</f>
        <v>1049505.3330256254</v>
      </c>
      <c r="AE49" s="2446" t="str">
        <f t="shared" si="7"/>
        <v/>
      </c>
      <c r="AF49" s="2446" t="str">
        <f t="shared" si="8"/>
        <v/>
      </c>
      <c r="AG49" s="2446"/>
      <c r="AH49" s="2507">
        <f>SUM(AD49:AF49)</f>
        <v>1049505.3330256254</v>
      </c>
      <c r="AI49" s="2780">
        <f>AH49/1</f>
        <v>1049505.3330256254</v>
      </c>
      <c r="AJ49" s="2780">
        <f t="shared" si="9"/>
        <v>13053.548918229173</v>
      </c>
      <c r="AK49" s="2896">
        <f>'Утв.СТС 2018г'!H50</f>
        <v>719141.18</v>
      </c>
      <c r="AL49" s="2895">
        <f t="shared" si="14"/>
        <v>752637.20547268004</v>
      </c>
      <c r="AM49" s="2896">
        <f>IFERROR(AI49/AL49,"")</f>
        <v>1.3944372207410378</v>
      </c>
      <c r="AO49" s="2506">
        <f t="shared" ref="AO49" si="25">AI49*L49/1000000</f>
        <v>209.9010666051251</v>
      </c>
    </row>
    <row r="50" spans="1:41" ht="15" hidden="1" customHeight="1" outlineLevel="1" thickBot="1">
      <c r="A50" s="2339"/>
      <c r="B50" s="3024"/>
      <c r="C50" s="3027"/>
      <c r="D50" s="3028"/>
      <c r="E50" s="3029"/>
      <c r="F50" s="2974" t="s">
        <v>3861</v>
      </c>
      <c r="G50" s="2962"/>
      <c r="H50" s="3673"/>
      <c r="I50" s="3674"/>
      <c r="J50" s="3674"/>
      <c r="K50" s="3674"/>
      <c r="L50" s="3668"/>
      <c r="M50" s="2714"/>
      <c r="N50" s="2714"/>
      <c r="O50" s="2714"/>
      <c r="P50" s="2714"/>
      <c r="Q50" s="3668"/>
      <c r="R50" s="2714"/>
      <c r="S50" s="2714"/>
      <c r="T50" s="3665"/>
      <c r="U50" s="2714"/>
      <c r="V50" s="2504" t="str">
        <f t="shared" si="2"/>
        <v/>
      </c>
      <c r="W50" s="2504" t="str">
        <f t="shared" si="3"/>
        <v/>
      </c>
      <c r="X50" s="2504" t="str">
        <f t="shared" si="4"/>
        <v/>
      </c>
      <c r="Y50" s="2504" t="str">
        <f t="shared" si="5"/>
        <v/>
      </c>
      <c r="Z50" s="2775"/>
      <c r="AA50" s="2775"/>
      <c r="AB50" s="2775"/>
      <c r="AC50" s="2775"/>
      <c r="AD50" s="2444" t="str">
        <f t="shared" si="6"/>
        <v/>
      </c>
      <c r="AE50" s="2444" t="str">
        <f t="shared" si="7"/>
        <v/>
      </c>
      <c r="AF50" s="2444" t="str">
        <f t="shared" si="8"/>
        <v/>
      </c>
      <c r="AG50" s="2319"/>
      <c r="AH50" s="2443"/>
      <c r="AI50" s="2780"/>
      <c r="AJ50" s="2780" t="str">
        <f t="shared" si="9"/>
        <v/>
      </c>
      <c r="AK50" s="2896"/>
      <c r="AL50" s="2895">
        <f t="shared" si="14"/>
        <v>0</v>
      </c>
      <c r="AM50" s="2896" t="str">
        <f t="shared" si="10"/>
        <v/>
      </c>
    </row>
    <row r="51" spans="1:41" ht="15" hidden="1" customHeight="1" outlineLevel="1" thickBot="1">
      <c r="A51" s="2339"/>
      <c r="B51" s="3024"/>
      <c r="C51" s="3027"/>
      <c r="D51" s="3028"/>
      <c r="E51" s="3029"/>
      <c r="F51" s="2974" t="s">
        <v>3862</v>
      </c>
      <c r="G51" s="2962"/>
      <c r="H51" s="3673"/>
      <c r="I51" s="3674"/>
      <c r="J51" s="3674"/>
      <c r="K51" s="3674"/>
      <c r="L51" s="3668"/>
      <c r="M51" s="2714"/>
      <c r="N51" s="2714"/>
      <c r="O51" s="2714"/>
      <c r="P51" s="2714"/>
      <c r="Q51" s="3668"/>
      <c r="R51" s="2714"/>
      <c r="S51" s="2714"/>
      <c r="T51" s="3665"/>
      <c r="U51" s="2714"/>
      <c r="V51" s="2504" t="str">
        <f t="shared" si="2"/>
        <v/>
      </c>
      <c r="W51" s="2504" t="str">
        <f t="shared" si="3"/>
        <v/>
      </c>
      <c r="X51" s="2504" t="str">
        <f t="shared" si="4"/>
        <v/>
      </c>
      <c r="Y51" s="2504" t="str">
        <f t="shared" si="5"/>
        <v/>
      </c>
      <c r="Z51" s="2775"/>
      <c r="AA51" s="2775"/>
      <c r="AB51" s="2775"/>
      <c r="AC51" s="2775"/>
      <c r="AD51" s="2444" t="str">
        <f t="shared" si="6"/>
        <v/>
      </c>
      <c r="AE51" s="2444" t="str">
        <f t="shared" si="7"/>
        <v/>
      </c>
      <c r="AF51" s="2444" t="str">
        <f t="shared" si="8"/>
        <v/>
      </c>
      <c r="AG51" s="2319"/>
      <c r="AH51" s="2443"/>
      <c r="AI51" s="2780"/>
      <c r="AJ51" s="2780" t="str">
        <f t="shared" si="9"/>
        <v/>
      </c>
      <c r="AK51" s="2896"/>
      <c r="AL51" s="2895">
        <f t="shared" si="14"/>
        <v>0</v>
      </c>
      <c r="AM51" s="2896" t="str">
        <f t="shared" si="10"/>
        <v/>
      </c>
    </row>
    <row r="52" spans="1:41" ht="15" hidden="1" customHeight="1" outlineLevel="1" thickBot="1">
      <c r="A52" s="2339"/>
      <c r="B52" s="3024"/>
      <c r="C52" s="3027"/>
      <c r="D52" s="3028"/>
      <c r="E52" s="3029"/>
      <c r="F52" s="2974" t="s">
        <v>3863</v>
      </c>
      <c r="G52" s="2962"/>
      <c r="H52" s="3673"/>
      <c r="I52" s="3674"/>
      <c r="J52" s="3674"/>
      <c r="K52" s="3674"/>
      <c r="L52" s="3668"/>
      <c r="M52" s="2714"/>
      <c r="N52" s="2714"/>
      <c r="O52" s="2714"/>
      <c r="P52" s="2714"/>
      <c r="Q52" s="3668"/>
      <c r="R52" s="2714"/>
      <c r="S52" s="2714"/>
      <c r="T52" s="3665"/>
      <c r="U52" s="2714"/>
      <c r="V52" s="2504" t="str">
        <f t="shared" si="2"/>
        <v/>
      </c>
      <c r="W52" s="2504" t="str">
        <f t="shared" si="3"/>
        <v/>
      </c>
      <c r="X52" s="2504" t="str">
        <f t="shared" si="4"/>
        <v/>
      </c>
      <c r="Y52" s="2504" t="str">
        <f t="shared" si="5"/>
        <v/>
      </c>
      <c r="Z52" s="2775"/>
      <c r="AA52" s="2775"/>
      <c r="AB52" s="2775"/>
      <c r="AC52" s="2775"/>
      <c r="AD52" s="2444" t="str">
        <f t="shared" si="6"/>
        <v/>
      </c>
      <c r="AE52" s="2444" t="str">
        <f t="shared" si="7"/>
        <v/>
      </c>
      <c r="AF52" s="2444" t="str">
        <f t="shared" si="8"/>
        <v/>
      </c>
      <c r="AG52" s="2319"/>
      <c r="AH52" s="2443"/>
      <c r="AI52" s="2780"/>
      <c r="AJ52" s="2780" t="str">
        <f t="shared" si="9"/>
        <v/>
      </c>
      <c r="AK52" s="2896"/>
      <c r="AL52" s="2895">
        <f t="shared" si="14"/>
        <v>0</v>
      </c>
      <c r="AM52" s="2896" t="str">
        <f t="shared" si="10"/>
        <v/>
      </c>
    </row>
    <row r="53" spans="1:41" ht="15" hidden="1" customHeight="1" outlineLevel="1" thickBot="1">
      <c r="A53" s="2339"/>
      <c r="B53" s="3024"/>
      <c r="C53" s="3027"/>
      <c r="D53" s="3028"/>
      <c r="E53" s="3029"/>
      <c r="F53" s="2680" t="s">
        <v>3864</v>
      </c>
      <c r="G53" s="2612"/>
      <c r="H53" s="3673"/>
      <c r="I53" s="3674"/>
      <c r="J53" s="3674"/>
      <c r="K53" s="3674"/>
      <c r="L53" s="3668"/>
      <c r="M53" s="2714"/>
      <c r="N53" s="2714"/>
      <c r="O53" s="2714"/>
      <c r="P53" s="2714"/>
      <c r="Q53" s="3668"/>
      <c r="R53" s="2714"/>
      <c r="S53" s="2714"/>
      <c r="T53" s="3665"/>
      <c r="U53" s="2714"/>
      <c r="V53" s="2504" t="str">
        <f t="shared" si="2"/>
        <v/>
      </c>
      <c r="W53" s="2504" t="str">
        <f t="shared" si="3"/>
        <v/>
      </c>
      <c r="X53" s="2504" t="str">
        <f t="shared" si="4"/>
        <v/>
      </c>
      <c r="Y53" s="2504" t="str">
        <f t="shared" si="5"/>
        <v/>
      </c>
      <c r="Z53" s="2775"/>
      <c r="AA53" s="2775"/>
      <c r="AB53" s="2775"/>
      <c r="AC53" s="2775"/>
      <c r="AD53" s="2444" t="str">
        <f t="shared" si="6"/>
        <v/>
      </c>
      <c r="AE53" s="2444" t="str">
        <f t="shared" si="7"/>
        <v/>
      </c>
      <c r="AF53" s="2444" t="str">
        <f t="shared" si="8"/>
        <v/>
      </c>
      <c r="AG53" s="2319"/>
      <c r="AH53" s="2443"/>
      <c r="AI53" s="2780"/>
      <c r="AJ53" s="2780" t="str">
        <f t="shared" si="9"/>
        <v/>
      </c>
      <c r="AK53" s="2896"/>
      <c r="AL53" s="2895">
        <f t="shared" si="14"/>
        <v>0</v>
      </c>
      <c r="AM53" s="2896" t="str">
        <f t="shared" si="10"/>
        <v/>
      </c>
    </row>
    <row r="54" spans="1:41" ht="15.75" hidden="1" customHeight="1" outlineLevel="1" thickBot="1">
      <c r="A54" s="3675"/>
      <c r="B54" s="3025"/>
      <c r="C54" s="3027"/>
      <c r="D54" s="3028"/>
      <c r="E54" s="3029"/>
      <c r="F54" s="2680" t="s">
        <v>3865</v>
      </c>
      <c r="G54" s="2612"/>
      <c r="H54" s="3673"/>
      <c r="I54" s="3674"/>
      <c r="J54" s="3674"/>
      <c r="K54" s="3674"/>
      <c r="L54" s="3668"/>
      <c r="M54" s="2714"/>
      <c r="N54" s="2714"/>
      <c r="O54" s="2714"/>
      <c r="P54" s="2714"/>
      <c r="Q54" s="3668"/>
      <c r="R54" s="2714"/>
      <c r="S54" s="2714"/>
      <c r="T54" s="3665"/>
      <c r="U54" s="2714"/>
      <c r="V54" s="2504" t="str">
        <f t="shared" si="2"/>
        <v/>
      </c>
      <c r="W54" s="2504" t="str">
        <f t="shared" si="3"/>
        <v/>
      </c>
      <c r="X54" s="2504" t="str">
        <f t="shared" si="4"/>
        <v/>
      </c>
      <c r="Y54" s="2504" t="str">
        <f t="shared" si="5"/>
        <v/>
      </c>
      <c r="Z54" s="2775"/>
      <c r="AA54" s="2775"/>
      <c r="AB54" s="2775"/>
      <c r="AC54" s="2775"/>
      <c r="AD54" s="2444" t="str">
        <f t="shared" si="6"/>
        <v/>
      </c>
      <c r="AE54" s="2444" t="str">
        <f t="shared" si="7"/>
        <v/>
      </c>
      <c r="AF54" s="2444" t="str">
        <f t="shared" si="8"/>
        <v/>
      </c>
      <c r="AG54" s="2319"/>
      <c r="AH54" s="2443"/>
      <c r="AI54" s="2780"/>
      <c r="AJ54" s="2780" t="str">
        <f t="shared" si="9"/>
        <v/>
      </c>
      <c r="AK54" s="2896"/>
      <c r="AL54" s="2895">
        <f t="shared" si="14"/>
        <v>0</v>
      </c>
      <c r="AM54" s="2896" t="str">
        <f t="shared" si="10"/>
        <v/>
      </c>
    </row>
    <row r="55" spans="1:41" ht="15" hidden="1" customHeight="1" outlineLevel="1" thickBot="1">
      <c r="A55" s="3675"/>
      <c r="B55" s="3025"/>
      <c r="C55" s="3027"/>
      <c r="D55" s="3028"/>
      <c r="E55" s="3029" t="s">
        <v>2946</v>
      </c>
      <c r="F55" s="2974" t="s">
        <v>3860</v>
      </c>
      <c r="G55" s="2962"/>
      <c r="H55" s="3673"/>
      <c r="I55" s="3674"/>
      <c r="J55" s="3674"/>
      <c r="K55" s="3674"/>
      <c r="L55" s="3668"/>
      <c r="M55" s="2714"/>
      <c r="N55" s="2714"/>
      <c r="O55" s="2714"/>
      <c r="P55" s="2714"/>
      <c r="Q55" s="3668"/>
      <c r="R55" s="2714"/>
      <c r="S55" s="2714"/>
      <c r="T55" s="3665"/>
      <c r="U55" s="2714"/>
      <c r="V55" s="2504" t="str">
        <f t="shared" si="2"/>
        <v/>
      </c>
      <c r="W55" s="2504" t="str">
        <f t="shared" si="3"/>
        <v/>
      </c>
      <c r="X55" s="2504" t="str">
        <f t="shared" si="4"/>
        <v/>
      </c>
      <c r="Y55" s="2504" t="str">
        <f t="shared" si="5"/>
        <v/>
      </c>
      <c r="Z55" s="2775"/>
      <c r="AA55" s="2775"/>
      <c r="AB55" s="2775"/>
      <c r="AC55" s="2775"/>
      <c r="AD55" s="2444" t="str">
        <f t="shared" si="6"/>
        <v/>
      </c>
      <c r="AE55" s="2444" t="str">
        <f t="shared" si="7"/>
        <v/>
      </c>
      <c r="AF55" s="2444" t="str">
        <f t="shared" si="8"/>
        <v/>
      </c>
      <c r="AG55" s="2319"/>
      <c r="AH55" s="2443"/>
      <c r="AI55" s="2780"/>
      <c r="AJ55" s="2780" t="str">
        <f t="shared" si="9"/>
        <v/>
      </c>
      <c r="AK55" s="2896">
        <f>'Утв.СТС 2018г'!H56</f>
        <v>431154.84</v>
      </c>
      <c r="AL55" s="2895">
        <f t="shared" si="14"/>
        <v>451237.09075263981</v>
      </c>
      <c r="AM55" s="2896">
        <f t="shared" si="10"/>
        <v>0</v>
      </c>
    </row>
    <row r="56" spans="1:41" ht="15" hidden="1" customHeight="1" outlineLevel="1" thickBot="1">
      <c r="A56" s="3675"/>
      <c r="B56" s="3025"/>
      <c r="C56" s="3027"/>
      <c r="D56" s="3028"/>
      <c r="E56" s="3029"/>
      <c r="F56" s="2974" t="s">
        <v>3861</v>
      </c>
      <c r="G56" s="2962"/>
      <c r="H56" s="2714"/>
      <c r="I56" s="2714"/>
      <c r="J56" s="2714"/>
      <c r="K56" s="2714"/>
      <c r="L56" s="2714"/>
      <c r="M56" s="2714"/>
      <c r="N56" s="2714"/>
      <c r="O56" s="2714"/>
      <c r="P56" s="2714"/>
      <c r="Q56" s="2714"/>
      <c r="R56" s="2714"/>
      <c r="S56" s="2714"/>
      <c r="T56" s="2714"/>
      <c r="U56" s="2714"/>
      <c r="V56" s="2504" t="str">
        <f t="shared" si="2"/>
        <v/>
      </c>
      <c r="W56" s="2504" t="str">
        <f t="shared" si="3"/>
        <v/>
      </c>
      <c r="X56" s="2504" t="str">
        <f t="shared" si="4"/>
        <v/>
      </c>
      <c r="Y56" s="2504" t="str">
        <f t="shared" si="5"/>
        <v/>
      </c>
      <c r="Z56" s="2775"/>
      <c r="AA56" s="2775"/>
      <c r="AB56" s="2775"/>
      <c r="AC56" s="2775"/>
      <c r="AD56" s="2444" t="str">
        <f t="shared" si="6"/>
        <v/>
      </c>
      <c r="AE56" s="2444" t="str">
        <f t="shared" si="7"/>
        <v/>
      </c>
      <c r="AF56" s="2444" t="str">
        <f t="shared" si="8"/>
        <v/>
      </c>
      <c r="AG56" s="2319"/>
      <c r="AH56" s="2443"/>
      <c r="AI56" s="2780"/>
      <c r="AJ56" s="2780" t="str">
        <f t="shared" si="9"/>
        <v/>
      </c>
      <c r="AK56" s="2896"/>
      <c r="AL56" s="2895">
        <f t="shared" si="14"/>
        <v>0</v>
      </c>
      <c r="AM56" s="2896" t="str">
        <f t="shared" si="10"/>
        <v/>
      </c>
    </row>
    <row r="57" spans="1:41" ht="15" hidden="1" customHeight="1" outlineLevel="1" thickBot="1">
      <c r="A57" s="3675"/>
      <c r="B57" s="3025"/>
      <c r="C57" s="3027"/>
      <c r="D57" s="3028"/>
      <c r="E57" s="3029"/>
      <c r="F57" s="2974" t="s">
        <v>3862</v>
      </c>
      <c r="G57" s="2964"/>
      <c r="H57" s="2714"/>
      <c r="I57" s="2714"/>
      <c r="J57" s="2714"/>
      <c r="K57" s="2714"/>
      <c r="L57" s="2714"/>
      <c r="M57" s="2714"/>
      <c r="N57" s="2714"/>
      <c r="O57" s="2714"/>
      <c r="P57" s="2714"/>
      <c r="Q57" s="2714"/>
      <c r="R57" s="2714"/>
      <c r="S57" s="2714"/>
      <c r="T57" s="2714"/>
      <c r="U57" s="2714"/>
      <c r="V57" s="2504" t="str">
        <f t="shared" si="2"/>
        <v/>
      </c>
      <c r="W57" s="2504" t="str">
        <f t="shared" si="3"/>
        <v/>
      </c>
      <c r="X57" s="2504" t="str">
        <f t="shared" si="4"/>
        <v/>
      </c>
      <c r="Y57" s="2504" t="str">
        <f t="shared" si="5"/>
        <v/>
      </c>
      <c r="Z57" s="2775"/>
      <c r="AA57" s="2775"/>
      <c r="AB57" s="2775"/>
      <c r="AC57" s="2775"/>
      <c r="AD57" s="2444" t="str">
        <f t="shared" si="6"/>
        <v/>
      </c>
      <c r="AE57" s="2444" t="str">
        <f t="shared" si="7"/>
        <v/>
      </c>
      <c r="AF57" s="2444" t="str">
        <f t="shared" si="8"/>
        <v/>
      </c>
      <c r="AG57" s="2319"/>
      <c r="AH57" s="2443"/>
      <c r="AI57" s="2780"/>
      <c r="AJ57" s="2780" t="str">
        <f t="shared" si="9"/>
        <v/>
      </c>
      <c r="AK57" s="2896"/>
      <c r="AL57" s="2895">
        <f t="shared" si="14"/>
        <v>0</v>
      </c>
      <c r="AM57" s="2896" t="str">
        <f t="shared" si="10"/>
        <v/>
      </c>
    </row>
    <row r="58" spans="1:41" ht="15" hidden="1" customHeight="1" outlineLevel="1" thickBot="1">
      <c r="A58" s="3675"/>
      <c r="B58" s="3025"/>
      <c r="C58" s="3027"/>
      <c r="D58" s="3028"/>
      <c r="E58" s="3029"/>
      <c r="F58" s="2974" t="s">
        <v>3863</v>
      </c>
      <c r="G58" s="2328"/>
      <c r="H58" s="2714"/>
      <c r="I58" s="2714"/>
      <c r="J58" s="2714"/>
      <c r="K58" s="2714"/>
      <c r="L58" s="2714"/>
      <c r="M58" s="2714"/>
      <c r="N58" s="2714"/>
      <c r="O58" s="2714"/>
      <c r="P58" s="2714"/>
      <c r="Q58" s="2714"/>
      <c r="R58" s="2714"/>
      <c r="S58" s="2714"/>
      <c r="T58" s="2714"/>
      <c r="U58" s="2714"/>
      <c r="V58" s="2480" t="str">
        <f t="shared" si="2"/>
        <v/>
      </c>
      <c r="W58" s="2504" t="str">
        <f t="shared" si="3"/>
        <v/>
      </c>
      <c r="X58" s="2504" t="str">
        <f t="shared" si="4"/>
        <v/>
      </c>
      <c r="Y58" s="2504" t="str">
        <f t="shared" si="5"/>
        <v/>
      </c>
      <c r="Z58" s="2775"/>
      <c r="AA58" s="2775"/>
      <c r="AB58" s="2775"/>
      <c r="AC58" s="2775"/>
      <c r="AD58" s="2444" t="str">
        <f t="shared" si="6"/>
        <v/>
      </c>
      <c r="AE58" s="2444" t="str">
        <f t="shared" si="7"/>
        <v/>
      </c>
      <c r="AF58" s="2444" t="str">
        <f t="shared" si="8"/>
        <v/>
      </c>
      <c r="AG58" s="2319"/>
      <c r="AH58" s="2443"/>
      <c r="AI58" s="2780"/>
      <c r="AJ58" s="2780" t="str">
        <f t="shared" si="9"/>
        <v/>
      </c>
      <c r="AK58" s="2896"/>
      <c r="AL58" s="2895">
        <f t="shared" si="14"/>
        <v>0</v>
      </c>
      <c r="AM58" s="2896" t="str">
        <f t="shared" si="10"/>
        <v/>
      </c>
    </row>
    <row r="59" spans="1:41" ht="15" hidden="1" customHeight="1" outlineLevel="1" thickBot="1">
      <c r="A59" s="3675"/>
      <c r="B59" s="3025"/>
      <c r="C59" s="3027"/>
      <c r="D59" s="3028"/>
      <c r="E59" s="3029"/>
      <c r="F59" s="2680" t="s">
        <v>3864</v>
      </c>
      <c r="G59" s="2330"/>
      <c r="H59" s="2714"/>
      <c r="I59" s="2714"/>
      <c r="J59" s="2714"/>
      <c r="K59" s="2714"/>
      <c r="L59" s="2714"/>
      <c r="M59" s="2714"/>
      <c r="N59" s="2714"/>
      <c r="O59" s="2714"/>
      <c r="P59" s="2714"/>
      <c r="Q59" s="2714"/>
      <c r="R59" s="2714"/>
      <c r="S59" s="2714"/>
      <c r="T59" s="2714"/>
      <c r="U59" s="2714"/>
      <c r="V59" s="2480" t="str">
        <f t="shared" si="2"/>
        <v/>
      </c>
      <c r="W59" s="2504" t="str">
        <f t="shared" si="3"/>
        <v/>
      </c>
      <c r="X59" s="2504" t="str">
        <f t="shared" si="4"/>
        <v/>
      </c>
      <c r="Y59" s="2504" t="str">
        <f t="shared" si="5"/>
        <v/>
      </c>
      <c r="Z59" s="2775"/>
      <c r="AA59" s="2775"/>
      <c r="AB59" s="2775"/>
      <c r="AC59" s="2775"/>
      <c r="AD59" s="2444" t="str">
        <f t="shared" si="6"/>
        <v/>
      </c>
      <c r="AE59" s="2444" t="str">
        <f t="shared" si="7"/>
        <v/>
      </c>
      <c r="AF59" s="2444" t="str">
        <f t="shared" si="8"/>
        <v/>
      </c>
      <c r="AG59" s="2319"/>
      <c r="AH59" s="2443"/>
      <c r="AI59" s="2780"/>
      <c r="AJ59" s="2780" t="str">
        <f t="shared" si="9"/>
        <v/>
      </c>
      <c r="AK59" s="2896"/>
      <c r="AL59" s="2895">
        <f t="shared" si="14"/>
        <v>0</v>
      </c>
      <c r="AM59" s="2896" t="str">
        <f t="shared" si="10"/>
        <v/>
      </c>
    </row>
    <row r="60" spans="1:41" ht="15.75" hidden="1" customHeight="1" outlineLevel="1" thickBot="1">
      <c r="A60" s="2845"/>
      <c r="B60" s="3025"/>
      <c r="C60" s="3027"/>
      <c r="D60" s="3030"/>
      <c r="E60" s="3031"/>
      <c r="F60" s="2573" t="s">
        <v>3865</v>
      </c>
      <c r="G60" s="2330"/>
      <c r="H60" s="2714"/>
      <c r="I60" s="2714"/>
      <c r="J60" s="2714"/>
      <c r="K60" s="2714"/>
      <c r="L60" s="2714"/>
      <c r="M60" s="2714"/>
      <c r="N60" s="2714"/>
      <c r="O60" s="2714"/>
      <c r="P60" s="2714"/>
      <c r="Q60" s="2714"/>
      <c r="R60" s="2714"/>
      <c r="S60" s="2714"/>
      <c r="T60" s="2714"/>
      <c r="U60" s="2714"/>
      <c r="V60" s="2480" t="str">
        <f t="shared" si="2"/>
        <v/>
      </c>
      <c r="W60" s="2504" t="str">
        <f t="shared" si="3"/>
        <v/>
      </c>
      <c r="X60" s="2504" t="str">
        <f t="shared" si="4"/>
        <v/>
      </c>
      <c r="Y60" s="2504" t="str">
        <f t="shared" si="5"/>
        <v/>
      </c>
      <c r="Z60" s="2775"/>
      <c r="AA60" s="2775"/>
      <c r="AB60" s="2775"/>
      <c r="AC60" s="2775"/>
      <c r="AD60" s="2444" t="str">
        <f t="shared" si="6"/>
        <v/>
      </c>
      <c r="AE60" s="2444" t="str">
        <f t="shared" si="7"/>
        <v/>
      </c>
      <c r="AF60" s="2444" t="str">
        <f t="shared" si="8"/>
        <v/>
      </c>
      <c r="AG60" s="2319"/>
      <c r="AH60" s="2443"/>
      <c r="AI60" s="2780"/>
      <c r="AJ60" s="2780" t="str">
        <f t="shared" si="9"/>
        <v/>
      </c>
      <c r="AK60" s="2896"/>
      <c r="AL60" s="2895">
        <f t="shared" si="14"/>
        <v>0</v>
      </c>
      <c r="AM60" s="2896" t="str">
        <f t="shared" si="10"/>
        <v/>
      </c>
    </row>
    <row r="61" spans="1:41" collapsed="1">
      <c r="A61" s="2345"/>
      <c r="B61" s="2352"/>
      <c r="C61" s="2352"/>
      <c r="D61" s="2352"/>
      <c r="E61" s="2352"/>
      <c r="F61" s="2355"/>
      <c r="G61" s="2357"/>
      <c r="H61" s="3676"/>
      <c r="I61" s="3676"/>
      <c r="J61" s="3676"/>
      <c r="K61" s="3676"/>
      <c r="L61" s="3676"/>
      <c r="M61" s="3677"/>
      <c r="N61" s="3677"/>
      <c r="O61" s="3677"/>
      <c r="P61" s="3676"/>
      <c r="Q61" s="3676"/>
      <c r="R61" s="3678"/>
      <c r="S61" s="3678"/>
      <c r="T61" s="3678"/>
      <c r="U61" s="2338"/>
      <c r="AO61" s="2545">
        <f>SUM(AO13:AO60)</f>
        <v>12373.741114813711</v>
      </c>
    </row>
    <row r="62" spans="1:41">
      <c r="A62" s="2345"/>
      <c r="B62" s="2345"/>
      <c r="C62" s="2345"/>
      <c r="D62" s="2345"/>
      <c r="E62" s="2345"/>
      <c r="F62" s="2357"/>
      <c r="G62" s="2357"/>
      <c r="H62" s="3676"/>
      <c r="I62" s="3676"/>
      <c r="J62" s="3676"/>
      <c r="K62" s="3676"/>
      <c r="L62" s="3676"/>
      <c r="M62" s="3677"/>
      <c r="N62" s="3677"/>
      <c r="O62" s="3677"/>
      <c r="P62" s="3676"/>
      <c r="Q62" s="3676"/>
      <c r="R62" s="3679"/>
      <c r="S62" s="3679"/>
      <c r="T62" s="3679"/>
      <c r="U62" s="2338"/>
    </row>
    <row r="63" spans="1:41">
      <c r="A63" s="2345"/>
      <c r="B63" s="2345"/>
      <c r="C63" s="2345"/>
      <c r="D63" s="2345"/>
      <c r="E63" s="2345"/>
      <c r="F63" s="2357"/>
      <c r="G63" s="2357"/>
      <c r="H63" s="3676"/>
      <c r="I63" s="3676"/>
      <c r="J63" s="3676"/>
      <c r="K63" s="3676"/>
      <c r="L63" s="3676"/>
      <c r="M63" s="3676"/>
      <c r="N63" s="3676"/>
      <c r="O63" s="3676"/>
      <c r="P63" s="3676"/>
      <c r="Q63" s="3676"/>
      <c r="R63" s="3676"/>
      <c r="S63" s="3676"/>
      <c r="T63" s="3676"/>
      <c r="U63" s="2338"/>
    </row>
    <row r="64" spans="1:41">
      <c r="A64" s="2345"/>
      <c r="B64" s="2345"/>
      <c r="C64" s="2345"/>
      <c r="D64" s="2345"/>
      <c r="E64" s="2345"/>
      <c r="F64" s="2357"/>
      <c r="G64" s="2357"/>
      <c r="H64" s="3676"/>
      <c r="I64" s="3676"/>
      <c r="J64" s="3676"/>
      <c r="K64" s="3676"/>
      <c r="L64" s="3676"/>
      <c r="M64" s="3676"/>
      <c r="N64" s="3676"/>
      <c r="O64" s="3676"/>
      <c r="P64" s="3676"/>
      <c r="Q64" s="3676"/>
      <c r="R64" s="3676"/>
      <c r="S64" s="3676"/>
      <c r="T64" s="3676"/>
      <c r="U64" s="2338"/>
    </row>
    <row r="65" spans="1:39">
      <c r="A65" s="2345"/>
      <c r="B65" s="2345"/>
      <c r="C65" s="2345"/>
      <c r="D65" s="2345"/>
      <c r="E65" s="2345"/>
      <c r="F65" s="2357"/>
      <c r="G65" s="2357"/>
      <c r="H65" s="3676"/>
      <c r="I65" s="3676"/>
      <c r="J65" s="3676"/>
      <c r="K65" s="3676"/>
      <c r="L65" s="3676"/>
      <c r="M65" s="3676"/>
      <c r="N65" s="3676"/>
      <c r="O65" s="3676"/>
      <c r="P65" s="3676"/>
      <c r="Q65" s="3676"/>
      <c r="R65" s="3676"/>
      <c r="S65" s="3676"/>
      <c r="T65" s="3676"/>
      <c r="U65" s="2338"/>
    </row>
    <row r="66" spans="1:39" ht="15.75" thickBot="1">
      <c r="A66" s="2345"/>
      <c r="B66" s="2345"/>
      <c r="C66" s="2345"/>
      <c r="D66" s="2345"/>
      <c r="E66" s="2345"/>
      <c r="F66" s="2357"/>
      <c r="G66" s="2357"/>
      <c r="H66" s="3676"/>
      <c r="I66" s="3676"/>
      <c r="J66" s="3676"/>
      <c r="K66" s="3676"/>
      <c r="L66" s="3676"/>
      <c r="M66" s="3676"/>
      <c r="N66" s="3676"/>
      <c r="O66" s="3676"/>
      <c r="P66" s="3676"/>
      <c r="Q66" s="3676"/>
      <c r="R66" s="3676"/>
      <c r="S66" s="3676"/>
      <c r="T66" s="3676"/>
      <c r="U66" s="2338"/>
    </row>
    <row r="67" spans="1:39" ht="19.5" thickBot="1">
      <c r="A67" s="3642"/>
      <c r="B67" s="3643"/>
      <c r="C67" s="3643"/>
      <c r="D67" s="3643"/>
      <c r="E67" s="3643"/>
      <c r="F67" s="3644"/>
      <c r="G67" s="3645" t="s">
        <v>3966</v>
      </c>
      <c r="H67" s="3646"/>
      <c r="I67" s="3646"/>
      <c r="J67" s="3646"/>
      <c r="K67" s="3646"/>
      <c r="L67" s="3646"/>
      <c r="M67" s="3646"/>
      <c r="N67" s="3646"/>
      <c r="O67" s="3646"/>
      <c r="P67" s="3646"/>
      <c r="Q67" s="3646"/>
      <c r="R67" s="3646"/>
      <c r="S67" s="3646"/>
      <c r="T67" s="3646"/>
      <c r="U67" s="3647"/>
    </row>
    <row r="68" spans="1:39" ht="43.5" customHeight="1">
      <c r="A68" s="3648" t="s">
        <v>0</v>
      </c>
      <c r="B68" s="3009" t="s">
        <v>3849</v>
      </c>
      <c r="C68" s="3010" t="s">
        <v>3850</v>
      </c>
      <c r="D68" s="3012" t="s">
        <v>3851</v>
      </c>
      <c r="E68" s="3012" t="s">
        <v>3852</v>
      </c>
      <c r="F68" s="2990" t="s">
        <v>3853</v>
      </c>
      <c r="G68" s="3002" t="s">
        <v>3854</v>
      </c>
      <c r="H68" s="3004" t="s">
        <v>3855</v>
      </c>
      <c r="I68" s="3005"/>
      <c r="J68" s="3005"/>
      <c r="K68" s="3005"/>
      <c r="L68" s="3006"/>
      <c r="M68" s="3004" t="s">
        <v>3856</v>
      </c>
      <c r="N68" s="3005"/>
      <c r="O68" s="3005"/>
      <c r="P68" s="3005"/>
      <c r="Q68" s="3006"/>
      <c r="R68" s="3004" t="s">
        <v>3857</v>
      </c>
      <c r="S68" s="3005"/>
      <c r="T68" s="3005"/>
      <c r="U68" s="3006"/>
      <c r="V68" s="3099" t="s">
        <v>3978</v>
      </c>
      <c r="W68" s="3100"/>
      <c r="X68" s="3100"/>
      <c r="Y68" s="3101"/>
      <c r="Z68" s="3093" t="s">
        <v>3858</v>
      </c>
      <c r="AA68" s="3093"/>
      <c r="AB68" s="3093"/>
      <c r="AC68" s="3093"/>
      <c r="AD68" s="3102" t="s">
        <v>3979</v>
      </c>
      <c r="AE68" s="3103"/>
      <c r="AF68" s="3103"/>
      <c r="AG68" s="3104"/>
      <c r="AH68" s="2779" t="s">
        <v>3980</v>
      </c>
      <c r="AI68" s="2500" t="s">
        <v>3974</v>
      </c>
      <c r="AJ68" s="2500" t="s">
        <v>3975</v>
      </c>
      <c r="AK68" s="2893" t="s">
        <v>4262</v>
      </c>
      <c r="AL68" s="2894" t="s">
        <v>4263</v>
      </c>
      <c r="AM68" s="2893" t="s">
        <v>4264</v>
      </c>
    </row>
    <row r="69" spans="1:39" ht="46.5" customHeight="1" thickBot="1">
      <c r="A69" s="3649"/>
      <c r="B69" s="3002"/>
      <c r="C69" s="3011"/>
      <c r="D69" s="3013"/>
      <c r="E69" s="3013"/>
      <c r="F69" s="2991"/>
      <c r="G69" s="3003"/>
      <c r="H69" s="2982">
        <f>H11</f>
        <v>2015</v>
      </c>
      <c r="I69" s="2971">
        <f>I11</f>
        <v>2016</v>
      </c>
      <c r="J69" s="2971">
        <f>J11</f>
        <v>2017</v>
      </c>
      <c r="K69" s="2971" t="str">
        <f>K11</f>
        <v>План (в случае отсутствия факта за 3 года)</v>
      </c>
      <c r="L69" s="2508" t="s">
        <v>2559</v>
      </c>
      <c r="M69" s="2971">
        <f>H69</f>
        <v>2015</v>
      </c>
      <c r="N69" s="2971">
        <f>I69</f>
        <v>2016</v>
      </c>
      <c r="O69" s="2971">
        <f>J69</f>
        <v>2017</v>
      </c>
      <c r="P69" s="2971" t="str">
        <f>P11</f>
        <v>План (в случае отсутствия факта за 3 года)</v>
      </c>
      <c r="Q69" s="2508" t="s">
        <v>2559</v>
      </c>
      <c r="R69" s="2971">
        <f>H69</f>
        <v>2015</v>
      </c>
      <c r="S69" s="2971">
        <f>I69</f>
        <v>2016</v>
      </c>
      <c r="T69" s="2380">
        <f>J69</f>
        <v>2017</v>
      </c>
      <c r="U69" s="2380" t="str">
        <f>U11</f>
        <v>План (в случае отсутствия факта за 3 года)</v>
      </c>
      <c r="V69" s="2496">
        <f>R69</f>
        <v>2015</v>
      </c>
      <c r="W69" s="2496">
        <f>S69</f>
        <v>2016</v>
      </c>
      <c r="X69" s="2496">
        <f>T69</f>
        <v>2017</v>
      </c>
      <c r="Y69" s="2496" t="str">
        <f>U69</f>
        <v>План (в случае отсутствия факта за 3 года)</v>
      </c>
      <c r="Z69" s="2481">
        <v>2016</v>
      </c>
      <c r="AA69" s="2481">
        <v>2017</v>
      </c>
      <c r="AB69" s="2481">
        <v>2018</v>
      </c>
      <c r="AC69" s="2489">
        <v>2019</v>
      </c>
      <c r="AD69" s="2503">
        <f>V69</f>
        <v>2015</v>
      </c>
      <c r="AE69" s="2503">
        <f>W69</f>
        <v>2016</v>
      </c>
      <c r="AF69" s="2503">
        <f>X69</f>
        <v>2017</v>
      </c>
      <c r="AG69" s="2503" t="str">
        <f>Y69</f>
        <v>План (в случае отсутствия факта за 3 года)</v>
      </c>
      <c r="AH69" s="2497" t="s">
        <v>3981</v>
      </c>
      <c r="AI69" s="2505" t="s">
        <v>3976</v>
      </c>
      <c r="AJ69" s="2505" t="s">
        <v>3977</v>
      </c>
      <c r="AK69" s="2881">
        <v>2018</v>
      </c>
      <c r="AL69" s="2890" t="s">
        <v>4265</v>
      </c>
      <c r="AM69" s="2881" t="s">
        <v>4265</v>
      </c>
    </row>
    <row r="70" spans="1:39" ht="15.75" thickBot="1">
      <c r="A70" s="3650">
        <v>1</v>
      </c>
      <c r="B70" s="3651">
        <v>2</v>
      </c>
      <c r="C70" s="3652">
        <v>3</v>
      </c>
      <c r="D70" s="3653"/>
      <c r="E70" s="3653"/>
      <c r="F70" s="3654"/>
      <c r="G70" s="3655">
        <v>4</v>
      </c>
      <c r="H70" s="3656">
        <v>5</v>
      </c>
      <c r="I70" s="3657"/>
      <c r="J70" s="3657"/>
      <c r="K70" s="3658"/>
      <c r="L70" s="3659"/>
      <c r="M70" s="3656">
        <v>6</v>
      </c>
      <c r="N70" s="3657"/>
      <c r="O70" s="3657"/>
      <c r="P70" s="3658"/>
      <c r="Q70" s="3659"/>
      <c r="R70" s="3660">
        <v>7</v>
      </c>
      <c r="S70" s="3657"/>
      <c r="T70" s="3657"/>
      <c r="U70" s="3661"/>
      <c r="V70" s="3108">
        <v>8</v>
      </c>
      <c r="W70" s="3022"/>
      <c r="X70" s="3022"/>
      <c r="Y70" s="2481"/>
      <c r="Z70" s="3022">
        <v>9</v>
      </c>
      <c r="AA70" s="3022"/>
      <c r="AB70" s="3022"/>
      <c r="AC70" s="3109"/>
      <c r="AD70" s="3105">
        <v>10</v>
      </c>
      <c r="AE70" s="3106"/>
      <c r="AF70" s="3106"/>
      <c r="AG70" s="3107"/>
      <c r="AH70" s="2498">
        <v>11</v>
      </c>
      <c r="AI70" s="2498">
        <v>12</v>
      </c>
      <c r="AJ70" s="2499">
        <v>13</v>
      </c>
      <c r="AK70" s="2891">
        <v>10</v>
      </c>
      <c r="AL70" s="2892">
        <v>11</v>
      </c>
      <c r="AM70" s="2891">
        <v>12</v>
      </c>
    </row>
    <row r="71" spans="1:39" hidden="1" outlineLevel="1">
      <c r="A71" s="2339"/>
      <c r="B71" s="3032" t="s">
        <v>2952</v>
      </c>
      <c r="C71" s="3034" t="s">
        <v>3859</v>
      </c>
      <c r="D71" s="3036" t="s">
        <v>2949</v>
      </c>
      <c r="E71" s="3037" t="s">
        <v>2950</v>
      </c>
      <c r="F71" s="2381" t="s">
        <v>3860</v>
      </c>
      <c r="G71" s="2968"/>
      <c r="H71" s="3680"/>
      <c r="I71" s="3681"/>
      <c r="J71" s="3681"/>
      <c r="K71" s="3681"/>
      <c r="L71" s="3681"/>
      <c r="M71" s="3681"/>
      <c r="N71" s="3681"/>
      <c r="O71" s="3681"/>
      <c r="P71" s="3681"/>
      <c r="Q71" s="3681"/>
      <c r="R71" s="3663"/>
      <c r="S71" s="3663"/>
      <c r="T71" s="3664"/>
      <c r="U71" s="3663"/>
      <c r="V71" s="2504" t="str">
        <f>IFERROR(R71*1000/(H71/1000),"")</f>
        <v/>
      </c>
      <c r="W71" s="2504" t="str">
        <f>IFERROR(S71*1000/(I71/1000),"")</f>
        <v/>
      </c>
      <c r="X71" s="2504" t="str">
        <f>IFERROR(T71*1000/(J71/1000),"")</f>
        <v/>
      </c>
      <c r="Y71" s="2504" t="str">
        <f>IFERROR(U71*1000/(K71/1000),"")</f>
        <v/>
      </c>
      <c r="Z71" s="2775">
        <f t="shared" ref="Z71" si="26">$Z$13</f>
        <v>1.0528</v>
      </c>
      <c r="AA71" s="2775">
        <f t="shared" ref="AA71" si="27">$AA$13</f>
        <v>1.0589</v>
      </c>
      <c r="AB71" s="2775">
        <f t="shared" ref="AB71" si="28">$AB$13</f>
        <v>1.0507936887282501</v>
      </c>
      <c r="AC71" s="2775">
        <f t="shared" ref="AC71" si="29">$AC$13</f>
        <v>1.04657781587849</v>
      </c>
      <c r="AD71" s="2444" t="str">
        <f>IFERROR(V71*$Z$13*$AA$13*$AB$13*$AC$13,"")</f>
        <v/>
      </c>
      <c r="AE71" s="2444" t="str">
        <f>IFERROR(W71*$AA$13*$AB$13*$AC$13,"")</f>
        <v/>
      </c>
      <c r="AF71" s="2444" t="str">
        <f>IFERROR(X71*$AB$13*$AC$13,"")</f>
        <v/>
      </c>
      <c r="AG71" s="2319" t="str">
        <f>IFERROR(Y71*AC71*AD71*AE71*AF71,"")</f>
        <v/>
      </c>
      <c r="AH71" s="2444"/>
      <c r="AI71" s="2777"/>
      <c r="AJ71" s="2778" t="str">
        <f>IFERROR((AI71*L71/1000)/Q71,"")</f>
        <v/>
      </c>
      <c r="AK71" s="2898"/>
      <c r="AL71" s="2895">
        <f>AK71*$AC$71</f>
        <v>0</v>
      </c>
      <c r="AM71" s="2896" t="str">
        <f>IFERROR(AI71/AL71,"")</f>
        <v/>
      </c>
    </row>
    <row r="72" spans="1:39" hidden="1" outlineLevel="1">
      <c r="A72" s="2339"/>
      <c r="B72" s="3033"/>
      <c r="C72" s="3035"/>
      <c r="D72" s="3028"/>
      <c r="E72" s="3029"/>
      <c r="F72" s="2974" t="s">
        <v>3861</v>
      </c>
      <c r="G72" s="2962"/>
      <c r="H72" s="3682"/>
      <c r="I72" s="3669"/>
      <c r="J72" s="3669"/>
      <c r="K72" s="3669"/>
      <c r="L72" s="3669"/>
      <c r="M72" s="3669"/>
      <c r="N72" s="3669"/>
      <c r="O72" s="3669"/>
      <c r="P72" s="3669"/>
      <c r="Q72" s="3669"/>
      <c r="R72" s="2714"/>
      <c r="S72" s="2714"/>
      <c r="T72" s="3665"/>
      <c r="U72" s="2714"/>
      <c r="V72" s="2504" t="str">
        <f t="shared" ref="V72:V118" si="30">IFERROR(R72*1000/(H72/1000),"")</f>
        <v/>
      </c>
      <c r="W72" s="2504" t="str">
        <f t="shared" ref="W72:W118" si="31">IFERROR(S72*1000/(I72/1000),"")</f>
        <v/>
      </c>
      <c r="X72" s="2504" t="str">
        <f t="shared" ref="X72:X118" si="32">IFERROR(T72*1000/(J72/1000),"")</f>
        <v/>
      </c>
      <c r="Y72" s="2504" t="str">
        <f t="shared" ref="Y72:Y118" si="33">IFERROR(U72*1000/(K72/1000),"")</f>
        <v/>
      </c>
      <c r="Z72" s="2567"/>
      <c r="AA72" s="2567"/>
      <c r="AB72" s="2567"/>
      <c r="AC72" s="2567"/>
      <c r="AD72" s="2444" t="str">
        <f t="shared" ref="AD72:AD118" si="34">IFERROR(V72*$Z$13*$AA$13*$AB$13*$AC$13,"")</f>
        <v/>
      </c>
      <c r="AE72" s="2444" t="str">
        <f t="shared" ref="AE72:AE118" si="35">IFERROR(W72*$AA$13*$AB$13*$AC$13,"")</f>
        <v/>
      </c>
      <c r="AF72" s="2444" t="str">
        <f t="shared" ref="AF72:AF118" si="36">IFERROR(X72*$AB$13*$AC$13,"")</f>
        <v/>
      </c>
      <c r="AG72" s="2319"/>
      <c r="AH72" s="2444"/>
      <c r="AI72" s="2777"/>
      <c r="AJ72" s="2778" t="str">
        <f t="shared" ref="AJ72:AJ118" si="37">IFERROR((AI72*L72/1000)/Q72,"")</f>
        <v/>
      </c>
      <c r="AK72" s="2898"/>
      <c r="AL72" s="2895">
        <f t="shared" ref="AL72:AL118" si="38">AK72*$AC$71</f>
        <v>0</v>
      </c>
      <c r="AM72" s="2896" t="str">
        <f t="shared" ref="AM72:AM118" si="39">IFERROR(AI72/AL72,"")</f>
        <v/>
      </c>
    </row>
    <row r="73" spans="1:39" hidden="1" outlineLevel="1">
      <c r="A73" s="2339"/>
      <c r="B73" s="3033"/>
      <c r="C73" s="3035"/>
      <c r="D73" s="3028"/>
      <c r="E73" s="3029"/>
      <c r="F73" s="2974" t="s">
        <v>3862</v>
      </c>
      <c r="G73" s="2962"/>
      <c r="H73" s="3682"/>
      <c r="I73" s="3669"/>
      <c r="J73" s="3669"/>
      <c r="K73" s="3669"/>
      <c r="L73" s="3669"/>
      <c r="M73" s="3669"/>
      <c r="N73" s="3669"/>
      <c r="O73" s="3669"/>
      <c r="P73" s="3669"/>
      <c r="Q73" s="3669"/>
      <c r="R73" s="2714"/>
      <c r="S73" s="2714"/>
      <c r="T73" s="3665"/>
      <c r="U73" s="2714"/>
      <c r="V73" s="2504" t="str">
        <f t="shared" si="30"/>
        <v/>
      </c>
      <c r="W73" s="2504" t="str">
        <f t="shared" si="31"/>
        <v/>
      </c>
      <c r="X73" s="2504" t="str">
        <f t="shared" si="32"/>
        <v/>
      </c>
      <c r="Y73" s="2504" t="str">
        <f t="shared" si="33"/>
        <v/>
      </c>
      <c r="Z73" s="2567"/>
      <c r="AA73" s="2567"/>
      <c r="AB73" s="2567"/>
      <c r="AC73" s="2567"/>
      <c r="AD73" s="2444" t="str">
        <f t="shared" si="34"/>
        <v/>
      </c>
      <c r="AE73" s="2444" t="str">
        <f t="shared" si="35"/>
        <v/>
      </c>
      <c r="AF73" s="2444" t="str">
        <f t="shared" si="36"/>
        <v/>
      </c>
      <c r="AG73" s="2319"/>
      <c r="AH73" s="2444"/>
      <c r="AI73" s="2777"/>
      <c r="AJ73" s="2778" t="str">
        <f t="shared" si="37"/>
        <v/>
      </c>
      <c r="AK73" s="2898"/>
      <c r="AL73" s="2895">
        <f t="shared" si="38"/>
        <v>0</v>
      </c>
      <c r="AM73" s="2896" t="str">
        <f t="shared" si="39"/>
        <v/>
      </c>
    </row>
    <row r="74" spans="1:39" hidden="1" outlineLevel="1">
      <c r="A74" s="2339"/>
      <c r="B74" s="3033"/>
      <c r="C74" s="3035"/>
      <c r="D74" s="3028"/>
      <c r="E74" s="3029"/>
      <c r="F74" s="2974" t="s">
        <v>3863</v>
      </c>
      <c r="G74" s="2962"/>
      <c r="H74" s="3682"/>
      <c r="I74" s="3669"/>
      <c r="J74" s="3669"/>
      <c r="K74" s="3669"/>
      <c r="L74" s="3669"/>
      <c r="M74" s="3669"/>
      <c r="N74" s="3669"/>
      <c r="O74" s="3669"/>
      <c r="P74" s="3669"/>
      <c r="Q74" s="3669"/>
      <c r="R74" s="2714"/>
      <c r="S74" s="2714"/>
      <c r="T74" s="3665"/>
      <c r="U74" s="2714"/>
      <c r="V74" s="2504" t="str">
        <f t="shared" si="30"/>
        <v/>
      </c>
      <c r="W74" s="2504" t="str">
        <f t="shared" si="31"/>
        <v/>
      </c>
      <c r="X74" s="2504" t="str">
        <f t="shared" si="32"/>
        <v/>
      </c>
      <c r="Y74" s="2504" t="str">
        <f t="shared" si="33"/>
        <v/>
      </c>
      <c r="Z74" s="2567"/>
      <c r="AA74" s="2567"/>
      <c r="AB74" s="2567"/>
      <c r="AC74" s="2567"/>
      <c r="AD74" s="2444" t="str">
        <f t="shared" si="34"/>
        <v/>
      </c>
      <c r="AE74" s="2444" t="str">
        <f t="shared" si="35"/>
        <v/>
      </c>
      <c r="AF74" s="2444" t="str">
        <f t="shared" si="36"/>
        <v/>
      </c>
      <c r="AG74" s="2319"/>
      <c r="AH74" s="2444"/>
      <c r="AI74" s="2777"/>
      <c r="AJ74" s="2778" t="str">
        <f t="shared" si="37"/>
        <v/>
      </c>
      <c r="AK74" s="2898"/>
      <c r="AL74" s="2895">
        <f t="shared" si="38"/>
        <v>0</v>
      </c>
      <c r="AM74" s="2896" t="str">
        <f t="shared" si="39"/>
        <v/>
      </c>
    </row>
    <row r="75" spans="1:39" hidden="1" outlineLevel="1">
      <c r="A75" s="2339"/>
      <c r="B75" s="3033"/>
      <c r="C75" s="3035"/>
      <c r="D75" s="3028"/>
      <c r="E75" s="3029"/>
      <c r="F75" s="2680" t="s">
        <v>3864</v>
      </c>
      <c r="G75" s="2612"/>
      <c r="H75" s="3682"/>
      <c r="I75" s="3669"/>
      <c r="J75" s="3669"/>
      <c r="K75" s="3669"/>
      <c r="L75" s="3669"/>
      <c r="M75" s="3669"/>
      <c r="N75" s="3669"/>
      <c r="O75" s="3669"/>
      <c r="P75" s="3669"/>
      <c r="Q75" s="3669"/>
      <c r="R75" s="2714"/>
      <c r="S75" s="2714"/>
      <c r="T75" s="3665"/>
      <c r="U75" s="2714"/>
      <c r="V75" s="2504" t="str">
        <f t="shared" si="30"/>
        <v/>
      </c>
      <c r="W75" s="2504" t="str">
        <f t="shared" si="31"/>
        <v/>
      </c>
      <c r="X75" s="2504" t="str">
        <f t="shared" si="32"/>
        <v/>
      </c>
      <c r="Y75" s="2504" t="str">
        <f t="shared" si="33"/>
        <v/>
      </c>
      <c r="Z75" s="2567"/>
      <c r="AA75" s="2567"/>
      <c r="AB75" s="2567"/>
      <c r="AC75" s="2567"/>
      <c r="AD75" s="2444" t="str">
        <f t="shared" si="34"/>
        <v/>
      </c>
      <c r="AE75" s="2444" t="str">
        <f t="shared" si="35"/>
        <v/>
      </c>
      <c r="AF75" s="2444" t="str">
        <f t="shared" si="36"/>
        <v/>
      </c>
      <c r="AG75" s="2319"/>
      <c r="AH75" s="2444"/>
      <c r="AI75" s="2777"/>
      <c r="AJ75" s="2778" t="str">
        <f t="shared" si="37"/>
        <v/>
      </c>
      <c r="AK75" s="2898"/>
      <c r="AL75" s="2895">
        <f t="shared" si="38"/>
        <v>0</v>
      </c>
      <c r="AM75" s="2896" t="str">
        <f t="shared" si="39"/>
        <v/>
      </c>
    </row>
    <row r="76" spans="1:39" hidden="1" outlineLevel="1">
      <c r="A76" s="2339"/>
      <c r="B76" s="3033"/>
      <c r="C76" s="3035"/>
      <c r="D76" s="3028"/>
      <c r="E76" s="3029"/>
      <c r="F76" s="2680" t="s">
        <v>3865</v>
      </c>
      <c r="G76" s="2612"/>
      <c r="H76" s="3682"/>
      <c r="I76" s="3669"/>
      <c r="J76" s="3669"/>
      <c r="K76" s="3669"/>
      <c r="L76" s="3669"/>
      <c r="M76" s="3669"/>
      <c r="N76" s="3669"/>
      <c r="O76" s="3683"/>
      <c r="P76" s="3683"/>
      <c r="Q76" s="3683"/>
      <c r="R76" s="2714"/>
      <c r="S76" s="2714"/>
      <c r="T76" s="3665"/>
      <c r="U76" s="2714"/>
      <c r="V76" s="2504" t="str">
        <f t="shared" si="30"/>
        <v/>
      </c>
      <c r="W76" s="2504" t="str">
        <f t="shared" si="31"/>
        <v/>
      </c>
      <c r="X76" s="2504" t="str">
        <f t="shared" si="32"/>
        <v/>
      </c>
      <c r="Y76" s="2504" t="str">
        <f t="shared" si="33"/>
        <v/>
      </c>
      <c r="Z76" s="2567"/>
      <c r="AA76" s="2567"/>
      <c r="AB76" s="2567"/>
      <c r="AC76" s="2567"/>
      <c r="AD76" s="2444" t="str">
        <f t="shared" si="34"/>
        <v/>
      </c>
      <c r="AE76" s="2444" t="str">
        <f t="shared" si="35"/>
        <v/>
      </c>
      <c r="AF76" s="2444" t="str">
        <f t="shared" si="36"/>
        <v/>
      </c>
      <c r="AG76" s="2319"/>
      <c r="AH76" s="2444"/>
      <c r="AI76" s="2777"/>
      <c r="AJ76" s="2778" t="str">
        <f t="shared" si="37"/>
        <v/>
      </c>
      <c r="AK76" s="2898"/>
      <c r="AL76" s="2895">
        <f t="shared" si="38"/>
        <v>0</v>
      </c>
      <c r="AM76" s="2896" t="str">
        <f t="shared" si="39"/>
        <v/>
      </c>
    </row>
    <row r="77" spans="1:39" hidden="1" outlineLevel="1">
      <c r="A77" s="2339"/>
      <c r="B77" s="3033"/>
      <c r="C77" s="3035"/>
      <c r="D77" s="3028"/>
      <c r="E77" s="3029" t="s">
        <v>2946</v>
      </c>
      <c r="F77" s="2974" t="s">
        <v>3860</v>
      </c>
      <c r="G77" s="2962"/>
      <c r="H77" s="3682"/>
      <c r="I77" s="3669"/>
      <c r="J77" s="3669"/>
      <c r="K77" s="3669"/>
      <c r="L77" s="3669"/>
      <c r="M77" s="3669"/>
      <c r="N77" s="3669"/>
      <c r="O77" s="3669"/>
      <c r="P77" s="3669"/>
      <c r="Q77" s="3669"/>
      <c r="R77" s="2714"/>
      <c r="S77" s="2714"/>
      <c r="T77" s="3665"/>
      <c r="U77" s="2714"/>
      <c r="V77" s="2504" t="str">
        <f t="shared" si="30"/>
        <v/>
      </c>
      <c r="W77" s="2504" t="str">
        <f t="shared" si="31"/>
        <v/>
      </c>
      <c r="X77" s="2504" t="str">
        <f t="shared" si="32"/>
        <v/>
      </c>
      <c r="Y77" s="2504" t="str">
        <f t="shared" si="33"/>
        <v/>
      </c>
      <c r="Z77" s="2567"/>
      <c r="AA77" s="2567"/>
      <c r="AB77" s="2567"/>
      <c r="AC77" s="2567"/>
      <c r="AD77" s="2444" t="str">
        <f t="shared" si="34"/>
        <v/>
      </c>
      <c r="AE77" s="2444" t="str">
        <f t="shared" si="35"/>
        <v/>
      </c>
      <c r="AF77" s="2444" t="str">
        <f t="shared" si="36"/>
        <v/>
      </c>
      <c r="AG77" s="2319"/>
      <c r="AH77" s="2444"/>
      <c r="AI77" s="2777"/>
      <c r="AJ77" s="2778" t="str">
        <f t="shared" si="37"/>
        <v/>
      </c>
      <c r="AK77" s="2898"/>
      <c r="AL77" s="2895">
        <f t="shared" si="38"/>
        <v>0</v>
      </c>
      <c r="AM77" s="2896" t="str">
        <f t="shared" si="39"/>
        <v/>
      </c>
    </row>
    <row r="78" spans="1:39" hidden="1" outlineLevel="1">
      <c r="A78" s="2339"/>
      <c r="B78" s="3033"/>
      <c r="C78" s="3035"/>
      <c r="D78" s="3028"/>
      <c r="E78" s="3029"/>
      <c r="F78" s="2974" t="s">
        <v>3861</v>
      </c>
      <c r="G78" s="2962"/>
      <c r="H78" s="3682"/>
      <c r="I78" s="3669"/>
      <c r="J78" s="3669"/>
      <c r="K78" s="3669"/>
      <c r="L78" s="3669"/>
      <c r="M78" s="3669"/>
      <c r="N78" s="3669"/>
      <c r="O78" s="3669"/>
      <c r="P78" s="3669"/>
      <c r="Q78" s="3669"/>
      <c r="R78" s="2714"/>
      <c r="S78" s="2714"/>
      <c r="T78" s="3665"/>
      <c r="U78" s="2714"/>
      <c r="V78" s="2504" t="str">
        <f t="shared" si="30"/>
        <v/>
      </c>
      <c r="W78" s="2504" t="str">
        <f t="shared" si="31"/>
        <v/>
      </c>
      <c r="X78" s="2504" t="str">
        <f t="shared" si="32"/>
        <v/>
      </c>
      <c r="Y78" s="2504" t="str">
        <f t="shared" si="33"/>
        <v/>
      </c>
      <c r="Z78" s="2567"/>
      <c r="AA78" s="2567"/>
      <c r="AB78" s="2567"/>
      <c r="AC78" s="2567"/>
      <c r="AD78" s="2444" t="str">
        <f t="shared" si="34"/>
        <v/>
      </c>
      <c r="AE78" s="2444" t="str">
        <f t="shared" si="35"/>
        <v/>
      </c>
      <c r="AF78" s="2444" t="str">
        <f t="shared" si="36"/>
        <v/>
      </c>
      <c r="AG78" s="2319"/>
      <c r="AH78" s="2444"/>
      <c r="AI78" s="2777"/>
      <c r="AJ78" s="2778" t="str">
        <f t="shared" si="37"/>
        <v/>
      </c>
      <c r="AK78" s="2898"/>
      <c r="AL78" s="2895">
        <f t="shared" si="38"/>
        <v>0</v>
      </c>
      <c r="AM78" s="2896" t="str">
        <f t="shared" si="39"/>
        <v/>
      </c>
    </row>
    <row r="79" spans="1:39" hidden="1" outlineLevel="1">
      <c r="A79" s="2339"/>
      <c r="B79" s="3033"/>
      <c r="C79" s="3035"/>
      <c r="D79" s="3028"/>
      <c r="E79" s="3029"/>
      <c r="F79" s="2974" t="s">
        <v>3862</v>
      </c>
      <c r="G79" s="2962"/>
      <c r="H79" s="3682"/>
      <c r="I79" s="3669"/>
      <c r="J79" s="3669"/>
      <c r="K79" s="3669"/>
      <c r="L79" s="3669"/>
      <c r="M79" s="3669"/>
      <c r="N79" s="3669"/>
      <c r="O79" s="3669"/>
      <c r="P79" s="3669"/>
      <c r="Q79" s="3669"/>
      <c r="R79" s="2714"/>
      <c r="S79" s="2714"/>
      <c r="T79" s="3665"/>
      <c r="U79" s="2714"/>
      <c r="V79" s="2504" t="str">
        <f t="shared" si="30"/>
        <v/>
      </c>
      <c r="W79" s="2504" t="str">
        <f t="shared" si="31"/>
        <v/>
      </c>
      <c r="X79" s="2504" t="str">
        <f t="shared" si="32"/>
        <v/>
      </c>
      <c r="Y79" s="2504" t="str">
        <f t="shared" si="33"/>
        <v/>
      </c>
      <c r="Z79" s="2567"/>
      <c r="AA79" s="2567"/>
      <c r="AB79" s="2567"/>
      <c r="AC79" s="2567"/>
      <c r="AD79" s="2444" t="str">
        <f t="shared" si="34"/>
        <v/>
      </c>
      <c r="AE79" s="2444" t="str">
        <f t="shared" si="35"/>
        <v/>
      </c>
      <c r="AF79" s="2444" t="str">
        <f t="shared" si="36"/>
        <v/>
      </c>
      <c r="AG79" s="2319"/>
      <c r="AH79" s="2444"/>
      <c r="AI79" s="2777"/>
      <c r="AJ79" s="2778" t="str">
        <f t="shared" si="37"/>
        <v/>
      </c>
      <c r="AK79" s="2898"/>
      <c r="AL79" s="2895">
        <f t="shared" si="38"/>
        <v>0</v>
      </c>
      <c r="AM79" s="2896" t="str">
        <f t="shared" si="39"/>
        <v/>
      </c>
    </row>
    <row r="80" spans="1:39" hidden="1" outlineLevel="1">
      <c r="A80" s="2339"/>
      <c r="B80" s="3033"/>
      <c r="C80" s="3035"/>
      <c r="D80" s="3028"/>
      <c r="E80" s="3029"/>
      <c r="F80" s="2974" t="s">
        <v>3863</v>
      </c>
      <c r="G80" s="2962"/>
      <c r="H80" s="3684"/>
      <c r="I80" s="3672"/>
      <c r="J80" s="3672"/>
      <c r="K80" s="3672"/>
      <c r="L80" s="3672"/>
      <c r="M80" s="3672"/>
      <c r="N80" s="3672"/>
      <c r="O80" s="2714"/>
      <c r="P80" s="2714"/>
      <c r="Q80" s="2714"/>
      <c r="R80" s="2714"/>
      <c r="S80" s="2714"/>
      <c r="T80" s="3665"/>
      <c r="U80" s="2714"/>
      <c r="V80" s="2504" t="str">
        <f t="shared" si="30"/>
        <v/>
      </c>
      <c r="W80" s="2504" t="str">
        <f t="shared" si="31"/>
        <v/>
      </c>
      <c r="X80" s="2504" t="str">
        <f t="shared" si="32"/>
        <v/>
      </c>
      <c r="Y80" s="2504" t="str">
        <f t="shared" si="33"/>
        <v/>
      </c>
      <c r="Z80" s="2567"/>
      <c r="AA80" s="2567"/>
      <c r="AB80" s="2567"/>
      <c r="AC80" s="2567"/>
      <c r="AD80" s="2444" t="str">
        <f t="shared" si="34"/>
        <v/>
      </c>
      <c r="AE80" s="2444" t="str">
        <f t="shared" si="35"/>
        <v/>
      </c>
      <c r="AF80" s="2444" t="str">
        <f t="shared" si="36"/>
        <v/>
      </c>
      <c r="AG80" s="2319"/>
      <c r="AH80" s="2444"/>
      <c r="AI80" s="2777"/>
      <c r="AJ80" s="2778" t="str">
        <f t="shared" si="37"/>
        <v/>
      </c>
      <c r="AK80" s="2898"/>
      <c r="AL80" s="2895">
        <f t="shared" si="38"/>
        <v>0</v>
      </c>
      <c r="AM80" s="2896" t="str">
        <f t="shared" si="39"/>
        <v/>
      </c>
    </row>
    <row r="81" spans="1:41" hidden="1" outlineLevel="1">
      <c r="A81" s="2339"/>
      <c r="B81" s="3033"/>
      <c r="C81" s="3035"/>
      <c r="D81" s="3028"/>
      <c r="E81" s="3029"/>
      <c r="F81" s="2680" t="s">
        <v>3864</v>
      </c>
      <c r="G81" s="2612"/>
      <c r="H81" s="3684"/>
      <c r="I81" s="3672"/>
      <c r="J81" s="3672"/>
      <c r="K81" s="3672"/>
      <c r="L81" s="3672"/>
      <c r="M81" s="3672"/>
      <c r="N81" s="3672"/>
      <c r="O81" s="2714"/>
      <c r="P81" s="2714"/>
      <c r="Q81" s="2714"/>
      <c r="R81" s="2714"/>
      <c r="S81" s="2714"/>
      <c r="T81" s="3665"/>
      <c r="U81" s="2714"/>
      <c r="V81" s="2504" t="str">
        <f t="shared" si="30"/>
        <v/>
      </c>
      <c r="W81" s="2504" t="str">
        <f t="shared" si="31"/>
        <v/>
      </c>
      <c r="X81" s="2504" t="str">
        <f t="shared" si="32"/>
        <v/>
      </c>
      <c r="Y81" s="2504" t="str">
        <f t="shared" si="33"/>
        <v/>
      </c>
      <c r="Z81" s="2567"/>
      <c r="AA81" s="2567"/>
      <c r="AB81" s="2567"/>
      <c r="AC81" s="2567"/>
      <c r="AD81" s="2444" t="str">
        <f t="shared" si="34"/>
        <v/>
      </c>
      <c r="AE81" s="2444" t="str">
        <f t="shared" si="35"/>
        <v/>
      </c>
      <c r="AF81" s="2444" t="str">
        <f t="shared" si="36"/>
        <v/>
      </c>
      <c r="AG81" s="2319"/>
      <c r="AH81" s="2444"/>
      <c r="AI81" s="2777"/>
      <c r="AJ81" s="2778" t="str">
        <f t="shared" si="37"/>
        <v/>
      </c>
      <c r="AK81" s="2898"/>
      <c r="AL81" s="2895">
        <f t="shared" si="38"/>
        <v>0</v>
      </c>
      <c r="AM81" s="2896" t="str">
        <f t="shared" si="39"/>
        <v/>
      </c>
    </row>
    <row r="82" spans="1:41" hidden="1" outlineLevel="1">
      <c r="A82" s="2339"/>
      <c r="B82" s="3033"/>
      <c r="C82" s="3035"/>
      <c r="D82" s="3028"/>
      <c r="E82" s="3029"/>
      <c r="F82" s="2680" t="s">
        <v>3865</v>
      </c>
      <c r="G82" s="2612"/>
      <c r="H82" s="3684"/>
      <c r="I82" s="3672"/>
      <c r="J82" s="3672"/>
      <c r="K82" s="3672"/>
      <c r="L82" s="3672"/>
      <c r="M82" s="3672"/>
      <c r="N82" s="3672"/>
      <c r="O82" s="2714"/>
      <c r="P82" s="2714"/>
      <c r="Q82" s="2714"/>
      <c r="R82" s="2714"/>
      <c r="S82" s="2714"/>
      <c r="T82" s="3665"/>
      <c r="U82" s="2714"/>
      <c r="V82" s="2504" t="str">
        <f t="shared" si="30"/>
        <v/>
      </c>
      <c r="W82" s="2504" t="str">
        <f t="shared" si="31"/>
        <v/>
      </c>
      <c r="X82" s="2504" t="str">
        <f t="shared" si="32"/>
        <v/>
      </c>
      <c r="Y82" s="2504" t="str">
        <f t="shared" si="33"/>
        <v/>
      </c>
      <c r="Z82" s="2567"/>
      <c r="AA82" s="2567"/>
      <c r="AB82" s="2567"/>
      <c r="AC82" s="2567"/>
      <c r="AD82" s="2444" t="str">
        <f t="shared" si="34"/>
        <v/>
      </c>
      <c r="AE82" s="2444" t="str">
        <f t="shared" si="35"/>
        <v/>
      </c>
      <c r="AF82" s="2444" t="str">
        <f t="shared" si="36"/>
        <v/>
      </c>
      <c r="AG82" s="2319"/>
      <c r="AH82" s="2444"/>
      <c r="AI82" s="2777"/>
      <c r="AJ82" s="2778" t="str">
        <f t="shared" si="37"/>
        <v/>
      </c>
      <c r="AK82" s="2898"/>
      <c r="AL82" s="2895">
        <f t="shared" si="38"/>
        <v>0</v>
      </c>
      <c r="AM82" s="2896" t="str">
        <f t="shared" si="39"/>
        <v/>
      </c>
    </row>
    <row r="83" spans="1:41" ht="15.75" collapsed="1" thickBot="1">
      <c r="A83" s="2339"/>
      <c r="B83" s="3033"/>
      <c r="C83" s="3035"/>
      <c r="D83" s="3028" t="s">
        <v>2954</v>
      </c>
      <c r="E83" s="3029" t="s">
        <v>2950</v>
      </c>
      <c r="F83" s="2974" t="s">
        <v>3860</v>
      </c>
      <c r="G83" s="2962"/>
      <c r="H83" s="3684">
        <f>'приложение 1(1)'!H250+'приложение 1(1)'!H306</f>
        <v>385</v>
      </c>
      <c r="I83" s="3672"/>
      <c r="J83" s="3672">
        <f>'приложение 1(1)'!J194</f>
        <v>110</v>
      </c>
      <c r="K83" s="3672"/>
      <c r="L83" s="3668">
        <f t="shared" ref="L83" si="40">SUM(H83:J83)</f>
        <v>495</v>
      </c>
      <c r="M83" s="3672">
        <f>'приложение 1(1)'!M250+'приложение 1(1)'!M306</f>
        <v>345.36</v>
      </c>
      <c r="N83" s="3672"/>
      <c r="O83" s="3672">
        <f>'приложение 1(1)'!O194</f>
        <v>15</v>
      </c>
      <c r="P83" s="2714"/>
      <c r="Q83" s="3668">
        <f t="shared" ref="Q83" si="41">SUM(M83:O83)</f>
        <v>360.36</v>
      </c>
      <c r="R83" s="2714">
        <f>'приложение 1(1)'!R250+'приложение 1(1)'!R306</f>
        <v>427.93105000000003</v>
      </c>
      <c r="S83" s="2714"/>
      <c r="T83" s="3672">
        <f>'приложение 1(1)'!T194</f>
        <v>103.95427000000001</v>
      </c>
      <c r="U83" s="2714"/>
      <c r="V83" s="2781">
        <f>IFERROR(R83*1000/(H83/1000),"")</f>
        <v>1111509.2207792208</v>
      </c>
      <c r="W83" s="2781" t="str">
        <f t="shared" si="31"/>
        <v/>
      </c>
      <c r="X83" s="2781">
        <f>IFERROR(T83*1000/(J83/1000),"")</f>
        <v>945038.81818181823</v>
      </c>
      <c r="Y83" s="2504" t="str">
        <f t="shared" si="33"/>
        <v/>
      </c>
      <c r="Z83" s="2775">
        <f t="shared" ref="Z83" si="42">$Z$13</f>
        <v>1.0528</v>
      </c>
      <c r="AA83" s="2775">
        <f t="shared" ref="AA83" si="43">$AA$13</f>
        <v>1.0589</v>
      </c>
      <c r="AB83" s="2775">
        <f t="shared" ref="AB83" si="44">$AB$13</f>
        <v>1.0507936887282501</v>
      </c>
      <c r="AC83" s="2775">
        <f t="shared" ref="AC83" si="45">$AC$13</f>
        <v>1.04657781587849</v>
      </c>
      <c r="AD83" s="2507">
        <f>IFERROR(V83*$Z$83*$AA$83*$AB$83*$AC$83,"")</f>
        <v>1362708.2177435772</v>
      </c>
      <c r="AE83" s="2507" t="str">
        <f t="shared" si="35"/>
        <v/>
      </c>
      <c r="AF83" s="2507">
        <f>IFERROR(X83*$AB$83*$AC$83,"")</f>
        <v>1039294.4984902035</v>
      </c>
      <c r="AG83" s="2319"/>
      <c r="AH83" s="2507">
        <f>SUM(AD83:AF83)</f>
        <v>2402002.7162337806</v>
      </c>
      <c r="AI83" s="2780">
        <f>AH83/2</f>
        <v>1201001.3581168903</v>
      </c>
      <c r="AJ83" s="2782">
        <f>IFERROR((AI83*L83/1000)/Q83,"")</f>
        <v>1649.7271402704534</v>
      </c>
      <c r="AK83" s="2898">
        <f>'Утв.СТС 2018г'!H78</f>
        <v>1307592.3400000001</v>
      </c>
      <c r="AL83" s="2895">
        <f t="shared" si="38"/>
        <v>1368497.1352566439</v>
      </c>
      <c r="AM83" s="2947">
        <f t="shared" si="39"/>
        <v>0.87760604474459358</v>
      </c>
      <c r="AO83" s="1118">
        <f>AI83*L83/1000000</f>
        <v>594.49567226786064</v>
      </c>
    </row>
    <row r="84" spans="1:41" hidden="1" outlineLevel="1">
      <c r="A84" s="2339"/>
      <c r="B84" s="3033"/>
      <c r="C84" s="3035"/>
      <c r="D84" s="3028"/>
      <c r="E84" s="3029"/>
      <c r="F84" s="2974" t="s">
        <v>3861</v>
      </c>
      <c r="G84" s="2962"/>
      <c r="H84" s="3684"/>
      <c r="I84" s="3672"/>
      <c r="J84" s="3672"/>
      <c r="K84" s="3672"/>
      <c r="L84" s="3672"/>
      <c r="M84" s="3672"/>
      <c r="N84" s="3672"/>
      <c r="O84" s="2714"/>
      <c r="P84" s="2714"/>
      <c r="Q84" s="2714"/>
      <c r="R84" s="2714"/>
      <c r="S84" s="2714"/>
      <c r="T84" s="3665"/>
      <c r="U84" s="2714"/>
      <c r="V84" s="2781" t="str">
        <f t="shared" si="30"/>
        <v/>
      </c>
      <c r="W84" s="2781" t="str">
        <f t="shared" si="31"/>
        <v/>
      </c>
      <c r="X84" s="2781" t="str">
        <f t="shared" si="32"/>
        <v/>
      </c>
      <c r="Y84" s="2504" t="str">
        <f t="shared" si="33"/>
        <v/>
      </c>
      <c r="Z84" s="2567"/>
      <c r="AA84" s="2567"/>
      <c r="AB84" s="2567"/>
      <c r="AC84" s="2567"/>
      <c r="AD84" s="2507" t="str">
        <f t="shared" si="34"/>
        <v/>
      </c>
      <c r="AE84" s="2507" t="str">
        <f t="shared" si="35"/>
        <v/>
      </c>
      <c r="AF84" s="2507" t="str">
        <f t="shared" si="36"/>
        <v/>
      </c>
      <c r="AG84" s="2319"/>
      <c r="AH84" s="2507"/>
      <c r="AI84" s="2780"/>
      <c r="AJ84" s="2782" t="str">
        <f t="shared" si="37"/>
        <v/>
      </c>
      <c r="AK84" s="2898"/>
      <c r="AL84" s="2895">
        <f t="shared" si="38"/>
        <v>0</v>
      </c>
      <c r="AM84" s="2896" t="str">
        <f t="shared" si="39"/>
        <v/>
      </c>
    </row>
    <row r="85" spans="1:41" hidden="1" outlineLevel="1">
      <c r="A85" s="2339"/>
      <c r="B85" s="3033"/>
      <c r="C85" s="3035"/>
      <c r="D85" s="3028"/>
      <c r="E85" s="3029"/>
      <c r="F85" s="2974" t="s">
        <v>3862</v>
      </c>
      <c r="G85" s="2962"/>
      <c r="H85" s="3684"/>
      <c r="I85" s="3672"/>
      <c r="J85" s="3672"/>
      <c r="K85" s="3672"/>
      <c r="L85" s="3672"/>
      <c r="M85" s="3672"/>
      <c r="N85" s="3672"/>
      <c r="O85" s="2714"/>
      <c r="P85" s="2714"/>
      <c r="Q85" s="2714"/>
      <c r="R85" s="2714"/>
      <c r="S85" s="2714"/>
      <c r="T85" s="3665"/>
      <c r="U85" s="2714"/>
      <c r="V85" s="2781" t="str">
        <f t="shared" si="30"/>
        <v/>
      </c>
      <c r="W85" s="2781" t="str">
        <f t="shared" si="31"/>
        <v/>
      </c>
      <c r="X85" s="2781" t="str">
        <f t="shared" si="32"/>
        <v/>
      </c>
      <c r="Y85" s="2504" t="str">
        <f t="shared" si="33"/>
        <v/>
      </c>
      <c r="Z85" s="2567"/>
      <c r="AA85" s="2567"/>
      <c r="AB85" s="2567"/>
      <c r="AC85" s="2567"/>
      <c r="AD85" s="2507" t="str">
        <f t="shared" si="34"/>
        <v/>
      </c>
      <c r="AE85" s="2507" t="str">
        <f t="shared" si="35"/>
        <v/>
      </c>
      <c r="AF85" s="2507" t="str">
        <f t="shared" si="36"/>
        <v/>
      </c>
      <c r="AG85" s="2319"/>
      <c r="AH85" s="2507"/>
      <c r="AI85" s="2780"/>
      <c r="AJ85" s="2782" t="str">
        <f t="shared" si="37"/>
        <v/>
      </c>
      <c r="AK85" s="2898"/>
      <c r="AL85" s="2895">
        <f t="shared" si="38"/>
        <v>0</v>
      </c>
      <c r="AM85" s="2896" t="str">
        <f t="shared" si="39"/>
        <v/>
      </c>
    </row>
    <row r="86" spans="1:41" hidden="1" outlineLevel="1">
      <c r="A86" s="2339"/>
      <c r="B86" s="3033"/>
      <c r="C86" s="3035"/>
      <c r="D86" s="3028"/>
      <c r="E86" s="3029"/>
      <c r="F86" s="2974" t="s">
        <v>3863</v>
      </c>
      <c r="G86" s="2962"/>
      <c r="H86" s="3684"/>
      <c r="I86" s="3672"/>
      <c r="J86" s="3672"/>
      <c r="K86" s="3672"/>
      <c r="L86" s="3672"/>
      <c r="M86" s="3672"/>
      <c r="N86" s="3672"/>
      <c r="O86" s="2714"/>
      <c r="P86" s="2714"/>
      <c r="Q86" s="2714"/>
      <c r="R86" s="2714"/>
      <c r="S86" s="2714"/>
      <c r="T86" s="3665"/>
      <c r="U86" s="2714"/>
      <c r="V86" s="2781" t="str">
        <f t="shared" si="30"/>
        <v/>
      </c>
      <c r="W86" s="2781" t="str">
        <f t="shared" si="31"/>
        <v/>
      </c>
      <c r="X86" s="2781" t="str">
        <f t="shared" si="32"/>
        <v/>
      </c>
      <c r="Y86" s="2504" t="str">
        <f t="shared" si="33"/>
        <v/>
      </c>
      <c r="Z86" s="2567"/>
      <c r="AA86" s="2567"/>
      <c r="AB86" s="2567"/>
      <c r="AC86" s="2567"/>
      <c r="AD86" s="2507" t="str">
        <f t="shared" si="34"/>
        <v/>
      </c>
      <c r="AE86" s="2507" t="str">
        <f t="shared" si="35"/>
        <v/>
      </c>
      <c r="AF86" s="2507" t="str">
        <f t="shared" si="36"/>
        <v/>
      </c>
      <c r="AG86" s="2319"/>
      <c r="AH86" s="2507"/>
      <c r="AI86" s="2780"/>
      <c r="AJ86" s="2782" t="str">
        <f t="shared" si="37"/>
        <v/>
      </c>
      <c r="AK86" s="2898"/>
      <c r="AL86" s="2895">
        <f t="shared" si="38"/>
        <v>0</v>
      </c>
      <c r="AM86" s="2896" t="str">
        <f t="shared" si="39"/>
        <v/>
      </c>
    </row>
    <row r="87" spans="1:41" hidden="1" outlineLevel="1">
      <c r="A87" s="2339"/>
      <c r="B87" s="3033"/>
      <c r="C87" s="3035"/>
      <c r="D87" s="3028"/>
      <c r="E87" s="3029"/>
      <c r="F87" s="2680" t="s">
        <v>3864</v>
      </c>
      <c r="G87" s="2612"/>
      <c r="H87" s="3684"/>
      <c r="I87" s="3672"/>
      <c r="J87" s="3672"/>
      <c r="K87" s="3672"/>
      <c r="L87" s="3672"/>
      <c r="M87" s="3672"/>
      <c r="N87" s="3672"/>
      <c r="O87" s="2714"/>
      <c r="P87" s="2714"/>
      <c r="Q87" s="2714"/>
      <c r="R87" s="2714"/>
      <c r="S87" s="2714"/>
      <c r="T87" s="3665"/>
      <c r="U87" s="2714"/>
      <c r="V87" s="2781" t="str">
        <f t="shared" si="30"/>
        <v/>
      </c>
      <c r="W87" s="2781" t="str">
        <f t="shared" si="31"/>
        <v/>
      </c>
      <c r="X87" s="2781" t="str">
        <f t="shared" si="32"/>
        <v/>
      </c>
      <c r="Y87" s="2504" t="str">
        <f t="shared" si="33"/>
        <v/>
      </c>
      <c r="Z87" s="2567"/>
      <c r="AA87" s="2567"/>
      <c r="AB87" s="2567"/>
      <c r="AC87" s="2567"/>
      <c r="AD87" s="2507" t="str">
        <f t="shared" si="34"/>
        <v/>
      </c>
      <c r="AE87" s="2507" t="str">
        <f t="shared" si="35"/>
        <v/>
      </c>
      <c r="AF87" s="2507" t="str">
        <f t="shared" si="36"/>
        <v/>
      </c>
      <c r="AG87" s="2319"/>
      <c r="AH87" s="2507"/>
      <c r="AI87" s="2780"/>
      <c r="AJ87" s="2782" t="str">
        <f t="shared" si="37"/>
        <v/>
      </c>
      <c r="AK87" s="2898"/>
      <c r="AL87" s="2895">
        <f t="shared" si="38"/>
        <v>0</v>
      </c>
      <c r="AM87" s="2896" t="str">
        <f t="shared" si="39"/>
        <v/>
      </c>
    </row>
    <row r="88" spans="1:41" hidden="1" outlineLevel="1">
      <c r="A88" s="2339"/>
      <c r="B88" s="3033"/>
      <c r="C88" s="3035"/>
      <c r="D88" s="3028"/>
      <c r="E88" s="3029"/>
      <c r="F88" s="2680" t="s">
        <v>3865</v>
      </c>
      <c r="G88" s="2612"/>
      <c r="H88" s="3685"/>
      <c r="I88" s="2714"/>
      <c r="J88" s="2714"/>
      <c r="K88" s="2714"/>
      <c r="L88" s="2714"/>
      <c r="M88" s="2714"/>
      <c r="N88" s="2714"/>
      <c r="O88" s="2714"/>
      <c r="P88" s="2714"/>
      <c r="Q88" s="2714"/>
      <c r="R88" s="2714"/>
      <c r="S88" s="2714"/>
      <c r="T88" s="3665"/>
      <c r="U88" s="2714"/>
      <c r="V88" s="2781" t="str">
        <f t="shared" si="30"/>
        <v/>
      </c>
      <c r="W88" s="2781" t="str">
        <f t="shared" si="31"/>
        <v/>
      </c>
      <c r="X88" s="2781" t="str">
        <f t="shared" si="32"/>
        <v/>
      </c>
      <c r="Y88" s="2504" t="str">
        <f t="shared" si="33"/>
        <v/>
      </c>
      <c r="Z88" s="2567"/>
      <c r="AA88" s="2567"/>
      <c r="AB88" s="2567"/>
      <c r="AC88" s="2567"/>
      <c r="AD88" s="2507" t="str">
        <f t="shared" si="34"/>
        <v/>
      </c>
      <c r="AE88" s="2507" t="str">
        <f t="shared" si="35"/>
        <v/>
      </c>
      <c r="AF88" s="2507" t="str">
        <f t="shared" si="36"/>
        <v/>
      </c>
      <c r="AG88" s="2319"/>
      <c r="AH88" s="2507"/>
      <c r="AI88" s="2780"/>
      <c r="AJ88" s="2782" t="str">
        <f t="shared" si="37"/>
        <v/>
      </c>
      <c r="AK88" s="2898"/>
      <c r="AL88" s="2895">
        <f t="shared" si="38"/>
        <v>0</v>
      </c>
      <c r="AM88" s="2896" t="str">
        <f t="shared" si="39"/>
        <v/>
      </c>
    </row>
    <row r="89" spans="1:41" hidden="1" outlineLevel="1">
      <c r="A89" s="2339"/>
      <c r="B89" s="3033"/>
      <c r="C89" s="3035"/>
      <c r="D89" s="3028"/>
      <c r="E89" s="3029" t="s">
        <v>2946</v>
      </c>
      <c r="F89" s="2974" t="s">
        <v>3860</v>
      </c>
      <c r="G89" s="2962"/>
      <c r="H89" s="3685"/>
      <c r="I89" s="2714"/>
      <c r="J89" s="2714"/>
      <c r="K89" s="2714"/>
      <c r="L89" s="2714"/>
      <c r="M89" s="2714"/>
      <c r="N89" s="2714"/>
      <c r="O89" s="2714"/>
      <c r="P89" s="2714"/>
      <c r="Q89" s="2714"/>
      <c r="R89" s="2714"/>
      <c r="S89" s="2714"/>
      <c r="T89" s="3665"/>
      <c r="U89" s="2714"/>
      <c r="V89" s="2781" t="str">
        <f t="shared" si="30"/>
        <v/>
      </c>
      <c r="W89" s="2781" t="str">
        <f t="shared" si="31"/>
        <v/>
      </c>
      <c r="X89" s="2781" t="str">
        <f t="shared" si="32"/>
        <v/>
      </c>
      <c r="Y89" s="2504" t="str">
        <f t="shared" si="33"/>
        <v/>
      </c>
      <c r="Z89" s="2567"/>
      <c r="AA89" s="2567"/>
      <c r="AB89" s="2567"/>
      <c r="AC89" s="2567"/>
      <c r="AD89" s="2507" t="str">
        <f t="shared" si="34"/>
        <v/>
      </c>
      <c r="AE89" s="2507" t="str">
        <f t="shared" si="35"/>
        <v/>
      </c>
      <c r="AF89" s="2507" t="str">
        <f t="shared" si="36"/>
        <v/>
      </c>
      <c r="AG89" s="2319"/>
      <c r="AH89" s="2507"/>
      <c r="AI89" s="2780"/>
      <c r="AJ89" s="2782" t="str">
        <f t="shared" si="37"/>
        <v/>
      </c>
      <c r="AK89" s="2898"/>
      <c r="AL89" s="2895">
        <f t="shared" si="38"/>
        <v>0</v>
      </c>
      <c r="AM89" s="2896" t="str">
        <f t="shared" si="39"/>
        <v/>
      </c>
    </row>
    <row r="90" spans="1:41" hidden="1" outlineLevel="1">
      <c r="A90" s="2339"/>
      <c r="B90" s="3033"/>
      <c r="C90" s="3035"/>
      <c r="D90" s="3028"/>
      <c r="E90" s="3029"/>
      <c r="F90" s="2974" t="s">
        <v>3861</v>
      </c>
      <c r="G90" s="2962"/>
      <c r="H90" s="3685"/>
      <c r="I90" s="2714"/>
      <c r="J90" s="2714"/>
      <c r="K90" s="2714"/>
      <c r="L90" s="2714"/>
      <c r="M90" s="2714"/>
      <c r="N90" s="2714"/>
      <c r="O90" s="2714"/>
      <c r="P90" s="2714"/>
      <c r="Q90" s="2714"/>
      <c r="R90" s="2714"/>
      <c r="S90" s="2714"/>
      <c r="T90" s="3665"/>
      <c r="U90" s="2714"/>
      <c r="V90" s="2781" t="str">
        <f t="shared" si="30"/>
        <v/>
      </c>
      <c r="W90" s="2781" t="str">
        <f t="shared" si="31"/>
        <v/>
      </c>
      <c r="X90" s="2781" t="str">
        <f t="shared" si="32"/>
        <v/>
      </c>
      <c r="Y90" s="2504" t="str">
        <f t="shared" si="33"/>
        <v/>
      </c>
      <c r="Z90" s="2567"/>
      <c r="AA90" s="2567"/>
      <c r="AB90" s="2567"/>
      <c r="AC90" s="2567"/>
      <c r="AD90" s="2507" t="str">
        <f t="shared" si="34"/>
        <v/>
      </c>
      <c r="AE90" s="2507" t="str">
        <f t="shared" si="35"/>
        <v/>
      </c>
      <c r="AF90" s="2507" t="str">
        <f t="shared" si="36"/>
        <v/>
      </c>
      <c r="AG90" s="2319"/>
      <c r="AH90" s="2507"/>
      <c r="AI90" s="2780"/>
      <c r="AJ90" s="2782" t="str">
        <f t="shared" si="37"/>
        <v/>
      </c>
      <c r="AK90" s="2898"/>
      <c r="AL90" s="2895">
        <f t="shared" si="38"/>
        <v>0</v>
      </c>
      <c r="AM90" s="2896" t="str">
        <f t="shared" si="39"/>
        <v/>
      </c>
    </row>
    <row r="91" spans="1:41" hidden="1" outlineLevel="1">
      <c r="A91" s="2339"/>
      <c r="B91" s="3033"/>
      <c r="C91" s="3035"/>
      <c r="D91" s="3028"/>
      <c r="E91" s="3029"/>
      <c r="F91" s="2974" t="s">
        <v>3862</v>
      </c>
      <c r="G91" s="2962"/>
      <c r="H91" s="3685"/>
      <c r="I91" s="2714"/>
      <c r="J91" s="2714"/>
      <c r="K91" s="2714"/>
      <c r="L91" s="2714"/>
      <c r="M91" s="2714"/>
      <c r="N91" s="2714"/>
      <c r="O91" s="2714"/>
      <c r="P91" s="2714"/>
      <c r="Q91" s="2714"/>
      <c r="R91" s="2714"/>
      <c r="S91" s="2714"/>
      <c r="T91" s="3665"/>
      <c r="U91" s="2714"/>
      <c r="V91" s="2781" t="str">
        <f t="shared" si="30"/>
        <v/>
      </c>
      <c r="W91" s="2781" t="str">
        <f t="shared" si="31"/>
        <v/>
      </c>
      <c r="X91" s="2781" t="str">
        <f t="shared" si="32"/>
        <v/>
      </c>
      <c r="Y91" s="2504" t="str">
        <f t="shared" si="33"/>
        <v/>
      </c>
      <c r="Z91" s="2567"/>
      <c r="AA91" s="2567"/>
      <c r="AB91" s="2567"/>
      <c r="AC91" s="2567"/>
      <c r="AD91" s="2507" t="str">
        <f t="shared" si="34"/>
        <v/>
      </c>
      <c r="AE91" s="2507" t="str">
        <f t="shared" si="35"/>
        <v/>
      </c>
      <c r="AF91" s="2507" t="str">
        <f t="shared" si="36"/>
        <v/>
      </c>
      <c r="AG91" s="2319"/>
      <c r="AH91" s="2507"/>
      <c r="AI91" s="2780"/>
      <c r="AJ91" s="2782" t="str">
        <f t="shared" si="37"/>
        <v/>
      </c>
      <c r="AK91" s="2898"/>
      <c r="AL91" s="2895">
        <f t="shared" si="38"/>
        <v>0</v>
      </c>
      <c r="AM91" s="2896" t="str">
        <f t="shared" si="39"/>
        <v/>
      </c>
    </row>
    <row r="92" spans="1:41" hidden="1" outlineLevel="1">
      <c r="A92" s="2339"/>
      <c r="B92" s="3033"/>
      <c r="C92" s="3035"/>
      <c r="D92" s="3028"/>
      <c r="E92" s="3029"/>
      <c r="F92" s="2974" t="s">
        <v>3863</v>
      </c>
      <c r="G92" s="2962"/>
      <c r="H92" s="3685"/>
      <c r="I92" s="2714"/>
      <c r="J92" s="2714"/>
      <c r="K92" s="2714"/>
      <c r="L92" s="2714"/>
      <c r="M92" s="2714"/>
      <c r="N92" s="2714"/>
      <c r="O92" s="2714"/>
      <c r="P92" s="2714"/>
      <c r="Q92" s="2714"/>
      <c r="R92" s="2714"/>
      <c r="S92" s="2714"/>
      <c r="T92" s="3665"/>
      <c r="U92" s="2714"/>
      <c r="V92" s="2781" t="str">
        <f t="shared" si="30"/>
        <v/>
      </c>
      <c r="W92" s="2781" t="str">
        <f t="shared" si="31"/>
        <v/>
      </c>
      <c r="X92" s="2781" t="str">
        <f t="shared" si="32"/>
        <v/>
      </c>
      <c r="Y92" s="2504" t="str">
        <f t="shared" si="33"/>
        <v/>
      </c>
      <c r="Z92" s="2567"/>
      <c r="AA92" s="2567"/>
      <c r="AB92" s="2567"/>
      <c r="AC92" s="2567"/>
      <c r="AD92" s="2507" t="str">
        <f t="shared" si="34"/>
        <v/>
      </c>
      <c r="AE92" s="2507" t="str">
        <f t="shared" si="35"/>
        <v/>
      </c>
      <c r="AF92" s="2507" t="str">
        <f t="shared" si="36"/>
        <v/>
      </c>
      <c r="AG92" s="2319"/>
      <c r="AH92" s="2507"/>
      <c r="AI92" s="2780"/>
      <c r="AJ92" s="2782" t="str">
        <f t="shared" si="37"/>
        <v/>
      </c>
      <c r="AK92" s="2898"/>
      <c r="AL92" s="2895">
        <f t="shared" si="38"/>
        <v>0</v>
      </c>
      <c r="AM92" s="2896" t="str">
        <f t="shared" si="39"/>
        <v/>
      </c>
    </row>
    <row r="93" spans="1:41" hidden="1" outlineLevel="1">
      <c r="A93" s="2339"/>
      <c r="B93" s="3033"/>
      <c r="C93" s="3035"/>
      <c r="D93" s="3028"/>
      <c r="E93" s="3029"/>
      <c r="F93" s="2680" t="s">
        <v>3864</v>
      </c>
      <c r="G93" s="2612"/>
      <c r="H93" s="3685"/>
      <c r="I93" s="2714"/>
      <c r="J93" s="2714"/>
      <c r="K93" s="2714"/>
      <c r="L93" s="2714"/>
      <c r="M93" s="2714"/>
      <c r="N93" s="2714"/>
      <c r="O93" s="2714"/>
      <c r="P93" s="2714"/>
      <c r="Q93" s="2714"/>
      <c r="R93" s="2714"/>
      <c r="S93" s="2714"/>
      <c r="T93" s="3665"/>
      <c r="U93" s="2714"/>
      <c r="V93" s="2781" t="str">
        <f t="shared" si="30"/>
        <v/>
      </c>
      <c r="W93" s="2781" t="str">
        <f t="shared" si="31"/>
        <v/>
      </c>
      <c r="X93" s="2781" t="str">
        <f t="shared" si="32"/>
        <v/>
      </c>
      <c r="Y93" s="2504" t="str">
        <f t="shared" si="33"/>
        <v/>
      </c>
      <c r="Z93" s="2567"/>
      <c r="AA93" s="2567"/>
      <c r="AB93" s="2567"/>
      <c r="AC93" s="2567"/>
      <c r="AD93" s="2507" t="str">
        <f t="shared" si="34"/>
        <v/>
      </c>
      <c r="AE93" s="2507" t="str">
        <f t="shared" si="35"/>
        <v/>
      </c>
      <c r="AF93" s="2507" t="str">
        <f t="shared" si="36"/>
        <v/>
      </c>
      <c r="AG93" s="2319"/>
      <c r="AH93" s="2507"/>
      <c r="AI93" s="2780"/>
      <c r="AJ93" s="2782" t="str">
        <f t="shared" si="37"/>
        <v/>
      </c>
      <c r="AK93" s="2898"/>
      <c r="AL93" s="2895">
        <f t="shared" si="38"/>
        <v>0</v>
      </c>
      <c r="AM93" s="2896" t="str">
        <f t="shared" si="39"/>
        <v/>
      </c>
    </row>
    <row r="94" spans="1:41" hidden="1" outlineLevel="1">
      <c r="A94" s="2339"/>
      <c r="B94" s="3033"/>
      <c r="C94" s="3035"/>
      <c r="D94" s="3028"/>
      <c r="E94" s="3029"/>
      <c r="F94" s="2680" t="s">
        <v>3865</v>
      </c>
      <c r="G94" s="2612"/>
      <c r="H94" s="3685"/>
      <c r="I94" s="2714"/>
      <c r="J94" s="2714"/>
      <c r="K94" s="2714"/>
      <c r="L94" s="2714"/>
      <c r="M94" s="2714"/>
      <c r="N94" s="2714"/>
      <c r="O94" s="2714"/>
      <c r="P94" s="2714"/>
      <c r="Q94" s="2714"/>
      <c r="R94" s="2714"/>
      <c r="S94" s="2714"/>
      <c r="T94" s="3665"/>
      <c r="U94" s="2714"/>
      <c r="V94" s="2781" t="str">
        <f t="shared" si="30"/>
        <v/>
      </c>
      <c r="W94" s="2781" t="str">
        <f t="shared" si="31"/>
        <v/>
      </c>
      <c r="X94" s="2781" t="str">
        <f t="shared" si="32"/>
        <v/>
      </c>
      <c r="Y94" s="2504" t="str">
        <f t="shared" si="33"/>
        <v/>
      </c>
      <c r="Z94" s="2567"/>
      <c r="AA94" s="2567"/>
      <c r="AB94" s="2567"/>
      <c r="AC94" s="2567"/>
      <c r="AD94" s="2507" t="str">
        <f t="shared" si="34"/>
        <v/>
      </c>
      <c r="AE94" s="2507" t="str">
        <f t="shared" si="35"/>
        <v/>
      </c>
      <c r="AF94" s="2507" t="str">
        <f t="shared" si="36"/>
        <v/>
      </c>
      <c r="AG94" s="2319"/>
      <c r="AH94" s="2507"/>
      <c r="AI94" s="2780"/>
      <c r="AJ94" s="2782" t="str">
        <f t="shared" si="37"/>
        <v/>
      </c>
      <c r="AK94" s="2898"/>
      <c r="AL94" s="2895">
        <f t="shared" si="38"/>
        <v>0</v>
      </c>
      <c r="AM94" s="2896" t="str">
        <f t="shared" si="39"/>
        <v/>
      </c>
    </row>
    <row r="95" spans="1:41" ht="15.75" hidden="1" outlineLevel="1" thickBot="1">
      <c r="A95" s="2339"/>
      <c r="B95" s="3023" t="s">
        <v>2948</v>
      </c>
      <c r="C95" s="3026" t="s">
        <v>3859</v>
      </c>
      <c r="D95" s="3028" t="s">
        <v>2949</v>
      </c>
      <c r="E95" s="3029" t="s">
        <v>2950</v>
      </c>
      <c r="F95" s="2974" t="s">
        <v>3860</v>
      </c>
      <c r="G95" s="2962"/>
      <c r="H95" s="3685"/>
      <c r="I95" s="2714"/>
      <c r="J95" s="2714"/>
      <c r="K95" s="2714"/>
      <c r="L95" s="2714"/>
      <c r="M95" s="2714"/>
      <c r="N95" s="2714"/>
      <c r="O95" s="2714"/>
      <c r="P95" s="2714"/>
      <c r="Q95" s="2714"/>
      <c r="R95" s="2714"/>
      <c r="S95" s="2714"/>
      <c r="T95" s="3665"/>
      <c r="U95" s="2714"/>
      <c r="V95" s="2781" t="str">
        <f t="shared" si="30"/>
        <v/>
      </c>
      <c r="W95" s="2781" t="str">
        <f t="shared" si="31"/>
        <v/>
      </c>
      <c r="X95" s="2781" t="str">
        <f t="shared" si="32"/>
        <v/>
      </c>
      <c r="Y95" s="2504" t="str">
        <f t="shared" si="33"/>
        <v/>
      </c>
      <c r="Z95" s="2567"/>
      <c r="AA95" s="2567"/>
      <c r="AB95" s="2567"/>
      <c r="AC95" s="2567"/>
      <c r="AD95" s="2507" t="str">
        <f t="shared" si="34"/>
        <v/>
      </c>
      <c r="AE95" s="2507" t="str">
        <f t="shared" si="35"/>
        <v/>
      </c>
      <c r="AF95" s="2507" t="str">
        <f t="shared" si="36"/>
        <v/>
      </c>
      <c r="AG95" s="2319"/>
      <c r="AH95" s="2507"/>
      <c r="AI95" s="2780"/>
      <c r="AJ95" s="2782" t="str">
        <f t="shared" si="37"/>
        <v/>
      </c>
      <c r="AK95" s="2898"/>
      <c r="AL95" s="2895">
        <f t="shared" si="38"/>
        <v>0</v>
      </c>
      <c r="AM95" s="2896" t="str">
        <f t="shared" si="39"/>
        <v/>
      </c>
    </row>
    <row r="96" spans="1:41" ht="15.75" hidden="1" outlineLevel="1" thickBot="1">
      <c r="A96" s="2339"/>
      <c r="B96" s="3024"/>
      <c r="C96" s="3027"/>
      <c r="D96" s="3028"/>
      <c r="E96" s="3029"/>
      <c r="F96" s="2974" t="s">
        <v>3861</v>
      </c>
      <c r="G96" s="2962"/>
      <c r="H96" s="3685"/>
      <c r="I96" s="2714"/>
      <c r="J96" s="2714"/>
      <c r="K96" s="2714"/>
      <c r="L96" s="2714"/>
      <c r="M96" s="2714"/>
      <c r="N96" s="2714"/>
      <c r="O96" s="2714"/>
      <c r="P96" s="2714"/>
      <c r="Q96" s="2714"/>
      <c r="R96" s="2714"/>
      <c r="S96" s="2714"/>
      <c r="T96" s="3665"/>
      <c r="U96" s="2714"/>
      <c r="V96" s="2781" t="str">
        <f t="shared" si="30"/>
        <v/>
      </c>
      <c r="W96" s="2781" t="str">
        <f t="shared" si="31"/>
        <v/>
      </c>
      <c r="X96" s="2781" t="str">
        <f t="shared" si="32"/>
        <v/>
      </c>
      <c r="Y96" s="2504" t="str">
        <f t="shared" si="33"/>
        <v/>
      </c>
      <c r="Z96" s="2567"/>
      <c r="AA96" s="2567"/>
      <c r="AB96" s="2567"/>
      <c r="AC96" s="2567"/>
      <c r="AD96" s="2507" t="str">
        <f t="shared" si="34"/>
        <v/>
      </c>
      <c r="AE96" s="2507" t="str">
        <f t="shared" si="35"/>
        <v/>
      </c>
      <c r="AF96" s="2507" t="str">
        <f t="shared" si="36"/>
        <v/>
      </c>
      <c r="AG96" s="2319"/>
      <c r="AH96" s="2507"/>
      <c r="AI96" s="2780"/>
      <c r="AJ96" s="2782" t="str">
        <f t="shared" si="37"/>
        <v/>
      </c>
      <c r="AK96" s="2898"/>
      <c r="AL96" s="2895">
        <f t="shared" si="38"/>
        <v>0</v>
      </c>
      <c r="AM96" s="2896" t="str">
        <f t="shared" si="39"/>
        <v/>
      </c>
    </row>
    <row r="97" spans="1:41" ht="15.75" hidden="1" outlineLevel="1" thickBot="1">
      <c r="A97" s="2339"/>
      <c r="B97" s="3024"/>
      <c r="C97" s="3027"/>
      <c r="D97" s="3028"/>
      <c r="E97" s="3029"/>
      <c r="F97" s="2974" t="s">
        <v>3862</v>
      </c>
      <c r="G97" s="2962"/>
      <c r="H97" s="3685"/>
      <c r="I97" s="2714"/>
      <c r="J97" s="2714"/>
      <c r="K97" s="2714"/>
      <c r="L97" s="2714"/>
      <c r="M97" s="2714"/>
      <c r="N97" s="2714"/>
      <c r="O97" s="2714"/>
      <c r="P97" s="2714"/>
      <c r="Q97" s="2714"/>
      <c r="R97" s="2714"/>
      <c r="S97" s="2714"/>
      <c r="T97" s="3665"/>
      <c r="U97" s="2714"/>
      <c r="V97" s="2781" t="str">
        <f t="shared" si="30"/>
        <v/>
      </c>
      <c r="W97" s="2781" t="str">
        <f t="shared" si="31"/>
        <v/>
      </c>
      <c r="X97" s="2781" t="str">
        <f t="shared" si="32"/>
        <v/>
      </c>
      <c r="Y97" s="2504" t="str">
        <f t="shared" si="33"/>
        <v/>
      </c>
      <c r="Z97" s="2567"/>
      <c r="AA97" s="2567"/>
      <c r="AB97" s="2567"/>
      <c r="AC97" s="2567"/>
      <c r="AD97" s="2507" t="str">
        <f t="shared" si="34"/>
        <v/>
      </c>
      <c r="AE97" s="2507" t="str">
        <f t="shared" si="35"/>
        <v/>
      </c>
      <c r="AF97" s="2507" t="str">
        <f t="shared" si="36"/>
        <v/>
      </c>
      <c r="AG97" s="2319"/>
      <c r="AH97" s="2507"/>
      <c r="AI97" s="2780"/>
      <c r="AJ97" s="2782" t="str">
        <f t="shared" si="37"/>
        <v/>
      </c>
      <c r="AK97" s="2898"/>
      <c r="AL97" s="2895">
        <f t="shared" si="38"/>
        <v>0</v>
      </c>
      <c r="AM97" s="2896" t="str">
        <f t="shared" si="39"/>
        <v/>
      </c>
    </row>
    <row r="98" spans="1:41" ht="15.75" hidden="1" outlineLevel="1" thickBot="1">
      <c r="A98" s="2339"/>
      <c r="B98" s="3024"/>
      <c r="C98" s="3027"/>
      <c r="D98" s="3028"/>
      <c r="E98" s="3029"/>
      <c r="F98" s="2974" t="s">
        <v>3863</v>
      </c>
      <c r="G98" s="2962"/>
      <c r="H98" s="3685"/>
      <c r="I98" s="2714"/>
      <c r="J98" s="2714"/>
      <c r="K98" s="2714"/>
      <c r="L98" s="2714"/>
      <c r="M98" s="2714"/>
      <c r="N98" s="2714"/>
      <c r="O98" s="2714"/>
      <c r="P98" s="2714"/>
      <c r="Q98" s="2714"/>
      <c r="R98" s="2714"/>
      <c r="S98" s="2714"/>
      <c r="T98" s="3665"/>
      <c r="U98" s="2714"/>
      <c r="V98" s="2781" t="str">
        <f t="shared" si="30"/>
        <v/>
      </c>
      <c r="W98" s="2781" t="str">
        <f t="shared" si="31"/>
        <v/>
      </c>
      <c r="X98" s="2781" t="str">
        <f t="shared" si="32"/>
        <v/>
      </c>
      <c r="Y98" s="2504" t="str">
        <f t="shared" si="33"/>
        <v/>
      </c>
      <c r="Z98" s="2567"/>
      <c r="AA98" s="2567"/>
      <c r="AB98" s="2567"/>
      <c r="AC98" s="2567"/>
      <c r="AD98" s="2507" t="str">
        <f t="shared" si="34"/>
        <v/>
      </c>
      <c r="AE98" s="2507" t="str">
        <f t="shared" si="35"/>
        <v/>
      </c>
      <c r="AF98" s="2507" t="str">
        <f t="shared" si="36"/>
        <v/>
      </c>
      <c r="AG98" s="2319"/>
      <c r="AH98" s="2507"/>
      <c r="AI98" s="2780"/>
      <c r="AJ98" s="2782" t="str">
        <f t="shared" si="37"/>
        <v/>
      </c>
      <c r="AK98" s="2898"/>
      <c r="AL98" s="2895">
        <f t="shared" si="38"/>
        <v>0</v>
      </c>
      <c r="AM98" s="2896" t="str">
        <f t="shared" si="39"/>
        <v/>
      </c>
    </row>
    <row r="99" spans="1:41" ht="15.75" hidden="1" outlineLevel="1" thickBot="1">
      <c r="A99" s="2339"/>
      <c r="B99" s="3024"/>
      <c r="C99" s="3027"/>
      <c r="D99" s="3028"/>
      <c r="E99" s="3029"/>
      <c r="F99" s="2680" t="s">
        <v>3864</v>
      </c>
      <c r="G99" s="2612"/>
      <c r="H99" s="3685"/>
      <c r="I99" s="2714"/>
      <c r="J99" s="2714"/>
      <c r="K99" s="2714"/>
      <c r="L99" s="2714"/>
      <c r="M99" s="2714"/>
      <c r="N99" s="2714"/>
      <c r="O99" s="2714"/>
      <c r="P99" s="2714"/>
      <c r="Q99" s="2714"/>
      <c r="R99" s="2714"/>
      <c r="S99" s="2714"/>
      <c r="T99" s="3665"/>
      <c r="U99" s="2714"/>
      <c r="V99" s="2781" t="str">
        <f t="shared" si="30"/>
        <v/>
      </c>
      <c r="W99" s="2781" t="str">
        <f t="shared" si="31"/>
        <v/>
      </c>
      <c r="X99" s="2781" t="str">
        <f t="shared" si="32"/>
        <v/>
      </c>
      <c r="Y99" s="2504" t="str">
        <f t="shared" si="33"/>
        <v/>
      </c>
      <c r="Z99" s="2567"/>
      <c r="AA99" s="2567"/>
      <c r="AB99" s="2567"/>
      <c r="AC99" s="2567"/>
      <c r="AD99" s="2507" t="str">
        <f t="shared" si="34"/>
        <v/>
      </c>
      <c r="AE99" s="2507" t="str">
        <f t="shared" si="35"/>
        <v/>
      </c>
      <c r="AF99" s="2507" t="str">
        <f t="shared" si="36"/>
        <v/>
      </c>
      <c r="AG99" s="2319"/>
      <c r="AH99" s="2507"/>
      <c r="AI99" s="2780"/>
      <c r="AJ99" s="2782" t="str">
        <f t="shared" si="37"/>
        <v/>
      </c>
      <c r="AK99" s="2898"/>
      <c r="AL99" s="2895">
        <f t="shared" si="38"/>
        <v>0</v>
      </c>
      <c r="AM99" s="2896" t="str">
        <f t="shared" si="39"/>
        <v/>
      </c>
    </row>
    <row r="100" spans="1:41" ht="15.75" hidden="1" outlineLevel="1" thickBot="1">
      <c r="A100" s="2339"/>
      <c r="B100" s="3024"/>
      <c r="C100" s="3027"/>
      <c r="D100" s="3028"/>
      <c r="E100" s="3029"/>
      <c r="F100" s="2680" t="s">
        <v>3865</v>
      </c>
      <c r="G100" s="2612"/>
      <c r="H100" s="3685"/>
      <c r="I100" s="2714"/>
      <c r="J100" s="2714"/>
      <c r="K100" s="2714"/>
      <c r="L100" s="2714"/>
      <c r="M100" s="2714"/>
      <c r="N100" s="2714"/>
      <c r="O100" s="2714"/>
      <c r="P100" s="2714"/>
      <c r="Q100" s="2714"/>
      <c r="R100" s="2714"/>
      <c r="S100" s="2714"/>
      <c r="T100" s="3665"/>
      <c r="U100" s="2714"/>
      <c r="V100" s="2781" t="str">
        <f t="shared" si="30"/>
        <v/>
      </c>
      <c r="W100" s="2781" t="str">
        <f t="shared" si="31"/>
        <v/>
      </c>
      <c r="X100" s="2781" t="str">
        <f t="shared" si="32"/>
        <v/>
      </c>
      <c r="Y100" s="2504" t="str">
        <f t="shared" si="33"/>
        <v/>
      </c>
      <c r="Z100" s="2567"/>
      <c r="AA100" s="2567"/>
      <c r="AB100" s="2567"/>
      <c r="AC100" s="2567"/>
      <c r="AD100" s="2507" t="str">
        <f t="shared" si="34"/>
        <v/>
      </c>
      <c r="AE100" s="2507" t="str">
        <f t="shared" si="35"/>
        <v/>
      </c>
      <c r="AF100" s="2507" t="str">
        <f t="shared" si="36"/>
        <v/>
      </c>
      <c r="AG100" s="2319"/>
      <c r="AH100" s="2507"/>
      <c r="AI100" s="2780"/>
      <c r="AJ100" s="2782" t="str">
        <f t="shared" si="37"/>
        <v/>
      </c>
      <c r="AK100" s="2898"/>
      <c r="AL100" s="2895">
        <f t="shared" si="38"/>
        <v>0</v>
      </c>
      <c r="AM100" s="2896" t="str">
        <f t="shared" si="39"/>
        <v/>
      </c>
    </row>
    <row r="101" spans="1:41" ht="15.75" hidden="1" outlineLevel="1" thickBot="1">
      <c r="A101" s="2339"/>
      <c r="B101" s="3024"/>
      <c r="C101" s="3027"/>
      <c r="D101" s="3028"/>
      <c r="E101" s="3029" t="s">
        <v>2946</v>
      </c>
      <c r="F101" s="2974" t="s">
        <v>3860</v>
      </c>
      <c r="G101" s="2962"/>
      <c r="H101" s="3685"/>
      <c r="I101" s="2714"/>
      <c r="J101" s="2714"/>
      <c r="K101" s="2714"/>
      <c r="L101" s="2714"/>
      <c r="M101" s="2714"/>
      <c r="N101" s="2714"/>
      <c r="O101" s="2714"/>
      <c r="P101" s="2714"/>
      <c r="Q101" s="2714"/>
      <c r="R101" s="2714"/>
      <c r="S101" s="2714"/>
      <c r="T101" s="3665"/>
      <c r="U101" s="2714"/>
      <c r="V101" s="2781" t="str">
        <f t="shared" si="30"/>
        <v/>
      </c>
      <c r="W101" s="2781" t="str">
        <f t="shared" si="31"/>
        <v/>
      </c>
      <c r="X101" s="2781" t="str">
        <f t="shared" si="32"/>
        <v/>
      </c>
      <c r="Y101" s="2504" t="str">
        <f t="shared" si="33"/>
        <v/>
      </c>
      <c r="Z101" s="2567"/>
      <c r="AA101" s="2567"/>
      <c r="AB101" s="2567"/>
      <c r="AC101" s="2567"/>
      <c r="AD101" s="2507" t="str">
        <f t="shared" si="34"/>
        <v/>
      </c>
      <c r="AE101" s="2507" t="str">
        <f t="shared" si="35"/>
        <v/>
      </c>
      <c r="AF101" s="2507" t="str">
        <f t="shared" si="36"/>
        <v/>
      </c>
      <c r="AG101" s="2319"/>
      <c r="AH101" s="2507"/>
      <c r="AI101" s="2780"/>
      <c r="AJ101" s="2782" t="str">
        <f t="shared" si="37"/>
        <v/>
      </c>
      <c r="AK101" s="2898"/>
      <c r="AL101" s="2895">
        <f t="shared" si="38"/>
        <v>0</v>
      </c>
      <c r="AM101" s="2896" t="str">
        <f t="shared" si="39"/>
        <v/>
      </c>
    </row>
    <row r="102" spans="1:41" ht="15.75" collapsed="1" thickBot="1">
      <c r="A102" s="2339"/>
      <c r="B102" s="3024"/>
      <c r="C102" s="3027"/>
      <c r="D102" s="3028"/>
      <c r="E102" s="3029"/>
      <c r="F102" s="2974" t="s">
        <v>3861</v>
      </c>
      <c r="G102" s="2962"/>
      <c r="H102" s="3685"/>
      <c r="I102" s="2714">
        <f>'приложение 1(1)'!I213</f>
        <v>474.00000000000006</v>
      </c>
      <c r="J102" s="2714"/>
      <c r="K102" s="2714"/>
      <c r="L102" s="3668">
        <f t="shared" ref="L102" si="46">SUM(H102:J102)</f>
        <v>474.00000000000006</v>
      </c>
      <c r="M102" s="2714"/>
      <c r="N102" s="2714">
        <f>'приложение 1(1)'!N213</f>
        <v>1488</v>
      </c>
      <c r="O102" s="2714"/>
      <c r="P102" s="2714"/>
      <c r="Q102" s="3668">
        <f t="shared" ref="Q102" si="47">SUM(M102:O102)</f>
        <v>1488</v>
      </c>
      <c r="R102" s="2714"/>
      <c r="S102" s="2714">
        <f>'приложение 1(1)'!S213</f>
        <v>464.16136</v>
      </c>
      <c r="T102" s="3665"/>
      <c r="U102" s="2714"/>
      <c r="V102" s="2781" t="str">
        <f t="shared" si="30"/>
        <v/>
      </c>
      <c r="W102" s="2781">
        <f t="shared" si="31"/>
        <v>979243.37552742602</v>
      </c>
      <c r="X102" s="2781" t="str">
        <f t="shared" si="32"/>
        <v/>
      </c>
      <c r="Y102" s="2504" t="str">
        <f t="shared" si="33"/>
        <v/>
      </c>
      <c r="Z102" s="2775">
        <f t="shared" ref="Z102" si="48">$Z$13</f>
        <v>1.0528</v>
      </c>
      <c r="AA102" s="2775">
        <f t="shared" ref="AA102" si="49">$AA$13</f>
        <v>1.0589</v>
      </c>
      <c r="AB102" s="2775">
        <f t="shared" ref="AB102" si="50">$AB$13</f>
        <v>1.0507936887282501</v>
      </c>
      <c r="AC102" s="2775">
        <f t="shared" ref="AC102" si="51">$AC$13</f>
        <v>1.04657781587849</v>
      </c>
      <c r="AD102" s="2507" t="str">
        <f t="shared" si="34"/>
        <v/>
      </c>
      <c r="AE102" s="2507">
        <f>IFERROR(W102*$AA$102*$AB$102*$AC$102,"")</f>
        <v>1140340.5583232434</v>
      </c>
      <c r="AF102" s="2507" t="str">
        <f t="shared" si="36"/>
        <v/>
      </c>
      <c r="AG102" s="2319"/>
      <c r="AH102" s="2507">
        <f t="shared" ref="AH102:AH108" si="52">SUM(AD102:AF102)</f>
        <v>1140340.5583232434</v>
      </c>
      <c r="AI102" s="2780">
        <f>AH102/1</f>
        <v>1140340.5583232434</v>
      </c>
      <c r="AJ102" s="2783">
        <f>IFERROR((AI102*L102/1000)/Q102,"")</f>
        <v>363.25364559490413</v>
      </c>
      <c r="AK102" s="2898" t="str">
        <f>'Утв.СТС 2018г'!H97</f>
        <v>1094010,70</v>
      </c>
      <c r="AL102" s="2895">
        <f t="shared" si="38"/>
        <v>1144967.3289536978</v>
      </c>
      <c r="AM102" s="2896">
        <f t="shared" si="39"/>
        <v>0.99595903698432819</v>
      </c>
      <c r="AO102" s="2506">
        <f>AI102*L102/1000000</f>
        <v>540.52142464521739</v>
      </c>
    </row>
    <row r="103" spans="1:41" ht="15.75" hidden="1" outlineLevel="1" thickBot="1">
      <c r="A103" s="2339"/>
      <c r="B103" s="3024"/>
      <c r="C103" s="3027"/>
      <c r="D103" s="3028"/>
      <c r="E103" s="3029"/>
      <c r="F103" s="2974" t="s">
        <v>3862</v>
      </c>
      <c r="G103" s="2962"/>
      <c r="H103" s="3685"/>
      <c r="I103" s="2714"/>
      <c r="J103" s="2714"/>
      <c r="K103" s="2714"/>
      <c r="L103" s="2714"/>
      <c r="M103" s="2714"/>
      <c r="N103" s="2714"/>
      <c r="O103" s="2714"/>
      <c r="P103" s="2714"/>
      <c r="Q103" s="2714"/>
      <c r="R103" s="2714"/>
      <c r="S103" s="2714"/>
      <c r="T103" s="3665"/>
      <c r="U103" s="2714"/>
      <c r="V103" s="2781" t="str">
        <f t="shared" si="30"/>
        <v/>
      </c>
      <c r="W103" s="2781" t="str">
        <f t="shared" si="31"/>
        <v/>
      </c>
      <c r="X103" s="2781" t="str">
        <f t="shared" si="32"/>
        <v/>
      </c>
      <c r="Y103" s="2504" t="str">
        <f t="shared" si="33"/>
        <v/>
      </c>
      <c r="Z103" s="2567"/>
      <c r="AA103" s="2567"/>
      <c r="AB103" s="2567"/>
      <c r="AC103" s="2567"/>
      <c r="AD103" s="2507" t="str">
        <f t="shared" si="34"/>
        <v/>
      </c>
      <c r="AE103" s="2507" t="str">
        <f t="shared" si="35"/>
        <v/>
      </c>
      <c r="AF103" s="2507" t="str">
        <f t="shared" si="36"/>
        <v/>
      </c>
      <c r="AG103" s="2319"/>
      <c r="AH103" s="2507"/>
      <c r="AI103" s="2780"/>
      <c r="AJ103" s="2782" t="str">
        <f t="shared" si="37"/>
        <v/>
      </c>
      <c r="AK103" s="2898"/>
      <c r="AL103" s="2895">
        <f t="shared" si="38"/>
        <v>0</v>
      </c>
      <c r="AM103" s="2896" t="str">
        <f t="shared" si="39"/>
        <v/>
      </c>
    </row>
    <row r="104" spans="1:41" ht="15.75" hidden="1" outlineLevel="1" thickBot="1">
      <c r="A104" s="2339"/>
      <c r="B104" s="3024"/>
      <c r="C104" s="3027"/>
      <c r="D104" s="3028"/>
      <c r="E104" s="3029"/>
      <c r="F104" s="2974" t="s">
        <v>3863</v>
      </c>
      <c r="G104" s="2962"/>
      <c r="H104" s="3685"/>
      <c r="I104" s="2714"/>
      <c r="J104" s="2714"/>
      <c r="K104" s="2714"/>
      <c r="L104" s="2714"/>
      <c r="M104" s="2714"/>
      <c r="N104" s="2714"/>
      <c r="O104" s="2714"/>
      <c r="P104" s="2714"/>
      <c r="Q104" s="2714"/>
      <c r="R104" s="2714"/>
      <c r="S104" s="2714"/>
      <c r="T104" s="3665"/>
      <c r="U104" s="2714"/>
      <c r="V104" s="2781" t="str">
        <f t="shared" si="30"/>
        <v/>
      </c>
      <c r="W104" s="2781" t="str">
        <f t="shared" si="31"/>
        <v/>
      </c>
      <c r="X104" s="2781" t="str">
        <f t="shared" si="32"/>
        <v/>
      </c>
      <c r="Y104" s="2504" t="str">
        <f t="shared" si="33"/>
        <v/>
      </c>
      <c r="Z104" s="2567"/>
      <c r="AA104" s="2567"/>
      <c r="AB104" s="2567"/>
      <c r="AC104" s="2567"/>
      <c r="AD104" s="2507" t="str">
        <f t="shared" si="34"/>
        <v/>
      </c>
      <c r="AE104" s="2507" t="str">
        <f t="shared" si="35"/>
        <v/>
      </c>
      <c r="AF104" s="2507" t="str">
        <f t="shared" si="36"/>
        <v/>
      </c>
      <c r="AG104" s="2319"/>
      <c r="AH104" s="2507"/>
      <c r="AI104" s="2780"/>
      <c r="AJ104" s="2782" t="str">
        <f t="shared" si="37"/>
        <v/>
      </c>
      <c r="AK104" s="2898"/>
      <c r="AL104" s="2895">
        <f t="shared" si="38"/>
        <v>0</v>
      </c>
      <c r="AM104" s="2896" t="str">
        <f t="shared" si="39"/>
        <v/>
      </c>
    </row>
    <row r="105" spans="1:41" ht="15.75" hidden="1" outlineLevel="1" thickBot="1">
      <c r="A105" s="2339"/>
      <c r="B105" s="3024"/>
      <c r="C105" s="3027"/>
      <c r="D105" s="3028"/>
      <c r="E105" s="3029"/>
      <c r="F105" s="2680" t="s">
        <v>3864</v>
      </c>
      <c r="G105" s="2612"/>
      <c r="H105" s="3685"/>
      <c r="I105" s="2714"/>
      <c r="J105" s="2714"/>
      <c r="K105" s="2714"/>
      <c r="L105" s="2714"/>
      <c r="M105" s="2714"/>
      <c r="N105" s="2714"/>
      <c r="O105" s="2714"/>
      <c r="P105" s="2714"/>
      <c r="Q105" s="2714"/>
      <c r="R105" s="2714"/>
      <c r="S105" s="2714"/>
      <c r="T105" s="3665"/>
      <c r="U105" s="2714"/>
      <c r="V105" s="2781" t="str">
        <f t="shared" si="30"/>
        <v/>
      </c>
      <c r="W105" s="2781" t="str">
        <f t="shared" si="31"/>
        <v/>
      </c>
      <c r="X105" s="2781" t="str">
        <f t="shared" si="32"/>
        <v/>
      </c>
      <c r="Y105" s="2504" t="str">
        <f t="shared" si="33"/>
        <v/>
      </c>
      <c r="Z105" s="2567"/>
      <c r="AA105" s="2567"/>
      <c r="AB105" s="2567"/>
      <c r="AC105" s="2567"/>
      <c r="AD105" s="2507" t="str">
        <f t="shared" si="34"/>
        <v/>
      </c>
      <c r="AE105" s="2507" t="str">
        <f t="shared" si="35"/>
        <v/>
      </c>
      <c r="AF105" s="2507" t="str">
        <f t="shared" si="36"/>
        <v/>
      </c>
      <c r="AG105" s="2319"/>
      <c r="AH105" s="2507"/>
      <c r="AI105" s="2780"/>
      <c r="AJ105" s="2782" t="str">
        <f t="shared" si="37"/>
        <v/>
      </c>
      <c r="AK105" s="2898"/>
      <c r="AL105" s="2895">
        <f t="shared" si="38"/>
        <v>0</v>
      </c>
      <c r="AM105" s="2896" t="str">
        <f t="shared" si="39"/>
        <v/>
      </c>
    </row>
    <row r="106" spans="1:41" ht="15.75" hidden="1" outlineLevel="1" thickBot="1">
      <c r="A106" s="2339"/>
      <c r="B106" s="3024"/>
      <c r="C106" s="3027"/>
      <c r="D106" s="3028"/>
      <c r="E106" s="3029"/>
      <c r="F106" s="2680" t="s">
        <v>3865</v>
      </c>
      <c r="G106" s="2612"/>
      <c r="H106" s="3685"/>
      <c r="I106" s="2714"/>
      <c r="J106" s="2714"/>
      <c r="K106" s="2714"/>
      <c r="L106" s="2714"/>
      <c r="M106" s="2714"/>
      <c r="N106" s="2714"/>
      <c r="O106" s="2714"/>
      <c r="P106" s="2714"/>
      <c r="Q106" s="2714"/>
      <c r="R106" s="2714"/>
      <c r="S106" s="2714"/>
      <c r="T106" s="3665"/>
      <c r="U106" s="2714"/>
      <c r="V106" s="2781" t="str">
        <f t="shared" si="30"/>
        <v/>
      </c>
      <c r="W106" s="2781" t="str">
        <f t="shared" si="31"/>
        <v/>
      </c>
      <c r="X106" s="2781" t="str">
        <f t="shared" si="32"/>
        <v/>
      </c>
      <c r="Y106" s="2504" t="str">
        <f t="shared" si="33"/>
        <v/>
      </c>
      <c r="Z106" s="2567"/>
      <c r="AA106" s="2567"/>
      <c r="AB106" s="2567"/>
      <c r="AC106" s="2567"/>
      <c r="AD106" s="2507" t="str">
        <f t="shared" si="34"/>
        <v/>
      </c>
      <c r="AE106" s="2507" t="str">
        <f t="shared" si="35"/>
        <v/>
      </c>
      <c r="AF106" s="2507" t="str">
        <f t="shared" si="36"/>
        <v/>
      </c>
      <c r="AG106" s="2319"/>
      <c r="AH106" s="2507"/>
      <c r="AI106" s="2780"/>
      <c r="AJ106" s="2782" t="str">
        <f t="shared" si="37"/>
        <v/>
      </c>
      <c r="AK106" s="2898"/>
      <c r="AL106" s="2895">
        <f t="shared" si="38"/>
        <v>0</v>
      </c>
      <c r="AM106" s="2896" t="str">
        <f t="shared" si="39"/>
        <v/>
      </c>
    </row>
    <row r="107" spans="1:41" ht="15.75" collapsed="1" thickBot="1">
      <c r="A107" s="2339"/>
      <c r="B107" s="3024"/>
      <c r="C107" s="3027"/>
      <c r="D107" s="3028" t="s">
        <v>2954</v>
      </c>
      <c r="E107" s="3029" t="s">
        <v>2950</v>
      </c>
      <c r="F107" s="2974" t="s">
        <v>3860</v>
      </c>
      <c r="G107" s="2962"/>
      <c r="H107" s="3685">
        <f>'приложение 1(1)'!H274+'приложение 1(1)'!H218</f>
        <v>10655.999999999998</v>
      </c>
      <c r="I107" s="2714">
        <f>'приложение 1(1)'!I274+'приложение 1(1)'!I218</f>
        <v>1797</v>
      </c>
      <c r="J107" s="2714">
        <f>'приложение 1(1)'!J274+'приложение 1(1)'!J218</f>
        <v>16538</v>
      </c>
      <c r="K107" s="2714"/>
      <c r="L107" s="3668">
        <f t="shared" ref="L107:L108" si="53">SUM(H107:J107)</f>
        <v>28991</v>
      </c>
      <c r="M107" s="2714">
        <f>'приложение 1(1)'!M274+'приложение 1(1)'!M218</f>
        <v>162.6</v>
      </c>
      <c r="N107" s="3686">
        <f>'приложение 1(1)'!N274+'приложение 1(1)'!N218</f>
        <v>40</v>
      </c>
      <c r="O107" s="2714">
        <f>'приложение 1(1)'!O274+'приложение 1(1)'!O218</f>
        <v>145.19999999999999</v>
      </c>
      <c r="P107" s="2714"/>
      <c r="Q107" s="3668">
        <f t="shared" ref="Q107:Q108" si="54">SUM(M107:O107)</f>
        <v>347.79999999999995</v>
      </c>
      <c r="R107" s="2714">
        <f>'приложение 1(1)'!R274+'приложение 1(1)'!R218</f>
        <v>7012.9063659999993</v>
      </c>
      <c r="S107" s="2714">
        <f>'приложение 1(1)'!S274+'приложение 1(1)'!S218</f>
        <v>1346.92227</v>
      </c>
      <c r="T107" s="2714">
        <f>'приложение 1(1)'!T274+'приложение 1(1)'!T218</f>
        <v>10114.419629999999</v>
      </c>
      <c r="U107" s="2714"/>
      <c r="V107" s="2781">
        <f t="shared" si="30"/>
        <v>658118.08990240237</v>
      </c>
      <c r="W107" s="2781">
        <f>IFERROR(S107*1000/(I107/1000),"")</f>
        <v>749539.38230383978</v>
      </c>
      <c r="X107" s="2781">
        <f>IFERROR(T107*1000/(J107/1000),"")</f>
        <v>611586.62655702012</v>
      </c>
      <c r="Y107" s="2504" t="str">
        <f t="shared" si="33"/>
        <v/>
      </c>
      <c r="Z107" s="2775">
        <f t="shared" ref="Z107:Z108" si="55">$Z$13</f>
        <v>1.0528</v>
      </c>
      <c r="AA107" s="2775">
        <f t="shared" ref="AA107:AA108" si="56">$AA$13</f>
        <v>1.0589</v>
      </c>
      <c r="AB107" s="2775">
        <f t="shared" ref="AB107:AB108" si="57">$AB$13</f>
        <v>1.0507936887282501</v>
      </c>
      <c r="AC107" s="2775">
        <f t="shared" ref="AC107:AC108" si="58">$AC$13</f>
        <v>1.04657781587849</v>
      </c>
      <c r="AD107" s="2507">
        <f>IFERROR(V107*$Z$107*$AA$107*$AB$107*$AC$107,"")</f>
        <v>806851.54256029893</v>
      </c>
      <c r="AE107" s="2507">
        <f>IFERROR(W107*$AA$107*$AB$107*$AC$107,"")</f>
        <v>872847.52602105378</v>
      </c>
      <c r="AF107" s="2507">
        <f>IFERROR(X107*$AB$107*$AC$107,"")</f>
        <v>672584.66435672436</v>
      </c>
      <c r="AG107" s="2319"/>
      <c r="AH107" s="2507">
        <f t="shared" si="52"/>
        <v>2352283.7329380773</v>
      </c>
      <c r="AI107" s="2780">
        <f>AH107/3</f>
        <v>784094.57764602581</v>
      </c>
      <c r="AJ107" s="2782">
        <f>IFERROR((AI107*L107/1000)/Q107,"")</f>
        <v>65358.498851454679</v>
      </c>
      <c r="AK107" s="2898">
        <f>'Утв.СТС 2018г'!H102</f>
        <v>716067.9</v>
      </c>
      <c r="AL107" s="2895">
        <f t="shared" si="38"/>
        <v>749420.77880269696</v>
      </c>
      <c r="AM107" s="2896">
        <f t="shared" si="39"/>
        <v>1.0462674639189016</v>
      </c>
      <c r="AO107" s="2506">
        <f t="shared" ref="AO107:AO108" si="59">AI107*L107/1000000</f>
        <v>22731.685900535933</v>
      </c>
    </row>
    <row r="108" spans="1:41" ht="15.75" thickBot="1">
      <c r="A108" s="2339"/>
      <c r="B108" s="3024"/>
      <c r="C108" s="3027"/>
      <c r="D108" s="3028"/>
      <c r="E108" s="3029"/>
      <c r="F108" s="2974" t="s">
        <v>3861</v>
      </c>
      <c r="G108" s="2962"/>
      <c r="H108" s="3685"/>
      <c r="I108" s="2714">
        <f>'приложение 1(1)'!I219</f>
        <v>2952</v>
      </c>
      <c r="J108" s="2714"/>
      <c r="K108" s="2714"/>
      <c r="L108" s="3668">
        <f t="shared" si="53"/>
        <v>2952</v>
      </c>
      <c r="M108" s="2714"/>
      <c r="N108" s="2714">
        <f>'приложение 1(1)'!N219</f>
        <v>1488</v>
      </c>
      <c r="O108" s="2714"/>
      <c r="P108" s="2714"/>
      <c r="Q108" s="3668">
        <f t="shared" si="54"/>
        <v>1488</v>
      </c>
      <c r="R108" s="2714"/>
      <c r="S108" s="2714">
        <f>'приложение 1(1)'!S219</f>
        <v>2890.72642</v>
      </c>
      <c r="T108" s="3665"/>
      <c r="U108" s="2714"/>
      <c r="V108" s="2781" t="str">
        <f t="shared" si="30"/>
        <v/>
      </c>
      <c r="W108" s="2781">
        <f t="shared" si="31"/>
        <v>979243.36720867211</v>
      </c>
      <c r="X108" s="2781" t="str">
        <f t="shared" si="32"/>
        <v/>
      </c>
      <c r="Y108" s="2504" t="str">
        <f t="shared" si="33"/>
        <v/>
      </c>
      <c r="Z108" s="2775">
        <f t="shared" si="55"/>
        <v>1.0528</v>
      </c>
      <c r="AA108" s="2775">
        <f t="shared" si="56"/>
        <v>1.0589</v>
      </c>
      <c r="AB108" s="2775">
        <f t="shared" si="57"/>
        <v>1.0507936887282501</v>
      </c>
      <c r="AC108" s="2775">
        <f t="shared" si="58"/>
        <v>1.04657781587849</v>
      </c>
      <c r="AD108" s="2507" t="str">
        <f t="shared" si="34"/>
        <v/>
      </c>
      <c r="AE108" s="2507">
        <f>IFERROR(W108*$AA$108*$AB$108*$AC$108,"")</f>
        <v>1140340.5486359554</v>
      </c>
      <c r="AF108" s="2507" t="str">
        <f t="shared" si="36"/>
        <v/>
      </c>
      <c r="AG108" s="2319"/>
      <c r="AH108" s="2507">
        <f t="shared" si="52"/>
        <v>1140340.5486359554</v>
      </c>
      <c r="AI108" s="2780">
        <f>AH108/1</f>
        <v>1140340.5486359554</v>
      </c>
      <c r="AJ108" s="2782">
        <f t="shared" si="37"/>
        <v>2262.2885077777823</v>
      </c>
      <c r="AK108" s="2898" t="str">
        <f>'Утв.СТС 2018г'!H103</f>
        <v>1094010,69</v>
      </c>
      <c r="AL108" s="2895">
        <f t="shared" si="38"/>
        <v>1144967.3184879196</v>
      </c>
      <c r="AM108" s="2896">
        <f t="shared" si="39"/>
        <v>0.99595903762731464</v>
      </c>
      <c r="AO108" s="2506">
        <f t="shared" si="59"/>
        <v>3366.2852995733406</v>
      </c>
    </row>
    <row r="109" spans="1:41" ht="15.75" hidden="1" outlineLevel="1" thickBot="1">
      <c r="A109" s="2339"/>
      <c r="B109" s="3024"/>
      <c r="C109" s="3027"/>
      <c r="D109" s="3028"/>
      <c r="E109" s="3029"/>
      <c r="F109" s="2974" t="s">
        <v>3862</v>
      </c>
      <c r="G109" s="2962"/>
      <c r="H109" s="3685"/>
      <c r="I109" s="2714"/>
      <c r="J109" s="2714"/>
      <c r="K109" s="2714"/>
      <c r="L109" s="2714"/>
      <c r="M109" s="2714"/>
      <c r="N109" s="2714"/>
      <c r="O109" s="2714"/>
      <c r="P109" s="2714"/>
      <c r="Q109" s="2714"/>
      <c r="R109" s="2714"/>
      <c r="S109" s="2714"/>
      <c r="T109" s="3665"/>
      <c r="U109" s="2714"/>
      <c r="V109" s="2504" t="str">
        <f t="shared" si="30"/>
        <v/>
      </c>
      <c r="W109" s="2504" t="str">
        <f t="shared" si="31"/>
        <v/>
      </c>
      <c r="X109" s="2504" t="str">
        <f t="shared" si="32"/>
        <v/>
      </c>
      <c r="Y109" s="2504" t="str">
        <f t="shared" si="33"/>
        <v/>
      </c>
      <c r="Z109" s="2567"/>
      <c r="AA109" s="2567"/>
      <c r="AB109" s="2567"/>
      <c r="AC109" s="2567"/>
      <c r="AD109" s="2444" t="str">
        <f t="shared" si="34"/>
        <v/>
      </c>
      <c r="AE109" s="2444" t="str">
        <f t="shared" si="35"/>
        <v/>
      </c>
      <c r="AF109" s="2444" t="str">
        <f t="shared" si="36"/>
        <v/>
      </c>
      <c r="AG109" s="2319"/>
      <c r="AH109" s="2444"/>
      <c r="AI109" s="2777"/>
      <c r="AJ109" s="2778" t="str">
        <f t="shared" si="37"/>
        <v/>
      </c>
      <c r="AK109" s="2898"/>
      <c r="AL109" s="2895">
        <f t="shared" si="38"/>
        <v>0</v>
      </c>
      <c r="AM109" s="2896" t="str">
        <f t="shared" si="39"/>
        <v/>
      </c>
    </row>
    <row r="110" spans="1:41" ht="15.75" hidden="1" outlineLevel="1" thickBot="1">
      <c r="A110" s="2339"/>
      <c r="B110" s="3024"/>
      <c r="C110" s="3027"/>
      <c r="D110" s="3028"/>
      <c r="E110" s="3029"/>
      <c r="F110" s="2974" t="s">
        <v>3863</v>
      </c>
      <c r="G110" s="2962"/>
      <c r="H110" s="3685"/>
      <c r="I110" s="2714"/>
      <c r="J110" s="2714"/>
      <c r="K110" s="2714"/>
      <c r="L110" s="2714"/>
      <c r="M110" s="2714"/>
      <c r="N110" s="2714"/>
      <c r="O110" s="2714"/>
      <c r="P110" s="2714"/>
      <c r="Q110" s="2714"/>
      <c r="R110" s="2714"/>
      <c r="S110" s="2714"/>
      <c r="T110" s="3665"/>
      <c r="U110" s="2714"/>
      <c r="V110" s="2504" t="str">
        <f t="shared" si="30"/>
        <v/>
      </c>
      <c r="W110" s="2504" t="str">
        <f t="shared" si="31"/>
        <v/>
      </c>
      <c r="X110" s="2504" t="str">
        <f t="shared" si="32"/>
        <v/>
      </c>
      <c r="Y110" s="2504" t="str">
        <f t="shared" si="33"/>
        <v/>
      </c>
      <c r="Z110" s="2567"/>
      <c r="AA110" s="2567"/>
      <c r="AB110" s="2567"/>
      <c r="AC110" s="2567"/>
      <c r="AD110" s="2444" t="str">
        <f t="shared" si="34"/>
        <v/>
      </c>
      <c r="AE110" s="2444" t="str">
        <f t="shared" si="35"/>
        <v/>
      </c>
      <c r="AF110" s="2444" t="str">
        <f t="shared" si="36"/>
        <v/>
      </c>
      <c r="AG110" s="2319"/>
      <c r="AH110" s="2444"/>
      <c r="AI110" s="2777"/>
      <c r="AJ110" s="2778" t="str">
        <f t="shared" si="37"/>
        <v/>
      </c>
      <c r="AK110" s="2898"/>
      <c r="AL110" s="2895">
        <f t="shared" si="38"/>
        <v>0</v>
      </c>
      <c r="AM110" s="2896" t="str">
        <f t="shared" si="39"/>
        <v/>
      </c>
    </row>
    <row r="111" spans="1:41" ht="15.75" hidden="1" outlineLevel="1" thickBot="1">
      <c r="A111" s="2339"/>
      <c r="B111" s="3024"/>
      <c r="C111" s="3027"/>
      <c r="D111" s="3028"/>
      <c r="E111" s="3029"/>
      <c r="F111" s="2680" t="s">
        <v>3864</v>
      </c>
      <c r="G111" s="2612"/>
      <c r="H111" s="3685"/>
      <c r="I111" s="2714"/>
      <c r="J111" s="2714"/>
      <c r="K111" s="2714"/>
      <c r="L111" s="2714"/>
      <c r="M111" s="2714"/>
      <c r="N111" s="2714"/>
      <c r="O111" s="2714"/>
      <c r="P111" s="2714"/>
      <c r="Q111" s="2714"/>
      <c r="R111" s="2714"/>
      <c r="S111" s="2714"/>
      <c r="T111" s="3665"/>
      <c r="U111" s="2714"/>
      <c r="V111" s="2504" t="str">
        <f t="shared" si="30"/>
        <v/>
      </c>
      <c r="W111" s="2504" t="str">
        <f t="shared" si="31"/>
        <v/>
      </c>
      <c r="X111" s="2504" t="str">
        <f t="shared" si="32"/>
        <v/>
      </c>
      <c r="Y111" s="2504" t="str">
        <f t="shared" si="33"/>
        <v/>
      </c>
      <c r="Z111" s="2567"/>
      <c r="AA111" s="2567"/>
      <c r="AB111" s="2567"/>
      <c r="AC111" s="2567"/>
      <c r="AD111" s="2444" t="str">
        <f t="shared" si="34"/>
        <v/>
      </c>
      <c r="AE111" s="2444" t="str">
        <f t="shared" si="35"/>
        <v/>
      </c>
      <c r="AF111" s="2444" t="str">
        <f t="shared" si="36"/>
        <v/>
      </c>
      <c r="AG111" s="2319"/>
      <c r="AH111" s="2444"/>
      <c r="AI111" s="2777"/>
      <c r="AJ111" s="2778" t="str">
        <f t="shared" si="37"/>
        <v/>
      </c>
      <c r="AK111" s="2898"/>
      <c r="AL111" s="2895">
        <f t="shared" si="38"/>
        <v>0</v>
      </c>
      <c r="AM111" s="2896" t="str">
        <f t="shared" si="39"/>
        <v/>
      </c>
    </row>
    <row r="112" spans="1:41" ht="15.75" hidden="1" outlineLevel="1" thickBot="1">
      <c r="A112" s="2339"/>
      <c r="B112" s="3024"/>
      <c r="C112" s="3027"/>
      <c r="D112" s="3028"/>
      <c r="E112" s="3029"/>
      <c r="F112" s="2680" t="s">
        <v>3865</v>
      </c>
      <c r="G112" s="2612"/>
      <c r="H112" s="3685"/>
      <c r="I112" s="2714"/>
      <c r="J112" s="2714"/>
      <c r="K112" s="2714"/>
      <c r="L112" s="2714"/>
      <c r="M112" s="2714"/>
      <c r="N112" s="2714"/>
      <c r="O112" s="2714"/>
      <c r="P112" s="2714"/>
      <c r="Q112" s="2714"/>
      <c r="R112" s="2714"/>
      <c r="S112" s="2714"/>
      <c r="T112" s="3665"/>
      <c r="U112" s="2714"/>
      <c r="V112" s="2504" t="str">
        <f t="shared" si="30"/>
        <v/>
      </c>
      <c r="W112" s="2504" t="str">
        <f t="shared" si="31"/>
        <v/>
      </c>
      <c r="X112" s="2504" t="str">
        <f t="shared" si="32"/>
        <v/>
      </c>
      <c r="Y112" s="2504" t="str">
        <f t="shared" si="33"/>
        <v/>
      </c>
      <c r="Z112" s="2567"/>
      <c r="AA112" s="2567"/>
      <c r="AB112" s="2567"/>
      <c r="AC112" s="2567"/>
      <c r="AD112" s="2444" t="str">
        <f t="shared" si="34"/>
        <v/>
      </c>
      <c r="AE112" s="2444" t="str">
        <f t="shared" si="35"/>
        <v/>
      </c>
      <c r="AF112" s="2444" t="str">
        <f t="shared" si="36"/>
        <v/>
      </c>
      <c r="AG112" s="2319"/>
      <c r="AH112" s="2444"/>
      <c r="AI112" s="2777"/>
      <c r="AJ112" s="2778" t="str">
        <f t="shared" si="37"/>
        <v/>
      </c>
      <c r="AK112" s="2898"/>
      <c r="AL112" s="2895">
        <f t="shared" si="38"/>
        <v>0</v>
      </c>
      <c r="AM112" s="2896" t="str">
        <f t="shared" si="39"/>
        <v/>
      </c>
    </row>
    <row r="113" spans="1:119" ht="15.75" hidden="1" outlineLevel="1" thickBot="1">
      <c r="A113" s="2339"/>
      <c r="B113" s="3024"/>
      <c r="C113" s="3027"/>
      <c r="D113" s="3028"/>
      <c r="E113" s="3029" t="s">
        <v>2946</v>
      </c>
      <c r="F113" s="2974" t="s">
        <v>3860</v>
      </c>
      <c r="G113" s="2962"/>
      <c r="H113" s="3685"/>
      <c r="I113" s="2714"/>
      <c r="J113" s="2714"/>
      <c r="K113" s="2714"/>
      <c r="L113" s="2714"/>
      <c r="M113" s="2714"/>
      <c r="N113" s="2714"/>
      <c r="O113" s="2714"/>
      <c r="P113" s="2714"/>
      <c r="Q113" s="2714"/>
      <c r="R113" s="2714"/>
      <c r="S113" s="2714"/>
      <c r="T113" s="3665"/>
      <c r="U113" s="2714"/>
      <c r="V113" s="2504" t="str">
        <f t="shared" si="30"/>
        <v/>
      </c>
      <c r="W113" s="2504" t="str">
        <f t="shared" si="31"/>
        <v/>
      </c>
      <c r="X113" s="2504" t="str">
        <f t="shared" si="32"/>
        <v/>
      </c>
      <c r="Y113" s="2504" t="str">
        <f t="shared" si="33"/>
        <v/>
      </c>
      <c r="Z113" s="2567"/>
      <c r="AA113" s="2567"/>
      <c r="AB113" s="2567"/>
      <c r="AC113" s="2567"/>
      <c r="AD113" s="2444" t="str">
        <f t="shared" si="34"/>
        <v/>
      </c>
      <c r="AE113" s="2444" t="str">
        <f t="shared" si="35"/>
        <v/>
      </c>
      <c r="AF113" s="2444" t="str">
        <f t="shared" si="36"/>
        <v/>
      </c>
      <c r="AG113" s="2319"/>
      <c r="AH113" s="2444"/>
      <c r="AI113" s="2777"/>
      <c r="AJ113" s="2778" t="str">
        <f t="shared" si="37"/>
        <v/>
      </c>
      <c r="AK113" s="2898"/>
      <c r="AL113" s="2895">
        <f t="shared" si="38"/>
        <v>0</v>
      </c>
      <c r="AM113" s="2896" t="str">
        <f t="shared" si="39"/>
        <v/>
      </c>
    </row>
    <row r="114" spans="1:119" ht="15.75" hidden="1" outlineLevel="1" thickBot="1">
      <c r="A114" s="2339"/>
      <c r="B114" s="3024"/>
      <c r="C114" s="3027"/>
      <c r="D114" s="3028"/>
      <c r="E114" s="3029"/>
      <c r="F114" s="2974" t="s">
        <v>3861</v>
      </c>
      <c r="G114" s="2962"/>
      <c r="H114" s="3685"/>
      <c r="I114" s="2740"/>
      <c r="J114" s="2740"/>
      <c r="K114" s="2740"/>
      <c r="L114" s="2740"/>
      <c r="M114" s="2740"/>
      <c r="N114" s="2740"/>
      <c r="O114" s="2740"/>
      <c r="P114" s="2740"/>
      <c r="Q114" s="2740"/>
      <c r="R114" s="2740"/>
      <c r="S114" s="2740"/>
      <c r="T114" s="2740"/>
      <c r="U114" s="2740"/>
      <c r="V114" s="2504" t="str">
        <f t="shared" si="30"/>
        <v/>
      </c>
      <c r="W114" s="2504" t="str">
        <f t="shared" si="31"/>
        <v/>
      </c>
      <c r="X114" s="2504" t="str">
        <f t="shared" si="32"/>
        <v/>
      </c>
      <c r="Y114" s="2504" t="str">
        <f t="shared" si="33"/>
        <v/>
      </c>
      <c r="Z114" s="2567"/>
      <c r="AA114" s="2567"/>
      <c r="AB114" s="2567"/>
      <c r="AC114" s="2567"/>
      <c r="AD114" s="2444" t="str">
        <f t="shared" si="34"/>
        <v/>
      </c>
      <c r="AE114" s="2444" t="str">
        <f t="shared" si="35"/>
        <v/>
      </c>
      <c r="AF114" s="2444" t="str">
        <f t="shared" si="36"/>
        <v/>
      </c>
      <c r="AG114" s="2319"/>
      <c r="AH114" s="2444"/>
      <c r="AI114" s="2777"/>
      <c r="AJ114" s="2778" t="str">
        <f t="shared" si="37"/>
        <v/>
      </c>
      <c r="AK114" s="2898"/>
      <c r="AL114" s="2895">
        <f t="shared" si="38"/>
        <v>0</v>
      </c>
      <c r="AM114" s="2896" t="str">
        <f t="shared" si="39"/>
        <v/>
      </c>
    </row>
    <row r="115" spans="1:119" ht="15.75" hidden="1" outlineLevel="1" thickBot="1">
      <c r="A115" s="2339"/>
      <c r="B115" s="3024"/>
      <c r="C115" s="3027"/>
      <c r="D115" s="3028"/>
      <c r="E115" s="3029"/>
      <c r="F115" s="2974" t="s">
        <v>3862</v>
      </c>
      <c r="G115" s="2964"/>
      <c r="H115" s="3685"/>
      <c r="I115" s="2740"/>
      <c r="J115" s="2740"/>
      <c r="K115" s="2740"/>
      <c r="L115" s="2740"/>
      <c r="M115" s="2740"/>
      <c r="N115" s="2740"/>
      <c r="O115" s="2740"/>
      <c r="P115" s="2740"/>
      <c r="Q115" s="2740"/>
      <c r="R115" s="2740"/>
      <c r="S115" s="2740"/>
      <c r="T115" s="2740"/>
      <c r="U115" s="2740"/>
      <c r="V115" s="2504" t="str">
        <f t="shared" si="30"/>
        <v/>
      </c>
      <c r="W115" s="2504" t="str">
        <f t="shared" si="31"/>
        <v/>
      </c>
      <c r="X115" s="2504" t="str">
        <f t="shared" si="32"/>
        <v/>
      </c>
      <c r="Y115" s="2504" t="str">
        <f t="shared" si="33"/>
        <v/>
      </c>
      <c r="Z115" s="2567"/>
      <c r="AA115" s="2567"/>
      <c r="AB115" s="2567"/>
      <c r="AC115" s="2567"/>
      <c r="AD115" s="2444" t="str">
        <f t="shared" si="34"/>
        <v/>
      </c>
      <c r="AE115" s="2444" t="str">
        <f t="shared" si="35"/>
        <v/>
      </c>
      <c r="AF115" s="2444" t="str">
        <f t="shared" si="36"/>
        <v/>
      </c>
      <c r="AG115" s="2319"/>
      <c r="AH115" s="2444"/>
      <c r="AI115" s="2777"/>
      <c r="AJ115" s="2778" t="str">
        <f t="shared" si="37"/>
        <v/>
      </c>
      <c r="AK115" s="2898"/>
      <c r="AL115" s="2895">
        <f t="shared" si="38"/>
        <v>0</v>
      </c>
      <c r="AM115" s="2896" t="str">
        <f t="shared" si="39"/>
        <v/>
      </c>
    </row>
    <row r="116" spans="1:119" ht="15.75" hidden="1" outlineLevel="1" thickBot="1">
      <c r="A116" s="2339"/>
      <c r="B116" s="3024"/>
      <c r="C116" s="3027"/>
      <c r="D116" s="3028"/>
      <c r="E116" s="3029"/>
      <c r="F116" s="2974" t="s">
        <v>3863</v>
      </c>
      <c r="G116" s="2328"/>
      <c r="H116" s="3685"/>
      <c r="I116" s="2740"/>
      <c r="J116" s="2740"/>
      <c r="K116" s="2740"/>
      <c r="L116" s="2740"/>
      <c r="M116" s="2740"/>
      <c r="N116" s="2740"/>
      <c r="O116" s="2740"/>
      <c r="P116" s="2740"/>
      <c r="Q116" s="2740"/>
      <c r="R116" s="2740"/>
      <c r="S116" s="2740"/>
      <c r="T116" s="2740"/>
      <c r="U116" s="2740"/>
      <c r="V116" s="2504" t="str">
        <f t="shared" si="30"/>
        <v/>
      </c>
      <c r="W116" s="2504" t="str">
        <f t="shared" si="31"/>
        <v/>
      </c>
      <c r="X116" s="2504" t="str">
        <f t="shared" si="32"/>
        <v/>
      </c>
      <c r="Y116" s="2504" t="str">
        <f t="shared" si="33"/>
        <v/>
      </c>
      <c r="Z116" s="2567"/>
      <c r="AA116" s="2567"/>
      <c r="AB116" s="2567"/>
      <c r="AC116" s="2567"/>
      <c r="AD116" s="2444" t="str">
        <f t="shared" si="34"/>
        <v/>
      </c>
      <c r="AE116" s="2444" t="str">
        <f t="shared" si="35"/>
        <v/>
      </c>
      <c r="AF116" s="2444" t="str">
        <f t="shared" si="36"/>
        <v/>
      </c>
      <c r="AG116" s="2319"/>
      <c r="AH116" s="2444"/>
      <c r="AI116" s="2777"/>
      <c r="AJ116" s="2778" t="str">
        <f t="shared" si="37"/>
        <v/>
      </c>
      <c r="AK116" s="2898"/>
      <c r="AL116" s="2895">
        <f t="shared" si="38"/>
        <v>0</v>
      </c>
      <c r="AM116" s="2896" t="str">
        <f t="shared" si="39"/>
        <v/>
      </c>
    </row>
    <row r="117" spans="1:119" ht="15.75" hidden="1" outlineLevel="1" thickBot="1">
      <c r="A117" s="2339"/>
      <c r="B117" s="3024"/>
      <c r="C117" s="3027"/>
      <c r="D117" s="3028"/>
      <c r="E117" s="3029"/>
      <c r="F117" s="2680" t="s">
        <v>3864</v>
      </c>
      <c r="G117" s="2330"/>
      <c r="H117" s="3685"/>
      <c r="I117" s="2740"/>
      <c r="J117" s="2740"/>
      <c r="K117" s="2740"/>
      <c r="L117" s="2740"/>
      <c r="M117" s="2740"/>
      <c r="N117" s="2740"/>
      <c r="O117" s="2740"/>
      <c r="P117" s="2740"/>
      <c r="Q117" s="2740"/>
      <c r="R117" s="2740"/>
      <c r="S117" s="2740"/>
      <c r="T117" s="2740"/>
      <c r="U117" s="2740"/>
      <c r="V117" s="2504" t="str">
        <f t="shared" si="30"/>
        <v/>
      </c>
      <c r="W117" s="2504" t="str">
        <f t="shared" si="31"/>
        <v/>
      </c>
      <c r="X117" s="2504" t="str">
        <f t="shared" si="32"/>
        <v/>
      </c>
      <c r="Y117" s="2504" t="str">
        <f t="shared" si="33"/>
        <v/>
      </c>
      <c r="Z117" s="2567"/>
      <c r="AA117" s="2567"/>
      <c r="AB117" s="2567"/>
      <c r="AC117" s="2567"/>
      <c r="AD117" s="2444" t="str">
        <f t="shared" si="34"/>
        <v/>
      </c>
      <c r="AE117" s="2444" t="str">
        <f t="shared" si="35"/>
        <v/>
      </c>
      <c r="AF117" s="2444" t="str">
        <f t="shared" si="36"/>
        <v/>
      </c>
      <c r="AG117" s="2319"/>
      <c r="AH117" s="2444"/>
      <c r="AI117" s="2777"/>
      <c r="AJ117" s="2778" t="str">
        <f t="shared" si="37"/>
        <v/>
      </c>
      <c r="AK117" s="2898"/>
      <c r="AL117" s="2895">
        <f t="shared" si="38"/>
        <v>0</v>
      </c>
      <c r="AM117" s="2896" t="str">
        <f t="shared" si="39"/>
        <v/>
      </c>
    </row>
    <row r="118" spans="1:119" ht="15.75" hidden="1" outlineLevel="1" thickBot="1">
      <c r="A118" s="2339"/>
      <c r="B118" s="3024"/>
      <c r="C118" s="3027"/>
      <c r="D118" s="3030"/>
      <c r="E118" s="3031"/>
      <c r="F118" s="2573" t="s">
        <v>3865</v>
      </c>
      <c r="G118" s="2335"/>
      <c r="H118" s="3685"/>
      <c r="I118" s="2714"/>
      <c r="J118" s="2714"/>
      <c r="K118" s="2714"/>
      <c r="L118" s="2714"/>
      <c r="M118" s="2714"/>
      <c r="N118" s="2714"/>
      <c r="O118" s="2714"/>
      <c r="P118" s="2714"/>
      <c r="Q118" s="2714"/>
      <c r="R118" s="2714"/>
      <c r="S118" s="2714"/>
      <c r="T118" s="3665"/>
      <c r="U118" s="2714"/>
      <c r="V118" s="2504" t="str">
        <f t="shared" si="30"/>
        <v/>
      </c>
      <c r="W118" s="2504" t="str">
        <f t="shared" si="31"/>
        <v/>
      </c>
      <c r="X118" s="2504" t="str">
        <f t="shared" si="32"/>
        <v/>
      </c>
      <c r="Y118" s="2504" t="str">
        <f t="shared" si="33"/>
        <v/>
      </c>
      <c r="Z118" s="2567"/>
      <c r="AA118" s="2567"/>
      <c r="AB118" s="2567"/>
      <c r="AC118" s="2567"/>
      <c r="AD118" s="2444" t="str">
        <f t="shared" si="34"/>
        <v/>
      </c>
      <c r="AE118" s="2444" t="str">
        <f t="shared" si="35"/>
        <v/>
      </c>
      <c r="AF118" s="2444" t="str">
        <f t="shared" si="36"/>
        <v/>
      </c>
      <c r="AG118" s="2319"/>
      <c r="AH118" s="2444"/>
      <c r="AI118" s="2777"/>
      <c r="AJ118" s="2778" t="str">
        <f t="shared" si="37"/>
        <v/>
      </c>
      <c r="AK118" s="2898"/>
      <c r="AL118" s="2895">
        <f t="shared" si="38"/>
        <v>0</v>
      </c>
      <c r="AM118" s="2896" t="str">
        <f t="shared" si="39"/>
        <v/>
      </c>
    </row>
    <row r="119" spans="1:119" collapsed="1">
      <c r="A119" s="2352"/>
      <c r="B119" s="2352"/>
      <c r="C119" s="2352"/>
      <c r="D119" s="2352"/>
      <c r="E119" s="2352"/>
      <c r="F119" s="2357"/>
      <c r="G119" s="2357"/>
      <c r="H119" s="3676"/>
      <c r="I119" s="3676"/>
      <c r="J119" s="3676"/>
      <c r="K119" s="3676"/>
      <c r="L119" s="3676"/>
      <c r="M119" s="3676"/>
      <c r="N119" s="3676"/>
      <c r="O119" s="3676"/>
      <c r="P119" s="3676"/>
      <c r="Q119" s="3676"/>
      <c r="R119" s="3678"/>
      <c r="S119" s="3678"/>
      <c r="T119" s="3678"/>
      <c r="U119" s="2338"/>
      <c r="AO119" s="2545">
        <f>SUM(AO71:AO118)</f>
        <v>27232.988297022352</v>
      </c>
    </row>
    <row r="120" spans="1:119">
      <c r="A120" s="2345"/>
      <c r="B120" s="2345"/>
      <c r="C120" s="2345"/>
      <c r="D120" s="2345"/>
      <c r="E120" s="2345"/>
      <c r="F120" s="2357"/>
      <c r="G120" s="2357"/>
      <c r="H120" s="3676"/>
      <c r="I120" s="3676"/>
      <c r="J120" s="3676"/>
      <c r="K120" s="3676"/>
      <c r="L120" s="3676"/>
      <c r="M120" s="3676"/>
      <c r="N120" s="3676"/>
      <c r="O120" s="3676"/>
      <c r="P120" s="3676"/>
      <c r="Q120" s="3676"/>
      <c r="R120" s="3677"/>
      <c r="S120" s="3677"/>
      <c r="T120" s="3677"/>
      <c r="U120" s="2338"/>
    </row>
    <row r="121" spans="1:119">
      <c r="A121" s="2345"/>
      <c r="B121" s="2345"/>
      <c r="C121" s="2345"/>
      <c r="D121" s="2345"/>
      <c r="E121" s="2345"/>
      <c r="F121" s="2357"/>
      <c r="G121" s="2357"/>
      <c r="H121" s="2338"/>
      <c r="I121" s="2338"/>
      <c r="J121" s="2338"/>
      <c r="K121" s="2338"/>
      <c r="L121" s="2338"/>
      <c r="M121" s="2338"/>
      <c r="N121" s="2338"/>
      <c r="O121" s="2338"/>
      <c r="P121" s="2338"/>
      <c r="Q121" s="2338"/>
      <c r="R121" s="2338"/>
      <c r="S121" s="2338"/>
      <c r="T121" s="2338"/>
      <c r="U121" s="2338"/>
    </row>
    <row r="122" spans="1:119" ht="24" customHeight="1" thickBot="1">
      <c r="A122" s="2338"/>
      <c r="B122" s="2996" t="s">
        <v>3926</v>
      </c>
      <c r="C122" s="2996"/>
      <c r="D122" s="2996"/>
      <c r="E122" s="2996"/>
      <c r="F122" s="2996"/>
      <c r="G122" s="2996"/>
      <c r="H122" s="2996"/>
      <c r="I122" s="2996"/>
      <c r="J122" s="2996"/>
      <c r="K122" s="2996"/>
      <c r="L122" s="2996"/>
      <c r="M122" s="2996"/>
      <c r="N122" s="2996"/>
      <c r="O122" s="2996"/>
      <c r="P122" s="2996"/>
      <c r="Q122" s="2996"/>
      <c r="R122" s="2996"/>
      <c r="S122" s="2996"/>
      <c r="T122" s="2996"/>
      <c r="U122" s="2966"/>
      <c r="V122" s="2483"/>
      <c r="W122" s="2483"/>
      <c r="X122" s="2483"/>
      <c r="Y122" s="2483"/>
    </row>
    <row r="123" spans="1:119" ht="19.5" thickBot="1">
      <c r="A123" s="3061"/>
      <c r="B123" s="3062"/>
      <c r="C123" s="3062"/>
      <c r="D123" s="3062"/>
      <c r="E123" s="3062"/>
      <c r="F123" s="3063"/>
      <c r="G123" s="3645" t="s">
        <v>3903</v>
      </c>
      <c r="H123" s="3646"/>
      <c r="I123" s="3646"/>
      <c r="J123" s="3646"/>
      <c r="K123" s="3646"/>
      <c r="L123" s="3646"/>
      <c r="M123" s="3646"/>
      <c r="N123" s="3646"/>
      <c r="O123" s="3646"/>
      <c r="P123" s="3646"/>
      <c r="Q123" s="3646"/>
      <c r="R123" s="3646"/>
      <c r="S123" s="3646"/>
      <c r="T123" s="3646"/>
      <c r="U123" s="3647"/>
      <c r="V123" s="2502"/>
      <c r="W123" s="2502"/>
      <c r="X123" s="2502"/>
      <c r="Y123" s="2502"/>
    </row>
    <row r="124" spans="1:119" ht="44.25" customHeight="1">
      <c r="A124" s="3648" t="s">
        <v>0</v>
      </c>
      <c r="B124" s="3009" t="s">
        <v>3849</v>
      </c>
      <c r="C124" s="3012" t="s">
        <v>3904</v>
      </c>
      <c r="D124" s="3012" t="s">
        <v>3905</v>
      </c>
      <c r="E124" s="3012" t="s">
        <v>3906</v>
      </c>
      <c r="F124" s="2990" t="s">
        <v>3853</v>
      </c>
      <c r="G124" s="3003" t="s">
        <v>3854</v>
      </c>
      <c r="H124" s="3004" t="s">
        <v>3855</v>
      </c>
      <c r="I124" s="3005"/>
      <c r="J124" s="3005"/>
      <c r="K124" s="3005"/>
      <c r="L124" s="3006"/>
      <c r="M124" s="3004" t="s">
        <v>3856</v>
      </c>
      <c r="N124" s="3005"/>
      <c r="O124" s="3005"/>
      <c r="P124" s="3005"/>
      <c r="Q124" s="3006"/>
      <c r="R124" s="3687" t="s">
        <v>3870</v>
      </c>
      <c r="S124" s="3688"/>
      <c r="T124" s="3688"/>
      <c r="U124" s="3689"/>
      <c r="V124" s="3099" t="s">
        <v>3978</v>
      </c>
      <c r="W124" s="3100"/>
      <c r="X124" s="3100"/>
      <c r="Y124" s="3101"/>
      <c r="Z124" s="3093" t="s">
        <v>3858</v>
      </c>
      <c r="AA124" s="3093"/>
      <c r="AB124" s="3093"/>
      <c r="AC124" s="3093"/>
      <c r="AD124" s="3102" t="s">
        <v>3979</v>
      </c>
      <c r="AE124" s="3103"/>
      <c r="AF124" s="3103"/>
      <c r="AG124" s="3104"/>
      <c r="AH124" s="2779" t="s">
        <v>3980</v>
      </c>
      <c r="AI124" s="2500" t="s">
        <v>3974</v>
      </c>
      <c r="AJ124" s="2500" t="s">
        <v>3975</v>
      </c>
      <c r="AK124" s="2893" t="s">
        <v>4262</v>
      </c>
      <c r="AL124" s="2894" t="s">
        <v>4263</v>
      </c>
      <c r="AM124" s="2893" t="s">
        <v>4264</v>
      </c>
    </row>
    <row r="125" spans="1:119" ht="50.25" customHeight="1" thickBot="1">
      <c r="A125" s="3649"/>
      <c r="B125" s="3002"/>
      <c r="C125" s="3013"/>
      <c r="D125" s="3013"/>
      <c r="E125" s="3013"/>
      <c r="F125" s="2991"/>
      <c r="G125" s="3003"/>
      <c r="H125" s="2982">
        <f>H11</f>
        <v>2015</v>
      </c>
      <c r="I125" s="2971">
        <f>I11</f>
        <v>2016</v>
      </c>
      <c r="J125" s="2971">
        <f>J11</f>
        <v>2017</v>
      </c>
      <c r="K125" s="2971" t="str">
        <f>K69</f>
        <v>План (в случае отсутствия факта за 3 года)</v>
      </c>
      <c r="L125" s="2508" t="s">
        <v>2559</v>
      </c>
      <c r="M125" s="2971">
        <f>H125</f>
        <v>2015</v>
      </c>
      <c r="N125" s="2971">
        <f>I125</f>
        <v>2016</v>
      </c>
      <c r="O125" s="2971">
        <f>J125</f>
        <v>2017</v>
      </c>
      <c r="P125" s="2971" t="str">
        <f>P69</f>
        <v>План (в случае отсутствия факта за 3 года)</v>
      </c>
      <c r="Q125" s="2508" t="s">
        <v>2559</v>
      </c>
      <c r="R125" s="2971">
        <f>H125</f>
        <v>2015</v>
      </c>
      <c r="S125" s="2971">
        <f>I125</f>
        <v>2016</v>
      </c>
      <c r="T125" s="2380">
        <f>J125</f>
        <v>2017</v>
      </c>
      <c r="U125" s="2380" t="str">
        <f>U69</f>
        <v>План (в случае отсутствия факта за 3 года)</v>
      </c>
      <c r="V125" s="2496">
        <f>R125</f>
        <v>2015</v>
      </c>
      <c r="W125" s="2496">
        <f>S125</f>
        <v>2016</v>
      </c>
      <c r="X125" s="2496">
        <f>T125</f>
        <v>2017</v>
      </c>
      <c r="Y125" s="2496" t="str">
        <f>U125</f>
        <v>План (в случае отсутствия факта за 3 года)</v>
      </c>
      <c r="Z125" s="2481">
        <v>2016</v>
      </c>
      <c r="AA125" s="2481">
        <v>2017</v>
      </c>
      <c r="AB125" s="2481">
        <v>2018</v>
      </c>
      <c r="AC125" s="2481">
        <v>2019</v>
      </c>
      <c r="AD125" s="2503">
        <f>V125</f>
        <v>2015</v>
      </c>
      <c r="AE125" s="2503">
        <f>W125</f>
        <v>2016</v>
      </c>
      <c r="AF125" s="2503">
        <f>X125</f>
        <v>2017</v>
      </c>
      <c r="AG125" s="2503" t="str">
        <f>Y125</f>
        <v>План (в случае отсутствия факта за 3 года)</v>
      </c>
      <c r="AH125" s="2497" t="s">
        <v>3981</v>
      </c>
      <c r="AI125" s="2505" t="s">
        <v>3976</v>
      </c>
      <c r="AJ125" s="2505" t="s">
        <v>3977</v>
      </c>
      <c r="AK125" s="2881">
        <v>2018</v>
      </c>
      <c r="AL125" s="2890" t="s">
        <v>4265</v>
      </c>
      <c r="AM125" s="2881" t="s">
        <v>4265</v>
      </c>
    </row>
    <row r="126" spans="1:119" ht="17.25" customHeight="1" thickBot="1">
      <c r="A126" s="3650">
        <v>1</v>
      </c>
      <c r="B126" s="3651">
        <v>2</v>
      </c>
      <c r="C126" s="3652">
        <v>3</v>
      </c>
      <c r="D126" s="3653"/>
      <c r="E126" s="3653"/>
      <c r="F126" s="3654"/>
      <c r="G126" s="3655">
        <v>4</v>
      </c>
      <c r="H126" s="3656">
        <v>5</v>
      </c>
      <c r="I126" s="3657"/>
      <c r="J126" s="3657"/>
      <c r="K126" s="3658"/>
      <c r="L126" s="3659"/>
      <c r="M126" s="3656">
        <v>6</v>
      </c>
      <c r="N126" s="3657"/>
      <c r="O126" s="3657"/>
      <c r="P126" s="3658"/>
      <c r="Q126" s="3659"/>
      <c r="R126" s="3656">
        <v>7</v>
      </c>
      <c r="S126" s="3657"/>
      <c r="T126" s="3657"/>
      <c r="U126" s="3658"/>
      <c r="V126" s="3022">
        <v>8</v>
      </c>
      <c r="W126" s="3022"/>
      <c r="X126" s="3022"/>
      <c r="Y126" s="2481"/>
      <c r="Z126" s="3022">
        <v>9</v>
      </c>
      <c r="AA126" s="3022"/>
      <c r="AB126" s="3022"/>
      <c r="AC126" s="3022"/>
      <c r="AD126" s="3105">
        <v>10</v>
      </c>
      <c r="AE126" s="3106"/>
      <c r="AF126" s="3106"/>
      <c r="AG126" s="3107"/>
      <c r="AH126" s="2498">
        <v>11</v>
      </c>
      <c r="AI126" s="2498">
        <v>12</v>
      </c>
      <c r="AJ126" s="2499">
        <v>13</v>
      </c>
      <c r="AK126" s="2891">
        <v>10</v>
      </c>
      <c r="AL126" s="2892">
        <v>11</v>
      </c>
      <c r="AM126" s="2891">
        <v>12</v>
      </c>
    </row>
    <row r="127" spans="1:119" hidden="1" outlineLevel="1">
      <c r="A127" s="2339"/>
      <c r="B127" s="3032" t="s">
        <v>2952</v>
      </c>
      <c r="C127" s="3034" t="s">
        <v>3907</v>
      </c>
      <c r="D127" s="3034" t="s">
        <v>3908</v>
      </c>
      <c r="E127" s="3036" t="s">
        <v>3909</v>
      </c>
      <c r="F127" s="3690" t="s">
        <v>3860</v>
      </c>
      <c r="G127" s="3691"/>
      <c r="H127" s="2329"/>
      <c r="I127" s="2329"/>
      <c r="J127" s="2329"/>
      <c r="K127" s="2329"/>
      <c r="L127" s="2329"/>
      <c r="M127" s="2329"/>
      <c r="N127" s="2329"/>
      <c r="O127" s="2329"/>
      <c r="P127" s="2329"/>
      <c r="Q127" s="2329"/>
      <c r="R127" s="2329"/>
      <c r="S127" s="2329"/>
      <c r="T127" s="2382"/>
      <c r="U127" s="2382"/>
      <c r="V127" s="2319"/>
      <c r="W127" s="2319"/>
      <c r="X127" s="2319"/>
      <c r="Y127" s="2319"/>
      <c r="Z127" s="2775">
        <f t="shared" ref="Z127" si="60">$Z$13</f>
        <v>1.0528</v>
      </c>
      <c r="AA127" s="2775">
        <f t="shared" ref="AA127" si="61">$AA$13</f>
        <v>1.0589</v>
      </c>
      <c r="AB127" s="2775">
        <f t="shared" ref="AB127" si="62">$AB$13</f>
        <v>1.0507936887282501</v>
      </c>
      <c r="AC127" s="2775">
        <f t="shared" ref="AC127" si="63">$AC$13</f>
        <v>1.04657781587849</v>
      </c>
      <c r="AD127" s="2323"/>
      <c r="AE127" s="2323"/>
      <c r="AF127" s="2323"/>
      <c r="AG127" s="2323"/>
      <c r="AH127" s="2323"/>
      <c r="AI127" s="2323"/>
      <c r="AJ127" s="2323"/>
      <c r="AK127" s="2898"/>
      <c r="AL127" s="2895">
        <f>AK127*$AC$71</f>
        <v>0</v>
      </c>
      <c r="AM127" s="2896" t="str">
        <f>IFERROR(AI127/AL127,"")</f>
        <v/>
      </c>
      <c r="AN127" s="2338"/>
      <c r="AO127" s="2338"/>
      <c r="AP127" s="2338"/>
      <c r="AQ127" s="2338"/>
      <c r="AR127" s="2338"/>
      <c r="AS127" s="2338"/>
      <c r="AT127" s="2338"/>
      <c r="AU127" s="2338"/>
      <c r="AV127" s="2338"/>
      <c r="AW127" s="2338"/>
      <c r="AX127" s="2338"/>
      <c r="AY127" s="2338"/>
      <c r="AZ127" s="2338"/>
      <c r="BA127" s="2338"/>
      <c r="BB127" s="2338"/>
      <c r="BC127" s="2338"/>
      <c r="BD127" s="2338"/>
      <c r="BE127" s="2338"/>
      <c r="BF127" s="2338"/>
      <c r="BG127" s="2338"/>
      <c r="BH127" s="2338"/>
      <c r="BI127" s="2338"/>
      <c r="BJ127" s="2338"/>
      <c r="BK127" s="2338"/>
      <c r="BL127" s="2338"/>
      <c r="BM127" s="2338"/>
      <c r="BN127" s="2338"/>
      <c r="BO127" s="2338"/>
      <c r="BP127" s="2338"/>
      <c r="BQ127" s="2338"/>
      <c r="BR127" s="2338"/>
      <c r="BS127" s="2338"/>
      <c r="BT127" s="2338"/>
      <c r="BU127" s="2338"/>
      <c r="BV127" s="2338"/>
      <c r="BW127" s="2338"/>
      <c r="BX127" s="2338"/>
      <c r="BY127" s="2338"/>
      <c r="BZ127" s="2338"/>
      <c r="CA127" s="2338"/>
      <c r="CB127" s="2338"/>
      <c r="CC127" s="2338"/>
      <c r="CD127" s="2338"/>
      <c r="CE127" s="2338"/>
      <c r="CF127" s="2338"/>
      <c r="CG127" s="2338"/>
      <c r="CH127" s="2338"/>
      <c r="CI127" s="2338"/>
      <c r="CJ127" s="2338"/>
      <c r="CK127" s="2338"/>
      <c r="CL127" s="2338"/>
      <c r="CM127" s="2338"/>
      <c r="CN127" s="2338"/>
      <c r="CO127" s="2338"/>
      <c r="CP127" s="2338"/>
      <c r="CQ127" s="2338"/>
      <c r="CR127" s="2338"/>
      <c r="CS127" s="2338"/>
      <c r="CT127" s="2338"/>
      <c r="CU127" s="2338"/>
      <c r="CV127" s="2338"/>
      <c r="CW127" s="2338"/>
      <c r="CX127" s="2338"/>
      <c r="CY127" s="2338"/>
      <c r="CZ127" s="2338"/>
      <c r="DA127" s="2338"/>
      <c r="DB127" s="2338"/>
      <c r="DC127" s="2338"/>
      <c r="DD127" s="2338"/>
      <c r="DE127" s="2338"/>
      <c r="DF127" s="2338"/>
      <c r="DG127" s="2338"/>
      <c r="DH127" s="2338"/>
      <c r="DI127" s="2338"/>
      <c r="DJ127" s="2338"/>
      <c r="DK127" s="2338"/>
      <c r="DL127" s="2338"/>
      <c r="DM127" s="2338"/>
      <c r="DN127" s="2338"/>
      <c r="DO127" s="2338"/>
    </row>
    <row r="128" spans="1:119" ht="15" hidden="1" customHeight="1" outlineLevel="1">
      <c r="A128" s="2339"/>
      <c r="B128" s="3033"/>
      <c r="C128" s="3035"/>
      <c r="D128" s="3035"/>
      <c r="E128" s="3028"/>
      <c r="F128" s="3692" t="s">
        <v>3861</v>
      </c>
      <c r="G128" s="3693"/>
      <c r="H128" s="2323"/>
      <c r="I128" s="2323"/>
      <c r="J128" s="2323"/>
      <c r="K128" s="2323"/>
      <c r="L128" s="2323"/>
      <c r="M128" s="2323"/>
      <c r="N128" s="2323"/>
      <c r="O128" s="2323"/>
      <c r="P128" s="2323"/>
      <c r="Q128" s="2323"/>
      <c r="R128" s="2323"/>
      <c r="S128" s="2323"/>
      <c r="T128" s="2383"/>
      <c r="U128" s="2383"/>
      <c r="V128" s="2319"/>
      <c r="W128" s="2319"/>
      <c r="X128" s="2319"/>
      <c r="Y128" s="2319"/>
      <c r="Z128" s="2566"/>
      <c r="AA128" s="2566"/>
      <c r="AB128" s="2566"/>
      <c r="AC128" s="2566"/>
      <c r="AD128" s="2323"/>
      <c r="AE128" s="2323"/>
      <c r="AF128" s="2323"/>
      <c r="AG128" s="2323"/>
      <c r="AH128" s="2323"/>
      <c r="AI128" s="2323"/>
      <c r="AJ128" s="2323"/>
      <c r="AK128" s="2898"/>
      <c r="AL128" s="2895">
        <f t="shared" ref="AL128:AL191" si="64">AK128*$AC$71</f>
        <v>0</v>
      </c>
      <c r="AM128" s="2896" t="str">
        <f t="shared" ref="AM128:AM191" si="65">IFERROR(AI128/AL128,"")</f>
        <v/>
      </c>
      <c r="AN128" s="2338"/>
      <c r="AO128" s="2338"/>
      <c r="AP128" s="2338"/>
      <c r="AQ128" s="2338"/>
      <c r="AR128" s="2338"/>
      <c r="AS128" s="2338"/>
      <c r="AT128" s="2338"/>
      <c r="AU128" s="2338"/>
      <c r="AV128" s="2338"/>
      <c r="AW128" s="2338"/>
      <c r="AX128" s="2338"/>
      <c r="AY128" s="2338"/>
      <c r="AZ128" s="2338"/>
      <c r="BA128" s="2338"/>
      <c r="BB128" s="2338"/>
      <c r="BC128" s="2338"/>
      <c r="BD128" s="2338"/>
      <c r="BE128" s="2338"/>
      <c r="BF128" s="2338"/>
      <c r="BG128" s="2338"/>
      <c r="BH128" s="2338"/>
      <c r="BI128" s="2338"/>
      <c r="BJ128" s="2338"/>
      <c r="BK128" s="2338"/>
      <c r="BL128" s="2338"/>
      <c r="BM128" s="2338"/>
      <c r="BN128" s="2338"/>
      <c r="BO128" s="2338"/>
      <c r="BP128" s="2338"/>
      <c r="BQ128" s="2338"/>
      <c r="BR128" s="2338"/>
      <c r="BS128" s="2338"/>
      <c r="BT128" s="2338"/>
      <c r="BU128" s="2338"/>
      <c r="BV128" s="2338"/>
      <c r="BW128" s="2338"/>
      <c r="BX128" s="2338"/>
      <c r="BY128" s="2338"/>
      <c r="BZ128" s="2338"/>
      <c r="CA128" s="2338"/>
      <c r="CB128" s="2338"/>
      <c r="CC128" s="2338"/>
      <c r="CD128" s="2338"/>
      <c r="CE128" s="2338"/>
      <c r="CF128" s="2338"/>
      <c r="CG128" s="2338"/>
      <c r="CH128" s="2338"/>
      <c r="CI128" s="2338"/>
      <c r="CJ128" s="2338"/>
      <c r="CK128" s="2338"/>
      <c r="CL128" s="2338"/>
      <c r="CM128" s="2338"/>
      <c r="CN128" s="2338"/>
      <c r="CO128" s="2338"/>
      <c r="CP128" s="2338"/>
      <c r="CQ128" s="2338"/>
      <c r="CR128" s="2338"/>
      <c r="CS128" s="2338"/>
      <c r="CT128" s="2338"/>
      <c r="CU128" s="2338"/>
      <c r="CV128" s="2338"/>
      <c r="CW128" s="2338"/>
      <c r="CX128" s="2338"/>
      <c r="CY128" s="2338"/>
      <c r="CZ128" s="2338"/>
      <c r="DA128" s="2338"/>
      <c r="DB128" s="2338"/>
      <c r="DC128" s="2338"/>
      <c r="DD128" s="2338"/>
      <c r="DE128" s="2338"/>
      <c r="DF128" s="2338"/>
      <c r="DG128" s="2338"/>
      <c r="DH128" s="2338"/>
      <c r="DI128" s="2338"/>
      <c r="DJ128" s="2338"/>
      <c r="DK128" s="2338"/>
      <c r="DL128" s="2338"/>
      <c r="DM128" s="2338"/>
      <c r="DN128" s="2338"/>
      <c r="DO128" s="2338"/>
    </row>
    <row r="129" spans="1:119" ht="15" hidden="1" customHeight="1" outlineLevel="1">
      <c r="A129" s="2339"/>
      <c r="B129" s="3033"/>
      <c r="C129" s="3035"/>
      <c r="D129" s="3035"/>
      <c r="E129" s="3028"/>
      <c r="F129" s="3692" t="s">
        <v>3862</v>
      </c>
      <c r="G129" s="3693"/>
      <c r="H129" s="2323"/>
      <c r="I129" s="2323"/>
      <c r="J129" s="2323"/>
      <c r="K129" s="2323"/>
      <c r="L129" s="2323"/>
      <c r="M129" s="2323"/>
      <c r="N129" s="2323"/>
      <c r="O129" s="2323"/>
      <c r="P129" s="2323"/>
      <c r="Q129" s="2323"/>
      <c r="R129" s="2323"/>
      <c r="S129" s="2323"/>
      <c r="T129" s="2383"/>
      <c r="U129" s="2383"/>
      <c r="V129" s="2319"/>
      <c r="W129" s="2319"/>
      <c r="X129" s="2319"/>
      <c r="Y129" s="2319"/>
      <c r="Z129" s="2566"/>
      <c r="AA129" s="2566"/>
      <c r="AB129" s="2566"/>
      <c r="AC129" s="2566"/>
      <c r="AD129" s="2323"/>
      <c r="AE129" s="2323"/>
      <c r="AF129" s="2323"/>
      <c r="AG129" s="2323"/>
      <c r="AH129" s="2323"/>
      <c r="AI129" s="2323"/>
      <c r="AJ129" s="2323"/>
      <c r="AK129" s="2898"/>
      <c r="AL129" s="2895">
        <f t="shared" si="64"/>
        <v>0</v>
      </c>
      <c r="AM129" s="2896" t="str">
        <f t="shared" si="65"/>
        <v/>
      </c>
      <c r="AN129" s="2338"/>
      <c r="AO129" s="2338"/>
      <c r="AP129" s="2338"/>
      <c r="AQ129" s="2338"/>
      <c r="AR129" s="2338"/>
      <c r="AS129" s="2338"/>
      <c r="AT129" s="2338"/>
      <c r="AU129" s="2338"/>
      <c r="AV129" s="2338"/>
      <c r="AW129" s="2338"/>
      <c r="AX129" s="2338"/>
      <c r="AY129" s="2338"/>
      <c r="AZ129" s="2338"/>
      <c r="BA129" s="2338"/>
      <c r="BB129" s="2338"/>
      <c r="BC129" s="2338"/>
      <c r="BD129" s="2338"/>
      <c r="BE129" s="2338"/>
      <c r="BF129" s="2338"/>
      <c r="BG129" s="2338"/>
      <c r="BH129" s="2338"/>
      <c r="BI129" s="2338"/>
      <c r="BJ129" s="2338"/>
      <c r="BK129" s="2338"/>
      <c r="BL129" s="2338"/>
      <c r="BM129" s="2338"/>
      <c r="BN129" s="2338"/>
      <c r="BO129" s="2338"/>
      <c r="BP129" s="2338"/>
      <c r="BQ129" s="2338"/>
      <c r="BR129" s="2338"/>
      <c r="BS129" s="2338"/>
      <c r="BT129" s="2338"/>
      <c r="BU129" s="2338"/>
      <c r="BV129" s="2338"/>
      <c r="BW129" s="2338"/>
      <c r="BX129" s="2338"/>
      <c r="BY129" s="2338"/>
      <c r="BZ129" s="2338"/>
      <c r="CA129" s="2338"/>
      <c r="CB129" s="2338"/>
      <c r="CC129" s="2338"/>
      <c r="CD129" s="2338"/>
      <c r="CE129" s="2338"/>
      <c r="CF129" s="2338"/>
      <c r="CG129" s="2338"/>
      <c r="CH129" s="2338"/>
      <c r="CI129" s="2338"/>
      <c r="CJ129" s="2338"/>
      <c r="CK129" s="2338"/>
      <c r="CL129" s="2338"/>
      <c r="CM129" s="2338"/>
      <c r="CN129" s="2338"/>
      <c r="CO129" s="2338"/>
      <c r="CP129" s="2338"/>
      <c r="CQ129" s="2338"/>
      <c r="CR129" s="2338"/>
      <c r="CS129" s="2338"/>
      <c r="CT129" s="2338"/>
      <c r="CU129" s="2338"/>
      <c r="CV129" s="2338"/>
      <c r="CW129" s="2338"/>
      <c r="CX129" s="2338"/>
      <c r="CY129" s="2338"/>
      <c r="CZ129" s="2338"/>
      <c r="DA129" s="2338"/>
      <c r="DB129" s="2338"/>
      <c r="DC129" s="2338"/>
      <c r="DD129" s="2338"/>
      <c r="DE129" s="2338"/>
      <c r="DF129" s="2338"/>
      <c r="DG129" s="2338"/>
      <c r="DH129" s="2338"/>
      <c r="DI129" s="2338"/>
      <c r="DJ129" s="2338"/>
      <c r="DK129" s="2338"/>
      <c r="DL129" s="2338"/>
      <c r="DM129" s="2338"/>
      <c r="DN129" s="2338"/>
      <c r="DO129" s="2338"/>
    </row>
    <row r="130" spans="1:119" ht="15" hidden="1" customHeight="1" outlineLevel="1">
      <c r="A130" s="2339"/>
      <c r="B130" s="3033"/>
      <c r="C130" s="3035"/>
      <c r="D130" s="3035"/>
      <c r="E130" s="3028"/>
      <c r="F130" s="3692" t="s">
        <v>3863</v>
      </c>
      <c r="G130" s="3693"/>
      <c r="H130" s="2323"/>
      <c r="I130" s="2323"/>
      <c r="J130" s="2323"/>
      <c r="K130" s="2323"/>
      <c r="L130" s="2323"/>
      <c r="M130" s="2323"/>
      <c r="N130" s="2323"/>
      <c r="O130" s="2323"/>
      <c r="P130" s="2323"/>
      <c r="Q130" s="2323"/>
      <c r="R130" s="2323"/>
      <c r="S130" s="2323"/>
      <c r="T130" s="2383"/>
      <c r="U130" s="2383"/>
      <c r="V130" s="2319"/>
      <c r="W130" s="2319"/>
      <c r="X130" s="2319"/>
      <c r="Y130" s="2319"/>
      <c r="Z130" s="2566"/>
      <c r="AA130" s="2566"/>
      <c r="AB130" s="2566"/>
      <c r="AC130" s="2566"/>
      <c r="AD130" s="2323"/>
      <c r="AE130" s="2323"/>
      <c r="AF130" s="2323"/>
      <c r="AG130" s="2323"/>
      <c r="AH130" s="2323"/>
      <c r="AI130" s="2323"/>
      <c r="AJ130" s="2323"/>
      <c r="AK130" s="2898"/>
      <c r="AL130" s="2895">
        <f t="shared" si="64"/>
        <v>0</v>
      </c>
      <c r="AM130" s="2896" t="str">
        <f t="shared" si="65"/>
        <v/>
      </c>
      <c r="AN130" s="2338"/>
      <c r="AO130" s="2338"/>
      <c r="AP130" s="2338"/>
      <c r="AQ130" s="2338"/>
      <c r="AR130" s="2338"/>
      <c r="AS130" s="2338"/>
      <c r="AT130" s="2338"/>
      <c r="AU130" s="2338"/>
      <c r="AV130" s="2338"/>
      <c r="AW130" s="2338"/>
      <c r="AX130" s="2338"/>
      <c r="AY130" s="2338"/>
      <c r="AZ130" s="2338"/>
      <c r="BA130" s="2338"/>
      <c r="BB130" s="2338"/>
      <c r="BC130" s="2338"/>
      <c r="BD130" s="2338"/>
      <c r="BE130" s="2338"/>
      <c r="BF130" s="2338"/>
      <c r="BG130" s="2338"/>
      <c r="BH130" s="2338"/>
      <c r="BI130" s="2338"/>
      <c r="BJ130" s="2338"/>
      <c r="BK130" s="2338"/>
      <c r="BL130" s="2338"/>
      <c r="BM130" s="2338"/>
      <c r="BN130" s="2338"/>
      <c r="BO130" s="2338"/>
      <c r="BP130" s="2338"/>
      <c r="BQ130" s="2338"/>
      <c r="BR130" s="2338"/>
      <c r="BS130" s="2338"/>
      <c r="BT130" s="2338"/>
      <c r="BU130" s="2338"/>
      <c r="BV130" s="2338"/>
      <c r="BW130" s="2338"/>
      <c r="BX130" s="2338"/>
      <c r="BY130" s="2338"/>
      <c r="BZ130" s="2338"/>
      <c r="CA130" s="2338"/>
      <c r="CB130" s="2338"/>
      <c r="CC130" s="2338"/>
      <c r="CD130" s="2338"/>
      <c r="CE130" s="2338"/>
      <c r="CF130" s="2338"/>
      <c r="CG130" s="2338"/>
      <c r="CH130" s="2338"/>
      <c r="CI130" s="2338"/>
      <c r="CJ130" s="2338"/>
      <c r="CK130" s="2338"/>
      <c r="CL130" s="2338"/>
      <c r="CM130" s="2338"/>
      <c r="CN130" s="2338"/>
      <c r="CO130" s="2338"/>
      <c r="CP130" s="2338"/>
      <c r="CQ130" s="2338"/>
      <c r="CR130" s="2338"/>
      <c r="CS130" s="2338"/>
      <c r="CT130" s="2338"/>
      <c r="CU130" s="2338"/>
      <c r="CV130" s="2338"/>
      <c r="CW130" s="2338"/>
      <c r="CX130" s="2338"/>
      <c r="CY130" s="2338"/>
      <c r="CZ130" s="2338"/>
      <c r="DA130" s="2338"/>
      <c r="DB130" s="2338"/>
      <c r="DC130" s="2338"/>
      <c r="DD130" s="2338"/>
      <c r="DE130" s="2338"/>
      <c r="DF130" s="2338"/>
      <c r="DG130" s="2338"/>
      <c r="DH130" s="2338"/>
      <c r="DI130" s="2338"/>
      <c r="DJ130" s="2338"/>
      <c r="DK130" s="2338"/>
      <c r="DL130" s="2338"/>
      <c r="DM130" s="2338"/>
      <c r="DN130" s="2338"/>
      <c r="DO130" s="2338"/>
    </row>
    <row r="131" spans="1:119" ht="15" hidden="1" customHeight="1" outlineLevel="1">
      <c r="A131" s="2339"/>
      <c r="B131" s="3033"/>
      <c r="C131" s="3035"/>
      <c r="D131" s="3035"/>
      <c r="E131" s="3028"/>
      <c r="F131" s="3692" t="s">
        <v>3864</v>
      </c>
      <c r="G131" s="3693"/>
      <c r="H131" s="2323"/>
      <c r="I131" s="2323"/>
      <c r="J131" s="2323"/>
      <c r="K131" s="2323"/>
      <c r="L131" s="2323"/>
      <c r="M131" s="2323"/>
      <c r="N131" s="2323"/>
      <c r="O131" s="2323"/>
      <c r="P131" s="2323"/>
      <c r="Q131" s="2323"/>
      <c r="R131" s="2323"/>
      <c r="S131" s="2323"/>
      <c r="T131" s="2383"/>
      <c r="U131" s="2383"/>
      <c r="V131" s="2319"/>
      <c r="W131" s="2319"/>
      <c r="X131" s="2319"/>
      <c r="Y131" s="2319"/>
      <c r="Z131" s="2566"/>
      <c r="AA131" s="2566"/>
      <c r="AB131" s="2566"/>
      <c r="AC131" s="2566"/>
      <c r="AD131" s="2323"/>
      <c r="AE131" s="2323"/>
      <c r="AF131" s="2323"/>
      <c r="AG131" s="2323"/>
      <c r="AH131" s="2323"/>
      <c r="AI131" s="2323"/>
      <c r="AJ131" s="2323"/>
      <c r="AK131" s="2898"/>
      <c r="AL131" s="2895">
        <f t="shared" si="64"/>
        <v>0</v>
      </c>
      <c r="AM131" s="2896" t="str">
        <f t="shared" si="65"/>
        <v/>
      </c>
      <c r="AN131" s="2338"/>
      <c r="AO131" s="2338"/>
      <c r="AP131" s="2338"/>
      <c r="AQ131" s="2338"/>
      <c r="AR131" s="2338"/>
      <c r="AS131" s="2338"/>
      <c r="AT131" s="2338"/>
      <c r="AU131" s="2338"/>
      <c r="AV131" s="2338"/>
      <c r="AW131" s="2338"/>
      <c r="AX131" s="2338"/>
      <c r="AY131" s="2338"/>
      <c r="AZ131" s="2338"/>
      <c r="BA131" s="2338"/>
      <c r="BB131" s="2338"/>
      <c r="BC131" s="2338"/>
      <c r="BD131" s="2338"/>
      <c r="BE131" s="2338"/>
      <c r="BF131" s="2338"/>
      <c r="BG131" s="2338"/>
      <c r="BH131" s="2338"/>
      <c r="BI131" s="2338"/>
      <c r="BJ131" s="2338"/>
      <c r="BK131" s="2338"/>
      <c r="BL131" s="2338"/>
      <c r="BM131" s="2338"/>
      <c r="BN131" s="2338"/>
      <c r="BO131" s="2338"/>
      <c r="BP131" s="2338"/>
      <c r="BQ131" s="2338"/>
      <c r="BR131" s="2338"/>
      <c r="BS131" s="2338"/>
      <c r="BT131" s="2338"/>
      <c r="BU131" s="2338"/>
      <c r="BV131" s="2338"/>
      <c r="BW131" s="2338"/>
      <c r="BX131" s="2338"/>
      <c r="BY131" s="2338"/>
      <c r="BZ131" s="2338"/>
      <c r="CA131" s="2338"/>
      <c r="CB131" s="2338"/>
      <c r="CC131" s="2338"/>
      <c r="CD131" s="2338"/>
      <c r="CE131" s="2338"/>
      <c r="CF131" s="2338"/>
      <c r="CG131" s="2338"/>
      <c r="CH131" s="2338"/>
      <c r="CI131" s="2338"/>
      <c r="CJ131" s="2338"/>
      <c r="CK131" s="2338"/>
      <c r="CL131" s="2338"/>
      <c r="CM131" s="2338"/>
      <c r="CN131" s="2338"/>
      <c r="CO131" s="2338"/>
      <c r="CP131" s="2338"/>
      <c r="CQ131" s="2338"/>
      <c r="CR131" s="2338"/>
      <c r="CS131" s="2338"/>
      <c r="CT131" s="2338"/>
      <c r="CU131" s="2338"/>
      <c r="CV131" s="2338"/>
      <c r="CW131" s="2338"/>
      <c r="CX131" s="2338"/>
      <c r="CY131" s="2338"/>
      <c r="CZ131" s="2338"/>
      <c r="DA131" s="2338"/>
      <c r="DB131" s="2338"/>
      <c r="DC131" s="2338"/>
      <c r="DD131" s="2338"/>
      <c r="DE131" s="2338"/>
      <c r="DF131" s="2338"/>
      <c r="DG131" s="2338"/>
      <c r="DH131" s="2338"/>
      <c r="DI131" s="2338"/>
      <c r="DJ131" s="2338"/>
      <c r="DK131" s="2338"/>
      <c r="DL131" s="2338"/>
      <c r="DM131" s="2338"/>
      <c r="DN131" s="2338"/>
      <c r="DO131" s="2338"/>
    </row>
    <row r="132" spans="1:119" ht="15" hidden="1" customHeight="1" outlineLevel="1">
      <c r="A132" s="2339"/>
      <c r="B132" s="3033"/>
      <c r="C132" s="3035"/>
      <c r="D132" s="3035"/>
      <c r="E132" s="3028"/>
      <c r="F132" s="3692" t="s">
        <v>3865</v>
      </c>
      <c r="G132" s="3693"/>
      <c r="H132" s="2323"/>
      <c r="I132" s="2323"/>
      <c r="J132" s="2323"/>
      <c r="K132" s="2323"/>
      <c r="L132" s="2323"/>
      <c r="M132" s="2323"/>
      <c r="N132" s="2323"/>
      <c r="O132" s="2323"/>
      <c r="P132" s="2323"/>
      <c r="Q132" s="2323"/>
      <c r="R132" s="2323"/>
      <c r="S132" s="2323"/>
      <c r="T132" s="2383"/>
      <c r="U132" s="2383"/>
      <c r="V132" s="2319"/>
      <c r="W132" s="2319"/>
      <c r="X132" s="2319"/>
      <c r="Y132" s="2319"/>
      <c r="Z132" s="2566"/>
      <c r="AA132" s="2566"/>
      <c r="AB132" s="2566"/>
      <c r="AC132" s="2566"/>
      <c r="AD132" s="2323"/>
      <c r="AE132" s="2323"/>
      <c r="AF132" s="2323"/>
      <c r="AG132" s="2323"/>
      <c r="AH132" s="2323"/>
      <c r="AI132" s="2323"/>
      <c r="AJ132" s="2323"/>
      <c r="AK132" s="2898"/>
      <c r="AL132" s="2895">
        <f t="shared" si="64"/>
        <v>0</v>
      </c>
      <c r="AM132" s="2896" t="str">
        <f t="shared" si="65"/>
        <v/>
      </c>
      <c r="AN132" s="2338"/>
      <c r="AO132" s="2338"/>
      <c r="AP132" s="2338"/>
      <c r="AQ132" s="2338"/>
      <c r="AR132" s="2338"/>
      <c r="AS132" s="2338"/>
      <c r="AT132" s="2338"/>
      <c r="AU132" s="2338"/>
      <c r="AV132" s="2338"/>
      <c r="AW132" s="2338"/>
      <c r="AX132" s="2338"/>
      <c r="AY132" s="2338"/>
      <c r="AZ132" s="2338"/>
      <c r="BA132" s="2338"/>
      <c r="BB132" s="2338"/>
      <c r="BC132" s="2338"/>
      <c r="BD132" s="2338"/>
      <c r="BE132" s="2338"/>
      <c r="BF132" s="2338"/>
      <c r="BG132" s="2338"/>
      <c r="BH132" s="2338"/>
      <c r="BI132" s="2338"/>
      <c r="BJ132" s="2338"/>
      <c r="BK132" s="2338"/>
      <c r="BL132" s="2338"/>
      <c r="BM132" s="2338"/>
      <c r="BN132" s="2338"/>
      <c r="BO132" s="2338"/>
      <c r="BP132" s="2338"/>
      <c r="BQ132" s="2338"/>
      <c r="BR132" s="2338"/>
      <c r="BS132" s="2338"/>
      <c r="BT132" s="2338"/>
      <c r="BU132" s="2338"/>
      <c r="BV132" s="2338"/>
      <c r="BW132" s="2338"/>
      <c r="BX132" s="2338"/>
      <c r="BY132" s="2338"/>
      <c r="BZ132" s="2338"/>
      <c r="CA132" s="2338"/>
      <c r="CB132" s="2338"/>
      <c r="CC132" s="2338"/>
      <c r="CD132" s="2338"/>
      <c r="CE132" s="2338"/>
      <c r="CF132" s="2338"/>
      <c r="CG132" s="2338"/>
      <c r="CH132" s="2338"/>
      <c r="CI132" s="2338"/>
      <c r="CJ132" s="2338"/>
      <c r="CK132" s="2338"/>
      <c r="CL132" s="2338"/>
      <c r="CM132" s="2338"/>
      <c r="CN132" s="2338"/>
      <c r="CO132" s="2338"/>
      <c r="CP132" s="2338"/>
      <c r="CQ132" s="2338"/>
      <c r="CR132" s="2338"/>
      <c r="CS132" s="2338"/>
      <c r="CT132" s="2338"/>
      <c r="CU132" s="2338"/>
      <c r="CV132" s="2338"/>
      <c r="CW132" s="2338"/>
      <c r="CX132" s="2338"/>
      <c r="CY132" s="2338"/>
      <c r="CZ132" s="2338"/>
      <c r="DA132" s="2338"/>
      <c r="DB132" s="2338"/>
      <c r="DC132" s="2338"/>
      <c r="DD132" s="2338"/>
      <c r="DE132" s="2338"/>
      <c r="DF132" s="2338"/>
      <c r="DG132" s="2338"/>
      <c r="DH132" s="2338"/>
      <c r="DI132" s="2338"/>
      <c r="DJ132" s="2338"/>
      <c r="DK132" s="2338"/>
      <c r="DL132" s="2338"/>
      <c r="DM132" s="2338"/>
      <c r="DN132" s="2338"/>
      <c r="DO132" s="2338"/>
    </row>
    <row r="133" spans="1:119" ht="15.75" hidden="1" customHeight="1" outlineLevel="1">
      <c r="A133" s="2339"/>
      <c r="B133" s="3033"/>
      <c r="C133" s="3035"/>
      <c r="D133" s="3035"/>
      <c r="E133" s="3028" t="s">
        <v>3910</v>
      </c>
      <c r="F133" s="3692" t="s">
        <v>3860</v>
      </c>
      <c r="G133" s="3693"/>
      <c r="H133" s="2323"/>
      <c r="I133" s="2323"/>
      <c r="J133" s="2323"/>
      <c r="K133" s="2323"/>
      <c r="L133" s="2323"/>
      <c r="M133" s="2323"/>
      <c r="N133" s="2323"/>
      <c r="O133" s="2323"/>
      <c r="P133" s="2323"/>
      <c r="Q133" s="2323"/>
      <c r="R133" s="2323"/>
      <c r="S133" s="2323"/>
      <c r="T133" s="2383"/>
      <c r="U133" s="2383"/>
      <c r="V133" s="2319"/>
      <c r="W133" s="2319"/>
      <c r="X133" s="2319"/>
      <c r="Y133" s="2319"/>
      <c r="Z133" s="2566"/>
      <c r="AA133" s="2566"/>
      <c r="AB133" s="2566"/>
      <c r="AC133" s="2566"/>
      <c r="AD133" s="2323"/>
      <c r="AE133" s="2323"/>
      <c r="AF133" s="2323"/>
      <c r="AG133" s="2323"/>
      <c r="AH133" s="2323"/>
      <c r="AI133" s="2323"/>
      <c r="AJ133" s="2323"/>
      <c r="AK133" s="2898"/>
      <c r="AL133" s="2895">
        <f t="shared" si="64"/>
        <v>0</v>
      </c>
      <c r="AM133" s="2896" t="str">
        <f t="shared" si="65"/>
        <v/>
      </c>
      <c r="AN133" s="2338"/>
      <c r="AO133" s="2338"/>
      <c r="AP133" s="2338"/>
      <c r="AQ133" s="2338"/>
      <c r="AR133" s="2338"/>
      <c r="AS133" s="2338"/>
      <c r="AT133" s="2338"/>
      <c r="AU133" s="2338"/>
      <c r="AV133" s="2338"/>
      <c r="AW133" s="2338"/>
      <c r="AX133" s="2338"/>
      <c r="AY133" s="2338"/>
      <c r="AZ133" s="2338"/>
      <c r="BA133" s="2338"/>
      <c r="BB133" s="2338"/>
      <c r="BC133" s="2338"/>
      <c r="BD133" s="2338"/>
      <c r="BE133" s="2338"/>
      <c r="BF133" s="2338"/>
      <c r="BG133" s="2338"/>
      <c r="BH133" s="2338"/>
      <c r="BI133" s="2338"/>
      <c r="BJ133" s="2338"/>
      <c r="BK133" s="2338"/>
      <c r="BL133" s="2338"/>
      <c r="BM133" s="2338"/>
      <c r="BN133" s="2338"/>
      <c r="BO133" s="2338"/>
      <c r="BP133" s="2338"/>
      <c r="BQ133" s="2338"/>
      <c r="BR133" s="2338"/>
      <c r="BS133" s="2338"/>
      <c r="BT133" s="2338"/>
      <c r="BU133" s="2338"/>
      <c r="BV133" s="2338"/>
      <c r="BW133" s="2338"/>
      <c r="BX133" s="2338"/>
      <c r="BY133" s="2338"/>
      <c r="BZ133" s="2338"/>
      <c r="CA133" s="2338"/>
      <c r="CB133" s="2338"/>
      <c r="CC133" s="2338"/>
      <c r="CD133" s="2338"/>
      <c r="CE133" s="2338"/>
      <c r="CF133" s="2338"/>
      <c r="CG133" s="2338"/>
      <c r="CH133" s="2338"/>
      <c r="CI133" s="2338"/>
      <c r="CJ133" s="2338"/>
      <c r="CK133" s="2338"/>
      <c r="CL133" s="2338"/>
      <c r="CM133" s="2338"/>
      <c r="CN133" s="2338"/>
      <c r="CO133" s="2338"/>
      <c r="CP133" s="2338"/>
      <c r="CQ133" s="2338"/>
      <c r="CR133" s="2338"/>
      <c r="CS133" s="2338"/>
      <c r="CT133" s="2338"/>
      <c r="CU133" s="2338"/>
      <c r="CV133" s="2338"/>
      <c r="CW133" s="2338"/>
      <c r="CX133" s="2338"/>
      <c r="CY133" s="2338"/>
      <c r="CZ133" s="2338"/>
      <c r="DA133" s="2338"/>
      <c r="DB133" s="2338"/>
      <c r="DC133" s="2338"/>
      <c r="DD133" s="2338"/>
      <c r="DE133" s="2338"/>
      <c r="DF133" s="2338"/>
      <c r="DG133" s="2338"/>
      <c r="DH133" s="2338"/>
      <c r="DI133" s="2338"/>
      <c r="DJ133" s="2338"/>
      <c r="DK133" s="2338"/>
      <c r="DL133" s="2338"/>
      <c r="DM133" s="2338"/>
      <c r="DN133" s="2338"/>
      <c r="DO133" s="2338"/>
    </row>
    <row r="134" spans="1:119" ht="15" hidden="1" customHeight="1" outlineLevel="1">
      <c r="A134" s="2339"/>
      <c r="B134" s="3033"/>
      <c r="C134" s="3035"/>
      <c r="D134" s="3035"/>
      <c r="E134" s="3028"/>
      <c r="F134" s="3692" t="s">
        <v>3861</v>
      </c>
      <c r="G134" s="3693"/>
      <c r="H134" s="2323"/>
      <c r="I134" s="2323"/>
      <c r="J134" s="2323"/>
      <c r="K134" s="2323"/>
      <c r="L134" s="2323"/>
      <c r="M134" s="2323"/>
      <c r="N134" s="2323"/>
      <c r="O134" s="2323"/>
      <c r="P134" s="2323"/>
      <c r="Q134" s="2323"/>
      <c r="R134" s="2323"/>
      <c r="S134" s="2323"/>
      <c r="T134" s="2383"/>
      <c r="U134" s="2383"/>
      <c r="V134" s="2319"/>
      <c r="W134" s="2319"/>
      <c r="X134" s="2319"/>
      <c r="Y134" s="2319"/>
      <c r="Z134" s="2566"/>
      <c r="AA134" s="2566"/>
      <c r="AB134" s="2566"/>
      <c r="AC134" s="2566"/>
      <c r="AD134" s="2323"/>
      <c r="AE134" s="2323"/>
      <c r="AF134" s="2323"/>
      <c r="AG134" s="2323"/>
      <c r="AH134" s="2323"/>
      <c r="AI134" s="2323"/>
      <c r="AJ134" s="2323"/>
      <c r="AK134" s="2898"/>
      <c r="AL134" s="2895">
        <f t="shared" si="64"/>
        <v>0</v>
      </c>
      <c r="AM134" s="2896" t="str">
        <f t="shared" si="65"/>
        <v/>
      </c>
      <c r="AN134" s="2338"/>
      <c r="AO134" s="2338"/>
      <c r="AP134" s="2338"/>
      <c r="AQ134" s="2338"/>
      <c r="AR134" s="2338"/>
      <c r="AS134" s="2338"/>
      <c r="AT134" s="2338"/>
      <c r="AU134" s="2338"/>
      <c r="AV134" s="2338"/>
      <c r="AW134" s="2338"/>
      <c r="AX134" s="2338"/>
      <c r="AY134" s="2338"/>
      <c r="AZ134" s="2338"/>
      <c r="BA134" s="2338"/>
      <c r="BB134" s="2338"/>
      <c r="BC134" s="2338"/>
      <c r="BD134" s="2338"/>
      <c r="BE134" s="2338"/>
      <c r="BF134" s="2338"/>
      <c r="BG134" s="2338"/>
      <c r="BH134" s="2338"/>
      <c r="BI134" s="2338"/>
      <c r="BJ134" s="2338"/>
      <c r="BK134" s="2338"/>
      <c r="BL134" s="2338"/>
      <c r="BM134" s="2338"/>
      <c r="BN134" s="2338"/>
      <c r="BO134" s="2338"/>
      <c r="BP134" s="2338"/>
      <c r="BQ134" s="2338"/>
      <c r="BR134" s="2338"/>
      <c r="BS134" s="2338"/>
      <c r="BT134" s="2338"/>
      <c r="BU134" s="2338"/>
      <c r="BV134" s="2338"/>
      <c r="BW134" s="2338"/>
      <c r="BX134" s="2338"/>
      <c r="BY134" s="2338"/>
      <c r="BZ134" s="2338"/>
      <c r="CA134" s="2338"/>
      <c r="CB134" s="2338"/>
      <c r="CC134" s="2338"/>
      <c r="CD134" s="2338"/>
      <c r="CE134" s="2338"/>
      <c r="CF134" s="2338"/>
      <c r="CG134" s="2338"/>
      <c r="CH134" s="2338"/>
      <c r="CI134" s="2338"/>
      <c r="CJ134" s="2338"/>
      <c r="CK134" s="2338"/>
      <c r="CL134" s="2338"/>
      <c r="CM134" s="2338"/>
      <c r="CN134" s="2338"/>
      <c r="CO134" s="2338"/>
      <c r="CP134" s="2338"/>
      <c r="CQ134" s="2338"/>
      <c r="CR134" s="2338"/>
      <c r="CS134" s="2338"/>
      <c r="CT134" s="2338"/>
      <c r="CU134" s="2338"/>
      <c r="CV134" s="2338"/>
      <c r="CW134" s="2338"/>
      <c r="CX134" s="2338"/>
      <c r="CY134" s="2338"/>
      <c r="CZ134" s="2338"/>
      <c r="DA134" s="2338"/>
      <c r="DB134" s="2338"/>
      <c r="DC134" s="2338"/>
      <c r="DD134" s="2338"/>
      <c r="DE134" s="2338"/>
      <c r="DF134" s="2338"/>
      <c r="DG134" s="2338"/>
      <c r="DH134" s="2338"/>
      <c r="DI134" s="2338"/>
      <c r="DJ134" s="2338"/>
      <c r="DK134" s="2338"/>
      <c r="DL134" s="2338"/>
      <c r="DM134" s="2338"/>
      <c r="DN134" s="2338"/>
      <c r="DO134" s="2338"/>
    </row>
    <row r="135" spans="1:119" s="2344" customFormat="1" ht="15" hidden="1" customHeight="1" outlineLevel="1">
      <c r="A135" s="2339"/>
      <c r="B135" s="3033"/>
      <c r="C135" s="3035"/>
      <c r="D135" s="3035"/>
      <c r="E135" s="3028"/>
      <c r="F135" s="3692" t="s">
        <v>3862</v>
      </c>
      <c r="G135" s="3693"/>
      <c r="H135" s="2323"/>
      <c r="I135" s="2323"/>
      <c r="J135" s="2323"/>
      <c r="K135" s="2323"/>
      <c r="L135" s="2323"/>
      <c r="M135" s="2323"/>
      <c r="N135" s="2323"/>
      <c r="O135" s="2323"/>
      <c r="P135" s="2323"/>
      <c r="Q135" s="2323"/>
      <c r="R135" s="2323"/>
      <c r="S135" s="2323"/>
      <c r="T135" s="2383"/>
      <c r="U135" s="2383"/>
      <c r="V135" s="2343"/>
      <c r="W135" s="2343"/>
      <c r="X135" s="2343"/>
      <c r="Y135" s="2343"/>
      <c r="Z135" s="2566"/>
      <c r="AA135" s="2566"/>
      <c r="AB135" s="2566"/>
      <c r="AC135" s="2566"/>
      <c r="AD135" s="2323"/>
      <c r="AE135" s="2323"/>
      <c r="AF135" s="2323"/>
      <c r="AG135" s="2323"/>
      <c r="AH135" s="2323"/>
      <c r="AI135" s="2323"/>
      <c r="AJ135" s="2323"/>
      <c r="AK135" s="2898"/>
      <c r="AL135" s="2895">
        <f t="shared" si="64"/>
        <v>0</v>
      </c>
      <c r="AM135" s="2896" t="str">
        <f t="shared" si="65"/>
        <v/>
      </c>
      <c r="AN135" s="2338"/>
      <c r="AO135" s="2338"/>
      <c r="AP135" s="2338"/>
      <c r="AQ135" s="2338"/>
      <c r="AR135" s="2338"/>
      <c r="AS135" s="2338"/>
      <c r="AT135" s="2338"/>
      <c r="AU135" s="2338"/>
      <c r="AV135" s="2338"/>
      <c r="AW135" s="2338"/>
      <c r="AX135" s="2338"/>
      <c r="AY135" s="2338"/>
      <c r="AZ135" s="2338"/>
      <c r="BA135" s="2338"/>
      <c r="BB135" s="2338"/>
      <c r="BC135" s="2338"/>
      <c r="BD135" s="2338"/>
      <c r="BE135" s="2338"/>
      <c r="BF135" s="2338"/>
      <c r="BG135" s="2338"/>
      <c r="BH135" s="2338"/>
      <c r="BI135" s="2338"/>
      <c r="BJ135" s="2338"/>
      <c r="BK135" s="2338"/>
      <c r="BL135" s="2338"/>
      <c r="BM135" s="2338"/>
      <c r="BN135" s="2338"/>
      <c r="BO135" s="2338"/>
      <c r="BP135" s="2338"/>
      <c r="BQ135" s="2338"/>
      <c r="BR135" s="2338"/>
      <c r="BS135" s="2338"/>
      <c r="BT135" s="2338"/>
      <c r="BU135" s="2338"/>
      <c r="BV135" s="2338"/>
      <c r="BW135" s="2338"/>
      <c r="BX135" s="2338"/>
      <c r="BY135" s="2338"/>
      <c r="BZ135" s="2338"/>
      <c r="CA135" s="2338"/>
      <c r="CB135" s="2338"/>
      <c r="CC135" s="2338"/>
      <c r="CD135" s="2338"/>
      <c r="CE135" s="2338"/>
      <c r="CF135" s="2338"/>
      <c r="CG135" s="2338"/>
      <c r="CH135" s="2338"/>
      <c r="CI135" s="2338"/>
      <c r="CJ135" s="2338"/>
      <c r="CK135" s="2338"/>
      <c r="CL135" s="2338"/>
      <c r="CM135" s="2338"/>
      <c r="CN135" s="2338"/>
      <c r="CO135" s="2338"/>
      <c r="CP135" s="2338"/>
      <c r="CQ135" s="2338"/>
      <c r="CR135" s="2338"/>
      <c r="CS135" s="2338"/>
      <c r="CT135" s="2338"/>
      <c r="CU135" s="2338"/>
      <c r="CV135" s="2338"/>
      <c r="CW135" s="2338"/>
      <c r="CX135" s="2338"/>
      <c r="CY135" s="2338"/>
      <c r="CZ135" s="2338"/>
      <c r="DA135" s="2338"/>
      <c r="DB135" s="2338"/>
      <c r="DC135" s="2338"/>
      <c r="DD135" s="2338"/>
      <c r="DE135" s="2338"/>
      <c r="DF135" s="2338"/>
      <c r="DG135" s="2338"/>
      <c r="DH135" s="2338"/>
      <c r="DI135" s="2338"/>
      <c r="DJ135" s="2338"/>
      <c r="DK135" s="2338"/>
      <c r="DL135" s="2338"/>
      <c r="DM135" s="2338"/>
      <c r="DN135" s="2338"/>
      <c r="DO135" s="2338"/>
    </row>
    <row r="136" spans="1:119" ht="15" hidden="1" customHeight="1" outlineLevel="1">
      <c r="A136" s="2339"/>
      <c r="B136" s="3033"/>
      <c r="C136" s="3035"/>
      <c r="D136" s="3035"/>
      <c r="E136" s="3028"/>
      <c r="F136" s="3692" t="s">
        <v>3863</v>
      </c>
      <c r="G136" s="3693"/>
      <c r="H136" s="2323"/>
      <c r="I136" s="2323"/>
      <c r="J136" s="2323"/>
      <c r="K136" s="2323"/>
      <c r="L136" s="2323"/>
      <c r="M136" s="2323"/>
      <c r="N136" s="2323"/>
      <c r="O136" s="2323"/>
      <c r="P136" s="2323"/>
      <c r="Q136" s="2323"/>
      <c r="R136" s="2323"/>
      <c r="S136" s="2323"/>
      <c r="T136" s="2383"/>
      <c r="U136" s="2383"/>
      <c r="V136" s="2319"/>
      <c r="W136" s="2319"/>
      <c r="X136" s="2319"/>
      <c r="Y136" s="2319"/>
      <c r="Z136" s="2566"/>
      <c r="AA136" s="2566"/>
      <c r="AB136" s="2566"/>
      <c r="AC136" s="2566"/>
      <c r="AD136" s="2323"/>
      <c r="AE136" s="2323"/>
      <c r="AF136" s="2323"/>
      <c r="AG136" s="2323"/>
      <c r="AH136" s="2323"/>
      <c r="AI136" s="2323"/>
      <c r="AJ136" s="2323"/>
      <c r="AK136" s="2898"/>
      <c r="AL136" s="2895">
        <f t="shared" si="64"/>
        <v>0</v>
      </c>
      <c r="AM136" s="2896" t="str">
        <f t="shared" si="65"/>
        <v/>
      </c>
      <c r="AN136" s="2338"/>
      <c r="AO136" s="2338"/>
      <c r="AP136" s="2338"/>
      <c r="AQ136" s="2338"/>
      <c r="AR136" s="2338"/>
      <c r="AS136" s="2338"/>
      <c r="AT136" s="2338"/>
      <c r="AU136" s="2338"/>
      <c r="AV136" s="2338"/>
      <c r="AW136" s="2338"/>
      <c r="AX136" s="2338"/>
      <c r="AY136" s="2338"/>
      <c r="AZ136" s="2338"/>
      <c r="BA136" s="2338"/>
      <c r="BB136" s="2338"/>
      <c r="BC136" s="2338"/>
      <c r="BD136" s="2338"/>
      <c r="BE136" s="2338"/>
      <c r="BF136" s="2338"/>
      <c r="BG136" s="2338"/>
      <c r="BH136" s="2338"/>
      <c r="BI136" s="2338"/>
      <c r="BJ136" s="2338"/>
      <c r="BK136" s="2338"/>
      <c r="BL136" s="2338"/>
      <c r="BM136" s="2338"/>
      <c r="BN136" s="2338"/>
      <c r="BO136" s="2338"/>
      <c r="BP136" s="2338"/>
      <c r="BQ136" s="2338"/>
      <c r="BR136" s="2338"/>
      <c r="BS136" s="2338"/>
      <c r="BT136" s="2338"/>
      <c r="BU136" s="2338"/>
      <c r="BV136" s="2338"/>
      <c r="BW136" s="2338"/>
      <c r="BX136" s="2338"/>
      <c r="BY136" s="2338"/>
      <c r="BZ136" s="2338"/>
      <c r="CA136" s="2338"/>
      <c r="CB136" s="2338"/>
      <c r="CC136" s="2338"/>
      <c r="CD136" s="2338"/>
      <c r="CE136" s="2338"/>
      <c r="CF136" s="2338"/>
      <c r="CG136" s="2338"/>
      <c r="CH136" s="2338"/>
      <c r="CI136" s="2338"/>
      <c r="CJ136" s="2338"/>
      <c r="CK136" s="2338"/>
      <c r="CL136" s="2338"/>
      <c r="CM136" s="2338"/>
      <c r="CN136" s="2338"/>
      <c r="CO136" s="2338"/>
      <c r="CP136" s="2338"/>
      <c r="CQ136" s="2338"/>
      <c r="CR136" s="2338"/>
      <c r="CS136" s="2338"/>
      <c r="CT136" s="2338"/>
      <c r="CU136" s="2338"/>
      <c r="CV136" s="2338"/>
      <c r="CW136" s="2338"/>
      <c r="CX136" s="2338"/>
      <c r="CY136" s="2338"/>
      <c r="CZ136" s="2338"/>
      <c r="DA136" s="2338"/>
      <c r="DB136" s="2338"/>
      <c r="DC136" s="2338"/>
      <c r="DD136" s="2338"/>
      <c r="DE136" s="2338"/>
      <c r="DF136" s="2338"/>
      <c r="DG136" s="2338"/>
      <c r="DH136" s="2338"/>
      <c r="DI136" s="2338"/>
      <c r="DJ136" s="2338"/>
      <c r="DK136" s="2338"/>
      <c r="DL136" s="2338"/>
      <c r="DM136" s="2338"/>
      <c r="DN136" s="2338"/>
      <c r="DO136" s="2338"/>
    </row>
    <row r="137" spans="1:119" ht="15" hidden="1" customHeight="1" outlineLevel="1">
      <c r="A137" s="2339"/>
      <c r="B137" s="3033"/>
      <c r="C137" s="3035"/>
      <c r="D137" s="3035"/>
      <c r="E137" s="3028"/>
      <c r="F137" s="3692" t="s">
        <v>3864</v>
      </c>
      <c r="G137" s="3693"/>
      <c r="H137" s="2323"/>
      <c r="I137" s="2323"/>
      <c r="J137" s="2323"/>
      <c r="K137" s="2323"/>
      <c r="L137" s="2323"/>
      <c r="M137" s="2323"/>
      <c r="N137" s="2323"/>
      <c r="O137" s="2323"/>
      <c r="P137" s="2323"/>
      <c r="Q137" s="2323"/>
      <c r="R137" s="2323"/>
      <c r="S137" s="2323"/>
      <c r="T137" s="2383"/>
      <c r="U137" s="2383"/>
      <c r="V137" s="2319"/>
      <c r="W137" s="2319"/>
      <c r="X137" s="2319"/>
      <c r="Y137" s="2319"/>
      <c r="Z137" s="2566"/>
      <c r="AA137" s="2566"/>
      <c r="AB137" s="2566"/>
      <c r="AC137" s="2566"/>
      <c r="AD137" s="2323"/>
      <c r="AE137" s="2323"/>
      <c r="AF137" s="2323"/>
      <c r="AG137" s="2323"/>
      <c r="AH137" s="2323"/>
      <c r="AI137" s="2323"/>
      <c r="AJ137" s="2323"/>
      <c r="AK137" s="2898"/>
      <c r="AL137" s="2895">
        <f t="shared" si="64"/>
        <v>0</v>
      </c>
      <c r="AM137" s="2896" t="str">
        <f t="shared" si="65"/>
        <v/>
      </c>
      <c r="AN137" s="2338"/>
      <c r="AO137" s="2338"/>
      <c r="AP137" s="2338"/>
      <c r="AQ137" s="2338"/>
      <c r="AR137" s="2338"/>
      <c r="AS137" s="2338"/>
      <c r="AT137" s="2338"/>
      <c r="AU137" s="2338"/>
      <c r="AV137" s="2338"/>
      <c r="AW137" s="2338"/>
      <c r="AX137" s="2338"/>
      <c r="AY137" s="2338"/>
      <c r="AZ137" s="2338"/>
      <c r="BA137" s="2338"/>
      <c r="BB137" s="2338"/>
      <c r="BC137" s="2338"/>
      <c r="BD137" s="2338"/>
      <c r="BE137" s="2338"/>
      <c r="BF137" s="2338"/>
      <c r="BG137" s="2338"/>
      <c r="BH137" s="2338"/>
      <c r="BI137" s="2338"/>
      <c r="BJ137" s="2338"/>
      <c r="BK137" s="2338"/>
      <c r="BL137" s="2338"/>
      <c r="BM137" s="2338"/>
      <c r="BN137" s="2338"/>
      <c r="BO137" s="2338"/>
      <c r="BP137" s="2338"/>
      <c r="BQ137" s="2338"/>
      <c r="BR137" s="2338"/>
      <c r="BS137" s="2338"/>
      <c r="BT137" s="2338"/>
      <c r="BU137" s="2338"/>
      <c r="BV137" s="2338"/>
      <c r="BW137" s="2338"/>
      <c r="BX137" s="2338"/>
      <c r="BY137" s="2338"/>
      <c r="BZ137" s="2338"/>
      <c r="CA137" s="2338"/>
      <c r="CB137" s="2338"/>
      <c r="CC137" s="2338"/>
      <c r="CD137" s="2338"/>
      <c r="CE137" s="2338"/>
      <c r="CF137" s="2338"/>
      <c r="CG137" s="2338"/>
      <c r="CH137" s="2338"/>
      <c r="CI137" s="2338"/>
      <c r="CJ137" s="2338"/>
      <c r="CK137" s="2338"/>
      <c r="CL137" s="2338"/>
      <c r="CM137" s="2338"/>
      <c r="CN137" s="2338"/>
      <c r="CO137" s="2338"/>
      <c r="CP137" s="2338"/>
      <c r="CQ137" s="2338"/>
      <c r="CR137" s="2338"/>
      <c r="CS137" s="2338"/>
      <c r="CT137" s="2338"/>
      <c r="CU137" s="2338"/>
      <c r="CV137" s="2338"/>
      <c r="CW137" s="2338"/>
      <c r="CX137" s="2338"/>
      <c r="CY137" s="2338"/>
      <c r="CZ137" s="2338"/>
      <c r="DA137" s="2338"/>
      <c r="DB137" s="2338"/>
      <c r="DC137" s="2338"/>
      <c r="DD137" s="2338"/>
      <c r="DE137" s="2338"/>
      <c r="DF137" s="2338"/>
      <c r="DG137" s="2338"/>
      <c r="DH137" s="2338"/>
      <c r="DI137" s="2338"/>
      <c r="DJ137" s="2338"/>
      <c r="DK137" s="2338"/>
      <c r="DL137" s="2338"/>
      <c r="DM137" s="2338"/>
      <c r="DN137" s="2338"/>
      <c r="DO137" s="2338"/>
    </row>
    <row r="138" spans="1:119" ht="15" hidden="1" customHeight="1" outlineLevel="1">
      <c r="A138" s="2339"/>
      <c r="B138" s="3033"/>
      <c r="C138" s="3035"/>
      <c r="D138" s="3035"/>
      <c r="E138" s="3028"/>
      <c r="F138" s="3692" t="s">
        <v>3865</v>
      </c>
      <c r="G138" s="3693"/>
      <c r="H138" s="2323"/>
      <c r="I138" s="2323"/>
      <c r="J138" s="2323"/>
      <c r="K138" s="2323"/>
      <c r="L138" s="2323"/>
      <c r="M138" s="2323"/>
      <c r="N138" s="2323"/>
      <c r="O138" s="2323"/>
      <c r="P138" s="2323"/>
      <c r="Q138" s="2323"/>
      <c r="R138" s="2323"/>
      <c r="S138" s="2323"/>
      <c r="T138" s="2383"/>
      <c r="U138" s="2383"/>
      <c r="V138" s="2319"/>
      <c r="W138" s="2319"/>
      <c r="X138" s="2319"/>
      <c r="Y138" s="2319"/>
      <c r="Z138" s="2566"/>
      <c r="AA138" s="2566"/>
      <c r="AB138" s="2566"/>
      <c r="AC138" s="2566"/>
      <c r="AD138" s="2323"/>
      <c r="AE138" s="2323"/>
      <c r="AF138" s="2323"/>
      <c r="AG138" s="2323"/>
      <c r="AH138" s="2323"/>
      <c r="AI138" s="2323"/>
      <c r="AJ138" s="2323"/>
      <c r="AK138" s="2898"/>
      <c r="AL138" s="2895">
        <f t="shared" si="64"/>
        <v>0</v>
      </c>
      <c r="AM138" s="2896" t="str">
        <f t="shared" si="65"/>
        <v/>
      </c>
      <c r="AN138" s="2338"/>
      <c r="AO138" s="2338"/>
      <c r="AP138" s="2338"/>
      <c r="AQ138" s="2338"/>
      <c r="AR138" s="2338"/>
      <c r="AS138" s="2338"/>
      <c r="AT138" s="2338"/>
      <c r="AU138" s="2338"/>
      <c r="AV138" s="2338"/>
      <c r="AW138" s="2338"/>
      <c r="AX138" s="2338"/>
      <c r="AY138" s="2338"/>
      <c r="AZ138" s="2338"/>
      <c r="BA138" s="2338"/>
      <c r="BB138" s="2338"/>
      <c r="BC138" s="2338"/>
      <c r="BD138" s="2338"/>
      <c r="BE138" s="2338"/>
      <c r="BF138" s="2338"/>
      <c r="BG138" s="2338"/>
      <c r="BH138" s="2338"/>
      <c r="BI138" s="2338"/>
      <c r="BJ138" s="2338"/>
      <c r="BK138" s="2338"/>
      <c r="BL138" s="2338"/>
      <c r="BM138" s="2338"/>
      <c r="BN138" s="2338"/>
      <c r="BO138" s="2338"/>
      <c r="BP138" s="2338"/>
      <c r="BQ138" s="2338"/>
      <c r="BR138" s="2338"/>
      <c r="BS138" s="2338"/>
      <c r="BT138" s="2338"/>
      <c r="BU138" s="2338"/>
      <c r="BV138" s="2338"/>
      <c r="BW138" s="2338"/>
      <c r="BX138" s="2338"/>
      <c r="BY138" s="2338"/>
      <c r="BZ138" s="2338"/>
      <c r="CA138" s="2338"/>
      <c r="CB138" s="2338"/>
      <c r="CC138" s="2338"/>
      <c r="CD138" s="2338"/>
      <c r="CE138" s="2338"/>
      <c r="CF138" s="2338"/>
      <c r="CG138" s="2338"/>
      <c r="CH138" s="2338"/>
      <c r="CI138" s="2338"/>
      <c r="CJ138" s="2338"/>
      <c r="CK138" s="2338"/>
      <c r="CL138" s="2338"/>
      <c r="CM138" s="2338"/>
      <c r="CN138" s="2338"/>
      <c r="CO138" s="2338"/>
      <c r="CP138" s="2338"/>
      <c r="CQ138" s="2338"/>
      <c r="CR138" s="2338"/>
      <c r="CS138" s="2338"/>
      <c r="CT138" s="2338"/>
      <c r="CU138" s="2338"/>
      <c r="CV138" s="2338"/>
      <c r="CW138" s="2338"/>
      <c r="CX138" s="2338"/>
      <c r="CY138" s="2338"/>
      <c r="CZ138" s="2338"/>
      <c r="DA138" s="2338"/>
      <c r="DB138" s="2338"/>
      <c r="DC138" s="2338"/>
      <c r="DD138" s="2338"/>
      <c r="DE138" s="2338"/>
      <c r="DF138" s="2338"/>
      <c r="DG138" s="2338"/>
      <c r="DH138" s="2338"/>
      <c r="DI138" s="2338"/>
      <c r="DJ138" s="2338"/>
      <c r="DK138" s="2338"/>
      <c r="DL138" s="2338"/>
      <c r="DM138" s="2338"/>
      <c r="DN138" s="2338"/>
      <c r="DO138" s="2338"/>
    </row>
    <row r="139" spans="1:119" ht="15.75" hidden="1" customHeight="1" outlineLevel="1">
      <c r="A139" s="2339"/>
      <c r="B139" s="3033"/>
      <c r="C139" s="3035"/>
      <c r="D139" s="3035" t="s">
        <v>3911</v>
      </c>
      <c r="E139" s="3028" t="s">
        <v>3909</v>
      </c>
      <c r="F139" s="3692" t="s">
        <v>3860</v>
      </c>
      <c r="G139" s="3693"/>
      <c r="H139" s="2323"/>
      <c r="I139" s="2323"/>
      <c r="J139" s="2323"/>
      <c r="K139" s="2323"/>
      <c r="L139" s="2323"/>
      <c r="M139" s="2323"/>
      <c r="N139" s="2323"/>
      <c r="O139" s="2323"/>
      <c r="P139" s="2323"/>
      <c r="Q139" s="2323"/>
      <c r="R139" s="2323"/>
      <c r="S139" s="2323"/>
      <c r="T139" s="2383"/>
      <c r="U139" s="2383"/>
      <c r="V139" s="2319"/>
      <c r="W139" s="2319"/>
      <c r="X139" s="2319"/>
      <c r="Y139" s="2319"/>
      <c r="Z139" s="2566"/>
      <c r="AA139" s="2566"/>
      <c r="AB139" s="2566"/>
      <c r="AC139" s="2566"/>
      <c r="AD139" s="2323"/>
      <c r="AE139" s="2323"/>
      <c r="AF139" s="2323"/>
      <c r="AG139" s="2323"/>
      <c r="AH139" s="2323"/>
      <c r="AI139" s="2323"/>
      <c r="AJ139" s="2323"/>
      <c r="AK139" s="2898"/>
      <c r="AL139" s="2895">
        <f t="shared" si="64"/>
        <v>0</v>
      </c>
      <c r="AM139" s="2896" t="str">
        <f t="shared" si="65"/>
        <v/>
      </c>
      <c r="AN139" s="2338"/>
      <c r="AO139" s="2338"/>
      <c r="AP139" s="2338"/>
      <c r="AQ139" s="2338"/>
      <c r="AR139" s="2338"/>
      <c r="AS139" s="2338"/>
      <c r="AT139" s="2338"/>
      <c r="AU139" s="2338"/>
      <c r="AV139" s="2338"/>
      <c r="AW139" s="2338"/>
      <c r="AX139" s="2338"/>
      <c r="AY139" s="2338"/>
      <c r="AZ139" s="2338"/>
      <c r="BA139" s="2338"/>
      <c r="BB139" s="2338"/>
      <c r="BC139" s="2338"/>
      <c r="BD139" s="2338"/>
      <c r="BE139" s="2338"/>
      <c r="BF139" s="2338"/>
      <c r="BG139" s="2338"/>
      <c r="BH139" s="2338"/>
      <c r="BI139" s="2338"/>
      <c r="BJ139" s="2338"/>
      <c r="BK139" s="2338"/>
      <c r="BL139" s="2338"/>
      <c r="BM139" s="2338"/>
      <c r="BN139" s="2338"/>
      <c r="BO139" s="2338"/>
      <c r="BP139" s="2338"/>
      <c r="BQ139" s="2338"/>
      <c r="BR139" s="2338"/>
      <c r="BS139" s="2338"/>
      <c r="BT139" s="2338"/>
      <c r="BU139" s="2338"/>
      <c r="BV139" s="2338"/>
      <c r="BW139" s="2338"/>
      <c r="BX139" s="2338"/>
      <c r="BY139" s="2338"/>
      <c r="BZ139" s="2338"/>
      <c r="CA139" s="2338"/>
      <c r="CB139" s="2338"/>
      <c r="CC139" s="2338"/>
      <c r="CD139" s="2338"/>
      <c r="CE139" s="2338"/>
      <c r="CF139" s="2338"/>
      <c r="CG139" s="2338"/>
      <c r="CH139" s="2338"/>
      <c r="CI139" s="2338"/>
      <c r="CJ139" s="2338"/>
      <c r="CK139" s="2338"/>
      <c r="CL139" s="2338"/>
      <c r="CM139" s="2338"/>
      <c r="CN139" s="2338"/>
      <c r="CO139" s="2338"/>
      <c r="CP139" s="2338"/>
      <c r="CQ139" s="2338"/>
      <c r="CR139" s="2338"/>
      <c r="CS139" s="2338"/>
      <c r="CT139" s="2338"/>
      <c r="CU139" s="2338"/>
      <c r="CV139" s="2338"/>
      <c r="CW139" s="2338"/>
      <c r="CX139" s="2338"/>
      <c r="CY139" s="2338"/>
      <c r="CZ139" s="2338"/>
      <c r="DA139" s="2338"/>
      <c r="DB139" s="2338"/>
      <c r="DC139" s="2338"/>
      <c r="DD139" s="2338"/>
      <c r="DE139" s="2338"/>
      <c r="DF139" s="2338"/>
      <c r="DG139" s="2338"/>
      <c r="DH139" s="2338"/>
      <c r="DI139" s="2338"/>
      <c r="DJ139" s="2338"/>
      <c r="DK139" s="2338"/>
      <c r="DL139" s="2338"/>
      <c r="DM139" s="2338"/>
      <c r="DN139" s="2338"/>
      <c r="DO139" s="2338"/>
    </row>
    <row r="140" spans="1:119" ht="15" hidden="1" customHeight="1" outlineLevel="1">
      <c r="A140" s="2339"/>
      <c r="B140" s="3033"/>
      <c r="C140" s="3035"/>
      <c r="D140" s="3035"/>
      <c r="E140" s="3028"/>
      <c r="F140" s="3692" t="s">
        <v>3861</v>
      </c>
      <c r="G140" s="3693"/>
      <c r="H140" s="2323"/>
      <c r="I140" s="2323"/>
      <c r="J140" s="2323"/>
      <c r="K140" s="2323"/>
      <c r="L140" s="2323"/>
      <c r="M140" s="2323"/>
      <c r="N140" s="2323"/>
      <c r="O140" s="2323"/>
      <c r="P140" s="2323"/>
      <c r="Q140" s="2323"/>
      <c r="R140" s="2323"/>
      <c r="S140" s="2323"/>
      <c r="T140" s="2383"/>
      <c r="U140" s="2383"/>
      <c r="V140" s="2319"/>
      <c r="W140" s="2319"/>
      <c r="X140" s="2319"/>
      <c r="Y140" s="2319"/>
      <c r="Z140" s="2566"/>
      <c r="AA140" s="2566"/>
      <c r="AB140" s="2566"/>
      <c r="AC140" s="2566"/>
      <c r="AD140" s="2323"/>
      <c r="AE140" s="2323"/>
      <c r="AF140" s="2323"/>
      <c r="AG140" s="2323"/>
      <c r="AH140" s="2323"/>
      <c r="AI140" s="2323"/>
      <c r="AJ140" s="2323"/>
      <c r="AK140" s="2898"/>
      <c r="AL140" s="2895">
        <f t="shared" si="64"/>
        <v>0</v>
      </c>
      <c r="AM140" s="2896" t="str">
        <f t="shared" si="65"/>
        <v/>
      </c>
      <c r="AN140" s="2338"/>
      <c r="AO140" s="2338"/>
      <c r="AP140" s="2338"/>
      <c r="AQ140" s="2338"/>
      <c r="AR140" s="2338"/>
      <c r="AS140" s="2338"/>
      <c r="AT140" s="2338"/>
      <c r="AU140" s="2338"/>
      <c r="AV140" s="2338"/>
      <c r="AW140" s="2338"/>
      <c r="AX140" s="2338"/>
      <c r="AY140" s="2338"/>
      <c r="AZ140" s="2338"/>
      <c r="BA140" s="2338"/>
      <c r="BB140" s="2338"/>
      <c r="BC140" s="2338"/>
      <c r="BD140" s="2338"/>
      <c r="BE140" s="2338"/>
      <c r="BF140" s="2338"/>
      <c r="BG140" s="2338"/>
      <c r="BH140" s="2338"/>
      <c r="BI140" s="2338"/>
      <c r="BJ140" s="2338"/>
      <c r="BK140" s="2338"/>
      <c r="BL140" s="2338"/>
      <c r="BM140" s="2338"/>
      <c r="BN140" s="2338"/>
      <c r="BO140" s="2338"/>
      <c r="BP140" s="2338"/>
      <c r="BQ140" s="2338"/>
      <c r="BR140" s="2338"/>
      <c r="BS140" s="2338"/>
      <c r="BT140" s="2338"/>
      <c r="BU140" s="2338"/>
      <c r="BV140" s="2338"/>
      <c r="BW140" s="2338"/>
      <c r="BX140" s="2338"/>
      <c r="BY140" s="2338"/>
      <c r="BZ140" s="2338"/>
      <c r="CA140" s="2338"/>
      <c r="CB140" s="2338"/>
      <c r="CC140" s="2338"/>
      <c r="CD140" s="2338"/>
      <c r="CE140" s="2338"/>
      <c r="CF140" s="2338"/>
      <c r="CG140" s="2338"/>
      <c r="CH140" s="2338"/>
      <c r="CI140" s="2338"/>
      <c r="CJ140" s="2338"/>
      <c r="CK140" s="2338"/>
      <c r="CL140" s="2338"/>
      <c r="CM140" s="2338"/>
      <c r="CN140" s="2338"/>
      <c r="CO140" s="2338"/>
      <c r="CP140" s="2338"/>
      <c r="CQ140" s="2338"/>
      <c r="CR140" s="2338"/>
      <c r="CS140" s="2338"/>
      <c r="CT140" s="2338"/>
      <c r="CU140" s="2338"/>
      <c r="CV140" s="2338"/>
      <c r="CW140" s="2338"/>
      <c r="CX140" s="2338"/>
      <c r="CY140" s="2338"/>
      <c r="CZ140" s="2338"/>
      <c r="DA140" s="2338"/>
      <c r="DB140" s="2338"/>
      <c r="DC140" s="2338"/>
      <c r="DD140" s="2338"/>
      <c r="DE140" s="2338"/>
      <c r="DF140" s="2338"/>
      <c r="DG140" s="2338"/>
      <c r="DH140" s="2338"/>
      <c r="DI140" s="2338"/>
      <c r="DJ140" s="2338"/>
      <c r="DK140" s="2338"/>
      <c r="DL140" s="2338"/>
      <c r="DM140" s="2338"/>
      <c r="DN140" s="2338"/>
      <c r="DO140" s="2338"/>
    </row>
    <row r="141" spans="1:119" ht="15" hidden="1" customHeight="1" outlineLevel="1">
      <c r="A141" s="2339"/>
      <c r="B141" s="3033"/>
      <c r="C141" s="3035"/>
      <c r="D141" s="3035"/>
      <c r="E141" s="3028"/>
      <c r="F141" s="3692" t="s">
        <v>3862</v>
      </c>
      <c r="G141" s="3693"/>
      <c r="H141" s="2323"/>
      <c r="I141" s="2323"/>
      <c r="J141" s="2323"/>
      <c r="K141" s="2323"/>
      <c r="L141" s="2323"/>
      <c r="M141" s="2323"/>
      <c r="N141" s="2323"/>
      <c r="O141" s="2323"/>
      <c r="P141" s="2323"/>
      <c r="Q141" s="2323"/>
      <c r="R141" s="2323"/>
      <c r="S141" s="2323"/>
      <c r="T141" s="2383"/>
      <c r="U141" s="2383"/>
      <c r="V141" s="2319"/>
      <c r="W141" s="2319"/>
      <c r="X141" s="2319"/>
      <c r="Y141" s="2319"/>
      <c r="Z141" s="2566"/>
      <c r="AA141" s="2566"/>
      <c r="AB141" s="2566"/>
      <c r="AC141" s="2566"/>
      <c r="AD141" s="2323"/>
      <c r="AE141" s="2323"/>
      <c r="AF141" s="2323"/>
      <c r="AG141" s="2323"/>
      <c r="AH141" s="2323"/>
      <c r="AI141" s="2323"/>
      <c r="AJ141" s="2323"/>
      <c r="AK141" s="2898"/>
      <c r="AL141" s="2895">
        <f t="shared" si="64"/>
        <v>0</v>
      </c>
      <c r="AM141" s="2896" t="str">
        <f t="shared" si="65"/>
        <v/>
      </c>
      <c r="AN141" s="2338"/>
      <c r="AO141" s="2338"/>
      <c r="AP141" s="2338"/>
      <c r="AQ141" s="2338"/>
      <c r="AR141" s="2338"/>
      <c r="AS141" s="2338"/>
      <c r="AT141" s="2338"/>
      <c r="AU141" s="2338"/>
      <c r="AV141" s="2338"/>
      <c r="AW141" s="2338"/>
      <c r="AX141" s="2338"/>
      <c r="AY141" s="2338"/>
      <c r="AZ141" s="2338"/>
      <c r="BA141" s="2338"/>
      <c r="BB141" s="2338"/>
      <c r="BC141" s="2338"/>
      <c r="BD141" s="2338"/>
      <c r="BE141" s="2338"/>
      <c r="BF141" s="2338"/>
      <c r="BG141" s="2338"/>
      <c r="BH141" s="2338"/>
      <c r="BI141" s="2338"/>
      <c r="BJ141" s="2338"/>
      <c r="BK141" s="2338"/>
      <c r="BL141" s="2338"/>
      <c r="BM141" s="2338"/>
      <c r="BN141" s="2338"/>
      <c r="BO141" s="2338"/>
      <c r="BP141" s="2338"/>
      <c r="BQ141" s="2338"/>
      <c r="BR141" s="2338"/>
      <c r="BS141" s="2338"/>
      <c r="BT141" s="2338"/>
      <c r="BU141" s="2338"/>
      <c r="BV141" s="2338"/>
      <c r="BW141" s="2338"/>
      <c r="BX141" s="2338"/>
      <c r="BY141" s="2338"/>
      <c r="BZ141" s="2338"/>
      <c r="CA141" s="2338"/>
      <c r="CB141" s="2338"/>
      <c r="CC141" s="2338"/>
      <c r="CD141" s="2338"/>
      <c r="CE141" s="2338"/>
      <c r="CF141" s="2338"/>
      <c r="CG141" s="2338"/>
      <c r="CH141" s="2338"/>
      <c r="CI141" s="2338"/>
      <c r="CJ141" s="2338"/>
      <c r="CK141" s="2338"/>
      <c r="CL141" s="2338"/>
      <c r="CM141" s="2338"/>
      <c r="CN141" s="2338"/>
      <c r="CO141" s="2338"/>
      <c r="CP141" s="2338"/>
      <c r="CQ141" s="2338"/>
      <c r="CR141" s="2338"/>
      <c r="CS141" s="2338"/>
      <c r="CT141" s="2338"/>
      <c r="CU141" s="2338"/>
      <c r="CV141" s="2338"/>
      <c r="CW141" s="2338"/>
      <c r="CX141" s="2338"/>
      <c r="CY141" s="2338"/>
      <c r="CZ141" s="2338"/>
      <c r="DA141" s="2338"/>
      <c r="DB141" s="2338"/>
      <c r="DC141" s="2338"/>
      <c r="DD141" s="2338"/>
      <c r="DE141" s="2338"/>
      <c r="DF141" s="2338"/>
      <c r="DG141" s="2338"/>
      <c r="DH141" s="2338"/>
      <c r="DI141" s="2338"/>
      <c r="DJ141" s="2338"/>
      <c r="DK141" s="2338"/>
      <c r="DL141" s="2338"/>
      <c r="DM141" s="2338"/>
      <c r="DN141" s="2338"/>
      <c r="DO141" s="2338"/>
    </row>
    <row r="142" spans="1:119" ht="15" hidden="1" customHeight="1" outlineLevel="1">
      <c r="A142" s="2339"/>
      <c r="B142" s="3033"/>
      <c r="C142" s="3035"/>
      <c r="D142" s="3035"/>
      <c r="E142" s="3028"/>
      <c r="F142" s="3692" t="s">
        <v>3863</v>
      </c>
      <c r="G142" s="3693"/>
      <c r="H142" s="2323"/>
      <c r="I142" s="2323"/>
      <c r="J142" s="2323"/>
      <c r="K142" s="2323"/>
      <c r="L142" s="2323"/>
      <c r="M142" s="2323"/>
      <c r="N142" s="2323"/>
      <c r="O142" s="2323"/>
      <c r="P142" s="2323"/>
      <c r="Q142" s="2323"/>
      <c r="R142" s="2323"/>
      <c r="S142" s="2323"/>
      <c r="T142" s="2383"/>
      <c r="U142" s="2383"/>
      <c r="V142" s="2319"/>
      <c r="W142" s="2319"/>
      <c r="X142" s="2319"/>
      <c r="Y142" s="2319"/>
      <c r="Z142" s="2566"/>
      <c r="AA142" s="2566"/>
      <c r="AB142" s="2566"/>
      <c r="AC142" s="2566"/>
      <c r="AD142" s="2323"/>
      <c r="AE142" s="2323"/>
      <c r="AF142" s="2323"/>
      <c r="AG142" s="2323"/>
      <c r="AH142" s="2323"/>
      <c r="AI142" s="2323"/>
      <c r="AJ142" s="2323"/>
      <c r="AK142" s="2898"/>
      <c r="AL142" s="2895">
        <f t="shared" si="64"/>
        <v>0</v>
      </c>
      <c r="AM142" s="2896" t="str">
        <f t="shared" si="65"/>
        <v/>
      </c>
      <c r="AN142" s="2338"/>
      <c r="AO142" s="2338"/>
      <c r="AP142" s="2338"/>
      <c r="AQ142" s="2338"/>
      <c r="AR142" s="2338"/>
      <c r="AS142" s="2338"/>
      <c r="AT142" s="2338"/>
      <c r="AU142" s="2338"/>
      <c r="AV142" s="2338"/>
      <c r="AW142" s="2338"/>
      <c r="AX142" s="2338"/>
      <c r="AY142" s="2338"/>
      <c r="AZ142" s="2338"/>
      <c r="BA142" s="2338"/>
      <c r="BB142" s="2338"/>
      <c r="BC142" s="2338"/>
      <c r="BD142" s="2338"/>
      <c r="BE142" s="2338"/>
      <c r="BF142" s="2338"/>
      <c r="BG142" s="2338"/>
      <c r="BH142" s="2338"/>
      <c r="BI142" s="2338"/>
      <c r="BJ142" s="2338"/>
      <c r="BK142" s="2338"/>
      <c r="BL142" s="2338"/>
      <c r="BM142" s="2338"/>
      <c r="BN142" s="2338"/>
      <c r="BO142" s="2338"/>
      <c r="BP142" s="2338"/>
      <c r="BQ142" s="2338"/>
      <c r="BR142" s="2338"/>
      <c r="BS142" s="2338"/>
      <c r="BT142" s="2338"/>
      <c r="BU142" s="2338"/>
      <c r="BV142" s="2338"/>
      <c r="BW142" s="2338"/>
      <c r="BX142" s="2338"/>
      <c r="BY142" s="2338"/>
      <c r="BZ142" s="2338"/>
      <c r="CA142" s="2338"/>
      <c r="CB142" s="2338"/>
      <c r="CC142" s="2338"/>
      <c r="CD142" s="2338"/>
      <c r="CE142" s="2338"/>
      <c r="CF142" s="2338"/>
      <c r="CG142" s="2338"/>
      <c r="CH142" s="2338"/>
      <c r="CI142" s="2338"/>
      <c r="CJ142" s="2338"/>
      <c r="CK142" s="2338"/>
      <c r="CL142" s="2338"/>
      <c r="CM142" s="2338"/>
      <c r="CN142" s="2338"/>
      <c r="CO142" s="2338"/>
      <c r="CP142" s="2338"/>
      <c r="CQ142" s="2338"/>
      <c r="CR142" s="2338"/>
      <c r="CS142" s="2338"/>
      <c r="CT142" s="2338"/>
      <c r="CU142" s="2338"/>
      <c r="CV142" s="2338"/>
      <c r="CW142" s="2338"/>
      <c r="CX142" s="2338"/>
      <c r="CY142" s="2338"/>
      <c r="CZ142" s="2338"/>
      <c r="DA142" s="2338"/>
      <c r="DB142" s="2338"/>
      <c r="DC142" s="2338"/>
      <c r="DD142" s="2338"/>
      <c r="DE142" s="2338"/>
      <c r="DF142" s="2338"/>
      <c r="DG142" s="2338"/>
      <c r="DH142" s="2338"/>
      <c r="DI142" s="2338"/>
      <c r="DJ142" s="2338"/>
      <c r="DK142" s="2338"/>
      <c r="DL142" s="2338"/>
      <c r="DM142" s="2338"/>
      <c r="DN142" s="2338"/>
      <c r="DO142" s="2338"/>
    </row>
    <row r="143" spans="1:119" ht="15" hidden="1" customHeight="1" outlineLevel="1">
      <c r="A143" s="2339"/>
      <c r="B143" s="3033"/>
      <c r="C143" s="3035"/>
      <c r="D143" s="3035"/>
      <c r="E143" s="3028"/>
      <c r="F143" s="3692" t="s">
        <v>3864</v>
      </c>
      <c r="G143" s="3693"/>
      <c r="H143" s="2323"/>
      <c r="I143" s="2323"/>
      <c r="J143" s="2323"/>
      <c r="K143" s="2323"/>
      <c r="L143" s="2323"/>
      <c r="M143" s="2323"/>
      <c r="N143" s="2323"/>
      <c r="O143" s="2323"/>
      <c r="P143" s="2323"/>
      <c r="Q143" s="2323"/>
      <c r="R143" s="2323"/>
      <c r="S143" s="2323"/>
      <c r="T143" s="2383"/>
      <c r="U143" s="2383"/>
      <c r="V143" s="2319"/>
      <c r="W143" s="2319"/>
      <c r="X143" s="2319"/>
      <c r="Y143" s="2319"/>
      <c r="Z143" s="2566"/>
      <c r="AA143" s="2566"/>
      <c r="AB143" s="2566"/>
      <c r="AC143" s="2566"/>
      <c r="AD143" s="2323"/>
      <c r="AE143" s="2323"/>
      <c r="AF143" s="2323"/>
      <c r="AG143" s="2323"/>
      <c r="AH143" s="2323"/>
      <c r="AI143" s="2323"/>
      <c r="AJ143" s="2323"/>
      <c r="AK143" s="2898"/>
      <c r="AL143" s="2895">
        <f t="shared" si="64"/>
        <v>0</v>
      </c>
      <c r="AM143" s="2896" t="str">
        <f t="shared" si="65"/>
        <v/>
      </c>
      <c r="AN143" s="2338"/>
      <c r="AO143" s="2338"/>
      <c r="AP143" s="2338"/>
      <c r="AQ143" s="2338"/>
      <c r="AR143" s="2338"/>
      <c r="AS143" s="2338"/>
      <c r="AT143" s="2338"/>
      <c r="AU143" s="2338"/>
      <c r="AV143" s="2338"/>
      <c r="AW143" s="2338"/>
      <c r="AX143" s="2338"/>
      <c r="AY143" s="2338"/>
      <c r="AZ143" s="2338"/>
      <c r="BA143" s="2338"/>
      <c r="BB143" s="2338"/>
      <c r="BC143" s="2338"/>
      <c r="BD143" s="2338"/>
      <c r="BE143" s="2338"/>
      <c r="BF143" s="2338"/>
      <c r="BG143" s="2338"/>
      <c r="BH143" s="2338"/>
      <c r="BI143" s="2338"/>
      <c r="BJ143" s="2338"/>
      <c r="BK143" s="2338"/>
      <c r="BL143" s="2338"/>
      <c r="BM143" s="2338"/>
      <c r="BN143" s="2338"/>
      <c r="BO143" s="2338"/>
      <c r="BP143" s="2338"/>
      <c r="BQ143" s="2338"/>
      <c r="BR143" s="2338"/>
      <c r="BS143" s="2338"/>
      <c r="BT143" s="2338"/>
      <c r="BU143" s="2338"/>
      <c r="BV143" s="2338"/>
      <c r="BW143" s="2338"/>
      <c r="BX143" s="2338"/>
      <c r="BY143" s="2338"/>
      <c r="BZ143" s="2338"/>
      <c r="CA143" s="2338"/>
      <c r="CB143" s="2338"/>
      <c r="CC143" s="2338"/>
      <c r="CD143" s="2338"/>
      <c r="CE143" s="2338"/>
      <c r="CF143" s="2338"/>
      <c r="CG143" s="2338"/>
      <c r="CH143" s="2338"/>
      <c r="CI143" s="2338"/>
      <c r="CJ143" s="2338"/>
      <c r="CK143" s="2338"/>
      <c r="CL143" s="2338"/>
      <c r="CM143" s="2338"/>
      <c r="CN143" s="2338"/>
      <c r="CO143" s="2338"/>
      <c r="CP143" s="2338"/>
      <c r="CQ143" s="2338"/>
      <c r="CR143" s="2338"/>
      <c r="CS143" s="2338"/>
      <c r="CT143" s="2338"/>
      <c r="CU143" s="2338"/>
      <c r="CV143" s="2338"/>
      <c r="CW143" s="2338"/>
      <c r="CX143" s="2338"/>
      <c r="CY143" s="2338"/>
      <c r="CZ143" s="2338"/>
      <c r="DA143" s="2338"/>
      <c r="DB143" s="2338"/>
      <c r="DC143" s="2338"/>
      <c r="DD143" s="2338"/>
      <c r="DE143" s="2338"/>
      <c r="DF143" s="2338"/>
      <c r="DG143" s="2338"/>
      <c r="DH143" s="2338"/>
      <c r="DI143" s="2338"/>
      <c r="DJ143" s="2338"/>
      <c r="DK143" s="2338"/>
      <c r="DL143" s="2338"/>
      <c r="DM143" s="2338"/>
      <c r="DN143" s="2338"/>
      <c r="DO143" s="2338"/>
    </row>
    <row r="144" spans="1:119" ht="15" hidden="1" customHeight="1" outlineLevel="1">
      <c r="A144" s="2339"/>
      <c r="B144" s="3033"/>
      <c r="C144" s="3035"/>
      <c r="D144" s="3035"/>
      <c r="E144" s="3028"/>
      <c r="F144" s="3692" t="s">
        <v>3865</v>
      </c>
      <c r="G144" s="3693"/>
      <c r="H144" s="2323"/>
      <c r="I144" s="2323"/>
      <c r="J144" s="2323"/>
      <c r="K144" s="2323"/>
      <c r="L144" s="2323"/>
      <c r="M144" s="2323"/>
      <c r="N144" s="2323"/>
      <c r="O144" s="2323"/>
      <c r="P144" s="2323"/>
      <c r="Q144" s="2323"/>
      <c r="R144" s="2323"/>
      <c r="S144" s="2323"/>
      <c r="T144" s="2383"/>
      <c r="U144" s="2383"/>
      <c r="V144" s="2319"/>
      <c r="W144" s="2319"/>
      <c r="X144" s="2319"/>
      <c r="Y144" s="2319"/>
      <c r="Z144" s="2566"/>
      <c r="AA144" s="2566"/>
      <c r="AB144" s="2566"/>
      <c r="AC144" s="2566"/>
      <c r="AD144" s="2323"/>
      <c r="AE144" s="2323"/>
      <c r="AF144" s="2323"/>
      <c r="AG144" s="2323"/>
      <c r="AH144" s="2323"/>
      <c r="AI144" s="2323"/>
      <c r="AJ144" s="2323"/>
      <c r="AK144" s="2898"/>
      <c r="AL144" s="2895">
        <f t="shared" si="64"/>
        <v>0</v>
      </c>
      <c r="AM144" s="2896" t="str">
        <f t="shared" si="65"/>
        <v/>
      </c>
      <c r="AN144" s="2338"/>
      <c r="AO144" s="2338"/>
      <c r="AP144" s="2338"/>
      <c r="AQ144" s="2338"/>
      <c r="AR144" s="2338"/>
      <c r="AS144" s="2338"/>
      <c r="AT144" s="2338"/>
      <c r="AU144" s="2338"/>
      <c r="AV144" s="2338"/>
      <c r="AW144" s="2338"/>
      <c r="AX144" s="2338"/>
      <c r="AY144" s="2338"/>
      <c r="AZ144" s="2338"/>
      <c r="BA144" s="2338"/>
      <c r="BB144" s="2338"/>
      <c r="BC144" s="2338"/>
      <c r="BD144" s="2338"/>
      <c r="BE144" s="2338"/>
      <c r="BF144" s="2338"/>
      <c r="BG144" s="2338"/>
      <c r="BH144" s="2338"/>
      <c r="BI144" s="2338"/>
      <c r="BJ144" s="2338"/>
      <c r="BK144" s="2338"/>
      <c r="BL144" s="2338"/>
      <c r="BM144" s="2338"/>
      <c r="BN144" s="2338"/>
      <c r="BO144" s="2338"/>
      <c r="BP144" s="2338"/>
      <c r="BQ144" s="2338"/>
      <c r="BR144" s="2338"/>
      <c r="BS144" s="2338"/>
      <c r="BT144" s="2338"/>
      <c r="BU144" s="2338"/>
      <c r="BV144" s="2338"/>
      <c r="BW144" s="2338"/>
      <c r="BX144" s="2338"/>
      <c r="BY144" s="2338"/>
      <c r="BZ144" s="2338"/>
      <c r="CA144" s="2338"/>
      <c r="CB144" s="2338"/>
      <c r="CC144" s="2338"/>
      <c r="CD144" s="2338"/>
      <c r="CE144" s="2338"/>
      <c r="CF144" s="2338"/>
      <c r="CG144" s="2338"/>
      <c r="CH144" s="2338"/>
      <c r="CI144" s="2338"/>
      <c r="CJ144" s="2338"/>
      <c r="CK144" s="2338"/>
      <c r="CL144" s="2338"/>
      <c r="CM144" s="2338"/>
      <c r="CN144" s="2338"/>
      <c r="CO144" s="2338"/>
      <c r="CP144" s="2338"/>
      <c r="CQ144" s="2338"/>
      <c r="CR144" s="2338"/>
      <c r="CS144" s="2338"/>
      <c r="CT144" s="2338"/>
      <c r="CU144" s="2338"/>
      <c r="CV144" s="2338"/>
      <c r="CW144" s="2338"/>
      <c r="CX144" s="2338"/>
      <c r="CY144" s="2338"/>
      <c r="CZ144" s="2338"/>
      <c r="DA144" s="2338"/>
      <c r="DB144" s="2338"/>
      <c r="DC144" s="2338"/>
      <c r="DD144" s="2338"/>
      <c r="DE144" s="2338"/>
      <c r="DF144" s="2338"/>
      <c r="DG144" s="2338"/>
      <c r="DH144" s="2338"/>
      <c r="DI144" s="2338"/>
      <c r="DJ144" s="2338"/>
      <c r="DK144" s="2338"/>
      <c r="DL144" s="2338"/>
      <c r="DM144" s="2338"/>
      <c r="DN144" s="2338"/>
      <c r="DO144" s="2338"/>
    </row>
    <row r="145" spans="1:119" s="2344" customFormat="1" ht="15.75" hidden="1" customHeight="1" outlineLevel="1">
      <c r="A145" s="2339"/>
      <c r="B145" s="3033"/>
      <c r="C145" s="3035"/>
      <c r="D145" s="3035"/>
      <c r="E145" s="3028" t="s">
        <v>3910</v>
      </c>
      <c r="F145" s="3692" t="s">
        <v>3860</v>
      </c>
      <c r="G145" s="3693"/>
      <c r="H145" s="2323"/>
      <c r="I145" s="2323"/>
      <c r="J145" s="2323"/>
      <c r="K145" s="2323"/>
      <c r="L145" s="2323"/>
      <c r="M145" s="2323"/>
      <c r="N145" s="2323"/>
      <c r="O145" s="2323"/>
      <c r="P145" s="2323"/>
      <c r="Q145" s="2323"/>
      <c r="R145" s="2323"/>
      <c r="S145" s="2323"/>
      <c r="T145" s="2383"/>
      <c r="U145" s="2383"/>
      <c r="V145" s="2343"/>
      <c r="W145" s="2343"/>
      <c r="X145" s="2343"/>
      <c r="Y145" s="2343"/>
      <c r="Z145" s="2566"/>
      <c r="AA145" s="2566"/>
      <c r="AB145" s="2566"/>
      <c r="AC145" s="2566"/>
      <c r="AD145" s="2323"/>
      <c r="AE145" s="2323"/>
      <c r="AF145" s="2323"/>
      <c r="AG145" s="2323"/>
      <c r="AH145" s="2323"/>
      <c r="AI145" s="2323"/>
      <c r="AJ145" s="2323"/>
      <c r="AK145" s="2898"/>
      <c r="AL145" s="2895">
        <f t="shared" si="64"/>
        <v>0</v>
      </c>
      <c r="AM145" s="2896" t="str">
        <f t="shared" si="65"/>
        <v/>
      </c>
      <c r="AN145" s="2338"/>
      <c r="AO145" s="2338"/>
      <c r="AP145" s="2338"/>
      <c r="AQ145" s="2338"/>
      <c r="AR145" s="2338"/>
      <c r="AS145" s="2338"/>
      <c r="AT145" s="2338"/>
      <c r="AU145" s="2338"/>
      <c r="AV145" s="2338"/>
      <c r="AW145" s="2338"/>
      <c r="AX145" s="2338"/>
      <c r="AY145" s="2338"/>
      <c r="AZ145" s="2338"/>
      <c r="BA145" s="2338"/>
      <c r="BB145" s="2338"/>
      <c r="BC145" s="2338"/>
      <c r="BD145" s="2338"/>
      <c r="BE145" s="2338"/>
      <c r="BF145" s="2338"/>
      <c r="BG145" s="2338"/>
      <c r="BH145" s="2338"/>
      <c r="BI145" s="2338"/>
      <c r="BJ145" s="2338"/>
      <c r="BK145" s="2338"/>
      <c r="BL145" s="2338"/>
      <c r="BM145" s="2338"/>
      <c r="BN145" s="2338"/>
      <c r="BO145" s="2338"/>
      <c r="BP145" s="2338"/>
      <c r="BQ145" s="2338"/>
      <c r="BR145" s="2338"/>
      <c r="BS145" s="2338"/>
      <c r="BT145" s="2338"/>
      <c r="BU145" s="2338"/>
      <c r="BV145" s="2338"/>
      <c r="BW145" s="2338"/>
      <c r="BX145" s="2338"/>
      <c r="BY145" s="2338"/>
      <c r="BZ145" s="2338"/>
      <c r="CA145" s="2338"/>
      <c r="CB145" s="2338"/>
      <c r="CC145" s="2338"/>
      <c r="CD145" s="2338"/>
      <c r="CE145" s="2338"/>
      <c r="CF145" s="2338"/>
      <c r="CG145" s="2338"/>
      <c r="CH145" s="2338"/>
      <c r="CI145" s="2338"/>
      <c r="CJ145" s="2338"/>
      <c r="CK145" s="2338"/>
      <c r="CL145" s="2338"/>
      <c r="CM145" s="2338"/>
      <c r="CN145" s="2338"/>
      <c r="CO145" s="2338"/>
      <c r="CP145" s="2338"/>
      <c r="CQ145" s="2338"/>
      <c r="CR145" s="2338"/>
      <c r="CS145" s="2338"/>
      <c r="CT145" s="2338"/>
      <c r="CU145" s="2338"/>
      <c r="CV145" s="2338"/>
      <c r="CW145" s="2338"/>
      <c r="CX145" s="2338"/>
      <c r="CY145" s="2338"/>
      <c r="CZ145" s="2338"/>
      <c r="DA145" s="2338"/>
      <c r="DB145" s="2338"/>
      <c r="DC145" s="2338"/>
      <c r="DD145" s="2338"/>
      <c r="DE145" s="2338"/>
      <c r="DF145" s="2338"/>
      <c r="DG145" s="2338"/>
      <c r="DH145" s="2338"/>
      <c r="DI145" s="2338"/>
      <c r="DJ145" s="2338"/>
      <c r="DK145" s="2338"/>
      <c r="DL145" s="2338"/>
      <c r="DM145" s="2338"/>
      <c r="DN145" s="2338"/>
      <c r="DO145" s="2338"/>
    </row>
    <row r="146" spans="1:119" s="2344" customFormat="1" ht="15" hidden="1" customHeight="1" outlineLevel="1">
      <c r="A146" s="2339"/>
      <c r="B146" s="3033"/>
      <c r="C146" s="3035"/>
      <c r="D146" s="3035"/>
      <c r="E146" s="3028"/>
      <c r="F146" s="3692" t="s">
        <v>3861</v>
      </c>
      <c r="G146" s="3693"/>
      <c r="H146" s="2323"/>
      <c r="I146" s="2323"/>
      <c r="J146" s="2323"/>
      <c r="K146" s="2323"/>
      <c r="L146" s="2323"/>
      <c r="M146" s="2323"/>
      <c r="N146" s="2323"/>
      <c r="O146" s="2323"/>
      <c r="P146" s="2323"/>
      <c r="Q146" s="2323"/>
      <c r="R146" s="2323"/>
      <c r="S146" s="2323"/>
      <c r="T146" s="2383"/>
      <c r="U146" s="2383"/>
      <c r="V146" s="2343"/>
      <c r="W146" s="2343"/>
      <c r="X146" s="2343"/>
      <c r="Y146" s="2343"/>
      <c r="Z146" s="2566"/>
      <c r="AA146" s="2566"/>
      <c r="AB146" s="2566"/>
      <c r="AC146" s="2566"/>
      <c r="AD146" s="2323"/>
      <c r="AE146" s="2323"/>
      <c r="AF146" s="2323"/>
      <c r="AG146" s="2323"/>
      <c r="AH146" s="2323"/>
      <c r="AI146" s="2323"/>
      <c r="AJ146" s="2323"/>
      <c r="AK146" s="2898"/>
      <c r="AL146" s="2895">
        <f t="shared" si="64"/>
        <v>0</v>
      </c>
      <c r="AM146" s="2896" t="str">
        <f t="shared" si="65"/>
        <v/>
      </c>
      <c r="AN146" s="2338"/>
      <c r="AO146" s="2338"/>
      <c r="AP146" s="2338"/>
      <c r="AQ146" s="2338"/>
      <c r="AR146" s="2338"/>
      <c r="AS146" s="2338"/>
      <c r="AT146" s="2338"/>
      <c r="AU146" s="2338"/>
      <c r="AV146" s="2338"/>
      <c r="AW146" s="2338"/>
      <c r="AX146" s="2338"/>
      <c r="AY146" s="2338"/>
      <c r="AZ146" s="2338"/>
      <c r="BA146" s="2338"/>
      <c r="BB146" s="2338"/>
      <c r="BC146" s="2338"/>
      <c r="BD146" s="2338"/>
      <c r="BE146" s="2338"/>
      <c r="BF146" s="2338"/>
      <c r="BG146" s="2338"/>
      <c r="BH146" s="2338"/>
      <c r="BI146" s="2338"/>
      <c r="BJ146" s="2338"/>
      <c r="BK146" s="2338"/>
      <c r="BL146" s="2338"/>
      <c r="BM146" s="2338"/>
      <c r="BN146" s="2338"/>
      <c r="BO146" s="2338"/>
      <c r="BP146" s="2338"/>
      <c r="BQ146" s="2338"/>
      <c r="BR146" s="2338"/>
      <c r="BS146" s="2338"/>
      <c r="BT146" s="2338"/>
      <c r="BU146" s="2338"/>
      <c r="BV146" s="2338"/>
      <c r="BW146" s="2338"/>
      <c r="BX146" s="2338"/>
      <c r="BY146" s="2338"/>
      <c r="BZ146" s="2338"/>
      <c r="CA146" s="2338"/>
      <c r="CB146" s="2338"/>
      <c r="CC146" s="2338"/>
      <c r="CD146" s="2338"/>
      <c r="CE146" s="2338"/>
      <c r="CF146" s="2338"/>
      <c r="CG146" s="2338"/>
      <c r="CH146" s="2338"/>
      <c r="CI146" s="2338"/>
      <c r="CJ146" s="2338"/>
      <c r="CK146" s="2338"/>
      <c r="CL146" s="2338"/>
      <c r="CM146" s="2338"/>
      <c r="CN146" s="2338"/>
      <c r="CO146" s="2338"/>
      <c r="CP146" s="2338"/>
      <c r="CQ146" s="2338"/>
      <c r="CR146" s="2338"/>
      <c r="CS146" s="2338"/>
      <c r="CT146" s="2338"/>
      <c r="CU146" s="2338"/>
      <c r="CV146" s="2338"/>
      <c r="CW146" s="2338"/>
      <c r="CX146" s="2338"/>
      <c r="CY146" s="2338"/>
      <c r="CZ146" s="2338"/>
      <c r="DA146" s="2338"/>
      <c r="DB146" s="2338"/>
      <c r="DC146" s="2338"/>
      <c r="DD146" s="2338"/>
      <c r="DE146" s="2338"/>
      <c r="DF146" s="2338"/>
      <c r="DG146" s="2338"/>
      <c r="DH146" s="2338"/>
      <c r="DI146" s="2338"/>
      <c r="DJ146" s="2338"/>
      <c r="DK146" s="2338"/>
      <c r="DL146" s="2338"/>
      <c r="DM146" s="2338"/>
      <c r="DN146" s="2338"/>
      <c r="DO146" s="2338"/>
    </row>
    <row r="147" spans="1:119" s="2344" customFormat="1" ht="15" hidden="1" customHeight="1" outlineLevel="1">
      <c r="A147" s="2339"/>
      <c r="B147" s="3033"/>
      <c r="C147" s="3035"/>
      <c r="D147" s="3035"/>
      <c r="E147" s="3028"/>
      <c r="F147" s="3692" t="s">
        <v>3862</v>
      </c>
      <c r="G147" s="3693"/>
      <c r="H147" s="2323"/>
      <c r="I147" s="2323"/>
      <c r="J147" s="2323"/>
      <c r="K147" s="2323"/>
      <c r="L147" s="2323"/>
      <c r="M147" s="2323"/>
      <c r="N147" s="2323"/>
      <c r="O147" s="2323"/>
      <c r="P147" s="2323"/>
      <c r="Q147" s="2323"/>
      <c r="R147" s="2323"/>
      <c r="S147" s="2323"/>
      <c r="T147" s="2383"/>
      <c r="U147" s="2383"/>
      <c r="V147" s="2343"/>
      <c r="W147" s="2343"/>
      <c r="X147" s="2343"/>
      <c r="Y147" s="2343"/>
      <c r="Z147" s="2566"/>
      <c r="AA147" s="2566"/>
      <c r="AB147" s="2566"/>
      <c r="AC147" s="2566"/>
      <c r="AD147" s="2323"/>
      <c r="AE147" s="2323"/>
      <c r="AF147" s="2323"/>
      <c r="AG147" s="2323"/>
      <c r="AH147" s="2323"/>
      <c r="AI147" s="2323"/>
      <c r="AJ147" s="2323"/>
      <c r="AK147" s="2898"/>
      <c r="AL147" s="2895">
        <f t="shared" si="64"/>
        <v>0</v>
      </c>
      <c r="AM147" s="2896" t="str">
        <f t="shared" si="65"/>
        <v/>
      </c>
      <c r="AN147" s="2338"/>
      <c r="AO147" s="2338"/>
      <c r="AP147" s="2338"/>
      <c r="AQ147" s="2338"/>
      <c r="AR147" s="2338"/>
      <c r="AS147" s="2338"/>
      <c r="AT147" s="2338"/>
      <c r="AU147" s="2338"/>
      <c r="AV147" s="2338"/>
      <c r="AW147" s="2338"/>
      <c r="AX147" s="2338"/>
      <c r="AY147" s="2338"/>
      <c r="AZ147" s="2338"/>
      <c r="BA147" s="2338"/>
      <c r="BB147" s="2338"/>
      <c r="BC147" s="2338"/>
      <c r="BD147" s="2338"/>
      <c r="BE147" s="2338"/>
      <c r="BF147" s="2338"/>
      <c r="BG147" s="2338"/>
      <c r="BH147" s="2338"/>
      <c r="BI147" s="2338"/>
      <c r="BJ147" s="2338"/>
      <c r="BK147" s="2338"/>
      <c r="BL147" s="2338"/>
      <c r="BM147" s="2338"/>
      <c r="BN147" s="2338"/>
      <c r="BO147" s="2338"/>
      <c r="BP147" s="2338"/>
      <c r="BQ147" s="2338"/>
      <c r="BR147" s="2338"/>
      <c r="BS147" s="2338"/>
      <c r="BT147" s="2338"/>
      <c r="BU147" s="2338"/>
      <c r="BV147" s="2338"/>
      <c r="BW147" s="2338"/>
      <c r="BX147" s="2338"/>
      <c r="BY147" s="2338"/>
      <c r="BZ147" s="2338"/>
      <c r="CA147" s="2338"/>
      <c r="CB147" s="2338"/>
      <c r="CC147" s="2338"/>
      <c r="CD147" s="2338"/>
      <c r="CE147" s="2338"/>
      <c r="CF147" s="2338"/>
      <c r="CG147" s="2338"/>
      <c r="CH147" s="2338"/>
      <c r="CI147" s="2338"/>
      <c r="CJ147" s="2338"/>
      <c r="CK147" s="2338"/>
      <c r="CL147" s="2338"/>
      <c r="CM147" s="2338"/>
      <c r="CN147" s="2338"/>
      <c r="CO147" s="2338"/>
      <c r="CP147" s="2338"/>
      <c r="CQ147" s="2338"/>
      <c r="CR147" s="2338"/>
      <c r="CS147" s="2338"/>
      <c r="CT147" s="2338"/>
      <c r="CU147" s="2338"/>
      <c r="CV147" s="2338"/>
      <c r="CW147" s="2338"/>
      <c r="CX147" s="2338"/>
      <c r="CY147" s="2338"/>
      <c r="CZ147" s="2338"/>
      <c r="DA147" s="2338"/>
      <c r="DB147" s="2338"/>
      <c r="DC147" s="2338"/>
      <c r="DD147" s="2338"/>
      <c r="DE147" s="2338"/>
      <c r="DF147" s="2338"/>
      <c r="DG147" s="2338"/>
      <c r="DH147" s="2338"/>
      <c r="DI147" s="2338"/>
      <c r="DJ147" s="2338"/>
      <c r="DK147" s="2338"/>
      <c r="DL147" s="2338"/>
      <c r="DM147" s="2338"/>
      <c r="DN147" s="2338"/>
      <c r="DO147" s="2338"/>
    </row>
    <row r="148" spans="1:119" s="2344" customFormat="1" ht="15" hidden="1" customHeight="1" outlineLevel="1">
      <c r="A148" s="2339"/>
      <c r="B148" s="3033"/>
      <c r="C148" s="3035"/>
      <c r="D148" s="3035"/>
      <c r="E148" s="3028"/>
      <c r="F148" s="3692" t="s">
        <v>3863</v>
      </c>
      <c r="G148" s="3693"/>
      <c r="H148" s="2323"/>
      <c r="I148" s="2323"/>
      <c r="J148" s="2323"/>
      <c r="K148" s="2323"/>
      <c r="L148" s="2323"/>
      <c r="M148" s="2323"/>
      <c r="N148" s="2323"/>
      <c r="O148" s="2323"/>
      <c r="P148" s="2323"/>
      <c r="Q148" s="2323"/>
      <c r="R148" s="2323"/>
      <c r="S148" s="2323"/>
      <c r="T148" s="2383"/>
      <c r="U148" s="2383"/>
      <c r="V148" s="2343"/>
      <c r="W148" s="2343"/>
      <c r="X148" s="2343"/>
      <c r="Y148" s="2343"/>
      <c r="Z148" s="2566"/>
      <c r="AA148" s="2566"/>
      <c r="AB148" s="2566"/>
      <c r="AC148" s="2566"/>
      <c r="AD148" s="2323"/>
      <c r="AE148" s="2323"/>
      <c r="AF148" s="2323"/>
      <c r="AG148" s="2323"/>
      <c r="AH148" s="2323"/>
      <c r="AI148" s="2323"/>
      <c r="AJ148" s="2323"/>
      <c r="AK148" s="2898"/>
      <c r="AL148" s="2895">
        <f t="shared" si="64"/>
        <v>0</v>
      </c>
      <c r="AM148" s="2896" t="str">
        <f t="shared" si="65"/>
        <v/>
      </c>
      <c r="AN148" s="2338"/>
      <c r="AO148" s="2338"/>
      <c r="AP148" s="2338"/>
      <c r="AQ148" s="2338"/>
      <c r="AR148" s="2338"/>
      <c r="AS148" s="2338"/>
      <c r="AT148" s="2338"/>
      <c r="AU148" s="2338"/>
      <c r="AV148" s="2338"/>
      <c r="AW148" s="2338"/>
      <c r="AX148" s="2338"/>
      <c r="AY148" s="2338"/>
      <c r="AZ148" s="2338"/>
      <c r="BA148" s="2338"/>
      <c r="BB148" s="2338"/>
      <c r="BC148" s="2338"/>
      <c r="BD148" s="2338"/>
      <c r="BE148" s="2338"/>
      <c r="BF148" s="2338"/>
      <c r="BG148" s="2338"/>
      <c r="BH148" s="2338"/>
      <c r="BI148" s="2338"/>
      <c r="BJ148" s="2338"/>
      <c r="BK148" s="2338"/>
      <c r="BL148" s="2338"/>
      <c r="BM148" s="2338"/>
      <c r="BN148" s="2338"/>
      <c r="BO148" s="2338"/>
      <c r="BP148" s="2338"/>
      <c r="BQ148" s="2338"/>
      <c r="BR148" s="2338"/>
      <c r="BS148" s="2338"/>
      <c r="BT148" s="2338"/>
      <c r="BU148" s="2338"/>
      <c r="BV148" s="2338"/>
      <c r="BW148" s="2338"/>
      <c r="BX148" s="2338"/>
      <c r="BY148" s="2338"/>
      <c r="BZ148" s="2338"/>
      <c r="CA148" s="2338"/>
      <c r="CB148" s="2338"/>
      <c r="CC148" s="2338"/>
      <c r="CD148" s="2338"/>
      <c r="CE148" s="2338"/>
      <c r="CF148" s="2338"/>
      <c r="CG148" s="2338"/>
      <c r="CH148" s="2338"/>
      <c r="CI148" s="2338"/>
      <c r="CJ148" s="2338"/>
      <c r="CK148" s="2338"/>
      <c r="CL148" s="2338"/>
      <c r="CM148" s="2338"/>
      <c r="CN148" s="2338"/>
      <c r="CO148" s="2338"/>
      <c r="CP148" s="2338"/>
      <c r="CQ148" s="2338"/>
      <c r="CR148" s="2338"/>
      <c r="CS148" s="2338"/>
      <c r="CT148" s="2338"/>
      <c r="CU148" s="2338"/>
      <c r="CV148" s="2338"/>
      <c r="CW148" s="2338"/>
      <c r="CX148" s="2338"/>
      <c r="CY148" s="2338"/>
      <c r="CZ148" s="2338"/>
      <c r="DA148" s="2338"/>
      <c r="DB148" s="2338"/>
      <c r="DC148" s="2338"/>
      <c r="DD148" s="2338"/>
      <c r="DE148" s="2338"/>
      <c r="DF148" s="2338"/>
      <c r="DG148" s="2338"/>
      <c r="DH148" s="2338"/>
      <c r="DI148" s="2338"/>
      <c r="DJ148" s="2338"/>
      <c r="DK148" s="2338"/>
      <c r="DL148" s="2338"/>
      <c r="DM148" s="2338"/>
      <c r="DN148" s="2338"/>
      <c r="DO148" s="2338"/>
    </row>
    <row r="149" spans="1:119" ht="15" hidden="1" customHeight="1" outlineLevel="1">
      <c r="A149" s="2339"/>
      <c r="B149" s="3033"/>
      <c r="C149" s="3035"/>
      <c r="D149" s="3035"/>
      <c r="E149" s="3028"/>
      <c r="F149" s="3692" t="s">
        <v>3864</v>
      </c>
      <c r="G149" s="3693"/>
      <c r="H149" s="2323"/>
      <c r="I149" s="2323"/>
      <c r="J149" s="2323"/>
      <c r="K149" s="2323"/>
      <c r="L149" s="2323"/>
      <c r="M149" s="2323"/>
      <c r="N149" s="2323"/>
      <c r="O149" s="2323"/>
      <c r="P149" s="2323"/>
      <c r="Q149" s="2323"/>
      <c r="R149" s="2323"/>
      <c r="S149" s="2323"/>
      <c r="T149" s="2383"/>
      <c r="U149" s="2383"/>
      <c r="V149" s="2319"/>
      <c r="W149" s="2319"/>
      <c r="X149" s="2319"/>
      <c r="Y149" s="2319"/>
      <c r="Z149" s="2566"/>
      <c r="AA149" s="2566"/>
      <c r="AB149" s="2566"/>
      <c r="AC149" s="2566"/>
      <c r="AD149" s="2323"/>
      <c r="AE149" s="2323"/>
      <c r="AF149" s="2323"/>
      <c r="AG149" s="2323"/>
      <c r="AH149" s="2323"/>
      <c r="AI149" s="2323"/>
      <c r="AJ149" s="2323"/>
      <c r="AK149" s="2898"/>
      <c r="AL149" s="2895">
        <f t="shared" si="64"/>
        <v>0</v>
      </c>
      <c r="AM149" s="2896" t="str">
        <f t="shared" si="65"/>
        <v/>
      </c>
      <c r="AN149" s="2338"/>
      <c r="AO149" s="2338"/>
      <c r="AP149" s="2338"/>
      <c r="AQ149" s="2338"/>
      <c r="AR149" s="2338"/>
      <c r="AS149" s="2338"/>
      <c r="AT149" s="2338"/>
      <c r="AU149" s="2338"/>
      <c r="AV149" s="2338"/>
      <c r="AW149" s="2338"/>
      <c r="AX149" s="2338"/>
      <c r="AY149" s="2338"/>
      <c r="AZ149" s="2338"/>
      <c r="BA149" s="2338"/>
      <c r="BB149" s="2338"/>
      <c r="BC149" s="2338"/>
      <c r="BD149" s="2338"/>
      <c r="BE149" s="2338"/>
      <c r="BF149" s="2338"/>
      <c r="BG149" s="2338"/>
      <c r="BH149" s="2338"/>
      <c r="BI149" s="2338"/>
      <c r="BJ149" s="2338"/>
      <c r="BK149" s="2338"/>
      <c r="BL149" s="2338"/>
      <c r="BM149" s="2338"/>
      <c r="BN149" s="2338"/>
      <c r="BO149" s="2338"/>
      <c r="BP149" s="2338"/>
      <c r="BQ149" s="2338"/>
      <c r="BR149" s="2338"/>
      <c r="BS149" s="2338"/>
      <c r="BT149" s="2338"/>
      <c r="BU149" s="2338"/>
      <c r="BV149" s="2338"/>
      <c r="BW149" s="2338"/>
      <c r="BX149" s="2338"/>
      <c r="BY149" s="2338"/>
      <c r="BZ149" s="2338"/>
      <c r="CA149" s="2338"/>
      <c r="CB149" s="2338"/>
      <c r="CC149" s="2338"/>
      <c r="CD149" s="2338"/>
      <c r="CE149" s="2338"/>
      <c r="CF149" s="2338"/>
      <c r="CG149" s="2338"/>
      <c r="CH149" s="2338"/>
      <c r="CI149" s="2338"/>
      <c r="CJ149" s="2338"/>
      <c r="CK149" s="2338"/>
      <c r="CL149" s="2338"/>
      <c r="CM149" s="2338"/>
      <c r="CN149" s="2338"/>
      <c r="CO149" s="2338"/>
      <c r="CP149" s="2338"/>
      <c r="CQ149" s="2338"/>
      <c r="CR149" s="2338"/>
      <c r="CS149" s="2338"/>
      <c r="CT149" s="2338"/>
      <c r="CU149" s="2338"/>
      <c r="CV149" s="2338"/>
      <c r="CW149" s="2338"/>
      <c r="CX149" s="2338"/>
      <c r="CY149" s="2338"/>
      <c r="CZ149" s="2338"/>
      <c r="DA149" s="2338"/>
      <c r="DB149" s="2338"/>
      <c r="DC149" s="2338"/>
      <c r="DD149" s="2338"/>
      <c r="DE149" s="2338"/>
      <c r="DF149" s="2338"/>
      <c r="DG149" s="2338"/>
      <c r="DH149" s="2338"/>
      <c r="DI149" s="2338"/>
      <c r="DJ149" s="2338"/>
      <c r="DK149" s="2338"/>
      <c r="DL149" s="2338"/>
      <c r="DM149" s="2338"/>
      <c r="DN149" s="2338"/>
      <c r="DO149" s="2338"/>
    </row>
    <row r="150" spans="1:119" ht="15" hidden="1" customHeight="1" outlineLevel="1">
      <c r="A150" s="2339"/>
      <c r="B150" s="3033"/>
      <c r="C150" s="3035"/>
      <c r="D150" s="3035"/>
      <c r="E150" s="3028"/>
      <c r="F150" s="3692" t="s">
        <v>3865</v>
      </c>
      <c r="G150" s="3693"/>
      <c r="H150" s="2323"/>
      <c r="I150" s="2323"/>
      <c r="J150" s="2323"/>
      <c r="K150" s="2323"/>
      <c r="L150" s="2323"/>
      <c r="M150" s="2323"/>
      <c r="N150" s="2323"/>
      <c r="O150" s="2323"/>
      <c r="P150" s="2323"/>
      <c r="Q150" s="2323"/>
      <c r="R150" s="2323"/>
      <c r="S150" s="2323"/>
      <c r="T150" s="2383"/>
      <c r="U150" s="2383"/>
      <c r="V150" s="2319"/>
      <c r="W150" s="2319"/>
      <c r="X150" s="2319"/>
      <c r="Y150" s="2319"/>
      <c r="Z150" s="2566"/>
      <c r="AA150" s="2566"/>
      <c r="AB150" s="2566"/>
      <c r="AC150" s="2566"/>
      <c r="AD150" s="2323"/>
      <c r="AE150" s="2323"/>
      <c r="AF150" s="2323"/>
      <c r="AG150" s="2323"/>
      <c r="AH150" s="2323"/>
      <c r="AI150" s="2323"/>
      <c r="AJ150" s="2323"/>
      <c r="AK150" s="2898"/>
      <c r="AL150" s="2895">
        <f t="shared" si="64"/>
        <v>0</v>
      </c>
      <c r="AM150" s="2896" t="str">
        <f t="shared" si="65"/>
        <v/>
      </c>
      <c r="AN150" s="2338"/>
      <c r="AO150" s="2338"/>
      <c r="AP150" s="2338"/>
      <c r="AQ150" s="2338"/>
      <c r="AR150" s="2338"/>
      <c r="AS150" s="2338"/>
      <c r="AT150" s="2338"/>
      <c r="AU150" s="2338"/>
      <c r="AV150" s="2338"/>
      <c r="AW150" s="2338"/>
      <c r="AX150" s="2338"/>
      <c r="AY150" s="2338"/>
      <c r="AZ150" s="2338"/>
      <c r="BA150" s="2338"/>
      <c r="BB150" s="2338"/>
      <c r="BC150" s="2338"/>
      <c r="BD150" s="2338"/>
      <c r="BE150" s="2338"/>
      <c r="BF150" s="2338"/>
      <c r="BG150" s="2338"/>
      <c r="BH150" s="2338"/>
      <c r="BI150" s="2338"/>
      <c r="BJ150" s="2338"/>
      <c r="BK150" s="2338"/>
      <c r="BL150" s="2338"/>
      <c r="BM150" s="2338"/>
      <c r="BN150" s="2338"/>
      <c r="BO150" s="2338"/>
      <c r="BP150" s="2338"/>
      <c r="BQ150" s="2338"/>
      <c r="BR150" s="2338"/>
      <c r="BS150" s="2338"/>
      <c r="BT150" s="2338"/>
      <c r="BU150" s="2338"/>
      <c r="BV150" s="2338"/>
      <c r="BW150" s="2338"/>
      <c r="BX150" s="2338"/>
      <c r="BY150" s="2338"/>
      <c r="BZ150" s="2338"/>
      <c r="CA150" s="2338"/>
      <c r="CB150" s="2338"/>
      <c r="CC150" s="2338"/>
      <c r="CD150" s="2338"/>
      <c r="CE150" s="2338"/>
      <c r="CF150" s="2338"/>
      <c r="CG150" s="2338"/>
      <c r="CH150" s="2338"/>
      <c r="CI150" s="2338"/>
      <c r="CJ150" s="2338"/>
      <c r="CK150" s="2338"/>
      <c r="CL150" s="2338"/>
      <c r="CM150" s="2338"/>
      <c r="CN150" s="2338"/>
      <c r="CO150" s="2338"/>
      <c r="CP150" s="2338"/>
      <c r="CQ150" s="2338"/>
      <c r="CR150" s="2338"/>
      <c r="CS150" s="2338"/>
      <c r="CT150" s="2338"/>
      <c r="CU150" s="2338"/>
      <c r="CV150" s="2338"/>
      <c r="CW150" s="2338"/>
      <c r="CX150" s="2338"/>
      <c r="CY150" s="2338"/>
      <c r="CZ150" s="2338"/>
      <c r="DA150" s="2338"/>
      <c r="DB150" s="2338"/>
      <c r="DC150" s="2338"/>
      <c r="DD150" s="2338"/>
      <c r="DE150" s="2338"/>
      <c r="DF150" s="2338"/>
      <c r="DG150" s="2338"/>
      <c r="DH150" s="2338"/>
      <c r="DI150" s="2338"/>
      <c r="DJ150" s="2338"/>
      <c r="DK150" s="2338"/>
      <c r="DL150" s="2338"/>
      <c r="DM150" s="2338"/>
      <c r="DN150" s="2338"/>
      <c r="DO150" s="2338"/>
    </row>
    <row r="151" spans="1:119" ht="15.75" hidden="1" customHeight="1" outlineLevel="1">
      <c r="A151" s="2339"/>
      <c r="B151" s="3033"/>
      <c r="C151" s="3035" t="s">
        <v>3912</v>
      </c>
      <c r="D151" s="3035" t="s">
        <v>3908</v>
      </c>
      <c r="E151" s="3028" t="s">
        <v>3909</v>
      </c>
      <c r="F151" s="3692" t="s">
        <v>3860</v>
      </c>
      <c r="G151" s="3693"/>
      <c r="H151" s="2323"/>
      <c r="I151" s="2323"/>
      <c r="J151" s="2323"/>
      <c r="K151" s="2323"/>
      <c r="L151" s="2323"/>
      <c r="M151" s="2323"/>
      <c r="N151" s="2323"/>
      <c r="O151" s="2323"/>
      <c r="P151" s="2323"/>
      <c r="Q151" s="2323"/>
      <c r="R151" s="2323"/>
      <c r="S151" s="2323"/>
      <c r="T151" s="2383"/>
      <c r="U151" s="2383"/>
      <c r="V151" s="2319"/>
      <c r="W151" s="2319"/>
      <c r="X151" s="2319"/>
      <c r="Y151" s="2319"/>
      <c r="Z151" s="2566"/>
      <c r="AA151" s="2566"/>
      <c r="AB151" s="2566"/>
      <c r="AC151" s="2566"/>
      <c r="AD151" s="2323"/>
      <c r="AE151" s="2323"/>
      <c r="AF151" s="2323"/>
      <c r="AG151" s="2323"/>
      <c r="AH151" s="2323"/>
      <c r="AI151" s="2323"/>
      <c r="AJ151" s="2323"/>
      <c r="AK151" s="2898"/>
      <c r="AL151" s="2895">
        <f t="shared" si="64"/>
        <v>0</v>
      </c>
      <c r="AM151" s="2896" t="str">
        <f t="shared" si="65"/>
        <v/>
      </c>
      <c r="AN151" s="2338"/>
      <c r="AO151" s="2338"/>
      <c r="AP151" s="2338"/>
      <c r="AQ151" s="2338"/>
      <c r="AR151" s="2338"/>
      <c r="AS151" s="2338"/>
      <c r="AT151" s="2338"/>
      <c r="AU151" s="2338"/>
      <c r="AV151" s="2338"/>
      <c r="AW151" s="2338"/>
      <c r="AX151" s="2338"/>
      <c r="AY151" s="2338"/>
      <c r="AZ151" s="2338"/>
      <c r="BA151" s="2338"/>
      <c r="BB151" s="2338"/>
      <c r="BC151" s="2338"/>
      <c r="BD151" s="2338"/>
      <c r="BE151" s="2338"/>
      <c r="BF151" s="2338"/>
      <c r="BG151" s="2338"/>
      <c r="BH151" s="2338"/>
      <c r="BI151" s="2338"/>
      <c r="BJ151" s="2338"/>
      <c r="BK151" s="2338"/>
      <c r="BL151" s="2338"/>
      <c r="BM151" s="2338"/>
      <c r="BN151" s="2338"/>
      <c r="BO151" s="2338"/>
      <c r="BP151" s="2338"/>
      <c r="BQ151" s="2338"/>
      <c r="BR151" s="2338"/>
      <c r="BS151" s="2338"/>
      <c r="BT151" s="2338"/>
      <c r="BU151" s="2338"/>
      <c r="BV151" s="2338"/>
      <c r="BW151" s="2338"/>
      <c r="BX151" s="2338"/>
      <c r="BY151" s="2338"/>
      <c r="BZ151" s="2338"/>
      <c r="CA151" s="2338"/>
      <c r="CB151" s="2338"/>
      <c r="CC151" s="2338"/>
      <c r="CD151" s="2338"/>
      <c r="CE151" s="2338"/>
      <c r="CF151" s="2338"/>
      <c r="CG151" s="2338"/>
      <c r="CH151" s="2338"/>
      <c r="CI151" s="2338"/>
      <c r="CJ151" s="2338"/>
      <c r="CK151" s="2338"/>
      <c r="CL151" s="2338"/>
      <c r="CM151" s="2338"/>
      <c r="CN151" s="2338"/>
      <c r="CO151" s="2338"/>
      <c r="CP151" s="2338"/>
      <c r="CQ151" s="2338"/>
      <c r="CR151" s="2338"/>
      <c r="CS151" s="2338"/>
      <c r="CT151" s="2338"/>
      <c r="CU151" s="2338"/>
      <c r="CV151" s="2338"/>
      <c r="CW151" s="2338"/>
      <c r="CX151" s="2338"/>
      <c r="CY151" s="2338"/>
      <c r="CZ151" s="2338"/>
      <c r="DA151" s="2338"/>
      <c r="DB151" s="2338"/>
      <c r="DC151" s="2338"/>
      <c r="DD151" s="2338"/>
      <c r="DE151" s="2338"/>
      <c r="DF151" s="2338"/>
      <c r="DG151" s="2338"/>
      <c r="DH151" s="2338"/>
      <c r="DI151" s="2338"/>
      <c r="DJ151" s="2338"/>
      <c r="DK151" s="2338"/>
      <c r="DL151" s="2338"/>
      <c r="DM151" s="2338"/>
      <c r="DN151" s="2338"/>
      <c r="DO151" s="2338"/>
    </row>
    <row r="152" spans="1:119" ht="15" hidden="1" customHeight="1" outlineLevel="1">
      <c r="A152" s="2339"/>
      <c r="B152" s="3033"/>
      <c r="C152" s="3035"/>
      <c r="D152" s="3035"/>
      <c r="E152" s="3028"/>
      <c r="F152" s="3692" t="s">
        <v>3861</v>
      </c>
      <c r="G152" s="3693"/>
      <c r="H152" s="2323"/>
      <c r="I152" s="2323"/>
      <c r="J152" s="2323"/>
      <c r="K152" s="2323"/>
      <c r="L152" s="2323"/>
      <c r="M152" s="2323"/>
      <c r="N152" s="2323"/>
      <c r="O152" s="2323"/>
      <c r="P152" s="2323"/>
      <c r="Q152" s="2323"/>
      <c r="R152" s="2323"/>
      <c r="S152" s="2323"/>
      <c r="T152" s="2383"/>
      <c r="U152" s="2383"/>
      <c r="V152" s="2319"/>
      <c r="W152" s="2319"/>
      <c r="X152" s="2319"/>
      <c r="Y152" s="2319"/>
      <c r="Z152" s="2566"/>
      <c r="AA152" s="2566"/>
      <c r="AB152" s="2566"/>
      <c r="AC152" s="2566"/>
      <c r="AD152" s="2323"/>
      <c r="AE152" s="2323"/>
      <c r="AF152" s="2323"/>
      <c r="AG152" s="2323"/>
      <c r="AH152" s="2323"/>
      <c r="AI152" s="2323"/>
      <c r="AJ152" s="2323"/>
      <c r="AK152" s="2898"/>
      <c r="AL152" s="2895">
        <f t="shared" si="64"/>
        <v>0</v>
      </c>
      <c r="AM152" s="2896" t="str">
        <f t="shared" si="65"/>
        <v/>
      </c>
      <c r="AN152" s="2338"/>
      <c r="AO152" s="2338"/>
      <c r="AP152" s="2338"/>
      <c r="AQ152" s="2338"/>
      <c r="AR152" s="2338"/>
      <c r="AS152" s="2338"/>
      <c r="AT152" s="2338"/>
      <c r="AU152" s="2338"/>
      <c r="AV152" s="2338"/>
      <c r="AW152" s="2338"/>
      <c r="AX152" s="2338"/>
      <c r="AY152" s="2338"/>
      <c r="AZ152" s="2338"/>
      <c r="BA152" s="2338"/>
      <c r="BB152" s="2338"/>
      <c r="BC152" s="2338"/>
      <c r="BD152" s="2338"/>
      <c r="BE152" s="2338"/>
      <c r="BF152" s="2338"/>
      <c r="BG152" s="2338"/>
      <c r="BH152" s="2338"/>
      <c r="BI152" s="2338"/>
      <c r="BJ152" s="2338"/>
      <c r="BK152" s="2338"/>
      <c r="BL152" s="2338"/>
      <c r="BM152" s="2338"/>
      <c r="BN152" s="2338"/>
      <c r="BO152" s="2338"/>
      <c r="BP152" s="2338"/>
      <c r="BQ152" s="2338"/>
      <c r="BR152" s="2338"/>
      <c r="BS152" s="2338"/>
      <c r="BT152" s="2338"/>
      <c r="BU152" s="2338"/>
      <c r="BV152" s="2338"/>
      <c r="BW152" s="2338"/>
      <c r="BX152" s="2338"/>
      <c r="BY152" s="2338"/>
      <c r="BZ152" s="2338"/>
      <c r="CA152" s="2338"/>
      <c r="CB152" s="2338"/>
      <c r="CC152" s="2338"/>
      <c r="CD152" s="2338"/>
      <c r="CE152" s="2338"/>
      <c r="CF152" s="2338"/>
      <c r="CG152" s="2338"/>
      <c r="CH152" s="2338"/>
      <c r="CI152" s="2338"/>
      <c r="CJ152" s="2338"/>
      <c r="CK152" s="2338"/>
      <c r="CL152" s="2338"/>
      <c r="CM152" s="2338"/>
      <c r="CN152" s="2338"/>
      <c r="CO152" s="2338"/>
      <c r="CP152" s="2338"/>
      <c r="CQ152" s="2338"/>
      <c r="CR152" s="2338"/>
      <c r="CS152" s="2338"/>
      <c r="CT152" s="2338"/>
      <c r="CU152" s="2338"/>
      <c r="CV152" s="2338"/>
      <c r="CW152" s="2338"/>
      <c r="CX152" s="2338"/>
      <c r="CY152" s="2338"/>
      <c r="CZ152" s="2338"/>
      <c r="DA152" s="2338"/>
      <c r="DB152" s="2338"/>
      <c r="DC152" s="2338"/>
      <c r="DD152" s="2338"/>
      <c r="DE152" s="2338"/>
      <c r="DF152" s="2338"/>
      <c r="DG152" s="2338"/>
      <c r="DH152" s="2338"/>
      <c r="DI152" s="2338"/>
      <c r="DJ152" s="2338"/>
      <c r="DK152" s="2338"/>
      <c r="DL152" s="2338"/>
      <c r="DM152" s="2338"/>
      <c r="DN152" s="2338"/>
      <c r="DO152" s="2338"/>
    </row>
    <row r="153" spans="1:119" ht="15" hidden="1" customHeight="1" outlineLevel="1">
      <c r="A153" s="2339"/>
      <c r="B153" s="3033"/>
      <c r="C153" s="3035"/>
      <c r="D153" s="3035"/>
      <c r="E153" s="3028"/>
      <c r="F153" s="3692" t="s">
        <v>3862</v>
      </c>
      <c r="G153" s="3693"/>
      <c r="H153" s="2323"/>
      <c r="I153" s="2323"/>
      <c r="J153" s="2323"/>
      <c r="K153" s="2323"/>
      <c r="L153" s="2323"/>
      <c r="M153" s="2323"/>
      <c r="N153" s="2323"/>
      <c r="O153" s="2323"/>
      <c r="P153" s="2323"/>
      <c r="Q153" s="2323"/>
      <c r="R153" s="2323"/>
      <c r="S153" s="2323"/>
      <c r="T153" s="2383"/>
      <c r="U153" s="2383"/>
      <c r="V153" s="2319"/>
      <c r="W153" s="2319"/>
      <c r="X153" s="2319"/>
      <c r="Y153" s="2319"/>
      <c r="Z153" s="2566"/>
      <c r="AA153" s="2566"/>
      <c r="AB153" s="2566"/>
      <c r="AC153" s="2566"/>
      <c r="AD153" s="2323"/>
      <c r="AE153" s="2323"/>
      <c r="AF153" s="2323"/>
      <c r="AG153" s="2323"/>
      <c r="AH153" s="2323"/>
      <c r="AI153" s="2323"/>
      <c r="AJ153" s="2323"/>
      <c r="AK153" s="2898"/>
      <c r="AL153" s="2895">
        <f t="shared" si="64"/>
        <v>0</v>
      </c>
      <c r="AM153" s="2896" t="str">
        <f t="shared" si="65"/>
        <v/>
      </c>
      <c r="AN153" s="2338"/>
      <c r="AO153" s="2338"/>
      <c r="AP153" s="2338"/>
      <c r="AQ153" s="2338"/>
      <c r="AR153" s="2338"/>
      <c r="AS153" s="2338"/>
      <c r="AT153" s="2338"/>
      <c r="AU153" s="2338"/>
      <c r="AV153" s="2338"/>
      <c r="AW153" s="2338"/>
      <c r="AX153" s="2338"/>
      <c r="AY153" s="2338"/>
      <c r="AZ153" s="2338"/>
      <c r="BA153" s="2338"/>
      <c r="BB153" s="2338"/>
      <c r="BC153" s="2338"/>
      <c r="BD153" s="2338"/>
      <c r="BE153" s="2338"/>
      <c r="BF153" s="2338"/>
      <c r="BG153" s="2338"/>
      <c r="BH153" s="2338"/>
      <c r="BI153" s="2338"/>
      <c r="BJ153" s="2338"/>
      <c r="BK153" s="2338"/>
      <c r="BL153" s="2338"/>
      <c r="BM153" s="2338"/>
      <c r="BN153" s="2338"/>
      <c r="BO153" s="2338"/>
      <c r="BP153" s="2338"/>
      <c r="BQ153" s="2338"/>
      <c r="BR153" s="2338"/>
      <c r="BS153" s="2338"/>
      <c r="BT153" s="2338"/>
      <c r="BU153" s="2338"/>
      <c r="BV153" s="2338"/>
      <c r="BW153" s="2338"/>
      <c r="BX153" s="2338"/>
      <c r="BY153" s="2338"/>
      <c r="BZ153" s="2338"/>
      <c r="CA153" s="2338"/>
      <c r="CB153" s="2338"/>
      <c r="CC153" s="2338"/>
      <c r="CD153" s="2338"/>
      <c r="CE153" s="2338"/>
      <c r="CF153" s="2338"/>
      <c r="CG153" s="2338"/>
      <c r="CH153" s="2338"/>
      <c r="CI153" s="2338"/>
      <c r="CJ153" s="2338"/>
      <c r="CK153" s="2338"/>
      <c r="CL153" s="2338"/>
      <c r="CM153" s="2338"/>
      <c r="CN153" s="2338"/>
      <c r="CO153" s="2338"/>
      <c r="CP153" s="2338"/>
      <c r="CQ153" s="2338"/>
      <c r="CR153" s="2338"/>
      <c r="CS153" s="2338"/>
      <c r="CT153" s="2338"/>
      <c r="CU153" s="2338"/>
      <c r="CV153" s="2338"/>
      <c r="CW153" s="2338"/>
      <c r="CX153" s="2338"/>
      <c r="CY153" s="2338"/>
      <c r="CZ153" s="2338"/>
      <c r="DA153" s="2338"/>
      <c r="DB153" s="2338"/>
      <c r="DC153" s="2338"/>
      <c r="DD153" s="2338"/>
      <c r="DE153" s="2338"/>
      <c r="DF153" s="2338"/>
      <c r="DG153" s="2338"/>
      <c r="DH153" s="2338"/>
      <c r="DI153" s="2338"/>
      <c r="DJ153" s="2338"/>
      <c r="DK153" s="2338"/>
      <c r="DL153" s="2338"/>
      <c r="DM153" s="2338"/>
      <c r="DN153" s="2338"/>
      <c r="DO153" s="2338"/>
    </row>
    <row r="154" spans="1:119" ht="15" hidden="1" customHeight="1" outlineLevel="1">
      <c r="A154" s="2339"/>
      <c r="B154" s="3033"/>
      <c r="C154" s="3035"/>
      <c r="D154" s="3035"/>
      <c r="E154" s="3028"/>
      <c r="F154" s="3692" t="s">
        <v>3863</v>
      </c>
      <c r="G154" s="3693"/>
      <c r="H154" s="2323"/>
      <c r="I154" s="2323"/>
      <c r="J154" s="2323"/>
      <c r="K154" s="2323"/>
      <c r="L154" s="2323"/>
      <c r="M154" s="2323"/>
      <c r="N154" s="2323"/>
      <c r="O154" s="2323"/>
      <c r="P154" s="2323"/>
      <c r="Q154" s="2323"/>
      <c r="R154" s="2323"/>
      <c r="S154" s="2323"/>
      <c r="T154" s="2383"/>
      <c r="U154" s="2383"/>
      <c r="V154" s="2319"/>
      <c r="W154" s="2319"/>
      <c r="X154" s="2319"/>
      <c r="Y154" s="2319"/>
      <c r="Z154" s="2566"/>
      <c r="AA154" s="2566"/>
      <c r="AB154" s="2566"/>
      <c r="AC154" s="2566"/>
      <c r="AD154" s="2323"/>
      <c r="AE154" s="2323"/>
      <c r="AF154" s="2323"/>
      <c r="AG154" s="2323"/>
      <c r="AH154" s="2323"/>
      <c r="AI154" s="2323"/>
      <c r="AJ154" s="2323"/>
      <c r="AK154" s="2898"/>
      <c r="AL154" s="2895">
        <f t="shared" si="64"/>
        <v>0</v>
      </c>
      <c r="AM154" s="2896" t="str">
        <f t="shared" si="65"/>
        <v/>
      </c>
      <c r="AN154" s="2338"/>
      <c r="AO154" s="2338"/>
      <c r="AP154" s="2338"/>
      <c r="AQ154" s="2338"/>
      <c r="AR154" s="2338"/>
      <c r="AS154" s="2338"/>
      <c r="AT154" s="2338"/>
      <c r="AU154" s="2338"/>
      <c r="AV154" s="2338"/>
      <c r="AW154" s="2338"/>
      <c r="AX154" s="2338"/>
      <c r="AY154" s="2338"/>
      <c r="AZ154" s="2338"/>
      <c r="BA154" s="2338"/>
      <c r="BB154" s="2338"/>
      <c r="BC154" s="2338"/>
      <c r="BD154" s="2338"/>
      <c r="BE154" s="2338"/>
      <c r="BF154" s="2338"/>
      <c r="BG154" s="2338"/>
      <c r="BH154" s="2338"/>
      <c r="BI154" s="2338"/>
      <c r="BJ154" s="2338"/>
      <c r="BK154" s="2338"/>
      <c r="BL154" s="2338"/>
      <c r="BM154" s="2338"/>
      <c r="BN154" s="2338"/>
      <c r="BO154" s="2338"/>
      <c r="BP154" s="2338"/>
      <c r="BQ154" s="2338"/>
      <c r="BR154" s="2338"/>
      <c r="BS154" s="2338"/>
      <c r="BT154" s="2338"/>
      <c r="BU154" s="2338"/>
      <c r="BV154" s="2338"/>
      <c r="BW154" s="2338"/>
      <c r="BX154" s="2338"/>
      <c r="BY154" s="2338"/>
      <c r="BZ154" s="2338"/>
      <c r="CA154" s="2338"/>
      <c r="CB154" s="2338"/>
      <c r="CC154" s="2338"/>
      <c r="CD154" s="2338"/>
      <c r="CE154" s="2338"/>
      <c r="CF154" s="2338"/>
      <c r="CG154" s="2338"/>
      <c r="CH154" s="2338"/>
      <c r="CI154" s="2338"/>
      <c r="CJ154" s="2338"/>
      <c r="CK154" s="2338"/>
      <c r="CL154" s="2338"/>
      <c r="CM154" s="2338"/>
      <c r="CN154" s="2338"/>
      <c r="CO154" s="2338"/>
      <c r="CP154" s="2338"/>
      <c r="CQ154" s="2338"/>
      <c r="CR154" s="2338"/>
      <c r="CS154" s="2338"/>
      <c r="CT154" s="2338"/>
      <c r="CU154" s="2338"/>
      <c r="CV154" s="2338"/>
      <c r="CW154" s="2338"/>
      <c r="CX154" s="2338"/>
      <c r="CY154" s="2338"/>
      <c r="CZ154" s="2338"/>
      <c r="DA154" s="2338"/>
      <c r="DB154" s="2338"/>
      <c r="DC154" s="2338"/>
      <c r="DD154" s="2338"/>
      <c r="DE154" s="2338"/>
      <c r="DF154" s="2338"/>
      <c r="DG154" s="2338"/>
      <c r="DH154" s="2338"/>
      <c r="DI154" s="2338"/>
      <c r="DJ154" s="2338"/>
      <c r="DK154" s="2338"/>
      <c r="DL154" s="2338"/>
      <c r="DM154" s="2338"/>
      <c r="DN154" s="2338"/>
      <c r="DO154" s="2338"/>
    </row>
    <row r="155" spans="1:119" ht="15" hidden="1" customHeight="1" outlineLevel="1">
      <c r="A155" s="2339"/>
      <c r="B155" s="3033"/>
      <c r="C155" s="3035"/>
      <c r="D155" s="3035"/>
      <c r="E155" s="3028"/>
      <c r="F155" s="3692" t="s">
        <v>3864</v>
      </c>
      <c r="G155" s="3693"/>
      <c r="H155" s="2323"/>
      <c r="I155" s="2323"/>
      <c r="J155" s="2323"/>
      <c r="K155" s="2323"/>
      <c r="L155" s="2323"/>
      <c r="M155" s="2323"/>
      <c r="N155" s="2323"/>
      <c r="O155" s="2323"/>
      <c r="P155" s="2323"/>
      <c r="Q155" s="2323"/>
      <c r="R155" s="2323"/>
      <c r="S155" s="2323"/>
      <c r="T155" s="2383"/>
      <c r="U155" s="2383"/>
      <c r="V155" s="2319"/>
      <c r="W155" s="2319"/>
      <c r="X155" s="2319"/>
      <c r="Y155" s="2319"/>
      <c r="Z155" s="2566"/>
      <c r="AA155" s="2566"/>
      <c r="AB155" s="2566"/>
      <c r="AC155" s="2566"/>
      <c r="AD155" s="2323"/>
      <c r="AE155" s="2323"/>
      <c r="AF155" s="2323"/>
      <c r="AG155" s="2323"/>
      <c r="AH155" s="2323"/>
      <c r="AI155" s="2323"/>
      <c r="AJ155" s="2323"/>
      <c r="AK155" s="2898"/>
      <c r="AL155" s="2895">
        <f t="shared" si="64"/>
        <v>0</v>
      </c>
      <c r="AM155" s="2896" t="str">
        <f t="shared" si="65"/>
        <v/>
      </c>
      <c r="AN155" s="2338"/>
      <c r="AO155" s="2338"/>
      <c r="AP155" s="2338"/>
      <c r="AQ155" s="2338"/>
      <c r="AR155" s="2338"/>
      <c r="AS155" s="2338"/>
      <c r="AT155" s="2338"/>
      <c r="AU155" s="2338"/>
      <c r="AV155" s="2338"/>
      <c r="AW155" s="2338"/>
      <c r="AX155" s="2338"/>
      <c r="AY155" s="2338"/>
      <c r="AZ155" s="2338"/>
      <c r="BA155" s="2338"/>
      <c r="BB155" s="2338"/>
      <c r="BC155" s="2338"/>
      <c r="BD155" s="2338"/>
      <c r="BE155" s="2338"/>
      <c r="BF155" s="2338"/>
      <c r="BG155" s="2338"/>
      <c r="BH155" s="2338"/>
      <c r="BI155" s="2338"/>
      <c r="BJ155" s="2338"/>
      <c r="BK155" s="2338"/>
      <c r="BL155" s="2338"/>
      <c r="BM155" s="2338"/>
      <c r="BN155" s="2338"/>
      <c r="BO155" s="2338"/>
      <c r="BP155" s="2338"/>
      <c r="BQ155" s="2338"/>
      <c r="BR155" s="2338"/>
      <c r="BS155" s="2338"/>
      <c r="BT155" s="2338"/>
      <c r="BU155" s="2338"/>
      <c r="BV155" s="2338"/>
      <c r="BW155" s="2338"/>
      <c r="BX155" s="2338"/>
      <c r="BY155" s="2338"/>
      <c r="BZ155" s="2338"/>
      <c r="CA155" s="2338"/>
      <c r="CB155" s="2338"/>
      <c r="CC155" s="2338"/>
      <c r="CD155" s="2338"/>
      <c r="CE155" s="2338"/>
      <c r="CF155" s="2338"/>
      <c r="CG155" s="2338"/>
      <c r="CH155" s="2338"/>
      <c r="CI155" s="2338"/>
      <c r="CJ155" s="2338"/>
      <c r="CK155" s="2338"/>
      <c r="CL155" s="2338"/>
      <c r="CM155" s="2338"/>
      <c r="CN155" s="2338"/>
      <c r="CO155" s="2338"/>
      <c r="CP155" s="2338"/>
      <c r="CQ155" s="2338"/>
      <c r="CR155" s="2338"/>
      <c r="CS155" s="2338"/>
      <c r="CT155" s="2338"/>
      <c r="CU155" s="2338"/>
      <c r="CV155" s="2338"/>
      <c r="CW155" s="2338"/>
      <c r="CX155" s="2338"/>
      <c r="CY155" s="2338"/>
      <c r="CZ155" s="2338"/>
      <c r="DA155" s="2338"/>
      <c r="DB155" s="2338"/>
      <c r="DC155" s="2338"/>
      <c r="DD155" s="2338"/>
      <c r="DE155" s="2338"/>
      <c r="DF155" s="2338"/>
      <c r="DG155" s="2338"/>
      <c r="DH155" s="2338"/>
      <c r="DI155" s="2338"/>
      <c r="DJ155" s="2338"/>
      <c r="DK155" s="2338"/>
      <c r="DL155" s="2338"/>
      <c r="DM155" s="2338"/>
      <c r="DN155" s="2338"/>
      <c r="DO155" s="2338"/>
    </row>
    <row r="156" spans="1:119" ht="15" hidden="1" customHeight="1" outlineLevel="1">
      <c r="A156" s="2339"/>
      <c r="B156" s="3033"/>
      <c r="C156" s="3035"/>
      <c r="D156" s="3035"/>
      <c r="E156" s="3028"/>
      <c r="F156" s="3692" t="s">
        <v>3865</v>
      </c>
      <c r="G156" s="3693"/>
      <c r="H156" s="2323"/>
      <c r="I156" s="2323"/>
      <c r="J156" s="2323"/>
      <c r="K156" s="2323"/>
      <c r="L156" s="2323"/>
      <c r="M156" s="2323"/>
      <c r="N156" s="2323"/>
      <c r="O156" s="2323"/>
      <c r="P156" s="2323"/>
      <c r="Q156" s="2323"/>
      <c r="R156" s="2323"/>
      <c r="S156" s="2323"/>
      <c r="T156" s="2383"/>
      <c r="U156" s="2383"/>
      <c r="V156" s="2319"/>
      <c r="W156" s="2319"/>
      <c r="X156" s="2319"/>
      <c r="Y156" s="2319"/>
      <c r="Z156" s="2566"/>
      <c r="AA156" s="2566"/>
      <c r="AB156" s="2566"/>
      <c r="AC156" s="2566"/>
      <c r="AD156" s="2323"/>
      <c r="AE156" s="2323"/>
      <c r="AF156" s="2323"/>
      <c r="AG156" s="2323"/>
      <c r="AH156" s="2323"/>
      <c r="AI156" s="2323"/>
      <c r="AJ156" s="2323"/>
      <c r="AK156" s="2898"/>
      <c r="AL156" s="2895">
        <f t="shared" si="64"/>
        <v>0</v>
      </c>
      <c r="AM156" s="2896" t="str">
        <f t="shared" si="65"/>
        <v/>
      </c>
      <c r="AN156" s="2338"/>
      <c r="AO156" s="2338"/>
      <c r="AP156" s="2338"/>
      <c r="AQ156" s="2338"/>
      <c r="AR156" s="2338"/>
      <c r="AS156" s="2338"/>
      <c r="AT156" s="2338"/>
      <c r="AU156" s="2338"/>
      <c r="AV156" s="2338"/>
      <c r="AW156" s="2338"/>
      <c r="AX156" s="2338"/>
      <c r="AY156" s="2338"/>
      <c r="AZ156" s="2338"/>
      <c r="BA156" s="2338"/>
      <c r="BB156" s="2338"/>
      <c r="BC156" s="2338"/>
      <c r="BD156" s="2338"/>
      <c r="BE156" s="2338"/>
      <c r="BF156" s="2338"/>
      <c r="BG156" s="2338"/>
      <c r="BH156" s="2338"/>
      <c r="BI156" s="2338"/>
      <c r="BJ156" s="2338"/>
      <c r="BK156" s="2338"/>
      <c r="BL156" s="2338"/>
      <c r="BM156" s="2338"/>
      <c r="BN156" s="2338"/>
      <c r="BO156" s="2338"/>
      <c r="BP156" s="2338"/>
      <c r="BQ156" s="2338"/>
      <c r="BR156" s="2338"/>
      <c r="BS156" s="2338"/>
      <c r="BT156" s="2338"/>
      <c r="BU156" s="2338"/>
      <c r="BV156" s="2338"/>
      <c r="BW156" s="2338"/>
      <c r="BX156" s="2338"/>
      <c r="BY156" s="2338"/>
      <c r="BZ156" s="2338"/>
      <c r="CA156" s="2338"/>
      <c r="CB156" s="2338"/>
      <c r="CC156" s="2338"/>
      <c r="CD156" s="2338"/>
      <c r="CE156" s="2338"/>
      <c r="CF156" s="2338"/>
      <c r="CG156" s="2338"/>
      <c r="CH156" s="2338"/>
      <c r="CI156" s="2338"/>
      <c r="CJ156" s="2338"/>
      <c r="CK156" s="2338"/>
      <c r="CL156" s="2338"/>
      <c r="CM156" s="2338"/>
      <c r="CN156" s="2338"/>
      <c r="CO156" s="2338"/>
      <c r="CP156" s="2338"/>
      <c r="CQ156" s="2338"/>
      <c r="CR156" s="2338"/>
      <c r="CS156" s="2338"/>
      <c r="CT156" s="2338"/>
      <c r="CU156" s="2338"/>
      <c r="CV156" s="2338"/>
      <c r="CW156" s="2338"/>
      <c r="CX156" s="2338"/>
      <c r="CY156" s="2338"/>
      <c r="CZ156" s="2338"/>
      <c r="DA156" s="2338"/>
      <c r="DB156" s="2338"/>
      <c r="DC156" s="2338"/>
      <c r="DD156" s="2338"/>
      <c r="DE156" s="2338"/>
      <c r="DF156" s="2338"/>
      <c r="DG156" s="2338"/>
      <c r="DH156" s="2338"/>
      <c r="DI156" s="2338"/>
      <c r="DJ156" s="2338"/>
      <c r="DK156" s="2338"/>
      <c r="DL156" s="2338"/>
      <c r="DM156" s="2338"/>
      <c r="DN156" s="2338"/>
      <c r="DO156" s="2338"/>
    </row>
    <row r="157" spans="1:119" s="2344" customFormat="1" ht="15.75" hidden="1" customHeight="1" outlineLevel="1">
      <c r="A157" s="2339"/>
      <c r="B157" s="3033"/>
      <c r="C157" s="3035"/>
      <c r="D157" s="3035" t="s">
        <v>3911</v>
      </c>
      <c r="E157" s="3028" t="s">
        <v>3909</v>
      </c>
      <c r="F157" s="3692" t="s">
        <v>3860</v>
      </c>
      <c r="G157" s="3693"/>
      <c r="H157" s="2323"/>
      <c r="I157" s="2323"/>
      <c r="J157" s="2323"/>
      <c r="K157" s="2323"/>
      <c r="L157" s="2323"/>
      <c r="M157" s="2323"/>
      <c r="N157" s="2323"/>
      <c r="O157" s="2323"/>
      <c r="P157" s="2323"/>
      <c r="Q157" s="2323"/>
      <c r="R157" s="2323"/>
      <c r="S157" s="2323"/>
      <c r="T157" s="2383"/>
      <c r="U157" s="2383"/>
      <c r="V157" s="2343"/>
      <c r="W157" s="2343"/>
      <c r="X157" s="2343"/>
      <c r="Y157" s="2343"/>
      <c r="Z157" s="2566"/>
      <c r="AA157" s="2566"/>
      <c r="AB157" s="2566"/>
      <c r="AC157" s="2566"/>
      <c r="AD157" s="2323"/>
      <c r="AE157" s="2323"/>
      <c r="AF157" s="2323"/>
      <c r="AG157" s="2323"/>
      <c r="AH157" s="2323"/>
      <c r="AI157" s="2323"/>
      <c r="AJ157" s="2323"/>
      <c r="AK157" s="2898"/>
      <c r="AL157" s="2895">
        <f t="shared" si="64"/>
        <v>0</v>
      </c>
      <c r="AM157" s="2896" t="str">
        <f t="shared" si="65"/>
        <v/>
      </c>
      <c r="AN157" s="2338"/>
      <c r="AO157" s="2338"/>
      <c r="AP157" s="2338"/>
      <c r="AQ157" s="2338"/>
      <c r="AR157" s="2338"/>
      <c r="AS157" s="2338"/>
      <c r="AT157" s="2338"/>
      <c r="AU157" s="2338"/>
      <c r="AV157" s="2338"/>
      <c r="AW157" s="2338"/>
      <c r="AX157" s="2338"/>
      <c r="AY157" s="2338"/>
      <c r="AZ157" s="2338"/>
      <c r="BA157" s="2338"/>
      <c r="BB157" s="2338"/>
      <c r="BC157" s="2338"/>
      <c r="BD157" s="2338"/>
      <c r="BE157" s="2338"/>
      <c r="BF157" s="2338"/>
      <c r="BG157" s="2338"/>
      <c r="BH157" s="2338"/>
      <c r="BI157" s="2338"/>
      <c r="BJ157" s="2338"/>
      <c r="BK157" s="2338"/>
      <c r="BL157" s="2338"/>
      <c r="BM157" s="2338"/>
      <c r="BN157" s="2338"/>
      <c r="BO157" s="2338"/>
      <c r="BP157" s="2338"/>
      <c r="BQ157" s="2338"/>
      <c r="BR157" s="2338"/>
      <c r="BS157" s="2338"/>
      <c r="BT157" s="2338"/>
      <c r="BU157" s="2338"/>
      <c r="BV157" s="2338"/>
      <c r="BW157" s="2338"/>
      <c r="BX157" s="2338"/>
      <c r="BY157" s="2338"/>
      <c r="BZ157" s="2338"/>
      <c r="CA157" s="2338"/>
      <c r="CB157" s="2338"/>
      <c r="CC157" s="2338"/>
      <c r="CD157" s="2338"/>
      <c r="CE157" s="2338"/>
      <c r="CF157" s="2338"/>
      <c r="CG157" s="2338"/>
      <c r="CH157" s="2338"/>
      <c r="CI157" s="2338"/>
      <c r="CJ157" s="2338"/>
      <c r="CK157" s="2338"/>
      <c r="CL157" s="2338"/>
      <c r="CM157" s="2338"/>
      <c r="CN157" s="2338"/>
      <c r="CO157" s="2338"/>
      <c r="CP157" s="2338"/>
      <c r="CQ157" s="2338"/>
      <c r="CR157" s="2338"/>
      <c r="CS157" s="2338"/>
      <c r="CT157" s="2338"/>
      <c r="CU157" s="2338"/>
      <c r="CV157" s="2338"/>
      <c r="CW157" s="2338"/>
      <c r="CX157" s="2338"/>
      <c r="CY157" s="2338"/>
      <c r="CZ157" s="2338"/>
      <c r="DA157" s="2338"/>
      <c r="DB157" s="2338"/>
      <c r="DC157" s="2338"/>
      <c r="DD157" s="2338"/>
      <c r="DE157" s="2338"/>
      <c r="DF157" s="2338"/>
      <c r="DG157" s="2338"/>
      <c r="DH157" s="2338"/>
      <c r="DI157" s="2338"/>
      <c r="DJ157" s="2338"/>
      <c r="DK157" s="2338"/>
      <c r="DL157" s="2338"/>
      <c r="DM157" s="2338"/>
      <c r="DN157" s="2338"/>
      <c r="DO157" s="2338"/>
    </row>
    <row r="158" spans="1:119" s="2344" customFormat="1" ht="15" hidden="1" customHeight="1" outlineLevel="1">
      <c r="A158" s="2339"/>
      <c r="B158" s="3033"/>
      <c r="C158" s="3035"/>
      <c r="D158" s="3035"/>
      <c r="E158" s="3028"/>
      <c r="F158" s="3692" t="s">
        <v>3861</v>
      </c>
      <c r="G158" s="3693"/>
      <c r="H158" s="2323"/>
      <c r="I158" s="2323"/>
      <c r="J158" s="2323"/>
      <c r="K158" s="2323"/>
      <c r="L158" s="2323"/>
      <c r="M158" s="2323"/>
      <c r="N158" s="2323"/>
      <c r="O158" s="2323"/>
      <c r="P158" s="2323"/>
      <c r="Q158" s="2323"/>
      <c r="R158" s="2323"/>
      <c r="S158" s="2323"/>
      <c r="T158" s="2383"/>
      <c r="U158" s="2383"/>
      <c r="V158" s="2343"/>
      <c r="W158" s="2343"/>
      <c r="X158" s="2343"/>
      <c r="Y158" s="2343"/>
      <c r="Z158" s="2566"/>
      <c r="AA158" s="2566"/>
      <c r="AB158" s="2566"/>
      <c r="AC158" s="2566"/>
      <c r="AD158" s="2323"/>
      <c r="AE158" s="2323"/>
      <c r="AF158" s="2323"/>
      <c r="AG158" s="2323"/>
      <c r="AH158" s="2323"/>
      <c r="AI158" s="2323"/>
      <c r="AJ158" s="2323"/>
      <c r="AK158" s="2898"/>
      <c r="AL158" s="2895">
        <f t="shared" si="64"/>
        <v>0</v>
      </c>
      <c r="AM158" s="2896" t="str">
        <f t="shared" si="65"/>
        <v/>
      </c>
      <c r="AN158" s="2338"/>
      <c r="AO158" s="2338"/>
      <c r="AP158" s="2338"/>
      <c r="AQ158" s="2338"/>
      <c r="AR158" s="2338"/>
      <c r="AS158" s="2338"/>
      <c r="AT158" s="2338"/>
      <c r="AU158" s="2338"/>
      <c r="AV158" s="2338"/>
      <c r="AW158" s="2338"/>
      <c r="AX158" s="2338"/>
      <c r="AY158" s="2338"/>
      <c r="AZ158" s="2338"/>
      <c r="BA158" s="2338"/>
      <c r="BB158" s="2338"/>
      <c r="BC158" s="2338"/>
      <c r="BD158" s="2338"/>
      <c r="BE158" s="2338"/>
      <c r="BF158" s="2338"/>
      <c r="BG158" s="2338"/>
      <c r="BH158" s="2338"/>
      <c r="BI158" s="2338"/>
      <c r="BJ158" s="2338"/>
      <c r="BK158" s="2338"/>
      <c r="BL158" s="2338"/>
      <c r="BM158" s="2338"/>
      <c r="BN158" s="2338"/>
      <c r="BO158" s="2338"/>
      <c r="BP158" s="2338"/>
      <c r="BQ158" s="2338"/>
      <c r="BR158" s="2338"/>
      <c r="BS158" s="2338"/>
      <c r="BT158" s="2338"/>
      <c r="BU158" s="2338"/>
      <c r="BV158" s="2338"/>
      <c r="BW158" s="2338"/>
      <c r="BX158" s="2338"/>
      <c r="BY158" s="2338"/>
      <c r="BZ158" s="2338"/>
      <c r="CA158" s="2338"/>
      <c r="CB158" s="2338"/>
      <c r="CC158" s="2338"/>
      <c r="CD158" s="2338"/>
      <c r="CE158" s="2338"/>
      <c r="CF158" s="2338"/>
      <c r="CG158" s="2338"/>
      <c r="CH158" s="2338"/>
      <c r="CI158" s="2338"/>
      <c r="CJ158" s="2338"/>
      <c r="CK158" s="2338"/>
      <c r="CL158" s="2338"/>
      <c r="CM158" s="2338"/>
      <c r="CN158" s="2338"/>
      <c r="CO158" s="2338"/>
      <c r="CP158" s="2338"/>
      <c r="CQ158" s="2338"/>
      <c r="CR158" s="2338"/>
      <c r="CS158" s="2338"/>
      <c r="CT158" s="2338"/>
      <c r="CU158" s="2338"/>
      <c r="CV158" s="2338"/>
      <c r="CW158" s="2338"/>
      <c r="CX158" s="2338"/>
      <c r="CY158" s="2338"/>
      <c r="CZ158" s="2338"/>
      <c r="DA158" s="2338"/>
      <c r="DB158" s="2338"/>
      <c r="DC158" s="2338"/>
      <c r="DD158" s="2338"/>
      <c r="DE158" s="2338"/>
      <c r="DF158" s="2338"/>
      <c r="DG158" s="2338"/>
      <c r="DH158" s="2338"/>
      <c r="DI158" s="2338"/>
      <c r="DJ158" s="2338"/>
      <c r="DK158" s="2338"/>
      <c r="DL158" s="2338"/>
      <c r="DM158" s="2338"/>
      <c r="DN158" s="2338"/>
      <c r="DO158" s="2338"/>
    </row>
    <row r="159" spans="1:119" s="2344" customFormat="1" ht="15" hidden="1" customHeight="1" outlineLevel="1">
      <c r="A159" s="2339"/>
      <c r="B159" s="3033"/>
      <c r="C159" s="3035"/>
      <c r="D159" s="3035"/>
      <c r="E159" s="3028"/>
      <c r="F159" s="3692" t="s">
        <v>3862</v>
      </c>
      <c r="G159" s="3693"/>
      <c r="H159" s="2323"/>
      <c r="I159" s="2323"/>
      <c r="J159" s="2323"/>
      <c r="K159" s="2323"/>
      <c r="L159" s="2323"/>
      <c r="M159" s="2323"/>
      <c r="N159" s="2323"/>
      <c r="O159" s="2323"/>
      <c r="P159" s="2323"/>
      <c r="Q159" s="2323"/>
      <c r="R159" s="2323"/>
      <c r="S159" s="2323"/>
      <c r="T159" s="2383"/>
      <c r="U159" s="2383"/>
      <c r="V159" s="2343"/>
      <c r="W159" s="2343"/>
      <c r="X159" s="2343"/>
      <c r="Y159" s="2343"/>
      <c r="Z159" s="2566"/>
      <c r="AA159" s="2566"/>
      <c r="AB159" s="2566"/>
      <c r="AC159" s="2566"/>
      <c r="AD159" s="2323"/>
      <c r="AE159" s="2323"/>
      <c r="AF159" s="2323"/>
      <c r="AG159" s="2323"/>
      <c r="AH159" s="2323"/>
      <c r="AI159" s="2323"/>
      <c r="AJ159" s="2323"/>
      <c r="AK159" s="2898"/>
      <c r="AL159" s="2895">
        <f t="shared" si="64"/>
        <v>0</v>
      </c>
      <c r="AM159" s="2896" t="str">
        <f t="shared" si="65"/>
        <v/>
      </c>
      <c r="AN159" s="2338"/>
      <c r="AO159" s="2338"/>
      <c r="AP159" s="2338"/>
      <c r="AQ159" s="2338"/>
      <c r="AR159" s="2338"/>
      <c r="AS159" s="2338"/>
      <c r="AT159" s="2338"/>
      <c r="AU159" s="2338"/>
      <c r="AV159" s="2338"/>
      <c r="AW159" s="2338"/>
      <c r="AX159" s="2338"/>
      <c r="AY159" s="2338"/>
      <c r="AZ159" s="2338"/>
      <c r="BA159" s="2338"/>
      <c r="BB159" s="2338"/>
      <c r="BC159" s="2338"/>
      <c r="BD159" s="2338"/>
      <c r="BE159" s="2338"/>
      <c r="BF159" s="2338"/>
      <c r="BG159" s="2338"/>
      <c r="BH159" s="2338"/>
      <c r="BI159" s="2338"/>
      <c r="BJ159" s="2338"/>
      <c r="BK159" s="2338"/>
      <c r="BL159" s="2338"/>
      <c r="BM159" s="2338"/>
      <c r="BN159" s="2338"/>
      <c r="BO159" s="2338"/>
      <c r="BP159" s="2338"/>
      <c r="BQ159" s="2338"/>
      <c r="BR159" s="2338"/>
      <c r="BS159" s="2338"/>
      <c r="BT159" s="2338"/>
      <c r="BU159" s="2338"/>
      <c r="BV159" s="2338"/>
      <c r="BW159" s="2338"/>
      <c r="BX159" s="2338"/>
      <c r="BY159" s="2338"/>
      <c r="BZ159" s="2338"/>
      <c r="CA159" s="2338"/>
      <c r="CB159" s="2338"/>
      <c r="CC159" s="2338"/>
      <c r="CD159" s="2338"/>
      <c r="CE159" s="2338"/>
      <c r="CF159" s="2338"/>
      <c r="CG159" s="2338"/>
      <c r="CH159" s="2338"/>
      <c r="CI159" s="2338"/>
      <c r="CJ159" s="2338"/>
      <c r="CK159" s="2338"/>
      <c r="CL159" s="2338"/>
      <c r="CM159" s="2338"/>
      <c r="CN159" s="2338"/>
      <c r="CO159" s="2338"/>
      <c r="CP159" s="2338"/>
      <c r="CQ159" s="2338"/>
      <c r="CR159" s="2338"/>
      <c r="CS159" s="2338"/>
      <c r="CT159" s="2338"/>
      <c r="CU159" s="2338"/>
      <c r="CV159" s="2338"/>
      <c r="CW159" s="2338"/>
      <c r="CX159" s="2338"/>
      <c r="CY159" s="2338"/>
      <c r="CZ159" s="2338"/>
      <c r="DA159" s="2338"/>
      <c r="DB159" s="2338"/>
      <c r="DC159" s="2338"/>
      <c r="DD159" s="2338"/>
      <c r="DE159" s="2338"/>
      <c r="DF159" s="2338"/>
      <c r="DG159" s="2338"/>
      <c r="DH159" s="2338"/>
      <c r="DI159" s="2338"/>
      <c r="DJ159" s="2338"/>
      <c r="DK159" s="2338"/>
      <c r="DL159" s="2338"/>
      <c r="DM159" s="2338"/>
      <c r="DN159" s="2338"/>
      <c r="DO159" s="2338"/>
    </row>
    <row r="160" spans="1:119" s="2344" customFormat="1" ht="15" hidden="1" customHeight="1" outlineLevel="1">
      <c r="A160" s="2339"/>
      <c r="B160" s="3033"/>
      <c r="C160" s="3035"/>
      <c r="D160" s="3035"/>
      <c r="E160" s="3028"/>
      <c r="F160" s="3692" t="s">
        <v>3863</v>
      </c>
      <c r="G160" s="3693"/>
      <c r="H160" s="2323"/>
      <c r="I160" s="2323"/>
      <c r="J160" s="2323"/>
      <c r="K160" s="2323"/>
      <c r="L160" s="2323"/>
      <c r="M160" s="2323"/>
      <c r="N160" s="2323"/>
      <c r="O160" s="2323"/>
      <c r="P160" s="2323"/>
      <c r="Q160" s="2323"/>
      <c r="R160" s="2323"/>
      <c r="S160" s="2323"/>
      <c r="T160" s="2383"/>
      <c r="U160" s="2383"/>
      <c r="V160" s="2343"/>
      <c r="W160" s="2343"/>
      <c r="X160" s="2343"/>
      <c r="Y160" s="2343"/>
      <c r="Z160" s="2566"/>
      <c r="AA160" s="2566"/>
      <c r="AB160" s="2566"/>
      <c r="AC160" s="2566"/>
      <c r="AD160" s="2323"/>
      <c r="AE160" s="2323"/>
      <c r="AF160" s="2323"/>
      <c r="AG160" s="2323"/>
      <c r="AH160" s="2323"/>
      <c r="AI160" s="2323"/>
      <c r="AJ160" s="2323"/>
      <c r="AK160" s="2898"/>
      <c r="AL160" s="2895">
        <f t="shared" si="64"/>
        <v>0</v>
      </c>
      <c r="AM160" s="2896" t="str">
        <f t="shared" si="65"/>
        <v/>
      </c>
      <c r="AN160" s="2338"/>
      <c r="AO160" s="2338"/>
      <c r="AP160" s="2338"/>
      <c r="AQ160" s="2338"/>
      <c r="AR160" s="2338"/>
      <c r="AS160" s="2338"/>
      <c r="AT160" s="2338"/>
      <c r="AU160" s="2338"/>
      <c r="AV160" s="2338"/>
      <c r="AW160" s="2338"/>
      <c r="AX160" s="2338"/>
      <c r="AY160" s="2338"/>
      <c r="AZ160" s="2338"/>
      <c r="BA160" s="2338"/>
      <c r="BB160" s="2338"/>
      <c r="BC160" s="2338"/>
      <c r="BD160" s="2338"/>
      <c r="BE160" s="2338"/>
      <c r="BF160" s="2338"/>
      <c r="BG160" s="2338"/>
      <c r="BH160" s="2338"/>
      <c r="BI160" s="2338"/>
      <c r="BJ160" s="2338"/>
      <c r="BK160" s="2338"/>
      <c r="BL160" s="2338"/>
      <c r="BM160" s="2338"/>
      <c r="BN160" s="2338"/>
      <c r="BO160" s="2338"/>
      <c r="BP160" s="2338"/>
      <c r="BQ160" s="2338"/>
      <c r="BR160" s="2338"/>
      <c r="BS160" s="2338"/>
      <c r="BT160" s="2338"/>
      <c r="BU160" s="2338"/>
      <c r="BV160" s="2338"/>
      <c r="BW160" s="2338"/>
      <c r="BX160" s="2338"/>
      <c r="BY160" s="2338"/>
      <c r="BZ160" s="2338"/>
      <c r="CA160" s="2338"/>
      <c r="CB160" s="2338"/>
      <c r="CC160" s="2338"/>
      <c r="CD160" s="2338"/>
      <c r="CE160" s="2338"/>
      <c r="CF160" s="2338"/>
      <c r="CG160" s="2338"/>
      <c r="CH160" s="2338"/>
      <c r="CI160" s="2338"/>
      <c r="CJ160" s="2338"/>
      <c r="CK160" s="2338"/>
      <c r="CL160" s="2338"/>
      <c r="CM160" s="2338"/>
      <c r="CN160" s="2338"/>
      <c r="CO160" s="2338"/>
      <c r="CP160" s="2338"/>
      <c r="CQ160" s="2338"/>
      <c r="CR160" s="2338"/>
      <c r="CS160" s="2338"/>
      <c r="CT160" s="2338"/>
      <c r="CU160" s="2338"/>
      <c r="CV160" s="2338"/>
      <c r="CW160" s="2338"/>
      <c r="CX160" s="2338"/>
      <c r="CY160" s="2338"/>
      <c r="CZ160" s="2338"/>
      <c r="DA160" s="2338"/>
      <c r="DB160" s="2338"/>
      <c r="DC160" s="2338"/>
      <c r="DD160" s="2338"/>
      <c r="DE160" s="2338"/>
      <c r="DF160" s="2338"/>
      <c r="DG160" s="2338"/>
      <c r="DH160" s="2338"/>
      <c r="DI160" s="2338"/>
      <c r="DJ160" s="2338"/>
      <c r="DK160" s="2338"/>
      <c r="DL160" s="2338"/>
      <c r="DM160" s="2338"/>
      <c r="DN160" s="2338"/>
      <c r="DO160" s="2338"/>
    </row>
    <row r="161" spans="1:119" ht="15" hidden="1" customHeight="1" outlineLevel="1">
      <c r="A161" s="2339"/>
      <c r="B161" s="3033"/>
      <c r="C161" s="3035"/>
      <c r="D161" s="3035"/>
      <c r="E161" s="3028"/>
      <c r="F161" s="3692" t="s">
        <v>3864</v>
      </c>
      <c r="G161" s="3693"/>
      <c r="H161" s="2323"/>
      <c r="I161" s="2323"/>
      <c r="J161" s="2323"/>
      <c r="K161" s="2323"/>
      <c r="L161" s="2323"/>
      <c r="M161" s="2323"/>
      <c r="N161" s="2323"/>
      <c r="O161" s="2323"/>
      <c r="P161" s="2323"/>
      <c r="Q161" s="2323"/>
      <c r="R161" s="2323"/>
      <c r="S161" s="2323"/>
      <c r="T161" s="2383"/>
      <c r="U161" s="2383"/>
      <c r="V161" s="2319"/>
      <c r="W161" s="2319"/>
      <c r="X161" s="2319"/>
      <c r="Y161" s="2319"/>
      <c r="Z161" s="2566"/>
      <c r="AA161" s="2566"/>
      <c r="AB161" s="2566"/>
      <c r="AC161" s="2566"/>
      <c r="AD161" s="2323"/>
      <c r="AE161" s="2323"/>
      <c r="AF161" s="2323"/>
      <c r="AG161" s="2323"/>
      <c r="AH161" s="2323"/>
      <c r="AI161" s="2323"/>
      <c r="AJ161" s="2323"/>
      <c r="AK161" s="2898"/>
      <c r="AL161" s="2895">
        <f t="shared" si="64"/>
        <v>0</v>
      </c>
      <c r="AM161" s="2896" t="str">
        <f t="shared" si="65"/>
        <v/>
      </c>
      <c r="AN161" s="2338"/>
      <c r="AO161" s="2338"/>
      <c r="AP161" s="2338"/>
      <c r="AQ161" s="2338"/>
      <c r="AR161" s="2338"/>
      <c r="AS161" s="2338"/>
      <c r="AT161" s="2338"/>
      <c r="AU161" s="2338"/>
      <c r="AV161" s="2338"/>
      <c r="AW161" s="2338"/>
      <c r="AX161" s="2338"/>
      <c r="AY161" s="2338"/>
      <c r="AZ161" s="2338"/>
      <c r="BA161" s="2338"/>
      <c r="BB161" s="2338"/>
      <c r="BC161" s="2338"/>
      <c r="BD161" s="2338"/>
      <c r="BE161" s="2338"/>
      <c r="BF161" s="2338"/>
      <c r="BG161" s="2338"/>
      <c r="BH161" s="2338"/>
      <c r="BI161" s="2338"/>
      <c r="BJ161" s="2338"/>
      <c r="BK161" s="2338"/>
      <c r="BL161" s="2338"/>
      <c r="BM161" s="2338"/>
      <c r="BN161" s="2338"/>
      <c r="BO161" s="2338"/>
      <c r="BP161" s="2338"/>
      <c r="BQ161" s="2338"/>
      <c r="BR161" s="2338"/>
      <c r="BS161" s="2338"/>
      <c r="BT161" s="2338"/>
      <c r="BU161" s="2338"/>
      <c r="BV161" s="2338"/>
      <c r="BW161" s="2338"/>
      <c r="BX161" s="2338"/>
      <c r="BY161" s="2338"/>
      <c r="BZ161" s="2338"/>
      <c r="CA161" s="2338"/>
      <c r="CB161" s="2338"/>
      <c r="CC161" s="2338"/>
      <c r="CD161" s="2338"/>
      <c r="CE161" s="2338"/>
      <c r="CF161" s="2338"/>
      <c r="CG161" s="2338"/>
      <c r="CH161" s="2338"/>
      <c r="CI161" s="2338"/>
      <c r="CJ161" s="2338"/>
      <c r="CK161" s="2338"/>
      <c r="CL161" s="2338"/>
      <c r="CM161" s="2338"/>
      <c r="CN161" s="2338"/>
      <c r="CO161" s="2338"/>
      <c r="CP161" s="2338"/>
      <c r="CQ161" s="2338"/>
      <c r="CR161" s="2338"/>
      <c r="CS161" s="2338"/>
      <c r="CT161" s="2338"/>
      <c r="CU161" s="2338"/>
      <c r="CV161" s="2338"/>
      <c r="CW161" s="2338"/>
      <c r="CX161" s="2338"/>
      <c r="CY161" s="2338"/>
      <c r="CZ161" s="2338"/>
      <c r="DA161" s="2338"/>
      <c r="DB161" s="2338"/>
      <c r="DC161" s="2338"/>
      <c r="DD161" s="2338"/>
      <c r="DE161" s="2338"/>
      <c r="DF161" s="2338"/>
      <c r="DG161" s="2338"/>
      <c r="DH161" s="2338"/>
      <c r="DI161" s="2338"/>
      <c r="DJ161" s="2338"/>
      <c r="DK161" s="2338"/>
      <c r="DL161" s="2338"/>
      <c r="DM161" s="2338"/>
      <c r="DN161" s="2338"/>
      <c r="DO161" s="2338"/>
    </row>
    <row r="162" spans="1:119" ht="15" hidden="1" customHeight="1" outlineLevel="1">
      <c r="A162" s="2339"/>
      <c r="B162" s="3033"/>
      <c r="C162" s="3035"/>
      <c r="D162" s="3035"/>
      <c r="E162" s="3028"/>
      <c r="F162" s="3692" t="s">
        <v>3865</v>
      </c>
      <c r="G162" s="3693"/>
      <c r="H162" s="2323"/>
      <c r="I162" s="2323"/>
      <c r="J162" s="2323"/>
      <c r="K162" s="2323"/>
      <c r="L162" s="2323"/>
      <c r="M162" s="2323"/>
      <c r="N162" s="2323"/>
      <c r="O162" s="2323"/>
      <c r="P162" s="2323"/>
      <c r="Q162" s="2323"/>
      <c r="R162" s="2323"/>
      <c r="S162" s="2323"/>
      <c r="T162" s="2383"/>
      <c r="U162" s="2383"/>
      <c r="V162" s="2319"/>
      <c r="W162" s="2319"/>
      <c r="X162" s="2319"/>
      <c r="Y162" s="2319"/>
      <c r="Z162" s="2566"/>
      <c r="AA162" s="2566"/>
      <c r="AB162" s="2566"/>
      <c r="AC162" s="2566"/>
      <c r="AD162" s="2323"/>
      <c r="AE162" s="2323"/>
      <c r="AF162" s="2323"/>
      <c r="AG162" s="2323"/>
      <c r="AH162" s="2323"/>
      <c r="AI162" s="2323"/>
      <c r="AJ162" s="2323"/>
      <c r="AK162" s="2898"/>
      <c r="AL162" s="2895">
        <f t="shared" si="64"/>
        <v>0</v>
      </c>
      <c r="AM162" s="2896" t="str">
        <f t="shared" si="65"/>
        <v/>
      </c>
      <c r="AN162" s="2338"/>
      <c r="AO162" s="2338"/>
      <c r="AP162" s="2338"/>
      <c r="AQ162" s="2338"/>
      <c r="AR162" s="2338"/>
      <c r="AS162" s="2338"/>
      <c r="AT162" s="2338"/>
      <c r="AU162" s="2338"/>
      <c r="AV162" s="2338"/>
      <c r="AW162" s="2338"/>
      <c r="AX162" s="2338"/>
      <c r="AY162" s="2338"/>
      <c r="AZ162" s="2338"/>
      <c r="BA162" s="2338"/>
      <c r="BB162" s="2338"/>
      <c r="BC162" s="2338"/>
      <c r="BD162" s="2338"/>
      <c r="BE162" s="2338"/>
      <c r="BF162" s="2338"/>
      <c r="BG162" s="2338"/>
      <c r="BH162" s="2338"/>
      <c r="BI162" s="2338"/>
      <c r="BJ162" s="2338"/>
      <c r="BK162" s="2338"/>
      <c r="BL162" s="2338"/>
      <c r="BM162" s="2338"/>
      <c r="BN162" s="2338"/>
      <c r="BO162" s="2338"/>
      <c r="BP162" s="2338"/>
      <c r="BQ162" s="2338"/>
      <c r="BR162" s="2338"/>
      <c r="BS162" s="2338"/>
      <c r="BT162" s="2338"/>
      <c r="BU162" s="2338"/>
      <c r="BV162" s="2338"/>
      <c r="BW162" s="2338"/>
      <c r="BX162" s="2338"/>
      <c r="BY162" s="2338"/>
      <c r="BZ162" s="2338"/>
      <c r="CA162" s="2338"/>
      <c r="CB162" s="2338"/>
      <c r="CC162" s="2338"/>
      <c r="CD162" s="2338"/>
      <c r="CE162" s="2338"/>
      <c r="CF162" s="2338"/>
      <c r="CG162" s="2338"/>
      <c r="CH162" s="2338"/>
      <c r="CI162" s="2338"/>
      <c r="CJ162" s="2338"/>
      <c r="CK162" s="2338"/>
      <c r="CL162" s="2338"/>
      <c r="CM162" s="2338"/>
      <c r="CN162" s="2338"/>
      <c r="CO162" s="2338"/>
      <c r="CP162" s="2338"/>
      <c r="CQ162" s="2338"/>
      <c r="CR162" s="2338"/>
      <c r="CS162" s="2338"/>
      <c r="CT162" s="2338"/>
      <c r="CU162" s="2338"/>
      <c r="CV162" s="2338"/>
      <c r="CW162" s="2338"/>
      <c r="CX162" s="2338"/>
      <c r="CY162" s="2338"/>
      <c r="CZ162" s="2338"/>
      <c r="DA162" s="2338"/>
      <c r="DB162" s="2338"/>
      <c r="DC162" s="2338"/>
      <c r="DD162" s="2338"/>
      <c r="DE162" s="2338"/>
      <c r="DF162" s="2338"/>
      <c r="DG162" s="2338"/>
      <c r="DH162" s="2338"/>
      <c r="DI162" s="2338"/>
      <c r="DJ162" s="2338"/>
      <c r="DK162" s="2338"/>
      <c r="DL162" s="2338"/>
      <c r="DM162" s="2338"/>
      <c r="DN162" s="2338"/>
      <c r="DO162" s="2338"/>
    </row>
    <row r="163" spans="1:119" ht="15.75" hidden="1" customHeight="1" outlineLevel="1">
      <c r="A163" s="2339"/>
      <c r="B163" s="3033"/>
      <c r="C163" s="3035"/>
      <c r="D163" s="3035"/>
      <c r="E163" s="3028" t="s">
        <v>3910</v>
      </c>
      <c r="F163" s="3692" t="s">
        <v>3860</v>
      </c>
      <c r="G163" s="3693"/>
      <c r="H163" s="2323"/>
      <c r="I163" s="2323"/>
      <c r="J163" s="2323"/>
      <c r="K163" s="2323"/>
      <c r="L163" s="2323"/>
      <c r="M163" s="2323"/>
      <c r="N163" s="2323"/>
      <c r="O163" s="2323"/>
      <c r="P163" s="2323"/>
      <c r="Q163" s="2323"/>
      <c r="R163" s="2323"/>
      <c r="S163" s="2323"/>
      <c r="T163" s="2383"/>
      <c r="U163" s="2383"/>
      <c r="V163" s="2319"/>
      <c r="W163" s="2319"/>
      <c r="X163" s="2319"/>
      <c r="Y163" s="2319"/>
      <c r="Z163" s="2566"/>
      <c r="AA163" s="2566"/>
      <c r="AB163" s="2566"/>
      <c r="AC163" s="2566"/>
      <c r="AD163" s="2323"/>
      <c r="AE163" s="2323"/>
      <c r="AF163" s="2323"/>
      <c r="AG163" s="2323"/>
      <c r="AH163" s="2323"/>
      <c r="AI163" s="2323"/>
      <c r="AJ163" s="2323"/>
      <c r="AK163" s="2898"/>
      <c r="AL163" s="2895">
        <f t="shared" si="64"/>
        <v>0</v>
      </c>
      <c r="AM163" s="2896" t="str">
        <f t="shared" si="65"/>
        <v/>
      </c>
      <c r="AN163" s="2338"/>
      <c r="AO163" s="2338"/>
      <c r="AP163" s="2338"/>
      <c r="AQ163" s="2338"/>
      <c r="AR163" s="2338"/>
      <c r="AS163" s="2338"/>
      <c r="AT163" s="2338"/>
      <c r="AU163" s="2338"/>
      <c r="AV163" s="2338"/>
      <c r="AW163" s="2338"/>
      <c r="AX163" s="2338"/>
      <c r="AY163" s="2338"/>
      <c r="AZ163" s="2338"/>
      <c r="BA163" s="2338"/>
      <c r="BB163" s="2338"/>
      <c r="BC163" s="2338"/>
      <c r="BD163" s="2338"/>
      <c r="BE163" s="2338"/>
      <c r="BF163" s="2338"/>
      <c r="BG163" s="2338"/>
      <c r="BH163" s="2338"/>
      <c r="BI163" s="2338"/>
      <c r="BJ163" s="2338"/>
      <c r="BK163" s="2338"/>
      <c r="BL163" s="2338"/>
      <c r="BM163" s="2338"/>
      <c r="BN163" s="2338"/>
      <c r="BO163" s="2338"/>
      <c r="BP163" s="2338"/>
      <c r="BQ163" s="2338"/>
      <c r="BR163" s="2338"/>
      <c r="BS163" s="2338"/>
      <c r="BT163" s="2338"/>
      <c r="BU163" s="2338"/>
      <c r="BV163" s="2338"/>
      <c r="BW163" s="2338"/>
      <c r="BX163" s="2338"/>
      <c r="BY163" s="2338"/>
      <c r="BZ163" s="2338"/>
      <c r="CA163" s="2338"/>
      <c r="CB163" s="2338"/>
      <c r="CC163" s="2338"/>
      <c r="CD163" s="2338"/>
      <c r="CE163" s="2338"/>
      <c r="CF163" s="2338"/>
      <c r="CG163" s="2338"/>
      <c r="CH163" s="2338"/>
      <c r="CI163" s="2338"/>
      <c r="CJ163" s="2338"/>
      <c r="CK163" s="2338"/>
      <c r="CL163" s="2338"/>
      <c r="CM163" s="2338"/>
      <c r="CN163" s="2338"/>
      <c r="CO163" s="2338"/>
      <c r="CP163" s="2338"/>
      <c r="CQ163" s="2338"/>
      <c r="CR163" s="2338"/>
      <c r="CS163" s="2338"/>
      <c r="CT163" s="2338"/>
      <c r="CU163" s="2338"/>
      <c r="CV163" s="2338"/>
      <c r="CW163" s="2338"/>
      <c r="CX163" s="2338"/>
      <c r="CY163" s="2338"/>
      <c r="CZ163" s="2338"/>
      <c r="DA163" s="2338"/>
      <c r="DB163" s="2338"/>
      <c r="DC163" s="2338"/>
      <c r="DD163" s="2338"/>
      <c r="DE163" s="2338"/>
      <c r="DF163" s="2338"/>
      <c r="DG163" s="2338"/>
      <c r="DH163" s="2338"/>
      <c r="DI163" s="2338"/>
      <c r="DJ163" s="2338"/>
      <c r="DK163" s="2338"/>
      <c r="DL163" s="2338"/>
      <c r="DM163" s="2338"/>
      <c r="DN163" s="2338"/>
      <c r="DO163" s="2338"/>
    </row>
    <row r="164" spans="1:119" ht="15" hidden="1" customHeight="1" outlineLevel="1">
      <c r="A164" s="2339"/>
      <c r="B164" s="3033"/>
      <c r="C164" s="3035"/>
      <c r="D164" s="3035"/>
      <c r="E164" s="3028"/>
      <c r="F164" s="3692" t="s">
        <v>3861</v>
      </c>
      <c r="G164" s="3693"/>
      <c r="H164" s="2323"/>
      <c r="I164" s="2323"/>
      <c r="J164" s="2323"/>
      <c r="K164" s="2323"/>
      <c r="L164" s="2323"/>
      <c r="M164" s="2323"/>
      <c r="N164" s="2323"/>
      <c r="O164" s="2323"/>
      <c r="P164" s="2323"/>
      <c r="Q164" s="2323"/>
      <c r="R164" s="2323"/>
      <c r="S164" s="2323"/>
      <c r="T164" s="2383"/>
      <c r="U164" s="2383"/>
      <c r="V164" s="2319"/>
      <c r="W164" s="2319"/>
      <c r="X164" s="2319"/>
      <c r="Y164" s="2319"/>
      <c r="Z164" s="2566"/>
      <c r="AA164" s="2566"/>
      <c r="AB164" s="2566"/>
      <c r="AC164" s="2566"/>
      <c r="AD164" s="2323"/>
      <c r="AE164" s="2323"/>
      <c r="AF164" s="2323"/>
      <c r="AG164" s="2323"/>
      <c r="AH164" s="2323"/>
      <c r="AI164" s="2323"/>
      <c r="AJ164" s="2323"/>
      <c r="AK164" s="2898"/>
      <c r="AL164" s="2895">
        <f t="shared" si="64"/>
        <v>0</v>
      </c>
      <c r="AM164" s="2896" t="str">
        <f t="shared" si="65"/>
        <v/>
      </c>
      <c r="AN164" s="2338"/>
      <c r="AO164" s="2338"/>
      <c r="AP164" s="2338"/>
      <c r="AQ164" s="2338"/>
      <c r="AR164" s="2338"/>
      <c r="AS164" s="2338"/>
      <c r="AT164" s="2338"/>
      <c r="AU164" s="2338"/>
      <c r="AV164" s="2338"/>
      <c r="AW164" s="2338"/>
      <c r="AX164" s="2338"/>
      <c r="AY164" s="2338"/>
      <c r="AZ164" s="2338"/>
      <c r="BA164" s="2338"/>
      <c r="BB164" s="2338"/>
      <c r="BC164" s="2338"/>
      <c r="BD164" s="2338"/>
      <c r="BE164" s="2338"/>
      <c r="BF164" s="2338"/>
      <c r="BG164" s="2338"/>
      <c r="BH164" s="2338"/>
      <c r="BI164" s="2338"/>
      <c r="BJ164" s="2338"/>
      <c r="BK164" s="2338"/>
      <c r="BL164" s="2338"/>
      <c r="BM164" s="2338"/>
      <c r="BN164" s="2338"/>
      <c r="BO164" s="2338"/>
      <c r="BP164" s="2338"/>
      <c r="BQ164" s="2338"/>
      <c r="BR164" s="2338"/>
      <c r="BS164" s="2338"/>
      <c r="BT164" s="2338"/>
      <c r="BU164" s="2338"/>
      <c r="BV164" s="2338"/>
      <c r="BW164" s="2338"/>
      <c r="BX164" s="2338"/>
      <c r="BY164" s="2338"/>
      <c r="BZ164" s="2338"/>
      <c r="CA164" s="2338"/>
      <c r="CB164" s="2338"/>
      <c r="CC164" s="2338"/>
      <c r="CD164" s="2338"/>
      <c r="CE164" s="2338"/>
      <c r="CF164" s="2338"/>
      <c r="CG164" s="2338"/>
      <c r="CH164" s="2338"/>
      <c r="CI164" s="2338"/>
      <c r="CJ164" s="2338"/>
      <c r="CK164" s="2338"/>
      <c r="CL164" s="2338"/>
      <c r="CM164" s="2338"/>
      <c r="CN164" s="2338"/>
      <c r="CO164" s="2338"/>
      <c r="CP164" s="2338"/>
      <c r="CQ164" s="2338"/>
      <c r="CR164" s="2338"/>
      <c r="CS164" s="2338"/>
      <c r="CT164" s="2338"/>
      <c r="CU164" s="2338"/>
      <c r="CV164" s="2338"/>
      <c r="CW164" s="2338"/>
      <c r="CX164" s="2338"/>
      <c r="CY164" s="2338"/>
      <c r="CZ164" s="2338"/>
      <c r="DA164" s="2338"/>
      <c r="DB164" s="2338"/>
      <c r="DC164" s="2338"/>
      <c r="DD164" s="2338"/>
      <c r="DE164" s="2338"/>
      <c r="DF164" s="2338"/>
      <c r="DG164" s="2338"/>
      <c r="DH164" s="2338"/>
      <c r="DI164" s="2338"/>
      <c r="DJ164" s="2338"/>
      <c r="DK164" s="2338"/>
      <c r="DL164" s="2338"/>
      <c r="DM164" s="2338"/>
      <c r="DN164" s="2338"/>
      <c r="DO164" s="2338"/>
    </row>
    <row r="165" spans="1:119" ht="15" hidden="1" customHeight="1" outlineLevel="1">
      <c r="A165" s="2339"/>
      <c r="B165" s="3033"/>
      <c r="C165" s="3035"/>
      <c r="D165" s="3035"/>
      <c r="E165" s="3028"/>
      <c r="F165" s="3692" t="s">
        <v>3862</v>
      </c>
      <c r="G165" s="3693"/>
      <c r="H165" s="2323"/>
      <c r="I165" s="2323"/>
      <c r="J165" s="2323"/>
      <c r="K165" s="2323"/>
      <c r="L165" s="2323"/>
      <c r="M165" s="2323"/>
      <c r="N165" s="2323"/>
      <c r="O165" s="2323"/>
      <c r="P165" s="2323"/>
      <c r="Q165" s="2323"/>
      <c r="R165" s="2323"/>
      <c r="S165" s="2323"/>
      <c r="T165" s="2383"/>
      <c r="U165" s="2383"/>
      <c r="V165" s="2319"/>
      <c r="W165" s="2319"/>
      <c r="X165" s="2319"/>
      <c r="Y165" s="2319"/>
      <c r="Z165" s="2566"/>
      <c r="AA165" s="2566"/>
      <c r="AB165" s="2566"/>
      <c r="AC165" s="2566"/>
      <c r="AD165" s="2323"/>
      <c r="AE165" s="2323"/>
      <c r="AF165" s="2323"/>
      <c r="AG165" s="2323"/>
      <c r="AH165" s="2323"/>
      <c r="AI165" s="2323"/>
      <c r="AJ165" s="2323"/>
      <c r="AK165" s="2898"/>
      <c r="AL165" s="2895">
        <f t="shared" si="64"/>
        <v>0</v>
      </c>
      <c r="AM165" s="2896" t="str">
        <f t="shared" si="65"/>
        <v/>
      </c>
      <c r="AN165" s="2338"/>
      <c r="AO165" s="2338"/>
      <c r="AP165" s="2338"/>
      <c r="AQ165" s="2338"/>
      <c r="AR165" s="2338"/>
      <c r="AS165" s="2338"/>
      <c r="AT165" s="2338"/>
      <c r="AU165" s="2338"/>
      <c r="AV165" s="2338"/>
      <c r="AW165" s="2338"/>
      <c r="AX165" s="2338"/>
      <c r="AY165" s="2338"/>
      <c r="AZ165" s="2338"/>
      <c r="BA165" s="2338"/>
      <c r="BB165" s="2338"/>
      <c r="BC165" s="2338"/>
      <c r="BD165" s="2338"/>
      <c r="BE165" s="2338"/>
      <c r="BF165" s="2338"/>
      <c r="BG165" s="2338"/>
      <c r="BH165" s="2338"/>
      <c r="BI165" s="2338"/>
      <c r="BJ165" s="2338"/>
      <c r="BK165" s="2338"/>
      <c r="BL165" s="2338"/>
      <c r="BM165" s="2338"/>
      <c r="BN165" s="2338"/>
      <c r="BO165" s="2338"/>
      <c r="BP165" s="2338"/>
      <c r="BQ165" s="2338"/>
      <c r="BR165" s="2338"/>
      <c r="BS165" s="2338"/>
      <c r="BT165" s="2338"/>
      <c r="BU165" s="2338"/>
      <c r="BV165" s="2338"/>
      <c r="BW165" s="2338"/>
      <c r="BX165" s="2338"/>
      <c r="BY165" s="2338"/>
      <c r="BZ165" s="2338"/>
      <c r="CA165" s="2338"/>
      <c r="CB165" s="2338"/>
      <c r="CC165" s="2338"/>
      <c r="CD165" s="2338"/>
      <c r="CE165" s="2338"/>
      <c r="CF165" s="2338"/>
      <c r="CG165" s="2338"/>
      <c r="CH165" s="2338"/>
      <c r="CI165" s="2338"/>
      <c r="CJ165" s="2338"/>
      <c r="CK165" s="2338"/>
      <c r="CL165" s="2338"/>
      <c r="CM165" s="2338"/>
      <c r="CN165" s="2338"/>
      <c r="CO165" s="2338"/>
      <c r="CP165" s="2338"/>
      <c r="CQ165" s="2338"/>
      <c r="CR165" s="2338"/>
      <c r="CS165" s="2338"/>
      <c r="CT165" s="2338"/>
      <c r="CU165" s="2338"/>
      <c r="CV165" s="2338"/>
      <c r="CW165" s="2338"/>
      <c r="CX165" s="2338"/>
      <c r="CY165" s="2338"/>
      <c r="CZ165" s="2338"/>
      <c r="DA165" s="2338"/>
      <c r="DB165" s="2338"/>
      <c r="DC165" s="2338"/>
      <c r="DD165" s="2338"/>
      <c r="DE165" s="2338"/>
      <c r="DF165" s="2338"/>
      <c r="DG165" s="2338"/>
      <c r="DH165" s="2338"/>
      <c r="DI165" s="2338"/>
      <c r="DJ165" s="2338"/>
      <c r="DK165" s="2338"/>
      <c r="DL165" s="2338"/>
      <c r="DM165" s="2338"/>
      <c r="DN165" s="2338"/>
      <c r="DO165" s="2338"/>
    </row>
    <row r="166" spans="1:119" ht="15" hidden="1" customHeight="1" outlineLevel="1">
      <c r="A166" s="2339"/>
      <c r="B166" s="3033"/>
      <c r="C166" s="3035"/>
      <c r="D166" s="3035"/>
      <c r="E166" s="3028"/>
      <c r="F166" s="3692" t="s">
        <v>3863</v>
      </c>
      <c r="G166" s="3693"/>
      <c r="H166" s="2323"/>
      <c r="I166" s="2323"/>
      <c r="J166" s="2323"/>
      <c r="K166" s="2323"/>
      <c r="L166" s="2323"/>
      <c r="M166" s="2323"/>
      <c r="N166" s="2323"/>
      <c r="O166" s="2323"/>
      <c r="P166" s="2323"/>
      <c r="Q166" s="2323"/>
      <c r="R166" s="2323"/>
      <c r="S166" s="2323"/>
      <c r="T166" s="2383"/>
      <c r="U166" s="2383"/>
      <c r="V166" s="2319"/>
      <c r="W166" s="2319"/>
      <c r="X166" s="2319"/>
      <c r="Y166" s="2319"/>
      <c r="Z166" s="2566"/>
      <c r="AA166" s="2566"/>
      <c r="AB166" s="2566"/>
      <c r="AC166" s="2566"/>
      <c r="AD166" s="2323"/>
      <c r="AE166" s="2323"/>
      <c r="AF166" s="2323"/>
      <c r="AG166" s="2323"/>
      <c r="AH166" s="2323"/>
      <c r="AI166" s="2323"/>
      <c r="AJ166" s="2323"/>
      <c r="AK166" s="2898"/>
      <c r="AL166" s="2895">
        <f t="shared" si="64"/>
        <v>0</v>
      </c>
      <c r="AM166" s="2896" t="str">
        <f t="shared" si="65"/>
        <v/>
      </c>
      <c r="AN166" s="2338"/>
      <c r="AO166" s="2338"/>
      <c r="AP166" s="2338"/>
      <c r="AQ166" s="2338"/>
      <c r="AR166" s="2338"/>
      <c r="AS166" s="2338"/>
      <c r="AT166" s="2338"/>
      <c r="AU166" s="2338"/>
      <c r="AV166" s="2338"/>
      <c r="AW166" s="2338"/>
      <c r="AX166" s="2338"/>
      <c r="AY166" s="2338"/>
      <c r="AZ166" s="2338"/>
      <c r="BA166" s="2338"/>
      <c r="BB166" s="2338"/>
      <c r="BC166" s="2338"/>
      <c r="BD166" s="2338"/>
      <c r="BE166" s="2338"/>
      <c r="BF166" s="2338"/>
      <c r="BG166" s="2338"/>
      <c r="BH166" s="2338"/>
      <c r="BI166" s="2338"/>
      <c r="BJ166" s="2338"/>
      <c r="BK166" s="2338"/>
      <c r="BL166" s="2338"/>
      <c r="BM166" s="2338"/>
      <c r="BN166" s="2338"/>
      <c r="BO166" s="2338"/>
      <c r="BP166" s="2338"/>
      <c r="BQ166" s="2338"/>
      <c r="BR166" s="2338"/>
      <c r="BS166" s="2338"/>
      <c r="BT166" s="2338"/>
      <c r="BU166" s="2338"/>
      <c r="BV166" s="2338"/>
      <c r="BW166" s="2338"/>
      <c r="BX166" s="2338"/>
      <c r="BY166" s="2338"/>
      <c r="BZ166" s="2338"/>
      <c r="CA166" s="2338"/>
      <c r="CB166" s="2338"/>
      <c r="CC166" s="2338"/>
      <c r="CD166" s="2338"/>
      <c r="CE166" s="2338"/>
      <c r="CF166" s="2338"/>
      <c r="CG166" s="2338"/>
      <c r="CH166" s="2338"/>
      <c r="CI166" s="2338"/>
      <c r="CJ166" s="2338"/>
      <c r="CK166" s="2338"/>
      <c r="CL166" s="2338"/>
      <c r="CM166" s="2338"/>
      <c r="CN166" s="2338"/>
      <c r="CO166" s="2338"/>
      <c r="CP166" s="2338"/>
      <c r="CQ166" s="2338"/>
      <c r="CR166" s="2338"/>
      <c r="CS166" s="2338"/>
      <c r="CT166" s="2338"/>
      <c r="CU166" s="2338"/>
      <c r="CV166" s="2338"/>
      <c r="CW166" s="2338"/>
      <c r="CX166" s="2338"/>
      <c r="CY166" s="2338"/>
      <c r="CZ166" s="2338"/>
      <c r="DA166" s="2338"/>
      <c r="DB166" s="2338"/>
      <c r="DC166" s="2338"/>
      <c r="DD166" s="2338"/>
      <c r="DE166" s="2338"/>
      <c r="DF166" s="2338"/>
      <c r="DG166" s="2338"/>
      <c r="DH166" s="2338"/>
      <c r="DI166" s="2338"/>
      <c r="DJ166" s="2338"/>
      <c r="DK166" s="2338"/>
      <c r="DL166" s="2338"/>
      <c r="DM166" s="2338"/>
      <c r="DN166" s="2338"/>
      <c r="DO166" s="2338"/>
    </row>
    <row r="167" spans="1:119" ht="15" hidden="1" customHeight="1" outlineLevel="1">
      <c r="A167" s="2339"/>
      <c r="B167" s="3033"/>
      <c r="C167" s="3035"/>
      <c r="D167" s="3035"/>
      <c r="E167" s="3028"/>
      <c r="F167" s="3692" t="s">
        <v>3864</v>
      </c>
      <c r="G167" s="3693"/>
      <c r="H167" s="2323"/>
      <c r="I167" s="2323"/>
      <c r="J167" s="2323"/>
      <c r="K167" s="2323"/>
      <c r="L167" s="2323"/>
      <c r="M167" s="2323"/>
      <c r="N167" s="2323"/>
      <c r="O167" s="2323"/>
      <c r="P167" s="2323"/>
      <c r="Q167" s="2323"/>
      <c r="R167" s="2323"/>
      <c r="S167" s="2323"/>
      <c r="T167" s="2383"/>
      <c r="U167" s="2383"/>
      <c r="V167" s="2319"/>
      <c r="W167" s="2319"/>
      <c r="X167" s="2319"/>
      <c r="Y167" s="2319"/>
      <c r="Z167" s="2566"/>
      <c r="AA167" s="2566"/>
      <c r="AB167" s="2566"/>
      <c r="AC167" s="2566"/>
      <c r="AD167" s="2323"/>
      <c r="AE167" s="2323"/>
      <c r="AF167" s="2323"/>
      <c r="AG167" s="2323"/>
      <c r="AH167" s="2323"/>
      <c r="AI167" s="2323"/>
      <c r="AJ167" s="2323"/>
      <c r="AK167" s="2898"/>
      <c r="AL167" s="2895">
        <f t="shared" si="64"/>
        <v>0</v>
      </c>
      <c r="AM167" s="2896" t="str">
        <f t="shared" si="65"/>
        <v/>
      </c>
      <c r="AN167" s="2338"/>
      <c r="AO167" s="2338"/>
      <c r="AP167" s="2338"/>
      <c r="AQ167" s="2338"/>
      <c r="AR167" s="2338"/>
      <c r="AS167" s="2338"/>
      <c r="AT167" s="2338"/>
      <c r="AU167" s="2338"/>
      <c r="AV167" s="2338"/>
      <c r="AW167" s="2338"/>
      <c r="AX167" s="2338"/>
      <c r="AY167" s="2338"/>
      <c r="AZ167" s="2338"/>
      <c r="BA167" s="2338"/>
      <c r="BB167" s="2338"/>
      <c r="BC167" s="2338"/>
      <c r="BD167" s="2338"/>
      <c r="BE167" s="2338"/>
      <c r="BF167" s="2338"/>
      <c r="BG167" s="2338"/>
      <c r="BH167" s="2338"/>
      <c r="BI167" s="2338"/>
      <c r="BJ167" s="2338"/>
      <c r="BK167" s="2338"/>
      <c r="BL167" s="2338"/>
      <c r="BM167" s="2338"/>
      <c r="BN167" s="2338"/>
      <c r="BO167" s="2338"/>
      <c r="BP167" s="2338"/>
      <c r="BQ167" s="2338"/>
      <c r="BR167" s="2338"/>
      <c r="BS167" s="2338"/>
      <c r="BT167" s="2338"/>
      <c r="BU167" s="2338"/>
      <c r="BV167" s="2338"/>
      <c r="BW167" s="2338"/>
      <c r="BX167" s="2338"/>
      <c r="BY167" s="2338"/>
      <c r="BZ167" s="2338"/>
      <c r="CA167" s="2338"/>
      <c r="CB167" s="2338"/>
      <c r="CC167" s="2338"/>
      <c r="CD167" s="2338"/>
      <c r="CE167" s="2338"/>
      <c r="CF167" s="2338"/>
      <c r="CG167" s="2338"/>
      <c r="CH167" s="2338"/>
      <c r="CI167" s="2338"/>
      <c r="CJ167" s="2338"/>
      <c r="CK167" s="2338"/>
      <c r="CL167" s="2338"/>
      <c r="CM167" s="2338"/>
      <c r="CN167" s="2338"/>
      <c r="CO167" s="2338"/>
      <c r="CP167" s="2338"/>
      <c r="CQ167" s="2338"/>
      <c r="CR167" s="2338"/>
      <c r="CS167" s="2338"/>
      <c r="CT167" s="2338"/>
      <c r="CU167" s="2338"/>
      <c r="CV167" s="2338"/>
      <c r="CW167" s="2338"/>
      <c r="CX167" s="2338"/>
      <c r="CY167" s="2338"/>
      <c r="CZ167" s="2338"/>
      <c r="DA167" s="2338"/>
      <c r="DB167" s="2338"/>
      <c r="DC167" s="2338"/>
      <c r="DD167" s="2338"/>
      <c r="DE167" s="2338"/>
      <c r="DF167" s="2338"/>
      <c r="DG167" s="2338"/>
      <c r="DH167" s="2338"/>
      <c r="DI167" s="2338"/>
      <c r="DJ167" s="2338"/>
      <c r="DK167" s="2338"/>
      <c r="DL167" s="2338"/>
      <c r="DM167" s="2338"/>
      <c r="DN167" s="2338"/>
      <c r="DO167" s="2338"/>
    </row>
    <row r="168" spans="1:119" ht="15" hidden="1" customHeight="1" outlineLevel="1">
      <c r="A168" s="2339"/>
      <c r="B168" s="3033"/>
      <c r="C168" s="3035"/>
      <c r="D168" s="3035"/>
      <c r="E168" s="3028"/>
      <c r="F168" s="3692" t="s">
        <v>3865</v>
      </c>
      <c r="G168" s="3693"/>
      <c r="H168" s="2323"/>
      <c r="I168" s="2323"/>
      <c r="J168" s="2323"/>
      <c r="K168" s="2323"/>
      <c r="L168" s="2323"/>
      <c r="M168" s="2323"/>
      <c r="N168" s="2323"/>
      <c r="O168" s="2323"/>
      <c r="P168" s="2323"/>
      <c r="Q168" s="2323"/>
      <c r="R168" s="2323"/>
      <c r="S168" s="2323"/>
      <c r="T168" s="2383"/>
      <c r="U168" s="2383"/>
      <c r="V168" s="2319"/>
      <c r="W168" s="2319"/>
      <c r="X168" s="2319"/>
      <c r="Y168" s="2319"/>
      <c r="Z168" s="2566"/>
      <c r="AA168" s="2566"/>
      <c r="AB168" s="2566"/>
      <c r="AC168" s="2566"/>
      <c r="AD168" s="2323"/>
      <c r="AE168" s="2323"/>
      <c r="AF168" s="2323"/>
      <c r="AG168" s="2323"/>
      <c r="AH168" s="2323"/>
      <c r="AI168" s="2323"/>
      <c r="AJ168" s="2323"/>
      <c r="AK168" s="2898"/>
      <c r="AL168" s="2895">
        <f t="shared" si="64"/>
        <v>0</v>
      </c>
      <c r="AM168" s="2896" t="str">
        <f t="shared" si="65"/>
        <v/>
      </c>
      <c r="AN168" s="2338"/>
      <c r="AO168" s="2338"/>
      <c r="AP168" s="2338"/>
      <c r="AQ168" s="2338"/>
      <c r="AR168" s="2338"/>
      <c r="AS168" s="2338"/>
      <c r="AT168" s="2338"/>
      <c r="AU168" s="2338"/>
      <c r="AV168" s="2338"/>
      <c r="AW168" s="2338"/>
      <c r="AX168" s="2338"/>
      <c r="AY168" s="2338"/>
      <c r="AZ168" s="2338"/>
      <c r="BA168" s="2338"/>
      <c r="BB168" s="2338"/>
      <c r="BC168" s="2338"/>
      <c r="BD168" s="2338"/>
      <c r="BE168" s="2338"/>
      <c r="BF168" s="2338"/>
      <c r="BG168" s="2338"/>
      <c r="BH168" s="2338"/>
      <c r="BI168" s="2338"/>
      <c r="BJ168" s="2338"/>
      <c r="BK168" s="2338"/>
      <c r="BL168" s="2338"/>
      <c r="BM168" s="2338"/>
      <c r="BN168" s="2338"/>
      <c r="BO168" s="2338"/>
      <c r="BP168" s="2338"/>
      <c r="BQ168" s="2338"/>
      <c r="BR168" s="2338"/>
      <c r="BS168" s="2338"/>
      <c r="BT168" s="2338"/>
      <c r="BU168" s="2338"/>
      <c r="BV168" s="2338"/>
      <c r="BW168" s="2338"/>
      <c r="BX168" s="2338"/>
      <c r="BY168" s="2338"/>
      <c r="BZ168" s="2338"/>
      <c r="CA168" s="2338"/>
      <c r="CB168" s="2338"/>
      <c r="CC168" s="2338"/>
      <c r="CD168" s="2338"/>
      <c r="CE168" s="2338"/>
      <c r="CF168" s="2338"/>
      <c r="CG168" s="2338"/>
      <c r="CH168" s="2338"/>
      <c r="CI168" s="2338"/>
      <c r="CJ168" s="2338"/>
      <c r="CK168" s="2338"/>
      <c r="CL168" s="2338"/>
      <c r="CM168" s="2338"/>
      <c r="CN168" s="2338"/>
      <c r="CO168" s="2338"/>
      <c r="CP168" s="2338"/>
      <c r="CQ168" s="2338"/>
      <c r="CR168" s="2338"/>
      <c r="CS168" s="2338"/>
      <c r="CT168" s="2338"/>
      <c r="CU168" s="2338"/>
      <c r="CV168" s="2338"/>
      <c r="CW168" s="2338"/>
      <c r="CX168" s="2338"/>
      <c r="CY168" s="2338"/>
      <c r="CZ168" s="2338"/>
      <c r="DA168" s="2338"/>
      <c r="DB168" s="2338"/>
      <c r="DC168" s="2338"/>
      <c r="DD168" s="2338"/>
      <c r="DE168" s="2338"/>
      <c r="DF168" s="2338"/>
      <c r="DG168" s="2338"/>
      <c r="DH168" s="2338"/>
      <c r="DI168" s="2338"/>
      <c r="DJ168" s="2338"/>
      <c r="DK168" s="2338"/>
      <c r="DL168" s="2338"/>
      <c r="DM168" s="2338"/>
      <c r="DN168" s="2338"/>
      <c r="DO168" s="2338"/>
    </row>
    <row r="169" spans="1:119" ht="15.75" hidden="1" customHeight="1" outlineLevel="1">
      <c r="A169" s="2339"/>
      <c r="B169" s="3033"/>
      <c r="C169" s="3035" t="s">
        <v>3913</v>
      </c>
      <c r="D169" s="3035" t="s">
        <v>3911</v>
      </c>
      <c r="E169" s="3028" t="s">
        <v>3910</v>
      </c>
      <c r="F169" s="3692" t="s">
        <v>3860</v>
      </c>
      <c r="G169" s="3693"/>
      <c r="H169" s="2323"/>
      <c r="I169" s="2323"/>
      <c r="J169" s="2323"/>
      <c r="K169" s="2323"/>
      <c r="L169" s="2323"/>
      <c r="M169" s="2323"/>
      <c r="N169" s="2323"/>
      <c r="O169" s="2323"/>
      <c r="P169" s="2323"/>
      <c r="Q169" s="2323"/>
      <c r="R169" s="2323"/>
      <c r="S169" s="2323"/>
      <c r="T169" s="2383"/>
      <c r="U169" s="2383"/>
      <c r="V169" s="2319"/>
      <c r="W169" s="2319"/>
      <c r="X169" s="2319"/>
      <c r="Y169" s="2319"/>
      <c r="Z169" s="2566"/>
      <c r="AA169" s="2566"/>
      <c r="AB169" s="2566"/>
      <c r="AC169" s="2566"/>
      <c r="AD169" s="2323"/>
      <c r="AE169" s="2323"/>
      <c r="AF169" s="2323"/>
      <c r="AG169" s="2323"/>
      <c r="AH169" s="2323"/>
      <c r="AI169" s="2323"/>
      <c r="AJ169" s="2323"/>
      <c r="AK169" s="2898"/>
      <c r="AL169" s="2895">
        <f t="shared" si="64"/>
        <v>0</v>
      </c>
      <c r="AM169" s="2896" t="str">
        <f t="shared" si="65"/>
        <v/>
      </c>
      <c r="AN169" s="2338"/>
      <c r="AO169" s="2338"/>
      <c r="AP169" s="2338"/>
      <c r="AQ169" s="2338"/>
      <c r="AR169" s="2338"/>
      <c r="AS169" s="2338"/>
      <c r="AT169" s="2338"/>
      <c r="AU169" s="2338"/>
      <c r="AV169" s="2338"/>
      <c r="AW169" s="2338"/>
      <c r="AX169" s="2338"/>
      <c r="AY169" s="2338"/>
      <c r="AZ169" s="2338"/>
      <c r="BA169" s="2338"/>
      <c r="BB169" s="2338"/>
      <c r="BC169" s="2338"/>
      <c r="BD169" s="2338"/>
      <c r="BE169" s="2338"/>
      <c r="BF169" s="2338"/>
      <c r="BG169" s="2338"/>
      <c r="BH169" s="2338"/>
      <c r="BI169" s="2338"/>
      <c r="BJ169" s="2338"/>
      <c r="BK169" s="2338"/>
      <c r="BL169" s="2338"/>
      <c r="BM169" s="2338"/>
      <c r="BN169" s="2338"/>
      <c r="BO169" s="2338"/>
      <c r="BP169" s="2338"/>
      <c r="BQ169" s="2338"/>
      <c r="BR169" s="2338"/>
      <c r="BS169" s="2338"/>
      <c r="BT169" s="2338"/>
      <c r="BU169" s="2338"/>
      <c r="BV169" s="2338"/>
      <c r="BW169" s="2338"/>
      <c r="BX169" s="2338"/>
      <c r="BY169" s="2338"/>
      <c r="BZ169" s="2338"/>
      <c r="CA169" s="2338"/>
      <c r="CB169" s="2338"/>
      <c r="CC169" s="2338"/>
      <c r="CD169" s="2338"/>
      <c r="CE169" s="2338"/>
      <c r="CF169" s="2338"/>
      <c r="CG169" s="2338"/>
      <c r="CH169" s="2338"/>
      <c r="CI169" s="2338"/>
      <c r="CJ169" s="2338"/>
      <c r="CK169" s="2338"/>
      <c r="CL169" s="2338"/>
      <c r="CM169" s="2338"/>
      <c r="CN169" s="2338"/>
      <c r="CO169" s="2338"/>
      <c r="CP169" s="2338"/>
      <c r="CQ169" s="2338"/>
      <c r="CR169" s="2338"/>
      <c r="CS169" s="2338"/>
      <c r="CT169" s="2338"/>
      <c r="CU169" s="2338"/>
      <c r="CV169" s="2338"/>
      <c r="CW169" s="2338"/>
      <c r="CX169" s="2338"/>
      <c r="CY169" s="2338"/>
      <c r="CZ169" s="2338"/>
      <c r="DA169" s="2338"/>
      <c r="DB169" s="2338"/>
      <c r="DC169" s="2338"/>
      <c r="DD169" s="2338"/>
      <c r="DE169" s="2338"/>
      <c r="DF169" s="2338"/>
      <c r="DG169" s="2338"/>
      <c r="DH169" s="2338"/>
      <c r="DI169" s="2338"/>
      <c r="DJ169" s="2338"/>
      <c r="DK169" s="2338"/>
      <c r="DL169" s="2338"/>
      <c r="DM169" s="2338"/>
      <c r="DN169" s="2338"/>
      <c r="DO169" s="2338"/>
    </row>
    <row r="170" spans="1:119" ht="15" hidden="1" customHeight="1" outlineLevel="1">
      <c r="A170" s="2339"/>
      <c r="B170" s="3033"/>
      <c r="C170" s="3035"/>
      <c r="D170" s="3035"/>
      <c r="E170" s="3028"/>
      <c r="F170" s="3692" t="s">
        <v>3861</v>
      </c>
      <c r="G170" s="3693"/>
      <c r="H170" s="2323"/>
      <c r="I170" s="2323"/>
      <c r="J170" s="2323"/>
      <c r="K170" s="2323"/>
      <c r="L170" s="2323"/>
      <c r="M170" s="2323"/>
      <c r="N170" s="2323"/>
      <c r="O170" s="2323"/>
      <c r="P170" s="2323"/>
      <c r="Q170" s="2323"/>
      <c r="R170" s="2323"/>
      <c r="S170" s="2323"/>
      <c r="T170" s="2383"/>
      <c r="U170" s="2383"/>
      <c r="V170" s="2319"/>
      <c r="W170" s="2319"/>
      <c r="X170" s="2319"/>
      <c r="Y170" s="2319"/>
      <c r="Z170" s="2566"/>
      <c r="AA170" s="2566"/>
      <c r="AB170" s="2566"/>
      <c r="AC170" s="2566"/>
      <c r="AD170" s="2323"/>
      <c r="AE170" s="2323"/>
      <c r="AF170" s="2323"/>
      <c r="AG170" s="2323"/>
      <c r="AH170" s="2323"/>
      <c r="AI170" s="2323"/>
      <c r="AJ170" s="2323"/>
      <c r="AK170" s="2898"/>
      <c r="AL170" s="2895">
        <f t="shared" si="64"/>
        <v>0</v>
      </c>
      <c r="AM170" s="2896" t="str">
        <f t="shared" si="65"/>
        <v/>
      </c>
      <c r="AN170" s="2338"/>
      <c r="AO170" s="2338"/>
      <c r="AP170" s="2338"/>
      <c r="AQ170" s="2338"/>
      <c r="AR170" s="2338"/>
      <c r="AS170" s="2338"/>
      <c r="AT170" s="2338"/>
      <c r="AU170" s="2338"/>
      <c r="AV170" s="2338"/>
      <c r="AW170" s="2338"/>
      <c r="AX170" s="2338"/>
      <c r="AY170" s="2338"/>
      <c r="AZ170" s="2338"/>
      <c r="BA170" s="2338"/>
      <c r="BB170" s="2338"/>
      <c r="BC170" s="2338"/>
      <c r="BD170" s="2338"/>
      <c r="BE170" s="2338"/>
      <c r="BF170" s="2338"/>
      <c r="BG170" s="2338"/>
      <c r="BH170" s="2338"/>
      <c r="BI170" s="2338"/>
      <c r="BJ170" s="2338"/>
      <c r="BK170" s="2338"/>
      <c r="BL170" s="2338"/>
      <c r="BM170" s="2338"/>
      <c r="BN170" s="2338"/>
      <c r="BO170" s="2338"/>
      <c r="BP170" s="2338"/>
      <c r="BQ170" s="2338"/>
      <c r="BR170" s="2338"/>
      <c r="BS170" s="2338"/>
      <c r="BT170" s="2338"/>
      <c r="BU170" s="2338"/>
      <c r="BV170" s="2338"/>
      <c r="BW170" s="2338"/>
      <c r="BX170" s="2338"/>
      <c r="BY170" s="2338"/>
      <c r="BZ170" s="2338"/>
      <c r="CA170" s="2338"/>
      <c r="CB170" s="2338"/>
      <c r="CC170" s="2338"/>
      <c r="CD170" s="2338"/>
      <c r="CE170" s="2338"/>
      <c r="CF170" s="2338"/>
      <c r="CG170" s="2338"/>
      <c r="CH170" s="2338"/>
      <c r="CI170" s="2338"/>
      <c r="CJ170" s="2338"/>
      <c r="CK170" s="2338"/>
      <c r="CL170" s="2338"/>
      <c r="CM170" s="2338"/>
      <c r="CN170" s="2338"/>
      <c r="CO170" s="2338"/>
      <c r="CP170" s="2338"/>
      <c r="CQ170" s="2338"/>
      <c r="CR170" s="2338"/>
      <c r="CS170" s="2338"/>
      <c r="CT170" s="2338"/>
      <c r="CU170" s="2338"/>
      <c r="CV170" s="2338"/>
      <c r="CW170" s="2338"/>
      <c r="CX170" s="2338"/>
      <c r="CY170" s="2338"/>
      <c r="CZ170" s="2338"/>
      <c r="DA170" s="2338"/>
      <c r="DB170" s="2338"/>
      <c r="DC170" s="2338"/>
      <c r="DD170" s="2338"/>
      <c r="DE170" s="2338"/>
      <c r="DF170" s="2338"/>
      <c r="DG170" s="2338"/>
      <c r="DH170" s="2338"/>
      <c r="DI170" s="2338"/>
      <c r="DJ170" s="2338"/>
      <c r="DK170" s="2338"/>
      <c r="DL170" s="2338"/>
      <c r="DM170" s="2338"/>
      <c r="DN170" s="2338"/>
      <c r="DO170" s="2338"/>
    </row>
    <row r="171" spans="1:119" ht="15" hidden="1" customHeight="1" outlineLevel="1">
      <c r="A171" s="2339"/>
      <c r="B171" s="3033"/>
      <c r="C171" s="3035"/>
      <c r="D171" s="3035"/>
      <c r="E171" s="3028"/>
      <c r="F171" s="3692" t="s">
        <v>3862</v>
      </c>
      <c r="G171" s="3693"/>
      <c r="H171" s="2323"/>
      <c r="I171" s="2323"/>
      <c r="J171" s="2323"/>
      <c r="K171" s="2323"/>
      <c r="L171" s="2323"/>
      <c r="M171" s="2323"/>
      <c r="N171" s="2323"/>
      <c r="O171" s="2323"/>
      <c r="P171" s="2323"/>
      <c r="Q171" s="2323"/>
      <c r="R171" s="2323"/>
      <c r="S171" s="2323"/>
      <c r="T171" s="2383"/>
      <c r="U171" s="2383"/>
      <c r="V171" s="2319"/>
      <c r="W171" s="2319"/>
      <c r="X171" s="2319"/>
      <c r="Y171" s="2319"/>
      <c r="Z171" s="2566"/>
      <c r="AA171" s="2566"/>
      <c r="AB171" s="2566"/>
      <c r="AC171" s="2566"/>
      <c r="AD171" s="2323"/>
      <c r="AE171" s="2323"/>
      <c r="AF171" s="2323"/>
      <c r="AG171" s="2323"/>
      <c r="AH171" s="2323"/>
      <c r="AI171" s="2323"/>
      <c r="AJ171" s="2323"/>
      <c r="AK171" s="2898"/>
      <c r="AL171" s="2895">
        <f t="shared" si="64"/>
        <v>0</v>
      </c>
      <c r="AM171" s="2896" t="str">
        <f t="shared" si="65"/>
        <v/>
      </c>
      <c r="AN171" s="2338"/>
      <c r="AO171" s="2338"/>
      <c r="AP171" s="2338"/>
      <c r="AQ171" s="2338"/>
      <c r="AR171" s="2338"/>
      <c r="AS171" s="2338"/>
      <c r="AT171" s="2338"/>
      <c r="AU171" s="2338"/>
      <c r="AV171" s="2338"/>
      <c r="AW171" s="2338"/>
      <c r="AX171" s="2338"/>
      <c r="AY171" s="2338"/>
      <c r="AZ171" s="2338"/>
      <c r="BA171" s="2338"/>
      <c r="BB171" s="2338"/>
      <c r="BC171" s="2338"/>
      <c r="BD171" s="2338"/>
      <c r="BE171" s="2338"/>
      <c r="BF171" s="2338"/>
      <c r="BG171" s="2338"/>
      <c r="BH171" s="2338"/>
      <c r="BI171" s="2338"/>
      <c r="BJ171" s="2338"/>
      <c r="BK171" s="2338"/>
      <c r="BL171" s="2338"/>
      <c r="BM171" s="2338"/>
      <c r="BN171" s="2338"/>
      <c r="BO171" s="2338"/>
      <c r="BP171" s="2338"/>
      <c r="BQ171" s="2338"/>
      <c r="BR171" s="2338"/>
      <c r="BS171" s="2338"/>
      <c r="BT171" s="2338"/>
      <c r="BU171" s="2338"/>
      <c r="BV171" s="2338"/>
      <c r="BW171" s="2338"/>
      <c r="BX171" s="2338"/>
      <c r="BY171" s="2338"/>
      <c r="BZ171" s="2338"/>
      <c r="CA171" s="2338"/>
      <c r="CB171" s="2338"/>
      <c r="CC171" s="2338"/>
      <c r="CD171" s="2338"/>
      <c r="CE171" s="2338"/>
      <c r="CF171" s="2338"/>
      <c r="CG171" s="2338"/>
      <c r="CH171" s="2338"/>
      <c r="CI171" s="2338"/>
      <c r="CJ171" s="2338"/>
      <c r="CK171" s="2338"/>
      <c r="CL171" s="2338"/>
      <c r="CM171" s="2338"/>
      <c r="CN171" s="2338"/>
      <c r="CO171" s="2338"/>
      <c r="CP171" s="2338"/>
      <c r="CQ171" s="2338"/>
      <c r="CR171" s="2338"/>
      <c r="CS171" s="2338"/>
      <c r="CT171" s="2338"/>
      <c r="CU171" s="2338"/>
      <c r="CV171" s="2338"/>
      <c r="CW171" s="2338"/>
      <c r="CX171" s="2338"/>
      <c r="CY171" s="2338"/>
      <c r="CZ171" s="2338"/>
      <c r="DA171" s="2338"/>
      <c r="DB171" s="2338"/>
      <c r="DC171" s="2338"/>
      <c r="DD171" s="2338"/>
      <c r="DE171" s="2338"/>
      <c r="DF171" s="2338"/>
      <c r="DG171" s="2338"/>
      <c r="DH171" s="2338"/>
      <c r="DI171" s="2338"/>
      <c r="DJ171" s="2338"/>
      <c r="DK171" s="2338"/>
      <c r="DL171" s="2338"/>
      <c r="DM171" s="2338"/>
      <c r="DN171" s="2338"/>
      <c r="DO171" s="2338"/>
    </row>
    <row r="172" spans="1:119" s="2344" customFormat="1" ht="15" hidden="1" customHeight="1" outlineLevel="1">
      <c r="A172" s="2339"/>
      <c r="B172" s="3033"/>
      <c r="C172" s="3035"/>
      <c r="D172" s="3035"/>
      <c r="E172" s="3028"/>
      <c r="F172" s="3692" t="s">
        <v>3863</v>
      </c>
      <c r="G172" s="3693"/>
      <c r="H172" s="2323"/>
      <c r="I172" s="2323"/>
      <c r="J172" s="2323"/>
      <c r="K172" s="2323"/>
      <c r="L172" s="2323"/>
      <c r="M172" s="2323"/>
      <c r="N172" s="2323"/>
      <c r="O172" s="2323"/>
      <c r="P172" s="2323"/>
      <c r="Q172" s="2323"/>
      <c r="R172" s="2323"/>
      <c r="S172" s="2323"/>
      <c r="T172" s="2383"/>
      <c r="U172" s="2383"/>
      <c r="V172" s="2343"/>
      <c r="W172" s="2343"/>
      <c r="X172" s="2343"/>
      <c r="Y172" s="2343"/>
      <c r="Z172" s="2566"/>
      <c r="AA172" s="2566"/>
      <c r="AB172" s="2566"/>
      <c r="AC172" s="2566"/>
      <c r="AD172" s="2323"/>
      <c r="AE172" s="2323"/>
      <c r="AF172" s="2323"/>
      <c r="AG172" s="2323"/>
      <c r="AH172" s="2323"/>
      <c r="AI172" s="2323"/>
      <c r="AJ172" s="2323"/>
      <c r="AK172" s="2898"/>
      <c r="AL172" s="2895">
        <f t="shared" si="64"/>
        <v>0</v>
      </c>
      <c r="AM172" s="2896" t="str">
        <f t="shared" si="65"/>
        <v/>
      </c>
      <c r="AN172" s="2338"/>
      <c r="AO172" s="2338"/>
      <c r="AP172" s="2338"/>
      <c r="AQ172" s="2338"/>
      <c r="AR172" s="2338"/>
      <c r="AS172" s="2338"/>
      <c r="AT172" s="2338"/>
      <c r="AU172" s="2338"/>
      <c r="AV172" s="2338"/>
      <c r="AW172" s="2338"/>
      <c r="AX172" s="2338"/>
      <c r="AY172" s="2338"/>
      <c r="AZ172" s="2338"/>
      <c r="BA172" s="2338"/>
      <c r="BB172" s="2338"/>
      <c r="BC172" s="2338"/>
      <c r="BD172" s="2338"/>
      <c r="BE172" s="2338"/>
      <c r="BF172" s="2338"/>
      <c r="BG172" s="2338"/>
      <c r="BH172" s="2338"/>
      <c r="BI172" s="2338"/>
      <c r="BJ172" s="2338"/>
      <c r="BK172" s="2338"/>
      <c r="BL172" s="2338"/>
      <c r="BM172" s="2338"/>
      <c r="BN172" s="2338"/>
      <c r="BO172" s="2338"/>
      <c r="BP172" s="2338"/>
      <c r="BQ172" s="2338"/>
      <c r="BR172" s="2338"/>
      <c r="BS172" s="2338"/>
      <c r="BT172" s="2338"/>
      <c r="BU172" s="2338"/>
      <c r="BV172" s="2338"/>
      <c r="BW172" s="2338"/>
      <c r="BX172" s="2338"/>
      <c r="BY172" s="2338"/>
      <c r="BZ172" s="2338"/>
      <c r="CA172" s="2338"/>
      <c r="CB172" s="2338"/>
      <c r="CC172" s="2338"/>
      <c r="CD172" s="2338"/>
      <c r="CE172" s="2338"/>
      <c r="CF172" s="2338"/>
      <c r="CG172" s="2338"/>
      <c r="CH172" s="2338"/>
      <c r="CI172" s="2338"/>
      <c r="CJ172" s="2338"/>
      <c r="CK172" s="2338"/>
      <c r="CL172" s="2338"/>
      <c r="CM172" s="2338"/>
      <c r="CN172" s="2338"/>
      <c r="CO172" s="2338"/>
      <c r="CP172" s="2338"/>
      <c r="CQ172" s="2338"/>
      <c r="CR172" s="2338"/>
      <c r="CS172" s="2338"/>
      <c r="CT172" s="2338"/>
      <c r="CU172" s="2338"/>
      <c r="CV172" s="2338"/>
      <c r="CW172" s="2338"/>
      <c r="CX172" s="2338"/>
      <c r="CY172" s="2338"/>
      <c r="CZ172" s="2338"/>
      <c r="DA172" s="2338"/>
      <c r="DB172" s="2338"/>
      <c r="DC172" s="2338"/>
      <c r="DD172" s="2338"/>
      <c r="DE172" s="2338"/>
      <c r="DF172" s="2338"/>
      <c r="DG172" s="2338"/>
      <c r="DH172" s="2338"/>
      <c r="DI172" s="2338"/>
      <c r="DJ172" s="2338"/>
      <c r="DK172" s="2338"/>
      <c r="DL172" s="2338"/>
      <c r="DM172" s="2338"/>
      <c r="DN172" s="2338"/>
      <c r="DO172" s="2338"/>
    </row>
    <row r="173" spans="1:119" ht="15" hidden="1" customHeight="1" outlineLevel="1">
      <c r="A173" s="2339"/>
      <c r="B173" s="3033"/>
      <c r="C173" s="3035"/>
      <c r="D173" s="3035"/>
      <c r="E173" s="3028"/>
      <c r="F173" s="3692" t="s">
        <v>3864</v>
      </c>
      <c r="G173" s="3693"/>
      <c r="H173" s="2323"/>
      <c r="I173" s="2323"/>
      <c r="J173" s="2323"/>
      <c r="K173" s="2323"/>
      <c r="L173" s="2323"/>
      <c r="M173" s="2323"/>
      <c r="N173" s="2323"/>
      <c r="O173" s="2323"/>
      <c r="P173" s="2323"/>
      <c r="Q173" s="2323"/>
      <c r="R173" s="2323"/>
      <c r="S173" s="2323"/>
      <c r="T173" s="2383"/>
      <c r="U173" s="2383"/>
      <c r="V173" s="2319"/>
      <c r="W173" s="2319"/>
      <c r="X173" s="2319"/>
      <c r="Y173" s="2319"/>
      <c r="Z173" s="2566"/>
      <c r="AA173" s="2566"/>
      <c r="AB173" s="2566"/>
      <c r="AC173" s="2566"/>
      <c r="AD173" s="2323"/>
      <c r="AE173" s="2323"/>
      <c r="AF173" s="2323"/>
      <c r="AG173" s="2323"/>
      <c r="AH173" s="2323"/>
      <c r="AI173" s="2323"/>
      <c r="AJ173" s="2323"/>
      <c r="AK173" s="2898"/>
      <c r="AL173" s="2895">
        <f t="shared" si="64"/>
        <v>0</v>
      </c>
      <c r="AM173" s="2896" t="str">
        <f t="shared" si="65"/>
        <v/>
      </c>
      <c r="AN173" s="2338"/>
      <c r="AO173" s="2338"/>
      <c r="AP173" s="2338"/>
      <c r="AQ173" s="2338"/>
      <c r="AR173" s="2338"/>
      <c r="AS173" s="2338"/>
      <c r="AT173" s="2338"/>
      <c r="AU173" s="2338"/>
      <c r="AV173" s="2338"/>
      <c r="AW173" s="2338"/>
      <c r="AX173" s="2338"/>
      <c r="AY173" s="2338"/>
      <c r="AZ173" s="2338"/>
      <c r="BA173" s="2338"/>
      <c r="BB173" s="2338"/>
      <c r="BC173" s="2338"/>
      <c r="BD173" s="2338"/>
      <c r="BE173" s="2338"/>
      <c r="BF173" s="2338"/>
      <c r="BG173" s="2338"/>
      <c r="BH173" s="2338"/>
      <c r="BI173" s="2338"/>
      <c r="BJ173" s="2338"/>
      <c r="BK173" s="2338"/>
      <c r="BL173" s="2338"/>
      <c r="BM173" s="2338"/>
      <c r="BN173" s="2338"/>
      <c r="BO173" s="2338"/>
      <c r="BP173" s="2338"/>
      <c r="BQ173" s="2338"/>
      <c r="BR173" s="2338"/>
      <c r="BS173" s="2338"/>
      <c r="BT173" s="2338"/>
      <c r="BU173" s="2338"/>
      <c r="BV173" s="2338"/>
      <c r="BW173" s="2338"/>
      <c r="BX173" s="2338"/>
      <c r="BY173" s="2338"/>
      <c r="BZ173" s="2338"/>
      <c r="CA173" s="2338"/>
      <c r="CB173" s="2338"/>
      <c r="CC173" s="2338"/>
      <c r="CD173" s="2338"/>
      <c r="CE173" s="2338"/>
      <c r="CF173" s="2338"/>
      <c r="CG173" s="2338"/>
      <c r="CH173" s="2338"/>
      <c r="CI173" s="2338"/>
      <c r="CJ173" s="2338"/>
      <c r="CK173" s="2338"/>
      <c r="CL173" s="2338"/>
      <c r="CM173" s="2338"/>
      <c r="CN173" s="2338"/>
      <c r="CO173" s="2338"/>
      <c r="CP173" s="2338"/>
      <c r="CQ173" s="2338"/>
      <c r="CR173" s="2338"/>
      <c r="CS173" s="2338"/>
      <c r="CT173" s="2338"/>
      <c r="CU173" s="2338"/>
      <c r="CV173" s="2338"/>
      <c r="CW173" s="2338"/>
      <c r="CX173" s="2338"/>
      <c r="CY173" s="2338"/>
      <c r="CZ173" s="2338"/>
      <c r="DA173" s="2338"/>
      <c r="DB173" s="2338"/>
      <c r="DC173" s="2338"/>
      <c r="DD173" s="2338"/>
      <c r="DE173" s="2338"/>
      <c r="DF173" s="2338"/>
      <c r="DG173" s="2338"/>
      <c r="DH173" s="2338"/>
      <c r="DI173" s="2338"/>
      <c r="DJ173" s="2338"/>
      <c r="DK173" s="2338"/>
      <c r="DL173" s="2338"/>
      <c r="DM173" s="2338"/>
      <c r="DN173" s="2338"/>
      <c r="DO173" s="2338"/>
    </row>
    <row r="174" spans="1:119" ht="15" hidden="1" customHeight="1" outlineLevel="1">
      <c r="A174" s="2339"/>
      <c r="B174" s="3033"/>
      <c r="C174" s="3035"/>
      <c r="D174" s="3035"/>
      <c r="E174" s="3028"/>
      <c r="F174" s="3692" t="s">
        <v>3865</v>
      </c>
      <c r="G174" s="3693"/>
      <c r="H174" s="2323"/>
      <c r="I174" s="2323"/>
      <c r="J174" s="2323"/>
      <c r="K174" s="2323"/>
      <c r="L174" s="2323"/>
      <c r="M174" s="2323"/>
      <c r="N174" s="2323"/>
      <c r="O174" s="2323"/>
      <c r="P174" s="2323"/>
      <c r="Q174" s="2323"/>
      <c r="R174" s="2323"/>
      <c r="S174" s="2323"/>
      <c r="T174" s="2383"/>
      <c r="U174" s="2383"/>
      <c r="V174" s="2319"/>
      <c r="W174" s="2319"/>
      <c r="X174" s="2319"/>
      <c r="Y174" s="2319"/>
      <c r="Z174" s="2566"/>
      <c r="AA174" s="2566"/>
      <c r="AB174" s="2566"/>
      <c r="AC174" s="2566"/>
      <c r="AD174" s="2323"/>
      <c r="AE174" s="2323"/>
      <c r="AF174" s="2323"/>
      <c r="AG174" s="2323"/>
      <c r="AH174" s="2323"/>
      <c r="AI174" s="2323"/>
      <c r="AJ174" s="2323"/>
      <c r="AK174" s="2898"/>
      <c r="AL174" s="2895">
        <f t="shared" si="64"/>
        <v>0</v>
      </c>
      <c r="AM174" s="2896" t="str">
        <f t="shared" si="65"/>
        <v/>
      </c>
      <c r="AN174" s="2338"/>
      <c r="AO174" s="2338"/>
      <c r="AP174" s="2338"/>
      <c r="AQ174" s="2338"/>
      <c r="AR174" s="2338"/>
      <c r="AS174" s="2338"/>
      <c r="AT174" s="2338"/>
      <c r="AU174" s="2338"/>
      <c r="AV174" s="2338"/>
      <c r="AW174" s="2338"/>
      <c r="AX174" s="2338"/>
      <c r="AY174" s="2338"/>
      <c r="AZ174" s="2338"/>
      <c r="BA174" s="2338"/>
      <c r="BB174" s="2338"/>
      <c r="BC174" s="2338"/>
      <c r="BD174" s="2338"/>
      <c r="BE174" s="2338"/>
      <c r="BF174" s="2338"/>
      <c r="BG174" s="2338"/>
      <c r="BH174" s="2338"/>
      <c r="BI174" s="2338"/>
      <c r="BJ174" s="2338"/>
      <c r="BK174" s="2338"/>
      <c r="BL174" s="2338"/>
      <c r="BM174" s="2338"/>
      <c r="BN174" s="2338"/>
      <c r="BO174" s="2338"/>
      <c r="BP174" s="2338"/>
      <c r="BQ174" s="2338"/>
      <c r="BR174" s="2338"/>
      <c r="BS174" s="2338"/>
      <c r="BT174" s="2338"/>
      <c r="BU174" s="2338"/>
      <c r="BV174" s="2338"/>
      <c r="BW174" s="2338"/>
      <c r="BX174" s="2338"/>
      <c r="BY174" s="2338"/>
      <c r="BZ174" s="2338"/>
      <c r="CA174" s="2338"/>
      <c r="CB174" s="2338"/>
      <c r="CC174" s="2338"/>
      <c r="CD174" s="2338"/>
      <c r="CE174" s="2338"/>
      <c r="CF174" s="2338"/>
      <c r="CG174" s="2338"/>
      <c r="CH174" s="2338"/>
      <c r="CI174" s="2338"/>
      <c r="CJ174" s="2338"/>
      <c r="CK174" s="2338"/>
      <c r="CL174" s="2338"/>
      <c r="CM174" s="2338"/>
      <c r="CN174" s="2338"/>
      <c r="CO174" s="2338"/>
      <c r="CP174" s="2338"/>
      <c r="CQ174" s="2338"/>
      <c r="CR174" s="2338"/>
      <c r="CS174" s="2338"/>
      <c r="CT174" s="2338"/>
      <c r="CU174" s="2338"/>
      <c r="CV174" s="2338"/>
      <c r="CW174" s="2338"/>
      <c r="CX174" s="2338"/>
      <c r="CY174" s="2338"/>
      <c r="CZ174" s="2338"/>
      <c r="DA174" s="2338"/>
      <c r="DB174" s="2338"/>
      <c r="DC174" s="2338"/>
      <c r="DD174" s="2338"/>
      <c r="DE174" s="2338"/>
      <c r="DF174" s="2338"/>
      <c r="DG174" s="2338"/>
      <c r="DH174" s="2338"/>
      <c r="DI174" s="2338"/>
      <c r="DJ174" s="2338"/>
      <c r="DK174" s="2338"/>
      <c r="DL174" s="2338"/>
      <c r="DM174" s="2338"/>
      <c r="DN174" s="2338"/>
      <c r="DO174" s="2338"/>
    </row>
    <row r="175" spans="1:119" ht="15.75" hidden="1" customHeight="1" outlineLevel="1">
      <c r="A175" s="2339"/>
      <c r="B175" s="3033"/>
      <c r="C175" s="3035" t="s">
        <v>3914</v>
      </c>
      <c r="D175" s="3035" t="s">
        <v>3908</v>
      </c>
      <c r="E175" s="3028" t="s">
        <v>3909</v>
      </c>
      <c r="F175" s="3692" t="s">
        <v>3860</v>
      </c>
      <c r="G175" s="3693"/>
      <c r="H175" s="2323"/>
      <c r="I175" s="2323"/>
      <c r="J175" s="2323"/>
      <c r="K175" s="2323"/>
      <c r="L175" s="2323"/>
      <c r="M175" s="2323"/>
      <c r="N175" s="2323"/>
      <c r="O175" s="2323"/>
      <c r="P175" s="2323"/>
      <c r="Q175" s="2323"/>
      <c r="R175" s="2323"/>
      <c r="S175" s="2323"/>
      <c r="T175" s="2383"/>
      <c r="U175" s="2383"/>
      <c r="V175" s="2319"/>
      <c r="W175" s="2319"/>
      <c r="X175" s="2319"/>
      <c r="Y175" s="2319"/>
      <c r="Z175" s="2566"/>
      <c r="AA175" s="2566"/>
      <c r="AB175" s="2566"/>
      <c r="AC175" s="2566"/>
      <c r="AD175" s="2323"/>
      <c r="AE175" s="2323"/>
      <c r="AF175" s="2323"/>
      <c r="AG175" s="2323"/>
      <c r="AH175" s="2323"/>
      <c r="AI175" s="2323"/>
      <c r="AJ175" s="2323"/>
      <c r="AK175" s="2898"/>
      <c r="AL175" s="2895">
        <f t="shared" si="64"/>
        <v>0</v>
      </c>
      <c r="AM175" s="2896" t="str">
        <f t="shared" si="65"/>
        <v/>
      </c>
      <c r="AN175" s="2338"/>
      <c r="AO175" s="2338"/>
      <c r="AP175" s="2338"/>
      <c r="AQ175" s="2338"/>
      <c r="AR175" s="2338"/>
      <c r="AS175" s="2338"/>
      <c r="AT175" s="2338"/>
      <c r="AU175" s="2338"/>
      <c r="AV175" s="2338"/>
      <c r="AW175" s="2338"/>
      <c r="AX175" s="2338"/>
      <c r="AY175" s="2338"/>
      <c r="AZ175" s="2338"/>
      <c r="BA175" s="2338"/>
      <c r="BB175" s="2338"/>
      <c r="BC175" s="2338"/>
      <c r="BD175" s="2338"/>
      <c r="BE175" s="2338"/>
      <c r="BF175" s="2338"/>
      <c r="BG175" s="2338"/>
      <c r="BH175" s="2338"/>
      <c r="BI175" s="2338"/>
      <c r="BJ175" s="2338"/>
      <c r="BK175" s="2338"/>
      <c r="BL175" s="2338"/>
      <c r="BM175" s="2338"/>
      <c r="BN175" s="2338"/>
      <c r="BO175" s="2338"/>
      <c r="BP175" s="2338"/>
      <c r="BQ175" s="2338"/>
      <c r="BR175" s="2338"/>
      <c r="BS175" s="2338"/>
      <c r="BT175" s="2338"/>
      <c r="BU175" s="2338"/>
      <c r="BV175" s="2338"/>
      <c r="BW175" s="2338"/>
      <c r="BX175" s="2338"/>
      <c r="BY175" s="2338"/>
      <c r="BZ175" s="2338"/>
      <c r="CA175" s="2338"/>
      <c r="CB175" s="2338"/>
      <c r="CC175" s="2338"/>
      <c r="CD175" s="2338"/>
      <c r="CE175" s="2338"/>
      <c r="CF175" s="2338"/>
      <c r="CG175" s="2338"/>
      <c r="CH175" s="2338"/>
      <c r="CI175" s="2338"/>
      <c r="CJ175" s="2338"/>
      <c r="CK175" s="2338"/>
      <c r="CL175" s="2338"/>
      <c r="CM175" s="2338"/>
      <c r="CN175" s="2338"/>
      <c r="CO175" s="2338"/>
      <c r="CP175" s="2338"/>
      <c r="CQ175" s="2338"/>
      <c r="CR175" s="2338"/>
      <c r="CS175" s="2338"/>
      <c r="CT175" s="2338"/>
      <c r="CU175" s="2338"/>
      <c r="CV175" s="2338"/>
      <c r="CW175" s="2338"/>
      <c r="CX175" s="2338"/>
      <c r="CY175" s="2338"/>
      <c r="CZ175" s="2338"/>
      <c r="DA175" s="2338"/>
      <c r="DB175" s="2338"/>
      <c r="DC175" s="2338"/>
      <c r="DD175" s="2338"/>
      <c r="DE175" s="2338"/>
      <c r="DF175" s="2338"/>
      <c r="DG175" s="2338"/>
      <c r="DH175" s="2338"/>
      <c r="DI175" s="2338"/>
      <c r="DJ175" s="2338"/>
      <c r="DK175" s="2338"/>
      <c r="DL175" s="2338"/>
      <c r="DM175" s="2338"/>
      <c r="DN175" s="2338"/>
      <c r="DO175" s="2338"/>
    </row>
    <row r="176" spans="1:119" hidden="1" outlineLevel="1">
      <c r="A176" s="2339"/>
      <c r="B176" s="3033"/>
      <c r="C176" s="3035"/>
      <c r="D176" s="3035"/>
      <c r="E176" s="3028"/>
      <c r="F176" s="3692" t="s">
        <v>3861</v>
      </c>
      <c r="G176" s="3693"/>
      <c r="H176" s="2323"/>
      <c r="I176" s="2323"/>
      <c r="J176" s="2323"/>
      <c r="K176" s="2323"/>
      <c r="L176" s="2323"/>
      <c r="M176" s="2323"/>
      <c r="N176" s="2323"/>
      <c r="O176" s="2323"/>
      <c r="P176" s="2323"/>
      <c r="Q176" s="2323"/>
      <c r="R176" s="2323"/>
      <c r="S176" s="2323"/>
      <c r="T176" s="2383"/>
      <c r="U176" s="2383"/>
      <c r="V176" s="2319"/>
      <c r="W176" s="2319"/>
      <c r="X176" s="2319"/>
      <c r="Y176" s="2319"/>
      <c r="Z176" s="2566"/>
      <c r="AA176" s="2566"/>
      <c r="AB176" s="2566"/>
      <c r="AC176" s="2566"/>
      <c r="AD176" s="2323"/>
      <c r="AE176" s="2323"/>
      <c r="AF176" s="2323"/>
      <c r="AG176" s="2323"/>
      <c r="AH176" s="2323"/>
      <c r="AI176" s="2323"/>
      <c r="AJ176" s="2323"/>
      <c r="AK176" s="2898"/>
      <c r="AL176" s="2895">
        <f t="shared" si="64"/>
        <v>0</v>
      </c>
      <c r="AM176" s="2896" t="str">
        <f t="shared" si="65"/>
        <v/>
      </c>
      <c r="AN176" s="2338"/>
      <c r="AO176" s="2338"/>
      <c r="AP176" s="2338"/>
      <c r="AQ176" s="2338"/>
      <c r="AR176" s="2338"/>
      <c r="AS176" s="2338"/>
      <c r="AT176" s="2338"/>
      <c r="AU176" s="2338"/>
      <c r="AV176" s="2338"/>
      <c r="AW176" s="2338"/>
      <c r="AX176" s="2338"/>
      <c r="AY176" s="2338"/>
      <c r="AZ176" s="2338"/>
      <c r="BA176" s="2338"/>
      <c r="BB176" s="2338"/>
      <c r="BC176" s="2338"/>
      <c r="BD176" s="2338"/>
      <c r="BE176" s="2338"/>
      <c r="BF176" s="2338"/>
      <c r="BG176" s="2338"/>
      <c r="BH176" s="2338"/>
      <c r="BI176" s="2338"/>
      <c r="BJ176" s="2338"/>
      <c r="BK176" s="2338"/>
      <c r="BL176" s="2338"/>
      <c r="BM176" s="2338"/>
      <c r="BN176" s="2338"/>
      <c r="BO176" s="2338"/>
      <c r="BP176" s="2338"/>
      <c r="BQ176" s="2338"/>
      <c r="BR176" s="2338"/>
      <c r="BS176" s="2338"/>
      <c r="BT176" s="2338"/>
      <c r="BU176" s="2338"/>
      <c r="BV176" s="2338"/>
      <c r="BW176" s="2338"/>
      <c r="BX176" s="2338"/>
      <c r="BY176" s="2338"/>
      <c r="BZ176" s="2338"/>
      <c r="CA176" s="2338"/>
      <c r="CB176" s="2338"/>
      <c r="CC176" s="2338"/>
      <c r="CD176" s="2338"/>
      <c r="CE176" s="2338"/>
      <c r="CF176" s="2338"/>
      <c r="CG176" s="2338"/>
      <c r="CH176" s="2338"/>
      <c r="CI176" s="2338"/>
      <c r="CJ176" s="2338"/>
      <c r="CK176" s="2338"/>
      <c r="CL176" s="2338"/>
      <c r="CM176" s="2338"/>
      <c r="CN176" s="2338"/>
      <c r="CO176" s="2338"/>
      <c r="CP176" s="2338"/>
      <c r="CQ176" s="2338"/>
      <c r="CR176" s="2338"/>
      <c r="CS176" s="2338"/>
      <c r="CT176" s="2338"/>
      <c r="CU176" s="2338"/>
      <c r="CV176" s="2338"/>
      <c r="CW176" s="2338"/>
      <c r="CX176" s="2338"/>
      <c r="CY176" s="2338"/>
      <c r="CZ176" s="2338"/>
      <c r="DA176" s="2338"/>
      <c r="DB176" s="2338"/>
      <c r="DC176" s="2338"/>
      <c r="DD176" s="2338"/>
      <c r="DE176" s="2338"/>
      <c r="DF176" s="2338"/>
      <c r="DG176" s="2338"/>
      <c r="DH176" s="2338"/>
      <c r="DI176" s="2338"/>
      <c r="DJ176" s="2338"/>
      <c r="DK176" s="2338"/>
      <c r="DL176" s="2338"/>
      <c r="DM176" s="2338"/>
      <c r="DN176" s="2338"/>
      <c r="DO176" s="2338"/>
    </row>
    <row r="177" spans="1:119" hidden="1" outlineLevel="1">
      <c r="A177" s="2339"/>
      <c r="B177" s="3033"/>
      <c r="C177" s="3035"/>
      <c r="D177" s="3035"/>
      <c r="E177" s="3028"/>
      <c r="F177" s="3692" t="s">
        <v>3862</v>
      </c>
      <c r="G177" s="3693"/>
      <c r="H177" s="2323"/>
      <c r="I177" s="2323"/>
      <c r="J177" s="2323"/>
      <c r="K177" s="2323"/>
      <c r="L177" s="2323"/>
      <c r="M177" s="2323"/>
      <c r="N177" s="2323"/>
      <c r="O177" s="2323"/>
      <c r="P177" s="2323"/>
      <c r="Q177" s="2323"/>
      <c r="R177" s="2323"/>
      <c r="S177" s="2323"/>
      <c r="T177" s="2383"/>
      <c r="U177" s="2383"/>
      <c r="V177" s="2319"/>
      <c r="W177" s="2319"/>
      <c r="X177" s="2319"/>
      <c r="Y177" s="2319"/>
      <c r="Z177" s="2566"/>
      <c r="AA177" s="2566"/>
      <c r="AB177" s="2566"/>
      <c r="AC177" s="2566"/>
      <c r="AD177" s="2323"/>
      <c r="AE177" s="2323"/>
      <c r="AF177" s="2323"/>
      <c r="AG177" s="2323"/>
      <c r="AH177" s="2323"/>
      <c r="AI177" s="2323"/>
      <c r="AJ177" s="2323"/>
      <c r="AK177" s="2898"/>
      <c r="AL177" s="2895">
        <f t="shared" si="64"/>
        <v>0</v>
      </c>
      <c r="AM177" s="2896" t="str">
        <f t="shared" si="65"/>
        <v/>
      </c>
      <c r="AN177" s="2338"/>
      <c r="AO177" s="2338"/>
      <c r="AP177" s="2338"/>
      <c r="AQ177" s="2338"/>
      <c r="AR177" s="2338"/>
      <c r="AS177" s="2338"/>
      <c r="AT177" s="2338"/>
      <c r="AU177" s="2338"/>
      <c r="AV177" s="2338"/>
      <c r="AW177" s="2338"/>
      <c r="AX177" s="2338"/>
      <c r="AY177" s="2338"/>
      <c r="AZ177" s="2338"/>
      <c r="BA177" s="2338"/>
      <c r="BB177" s="2338"/>
      <c r="BC177" s="2338"/>
      <c r="BD177" s="2338"/>
      <c r="BE177" s="2338"/>
      <c r="BF177" s="2338"/>
      <c r="BG177" s="2338"/>
      <c r="BH177" s="2338"/>
      <c r="BI177" s="2338"/>
      <c r="BJ177" s="2338"/>
      <c r="BK177" s="2338"/>
      <c r="BL177" s="2338"/>
      <c r="BM177" s="2338"/>
      <c r="BN177" s="2338"/>
      <c r="BO177" s="2338"/>
      <c r="BP177" s="2338"/>
      <c r="BQ177" s="2338"/>
      <c r="BR177" s="2338"/>
      <c r="BS177" s="2338"/>
      <c r="BT177" s="2338"/>
      <c r="BU177" s="2338"/>
      <c r="BV177" s="2338"/>
      <c r="BW177" s="2338"/>
      <c r="BX177" s="2338"/>
      <c r="BY177" s="2338"/>
      <c r="BZ177" s="2338"/>
      <c r="CA177" s="2338"/>
      <c r="CB177" s="2338"/>
      <c r="CC177" s="2338"/>
      <c r="CD177" s="2338"/>
      <c r="CE177" s="2338"/>
      <c r="CF177" s="2338"/>
      <c r="CG177" s="2338"/>
      <c r="CH177" s="2338"/>
      <c r="CI177" s="2338"/>
      <c r="CJ177" s="2338"/>
      <c r="CK177" s="2338"/>
      <c r="CL177" s="2338"/>
      <c r="CM177" s="2338"/>
      <c r="CN177" s="2338"/>
      <c r="CO177" s="2338"/>
      <c r="CP177" s="2338"/>
      <c r="CQ177" s="2338"/>
      <c r="CR177" s="2338"/>
      <c r="CS177" s="2338"/>
      <c r="CT177" s="2338"/>
      <c r="CU177" s="2338"/>
      <c r="CV177" s="2338"/>
      <c r="CW177" s="2338"/>
      <c r="CX177" s="2338"/>
      <c r="CY177" s="2338"/>
      <c r="CZ177" s="2338"/>
      <c r="DA177" s="2338"/>
      <c r="DB177" s="2338"/>
      <c r="DC177" s="2338"/>
      <c r="DD177" s="2338"/>
      <c r="DE177" s="2338"/>
      <c r="DF177" s="2338"/>
      <c r="DG177" s="2338"/>
      <c r="DH177" s="2338"/>
      <c r="DI177" s="2338"/>
      <c r="DJ177" s="2338"/>
      <c r="DK177" s="2338"/>
      <c r="DL177" s="2338"/>
      <c r="DM177" s="2338"/>
      <c r="DN177" s="2338"/>
      <c r="DO177" s="2338"/>
    </row>
    <row r="178" spans="1:119" s="2345" customFormat="1" hidden="1" outlineLevel="1">
      <c r="A178" s="2339"/>
      <c r="B178" s="3033"/>
      <c r="C178" s="3035"/>
      <c r="D178" s="3035"/>
      <c r="E178" s="3028"/>
      <c r="F178" s="3692" t="s">
        <v>3863</v>
      </c>
      <c r="G178" s="3693"/>
      <c r="H178" s="3694"/>
      <c r="I178" s="3694"/>
      <c r="J178" s="3694"/>
      <c r="K178" s="3694"/>
      <c r="L178" s="3694"/>
      <c r="M178" s="3694"/>
      <c r="N178" s="3694"/>
      <c r="O178" s="3694"/>
      <c r="P178" s="3694"/>
      <c r="Q178" s="3694"/>
      <c r="R178" s="3694"/>
      <c r="S178" s="3694"/>
      <c r="T178" s="2383"/>
      <c r="U178" s="2383"/>
      <c r="V178" s="2323"/>
      <c r="W178" s="2323"/>
      <c r="X178" s="2323"/>
      <c r="Y178" s="2323"/>
      <c r="Z178" s="2566"/>
      <c r="AA178" s="2566"/>
      <c r="AB178" s="2566"/>
      <c r="AC178" s="2566"/>
      <c r="AD178" s="2323"/>
      <c r="AE178" s="2323"/>
      <c r="AF178" s="2323"/>
      <c r="AG178" s="2323"/>
      <c r="AH178" s="2323"/>
      <c r="AI178" s="2323"/>
      <c r="AJ178" s="2323"/>
      <c r="AK178" s="2898"/>
      <c r="AL178" s="2895">
        <f t="shared" si="64"/>
        <v>0</v>
      </c>
      <c r="AM178" s="2896" t="str">
        <f t="shared" si="65"/>
        <v/>
      </c>
    </row>
    <row r="179" spans="1:119" s="2345" customFormat="1" hidden="1" outlineLevel="1">
      <c r="A179" s="2339"/>
      <c r="B179" s="3033"/>
      <c r="C179" s="3035"/>
      <c r="D179" s="3035"/>
      <c r="E179" s="3028"/>
      <c r="F179" s="3692" t="s">
        <v>3864</v>
      </c>
      <c r="G179" s="3693"/>
      <c r="H179" s="3695"/>
      <c r="I179" s="3695"/>
      <c r="J179" s="3695"/>
      <c r="K179" s="3695"/>
      <c r="L179" s="3695"/>
      <c r="M179" s="3695"/>
      <c r="N179" s="3695"/>
      <c r="O179" s="3695"/>
      <c r="P179" s="3695"/>
      <c r="Q179" s="3695"/>
      <c r="R179" s="3695"/>
      <c r="S179" s="3695"/>
      <c r="T179" s="2383"/>
      <c r="U179" s="2383"/>
      <c r="V179" s="2323"/>
      <c r="W179" s="2323"/>
      <c r="X179" s="2323"/>
      <c r="Y179" s="2323"/>
      <c r="Z179" s="2566"/>
      <c r="AA179" s="2566"/>
      <c r="AB179" s="2566"/>
      <c r="AC179" s="2566"/>
      <c r="AD179" s="2323"/>
      <c r="AE179" s="2323"/>
      <c r="AF179" s="2323"/>
      <c r="AG179" s="2323"/>
      <c r="AH179" s="2323"/>
      <c r="AI179" s="2323"/>
      <c r="AJ179" s="2323"/>
      <c r="AK179" s="2898"/>
      <c r="AL179" s="2895">
        <f t="shared" si="64"/>
        <v>0</v>
      </c>
      <c r="AM179" s="2896" t="str">
        <f t="shared" si="65"/>
        <v/>
      </c>
    </row>
    <row r="180" spans="1:119" s="2345" customFormat="1" ht="15" hidden="1" customHeight="1" outlineLevel="1">
      <c r="A180" s="2339"/>
      <c r="B180" s="3033"/>
      <c r="C180" s="3035"/>
      <c r="D180" s="3035"/>
      <c r="E180" s="3028"/>
      <c r="F180" s="3692" t="s">
        <v>3865</v>
      </c>
      <c r="G180" s="3693"/>
      <c r="H180" s="3696"/>
      <c r="I180" s="3696"/>
      <c r="J180" s="3696"/>
      <c r="K180" s="3696"/>
      <c r="L180" s="3696"/>
      <c r="M180" s="3696"/>
      <c r="N180" s="3696"/>
      <c r="O180" s="3697"/>
      <c r="P180" s="3697"/>
      <c r="Q180" s="3697"/>
      <c r="R180" s="3697"/>
      <c r="S180" s="3697"/>
      <c r="T180" s="2383"/>
      <c r="U180" s="2383"/>
      <c r="V180" s="2323"/>
      <c r="W180" s="2323"/>
      <c r="X180" s="2323"/>
      <c r="Y180" s="2323"/>
      <c r="Z180" s="2566"/>
      <c r="AA180" s="2566"/>
      <c r="AB180" s="2566"/>
      <c r="AC180" s="2566"/>
      <c r="AD180" s="2323"/>
      <c r="AE180" s="2323"/>
      <c r="AF180" s="2323"/>
      <c r="AG180" s="2323"/>
      <c r="AH180" s="2323"/>
      <c r="AI180" s="2323"/>
      <c r="AJ180" s="2323"/>
      <c r="AK180" s="2898"/>
      <c r="AL180" s="2895">
        <f t="shared" si="64"/>
        <v>0</v>
      </c>
      <c r="AM180" s="2896" t="str">
        <f t="shared" si="65"/>
        <v/>
      </c>
    </row>
    <row r="181" spans="1:119" s="2345" customFormat="1" ht="15" hidden="1" customHeight="1" outlineLevel="1">
      <c r="A181" s="2339"/>
      <c r="B181" s="3033"/>
      <c r="C181" s="3035"/>
      <c r="D181" s="3035" t="s">
        <v>3911</v>
      </c>
      <c r="E181" s="3028" t="s">
        <v>3910</v>
      </c>
      <c r="F181" s="3692" t="s">
        <v>3860</v>
      </c>
      <c r="G181" s="3693"/>
      <c r="H181" s="2967"/>
      <c r="I181" s="2967"/>
      <c r="J181" s="2967"/>
      <c r="K181" s="2967"/>
      <c r="L181" s="2967"/>
      <c r="M181" s="2967"/>
      <c r="N181" s="2967"/>
      <c r="O181" s="2967"/>
      <c r="P181" s="2967"/>
      <c r="Q181" s="2967"/>
      <c r="R181" s="2967"/>
      <c r="S181" s="2967"/>
      <c r="T181" s="2383"/>
      <c r="U181" s="2383"/>
      <c r="V181" s="2323"/>
      <c r="W181" s="2323"/>
      <c r="X181" s="2323"/>
      <c r="Y181" s="2323"/>
      <c r="Z181" s="2566"/>
      <c r="AA181" s="2566"/>
      <c r="AB181" s="2566"/>
      <c r="AC181" s="2566"/>
      <c r="AD181" s="2323"/>
      <c r="AE181" s="2323"/>
      <c r="AF181" s="2323"/>
      <c r="AG181" s="2323"/>
      <c r="AH181" s="2323"/>
      <c r="AI181" s="2323"/>
      <c r="AJ181" s="2323"/>
      <c r="AK181" s="2898"/>
      <c r="AL181" s="2895">
        <f t="shared" si="64"/>
        <v>0</v>
      </c>
      <c r="AM181" s="2896" t="str">
        <f t="shared" si="65"/>
        <v/>
      </c>
    </row>
    <row r="182" spans="1:119" s="2346" customFormat="1" hidden="1" outlineLevel="1">
      <c r="A182" s="2339"/>
      <c r="B182" s="3033"/>
      <c r="C182" s="3035"/>
      <c r="D182" s="3035"/>
      <c r="E182" s="3028"/>
      <c r="F182" s="3692" t="s">
        <v>3861</v>
      </c>
      <c r="G182" s="3693"/>
      <c r="H182" s="3696"/>
      <c r="I182" s="3696"/>
      <c r="J182" s="3696"/>
      <c r="K182" s="3696"/>
      <c r="L182" s="3696"/>
      <c r="M182" s="3696"/>
      <c r="N182" s="3696"/>
      <c r="O182" s="2323"/>
      <c r="P182" s="2323"/>
      <c r="Q182" s="2323"/>
      <c r="R182" s="2323"/>
      <c r="S182" s="2323"/>
      <c r="T182" s="2383"/>
      <c r="U182" s="2383"/>
      <c r="V182" s="2343"/>
      <c r="W182" s="2343"/>
      <c r="X182" s="2343"/>
      <c r="Y182" s="2343"/>
      <c r="Z182" s="2566"/>
      <c r="AA182" s="2566"/>
      <c r="AB182" s="2566"/>
      <c r="AC182" s="2566"/>
      <c r="AD182" s="2323"/>
      <c r="AE182" s="2323"/>
      <c r="AF182" s="2323"/>
      <c r="AG182" s="2323"/>
      <c r="AH182" s="2323"/>
      <c r="AI182" s="2323"/>
      <c r="AJ182" s="2323"/>
      <c r="AK182" s="2898"/>
      <c r="AL182" s="2895">
        <f t="shared" si="64"/>
        <v>0</v>
      </c>
      <c r="AM182" s="2896" t="str">
        <f t="shared" si="65"/>
        <v/>
      </c>
      <c r="AN182" s="2345"/>
      <c r="AO182" s="2345"/>
      <c r="AP182" s="2345"/>
      <c r="AQ182" s="2345"/>
      <c r="AR182" s="2345"/>
      <c r="AS182" s="2345"/>
      <c r="AT182" s="2345"/>
      <c r="AU182" s="2345"/>
      <c r="AV182" s="2345"/>
      <c r="AW182" s="2345"/>
      <c r="AX182" s="2345"/>
      <c r="AY182" s="2345"/>
      <c r="AZ182" s="2345"/>
      <c r="BA182" s="2345"/>
      <c r="BB182" s="2345"/>
      <c r="BC182" s="2345"/>
      <c r="BD182" s="2345"/>
      <c r="BE182" s="2345"/>
      <c r="BF182" s="2345"/>
      <c r="BG182" s="2345"/>
      <c r="BH182" s="2345"/>
      <c r="BI182" s="2345"/>
      <c r="BJ182" s="2345"/>
      <c r="BK182" s="2345"/>
      <c r="BL182" s="2345"/>
      <c r="BM182" s="2345"/>
      <c r="BN182" s="2345"/>
      <c r="BO182" s="2345"/>
      <c r="BP182" s="2345"/>
      <c r="BQ182" s="2345"/>
      <c r="BR182" s="2345"/>
      <c r="BS182" s="2345"/>
      <c r="BT182" s="2345"/>
      <c r="BU182" s="2345"/>
      <c r="BV182" s="2345"/>
      <c r="BW182" s="2345"/>
      <c r="BX182" s="2345"/>
      <c r="BY182" s="2345"/>
      <c r="BZ182" s="2345"/>
      <c r="CA182" s="2345"/>
      <c r="CB182" s="2345"/>
      <c r="CC182" s="2345"/>
      <c r="CD182" s="2345"/>
      <c r="CE182" s="2345"/>
      <c r="CF182" s="2345"/>
      <c r="CG182" s="2345"/>
      <c r="CH182" s="2345"/>
      <c r="CI182" s="2345"/>
      <c r="CJ182" s="2345"/>
      <c r="CK182" s="2345"/>
      <c r="CL182" s="2345"/>
      <c r="CM182" s="2345"/>
      <c r="CN182" s="2345"/>
      <c r="CO182" s="2345"/>
      <c r="CP182" s="2345"/>
      <c r="CQ182" s="2345"/>
      <c r="CR182" s="2345"/>
      <c r="CS182" s="2345"/>
      <c r="CT182" s="2345"/>
      <c r="CU182" s="2345"/>
      <c r="CV182" s="2345"/>
      <c r="CW182" s="2345"/>
      <c r="CX182" s="2345"/>
      <c r="CY182" s="2345"/>
      <c r="CZ182" s="2345"/>
      <c r="DA182" s="2345"/>
      <c r="DB182" s="2345"/>
      <c r="DC182" s="2345"/>
      <c r="DD182" s="2345"/>
      <c r="DE182" s="2345"/>
      <c r="DF182" s="2345"/>
      <c r="DG182" s="2345"/>
      <c r="DH182" s="2345"/>
      <c r="DI182" s="2345"/>
      <c r="DJ182" s="2345"/>
      <c r="DK182" s="2345"/>
      <c r="DL182" s="2345"/>
      <c r="DM182" s="2345"/>
      <c r="DN182" s="2345"/>
      <c r="DO182" s="2345"/>
    </row>
    <row r="183" spans="1:119" s="2346" customFormat="1" ht="15" hidden="1" customHeight="1" outlineLevel="1">
      <c r="A183" s="2339"/>
      <c r="B183" s="3033"/>
      <c r="C183" s="3035"/>
      <c r="D183" s="3035"/>
      <c r="E183" s="3028"/>
      <c r="F183" s="3692" t="s">
        <v>3862</v>
      </c>
      <c r="G183" s="3693"/>
      <c r="H183" s="2967"/>
      <c r="I183" s="2967"/>
      <c r="J183" s="2967"/>
      <c r="K183" s="2967"/>
      <c r="L183" s="2967"/>
      <c r="M183" s="2967"/>
      <c r="N183" s="2967"/>
      <c r="O183" s="2323"/>
      <c r="P183" s="2323"/>
      <c r="Q183" s="2323"/>
      <c r="R183" s="2323"/>
      <c r="S183" s="2323"/>
      <c r="T183" s="2383"/>
      <c r="U183" s="2383"/>
      <c r="V183" s="2343"/>
      <c r="W183" s="2343"/>
      <c r="X183" s="2343"/>
      <c r="Y183" s="2343"/>
      <c r="Z183" s="2566"/>
      <c r="AA183" s="2566"/>
      <c r="AB183" s="2566"/>
      <c r="AC183" s="2566"/>
      <c r="AD183" s="2323"/>
      <c r="AE183" s="2323"/>
      <c r="AF183" s="2323"/>
      <c r="AG183" s="2323"/>
      <c r="AH183" s="2323"/>
      <c r="AI183" s="2323"/>
      <c r="AJ183" s="2323"/>
      <c r="AK183" s="2898"/>
      <c r="AL183" s="2895">
        <f t="shared" si="64"/>
        <v>0</v>
      </c>
      <c r="AM183" s="2896" t="str">
        <f t="shared" si="65"/>
        <v/>
      </c>
      <c r="AN183" s="2345"/>
      <c r="AO183" s="2345"/>
      <c r="AP183" s="2345"/>
      <c r="AQ183" s="2345"/>
      <c r="AR183" s="2345"/>
      <c r="AS183" s="2345"/>
      <c r="AT183" s="2345"/>
      <c r="AU183" s="2345"/>
      <c r="AV183" s="2345"/>
      <c r="AW183" s="2345"/>
      <c r="AX183" s="2345"/>
      <c r="AY183" s="2345"/>
      <c r="AZ183" s="2345"/>
      <c r="BA183" s="2345"/>
      <c r="BB183" s="2345"/>
      <c r="BC183" s="2345"/>
      <c r="BD183" s="2345"/>
      <c r="BE183" s="2345"/>
      <c r="BF183" s="2345"/>
      <c r="BG183" s="2345"/>
      <c r="BH183" s="2345"/>
      <c r="BI183" s="2345"/>
      <c r="BJ183" s="2345"/>
      <c r="BK183" s="2345"/>
      <c r="BL183" s="2345"/>
      <c r="BM183" s="2345"/>
      <c r="BN183" s="2345"/>
      <c r="BO183" s="2345"/>
      <c r="BP183" s="2345"/>
      <c r="BQ183" s="2345"/>
      <c r="BR183" s="2345"/>
      <c r="BS183" s="2345"/>
      <c r="BT183" s="2345"/>
      <c r="BU183" s="2345"/>
      <c r="BV183" s="2345"/>
      <c r="BW183" s="2345"/>
      <c r="BX183" s="2345"/>
      <c r="BY183" s="2345"/>
      <c r="BZ183" s="2345"/>
      <c r="CA183" s="2345"/>
      <c r="CB183" s="2345"/>
      <c r="CC183" s="2345"/>
      <c r="CD183" s="2345"/>
      <c r="CE183" s="2345"/>
      <c r="CF183" s="2345"/>
      <c r="CG183" s="2345"/>
      <c r="CH183" s="2345"/>
      <c r="CI183" s="2345"/>
      <c r="CJ183" s="2345"/>
      <c r="CK183" s="2345"/>
      <c r="CL183" s="2345"/>
      <c r="CM183" s="2345"/>
      <c r="CN183" s="2345"/>
      <c r="CO183" s="2345"/>
      <c r="CP183" s="2345"/>
      <c r="CQ183" s="2345"/>
      <c r="CR183" s="2345"/>
      <c r="CS183" s="2345"/>
      <c r="CT183" s="2345"/>
      <c r="CU183" s="2345"/>
      <c r="CV183" s="2345"/>
      <c r="CW183" s="2345"/>
      <c r="CX183" s="2345"/>
      <c r="CY183" s="2345"/>
      <c r="CZ183" s="2345"/>
      <c r="DA183" s="2345"/>
      <c r="DB183" s="2345"/>
      <c r="DC183" s="2345"/>
      <c r="DD183" s="2345"/>
      <c r="DE183" s="2345"/>
      <c r="DF183" s="2345"/>
      <c r="DG183" s="2345"/>
      <c r="DH183" s="2345"/>
      <c r="DI183" s="2345"/>
      <c r="DJ183" s="2345"/>
      <c r="DK183" s="2345"/>
      <c r="DL183" s="2345"/>
      <c r="DM183" s="2345"/>
      <c r="DN183" s="2345"/>
      <c r="DO183" s="2345"/>
    </row>
    <row r="184" spans="1:119" s="2346" customFormat="1" ht="15" hidden="1" customHeight="1" outlineLevel="1">
      <c r="A184" s="2339"/>
      <c r="B184" s="3033"/>
      <c r="C184" s="3035"/>
      <c r="D184" s="3035"/>
      <c r="E184" s="3028"/>
      <c r="F184" s="3692" t="s">
        <v>3863</v>
      </c>
      <c r="G184" s="3693"/>
      <c r="H184" s="2967"/>
      <c r="I184" s="2967"/>
      <c r="J184" s="2967"/>
      <c r="K184" s="2967"/>
      <c r="L184" s="2967"/>
      <c r="M184" s="2967"/>
      <c r="N184" s="2967"/>
      <c r="O184" s="2323"/>
      <c r="P184" s="2323"/>
      <c r="Q184" s="2323"/>
      <c r="R184" s="2323"/>
      <c r="S184" s="2323"/>
      <c r="T184" s="2383"/>
      <c r="U184" s="2383"/>
      <c r="V184" s="2343"/>
      <c r="W184" s="2343"/>
      <c r="X184" s="2343"/>
      <c r="Y184" s="2343"/>
      <c r="Z184" s="2566"/>
      <c r="AA184" s="2566"/>
      <c r="AB184" s="2566"/>
      <c r="AC184" s="2566"/>
      <c r="AD184" s="2323"/>
      <c r="AE184" s="2323"/>
      <c r="AF184" s="2323"/>
      <c r="AG184" s="2323"/>
      <c r="AH184" s="2323"/>
      <c r="AI184" s="2323"/>
      <c r="AJ184" s="2323"/>
      <c r="AK184" s="2898"/>
      <c r="AL184" s="2895">
        <f t="shared" si="64"/>
        <v>0</v>
      </c>
      <c r="AM184" s="2896" t="str">
        <f t="shared" si="65"/>
        <v/>
      </c>
      <c r="AN184" s="2345"/>
      <c r="AO184" s="2345"/>
      <c r="AP184" s="2345"/>
      <c r="AQ184" s="2345"/>
      <c r="AR184" s="2345"/>
      <c r="AS184" s="2345"/>
      <c r="AT184" s="2345"/>
      <c r="AU184" s="2345"/>
      <c r="AV184" s="2345"/>
      <c r="AW184" s="2345"/>
      <c r="AX184" s="2345"/>
      <c r="AY184" s="2345"/>
      <c r="AZ184" s="2345"/>
      <c r="BA184" s="2345"/>
      <c r="BB184" s="2345"/>
      <c r="BC184" s="2345"/>
      <c r="BD184" s="2345"/>
      <c r="BE184" s="2345"/>
      <c r="BF184" s="2345"/>
      <c r="BG184" s="2345"/>
      <c r="BH184" s="2345"/>
      <c r="BI184" s="2345"/>
      <c r="BJ184" s="2345"/>
      <c r="BK184" s="2345"/>
      <c r="BL184" s="2345"/>
      <c r="BM184" s="2345"/>
      <c r="BN184" s="2345"/>
      <c r="BO184" s="2345"/>
      <c r="BP184" s="2345"/>
      <c r="BQ184" s="2345"/>
      <c r="BR184" s="2345"/>
      <c r="BS184" s="2345"/>
      <c r="BT184" s="2345"/>
      <c r="BU184" s="2345"/>
      <c r="BV184" s="2345"/>
      <c r="BW184" s="2345"/>
      <c r="BX184" s="2345"/>
      <c r="BY184" s="2345"/>
      <c r="BZ184" s="2345"/>
      <c r="CA184" s="2345"/>
      <c r="CB184" s="2345"/>
      <c r="CC184" s="2345"/>
      <c r="CD184" s="2345"/>
      <c r="CE184" s="2345"/>
      <c r="CF184" s="2345"/>
      <c r="CG184" s="2345"/>
      <c r="CH184" s="2345"/>
      <c r="CI184" s="2345"/>
      <c r="CJ184" s="2345"/>
      <c r="CK184" s="2345"/>
      <c r="CL184" s="2345"/>
      <c r="CM184" s="2345"/>
      <c r="CN184" s="2345"/>
      <c r="CO184" s="2345"/>
      <c r="CP184" s="2345"/>
      <c r="CQ184" s="2345"/>
      <c r="CR184" s="2345"/>
      <c r="CS184" s="2345"/>
      <c r="CT184" s="2345"/>
      <c r="CU184" s="2345"/>
      <c r="CV184" s="2345"/>
      <c r="CW184" s="2345"/>
      <c r="CX184" s="2345"/>
      <c r="CY184" s="2345"/>
      <c r="CZ184" s="2345"/>
      <c r="DA184" s="2345"/>
      <c r="DB184" s="2345"/>
      <c r="DC184" s="2345"/>
      <c r="DD184" s="2345"/>
      <c r="DE184" s="2345"/>
      <c r="DF184" s="2345"/>
      <c r="DG184" s="2345"/>
      <c r="DH184" s="2345"/>
      <c r="DI184" s="2345"/>
      <c r="DJ184" s="2345"/>
      <c r="DK184" s="2345"/>
      <c r="DL184" s="2345"/>
      <c r="DM184" s="2345"/>
      <c r="DN184" s="2345"/>
      <c r="DO184" s="2345"/>
    </row>
    <row r="185" spans="1:119" s="2345" customFormat="1" ht="15" hidden="1" customHeight="1" outlineLevel="1">
      <c r="A185" s="2339"/>
      <c r="B185" s="3033"/>
      <c r="C185" s="3035"/>
      <c r="D185" s="3035"/>
      <c r="E185" s="3028"/>
      <c r="F185" s="3692" t="s">
        <v>3864</v>
      </c>
      <c r="G185" s="3693"/>
      <c r="H185" s="2967"/>
      <c r="I185" s="2967"/>
      <c r="J185" s="2967"/>
      <c r="K185" s="2967"/>
      <c r="L185" s="2967"/>
      <c r="M185" s="2967"/>
      <c r="N185" s="2967"/>
      <c r="O185" s="2323"/>
      <c r="P185" s="2323"/>
      <c r="Q185" s="2323"/>
      <c r="R185" s="2323"/>
      <c r="S185" s="2323"/>
      <c r="T185" s="2383"/>
      <c r="U185" s="2383"/>
      <c r="V185" s="2323"/>
      <c r="W185" s="2323"/>
      <c r="X185" s="2323"/>
      <c r="Y185" s="2323"/>
      <c r="Z185" s="2566"/>
      <c r="AA185" s="2566"/>
      <c r="AB185" s="2566"/>
      <c r="AC185" s="2566"/>
      <c r="AD185" s="2323"/>
      <c r="AE185" s="2323"/>
      <c r="AF185" s="2323"/>
      <c r="AG185" s="2323"/>
      <c r="AH185" s="2323"/>
      <c r="AI185" s="2323"/>
      <c r="AJ185" s="2323"/>
      <c r="AK185" s="2898"/>
      <c r="AL185" s="2895">
        <f t="shared" si="64"/>
        <v>0</v>
      </c>
      <c r="AM185" s="2896" t="str">
        <f t="shared" si="65"/>
        <v/>
      </c>
    </row>
    <row r="186" spans="1:119" s="2345" customFormat="1" ht="15" hidden="1" customHeight="1" outlineLevel="1">
      <c r="A186" s="2339"/>
      <c r="B186" s="3033"/>
      <c r="C186" s="3035"/>
      <c r="D186" s="3035"/>
      <c r="E186" s="3028"/>
      <c r="F186" s="3692" t="s">
        <v>3865</v>
      </c>
      <c r="G186" s="3693"/>
      <c r="H186" s="2967"/>
      <c r="I186" s="2967"/>
      <c r="J186" s="2967"/>
      <c r="K186" s="2967"/>
      <c r="L186" s="2967"/>
      <c r="M186" s="2967"/>
      <c r="N186" s="2967"/>
      <c r="O186" s="2323"/>
      <c r="P186" s="2323"/>
      <c r="Q186" s="2323"/>
      <c r="R186" s="2323"/>
      <c r="S186" s="2323"/>
      <c r="T186" s="2383"/>
      <c r="U186" s="2383"/>
      <c r="V186" s="2323"/>
      <c r="W186" s="2323"/>
      <c r="X186" s="2323"/>
      <c r="Y186" s="2323"/>
      <c r="Z186" s="2566"/>
      <c r="AA186" s="2566"/>
      <c r="AB186" s="2566"/>
      <c r="AC186" s="2566"/>
      <c r="AD186" s="2323"/>
      <c r="AE186" s="2323"/>
      <c r="AF186" s="2323"/>
      <c r="AG186" s="2323"/>
      <c r="AH186" s="2323"/>
      <c r="AI186" s="2323"/>
      <c r="AJ186" s="2323"/>
      <c r="AK186" s="2898"/>
      <c r="AL186" s="2895">
        <f t="shared" si="64"/>
        <v>0</v>
      </c>
      <c r="AM186" s="2896" t="str">
        <f t="shared" si="65"/>
        <v/>
      </c>
    </row>
    <row r="187" spans="1:119" s="2345" customFormat="1" ht="15" hidden="1" customHeight="1" outlineLevel="1">
      <c r="A187" s="2339"/>
      <c r="B187" s="3033"/>
      <c r="C187" s="3028" t="s">
        <v>3915</v>
      </c>
      <c r="D187" s="3035" t="s">
        <v>3908</v>
      </c>
      <c r="E187" s="3028" t="s">
        <v>3909</v>
      </c>
      <c r="F187" s="3692" t="s">
        <v>3860</v>
      </c>
      <c r="G187" s="3693"/>
      <c r="H187" s="2967"/>
      <c r="I187" s="2967"/>
      <c r="J187" s="2967"/>
      <c r="K187" s="2967"/>
      <c r="L187" s="2967"/>
      <c r="M187" s="2967"/>
      <c r="N187" s="2967"/>
      <c r="O187" s="2323"/>
      <c r="P187" s="2323"/>
      <c r="Q187" s="2323"/>
      <c r="R187" s="2323"/>
      <c r="S187" s="2323"/>
      <c r="T187" s="2383"/>
      <c r="U187" s="2383"/>
      <c r="V187" s="2323"/>
      <c r="W187" s="2323"/>
      <c r="X187" s="2323"/>
      <c r="Y187" s="2323"/>
      <c r="Z187" s="2566"/>
      <c r="AA187" s="2566"/>
      <c r="AB187" s="2566"/>
      <c r="AC187" s="2566"/>
      <c r="AD187" s="2323"/>
      <c r="AE187" s="2323"/>
      <c r="AF187" s="2323"/>
      <c r="AG187" s="2323"/>
      <c r="AH187" s="2323"/>
      <c r="AI187" s="2323"/>
      <c r="AJ187" s="2323"/>
      <c r="AK187" s="2898"/>
      <c r="AL187" s="2895">
        <f t="shared" si="64"/>
        <v>0</v>
      </c>
      <c r="AM187" s="2896" t="str">
        <f t="shared" si="65"/>
        <v/>
      </c>
    </row>
    <row r="188" spans="1:119" s="2345" customFormat="1" ht="15" hidden="1" customHeight="1" outlineLevel="1">
      <c r="A188" s="2339"/>
      <c r="B188" s="3033"/>
      <c r="C188" s="3028"/>
      <c r="D188" s="3035"/>
      <c r="E188" s="3028"/>
      <c r="F188" s="3692" t="s">
        <v>3861</v>
      </c>
      <c r="G188" s="3693"/>
      <c r="H188" s="2967"/>
      <c r="I188" s="2967"/>
      <c r="J188" s="2967"/>
      <c r="K188" s="2967"/>
      <c r="L188" s="2967"/>
      <c r="M188" s="2967"/>
      <c r="N188" s="2320"/>
      <c r="O188" s="2323"/>
      <c r="P188" s="2323"/>
      <c r="Q188" s="2323"/>
      <c r="R188" s="2323"/>
      <c r="S188" s="2323"/>
      <c r="T188" s="2383"/>
      <c r="U188" s="2383"/>
      <c r="V188" s="2323"/>
      <c r="W188" s="2323"/>
      <c r="X188" s="2323"/>
      <c r="Y188" s="2323"/>
      <c r="Z188" s="2566"/>
      <c r="AA188" s="2566"/>
      <c r="AB188" s="2566"/>
      <c r="AC188" s="2566"/>
      <c r="AD188" s="2323"/>
      <c r="AE188" s="2323"/>
      <c r="AF188" s="2323"/>
      <c r="AG188" s="2323"/>
      <c r="AH188" s="2323"/>
      <c r="AI188" s="2323"/>
      <c r="AJ188" s="2323"/>
      <c r="AK188" s="2898"/>
      <c r="AL188" s="2895">
        <f t="shared" si="64"/>
        <v>0</v>
      </c>
      <c r="AM188" s="2896" t="str">
        <f t="shared" si="65"/>
        <v/>
      </c>
    </row>
    <row r="189" spans="1:119" s="2345" customFormat="1" ht="15" hidden="1" customHeight="1" outlineLevel="1">
      <c r="A189" s="2339"/>
      <c r="B189" s="3033"/>
      <c r="C189" s="3028"/>
      <c r="D189" s="3035"/>
      <c r="E189" s="3028"/>
      <c r="F189" s="3692" t="s">
        <v>3862</v>
      </c>
      <c r="G189" s="3693"/>
      <c r="H189" s="2967"/>
      <c r="I189" s="2967"/>
      <c r="J189" s="2967"/>
      <c r="K189" s="2967"/>
      <c r="L189" s="2967"/>
      <c r="M189" s="2967"/>
      <c r="N189" s="2967"/>
      <c r="O189" s="2323"/>
      <c r="P189" s="2323"/>
      <c r="Q189" s="2323"/>
      <c r="R189" s="2323"/>
      <c r="S189" s="2323"/>
      <c r="T189" s="2383"/>
      <c r="U189" s="2383"/>
      <c r="V189" s="2323"/>
      <c r="W189" s="2323"/>
      <c r="X189" s="2323"/>
      <c r="Y189" s="2323"/>
      <c r="Z189" s="2566"/>
      <c r="AA189" s="2566"/>
      <c r="AB189" s="2566"/>
      <c r="AC189" s="2566"/>
      <c r="AD189" s="2323"/>
      <c r="AE189" s="2323"/>
      <c r="AF189" s="2323"/>
      <c r="AG189" s="2323"/>
      <c r="AH189" s="2323"/>
      <c r="AI189" s="2323"/>
      <c r="AJ189" s="2323"/>
      <c r="AK189" s="2898"/>
      <c r="AL189" s="2895">
        <f t="shared" si="64"/>
        <v>0</v>
      </c>
      <c r="AM189" s="2896" t="str">
        <f t="shared" si="65"/>
        <v/>
      </c>
    </row>
    <row r="190" spans="1:119" s="2345" customFormat="1" ht="15" hidden="1" customHeight="1" outlineLevel="1">
      <c r="A190" s="2339"/>
      <c r="B190" s="3033"/>
      <c r="C190" s="3028"/>
      <c r="D190" s="3035"/>
      <c r="E190" s="3028"/>
      <c r="F190" s="3692" t="s">
        <v>3863</v>
      </c>
      <c r="G190" s="3693"/>
      <c r="H190" s="2967"/>
      <c r="I190" s="2967"/>
      <c r="J190" s="2967"/>
      <c r="K190" s="2967"/>
      <c r="L190" s="2967"/>
      <c r="M190" s="2967"/>
      <c r="N190" s="2967"/>
      <c r="O190" s="2323"/>
      <c r="P190" s="2323"/>
      <c r="Q190" s="2323"/>
      <c r="R190" s="2323"/>
      <c r="S190" s="2323"/>
      <c r="T190" s="2383"/>
      <c r="U190" s="2383"/>
      <c r="V190" s="2323"/>
      <c r="W190" s="2323"/>
      <c r="X190" s="2323"/>
      <c r="Y190" s="2323"/>
      <c r="Z190" s="2566"/>
      <c r="AA190" s="2566"/>
      <c r="AB190" s="2566"/>
      <c r="AC190" s="2566"/>
      <c r="AD190" s="2323"/>
      <c r="AE190" s="2323"/>
      <c r="AF190" s="2323"/>
      <c r="AG190" s="2323"/>
      <c r="AH190" s="2323"/>
      <c r="AI190" s="2323"/>
      <c r="AJ190" s="2323"/>
      <c r="AK190" s="2898"/>
      <c r="AL190" s="2895">
        <f t="shared" si="64"/>
        <v>0</v>
      </c>
      <c r="AM190" s="2896" t="str">
        <f t="shared" si="65"/>
        <v/>
      </c>
    </row>
    <row r="191" spans="1:119" s="2345" customFormat="1" ht="15" hidden="1" customHeight="1" outlineLevel="1">
      <c r="A191" s="2339"/>
      <c r="B191" s="3033"/>
      <c r="C191" s="3028"/>
      <c r="D191" s="3035"/>
      <c r="E191" s="3028"/>
      <c r="F191" s="3692" t="s">
        <v>3864</v>
      </c>
      <c r="G191" s="3693"/>
      <c r="H191" s="2967"/>
      <c r="I191" s="2967"/>
      <c r="J191" s="2967"/>
      <c r="K191" s="2967"/>
      <c r="L191" s="2967"/>
      <c r="M191" s="2967"/>
      <c r="N191" s="2967"/>
      <c r="O191" s="2323"/>
      <c r="P191" s="2323"/>
      <c r="Q191" s="2323"/>
      <c r="R191" s="2323"/>
      <c r="S191" s="2323"/>
      <c r="T191" s="2383"/>
      <c r="U191" s="2383"/>
      <c r="V191" s="2323"/>
      <c r="W191" s="2323"/>
      <c r="X191" s="2323"/>
      <c r="Y191" s="2323"/>
      <c r="Z191" s="2566"/>
      <c r="AA191" s="2566"/>
      <c r="AB191" s="2566"/>
      <c r="AC191" s="2566"/>
      <c r="AD191" s="2323"/>
      <c r="AE191" s="2323"/>
      <c r="AF191" s="2323"/>
      <c r="AG191" s="2323"/>
      <c r="AH191" s="2323"/>
      <c r="AI191" s="2323"/>
      <c r="AJ191" s="2323"/>
      <c r="AK191" s="2898"/>
      <c r="AL191" s="2895">
        <f t="shared" si="64"/>
        <v>0</v>
      </c>
      <c r="AM191" s="2896" t="str">
        <f t="shared" si="65"/>
        <v/>
      </c>
    </row>
    <row r="192" spans="1:119" s="2345" customFormat="1" ht="15" hidden="1" customHeight="1" outlineLevel="1">
      <c r="A192" s="2339"/>
      <c r="B192" s="3033"/>
      <c r="C192" s="3028"/>
      <c r="D192" s="3035"/>
      <c r="E192" s="3028"/>
      <c r="F192" s="3692" t="s">
        <v>3865</v>
      </c>
      <c r="G192" s="3693"/>
      <c r="H192" s="2322"/>
      <c r="I192" s="2322"/>
      <c r="J192" s="2322"/>
      <c r="K192" s="2322"/>
      <c r="L192" s="2322"/>
      <c r="M192" s="2322"/>
      <c r="N192" s="2323"/>
      <c r="O192" s="2323"/>
      <c r="P192" s="2323"/>
      <c r="Q192" s="2323"/>
      <c r="R192" s="2323"/>
      <c r="S192" s="2323"/>
      <c r="T192" s="2383"/>
      <c r="U192" s="2383"/>
      <c r="V192" s="2323"/>
      <c r="W192" s="2323"/>
      <c r="X192" s="2323"/>
      <c r="Y192" s="2323"/>
      <c r="Z192" s="2566"/>
      <c r="AA192" s="2566"/>
      <c r="AB192" s="2566"/>
      <c r="AC192" s="2566"/>
      <c r="AD192" s="2323"/>
      <c r="AE192" s="2323"/>
      <c r="AF192" s="2323"/>
      <c r="AG192" s="2323"/>
      <c r="AH192" s="2323"/>
      <c r="AI192" s="2323"/>
      <c r="AJ192" s="2323"/>
      <c r="AK192" s="2898"/>
      <c r="AL192" s="2895">
        <f t="shared" ref="AL192:AL228" si="66">AK192*$AC$71</f>
        <v>0</v>
      </c>
      <c r="AM192" s="2896" t="str">
        <f t="shared" ref="AM192:AM228" si="67">IFERROR(AI192/AL192,"")</f>
        <v/>
      </c>
    </row>
    <row r="193" spans="1:119" s="2346" customFormat="1" ht="15" hidden="1" customHeight="1" outlineLevel="1">
      <c r="A193" s="2339"/>
      <c r="B193" s="3033"/>
      <c r="C193" s="3028"/>
      <c r="D193" s="3035" t="s">
        <v>3911</v>
      </c>
      <c r="E193" s="3028" t="s">
        <v>3909</v>
      </c>
      <c r="F193" s="3692" t="s">
        <v>3860</v>
      </c>
      <c r="G193" s="3693"/>
      <c r="H193" s="2322"/>
      <c r="I193" s="2322"/>
      <c r="J193" s="2322"/>
      <c r="K193" s="2322"/>
      <c r="L193" s="2322"/>
      <c r="M193" s="2322"/>
      <c r="N193" s="2323"/>
      <c r="O193" s="2323"/>
      <c r="P193" s="2323"/>
      <c r="Q193" s="2323"/>
      <c r="R193" s="2323"/>
      <c r="S193" s="2323"/>
      <c r="T193" s="2383"/>
      <c r="U193" s="2383"/>
      <c r="V193" s="2343"/>
      <c r="W193" s="2343"/>
      <c r="X193" s="2343"/>
      <c r="Y193" s="2343"/>
      <c r="Z193" s="2566"/>
      <c r="AA193" s="2566"/>
      <c r="AB193" s="2566"/>
      <c r="AC193" s="2566"/>
      <c r="AD193" s="2323"/>
      <c r="AE193" s="2323"/>
      <c r="AF193" s="2323"/>
      <c r="AG193" s="2323"/>
      <c r="AH193" s="2323"/>
      <c r="AI193" s="2323"/>
      <c r="AJ193" s="2323"/>
      <c r="AK193" s="2898"/>
      <c r="AL193" s="2895">
        <f t="shared" si="66"/>
        <v>0</v>
      </c>
      <c r="AM193" s="2896" t="str">
        <f t="shared" si="67"/>
        <v/>
      </c>
      <c r="AN193" s="2345"/>
      <c r="AO193" s="2345"/>
      <c r="AP193" s="2345"/>
      <c r="AQ193" s="2345"/>
      <c r="AR193" s="2345"/>
      <c r="AS193" s="2345"/>
      <c r="AT193" s="2345"/>
      <c r="AU193" s="2345"/>
      <c r="AV193" s="2345"/>
      <c r="AW193" s="2345"/>
      <c r="AX193" s="2345"/>
      <c r="AY193" s="2345"/>
      <c r="AZ193" s="2345"/>
      <c r="BA193" s="2345"/>
      <c r="BB193" s="2345"/>
      <c r="BC193" s="2345"/>
      <c r="BD193" s="2345"/>
      <c r="BE193" s="2345"/>
      <c r="BF193" s="2345"/>
      <c r="BG193" s="2345"/>
      <c r="BH193" s="2345"/>
      <c r="BI193" s="2345"/>
      <c r="BJ193" s="2345"/>
      <c r="BK193" s="2345"/>
      <c r="BL193" s="2345"/>
      <c r="BM193" s="2345"/>
      <c r="BN193" s="2345"/>
      <c r="BO193" s="2345"/>
      <c r="BP193" s="2345"/>
      <c r="BQ193" s="2345"/>
      <c r="BR193" s="2345"/>
      <c r="BS193" s="2345"/>
      <c r="BT193" s="2345"/>
      <c r="BU193" s="2345"/>
      <c r="BV193" s="2345"/>
      <c r="BW193" s="2345"/>
      <c r="BX193" s="2345"/>
      <c r="BY193" s="2345"/>
      <c r="BZ193" s="2345"/>
      <c r="CA193" s="2345"/>
      <c r="CB193" s="2345"/>
      <c r="CC193" s="2345"/>
      <c r="CD193" s="2345"/>
      <c r="CE193" s="2345"/>
      <c r="CF193" s="2345"/>
      <c r="CG193" s="2345"/>
      <c r="CH193" s="2345"/>
      <c r="CI193" s="2345"/>
      <c r="CJ193" s="2345"/>
      <c r="CK193" s="2345"/>
      <c r="CL193" s="2345"/>
      <c r="CM193" s="2345"/>
      <c r="CN193" s="2345"/>
      <c r="CO193" s="2345"/>
      <c r="CP193" s="2345"/>
      <c r="CQ193" s="2345"/>
      <c r="CR193" s="2345"/>
      <c r="CS193" s="2345"/>
      <c r="CT193" s="2345"/>
      <c r="CU193" s="2345"/>
      <c r="CV193" s="2345"/>
      <c r="CW193" s="2345"/>
      <c r="CX193" s="2345"/>
      <c r="CY193" s="2345"/>
      <c r="CZ193" s="2345"/>
      <c r="DA193" s="2345"/>
      <c r="DB193" s="2345"/>
      <c r="DC193" s="2345"/>
      <c r="DD193" s="2345"/>
      <c r="DE193" s="2345"/>
      <c r="DF193" s="2345"/>
      <c r="DG193" s="2345"/>
      <c r="DH193" s="2345"/>
      <c r="DI193" s="2345"/>
      <c r="DJ193" s="2345"/>
      <c r="DK193" s="2345"/>
      <c r="DL193" s="2345"/>
      <c r="DM193" s="2345"/>
      <c r="DN193" s="2345"/>
      <c r="DO193" s="2345"/>
    </row>
    <row r="194" spans="1:119" s="2346" customFormat="1" ht="15" hidden="1" customHeight="1" outlineLevel="1">
      <c r="A194" s="2339"/>
      <c r="B194" s="3033"/>
      <c r="C194" s="3028"/>
      <c r="D194" s="3035"/>
      <c r="E194" s="3028"/>
      <c r="F194" s="3692" t="s">
        <v>3861</v>
      </c>
      <c r="G194" s="3693"/>
      <c r="H194" s="2322"/>
      <c r="I194" s="2322"/>
      <c r="J194" s="2322"/>
      <c r="K194" s="2322"/>
      <c r="L194" s="2322"/>
      <c r="M194" s="2322"/>
      <c r="N194" s="2323"/>
      <c r="O194" s="2323"/>
      <c r="P194" s="2323"/>
      <c r="Q194" s="2323"/>
      <c r="R194" s="2323"/>
      <c r="S194" s="2323"/>
      <c r="T194" s="2383"/>
      <c r="U194" s="2383"/>
      <c r="V194" s="2343"/>
      <c r="W194" s="2343"/>
      <c r="X194" s="2343"/>
      <c r="Y194" s="2343"/>
      <c r="Z194" s="2566"/>
      <c r="AA194" s="2566"/>
      <c r="AB194" s="2566"/>
      <c r="AC194" s="2566"/>
      <c r="AD194" s="2323"/>
      <c r="AE194" s="2323"/>
      <c r="AF194" s="2323"/>
      <c r="AG194" s="2323"/>
      <c r="AH194" s="2323"/>
      <c r="AI194" s="2323"/>
      <c r="AJ194" s="2323"/>
      <c r="AK194" s="2898"/>
      <c r="AL194" s="2895">
        <f t="shared" si="66"/>
        <v>0</v>
      </c>
      <c r="AM194" s="2896" t="str">
        <f t="shared" si="67"/>
        <v/>
      </c>
      <c r="AN194" s="2345"/>
      <c r="AO194" s="2345"/>
      <c r="AP194" s="2345"/>
      <c r="AQ194" s="2345"/>
      <c r="AR194" s="2345"/>
      <c r="AS194" s="2345"/>
      <c r="AT194" s="2345"/>
      <c r="AU194" s="2345"/>
      <c r="AV194" s="2345"/>
      <c r="AW194" s="2345"/>
      <c r="AX194" s="2345"/>
      <c r="AY194" s="2345"/>
      <c r="AZ194" s="2345"/>
      <c r="BA194" s="2345"/>
      <c r="BB194" s="2345"/>
      <c r="BC194" s="2345"/>
      <c r="BD194" s="2345"/>
      <c r="BE194" s="2345"/>
      <c r="BF194" s="2345"/>
      <c r="BG194" s="2345"/>
      <c r="BH194" s="2345"/>
      <c r="BI194" s="2345"/>
      <c r="BJ194" s="2345"/>
      <c r="BK194" s="2345"/>
      <c r="BL194" s="2345"/>
      <c r="BM194" s="2345"/>
      <c r="BN194" s="2345"/>
      <c r="BO194" s="2345"/>
      <c r="BP194" s="2345"/>
      <c r="BQ194" s="2345"/>
      <c r="BR194" s="2345"/>
      <c r="BS194" s="2345"/>
      <c r="BT194" s="2345"/>
      <c r="BU194" s="2345"/>
      <c r="BV194" s="2345"/>
      <c r="BW194" s="2345"/>
      <c r="BX194" s="2345"/>
      <c r="BY194" s="2345"/>
      <c r="BZ194" s="2345"/>
      <c r="CA194" s="2345"/>
      <c r="CB194" s="2345"/>
      <c r="CC194" s="2345"/>
      <c r="CD194" s="2345"/>
      <c r="CE194" s="2345"/>
      <c r="CF194" s="2345"/>
      <c r="CG194" s="2345"/>
      <c r="CH194" s="2345"/>
      <c r="CI194" s="2345"/>
      <c r="CJ194" s="2345"/>
      <c r="CK194" s="2345"/>
      <c r="CL194" s="2345"/>
      <c r="CM194" s="2345"/>
      <c r="CN194" s="2345"/>
      <c r="CO194" s="2345"/>
      <c r="CP194" s="2345"/>
      <c r="CQ194" s="2345"/>
      <c r="CR194" s="2345"/>
      <c r="CS194" s="2345"/>
      <c r="CT194" s="2345"/>
      <c r="CU194" s="2345"/>
      <c r="CV194" s="2345"/>
      <c r="CW194" s="2345"/>
      <c r="CX194" s="2345"/>
      <c r="CY194" s="2345"/>
      <c r="CZ194" s="2345"/>
      <c r="DA194" s="2345"/>
      <c r="DB194" s="2345"/>
      <c r="DC194" s="2345"/>
      <c r="DD194" s="2345"/>
      <c r="DE194" s="2345"/>
      <c r="DF194" s="2345"/>
      <c r="DG194" s="2345"/>
      <c r="DH194" s="2345"/>
      <c r="DI194" s="2345"/>
      <c r="DJ194" s="2345"/>
      <c r="DK194" s="2345"/>
      <c r="DL194" s="2345"/>
      <c r="DM194" s="2345"/>
      <c r="DN194" s="2345"/>
      <c r="DO194" s="2345"/>
    </row>
    <row r="195" spans="1:119" s="2346" customFormat="1" ht="15" hidden="1" customHeight="1" outlineLevel="1">
      <c r="A195" s="2339"/>
      <c r="B195" s="3033"/>
      <c r="C195" s="3028"/>
      <c r="D195" s="3035"/>
      <c r="E195" s="3028"/>
      <c r="F195" s="3692" t="s">
        <v>3862</v>
      </c>
      <c r="G195" s="3693"/>
      <c r="H195" s="2322"/>
      <c r="I195" s="2322"/>
      <c r="J195" s="2322"/>
      <c r="K195" s="2322"/>
      <c r="L195" s="2322"/>
      <c r="M195" s="2322"/>
      <c r="N195" s="2323"/>
      <c r="O195" s="2323"/>
      <c r="P195" s="2323"/>
      <c r="Q195" s="2323"/>
      <c r="R195" s="2323"/>
      <c r="S195" s="2323"/>
      <c r="T195" s="2383"/>
      <c r="U195" s="2383"/>
      <c r="V195" s="2343"/>
      <c r="W195" s="2343"/>
      <c r="X195" s="2343"/>
      <c r="Y195" s="2343"/>
      <c r="Z195" s="2566"/>
      <c r="AA195" s="2566"/>
      <c r="AB195" s="2566"/>
      <c r="AC195" s="2566"/>
      <c r="AD195" s="2323"/>
      <c r="AE195" s="2323"/>
      <c r="AF195" s="2323"/>
      <c r="AG195" s="2323"/>
      <c r="AH195" s="2323"/>
      <c r="AI195" s="2323"/>
      <c r="AJ195" s="2323"/>
      <c r="AK195" s="2898"/>
      <c r="AL195" s="2895">
        <f t="shared" si="66"/>
        <v>0</v>
      </c>
      <c r="AM195" s="2896" t="str">
        <f t="shared" si="67"/>
        <v/>
      </c>
      <c r="AN195" s="2345"/>
      <c r="AO195" s="2345"/>
      <c r="AP195" s="2345"/>
      <c r="AQ195" s="2345"/>
      <c r="AR195" s="2345"/>
      <c r="AS195" s="2345"/>
      <c r="AT195" s="2345"/>
      <c r="AU195" s="2345"/>
      <c r="AV195" s="2345"/>
      <c r="AW195" s="2345"/>
      <c r="AX195" s="2345"/>
      <c r="AY195" s="2345"/>
      <c r="AZ195" s="2345"/>
      <c r="BA195" s="2345"/>
      <c r="BB195" s="2345"/>
      <c r="BC195" s="2345"/>
      <c r="BD195" s="2345"/>
      <c r="BE195" s="2345"/>
      <c r="BF195" s="2345"/>
      <c r="BG195" s="2345"/>
      <c r="BH195" s="2345"/>
      <c r="BI195" s="2345"/>
      <c r="BJ195" s="2345"/>
      <c r="BK195" s="2345"/>
      <c r="BL195" s="2345"/>
      <c r="BM195" s="2345"/>
      <c r="BN195" s="2345"/>
      <c r="BO195" s="2345"/>
      <c r="BP195" s="2345"/>
      <c r="BQ195" s="2345"/>
      <c r="BR195" s="2345"/>
      <c r="BS195" s="2345"/>
      <c r="BT195" s="2345"/>
      <c r="BU195" s="2345"/>
      <c r="BV195" s="2345"/>
      <c r="BW195" s="2345"/>
      <c r="BX195" s="2345"/>
      <c r="BY195" s="2345"/>
      <c r="BZ195" s="2345"/>
      <c r="CA195" s="2345"/>
      <c r="CB195" s="2345"/>
      <c r="CC195" s="2345"/>
      <c r="CD195" s="2345"/>
      <c r="CE195" s="2345"/>
      <c r="CF195" s="2345"/>
      <c r="CG195" s="2345"/>
      <c r="CH195" s="2345"/>
      <c r="CI195" s="2345"/>
      <c r="CJ195" s="2345"/>
      <c r="CK195" s="2345"/>
      <c r="CL195" s="2345"/>
      <c r="CM195" s="2345"/>
      <c r="CN195" s="2345"/>
      <c r="CO195" s="2345"/>
      <c r="CP195" s="2345"/>
      <c r="CQ195" s="2345"/>
      <c r="CR195" s="2345"/>
      <c r="CS195" s="2345"/>
      <c r="CT195" s="2345"/>
      <c r="CU195" s="2345"/>
      <c r="CV195" s="2345"/>
      <c r="CW195" s="2345"/>
      <c r="CX195" s="2345"/>
      <c r="CY195" s="2345"/>
      <c r="CZ195" s="2345"/>
      <c r="DA195" s="2345"/>
      <c r="DB195" s="2345"/>
      <c r="DC195" s="2345"/>
      <c r="DD195" s="2345"/>
      <c r="DE195" s="2345"/>
      <c r="DF195" s="2345"/>
      <c r="DG195" s="2345"/>
      <c r="DH195" s="2345"/>
      <c r="DI195" s="2345"/>
      <c r="DJ195" s="2345"/>
      <c r="DK195" s="2345"/>
      <c r="DL195" s="2345"/>
      <c r="DM195" s="2345"/>
      <c r="DN195" s="2345"/>
      <c r="DO195" s="2345"/>
    </row>
    <row r="196" spans="1:119" s="2346" customFormat="1" ht="15" hidden="1" customHeight="1" outlineLevel="1">
      <c r="A196" s="2339"/>
      <c r="B196" s="3033"/>
      <c r="C196" s="3028"/>
      <c r="D196" s="3035"/>
      <c r="E196" s="3028"/>
      <c r="F196" s="3692" t="s">
        <v>3863</v>
      </c>
      <c r="G196" s="3693"/>
      <c r="H196" s="2322"/>
      <c r="I196" s="2322"/>
      <c r="J196" s="2322"/>
      <c r="K196" s="2322"/>
      <c r="L196" s="2322"/>
      <c r="M196" s="2322"/>
      <c r="N196" s="2323"/>
      <c r="O196" s="2323"/>
      <c r="P196" s="2323"/>
      <c r="Q196" s="2323"/>
      <c r="R196" s="2323"/>
      <c r="S196" s="2323"/>
      <c r="T196" s="2383"/>
      <c r="U196" s="2383"/>
      <c r="V196" s="2343"/>
      <c r="W196" s="2343"/>
      <c r="X196" s="2343"/>
      <c r="Y196" s="2343"/>
      <c r="Z196" s="2566"/>
      <c r="AA196" s="2566"/>
      <c r="AB196" s="2566"/>
      <c r="AC196" s="2566"/>
      <c r="AD196" s="2323"/>
      <c r="AE196" s="2323"/>
      <c r="AF196" s="2323"/>
      <c r="AG196" s="2323"/>
      <c r="AH196" s="2323"/>
      <c r="AI196" s="2323"/>
      <c r="AJ196" s="2323"/>
      <c r="AK196" s="2898"/>
      <c r="AL196" s="2895">
        <f t="shared" si="66"/>
        <v>0</v>
      </c>
      <c r="AM196" s="2896" t="str">
        <f t="shared" si="67"/>
        <v/>
      </c>
      <c r="AN196" s="2345"/>
      <c r="AO196" s="2345"/>
      <c r="AP196" s="2345"/>
      <c r="AQ196" s="2345"/>
      <c r="AR196" s="2345"/>
      <c r="AS196" s="2345"/>
      <c r="AT196" s="2345"/>
      <c r="AU196" s="2345"/>
      <c r="AV196" s="2345"/>
      <c r="AW196" s="2345"/>
      <c r="AX196" s="2345"/>
      <c r="AY196" s="2345"/>
      <c r="AZ196" s="2345"/>
      <c r="BA196" s="2345"/>
      <c r="BB196" s="2345"/>
      <c r="BC196" s="2345"/>
      <c r="BD196" s="2345"/>
      <c r="BE196" s="2345"/>
      <c r="BF196" s="2345"/>
      <c r="BG196" s="2345"/>
      <c r="BH196" s="2345"/>
      <c r="BI196" s="2345"/>
      <c r="BJ196" s="2345"/>
      <c r="BK196" s="2345"/>
      <c r="BL196" s="2345"/>
      <c r="BM196" s="2345"/>
      <c r="BN196" s="2345"/>
      <c r="BO196" s="2345"/>
      <c r="BP196" s="2345"/>
      <c r="BQ196" s="2345"/>
      <c r="BR196" s="2345"/>
      <c r="BS196" s="2345"/>
      <c r="BT196" s="2345"/>
      <c r="BU196" s="2345"/>
      <c r="BV196" s="2345"/>
      <c r="BW196" s="2345"/>
      <c r="BX196" s="2345"/>
      <c r="BY196" s="2345"/>
      <c r="BZ196" s="2345"/>
      <c r="CA196" s="2345"/>
      <c r="CB196" s="2345"/>
      <c r="CC196" s="2345"/>
      <c r="CD196" s="2345"/>
      <c r="CE196" s="2345"/>
      <c r="CF196" s="2345"/>
      <c r="CG196" s="2345"/>
      <c r="CH196" s="2345"/>
      <c r="CI196" s="2345"/>
      <c r="CJ196" s="2345"/>
      <c r="CK196" s="2345"/>
      <c r="CL196" s="2345"/>
      <c r="CM196" s="2345"/>
      <c r="CN196" s="2345"/>
      <c r="CO196" s="2345"/>
      <c r="CP196" s="2345"/>
      <c r="CQ196" s="2345"/>
      <c r="CR196" s="2345"/>
      <c r="CS196" s="2345"/>
      <c r="CT196" s="2345"/>
      <c r="CU196" s="2345"/>
      <c r="CV196" s="2345"/>
      <c r="CW196" s="2345"/>
      <c r="CX196" s="2345"/>
      <c r="CY196" s="2345"/>
      <c r="CZ196" s="2345"/>
      <c r="DA196" s="2345"/>
      <c r="DB196" s="2345"/>
      <c r="DC196" s="2345"/>
      <c r="DD196" s="2345"/>
      <c r="DE196" s="2345"/>
      <c r="DF196" s="2345"/>
      <c r="DG196" s="2345"/>
      <c r="DH196" s="2345"/>
      <c r="DI196" s="2345"/>
      <c r="DJ196" s="2345"/>
      <c r="DK196" s="2345"/>
      <c r="DL196" s="2345"/>
      <c r="DM196" s="2345"/>
      <c r="DN196" s="2345"/>
      <c r="DO196" s="2345"/>
    </row>
    <row r="197" spans="1:119" s="2345" customFormat="1" ht="15" hidden="1" customHeight="1" outlineLevel="1">
      <c r="A197" s="2339"/>
      <c r="B197" s="3033"/>
      <c r="C197" s="3028"/>
      <c r="D197" s="3035"/>
      <c r="E197" s="3028"/>
      <c r="F197" s="3692" t="s">
        <v>3864</v>
      </c>
      <c r="G197" s="3693"/>
      <c r="H197" s="2322"/>
      <c r="I197" s="2322"/>
      <c r="J197" s="2322"/>
      <c r="K197" s="2322"/>
      <c r="L197" s="2322"/>
      <c r="M197" s="2322"/>
      <c r="N197" s="2323"/>
      <c r="O197" s="2323"/>
      <c r="P197" s="2323"/>
      <c r="Q197" s="2323"/>
      <c r="R197" s="2323"/>
      <c r="S197" s="2323"/>
      <c r="T197" s="2383"/>
      <c r="U197" s="2383"/>
      <c r="V197" s="2323"/>
      <c r="W197" s="2323"/>
      <c r="X197" s="2323"/>
      <c r="Y197" s="2323"/>
      <c r="Z197" s="2566"/>
      <c r="AA197" s="2566"/>
      <c r="AB197" s="2566"/>
      <c r="AC197" s="2566"/>
      <c r="AD197" s="2323"/>
      <c r="AE197" s="2323"/>
      <c r="AF197" s="2323"/>
      <c r="AG197" s="2323"/>
      <c r="AH197" s="2323"/>
      <c r="AI197" s="2323"/>
      <c r="AJ197" s="2323"/>
      <c r="AK197" s="2898"/>
      <c r="AL197" s="2895">
        <f t="shared" si="66"/>
        <v>0</v>
      </c>
      <c r="AM197" s="2896" t="str">
        <f t="shared" si="67"/>
        <v/>
      </c>
    </row>
    <row r="198" spans="1:119" s="2345" customFormat="1" ht="15" hidden="1" customHeight="1" outlineLevel="1">
      <c r="A198" s="2339"/>
      <c r="B198" s="3033"/>
      <c r="C198" s="3028"/>
      <c r="D198" s="3035"/>
      <c r="E198" s="3028"/>
      <c r="F198" s="3692" t="s">
        <v>3865</v>
      </c>
      <c r="G198" s="3693"/>
      <c r="H198" s="2322"/>
      <c r="I198" s="2322"/>
      <c r="J198" s="2322"/>
      <c r="K198" s="2322"/>
      <c r="L198" s="2322"/>
      <c r="M198" s="2322"/>
      <c r="N198" s="2323"/>
      <c r="O198" s="2323"/>
      <c r="P198" s="2323"/>
      <c r="Q198" s="2323"/>
      <c r="R198" s="2323"/>
      <c r="S198" s="2323"/>
      <c r="T198" s="2383"/>
      <c r="U198" s="2383"/>
      <c r="V198" s="2323"/>
      <c r="W198" s="2323"/>
      <c r="X198" s="2323"/>
      <c r="Y198" s="2323"/>
      <c r="Z198" s="2566"/>
      <c r="AA198" s="2566"/>
      <c r="AB198" s="2566"/>
      <c r="AC198" s="2566"/>
      <c r="AD198" s="2323"/>
      <c r="AE198" s="2323"/>
      <c r="AF198" s="2323"/>
      <c r="AG198" s="2323"/>
      <c r="AH198" s="2323"/>
      <c r="AI198" s="2323"/>
      <c r="AJ198" s="2323"/>
      <c r="AK198" s="2898"/>
      <c r="AL198" s="2895">
        <f t="shared" si="66"/>
        <v>0</v>
      </c>
      <c r="AM198" s="2896" t="str">
        <f t="shared" si="67"/>
        <v/>
      </c>
    </row>
    <row r="199" spans="1:119" s="2345" customFormat="1" ht="15" hidden="1" customHeight="1" outlineLevel="1">
      <c r="A199" s="2339"/>
      <c r="B199" s="3033"/>
      <c r="C199" s="3028"/>
      <c r="D199" s="3035"/>
      <c r="E199" s="3028" t="s">
        <v>3910</v>
      </c>
      <c r="F199" s="3692" t="s">
        <v>3860</v>
      </c>
      <c r="G199" s="3693"/>
      <c r="H199" s="2325"/>
      <c r="I199" s="2325"/>
      <c r="J199" s="2325"/>
      <c r="K199" s="2325"/>
      <c r="L199" s="2325"/>
      <c r="M199" s="2325"/>
      <c r="N199" s="2323"/>
      <c r="O199" s="2323"/>
      <c r="P199" s="2323"/>
      <c r="Q199" s="2323"/>
      <c r="R199" s="2323"/>
      <c r="S199" s="2323"/>
      <c r="T199" s="2383"/>
      <c r="U199" s="2383"/>
      <c r="V199" s="2323"/>
      <c r="W199" s="2323"/>
      <c r="X199" s="2323"/>
      <c r="Y199" s="2323"/>
      <c r="Z199" s="2566"/>
      <c r="AA199" s="2566"/>
      <c r="AB199" s="2566"/>
      <c r="AC199" s="2566"/>
      <c r="AD199" s="2323"/>
      <c r="AE199" s="2323"/>
      <c r="AF199" s="2323"/>
      <c r="AG199" s="2323"/>
      <c r="AH199" s="2323"/>
      <c r="AI199" s="2323"/>
      <c r="AJ199" s="2323"/>
      <c r="AK199" s="2898"/>
      <c r="AL199" s="2895">
        <f t="shared" si="66"/>
        <v>0</v>
      </c>
      <c r="AM199" s="2896" t="str">
        <f t="shared" si="67"/>
        <v/>
      </c>
    </row>
    <row r="200" spans="1:119" s="2345" customFormat="1" ht="15" hidden="1" customHeight="1" outlineLevel="1">
      <c r="A200" s="2339"/>
      <c r="B200" s="3033"/>
      <c r="C200" s="3028"/>
      <c r="D200" s="3035"/>
      <c r="E200" s="3028"/>
      <c r="F200" s="3692" t="s">
        <v>3861</v>
      </c>
      <c r="G200" s="3693"/>
      <c r="H200" s="2323"/>
      <c r="I200" s="2323"/>
      <c r="J200" s="2323"/>
      <c r="K200" s="2323"/>
      <c r="L200" s="2323"/>
      <c r="M200" s="2323"/>
      <c r="N200" s="2323"/>
      <c r="O200" s="2323"/>
      <c r="P200" s="2323"/>
      <c r="Q200" s="2323"/>
      <c r="R200" s="2323"/>
      <c r="S200" s="2323"/>
      <c r="T200" s="2383"/>
      <c r="U200" s="2383"/>
      <c r="V200" s="2323"/>
      <c r="W200" s="2323"/>
      <c r="X200" s="2323"/>
      <c r="Y200" s="2323"/>
      <c r="Z200" s="2566"/>
      <c r="AA200" s="2566"/>
      <c r="AB200" s="2566"/>
      <c r="AC200" s="2566"/>
      <c r="AD200" s="2323"/>
      <c r="AE200" s="2323"/>
      <c r="AF200" s="2323"/>
      <c r="AG200" s="2323"/>
      <c r="AH200" s="2323"/>
      <c r="AI200" s="2323"/>
      <c r="AJ200" s="2323"/>
      <c r="AK200" s="2898"/>
      <c r="AL200" s="2895">
        <f t="shared" si="66"/>
        <v>0</v>
      </c>
      <c r="AM200" s="2896" t="str">
        <f t="shared" si="67"/>
        <v/>
      </c>
    </row>
    <row r="201" spans="1:119" s="2345" customFormat="1" ht="15" hidden="1" customHeight="1" outlineLevel="1">
      <c r="A201" s="2339"/>
      <c r="B201" s="3033"/>
      <c r="C201" s="3028"/>
      <c r="D201" s="3035"/>
      <c r="E201" s="3028"/>
      <c r="F201" s="3692" t="s">
        <v>3862</v>
      </c>
      <c r="G201" s="3693"/>
      <c r="H201" s="2323"/>
      <c r="I201" s="2323"/>
      <c r="J201" s="2323"/>
      <c r="K201" s="2323"/>
      <c r="L201" s="2323"/>
      <c r="M201" s="2323"/>
      <c r="N201" s="2323"/>
      <c r="O201" s="2323"/>
      <c r="P201" s="2323"/>
      <c r="Q201" s="2323"/>
      <c r="R201" s="2323"/>
      <c r="S201" s="2323"/>
      <c r="T201" s="2383"/>
      <c r="U201" s="2383"/>
      <c r="V201" s="2323"/>
      <c r="W201" s="2323"/>
      <c r="X201" s="2323"/>
      <c r="Y201" s="2323"/>
      <c r="Z201" s="2566"/>
      <c r="AA201" s="2566"/>
      <c r="AB201" s="2566"/>
      <c r="AC201" s="2566"/>
      <c r="AD201" s="2323"/>
      <c r="AE201" s="2323"/>
      <c r="AF201" s="2323"/>
      <c r="AG201" s="2323"/>
      <c r="AH201" s="2323"/>
      <c r="AI201" s="2323"/>
      <c r="AJ201" s="2323"/>
      <c r="AK201" s="2898"/>
      <c r="AL201" s="2895">
        <f t="shared" si="66"/>
        <v>0</v>
      </c>
      <c r="AM201" s="2896" t="str">
        <f t="shared" si="67"/>
        <v/>
      </c>
    </row>
    <row r="202" spans="1:119" s="2345" customFormat="1" ht="15" hidden="1" customHeight="1" outlineLevel="1">
      <c r="A202" s="2339"/>
      <c r="B202" s="3033"/>
      <c r="C202" s="3028"/>
      <c r="D202" s="3035"/>
      <c r="E202" s="3028"/>
      <c r="F202" s="3692" t="s">
        <v>3863</v>
      </c>
      <c r="G202" s="3693"/>
      <c r="H202" s="2323"/>
      <c r="I202" s="2323"/>
      <c r="J202" s="2323"/>
      <c r="K202" s="2323"/>
      <c r="L202" s="2323"/>
      <c r="M202" s="2323"/>
      <c r="N202" s="2323"/>
      <c r="O202" s="2323"/>
      <c r="P202" s="2323"/>
      <c r="Q202" s="2323"/>
      <c r="R202" s="2323"/>
      <c r="S202" s="2323"/>
      <c r="T202" s="2383"/>
      <c r="U202" s="2383"/>
      <c r="V202" s="2323"/>
      <c r="W202" s="2323"/>
      <c r="X202" s="2323"/>
      <c r="Y202" s="2323"/>
      <c r="Z202" s="2566"/>
      <c r="AA202" s="2566"/>
      <c r="AB202" s="2566"/>
      <c r="AC202" s="2566"/>
      <c r="AD202" s="2323"/>
      <c r="AE202" s="2323"/>
      <c r="AF202" s="2323"/>
      <c r="AG202" s="2323"/>
      <c r="AH202" s="2323"/>
      <c r="AI202" s="2323"/>
      <c r="AJ202" s="2323"/>
      <c r="AK202" s="2898"/>
      <c r="AL202" s="2895">
        <f t="shared" si="66"/>
        <v>0</v>
      </c>
      <c r="AM202" s="2896" t="str">
        <f t="shared" si="67"/>
        <v/>
      </c>
    </row>
    <row r="203" spans="1:119" s="2345" customFormat="1" ht="15" hidden="1" customHeight="1" outlineLevel="1">
      <c r="A203" s="2339"/>
      <c r="B203" s="3033"/>
      <c r="C203" s="3028"/>
      <c r="D203" s="3035"/>
      <c r="E203" s="3028"/>
      <c r="F203" s="3692" t="s">
        <v>3864</v>
      </c>
      <c r="G203" s="3693"/>
      <c r="H203" s="2323"/>
      <c r="I203" s="2323"/>
      <c r="J203" s="2323"/>
      <c r="K203" s="2323"/>
      <c r="L203" s="2323"/>
      <c r="M203" s="2323"/>
      <c r="N203" s="2323"/>
      <c r="O203" s="2323"/>
      <c r="P203" s="2323"/>
      <c r="Q203" s="2323"/>
      <c r="R203" s="2323"/>
      <c r="S203" s="2323"/>
      <c r="T203" s="2383"/>
      <c r="U203" s="2383"/>
      <c r="V203" s="2323"/>
      <c r="W203" s="2323"/>
      <c r="X203" s="2323"/>
      <c r="Y203" s="2323"/>
      <c r="Z203" s="2566"/>
      <c r="AA203" s="2566"/>
      <c r="AB203" s="2566"/>
      <c r="AC203" s="2566"/>
      <c r="AD203" s="2323"/>
      <c r="AE203" s="2323"/>
      <c r="AF203" s="2323"/>
      <c r="AG203" s="2323"/>
      <c r="AH203" s="2323"/>
      <c r="AI203" s="2323"/>
      <c r="AJ203" s="2323"/>
      <c r="AK203" s="2898"/>
      <c r="AL203" s="2895">
        <f t="shared" si="66"/>
        <v>0</v>
      </c>
      <c r="AM203" s="2896" t="str">
        <f t="shared" si="67"/>
        <v/>
      </c>
    </row>
    <row r="204" spans="1:119" s="2345" customFormat="1" ht="15" hidden="1" customHeight="1" outlineLevel="1">
      <c r="A204" s="2339"/>
      <c r="B204" s="3033"/>
      <c r="C204" s="3028"/>
      <c r="D204" s="3035"/>
      <c r="E204" s="3028"/>
      <c r="F204" s="3692" t="s">
        <v>3865</v>
      </c>
      <c r="G204" s="3693"/>
      <c r="H204" s="2323"/>
      <c r="I204" s="2323"/>
      <c r="J204" s="2323"/>
      <c r="K204" s="2323"/>
      <c r="L204" s="2323"/>
      <c r="M204" s="2323"/>
      <c r="N204" s="2323"/>
      <c r="O204" s="2323"/>
      <c r="P204" s="2323"/>
      <c r="Q204" s="2323"/>
      <c r="R204" s="2323"/>
      <c r="S204" s="2323"/>
      <c r="T204" s="2383"/>
      <c r="U204" s="2383"/>
      <c r="V204" s="2323"/>
      <c r="W204" s="2323"/>
      <c r="X204" s="2323"/>
      <c r="Y204" s="2323"/>
      <c r="Z204" s="2566"/>
      <c r="AA204" s="2566"/>
      <c r="AB204" s="2566"/>
      <c r="AC204" s="2566"/>
      <c r="AD204" s="2323"/>
      <c r="AE204" s="2323"/>
      <c r="AF204" s="2323"/>
      <c r="AG204" s="2323"/>
      <c r="AH204" s="2323"/>
      <c r="AI204" s="2323"/>
      <c r="AJ204" s="2323"/>
      <c r="AK204" s="2898"/>
      <c r="AL204" s="2895">
        <f t="shared" si="66"/>
        <v>0</v>
      </c>
      <c r="AM204" s="2896" t="str">
        <f t="shared" si="67"/>
        <v/>
      </c>
    </row>
    <row r="205" spans="1:119" s="2346" customFormat="1" ht="51" hidden="1" customHeight="1" outlineLevel="1">
      <c r="A205" s="2339"/>
      <c r="B205" s="3033" t="s">
        <v>2948</v>
      </c>
      <c r="C205" s="3035" t="s">
        <v>3907</v>
      </c>
      <c r="D205" s="3035" t="s">
        <v>3908</v>
      </c>
      <c r="E205" s="3028" t="s">
        <v>3909</v>
      </c>
      <c r="F205" s="3690" t="s">
        <v>3860</v>
      </c>
      <c r="G205" s="3691"/>
      <c r="H205" s="2323"/>
      <c r="I205" s="2323"/>
      <c r="J205" s="2323"/>
      <c r="K205" s="2323"/>
      <c r="L205" s="2323"/>
      <c r="M205" s="2323"/>
      <c r="N205" s="2323"/>
      <c r="O205" s="2323"/>
      <c r="P205" s="2323"/>
      <c r="Q205" s="2323"/>
      <c r="R205" s="2323"/>
      <c r="S205" s="2323"/>
      <c r="T205" s="2383"/>
      <c r="U205" s="2383"/>
      <c r="V205" s="2343"/>
      <c r="W205" s="2343"/>
      <c r="X205" s="2343"/>
      <c r="Y205" s="2343"/>
      <c r="Z205" s="2566"/>
      <c r="AA205" s="2566"/>
      <c r="AB205" s="2566"/>
      <c r="AC205" s="2566"/>
      <c r="AD205" s="2323"/>
      <c r="AE205" s="2323"/>
      <c r="AF205" s="2323"/>
      <c r="AG205" s="2323"/>
      <c r="AH205" s="2323"/>
      <c r="AI205" s="2323"/>
      <c r="AJ205" s="2323"/>
      <c r="AK205" s="2898"/>
      <c r="AL205" s="2895">
        <f t="shared" si="66"/>
        <v>0</v>
      </c>
      <c r="AM205" s="2896" t="str">
        <f t="shared" si="67"/>
        <v/>
      </c>
      <c r="AN205" s="2345"/>
      <c r="AO205" s="2345"/>
      <c r="AP205" s="2345"/>
      <c r="AQ205" s="2345"/>
      <c r="AR205" s="2345"/>
      <c r="AS205" s="2345"/>
      <c r="AT205" s="2345"/>
      <c r="AU205" s="2345"/>
      <c r="AV205" s="2345"/>
      <c r="AW205" s="2345"/>
      <c r="AX205" s="2345"/>
      <c r="AY205" s="2345"/>
      <c r="AZ205" s="2345"/>
      <c r="BA205" s="2345"/>
      <c r="BB205" s="2345"/>
      <c r="BC205" s="2345"/>
      <c r="BD205" s="2345"/>
      <c r="BE205" s="2345"/>
      <c r="BF205" s="2345"/>
      <c r="BG205" s="2345"/>
      <c r="BH205" s="2345"/>
      <c r="BI205" s="2345"/>
      <c r="BJ205" s="2345"/>
      <c r="BK205" s="2345"/>
      <c r="BL205" s="2345"/>
      <c r="BM205" s="2345"/>
      <c r="BN205" s="2345"/>
      <c r="BO205" s="2345"/>
      <c r="BP205" s="2345"/>
      <c r="BQ205" s="2345"/>
      <c r="BR205" s="2345"/>
      <c r="BS205" s="2345"/>
      <c r="BT205" s="2345"/>
      <c r="BU205" s="2345"/>
      <c r="BV205" s="2345"/>
      <c r="BW205" s="2345"/>
      <c r="BX205" s="2345"/>
      <c r="BY205" s="2345"/>
      <c r="BZ205" s="2345"/>
      <c r="CA205" s="2345"/>
      <c r="CB205" s="2345"/>
      <c r="CC205" s="2345"/>
      <c r="CD205" s="2345"/>
      <c r="CE205" s="2345"/>
      <c r="CF205" s="2345"/>
      <c r="CG205" s="2345"/>
      <c r="CH205" s="2345"/>
      <c r="CI205" s="2345"/>
      <c r="CJ205" s="2345"/>
      <c r="CK205" s="2345"/>
      <c r="CL205" s="2345"/>
      <c r="CM205" s="2345"/>
      <c r="CN205" s="2345"/>
      <c r="CO205" s="2345"/>
      <c r="CP205" s="2345"/>
      <c r="CQ205" s="2345"/>
      <c r="CR205" s="2345"/>
      <c r="CS205" s="2345"/>
      <c r="CT205" s="2345"/>
      <c r="CU205" s="2345"/>
      <c r="CV205" s="2345"/>
      <c r="CW205" s="2345"/>
      <c r="CX205" s="2345"/>
      <c r="CY205" s="2345"/>
      <c r="CZ205" s="2345"/>
      <c r="DA205" s="2345"/>
      <c r="DB205" s="2345"/>
      <c r="DC205" s="2345"/>
      <c r="DD205" s="2345"/>
      <c r="DE205" s="2345"/>
      <c r="DF205" s="2345"/>
      <c r="DG205" s="2345"/>
      <c r="DH205" s="2345"/>
      <c r="DI205" s="2345"/>
      <c r="DJ205" s="2345"/>
      <c r="DK205" s="2345"/>
      <c r="DL205" s="2345"/>
      <c r="DM205" s="2345"/>
      <c r="DN205" s="2345"/>
      <c r="DO205" s="2345"/>
    </row>
    <row r="206" spans="1:119" s="2345" customFormat="1" ht="15" hidden="1" customHeight="1" outlineLevel="1">
      <c r="A206" s="2339"/>
      <c r="B206" s="3033"/>
      <c r="C206" s="3035"/>
      <c r="D206" s="3035"/>
      <c r="E206" s="3028"/>
      <c r="F206" s="3692" t="s">
        <v>3861</v>
      </c>
      <c r="G206" s="3693"/>
      <c r="H206" s="2323"/>
      <c r="I206" s="2323"/>
      <c r="J206" s="2323"/>
      <c r="K206" s="2323"/>
      <c r="L206" s="2323"/>
      <c r="M206" s="2323"/>
      <c r="N206" s="2323"/>
      <c r="O206" s="2323"/>
      <c r="P206" s="2323"/>
      <c r="Q206" s="2323"/>
      <c r="R206" s="2323"/>
      <c r="S206" s="2323"/>
      <c r="T206" s="2383"/>
      <c r="U206" s="2383"/>
      <c r="V206" s="2323"/>
      <c r="W206" s="2323"/>
      <c r="X206" s="2323"/>
      <c r="Y206" s="2323"/>
      <c r="Z206" s="2566"/>
      <c r="AA206" s="2566"/>
      <c r="AB206" s="2566"/>
      <c r="AC206" s="2566"/>
      <c r="AD206" s="2323"/>
      <c r="AE206" s="2323"/>
      <c r="AF206" s="2323"/>
      <c r="AG206" s="2323"/>
      <c r="AH206" s="2323"/>
      <c r="AI206" s="2323"/>
      <c r="AJ206" s="2323"/>
      <c r="AK206" s="2898"/>
      <c r="AL206" s="2895">
        <f t="shared" si="66"/>
        <v>0</v>
      </c>
      <c r="AM206" s="2896" t="str">
        <f t="shared" si="67"/>
        <v/>
      </c>
    </row>
    <row r="207" spans="1:119" s="2345" customFormat="1" ht="15" hidden="1" customHeight="1" outlineLevel="1">
      <c r="A207" s="2339"/>
      <c r="B207" s="3033"/>
      <c r="C207" s="3035"/>
      <c r="D207" s="3035"/>
      <c r="E207" s="3028"/>
      <c r="F207" s="3692" t="s">
        <v>3862</v>
      </c>
      <c r="G207" s="3693"/>
      <c r="H207" s="2323"/>
      <c r="I207" s="2323"/>
      <c r="J207" s="2323"/>
      <c r="K207" s="2323"/>
      <c r="L207" s="2323"/>
      <c r="M207" s="2323"/>
      <c r="N207" s="2323"/>
      <c r="O207" s="2323"/>
      <c r="P207" s="2323"/>
      <c r="Q207" s="2323"/>
      <c r="R207" s="2323"/>
      <c r="S207" s="2323"/>
      <c r="T207" s="2383"/>
      <c r="U207" s="2383"/>
      <c r="V207" s="2323"/>
      <c r="W207" s="2323"/>
      <c r="X207" s="2323"/>
      <c r="Y207" s="2323"/>
      <c r="Z207" s="2566"/>
      <c r="AA207" s="2566"/>
      <c r="AB207" s="2566"/>
      <c r="AC207" s="2566"/>
      <c r="AD207" s="2323"/>
      <c r="AE207" s="2323"/>
      <c r="AF207" s="2323"/>
      <c r="AG207" s="2323"/>
      <c r="AH207" s="2323"/>
      <c r="AI207" s="2323"/>
      <c r="AJ207" s="2323"/>
      <c r="AK207" s="2898"/>
      <c r="AL207" s="2895">
        <f t="shared" si="66"/>
        <v>0</v>
      </c>
      <c r="AM207" s="2896" t="str">
        <f t="shared" si="67"/>
        <v/>
      </c>
    </row>
    <row r="208" spans="1:119" s="2345" customFormat="1" ht="15" hidden="1" customHeight="1" outlineLevel="1">
      <c r="A208" s="2339"/>
      <c r="B208" s="3033"/>
      <c r="C208" s="3035"/>
      <c r="D208" s="3035"/>
      <c r="E208" s="3028"/>
      <c r="F208" s="3692" t="s">
        <v>3863</v>
      </c>
      <c r="G208" s="3693"/>
      <c r="H208" s="2323"/>
      <c r="I208" s="2323"/>
      <c r="J208" s="2323"/>
      <c r="K208" s="2323"/>
      <c r="L208" s="2323"/>
      <c r="M208" s="2323"/>
      <c r="N208" s="2323"/>
      <c r="O208" s="2323"/>
      <c r="P208" s="2323"/>
      <c r="Q208" s="2323"/>
      <c r="R208" s="2323"/>
      <c r="S208" s="2323"/>
      <c r="T208" s="2383"/>
      <c r="U208" s="2383"/>
      <c r="V208" s="2323"/>
      <c r="W208" s="2323"/>
      <c r="X208" s="2323"/>
      <c r="Y208" s="2323"/>
      <c r="Z208" s="2566"/>
      <c r="AA208" s="2566"/>
      <c r="AB208" s="2566"/>
      <c r="AC208" s="2566"/>
      <c r="AD208" s="2323"/>
      <c r="AE208" s="2323"/>
      <c r="AF208" s="2323"/>
      <c r="AG208" s="2323"/>
      <c r="AH208" s="2323"/>
      <c r="AI208" s="2323"/>
      <c r="AJ208" s="2323"/>
      <c r="AK208" s="2898"/>
      <c r="AL208" s="2895">
        <f t="shared" si="66"/>
        <v>0</v>
      </c>
      <c r="AM208" s="2896" t="str">
        <f t="shared" si="67"/>
        <v/>
      </c>
    </row>
    <row r="209" spans="1:119" s="2345" customFormat="1" ht="15" hidden="1" customHeight="1" outlineLevel="1">
      <c r="A209" s="2339"/>
      <c r="B209" s="3033"/>
      <c r="C209" s="3035"/>
      <c r="D209" s="3035"/>
      <c r="E209" s="3028"/>
      <c r="F209" s="3692" t="s">
        <v>3864</v>
      </c>
      <c r="G209" s="3693"/>
      <c r="H209" s="2323"/>
      <c r="I209" s="2323"/>
      <c r="J209" s="2323"/>
      <c r="K209" s="2323"/>
      <c r="L209" s="2323"/>
      <c r="M209" s="2323"/>
      <c r="N209" s="2323"/>
      <c r="O209" s="2323"/>
      <c r="P209" s="2323"/>
      <c r="Q209" s="2323"/>
      <c r="R209" s="2323"/>
      <c r="S209" s="2323"/>
      <c r="T209" s="2383"/>
      <c r="U209" s="2383"/>
      <c r="V209" s="2323"/>
      <c r="W209" s="2323"/>
      <c r="X209" s="2323"/>
      <c r="Y209" s="2323"/>
      <c r="Z209" s="2566"/>
      <c r="AA209" s="2566"/>
      <c r="AB209" s="2566"/>
      <c r="AC209" s="2566"/>
      <c r="AD209" s="2323"/>
      <c r="AE209" s="2323"/>
      <c r="AF209" s="2323"/>
      <c r="AG209" s="2323"/>
      <c r="AH209" s="2323"/>
      <c r="AI209" s="2323"/>
      <c r="AJ209" s="2323"/>
      <c r="AK209" s="2898"/>
      <c r="AL209" s="2895">
        <f t="shared" si="66"/>
        <v>0</v>
      </c>
      <c r="AM209" s="2896" t="str">
        <f t="shared" si="67"/>
        <v/>
      </c>
    </row>
    <row r="210" spans="1:119" s="2345" customFormat="1" hidden="1" outlineLevel="1">
      <c r="A210" s="2339"/>
      <c r="B210" s="3033"/>
      <c r="C210" s="3035"/>
      <c r="D210" s="3035"/>
      <c r="E210" s="3028"/>
      <c r="F210" s="3692" t="s">
        <v>3865</v>
      </c>
      <c r="G210" s="3693"/>
      <c r="H210" s="3698"/>
      <c r="I210" s="3698"/>
      <c r="J210" s="3698"/>
      <c r="K210" s="3698"/>
      <c r="L210" s="3698"/>
      <c r="M210" s="3698"/>
      <c r="N210" s="3698"/>
      <c r="O210" s="3698"/>
      <c r="P210" s="3698"/>
      <c r="Q210" s="3698"/>
      <c r="R210" s="3698"/>
      <c r="S210" s="3698"/>
      <c r="T210" s="2383"/>
      <c r="U210" s="2383"/>
      <c r="V210" s="2323"/>
      <c r="W210" s="2323"/>
      <c r="X210" s="2323"/>
      <c r="Y210" s="2323"/>
      <c r="Z210" s="2566"/>
      <c r="AA210" s="2566"/>
      <c r="AB210" s="2566"/>
      <c r="AC210" s="2566"/>
      <c r="AD210" s="2323"/>
      <c r="AE210" s="2323"/>
      <c r="AF210" s="2323"/>
      <c r="AG210" s="2323"/>
      <c r="AH210" s="2323"/>
      <c r="AI210" s="2323"/>
      <c r="AJ210" s="2323"/>
      <c r="AK210" s="2898"/>
      <c r="AL210" s="2895">
        <f t="shared" si="66"/>
        <v>0</v>
      </c>
      <c r="AM210" s="2896" t="str">
        <f t="shared" si="67"/>
        <v/>
      </c>
    </row>
    <row r="211" spans="1:119" s="2345" customFormat="1" ht="15" hidden="1" customHeight="1" outlineLevel="1">
      <c r="A211" s="2339"/>
      <c r="B211" s="3033"/>
      <c r="C211" s="3035"/>
      <c r="D211" s="3035"/>
      <c r="E211" s="3028" t="s">
        <v>3910</v>
      </c>
      <c r="F211" s="3692" t="s">
        <v>3860</v>
      </c>
      <c r="G211" s="3693"/>
      <c r="H211" s="3696"/>
      <c r="I211" s="3696"/>
      <c r="J211" s="3696"/>
      <c r="K211" s="3696"/>
      <c r="L211" s="3696"/>
      <c r="M211" s="3696"/>
      <c r="N211" s="3696"/>
      <c r="O211" s="3697"/>
      <c r="P211" s="3697"/>
      <c r="Q211" s="3697"/>
      <c r="R211" s="3697"/>
      <c r="S211" s="3697"/>
      <c r="T211" s="2383"/>
      <c r="U211" s="2383"/>
      <c r="V211" s="2323"/>
      <c r="W211" s="2323"/>
      <c r="X211" s="2323"/>
      <c r="Y211" s="2323"/>
      <c r="Z211" s="2566"/>
      <c r="AA211" s="2566"/>
      <c r="AB211" s="2566"/>
      <c r="AC211" s="2566"/>
      <c r="AD211" s="2323"/>
      <c r="AE211" s="2323"/>
      <c r="AF211" s="2323"/>
      <c r="AG211" s="2323"/>
      <c r="AH211" s="2323"/>
      <c r="AI211" s="2323"/>
      <c r="AJ211" s="2323"/>
      <c r="AK211" s="2898"/>
      <c r="AL211" s="2895">
        <f t="shared" si="66"/>
        <v>0</v>
      </c>
      <c r="AM211" s="2896" t="str">
        <f t="shared" si="67"/>
        <v/>
      </c>
    </row>
    <row r="212" spans="1:119" s="2345" customFormat="1" ht="15" hidden="1" customHeight="1" outlineLevel="1">
      <c r="A212" s="2339"/>
      <c r="B212" s="3033"/>
      <c r="C212" s="3035"/>
      <c r="D212" s="3035"/>
      <c r="E212" s="3028"/>
      <c r="F212" s="3692" t="s">
        <v>3861</v>
      </c>
      <c r="G212" s="3693"/>
      <c r="H212" s="2967"/>
      <c r="I212" s="2967"/>
      <c r="J212" s="2967"/>
      <c r="K212" s="2967"/>
      <c r="L212" s="2967"/>
      <c r="M212" s="2967"/>
      <c r="N212" s="2967"/>
      <c r="O212" s="2967"/>
      <c r="P212" s="2967"/>
      <c r="Q212" s="2967"/>
      <c r="R212" s="2967"/>
      <c r="S212" s="2967"/>
      <c r="T212" s="2383"/>
      <c r="U212" s="2383"/>
      <c r="V212" s="2323"/>
      <c r="W212" s="2323"/>
      <c r="X212" s="2323"/>
      <c r="Y212" s="2323"/>
      <c r="Z212" s="2566"/>
      <c r="AA212" s="2566"/>
      <c r="AB212" s="2566"/>
      <c r="AC212" s="2566"/>
      <c r="AD212" s="2323"/>
      <c r="AE212" s="2323"/>
      <c r="AF212" s="2323"/>
      <c r="AG212" s="2323"/>
      <c r="AH212" s="2323"/>
      <c r="AI212" s="2323"/>
      <c r="AJ212" s="2323"/>
      <c r="AK212" s="2898"/>
      <c r="AL212" s="2895">
        <f t="shared" si="66"/>
        <v>0</v>
      </c>
      <c r="AM212" s="2896" t="str">
        <f t="shared" si="67"/>
        <v/>
      </c>
    </row>
    <row r="213" spans="1:119" s="2345" customFormat="1" ht="15" hidden="1" customHeight="1" outlineLevel="1">
      <c r="A213" s="2339"/>
      <c r="B213" s="3033"/>
      <c r="C213" s="3035"/>
      <c r="D213" s="3035"/>
      <c r="E213" s="3028"/>
      <c r="F213" s="3692" t="s">
        <v>3862</v>
      </c>
      <c r="G213" s="3693"/>
      <c r="H213" s="2323"/>
      <c r="I213" s="2323"/>
      <c r="J213" s="2323"/>
      <c r="K213" s="2323"/>
      <c r="L213" s="2323"/>
      <c r="M213" s="2323"/>
      <c r="N213" s="2323"/>
      <c r="O213" s="2323"/>
      <c r="P213" s="2323"/>
      <c r="Q213" s="2323"/>
      <c r="R213" s="2323"/>
      <c r="S213" s="2323"/>
      <c r="T213" s="2383"/>
      <c r="U213" s="2383"/>
      <c r="V213" s="2323"/>
      <c r="W213" s="2323"/>
      <c r="X213" s="2323"/>
      <c r="Y213" s="2323"/>
      <c r="Z213" s="2566"/>
      <c r="AA213" s="2566"/>
      <c r="AB213" s="2566"/>
      <c r="AC213" s="2566"/>
      <c r="AD213" s="2323"/>
      <c r="AE213" s="2323"/>
      <c r="AF213" s="2323"/>
      <c r="AG213" s="2323"/>
      <c r="AH213" s="2323"/>
      <c r="AI213" s="2323"/>
      <c r="AJ213" s="2323"/>
      <c r="AK213" s="2898"/>
      <c r="AL213" s="2895">
        <f t="shared" si="66"/>
        <v>0</v>
      </c>
      <c r="AM213" s="2896" t="str">
        <f t="shared" si="67"/>
        <v/>
      </c>
    </row>
    <row r="214" spans="1:119" s="2345" customFormat="1" ht="15" hidden="1" customHeight="1" outlineLevel="1">
      <c r="A214" s="2339"/>
      <c r="B214" s="3033"/>
      <c r="C214" s="3035"/>
      <c r="D214" s="3035"/>
      <c r="E214" s="3028"/>
      <c r="F214" s="3692" t="s">
        <v>3863</v>
      </c>
      <c r="G214" s="3693"/>
      <c r="H214" s="2323"/>
      <c r="I214" s="2323"/>
      <c r="J214" s="2323"/>
      <c r="K214" s="2323"/>
      <c r="L214" s="2323"/>
      <c r="M214" s="2323"/>
      <c r="N214" s="2323"/>
      <c r="O214" s="2323"/>
      <c r="P214" s="2323"/>
      <c r="Q214" s="2323"/>
      <c r="R214" s="2323"/>
      <c r="S214" s="2323"/>
      <c r="T214" s="2383"/>
      <c r="U214" s="2383"/>
      <c r="V214" s="2323"/>
      <c r="W214" s="2323"/>
      <c r="X214" s="2323"/>
      <c r="Y214" s="2323"/>
      <c r="Z214" s="2566"/>
      <c r="AA214" s="2566"/>
      <c r="AB214" s="2566"/>
      <c r="AC214" s="2566"/>
      <c r="AD214" s="2323"/>
      <c r="AE214" s="2323"/>
      <c r="AF214" s="2323"/>
      <c r="AG214" s="2323"/>
      <c r="AH214" s="2323"/>
      <c r="AI214" s="2323"/>
      <c r="AJ214" s="2323"/>
      <c r="AK214" s="2898"/>
      <c r="AL214" s="2895">
        <f t="shared" si="66"/>
        <v>0</v>
      </c>
      <c r="AM214" s="2896" t="str">
        <f t="shared" si="67"/>
        <v/>
      </c>
    </row>
    <row r="215" spans="1:119" s="2345" customFormat="1" ht="15" hidden="1" customHeight="1" outlineLevel="1">
      <c r="A215" s="2339"/>
      <c r="B215" s="3033"/>
      <c r="C215" s="3035"/>
      <c r="D215" s="3035"/>
      <c r="E215" s="3028"/>
      <c r="F215" s="3692" t="s">
        <v>3864</v>
      </c>
      <c r="G215" s="3693"/>
      <c r="H215" s="2323"/>
      <c r="I215" s="2323"/>
      <c r="J215" s="2323"/>
      <c r="K215" s="2323"/>
      <c r="L215" s="2323"/>
      <c r="M215" s="2323"/>
      <c r="N215" s="2323"/>
      <c r="O215" s="2323"/>
      <c r="P215" s="2323"/>
      <c r="Q215" s="2323"/>
      <c r="R215" s="2323"/>
      <c r="S215" s="2323"/>
      <c r="T215" s="2383"/>
      <c r="U215" s="2383"/>
      <c r="V215" s="2323"/>
      <c r="W215" s="2323"/>
      <c r="X215" s="2323"/>
      <c r="Y215" s="2323"/>
      <c r="Z215" s="2566"/>
      <c r="AA215" s="2566"/>
      <c r="AB215" s="2566"/>
      <c r="AC215" s="2566"/>
      <c r="AD215" s="2323"/>
      <c r="AE215" s="2323"/>
      <c r="AF215" s="2323"/>
      <c r="AG215" s="2323"/>
      <c r="AH215" s="2323"/>
      <c r="AI215" s="2323"/>
      <c r="AJ215" s="2323"/>
      <c r="AK215" s="2898"/>
      <c r="AL215" s="2895">
        <f t="shared" si="66"/>
        <v>0</v>
      </c>
      <c r="AM215" s="2896" t="str">
        <f t="shared" si="67"/>
        <v/>
      </c>
    </row>
    <row r="216" spans="1:119" s="2345" customFormat="1" ht="15" hidden="1" customHeight="1" outlineLevel="1">
      <c r="A216" s="2339"/>
      <c r="B216" s="3033"/>
      <c r="C216" s="3035"/>
      <c r="D216" s="3035"/>
      <c r="E216" s="3028"/>
      <c r="F216" s="3692" t="s">
        <v>3865</v>
      </c>
      <c r="G216" s="3693"/>
      <c r="H216" s="2323"/>
      <c r="I216" s="2323"/>
      <c r="J216" s="2323"/>
      <c r="K216" s="2323"/>
      <c r="L216" s="2323"/>
      <c r="M216" s="2323"/>
      <c r="N216" s="2323"/>
      <c r="O216" s="2323"/>
      <c r="P216" s="2323"/>
      <c r="Q216" s="2323"/>
      <c r="R216" s="2323"/>
      <c r="S216" s="2323"/>
      <c r="T216" s="2383"/>
      <c r="U216" s="2383"/>
      <c r="V216" s="2323"/>
      <c r="W216" s="2323"/>
      <c r="X216" s="2323"/>
      <c r="Y216" s="2323"/>
      <c r="Z216" s="2566"/>
      <c r="AA216" s="2566"/>
      <c r="AB216" s="2566"/>
      <c r="AC216" s="2566"/>
      <c r="AD216" s="2323"/>
      <c r="AE216" s="2323"/>
      <c r="AF216" s="2323"/>
      <c r="AG216" s="2323"/>
      <c r="AH216" s="2323"/>
      <c r="AI216" s="2323"/>
      <c r="AJ216" s="2323"/>
      <c r="AK216" s="2898"/>
      <c r="AL216" s="2895">
        <f t="shared" si="66"/>
        <v>0</v>
      </c>
      <c r="AM216" s="2896" t="str">
        <f t="shared" si="67"/>
        <v/>
      </c>
    </row>
    <row r="217" spans="1:119" s="2345" customFormat="1" ht="15" hidden="1" customHeight="1" outlineLevel="1">
      <c r="A217" s="2339"/>
      <c r="B217" s="3033"/>
      <c r="C217" s="3035"/>
      <c r="D217" s="3035" t="s">
        <v>3911</v>
      </c>
      <c r="E217" s="3028" t="s">
        <v>3909</v>
      </c>
      <c r="F217" s="3692" t="s">
        <v>3860</v>
      </c>
      <c r="G217" s="3693"/>
      <c r="H217" s="2323"/>
      <c r="I217" s="2323"/>
      <c r="J217" s="2323"/>
      <c r="K217" s="2323"/>
      <c r="L217" s="2323"/>
      <c r="M217" s="2323"/>
      <c r="N217" s="2323"/>
      <c r="O217" s="2323"/>
      <c r="P217" s="2323"/>
      <c r="Q217" s="2323"/>
      <c r="R217" s="2323"/>
      <c r="S217" s="2323"/>
      <c r="T217" s="2383"/>
      <c r="U217" s="2383"/>
      <c r="V217" s="2323"/>
      <c r="W217" s="2323"/>
      <c r="X217" s="2323"/>
      <c r="Y217" s="2323"/>
      <c r="Z217" s="2566"/>
      <c r="AA217" s="2566"/>
      <c r="AB217" s="2566"/>
      <c r="AC217" s="2566"/>
      <c r="AD217" s="2323"/>
      <c r="AE217" s="2323"/>
      <c r="AF217" s="2323"/>
      <c r="AG217" s="2323"/>
      <c r="AH217" s="2323"/>
      <c r="AI217" s="2323"/>
      <c r="AJ217" s="2323"/>
      <c r="AK217" s="2898"/>
      <c r="AL217" s="2895">
        <f t="shared" si="66"/>
        <v>0</v>
      </c>
      <c r="AM217" s="2896" t="str">
        <f t="shared" si="67"/>
        <v/>
      </c>
    </row>
    <row r="218" spans="1:119" s="2345" customFormat="1" ht="15" hidden="1" customHeight="1" outlineLevel="1">
      <c r="A218" s="2339"/>
      <c r="B218" s="3033"/>
      <c r="C218" s="3035"/>
      <c r="D218" s="3035"/>
      <c r="E218" s="3028"/>
      <c r="F218" s="3692" t="s">
        <v>3861</v>
      </c>
      <c r="G218" s="3693"/>
      <c r="H218" s="2323"/>
      <c r="I218" s="2323"/>
      <c r="J218" s="2323"/>
      <c r="K218" s="2323"/>
      <c r="L218" s="2323"/>
      <c r="M218" s="2323"/>
      <c r="N218" s="2323"/>
      <c r="O218" s="2323"/>
      <c r="P218" s="2323"/>
      <c r="Q218" s="2323"/>
      <c r="R218" s="2323"/>
      <c r="S218" s="2323"/>
      <c r="T218" s="2383"/>
      <c r="U218" s="2383"/>
      <c r="V218" s="2323"/>
      <c r="W218" s="2323"/>
      <c r="X218" s="2323"/>
      <c r="Y218" s="2323"/>
      <c r="Z218" s="2566"/>
      <c r="AA218" s="2566"/>
      <c r="AB218" s="2566"/>
      <c r="AC218" s="2566"/>
      <c r="AD218" s="2323"/>
      <c r="AE218" s="2323"/>
      <c r="AF218" s="2323"/>
      <c r="AG218" s="2323"/>
      <c r="AH218" s="2323"/>
      <c r="AI218" s="2323"/>
      <c r="AJ218" s="2323"/>
      <c r="AK218" s="2898"/>
      <c r="AL218" s="2895">
        <f t="shared" si="66"/>
        <v>0</v>
      </c>
      <c r="AM218" s="2896" t="str">
        <f t="shared" si="67"/>
        <v/>
      </c>
    </row>
    <row r="219" spans="1:119" s="2346" customFormat="1" ht="45" hidden="1" customHeight="1" outlineLevel="1">
      <c r="A219" s="2339"/>
      <c r="B219" s="3033"/>
      <c r="C219" s="3035"/>
      <c r="D219" s="3035"/>
      <c r="E219" s="3028"/>
      <c r="F219" s="3692" t="s">
        <v>3862</v>
      </c>
      <c r="G219" s="3693"/>
      <c r="H219" s="2323"/>
      <c r="I219" s="2323"/>
      <c r="J219" s="2323"/>
      <c r="K219" s="2323"/>
      <c r="L219" s="2323"/>
      <c r="M219" s="2323"/>
      <c r="N219" s="2323"/>
      <c r="O219" s="2323"/>
      <c r="P219" s="2323"/>
      <c r="Q219" s="2323"/>
      <c r="R219" s="2323"/>
      <c r="S219" s="2323"/>
      <c r="T219" s="2383"/>
      <c r="U219" s="2383"/>
      <c r="V219" s="2343"/>
      <c r="W219" s="2343"/>
      <c r="X219" s="2343"/>
      <c r="Y219" s="2343"/>
      <c r="Z219" s="2566"/>
      <c r="AA219" s="2566"/>
      <c r="AB219" s="2566"/>
      <c r="AC219" s="2566"/>
      <c r="AD219" s="2323"/>
      <c r="AE219" s="2323"/>
      <c r="AF219" s="2323"/>
      <c r="AG219" s="2323"/>
      <c r="AH219" s="2323"/>
      <c r="AI219" s="2323"/>
      <c r="AJ219" s="2323"/>
      <c r="AK219" s="2898"/>
      <c r="AL219" s="2895">
        <f t="shared" si="66"/>
        <v>0</v>
      </c>
      <c r="AM219" s="2896" t="str">
        <f t="shared" si="67"/>
        <v/>
      </c>
      <c r="AN219" s="2345"/>
      <c r="AO219" s="2345"/>
      <c r="AP219" s="2345"/>
      <c r="AQ219" s="2345"/>
      <c r="AR219" s="2345"/>
      <c r="AS219" s="2345"/>
      <c r="AT219" s="2345"/>
      <c r="AU219" s="2345"/>
      <c r="AV219" s="2345"/>
      <c r="AW219" s="2345"/>
      <c r="AX219" s="2345"/>
      <c r="AY219" s="2345"/>
      <c r="AZ219" s="2345"/>
      <c r="BA219" s="2345"/>
      <c r="BB219" s="2345"/>
      <c r="BC219" s="2345"/>
      <c r="BD219" s="2345"/>
      <c r="BE219" s="2345"/>
      <c r="BF219" s="2345"/>
      <c r="BG219" s="2345"/>
      <c r="BH219" s="2345"/>
      <c r="BI219" s="2345"/>
      <c r="BJ219" s="2345"/>
      <c r="BK219" s="2345"/>
      <c r="BL219" s="2345"/>
      <c r="BM219" s="2345"/>
      <c r="BN219" s="2345"/>
      <c r="BO219" s="2345"/>
      <c r="BP219" s="2345"/>
      <c r="BQ219" s="2345"/>
      <c r="BR219" s="2345"/>
      <c r="BS219" s="2345"/>
      <c r="BT219" s="2345"/>
      <c r="BU219" s="2345"/>
      <c r="BV219" s="2345"/>
      <c r="BW219" s="2345"/>
      <c r="BX219" s="2345"/>
      <c r="BY219" s="2345"/>
      <c r="BZ219" s="2345"/>
      <c r="CA219" s="2345"/>
      <c r="CB219" s="2345"/>
      <c r="CC219" s="2345"/>
      <c r="CD219" s="2345"/>
      <c r="CE219" s="2345"/>
      <c r="CF219" s="2345"/>
      <c r="CG219" s="2345"/>
      <c r="CH219" s="2345"/>
      <c r="CI219" s="2345"/>
      <c r="CJ219" s="2345"/>
      <c r="CK219" s="2345"/>
      <c r="CL219" s="2345"/>
      <c r="CM219" s="2345"/>
      <c r="CN219" s="2345"/>
      <c r="CO219" s="2345"/>
      <c r="CP219" s="2345"/>
      <c r="CQ219" s="2345"/>
      <c r="CR219" s="2345"/>
      <c r="CS219" s="2345"/>
      <c r="CT219" s="2345"/>
      <c r="CU219" s="2345"/>
      <c r="CV219" s="2345"/>
      <c r="CW219" s="2345"/>
      <c r="CX219" s="2345"/>
      <c r="CY219" s="2345"/>
      <c r="CZ219" s="2345"/>
      <c r="DA219" s="2345"/>
      <c r="DB219" s="2345"/>
      <c r="DC219" s="2345"/>
      <c r="DD219" s="2345"/>
      <c r="DE219" s="2345"/>
      <c r="DF219" s="2345"/>
      <c r="DG219" s="2345"/>
      <c r="DH219" s="2345"/>
      <c r="DI219" s="2345"/>
      <c r="DJ219" s="2345"/>
      <c r="DK219" s="2345"/>
      <c r="DL219" s="2345"/>
      <c r="DM219" s="2345"/>
      <c r="DN219" s="2345"/>
      <c r="DO219" s="2345"/>
    </row>
    <row r="220" spans="1:119" s="2345" customFormat="1" ht="15" hidden="1" customHeight="1" outlineLevel="1">
      <c r="A220" s="2339"/>
      <c r="B220" s="3033"/>
      <c r="C220" s="3035"/>
      <c r="D220" s="3035"/>
      <c r="E220" s="3028"/>
      <c r="F220" s="3692" t="s">
        <v>3863</v>
      </c>
      <c r="G220" s="3693"/>
      <c r="H220" s="2323"/>
      <c r="I220" s="2323"/>
      <c r="J220" s="2323"/>
      <c r="K220" s="2323"/>
      <c r="L220" s="2323"/>
      <c r="M220" s="2323"/>
      <c r="N220" s="2323"/>
      <c r="O220" s="2323"/>
      <c r="P220" s="2323"/>
      <c r="Q220" s="2323"/>
      <c r="R220" s="2323"/>
      <c r="S220" s="2323"/>
      <c r="T220" s="2383"/>
      <c r="U220" s="2383"/>
      <c r="V220" s="2323"/>
      <c r="W220" s="2323"/>
      <c r="X220" s="2323"/>
      <c r="Y220" s="2323"/>
      <c r="Z220" s="2566"/>
      <c r="AA220" s="2566"/>
      <c r="AB220" s="2566"/>
      <c r="AC220" s="2566"/>
      <c r="AD220" s="2323"/>
      <c r="AE220" s="2323"/>
      <c r="AF220" s="2323"/>
      <c r="AG220" s="2323"/>
      <c r="AH220" s="2323"/>
      <c r="AI220" s="2323"/>
      <c r="AJ220" s="2323"/>
      <c r="AK220" s="2898"/>
      <c r="AL220" s="2895">
        <f t="shared" si="66"/>
        <v>0</v>
      </c>
      <c r="AM220" s="2896" t="str">
        <f t="shared" si="67"/>
        <v/>
      </c>
    </row>
    <row r="221" spans="1:119" s="2345" customFormat="1" ht="15" hidden="1" customHeight="1" outlineLevel="1">
      <c r="A221" s="2339"/>
      <c r="B221" s="3033"/>
      <c r="C221" s="3035"/>
      <c r="D221" s="3035"/>
      <c r="E221" s="3028"/>
      <c r="F221" s="3692" t="s">
        <v>3864</v>
      </c>
      <c r="G221" s="3693"/>
      <c r="H221" s="2323"/>
      <c r="I221" s="2323"/>
      <c r="J221" s="2323"/>
      <c r="K221" s="2323"/>
      <c r="L221" s="2323"/>
      <c r="M221" s="2323"/>
      <c r="N221" s="2323"/>
      <c r="O221" s="2323"/>
      <c r="P221" s="2323"/>
      <c r="Q221" s="2323"/>
      <c r="R221" s="2323"/>
      <c r="S221" s="2323"/>
      <c r="T221" s="2383"/>
      <c r="U221" s="2383"/>
      <c r="V221" s="2323"/>
      <c r="W221" s="2323"/>
      <c r="X221" s="2323"/>
      <c r="Y221" s="2323"/>
      <c r="Z221" s="2566"/>
      <c r="AA221" s="2566"/>
      <c r="AB221" s="2566"/>
      <c r="AC221" s="2566"/>
      <c r="AD221" s="2323"/>
      <c r="AE221" s="2323"/>
      <c r="AF221" s="2323"/>
      <c r="AG221" s="2323"/>
      <c r="AH221" s="2323"/>
      <c r="AI221" s="2323"/>
      <c r="AJ221" s="2323"/>
      <c r="AK221" s="2898"/>
      <c r="AL221" s="2895">
        <f t="shared" si="66"/>
        <v>0</v>
      </c>
      <c r="AM221" s="2896" t="str">
        <f t="shared" si="67"/>
        <v/>
      </c>
    </row>
    <row r="222" spans="1:119" s="2345" customFormat="1" ht="15" hidden="1" customHeight="1" outlineLevel="1">
      <c r="A222" s="2339"/>
      <c r="B222" s="3033"/>
      <c r="C222" s="3035"/>
      <c r="D222" s="3035"/>
      <c r="E222" s="3028"/>
      <c r="F222" s="3692" t="s">
        <v>3865</v>
      </c>
      <c r="G222" s="3693"/>
      <c r="H222" s="2323"/>
      <c r="I222" s="2323"/>
      <c r="J222" s="2323"/>
      <c r="K222" s="2323"/>
      <c r="L222" s="2323"/>
      <c r="M222" s="2323"/>
      <c r="N222" s="2323"/>
      <c r="O222" s="2323"/>
      <c r="P222" s="2323"/>
      <c r="Q222" s="2323"/>
      <c r="R222" s="2323"/>
      <c r="S222" s="2323"/>
      <c r="T222" s="2383"/>
      <c r="U222" s="2383"/>
      <c r="V222" s="2323"/>
      <c r="W222" s="2323"/>
      <c r="X222" s="2323"/>
      <c r="Y222" s="2323"/>
      <c r="Z222" s="2566"/>
      <c r="AA222" s="2566"/>
      <c r="AB222" s="2566"/>
      <c r="AC222" s="2566"/>
      <c r="AD222" s="2323"/>
      <c r="AE222" s="2323"/>
      <c r="AF222" s="2323"/>
      <c r="AG222" s="2323"/>
      <c r="AH222" s="2323"/>
      <c r="AI222" s="2323"/>
      <c r="AJ222" s="2323"/>
      <c r="AK222" s="2898"/>
      <c r="AL222" s="2895">
        <f t="shared" si="66"/>
        <v>0</v>
      </c>
      <c r="AM222" s="2896" t="str">
        <f t="shared" si="67"/>
        <v/>
      </c>
    </row>
    <row r="223" spans="1:119" s="2345" customFormat="1" ht="16.5" hidden="1" customHeight="1" outlineLevel="1">
      <c r="A223" s="2339"/>
      <c r="B223" s="3033"/>
      <c r="C223" s="3035"/>
      <c r="D223" s="3035"/>
      <c r="E223" s="3028" t="s">
        <v>3910</v>
      </c>
      <c r="F223" s="3692" t="s">
        <v>3860</v>
      </c>
      <c r="G223" s="3699"/>
      <c r="H223" s="2323"/>
      <c r="I223" s="2323"/>
      <c r="J223" s="2323"/>
      <c r="K223" s="2323"/>
      <c r="L223" s="2323"/>
      <c r="M223" s="2323"/>
      <c r="N223" s="2323"/>
      <c r="O223" s="2323"/>
      <c r="P223" s="2323"/>
      <c r="Q223" s="2323"/>
      <c r="R223" s="2323"/>
      <c r="S223" s="2323"/>
      <c r="T223" s="2323"/>
      <c r="U223" s="2383"/>
      <c r="V223" s="2323"/>
      <c r="W223" s="2323"/>
      <c r="X223" s="2323"/>
      <c r="Y223" s="2323"/>
      <c r="Z223" s="2566"/>
      <c r="AA223" s="2566"/>
      <c r="AB223" s="2566"/>
      <c r="AC223" s="2566"/>
      <c r="AD223" s="2323"/>
      <c r="AE223" s="2323"/>
      <c r="AF223" s="2323"/>
      <c r="AG223" s="2323"/>
      <c r="AH223" s="2323"/>
      <c r="AI223" s="2323"/>
      <c r="AJ223" s="2323"/>
      <c r="AK223" s="2898"/>
      <c r="AL223" s="2895">
        <f t="shared" si="66"/>
        <v>0</v>
      </c>
      <c r="AM223" s="2896" t="str">
        <f t="shared" si="67"/>
        <v/>
      </c>
    </row>
    <row r="224" spans="1:119" s="2345" customFormat="1" ht="15" hidden="1" customHeight="1" outlineLevel="1">
      <c r="A224" s="2339"/>
      <c r="B224" s="3033"/>
      <c r="C224" s="3035"/>
      <c r="D224" s="3035"/>
      <c r="E224" s="3028"/>
      <c r="F224" s="3692" t="s">
        <v>3861</v>
      </c>
      <c r="G224" s="3699"/>
      <c r="H224" s="2323"/>
      <c r="I224" s="2323"/>
      <c r="J224" s="2323"/>
      <c r="K224" s="2323"/>
      <c r="L224" s="2323"/>
      <c r="M224" s="2323"/>
      <c r="N224" s="2323"/>
      <c r="O224" s="2323"/>
      <c r="P224" s="2323"/>
      <c r="Q224" s="2323"/>
      <c r="R224" s="2323"/>
      <c r="S224" s="2323"/>
      <c r="T224" s="2323"/>
      <c r="U224" s="2383"/>
      <c r="V224" s="2323"/>
      <c r="W224" s="2323"/>
      <c r="X224" s="2323"/>
      <c r="Y224" s="2323"/>
      <c r="Z224" s="2566"/>
      <c r="AA224" s="2566"/>
      <c r="AB224" s="2566"/>
      <c r="AC224" s="2566"/>
      <c r="AD224" s="2323"/>
      <c r="AE224" s="2323"/>
      <c r="AF224" s="2323"/>
      <c r="AG224" s="2323"/>
      <c r="AH224" s="2323"/>
      <c r="AI224" s="2323"/>
      <c r="AJ224" s="2323"/>
      <c r="AK224" s="2898"/>
      <c r="AL224" s="2895">
        <f t="shared" si="66"/>
        <v>0</v>
      </c>
      <c r="AM224" s="2896" t="str">
        <f t="shared" si="67"/>
        <v/>
      </c>
    </row>
    <row r="225" spans="1:39" s="2345" customFormat="1" ht="15" hidden="1" customHeight="1" outlineLevel="1">
      <c r="A225" s="2339"/>
      <c r="B225" s="3033"/>
      <c r="C225" s="3035"/>
      <c r="D225" s="3035"/>
      <c r="E225" s="3028"/>
      <c r="F225" s="3692" t="s">
        <v>3862</v>
      </c>
      <c r="G225" s="3700"/>
      <c r="H225" s="2323"/>
      <c r="I225" s="2323"/>
      <c r="J225" s="2323"/>
      <c r="K225" s="2323"/>
      <c r="L225" s="2323"/>
      <c r="M225" s="2323"/>
      <c r="N225" s="2323"/>
      <c r="O225" s="2323"/>
      <c r="P225" s="2323"/>
      <c r="Q225" s="2323"/>
      <c r="R225" s="2323"/>
      <c r="S225" s="2323"/>
      <c r="T225" s="2323"/>
      <c r="U225" s="2383"/>
      <c r="V225" s="2323"/>
      <c r="W225" s="2323"/>
      <c r="X225" s="2323"/>
      <c r="Y225" s="2323"/>
      <c r="Z225" s="2566"/>
      <c r="AA225" s="2566"/>
      <c r="AB225" s="2566"/>
      <c r="AC225" s="2566"/>
      <c r="AD225" s="2323"/>
      <c r="AE225" s="2323"/>
      <c r="AF225" s="2323"/>
      <c r="AG225" s="2323"/>
      <c r="AH225" s="2323"/>
      <c r="AI225" s="2323"/>
      <c r="AJ225" s="2323"/>
      <c r="AK225" s="2898"/>
      <c r="AL225" s="2895">
        <f t="shared" si="66"/>
        <v>0</v>
      </c>
      <c r="AM225" s="2896" t="str">
        <f t="shared" si="67"/>
        <v/>
      </c>
    </row>
    <row r="226" spans="1:39" s="2345" customFormat="1" ht="15" hidden="1" customHeight="1" outlineLevel="1">
      <c r="A226" s="2339"/>
      <c r="B226" s="3033"/>
      <c r="C226" s="3035"/>
      <c r="D226" s="3035"/>
      <c r="E226" s="3028"/>
      <c r="F226" s="3692" t="s">
        <v>3863</v>
      </c>
      <c r="G226" s="3701"/>
      <c r="H226" s="2323"/>
      <c r="I226" s="2323"/>
      <c r="J226" s="2323"/>
      <c r="K226" s="2323"/>
      <c r="L226" s="2323"/>
      <c r="M226" s="2323"/>
      <c r="N226" s="2323"/>
      <c r="O226" s="2323"/>
      <c r="P226" s="2323"/>
      <c r="Q226" s="2323"/>
      <c r="R226" s="2323"/>
      <c r="S226" s="2323"/>
      <c r="T226" s="2323"/>
      <c r="U226" s="2383"/>
      <c r="V226" s="2323"/>
      <c r="W226" s="2323"/>
      <c r="X226" s="2323"/>
      <c r="Y226" s="2323"/>
      <c r="Z226" s="2566"/>
      <c r="AA226" s="2566"/>
      <c r="AB226" s="2566"/>
      <c r="AC226" s="2566"/>
      <c r="AD226" s="2323"/>
      <c r="AE226" s="2323"/>
      <c r="AF226" s="2323"/>
      <c r="AG226" s="2323"/>
      <c r="AH226" s="2323"/>
      <c r="AI226" s="2323"/>
      <c r="AJ226" s="2323"/>
      <c r="AK226" s="2898"/>
      <c r="AL226" s="2895">
        <f t="shared" si="66"/>
        <v>0</v>
      </c>
      <c r="AM226" s="2896" t="str">
        <f t="shared" si="67"/>
        <v/>
      </c>
    </row>
    <row r="227" spans="1:39" s="2345" customFormat="1" ht="15" hidden="1" customHeight="1" outlineLevel="1">
      <c r="A227" s="2339"/>
      <c r="B227" s="3033"/>
      <c r="C227" s="3035"/>
      <c r="D227" s="3035"/>
      <c r="E227" s="3028"/>
      <c r="F227" s="3692" t="s">
        <v>3864</v>
      </c>
      <c r="G227" s="3702"/>
      <c r="H227" s="2323"/>
      <c r="I227" s="2323"/>
      <c r="J227" s="2323"/>
      <c r="K227" s="2323"/>
      <c r="L227" s="2323"/>
      <c r="M227" s="2323"/>
      <c r="N227" s="2323"/>
      <c r="O227" s="2323"/>
      <c r="P227" s="2323"/>
      <c r="Q227" s="2323"/>
      <c r="R227" s="2323"/>
      <c r="S227" s="2323"/>
      <c r="T227" s="2323"/>
      <c r="U227" s="2383"/>
      <c r="V227" s="2323"/>
      <c r="W227" s="2323"/>
      <c r="X227" s="2323"/>
      <c r="Y227" s="2323"/>
      <c r="Z227" s="2566"/>
      <c r="AA227" s="2566"/>
      <c r="AB227" s="2566"/>
      <c r="AC227" s="2566"/>
      <c r="AD227" s="2323"/>
      <c r="AE227" s="2323"/>
      <c r="AF227" s="2323"/>
      <c r="AG227" s="2323"/>
      <c r="AH227" s="2323"/>
      <c r="AI227" s="2323"/>
      <c r="AJ227" s="2323"/>
      <c r="AK227" s="2898"/>
      <c r="AL227" s="2895">
        <f t="shared" si="66"/>
        <v>0</v>
      </c>
      <c r="AM227" s="2896" t="str">
        <f t="shared" si="67"/>
        <v/>
      </c>
    </row>
    <row r="228" spans="1:39" s="2345" customFormat="1" ht="15" hidden="1" customHeight="1" outlineLevel="1" thickBot="1">
      <c r="A228" s="2349"/>
      <c r="B228" s="3703"/>
      <c r="C228" s="3564"/>
      <c r="D228" s="3564"/>
      <c r="E228" s="3011"/>
      <c r="F228" s="3704" t="s">
        <v>3865</v>
      </c>
      <c r="G228" s="3705"/>
      <c r="H228" s="2323"/>
      <c r="I228" s="2323"/>
      <c r="J228" s="2323"/>
      <c r="K228" s="2323"/>
      <c r="L228" s="2323"/>
      <c r="M228" s="2323"/>
      <c r="N228" s="2323"/>
      <c r="O228" s="2323"/>
      <c r="P228" s="2323"/>
      <c r="Q228" s="2323"/>
      <c r="R228" s="2323"/>
      <c r="S228" s="2323"/>
      <c r="T228" s="2323"/>
      <c r="U228" s="2383"/>
      <c r="V228" s="2323"/>
      <c r="W228" s="2323"/>
      <c r="X228" s="2323"/>
      <c r="Y228" s="2323"/>
      <c r="Z228" s="2566"/>
      <c r="AA228" s="2566"/>
      <c r="AB228" s="2566"/>
      <c r="AC228" s="2566"/>
      <c r="AD228" s="2323"/>
      <c r="AE228" s="2323"/>
      <c r="AF228" s="2323"/>
      <c r="AG228" s="2323"/>
      <c r="AH228" s="2323"/>
      <c r="AI228" s="2323"/>
      <c r="AJ228" s="2323"/>
      <c r="AK228" s="2898"/>
      <c r="AL228" s="2895">
        <f t="shared" si="66"/>
        <v>0</v>
      </c>
      <c r="AM228" s="2896" t="str">
        <f t="shared" si="67"/>
        <v/>
      </c>
    </row>
    <row r="229" spans="1:39" s="2345" customFormat="1" ht="15" customHeight="1" collapsed="1">
      <c r="B229" s="2352"/>
      <c r="C229" s="2352"/>
      <c r="D229" s="2353"/>
      <c r="E229" s="2354"/>
      <c r="F229" s="2355"/>
      <c r="G229" s="2355"/>
    </row>
    <row r="230" spans="1:39" s="2345" customFormat="1" ht="15" customHeight="1" thickBot="1">
      <c r="D230" s="2356"/>
      <c r="E230" s="2330"/>
      <c r="F230" s="2357"/>
      <c r="G230" s="2357"/>
    </row>
    <row r="231" spans="1:39" s="2345" customFormat="1" ht="27" customHeight="1" thickBot="1">
      <c r="A231" s="3061"/>
      <c r="B231" s="3062"/>
      <c r="C231" s="3062"/>
      <c r="D231" s="3062"/>
      <c r="E231" s="3062"/>
      <c r="F231" s="3063"/>
      <c r="G231" s="3645" t="s">
        <v>3916</v>
      </c>
      <c r="H231" s="3646"/>
      <c r="I231" s="3646"/>
      <c r="J231" s="3646"/>
      <c r="K231" s="3646"/>
      <c r="L231" s="3646"/>
      <c r="M231" s="3646"/>
      <c r="N231" s="3646"/>
      <c r="O231" s="3646"/>
      <c r="P231" s="3646"/>
      <c r="Q231" s="3646"/>
      <c r="R231" s="3646"/>
      <c r="S231" s="3646"/>
      <c r="T231" s="3646"/>
      <c r="U231" s="3647"/>
      <c r="V231" s="2502"/>
      <c r="W231" s="2502"/>
      <c r="X231" s="2502"/>
      <c r="Y231" s="2502"/>
    </row>
    <row r="232" spans="1:39" s="2345" customFormat="1" ht="49.5" customHeight="1">
      <c r="A232" s="3648" t="s">
        <v>0</v>
      </c>
      <c r="B232" s="3009" t="s">
        <v>3849</v>
      </c>
      <c r="C232" s="3012" t="s">
        <v>3904</v>
      </c>
      <c r="D232" s="3012" t="s">
        <v>3905</v>
      </c>
      <c r="E232" s="3012" t="s">
        <v>3906</v>
      </c>
      <c r="F232" s="2990" t="s">
        <v>3853</v>
      </c>
      <c r="G232" s="3003" t="s">
        <v>3854</v>
      </c>
      <c r="H232" s="3058" t="s">
        <v>3855</v>
      </c>
      <c r="I232" s="3059"/>
      <c r="J232" s="3059"/>
      <c r="K232" s="3059"/>
      <c r="L232" s="3060"/>
      <c r="M232" s="3058" t="s">
        <v>3856</v>
      </c>
      <c r="N232" s="3059"/>
      <c r="O232" s="3059"/>
      <c r="P232" s="3059"/>
      <c r="Q232" s="3060"/>
      <c r="R232" s="3058" t="s">
        <v>3870</v>
      </c>
      <c r="S232" s="3059"/>
      <c r="T232" s="3059"/>
      <c r="U232" s="3060"/>
      <c r="V232" s="3099" t="s">
        <v>3978</v>
      </c>
      <c r="W232" s="3100"/>
      <c r="X232" s="3100"/>
      <c r="Y232" s="3101"/>
      <c r="Z232" s="3093" t="s">
        <v>3858</v>
      </c>
      <c r="AA232" s="3093"/>
      <c r="AB232" s="3093"/>
      <c r="AC232" s="3093"/>
      <c r="AD232" s="3102" t="s">
        <v>3979</v>
      </c>
      <c r="AE232" s="3103"/>
      <c r="AF232" s="3103"/>
      <c r="AG232" s="3104"/>
      <c r="AH232" s="2779" t="s">
        <v>3980</v>
      </c>
      <c r="AI232" s="2500" t="s">
        <v>3974</v>
      </c>
      <c r="AJ232" s="2500" t="s">
        <v>3975</v>
      </c>
      <c r="AK232" s="2893" t="s">
        <v>4262</v>
      </c>
      <c r="AL232" s="2894" t="s">
        <v>4263</v>
      </c>
      <c r="AM232" s="2893" t="s">
        <v>4264</v>
      </c>
    </row>
    <row r="233" spans="1:39" s="2345" customFormat="1" ht="47.25" customHeight="1" thickBot="1">
      <c r="A233" s="3649"/>
      <c r="B233" s="3002"/>
      <c r="C233" s="3013"/>
      <c r="D233" s="3013"/>
      <c r="E233" s="3013"/>
      <c r="F233" s="2991"/>
      <c r="G233" s="3003"/>
      <c r="H233" s="2982">
        <f>H125</f>
        <v>2015</v>
      </c>
      <c r="I233" s="2971">
        <f>I125</f>
        <v>2016</v>
      </c>
      <c r="J233" s="2971">
        <f>J125</f>
        <v>2017</v>
      </c>
      <c r="K233" s="2971" t="str">
        <f>K125</f>
        <v>План (в случае отсутствия факта за 3 года)</v>
      </c>
      <c r="L233" s="2508" t="str">
        <f>L125</f>
        <v>Всего</v>
      </c>
      <c r="M233" s="2971">
        <f>H233</f>
        <v>2015</v>
      </c>
      <c r="N233" s="2971">
        <f>I233</f>
        <v>2016</v>
      </c>
      <c r="O233" s="2971">
        <f>J233</f>
        <v>2017</v>
      </c>
      <c r="P233" s="2971" t="str">
        <f>P125</f>
        <v>План (в случае отсутствия факта за 3 года)</v>
      </c>
      <c r="Q233" s="2508" t="str">
        <f>Q125</f>
        <v>Всего</v>
      </c>
      <c r="R233" s="2971">
        <f>H233</f>
        <v>2015</v>
      </c>
      <c r="S233" s="2971">
        <f>I233</f>
        <v>2016</v>
      </c>
      <c r="T233" s="2380">
        <f>J233</f>
        <v>2017</v>
      </c>
      <c r="U233" s="2380" t="str">
        <f>U125</f>
        <v>План (в случае отсутствия факта за 3 года)</v>
      </c>
      <c r="V233" s="2496">
        <f>R233</f>
        <v>2015</v>
      </c>
      <c r="W233" s="2496">
        <f>S233</f>
        <v>2016</v>
      </c>
      <c r="X233" s="2496">
        <f>T233</f>
        <v>2017</v>
      </c>
      <c r="Y233" s="2496" t="str">
        <f>U233</f>
        <v>План (в случае отсутствия факта за 3 года)</v>
      </c>
      <c r="Z233" s="2481">
        <v>2016</v>
      </c>
      <c r="AA233" s="2481">
        <v>2017</v>
      </c>
      <c r="AB233" s="2481">
        <v>2018</v>
      </c>
      <c r="AC233" s="2481">
        <v>2019</v>
      </c>
      <c r="AD233" s="2503">
        <f>V233</f>
        <v>2015</v>
      </c>
      <c r="AE233" s="2503">
        <f>W233</f>
        <v>2016</v>
      </c>
      <c r="AF233" s="2503">
        <f>X233</f>
        <v>2017</v>
      </c>
      <c r="AG233" s="2503" t="str">
        <f>Y233</f>
        <v>План (в случае отсутствия факта за 3 года)</v>
      </c>
      <c r="AH233" s="2497" t="s">
        <v>3981</v>
      </c>
      <c r="AI233" s="2505" t="s">
        <v>3976</v>
      </c>
      <c r="AJ233" s="2505" t="s">
        <v>3977</v>
      </c>
      <c r="AK233" s="2881">
        <v>2018</v>
      </c>
      <c r="AL233" s="2890" t="s">
        <v>4265</v>
      </c>
      <c r="AM233" s="2881" t="s">
        <v>4265</v>
      </c>
    </row>
    <row r="234" spans="1:39" s="2345" customFormat="1" ht="15" customHeight="1" thickBot="1">
      <c r="A234" s="3650">
        <v>1</v>
      </c>
      <c r="B234" s="3651">
        <v>2</v>
      </c>
      <c r="C234" s="3652">
        <v>3</v>
      </c>
      <c r="D234" s="3653"/>
      <c r="E234" s="3653"/>
      <c r="F234" s="3654"/>
      <c r="G234" s="3655">
        <v>4</v>
      </c>
      <c r="H234" s="3656">
        <v>5</v>
      </c>
      <c r="I234" s="3657"/>
      <c r="J234" s="3657"/>
      <c r="K234" s="3658"/>
      <c r="L234" s="3659"/>
      <c r="M234" s="3656">
        <v>6</v>
      </c>
      <c r="N234" s="3657"/>
      <c r="O234" s="3657"/>
      <c r="P234" s="3658"/>
      <c r="Q234" s="3659"/>
      <c r="R234" s="3656">
        <v>7</v>
      </c>
      <c r="S234" s="3657"/>
      <c r="T234" s="3657"/>
      <c r="U234" s="3658"/>
      <c r="V234" s="3022">
        <v>8</v>
      </c>
      <c r="W234" s="3022"/>
      <c r="X234" s="3022"/>
      <c r="Y234" s="2481"/>
      <c r="Z234" s="3022">
        <v>9</v>
      </c>
      <c r="AA234" s="3022"/>
      <c r="AB234" s="3022"/>
      <c r="AC234" s="3022"/>
      <c r="AD234" s="3105">
        <v>10</v>
      </c>
      <c r="AE234" s="3106"/>
      <c r="AF234" s="3106"/>
      <c r="AG234" s="3107"/>
      <c r="AH234" s="2498">
        <v>11</v>
      </c>
      <c r="AI234" s="2498">
        <v>12</v>
      </c>
      <c r="AJ234" s="2499">
        <v>13</v>
      </c>
      <c r="AK234" s="2891">
        <v>10</v>
      </c>
      <c r="AL234" s="2892">
        <v>11</v>
      </c>
      <c r="AM234" s="2891">
        <v>12</v>
      </c>
    </row>
    <row r="235" spans="1:39" s="2345" customFormat="1" ht="15" hidden="1" customHeight="1" outlineLevel="1">
      <c r="A235" s="2339"/>
      <c r="B235" s="3032" t="s">
        <v>2952</v>
      </c>
      <c r="C235" s="3034" t="s">
        <v>3907</v>
      </c>
      <c r="D235" s="3034" t="s">
        <v>3908</v>
      </c>
      <c r="E235" s="3036" t="s">
        <v>3909</v>
      </c>
      <c r="F235" s="3690" t="s">
        <v>3860</v>
      </c>
      <c r="G235" s="3691"/>
      <c r="H235" s="2329"/>
      <c r="I235" s="2329"/>
      <c r="J235" s="2329"/>
      <c r="K235" s="2329"/>
      <c r="L235" s="2329"/>
      <c r="M235" s="2329"/>
      <c r="N235" s="2329"/>
      <c r="O235" s="2329"/>
      <c r="P235" s="2329"/>
      <c r="Q235" s="2329"/>
      <c r="R235" s="2329"/>
      <c r="S235" s="2329"/>
      <c r="T235" s="2382"/>
      <c r="U235" s="2382"/>
      <c r="V235" s="2319"/>
      <c r="W235" s="2319"/>
      <c r="X235" s="2319"/>
      <c r="Y235" s="2319"/>
      <c r="Z235" s="2775">
        <f t="shared" ref="Z235" si="68">$Z$13</f>
        <v>1.0528</v>
      </c>
      <c r="AA235" s="2775">
        <f t="shared" ref="AA235" si="69">$AA$13</f>
        <v>1.0589</v>
      </c>
      <c r="AB235" s="2775">
        <f t="shared" ref="AB235" si="70">$AB$13</f>
        <v>1.0507936887282501</v>
      </c>
      <c r="AC235" s="2775">
        <f t="shared" ref="AC235" si="71">$AC$13</f>
        <v>1.04657781587849</v>
      </c>
      <c r="AD235" s="2323"/>
      <c r="AE235" s="2323"/>
      <c r="AF235" s="2323"/>
      <c r="AG235" s="2323"/>
      <c r="AH235" s="2323"/>
      <c r="AI235" s="2323"/>
      <c r="AJ235" s="2323"/>
      <c r="AK235" s="2898"/>
      <c r="AL235" s="2895">
        <f t="shared" ref="AL235:AL296" si="72">AK235*$AC$71</f>
        <v>0</v>
      </c>
      <c r="AM235" s="2896" t="str">
        <f t="shared" ref="AM235:AM296" si="73">IFERROR(AI235/AL235,"")</f>
        <v/>
      </c>
    </row>
    <row r="236" spans="1:39" s="2345" customFormat="1" ht="15" hidden="1" customHeight="1" outlineLevel="1">
      <c r="A236" s="2339"/>
      <c r="B236" s="3033"/>
      <c r="C236" s="3035"/>
      <c r="D236" s="3035"/>
      <c r="E236" s="3028"/>
      <c r="F236" s="3692" t="s">
        <v>3861</v>
      </c>
      <c r="G236" s="3693"/>
      <c r="H236" s="2323"/>
      <c r="I236" s="2323"/>
      <c r="J236" s="2323"/>
      <c r="K236" s="2323"/>
      <c r="L236" s="2323"/>
      <c r="M236" s="2323"/>
      <c r="N236" s="2323"/>
      <c r="O236" s="2323"/>
      <c r="P236" s="2323"/>
      <c r="Q236" s="2323"/>
      <c r="R236" s="2323"/>
      <c r="S236" s="2323"/>
      <c r="T236" s="2383"/>
      <c r="U236" s="2383"/>
      <c r="V236" s="2319"/>
      <c r="W236" s="2319"/>
      <c r="X236" s="2319"/>
      <c r="Y236" s="2319"/>
      <c r="Z236" s="2566"/>
      <c r="AA236" s="2566"/>
      <c r="AB236" s="2566"/>
      <c r="AC236" s="2566"/>
      <c r="AD236" s="2323"/>
      <c r="AE236" s="2323"/>
      <c r="AF236" s="2323"/>
      <c r="AG236" s="2323"/>
      <c r="AH236" s="2323"/>
      <c r="AI236" s="2323"/>
      <c r="AJ236" s="2323"/>
      <c r="AK236" s="2898"/>
      <c r="AL236" s="2895">
        <f t="shared" si="72"/>
        <v>0</v>
      </c>
      <c r="AM236" s="2896" t="str">
        <f t="shared" si="73"/>
        <v/>
      </c>
    </row>
    <row r="237" spans="1:39" s="2345" customFormat="1" ht="15" hidden="1" customHeight="1" outlineLevel="1">
      <c r="A237" s="2339"/>
      <c r="B237" s="3033"/>
      <c r="C237" s="3035"/>
      <c r="D237" s="3035"/>
      <c r="E237" s="3028"/>
      <c r="F237" s="3692" t="s">
        <v>3862</v>
      </c>
      <c r="G237" s="3693"/>
      <c r="H237" s="2323"/>
      <c r="I237" s="2323"/>
      <c r="J237" s="2323"/>
      <c r="K237" s="2323"/>
      <c r="L237" s="2323"/>
      <c r="M237" s="2323"/>
      <c r="N237" s="2323"/>
      <c r="O237" s="2323"/>
      <c r="P237" s="2323"/>
      <c r="Q237" s="2323"/>
      <c r="R237" s="2323"/>
      <c r="S237" s="2323"/>
      <c r="T237" s="2383"/>
      <c r="U237" s="2383"/>
      <c r="V237" s="2319"/>
      <c r="W237" s="2319"/>
      <c r="X237" s="2319"/>
      <c r="Y237" s="2319"/>
      <c r="Z237" s="2566"/>
      <c r="AA237" s="2566"/>
      <c r="AB237" s="2566"/>
      <c r="AC237" s="2566"/>
      <c r="AD237" s="2323"/>
      <c r="AE237" s="2323"/>
      <c r="AF237" s="2323"/>
      <c r="AG237" s="2323"/>
      <c r="AH237" s="2323"/>
      <c r="AI237" s="2323"/>
      <c r="AJ237" s="2323"/>
      <c r="AK237" s="2898"/>
      <c r="AL237" s="2895">
        <f t="shared" si="72"/>
        <v>0</v>
      </c>
      <c r="AM237" s="2896" t="str">
        <f t="shared" si="73"/>
        <v/>
      </c>
    </row>
    <row r="238" spans="1:39" s="2345" customFormat="1" ht="15" hidden="1" customHeight="1" outlineLevel="1">
      <c r="A238" s="2339"/>
      <c r="B238" s="3033"/>
      <c r="C238" s="3035"/>
      <c r="D238" s="3035"/>
      <c r="E238" s="3028"/>
      <c r="F238" s="3692" t="s">
        <v>3863</v>
      </c>
      <c r="G238" s="3693"/>
      <c r="H238" s="2323"/>
      <c r="I238" s="2323"/>
      <c r="J238" s="2323"/>
      <c r="K238" s="2323"/>
      <c r="L238" s="2323"/>
      <c r="M238" s="2323"/>
      <c r="N238" s="2323"/>
      <c r="O238" s="2323"/>
      <c r="P238" s="2323"/>
      <c r="Q238" s="2323"/>
      <c r="R238" s="2323"/>
      <c r="S238" s="2323"/>
      <c r="T238" s="2383"/>
      <c r="U238" s="2383"/>
      <c r="V238" s="2319"/>
      <c r="W238" s="2319"/>
      <c r="X238" s="2319"/>
      <c r="Y238" s="2319"/>
      <c r="Z238" s="2566"/>
      <c r="AA238" s="2566"/>
      <c r="AB238" s="2566"/>
      <c r="AC238" s="2566"/>
      <c r="AD238" s="2323"/>
      <c r="AE238" s="2323"/>
      <c r="AF238" s="2323"/>
      <c r="AG238" s="2323"/>
      <c r="AH238" s="2323"/>
      <c r="AI238" s="2323"/>
      <c r="AJ238" s="2323"/>
      <c r="AK238" s="2898"/>
      <c r="AL238" s="2895">
        <f t="shared" si="72"/>
        <v>0</v>
      </c>
      <c r="AM238" s="2896" t="str">
        <f t="shared" si="73"/>
        <v/>
      </c>
    </row>
    <row r="239" spans="1:39" s="2345" customFormat="1" ht="15" hidden="1" customHeight="1" outlineLevel="1">
      <c r="A239" s="2339"/>
      <c r="B239" s="3033"/>
      <c r="C239" s="3035"/>
      <c r="D239" s="3035"/>
      <c r="E239" s="3028"/>
      <c r="F239" s="3692" t="s">
        <v>3864</v>
      </c>
      <c r="G239" s="3693"/>
      <c r="H239" s="2323"/>
      <c r="I239" s="2323"/>
      <c r="J239" s="2323"/>
      <c r="K239" s="2323"/>
      <c r="L239" s="2323"/>
      <c r="M239" s="2323"/>
      <c r="N239" s="2323"/>
      <c r="O239" s="2323"/>
      <c r="P239" s="2323"/>
      <c r="Q239" s="2323"/>
      <c r="R239" s="2323"/>
      <c r="S239" s="2323"/>
      <c r="T239" s="2383"/>
      <c r="U239" s="2383"/>
      <c r="V239" s="2319"/>
      <c r="W239" s="2319"/>
      <c r="X239" s="2319"/>
      <c r="Y239" s="2319"/>
      <c r="Z239" s="2566"/>
      <c r="AA239" s="2566"/>
      <c r="AB239" s="2566"/>
      <c r="AC239" s="2566"/>
      <c r="AD239" s="2323"/>
      <c r="AE239" s="2323"/>
      <c r="AF239" s="2323"/>
      <c r="AG239" s="2323"/>
      <c r="AH239" s="2323"/>
      <c r="AI239" s="2323"/>
      <c r="AJ239" s="2323"/>
      <c r="AK239" s="2898"/>
      <c r="AL239" s="2895">
        <f t="shared" si="72"/>
        <v>0</v>
      </c>
      <c r="AM239" s="2896" t="str">
        <f t="shared" si="73"/>
        <v/>
      </c>
    </row>
    <row r="240" spans="1:39" s="2345" customFormat="1" ht="15" hidden="1" customHeight="1" outlineLevel="1">
      <c r="A240" s="2339"/>
      <c r="B240" s="3033"/>
      <c r="C240" s="3035"/>
      <c r="D240" s="3035"/>
      <c r="E240" s="3028"/>
      <c r="F240" s="3692" t="s">
        <v>3865</v>
      </c>
      <c r="G240" s="3693"/>
      <c r="H240" s="2323"/>
      <c r="I240" s="2323"/>
      <c r="J240" s="2323"/>
      <c r="K240" s="2323"/>
      <c r="L240" s="2323"/>
      <c r="M240" s="2323"/>
      <c r="N240" s="2323"/>
      <c r="O240" s="2323"/>
      <c r="P240" s="2323"/>
      <c r="Q240" s="2323"/>
      <c r="R240" s="2323"/>
      <c r="S240" s="2323"/>
      <c r="T240" s="2383"/>
      <c r="U240" s="2383"/>
      <c r="V240" s="2319"/>
      <c r="W240" s="2319"/>
      <c r="X240" s="2319"/>
      <c r="Y240" s="2319"/>
      <c r="Z240" s="2566"/>
      <c r="AA240" s="2566"/>
      <c r="AB240" s="2566"/>
      <c r="AC240" s="2566"/>
      <c r="AD240" s="2323"/>
      <c r="AE240" s="2323"/>
      <c r="AF240" s="2323"/>
      <c r="AG240" s="2323"/>
      <c r="AH240" s="2323"/>
      <c r="AI240" s="2323"/>
      <c r="AJ240" s="2323"/>
      <c r="AK240" s="2898"/>
      <c r="AL240" s="2895">
        <f t="shared" si="72"/>
        <v>0</v>
      </c>
      <c r="AM240" s="2896" t="str">
        <f t="shared" si="73"/>
        <v/>
      </c>
    </row>
    <row r="241" spans="1:41" s="2345" customFormat="1" ht="15" hidden="1" customHeight="1" outlineLevel="1">
      <c r="A241" s="2339"/>
      <c r="B241" s="3033"/>
      <c r="C241" s="3035"/>
      <c r="D241" s="3035"/>
      <c r="E241" s="3028" t="s">
        <v>3910</v>
      </c>
      <c r="F241" s="3692" t="s">
        <v>3860</v>
      </c>
      <c r="G241" s="3693"/>
      <c r="H241" s="2323"/>
      <c r="I241" s="2323"/>
      <c r="J241" s="2323"/>
      <c r="K241" s="2323"/>
      <c r="L241" s="2323"/>
      <c r="M241" s="2323"/>
      <c r="N241" s="2323"/>
      <c r="O241" s="2323"/>
      <c r="P241" s="2323"/>
      <c r="Q241" s="2323"/>
      <c r="R241" s="2323"/>
      <c r="S241" s="2323"/>
      <c r="T241" s="2383"/>
      <c r="U241" s="2383"/>
      <c r="V241" s="2319"/>
      <c r="W241" s="2319"/>
      <c r="X241" s="2319"/>
      <c r="Y241" s="2319"/>
      <c r="Z241" s="2566"/>
      <c r="AA241" s="2566"/>
      <c r="AB241" s="2566"/>
      <c r="AC241" s="2566"/>
      <c r="AD241" s="2323"/>
      <c r="AE241" s="2323"/>
      <c r="AF241" s="2323"/>
      <c r="AG241" s="2323"/>
      <c r="AH241" s="2323"/>
      <c r="AI241" s="2323"/>
      <c r="AJ241" s="2323"/>
      <c r="AK241" s="2898"/>
      <c r="AL241" s="2895">
        <f t="shared" si="72"/>
        <v>0</v>
      </c>
      <c r="AM241" s="2896" t="str">
        <f t="shared" si="73"/>
        <v/>
      </c>
    </row>
    <row r="242" spans="1:41" s="2345" customFormat="1" ht="15" hidden="1" customHeight="1" outlineLevel="1">
      <c r="A242" s="2339"/>
      <c r="B242" s="3033"/>
      <c r="C242" s="3035"/>
      <c r="D242" s="3035"/>
      <c r="E242" s="3028"/>
      <c r="F242" s="3692" t="s">
        <v>3861</v>
      </c>
      <c r="G242" s="3693"/>
      <c r="H242" s="2323"/>
      <c r="I242" s="2323"/>
      <c r="J242" s="2323"/>
      <c r="K242" s="2323"/>
      <c r="L242" s="2323"/>
      <c r="M242" s="2323"/>
      <c r="N242" s="2323"/>
      <c r="O242" s="2323"/>
      <c r="P242" s="2323"/>
      <c r="Q242" s="2323"/>
      <c r="R242" s="2323"/>
      <c r="S242" s="2323"/>
      <c r="T242" s="2383"/>
      <c r="U242" s="2383"/>
      <c r="V242" s="2319"/>
      <c r="W242" s="2319"/>
      <c r="X242" s="2319"/>
      <c r="Y242" s="2319"/>
      <c r="Z242" s="2566"/>
      <c r="AA242" s="2566"/>
      <c r="AB242" s="2566"/>
      <c r="AC242" s="2566"/>
      <c r="AD242" s="2323"/>
      <c r="AE242" s="2323"/>
      <c r="AF242" s="2323"/>
      <c r="AG242" s="2323"/>
      <c r="AH242" s="2323"/>
      <c r="AI242" s="2323"/>
      <c r="AJ242" s="2323"/>
      <c r="AK242" s="2898"/>
      <c r="AL242" s="2895">
        <f t="shared" si="72"/>
        <v>0</v>
      </c>
      <c r="AM242" s="2896" t="str">
        <f t="shared" si="73"/>
        <v/>
      </c>
    </row>
    <row r="243" spans="1:41" s="2345" customFormat="1" ht="15" hidden="1" customHeight="1" outlineLevel="1">
      <c r="A243" s="2339"/>
      <c r="B243" s="3033"/>
      <c r="C243" s="3035"/>
      <c r="D243" s="3035"/>
      <c r="E243" s="3028"/>
      <c r="F243" s="3692" t="s">
        <v>3862</v>
      </c>
      <c r="G243" s="3693"/>
      <c r="H243" s="2323"/>
      <c r="I243" s="2323"/>
      <c r="J243" s="2323"/>
      <c r="K243" s="2323"/>
      <c r="L243" s="2323"/>
      <c r="M243" s="2323"/>
      <c r="N243" s="2323"/>
      <c r="O243" s="2323"/>
      <c r="P243" s="2323"/>
      <c r="Q243" s="2323"/>
      <c r="R243" s="2323"/>
      <c r="S243" s="2323"/>
      <c r="T243" s="2383"/>
      <c r="U243" s="2383"/>
      <c r="V243" s="2343"/>
      <c r="W243" s="2343"/>
      <c r="X243" s="2343"/>
      <c r="Y243" s="2343"/>
      <c r="Z243" s="2566"/>
      <c r="AA243" s="2566"/>
      <c r="AB243" s="2566"/>
      <c r="AC243" s="2566"/>
      <c r="AD243" s="2323"/>
      <c r="AE243" s="2323"/>
      <c r="AF243" s="2323"/>
      <c r="AG243" s="2323"/>
      <c r="AH243" s="2323"/>
      <c r="AI243" s="2323"/>
      <c r="AJ243" s="2323"/>
      <c r="AK243" s="2898"/>
      <c r="AL243" s="2895">
        <f t="shared" si="72"/>
        <v>0</v>
      </c>
      <c r="AM243" s="2896" t="str">
        <f t="shared" si="73"/>
        <v/>
      </c>
    </row>
    <row r="244" spans="1:41" s="2345" customFormat="1" ht="15" hidden="1" customHeight="1" outlineLevel="1">
      <c r="A244" s="2339"/>
      <c r="B244" s="3033"/>
      <c r="C244" s="3035"/>
      <c r="D244" s="3035"/>
      <c r="E244" s="3028"/>
      <c r="F244" s="3692" t="s">
        <v>3863</v>
      </c>
      <c r="G244" s="3693"/>
      <c r="H244" s="2323"/>
      <c r="I244" s="2323"/>
      <c r="J244" s="2323"/>
      <c r="K244" s="2323"/>
      <c r="L244" s="2323"/>
      <c r="M244" s="2323"/>
      <c r="N244" s="2323"/>
      <c r="O244" s="2323"/>
      <c r="P244" s="2323"/>
      <c r="Q244" s="2323"/>
      <c r="R244" s="2323"/>
      <c r="S244" s="2323"/>
      <c r="T244" s="2383"/>
      <c r="U244" s="2383"/>
      <c r="V244" s="2319"/>
      <c r="W244" s="2319"/>
      <c r="X244" s="2319"/>
      <c r="Y244" s="2319"/>
      <c r="Z244" s="2566"/>
      <c r="AA244" s="2566"/>
      <c r="AB244" s="2566"/>
      <c r="AC244" s="2566"/>
      <c r="AD244" s="2323"/>
      <c r="AE244" s="2323"/>
      <c r="AF244" s="2323"/>
      <c r="AG244" s="2323"/>
      <c r="AH244" s="2323"/>
      <c r="AI244" s="2323"/>
      <c r="AJ244" s="2323"/>
      <c r="AK244" s="2898"/>
      <c r="AL244" s="2895">
        <f t="shared" si="72"/>
        <v>0</v>
      </c>
      <c r="AM244" s="2896" t="str">
        <f t="shared" si="73"/>
        <v/>
      </c>
    </row>
    <row r="245" spans="1:41" s="2345" customFormat="1" ht="15" hidden="1" customHeight="1" outlineLevel="1">
      <c r="A245" s="2339"/>
      <c r="B245" s="3033"/>
      <c r="C245" s="3035"/>
      <c r="D245" s="3035"/>
      <c r="E245" s="3028"/>
      <c r="F245" s="3692" t="s">
        <v>3864</v>
      </c>
      <c r="G245" s="3693"/>
      <c r="H245" s="2323"/>
      <c r="I245" s="2323"/>
      <c r="J245" s="2323"/>
      <c r="K245" s="2323"/>
      <c r="L245" s="2323"/>
      <c r="M245" s="2323"/>
      <c r="N245" s="2323"/>
      <c r="O245" s="2323"/>
      <c r="P245" s="2323"/>
      <c r="Q245" s="2323"/>
      <c r="R245" s="2323"/>
      <c r="S245" s="2323"/>
      <c r="T245" s="2383"/>
      <c r="U245" s="2383"/>
      <c r="V245" s="2319"/>
      <c r="W245" s="2319"/>
      <c r="X245" s="2319"/>
      <c r="Y245" s="2319"/>
      <c r="Z245" s="2566"/>
      <c r="AA245" s="2566"/>
      <c r="AB245" s="2566"/>
      <c r="AC245" s="2566"/>
      <c r="AD245" s="2323"/>
      <c r="AE245" s="2323"/>
      <c r="AF245" s="2323"/>
      <c r="AG245" s="2323"/>
      <c r="AH245" s="2323"/>
      <c r="AI245" s="2323"/>
      <c r="AJ245" s="2323"/>
      <c r="AK245" s="2898"/>
      <c r="AL245" s="2895">
        <f t="shared" si="72"/>
        <v>0</v>
      </c>
      <c r="AM245" s="2896" t="str">
        <f t="shared" si="73"/>
        <v/>
      </c>
    </row>
    <row r="246" spans="1:41" s="2345" customFormat="1" ht="15" hidden="1" customHeight="1" outlineLevel="1">
      <c r="A246" s="2339"/>
      <c r="B246" s="3033"/>
      <c r="C246" s="3035"/>
      <c r="D246" s="3035"/>
      <c r="E246" s="3028"/>
      <c r="F246" s="3692" t="s">
        <v>3865</v>
      </c>
      <c r="G246" s="3693"/>
      <c r="H246" s="2323"/>
      <c r="I246" s="2323"/>
      <c r="J246" s="2323"/>
      <c r="K246" s="2323"/>
      <c r="L246" s="2323"/>
      <c r="M246" s="2323"/>
      <c r="N246" s="2323"/>
      <c r="O246" s="2323"/>
      <c r="P246" s="2323"/>
      <c r="Q246" s="2323"/>
      <c r="R246" s="2323"/>
      <c r="S246" s="2323"/>
      <c r="T246" s="2383"/>
      <c r="U246" s="2383"/>
      <c r="V246" s="2319"/>
      <c r="W246" s="2319"/>
      <c r="X246" s="2319"/>
      <c r="Y246" s="2319"/>
      <c r="Z246" s="2566"/>
      <c r="AA246" s="2566"/>
      <c r="AB246" s="2566"/>
      <c r="AC246" s="2566"/>
      <c r="AD246" s="2323"/>
      <c r="AE246" s="2323"/>
      <c r="AF246" s="2323"/>
      <c r="AG246" s="2323"/>
      <c r="AH246" s="2323"/>
      <c r="AI246" s="2323"/>
      <c r="AJ246" s="2323"/>
      <c r="AK246" s="2898"/>
      <c r="AL246" s="2895">
        <f t="shared" si="72"/>
        <v>0</v>
      </c>
      <c r="AM246" s="2896" t="str">
        <f t="shared" si="73"/>
        <v/>
      </c>
    </row>
    <row r="247" spans="1:41" s="2345" customFormat="1" ht="15" hidden="1" customHeight="1" outlineLevel="1">
      <c r="A247" s="2339"/>
      <c r="B247" s="3033"/>
      <c r="C247" s="3035"/>
      <c r="D247" s="3035" t="s">
        <v>3911</v>
      </c>
      <c r="E247" s="3028" t="s">
        <v>3909</v>
      </c>
      <c r="F247" s="3692" t="s">
        <v>3860</v>
      </c>
      <c r="G247" s="3693"/>
      <c r="H247" s="2323"/>
      <c r="I247" s="2323"/>
      <c r="J247" s="2323"/>
      <c r="K247" s="2323"/>
      <c r="L247" s="2323"/>
      <c r="M247" s="2323"/>
      <c r="N247" s="2323"/>
      <c r="O247" s="2323"/>
      <c r="P247" s="2323"/>
      <c r="Q247" s="2323"/>
      <c r="R247" s="2323"/>
      <c r="S247" s="2323"/>
      <c r="T247" s="2383"/>
      <c r="U247" s="2383"/>
      <c r="V247" s="2319"/>
      <c r="W247" s="2319"/>
      <c r="X247" s="2319"/>
      <c r="Y247" s="2319"/>
      <c r="Z247" s="2566"/>
      <c r="AA247" s="2566"/>
      <c r="AB247" s="2566"/>
      <c r="AC247" s="2566"/>
      <c r="AD247" s="2323"/>
      <c r="AE247" s="2323"/>
      <c r="AF247" s="2323"/>
      <c r="AG247" s="2323"/>
      <c r="AH247" s="2323"/>
      <c r="AI247" s="2323"/>
      <c r="AJ247" s="2323"/>
      <c r="AK247" s="2898"/>
      <c r="AL247" s="2895">
        <f t="shared" si="72"/>
        <v>0</v>
      </c>
      <c r="AM247" s="2896" t="str">
        <f t="shared" si="73"/>
        <v/>
      </c>
    </row>
    <row r="248" spans="1:41" s="2345" customFormat="1" ht="15" hidden="1" customHeight="1" outlineLevel="1">
      <c r="A248" s="2339"/>
      <c r="B248" s="3033"/>
      <c r="C248" s="3035"/>
      <c r="D248" s="3035"/>
      <c r="E248" s="3028"/>
      <c r="F248" s="3692" t="s">
        <v>3861</v>
      </c>
      <c r="G248" s="3693"/>
      <c r="H248" s="2323"/>
      <c r="I248" s="2323"/>
      <c r="J248" s="2323"/>
      <c r="K248" s="2323"/>
      <c r="L248" s="2323"/>
      <c r="M248" s="2323"/>
      <c r="N248" s="2323"/>
      <c r="O248" s="2323"/>
      <c r="P248" s="2323"/>
      <c r="Q248" s="2323"/>
      <c r="R248" s="2323"/>
      <c r="S248" s="2323"/>
      <c r="T248" s="2383"/>
      <c r="U248" s="2383"/>
      <c r="V248" s="2319"/>
      <c r="W248" s="2319"/>
      <c r="X248" s="2319"/>
      <c r="Y248" s="2319"/>
      <c r="Z248" s="2566"/>
      <c r="AA248" s="2566"/>
      <c r="AB248" s="2566"/>
      <c r="AC248" s="2566"/>
      <c r="AD248" s="2323"/>
      <c r="AE248" s="2323"/>
      <c r="AF248" s="2323"/>
      <c r="AG248" s="2323"/>
      <c r="AH248" s="2323"/>
      <c r="AI248" s="2323"/>
      <c r="AJ248" s="2323"/>
      <c r="AK248" s="2898"/>
      <c r="AL248" s="2895">
        <f t="shared" si="72"/>
        <v>0</v>
      </c>
      <c r="AM248" s="2896" t="str">
        <f t="shared" si="73"/>
        <v/>
      </c>
    </row>
    <row r="249" spans="1:41" s="2345" customFormat="1" ht="15" hidden="1" customHeight="1" outlineLevel="1">
      <c r="A249" s="2339"/>
      <c r="B249" s="3033"/>
      <c r="C249" s="3035"/>
      <c r="D249" s="3035"/>
      <c r="E249" s="3028"/>
      <c r="F249" s="3692" t="s">
        <v>3862</v>
      </c>
      <c r="G249" s="3693"/>
      <c r="H249" s="2323"/>
      <c r="I249" s="2323"/>
      <c r="J249" s="2323"/>
      <c r="K249" s="2323"/>
      <c r="L249" s="2323"/>
      <c r="M249" s="2323"/>
      <c r="N249" s="2323"/>
      <c r="O249" s="2323"/>
      <c r="P249" s="2323"/>
      <c r="Q249" s="2323"/>
      <c r="R249" s="2323"/>
      <c r="S249" s="2323"/>
      <c r="T249" s="2383"/>
      <c r="U249" s="2383"/>
      <c r="V249" s="2319"/>
      <c r="W249" s="2319"/>
      <c r="X249" s="2319"/>
      <c r="Y249" s="2319"/>
      <c r="Z249" s="2566"/>
      <c r="AA249" s="2566"/>
      <c r="AB249" s="2566"/>
      <c r="AC249" s="2566"/>
      <c r="AD249" s="2323"/>
      <c r="AE249" s="2323"/>
      <c r="AF249" s="2323"/>
      <c r="AG249" s="2323"/>
      <c r="AH249" s="2323"/>
      <c r="AI249" s="2323"/>
      <c r="AJ249" s="2323"/>
      <c r="AK249" s="2898"/>
      <c r="AL249" s="2895">
        <f t="shared" si="72"/>
        <v>0</v>
      </c>
      <c r="AM249" s="2896" t="str">
        <f t="shared" si="73"/>
        <v/>
      </c>
    </row>
    <row r="250" spans="1:41" s="2345" customFormat="1" ht="15" hidden="1" customHeight="1" outlineLevel="1">
      <c r="A250" s="2339"/>
      <c r="B250" s="3033"/>
      <c r="C250" s="3035"/>
      <c r="D250" s="3035"/>
      <c r="E250" s="3028"/>
      <c r="F250" s="3692" t="s">
        <v>3863</v>
      </c>
      <c r="G250" s="3693"/>
      <c r="H250" s="2323"/>
      <c r="I250" s="2323"/>
      <c r="J250" s="2323"/>
      <c r="K250" s="2323"/>
      <c r="L250" s="2323"/>
      <c r="M250" s="2323"/>
      <c r="N250" s="2323"/>
      <c r="O250" s="2323"/>
      <c r="P250" s="2323"/>
      <c r="Q250" s="2323"/>
      <c r="R250" s="2323"/>
      <c r="S250" s="2323"/>
      <c r="T250" s="2383"/>
      <c r="U250" s="2383"/>
      <c r="V250" s="2319"/>
      <c r="W250" s="2319"/>
      <c r="X250" s="2319"/>
      <c r="Y250" s="2319"/>
      <c r="Z250" s="2566"/>
      <c r="AA250" s="2566"/>
      <c r="AB250" s="2566"/>
      <c r="AC250" s="2566"/>
      <c r="AD250" s="2323"/>
      <c r="AE250" s="2323"/>
      <c r="AF250" s="2323"/>
      <c r="AG250" s="2323"/>
      <c r="AH250" s="2323"/>
      <c r="AI250" s="2323"/>
      <c r="AJ250" s="2323"/>
      <c r="AK250" s="2898"/>
      <c r="AL250" s="2895">
        <f t="shared" si="72"/>
        <v>0</v>
      </c>
      <c r="AM250" s="2896" t="str">
        <f t="shared" si="73"/>
        <v/>
      </c>
    </row>
    <row r="251" spans="1:41" s="2345" customFormat="1" ht="15" hidden="1" customHeight="1" outlineLevel="1">
      <c r="A251" s="2339"/>
      <c r="B251" s="3033"/>
      <c r="C251" s="3035"/>
      <c r="D251" s="3035"/>
      <c r="E251" s="3028"/>
      <c r="F251" s="3692" t="s">
        <v>3864</v>
      </c>
      <c r="G251" s="3693"/>
      <c r="H251" s="2323"/>
      <c r="I251" s="2323"/>
      <c r="J251" s="2323"/>
      <c r="K251" s="2323"/>
      <c r="L251" s="2323"/>
      <c r="M251" s="2323"/>
      <c r="N251" s="2323"/>
      <c r="O251" s="2323"/>
      <c r="P251" s="2323"/>
      <c r="Q251" s="2323"/>
      <c r="R251" s="2323"/>
      <c r="S251" s="2323"/>
      <c r="T251" s="2383"/>
      <c r="U251" s="2383"/>
      <c r="V251" s="2319"/>
      <c r="W251" s="2319"/>
      <c r="X251" s="2319"/>
      <c r="Y251" s="2319"/>
      <c r="Z251" s="2566"/>
      <c r="AA251" s="2566"/>
      <c r="AB251" s="2566"/>
      <c r="AC251" s="2566"/>
      <c r="AD251" s="2323"/>
      <c r="AE251" s="2323"/>
      <c r="AF251" s="2323"/>
      <c r="AG251" s="2323"/>
      <c r="AH251" s="2323"/>
      <c r="AI251" s="2323"/>
      <c r="AJ251" s="2323"/>
      <c r="AK251" s="2898"/>
      <c r="AL251" s="2895">
        <f t="shared" si="72"/>
        <v>0</v>
      </c>
      <c r="AM251" s="2896" t="str">
        <f t="shared" si="73"/>
        <v/>
      </c>
    </row>
    <row r="252" spans="1:41" s="2345" customFormat="1" ht="15" hidden="1" customHeight="1" outlineLevel="1">
      <c r="A252" s="2339"/>
      <c r="B252" s="3033"/>
      <c r="C252" s="3035"/>
      <c r="D252" s="3035"/>
      <c r="E252" s="3028"/>
      <c r="F252" s="3692" t="s">
        <v>3865</v>
      </c>
      <c r="G252" s="3693"/>
      <c r="H252" s="2323"/>
      <c r="I252" s="2323"/>
      <c r="J252" s="2323"/>
      <c r="K252" s="2323"/>
      <c r="L252" s="2323"/>
      <c r="M252" s="2323"/>
      <c r="N252" s="2323"/>
      <c r="O252" s="2323"/>
      <c r="P252" s="2323"/>
      <c r="Q252" s="2323"/>
      <c r="R252" s="2323"/>
      <c r="S252" s="2323"/>
      <c r="T252" s="2383"/>
      <c r="U252" s="2383"/>
      <c r="V252" s="2319"/>
      <c r="W252" s="2319"/>
      <c r="X252" s="2319"/>
      <c r="Y252" s="2319"/>
      <c r="Z252" s="2566"/>
      <c r="AA252" s="2566"/>
      <c r="AB252" s="2566"/>
      <c r="AC252" s="2566"/>
      <c r="AD252" s="2323"/>
      <c r="AE252" s="2323"/>
      <c r="AF252" s="2323"/>
      <c r="AG252" s="2323"/>
      <c r="AH252" s="2323"/>
      <c r="AI252" s="2323"/>
      <c r="AJ252" s="2323"/>
      <c r="AK252" s="2898"/>
      <c r="AL252" s="2895">
        <f t="shared" si="72"/>
        <v>0</v>
      </c>
      <c r="AM252" s="2896" t="str">
        <f t="shared" si="73"/>
        <v/>
      </c>
    </row>
    <row r="253" spans="1:41" s="2345" customFormat="1" ht="15" hidden="1" customHeight="1" outlineLevel="1">
      <c r="A253" s="2339"/>
      <c r="B253" s="3033"/>
      <c r="C253" s="3035"/>
      <c r="D253" s="3035"/>
      <c r="E253" s="3028" t="s">
        <v>3910</v>
      </c>
      <c r="F253" s="3692" t="s">
        <v>3860</v>
      </c>
      <c r="G253" s="3693"/>
      <c r="H253" s="2323"/>
      <c r="I253" s="2323"/>
      <c r="J253" s="2323"/>
      <c r="K253" s="2323"/>
      <c r="L253" s="2323"/>
      <c r="M253" s="2323"/>
      <c r="N253" s="2323"/>
      <c r="O253" s="2323"/>
      <c r="P253" s="2323"/>
      <c r="Q253" s="2323"/>
      <c r="R253" s="2323"/>
      <c r="S253" s="2323"/>
      <c r="T253" s="2383"/>
      <c r="U253" s="2383"/>
      <c r="V253" s="2343"/>
      <c r="W253" s="2343"/>
      <c r="X253" s="2343"/>
      <c r="Y253" s="2343"/>
      <c r="Z253" s="2566"/>
      <c r="AA253" s="2566"/>
      <c r="AB253" s="2566"/>
      <c r="AC253" s="2566"/>
      <c r="AD253" s="2323"/>
      <c r="AE253" s="2323"/>
      <c r="AF253" s="2323"/>
      <c r="AG253" s="2323"/>
      <c r="AH253" s="2323"/>
      <c r="AI253" s="2777"/>
      <c r="AJ253" s="2778"/>
      <c r="AK253" s="2898"/>
      <c r="AL253" s="2895">
        <f t="shared" si="72"/>
        <v>0</v>
      </c>
      <c r="AM253" s="2896" t="str">
        <f t="shared" si="73"/>
        <v/>
      </c>
    </row>
    <row r="254" spans="1:41" s="2345" customFormat="1" ht="15" hidden="1" customHeight="1" outlineLevel="1">
      <c r="A254" s="2339"/>
      <c r="B254" s="3033"/>
      <c r="C254" s="3035"/>
      <c r="D254" s="3035"/>
      <c r="E254" s="3028"/>
      <c r="F254" s="3692" t="s">
        <v>3861</v>
      </c>
      <c r="G254" s="3693"/>
      <c r="H254" s="2323"/>
      <c r="I254" s="2323"/>
      <c r="J254" s="2323"/>
      <c r="K254" s="2323"/>
      <c r="L254" s="2323"/>
      <c r="M254" s="2323"/>
      <c r="N254" s="2323"/>
      <c r="O254" s="2323"/>
      <c r="P254" s="2323"/>
      <c r="Q254" s="2323"/>
      <c r="R254" s="2323"/>
      <c r="S254" s="2323"/>
      <c r="T254" s="2383"/>
      <c r="U254" s="2383"/>
      <c r="V254" s="2343"/>
      <c r="W254" s="2343"/>
      <c r="X254" s="2343"/>
      <c r="Y254" s="2343"/>
      <c r="Z254" s="2566"/>
      <c r="AA254" s="2566"/>
      <c r="AB254" s="2566"/>
      <c r="AC254" s="2566"/>
      <c r="AD254" s="2323"/>
      <c r="AE254" s="2323"/>
      <c r="AF254" s="2323"/>
      <c r="AG254" s="2323"/>
      <c r="AH254" s="2323"/>
      <c r="AI254" s="2777"/>
      <c r="AJ254" s="2778"/>
      <c r="AK254" s="2898"/>
      <c r="AL254" s="2895">
        <f t="shared" si="72"/>
        <v>0</v>
      </c>
      <c r="AM254" s="2896" t="str">
        <f t="shared" si="73"/>
        <v/>
      </c>
    </row>
    <row r="255" spans="1:41" s="2345" customFormat="1" ht="15" hidden="1" customHeight="1" outlineLevel="1">
      <c r="A255" s="2339"/>
      <c r="B255" s="3033"/>
      <c r="C255" s="3035"/>
      <c r="D255" s="3035"/>
      <c r="E255" s="3028"/>
      <c r="F255" s="3692" t="s">
        <v>3862</v>
      </c>
      <c r="G255" s="3693"/>
      <c r="H255" s="2323"/>
      <c r="I255" s="2323"/>
      <c r="J255" s="2323"/>
      <c r="K255" s="2323"/>
      <c r="L255" s="2323"/>
      <c r="M255" s="2323"/>
      <c r="N255" s="2323"/>
      <c r="O255" s="2323"/>
      <c r="P255" s="2323"/>
      <c r="Q255" s="2323"/>
      <c r="R255" s="2323"/>
      <c r="S255" s="2323"/>
      <c r="T255" s="2383"/>
      <c r="U255" s="3706"/>
      <c r="V255" s="2343"/>
      <c r="W255" s="2343"/>
      <c r="X255" s="2343"/>
      <c r="Y255" s="2784" t="str">
        <f>IFERROR(U255*1000/(K255/1000),"")</f>
        <v/>
      </c>
      <c r="Z255" s="2775">
        <f t="shared" ref="Z255" si="74">$Z$13</f>
        <v>1.0528</v>
      </c>
      <c r="AA255" s="2775">
        <f t="shared" ref="AA255" si="75">$AA$13</f>
        <v>1.0589</v>
      </c>
      <c r="AB255" s="2775">
        <f t="shared" ref="AB255" si="76">$AB$13</f>
        <v>1.0507936887282501</v>
      </c>
      <c r="AC255" s="2775">
        <f t="shared" ref="AC255" si="77">$AC$13</f>
        <v>1.04657781587849</v>
      </c>
      <c r="AD255" s="2323"/>
      <c r="AE255" s="2323"/>
      <c r="AF255" s="2444"/>
      <c r="AG255" s="2520" t="str">
        <f>IFERROR(Y255*$AC$255,"")</f>
        <v/>
      </c>
      <c r="AH255" s="2444">
        <f>SUM(AD255:AG255)</f>
        <v>0</v>
      </c>
      <c r="AI255" s="2777"/>
      <c r="AJ255" s="2778" t="str">
        <f>IFERROR((AI255*L255/1000)/Q255,"")</f>
        <v/>
      </c>
      <c r="AK255" s="2898"/>
      <c r="AL255" s="2895">
        <f t="shared" si="72"/>
        <v>0</v>
      </c>
      <c r="AM255" s="2896" t="str">
        <f t="shared" si="73"/>
        <v/>
      </c>
      <c r="AO255" s="2506">
        <f t="shared" ref="AO255" si="78">AI255*L255/1000000</f>
        <v>0</v>
      </c>
    </row>
    <row r="256" spans="1:41" s="2345" customFormat="1" ht="15" hidden="1" customHeight="1" outlineLevel="1">
      <c r="A256" s="2339"/>
      <c r="B256" s="3033"/>
      <c r="C256" s="3035"/>
      <c r="D256" s="3035"/>
      <c r="E256" s="3028"/>
      <c r="F256" s="3692" t="s">
        <v>3863</v>
      </c>
      <c r="G256" s="3693"/>
      <c r="H256" s="2323"/>
      <c r="I256" s="2323"/>
      <c r="J256" s="2323"/>
      <c r="K256" s="2323"/>
      <c r="L256" s="2323"/>
      <c r="M256" s="2323"/>
      <c r="N256" s="2323"/>
      <c r="O256" s="2323"/>
      <c r="P256" s="2323"/>
      <c r="Q256" s="2323"/>
      <c r="R256" s="2323"/>
      <c r="S256" s="2323"/>
      <c r="T256" s="2383"/>
      <c r="U256" s="2383"/>
      <c r="V256" s="2343"/>
      <c r="W256" s="2343"/>
      <c r="X256" s="2343"/>
      <c r="Y256" s="2343"/>
      <c r="Z256" s="2566"/>
      <c r="AA256" s="2566"/>
      <c r="AB256" s="2566"/>
      <c r="AC256" s="2566"/>
      <c r="AD256" s="2323"/>
      <c r="AE256" s="2323"/>
      <c r="AF256" s="2323"/>
      <c r="AG256" s="2323"/>
      <c r="AH256" s="2323"/>
      <c r="AI256" s="2777"/>
      <c r="AJ256" s="2778"/>
      <c r="AK256" s="2898"/>
      <c r="AL256" s="2895">
        <f t="shared" si="72"/>
        <v>0</v>
      </c>
      <c r="AM256" s="2896" t="str">
        <f t="shared" si="73"/>
        <v/>
      </c>
    </row>
    <row r="257" spans="1:39" s="2345" customFormat="1" ht="15" hidden="1" customHeight="1" outlineLevel="1">
      <c r="A257" s="2339"/>
      <c r="B257" s="3033"/>
      <c r="C257" s="3035"/>
      <c r="D257" s="3035"/>
      <c r="E257" s="3028"/>
      <c r="F257" s="3692" t="s">
        <v>3864</v>
      </c>
      <c r="G257" s="3693"/>
      <c r="H257" s="2323"/>
      <c r="I257" s="2323"/>
      <c r="J257" s="2323"/>
      <c r="K257" s="2323"/>
      <c r="L257" s="2323"/>
      <c r="M257" s="2323"/>
      <c r="N257" s="2323"/>
      <c r="O257" s="2323"/>
      <c r="P257" s="2323"/>
      <c r="Q257" s="2323"/>
      <c r="R257" s="2323"/>
      <c r="S257" s="2323"/>
      <c r="T257" s="2383"/>
      <c r="U257" s="2383"/>
      <c r="V257" s="2319"/>
      <c r="W257" s="2319"/>
      <c r="X257" s="2319"/>
      <c r="Y257" s="2319"/>
      <c r="Z257" s="2566"/>
      <c r="AA257" s="2566"/>
      <c r="AB257" s="2566"/>
      <c r="AC257" s="2566"/>
      <c r="AD257" s="2323"/>
      <c r="AE257" s="2323"/>
      <c r="AF257" s="2323"/>
      <c r="AG257" s="2323"/>
      <c r="AH257" s="2323"/>
      <c r="AI257" s="2777"/>
      <c r="AJ257" s="2778"/>
      <c r="AK257" s="2898"/>
      <c r="AL257" s="2895">
        <f t="shared" si="72"/>
        <v>0</v>
      </c>
      <c r="AM257" s="2896" t="str">
        <f t="shared" si="73"/>
        <v/>
      </c>
    </row>
    <row r="258" spans="1:39" s="2345" customFormat="1" ht="15" hidden="1" customHeight="1" outlineLevel="1">
      <c r="A258" s="2339"/>
      <c r="B258" s="3033"/>
      <c r="C258" s="3035"/>
      <c r="D258" s="3035"/>
      <c r="E258" s="3028"/>
      <c r="F258" s="3692" t="s">
        <v>3865</v>
      </c>
      <c r="G258" s="3693"/>
      <c r="H258" s="2323"/>
      <c r="I258" s="2323"/>
      <c r="J258" s="2323"/>
      <c r="K258" s="2323"/>
      <c r="L258" s="2323"/>
      <c r="M258" s="2323"/>
      <c r="N258" s="2323"/>
      <c r="O258" s="2323"/>
      <c r="P258" s="2323"/>
      <c r="Q258" s="2323"/>
      <c r="R258" s="2323"/>
      <c r="S258" s="2323"/>
      <c r="T258" s="2383"/>
      <c r="U258" s="2383"/>
      <c r="V258" s="2319"/>
      <c r="W258" s="2319"/>
      <c r="X258" s="2319"/>
      <c r="Y258" s="2319"/>
      <c r="Z258" s="2566"/>
      <c r="AA258" s="2566"/>
      <c r="AB258" s="2566"/>
      <c r="AC258" s="2566"/>
      <c r="AD258" s="2323"/>
      <c r="AE258" s="2323"/>
      <c r="AF258" s="2323"/>
      <c r="AG258" s="2323"/>
      <c r="AH258" s="2323"/>
      <c r="AI258" s="2777"/>
      <c r="AJ258" s="2778"/>
      <c r="AK258" s="2898"/>
      <c r="AL258" s="2895">
        <f t="shared" si="72"/>
        <v>0</v>
      </c>
      <c r="AM258" s="2896" t="str">
        <f t="shared" si="73"/>
        <v/>
      </c>
    </row>
    <row r="259" spans="1:39" s="2345" customFormat="1" ht="15" hidden="1" customHeight="1" outlineLevel="1">
      <c r="A259" s="2339"/>
      <c r="B259" s="3033"/>
      <c r="C259" s="3035" t="s">
        <v>3912</v>
      </c>
      <c r="D259" s="3035" t="s">
        <v>3908</v>
      </c>
      <c r="E259" s="3028" t="s">
        <v>3909</v>
      </c>
      <c r="F259" s="3692" t="s">
        <v>3860</v>
      </c>
      <c r="G259" s="3693"/>
      <c r="H259" s="2323"/>
      <c r="I259" s="2323"/>
      <c r="J259" s="2323"/>
      <c r="K259" s="2323"/>
      <c r="L259" s="2323"/>
      <c r="M259" s="2323"/>
      <c r="N259" s="2323"/>
      <c r="O259" s="2323"/>
      <c r="P259" s="2323"/>
      <c r="Q259" s="2323"/>
      <c r="R259" s="2323"/>
      <c r="S259" s="2323"/>
      <c r="T259" s="2383"/>
      <c r="U259" s="2383"/>
      <c r="V259" s="2319"/>
      <c r="W259" s="2319"/>
      <c r="X259" s="2319"/>
      <c r="Y259" s="2319"/>
      <c r="Z259" s="2566"/>
      <c r="AA259" s="2566"/>
      <c r="AB259" s="2566"/>
      <c r="AC259" s="2566"/>
      <c r="AD259" s="2323"/>
      <c r="AE259" s="2323"/>
      <c r="AF259" s="2323"/>
      <c r="AG259" s="2323"/>
      <c r="AH259" s="2323"/>
      <c r="AI259" s="2323"/>
      <c r="AJ259" s="2323"/>
      <c r="AK259" s="2898"/>
      <c r="AL259" s="2895">
        <f t="shared" si="72"/>
        <v>0</v>
      </c>
      <c r="AM259" s="2896" t="str">
        <f t="shared" si="73"/>
        <v/>
      </c>
    </row>
    <row r="260" spans="1:39" s="2345" customFormat="1" ht="15" hidden="1" customHeight="1" outlineLevel="1">
      <c r="A260" s="2339"/>
      <c r="B260" s="3033"/>
      <c r="C260" s="3035"/>
      <c r="D260" s="3035"/>
      <c r="E260" s="3028"/>
      <c r="F260" s="3692" t="s">
        <v>3861</v>
      </c>
      <c r="G260" s="3693"/>
      <c r="H260" s="2323"/>
      <c r="I260" s="2323"/>
      <c r="J260" s="2323"/>
      <c r="K260" s="2323"/>
      <c r="L260" s="2323"/>
      <c r="M260" s="2323"/>
      <c r="N260" s="2323"/>
      <c r="O260" s="2323"/>
      <c r="P260" s="2323"/>
      <c r="Q260" s="2323"/>
      <c r="R260" s="2323"/>
      <c r="S260" s="2323"/>
      <c r="T260" s="2383"/>
      <c r="U260" s="2383"/>
      <c r="V260" s="2319"/>
      <c r="W260" s="2319"/>
      <c r="X260" s="2319"/>
      <c r="Y260" s="2319"/>
      <c r="Z260" s="2566"/>
      <c r="AA260" s="2566"/>
      <c r="AB260" s="2566"/>
      <c r="AC260" s="2566"/>
      <c r="AD260" s="2323"/>
      <c r="AE260" s="2323"/>
      <c r="AF260" s="2323"/>
      <c r="AG260" s="2323"/>
      <c r="AH260" s="2323"/>
      <c r="AI260" s="2323"/>
      <c r="AJ260" s="2323"/>
      <c r="AK260" s="2898"/>
      <c r="AL260" s="2895">
        <f t="shared" si="72"/>
        <v>0</v>
      </c>
      <c r="AM260" s="2896" t="str">
        <f t="shared" si="73"/>
        <v/>
      </c>
    </row>
    <row r="261" spans="1:39" s="2345" customFormat="1" ht="15" hidden="1" customHeight="1" outlineLevel="1">
      <c r="A261" s="2339"/>
      <c r="B261" s="3033"/>
      <c r="C261" s="3035"/>
      <c r="D261" s="3035"/>
      <c r="E261" s="3028"/>
      <c r="F261" s="3692" t="s">
        <v>3862</v>
      </c>
      <c r="G261" s="3693"/>
      <c r="H261" s="2323"/>
      <c r="I261" s="2323"/>
      <c r="J261" s="2323"/>
      <c r="K261" s="2323"/>
      <c r="L261" s="2323"/>
      <c r="M261" s="2323"/>
      <c r="N261" s="2323"/>
      <c r="O261" s="2323"/>
      <c r="P261" s="2323"/>
      <c r="Q261" s="2323"/>
      <c r="R261" s="2323"/>
      <c r="S261" s="2323"/>
      <c r="T261" s="2383"/>
      <c r="U261" s="2383"/>
      <c r="V261" s="2319"/>
      <c r="W261" s="2319"/>
      <c r="X261" s="2319"/>
      <c r="Y261" s="2319"/>
      <c r="Z261" s="2566"/>
      <c r="AA261" s="2566"/>
      <c r="AB261" s="2566"/>
      <c r="AC261" s="2566"/>
      <c r="AD261" s="2323"/>
      <c r="AE261" s="2323"/>
      <c r="AF261" s="2323"/>
      <c r="AG261" s="2323"/>
      <c r="AH261" s="2323"/>
      <c r="AI261" s="2323"/>
      <c r="AJ261" s="2323"/>
      <c r="AK261" s="2898"/>
      <c r="AL261" s="2895">
        <f t="shared" si="72"/>
        <v>0</v>
      </c>
      <c r="AM261" s="2896" t="str">
        <f t="shared" si="73"/>
        <v/>
      </c>
    </row>
    <row r="262" spans="1:39" s="2345" customFormat="1" ht="15" hidden="1" customHeight="1" outlineLevel="1">
      <c r="A262" s="2339"/>
      <c r="B262" s="3033"/>
      <c r="C262" s="3035"/>
      <c r="D262" s="3035"/>
      <c r="E262" s="3028"/>
      <c r="F262" s="3692" t="s">
        <v>3863</v>
      </c>
      <c r="G262" s="3693"/>
      <c r="H262" s="2323"/>
      <c r="I262" s="2323"/>
      <c r="J262" s="2323"/>
      <c r="K262" s="2323"/>
      <c r="L262" s="2323"/>
      <c r="M262" s="2323"/>
      <c r="N262" s="2323"/>
      <c r="O262" s="2323"/>
      <c r="P262" s="2323"/>
      <c r="Q262" s="2323"/>
      <c r="R262" s="2323"/>
      <c r="S262" s="2323"/>
      <c r="T262" s="2383"/>
      <c r="U262" s="2383"/>
      <c r="V262" s="2319"/>
      <c r="W262" s="2319"/>
      <c r="X262" s="2319"/>
      <c r="Y262" s="2319"/>
      <c r="Z262" s="2566"/>
      <c r="AA262" s="2566"/>
      <c r="AB262" s="2566"/>
      <c r="AC262" s="2566"/>
      <c r="AD262" s="2323"/>
      <c r="AE262" s="2323"/>
      <c r="AF262" s="2323"/>
      <c r="AG262" s="2323"/>
      <c r="AH262" s="2323"/>
      <c r="AI262" s="2323"/>
      <c r="AJ262" s="2323"/>
      <c r="AK262" s="2898"/>
      <c r="AL262" s="2895">
        <f t="shared" si="72"/>
        <v>0</v>
      </c>
      <c r="AM262" s="2896" t="str">
        <f t="shared" si="73"/>
        <v/>
      </c>
    </row>
    <row r="263" spans="1:39" s="2345" customFormat="1" ht="15" hidden="1" customHeight="1" outlineLevel="1">
      <c r="A263" s="2339"/>
      <c r="B263" s="3033"/>
      <c r="C263" s="3035"/>
      <c r="D263" s="3035"/>
      <c r="E263" s="3028"/>
      <c r="F263" s="3692" t="s">
        <v>3864</v>
      </c>
      <c r="G263" s="3693"/>
      <c r="H263" s="2323"/>
      <c r="I263" s="2323"/>
      <c r="J263" s="2323"/>
      <c r="K263" s="2323"/>
      <c r="L263" s="2323"/>
      <c r="M263" s="2323"/>
      <c r="N263" s="2323"/>
      <c r="O263" s="2323"/>
      <c r="P263" s="2323"/>
      <c r="Q263" s="2323"/>
      <c r="R263" s="2323"/>
      <c r="S263" s="2323"/>
      <c r="T263" s="2383"/>
      <c r="U263" s="2383"/>
      <c r="V263" s="2319"/>
      <c r="W263" s="2319"/>
      <c r="X263" s="2319"/>
      <c r="Y263" s="2319"/>
      <c r="Z263" s="2566"/>
      <c r="AA263" s="2566"/>
      <c r="AB263" s="2566"/>
      <c r="AC263" s="2566"/>
      <c r="AD263" s="2323"/>
      <c r="AE263" s="2323"/>
      <c r="AF263" s="2323"/>
      <c r="AG263" s="2323"/>
      <c r="AH263" s="2323"/>
      <c r="AI263" s="2323"/>
      <c r="AJ263" s="2323"/>
      <c r="AK263" s="2898"/>
      <c r="AL263" s="2895">
        <f t="shared" si="72"/>
        <v>0</v>
      </c>
      <c r="AM263" s="2896" t="str">
        <f t="shared" si="73"/>
        <v/>
      </c>
    </row>
    <row r="264" spans="1:39" s="2345" customFormat="1" ht="15" hidden="1" customHeight="1" outlineLevel="1">
      <c r="A264" s="2339"/>
      <c r="B264" s="3033"/>
      <c r="C264" s="3035"/>
      <c r="D264" s="3035"/>
      <c r="E264" s="3028"/>
      <c r="F264" s="3692" t="s">
        <v>3865</v>
      </c>
      <c r="G264" s="3693"/>
      <c r="H264" s="2323"/>
      <c r="I264" s="2323"/>
      <c r="J264" s="2323"/>
      <c r="K264" s="2323"/>
      <c r="L264" s="2323"/>
      <c r="M264" s="2323"/>
      <c r="N264" s="2323"/>
      <c r="O264" s="2323"/>
      <c r="P264" s="2323"/>
      <c r="Q264" s="2323"/>
      <c r="R264" s="2323"/>
      <c r="S264" s="2323"/>
      <c r="T264" s="2383"/>
      <c r="U264" s="2383"/>
      <c r="V264" s="2319"/>
      <c r="W264" s="2319"/>
      <c r="X264" s="2319"/>
      <c r="Y264" s="2319"/>
      <c r="Z264" s="2566"/>
      <c r="AA264" s="2566"/>
      <c r="AB264" s="2566"/>
      <c r="AC264" s="2566"/>
      <c r="AD264" s="2323"/>
      <c r="AE264" s="2323"/>
      <c r="AF264" s="2323"/>
      <c r="AG264" s="2323"/>
      <c r="AH264" s="2323"/>
      <c r="AI264" s="2323"/>
      <c r="AJ264" s="2323"/>
      <c r="AK264" s="2898"/>
      <c r="AL264" s="2895">
        <f t="shared" si="72"/>
        <v>0</v>
      </c>
      <c r="AM264" s="2896" t="str">
        <f t="shared" si="73"/>
        <v/>
      </c>
    </row>
    <row r="265" spans="1:39" s="2345" customFormat="1" ht="15" hidden="1" customHeight="1" outlineLevel="1">
      <c r="A265" s="2339"/>
      <c r="B265" s="3033"/>
      <c r="C265" s="3035"/>
      <c r="D265" s="3035" t="s">
        <v>3911</v>
      </c>
      <c r="E265" s="3028" t="s">
        <v>3909</v>
      </c>
      <c r="F265" s="3692" t="s">
        <v>3860</v>
      </c>
      <c r="G265" s="3693"/>
      <c r="H265" s="2323"/>
      <c r="I265" s="2323"/>
      <c r="J265" s="2323"/>
      <c r="K265" s="2323"/>
      <c r="L265" s="2323"/>
      <c r="M265" s="2323"/>
      <c r="N265" s="2323"/>
      <c r="O265" s="2323"/>
      <c r="P265" s="2323"/>
      <c r="Q265" s="2323"/>
      <c r="R265" s="2323"/>
      <c r="S265" s="2323"/>
      <c r="T265" s="2383"/>
      <c r="U265" s="2383"/>
      <c r="V265" s="2343"/>
      <c r="W265" s="2343"/>
      <c r="X265" s="2343"/>
      <c r="Y265" s="2343"/>
      <c r="Z265" s="2566"/>
      <c r="AA265" s="2566"/>
      <c r="AB265" s="2566"/>
      <c r="AC265" s="2566"/>
      <c r="AD265" s="2323"/>
      <c r="AE265" s="2323"/>
      <c r="AF265" s="2323"/>
      <c r="AG265" s="2323"/>
      <c r="AH265" s="2323"/>
      <c r="AI265" s="2323"/>
      <c r="AJ265" s="2323"/>
      <c r="AK265" s="2898"/>
      <c r="AL265" s="2895">
        <f t="shared" si="72"/>
        <v>0</v>
      </c>
      <c r="AM265" s="2896" t="str">
        <f t="shared" si="73"/>
        <v/>
      </c>
    </row>
    <row r="266" spans="1:39" s="2345" customFormat="1" ht="15" hidden="1" customHeight="1" outlineLevel="1">
      <c r="A266" s="2339"/>
      <c r="B266" s="3033"/>
      <c r="C266" s="3035"/>
      <c r="D266" s="3035"/>
      <c r="E266" s="3028"/>
      <c r="F266" s="3692" t="s">
        <v>3861</v>
      </c>
      <c r="G266" s="3693"/>
      <c r="H266" s="2323"/>
      <c r="I266" s="2323"/>
      <c r="J266" s="2323"/>
      <c r="K266" s="2323"/>
      <c r="L266" s="2323"/>
      <c r="M266" s="2323"/>
      <c r="N266" s="2323"/>
      <c r="O266" s="2323"/>
      <c r="P266" s="2323"/>
      <c r="Q266" s="2323"/>
      <c r="R266" s="2323"/>
      <c r="S266" s="2323"/>
      <c r="T266" s="2383"/>
      <c r="U266" s="2383"/>
      <c r="V266" s="2343"/>
      <c r="W266" s="2343"/>
      <c r="X266" s="2343"/>
      <c r="Y266" s="2343"/>
      <c r="Z266" s="2566"/>
      <c r="AA266" s="2566"/>
      <c r="AB266" s="2566"/>
      <c r="AC266" s="2566"/>
      <c r="AD266" s="2323"/>
      <c r="AE266" s="2323"/>
      <c r="AF266" s="2323"/>
      <c r="AG266" s="2323"/>
      <c r="AH266" s="2323"/>
      <c r="AI266" s="2323"/>
      <c r="AJ266" s="2323"/>
      <c r="AK266" s="2898"/>
      <c r="AL266" s="2895">
        <f t="shared" si="72"/>
        <v>0</v>
      </c>
      <c r="AM266" s="2896" t="str">
        <f t="shared" si="73"/>
        <v/>
      </c>
    </row>
    <row r="267" spans="1:39" s="2345" customFormat="1" ht="15" hidden="1" customHeight="1" outlineLevel="1">
      <c r="A267" s="2339"/>
      <c r="B267" s="3033"/>
      <c r="C267" s="3035"/>
      <c r="D267" s="3035"/>
      <c r="E267" s="3028"/>
      <c r="F267" s="3692" t="s">
        <v>3862</v>
      </c>
      <c r="G267" s="3693"/>
      <c r="H267" s="2323"/>
      <c r="I267" s="2323"/>
      <c r="J267" s="2323"/>
      <c r="K267" s="2323"/>
      <c r="L267" s="2323"/>
      <c r="M267" s="2323"/>
      <c r="N267" s="2323"/>
      <c r="O267" s="2323"/>
      <c r="P267" s="2323"/>
      <c r="Q267" s="2323"/>
      <c r="R267" s="2323"/>
      <c r="S267" s="2323"/>
      <c r="T267" s="2383"/>
      <c r="U267" s="2383"/>
      <c r="V267" s="2343"/>
      <c r="W267" s="2343"/>
      <c r="X267" s="2343"/>
      <c r="Y267" s="2343"/>
      <c r="Z267" s="2566"/>
      <c r="AA267" s="2566"/>
      <c r="AB267" s="2566"/>
      <c r="AC267" s="2566"/>
      <c r="AD267" s="2323"/>
      <c r="AE267" s="2323"/>
      <c r="AF267" s="2323"/>
      <c r="AG267" s="2323"/>
      <c r="AH267" s="2323"/>
      <c r="AI267" s="2323"/>
      <c r="AJ267" s="2323"/>
      <c r="AK267" s="2898"/>
      <c r="AL267" s="2895">
        <f t="shared" si="72"/>
        <v>0</v>
      </c>
      <c r="AM267" s="2896" t="str">
        <f t="shared" si="73"/>
        <v/>
      </c>
    </row>
    <row r="268" spans="1:39" s="2345" customFormat="1" ht="15" hidden="1" customHeight="1" outlineLevel="1">
      <c r="A268" s="2339"/>
      <c r="B268" s="3033"/>
      <c r="C268" s="3035"/>
      <c r="D268" s="3035"/>
      <c r="E268" s="3028"/>
      <c r="F268" s="3692" t="s">
        <v>3863</v>
      </c>
      <c r="G268" s="3693"/>
      <c r="H268" s="2323"/>
      <c r="I268" s="2323"/>
      <c r="J268" s="2323"/>
      <c r="K268" s="2323"/>
      <c r="L268" s="2323"/>
      <c r="M268" s="2323"/>
      <c r="N268" s="2323"/>
      <c r="O268" s="2323"/>
      <c r="P268" s="2323"/>
      <c r="Q268" s="2323"/>
      <c r="R268" s="2323"/>
      <c r="S268" s="2323"/>
      <c r="T268" s="2383"/>
      <c r="U268" s="2383"/>
      <c r="V268" s="2343"/>
      <c r="W268" s="2343"/>
      <c r="X268" s="2343"/>
      <c r="Y268" s="2343"/>
      <c r="Z268" s="2566"/>
      <c r="AA268" s="2566"/>
      <c r="AB268" s="2566"/>
      <c r="AC268" s="2566"/>
      <c r="AD268" s="2323"/>
      <c r="AE268" s="2323"/>
      <c r="AF268" s="2323"/>
      <c r="AG268" s="2323"/>
      <c r="AH268" s="2323"/>
      <c r="AI268" s="2323"/>
      <c r="AJ268" s="2323"/>
      <c r="AK268" s="2898"/>
      <c r="AL268" s="2895">
        <f t="shared" si="72"/>
        <v>0</v>
      </c>
      <c r="AM268" s="2896" t="str">
        <f t="shared" si="73"/>
        <v/>
      </c>
    </row>
    <row r="269" spans="1:39" s="2345" customFormat="1" ht="15" hidden="1" customHeight="1" outlineLevel="1">
      <c r="A269" s="2339"/>
      <c r="B269" s="3033"/>
      <c r="C269" s="3035"/>
      <c r="D269" s="3035"/>
      <c r="E269" s="3028"/>
      <c r="F269" s="3692" t="s">
        <v>3864</v>
      </c>
      <c r="G269" s="3693"/>
      <c r="H269" s="2323"/>
      <c r="I269" s="2323"/>
      <c r="J269" s="2323"/>
      <c r="K269" s="2323"/>
      <c r="L269" s="2323"/>
      <c r="M269" s="2323"/>
      <c r="N269" s="2323"/>
      <c r="O269" s="2323"/>
      <c r="P269" s="2323"/>
      <c r="Q269" s="2323"/>
      <c r="R269" s="2323"/>
      <c r="S269" s="2323"/>
      <c r="T269" s="2383"/>
      <c r="U269" s="2383"/>
      <c r="V269" s="2319"/>
      <c r="W269" s="2319"/>
      <c r="X269" s="2319"/>
      <c r="Y269" s="2319"/>
      <c r="Z269" s="2566"/>
      <c r="AA269" s="2566"/>
      <c r="AB269" s="2566"/>
      <c r="AC269" s="2566"/>
      <c r="AD269" s="2323"/>
      <c r="AE269" s="2323"/>
      <c r="AF269" s="2323"/>
      <c r="AG269" s="2323"/>
      <c r="AH269" s="2323"/>
      <c r="AI269" s="2323"/>
      <c r="AJ269" s="2323"/>
      <c r="AK269" s="2898"/>
      <c r="AL269" s="2895">
        <f t="shared" si="72"/>
        <v>0</v>
      </c>
      <c r="AM269" s="2896" t="str">
        <f t="shared" si="73"/>
        <v/>
      </c>
    </row>
    <row r="270" spans="1:39" s="2345" customFormat="1" ht="15" hidden="1" customHeight="1" outlineLevel="1">
      <c r="A270" s="2339"/>
      <c r="B270" s="3033"/>
      <c r="C270" s="3035"/>
      <c r="D270" s="3035"/>
      <c r="E270" s="3028"/>
      <c r="F270" s="3692" t="s">
        <v>3865</v>
      </c>
      <c r="G270" s="3693"/>
      <c r="H270" s="2323"/>
      <c r="I270" s="2323"/>
      <c r="J270" s="2323"/>
      <c r="K270" s="2323"/>
      <c r="L270" s="2323"/>
      <c r="M270" s="2323"/>
      <c r="N270" s="2323"/>
      <c r="O270" s="2323"/>
      <c r="P270" s="2323"/>
      <c r="Q270" s="2323"/>
      <c r="R270" s="2323"/>
      <c r="S270" s="2323"/>
      <c r="T270" s="2383"/>
      <c r="U270" s="2383"/>
      <c r="V270" s="2319"/>
      <c r="W270" s="2319"/>
      <c r="X270" s="2319"/>
      <c r="Y270" s="2319"/>
      <c r="Z270" s="2566"/>
      <c r="AA270" s="2566"/>
      <c r="AB270" s="2566"/>
      <c r="AC270" s="2566"/>
      <c r="AD270" s="2323"/>
      <c r="AE270" s="2323"/>
      <c r="AF270" s="2323"/>
      <c r="AG270" s="2323"/>
      <c r="AH270" s="2323"/>
      <c r="AI270" s="2323"/>
      <c r="AJ270" s="2323"/>
      <c r="AK270" s="2898"/>
      <c r="AL270" s="2895">
        <f t="shared" si="72"/>
        <v>0</v>
      </c>
      <c r="AM270" s="2896" t="str">
        <f t="shared" si="73"/>
        <v/>
      </c>
    </row>
    <row r="271" spans="1:39" s="2345" customFormat="1" ht="15" hidden="1" customHeight="1" outlineLevel="1">
      <c r="A271" s="2339"/>
      <c r="B271" s="3033"/>
      <c r="C271" s="3035"/>
      <c r="D271" s="3035"/>
      <c r="E271" s="3028" t="s">
        <v>3910</v>
      </c>
      <c r="F271" s="3692" t="s">
        <v>3860</v>
      </c>
      <c r="G271" s="3693"/>
      <c r="H271" s="2323"/>
      <c r="I271" s="2323"/>
      <c r="J271" s="2323"/>
      <c r="K271" s="2323"/>
      <c r="L271" s="2323"/>
      <c r="M271" s="2323"/>
      <c r="N271" s="2323"/>
      <c r="O271" s="2323"/>
      <c r="P271" s="2323"/>
      <c r="Q271" s="2323"/>
      <c r="R271" s="2323"/>
      <c r="S271" s="2323"/>
      <c r="T271" s="2383"/>
      <c r="U271" s="2383"/>
      <c r="V271" s="2319"/>
      <c r="W271" s="2319"/>
      <c r="X271" s="2319"/>
      <c r="Y271" s="2319"/>
      <c r="Z271" s="2566"/>
      <c r="AA271" s="2566"/>
      <c r="AB271" s="2566"/>
      <c r="AC271" s="2566"/>
      <c r="AD271" s="2323"/>
      <c r="AE271" s="2323"/>
      <c r="AF271" s="2323"/>
      <c r="AG271" s="2323"/>
      <c r="AH271" s="2323"/>
      <c r="AI271" s="2323"/>
      <c r="AJ271" s="2323"/>
      <c r="AK271" s="2898"/>
      <c r="AL271" s="2895">
        <f t="shared" si="72"/>
        <v>0</v>
      </c>
      <c r="AM271" s="2896" t="str">
        <f t="shared" si="73"/>
        <v/>
      </c>
    </row>
    <row r="272" spans="1:39" s="2345" customFormat="1" ht="15" hidden="1" customHeight="1" outlineLevel="1">
      <c r="A272" s="2339"/>
      <c r="B272" s="3033"/>
      <c r="C272" s="3035"/>
      <c r="D272" s="3035"/>
      <c r="E272" s="3028"/>
      <c r="F272" s="3692" t="s">
        <v>3861</v>
      </c>
      <c r="G272" s="3693"/>
      <c r="H272" s="2323"/>
      <c r="I272" s="2323"/>
      <c r="J272" s="2323"/>
      <c r="K272" s="2323"/>
      <c r="L272" s="2323"/>
      <c r="M272" s="2323"/>
      <c r="N272" s="2323"/>
      <c r="O272" s="2323"/>
      <c r="P272" s="2323"/>
      <c r="Q272" s="2323"/>
      <c r="R272" s="2323"/>
      <c r="S272" s="2323"/>
      <c r="T272" s="2383"/>
      <c r="U272" s="2383"/>
      <c r="V272" s="2319"/>
      <c r="W272" s="2319"/>
      <c r="X272" s="2319"/>
      <c r="Y272" s="2319"/>
      <c r="Z272" s="2566"/>
      <c r="AA272" s="2566"/>
      <c r="AB272" s="2566"/>
      <c r="AC272" s="2566"/>
      <c r="AD272" s="2323"/>
      <c r="AE272" s="2323"/>
      <c r="AF272" s="2323"/>
      <c r="AG272" s="2323"/>
      <c r="AH272" s="2323"/>
      <c r="AI272" s="2323"/>
      <c r="AJ272" s="2323"/>
      <c r="AK272" s="2898"/>
      <c r="AL272" s="2895">
        <f t="shared" si="72"/>
        <v>0</v>
      </c>
      <c r="AM272" s="2896" t="str">
        <f t="shared" si="73"/>
        <v/>
      </c>
    </row>
    <row r="273" spans="1:39" s="2345" customFormat="1" ht="15" hidden="1" customHeight="1" outlineLevel="1">
      <c r="A273" s="2339"/>
      <c r="B273" s="3033"/>
      <c r="C273" s="3035"/>
      <c r="D273" s="3035"/>
      <c r="E273" s="3028"/>
      <c r="F273" s="3692" t="s">
        <v>3862</v>
      </c>
      <c r="G273" s="3693"/>
      <c r="H273" s="2323"/>
      <c r="I273" s="2323"/>
      <c r="J273" s="2323"/>
      <c r="K273" s="2323"/>
      <c r="L273" s="2323"/>
      <c r="M273" s="2323"/>
      <c r="N273" s="2323"/>
      <c r="O273" s="2323"/>
      <c r="P273" s="2323"/>
      <c r="Q273" s="2323"/>
      <c r="R273" s="2323"/>
      <c r="S273" s="2323"/>
      <c r="T273" s="2383"/>
      <c r="U273" s="2383"/>
      <c r="V273" s="2319"/>
      <c r="W273" s="2319"/>
      <c r="X273" s="2319"/>
      <c r="Y273" s="2319"/>
      <c r="Z273" s="2566"/>
      <c r="AA273" s="2566"/>
      <c r="AB273" s="2566"/>
      <c r="AC273" s="2566"/>
      <c r="AD273" s="2323"/>
      <c r="AE273" s="2323"/>
      <c r="AF273" s="2323"/>
      <c r="AG273" s="2323"/>
      <c r="AH273" s="2323"/>
      <c r="AI273" s="2323"/>
      <c r="AJ273" s="2323"/>
      <c r="AK273" s="2898"/>
      <c r="AL273" s="2895">
        <f t="shared" si="72"/>
        <v>0</v>
      </c>
      <c r="AM273" s="2896" t="str">
        <f t="shared" si="73"/>
        <v/>
      </c>
    </row>
    <row r="274" spans="1:39" s="2345" customFormat="1" ht="15" hidden="1" customHeight="1" outlineLevel="1">
      <c r="A274" s="2339"/>
      <c r="B274" s="3033"/>
      <c r="C274" s="3035"/>
      <c r="D274" s="3035"/>
      <c r="E274" s="3028"/>
      <c r="F274" s="3692" t="s">
        <v>3863</v>
      </c>
      <c r="G274" s="3693"/>
      <c r="H274" s="2323"/>
      <c r="I274" s="2323"/>
      <c r="J274" s="2323"/>
      <c r="K274" s="2323"/>
      <c r="L274" s="2323"/>
      <c r="M274" s="2323"/>
      <c r="N274" s="2323"/>
      <c r="O274" s="2323"/>
      <c r="P274" s="2323"/>
      <c r="Q274" s="2323"/>
      <c r="R274" s="2323"/>
      <c r="S274" s="2323"/>
      <c r="T274" s="2383"/>
      <c r="U274" s="2383"/>
      <c r="V274" s="2319"/>
      <c r="W274" s="2319"/>
      <c r="X274" s="2319"/>
      <c r="Y274" s="2319"/>
      <c r="Z274" s="2566"/>
      <c r="AA274" s="2566"/>
      <c r="AB274" s="2566"/>
      <c r="AC274" s="2566"/>
      <c r="AD274" s="2323"/>
      <c r="AE274" s="2323"/>
      <c r="AF274" s="2323"/>
      <c r="AG274" s="2323"/>
      <c r="AH274" s="2323"/>
      <c r="AI274" s="2323"/>
      <c r="AJ274" s="2323"/>
      <c r="AK274" s="2898"/>
      <c r="AL274" s="2895">
        <f t="shared" si="72"/>
        <v>0</v>
      </c>
      <c r="AM274" s="2896" t="str">
        <f t="shared" si="73"/>
        <v/>
      </c>
    </row>
    <row r="275" spans="1:39" s="2345" customFormat="1" ht="15" hidden="1" customHeight="1" outlineLevel="1">
      <c r="A275" s="2339"/>
      <c r="B275" s="3033"/>
      <c r="C275" s="3035"/>
      <c r="D275" s="3035"/>
      <c r="E275" s="3028"/>
      <c r="F275" s="3692" t="s">
        <v>3864</v>
      </c>
      <c r="G275" s="3693"/>
      <c r="H275" s="2323"/>
      <c r="I275" s="2323"/>
      <c r="J275" s="2323"/>
      <c r="K275" s="2323"/>
      <c r="L275" s="2323"/>
      <c r="M275" s="2323"/>
      <c r="N275" s="2323"/>
      <c r="O275" s="2323"/>
      <c r="P275" s="2323"/>
      <c r="Q275" s="2323"/>
      <c r="R275" s="2323"/>
      <c r="S275" s="2323"/>
      <c r="T275" s="2383"/>
      <c r="U275" s="2383"/>
      <c r="V275" s="2319"/>
      <c r="W275" s="2319"/>
      <c r="X275" s="2319"/>
      <c r="Y275" s="2319"/>
      <c r="Z275" s="2566"/>
      <c r="AA275" s="2566"/>
      <c r="AB275" s="2566"/>
      <c r="AC275" s="2566"/>
      <c r="AD275" s="2323"/>
      <c r="AE275" s="2323"/>
      <c r="AF275" s="2323"/>
      <c r="AG275" s="2323"/>
      <c r="AH275" s="2323"/>
      <c r="AI275" s="2323"/>
      <c r="AJ275" s="2323"/>
      <c r="AK275" s="2898"/>
      <c r="AL275" s="2895">
        <f t="shared" si="72"/>
        <v>0</v>
      </c>
      <c r="AM275" s="2896" t="str">
        <f t="shared" si="73"/>
        <v/>
      </c>
    </row>
    <row r="276" spans="1:39" s="2345" customFormat="1" ht="15" hidden="1" customHeight="1" outlineLevel="1">
      <c r="A276" s="2339"/>
      <c r="B276" s="3033"/>
      <c r="C276" s="3035"/>
      <c r="D276" s="3035"/>
      <c r="E276" s="3028"/>
      <c r="F276" s="3692" t="s">
        <v>3865</v>
      </c>
      <c r="G276" s="3693"/>
      <c r="H276" s="2323"/>
      <c r="I276" s="2323"/>
      <c r="J276" s="2323"/>
      <c r="K276" s="2323"/>
      <c r="L276" s="2323"/>
      <c r="M276" s="2323"/>
      <c r="N276" s="2323"/>
      <c r="O276" s="2323"/>
      <c r="P276" s="2323"/>
      <c r="Q276" s="2323"/>
      <c r="R276" s="2323"/>
      <c r="S276" s="2323"/>
      <c r="T276" s="2383"/>
      <c r="U276" s="2383"/>
      <c r="V276" s="2319"/>
      <c r="W276" s="2319"/>
      <c r="X276" s="2319"/>
      <c r="Y276" s="2319"/>
      <c r="Z276" s="2566"/>
      <c r="AA276" s="2566"/>
      <c r="AB276" s="2566"/>
      <c r="AC276" s="2566"/>
      <c r="AD276" s="2323"/>
      <c r="AE276" s="2323"/>
      <c r="AF276" s="2323"/>
      <c r="AG276" s="2323"/>
      <c r="AH276" s="2323"/>
      <c r="AI276" s="2323"/>
      <c r="AJ276" s="2323"/>
      <c r="AK276" s="2898"/>
      <c r="AL276" s="2895">
        <f t="shared" si="72"/>
        <v>0</v>
      </c>
      <c r="AM276" s="2896" t="str">
        <f t="shared" si="73"/>
        <v/>
      </c>
    </row>
    <row r="277" spans="1:39" s="2345" customFormat="1" ht="15" hidden="1" customHeight="1" outlineLevel="1">
      <c r="A277" s="2339"/>
      <c r="B277" s="3033"/>
      <c r="C277" s="3035" t="s">
        <v>3913</v>
      </c>
      <c r="D277" s="3035" t="s">
        <v>3911</v>
      </c>
      <c r="E277" s="3028" t="s">
        <v>3910</v>
      </c>
      <c r="F277" s="3692" t="s">
        <v>3860</v>
      </c>
      <c r="G277" s="3693"/>
      <c r="H277" s="2323"/>
      <c r="I277" s="2323"/>
      <c r="J277" s="2323"/>
      <c r="K277" s="2323"/>
      <c r="L277" s="2323"/>
      <c r="M277" s="2323"/>
      <c r="N277" s="2323"/>
      <c r="O277" s="2323"/>
      <c r="P277" s="2323"/>
      <c r="Q277" s="2323"/>
      <c r="R277" s="2323"/>
      <c r="S277" s="2323"/>
      <c r="T277" s="2383"/>
      <c r="U277" s="2383"/>
      <c r="V277" s="2319"/>
      <c r="W277" s="2319"/>
      <c r="X277" s="2319"/>
      <c r="Y277" s="2319"/>
      <c r="Z277" s="2566"/>
      <c r="AA277" s="2566"/>
      <c r="AB277" s="2566"/>
      <c r="AC277" s="2566"/>
      <c r="AD277" s="2323"/>
      <c r="AE277" s="2323"/>
      <c r="AF277" s="2323"/>
      <c r="AG277" s="2323"/>
      <c r="AH277" s="2323"/>
      <c r="AI277" s="2323"/>
      <c r="AJ277" s="2323"/>
      <c r="AK277" s="2898"/>
      <c r="AL277" s="2895">
        <f t="shared" si="72"/>
        <v>0</v>
      </c>
      <c r="AM277" s="2896" t="str">
        <f t="shared" si="73"/>
        <v/>
      </c>
    </row>
    <row r="278" spans="1:39" s="2345" customFormat="1" ht="15" hidden="1" customHeight="1" outlineLevel="1">
      <c r="A278" s="2339"/>
      <c r="B278" s="3033"/>
      <c r="C278" s="3035"/>
      <c r="D278" s="3035"/>
      <c r="E278" s="3028"/>
      <c r="F278" s="3692" t="s">
        <v>3861</v>
      </c>
      <c r="G278" s="3693"/>
      <c r="H278" s="2323"/>
      <c r="I278" s="2323"/>
      <c r="J278" s="2323"/>
      <c r="K278" s="2323"/>
      <c r="L278" s="2323"/>
      <c r="M278" s="2323"/>
      <c r="N278" s="2323"/>
      <c r="O278" s="2323"/>
      <c r="P278" s="2323"/>
      <c r="Q278" s="2323"/>
      <c r="R278" s="2323"/>
      <c r="S278" s="2323"/>
      <c r="T278" s="2383"/>
      <c r="U278" s="2383"/>
      <c r="V278" s="2319"/>
      <c r="W278" s="2319"/>
      <c r="X278" s="2319"/>
      <c r="Y278" s="2319"/>
      <c r="Z278" s="2566"/>
      <c r="AA278" s="2566"/>
      <c r="AB278" s="2566"/>
      <c r="AC278" s="2566"/>
      <c r="AD278" s="2323"/>
      <c r="AE278" s="2323"/>
      <c r="AF278" s="2323"/>
      <c r="AG278" s="2323"/>
      <c r="AH278" s="2323"/>
      <c r="AI278" s="2323"/>
      <c r="AJ278" s="2323"/>
      <c r="AK278" s="2898"/>
      <c r="AL278" s="2895">
        <f t="shared" si="72"/>
        <v>0</v>
      </c>
      <c r="AM278" s="2896" t="str">
        <f t="shared" si="73"/>
        <v/>
      </c>
    </row>
    <row r="279" spans="1:39" s="2345" customFormat="1" ht="15" hidden="1" customHeight="1" outlineLevel="1">
      <c r="A279" s="2339"/>
      <c r="B279" s="3033"/>
      <c r="C279" s="3035"/>
      <c r="D279" s="3035"/>
      <c r="E279" s="3028"/>
      <c r="F279" s="3692" t="s">
        <v>3862</v>
      </c>
      <c r="G279" s="3693"/>
      <c r="H279" s="2323"/>
      <c r="I279" s="2323"/>
      <c r="J279" s="2323"/>
      <c r="K279" s="2323"/>
      <c r="L279" s="2323"/>
      <c r="M279" s="2323"/>
      <c r="N279" s="2323"/>
      <c r="O279" s="2323"/>
      <c r="P279" s="2323"/>
      <c r="Q279" s="2323"/>
      <c r="R279" s="2323"/>
      <c r="S279" s="2323"/>
      <c r="T279" s="2383"/>
      <c r="U279" s="2383"/>
      <c r="V279" s="2319"/>
      <c r="W279" s="2319"/>
      <c r="X279" s="2319"/>
      <c r="Y279" s="2319"/>
      <c r="Z279" s="2566"/>
      <c r="AA279" s="2566"/>
      <c r="AB279" s="2566"/>
      <c r="AC279" s="2566"/>
      <c r="AD279" s="2323"/>
      <c r="AE279" s="2323"/>
      <c r="AF279" s="2323"/>
      <c r="AG279" s="2323"/>
      <c r="AH279" s="2323"/>
      <c r="AI279" s="2323"/>
      <c r="AJ279" s="2323"/>
      <c r="AK279" s="2898"/>
      <c r="AL279" s="2895">
        <f t="shared" si="72"/>
        <v>0</v>
      </c>
      <c r="AM279" s="2896" t="str">
        <f t="shared" si="73"/>
        <v/>
      </c>
    </row>
    <row r="280" spans="1:39" s="2345" customFormat="1" ht="15" hidden="1" customHeight="1" outlineLevel="1">
      <c r="A280" s="2339"/>
      <c r="B280" s="3033"/>
      <c r="C280" s="3035"/>
      <c r="D280" s="3035"/>
      <c r="E280" s="3028"/>
      <c r="F280" s="3692" t="s">
        <v>3863</v>
      </c>
      <c r="G280" s="3693"/>
      <c r="H280" s="2323"/>
      <c r="I280" s="2323"/>
      <c r="J280" s="2323"/>
      <c r="K280" s="2323"/>
      <c r="L280" s="2323"/>
      <c r="M280" s="2323"/>
      <c r="N280" s="2323"/>
      <c r="O280" s="2323"/>
      <c r="P280" s="2323"/>
      <c r="Q280" s="2323"/>
      <c r="R280" s="2323"/>
      <c r="S280" s="2323"/>
      <c r="T280" s="2383"/>
      <c r="U280" s="2383"/>
      <c r="V280" s="2343"/>
      <c r="W280" s="2343"/>
      <c r="X280" s="2343"/>
      <c r="Y280" s="2343"/>
      <c r="Z280" s="2566"/>
      <c r="AA280" s="2566"/>
      <c r="AB280" s="2566"/>
      <c r="AC280" s="2566"/>
      <c r="AD280" s="2323"/>
      <c r="AE280" s="2323"/>
      <c r="AF280" s="2323"/>
      <c r="AG280" s="2323"/>
      <c r="AH280" s="2323"/>
      <c r="AI280" s="2323"/>
      <c r="AJ280" s="2323"/>
      <c r="AK280" s="2898"/>
      <c r="AL280" s="2895">
        <f t="shared" si="72"/>
        <v>0</v>
      </c>
      <c r="AM280" s="2896" t="str">
        <f t="shared" si="73"/>
        <v/>
      </c>
    </row>
    <row r="281" spans="1:39" s="2345" customFormat="1" ht="15" hidden="1" customHeight="1" outlineLevel="1">
      <c r="A281" s="2339"/>
      <c r="B281" s="3033"/>
      <c r="C281" s="3035"/>
      <c r="D281" s="3035"/>
      <c r="E281" s="3028"/>
      <c r="F281" s="3692" t="s">
        <v>3864</v>
      </c>
      <c r="G281" s="3693"/>
      <c r="H281" s="2323"/>
      <c r="I281" s="2323"/>
      <c r="J281" s="2323"/>
      <c r="K281" s="2323"/>
      <c r="L281" s="2323"/>
      <c r="M281" s="2323"/>
      <c r="N281" s="2323"/>
      <c r="O281" s="2323"/>
      <c r="P281" s="2323"/>
      <c r="Q281" s="2323"/>
      <c r="R281" s="2323"/>
      <c r="S281" s="2323"/>
      <c r="T281" s="2383"/>
      <c r="U281" s="2383"/>
      <c r="V281" s="2319"/>
      <c r="W281" s="2319"/>
      <c r="X281" s="2319"/>
      <c r="Y281" s="2319"/>
      <c r="Z281" s="2566"/>
      <c r="AA281" s="2566"/>
      <c r="AB281" s="2566"/>
      <c r="AC281" s="2566"/>
      <c r="AD281" s="2323"/>
      <c r="AE281" s="2323"/>
      <c r="AF281" s="2323"/>
      <c r="AG281" s="2323"/>
      <c r="AH281" s="2323"/>
      <c r="AI281" s="2323"/>
      <c r="AJ281" s="2323"/>
      <c r="AK281" s="2898"/>
      <c r="AL281" s="2895">
        <f t="shared" si="72"/>
        <v>0</v>
      </c>
      <c r="AM281" s="2896" t="str">
        <f t="shared" si="73"/>
        <v/>
      </c>
    </row>
    <row r="282" spans="1:39" s="2345" customFormat="1" ht="15" hidden="1" customHeight="1" outlineLevel="1">
      <c r="A282" s="2339"/>
      <c r="B282" s="3033"/>
      <c r="C282" s="3035"/>
      <c r="D282" s="3035"/>
      <c r="E282" s="3028"/>
      <c r="F282" s="3692" t="s">
        <v>3865</v>
      </c>
      <c r="G282" s="3693"/>
      <c r="H282" s="2323"/>
      <c r="I282" s="2323"/>
      <c r="J282" s="2323"/>
      <c r="K282" s="2323"/>
      <c r="L282" s="2323"/>
      <c r="M282" s="2323"/>
      <c r="N282" s="2323"/>
      <c r="O282" s="2323"/>
      <c r="P282" s="2323"/>
      <c r="Q282" s="2323"/>
      <c r="R282" s="2323"/>
      <c r="S282" s="2323"/>
      <c r="T282" s="2383"/>
      <c r="U282" s="2383"/>
      <c r="V282" s="2319"/>
      <c r="W282" s="2319"/>
      <c r="X282" s="2319"/>
      <c r="Y282" s="2319"/>
      <c r="Z282" s="2566"/>
      <c r="AA282" s="2566"/>
      <c r="AB282" s="2566"/>
      <c r="AC282" s="2566"/>
      <c r="AD282" s="2323"/>
      <c r="AE282" s="2323"/>
      <c r="AF282" s="2323"/>
      <c r="AG282" s="2323"/>
      <c r="AH282" s="2323"/>
      <c r="AI282" s="2323"/>
      <c r="AJ282" s="2323"/>
      <c r="AK282" s="2898"/>
      <c r="AL282" s="2895">
        <f t="shared" si="72"/>
        <v>0</v>
      </c>
      <c r="AM282" s="2896" t="str">
        <f t="shared" si="73"/>
        <v/>
      </c>
    </row>
    <row r="283" spans="1:39" s="2345" customFormat="1" ht="15" hidden="1" customHeight="1" outlineLevel="1">
      <c r="A283" s="2339"/>
      <c r="B283" s="3033"/>
      <c r="C283" s="3035" t="s">
        <v>3914</v>
      </c>
      <c r="D283" s="3035" t="s">
        <v>3908</v>
      </c>
      <c r="E283" s="3028" t="s">
        <v>3909</v>
      </c>
      <c r="F283" s="3692" t="s">
        <v>3860</v>
      </c>
      <c r="G283" s="3693"/>
      <c r="H283" s="2323"/>
      <c r="I283" s="2323"/>
      <c r="J283" s="2323"/>
      <c r="K283" s="2323"/>
      <c r="L283" s="2323"/>
      <c r="M283" s="2323"/>
      <c r="N283" s="2323"/>
      <c r="O283" s="2323"/>
      <c r="P283" s="2323"/>
      <c r="Q283" s="2323"/>
      <c r="R283" s="2323"/>
      <c r="S283" s="2323"/>
      <c r="T283" s="2383"/>
      <c r="U283" s="2383"/>
      <c r="V283" s="2319"/>
      <c r="W283" s="2319"/>
      <c r="X283" s="2319"/>
      <c r="Y283" s="2319"/>
      <c r="Z283" s="2566"/>
      <c r="AA283" s="2566"/>
      <c r="AB283" s="2566"/>
      <c r="AC283" s="2566"/>
      <c r="AD283" s="2323"/>
      <c r="AE283" s="2323"/>
      <c r="AF283" s="2323"/>
      <c r="AG283" s="2323"/>
      <c r="AH283" s="2323"/>
      <c r="AI283" s="2323"/>
      <c r="AJ283" s="2323"/>
      <c r="AK283" s="2898"/>
      <c r="AL283" s="2895">
        <f t="shared" si="72"/>
        <v>0</v>
      </c>
      <c r="AM283" s="2896" t="str">
        <f t="shared" si="73"/>
        <v/>
      </c>
    </row>
    <row r="284" spans="1:39" s="2345" customFormat="1" ht="15" hidden="1" customHeight="1" outlineLevel="1">
      <c r="A284" s="2339"/>
      <c r="B284" s="3033"/>
      <c r="C284" s="3035"/>
      <c r="D284" s="3035"/>
      <c r="E284" s="3028"/>
      <c r="F284" s="3692" t="s">
        <v>3861</v>
      </c>
      <c r="G284" s="3693"/>
      <c r="H284" s="2323"/>
      <c r="I284" s="2323"/>
      <c r="J284" s="2323"/>
      <c r="K284" s="2323"/>
      <c r="L284" s="2323"/>
      <c r="M284" s="2323"/>
      <c r="N284" s="2323"/>
      <c r="O284" s="2323"/>
      <c r="P284" s="2323"/>
      <c r="Q284" s="2323"/>
      <c r="R284" s="2323"/>
      <c r="S284" s="2323"/>
      <c r="T284" s="2383"/>
      <c r="U284" s="2383"/>
      <c r="V284" s="2319"/>
      <c r="W284" s="2319"/>
      <c r="X284" s="2319"/>
      <c r="Y284" s="2319"/>
      <c r="Z284" s="2566"/>
      <c r="AA284" s="2566"/>
      <c r="AB284" s="2566"/>
      <c r="AC284" s="2566"/>
      <c r="AD284" s="2323"/>
      <c r="AE284" s="2323"/>
      <c r="AF284" s="2323"/>
      <c r="AG284" s="2323"/>
      <c r="AH284" s="2323"/>
      <c r="AI284" s="2323"/>
      <c r="AJ284" s="2323"/>
      <c r="AK284" s="2898"/>
      <c r="AL284" s="2895">
        <f t="shared" si="72"/>
        <v>0</v>
      </c>
      <c r="AM284" s="2896" t="str">
        <f t="shared" si="73"/>
        <v/>
      </c>
    </row>
    <row r="285" spans="1:39" s="2345" customFormat="1" ht="15" hidden="1" customHeight="1" outlineLevel="1">
      <c r="A285" s="2339"/>
      <c r="B285" s="3033"/>
      <c r="C285" s="3035"/>
      <c r="D285" s="3035"/>
      <c r="E285" s="3028"/>
      <c r="F285" s="3692" t="s">
        <v>3862</v>
      </c>
      <c r="G285" s="3693"/>
      <c r="H285" s="2323"/>
      <c r="I285" s="2323"/>
      <c r="J285" s="2323"/>
      <c r="K285" s="2323"/>
      <c r="L285" s="2323"/>
      <c r="M285" s="2323"/>
      <c r="N285" s="2323"/>
      <c r="O285" s="2323"/>
      <c r="P285" s="2323"/>
      <c r="Q285" s="2323"/>
      <c r="R285" s="2323"/>
      <c r="S285" s="2323"/>
      <c r="T285" s="2383"/>
      <c r="U285" s="2383"/>
      <c r="V285" s="2319"/>
      <c r="W285" s="2319"/>
      <c r="X285" s="2319"/>
      <c r="Y285" s="2319"/>
      <c r="Z285" s="2566"/>
      <c r="AA285" s="2566"/>
      <c r="AB285" s="2566"/>
      <c r="AC285" s="2566"/>
      <c r="AD285" s="2323"/>
      <c r="AE285" s="2323"/>
      <c r="AF285" s="2323"/>
      <c r="AG285" s="2323"/>
      <c r="AH285" s="2323"/>
      <c r="AI285" s="2323"/>
      <c r="AJ285" s="2323"/>
      <c r="AK285" s="2898"/>
      <c r="AL285" s="2895">
        <f t="shared" si="72"/>
        <v>0</v>
      </c>
      <c r="AM285" s="2896" t="str">
        <f t="shared" si="73"/>
        <v/>
      </c>
    </row>
    <row r="286" spans="1:39" s="2345" customFormat="1" ht="15" hidden="1" customHeight="1" outlineLevel="1">
      <c r="A286" s="2339"/>
      <c r="B286" s="3033"/>
      <c r="C286" s="3035"/>
      <c r="D286" s="3035"/>
      <c r="E286" s="3028"/>
      <c r="F286" s="3692" t="s">
        <v>3863</v>
      </c>
      <c r="G286" s="3693"/>
      <c r="H286" s="3694"/>
      <c r="I286" s="3694"/>
      <c r="J286" s="3694"/>
      <c r="K286" s="3694"/>
      <c r="L286" s="3694"/>
      <c r="M286" s="3694"/>
      <c r="N286" s="3694"/>
      <c r="O286" s="3694"/>
      <c r="P286" s="3694"/>
      <c r="Q286" s="3694"/>
      <c r="R286" s="3694"/>
      <c r="S286" s="3694"/>
      <c r="T286" s="2383"/>
      <c r="U286" s="2383"/>
      <c r="V286" s="2323"/>
      <c r="W286" s="2323"/>
      <c r="X286" s="2323"/>
      <c r="Y286" s="2323"/>
      <c r="Z286" s="2566"/>
      <c r="AA286" s="2566"/>
      <c r="AB286" s="2566"/>
      <c r="AC286" s="2566"/>
      <c r="AD286" s="2323"/>
      <c r="AE286" s="2323"/>
      <c r="AF286" s="2323"/>
      <c r="AG286" s="2323"/>
      <c r="AH286" s="2323"/>
      <c r="AI286" s="2323"/>
      <c r="AJ286" s="2323"/>
      <c r="AK286" s="2898"/>
      <c r="AL286" s="2895">
        <f t="shared" si="72"/>
        <v>0</v>
      </c>
      <c r="AM286" s="2896" t="str">
        <f t="shared" si="73"/>
        <v/>
      </c>
    </row>
    <row r="287" spans="1:39" s="2345" customFormat="1" ht="15" hidden="1" customHeight="1" outlineLevel="1">
      <c r="A287" s="2339"/>
      <c r="B287" s="3033"/>
      <c r="C287" s="3035"/>
      <c r="D287" s="3035"/>
      <c r="E287" s="3028"/>
      <c r="F287" s="3692" t="s">
        <v>3864</v>
      </c>
      <c r="G287" s="3693"/>
      <c r="H287" s="3695"/>
      <c r="I287" s="3695"/>
      <c r="J287" s="3695"/>
      <c r="K287" s="3695"/>
      <c r="L287" s="3695"/>
      <c r="M287" s="3695"/>
      <c r="N287" s="3695"/>
      <c r="O287" s="3695"/>
      <c r="P287" s="3695"/>
      <c r="Q287" s="3695"/>
      <c r="R287" s="3695"/>
      <c r="S287" s="3695"/>
      <c r="T287" s="2383"/>
      <c r="U287" s="2383"/>
      <c r="V287" s="2323"/>
      <c r="W287" s="2323"/>
      <c r="X287" s="2323"/>
      <c r="Y287" s="2323"/>
      <c r="Z287" s="2566"/>
      <c r="AA287" s="2566"/>
      <c r="AB287" s="2566"/>
      <c r="AC287" s="2566"/>
      <c r="AD287" s="2323"/>
      <c r="AE287" s="2323"/>
      <c r="AF287" s="2323"/>
      <c r="AG287" s="2323"/>
      <c r="AH287" s="2323"/>
      <c r="AI287" s="2323"/>
      <c r="AJ287" s="2323"/>
      <c r="AK287" s="2898"/>
      <c r="AL287" s="2895">
        <f t="shared" si="72"/>
        <v>0</v>
      </c>
      <c r="AM287" s="2896" t="str">
        <f t="shared" si="73"/>
        <v/>
      </c>
    </row>
    <row r="288" spans="1:39" s="2345" customFormat="1" ht="15" hidden="1" customHeight="1" outlineLevel="1">
      <c r="A288" s="2339"/>
      <c r="B288" s="3033"/>
      <c r="C288" s="3035"/>
      <c r="D288" s="3035"/>
      <c r="E288" s="3028"/>
      <c r="F288" s="3692" t="s">
        <v>3865</v>
      </c>
      <c r="G288" s="3693"/>
      <c r="H288" s="3696"/>
      <c r="I288" s="3696"/>
      <c r="J288" s="3696"/>
      <c r="K288" s="3696"/>
      <c r="L288" s="3696"/>
      <c r="M288" s="3696"/>
      <c r="N288" s="3696"/>
      <c r="O288" s="3697"/>
      <c r="P288" s="3697"/>
      <c r="Q288" s="3697"/>
      <c r="R288" s="3697"/>
      <c r="S288" s="3697"/>
      <c r="T288" s="2383"/>
      <c r="U288" s="2383"/>
      <c r="V288" s="2323"/>
      <c r="W288" s="2323"/>
      <c r="X288" s="2323"/>
      <c r="Y288" s="2323"/>
      <c r="Z288" s="2566"/>
      <c r="AA288" s="2566"/>
      <c r="AB288" s="2566"/>
      <c r="AC288" s="2566"/>
      <c r="AD288" s="2323"/>
      <c r="AE288" s="2323"/>
      <c r="AF288" s="2323"/>
      <c r="AG288" s="2323"/>
      <c r="AH288" s="2323"/>
      <c r="AI288" s="2323"/>
      <c r="AJ288" s="2323"/>
      <c r="AK288" s="2898"/>
      <c r="AL288" s="2895">
        <f t="shared" si="72"/>
        <v>0</v>
      </c>
      <c r="AM288" s="2896" t="str">
        <f t="shared" si="73"/>
        <v/>
      </c>
    </row>
    <row r="289" spans="1:39" s="2345" customFormat="1" ht="15" hidden="1" customHeight="1" outlineLevel="1">
      <c r="A289" s="2339"/>
      <c r="B289" s="3033"/>
      <c r="C289" s="3035"/>
      <c r="D289" s="3035" t="s">
        <v>3911</v>
      </c>
      <c r="E289" s="3028" t="s">
        <v>3910</v>
      </c>
      <c r="F289" s="3692" t="s">
        <v>3860</v>
      </c>
      <c r="G289" s="3693"/>
      <c r="H289" s="2967"/>
      <c r="I289" s="2967"/>
      <c r="J289" s="2967"/>
      <c r="K289" s="2967"/>
      <c r="L289" s="2967"/>
      <c r="M289" s="2967"/>
      <c r="N289" s="2967"/>
      <c r="O289" s="2967"/>
      <c r="P289" s="2967"/>
      <c r="Q289" s="2967"/>
      <c r="R289" s="2967"/>
      <c r="S289" s="2967"/>
      <c r="T289" s="2383"/>
      <c r="U289" s="2383"/>
      <c r="V289" s="2323"/>
      <c r="W289" s="2323"/>
      <c r="X289" s="2323"/>
      <c r="Y289" s="2323"/>
      <c r="Z289" s="2566"/>
      <c r="AA289" s="2566"/>
      <c r="AB289" s="2566"/>
      <c r="AC289" s="2566"/>
      <c r="AD289" s="2323"/>
      <c r="AE289" s="2323"/>
      <c r="AF289" s="2323"/>
      <c r="AG289" s="2323"/>
      <c r="AH289" s="2323"/>
      <c r="AI289" s="2323"/>
      <c r="AJ289" s="2323"/>
      <c r="AK289" s="2898"/>
      <c r="AL289" s="2895">
        <f t="shared" si="72"/>
        <v>0</v>
      </c>
      <c r="AM289" s="2896" t="str">
        <f t="shared" si="73"/>
        <v/>
      </c>
    </row>
    <row r="290" spans="1:39" s="2345" customFormat="1" ht="15" hidden="1" customHeight="1" outlineLevel="1">
      <c r="A290" s="2339"/>
      <c r="B290" s="3033"/>
      <c r="C290" s="3035"/>
      <c r="D290" s="3035"/>
      <c r="E290" s="3028"/>
      <c r="F290" s="3692" t="s">
        <v>3861</v>
      </c>
      <c r="G290" s="3693"/>
      <c r="H290" s="3696"/>
      <c r="I290" s="3696"/>
      <c r="J290" s="3696"/>
      <c r="K290" s="3696"/>
      <c r="L290" s="3696"/>
      <c r="M290" s="3696"/>
      <c r="N290" s="3696"/>
      <c r="O290" s="2323"/>
      <c r="P290" s="2323"/>
      <c r="Q290" s="2323"/>
      <c r="R290" s="2323"/>
      <c r="S290" s="2323"/>
      <c r="T290" s="2383"/>
      <c r="U290" s="2383"/>
      <c r="V290" s="2343"/>
      <c r="W290" s="2343"/>
      <c r="X290" s="2343"/>
      <c r="Y290" s="2343"/>
      <c r="Z290" s="2566"/>
      <c r="AA290" s="2566"/>
      <c r="AB290" s="2566"/>
      <c r="AC290" s="2566"/>
      <c r="AD290" s="2323"/>
      <c r="AE290" s="2323"/>
      <c r="AF290" s="2323"/>
      <c r="AG290" s="2323"/>
      <c r="AH290" s="2323"/>
      <c r="AI290" s="2323"/>
      <c r="AJ290" s="2323"/>
      <c r="AK290" s="2898"/>
      <c r="AL290" s="2895">
        <f t="shared" si="72"/>
        <v>0</v>
      </c>
      <c r="AM290" s="2896" t="str">
        <f t="shared" si="73"/>
        <v/>
      </c>
    </row>
    <row r="291" spans="1:39" s="2345" customFormat="1" ht="15" hidden="1" customHeight="1" outlineLevel="1">
      <c r="A291" s="2339"/>
      <c r="B291" s="3033"/>
      <c r="C291" s="3035"/>
      <c r="D291" s="3035"/>
      <c r="E291" s="3028"/>
      <c r="F291" s="3692" t="s">
        <v>3862</v>
      </c>
      <c r="G291" s="3693"/>
      <c r="H291" s="2967"/>
      <c r="I291" s="2967"/>
      <c r="J291" s="2967"/>
      <c r="K291" s="2967"/>
      <c r="L291" s="2967"/>
      <c r="M291" s="2967"/>
      <c r="N291" s="2967"/>
      <c r="O291" s="2323"/>
      <c r="P291" s="2323"/>
      <c r="Q291" s="2323"/>
      <c r="R291" s="2323"/>
      <c r="S291" s="2323"/>
      <c r="T291" s="2383"/>
      <c r="U291" s="2383"/>
      <c r="V291" s="2343"/>
      <c r="W291" s="2343"/>
      <c r="X291" s="2343"/>
      <c r="Y291" s="2343"/>
      <c r="Z291" s="2566"/>
      <c r="AA291" s="2566"/>
      <c r="AB291" s="2566"/>
      <c r="AC291" s="2566"/>
      <c r="AD291" s="2323"/>
      <c r="AE291" s="2323"/>
      <c r="AF291" s="2323"/>
      <c r="AG291" s="2323"/>
      <c r="AH291" s="2323"/>
      <c r="AI291" s="2323"/>
      <c r="AJ291" s="2323"/>
      <c r="AK291" s="2898"/>
      <c r="AL291" s="2895">
        <f t="shared" si="72"/>
        <v>0</v>
      </c>
      <c r="AM291" s="2896" t="str">
        <f t="shared" si="73"/>
        <v/>
      </c>
    </row>
    <row r="292" spans="1:39" s="2345" customFormat="1" ht="15" hidden="1" customHeight="1" outlineLevel="1">
      <c r="A292" s="2339"/>
      <c r="B292" s="3033"/>
      <c r="C292" s="3035"/>
      <c r="D292" s="3035"/>
      <c r="E292" s="3028"/>
      <c r="F292" s="3692" t="s">
        <v>3863</v>
      </c>
      <c r="G292" s="3693"/>
      <c r="H292" s="2967"/>
      <c r="I292" s="2967"/>
      <c r="J292" s="2967"/>
      <c r="K292" s="2967"/>
      <c r="L292" s="2967"/>
      <c r="M292" s="2967"/>
      <c r="N292" s="2967"/>
      <c r="O292" s="2323"/>
      <c r="P292" s="2323"/>
      <c r="Q292" s="2323"/>
      <c r="R292" s="2323"/>
      <c r="S292" s="2323"/>
      <c r="T292" s="2383"/>
      <c r="U292" s="2383"/>
      <c r="V292" s="2343"/>
      <c r="W292" s="2343"/>
      <c r="X292" s="2343"/>
      <c r="Y292" s="2343"/>
      <c r="Z292" s="2566"/>
      <c r="AA292" s="2566"/>
      <c r="AB292" s="2566"/>
      <c r="AC292" s="2566"/>
      <c r="AD292" s="2323"/>
      <c r="AE292" s="2323"/>
      <c r="AF292" s="2323"/>
      <c r="AG292" s="2323"/>
      <c r="AH292" s="2323"/>
      <c r="AI292" s="2323"/>
      <c r="AJ292" s="2323"/>
      <c r="AK292" s="2898"/>
      <c r="AL292" s="2895">
        <f t="shared" si="72"/>
        <v>0</v>
      </c>
      <c r="AM292" s="2896" t="str">
        <f t="shared" si="73"/>
        <v/>
      </c>
    </row>
    <row r="293" spans="1:39" s="2345" customFormat="1" ht="15" hidden="1" customHeight="1" outlineLevel="1">
      <c r="A293" s="2339"/>
      <c r="B293" s="3033"/>
      <c r="C293" s="3035"/>
      <c r="D293" s="3035"/>
      <c r="E293" s="3028"/>
      <c r="F293" s="3692" t="s">
        <v>3864</v>
      </c>
      <c r="G293" s="3693"/>
      <c r="H293" s="2967"/>
      <c r="I293" s="2967"/>
      <c r="J293" s="2967"/>
      <c r="K293" s="2967"/>
      <c r="L293" s="2967"/>
      <c r="M293" s="2967"/>
      <c r="N293" s="2967"/>
      <c r="O293" s="2323"/>
      <c r="P293" s="2323"/>
      <c r="Q293" s="2323"/>
      <c r="R293" s="2323"/>
      <c r="S293" s="2323"/>
      <c r="T293" s="2383"/>
      <c r="U293" s="2383"/>
      <c r="V293" s="2323"/>
      <c r="W293" s="2323"/>
      <c r="X293" s="2323"/>
      <c r="Y293" s="2323"/>
      <c r="Z293" s="2566"/>
      <c r="AA293" s="2566"/>
      <c r="AB293" s="2566"/>
      <c r="AC293" s="2566"/>
      <c r="AD293" s="2323"/>
      <c r="AE293" s="2323"/>
      <c r="AF293" s="2323"/>
      <c r="AG293" s="2323"/>
      <c r="AH293" s="2323"/>
      <c r="AI293" s="2323"/>
      <c r="AJ293" s="2323"/>
      <c r="AK293" s="2898"/>
      <c r="AL293" s="2895">
        <f t="shared" si="72"/>
        <v>0</v>
      </c>
      <c r="AM293" s="2896" t="str">
        <f t="shared" si="73"/>
        <v/>
      </c>
    </row>
    <row r="294" spans="1:39" s="2345" customFormat="1" ht="15" hidden="1" customHeight="1" outlineLevel="1">
      <c r="A294" s="2339"/>
      <c r="B294" s="3033"/>
      <c r="C294" s="3035"/>
      <c r="D294" s="3035"/>
      <c r="E294" s="3028"/>
      <c r="F294" s="3692" t="s">
        <v>3865</v>
      </c>
      <c r="G294" s="3693"/>
      <c r="H294" s="2967"/>
      <c r="I294" s="2967"/>
      <c r="J294" s="2967"/>
      <c r="K294" s="2967"/>
      <c r="L294" s="2967"/>
      <c r="M294" s="2967"/>
      <c r="N294" s="2967"/>
      <c r="O294" s="2323"/>
      <c r="P294" s="2323"/>
      <c r="Q294" s="2323"/>
      <c r="R294" s="2323"/>
      <c r="S294" s="2323"/>
      <c r="T294" s="2383"/>
      <c r="U294" s="2383"/>
      <c r="V294" s="2323"/>
      <c r="W294" s="2323"/>
      <c r="X294" s="2323"/>
      <c r="Y294" s="2323"/>
      <c r="Z294" s="2566"/>
      <c r="AA294" s="2566"/>
      <c r="AB294" s="2566"/>
      <c r="AC294" s="2566"/>
      <c r="AD294" s="2323"/>
      <c r="AE294" s="2323"/>
      <c r="AF294" s="2323"/>
      <c r="AG294" s="2323"/>
      <c r="AH294" s="2323"/>
      <c r="AI294" s="2323"/>
      <c r="AJ294" s="2323"/>
      <c r="AK294" s="2898"/>
      <c r="AL294" s="2895">
        <f t="shared" si="72"/>
        <v>0</v>
      </c>
      <c r="AM294" s="2896" t="str">
        <f t="shared" si="73"/>
        <v/>
      </c>
    </row>
    <row r="295" spans="1:39" s="2345" customFormat="1" ht="15" hidden="1" customHeight="1" outlineLevel="1">
      <c r="A295" s="2339"/>
      <c r="B295" s="3033"/>
      <c r="C295" s="3028" t="s">
        <v>3915</v>
      </c>
      <c r="D295" s="3035" t="s">
        <v>3908</v>
      </c>
      <c r="E295" s="3028" t="s">
        <v>3909</v>
      </c>
      <c r="F295" s="3692" t="s">
        <v>3860</v>
      </c>
      <c r="G295" s="3693"/>
      <c r="H295" s="2967"/>
      <c r="I295" s="2967"/>
      <c r="J295" s="2967"/>
      <c r="K295" s="2967"/>
      <c r="L295" s="2967"/>
      <c r="M295" s="2967"/>
      <c r="N295" s="2967"/>
      <c r="O295" s="2323"/>
      <c r="P295" s="2323"/>
      <c r="Q295" s="2323"/>
      <c r="R295" s="2323"/>
      <c r="S295" s="2323"/>
      <c r="T295" s="2383"/>
      <c r="U295" s="2383"/>
      <c r="V295" s="2323"/>
      <c r="W295" s="2323"/>
      <c r="X295" s="2323"/>
      <c r="Y295" s="2323"/>
      <c r="Z295" s="2566"/>
      <c r="AA295" s="2566"/>
      <c r="AB295" s="2566"/>
      <c r="AC295" s="2566"/>
      <c r="AD295" s="2323"/>
      <c r="AE295" s="2323"/>
      <c r="AF295" s="2323"/>
      <c r="AG295" s="2323"/>
      <c r="AH295" s="2323"/>
      <c r="AI295" s="2323"/>
      <c r="AJ295" s="2323"/>
      <c r="AK295" s="2898"/>
      <c r="AL295" s="2895">
        <f t="shared" si="72"/>
        <v>0</v>
      </c>
      <c r="AM295" s="2896" t="str">
        <f t="shared" si="73"/>
        <v/>
      </c>
    </row>
    <row r="296" spans="1:39" s="2345" customFormat="1" ht="15" hidden="1" customHeight="1" outlineLevel="1">
      <c r="A296" s="2339"/>
      <c r="B296" s="3033"/>
      <c r="C296" s="3028"/>
      <c r="D296" s="3035"/>
      <c r="E296" s="3028"/>
      <c r="F296" s="3692" t="s">
        <v>3861</v>
      </c>
      <c r="G296" s="3693"/>
      <c r="H296" s="2967"/>
      <c r="I296" s="2967"/>
      <c r="J296" s="2967"/>
      <c r="K296" s="2967"/>
      <c r="L296" s="2967"/>
      <c r="M296" s="2967"/>
      <c r="N296" s="2320"/>
      <c r="O296" s="2323"/>
      <c r="P296" s="2323"/>
      <c r="Q296" s="2323"/>
      <c r="R296" s="2323"/>
      <c r="S296" s="2323"/>
      <c r="T296" s="2383"/>
      <c r="U296" s="2383"/>
      <c r="V296" s="2323"/>
      <c r="W296" s="2323"/>
      <c r="X296" s="2323"/>
      <c r="Y296" s="2323"/>
      <c r="Z296" s="2566"/>
      <c r="AA296" s="2566"/>
      <c r="AB296" s="2566"/>
      <c r="AC296" s="2566"/>
      <c r="AD296" s="2323"/>
      <c r="AE296" s="2323"/>
      <c r="AF296" s="2323"/>
      <c r="AG296" s="2323"/>
      <c r="AH296" s="2323"/>
      <c r="AI296" s="2323"/>
      <c r="AJ296" s="2323"/>
      <c r="AK296" s="2898"/>
      <c r="AL296" s="2895">
        <f t="shared" si="72"/>
        <v>0</v>
      </c>
      <c r="AM296" s="2896" t="str">
        <f t="shared" si="73"/>
        <v/>
      </c>
    </row>
    <row r="297" spans="1:39" s="2345" customFormat="1" ht="15" hidden="1" customHeight="1" outlineLevel="1">
      <c r="A297" s="2339"/>
      <c r="B297" s="3033"/>
      <c r="C297" s="3028"/>
      <c r="D297" s="3035"/>
      <c r="E297" s="3028"/>
      <c r="F297" s="3692" t="s">
        <v>3862</v>
      </c>
      <c r="G297" s="3693"/>
      <c r="H297" s="2967"/>
      <c r="I297" s="2967"/>
      <c r="J297" s="2967"/>
      <c r="K297" s="2967"/>
      <c r="L297" s="2967"/>
      <c r="M297" s="2967"/>
      <c r="N297" s="2967"/>
      <c r="O297" s="2323"/>
      <c r="P297" s="2323"/>
      <c r="Q297" s="2323"/>
      <c r="R297" s="2323"/>
      <c r="S297" s="2323"/>
      <c r="T297" s="2383"/>
      <c r="U297" s="2383"/>
      <c r="V297" s="2323"/>
      <c r="W297" s="2323"/>
      <c r="X297" s="2323"/>
      <c r="Y297" s="2323"/>
      <c r="Z297" s="2566"/>
      <c r="AA297" s="2566"/>
      <c r="AB297" s="2566"/>
      <c r="AC297" s="2566"/>
      <c r="AD297" s="2323"/>
      <c r="AE297" s="2323"/>
      <c r="AF297" s="2323"/>
      <c r="AG297" s="2323"/>
      <c r="AH297" s="2323"/>
      <c r="AI297" s="2323"/>
      <c r="AJ297" s="2323"/>
      <c r="AK297" s="2898"/>
      <c r="AL297" s="2895">
        <f t="shared" ref="AL297:AL336" si="79">AK297*$AC$71</f>
        <v>0</v>
      </c>
      <c r="AM297" s="2896" t="str">
        <f t="shared" ref="AM297:AM333" si="80">IFERROR(AI297/AL297,"")</f>
        <v/>
      </c>
    </row>
    <row r="298" spans="1:39" s="2345" customFormat="1" ht="15" hidden="1" customHeight="1" outlineLevel="1">
      <c r="A298" s="2339"/>
      <c r="B298" s="3033"/>
      <c r="C298" s="3028"/>
      <c r="D298" s="3035"/>
      <c r="E298" s="3028"/>
      <c r="F298" s="3692" t="s">
        <v>3863</v>
      </c>
      <c r="G298" s="3693"/>
      <c r="H298" s="2967"/>
      <c r="I298" s="2967"/>
      <c r="J298" s="2967"/>
      <c r="K298" s="2967"/>
      <c r="L298" s="2967"/>
      <c r="M298" s="2967"/>
      <c r="N298" s="2967"/>
      <c r="O298" s="2323"/>
      <c r="P298" s="2323"/>
      <c r="Q298" s="2323"/>
      <c r="R298" s="2323"/>
      <c r="S298" s="2323"/>
      <c r="T298" s="2383"/>
      <c r="U298" s="2383"/>
      <c r="V298" s="2323"/>
      <c r="W298" s="2323"/>
      <c r="X298" s="2323"/>
      <c r="Y298" s="2323"/>
      <c r="Z298" s="2566"/>
      <c r="AA298" s="2566"/>
      <c r="AB298" s="2566"/>
      <c r="AC298" s="2566"/>
      <c r="AD298" s="2323"/>
      <c r="AE298" s="2323"/>
      <c r="AF298" s="2323"/>
      <c r="AG298" s="2323"/>
      <c r="AH298" s="2323"/>
      <c r="AI298" s="2323"/>
      <c r="AJ298" s="2323"/>
      <c r="AK298" s="2898"/>
      <c r="AL298" s="2895">
        <f t="shared" si="79"/>
        <v>0</v>
      </c>
      <c r="AM298" s="2896" t="str">
        <f t="shared" si="80"/>
        <v/>
      </c>
    </row>
    <row r="299" spans="1:39" s="2345" customFormat="1" ht="15" hidden="1" customHeight="1" outlineLevel="1">
      <c r="A299" s="2339"/>
      <c r="B299" s="3033"/>
      <c r="C299" s="3028"/>
      <c r="D299" s="3035"/>
      <c r="E299" s="3028"/>
      <c r="F299" s="3692" t="s">
        <v>3864</v>
      </c>
      <c r="G299" s="3693"/>
      <c r="H299" s="2967"/>
      <c r="I299" s="2967"/>
      <c r="J299" s="2967"/>
      <c r="K299" s="2967"/>
      <c r="L299" s="2967"/>
      <c r="M299" s="2967"/>
      <c r="N299" s="2967"/>
      <c r="O299" s="2323"/>
      <c r="P299" s="2323"/>
      <c r="Q299" s="2323"/>
      <c r="R299" s="2323"/>
      <c r="S299" s="2323"/>
      <c r="T299" s="2383"/>
      <c r="U299" s="2383"/>
      <c r="V299" s="2323"/>
      <c r="W299" s="2323"/>
      <c r="X299" s="2323"/>
      <c r="Y299" s="2323"/>
      <c r="Z299" s="2566"/>
      <c r="AA299" s="2566"/>
      <c r="AB299" s="2566"/>
      <c r="AC299" s="2566"/>
      <c r="AD299" s="2323"/>
      <c r="AE299" s="2323"/>
      <c r="AF299" s="2323"/>
      <c r="AG299" s="2323"/>
      <c r="AH299" s="2323"/>
      <c r="AI299" s="2323"/>
      <c r="AJ299" s="2323"/>
      <c r="AK299" s="2898"/>
      <c r="AL299" s="2895">
        <f t="shared" si="79"/>
        <v>0</v>
      </c>
      <c r="AM299" s="2896" t="str">
        <f t="shared" si="80"/>
        <v/>
      </c>
    </row>
    <row r="300" spans="1:39" s="2345" customFormat="1" ht="15" hidden="1" customHeight="1" outlineLevel="1">
      <c r="A300" s="2339"/>
      <c r="B300" s="3033"/>
      <c r="C300" s="3028"/>
      <c r="D300" s="3035"/>
      <c r="E300" s="3028"/>
      <c r="F300" s="3692" t="s">
        <v>3865</v>
      </c>
      <c r="G300" s="3693"/>
      <c r="H300" s="2322"/>
      <c r="I300" s="2322"/>
      <c r="J300" s="2322"/>
      <c r="K300" s="2322"/>
      <c r="L300" s="2322"/>
      <c r="M300" s="2322"/>
      <c r="N300" s="2323"/>
      <c r="O300" s="2323"/>
      <c r="P300" s="2323"/>
      <c r="Q300" s="2323"/>
      <c r="R300" s="2323"/>
      <c r="S300" s="2323"/>
      <c r="T300" s="2383"/>
      <c r="U300" s="2383"/>
      <c r="V300" s="2323"/>
      <c r="W300" s="2323"/>
      <c r="X300" s="2323"/>
      <c r="Y300" s="2323"/>
      <c r="Z300" s="2566"/>
      <c r="AA300" s="2566"/>
      <c r="AB300" s="2566"/>
      <c r="AC300" s="2566"/>
      <c r="AD300" s="2323"/>
      <c r="AE300" s="2323"/>
      <c r="AF300" s="2323"/>
      <c r="AG300" s="2323"/>
      <c r="AH300" s="2323"/>
      <c r="AI300" s="2323"/>
      <c r="AJ300" s="2323"/>
      <c r="AK300" s="2898"/>
      <c r="AL300" s="2895">
        <f t="shared" si="79"/>
        <v>0</v>
      </c>
      <c r="AM300" s="2896" t="str">
        <f t="shared" si="80"/>
        <v/>
      </c>
    </row>
    <row r="301" spans="1:39" s="2345" customFormat="1" ht="15" hidden="1" customHeight="1" outlineLevel="1">
      <c r="A301" s="2339"/>
      <c r="B301" s="3033"/>
      <c r="C301" s="3028"/>
      <c r="D301" s="3035" t="s">
        <v>3911</v>
      </c>
      <c r="E301" s="3028" t="s">
        <v>3909</v>
      </c>
      <c r="F301" s="3692" t="s">
        <v>3860</v>
      </c>
      <c r="G301" s="3693"/>
      <c r="H301" s="2322"/>
      <c r="I301" s="2322"/>
      <c r="J301" s="2322"/>
      <c r="K301" s="2322"/>
      <c r="L301" s="2322"/>
      <c r="M301" s="2322"/>
      <c r="N301" s="2323"/>
      <c r="O301" s="2323"/>
      <c r="P301" s="2323"/>
      <c r="Q301" s="2323"/>
      <c r="R301" s="2323"/>
      <c r="S301" s="2323"/>
      <c r="T301" s="2383"/>
      <c r="U301" s="2383"/>
      <c r="V301" s="2343"/>
      <c r="W301" s="2343"/>
      <c r="X301" s="2343"/>
      <c r="Y301" s="2343"/>
      <c r="Z301" s="2566"/>
      <c r="AA301" s="2566"/>
      <c r="AB301" s="2566"/>
      <c r="AC301" s="2566"/>
      <c r="AD301" s="2323"/>
      <c r="AE301" s="2323"/>
      <c r="AF301" s="2323"/>
      <c r="AG301" s="2323"/>
      <c r="AH301" s="2323"/>
      <c r="AI301" s="2323"/>
      <c r="AJ301" s="2323"/>
      <c r="AK301" s="2898"/>
      <c r="AL301" s="2895">
        <f t="shared" si="79"/>
        <v>0</v>
      </c>
      <c r="AM301" s="2896" t="str">
        <f t="shared" si="80"/>
        <v/>
      </c>
    </row>
    <row r="302" spans="1:39" s="2345" customFormat="1" ht="15" hidden="1" customHeight="1" outlineLevel="1">
      <c r="A302" s="2339"/>
      <c r="B302" s="3033"/>
      <c r="C302" s="3028"/>
      <c r="D302" s="3035"/>
      <c r="E302" s="3028"/>
      <c r="F302" s="3692" t="s">
        <v>3861</v>
      </c>
      <c r="G302" s="3693"/>
      <c r="H302" s="2322"/>
      <c r="I302" s="2322"/>
      <c r="J302" s="2322"/>
      <c r="K302" s="2322"/>
      <c r="L302" s="2322"/>
      <c r="M302" s="2322"/>
      <c r="N302" s="2323"/>
      <c r="O302" s="2323"/>
      <c r="P302" s="2323"/>
      <c r="Q302" s="2323"/>
      <c r="R302" s="2323"/>
      <c r="S302" s="2323"/>
      <c r="T302" s="2383"/>
      <c r="U302" s="2383"/>
      <c r="V302" s="2343"/>
      <c r="W302" s="2343"/>
      <c r="X302" s="2343"/>
      <c r="Y302" s="2343"/>
      <c r="Z302" s="2566"/>
      <c r="AA302" s="2566"/>
      <c r="AB302" s="2566"/>
      <c r="AC302" s="2566"/>
      <c r="AD302" s="2323"/>
      <c r="AE302" s="2323"/>
      <c r="AF302" s="2323"/>
      <c r="AG302" s="2323"/>
      <c r="AH302" s="2323"/>
      <c r="AI302" s="2323"/>
      <c r="AJ302" s="2323"/>
      <c r="AK302" s="2898"/>
      <c r="AL302" s="2895">
        <f t="shared" si="79"/>
        <v>0</v>
      </c>
      <c r="AM302" s="2896" t="str">
        <f t="shared" si="80"/>
        <v/>
      </c>
    </row>
    <row r="303" spans="1:39" s="2345" customFormat="1" ht="15" hidden="1" customHeight="1" outlineLevel="1">
      <c r="A303" s="2339"/>
      <c r="B303" s="3033"/>
      <c r="C303" s="3028"/>
      <c r="D303" s="3035"/>
      <c r="E303" s="3028"/>
      <c r="F303" s="3692" t="s">
        <v>3862</v>
      </c>
      <c r="G303" s="3693"/>
      <c r="H303" s="2322"/>
      <c r="I303" s="2322"/>
      <c r="J303" s="2322"/>
      <c r="K303" s="2322"/>
      <c r="L303" s="2322"/>
      <c r="M303" s="2322"/>
      <c r="N303" s="2323"/>
      <c r="O303" s="2323"/>
      <c r="P303" s="2323"/>
      <c r="Q303" s="2323"/>
      <c r="R303" s="2323"/>
      <c r="S303" s="2323"/>
      <c r="T303" s="2383"/>
      <c r="U303" s="2383"/>
      <c r="V303" s="2343"/>
      <c r="W303" s="2343"/>
      <c r="X303" s="2343"/>
      <c r="Y303" s="2343"/>
      <c r="Z303" s="2566"/>
      <c r="AA303" s="2566"/>
      <c r="AB303" s="2566"/>
      <c r="AC303" s="2566"/>
      <c r="AD303" s="2323"/>
      <c r="AE303" s="2323"/>
      <c r="AF303" s="2323"/>
      <c r="AG303" s="2323"/>
      <c r="AH303" s="2323"/>
      <c r="AI303" s="2323"/>
      <c r="AJ303" s="2323"/>
      <c r="AK303" s="2898"/>
      <c r="AL303" s="2895">
        <f t="shared" si="79"/>
        <v>0</v>
      </c>
      <c r="AM303" s="2896" t="str">
        <f t="shared" si="80"/>
        <v/>
      </c>
    </row>
    <row r="304" spans="1:39" s="2345" customFormat="1" ht="15" hidden="1" customHeight="1" outlineLevel="1">
      <c r="A304" s="2339"/>
      <c r="B304" s="3033"/>
      <c r="C304" s="3028"/>
      <c r="D304" s="3035"/>
      <c r="E304" s="3028"/>
      <c r="F304" s="3692" t="s">
        <v>3863</v>
      </c>
      <c r="G304" s="3693"/>
      <c r="H304" s="2322"/>
      <c r="I304" s="2322"/>
      <c r="J304" s="2322"/>
      <c r="K304" s="2322"/>
      <c r="L304" s="2322"/>
      <c r="M304" s="2322"/>
      <c r="N304" s="2323"/>
      <c r="O304" s="2323"/>
      <c r="P304" s="2323"/>
      <c r="Q304" s="2323"/>
      <c r="R304" s="2323"/>
      <c r="S304" s="2323"/>
      <c r="T304" s="2383"/>
      <c r="U304" s="2383"/>
      <c r="V304" s="2343"/>
      <c r="W304" s="2343"/>
      <c r="X304" s="2343"/>
      <c r="Y304" s="2343"/>
      <c r="Z304" s="2566"/>
      <c r="AA304" s="2566"/>
      <c r="AB304" s="2566"/>
      <c r="AC304" s="2566"/>
      <c r="AD304" s="2323"/>
      <c r="AE304" s="2323"/>
      <c r="AF304" s="2323"/>
      <c r="AG304" s="2323"/>
      <c r="AH304" s="2323"/>
      <c r="AI304" s="2323"/>
      <c r="AJ304" s="2323"/>
      <c r="AK304" s="2898"/>
      <c r="AL304" s="2895">
        <f t="shared" si="79"/>
        <v>0</v>
      </c>
      <c r="AM304" s="2896" t="str">
        <f t="shared" si="80"/>
        <v/>
      </c>
    </row>
    <row r="305" spans="1:39" s="2345" customFormat="1" ht="15" hidden="1" customHeight="1" outlineLevel="1">
      <c r="A305" s="2339"/>
      <c r="B305" s="3033"/>
      <c r="C305" s="3028"/>
      <c r="D305" s="3035"/>
      <c r="E305" s="3028"/>
      <c r="F305" s="3692" t="s">
        <v>3864</v>
      </c>
      <c r="G305" s="3693"/>
      <c r="H305" s="2322"/>
      <c r="I305" s="2322"/>
      <c r="J305" s="2322"/>
      <c r="K305" s="2322"/>
      <c r="L305" s="2322"/>
      <c r="M305" s="2322"/>
      <c r="N305" s="2323"/>
      <c r="O305" s="2323"/>
      <c r="P305" s="2323"/>
      <c r="Q305" s="2323"/>
      <c r="R305" s="2323"/>
      <c r="S305" s="2323"/>
      <c r="T305" s="2383"/>
      <c r="U305" s="2383"/>
      <c r="V305" s="2323"/>
      <c r="W305" s="2323"/>
      <c r="X305" s="2323"/>
      <c r="Y305" s="2323"/>
      <c r="Z305" s="2566"/>
      <c r="AA305" s="2566"/>
      <c r="AB305" s="2566"/>
      <c r="AC305" s="2566"/>
      <c r="AD305" s="2323"/>
      <c r="AE305" s="2323"/>
      <c r="AF305" s="2323"/>
      <c r="AG305" s="2323"/>
      <c r="AH305" s="2323"/>
      <c r="AI305" s="2323"/>
      <c r="AJ305" s="2323"/>
      <c r="AK305" s="2898"/>
      <c r="AL305" s="2895">
        <f t="shared" si="79"/>
        <v>0</v>
      </c>
      <c r="AM305" s="2896" t="str">
        <f t="shared" si="80"/>
        <v/>
      </c>
    </row>
    <row r="306" spans="1:39" s="2345" customFormat="1" ht="15" hidden="1" customHeight="1" outlineLevel="1">
      <c r="A306" s="2339"/>
      <c r="B306" s="3033"/>
      <c r="C306" s="3028"/>
      <c r="D306" s="3035"/>
      <c r="E306" s="3028"/>
      <c r="F306" s="3692" t="s">
        <v>3865</v>
      </c>
      <c r="G306" s="3693"/>
      <c r="H306" s="2322"/>
      <c r="I306" s="2322"/>
      <c r="J306" s="2322"/>
      <c r="K306" s="2322"/>
      <c r="L306" s="2322"/>
      <c r="M306" s="2322"/>
      <c r="N306" s="2323"/>
      <c r="O306" s="2323"/>
      <c r="P306" s="2323"/>
      <c r="Q306" s="2323"/>
      <c r="R306" s="2323"/>
      <c r="S306" s="2323"/>
      <c r="T306" s="2383"/>
      <c r="U306" s="2383"/>
      <c r="V306" s="2323"/>
      <c r="W306" s="2323"/>
      <c r="X306" s="2323"/>
      <c r="Y306" s="2323"/>
      <c r="Z306" s="2566"/>
      <c r="AA306" s="2566"/>
      <c r="AB306" s="2566"/>
      <c r="AC306" s="2566"/>
      <c r="AD306" s="2323"/>
      <c r="AE306" s="2323"/>
      <c r="AF306" s="2323"/>
      <c r="AG306" s="2323"/>
      <c r="AH306" s="2323"/>
      <c r="AI306" s="2323"/>
      <c r="AJ306" s="2323"/>
      <c r="AK306" s="2898"/>
      <c r="AL306" s="2895">
        <f t="shared" si="79"/>
        <v>0</v>
      </c>
      <c r="AM306" s="2896" t="str">
        <f t="shared" si="80"/>
        <v/>
      </c>
    </row>
    <row r="307" spans="1:39" s="2345" customFormat="1" ht="15" hidden="1" customHeight="1" outlineLevel="1">
      <c r="A307" s="2339"/>
      <c r="B307" s="3033"/>
      <c r="C307" s="3028"/>
      <c r="D307" s="3035"/>
      <c r="E307" s="3028" t="s">
        <v>3910</v>
      </c>
      <c r="F307" s="3692" t="s">
        <v>3860</v>
      </c>
      <c r="G307" s="3693"/>
      <c r="H307" s="2325"/>
      <c r="I307" s="2325"/>
      <c r="J307" s="2325"/>
      <c r="K307" s="2325"/>
      <c r="L307" s="2325"/>
      <c r="M307" s="2325"/>
      <c r="N307" s="2323"/>
      <c r="O307" s="2323"/>
      <c r="P307" s="2323"/>
      <c r="Q307" s="2323"/>
      <c r="R307" s="2323"/>
      <c r="S307" s="2323"/>
      <c r="T307" s="2383"/>
      <c r="U307" s="2383"/>
      <c r="V307" s="2323"/>
      <c r="W307" s="2323"/>
      <c r="X307" s="2323"/>
      <c r="Y307" s="2323"/>
      <c r="Z307" s="2566"/>
      <c r="AA307" s="2566"/>
      <c r="AB307" s="2566"/>
      <c r="AC307" s="2566"/>
      <c r="AD307" s="2323"/>
      <c r="AE307" s="2323"/>
      <c r="AF307" s="2323"/>
      <c r="AG307" s="2323"/>
      <c r="AH307" s="2323"/>
      <c r="AI307" s="2323"/>
      <c r="AJ307" s="2323"/>
      <c r="AK307" s="2898"/>
      <c r="AL307" s="2895">
        <f t="shared" si="79"/>
        <v>0</v>
      </c>
      <c r="AM307" s="2896" t="str">
        <f t="shared" si="80"/>
        <v/>
      </c>
    </row>
    <row r="308" spans="1:39" s="2345" customFormat="1" ht="15" hidden="1" customHeight="1" outlineLevel="1">
      <c r="A308" s="2339"/>
      <c r="B308" s="3033"/>
      <c r="C308" s="3028"/>
      <c r="D308" s="3035"/>
      <c r="E308" s="3028"/>
      <c r="F308" s="3692" t="s">
        <v>3861</v>
      </c>
      <c r="G308" s="3693"/>
      <c r="H308" s="2323"/>
      <c r="I308" s="2323"/>
      <c r="J308" s="2323"/>
      <c r="K308" s="2323"/>
      <c r="L308" s="2323"/>
      <c r="M308" s="2323"/>
      <c r="N308" s="2323"/>
      <c r="O308" s="2323"/>
      <c r="P308" s="2323"/>
      <c r="Q308" s="2323"/>
      <c r="R308" s="2323"/>
      <c r="S308" s="2323"/>
      <c r="T308" s="2383"/>
      <c r="U308" s="2383"/>
      <c r="V308" s="2323"/>
      <c r="W308" s="2323"/>
      <c r="X308" s="2323"/>
      <c r="Y308" s="2323"/>
      <c r="Z308" s="2566"/>
      <c r="AA308" s="2566"/>
      <c r="AB308" s="2566"/>
      <c r="AC308" s="2566"/>
      <c r="AD308" s="2323"/>
      <c r="AE308" s="2323"/>
      <c r="AF308" s="2323"/>
      <c r="AG308" s="2323"/>
      <c r="AH308" s="2323"/>
      <c r="AI308" s="2323"/>
      <c r="AJ308" s="2323"/>
      <c r="AK308" s="2898"/>
      <c r="AL308" s="2895">
        <f t="shared" si="79"/>
        <v>0</v>
      </c>
      <c r="AM308" s="2896" t="str">
        <f t="shared" si="80"/>
        <v/>
      </c>
    </row>
    <row r="309" spans="1:39" s="2345" customFormat="1" ht="15" hidden="1" customHeight="1" outlineLevel="1">
      <c r="A309" s="2339"/>
      <c r="B309" s="3033"/>
      <c r="C309" s="3028"/>
      <c r="D309" s="3035"/>
      <c r="E309" s="3028"/>
      <c r="F309" s="3692" t="s">
        <v>3862</v>
      </c>
      <c r="G309" s="3693"/>
      <c r="H309" s="2323"/>
      <c r="I309" s="2323"/>
      <c r="J309" s="2323"/>
      <c r="K309" s="2323"/>
      <c r="L309" s="2323"/>
      <c r="M309" s="2323"/>
      <c r="N309" s="2323"/>
      <c r="O309" s="2323"/>
      <c r="P309" s="2323"/>
      <c r="Q309" s="2323"/>
      <c r="R309" s="2323"/>
      <c r="S309" s="2323"/>
      <c r="T309" s="2383"/>
      <c r="U309" s="2383"/>
      <c r="V309" s="2323"/>
      <c r="W309" s="2323"/>
      <c r="X309" s="2323"/>
      <c r="Y309" s="2323"/>
      <c r="Z309" s="2566"/>
      <c r="AA309" s="2566"/>
      <c r="AB309" s="2566"/>
      <c r="AC309" s="2566"/>
      <c r="AD309" s="2323"/>
      <c r="AE309" s="2323"/>
      <c r="AF309" s="2323"/>
      <c r="AG309" s="2323"/>
      <c r="AH309" s="2323"/>
      <c r="AI309" s="2323"/>
      <c r="AJ309" s="2323"/>
      <c r="AK309" s="2898"/>
      <c r="AL309" s="2895">
        <f t="shared" si="79"/>
        <v>0</v>
      </c>
      <c r="AM309" s="2896" t="str">
        <f t="shared" si="80"/>
        <v/>
      </c>
    </row>
    <row r="310" spans="1:39" s="2345" customFormat="1" ht="15" hidden="1" customHeight="1" outlineLevel="1">
      <c r="A310" s="2339"/>
      <c r="B310" s="3033"/>
      <c r="C310" s="3028"/>
      <c r="D310" s="3035"/>
      <c r="E310" s="3028"/>
      <c r="F310" s="3692" t="s">
        <v>3863</v>
      </c>
      <c r="G310" s="3693"/>
      <c r="H310" s="2323"/>
      <c r="I310" s="2323"/>
      <c r="J310" s="2323"/>
      <c r="K310" s="2323"/>
      <c r="L310" s="2323"/>
      <c r="M310" s="2323"/>
      <c r="N310" s="2323"/>
      <c r="O310" s="2323"/>
      <c r="P310" s="2323"/>
      <c r="Q310" s="2323"/>
      <c r="R310" s="2323"/>
      <c r="S310" s="2323"/>
      <c r="T310" s="2383"/>
      <c r="U310" s="2383"/>
      <c r="V310" s="2323"/>
      <c r="W310" s="2323"/>
      <c r="X310" s="2323"/>
      <c r="Y310" s="2323"/>
      <c r="Z310" s="2566"/>
      <c r="AA310" s="2566"/>
      <c r="AB310" s="2566"/>
      <c r="AC310" s="2566"/>
      <c r="AD310" s="2323"/>
      <c r="AE310" s="2323"/>
      <c r="AF310" s="2323"/>
      <c r="AG310" s="2323"/>
      <c r="AH310" s="2323"/>
      <c r="AI310" s="2323"/>
      <c r="AJ310" s="2323"/>
      <c r="AK310" s="2898"/>
      <c r="AL310" s="2895">
        <f t="shared" si="79"/>
        <v>0</v>
      </c>
      <c r="AM310" s="2896" t="str">
        <f t="shared" si="80"/>
        <v/>
      </c>
    </row>
    <row r="311" spans="1:39" s="2345" customFormat="1" ht="15" hidden="1" customHeight="1" outlineLevel="1">
      <c r="A311" s="2339"/>
      <c r="B311" s="3033"/>
      <c r="C311" s="3028"/>
      <c r="D311" s="3035"/>
      <c r="E311" s="3028"/>
      <c r="F311" s="3692" t="s">
        <v>3864</v>
      </c>
      <c r="G311" s="3693"/>
      <c r="H311" s="2323"/>
      <c r="I311" s="2323"/>
      <c r="J311" s="2323"/>
      <c r="K311" s="2323"/>
      <c r="L311" s="2323"/>
      <c r="M311" s="2323"/>
      <c r="N311" s="2323"/>
      <c r="O311" s="2323"/>
      <c r="P311" s="2323"/>
      <c r="Q311" s="2323"/>
      <c r="R311" s="2323"/>
      <c r="S311" s="2323"/>
      <c r="T311" s="2383"/>
      <c r="U311" s="2383"/>
      <c r="V311" s="2323"/>
      <c r="W311" s="2323"/>
      <c r="X311" s="2323"/>
      <c r="Y311" s="2323"/>
      <c r="Z311" s="2566"/>
      <c r="AA311" s="2566"/>
      <c r="AB311" s="2566"/>
      <c r="AC311" s="2566"/>
      <c r="AD311" s="2323"/>
      <c r="AE311" s="2323"/>
      <c r="AF311" s="2323"/>
      <c r="AG311" s="2323"/>
      <c r="AH311" s="2323"/>
      <c r="AI311" s="2323"/>
      <c r="AJ311" s="2323"/>
      <c r="AK311" s="2898"/>
      <c r="AL311" s="2895">
        <f t="shared" si="79"/>
        <v>0</v>
      </c>
      <c r="AM311" s="2896" t="str">
        <f t="shared" si="80"/>
        <v/>
      </c>
    </row>
    <row r="312" spans="1:39" s="2345" customFormat="1" ht="15" hidden="1" customHeight="1" outlineLevel="1">
      <c r="A312" s="2339"/>
      <c r="B312" s="3033"/>
      <c r="C312" s="3028"/>
      <c r="D312" s="3035"/>
      <c r="E312" s="3028"/>
      <c r="F312" s="3692" t="s">
        <v>3865</v>
      </c>
      <c r="G312" s="3693"/>
      <c r="H312" s="2323"/>
      <c r="I312" s="2323"/>
      <c r="J312" s="2323"/>
      <c r="K312" s="2323"/>
      <c r="L312" s="2323"/>
      <c r="M312" s="2323"/>
      <c r="N312" s="2323"/>
      <c r="O312" s="2323"/>
      <c r="P312" s="2323"/>
      <c r="Q312" s="2323"/>
      <c r="R312" s="2323"/>
      <c r="S312" s="2323"/>
      <c r="T312" s="2383"/>
      <c r="U312" s="2383"/>
      <c r="V312" s="2323"/>
      <c r="W312" s="2323"/>
      <c r="X312" s="2323"/>
      <c r="Y312" s="2323"/>
      <c r="Z312" s="2566"/>
      <c r="AA312" s="2566"/>
      <c r="AB312" s="2566"/>
      <c r="AC312" s="2566"/>
      <c r="AD312" s="2323"/>
      <c r="AE312" s="2323"/>
      <c r="AF312" s="2323"/>
      <c r="AG312" s="2323"/>
      <c r="AH312" s="2323"/>
      <c r="AI312" s="2323"/>
      <c r="AJ312" s="2323"/>
      <c r="AK312" s="2898"/>
      <c r="AL312" s="2895">
        <f t="shared" si="79"/>
        <v>0</v>
      </c>
      <c r="AM312" s="2896" t="str">
        <f t="shared" si="80"/>
        <v/>
      </c>
    </row>
    <row r="313" spans="1:39" s="2345" customFormat="1" ht="46.5" hidden="1" customHeight="1" outlineLevel="1">
      <c r="A313" s="2339"/>
      <c r="B313" s="3033" t="s">
        <v>2948</v>
      </c>
      <c r="C313" s="3035" t="s">
        <v>3907</v>
      </c>
      <c r="D313" s="3035" t="s">
        <v>3908</v>
      </c>
      <c r="E313" s="3028" t="s">
        <v>3909</v>
      </c>
      <c r="F313" s="3690" t="s">
        <v>3860</v>
      </c>
      <c r="G313" s="3691"/>
      <c r="H313" s="2323"/>
      <c r="I313" s="2323"/>
      <c r="J313" s="2323"/>
      <c r="K313" s="2323"/>
      <c r="L313" s="2323"/>
      <c r="M313" s="2323"/>
      <c r="N313" s="2323"/>
      <c r="O313" s="2323"/>
      <c r="P313" s="2323"/>
      <c r="Q313" s="2323"/>
      <c r="R313" s="2323"/>
      <c r="S313" s="2323"/>
      <c r="T313" s="2383"/>
      <c r="U313" s="2383"/>
      <c r="V313" s="2343"/>
      <c r="W313" s="2343"/>
      <c r="X313" s="2343"/>
      <c r="Y313" s="2343"/>
      <c r="Z313" s="2566"/>
      <c r="AA313" s="2566"/>
      <c r="AB313" s="2566"/>
      <c r="AC313" s="2566"/>
      <c r="AD313" s="2323"/>
      <c r="AE313" s="2323"/>
      <c r="AF313" s="2323"/>
      <c r="AG313" s="2323"/>
      <c r="AH313" s="2323"/>
      <c r="AI313" s="2323"/>
      <c r="AJ313" s="2323"/>
      <c r="AK313" s="2898"/>
      <c r="AL313" s="2895">
        <f t="shared" si="79"/>
        <v>0</v>
      </c>
      <c r="AM313" s="2896" t="str">
        <f t="shared" si="80"/>
        <v/>
      </c>
    </row>
    <row r="314" spans="1:39" s="2345" customFormat="1" ht="15" hidden="1" customHeight="1" outlineLevel="1">
      <c r="A314" s="2339"/>
      <c r="B314" s="3033"/>
      <c r="C314" s="3035"/>
      <c r="D314" s="3035"/>
      <c r="E314" s="3028"/>
      <c r="F314" s="3692" t="s">
        <v>3861</v>
      </c>
      <c r="G314" s="3693"/>
      <c r="H314" s="2323"/>
      <c r="I314" s="2323"/>
      <c r="J314" s="2323"/>
      <c r="K314" s="2323"/>
      <c r="L314" s="2323"/>
      <c r="M314" s="2323"/>
      <c r="N314" s="2323"/>
      <c r="O314" s="2323"/>
      <c r="P314" s="2323"/>
      <c r="Q314" s="2323"/>
      <c r="R314" s="2323"/>
      <c r="S314" s="2323"/>
      <c r="T314" s="2383"/>
      <c r="U314" s="2383"/>
      <c r="V314" s="2323"/>
      <c r="W314" s="2323"/>
      <c r="X314" s="2323"/>
      <c r="Y314" s="2323"/>
      <c r="Z314" s="2566"/>
      <c r="AA314" s="2566"/>
      <c r="AB314" s="2566"/>
      <c r="AC314" s="2566"/>
      <c r="AD314" s="2323"/>
      <c r="AE314" s="2323"/>
      <c r="AF314" s="2323"/>
      <c r="AG314" s="2323"/>
      <c r="AH314" s="2323"/>
      <c r="AI314" s="2323"/>
      <c r="AJ314" s="2323"/>
      <c r="AK314" s="2898"/>
      <c r="AL314" s="2895">
        <f t="shared" si="79"/>
        <v>0</v>
      </c>
      <c r="AM314" s="2896" t="str">
        <f t="shared" si="80"/>
        <v/>
      </c>
    </row>
    <row r="315" spans="1:39" s="2345" customFormat="1" ht="15" hidden="1" customHeight="1" outlineLevel="1">
      <c r="A315" s="2339"/>
      <c r="B315" s="3033"/>
      <c r="C315" s="3035"/>
      <c r="D315" s="3035"/>
      <c r="E315" s="3028"/>
      <c r="F315" s="3692" t="s">
        <v>3862</v>
      </c>
      <c r="G315" s="3693"/>
      <c r="H315" s="2323"/>
      <c r="I315" s="2323"/>
      <c r="J315" s="2323"/>
      <c r="K315" s="2323"/>
      <c r="L315" s="2323"/>
      <c r="M315" s="2323"/>
      <c r="N315" s="2323"/>
      <c r="O315" s="2323"/>
      <c r="P315" s="2323"/>
      <c r="Q315" s="2323"/>
      <c r="R315" s="2323"/>
      <c r="S315" s="2323"/>
      <c r="T315" s="2383"/>
      <c r="U315" s="2383"/>
      <c r="V315" s="2323"/>
      <c r="W315" s="2323"/>
      <c r="X315" s="2323"/>
      <c r="Y315" s="2323"/>
      <c r="Z315" s="2566"/>
      <c r="AA315" s="2566"/>
      <c r="AB315" s="2566"/>
      <c r="AC315" s="2566"/>
      <c r="AD315" s="2323"/>
      <c r="AE315" s="2323"/>
      <c r="AF315" s="2323"/>
      <c r="AG315" s="2323"/>
      <c r="AH315" s="2323"/>
      <c r="AI315" s="2323"/>
      <c r="AJ315" s="2323"/>
      <c r="AK315" s="2898"/>
      <c r="AL315" s="2895">
        <f t="shared" si="79"/>
        <v>0</v>
      </c>
      <c r="AM315" s="2896" t="str">
        <f t="shared" si="80"/>
        <v/>
      </c>
    </row>
    <row r="316" spans="1:39" s="2345" customFormat="1" ht="15" hidden="1" customHeight="1" outlineLevel="1">
      <c r="A316" s="2339"/>
      <c r="B316" s="3033"/>
      <c r="C316" s="3035"/>
      <c r="D316" s="3035"/>
      <c r="E316" s="3028"/>
      <c r="F316" s="3692" t="s">
        <v>3863</v>
      </c>
      <c r="G316" s="3693"/>
      <c r="H316" s="2323"/>
      <c r="I316" s="2323"/>
      <c r="J316" s="2323"/>
      <c r="K316" s="2323"/>
      <c r="L316" s="2323"/>
      <c r="M316" s="2323"/>
      <c r="N316" s="2323"/>
      <c r="O316" s="2323"/>
      <c r="P316" s="2323"/>
      <c r="Q316" s="2323"/>
      <c r="R316" s="2323"/>
      <c r="S316" s="2323"/>
      <c r="T316" s="2383"/>
      <c r="U316" s="2383"/>
      <c r="V316" s="2323"/>
      <c r="W316" s="2323"/>
      <c r="X316" s="2323"/>
      <c r="Y316" s="2323"/>
      <c r="Z316" s="2566"/>
      <c r="AA316" s="2566"/>
      <c r="AB316" s="2566"/>
      <c r="AC316" s="2566"/>
      <c r="AD316" s="2323"/>
      <c r="AE316" s="2323"/>
      <c r="AF316" s="2323"/>
      <c r="AG316" s="2323"/>
      <c r="AH316" s="2323"/>
      <c r="AI316" s="2323"/>
      <c r="AJ316" s="2323"/>
      <c r="AK316" s="2898"/>
      <c r="AL316" s="2895">
        <f t="shared" si="79"/>
        <v>0</v>
      </c>
      <c r="AM316" s="2896" t="str">
        <f t="shared" si="80"/>
        <v/>
      </c>
    </row>
    <row r="317" spans="1:39" s="2345" customFormat="1" ht="15" hidden="1" customHeight="1" outlineLevel="1">
      <c r="A317" s="2339"/>
      <c r="B317" s="3033"/>
      <c r="C317" s="3035"/>
      <c r="D317" s="3035"/>
      <c r="E317" s="3028"/>
      <c r="F317" s="3692" t="s">
        <v>3864</v>
      </c>
      <c r="G317" s="3693"/>
      <c r="H317" s="2323"/>
      <c r="I317" s="2323"/>
      <c r="J317" s="2323"/>
      <c r="K317" s="2323"/>
      <c r="L317" s="2323"/>
      <c r="M317" s="2323"/>
      <c r="N317" s="2323"/>
      <c r="O317" s="2323"/>
      <c r="P317" s="2323"/>
      <c r="Q317" s="2323"/>
      <c r="R317" s="2323"/>
      <c r="S317" s="2323"/>
      <c r="T317" s="2383"/>
      <c r="U317" s="2383"/>
      <c r="V317" s="2323"/>
      <c r="W317" s="2323"/>
      <c r="X317" s="2323"/>
      <c r="Y317" s="2323"/>
      <c r="Z317" s="2566"/>
      <c r="AA317" s="2566"/>
      <c r="AB317" s="2566"/>
      <c r="AC317" s="2566"/>
      <c r="AD317" s="2323"/>
      <c r="AE317" s="2323"/>
      <c r="AF317" s="2323"/>
      <c r="AG317" s="2323"/>
      <c r="AH317" s="2323"/>
      <c r="AI317" s="2323"/>
      <c r="AJ317" s="2323"/>
      <c r="AK317" s="2898"/>
      <c r="AL317" s="2895">
        <f t="shared" si="79"/>
        <v>0</v>
      </c>
      <c r="AM317" s="2896" t="str">
        <f t="shared" si="80"/>
        <v/>
      </c>
    </row>
    <row r="318" spans="1:39" s="2345" customFormat="1" ht="15" hidden="1" customHeight="1" outlineLevel="1">
      <c r="A318" s="2339"/>
      <c r="B318" s="3033"/>
      <c r="C318" s="3035"/>
      <c r="D318" s="3035"/>
      <c r="E318" s="3028"/>
      <c r="F318" s="3692" t="s">
        <v>3865</v>
      </c>
      <c r="G318" s="3693"/>
      <c r="H318" s="3698"/>
      <c r="I318" s="3698"/>
      <c r="J318" s="3698"/>
      <c r="K318" s="3698"/>
      <c r="L318" s="3698"/>
      <c r="M318" s="3698"/>
      <c r="N318" s="3698"/>
      <c r="O318" s="3698"/>
      <c r="P318" s="3698"/>
      <c r="Q318" s="3698"/>
      <c r="R318" s="3698"/>
      <c r="S318" s="3698"/>
      <c r="T318" s="2383"/>
      <c r="U318" s="2383"/>
      <c r="V318" s="2323"/>
      <c r="W318" s="2323"/>
      <c r="X318" s="2323"/>
      <c r="Y318" s="2323"/>
      <c r="Z318" s="2566"/>
      <c r="AA318" s="2566"/>
      <c r="AB318" s="2566"/>
      <c r="AC318" s="2566"/>
      <c r="AD318" s="2323"/>
      <c r="AE318" s="2323"/>
      <c r="AF318" s="2323"/>
      <c r="AG318" s="2323"/>
      <c r="AH318" s="2323"/>
      <c r="AI318" s="2323"/>
      <c r="AJ318" s="2323"/>
      <c r="AK318" s="2898"/>
      <c r="AL318" s="2895">
        <f t="shared" si="79"/>
        <v>0</v>
      </c>
      <c r="AM318" s="2896" t="str">
        <f t="shared" si="80"/>
        <v/>
      </c>
    </row>
    <row r="319" spans="1:39" s="2345" customFormat="1" ht="15" hidden="1" customHeight="1" outlineLevel="1">
      <c r="A319" s="2339"/>
      <c r="B319" s="3033"/>
      <c r="C319" s="3035"/>
      <c r="D319" s="3035"/>
      <c r="E319" s="3028" t="s">
        <v>3910</v>
      </c>
      <c r="F319" s="3692" t="s">
        <v>3860</v>
      </c>
      <c r="G319" s="3693"/>
      <c r="H319" s="3696"/>
      <c r="I319" s="3696"/>
      <c r="J319" s="3696"/>
      <c r="K319" s="3696"/>
      <c r="L319" s="3696"/>
      <c r="M319" s="3696"/>
      <c r="N319" s="3696"/>
      <c r="O319" s="3697"/>
      <c r="P319" s="3697"/>
      <c r="Q319" s="3697"/>
      <c r="R319" s="3697"/>
      <c r="S319" s="3697"/>
      <c r="T319" s="2383"/>
      <c r="U319" s="2383"/>
      <c r="V319" s="2323"/>
      <c r="W319" s="2323"/>
      <c r="X319" s="2323"/>
      <c r="Y319" s="2323"/>
      <c r="Z319" s="2566"/>
      <c r="AA319" s="2566"/>
      <c r="AB319" s="2566"/>
      <c r="AC319" s="2566"/>
      <c r="AD319" s="2323"/>
      <c r="AE319" s="2323"/>
      <c r="AF319" s="2323"/>
      <c r="AG319" s="2323"/>
      <c r="AH319" s="2323"/>
      <c r="AI319" s="2323"/>
      <c r="AJ319" s="2323"/>
      <c r="AK319" s="2898"/>
      <c r="AL319" s="2895">
        <f t="shared" si="79"/>
        <v>0</v>
      </c>
      <c r="AM319" s="2896" t="str">
        <f t="shared" si="80"/>
        <v/>
      </c>
    </row>
    <row r="320" spans="1:39" s="2345" customFormat="1" ht="15" hidden="1" customHeight="1" outlineLevel="1">
      <c r="A320" s="2339"/>
      <c r="B320" s="3033"/>
      <c r="C320" s="3035"/>
      <c r="D320" s="3035"/>
      <c r="E320" s="3028"/>
      <c r="F320" s="3692" t="s">
        <v>3861</v>
      </c>
      <c r="G320" s="3693"/>
      <c r="H320" s="2967"/>
      <c r="I320" s="2967"/>
      <c r="J320" s="2967"/>
      <c r="K320" s="2967"/>
      <c r="L320" s="2967"/>
      <c r="M320" s="2967"/>
      <c r="N320" s="2967"/>
      <c r="O320" s="2967"/>
      <c r="P320" s="2967"/>
      <c r="Q320" s="2967"/>
      <c r="R320" s="2967"/>
      <c r="S320" s="2967"/>
      <c r="T320" s="2383"/>
      <c r="U320" s="2383"/>
      <c r="V320" s="2323"/>
      <c r="W320" s="2323"/>
      <c r="X320" s="2323"/>
      <c r="Y320" s="2323"/>
      <c r="Z320" s="2566"/>
      <c r="AA320" s="2566"/>
      <c r="AB320" s="2566"/>
      <c r="AC320" s="2566"/>
      <c r="AD320" s="2323"/>
      <c r="AE320" s="2323"/>
      <c r="AF320" s="2323"/>
      <c r="AG320" s="2323"/>
      <c r="AH320" s="2323"/>
      <c r="AI320" s="2323"/>
      <c r="AJ320" s="2323"/>
      <c r="AK320" s="2898"/>
      <c r="AL320" s="2895">
        <f t="shared" si="79"/>
        <v>0</v>
      </c>
      <c r="AM320" s="2896" t="str">
        <f t="shared" si="80"/>
        <v/>
      </c>
    </row>
    <row r="321" spans="1:39" s="2345" customFormat="1" ht="15" hidden="1" customHeight="1" outlineLevel="1">
      <c r="A321" s="2339"/>
      <c r="B321" s="3033"/>
      <c r="C321" s="3035"/>
      <c r="D321" s="3035"/>
      <c r="E321" s="3028"/>
      <c r="F321" s="3692" t="s">
        <v>3862</v>
      </c>
      <c r="G321" s="3693"/>
      <c r="H321" s="2323"/>
      <c r="I321" s="2323"/>
      <c r="J321" s="2323"/>
      <c r="K321" s="2323"/>
      <c r="L321" s="2323"/>
      <c r="M321" s="2323"/>
      <c r="N321" s="2323"/>
      <c r="O321" s="2323"/>
      <c r="P321" s="2323"/>
      <c r="Q321" s="2323"/>
      <c r="R321" s="2323"/>
      <c r="S321" s="2323"/>
      <c r="T321" s="2383"/>
      <c r="U321" s="2383"/>
      <c r="V321" s="2323"/>
      <c r="W321" s="2323"/>
      <c r="X321" s="2323"/>
      <c r="Y321" s="2323"/>
      <c r="Z321" s="2566"/>
      <c r="AA321" s="2566"/>
      <c r="AB321" s="2566"/>
      <c r="AC321" s="2566"/>
      <c r="AD321" s="2323"/>
      <c r="AE321" s="2323"/>
      <c r="AF321" s="2323"/>
      <c r="AG321" s="2323"/>
      <c r="AH321" s="2323"/>
      <c r="AI321" s="2323"/>
      <c r="AJ321" s="2323"/>
      <c r="AK321" s="2898"/>
      <c r="AL321" s="2895">
        <f t="shared" si="79"/>
        <v>0</v>
      </c>
      <c r="AM321" s="2896" t="str">
        <f t="shared" si="80"/>
        <v/>
      </c>
    </row>
    <row r="322" spans="1:39" s="2345" customFormat="1" ht="15" hidden="1" customHeight="1" outlineLevel="1">
      <c r="A322" s="2339"/>
      <c r="B322" s="3033"/>
      <c r="C322" s="3035"/>
      <c r="D322" s="3035"/>
      <c r="E322" s="3028"/>
      <c r="F322" s="3692" t="s">
        <v>3863</v>
      </c>
      <c r="G322" s="3693"/>
      <c r="H322" s="2323"/>
      <c r="I322" s="2323"/>
      <c r="J322" s="2323"/>
      <c r="K322" s="2323"/>
      <c r="L322" s="2323"/>
      <c r="M322" s="2323"/>
      <c r="N322" s="2323"/>
      <c r="O322" s="2323"/>
      <c r="P322" s="2323"/>
      <c r="Q322" s="2323"/>
      <c r="R322" s="2323"/>
      <c r="S322" s="2323"/>
      <c r="T322" s="2383"/>
      <c r="U322" s="2383"/>
      <c r="V322" s="2323"/>
      <c r="W322" s="2323"/>
      <c r="X322" s="2323"/>
      <c r="Y322" s="2323"/>
      <c r="Z322" s="2566"/>
      <c r="AA322" s="2566"/>
      <c r="AB322" s="2566"/>
      <c r="AC322" s="2566"/>
      <c r="AD322" s="2323"/>
      <c r="AE322" s="2323"/>
      <c r="AF322" s="2323"/>
      <c r="AG322" s="2323"/>
      <c r="AH322" s="2323"/>
      <c r="AI322" s="2323"/>
      <c r="AJ322" s="2323"/>
      <c r="AK322" s="2898"/>
      <c r="AL322" s="2895">
        <f t="shared" si="79"/>
        <v>0</v>
      </c>
      <c r="AM322" s="2896" t="str">
        <f t="shared" si="80"/>
        <v/>
      </c>
    </row>
    <row r="323" spans="1:39" s="2345" customFormat="1" ht="15" hidden="1" customHeight="1" outlineLevel="1">
      <c r="A323" s="2339"/>
      <c r="B323" s="3033"/>
      <c r="C323" s="3035"/>
      <c r="D323" s="3035"/>
      <c r="E323" s="3028"/>
      <c r="F323" s="3692" t="s">
        <v>3864</v>
      </c>
      <c r="G323" s="3693"/>
      <c r="H323" s="2323"/>
      <c r="I323" s="2323"/>
      <c r="J323" s="2323"/>
      <c r="K323" s="2323"/>
      <c r="L323" s="2323"/>
      <c r="M323" s="2323"/>
      <c r="N323" s="2323"/>
      <c r="O323" s="2323"/>
      <c r="P323" s="2323"/>
      <c r="Q323" s="2323"/>
      <c r="R323" s="2323"/>
      <c r="S323" s="2323"/>
      <c r="T323" s="2383"/>
      <c r="U323" s="2383"/>
      <c r="V323" s="2323"/>
      <c r="W323" s="2323"/>
      <c r="X323" s="2323"/>
      <c r="Y323" s="2323"/>
      <c r="Z323" s="2566"/>
      <c r="AA323" s="2566"/>
      <c r="AB323" s="2566"/>
      <c r="AC323" s="2566"/>
      <c r="AD323" s="2323"/>
      <c r="AE323" s="2323"/>
      <c r="AF323" s="2323"/>
      <c r="AG323" s="2323"/>
      <c r="AH323" s="2323"/>
      <c r="AI323" s="2323"/>
      <c r="AJ323" s="2323"/>
      <c r="AK323" s="2898"/>
      <c r="AL323" s="2895">
        <f t="shared" si="79"/>
        <v>0</v>
      </c>
      <c r="AM323" s="2896" t="str">
        <f t="shared" si="80"/>
        <v/>
      </c>
    </row>
    <row r="324" spans="1:39" s="2345" customFormat="1" ht="15" hidden="1" customHeight="1" outlineLevel="1">
      <c r="A324" s="2339"/>
      <c r="B324" s="3033"/>
      <c r="C324" s="3035"/>
      <c r="D324" s="3035"/>
      <c r="E324" s="3028"/>
      <c r="F324" s="3692" t="s">
        <v>3865</v>
      </c>
      <c r="G324" s="3693"/>
      <c r="H324" s="2323"/>
      <c r="I324" s="2323"/>
      <c r="J324" s="2323"/>
      <c r="K324" s="2323"/>
      <c r="L324" s="2323"/>
      <c r="M324" s="2323"/>
      <c r="N324" s="2323"/>
      <c r="O324" s="2323"/>
      <c r="P324" s="2323"/>
      <c r="Q324" s="2323"/>
      <c r="R324" s="2323"/>
      <c r="S324" s="2323"/>
      <c r="T324" s="2383"/>
      <c r="U324" s="2383"/>
      <c r="V324" s="2323"/>
      <c r="W324" s="2323"/>
      <c r="X324" s="2323"/>
      <c r="Y324" s="2323"/>
      <c r="Z324" s="2566"/>
      <c r="AA324" s="2566"/>
      <c r="AB324" s="2566"/>
      <c r="AC324" s="2566"/>
      <c r="AD324" s="2323"/>
      <c r="AE324" s="2323"/>
      <c r="AF324" s="2323"/>
      <c r="AG324" s="2323"/>
      <c r="AH324" s="2323"/>
      <c r="AI324" s="2323"/>
      <c r="AJ324" s="2323"/>
      <c r="AK324" s="2898"/>
      <c r="AL324" s="2895">
        <f t="shared" si="79"/>
        <v>0</v>
      </c>
      <c r="AM324" s="2896" t="str">
        <f t="shared" si="80"/>
        <v/>
      </c>
    </row>
    <row r="325" spans="1:39" s="2345" customFormat="1" ht="15" hidden="1" customHeight="1" outlineLevel="1">
      <c r="A325" s="2339"/>
      <c r="B325" s="3033"/>
      <c r="C325" s="3035"/>
      <c r="D325" s="3035" t="s">
        <v>3911</v>
      </c>
      <c r="E325" s="3028" t="s">
        <v>3909</v>
      </c>
      <c r="F325" s="3692" t="s">
        <v>3860</v>
      </c>
      <c r="G325" s="3693"/>
      <c r="H325" s="2323"/>
      <c r="I325" s="2323"/>
      <c r="J325" s="2323"/>
      <c r="K325" s="2323"/>
      <c r="L325" s="2323"/>
      <c r="M325" s="2323"/>
      <c r="N325" s="2323"/>
      <c r="O325" s="2323"/>
      <c r="P325" s="2323"/>
      <c r="Q325" s="2323"/>
      <c r="R325" s="2323"/>
      <c r="S325" s="2323"/>
      <c r="T325" s="2383"/>
      <c r="U325" s="2383"/>
      <c r="V325" s="2323"/>
      <c r="W325" s="2323"/>
      <c r="X325" s="2323"/>
      <c r="Y325" s="2323"/>
      <c r="Z325" s="2566"/>
      <c r="AA325" s="2566"/>
      <c r="AB325" s="2566"/>
      <c r="AC325" s="2566"/>
      <c r="AD325" s="2323"/>
      <c r="AE325" s="2323"/>
      <c r="AF325" s="2323"/>
      <c r="AG325" s="2323"/>
      <c r="AH325" s="2323"/>
      <c r="AI325" s="2323"/>
      <c r="AJ325" s="2323"/>
      <c r="AK325" s="2898"/>
      <c r="AL325" s="2895">
        <f t="shared" si="79"/>
        <v>0</v>
      </c>
      <c r="AM325" s="2896" t="str">
        <f t="shared" si="80"/>
        <v/>
      </c>
    </row>
    <row r="326" spans="1:39" s="2345" customFormat="1" ht="15" hidden="1" customHeight="1" outlineLevel="1">
      <c r="A326" s="2339"/>
      <c r="B326" s="3033"/>
      <c r="C326" s="3035"/>
      <c r="D326" s="3035"/>
      <c r="E326" s="3028"/>
      <c r="F326" s="3692" t="s">
        <v>3861</v>
      </c>
      <c r="G326" s="3693"/>
      <c r="H326" s="2323"/>
      <c r="I326" s="2323"/>
      <c r="J326" s="2323"/>
      <c r="K326" s="2323"/>
      <c r="L326" s="2323"/>
      <c r="M326" s="2323"/>
      <c r="N326" s="2323"/>
      <c r="O326" s="2323"/>
      <c r="P326" s="2323"/>
      <c r="Q326" s="2323"/>
      <c r="R326" s="2323"/>
      <c r="S326" s="2323"/>
      <c r="T326" s="2383"/>
      <c r="U326" s="2383"/>
      <c r="V326" s="2323"/>
      <c r="W326" s="2323"/>
      <c r="X326" s="2323"/>
      <c r="Y326" s="2323"/>
      <c r="Z326" s="2566"/>
      <c r="AA326" s="2566"/>
      <c r="AB326" s="2566"/>
      <c r="AC326" s="2566"/>
      <c r="AD326" s="2323"/>
      <c r="AE326" s="2323"/>
      <c r="AF326" s="2323"/>
      <c r="AG326" s="2323"/>
      <c r="AH326" s="2323"/>
      <c r="AI326" s="2323"/>
      <c r="AJ326" s="2323"/>
      <c r="AK326" s="2898"/>
      <c r="AL326" s="2895">
        <f t="shared" si="79"/>
        <v>0</v>
      </c>
      <c r="AM326" s="2896" t="str">
        <f t="shared" si="80"/>
        <v/>
      </c>
    </row>
    <row r="327" spans="1:39" s="2345" customFormat="1" ht="46.5" hidden="1" customHeight="1" outlineLevel="1">
      <c r="A327" s="2339"/>
      <c r="B327" s="3033"/>
      <c r="C327" s="3035"/>
      <c r="D327" s="3035"/>
      <c r="E327" s="3028"/>
      <c r="F327" s="3692" t="s">
        <v>3862</v>
      </c>
      <c r="G327" s="3693"/>
      <c r="H327" s="2323"/>
      <c r="I327" s="2323"/>
      <c r="J327" s="2323"/>
      <c r="K327" s="2323"/>
      <c r="L327" s="2323"/>
      <c r="M327" s="2323"/>
      <c r="N327" s="2323"/>
      <c r="O327" s="2323"/>
      <c r="P327" s="2323"/>
      <c r="Q327" s="2323"/>
      <c r="R327" s="2323"/>
      <c r="S327" s="2323"/>
      <c r="T327" s="2383"/>
      <c r="U327" s="2383"/>
      <c r="V327" s="2343"/>
      <c r="W327" s="2343"/>
      <c r="X327" s="2343"/>
      <c r="Y327" s="2343"/>
      <c r="Z327" s="2566"/>
      <c r="AA327" s="2566"/>
      <c r="AB327" s="2566"/>
      <c r="AC327" s="2566"/>
      <c r="AD327" s="2323"/>
      <c r="AE327" s="2323"/>
      <c r="AF327" s="2323"/>
      <c r="AG327" s="2323"/>
      <c r="AH327" s="2323"/>
      <c r="AI327" s="2323"/>
      <c r="AJ327" s="2323"/>
      <c r="AK327" s="2898"/>
      <c r="AL327" s="2895">
        <f t="shared" si="79"/>
        <v>0</v>
      </c>
      <c r="AM327" s="2896" t="str">
        <f t="shared" si="80"/>
        <v/>
      </c>
    </row>
    <row r="328" spans="1:39" s="2345" customFormat="1" ht="15" hidden="1" customHeight="1" outlineLevel="1">
      <c r="A328" s="2339"/>
      <c r="B328" s="3033"/>
      <c r="C328" s="3035"/>
      <c r="D328" s="3035"/>
      <c r="E328" s="3028"/>
      <c r="F328" s="3692" t="s">
        <v>3863</v>
      </c>
      <c r="G328" s="3693"/>
      <c r="H328" s="2323"/>
      <c r="I328" s="2323"/>
      <c r="J328" s="2323"/>
      <c r="K328" s="2323"/>
      <c r="L328" s="2323"/>
      <c r="M328" s="2323"/>
      <c r="N328" s="2323"/>
      <c r="O328" s="2323"/>
      <c r="P328" s="2323"/>
      <c r="Q328" s="2323"/>
      <c r="R328" s="2323"/>
      <c r="S328" s="2323"/>
      <c r="T328" s="2383"/>
      <c r="U328" s="2383"/>
      <c r="V328" s="2323"/>
      <c r="W328" s="2323"/>
      <c r="X328" s="2323"/>
      <c r="Y328" s="2323"/>
      <c r="Z328" s="2566"/>
      <c r="AA328" s="2566"/>
      <c r="AB328" s="2566"/>
      <c r="AC328" s="2566"/>
      <c r="AD328" s="2323"/>
      <c r="AE328" s="2323"/>
      <c r="AF328" s="2323"/>
      <c r="AG328" s="2323"/>
      <c r="AH328" s="2323"/>
      <c r="AI328" s="2323"/>
      <c r="AJ328" s="2323"/>
      <c r="AK328" s="2898"/>
      <c r="AL328" s="2895">
        <f t="shared" si="79"/>
        <v>0</v>
      </c>
      <c r="AM328" s="2896" t="str">
        <f t="shared" si="80"/>
        <v/>
      </c>
    </row>
    <row r="329" spans="1:39" s="2345" customFormat="1" ht="15" hidden="1" customHeight="1" outlineLevel="1">
      <c r="A329" s="2339"/>
      <c r="B329" s="3033"/>
      <c r="C329" s="3035"/>
      <c r="D329" s="3035"/>
      <c r="E329" s="3028"/>
      <c r="F329" s="3692" t="s">
        <v>3864</v>
      </c>
      <c r="G329" s="3693"/>
      <c r="H329" s="2323"/>
      <c r="I329" s="2323"/>
      <c r="J329" s="2323"/>
      <c r="K329" s="2323"/>
      <c r="L329" s="2323"/>
      <c r="M329" s="2323"/>
      <c r="N329" s="2323"/>
      <c r="O329" s="2323"/>
      <c r="P329" s="2323"/>
      <c r="Q329" s="2323"/>
      <c r="R329" s="2323"/>
      <c r="S329" s="2323"/>
      <c r="T329" s="2383"/>
      <c r="U329" s="2383"/>
      <c r="V329" s="2323"/>
      <c r="W329" s="2323"/>
      <c r="X329" s="2323"/>
      <c r="Y329" s="2323"/>
      <c r="Z329" s="2566"/>
      <c r="AA329" s="2566"/>
      <c r="AB329" s="2566"/>
      <c r="AC329" s="2566"/>
      <c r="AD329" s="2323"/>
      <c r="AE329" s="2323"/>
      <c r="AF329" s="2323"/>
      <c r="AG329" s="2323"/>
      <c r="AH329" s="2323"/>
      <c r="AI329" s="2323"/>
      <c r="AJ329" s="2323"/>
      <c r="AK329" s="2898"/>
      <c r="AL329" s="2895">
        <f t="shared" si="79"/>
        <v>0</v>
      </c>
      <c r="AM329" s="2896" t="str">
        <f t="shared" si="80"/>
        <v/>
      </c>
    </row>
    <row r="330" spans="1:39" s="2345" customFormat="1" ht="15" hidden="1" customHeight="1" outlineLevel="1">
      <c r="A330" s="2339"/>
      <c r="B330" s="3033"/>
      <c r="C330" s="3035"/>
      <c r="D330" s="3035"/>
      <c r="E330" s="3028"/>
      <c r="F330" s="3692" t="s">
        <v>3865</v>
      </c>
      <c r="G330" s="3693"/>
      <c r="H330" s="2323"/>
      <c r="I330" s="2323"/>
      <c r="J330" s="2323"/>
      <c r="K330" s="2323"/>
      <c r="L330" s="2323"/>
      <c r="M330" s="2323"/>
      <c r="N330" s="2323"/>
      <c r="O330" s="2323"/>
      <c r="P330" s="2323"/>
      <c r="Q330" s="2323"/>
      <c r="R330" s="2323"/>
      <c r="S330" s="2323"/>
      <c r="T330" s="2383"/>
      <c r="U330" s="2383"/>
      <c r="V330" s="2323"/>
      <c r="W330" s="2323"/>
      <c r="X330" s="2323"/>
      <c r="Y330" s="2323"/>
      <c r="Z330" s="2566"/>
      <c r="AA330" s="2566"/>
      <c r="AB330" s="2566"/>
      <c r="AC330" s="2566"/>
      <c r="AD330" s="2323"/>
      <c r="AE330" s="2323"/>
      <c r="AF330" s="2323"/>
      <c r="AG330" s="2323"/>
      <c r="AH330" s="2323"/>
      <c r="AI330" s="2323"/>
      <c r="AJ330" s="2323"/>
      <c r="AK330" s="2898"/>
      <c r="AL330" s="2895">
        <f t="shared" si="79"/>
        <v>0</v>
      </c>
      <c r="AM330" s="2896" t="str">
        <f t="shared" si="80"/>
        <v/>
      </c>
    </row>
    <row r="331" spans="1:39" s="2345" customFormat="1" ht="15" hidden="1" customHeight="1" outlineLevel="1">
      <c r="A331" s="2339"/>
      <c r="B331" s="3033"/>
      <c r="C331" s="3035"/>
      <c r="D331" s="3035"/>
      <c r="E331" s="3028" t="s">
        <v>3910</v>
      </c>
      <c r="F331" s="3692" t="s">
        <v>3860</v>
      </c>
      <c r="G331" s="3693"/>
      <c r="H331" s="2323"/>
      <c r="I331" s="2323"/>
      <c r="J331" s="2323"/>
      <c r="K331" s="2323"/>
      <c r="L331" s="2323"/>
      <c r="M331" s="2323"/>
      <c r="N331" s="2323"/>
      <c r="O331" s="2323"/>
      <c r="P331" s="2323"/>
      <c r="Q331" s="2323"/>
      <c r="R331" s="2323"/>
      <c r="S331" s="2323"/>
      <c r="T331" s="2383"/>
      <c r="U331" s="2383"/>
      <c r="V331" s="2323"/>
      <c r="W331" s="2323"/>
      <c r="X331" s="2323"/>
      <c r="Y331" s="2323"/>
      <c r="Z331" s="2566"/>
      <c r="AA331" s="2566"/>
      <c r="AB331" s="2566"/>
      <c r="AC331" s="2566"/>
      <c r="AD331" s="2323"/>
      <c r="AE331" s="2323"/>
      <c r="AF331" s="2323"/>
      <c r="AG331" s="2323"/>
      <c r="AH331" s="2323"/>
      <c r="AI331" s="2323"/>
      <c r="AJ331" s="2323"/>
      <c r="AK331" s="2898"/>
      <c r="AL331" s="2895">
        <f t="shared" si="79"/>
        <v>0</v>
      </c>
      <c r="AM331" s="2896" t="str">
        <f t="shared" si="80"/>
        <v/>
      </c>
    </row>
    <row r="332" spans="1:39" s="2345" customFormat="1" ht="15" hidden="1" customHeight="1" outlineLevel="1">
      <c r="A332" s="2339"/>
      <c r="B332" s="3033"/>
      <c r="C332" s="3035"/>
      <c r="D332" s="3035"/>
      <c r="E332" s="3028"/>
      <c r="F332" s="3692" t="s">
        <v>3861</v>
      </c>
      <c r="G332" s="3693"/>
      <c r="H332" s="2323"/>
      <c r="I332" s="2323"/>
      <c r="J332" s="2323"/>
      <c r="K332" s="2323"/>
      <c r="L332" s="2323"/>
      <c r="M332" s="2323"/>
      <c r="N332" s="2323"/>
      <c r="O332" s="2323"/>
      <c r="P332" s="2323"/>
      <c r="Q332" s="2323"/>
      <c r="R332" s="2323"/>
      <c r="S332" s="2323"/>
      <c r="T332" s="2383"/>
      <c r="U332" s="2383"/>
      <c r="V332" s="2323"/>
      <c r="W332" s="2323"/>
      <c r="X332" s="2323"/>
      <c r="Y332" s="2323"/>
      <c r="Z332" s="2566"/>
      <c r="AA332" s="2566"/>
      <c r="AB332" s="2566"/>
      <c r="AC332" s="2566"/>
      <c r="AD332" s="2323"/>
      <c r="AE332" s="2323"/>
      <c r="AF332" s="2323"/>
      <c r="AG332" s="2323"/>
      <c r="AH332" s="2323"/>
      <c r="AI332" s="2323"/>
      <c r="AJ332" s="2323"/>
      <c r="AK332" s="2898"/>
      <c r="AL332" s="2895">
        <f t="shared" si="79"/>
        <v>0</v>
      </c>
      <c r="AM332" s="2896" t="str">
        <f t="shared" si="80"/>
        <v/>
      </c>
    </row>
    <row r="333" spans="1:39" s="2345" customFormat="1" ht="15" hidden="1" customHeight="1" outlineLevel="1">
      <c r="A333" s="2339"/>
      <c r="B333" s="3033"/>
      <c r="C333" s="3035"/>
      <c r="D333" s="3035"/>
      <c r="E333" s="3028"/>
      <c r="F333" s="3692" t="s">
        <v>3862</v>
      </c>
      <c r="G333" s="3707"/>
      <c r="H333" s="3708"/>
      <c r="I333" s="3708"/>
      <c r="J333" s="3708"/>
      <c r="K333" s="3708"/>
      <c r="L333" s="3708"/>
      <c r="M333" s="3708"/>
      <c r="N333" s="3708"/>
      <c r="O333" s="3708"/>
      <c r="P333" s="3708"/>
      <c r="Q333" s="3708"/>
      <c r="R333" s="3708"/>
      <c r="S333" s="3708"/>
      <c r="T333" s="3709"/>
      <c r="U333" s="3709"/>
      <c r="V333" s="2323"/>
      <c r="W333" s="2323"/>
      <c r="X333" s="2323"/>
      <c r="Y333" s="2323"/>
      <c r="Z333" s="2566"/>
      <c r="AA333" s="2566"/>
      <c r="AB333" s="2566"/>
      <c r="AC333" s="2566"/>
      <c r="AD333" s="2323"/>
      <c r="AE333" s="2323"/>
      <c r="AF333" s="2323"/>
      <c r="AG333" s="2323"/>
      <c r="AH333" s="2323"/>
      <c r="AI333" s="2323"/>
      <c r="AJ333" s="2323"/>
      <c r="AK333" s="2898"/>
      <c r="AL333" s="2895">
        <f t="shared" si="79"/>
        <v>0</v>
      </c>
      <c r="AM333" s="2896" t="str">
        <f t="shared" si="80"/>
        <v/>
      </c>
    </row>
    <row r="334" spans="1:39" s="2345" customFormat="1" ht="15" hidden="1" customHeight="1" outlineLevel="1">
      <c r="A334" s="2339"/>
      <c r="B334" s="3033"/>
      <c r="C334" s="3035"/>
      <c r="D334" s="3035"/>
      <c r="E334" s="3028"/>
      <c r="F334" s="3692" t="s">
        <v>3863</v>
      </c>
      <c r="G334" s="3701"/>
      <c r="H334" s="2323"/>
      <c r="I334" s="2323"/>
      <c r="J334" s="2323"/>
      <c r="K334" s="2323"/>
      <c r="L334" s="2323"/>
      <c r="M334" s="2323"/>
      <c r="N334" s="2323"/>
      <c r="O334" s="2323"/>
      <c r="P334" s="2323"/>
      <c r="Q334" s="2323"/>
      <c r="R334" s="2323"/>
      <c r="S334" s="2323"/>
      <c r="T334" s="2323"/>
      <c r="U334" s="2323"/>
      <c r="V334" s="2323"/>
      <c r="W334" s="2323"/>
      <c r="X334" s="2323"/>
      <c r="Y334" s="2323"/>
      <c r="Z334" s="2566"/>
      <c r="AA334" s="2566"/>
      <c r="AB334" s="2566"/>
      <c r="AC334" s="2566"/>
      <c r="AD334" s="2323"/>
      <c r="AE334" s="2323"/>
      <c r="AF334" s="2323"/>
      <c r="AG334" s="2323"/>
      <c r="AH334" s="2323"/>
      <c r="AI334" s="2323"/>
      <c r="AJ334" s="2323"/>
      <c r="AK334" s="2898"/>
      <c r="AL334" s="2895">
        <f t="shared" si="79"/>
        <v>0</v>
      </c>
      <c r="AM334" s="2896" t="str">
        <f t="shared" ref="AM334:AM336" si="81">IFERROR(AI334/AL334,"")</f>
        <v/>
      </c>
    </row>
    <row r="335" spans="1:39" s="2345" customFormat="1" ht="15" hidden="1" customHeight="1" outlineLevel="1">
      <c r="A335" s="2339"/>
      <c r="B335" s="3033"/>
      <c r="C335" s="3035"/>
      <c r="D335" s="3035"/>
      <c r="E335" s="3028"/>
      <c r="F335" s="3692" t="s">
        <v>3864</v>
      </c>
      <c r="G335" s="3702"/>
      <c r="H335" s="2323"/>
      <c r="I335" s="2323"/>
      <c r="J335" s="2323"/>
      <c r="K335" s="2323"/>
      <c r="L335" s="2323"/>
      <c r="M335" s="2323"/>
      <c r="N335" s="2323"/>
      <c r="O335" s="2323"/>
      <c r="P335" s="2323"/>
      <c r="Q335" s="2323"/>
      <c r="R335" s="2323"/>
      <c r="S335" s="2323"/>
      <c r="T335" s="2323"/>
      <c r="U335" s="2323"/>
      <c r="V335" s="2323"/>
      <c r="W335" s="2323"/>
      <c r="X335" s="2323"/>
      <c r="Y335" s="2323"/>
      <c r="Z335" s="2566"/>
      <c r="AA335" s="2566"/>
      <c r="AB335" s="2566"/>
      <c r="AC335" s="2566"/>
      <c r="AD335" s="2323"/>
      <c r="AE335" s="2323"/>
      <c r="AF335" s="2323"/>
      <c r="AG335" s="2323"/>
      <c r="AH335" s="2323"/>
      <c r="AI335" s="2323"/>
      <c r="AJ335" s="2323"/>
      <c r="AK335" s="2898"/>
      <c r="AL335" s="2895">
        <f t="shared" si="79"/>
        <v>0</v>
      </c>
      <c r="AM335" s="2896" t="str">
        <f t="shared" si="81"/>
        <v/>
      </c>
    </row>
    <row r="336" spans="1:39" s="2345" customFormat="1" ht="15" hidden="1" customHeight="1" outlineLevel="1" thickBot="1">
      <c r="B336" s="3703"/>
      <c r="C336" s="3564"/>
      <c r="D336" s="3564"/>
      <c r="E336" s="3011"/>
      <c r="F336" s="3704" t="s">
        <v>3865</v>
      </c>
      <c r="G336" s="3705"/>
      <c r="H336" s="2323"/>
      <c r="I336" s="2323"/>
      <c r="J336" s="2323"/>
      <c r="K336" s="2323"/>
      <c r="L336" s="2323"/>
      <c r="M336" s="2323"/>
      <c r="N336" s="2323"/>
      <c r="O336" s="2323"/>
      <c r="P336" s="2323"/>
      <c r="Q336" s="2323"/>
      <c r="R336" s="2323"/>
      <c r="S336" s="2323"/>
      <c r="T336" s="2323"/>
      <c r="U336" s="2323"/>
      <c r="V336" s="2323"/>
      <c r="W336" s="2323"/>
      <c r="X336" s="2323"/>
      <c r="Y336" s="2323"/>
      <c r="Z336" s="2566"/>
      <c r="AA336" s="2566"/>
      <c r="AB336" s="2566"/>
      <c r="AC336" s="2566"/>
      <c r="AD336" s="2323"/>
      <c r="AE336" s="2323"/>
      <c r="AF336" s="2323"/>
      <c r="AG336" s="2323"/>
      <c r="AH336" s="2323"/>
      <c r="AI336" s="2323"/>
      <c r="AJ336" s="2323"/>
      <c r="AK336" s="2898"/>
      <c r="AL336" s="2895">
        <f t="shared" si="79"/>
        <v>0</v>
      </c>
      <c r="AM336" s="2896" t="str">
        <f t="shared" si="81"/>
        <v/>
      </c>
    </row>
    <row r="337" spans="1:119" s="2345" customFormat="1" ht="15" customHeight="1" collapsed="1">
      <c r="A337" s="2352"/>
      <c r="B337" s="2352"/>
      <c r="C337" s="2352"/>
      <c r="D337" s="2353"/>
      <c r="E337" s="2354"/>
      <c r="F337" s="2355"/>
      <c r="G337" s="2355"/>
      <c r="AO337" s="2545">
        <f>SUM(AO247:AO258)</f>
        <v>0</v>
      </c>
    </row>
    <row r="338" spans="1:119" s="2345" customFormat="1" ht="15" customHeight="1">
      <c r="D338" s="2356"/>
      <c r="F338" s="2357"/>
      <c r="G338" s="2357"/>
    </row>
    <row r="339" spans="1:119" s="2345" customFormat="1" ht="15" customHeight="1" thickBot="1">
      <c r="D339" s="2356"/>
      <c r="E339" s="2330"/>
      <c r="F339" s="2357"/>
      <c r="G339" s="2357"/>
    </row>
    <row r="340" spans="1:119" s="2345" customFormat="1" ht="28.5" customHeight="1" thickBot="1">
      <c r="A340" s="3061"/>
      <c r="B340" s="3062"/>
      <c r="C340" s="3062"/>
      <c r="D340" s="3062"/>
      <c r="E340" s="3062"/>
      <c r="F340" s="3063"/>
      <c r="G340" s="3645" t="s">
        <v>3927</v>
      </c>
      <c r="H340" s="3646"/>
      <c r="I340" s="3646"/>
      <c r="J340" s="3646"/>
      <c r="K340" s="3646"/>
      <c r="L340" s="3646"/>
      <c r="M340" s="3646"/>
      <c r="N340" s="3646"/>
      <c r="O340" s="3646"/>
      <c r="P340" s="3646"/>
      <c r="Q340" s="3646"/>
      <c r="R340" s="3646"/>
      <c r="S340" s="3646"/>
      <c r="T340" s="3646"/>
      <c r="U340" s="3647"/>
      <c r="V340" s="2502"/>
      <c r="W340" s="2502"/>
      <c r="X340" s="2502"/>
      <c r="Y340" s="2502"/>
    </row>
    <row r="341" spans="1:119" s="2345" customFormat="1" ht="60">
      <c r="A341" s="3648" t="s">
        <v>0</v>
      </c>
      <c r="B341" s="3064" t="s">
        <v>3849</v>
      </c>
      <c r="C341" s="3065"/>
      <c r="D341" s="3065"/>
      <c r="E341" s="3012" t="s">
        <v>3928</v>
      </c>
      <c r="F341" s="3010" t="s">
        <v>3929</v>
      </c>
      <c r="G341" s="3003" t="s">
        <v>3854</v>
      </c>
      <c r="H341" s="3058" t="s">
        <v>3868</v>
      </c>
      <c r="I341" s="3059"/>
      <c r="J341" s="3059"/>
      <c r="K341" s="3059"/>
      <c r="L341" s="3060"/>
      <c r="M341" s="3058" t="s">
        <v>3930</v>
      </c>
      <c r="N341" s="3059"/>
      <c r="O341" s="3059"/>
      <c r="P341" s="3059"/>
      <c r="Q341" s="3060"/>
      <c r="R341" s="3710" t="s">
        <v>3931</v>
      </c>
      <c r="S341" s="3711"/>
      <c r="T341" s="3711"/>
      <c r="U341" s="3712"/>
      <c r="V341" s="3099" t="s">
        <v>4001</v>
      </c>
      <c r="W341" s="3100"/>
      <c r="X341" s="3100"/>
      <c r="Y341" s="3101"/>
      <c r="Z341" s="3093" t="s">
        <v>3858</v>
      </c>
      <c r="AA341" s="3093"/>
      <c r="AB341" s="3093"/>
      <c r="AC341" s="3093"/>
      <c r="AD341" s="3102" t="s">
        <v>4002</v>
      </c>
      <c r="AE341" s="3103"/>
      <c r="AF341" s="3103"/>
      <c r="AG341" s="3104"/>
      <c r="AH341" s="2779" t="s">
        <v>3980</v>
      </c>
      <c r="AI341" s="2500" t="s">
        <v>3974</v>
      </c>
      <c r="AJ341" s="2500" t="s">
        <v>3975</v>
      </c>
      <c r="AK341" s="2893" t="s">
        <v>4262</v>
      </c>
      <c r="AL341" s="2894" t="s">
        <v>4263</v>
      </c>
      <c r="AM341" s="2893" t="s">
        <v>4264</v>
      </c>
    </row>
    <row r="342" spans="1:119" s="2345" customFormat="1" ht="45.75" customHeight="1" thickBot="1">
      <c r="A342" s="3649"/>
      <c r="B342" s="3066"/>
      <c r="C342" s="3026"/>
      <c r="D342" s="3026"/>
      <c r="E342" s="3031"/>
      <c r="F342" s="3030"/>
      <c r="G342" s="3003"/>
      <c r="H342" s="2965">
        <f>H11</f>
        <v>2015</v>
      </c>
      <c r="I342" s="2965">
        <f>I11</f>
        <v>2016</v>
      </c>
      <c r="J342" s="2965">
        <f>J11</f>
        <v>2017</v>
      </c>
      <c r="K342" s="2965" t="str">
        <f>K233</f>
        <v>План (в случае отсутствия факта за 3 года)</v>
      </c>
      <c r="L342" s="3713" t="s">
        <v>2559</v>
      </c>
      <c r="M342" s="2965">
        <f>H342</f>
        <v>2015</v>
      </c>
      <c r="N342" s="2965">
        <f>I342</f>
        <v>2016</v>
      </c>
      <c r="O342" s="2965">
        <f>J342</f>
        <v>2017</v>
      </c>
      <c r="P342" s="2965" t="str">
        <f>P233</f>
        <v>План (в случае отсутствия факта за 3 года)</v>
      </c>
      <c r="Q342" s="3713" t="s">
        <v>2559</v>
      </c>
      <c r="R342" s="2971">
        <f>H342</f>
        <v>2015</v>
      </c>
      <c r="S342" s="2971">
        <f>I342</f>
        <v>2016</v>
      </c>
      <c r="T342" s="2380">
        <f>J342</f>
        <v>2017</v>
      </c>
      <c r="U342" s="2380" t="str">
        <f>U233</f>
        <v>План (в случае отсутствия факта за 3 года)</v>
      </c>
      <c r="V342" s="2496">
        <f>R342</f>
        <v>2015</v>
      </c>
      <c r="W342" s="2496">
        <f>S342</f>
        <v>2016</v>
      </c>
      <c r="X342" s="2496">
        <f>T342</f>
        <v>2017</v>
      </c>
      <c r="Y342" s="2496" t="str">
        <f>U342</f>
        <v>План (в случае отсутствия факта за 3 года)</v>
      </c>
      <c r="Z342" s="2481">
        <v>2016</v>
      </c>
      <c r="AA342" s="2481">
        <v>2017</v>
      </c>
      <c r="AB342" s="2481">
        <v>2018</v>
      </c>
      <c r="AC342" s="2481">
        <v>2019</v>
      </c>
      <c r="AD342" s="2503">
        <f>V342</f>
        <v>2015</v>
      </c>
      <c r="AE342" s="2503">
        <f>W342</f>
        <v>2016</v>
      </c>
      <c r="AF342" s="2503">
        <f>X342</f>
        <v>2017</v>
      </c>
      <c r="AG342" s="2503" t="str">
        <f>Y342</f>
        <v>План (в случае отсутствия факта за 3 года)</v>
      </c>
      <c r="AH342" s="2497" t="s">
        <v>3981</v>
      </c>
      <c r="AI342" s="2505" t="s">
        <v>3976</v>
      </c>
      <c r="AJ342" s="2505" t="s">
        <v>3977</v>
      </c>
      <c r="AK342" s="2881">
        <v>2018</v>
      </c>
      <c r="AL342" s="2890" t="s">
        <v>4265</v>
      </c>
      <c r="AM342" s="2881" t="s">
        <v>4265</v>
      </c>
    </row>
    <row r="343" spans="1:119" s="2345" customFormat="1" ht="15" customHeight="1" thickBot="1">
      <c r="A343" s="3714">
        <v>1</v>
      </c>
      <c r="B343" s="3715">
        <v>2</v>
      </c>
      <c r="C343" s="3027"/>
      <c r="D343" s="3027"/>
      <c r="E343" s="3027">
        <v>3</v>
      </c>
      <c r="F343" s="3716"/>
      <c r="G343" s="3655">
        <v>4</v>
      </c>
      <c r="H343" s="3656">
        <v>5</v>
      </c>
      <c r="I343" s="3657"/>
      <c r="J343" s="3657"/>
      <c r="K343" s="3658"/>
      <c r="L343" s="3659"/>
      <c r="M343" s="3656">
        <v>6</v>
      </c>
      <c r="N343" s="3657"/>
      <c r="O343" s="3657"/>
      <c r="P343" s="3658"/>
      <c r="Q343" s="3659"/>
      <c r="R343" s="3656">
        <v>7</v>
      </c>
      <c r="S343" s="3657"/>
      <c r="T343" s="3657"/>
      <c r="U343" s="3658"/>
      <c r="V343" s="3022">
        <v>8</v>
      </c>
      <c r="W343" s="3022"/>
      <c r="X343" s="3022"/>
      <c r="Y343" s="2481"/>
      <c r="Z343" s="3022">
        <v>9</v>
      </c>
      <c r="AA343" s="3022"/>
      <c r="AB343" s="3022"/>
      <c r="AC343" s="3022"/>
      <c r="AD343" s="3105">
        <v>10</v>
      </c>
      <c r="AE343" s="3106"/>
      <c r="AF343" s="3106"/>
      <c r="AG343" s="3107"/>
      <c r="AH343" s="2498">
        <v>11</v>
      </c>
      <c r="AI343" s="2498">
        <v>12</v>
      </c>
      <c r="AJ343" s="2499">
        <v>13</v>
      </c>
      <c r="AK343" s="2891">
        <v>10</v>
      </c>
      <c r="AL343" s="2892">
        <v>11</v>
      </c>
      <c r="AM343" s="2891">
        <v>12</v>
      </c>
    </row>
    <row r="344" spans="1:119" s="2345" customFormat="1" ht="15" hidden="1" customHeight="1" outlineLevel="1">
      <c r="A344" s="2389"/>
      <c r="B344" s="3064" t="s">
        <v>2952</v>
      </c>
      <c r="C344" s="3065"/>
      <c r="D344" s="3065"/>
      <c r="E344" s="3065" t="s">
        <v>3932</v>
      </c>
      <c r="F344" s="3717" t="s">
        <v>3933</v>
      </c>
      <c r="G344" s="3718"/>
      <c r="H344" s="3719"/>
      <c r="I344" s="3719"/>
      <c r="J344" s="3719"/>
      <c r="K344" s="3719"/>
      <c r="L344" s="3719"/>
      <c r="M344" s="3719"/>
      <c r="N344" s="3719"/>
      <c r="O344" s="3719"/>
      <c r="P344" s="3719"/>
      <c r="Q344" s="2329"/>
      <c r="R344" s="2329"/>
      <c r="S344" s="2329"/>
      <c r="T344" s="2382"/>
      <c r="U344" s="2382"/>
      <c r="V344" s="2323"/>
      <c r="W344" s="2323"/>
      <c r="X344" s="2323"/>
      <c r="Y344" s="2323"/>
      <c r="Z344" s="2775">
        <f t="shared" ref="Z344" si="82">$Z$13</f>
        <v>1.0528</v>
      </c>
      <c r="AA344" s="2775">
        <f t="shared" ref="AA344" si="83">$AA$13</f>
        <v>1.0589</v>
      </c>
      <c r="AB344" s="2775">
        <f t="shared" ref="AB344" si="84">$AB$13</f>
        <v>1.0507936887282501</v>
      </c>
      <c r="AC344" s="2775">
        <f t="shared" ref="AC344" si="85">$AC$13</f>
        <v>1.04657781587849</v>
      </c>
      <c r="AD344" s="2323"/>
      <c r="AE344" s="2323"/>
      <c r="AF344" s="2323"/>
      <c r="AG344" s="2323"/>
      <c r="AH344" s="2323"/>
      <c r="AI344" s="2323"/>
      <c r="AJ344" s="2323"/>
      <c r="AK344" s="2898"/>
      <c r="AL344" s="2895">
        <f t="shared" ref="AL344:AL373" si="86">AK344*$AC$71</f>
        <v>0</v>
      </c>
      <c r="AM344" s="2896" t="str">
        <f t="shared" ref="AM344" si="87">IFERROR(AI344/AL344,"")</f>
        <v/>
      </c>
    </row>
    <row r="345" spans="1:119" s="2345" customFormat="1" ht="15" hidden="1" customHeight="1" outlineLevel="1">
      <c r="A345" s="2339"/>
      <c r="B345" s="3071"/>
      <c r="C345" s="3035"/>
      <c r="D345" s="3035"/>
      <c r="E345" s="3035"/>
      <c r="F345" s="3692" t="s">
        <v>3934</v>
      </c>
      <c r="G345" s="3693"/>
      <c r="H345" s="2323"/>
      <c r="I345" s="2323"/>
      <c r="J345" s="2323"/>
      <c r="K345" s="2323"/>
      <c r="L345" s="2323"/>
      <c r="M345" s="2323"/>
      <c r="N345" s="2323"/>
      <c r="O345" s="2323"/>
      <c r="P345" s="2323"/>
      <c r="Q345" s="2323"/>
      <c r="R345" s="2323"/>
      <c r="S345" s="2323"/>
      <c r="T345" s="2383"/>
      <c r="U345" s="2383"/>
      <c r="V345" s="2323"/>
      <c r="W345" s="2323"/>
      <c r="X345" s="2323"/>
      <c r="Y345" s="2323"/>
      <c r="Z345" s="2566"/>
      <c r="AA345" s="2566"/>
      <c r="AB345" s="2566"/>
      <c r="AC345" s="2566"/>
      <c r="AD345" s="2323"/>
      <c r="AE345" s="2323"/>
      <c r="AF345" s="2323"/>
      <c r="AG345" s="2323"/>
      <c r="AH345" s="2323"/>
      <c r="AI345" s="2323"/>
      <c r="AJ345" s="2323"/>
      <c r="AK345" s="2898"/>
      <c r="AL345" s="2895">
        <f t="shared" si="86"/>
        <v>0</v>
      </c>
      <c r="AM345" s="2896" t="str">
        <f t="shared" ref="AM345:AM373" si="88">IFERROR(AI345/AL345,"")</f>
        <v/>
      </c>
    </row>
    <row r="346" spans="1:119" s="2345" customFormat="1" hidden="1" outlineLevel="1">
      <c r="A346" s="2339"/>
      <c r="B346" s="3071"/>
      <c r="C346" s="3035"/>
      <c r="D346" s="3035"/>
      <c r="E346" s="3035"/>
      <c r="F346" s="3692" t="s">
        <v>3935</v>
      </c>
      <c r="G346" s="3693"/>
      <c r="H346" s="2323"/>
      <c r="I346" s="2323"/>
      <c r="J346" s="2323"/>
      <c r="K346" s="2323"/>
      <c r="L346" s="2323"/>
      <c r="M346" s="2323"/>
      <c r="N346" s="2323"/>
      <c r="O346" s="2323"/>
      <c r="P346" s="2323"/>
      <c r="Q346" s="2323"/>
      <c r="R346" s="2323"/>
      <c r="S346" s="2323"/>
      <c r="T346" s="2383"/>
      <c r="U346" s="2383"/>
      <c r="V346" s="2323"/>
      <c r="W346" s="2323"/>
      <c r="X346" s="2323"/>
      <c r="Y346" s="2323"/>
      <c r="Z346" s="2566"/>
      <c r="AA346" s="2566"/>
      <c r="AB346" s="2566"/>
      <c r="AC346" s="2566"/>
      <c r="AD346" s="2323"/>
      <c r="AE346" s="2323"/>
      <c r="AF346" s="2323"/>
      <c r="AG346" s="2323"/>
      <c r="AH346" s="2323"/>
      <c r="AI346" s="2323"/>
      <c r="AJ346" s="2323"/>
      <c r="AK346" s="2898"/>
      <c r="AL346" s="2895">
        <f t="shared" si="86"/>
        <v>0</v>
      </c>
      <c r="AM346" s="2896" t="str">
        <f t="shared" si="88"/>
        <v/>
      </c>
    </row>
    <row r="347" spans="1:119" s="2345" customFormat="1" hidden="1" outlineLevel="1">
      <c r="A347" s="2339"/>
      <c r="B347" s="3071"/>
      <c r="C347" s="3035"/>
      <c r="D347" s="3035"/>
      <c r="E347" s="3035"/>
      <c r="F347" s="3692" t="s">
        <v>3936</v>
      </c>
      <c r="G347" s="3693"/>
      <c r="H347" s="2323"/>
      <c r="I347" s="2323"/>
      <c r="J347" s="2323"/>
      <c r="K347" s="2323"/>
      <c r="L347" s="2323"/>
      <c r="M347" s="2323"/>
      <c r="N347" s="2323"/>
      <c r="O347" s="2323"/>
      <c r="P347" s="2323"/>
      <c r="Q347" s="2323"/>
      <c r="R347" s="2323"/>
      <c r="S347" s="2323"/>
      <c r="T347" s="2383"/>
      <c r="U347" s="2383"/>
      <c r="V347" s="2323"/>
      <c r="W347" s="2323"/>
      <c r="X347" s="2323"/>
      <c r="Y347" s="2323"/>
      <c r="Z347" s="2566"/>
      <c r="AA347" s="2566"/>
      <c r="AB347" s="2566"/>
      <c r="AC347" s="2566"/>
      <c r="AD347" s="2323"/>
      <c r="AE347" s="2323"/>
      <c r="AF347" s="2323"/>
      <c r="AG347" s="2323"/>
      <c r="AH347" s="2323"/>
      <c r="AI347" s="2323"/>
      <c r="AJ347" s="2323"/>
      <c r="AK347" s="2898"/>
      <c r="AL347" s="2895">
        <f t="shared" si="86"/>
        <v>0</v>
      </c>
      <c r="AM347" s="2896" t="str">
        <f t="shared" si="88"/>
        <v/>
      </c>
    </row>
    <row r="348" spans="1:119" hidden="1" outlineLevel="1">
      <c r="A348" s="2339"/>
      <c r="B348" s="3071"/>
      <c r="C348" s="3035"/>
      <c r="D348" s="3035"/>
      <c r="E348" s="3035"/>
      <c r="F348" s="3692" t="s">
        <v>3937</v>
      </c>
      <c r="G348" s="3693"/>
      <c r="H348" s="2323"/>
      <c r="I348" s="2323"/>
      <c r="J348" s="2323"/>
      <c r="K348" s="2323"/>
      <c r="L348" s="2323"/>
      <c r="M348" s="2323"/>
      <c r="N348" s="2323"/>
      <c r="O348" s="2323"/>
      <c r="P348" s="2323"/>
      <c r="Q348" s="2323"/>
      <c r="R348" s="2323"/>
      <c r="S348" s="2323"/>
      <c r="T348" s="2383"/>
      <c r="U348" s="2383"/>
      <c r="V348" s="2323"/>
      <c r="W348" s="2323"/>
      <c r="X348" s="2323"/>
      <c r="Y348" s="2323"/>
      <c r="Z348" s="2566"/>
      <c r="AA348" s="2566"/>
      <c r="AB348" s="2566"/>
      <c r="AC348" s="2566"/>
      <c r="AD348" s="2323"/>
      <c r="AE348" s="2323"/>
      <c r="AF348" s="2323"/>
      <c r="AG348" s="2323"/>
      <c r="AH348" s="2323"/>
      <c r="AI348" s="2323"/>
      <c r="AJ348" s="2323"/>
      <c r="AK348" s="2898"/>
      <c r="AL348" s="2895">
        <f t="shared" si="86"/>
        <v>0</v>
      </c>
      <c r="AM348" s="2896" t="str">
        <f t="shared" si="88"/>
        <v/>
      </c>
      <c r="AN348" s="2338"/>
      <c r="AO348" s="2338"/>
      <c r="AP348" s="2338"/>
      <c r="AQ348" s="2338"/>
      <c r="AR348" s="2338"/>
      <c r="AS348" s="2338"/>
      <c r="AT348" s="2338"/>
      <c r="AU348" s="2338"/>
      <c r="AV348" s="2338"/>
      <c r="AW348" s="2338"/>
      <c r="AX348" s="2338"/>
      <c r="AY348" s="2338"/>
      <c r="AZ348" s="2338"/>
      <c r="BA348" s="2338"/>
      <c r="BB348" s="2338"/>
      <c r="BC348" s="2338"/>
      <c r="BD348" s="2338"/>
      <c r="BE348" s="2338"/>
      <c r="BF348" s="2338"/>
      <c r="BG348" s="2338"/>
      <c r="BH348" s="2338"/>
      <c r="BI348" s="2338"/>
      <c r="BJ348" s="2338"/>
      <c r="BK348" s="2338"/>
      <c r="BL348" s="2338"/>
      <c r="BM348" s="2338"/>
      <c r="BN348" s="2338"/>
      <c r="BO348" s="2338"/>
      <c r="BP348" s="2338"/>
      <c r="BQ348" s="2338"/>
      <c r="BR348" s="2338"/>
      <c r="BS348" s="2338"/>
      <c r="BT348" s="2338"/>
      <c r="BU348" s="2338"/>
      <c r="BV348" s="2338"/>
      <c r="BW348" s="2338"/>
      <c r="BX348" s="2338"/>
      <c r="BY348" s="2338"/>
      <c r="BZ348" s="2338"/>
      <c r="CA348" s="2338"/>
      <c r="CB348" s="2338"/>
      <c r="CC348" s="2338"/>
      <c r="CD348" s="2338"/>
      <c r="CE348" s="2338"/>
      <c r="CF348" s="2338"/>
      <c r="CG348" s="2338"/>
      <c r="CH348" s="2338"/>
      <c r="CI348" s="2338"/>
      <c r="CJ348" s="2338"/>
      <c r="CK348" s="2338"/>
      <c r="CL348" s="2338"/>
      <c r="CM348" s="2338"/>
      <c r="CN348" s="2338"/>
      <c r="CO348" s="2338"/>
      <c r="CP348" s="2338"/>
      <c r="CQ348" s="2338"/>
      <c r="CR348" s="2338"/>
      <c r="CS348" s="2338"/>
      <c r="CT348" s="2338"/>
      <c r="CU348" s="2338"/>
      <c r="CV348" s="2338"/>
      <c r="CW348" s="2338"/>
      <c r="CX348" s="2338"/>
      <c r="CY348" s="2338"/>
      <c r="CZ348" s="2338"/>
      <c r="DA348" s="2338"/>
      <c r="DB348" s="2338"/>
      <c r="DC348" s="2338"/>
      <c r="DD348" s="2338"/>
      <c r="DE348" s="2338"/>
      <c r="DF348" s="2338"/>
      <c r="DG348" s="2338"/>
      <c r="DH348" s="2338"/>
      <c r="DI348" s="2338"/>
      <c r="DJ348" s="2338"/>
      <c r="DK348" s="2338"/>
      <c r="DL348" s="2338"/>
      <c r="DM348" s="2338"/>
      <c r="DN348" s="2338"/>
      <c r="DO348" s="2338"/>
    </row>
    <row r="349" spans="1:119" ht="30" hidden="1" outlineLevel="1">
      <c r="A349" s="2339"/>
      <c r="B349" s="3071"/>
      <c r="C349" s="3035"/>
      <c r="D349" s="3035"/>
      <c r="E349" s="3035" t="s">
        <v>3938</v>
      </c>
      <c r="F349" s="3692" t="s">
        <v>3933</v>
      </c>
      <c r="G349" s="3693"/>
      <c r="H349" s="2323"/>
      <c r="I349" s="2323"/>
      <c r="J349" s="2323"/>
      <c r="K349" s="2323"/>
      <c r="L349" s="2323"/>
      <c r="M349" s="2323"/>
      <c r="N349" s="2323"/>
      <c r="O349" s="2323"/>
      <c r="P349" s="2323"/>
      <c r="Q349" s="2323"/>
      <c r="R349" s="2323"/>
      <c r="S349" s="2323"/>
      <c r="T349" s="2383"/>
      <c r="U349" s="2383"/>
      <c r="V349" s="2319"/>
      <c r="W349" s="2319"/>
      <c r="X349" s="2319"/>
      <c r="Y349" s="2319"/>
      <c r="Z349" s="2566"/>
      <c r="AA349" s="2566"/>
      <c r="AB349" s="2566"/>
      <c r="AC349" s="2566"/>
      <c r="AD349" s="2323"/>
      <c r="AE349" s="2323"/>
      <c r="AF349" s="2323"/>
      <c r="AG349" s="2323"/>
      <c r="AH349" s="2323"/>
      <c r="AI349" s="2323"/>
      <c r="AJ349" s="2323"/>
      <c r="AK349" s="2898"/>
      <c r="AL349" s="2895">
        <f t="shared" si="86"/>
        <v>0</v>
      </c>
      <c r="AM349" s="2896" t="str">
        <f t="shared" si="88"/>
        <v/>
      </c>
      <c r="AN349" s="2338"/>
      <c r="AO349" s="2338"/>
      <c r="AP349" s="2338"/>
      <c r="AQ349" s="2338"/>
      <c r="AR349" s="2338"/>
      <c r="AS349" s="2338"/>
      <c r="AT349" s="2338"/>
      <c r="AU349" s="2338"/>
      <c r="AV349" s="2338"/>
      <c r="AW349" s="2338"/>
      <c r="AX349" s="2338"/>
      <c r="AY349" s="2338"/>
      <c r="AZ349" s="2338"/>
      <c r="BA349" s="2338"/>
      <c r="BB349" s="2338"/>
      <c r="BC349" s="2338"/>
      <c r="BD349" s="2338"/>
      <c r="BE349" s="2338"/>
      <c r="BF349" s="2338"/>
      <c r="BG349" s="2338"/>
      <c r="BH349" s="2338"/>
      <c r="BI349" s="2338"/>
      <c r="BJ349" s="2338"/>
      <c r="BK349" s="2338"/>
      <c r="BL349" s="2338"/>
      <c r="BM349" s="2338"/>
      <c r="BN349" s="2338"/>
      <c r="BO349" s="2338"/>
      <c r="BP349" s="2338"/>
      <c r="BQ349" s="2338"/>
      <c r="BR349" s="2338"/>
      <c r="BS349" s="2338"/>
      <c r="BT349" s="2338"/>
      <c r="BU349" s="2338"/>
      <c r="BV349" s="2338"/>
      <c r="BW349" s="2338"/>
      <c r="BX349" s="2338"/>
      <c r="BY349" s="2338"/>
      <c r="BZ349" s="2338"/>
      <c r="CA349" s="2338"/>
      <c r="CB349" s="2338"/>
      <c r="CC349" s="2338"/>
      <c r="CD349" s="2338"/>
      <c r="CE349" s="2338"/>
      <c r="CF349" s="2338"/>
      <c r="CG349" s="2338"/>
      <c r="CH349" s="2338"/>
      <c r="CI349" s="2338"/>
      <c r="CJ349" s="2338"/>
      <c r="CK349" s="2338"/>
      <c r="CL349" s="2338"/>
      <c r="CM349" s="2338"/>
      <c r="CN349" s="2338"/>
      <c r="CO349" s="2338"/>
      <c r="CP349" s="2338"/>
      <c r="CQ349" s="2338"/>
      <c r="CR349" s="2338"/>
      <c r="CS349" s="2338"/>
      <c r="CT349" s="2338"/>
      <c r="CU349" s="2338"/>
      <c r="CV349" s="2338"/>
      <c r="CW349" s="2338"/>
      <c r="CX349" s="2338"/>
      <c r="CY349" s="2338"/>
      <c r="CZ349" s="2338"/>
      <c r="DA349" s="2338"/>
      <c r="DB349" s="2338"/>
      <c r="DC349" s="2338"/>
      <c r="DD349" s="2338"/>
      <c r="DE349" s="2338"/>
      <c r="DF349" s="2338"/>
      <c r="DG349" s="2338"/>
      <c r="DH349" s="2338"/>
      <c r="DI349" s="2338"/>
      <c r="DJ349" s="2338"/>
      <c r="DK349" s="2338"/>
      <c r="DL349" s="2338"/>
      <c r="DM349" s="2338"/>
      <c r="DN349" s="2338"/>
      <c r="DO349" s="2338"/>
    </row>
    <row r="350" spans="1:119" hidden="1" outlineLevel="1">
      <c r="A350" s="2339"/>
      <c r="B350" s="3071"/>
      <c r="C350" s="3035"/>
      <c r="D350" s="3035"/>
      <c r="E350" s="3035"/>
      <c r="F350" s="3692" t="s">
        <v>3934</v>
      </c>
      <c r="G350" s="3693"/>
      <c r="H350" s="2323"/>
      <c r="I350" s="2323"/>
      <c r="J350" s="2323"/>
      <c r="K350" s="2323"/>
      <c r="L350" s="2323"/>
      <c r="M350" s="2323"/>
      <c r="N350" s="2323"/>
      <c r="O350" s="2323"/>
      <c r="P350" s="2323"/>
      <c r="Q350" s="2323"/>
      <c r="R350" s="2323"/>
      <c r="S350" s="2323"/>
      <c r="T350" s="2383"/>
      <c r="U350" s="2383"/>
      <c r="V350" s="2319"/>
      <c r="W350" s="2319"/>
      <c r="X350" s="2319"/>
      <c r="Y350" s="2319"/>
      <c r="Z350" s="2566"/>
      <c r="AA350" s="2566"/>
      <c r="AB350" s="2566"/>
      <c r="AC350" s="2566"/>
      <c r="AD350" s="2323"/>
      <c r="AE350" s="2323"/>
      <c r="AF350" s="2323"/>
      <c r="AG350" s="2323"/>
      <c r="AH350" s="2323"/>
      <c r="AI350" s="2323"/>
      <c r="AJ350" s="2323"/>
      <c r="AK350" s="2898"/>
      <c r="AL350" s="2895">
        <f t="shared" si="86"/>
        <v>0</v>
      </c>
      <c r="AM350" s="2896" t="str">
        <f t="shared" si="88"/>
        <v/>
      </c>
      <c r="AN350" s="2338"/>
      <c r="AO350" s="2338"/>
      <c r="AP350" s="2338"/>
      <c r="AQ350" s="2338"/>
      <c r="AR350" s="2338"/>
      <c r="AS350" s="2338"/>
      <c r="AT350" s="2338"/>
      <c r="AU350" s="2338"/>
      <c r="AV350" s="2338"/>
      <c r="AW350" s="2338"/>
      <c r="AX350" s="2338"/>
      <c r="AY350" s="2338"/>
      <c r="AZ350" s="2338"/>
      <c r="BA350" s="2338"/>
      <c r="BB350" s="2338"/>
      <c r="BC350" s="2338"/>
      <c r="BD350" s="2338"/>
      <c r="BE350" s="2338"/>
      <c r="BF350" s="2338"/>
      <c r="BG350" s="2338"/>
      <c r="BH350" s="2338"/>
      <c r="BI350" s="2338"/>
      <c r="BJ350" s="2338"/>
      <c r="BK350" s="2338"/>
      <c r="BL350" s="2338"/>
      <c r="BM350" s="2338"/>
      <c r="BN350" s="2338"/>
      <c r="BO350" s="2338"/>
      <c r="BP350" s="2338"/>
      <c r="BQ350" s="2338"/>
      <c r="BR350" s="2338"/>
      <c r="BS350" s="2338"/>
      <c r="BT350" s="2338"/>
      <c r="BU350" s="2338"/>
      <c r="BV350" s="2338"/>
      <c r="BW350" s="2338"/>
      <c r="BX350" s="2338"/>
      <c r="BY350" s="2338"/>
      <c r="BZ350" s="2338"/>
      <c r="CA350" s="2338"/>
      <c r="CB350" s="2338"/>
      <c r="CC350" s="2338"/>
      <c r="CD350" s="2338"/>
      <c r="CE350" s="2338"/>
      <c r="CF350" s="2338"/>
      <c r="CG350" s="2338"/>
      <c r="CH350" s="2338"/>
      <c r="CI350" s="2338"/>
      <c r="CJ350" s="2338"/>
      <c r="CK350" s="2338"/>
      <c r="CL350" s="2338"/>
      <c r="CM350" s="2338"/>
      <c r="CN350" s="2338"/>
      <c r="CO350" s="2338"/>
      <c r="CP350" s="2338"/>
      <c r="CQ350" s="2338"/>
      <c r="CR350" s="2338"/>
      <c r="CS350" s="2338"/>
      <c r="CT350" s="2338"/>
      <c r="CU350" s="2338"/>
      <c r="CV350" s="2338"/>
      <c r="CW350" s="2338"/>
      <c r="CX350" s="2338"/>
      <c r="CY350" s="2338"/>
      <c r="CZ350" s="2338"/>
      <c r="DA350" s="2338"/>
      <c r="DB350" s="2338"/>
      <c r="DC350" s="2338"/>
      <c r="DD350" s="2338"/>
      <c r="DE350" s="2338"/>
      <c r="DF350" s="2338"/>
      <c r="DG350" s="2338"/>
      <c r="DH350" s="2338"/>
      <c r="DI350" s="2338"/>
      <c r="DJ350" s="2338"/>
      <c r="DK350" s="2338"/>
      <c r="DL350" s="2338"/>
      <c r="DM350" s="2338"/>
      <c r="DN350" s="2338"/>
      <c r="DO350" s="2338"/>
    </row>
    <row r="351" spans="1:119" hidden="1" outlineLevel="1">
      <c r="A351" s="2339"/>
      <c r="B351" s="3071"/>
      <c r="C351" s="3035"/>
      <c r="D351" s="3035"/>
      <c r="E351" s="3035"/>
      <c r="F351" s="3692" t="s">
        <v>3935</v>
      </c>
      <c r="G351" s="3693"/>
      <c r="H351" s="2323"/>
      <c r="I351" s="2323"/>
      <c r="J351" s="2323"/>
      <c r="K351" s="2323"/>
      <c r="L351" s="2323"/>
      <c r="M351" s="2323"/>
      <c r="N351" s="2323"/>
      <c r="O351" s="2323"/>
      <c r="P351" s="2323"/>
      <c r="Q351" s="2323"/>
      <c r="R351" s="2323"/>
      <c r="S351" s="2323"/>
      <c r="T351" s="2383"/>
      <c r="U351" s="2383"/>
      <c r="V351" s="2319"/>
      <c r="W351" s="2319"/>
      <c r="X351" s="2319"/>
      <c r="Y351" s="2319"/>
      <c r="Z351" s="2566"/>
      <c r="AA351" s="2566"/>
      <c r="AB351" s="2566"/>
      <c r="AC351" s="2566"/>
      <c r="AD351" s="2323"/>
      <c r="AE351" s="2323"/>
      <c r="AF351" s="2323"/>
      <c r="AG351" s="2323"/>
      <c r="AH351" s="2323"/>
      <c r="AI351" s="2323"/>
      <c r="AJ351" s="2323"/>
      <c r="AK351" s="2898"/>
      <c r="AL351" s="2895">
        <f t="shared" si="86"/>
        <v>0</v>
      </c>
      <c r="AM351" s="2896" t="str">
        <f t="shared" si="88"/>
        <v/>
      </c>
      <c r="AN351" s="2338"/>
      <c r="AO351" s="2338"/>
      <c r="AP351" s="2338"/>
      <c r="AQ351" s="2338"/>
      <c r="AR351" s="2338"/>
      <c r="AS351" s="2338"/>
      <c r="AT351" s="2338"/>
      <c r="AU351" s="2338"/>
      <c r="AV351" s="2338"/>
      <c r="AW351" s="2338"/>
      <c r="AX351" s="2338"/>
      <c r="AY351" s="2338"/>
      <c r="AZ351" s="2338"/>
      <c r="BA351" s="2338"/>
      <c r="BB351" s="2338"/>
      <c r="BC351" s="2338"/>
      <c r="BD351" s="2338"/>
      <c r="BE351" s="2338"/>
      <c r="BF351" s="2338"/>
      <c r="BG351" s="2338"/>
      <c r="BH351" s="2338"/>
      <c r="BI351" s="2338"/>
      <c r="BJ351" s="2338"/>
      <c r="BK351" s="2338"/>
      <c r="BL351" s="2338"/>
      <c r="BM351" s="2338"/>
      <c r="BN351" s="2338"/>
      <c r="BO351" s="2338"/>
      <c r="BP351" s="2338"/>
      <c r="BQ351" s="2338"/>
      <c r="BR351" s="2338"/>
      <c r="BS351" s="2338"/>
      <c r="BT351" s="2338"/>
      <c r="BU351" s="2338"/>
      <c r="BV351" s="2338"/>
      <c r="BW351" s="2338"/>
      <c r="BX351" s="2338"/>
      <c r="BY351" s="2338"/>
      <c r="BZ351" s="2338"/>
      <c r="CA351" s="2338"/>
      <c r="CB351" s="2338"/>
      <c r="CC351" s="2338"/>
      <c r="CD351" s="2338"/>
      <c r="CE351" s="2338"/>
      <c r="CF351" s="2338"/>
      <c r="CG351" s="2338"/>
      <c r="CH351" s="2338"/>
      <c r="CI351" s="2338"/>
      <c r="CJ351" s="2338"/>
      <c r="CK351" s="2338"/>
      <c r="CL351" s="2338"/>
      <c r="CM351" s="2338"/>
      <c r="CN351" s="2338"/>
      <c r="CO351" s="2338"/>
      <c r="CP351" s="2338"/>
      <c r="CQ351" s="2338"/>
      <c r="CR351" s="2338"/>
      <c r="CS351" s="2338"/>
      <c r="CT351" s="2338"/>
      <c r="CU351" s="2338"/>
      <c r="CV351" s="2338"/>
      <c r="CW351" s="2338"/>
      <c r="CX351" s="2338"/>
      <c r="CY351" s="2338"/>
      <c r="CZ351" s="2338"/>
      <c r="DA351" s="2338"/>
      <c r="DB351" s="2338"/>
      <c r="DC351" s="2338"/>
      <c r="DD351" s="2338"/>
      <c r="DE351" s="2338"/>
      <c r="DF351" s="2338"/>
      <c r="DG351" s="2338"/>
      <c r="DH351" s="2338"/>
      <c r="DI351" s="2338"/>
      <c r="DJ351" s="2338"/>
      <c r="DK351" s="2338"/>
      <c r="DL351" s="2338"/>
      <c r="DM351" s="2338"/>
      <c r="DN351" s="2338"/>
      <c r="DO351" s="2338"/>
    </row>
    <row r="352" spans="1:119" hidden="1" outlineLevel="1">
      <c r="A352" s="2339"/>
      <c r="B352" s="3071"/>
      <c r="C352" s="3035"/>
      <c r="D352" s="3035"/>
      <c r="E352" s="3035"/>
      <c r="F352" s="3692" t="s">
        <v>3936</v>
      </c>
      <c r="G352" s="3693"/>
      <c r="H352" s="2323"/>
      <c r="I352" s="2323"/>
      <c r="J352" s="2323"/>
      <c r="K352" s="2323"/>
      <c r="L352" s="2323"/>
      <c r="M352" s="2323"/>
      <c r="N352" s="2323"/>
      <c r="O352" s="2323"/>
      <c r="P352" s="2323"/>
      <c r="Q352" s="2323"/>
      <c r="R352" s="2323"/>
      <c r="S352" s="2323"/>
      <c r="T352" s="2383"/>
      <c r="U352" s="2383"/>
      <c r="V352" s="2319"/>
      <c r="W352" s="2319"/>
      <c r="X352" s="2319"/>
      <c r="Y352" s="2319"/>
      <c r="Z352" s="2566"/>
      <c r="AA352" s="2566"/>
      <c r="AB352" s="2566"/>
      <c r="AC352" s="2566"/>
      <c r="AD352" s="2323"/>
      <c r="AE352" s="2323"/>
      <c r="AF352" s="2323"/>
      <c r="AG352" s="2323"/>
      <c r="AH352" s="2323"/>
      <c r="AI352" s="2323"/>
      <c r="AJ352" s="2323"/>
      <c r="AK352" s="2898"/>
      <c r="AL352" s="2895">
        <f t="shared" si="86"/>
        <v>0</v>
      </c>
      <c r="AM352" s="2896" t="str">
        <f t="shared" si="88"/>
        <v/>
      </c>
      <c r="AN352" s="2338"/>
      <c r="AO352" s="2338"/>
      <c r="AP352" s="2338"/>
      <c r="AQ352" s="2338"/>
      <c r="AR352" s="2338"/>
      <c r="AS352" s="2338"/>
      <c r="AT352" s="2338"/>
      <c r="AU352" s="2338"/>
      <c r="AV352" s="2338"/>
      <c r="AW352" s="2338"/>
      <c r="AX352" s="2338"/>
      <c r="AY352" s="2338"/>
      <c r="AZ352" s="2338"/>
      <c r="BA352" s="2338"/>
      <c r="BB352" s="2338"/>
      <c r="BC352" s="2338"/>
      <c r="BD352" s="2338"/>
      <c r="BE352" s="2338"/>
      <c r="BF352" s="2338"/>
      <c r="BG352" s="2338"/>
      <c r="BH352" s="2338"/>
      <c r="BI352" s="2338"/>
      <c r="BJ352" s="2338"/>
      <c r="BK352" s="2338"/>
      <c r="BL352" s="2338"/>
      <c r="BM352" s="2338"/>
      <c r="BN352" s="2338"/>
      <c r="BO352" s="2338"/>
      <c r="BP352" s="2338"/>
      <c r="BQ352" s="2338"/>
      <c r="BR352" s="2338"/>
      <c r="BS352" s="2338"/>
      <c r="BT352" s="2338"/>
      <c r="BU352" s="2338"/>
      <c r="BV352" s="2338"/>
      <c r="BW352" s="2338"/>
      <c r="BX352" s="2338"/>
      <c r="BY352" s="2338"/>
      <c r="BZ352" s="2338"/>
      <c r="CA352" s="2338"/>
      <c r="CB352" s="2338"/>
      <c r="CC352" s="2338"/>
      <c r="CD352" s="2338"/>
      <c r="CE352" s="2338"/>
      <c r="CF352" s="2338"/>
      <c r="CG352" s="2338"/>
      <c r="CH352" s="2338"/>
      <c r="CI352" s="2338"/>
      <c r="CJ352" s="2338"/>
      <c r="CK352" s="2338"/>
      <c r="CL352" s="2338"/>
      <c r="CM352" s="2338"/>
      <c r="CN352" s="2338"/>
      <c r="CO352" s="2338"/>
      <c r="CP352" s="2338"/>
      <c r="CQ352" s="2338"/>
      <c r="CR352" s="2338"/>
      <c r="CS352" s="2338"/>
      <c r="CT352" s="2338"/>
      <c r="CU352" s="2338"/>
      <c r="CV352" s="2338"/>
      <c r="CW352" s="2338"/>
      <c r="CX352" s="2338"/>
      <c r="CY352" s="2338"/>
      <c r="CZ352" s="2338"/>
      <c r="DA352" s="2338"/>
      <c r="DB352" s="2338"/>
      <c r="DC352" s="2338"/>
      <c r="DD352" s="2338"/>
      <c r="DE352" s="2338"/>
      <c r="DF352" s="2338"/>
      <c r="DG352" s="2338"/>
      <c r="DH352" s="2338"/>
      <c r="DI352" s="2338"/>
      <c r="DJ352" s="2338"/>
      <c r="DK352" s="2338"/>
      <c r="DL352" s="2338"/>
      <c r="DM352" s="2338"/>
      <c r="DN352" s="2338"/>
      <c r="DO352" s="2338"/>
    </row>
    <row r="353" spans="1:119" hidden="1" outlineLevel="1">
      <c r="A353" s="2339"/>
      <c r="B353" s="3071"/>
      <c r="C353" s="3035"/>
      <c r="D353" s="3035"/>
      <c r="E353" s="3035"/>
      <c r="F353" s="3692" t="s">
        <v>3937</v>
      </c>
      <c r="G353" s="3693"/>
      <c r="H353" s="2323"/>
      <c r="I353" s="2323"/>
      <c r="J353" s="2323"/>
      <c r="K353" s="2323"/>
      <c r="L353" s="2323"/>
      <c r="M353" s="2323"/>
      <c r="N353" s="2323"/>
      <c r="O353" s="2323"/>
      <c r="P353" s="2323"/>
      <c r="Q353" s="2323"/>
      <c r="R353" s="2323"/>
      <c r="S353" s="2323"/>
      <c r="T353" s="2383"/>
      <c r="U353" s="2383"/>
      <c r="V353" s="2319"/>
      <c r="W353" s="2319"/>
      <c r="X353" s="2319"/>
      <c r="Y353" s="2319"/>
      <c r="Z353" s="2566"/>
      <c r="AA353" s="2566"/>
      <c r="AB353" s="2566"/>
      <c r="AC353" s="2566"/>
      <c r="AD353" s="2323"/>
      <c r="AE353" s="2323"/>
      <c r="AF353" s="2323"/>
      <c r="AG353" s="2323"/>
      <c r="AH353" s="2323"/>
      <c r="AI353" s="2323"/>
      <c r="AJ353" s="2323"/>
      <c r="AK353" s="2898"/>
      <c r="AL353" s="2895">
        <f t="shared" si="86"/>
        <v>0</v>
      </c>
      <c r="AM353" s="2896" t="str">
        <f t="shared" si="88"/>
        <v/>
      </c>
      <c r="AN353" s="2338"/>
      <c r="AO353" s="2338"/>
      <c r="AP353" s="2338"/>
      <c r="AQ353" s="2338"/>
      <c r="AR353" s="2338"/>
      <c r="AS353" s="2338"/>
      <c r="AT353" s="2338"/>
      <c r="AU353" s="2338"/>
      <c r="AV353" s="2338"/>
      <c r="AW353" s="2338"/>
      <c r="AX353" s="2338"/>
      <c r="AY353" s="2338"/>
      <c r="AZ353" s="2338"/>
      <c r="BA353" s="2338"/>
      <c r="BB353" s="2338"/>
      <c r="BC353" s="2338"/>
      <c r="BD353" s="2338"/>
      <c r="BE353" s="2338"/>
      <c r="BF353" s="2338"/>
      <c r="BG353" s="2338"/>
      <c r="BH353" s="2338"/>
      <c r="BI353" s="2338"/>
      <c r="BJ353" s="2338"/>
      <c r="BK353" s="2338"/>
      <c r="BL353" s="2338"/>
      <c r="BM353" s="2338"/>
      <c r="BN353" s="2338"/>
      <c r="BO353" s="2338"/>
      <c r="BP353" s="2338"/>
      <c r="BQ353" s="2338"/>
      <c r="BR353" s="2338"/>
      <c r="BS353" s="2338"/>
      <c r="BT353" s="2338"/>
      <c r="BU353" s="2338"/>
      <c r="BV353" s="2338"/>
      <c r="BW353" s="2338"/>
      <c r="BX353" s="2338"/>
      <c r="BY353" s="2338"/>
      <c r="BZ353" s="2338"/>
      <c r="CA353" s="2338"/>
      <c r="CB353" s="2338"/>
      <c r="CC353" s="2338"/>
      <c r="CD353" s="2338"/>
      <c r="CE353" s="2338"/>
      <c r="CF353" s="2338"/>
      <c r="CG353" s="2338"/>
      <c r="CH353" s="2338"/>
      <c r="CI353" s="2338"/>
      <c r="CJ353" s="2338"/>
      <c r="CK353" s="2338"/>
      <c r="CL353" s="2338"/>
      <c r="CM353" s="2338"/>
      <c r="CN353" s="2338"/>
      <c r="CO353" s="2338"/>
      <c r="CP353" s="2338"/>
      <c r="CQ353" s="2338"/>
      <c r="CR353" s="2338"/>
      <c r="CS353" s="2338"/>
      <c r="CT353" s="2338"/>
      <c r="CU353" s="2338"/>
      <c r="CV353" s="2338"/>
      <c r="CW353" s="2338"/>
      <c r="CX353" s="2338"/>
      <c r="CY353" s="2338"/>
      <c r="CZ353" s="2338"/>
      <c r="DA353" s="2338"/>
      <c r="DB353" s="2338"/>
      <c r="DC353" s="2338"/>
      <c r="DD353" s="2338"/>
      <c r="DE353" s="2338"/>
      <c r="DF353" s="2338"/>
      <c r="DG353" s="2338"/>
      <c r="DH353" s="2338"/>
      <c r="DI353" s="2338"/>
      <c r="DJ353" s="2338"/>
      <c r="DK353" s="2338"/>
      <c r="DL353" s="2338"/>
      <c r="DM353" s="2338"/>
      <c r="DN353" s="2338"/>
      <c r="DO353" s="2338"/>
    </row>
    <row r="354" spans="1:119" ht="30" hidden="1" outlineLevel="1">
      <c r="A354" s="2339"/>
      <c r="B354" s="3071"/>
      <c r="C354" s="3035"/>
      <c r="D354" s="3035"/>
      <c r="E354" s="3035" t="s">
        <v>3939</v>
      </c>
      <c r="F354" s="3692" t="s">
        <v>3933</v>
      </c>
      <c r="G354" s="3693"/>
      <c r="H354" s="2323"/>
      <c r="I354" s="2323"/>
      <c r="J354" s="2323"/>
      <c r="K354" s="2323"/>
      <c r="L354" s="2323"/>
      <c r="M354" s="2323"/>
      <c r="N354" s="2323"/>
      <c r="O354" s="2323"/>
      <c r="P354" s="2323"/>
      <c r="Q354" s="2323"/>
      <c r="R354" s="2323"/>
      <c r="S354" s="2323"/>
      <c r="T354" s="2383"/>
      <c r="U354" s="2383"/>
      <c r="V354" s="2319"/>
      <c r="W354" s="2319"/>
      <c r="X354" s="2319"/>
      <c r="Y354" s="2319"/>
      <c r="Z354" s="2566"/>
      <c r="AA354" s="2566"/>
      <c r="AB354" s="2566"/>
      <c r="AC354" s="2566"/>
      <c r="AD354" s="2323"/>
      <c r="AE354" s="2323"/>
      <c r="AF354" s="2323"/>
      <c r="AG354" s="2323"/>
      <c r="AH354" s="2323"/>
      <c r="AI354" s="2323"/>
      <c r="AJ354" s="2323"/>
      <c r="AK354" s="2898"/>
      <c r="AL354" s="2895">
        <f t="shared" si="86"/>
        <v>0</v>
      </c>
      <c r="AM354" s="2896" t="str">
        <f t="shared" si="88"/>
        <v/>
      </c>
      <c r="AN354" s="2338"/>
      <c r="AO354" s="2338"/>
      <c r="AP354" s="2338"/>
      <c r="AQ354" s="2338"/>
      <c r="AR354" s="2338"/>
      <c r="AS354" s="2338"/>
      <c r="AT354" s="2338"/>
      <c r="AU354" s="2338"/>
      <c r="AV354" s="2338"/>
      <c r="AW354" s="2338"/>
      <c r="AX354" s="2338"/>
      <c r="AY354" s="2338"/>
      <c r="AZ354" s="2338"/>
      <c r="BA354" s="2338"/>
      <c r="BB354" s="2338"/>
      <c r="BC354" s="2338"/>
      <c r="BD354" s="2338"/>
      <c r="BE354" s="2338"/>
      <c r="BF354" s="2338"/>
      <c r="BG354" s="2338"/>
      <c r="BH354" s="2338"/>
      <c r="BI354" s="2338"/>
      <c r="BJ354" s="2338"/>
      <c r="BK354" s="2338"/>
      <c r="BL354" s="2338"/>
      <c r="BM354" s="2338"/>
      <c r="BN354" s="2338"/>
      <c r="BO354" s="2338"/>
      <c r="BP354" s="2338"/>
      <c r="BQ354" s="2338"/>
      <c r="BR354" s="2338"/>
      <c r="BS354" s="2338"/>
      <c r="BT354" s="2338"/>
      <c r="BU354" s="2338"/>
      <c r="BV354" s="2338"/>
      <c r="BW354" s="2338"/>
      <c r="BX354" s="2338"/>
      <c r="BY354" s="2338"/>
      <c r="BZ354" s="2338"/>
      <c r="CA354" s="2338"/>
      <c r="CB354" s="2338"/>
      <c r="CC354" s="2338"/>
      <c r="CD354" s="2338"/>
      <c r="CE354" s="2338"/>
      <c r="CF354" s="2338"/>
      <c r="CG354" s="2338"/>
      <c r="CH354" s="2338"/>
      <c r="CI354" s="2338"/>
      <c r="CJ354" s="2338"/>
      <c r="CK354" s="2338"/>
      <c r="CL354" s="2338"/>
      <c r="CM354" s="2338"/>
      <c r="CN354" s="2338"/>
      <c r="CO354" s="2338"/>
      <c r="CP354" s="2338"/>
      <c r="CQ354" s="2338"/>
      <c r="CR354" s="2338"/>
      <c r="CS354" s="2338"/>
      <c r="CT354" s="2338"/>
      <c r="CU354" s="2338"/>
      <c r="CV354" s="2338"/>
      <c r="CW354" s="2338"/>
      <c r="CX354" s="2338"/>
      <c r="CY354" s="2338"/>
      <c r="CZ354" s="2338"/>
      <c r="DA354" s="2338"/>
      <c r="DB354" s="2338"/>
      <c r="DC354" s="2338"/>
      <c r="DD354" s="2338"/>
      <c r="DE354" s="2338"/>
      <c r="DF354" s="2338"/>
      <c r="DG354" s="2338"/>
      <c r="DH354" s="2338"/>
      <c r="DI354" s="2338"/>
      <c r="DJ354" s="2338"/>
      <c r="DK354" s="2338"/>
      <c r="DL354" s="2338"/>
      <c r="DM354" s="2338"/>
      <c r="DN354" s="2338"/>
      <c r="DO354" s="2338"/>
    </row>
    <row r="355" spans="1:119" hidden="1" outlineLevel="1">
      <c r="A355" s="2339"/>
      <c r="B355" s="3071"/>
      <c r="C355" s="3035"/>
      <c r="D355" s="3035"/>
      <c r="E355" s="3035"/>
      <c r="F355" s="3692" t="s">
        <v>3934</v>
      </c>
      <c r="G355" s="3693"/>
      <c r="H355" s="2323"/>
      <c r="I355" s="2323"/>
      <c r="J355" s="2323"/>
      <c r="K355" s="2323"/>
      <c r="L355" s="2323"/>
      <c r="M355" s="2323"/>
      <c r="N355" s="2323"/>
      <c r="O355" s="2323"/>
      <c r="P355" s="2323"/>
      <c r="Q355" s="2323"/>
      <c r="R355" s="2323"/>
      <c r="S355" s="2323"/>
      <c r="T355" s="2383"/>
      <c r="U355" s="2383"/>
      <c r="V355" s="2319"/>
      <c r="W355" s="2319"/>
      <c r="X355" s="2319"/>
      <c r="Y355" s="2319"/>
      <c r="Z355" s="2566"/>
      <c r="AA355" s="2566"/>
      <c r="AB355" s="2566"/>
      <c r="AC355" s="2566"/>
      <c r="AD355" s="2323"/>
      <c r="AE355" s="2323"/>
      <c r="AF355" s="2323"/>
      <c r="AG355" s="2323"/>
      <c r="AH355" s="2323"/>
      <c r="AI355" s="2323"/>
      <c r="AJ355" s="2323"/>
      <c r="AK355" s="2898"/>
      <c r="AL355" s="2895">
        <f t="shared" si="86"/>
        <v>0</v>
      </c>
      <c r="AM355" s="2896" t="str">
        <f t="shared" si="88"/>
        <v/>
      </c>
      <c r="AN355" s="2338"/>
      <c r="AO355" s="2338"/>
      <c r="AP355" s="2338"/>
      <c r="AQ355" s="2338"/>
      <c r="AR355" s="2338"/>
      <c r="AS355" s="2338"/>
      <c r="AT355" s="2338"/>
      <c r="AU355" s="2338"/>
      <c r="AV355" s="2338"/>
      <c r="AW355" s="2338"/>
      <c r="AX355" s="2338"/>
      <c r="AY355" s="2338"/>
      <c r="AZ355" s="2338"/>
      <c r="BA355" s="2338"/>
      <c r="BB355" s="2338"/>
      <c r="BC355" s="2338"/>
      <c r="BD355" s="2338"/>
      <c r="BE355" s="2338"/>
      <c r="BF355" s="2338"/>
      <c r="BG355" s="2338"/>
      <c r="BH355" s="2338"/>
      <c r="BI355" s="2338"/>
      <c r="BJ355" s="2338"/>
      <c r="BK355" s="2338"/>
      <c r="BL355" s="2338"/>
      <c r="BM355" s="2338"/>
      <c r="BN355" s="2338"/>
      <c r="BO355" s="2338"/>
      <c r="BP355" s="2338"/>
      <c r="BQ355" s="2338"/>
      <c r="BR355" s="2338"/>
      <c r="BS355" s="2338"/>
      <c r="BT355" s="2338"/>
      <c r="BU355" s="2338"/>
      <c r="BV355" s="2338"/>
      <c r="BW355" s="2338"/>
      <c r="BX355" s="2338"/>
      <c r="BY355" s="2338"/>
      <c r="BZ355" s="2338"/>
      <c r="CA355" s="2338"/>
      <c r="CB355" s="2338"/>
      <c r="CC355" s="2338"/>
      <c r="CD355" s="2338"/>
      <c r="CE355" s="2338"/>
      <c r="CF355" s="2338"/>
      <c r="CG355" s="2338"/>
      <c r="CH355" s="2338"/>
      <c r="CI355" s="2338"/>
      <c r="CJ355" s="2338"/>
      <c r="CK355" s="2338"/>
      <c r="CL355" s="2338"/>
      <c r="CM355" s="2338"/>
      <c r="CN355" s="2338"/>
      <c r="CO355" s="2338"/>
      <c r="CP355" s="2338"/>
      <c r="CQ355" s="2338"/>
      <c r="CR355" s="2338"/>
      <c r="CS355" s="2338"/>
      <c r="CT355" s="2338"/>
      <c r="CU355" s="2338"/>
      <c r="CV355" s="2338"/>
      <c r="CW355" s="2338"/>
      <c r="CX355" s="2338"/>
      <c r="CY355" s="2338"/>
      <c r="CZ355" s="2338"/>
      <c r="DA355" s="2338"/>
      <c r="DB355" s="2338"/>
      <c r="DC355" s="2338"/>
      <c r="DD355" s="2338"/>
      <c r="DE355" s="2338"/>
      <c r="DF355" s="2338"/>
      <c r="DG355" s="2338"/>
      <c r="DH355" s="2338"/>
      <c r="DI355" s="2338"/>
      <c r="DJ355" s="2338"/>
      <c r="DK355" s="2338"/>
      <c r="DL355" s="2338"/>
      <c r="DM355" s="2338"/>
      <c r="DN355" s="2338"/>
      <c r="DO355" s="2338"/>
    </row>
    <row r="356" spans="1:119" hidden="1" outlineLevel="1">
      <c r="A356" s="2339"/>
      <c r="B356" s="3071"/>
      <c r="C356" s="3035"/>
      <c r="D356" s="3035"/>
      <c r="E356" s="3035"/>
      <c r="F356" s="3692" t="s">
        <v>3935</v>
      </c>
      <c r="G356" s="3693"/>
      <c r="H356" s="2323"/>
      <c r="I356" s="2323"/>
      <c r="J356" s="2323"/>
      <c r="K356" s="2323"/>
      <c r="L356" s="2323"/>
      <c r="M356" s="2323"/>
      <c r="N356" s="2323"/>
      <c r="O356" s="2323"/>
      <c r="P356" s="2323"/>
      <c r="Q356" s="2323"/>
      <c r="R356" s="2323"/>
      <c r="S356" s="2323"/>
      <c r="T356" s="2383"/>
      <c r="U356" s="2383"/>
      <c r="V356" s="2319"/>
      <c r="W356" s="2319"/>
      <c r="X356" s="2319"/>
      <c r="Y356" s="2319"/>
      <c r="Z356" s="2566"/>
      <c r="AA356" s="2566"/>
      <c r="AB356" s="2566"/>
      <c r="AC356" s="2566"/>
      <c r="AD356" s="2323"/>
      <c r="AE356" s="2323"/>
      <c r="AF356" s="2323"/>
      <c r="AG356" s="2323"/>
      <c r="AH356" s="2323"/>
      <c r="AI356" s="2323"/>
      <c r="AJ356" s="2323"/>
      <c r="AK356" s="2898"/>
      <c r="AL356" s="2895">
        <f t="shared" si="86"/>
        <v>0</v>
      </c>
      <c r="AM356" s="2896" t="str">
        <f t="shared" si="88"/>
        <v/>
      </c>
      <c r="AN356" s="2338"/>
      <c r="AO356" s="2338"/>
      <c r="AP356" s="2338"/>
      <c r="AQ356" s="2338"/>
      <c r="AR356" s="2338"/>
      <c r="AS356" s="2338"/>
      <c r="AT356" s="2338"/>
      <c r="AU356" s="2338"/>
      <c r="AV356" s="2338"/>
      <c r="AW356" s="2338"/>
      <c r="AX356" s="2338"/>
      <c r="AY356" s="2338"/>
      <c r="AZ356" s="2338"/>
      <c r="BA356" s="2338"/>
      <c r="BB356" s="2338"/>
      <c r="BC356" s="2338"/>
      <c r="BD356" s="2338"/>
      <c r="BE356" s="2338"/>
      <c r="BF356" s="2338"/>
      <c r="BG356" s="2338"/>
      <c r="BH356" s="2338"/>
      <c r="BI356" s="2338"/>
      <c r="BJ356" s="2338"/>
      <c r="BK356" s="2338"/>
      <c r="BL356" s="2338"/>
      <c r="BM356" s="2338"/>
      <c r="BN356" s="2338"/>
      <c r="BO356" s="2338"/>
      <c r="BP356" s="2338"/>
      <c r="BQ356" s="2338"/>
      <c r="BR356" s="2338"/>
      <c r="BS356" s="2338"/>
      <c r="BT356" s="2338"/>
      <c r="BU356" s="2338"/>
      <c r="BV356" s="2338"/>
      <c r="BW356" s="2338"/>
      <c r="BX356" s="2338"/>
      <c r="BY356" s="2338"/>
      <c r="BZ356" s="2338"/>
      <c r="CA356" s="2338"/>
      <c r="CB356" s="2338"/>
      <c r="CC356" s="2338"/>
      <c r="CD356" s="2338"/>
      <c r="CE356" s="2338"/>
      <c r="CF356" s="2338"/>
      <c r="CG356" s="2338"/>
      <c r="CH356" s="2338"/>
      <c r="CI356" s="2338"/>
      <c r="CJ356" s="2338"/>
      <c r="CK356" s="2338"/>
      <c r="CL356" s="2338"/>
      <c r="CM356" s="2338"/>
      <c r="CN356" s="2338"/>
      <c r="CO356" s="2338"/>
      <c r="CP356" s="2338"/>
      <c r="CQ356" s="2338"/>
      <c r="CR356" s="2338"/>
      <c r="CS356" s="2338"/>
      <c r="CT356" s="2338"/>
      <c r="CU356" s="2338"/>
      <c r="CV356" s="2338"/>
      <c r="CW356" s="2338"/>
      <c r="CX356" s="2338"/>
      <c r="CY356" s="2338"/>
      <c r="CZ356" s="2338"/>
      <c r="DA356" s="2338"/>
      <c r="DB356" s="2338"/>
      <c r="DC356" s="2338"/>
      <c r="DD356" s="2338"/>
      <c r="DE356" s="2338"/>
      <c r="DF356" s="2338"/>
      <c r="DG356" s="2338"/>
      <c r="DH356" s="2338"/>
      <c r="DI356" s="2338"/>
      <c r="DJ356" s="2338"/>
      <c r="DK356" s="2338"/>
      <c r="DL356" s="2338"/>
      <c r="DM356" s="2338"/>
      <c r="DN356" s="2338"/>
      <c r="DO356" s="2338"/>
    </row>
    <row r="357" spans="1:119" hidden="1" outlineLevel="1">
      <c r="A357" s="2339"/>
      <c r="B357" s="3071"/>
      <c r="C357" s="3035"/>
      <c r="D357" s="3035"/>
      <c r="E357" s="3035"/>
      <c r="F357" s="3692" t="s">
        <v>3936</v>
      </c>
      <c r="G357" s="3693"/>
      <c r="H357" s="2323"/>
      <c r="I357" s="2323"/>
      <c r="J357" s="2323"/>
      <c r="K357" s="2323"/>
      <c r="L357" s="2323"/>
      <c r="M357" s="2323"/>
      <c r="N357" s="2323"/>
      <c r="O357" s="2323"/>
      <c r="P357" s="2323"/>
      <c r="Q357" s="2323"/>
      <c r="R357" s="2323"/>
      <c r="S357" s="2323"/>
      <c r="T357" s="2383"/>
      <c r="U357" s="2383"/>
      <c r="V357" s="2319"/>
      <c r="W357" s="2319"/>
      <c r="X357" s="2319"/>
      <c r="Y357" s="2319"/>
      <c r="Z357" s="2566"/>
      <c r="AA357" s="2566"/>
      <c r="AB357" s="2566"/>
      <c r="AC357" s="2566"/>
      <c r="AD357" s="2323"/>
      <c r="AE357" s="2323"/>
      <c r="AF357" s="2323"/>
      <c r="AG357" s="2323"/>
      <c r="AH357" s="2323"/>
      <c r="AI357" s="2323"/>
      <c r="AJ357" s="2323"/>
      <c r="AK357" s="2898"/>
      <c r="AL357" s="2895">
        <f t="shared" si="86"/>
        <v>0</v>
      </c>
      <c r="AM357" s="2896" t="str">
        <f t="shared" si="88"/>
        <v/>
      </c>
      <c r="AN357" s="2338"/>
      <c r="AO357" s="2338"/>
      <c r="AP357" s="2338"/>
      <c r="AQ357" s="2338"/>
      <c r="AR357" s="2338"/>
      <c r="AS357" s="2338"/>
      <c r="AT357" s="2338"/>
      <c r="AU357" s="2338"/>
      <c r="AV357" s="2338"/>
      <c r="AW357" s="2338"/>
      <c r="AX357" s="2338"/>
      <c r="AY357" s="2338"/>
      <c r="AZ357" s="2338"/>
      <c r="BA357" s="2338"/>
      <c r="BB357" s="2338"/>
      <c r="BC357" s="2338"/>
      <c r="BD357" s="2338"/>
      <c r="BE357" s="2338"/>
      <c r="BF357" s="2338"/>
      <c r="BG357" s="2338"/>
      <c r="BH357" s="2338"/>
      <c r="BI357" s="2338"/>
      <c r="BJ357" s="2338"/>
      <c r="BK357" s="2338"/>
      <c r="BL357" s="2338"/>
      <c r="BM357" s="2338"/>
      <c r="BN357" s="2338"/>
      <c r="BO357" s="2338"/>
      <c r="BP357" s="2338"/>
      <c r="BQ357" s="2338"/>
      <c r="BR357" s="2338"/>
      <c r="BS357" s="2338"/>
      <c r="BT357" s="2338"/>
      <c r="BU357" s="2338"/>
      <c r="BV357" s="2338"/>
      <c r="BW357" s="2338"/>
      <c r="BX357" s="2338"/>
      <c r="BY357" s="2338"/>
      <c r="BZ357" s="2338"/>
      <c r="CA357" s="2338"/>
      <c r="CB357" s="2338"/>
      <c r="CC357" s="2338"/>
      <c r="CD357" s="2338"/>
      <c r="CE357" s="2338"/>
      <c r="CF357" s="2338"/>
      <c r="CG357" s="2338"/>
      <c r="CH357" s="2338"/>
      <c r="CI357" s="2338"/>
      <c r="CJ357" s="2338"/>
      <c r="CK357" s="2338"/>
      <c r="CL357" s="2338"/>
      <c r="CM357" s="2338"/>
      <c r="CN357" s="2338"/>
      <c r="CO357" s="2338"/>
      <c r="CP357" s="2338"/>
      <c r="CQ357" s="2338"/>
      <c r="CR357" s="2338"/>
      <c r="CS357" s="2338"/>
      <c r="CT357" s="2338"/>
      <c r="CU357" s="2338"/>
      <c r="CV357" s="2338"/>
      <c r="CW357" s="2338"/>
      <c r="CX357" s="2338"/>
      <c r="CY357" s="2338"/>
      <c r="CZ357" s="2338"/>
      <c r="DA357" s="2338"/>
      <c r="DB357" s="2338"/>
      <c r="DC357" s="2338"/>
      <c r="DD357" s="2338"/>
      <c r="DE357" s="2338"/>
      <c r="DF357" s="2338"/>
      <c r="DG357" s="2338"/>
      <c r="DH357" s="2338"/>
      <c r="DI357" s="2338"/>
      <c r="DJ357" s="2338"/>
      <c r="DK357" s="2338"/>
      <c r="DL357" s="2338"/>
      <c r="DM357" s="2338"/>
      <c r="DN357" s="2338"/>
      <c r="DO357" s="2338"/>
    </row>
    <row r="358" spans="1:119" hidden="1" outlineLevel="1">
      <c r="A358" s="2339"/>
      <c r="B358" s="3071"/>
      <c r="C358" s="3035"/>
      <c r="D358" s="3035"/>
      <c r="E358" s="3035"/>
      <c r="F358" s="3692" t="s">
        <v>3937</v>
      </c>
      <c r="G358" s="3693"/>
      <c r="H358" s="2323"/>
      <c r="I358" s="2323"/>
      <c r="J358" s="2323"/>
      <c r="K358" s="2323"/>
      <c r="L358" s="2323"/>
      <c r="M358" s="2323"/>
      <c r="N358" s="2323"/>
      <c r="O358" s="2323"/>
      <c r="P358" s="2323"/>
      <c r="Q358" s="2323"/>
      <c r="R358" s="2323"/>
      <c r="S358" s="2323"/>
      <c r="T358" s="2383"/>
      <c r="U358" s="2383"/>
      <c r="V358" s="2319"/>
      <c r="W358" s="2319"/>
      <c r="X358" s="2319"/>
      <c r="Y358" s="2319"/>
      <c r="Z358" s="2566"/>
      <c r="AA358" s="2566"/>
      <c r="AB358" s="2566"/>
      <c r="AC358" s="2566"/>
      <c r="AD358" s="2323"/>
      <c r="AE358" s="2323"/>
      <c r="AF358" s="2323"/>
      <c r="AG358" s="2323"/>
      <c r="AH358" s="2323"/>
      <c r="AI358" s="2323"/>
      <c r="AJ358" s="2323"/>
      <c r="AK358" s="2898"/>
      <c r="AL358" s="2895">
        <f t="shared" si="86"/>
        <v>0</v>
      </c>
      <c r="AM358" s="2896" t="str">
        <f t="shared" si="88"/>
        <v/>
      </c>
      <c r="AN358" s="2338"/>
      <c r="AO358" s="2338"/>
      <c r="AP358" s="2338"/>
      <c r="AQ358" s="2338"/>
      <c r="AR358" s="2338"/>
      <c r="AS358" s="2338"/>
      <c r="AT358" s="2338"/>
      <c r="AU358" s="2338"/>
      <c r="AV358" s="2338"/>
      <c r="AW358" s="2338"/>
      <c r="AX358" s="2338"/>
      <c r="AY358" s="2338"/>
      <c r="AZ358" s="2338"/>
      <c r="BA358" s="2338"/>
      <c r="BB358" s="2338"/>
      <c r="BC358" s="2338"/>
      <c r="BD358" s="2338"/>
      <c r="BE358" s="2338"/>
      <c r="BF358" s="2338"/>
      <c r="BG358" s="2338"/>
      <c r="BH358" s="2338"/>
      <c r="BI358" s="2338"/>
      <c r="BJ358" s="2338"/>
      <c r="BK358" s="2338"/>
      <c r="BL358" s="2338"/>
      <c r="BM358" s="2338"/>
      <c r="BN358" s="2338"/>
      <c r="BO358" s="2338"/>
      <c r="BP358" s="2338"/>
      <c r="BQ358" s="2338"/>
      <c r="BR358" s="2338"/>
      <c r="BS358" s="2338"/>
      <c r="BT358" s="2338"/>
      <c r="BU358" s="2338"/>
      <c r="BV358" s="2338"/>
      <c r="BW358" s="2338"/>
      <c r="BX358" s="2338"/>
      <c r="BY358" s="2338"/>
      <c r="BZ358" s="2338"/>
      <c r="CA358" s="2338"/>
      <c r="CB358" s="2338"/>
      <c r="CC358" s="2338"/>
      <c r="CD358" s="2338"/>
      <c r="CE358" s="2338"/>
      <c r="CF358" s="2338"/>
      <c r="CG358" s="2338"/>
      <c r="CH358" s="2338"/>
      <c r="CI358" s="2338"/>
      <c r="CJ358" s="2338"/>
      <c r="CK358" s="2338"/>
      <c r="CL358" s="2338"/>
      <c r="CM358" s="2338"/>
      <c r="CN358" s="2338"/>
      <c r="CO358" s="2338"/>
      <c r="CP358" s="2338"/>
      <c r="CQ358" s="2338"/>
      <c r="CR358" s="2338"/>
      <c r="CS358" s="2338"/>
      <c r="CT358" s="2338"/>
      <c r="CU358" s="2338"/>
      <c r="CV358" s="2338"/>
      <c r="CW358" s="2338"/>
      <c r="CX358" s="2338"/>
      <c r="CY358" s="2338"/>
      <c r="CZ358" s="2338"/>
      <c r="DA358" s="2338"/>
      <c r="DB358" s="2338"/>
      <c r="DC358" s="2338"/>
      <c r="DD358" s="2338"/>
      <c r="DE358" s="2338"/>
      <c r="DF358" s="2338"/>
      <c r="DG358" s="2338"/>
      <c r="DH358" s="2338"/>
      <c r="DI358" s="2338"/>
      <c r="DJ358" s="2338"/>
      <c r="DK358" s="2338"/>
      <c r="DL358" s="2338"/>
      <c r="DM358" s="2338"/>
      <c r="DN358" s="2338"/>
      <c r="DO358" s="2338"/>
    </row>
    <row r="359" spans="1:119" ht="30" hidden="1" outlineLevel="1">
      <c r="A359" s="2339"/>
      <c r="B359" s="3033" t="s">
        <v>2948</v>
      </c>
      <c r="C359" s="3028"/>
      <c r="D359" s="3028"/>
      <c r="E359" s="3035" t="s">
        <v>3932</v>
      </c>
      <c r="F359" s="3692" t="s">
        <v>3933</v>
      </c>
      <c r="G359" s="3693"/>
      <c r="H359" s="2323"/>
      <c r="I359" s="2323"/>
      <c r="J359" s="2323"/>
      <c r="K359" s="2323"/>
      <c r="L359" s="2323"/>
      <c r="M359" s="2323"/>
      <c r="N359" s="2323"/>
      <c r="O359" s="2323"/>
      <c r="P359" s="2323"/>
      <c r="Q359" s="2323"/>
      <c r="R359" s="2323"/>
      <c r="S359" s="2323"/>
      <c r="T359" s="2383"/>
      <c r="U359" s="2383"/>
      <c r="V359" s="2319"/>
      <c r="W359" s="2319"/>
      <c r="X359" s="2319"/>
      <c r="Y359" s="2319"/>
      <c r="Z359" s="2566"/>
      <c r="AA359" s="2566"/>
      <c r="AB359" s="2566"/>
      <c r="AC359" s="2566"/>
      <c r="AD359" s="2323"/>
      <c r="AE359" s="2323"/>
      <c r="AF359" s="2323"/>
      <c r="AG359" s="2323"/>
      <c r="AH359" s="2323"/>
      <c r="AI359" s="2323"/>
      <c r="AJ359" s="2323"/>
      <c r="AK359" s="2898"/>
      <c r="AL359" s="2895">
        <f t="shared" si="86"/>
        <v>0</v>
      </c>
      <c r="AM359" s="2896" t="str">
        <f t="shared" si="88"/>
        <v/>
      </c>
      <c r="AN359" s="2338"/>
      <c r="AO359" s="2338"/>
      <c r="AP359" s="2338"/>
      <c r="AQ359" s="2338"/>
      <c r="AR359" s="2338"/>
      <c r="AS359" s="2338"/>
      <c r="AT359" s="2338"/>
      <c r="AU359" s="2338"/>
      <c r="AV359" s="2338"/>
      <c r="AW359" s="2338"/>
      <c r="AX359" s="2338"/>
      <c r="AY359" s="2338"/>
      <c r="AZ359" s="2338"/>
      <c r="BA359" s="2338"/>
      <c r="BB359" s="2338"/>
      <c r="BC359" s="2338"/>
      <c r="BD359" s="2338"/>
      <c r="BE359" s="2338"/>
      <c r="BF359" s="2338"/>
      <c r="BG359" s="2338"/>
      <c r="BH359" s="2338"/>
      <c r="BI359" s="2338"/>
      <c r="BJ359" s="2338"/>
      <c r="BK359" s="2338"/>
      <c r="BL359" s="2338"/>
      <c r="BM359" s="2338"/>
      <c r="BN359" s="2338"/>
      <c r="BO359" s="2338"/>
      <c r="BP359" s="2338"/>
      <c r="BQ359" s="2338"/>
      <c r="BR359" s="2338"/>
      <c r="BS359" s="2338"/>
      <c r="BT359" s="2338"/>
      <c r="BU359" s="2338"/>
      <c r="BV359" s="2338"/>
      <c r="BW359" s="2338"/>
      <c r="BX359" s="2338"/>
      <c r="BY359" s="2338"/>
      <c r="BZ359" s="2338"/>
      <c r="CA359" s="2338"/>
      <c r="CB359" s="2338"/>
      <c r="CC359" s="2338"/>
      <c r="CD359" s="2338"/>
      <c r="CE359" s="2338"/>
      <c r="CF359" s="2338"/>
      <c r="CG359" s="2338"/>
      <c r="CH359" s="2338"/>
      <c r="CI359" s="2338"/>
      <c r="CJ359" s="2338"/>
      <c r="CK359" s="2338"/>
      <c r="CL359" s="2338"/>
      <c r="CM359" s="2338"/>
      <c r="CN359" s="2338"/>
      <c r="CO359" s="2338"/>
      <c r="CP359" s="2338"/>
      <c r="CQ359" s="2338"/>
      <c r="CR359" s="2338"/>
      <c r="CS359" s="2338"/>
      <c r="CT359" s="2338"/>
      <c r="CU359" s="2338"/>
      <c r="CV359" s="2338"/>
      <c r="CW359" s="2338"/>
      <c r="CX359" s="2338"/>
      <c r="CY359" s="2338"/>
      <c r="CZ359" s="2338"/>
      <c r="DA359" s="2338"/>
      <c r="DB359" s="2338"/>
      <c r="DC359" s="2338"/>
      <c r="DD359" s="2338"/>
      <c r="DE359" s="2338"/>
      <c r="DF359" s="2338"/>
      <c r="DG359" s="2338"/>
      <c r="DH359" s="2338"/>
      <c r="DI359" s="2338"/>
      <c r="DJ359" s="2338"/>
      <c r="DK359" s="2338"/>
      <c r="DL359" s="2338"/>
      <c r="DM359" s="2338"/>
      <c r="DN359" s="2338"/>
      <c r="DO359" s="2338"/>
    </row>
    <row r="360" spans="1:119" hidden="1" outlineLevel="1">
      <c r="A360" s="2339"/>
      <c r="B360" s="3033"/>
      <c r="C360" s="3028"/>
      <c r="D360" s="3028"/>
      <c r="E360" s="3035"/>
      <c r="F360" s="3692" t="s">
        <v>3934</v>
      </c>
      <c r="G360" s="3693"/>
      <c r="H360" s="2323"/>
      <c r="I360" s="2323"/>
      <c r="J360" s="2323"/>
      <c r="K360" s="2323"/>
      <c r="L360" s="2323"/>
      <c r="M360" s="2323"/>
      <c r="N360" s="2323"/>
      <c r="O360" s="2323"/>
      <c r="P360" s="2323"/>
      <c r="Q360" s="2323"/>
      <c r="R360" s="2323"/>
      <c r="S360" s="2323"/>
      <c r="T360" s="2383"/>
      <c r="U360" s="2383"/>
      <c r="V360" s="2319"/>
      <c r="W360" s="2319"/>
      <c r="X360" s="2319"/>
      <c r="Y360" s="2319"/>
      <c r="Z360" s="2566"/>
      <c r="AA360" s="2566"/>
      <c r="AB360" s="2566"/>
      <c r="AC360" s="2566"/>
      <c r="AD360" s="2323"/>
      <c r="AE360" s="2323"/>
      <c r="AF360" s="2323"/>
      <c r="AG360" s="2323"/>
      <c r="AH360" s="2323"/>
      <c r="AI360" s="2323"/>
      <c r="AJ360" s="2323"/>
      <c r="AK360" s="2898"/>
      <c r="AL360" s="2895">
        <f t="shared" si="86"/>
        <v>0</v>
      </c>
      <c r="AM360" s="2896" t="str">
        <f t="shared" si="88"/>
        <v/>
      </c>
      <c r="AN360" s="2338"/>
      <c r="AO360" s="2338"/>
      <c r="AP360" s="2338"/>
      <c r="AQ360" s="2338"/>
      <c r="AR360" s="2338"/>
      <c r="AS360" s="2338"/>
      <c r="AT360" s="2338"/>
      <c r="AU360" s="2338"/>
      <c r="AV360" s="2338"/>
      <c r="AW360" s="2338"/>
      <c r="AX360" s="2338"/>
      <c r="AY360" s="2338"/>
      <c r="AZ360" s="2338"/>
      <c r="BA360" s="2338"/>
      <c r="BB360" s="2338"/>
      <c r="BC360" s="2338"/>
      <c r="BD360" s="2338"/>
      <c r="BE360" s="2338"/>
      <c r="BF360" s="2338"/>
      <c r="BG360" s="2338"/>
      <c r="BH360" s="2338"/>
      <c r="BI360" s="2338"/>
      <c r="BJ360" s="2338"/>
      <c r="BK360" s="2338"/>
      <c r="BL360" s="2338"/>
      <c r="BM360" s="2338"/>
      <c r="BN360" s="2338"/>
      <c r="BO360" s="2338"/>
      <c r="BP360" s="2338"/>
      <c r="BQ360" s="2338"/>
      <c r="BR360" s="2338"/>
      <c r="BS360" s="2338"/>
      <c r="BT360" s="2338"/>
      <c r="BU360" s="2338"/>
      <c r="BV360" s="2338"/>
      <c r="BW360" s="2338"/>
      <c r="BX360" s="2338"/>
      <c r="BY360" s="2338"/>
      <c r="BZ360" s="2338"/>
      <c r="CA360" s="2338"/>
      <c r="CB360" s="2338"/>
      <c r="CC360" s="2338"/>
      <c r="CD360" s="2338"/>
      <c r="CE360" s="2338"/>
      <c r="CF360" s="2338"/>
      <c r="CG360" s="2338"/>
      <c r="CH360" s="2338"/>
      <c r="CI360" s="2338"/>
      <c r="CJ360" s="2338"/>
      <c r="CK360" s="2338"/>
      <c r="CL360" s="2338"/>
      <c r="CM360" s="2338"/>
      <c r="CN360" s="2338"/>
      <c r="CO360" s="2338"/>
      <c r="CP360" s="2338"/>
      <c r="CQ360" s="2338"/>
      <c r="CR360" s="2338"/>
      <c r="CS360" s="2338"/>
      <c r="CT360" s="2338"/>
      <c r="CU360" s="2338"/>
      <c r="CV360" s="2338"/>
      <c r="CW360" s="2338"/>
      <c r="CX360" s="2338"/>
      <c r="CY360" s="2338"/>
      <c r="CZ360" s="2338"/>
      <c r="DA360" s="2338"/>
      <c r="DB360" s="2338"/>
      <c r="DC360" s="2338"/>
      <c r="DD360" s="2338"/>
      <c r="DE360" s="2338"/>
      <c r="DF360" s="2338"/>
      <c r="DG360" s="2338"/>
      <c r="DH360" s="2338"/>
      <c r="DI360" s="2338"/>
      <c r="DJ360" s="2338"/>
      <c r="DK360" s="2338"/>
      <c r="DL360" s="2338"/>
      <c r="DM360" s="2338"/>
      <c r="DN360" s="2338"/>
      <c r="DO360" s="2338"/>
    </row>
    <row r="361" spans="1:119" hidden="1" outlineLevel="1">
      <c r="A361" s="2339"/>
      <c r="B361" s="3033"/>
      <c r="C361" s="3028"/>
      <c r="D361" s="3028"/>
      <c r="E361" s="3035"/>
      <c r="F361" s="3692" t="s">
        <v>3935</v>
      </c>
      <c r="G361" s="3693"/>
      <c r="H361" s="2323"/>
      <c r="I361" s="2323"/>
      <c r="J361" s="2323"/>
      <c r="K361" s="2323"/>
      <c r="L361" s="2323"/>
      <c r="M361" s="2323"/>
      <c r="N361" s="2323"/>
      <c r="O361" s="2323"/>
      <c r="P361" s="2323"/>
      <c r="Q361" s="2323"/>
      <c r="R361" s="2323"/>
      <c r="S361" s="2323"/>
      <c r="T361" s="2383"/>
      <c r="U361" s="2383"/>
      <c r="V361" s="2319"/>
      <c r="W361" s="2319"/>
      <c r="X361" s="2319"/>
      <c r="Y361" s="2319"/>
      <c r="Z361" s="2566"/>
      <c r="AA361" s="2566"/>
      <c r="AB361" s="2566"/>
      <c r="AC361" s="2566"/>
      <c r="AD361" s="2323"/>
      <c r="AE361" s="2323"/>
      <c r="AF361" s="2323"/>
      <c r="AG361" s="2323"/>
      <c r="AH361" s="2323"/>
      <c r="AI361" s="2323"/>
      <c r="AJ361" s="2323"/>
      <c r="AK361" s="2898"/>
      <c r="AL361" s="2895">
        <f t="shared" si="86"/>
        <v>0</v>
      </c>
      <c r="AM361" s="2896" t="str">
        <f t="shared" si="88"/>
        <v/>
      </c>
      <c r="AN361" s="2338"/>
      <c r="AO361" s="2338"/>
      <c r="AP361" s="2338"/>
      <c r="AQ361" s="2338"/>
      <c r="AR361" s="2338"/>
      <c r="AS361" s="2338"/>
      <c r="AT361" s="2338"/>
      <c r="AU361" s="2338"/>
      <c r="AV361" s="2338"/>
      <c r="AW361" s="2338"/>
      <c r="AX361" s="2338"/>
      <c r="AY361" s="2338"/>
      <c r="AZ361" s="2338"/>
      <c r="BA361" s="2338"/>
      <c r="BB361" s="2338"/>
      <c r="BC361" s="2338"/>
      <c r="BD361" s="2338"/>
      <c r="BE361" s="2338"/>
      <c r="BF361" s="2338"/>
      <c r="BG361" s="2338"/>
      <c r="BH361" s="2338"/>
      <c r="BI361" s="2338"/>
      <c r="BJ361" s="2338"/>
      <c r="BK361" s="2338"/>
      <c r="BL361" s="2338"/>
      <c r="BM361" s="2338"/>
      <c r="BN361" s="2338"/>
      <c r="BO361" s="2338"/>
      <c r="BP361" s="2338"/>
      <c r="BQ361" s="2338"/>
      <c r="BR361" s="2338"/>
      <c r="BS361" s="2338"/>
      <c r="BT361" s="2338"/>
      <c r="BU361" s="2338"/>
      <c r="BV361" s="2338"/>
      <c r="BW361" s="2338"/>
      <c r="BX361" s="2338"/>
      <c r="BY361" s="2338"/>
      <c r="BZ361" s="2338"/>
      <c r="CA361" s="2338"/>
      <c r="CB361" s="2338"/>
      <c r="CC361" s="2338"/>
      <c r="CD361" s="2338"/>
      <c r="CE361" s="2338"/>
      <c r="CF361" s="2338"/>
      <c r="CG361" s="2338"/>
      <c r="CH361" s="2338"/>
      <c r="CI361" s="2338"/>
      <c r="CJ361" s="2338"/>
      <c r="CK361" s="2338"/>
      <c r="CL361" s="2338"/>
      <c r="CM361" s="2338"/>
      <c r="CN361" s="2338"/>
      <c r="CO361" s="2338"/>
      <c r="CP361" s="2338"/>
      <c r="CQ361" s="2338"/>
      <c r="CR361" s="2338"/>
      <c r="CS361" s="2338"/>
      <c r="CT361" s="2338"/>
      <c r="CU361" s="2338"/>
      <c r="CV361" s="2338"/>
      <c r="CW361" s="2338"/>
      <c r="CX361" s="2338"/>
      <c r="CY361" s="2338"/>
      <c r="CZ361" s="2338"/>
      <c r="DA361" s="2338"/>
      <c r="DB361" s="2338"/>
      <c r="DC361" s="2338"/>
      <c r="DD361" s="2338"/>
      <c r="DE361" s="2338"/>
      <c r="DF361" s="2338"/>
      <c r="DG361" s="2338"/>
      <c r="DH361" s="2338"/>
      <c r="DI361" s="2338"/>
      <c r="DJ361" s="2338"/>
      <c r="DK361" s="2338"/>
      <c r="DL361" s="2338"/>
      <c r="DM361" s="2338"/>
      <c r="DN361" s="2338"/>
      <c r="DO361" s="2338"/>
    </row>
    <row r="362" spans="1:119" hidden="1" outlineLevel="1">
      <c r="A362" s="2339"/>
      <c r="B362" s="3033"/>
      <c r="C362" s="3028"/>
      <c r="D362" s="3028"/>
      <c r="E362" s="3035"/>
      <c r="F362" s="3692" t="s">
        <v>3936</v>
      </c>
      <c r="G362" s="3693"/>
      <c r="H362" s="2323"/>
      <c r="I362" s="2323"/>
      <c r="J362" s="2323"/>
      <c r="K362" s="2323"/>
      <c r="L362" s="2323"/>
      <c r="M362" s="2323"/>
      <c r="N362" s="2323"/>
      <c r="O362" s="2323"/>
      <c r="P362" s="2323"/>
      <c r="Q362" s="2323"/>
      <c r="R362" s="2323"/>
      <c r="S362" s="2323"/>
      <c r="T362" s="2383"/>
      <c r="U362" s="2383"/>
      <c r="V362" s="2319"/>
      <c r="W362" s="2319"/>
      <c r="X362" s="2319"/>
      <c r="Y362" s="2319"/>
      <c r="Z362" s="2566"/>
      <c r="AA362" s="2566"/>
      <c r="AB362" s="2566"/>
      <c r="AC362" s="2566"/>
      <c r="AD362" s="2323"/>
      <c r="AE362" s="2323"/>
      <c r="AF362" s="2323"/>
      <c r="AG362" s="2323"/>
      <c r="AH362" s="2323"/>
      <c r="AI362" s="2323"/>
      <c r="AJ362" s="2323"/>
      <c r="AK362" s="2898"/>
      <c r="AL362" s="2895">
        <f t="shared" si="86"/>
        <v>0</v>
      </c>
      <c r="AM362" s="2896" t="str">
        <f t="shared" si="88"/>
        <v/>
      </c>
      <c r="AN362" s="2338"/>
      <c r="AO362" s="2338"/>
      <c r="AP362" s="2338"/>
      <c r="AQ362" s="2338"/>
      <c r="AR362" s="2338"/>
      <c r="AS362" s="2338"/>
      <c r="AT362" s="2338"/>
      <c r="AU362" s="2338"/>
      <c r="AV362" s="2338"/>
      <c r="AW362" s="2338"/>
      <c r="AX362" s="2338"/>
      <c r="AY362" s="2338"/>
      <c r="AZ362" s="2338"/>
      <c r="BA362" s="2338"/>
      <c r="BB362" s="2338"/>
      <c r="BC362" s="2338"/>
      <c r="BD362" s="2338"/>
      <c r="BE362" s="2338"/>
      <c r="BF362" s="2338"/>
      <c r="BG362" s="2338"/>
      <c r="BH362" s="2338"/>
      <c r="BI362" s="2338"/>
      <c r="BJ362" s="2338"/>
      <c r="BK362" s="2338"/>
      <c r="BL362" s="2338"/>
      <c r="BM362" s="2338"/>
      <c r="BN362" s="2338"/>
      <c r="BO362" s="2338"/>
      <c r="BP362" s="2338"/>
      <c r="BQ362" s="2338"/>
      <c r="BR362" s="2338"/>
      <c r="BS362" s="2338"/>
      <c r="BT362" s="2338"/>
      <c r="BU362" s="2338"/>
      <c r="BV362" s="2338"/>
      <c r="BW362" s="2338"/>
      <c r="BX362" s="2338"/>
      <c r="BY362" s="2338"/>
      <c r="BZ362" s="2338"/>
      <c r="CA362" s="2338"/>
      <c r="CB362" s="2338"/>
      <c r="CC362" s="2338"/>
      <c r="CD362" s="2338"/>
      <c r="CE362" s="2338"/>
      <c r="CF362" s="2338"/>
      <c r="CG362" s="2338"/>
      <c r="CH362" s="2338"/>
      <c r="CI362" s="2338"/>
      <c r="CJ362" s="2338"/>
      <c r="CK362" s="2338"/>
      <c r="CL362" s="2338"/>
      <c r="CM362" s="2338"/>
      <c r="CN362" s="2338"/>
      <c r="CO362" s="2338"/>
      <c r="CP362" s="2338"/>
      <c r="CQ362" s="2338"/>
      <c r="CR362" s="2338"/>
      <c r="CS362" s="2338"/>
      <c r="CT362" s="2338"/>
      <c r="CU362" s="2338"/>
      <c r="CV362" s="2338"/>
      <c r="CW362" s="2338"/>
      <c r="CX362" s="2338"/>
      <c r="CY362" s="2338"/>
      <c r="CZ362" s="2338"/>
      <c r="DA362" s="2338"/>
      <c r="DB362" s="2338"/>
      <c r="DC362" s="2338"/>
      <c r="DD362" s="2338"/>
      <c r="DE362" s="2338"/>
      <c r="DF362" s="2338"/>
      <c r="DG362" s="2338"/>
      <c r="DH362" s="2338"/>
      <c r="DI362" s="2338"/>
      <c r="DJ362" s="2338"/>
      <c r="DK362" s="2338"/>
      <c r="DL362" s="2338"/>
      <c r="DM362" s="2338"/>
      <c r="DN362" s="2338"/>
      <c r="DO362" s="2338"/>
    </row>
    <row r="363" spans="1:119" hidden="1" outlineLevel="1">
      <c r="A363" s="2339"/>
      <c r="B363" s="3033"/>
      <c r="C363" s="3028"/>
      <c r="D363" s="3028"/>
      <c r="E363" s="3035"/>
      <c r="F363" s="3692" t="s">
        <v>3937</v>
      </c>
      <c r="G363" s="3693"/>
      <c r="H363" s="2323"/>
      <c r="I363" s="2323"/>
      <c r="J363" s="2323"/>
      <c r="K363" s="2323"/>
      <c r="L363" s="2323"/>
      <c r="M363" s="2323"/>
      <c r="N363" s="2323"/>
      <c r="O363" s="2323"/>
      <c r="P363" s="2323"/>
      <c r="Q363" s="2323"/>
      <c r="R363" s="2323"/>
      <c r="S363" s="2323"/>
      <c r="T363" s="2383"/>
      <c r="U363" s="2383"/>
      <c r="V363" s="2319"/>
      <c r="W363" s="2319"/>
      <c r="X363" s="2319"/>
      <c r="Y363" s="2319"/>
      <c r="Z363" s="2566"/>
      <c r="AA363" s="2566"/>
      <c r="AB363" s="2566"/>
      <c r="AC363" s="2566"/>
      <c r="AD363" s="2323"/>
      <c r="AE363" s="2323"/>
      <c r="AF363" s="2323"/>
      <c r="AG363" s="2323"/>
      <c r="AH363" s="2323"/>
      <c r="AI363" s="2323"/>
      <c r="AJ363" s="2323"/>
      <c r="AK363" s="2898"/>
      <c r="AL363" s="2895">
        <f t="shared" si="86"/>
        <v>0</v>
      </c>
      <c r="AM363" s="2896" t="str">
        <f t="shared" si="88"/>
        <v/>
      </c>
      <c r="AN363" s="2338"/>
      <c r="AO363" s="2338"/>
      <c r="AP363" s="2338"/>
      <c r="AQ363" s="2338"/>
      <c r="AR363" s="2338"/>
      <c r="AS363" s="2338"/>
      <c r="AT363" s="2338"/>
      <c r="AU363" s="2338"/>
      <c r="AV363" s="2338"/>
      <c r="AW363" s="2338"/>
      <c r="AX363" s="2338"/>
      <c r="AY363" s="2338"/>
      <c r="AZ363" s="2338"/>
      <c r="BA363" s="2338"/>
      <c r="BB363" s="2338"/>
      <c r="BC363" s="2338"/>
      <c r="BD363" s="2338"/>
      <c r="BE363" s="2338"/>
      <c r="BF363" s="2338"/>
      <c r="BG363" s="2338"/>
      <c r="BH363" s="2338"/>
      <c r="BI363" s="2338"/>
      <c r="BJ363" s="2338"/>
      <c r="BK363" s="2338"/>
      <c r="BL363" s="2338"/>
      <c r="BM363" s="2338"/>
      <c r="BN363" s="2338"/>
      <c r="BO363" s="2338"/>
      <c r="BP363" s="2338"/>
      <c r="BQ363" s="2338"/>
      <c r="BR363" s="2338"/>
      <c r="BS363" s="2338"/>
      <c r="BT363" s="2338"/>
      <c r="BU363" s="2338"/>
      <c r="BV363" s="2338"/>
      <c r="BW363" s="2338"/>
      <c r="BX363" s="2338"/>
      <c r="BY363" s="2338"/>
      <c r="BZ363" s="2338"/>
      <c r="CA363" s="2338"/>
      <c r="CB363" s="2338"/>
      <c r="CC363" s="2338"/>
      <c r="CD363" s="2338"/>
      <c r="CE363" s="2338"/>
      <c r="CF363" s="2338"/>
      <c r="CG363" s="2338"/>
      <c r="CH363" s="2338"/>
      <c r="CI363" s="2338"/>
      <c r="CJ363" s="2338"/>
      <c r="CK363" s="2338"/>
      <c r="CL363" s="2338"/>
      <c r="CM363" s="2338"/>
      <c r="CN363" s="2338"/>
      <c r="CO363" s="2338"/>
      <c r="CP363" s="2338"/>
      <c r="CQ363" s="2338"/>
      <c r="CR363" s="2338"/>
      <c r="CS363" s="2338"/>
      <c r="CT363" s="2338"/>
      <c r="CU363" s="2338"/>
      <c r="CV363" s="2338"/>
      <c r="CW363" s="2338"/>
      <c r="CX363" s="2338"/>
      <c r="CY363" s="2338"/>
      <c r="CZ363" s="2338"/>
      <c r="DA363" s="2338"/>
      <c r="DB363" s="2338"/>
      <c r="DC363" s="2338"/>
      <c r="DD363" s="2338"/>
      <c r="DE363" s="2338"/>
      <c r="DF363" s="2338"/>
      <c r="DG363" s="2338"/>
      <c r="DH363" s="2338"/>
      <c r="DI363" s="2338"/>
      <c r="DJ363" s="2338"/>
      <c r="DK363" s="2338"/>
      <c r="DL363" s="2338"/>
      <c r="DM363" s="2338"/>
      <c r="DN363" s="2338"/>
      <c r="DO363" s="2338"/>
    </row>
    <row r="364" spans="1:119" ht="30" hidden="1" outlineLevel="1">
      <c r="A364" s="2339"/>
      <c r="B364" s="3033"/>
      <c r="C364" s="3028"/>
      <c r="D364" s="3028"/>
      <c r="E364" s="3035" t="s">
        <v>3938</v>
      </c>
      <c r="F364" s="3692" t="s">
        <v>3933</v>
      </c>
      <c r="G364" s="3693"/>
      <c r="H364" s="2323"/>
      <c r="I364" s="2323"/>
      <c r="J364" s="2323"/>
      <c r="K364" s="2323"/>
      <c r="L364" s="2323"/>
      <c r="M364" s="2323"/>
      <c r="N364" s="2323"/>
      <c r="O364" s="2323"/>
      <c r="P364" s="2323"/>
      <c r="Q364" s="2323"/>
      <c r="R364" s="2323"/>
      <c r="S364" s="2323"/>
      <c r="T364" s="2383"/>
      <c r="U364" s="2383"/>
      <c r="V364" s="2319"/>
      <c r="W364" s="2319"/>
      <c r="X364" s="2319"/>
      <c r="Y364" s="2319"/>
      <c r="Z364" s="2566"/>
      <c r="AA364" s="2566"/>
      <c r="AB364" s="2566"/>
      <c r="AC364" s="2566"/>
      <c r="AD364" s="2323"/>
      <c r="AE364" s="2323"/>
      <c r="AF364" s="2323"/>
      <c r="AG364" s="2323"/>
      <c r="AH364" s="2323"/>
      <c r="AI364" s="2323"/>
      <c r="AJ364" s="2323"/>
      <c r="AK364" s="2898"/>
      <c r="AL364" s="2895">
        <f t="shared" si="86"/>
        <v>0</v>
      </c>
      <c r="AM364" s="2896" t="str">
        <f t="shared" si="88"/>
        <v/>
      </c>
      <c r="AN364" s="2338"/>
      <c r="AO364" s="2338"/>
      <c r="AP364" s="2338"/>
      <c r="AQ364" s="2338"/>
      <c r="AR364" s="2338"/>
      <c r="AS364" s="2338"/>
      <c r="AT364" s="2338"/>
      <c r="AU364" s="2338"/>
      <c r="AV364" s="2338"/>
      <c r="AW364" s="2338"/>
      <c r="AX364" s="2338"/>
      <c r="AY364" s="2338"/>
      <c r="AZ364" s="2338"/>
      <c r="BA364" s="2338"/>
      <c r="BB364" s="2338"/>
      <c r="BC364" s="2338"/>
      <c r="BD364" s="2338"/>
      <c r="BE364" s="2338"/>
      <c r="BF364" s="2338"/>
      <c r="BG364" s="2338"/>
      <c r="BH364" s="2338"/>
      <c r="BI364" s="2338"/>
      <c r="BJ364" s="2338"/>
      <c r="BK364" s="2338"/>
      <c r="BL364" s="2338"/>
      <c r="BM364" s="2338"/>
      <c r="BN364" s="2338"/>
      <c r="BO364" s="2338"/>
      <c r="BP364" s="2338"/>
      <c r="BQ364" s="2338"/>
      <c r="BR364" s="2338"/>
      <c r="BS364" s="2338"/>
      <c r="BT364" s="2338"/>
      <c r="BU364" s="2338"/>
      <c r="BV364" s="2338"/>
      <c r="BW364" s="2338"/>
      <c r="BX364" s="2338"/>
      <c r="BY364" s="2338"/>
      <c r="BZ364" s="2338"/>
      <c r="CA364" s="2338"/>
      <c r="CB364" s="2338"/>
      <c r="CC364" s="2338"/>
      <c r="CD364" s="2338"/>
      <c r="CE364" s="2338"/>
      <c r="CF364" s="2338"/>
      <c r="CG364" s="2338"/>
      <c r="CH364" s="2338"/>
      <c r="CI364" s="2338"/>
      <c r="CJ364" s="2338"/>
      <c r="CK364" s="2338"/>
      <c r="CL364" s="2338"/>
      <c r="CM364" s="2338"/>
      <c r="CN364" s="2338"/>
      <c r="CO364" s="2338"/>
      <c r="CP364" s="2338"/>
      <c r="CQ364" s="2338"/>
      <c r="CR364" s="2338"/>
      <c r="CS364" s="2338"/>
      <c r="CT364" s="2338"/>
      <c r="CU364" s="2338"/>
      <c r="CV364" s="2338"/>
      <c r="CW364" s="2338"/>
      <c r="CX364" s="2338"/>
      <c r="CY364" s="2338"/>
      <c r="CZ364" s="2338"/>
      <c r="DA364" s="2338"/>
      <c r="DB364" s="2338"/>
      <c r="DC364" s="2338"/>
      <c r="DD364" s="2338"/>
      <c r="DE364" s="2338"/>
      <c r="DF364" s="2338"/>
      <c r="DG364" s="2338"/>
      <c r="DH364" s="2338"/>
      <c r="DI364" s="2338"/>
      <c r="DJ364" s="2338"/>
      <c r="DK364" s="2338"/>
      <c r="DL364" s="2338"/>
      <c r="DM364" s="2338"/>
      <c r="DN364" s="2338"/>
      <c r="DO364" s="2338"/>
    </row>
    <row r="365" spans="1:119" hidden="1" outlineLevel="1">
      <c r="A365" s="2339"/>
      <c r="B365" s="3033"/>
      <c r="C365" s="3028"/>
      <c r="D365" s="3028"/>
      <c r="E365" s="3035"/>
      <c r="F365" s="3692" t="s">
        <v>3934</v>
      </c>
      <c r="G365" s="3693"/>
      <c r="H365" s="2323"/>
      <c r="I365" s="2323"/>
      <c r="J365" s="2323"/>
      <c r="K365" s="2323"/>
      <c r="L365" s="2323"/>
      <c r="M365" s="2323"/>
      <c r="N365" s="2323"/>
      <c r="O365" s="2323"/>
      <c r="P365" s="2323"/>
      <c r="Q365" s="2323"/>
      <c r="R365" s="2323"/>
      <c r="S365" s="2323"/>
      <c r="T365" s="2383"/>
      <c r="U365" s="2383"/>
      <c r="V365" s="2319"/>
      <c r="W365" s="2319"/>
      <c r="X365" s="2319"/>
      <c r="Y365" s="2319"/>
      <c r="Z365" s="2566"/>
      <c r="AA365" s="2566"/>
      <c r="AB365" s="2566"/>
      <c r="AC365" s="2566"/>
      <c r="AD365" s="2323"/>
      <c r="AE365" s="2323"/>
      <c r="AF365" s="2323"/>
      <c r="AG365" s="2323"/>
      <c r="AH365" s="2323"/>
      <c r="AI365" s="2323"/>
      <c r="AJ365" s="2323"/>
      <c r="AK365" s="2898"/>
      <c r="AL365" s="2895">
        <f t="shared" si="86"/>
        <v>0</v>
      </c>
      <c r="AM365" s="2896" t="str">
        <f t="shared" si="88"/>
        <v/>
      </c>
      <c r="AN365" s="2338"/>
      <c r="AO365" s="2338"/>
      <c r="AP365" s="2338"/>
      <c r="AQ365" s="2338"/>
      <c r="AR365" s="2338"/>
      <c r="AS365" s="2338"/>
      <c r="AT365" s="2338"/>
      <c r="AU365" s="2338"/>
      <c r="AV365" s="2338"/>
      <c r="AW365" s="2338"/>
      <c r="AX365" s="2338"/>
      <c r="AY365" s="2338"/>
      <c r="AZ365" s="2338"/>
      <c r="BA365" s="2338"/>
      <c r="BB365" s="2338"/>
      <c r="BC365" s="2338"/>
      <c r="BD365" s="2338"/>
      <c r="BE365" s="2338"/>
      <c r="BF365" s="2338"/>
      <c r="BG365" s="2338"/>
      <c r="BH365" s="2338"/>
      <c r="BI365" s="2338"/>
      <c r="BJ365" s="2338"/>
      <c r="BK365" s="2338"/>
      <c r="BL365" s="2338"/>
      <c r="BM365" s="2338"/>
      <c r="BN365" s="2338"/>
      <c r="BO365" s="2338"/>
      <c r="BP365" s="2338"/>
      <c r="BQ365" s="2338"/>
      <c r="BR365" s="2338"/>
      <c r="BS365" s="2338"/>
      <c r="BT365" s="2338"/>
      <c r="BU365" s="2338"/>
      <c r="BV365" s="2338"/>
      <c r="BW365" s="2338"/>
      <c r="BX365" s="2338"/>
      <c r="BY365" s="2338"/>
      <c r="BZ365" s="2338"/>
      <c r="CA365" s="2338"/>
      <c r="CB365" s="2338"/>
      <c r="CC365" s="2338"/>
      <c r="CD365" s="2338"/>
      <c r="CE365" s="2338"/>
      <c r="CF365" s="2338"/>
      <c r="CG365" s="2338"/>
      <c r="CH365" s="2338"/>
      <c r="CI365" s="2338"/>
      <c r="CJ365" s="2338"/>
      <c r="CK365" s="2338"/>
      <c r="CL365" s="2338"/>
      <c r="CM365" s="2338"/>
      <c r="CN365" s="2338"/>
      <c r="CO365" s="2338"/>
      <c r="CP365" s="2338"/>
      <c r="CQ365" s="2338"/>
      <c r="CR365" s="2338"/>
      <c r="CS365" s="2338"/>
      <c r="CT365" s="2338"/>
      <c r="CU365" s="2338"/>
      <c r="CV365" s="2338"/>
      <c r="CW365" s="2338"/>
      <c r="CX365" s="2338"/>
      <c r="CY365" s="2338"/>
      <c r="CZ365" s="2338"/>
      <c r="DA365" s="2338"/>
      <c r="DB365" s="2338"/>
      <c r="DC365" s="2338"/>
      <c r="DD365" s="2338"/>
      <c r="DE365" s="2338"/>
      <c r="DF365" s="2338"/>
      <c r="DG365" s="2338"/>
      <c r="DH365" s="2338"/>
      <c r="DI365" s="2338"/>
      <c r="DJ365" s="2338"/>
      <c r="DK365" s="2338"/>
      <c r="DL365" s="2338"/>
      <c r="DM365" s="2338"/>
      <c r="DN365" s="2338"/>
      <c r="DO365" s="2338"/>
    </row>
    <row r="366" spans="1:119" hidden="1" outlineLevel="1">
      <c r="A366" s="2339"/>
      <c r="B366" s="3033"/>
      <c r="C366" s="3028"/>
      <c r="D366" s="3028"/>
      <c r="E366" s="3035"/>
      <c r="F366" s="3692" t="s">
        <v>3935</v>
      </c>
      <c r="G366" s="3693"/>
      <c r="H366" s="2323"/>
      <c r="I366" s="2323"/>
      <c r="J366" s="2323"/>
      <c r="K366" s="2323"/>
      <c r="L366" s="2323"/>
      <c r="M366" s="2323"/>
      <c r="N366" s="2323"/>
      <c r="O366" s="2323"/>
      <c r="P366" s="2323"/>
      <c r="Q366" s="2323"/>
      <c r="R366" s="2323"/>
      <c r="S366" s="2323"/>
      <c r="T366" s="2383"/>
      <c r="U366" s="2383"/>
      <c r="V366" s="2319"/>
      <c r="W366" s="2319"/>
      <c r="X366" s="2319"/>
      <c r="Y366" s="2319"/>
      <c r="Z366" s="2566"/>
      <c r="AA366" s="2566"/>
      <c r="AB366" s="2566"/>
      <c r="AC366" s="2566"/>
      <c r="AD366" s="2323"/>
      <c r="AE366" s="2323"/>
      <c r="AF366" s="2323"/>
      <c r="AG366" s="2323"/>
      <c r="AH366" s="2323"/>
      <c r="AI366" s="2323"/>
      <c r="AJ366" s="2323"/>
      <c r="AK366" s="2898"/>
      <c r="AL366" s="2895">
        <f t="shared" si="86"/>
        <v>0</v>
      </c>
      <c r="AM366" s="2896" t="str">
        <f t="shared" si="88"/>
        <v/>
      </c>
      <c r="AN366" s="2338"/>
      <c r="AO366" s="2338"/>
      <c r="AP366" s="2338"/>
      <c r="AQ366" s="2338"/>
      <c r="AR366" s="2338"/>
      <c r="AS366" s="2338"/>
      <c r="AT366" s="2338"/>
      <c r="AU366" s="2338"/>
      <c r="AV366" s="2338"/>
      <c r="AW366" s="2338"/>
      <c r="AX366" s="2338"/>
      <c r="AY366" s="2338"/>
      <c r="AZ366" s="2338"/>
      <c r="BA366" s="2338"/>
      <c r="BB366" s="2338"/>
      <c r="BC366" s="2338"/>
      <c r="BD366" s="2338"/>
      <c r="BE366" s="2338"/>
      <c r="BF366" s="2338"/>
      <c r="BG366" s="2338"/>
      <c r="BH366" s="2338"/>
      <c r="BI366" s="2338"/>
      <c r="BJ366" s="2338"/>
      <c r="BK366" s="2338"/>
      <c r="BL366" s="2338"/>
      <c r="BM366" s="2338"/>
      <c r="BN366" s="2338"/>
      <c r="BO366" s="2338"/>
      <c r="BP366" s="2338"/>
      <c r="BQ366" s="2338"/>
      <c r="BR366" s="2338"/>
      <c r="BS366" s="2338"/>
      <c r="BT366" s="2338"/>
      <c r="BU366" s="2338"/>
      <c r="BV366" s="2338"/>
      <c r="BW366" s="2338"/>
      <c r="BX366" s="2338"/>
      <c r="BY366" s="2338"/>
      <c r="BZ366" s="2338"/>
      <c r="CA366" s="2338"/>
      <c r="CB366" s="2338"/>
      <c r="CC366" s="2338"/>
      <c r="CD366" s="2338"/>
      <c r="CE366" s="2338"/>
      <c r="CF366" s="2338"/>
      <c r="CG366" s="2338"/>
      <c r="CH366" s="2338"/>
      <c r="CI366" s="2338"/>
      <c r="CJ366" s="2338"/>
      <c r="CK366" s="2338"/>
      <c r="CL366" s="2338"/>
      <c r="CM366" s="2338"/>
      <c r="CN366" s="2338"/>
      <c r="CO366" s="2338"/>
      <c r="CP366" s="2338"/>
      <c r="CQ366" s="2338"/>
      <c r="CR366" s="2338"/>
      <c r="CS366" s="2338"/>
      <c r="CT366" s="2338"/>
      <c r="CU366" s="2338"/>
      <c r="CV366" s="2338"/>
      <c r="CW366" s="2338"/>
      <c r="CX366" s="2338"/>
      <c r="CY366" s="2338"/>
      <c r="CZ366" s="2338"/>
      <c r="DA366" s="2338"/>
      <c r="DB366" s="2338"/>
      <c r="DC366" s="2338"/>
      <c r="DD366" s="2338"/>
      <c r="DE366" s="2338"/>
      <c r="DF366" s="2338"/>
      <c r="DG366" s="2338"/>
      <c r="DH366" s="2338"/>
      <c r="DI366" s="2338"/>
      <c r="DJ366" s="2338"/>
      <c r="DK366" s="2338"/>
      <c r="DL366" s="2338"/>
      <c r="DM366" s="2338"/>
      <c r="DN366" s="2338"/>
      <c r="DO366" s="2338"/>
    </row>
    <row r="367" spans="1:119" hidden="1" outlineLevel="1">
      <c r="A367" s="2339"/>
      <c r="B367" s="3033"/>
      <c r="C367" s="3028"/>
      <c r="D367" s="3028"/>
      <c r="E367" s="3035"/>
      <c r="F367" s="3692" t="s">
        <v>3936</v>
      </c>
      <c r="G367" s="3693"/>
      <c r="H367" s="2323"/>
      <c r="I367" s="2323"/>
      <c r="J367" s="2323"/>
      <c r="K367" s="2323"/>
      <c r="L367" s="2323"/>
      <c r="M367" s="2323"/>
      <c r="N367" s="2323"/>
      <c r="O367" s="2323"/>
      <c r="P367" s="2323"/>
      <c r="Q367" s="2323"/>
      <c r="R367" s="2323"/>
      <c r="S367" s="2323"/>
      <c r="T367" s="2383"/>
      <c r="U367" s="2383"/>
      <c r="V367" s="2319"/>
      <c r="W367" s="2319"/>
      <c r="X367" s="2319"/>
      <c r="Y367" s="2319"/>
      <c r="Z367" s="2566"/>
      <c r="AA367" s="2566"/>
      <c r="AB367" s="2566"/>
      <c r="AC367" s="2566"/>
      <c r="AD367" s="2323"/>
      <c r="AE367" s="2323"/>
      <c r="AF367" s="2323"/>
      <c r="AG367" s="2323"/>
      <c r="AH367" s="2323"/>
      <c r="AI367" s="2323"/>
      <c r="AJ367" s="2323"/>
      <c r="AK367" s="2898"/>
      <c r="AL367" s="2895">
        <f t="shared" si="86"/>
        <v>0</v>
      </c>
      <c r="AM367" s="2896" t="str">
        <f t="shared" si="88"/>
        <v/>
      </c>
      <c r="AN367" s="2338"/>
      <c r="AO367" s="2338"/>
      <c r="AP367" s="2338"/>
      <c r="AQ367" s="2338"/>
      <c r="AR367" s="2338"/>
      <c r="AS367" s="2338"/>
      <c r="AT367" s="2338"/>
      <c r="AU367" s="2338"/>
      <c r="AV367" s="2338"/>
      <c r="AW367" s="2338"/>
      <c r="AX367" s="2338"/>
      <c r="AY367" s="2338"/>
      <c r="AZ367" s="2338"/>
      <c r="BA367" s="2338"/>
      <c r="BB367" s="2338"/>
      <c r="BC367" s="2338"/>
      <c r="BD367" s="2338"/>
      <c r="BE367" s="2338"/>
      <c r="BF367" s="2338"/>
      <c r="BG367" s="2338"/>
      <c r="BH367" s="2338"/>
      <c r="BI367" s="2338"/>
      <c r="BJ367" s="2338"/>
      <c r="BK367" s="2338"/>
      <c r="BL367" s="2338"/>
      <c r="BM367" s="2338"/>
      <c r="BN367" s="2338"/>
      <c r="BO367" s="2338"/>
      <c r="BP367" s="2338"/>
      <c r="BQ367" s="2338"/>
      <c r="BR367" s="2338"/>
      <c r="BS367" s="2338"/>
      <c r="BT367" s="2338"/>
      <c r="BU367" s="2338"/>
      <c r="BV367" s="2338"/>
      <c r="BW367" s="2338"/>
      <c r="BX367" s="2338"/>
      <c r="BY367" s="2338"/>
      <c r="BZ367" s="2338"/>
      <c r="CA367" s="2338"/>
      <c r="CB367" s="2338"/>
      <c r="CC367" s="2338"/>
      <c r="CD367" s="2338"/>
      <c r="CE367" s="2338"/>
      <c r="CF367" s="2338"/>
      <c r="CG367" s="2338"/>
      <c r="CH367" s="2338"/>
      <c r="CI367" s="2338"/>
      <c r="CJ367" s="2338"/>
      <c r="CK367" s="2338"/>
      <c r="CL367" s="2338"/>
      <c r="CM367" s="2338"/>
      <c r="CN367" s="2338"/>
      <c r="CO367" s="2338"/>
      <c r="CP367" s="2338"/>
      <c r="CQ367" s="2338"/>
      <c r="CR367" s="2338"/>
      <c r="CS367" s="2338"/>
      <c r="CT367" s="2338"/>
      <c r="CU367" s="2338"/>
      <c r="CV367" s="2338"/>
      <c r="CW367" s="2338"/>
      <c r="CX367" s="2338"/>
      <c r="CY367" s="2338"/>
      <c r="CZ367" s="2338"/>
      <c r="DA367" s="2338"/>
      <c r="DB367" s="2338"/>
      <c r="DC367" s="2338"/>
      <c r="DD367" s="2338"/>
      <c r="DE367" s="2338"/>
      <c r="DF367" s="2338"/>
      <c r="DG367" s="2338"/>
      <c r="DH367" s="2338"/>
      <c r="DI367" s="2338"/>
      <c r="DJ367" s="2338"/>
      <c r="DK367" s="2338"/>
      <c r="DL367" s="2338"/>
      <c r="DM367" s="2338"/>
      <c r="DN367" s="2338"/>
      <c r="DO367" s="2338"/>
    </row>
    <row r="368" spans="1:119" hidden="1" outlineLevel="1">
      <c r="A368" s="2339"/>
      <c r="B368" s="3033"/>
      <c r="C368" s="3028"/>
      <c r="D368" s="3028"/>
      <c r="E368" s="3035"/>
      <c r="F368" s="3692" t="s">
        <v>3937</v>
      </c>
      <c r="G368" s="3693"/>
      <c r="H368" s="2323"/>
      <c r="I368" s="2323"/>
      <c r="J368" s="2323"/>
      <c r="K368" s="2323"/>
      <c r="L368" s="2323"/>
      <c r="M368" s="2323"/>
      <c r="N368" s="2323"/>
      <c r="O368" s="2323"/>
      <c r="P368" s="2323"/>
      <c r="Q368" s="2323"/>
      <c r="R368" s="2323"/>
      <c r="S368" s="2323"/>
      <c r="T368" s="2383"/>
      <c r="U368" s="2383"/>
      <c r="V368" s="2319"/>
      <c r="W368" s="2319"/>
      <c r="X368" s="2319"/>
      <c r="Y368" s="2319"/>
      <c r="Z368" s="2566"/>
      <c r="AA368" s="2566"/>
      <c r="AB368" s="2566"/>
      <c r="AC368" s="2566"/>
      <c r="AD368" s="2323"/>
      <c r="AE368" s="2323"/>
      <c r="AF368" s="2323"/>
      <c r="AG368" s="2323"/>
      <c r="AH368" s="2323"/>
      <c r="AI368" s="2323"/>
      <c r="AJ368" s="2323"/>
      <c r="AK368" s="2898"/>
      <c r="AL368" s="2895">
        <f t="shared" si="86"/>
        <v>0</v>
      </c>
      <c r="AM368" s="2896" t="str">
        <f t="shared" si="88"/>
        <v/>
      </c>
      <c r="AN368" s="2338"/>
      <c r="AO368" s="2338"/>
      <c r="AP368" s="2338"/>
      <c r="AQ368" s="2338"/>
      <c r="AR368" s="2338"/>
      <c r="AS368" s="2338"/>
      <c r="AT368" s="2338"/>
      <c r="AU368" s="2338"/>
      <c r="AV368" s="2338"/>
      <c r="AW368" s="2338"/>
      <c r="AX368" s="2338"/>
      <c r="AY368" s="2338"/>
      <c r="AZ368" s="2338"/>
      <c r="BA368" s="2338"/>
      <c r="BB368" s="2338"/>
      <c r="BC368" s="2338"/>
      <c r="BD368" s="2338"/>
      <c r="BE368" s="2338"/>
      <c r="BF368" s="2338"/>
      <c r="BG368" s="2338"/>
      <c r="BH368" s="2338"/>
      <c r="BI368" s="2338"/>
      <c r="BJ368" s="2338"/>
      <c r="BK368" s="2338"/>
      <c r="BL368" s="2338"/>
      <c r="BM368" s="2338"/>
      <c r="BN368" s="2338"/>
      <c r="BO368" s="2338"/>
      <c r="BP368" s="2338"/>
      <c r="BQ368" s="2338"/>
      <c r="BR368" s="2338"/>
      <c r="BS368" s="2338"/>
      <c r="BT368" s="2338"/>
      <c r="BU368" s="2338"/>
      <c r="BV368" s="2338"/>
      <c r="BW368" s="2338"/>
      <c r="BX368" s="2338"/>
      <c r="BY368" s="2338"/>
      <c r="BZ368" s="2338"/>
      <c r="CA368" s="2338"/>
      <c r="CB368" s="2338"/>
      <c r="CC368" s="2338"/>
      <c r="CD368" s="2338"/>
      <c r="CE368" s="2338"/>
      <c r="CF368" s="2338"/>
      <c r="CG368" s="2338"/>
      <c r="CH368" s="2338"/>
      <c r="CI368" s="2338"/>
      <c r="CJ368" s="2338"/>
      <c r="CK368" s="2338"/>
      <c r="CL368" s="2338"/>
      <c r="CM368" s="2338"/>
      <c r="CN368" s="2338"/>
      <c r="CO368" s="2338"/>
      <c r="CP368" s="2338"/>
      <c r="CQ368" s="2338"/>
      <c r="CR368" s="2338"/>
      <c r="CS368" s="2338"/>
      <c r="CT368" s="2338"/>
      <c r="CU368" s="2338"/>
      <c r="CV368" s="2338"/>
      <c r="CW368" s="2338"/>
      <c r="CX368" s="2338"/>
      <c r="CY368" s="2338"/>
      <c r="CZ368" s="2338"/>
      <c r="DA368" s="2338"/>
      <c r="DB368" s="2338"/>
      <c r="DC368" s="2338"/>
      <c r="DD368" s="2338"/>
      <c r="DE368" s="2338"/>
      <c r="DF368" s="2338"/>
      <c r="DG368" s="2338"/>
      <c r="DH368" s="2338"/>
      <c r="DI368" s="2338"/>
      <c r="DJ368" s="2338"/>
      <c r="DK368" s="2338"/>
      <c r="DL368" s="2338"/>
      <c r="DM368" s="2338"/>
      <c r="DN368" s="2338"/>
      <c r="DO368" s="2338"/>
    </row>
    <row r="369" spans="1:119" ht="30" hidden="1" outlineLevel="1">
      <c r="A369" s="2339"/>
      <c r="B369" s="3033"/>
      <c r="C369" s="3028"/>
      <c r="D369" s="3028"/>
      <c r="E369" s="3035" t="s">
        <v>3939</v>
      </c>
      <c r="F369" s="3692" t="s">
        <v>3933</v>
      </c>
      <c r="G369" s="3693"/>
      <c r="H369" s="2323"/>
      <c r="I369" s="2323"/>
      <c r="J369" s="2323"/>
      <c r="K369" s="2323"/>
      <c r="L369" s="2323"/>
      <c r="M369" s="2323"/>
      <c r="N369" s="2323"/>
      <c r="O369" s="3720"/>
      <c r="P369" s="3720"/>
      <c r="Q369" s="3720"/>
      <c r="R369" s="3720"/>
      <c r="S369" s="3697"/>
      <c r="T369" s="2383"/>
      <c r="U369" s="2383"/>
      <c r="V369" s="2319"/>
      <c r="W369" s="2319"/>
      <c r="X369" s="2319"/>
      <c r="Y369" s="2319"/>
      <c r="Z369" s="2566"/>
      <c r="AA369" s="2566"/>
      <c r="AB369" s="2566"/>
      <c r="AC369" s="2566"/>
      <c r="AD369" s="2323"/>
      <c r="AE369" s="2323"/>
      <c r="AF369" s="2323"/>
      <c r="AG369" s="2323"/>
      <c r="AH369" s="2323"/>
      <c r="AI369" s="2323"/>
      <c r="AJ369" s="2323"/>
      <c r="AK369" s="2898"/>
      <c r="AL369" s="2895">
        <f t="shared" si="86"/>
        <v>0</v>
      </c>
      <c r="AM369" s="2896" t="str">
        <f t="shared" si="88"/>
        <v/>
      </c>
      <c r="AN369" s="2338"/>
      <c r="AO369" s="2338"/>
      <c r="AP369" s="2338"/>
      <c r="AQ369" s="2338"/>
      <c r="AR369" s="2338"/>
      <c r="AS369" s="2338"/>
      <c r="AT369" s="2338"/>
      <c r="AU369" s="2338"/>
      <c r="AV369" s="2338"/>
      <c r="AW369" s="2338"/>
      <c r="AX369" s="2338"/>
      <c r="AY369" s="2338"/>
      <c r="AZ369" s="2338"/>
      <c r="BA369" s="2338"/>
      <c r="BB369" s="2338"/>
      <c r="BC369" s="2338"/>
      <c r="BD369" s="2338"/>
      <c r="BE369" s="2338"/>
      <c r="BF369" s="2338"/>
      <c r="BG369" s="2338"/>
      <c r="BH369" s="2338"/>
      <c r="BI369" s="2338"/>
      <c r="BJ369" s="2338"/>
      <c r="BK369" s="2338"/>
      <c r="BL369" s="2338"/>
      <c r="BM369" s="2338"/>
      <c r="BN369" s="2338"/>
      <c r="BO369" s="2338"/>
      <c r="BP369" s="2338"/>
      <c r="BQ369" s="2338"/>
      <c r="BR369" s="2338"/>
      <c r="BS369" s="2338"/>
      <c r="BT369" s="2338"/>
      <c r="BU369" s="2338"/>
      <c r="BV369" s="2338"/>
      <c r="BW369" s="2338"/>
      <c r="BX369" s="2338"/>
      <c r="BY369" s="2338"/>
      <c r="BZ369" s="2338"/>
      <c r="CA369" s="2338"/>
      <c r="CB369" s="2338"/>
      <c r="CC369" s="2338"/>
      <c r="CD369" s="2338"/>
      <c r="CE369" s="2338"/>
      <c r="CF369" s="2338"/>
      <c r="CG369" s="2338"/>
      <c r="CH369" s="2338"/>
      <c r="CI369" s="2338"/>
      <c r="CJ369" s="2338"/>
      <c r="CK369" s="2338"/>
      <c r="CL369" s="2338"/>
      <c r="CM369" s="2338"/>
      <c r="CN369" s="2338"/>
      <c r="CO369" s="2338"/>
      <c r="CP369" s="2338"/>
      <c r="CQ369" s="2338"/>
      <c r="CR369" s="2338"/>
      <c r="CS369" s="2338"/>
      <c r="CT369" s="2338"/>
      <c r="CU369" s="2338"/>
      <c r="CV369" s="2338"/>
      <c r="CW369" s="2338"/>
      <c r="CX369" s="2338"/>
      <c r="CY369" s="2338"/>
      <c r="CZ369" s="2338"/>
      <c r="DA369" s="2338"/>
      <c r="DB369" s="2338"/>
      <c r="DC369" s="2338"/>
      <c r="DD369" s="2338"/>
      <c r="DE369" s="2338"/>
      <c r="DF369" s="2338"/>
      <c r="DG369" s="2338"/>
      <c r="DH369" s="2338"/>
      <c r="DI369" s="2338"/>
      <c r="DJ369" s="2338"/>
      <c r="DK369" s="2338"/>
      <c r="DL369" s="2338"/>
      <c r="DM369" s="2338"/>
      <c r="DN369" s="2338"/>
      <c r="DO369" s="2338"/>
    </row>
    <row r="370" spans="1:119" hidden="1" outlineLevel="1">
      <c r="A370" s="2339"/>
      <c r="B370" s="3033"/>
      <c r="C370" s="3028"/>
      <c r="D370" s="3028"/>
      <c r="E370" s="3035"/>
      <c r="F370" s="3692" t="s">
        <v>3934</v>
      </c>
      <c r="G370" s="3693"/>
      <c r="H370" s="2323"/>
      <c r="I370" s="2323"/>
      <c r="J370" s="2323"/>
      <c r="K370" s="2323"/>
      <c r="L370" s="2323"/>
      <c r="M370" s="2323"/>
      <c r="N370" s="2323"/>
      <c r="O370" s="2323"/>
      <c r="P370" s="2323"/>
      <c r="Q370" s="2323"/>
      <c r="R370" s="2323"/>
      <c r="S370" s="2323"/>
      <c r="T370" s="2383"/>
      <c r="U370" s="2383"/>
      <c r="V370" s="2319"/>
      <c r="W370" s="2319"/>
      <c r="X370" s="2319"/>
      <c r="Y370" s="2319"/>
      <c r="Z370" s="2566"/>
      <c r="AA370" s="2566"/>
      <c r="AB370" s="2566"/>
      <c r="AC370" s="2566"/>
      <c r="AD370" s="2323"/>
      <c r="AE370" s="2323"/>
      <c r="AF370" s="2323"/>
      <c r="AG370" s="2323"/>
      <c r="AH370" s="2323"/>
      <c r="AI370" s="2323"/>
      <c r="AJ370" s="2323"/>
      <c r="AK370" s="2898"/>
      <c r="AL370" s="2895">
        <f t="shared" si="86"/>
        <v>0</v>
      </c>
      <c r="AM370" s="2896" t="str">
        <f t="shared" si="88"/>
        <v/>
      </c>
      <c r="AN370" s="2338"/>
      <c r="AO370" s="2338"/>
      <c r="AP370" s="2338"/>
      <c r="AQ370" s="2338"/>
      <c r="AR370" s="2338"/>
      <c r="AS370" s="2338"/>
      <c r="AT370" s="2338"/>
      <c r="AU370" s="2338"/>
      <c r="AV370" s="2338"/>
      <c r="AW370" s="2338"/>
      <c r="AX370" s="2338"/>
      <c r="AY370" s="2338"/>
      <c r="AZ370" s="2338"/>
      <c r="BA370" s="2338"/>
      <c r="BB370" s="2338"/>
      <c r="BC370" s="2338"/>
      <c r="BD370" s="2338"/>
      <c r="BE370" s="2338"/>
      <c r="BF370" s="2338"/>
      <c r="BG370" s="2338"/>
      <c r="BH370" s="2338"/>
      <c r="BI370" s="2338"/>
      <c r="BJ370" s="2338"/>
      <c r="BK370" s="2338"/>
      <c r="BL370" s="2338"/>
      <c r="BM370" s="2338"/>
      <c r="BN370" s="2338"/>
      <c r="BO370" s="2338"/>
      <c r="BP370" s="2338"/>
      <c r="BQ370" s="2338"/>
      <c r="BR370" s="2338"/>
      <c r="BS370" s="2338"/>
      <c r="BT370" s="2338"/>
      <c r="BU370" s="2338"/>
      <c r="BV370" s="2338"/>
      <c r="BW370" s="2338"/>
      <c r="BX370" s="2338"/>
      <c r="BY370" s="2338"/>
      <c r="BZ370" s="2338"/>
      <c r="CA370" s="2338"/>
      <c r="CB370" s="2338"/>
      <c r="CC370" s="2338"/>
      <c r="CD370" s="2338"/>
      <c r="CE370" s="2338"/>
      <c r="CF370" s="2338"/>
      <c r="CG370" s="2338"/>
      <c r="CH370" s="2338"/>
      <c r="CI370" s="2338"/>
      <c r="CJ370" s="2338"/>
      <c r="CK370" s="2338"/>
      <c r="CL370" s="2338"/>
      <c r="CM370" s="2338"/>
      <c r="CN370" s="2338"/>
      <c r="CO370" s="2338"/>
      <c r="CP370" s="2338"/>
      <c r="CQ370" s="2338"/>
      <c r="CR370" s="2338"/>
      <c r="CS370" s="2338"/>
      <c r="CT370" s="2338"/>
      <c r="CU370" s="2338"/>
      <c r="CV370" s="2338"/>
      <c r="CW370" s="2338"/>
      <c r="CX370" s="2338"/>
      <c r="CY370" s="2338"/>
      <c r="CZ370" s="2338"/>
      <c r="DA370" s="2338"/>
      <c r="DB370" s="2338"/>
      <c r="DC370" s="2338"/>
      <c r="DD370" s="2338"/>
      <c r="DE370" s="2338"/>
      <c r="DF370" s="2338"/>
      <c r="DG370" s="2338"/>
      <c r="DH370" s="2338"/>
      <c r="DI370" s="2338"/>
      <c r="DJ370" s="2338"/>
      <c r="DK370" s="2338"/>
      <c r="DL370" s="2338"/>
      <c r="DM370" s="2338"/>
      <c r="DN370" s="2338"/>
      <c r="DO370" s="2338"/>
    </row>
    <row r="371" spans="1:119" hidden="1" outlineLevel="1">
      <c r="A371" s="2339"/>
      <c r="B371" s="3033"/>
      <c r="C371" s="3028"/>
      <c r="D371" s="3028"/>
      <c r="E371" s="3035"/>
      <c r="F371" s="3692" t="s">
        <v>3935</v>
      </c>
      <c r="G371" s="3693"/>
      <c r="H371" s="2323"/>
      <c r="I371" s="2323"/>
      <c r="J371" s="2323"/>
      <c r="K371" s="2323"/>
      <c r="L371" s="2323"/>
      <c r="M371" s="2323"/>
      <c r="N371" s="2323"/>
      <c r="O371" s="2323"/>
      <c r="P371" s="2323"/>
      <c r="Q371" s="2323"/>
      <c r="R371" s="2323"/>
      <c r="S371" s="2323"/>
      <c r="T371" s="2383"/>
      <c r="U371" s="2383"/>
      <c r="V371" s="2319"/>
      <c r="W371" s="2319"/>
      <c r="X371" s="2319"/>
      <c r="Y371" s="2319"/>
      <c r="Z371" s="2566"/>
      <c r="AA371" s="2566"/>
      <c r="AB371" s="2566"/>
      <c r="AC371" s="2566"/>
      <c r="AD371" s="2323"/>
      <c r="AE371" s="2323"/>
      <c r="AF371" s="2323"/>
      <c r="AG371" s="2323"/>
      <c r="AH371" s="2323"/>
      <c r="AI371" s="2323"/>
      <c r="AJ371" s="2323"/>
      <c r="AK371" s="2898"/>
      <c r="AL371" s="2895">
        <f t="shared" si="86"/>
        <v>0</v>
      </c>
      <c r="AM371" s="2896" t="str">
        <f t="shared" si="88"/>
        <v/>
      </c>
      <c r="AN371" s="2338"/>
      <c r="AO371" s="2338"/>
      <c r="AP371" s="2338"/>
      <c r="AQ371" s="2338"/>
      <c r="AR371" s="2338"/>
      <c r="AS371" s="2338"/>
      <c r="AT371" s="2338"/>
      <c r="AU371" s="2338"/>
      <c r="AV371" s="2338"/>
      <c r="AW371" s="2338"/>
      <c r="AX371" s="2338"/>
      <c r="AY371" s="2338"/>
      <c r="AZ371" s="2338"/>
      <c r="BA371" s="2338"/>
      <c r="BB371" s="2338"/>
      <c r="BC371" s="2338"/>
      <c r="BD371" s="2338"/>
      <c r="BE371" s="2338"/>
      <c r="BF371" s="2338"/>
      <c r="BG371" s="2338"/>
      <c r="BH371" s="2338"/>
      <c r="BI371" s="2338"/>
      <c r="BJ371" s="2338"/>
      <c r="BK371" s="2338"/>
      <c r="BL371" s="2338"/>
      <c r="BM371" s="2338"/>
      <c r="BN371" s="2338"/>
      <c r="BO371" s="2338"/>
      <c r="BP371" s="2338"/>
      <c r="BQ371" s="2338"/>
      <c r="BR371" s="2338"/>
      <c r="BS371" s="2338"/>
      <c r="BT371" s="2338"/>
      <c r="BU371" s="2338"/>
      <c r="BV371" s="2338"/>
      <c r="BW371" s="2338"/>
      <c r="BX371" s="2338"/>
      <c r="BY371" s="2338"/>
      <c r="BZ371" s="2338"/>
      <c r="CA371" s="2338"/>
      <c r="CB371" s="2338"/>
      <c r="CC371" s="2338"/>
      <c r="CD371" s="2338"/>
      <c r="CE371" s="2338"/>
      <c r="CF371" s="2338"/>
      <c r="CG371" s="2338"/>
      <c r="CH371" s="2338"/>
      <c r="CI371" s="2338"/>
      <c r="CJ371" s="2338"/>
      <c r="CK371" s="2338"/>
      <c r="CL371" s="2338"/>
      <c r="CM371" s="2338"/>
      <c r="CN371" s="2338"/>
      <c r="CO371" s="2338"/>
      <c r="CP371" s="2338"/>
      <c r="CQ371" s="2338"/>
      <c r="CR371" s="2338"/>
      <c r="CS371" s="2338"/>
      <c r="CT371" s="2338"/>
      <c r="CU371" s="2338"/>
      <c r="CV371" s="2338"/>
      <c r="CW371" s="2338"/>
      <c r="CX371" s="2338"/>
      <c r="CY371" s="2338"/>
      <c r="CZ371" s="2338"/>
      <c r="DA371" s="2338"/>
      <c r="DB371" s="2338"/>
      <c r="DC371" s="2338"/>
      <c r="DD371" s="2338"/>
      <c r="DE371" s="2338"/>
      <c r="DF371" s="2338"/>
      <c r="DG371" s="2338"/>
      <c r="DH371" s="2338"/>
      <c r="DI371" s="2338"/>
      <c r="DJ371" s="2338"/>
      <c r="DK371" s="2338"/>
      <c r="DL371" s="2338"/>
      <c r="DM371" s="2338"/>
      <c r="DN371" s="2338"/>
      <c r="DO371" s="2338"/>
    </row>
    <row r="372" spans="1:119" hidden="1" outlineLevel="1">
      <c r="A372" s="2339"/>
      <c r="B372" s="3033"/>
      <c r="C372" s="3028"/>
      <c r="D372" s="3028"/>
      <c r="E372" s="3035"/>
      <c r="F372" s="3692" t="s">
        <v>3936</v>
      </c>
      <c r="G372" s="3693"/>
      <c r="H372" s="2323"/>
      <c r="I372" s="2323"/>
      <c r="J372" s="2323"/>
      <c r="K372" s="2323"/>
      <c r="L372" s="2323"/>
      <c r="M372" s="2323"/>
      <c r="N372" s="2323"/>
      <c r="O372" s="2323"/>
      <c r="P372" s="2323"/>
      <c r="Q372" s="2323"/>
      <c r="R372" s="2323"/>
      <c r="S372" s="2323"/>
      <c r="T372" s="2383"/>
      <c r="U372" s="2383"/>
      <c r="V372" s="2319"/>
      <c r="W372" s="2319"/>
      <c r="X372" s="2319"/>
      <c r="Y372" s="2319"/>
      <c r="Z372" s="2566"/>
      <c r="AA372" s="2566"/>
      <c r="AB372" s="2566"/>
      <c r="AC372" s="2566"/>
      <c r="AD372" s="2323"/>
      <c r="AE372" s="2323"/>
      <c r="AF372" s="2323"/>
      <c r="AG372" s="2323"/>
      <c r="AH372" s="2323"/>
      <c r="AI372" s="2323"/>
      <c r="AJ372" s="2323"/>
      <c r="AK372" s="2898"/>
      <c r="AL372" s="2895">
        <f t="shared" si="86"/>
        <v>0</v>
      </c>
      <c r="AM372" s="2896" t="str">
        <f t="shared" si="88"/>
        <v/>
      </c>
      <c r="AN372" s="2338"/>
      <c r="AO372" s="2338"/>
      <c r="AP372" s="2338"/>
      <c r="AQ372" s="2338"/>
      <c r="AR372" s="2338"/>
      <c r="AS372" s="2338"/>
      <c r="AT372" s="2338"/>
      <c r="AU372" s="2338"/>
      <c r="AV372" s="2338"/>
      <c r="AW372" s="2338"/>
      <c r="AX372" s="2338"/>
      <c r="AY372" s="2338"/>
      <c r="AZ372" s="2338"/>
      <c r="BA372" s="2338"/>
      <c r="BB372" s="2338"/>
      <c r="BC372" s="2338"/>
      <c r="BD372" s="2338"/>
      <c r="BE372" s="2338"/>
      <c r="BF372" s="2338"/>
      <c r="BG372" s="2338"/>
      <c r="BH372" s="2338"/>
      <c r="BI372" s="2338"/>
      <c r="BJ372" s="2338"/>
      <c r="BK372" s="2338"/>
      <c r="BL372" s="2338"/>
      <c r="BM372" s="2338"/>
      <c r="BN372" s="2338"/>
      <c r="BO372" s="2338"/>
      <c r="BP372" s="2338"/>
      <c r="BQ372" s="2338"/>
      <c r="BR372" s="2338"/>
      <c r="BS372" s="2338"/>
      <c r="BT372" s="2338"/>
      <c r="BU372" s="2338"/>
      <c r="BV372" s="2338"/>
      <c r="BW372" s="2338"/>
      <c r="BX372" s="2338"/>
      <c r="BY372" s="2338"/>
      <c r="BZ372" s="2338"/>
      <c r="CA372" s="2338"/>
      <c r="CB372" s="2338"/>
      <c r="CC372" s="2338"/>
      <c r="CD372" s="2338"/>
      <c r="CE372" s="2338"/>
      <c r="CF372" s="2338"/>
      <c r="CG372" s="2338"/>
      <c r="CH372" s="2338"/>
      <c r="CI372" s="2338"/>
      <c r="CJ372" s="2338"/>
      <c r="CK372" s="2338"/>
      <c r="CL372" s="2338"/>
      <c r="CM372" s="2338"/>
      <c r="CN372" s="2338"/>
      <c r="CO372" s="2338"/>
      <c r="CP372" s="2338"/>
      <c r="CQ372" s="2338"/>
      <c r="CR372" s="2338"/>
      <c r="CS372" s="2338"/>
      <c r="CT372" s="2338"/>
      <c r="CU372" s="2338"/>
      <c r="CV372" s="2338"/>
      <c r="CW372" s="2338"/>
      <c r="CX372" s="2338"/>
      <c r="CY372" s="2338"/>
      <c r="CZ372" s="2338"/>
      <c r="DA372" s="2338"/>
      <c r="DB372" s="2338"/>
      <c r="DC372" s="2338"/>
      <c r="DD372" s="2338"/>
      <c r="DE372" s="2338"/>
      <c r="DF372" s="2338"/>
      <c r="DG372" s="2338"/>
      <c r="DH372" s="2338"/>
      <c r="DI372" s="2338"/>
      <c r="DJ372" s="2338"/>
      <c r="DK372" s="2338"/>
      <c r="DL372" s="2338"/>
      <c r="DM372" s="2338"/>
      <c r="DN372" s="2338"/>
      <c r="DO372" s="2338"/>
    </row>
    <row r="373" spans="1:119" ht="15.75" hidden="1" outlineLevel="1" thickBot="1">
      <c r="A373" s="2349"/>
      <c r="B373" s="3023"/>
      <c r="C373" s="3030"/>
      <c r="D373" s="3030"/>
      <c r="E373" s="3026"/>
      <c r="F373" s="3721" t="s">
        <v>3937</v>
      </c>
      <c r="G373" s="3722"/>
      <c r="H373" s="2327"/>
      <c r="I373" s="2327"/>
      <c r="J373" s="2327"/>
      <c r="K373" s="2327"/>
      <c r="L373" s="2327"/>
      <c r="M373" s="2327"/>
      <c r="N373" s="2327"/>
      <c r="O373" s="2327"/>
      <c r="P373" s="2327"/>
      <c r="Q373" s="2327"/>
      <c r="R373" s="2327"/>
      <c r="S373" s="2327"/>
      <c r="T373" s="3723"/>
      <c r="U373" s="3723"/>
      <c r="V373" s="2319"/>
      <c r="W373" s="2319"/>
      <c r="X373" s="2319"/>
      <c r="Y373" s="2319"/>
      <c r="Z373" s="2566"/>
      <c r="AA373" s="2566"/>
      <c r="AB373" s="2566"/>
      <c r="AC373" s="2566"/>
      <c r="AD373" s="2323"/>
      <c r="AE373" s="2323"/>
      <c r="AF373" s="2323"/>
      <c r="AG373" s="2323"/>
      <c r="AH373" s="2323"/>
      <c r="AI373" s="2323"/>
      <c r="AJ373" s="2323"/>
      <c r="AK373" s="2898"/>
      <c r="AL373" s="2895">
        <f t="shared" si="86"/>
        <v>0</v>
      </c>
      <c r="AM373" s="2896" t="str">
        <f t="shared" si="88"/>
        <v/>
      </c>
      <c r="AN373" s="2338"/>
      <c r="AO373" s="2338"/>
      <c r="AP373" s="2338"/>
      <c r="AQ373" s="2338"/>
      <c r="AR373" s="2338"/>
      <c r="AS373" s="2338"/>
      <c r="AT373" s="2338"/>
      <c r="AU373" s="2338"/>
      <c r="AV373" s="2338"/>
      <c r="AW373" s="2338"/>
      <c r="AX373" s="2338"/>
      <c r="AY373" s="2338"/>
      <c r="AZ373" s="2338"/>
      <c r="BA373" s="2338"/>
      <c r="BB373" s="2338"/>
      <c r="BC373" s="2338"/>
      <c r="BD373" s="2338"/>
      <c r="BE373" s="2338"/>
      <c r="BF373" s="2338"/>
      <c r="BG373" s="2338"/>
      <c r="BH373" s="2338"/>
      <c r="BI373" s="2338"/>
      <c r="BJ373" s="2338"/>
      <c r="BK373" s="2338"/>
      <c r="BL373" s="2338"/>
      <c r="BM373" s="2338"/>
      <c r="BN373" s="2338"/>
      <c r="BO373" s="2338"/>
      <c r="BP373" s="2338"/>
      <c r="BQ373" s="2338"/>
      <c r="BR373" s="2338"/>
      <c r="BS373" s="2338"/>
      <c r="BT373" s="2338"/>
      <c r="BU373" s="2338"/>
      <c r="BV373" s="2338"/>
      <c r="BW373" s="2338"/>
      <c r="BX373" s="2338"/>
      <c r="BY373" s="2338"/>
      <c r="BZ373" s="2338"/>
      <c r="CA373" s="2338"/>
      <c r="CB373" s="2338"/>
      <c r="CC373" s="2338"/>
      <c r="CD373" s="2338"/>
      <c r="CE373" s="2338"/>
      <c r="CF373" s="2338"/>
      <c r="CG373" s="2338"/>
      <c r="CH373" s="2338"/>
      <c r="CI373" s="2338"/>
      <c r="CJ373" s="2338"/>
      <c r="CK373" s="2338"/>
      <c r="CL373" s="2338"/>
      <c r="CM373" s="2338"/>
      <c r="CN373" s="2338"/>
      <c r="CO373" s="2338"/>
      <c r="CP373" s="2338"/>
      <c r="CQ373" s="2338"/>
      <c r="CR373" s="2338"/>
      <c r="CS373" s="2338"/>
      <c r="CT373" s="2338"/>
      <c r="CU373" s="2338"/>
      <c r="CV373" s="2338"/>
      <c r="CW373" s="2338"/>
      <c r="CX373" s="2338"/>
      <c r="CY373" s="2338"/>
      <c r="CZ373" s="2338"/>
      <c r="DA373" s="2338"/>
      <c r="DB373" s="2338"/>
      <c r="DC373" s="2338"/>
      <c r="DD373" s="2338"/>
      <c r="DE373" s="2338"/>
      <c r="DF373" s="2338"/>
      <c r="DG373" s="2338"/>
      <c r="DH373" s="2338"/>
      <c r="DI373" s="2338"/>
      <c r="DJ373" s="2338"/>
      <c r="DK373" s="2338"/>
      <c r="DL373" s="2338"/>
      <c r="DM373" s="2338"/>
      <c r="DN373" s="2338"/>
      <c r="DO373" s="2338"/>
    </row>
    <row r="374" spans="1:119" collapsed="1">
      <c r="A374" s="2345"/>
      <c r="B374" s="2328"/>
      <c r="C374" s="2328"/>
      <c r="D374" s="2328"/>
      <c r="E374" s="2396"/>
      <c r="F374" s="2357"/>
      <c r="G374" s="2357"/>
      <c r="H374" s="2345"/>
      <c r="I374" s="2345"/>
      <c r="J374" s="2345"/>
      <c r="K374" s="2345"/>
      <c r="L374" s="2345"/>
      <c r="M374" s="2345"/>
      <c r="N374" s="2345"/>
      <c r="O374" s="2345"/>
      <c r="P374" s="2345"/>
      <c r="Q374" s="2345"/>
      <c r="R374" s="2345"/>
      <c r="S374" s="2345"/>
      <c r="T374" s="2345"/>
      <c r="U374" s="2345"/>
      <c r="V374" s="2331"/>
      <c r="W374" s="2331"/>
      <c r="X374" s="2331"/>
      <c r="Y374" s="2331"/>
      <c r="Z374" s="2338"/>
      <c r="AA374" s="2338"/>
      <c r="AB374" s="2338"/>
      <c r="AC374" s="2338"/>
      <c r="AD374" s="2338"/>
      <c r="AE374" s="2338"/>
      <c r="AF374" s="2338"/>
      <c r="AG374" s="2338"/>
      <c r="AH374" s="2338"/>
      <c r="AI374" s="2338"/>
      <c r="AJ374" s="2338"/>
      <c r="AK374" s="2338"/>
      <c r="AL374" s="2338"/>
      <c r="AM374" s="2338"/>
      <c r="AN374" s="2338"/>
      <c r="AO374" s="2338"/>
      <c r="AP374" s="2338"/>
      <c r="AQ374" s="2338"/>
      <c r="AR374" s="2338"/>
      <c r="AS374" s="2338"/>
      <c r="AT374" s="2338"/>
      <c r="AU374" s="2338"/>
      <c r="AV374" s="2338"/>
      <c r="AW374" s="2338"/>
      <c r="AX374" s="2338"/>
      <c r="AY374" s="2338"/>
      <c r="AZ374" s="2338"/>
      <c r="BA374" s="2338"/>
      <c r="BB374" s="2338"/>
      <c r="BC374" s="2338"/>
      <c r="BD374" s="2338"/>
      <c r="BE374" s="2338"/>
      <c r="BF374" s="2338"/>
      <c r="BG374" s="2338"/>
      <c r="BH374" s="2338"/>
      <c r="BI374" s="2338"/>
      <c r="BJ374" s="2338"/>
      <c r="BK374" s="2338"/>
      <c r="BL374" s="2338"/>
      <c r="BM374" s="2338"/>
      <c r="BN374" s="2338"/>
      <c r="BO374" s="2338"/>
      <c r="BP374" s="2338"/>
      <c r="BQ374" s="2338"/>
      <c r="BR374" s="2338"/>
      <c r="BS374" s="2338"/>
      <c r="BT374" s="2338"/>
      <c r="BU374" s="2338"/>
      <c r="BV374" s="2338"/>
      <c r="BW374" s="2338"/>
      <c r="BX374" s="2338"/>
      <c r="BY374" s="2338"/>
      <c r="BZ374" s="2338"/>
      <c r="CA374" s="2338"/>
      <c r="CB374" s="2338"/>
      <c r="CC374" s="2338"/>
      <c r="CD374" s="2338"/>
      <c r="CE374" s="2338"/>
      <c r="CF374" s="2338"/>
      <c r="CG374" s="2338"/>
      <c r="CH374" s="2338"/>
      <c r="CI374" s="2338"/>
      <c r="CJ374" s="2338"/>
      <c r="CK374" s="2338"/>
      <c r="CL374" s="2338"/>
      <c r="CM374" s="2338"/>
      <c r="CN374" s="2338"/>
      <c r="CO374" s="2338"/>
      <c r="CP374" s="2338"/>
      <c r="CQ374" s="2338"/>
      <c r="CR374" s="2338"/>
      <c r="CS374" s="2338"/>
      <c r="CT374" s="2338"/>
      <c r="CU374" s="2338"/>
      <c r="CV374" s="2338"/>
      <c r="CW374" s="2338"/>
      <c r="CX374" s="2338"/>
      <c r="CY374" s="2338"/>
      <c r="CZ374" s="2338"/>
      <c r="DA374" s="2338"/>
      <c r="DB374" s="2338"/>
      <c r="DC374" s="2338"/>
      <c r="DD374" s="2338"/>
      <c r="DE374" s="2338"/>
      <c r="DF374" s="2338"/>
      <c r="DG374" s="2338"/>
      <c r="DH374" s="2338"/>
      <c r="DI374" s="2338"/>
      <c r="DJ374" s="2338"/>
      <c r="DK374" s="2338"/>
      <c r="DL374" s="2338"/>
      <c r="DM374" s="2338"/>
      <c r="DN374" s="2338"/>
      <c r="DO374" s="2338"/>
    </row>
    <row r="375" spans="1:119" ht="15.75" thickBot="1">
      <c r="A375" s="2338"/>
      <c r="B375" s="2338"/>
      <c r="C375" s="2338"/>
      <c r="D375" s="2338"/>
      <c r="E375" s="2338"/>
      <c r="F375" s="3637"/>
      <c r="G375" s="3637"/>
      <c r="H375" s="2338"/>
      <c r="I375" s="2338"/>
      <c r="J375" s="2338"/>
      <c r="K375" s="2338"/>
      <c r="L375" s="2338"/>
      <c r="M375" s="2338"/>
      <c r="N375" s="2338"/>
      <c r="O375" s="2338"/>
      <c r="P375" s="2338"/>
      <c r="Q375" s="2338"/>
      <c r="R375" s="2338"/>
      <c r="S375" s="2338"/>
      <c r="T375" s="2338"/>
      <c r="U375" s="2338"/>
      <c r="Z375" s="2338"/>
      <c r="AA375" s="2338"/>
      <c r="AB375" s="2338"/>
      <c r="AC375" s="2338"/>
      <c r="AD375" s="2338"/>
      <c r="AE375" s="2338"/>
      <c r="AF375" s="2338"/>
      <c r="AG375" s="2338"/>
      <c r="AH375" s="2338"/>
      <c r="AI375" s="2338"/>
      <c r="AJ375" s="2338"/>
      <c r="AK375" s="2338"/>
      <c r="AL375" s="2338"/>
      <c r="AM375" s="2338"/>
      <c r="AN375" s="2338"/>
      <c r="AO375" s="2338"/>
      <c r="AP375" s="2338"/>
      <c r="AQ375" s="2338"/>
      <c r="AR375" s="2338"/>
      <c r="AS375" s="2338"/>
      <c r="AT375" s="2338"/>
      <c r="AU375" s="2338"/>
      <c r="AV375" s="2338"/>
      <c r="AW375" s="2338"/>
      <c r="AX375" s="2338"/>
      <c r="AY375" s="2338"/>
      <c r="AZ375" s="2338"/>
      <c r="BA375" s="2338"/>
      <c r="BB375" s="2338"/>
      <c r="BC375" s="2338"/>
      <c r="BD375" s="2338"/>
      <c r="BE375" s="2338"/>
      <c r="BF375" s="2338"/>
      <c r="BG375" s="2338"/>
      <c r="BH375" s="2338"/>
      <c r="BI375" s="2338"/>
      <c r="BJ375" s="2338"/>
      <c r="BK375" s="2338"/>
      <c r="BL375" s="2338"/>
      <c r="BM375" s="2338"/>
      <c r="BN375" s="2338"/>
      <c r="BO375" s="2338"/>
      <c r="BP375" s="2338"/>
      <c r="BQ375" s="2338"/>
      <c r="BR375" s="2338"/>
      <c r="BS375" s="2338"/>
      <c r="BT375" s="2338"/>
      <c r="BU375" s="2338"/>
      <c r="BV375" s="2338"/>
      <c r="BW375" s="2338"/>
      <c r="BX375" s="2338"/>
      <c r="BY375" s="2338"/>
      <c r="BZ375" s="2338"/>
      <c r="CA375" s="2338"/>
      <c r="CB375" s="2338"/>
      <c r="CC375" s="2338"/>
      <c r="CD375" s="2338"/>
      <c r="CE375" s="2338"/>
      <c r="CF375" s="2338"/>
      <c r="CG375" s="2338"/>
      <c r="CH375" s="2338"/>
      <c r="CI375" s="2338"/>
      <c r="CJ375" s="2338"/>
      <c r="CK375" s="2338"/>
      <c r="CL375" s="2338"/>
      <c r="CM375" s="2338"/>
      <c r="CN375" s="2338"/>
      <c r="CO375" s="2338"/>
      <c r="CP375" s="2338"/>
      <c r="CQ375" s="2338"/>
      <c r="CR375" s="2338"/>
      <c r="CS375" s="2338"/>
      <c r="CT375" s="2338"/>
      <c r="CU375" s="2338"/>
      <c r="CV375" s="2338"/>
      <c r="CW375" s="2338"/>
      <c r="CX375" s="2338"/>
      <c r="CY375" s="2338"/>
      <c r="CZ375" s="2338"/>
      <c r="DA375" s="2338"/>
      <c r="DB375" s="2338"/>
      <c r="DC375" s="2338"/>
      <c r="DD375" s="2338"/>
      <c r="DE375" s="2338"/>
      <c r="DF375" s="2338"/>
      <c r="DG375" s="2338"/>
      <c r="DH375" s="2338"/>
      <c r="DI375" s="2338"/>
      <c r="DJ375" s="2338"/>
      <c r="DK375" s="2338"/>
      <c r="DL375" s="2338"/>
      <c r="DM375" s="2338"/>
      <c r="DN375" s="2338"/>
      <c r="DO375" s="2338"/>
    </row>
    <row r="376" spans="1:119" ht="25.5" customHeight="1" thickBot="1">
      <c r="A376" s="3061"/>
      <c r="B376" s="3062"/>
      <c r="C376" s="3062"/>
      <c r="D376" s="3062"/>
      <c r="E376" s="3062"/>
      <c r="F376" s="3063"/>
      <c r="G376" s="3645" t="s">
        <v>3940</v>
      </c>
      <c r="H376" s="3646"/>
      <c r="I376" s="3646"/>
      <c r="J376" s="3646"/>
      <c r="K376" s="3646"/>
      <c r="L376" s="3646"/>
      <c r="M376" s="3646"/>
      <c r="N376" s="3646"/>
      <c r="O376" s="3646"/>
      <c r="P376" s="3646"/>
      <c r="Q376" s="3646"/>
      <c r="R376" s="3646"/>
      <c r="S376" s="3646"/>
      <c r="T376" s="3646"/>
      <c r="U376" s="3647"/>
      <c r="V376" s="2502"/>
      <c r="W376" s="2502"/>
      <c r="X376" s="2502"/>
      <c r="Y376" s="2502"/>
      <c r="Z376" s="2338"/>
      <c r="AA376" s="2338"/>
      <c r="AB376" s="2338"/>
      <c r="AC376" s="2338"/>
      <c r="AD376" s="2338"/>
      <c r="AE376" s="2338"/>
      <c r="AF376" s="2338"/>
      <c r="AG376" s="2338"/>
      <c r="AH376" s="2338"/>
      <c r="AI376" s="2338"/>
      <c r="AJ376" s="2338"/>
      <c r="AK376" s="2338"/>
      <c r="AL376" s="2338"/>
      <c r="AM376" s="2338"/>
      <c r="AN376" s="2338"/>
      <c r="AO376" s="2338"/>
      <c r="AP376" s="2338"/>
      <c r="AQ376" s="2338"/>
      <c r="AR376" s="2338"/>
      <c r="AS376" s="2338"/>
      <c r="AT376" s="2338"/>
      <c r="AU376" s="2338"/>
      <c r="AV376" s="2338"/>
      <c r="AW376" s="2338"/>
      <c r="AX376" s="2338"/>
      <c r="AY376" s="2338"/>
      <c r="AZ376" s="2338"/>
      <c r="BA376" s="2338"/>
      <c r="BB376" s="2338"/>
      <c r="BC376" s="2338"/>
      <c r="BD376" s="2338"/>
      <c r="BE376" s="2338"/>
      <c r="BF376" s="2338"/>
      <c r="BG376" s="2338"/>
      <c r="BH376" s="2338"/>
      <c r="BI376" s="2338"/>
      <c r="BJ376" s="2338"/>
      <c r="BK376" s="2338"/>
      <c r="BL376" s="2338"/>
      <c r="BM376" s="2338"/>
      <c r="BN376" s="2338"/>
      <c r="BO376" s="2338"/>
      <c r="BP376" s="2338"/>
      <c r="BQ376" s="2338"/>
      <c r="BR376" s="2338"/>
      <c r="BS376" s="2338"/>
      <c r="BT376" s="2338"/>
      <c r="BU376" s="2338"/>
      <c r="BV376" s="2338"/>
      <c r="BW376" s="2338"/>
      <c r="BX376" s="2338"/>
      <c r="BY376" s="2338"/>
      <c r="BZ376" s="2338"/>
      <c r="CA376" s="2338"/>
      <c r="CB376" s="2338"/>
      <c r="CC376" s="2338"/>
      <c r="CD376" s="2338"/>
      <c r="CE376" s="2338"/>
      <c r="CF376" s="2338"/>
      <c r="CG376" s="2338"/>
      <c r="CH376" s="2338"/>
      <c r="CI376" s="2338"/>
      <c r="CJ376" s="2338"/>
      <c r="CK376" s="2338"/>
      <c r="CL376" s="2338"/>
      <c r="CM376" s="2338"/>
      <c r="CN376" s="2338"/>
      <c r="CO376" s="2338"/>
      <c r="CP376" s="2338"/>
      <c r="CQ376" s="2338"/>
      <c r="CR376" s="2338"/>
      <c r="CS376" s="2338"/>
      <c r="CT376" s="2338"/>
      <c r="CU376" s="2338"/>
      <c r="CV376" s="2338"/>
      <c r="CW376" s="2338"/>
      <c r="CX376" s="2338"/>
      <c r="CY376" s="2338"/>
      <c r="CZ376" s="2338"/>
      <c r="DA376" s="2338"/>
      <c r="DB376" s="2338"/>
      <c r="DC376" s="2338"/>
      <c r="DD376" s="2338"/>
      <c r="DE376" s="2338"/>
      <c r="DF376" s="2338"/>
      <c r="DG376" s="2338"/>
      <c r="DH376" s="2338"/>
      <c r="DI376" s="2338"/>
      <c r="DJ376" s="2338"/>
      <c r="DK376" s="2338"/>
      <c r="DL376" s="2338"/>
      <c r="DM376" s="2338"/>
      <c r="DN376" s="2338"/>
      <c r="DO376" s="2338"/>
    </row>
    <row r="377" spans="1:119" ht="54" customHeight="1">
      <c r="A377" s="3648" t="s">
        <v>0</v>
      </c>
      <c r="B377" s="3064" t="s">
        <v>3849</v>
      </c>
      <c r="C377" s="3065"/>
      <c r="D377" s="3065"/>
      <c r="E377" s="3012" t="s">
        <v>3866</v>
      </c>
      <c r="F377" s="3074" t="s">
        <v>3867</v>
      </c>
      <c r="G377" s="3003" t="s">
        <v>3854</v>
      </c>
      <c r="H377" s="3058" t="s">
        <v>3868</v>
      </c>
      <c r="I377" s="3059"/>
      <c r="J377" s="3059"/>
      <c r="K377" s="3059"/>
      <c r="L377" s="3060"/>
      <c r="M377" s="3058" t="s">
        <v>3869</v>
      </c>
      <c r="N377" s="3059"/>
      <c r="O377" s="3059"/>
      <c r="P377" s="3059"/>
      <c r="Q377" s="3060"/>
      <c r="R377" s="3710" t="s">
        <v>3870</v>
      </c>
      <c r="S377" s="3711"/>
      <c r="T377" s="3711"/>
      <c r="U377" s="3712"/>
      <c r="V377" s="3099" t="s">
        <v>4001</v>
      </c>
      <c r="W377" s="3100"/>
      <c r="X377" s="3100"/>
      <c r="Y377" s="3101"/>
      <c r="Z377" s="3093" t="s">
        <v>3858</v>
      </c>
      <c r="AA377" s="3093"/>
      <c r="AB377" s="3093"/>
      <c r="AC377" s="3093"/>
      <c r="AD377" s="3102" t="s">
        <v>4002</v>
      </c>
      <c r="AE377" s="3103"/>
      <c r="AF377" s="3103"/>
      <c r="AG377" s="3104"/>
      <c r="AH377" s="2779" t="s">
        <v>3980</v>
      </c>
      <c r="AI377" s="2500" t="s">
        <v>3974</v>
      </c>
      <c r="AJ377" s="2500" t="s">
        <v>3975</v>
      </c>
      <c r="AK377" s="2893" t="s">
        <v>4262</v>
      </c>
      <c r="AL377" s="2894" t="s">
        <v>4263</v>
      </c>
      <c r="AM377" s="2893" t="s">
        <v>4264</v>
      </c>
      <c r="AN377" s="2338"/>
      <c r="AO377" s="2338"/>
      <c r="AP377" s="2338"/>
      <c r="AQ377" s="2338"/>
      <c r="AR377" s="2338"/>
      <c r="AS377" s="2338"/>
      <c r="AT377" s="2338"/>
      <c r="AU377" s="2338"/>
      <c r="AV377" s="2338"/>
      <c r="AW377" s="2338"/>
      <c r="AX377" s="2338"/>
      <c r="AY377" s="2338"/>
      <c r="AZ377" s="2338"/>
      <c r="BA377" s="2338"/>
      <c r="BB377" s="2338"/>
      <c r="BC377" s="2338"/>
      <c r="BD377" s="2338"/>
      <c r="BE377" s="2338"/>
      <c r="BF377" s="2338"/>
      <c r="BG377" s="2338"/>
      <c r="BH377" s="2338"/>
      <c r="BI377" s="2338"/>
      <c r="BJ377" s="2338"/>
      <c r="BK377" s="2338"/>
      <c r="BL377" s="2338"/>
      <c r="BM377" s="2338"/>
      <c r="BN377" s="2338"/>
      <c r="BO377" s="2338"/>
      <c r="BP377" s="2338"/>
      <c r="BQ377" s="2338"/>
      <c r="BR377" s="2338"/>
      <c r="BS377" s="2338"/>
      <c r="BT377" s="2338"/>
      <c r="BU377" s="2338"/>
      <c r="BV377" s="2338"/>
      <c r="BW377" s="2338"/>
      <c r="BX377" s="2338"/>
      <c r="BY377" s="2338"/>
      <c r="BZ377" s="2338"/>
      <c r="CA377" s="2338"/>
      <c r="CB377" s="2338"/>
      <c r="CC377" s="2338"/>
      <c r="CD377" s="2338"/>
      <c r="CE377" s="2338"/>
      <c r="CF377" s="2338"/>
      <c r="CG377" s="2338"/>
      <c r="CH377" s="2338"/>
      <c r="CI377" s="2338"/>
      <c r="CJ377" s="2338"/>
      <c r="CK377" s="2338"/>
      <c r="CL377" s="2338"/>
      <c r="CM377" s="2338"/>
      <c r="CN377" s="2338"/>
      <c r="CO377" s="2338"/>
      <c r="CP377" s="2338"/>
      <c r="CQ377" s="2338"/>
      <c r="CR377" s="2338"/>
      <c r="CS377" s="2338"/>
      <c r="CT377" s="2338"/>
      <c r="CU377" s="2338"/>
      <c r="CV377" s="2338"/>
      <c r="CW377" s="2338"/>
      <c r="CX377" s="2338"/>
      <c r="CY377" s="2338"/>
      <c r="CZ377" s="2338"/>
      <c r="DA377" s="2338"/>
      <c r="DB377" s="2338"/>
      <c r="DC377" s="2338"/>
      <c r="DD377" s="2338"/>
      <c r="DE377" s="2338"/>
      <c r="DF377" s="2338"/>
      <c r="DG377" s="2338"/>
      <c r="DH377" s="2338"/>
      <c r="DI377" s="2338"/>
      <c r="DJ377" s="2338"/>
      <c r="DK377" s="2338"/>
      <c r="DL377" s="2338"/>
      <c r="DM377" s="2338"/>
      <c r="DN377" s="2338"/>
      <c r="DO377" s="2338"/>
    </row>
    <row r="378" spans="1:119" ht="45.75" customHeight="1" thickBot="1">
      <c r="A378" s="3724"/>
      <c r="B378" s="3066"/>
      <c r="C378" s="3026"/>
      <c r="D378" s="3026"/>
      <c r="E378" s="3031"/>
      <c r="F378" s="3075"/>
      <c r="G378" s="3076"/>
      <c r="H378" s="2965">
        <f>H11</f>
        <v>2015</v>
      </c>
      <c r="I378" s="2965">
        <f>I11</f>
        <v>2016</v>
      </c>
      <c r="J378" s="2965">
        <f>J11</f>
        <v>2017</v>
      </c>
      <c r="K378" s="2965" t="str">
        <f>K342</f>
        <v>План (в случае отсутствия факта за 3 года)</v>
      </c>
      <c r="L378" s="3713" t="s">
        <v>2559</v>
      </c>
      <c r="M378" s="2965">
        <f>H378</f>
        <v>2015</v>
      </c>
      <c r="N378" s="2965">
        <f>I378</f>
        <v>2016</v>
      </c>
      <c r="O378" s="2965">
        <f>J378</f>
        <v>2017</v>
      </c>
      <c r="P378" s="2965" t="str">
        <f>P342</f>
        <v>План (в случае отсутствия факта за 3 года)</v>
      </c>
      <c r="Q378" s="3713" t="s">
        <v>2559</v>
      </c>
      <c r="R378" s="2971">
        <f>H378</f>
        <v>2015</v>
      </c>
      <c r="S378" s="2971">
        <f>I378</f>
        <v>2016</v>
      </c>
      <c r="T378" s="2971">
        <f>J378</f>
        <v>2017</v>
      </c>
      <c r="U378" s="2971" t="str">
        <f>U342</f>
        <v>План (в случае отсутствия факта за 3 года)</v>
      </c>
      <c r="V378" s="2496">
        <f>R378</f>
        <v>2015</v>
      </c>
      <c r="W378" s="2496">
        <f>S378</f>
        <v>2016</v>
      </c>
      <c r="X378" s="2496">
        <f>T378</f>
        <v>2017</v>
      </c>
      <c r="Y378" s="2496" t="str">
        <f>U378</f>
        <v>План (в случае отсутствия факта за 3 года)</v>
      </c>
      <c r="Z378" s="2481">
        <v>2016</v>
      </c>
      <c r="AA378" s="2481">
        <v>2017</v>
      </c>
      <c r="AB378" s="2481">
        <v>2018</v>
      </c>
      <c r="AC378" s="2489">
        <v>2019</v>
      </c>
      <c r="AD378" s="2503">
        <f>V378</f>
        <v>2015</v>
      </c>
      <c r="AE378" s="2503">
        <f>W378</f>
        <v>2016</v>
      </c>
      <c r="AF378" s="2503">
        <f>X378</f>
        <v>2017</v>
      </c>
      <c r="AG378" s="2503" t="str">
        <f>Y378</f>
        <v>План (в случае отсутствия факта за 3 года)</v>
      </c>
      <c r="AH378" s="2497" t="s">
        <v>3981</v>
      </c>
      <c r="AI378" s="2505" t="s">
        <v>3976</v>
      </c>
      <c r="AJ378" s="2505" t="s">
        <v>3977</v>
      </c>
      <c r="AK378" s="2881">
        <v>2018</v>
      </c>
      <c r="AL378" s="2890" t="s">
        <v>4265</v>
      </c>
      <c r="AM378" s="2881" t="s">
        <v>4265</v>
      </c>
      <c r="AN378" s="2338"/>
      <c r="AO378" s="2338"/>
      <c r="AP378" s="2338"/>
      <c r="AQ378" s="2338"/>
      <c r="AR378" s="2338"/>
      <c r="AS378" s="2338"/>
      <c r="AT378" s="2338"/>
      <c r="AU378" s="2338"/>
      <c r="AV378" s="2338"/>
      <c r="AW378" s="2338"/>
      <c r="AX378" s="2338"/>
      <c r="AY378" s="2338"/>
      <c r="AZ378" s="2338"/>
      <c r="BA378" s="2338"/>
      <c r="BB378" s="2338"/>
      <c r="BC378" s="2338"/>
      <c r="BD378" s="2338"/>
      <c r="BE378" s="2338"/>
      <c r="BF378" s="2338"/>
      <c r="BG378" s="2338"/>
      <c r="BH378" s="2338"/>
      <c r="BI378" s="2338"/>
      <c r="BJ378" s="2338"/>
      <c r="BK378" s="2338"/>
      <c r="BL378" s="2338"/>
      <c r="BM378" s="2338"/>
      <c r="BN378" s="2338"/>
      <c r="BO378" s="2338"/>
      <c r="BP378" s="2338"/>
      <c r="BQ378" s="2338"/>
      <c r="BR378" s="2338"/>
      <c r="BS378" s="2338"/>
      <c r="BT378" s="2338"/>
      <c r="BU378" s="2338"/>
      <c r="BV378" s="2338"/>
      <c r="BW378" s="2338"/>
      <c r="BX378" s="2338"/>
      <c r="BY378" s="2338"/>
      <c r="BZ378" s="2338"/>
      <c r="CA378" s="2338"/>
      <c r="CB378" s="2338"/>
      <c r="CC378" s="2338"/>
      <c r="CD378" s="2338"/>
      <c r="CE378" s="2338"/>
      <c r="CF378" s="2338"/>
      <c r="CG378" s="2338"/>
      <c r="CH378" s="2338"/>
      <c r="CI378" s="2338"/>
      <c r="CJ378" s="2338"/>
      <c r="CK378" s="2338"/>
      <c r="CL378" s="2338"/>
      <c r="CM378" s="2338"/>
      <c r="CN378" s="2338"/>
      <c r="CO378" s="2338"/>
      <c r="CP378" s="2338"/>
      <c r="CQ378" s="2338"/>
      <c r="CR378" s="2338"/>
      <c r="CS378" s="2338"/>
      <c r="CT378" s="2338"/>
      <c r="CU378" s="2338"/>
      <c r="CV378" s="2338"/>
      <c r="CW378" s="2338"/>
      <c r="CX378" s="2338"/>
      <c r="CY378" s="2338"/>
      <c r="CZ378" s="2338"/>
      <c r="DA378" s="2338"/>
      <c r="DB378" s="2338"/>
      <c r="DC378" s="2338"/>
      <c r="DD378" s="2338"/>
      <c r="DE378" s="2338"/>
      <c r="DF378" s="2338"/>
      <c r="DG378" s="2338"/>
      <c r="DH378" s="2338"/>
      <c r="DI378" s="2338"/>
      <c r="DJ378" s="2338"/>
      <c r="DK378" s="2338"/>
      <c r="DL378" s="2338"/>
      <c r="DM378" s="2338"/>
      <c r="DN378" s="2338"/>
      <c r="DO378" s="2338"/>
    </row>
    <row r="379" spans="1:119" ht="15.75" thickBot="1">
      <c r="A379" s="3714">
        <v>1</v>
      </c>
      <c r="B379" s="3715">
        <v>2</v>
      </c>
      <c r="C379" s="3027"/>
      <c r="D379" s="3027"/>
      <c r="E379" s="3027">
        <v>3</v>
      </c>
      <c r="F379" s="3716"/>
      <c r="G379" s="3655">
        <v>4</v>
      </c>
      <c r="H379" s="3656">
        <v>5</v>
      </c>
      <c r="I379" s="3657"/>
      <c r="J379" s="3657"/>
      <c r="K379" s="3658"/>
      <c r="L379" s="3659"/>
      <c r="M379" s="3656">
        <v>6</v>
      </c>
      <c r="N379" s="3657"/>
      <c r="O379" s="3657"/>
      <c r="P379" s="3658"/>
      <c r="Q379" s="3725"/>
      <c r="R379" s="3726">
        <v>7</v>
      </c>
      <c r="S379" s="3726"/>
      <c r="T379" s="3726"/>
      <c r="U379" s="3726"/>
      <c r="V379" s="3022">
        <v>8</v>
      </c>
      <c r="W379" s="3022"/>
      <c r="X379" s="3022"/>
      <c r="Y379" s="2481"/>
      <c r="Z379" s="3022">
        <v>9</v>
      </c>
      <c r="AA379" s="3022"/>
      <c r="AB379" s="3022"/>
      <c r="AC379" s="3109"/>
      <c r="AD379" s="3105">
        <v>10</v>
      </c>
      <c r="AE379" s="3106"/>
      <c r="AF379" s="3106"/>
      <c r="AG379" s="3107"/>
      <c r="AH379" s="2498">
        <v>11</v>
      </c>
      <c r="AI379" s="2498">
        <v>12</v>
      </c>
      <c r="AJ379" s="2499">
        <v>13</v>
      </c>
      <c r="AK379" s="2891">
        <v>10</v>
      </c>
      <c r="AL379" s="2892">
        <v>11</v>
      </c>
      <c r="AM379" s="2891">
        <v>12</v>
      </c>
      <c r="AN379" s="2338"/>
      <c r="AO379" s="2338"/>
      <c r="AP379" s="2338"/>
      <c r="AQ379" s="2338"/>
      <c r="AR379" s="2338"/>
      <c r="AS379" s="2338"/>
      <c r="AT379" s="2338"/>
      <c r="AU379" s="2338"/>
      <c r="AV379" s="2338"/>
      <c r="AW379" s="2338"/>
      <c r="AX379" s="2338"/>
      <c r="AY379" s="2338"/>
      <c r="AZ379" s="2338"/>
      <c r="BA379" s="2338"/>
      <c r="BB379" s="2338"/>
      <c r="BC379" s="2338"/>
      <c r="BD379" s="2338"/>
      <c r="BE379" s="2338"/>
      <c r="BF379" s="2338"/>
      <c r="BG379" s="2338"/>
      <c r="BH379" s="2338"/>
      <c r="BI379" s="2338"/>
      <c r="BJ379" s="2338"/>
      <c r="BK379" s="2338"/>
      <c r="BL379" s="2338"/>
      <c r="BM379" s="2338"/>
      <c r="BN379" s="2338"/>
      <c r="BO379" s="2338"/>
      <c r="BP379" s="2338"/>
      <c r="BQ379" s="2338"/>
      <c r="BR379" s="2338"/>
      <c r="BS379" s="2338"/>
      <c r="BT379" s="2338"/>
      <c r="BU379" s="2338"/>
      <c r="BV379" s="2338"/>
      <c r="BW379" s="2338"/>
      <c r="BX379" s="2338"/>
      <c r="BY379" s="2338"/>
      <c r="BZ379" s="2338"/>
      <c r="CA379" s="2338"/>
      <c r="CB379" s="2338"/>
      <c r="CC379" s="2338"/>
      <c r="CD379" s="2338"/>
      <c r="CE379" s="2338"/>
      <c r="CF379" s="2338"/>
      <c r="CG379" s="2338"/>
      <c r="CH379" s="2338"/>
      <c r="CI379" s="2338"/>
      <c r="CJ379" s="2338"/>
      <c r="CK379" s="2338"/>
      <c r="CL379" s="2338"/>
      <c r="CM379" s="2338"/>
      <c r="CN379" s="2338"/>
      <c r="CO379" s="2338"/>
      <c r="CP379" s="2338"/>
      <c r="CQ379" s="2338"/>
      <c r="CR379" s="2338"/>
      <c r="CS379" s="2338"/>
      <c r="CT379" s="2338"/>
      <c r="CU379" s="2338"/>
      <c r="CV379" s="2338"/>
      <c r="CW379" s="2338"/>
      <c r="CX379" s="2338"/>
      <c r="CY379" s="2338"/>
      <c r="CZ379" s="2338"/>
      <c r="DA379" s="2338"/>
      <c r="DB379" s="2338"/>
      <c r="DC379" s="2338"/>
      <c r="DD379" s="2338"/>
      <c r="DE379" s="2338"/>
      <c r="DF379" s="2338"/>
      <c r="DG379" s="2338"/>
      <c r="DH379" s="2338"/>
      <c r="DI379" s="2338"/>
      <c r="DJ379" s="2338"/>
      <c r="DK379" s="2338"/>
      <c r="DL379" s="2338"/>
      <c r="DM379" s="2338"/>
      <c r="DN379" s="2338"/>
      <c r="DO379" s="2338"/>
    </row>
    <row r="380" spans="1:119" ht="15" hidden="1" customHeight="1" outlineLevel="1">
      <c r="A380" s="2389"/>
      <c r="B380" s="3558" t="s">
        <v>2952</v>
      </c>
      <c r="C380" s="3558"/>
      <c r="D380" s="3558"/>
      <c r="E380" s="3727" t="s">
        <v>3871</v>
      </c>
      <c r="F380" s="3728" t="s">
        <v>2629</v>
      </c>
      <c r="G380" s="2969"/>
      <c r="H380" s="3729"/>
      <c r="I380" s="3729"/>
      <c r="J380" s="3729"/>
      <c r="K380" s="3729"/>
      <c r="L380" s="3729"/>
      <c r="M380" s="3729"/>
      <c r="N380" s="3729"/>
      <c r="O380" s="3729"/>
      <c r="P380" s="3729"/>
      <c r="Q380" s="2442"/>
      <c r="R380" s="2442"/>
      <c r="S380" s="2442"/>
      <c r="T380" s="2442"/>
      <c r="U380" s="2442"/>
      <c r="V380" s="2442" t="str">
        <f t="shared" ref="V380:V391" si="89">IFERROR(R380*1000/M380,"")</f>
        <v/>
      </c>
      <c r="W380" s="2442" t="str">
        <f t="shared" ref="W380:W391" si="90">IFERROR(S380*1000/N380,"")</f>
        <v/>
      </c>
      <c r="X380" s="2442" t="str">
        <f t="shared" ref="X380:X391" si="91">IFERROR(T380*1000/O380,"")</f>
        <v/>
      </c>
      <c r="Y380" s="2442"/>
      <c r="Z380" s="2775">
        <f t="shared" ref="Z380" si="92">$Z$13</f>
        <v>1.0528</v>
      </c>
      <c r="AA380" s="2775">
        <f t="shared" ref="AA380" si="93">$AA$13</f>
        <v>1.0589</v>
      </c>
      <c r="AB380" s="2775">
        <f t="shared" ref="AB380" si="94">$AB$13</f>
        <v>1.0507936887282501</v>
      </c>
      <c r="AC380" s="2775">
        <f t="shared" ref="AC380" si="95">$AC$13</f>
        <v>1.04657781587849</v>
      </c>
      <c r="AD380" s="2323"/>
      <c r="AE380" s="2323"/>
      <c r="AF380" s="2323"/>
      <c r="AG380" s="2323"/>
      <c r="AH380" s="2323"/>
      <c r="AI380" s="2323"/>
      <c r="AJ380" s="2323"/>
      <c r="AK380" s="2898"/>
      <c r="AL380" s="2895">
        <f t="shared" ref="AL380:AL403" si="96">AK380*$AC$71</f>
        <v>0</v>
      </c>
      <c r="AM380" s="2896" t="str">
        <f t="shared" ref="AM380" si="97">IFERROR(AI380/AL380,"")</f>
        <v/>
      </c>
      <c r="AN380" s="2338"/>
      <c r="AO380" s="2338"/>
      <c r="AP380" s="2338"/>
      <c r="AQ380" s="2338"/>
      <c r="AR380" s="2338"/>
      <c r="AS380" s="2338"/>
      <c r="AT380" s="2338"/>
      <c r="AU380" s="2338"/>
      <c r="AV380" s="2338"/>
      <c r="AW380" s="2338"/>
      <c r="AX380" s="2338"/>
      <c r="AY380" s="2338"/>
      <c r="AZ380" s="2338"/>
      <c r="BA380" s="2338"/>
      <c r="BB380" s="2338"/>
      <c r="BC380" s="2338"/>
      <c r="BD380" s="2338"/>
      <c r="BE380" s="2338"/>
      <c r="BF380" s="2338"/>
      <c r="BG380" s="2338"/>
      <c r="BH380" s="2338"/>
      <c r="BI380" s="2338"/>
      <c r="BJ380" s="2338"/>
      <c r="BK380" s="2338"/>
      <c r="BL380" s="2338"/>
      <c r="BM380" s="2338"/>
      <c r="BN380" s="2338"/>
      <c r="BO380" s="2338"/>
      <c r="BP380" s="2338"/>
      <c r="BQ380" s="2338"/>
      <c r="BR380" s="2338"/>
      <c r="BS380" s="2338"/>
      <c r="BT380" s="2338"/>
      <c r="BU380" s="2338"/>
      <c r="BV380" s="2338"/>
      <c r="BW380" s="2338"/>
      <c r="BX380" s="2338"/>
      <c r="BY380" s="2338"/>
      <c r="BZ380" s="2338"/>
      <c r="CA380" s="2338"/>
      <c r="CB380" s="2338"/>
      <c r="CC380" s="2338"/>
      <c r="CD380" s="2338"/>
      <c r="CE380" s="2338"/>
      <c r="CF380" s="2338"/>
      <c r="CG380" s="2338"/>
      <c r="CH380" s="2338"/>
      <c r="CI380" s="2338"/>
      <c r="CJ380" s="2338"/>
      <c r="CK380" s="2338"/>
      <c r="CL380" s="2338"/>
      <c r="CM380" s="2338"/>
      <c r="CN380" s="2338"/>
      <c r="CO380" s="2338"/>
      <c r="CP380" s="2338"/>
      <c r="CQ380" s="2338"/>
      <c r="CR380" s="2338"/>
      <c r="CS380" s="2338"/>
      <c r="CT380" s="2338"/>
      <c r="CU380" s="2338"/>
      <c r="CV380" s="2338"/>
      <c r="CW380" s="2338"/>
      <c r="CX380" s="2338"/>
      <c r="CY380" s="2338"/>
      <c r="CZ380" s="2338"/>
      <c r="DA380" s="2338"/>
      <c r="DB380" s="2338"/>
      <c r="DC380" s="2338"/>
      <c r="DD380" s="2338"/>
      <c r="DE380" s="2338"/>
      <c r="DF380" s="2338"/>
      <c r="DG380" s="2338"/>
      <c r="DH380" s="2338"/>
      <c r="DI380" s="2338"/>
      <c r="DJ380" s="2338"/>
      <c r="DK380" s="2338"/>
      <c r="DL380" s="2338"/>
      <c r="DM380" s="2338"/>
      <c r="DN380" s="2338"/>
      <c r="DO380" s="2338"/>
    </row>
    <row r="381" spans="1:119" ht="15" hidden="1" customHeight="1" outlineLevel="1">
      <c r="A381" s="2339"/>
      <c r="B381" s="3558"/>
      <c r="C381" s="3558"/>
      <c r="D381" s="3558"/>
      <c r="E381" s="3727"/>
      <c r="F381" s="3728" t="s">
        <v>2631</v>
      </c>
      <c r="G381" s="2612"/>
      <c r="H381" s="2445"/>
      <c r="I381" s="2445"/>
      <c r="J381" s="2445"/>
      <c r="K381" s="2445"/>
      <c r="L381" s="2445"/>
      <c r="M381" s="2445"/>
      <c r="N381" s="2445"/>
      <c r="O381" s="2445"/>
      <c r="P381" s="2445"/>
      <c r="Q381" s="2445"/>
      <c r="R381" s="2445"/>
      <c r="S381" s="2445"/>
      <c r="T381" s="2445"/>
      <c r="U381" s="2445"/>
      <c r="V381" s="2445" t="str">
        <f t="shared" si="89"/>
        <v/>
      </c>
      <c r="W381" s="2445" t="str">
        <f t="shared" si="90"/>
        <v/>
      </c>
      <c r="X381" s="2445" t="str">
        <f t="shared" si="91"/>
        <v/>
      </c>
      <c r="Y381" s="2445"/>
      <c r="Z381" s="2566"/>
      <c r="AA381" s="2566"/>
      <c r="AB381" s="2566"/>
      <c r="AC381" s="2566"/>
      <c r="AD381" s="2323"/>
      <c r="AE381" s="2323"/>
      <c r="AF381" s="2323"/>
      <c r="AG381" s="2323"/>
      <c r="AH381" s="2323"/>
      <c r="AI381" s="2323"/>
      <c r="AJ381" s="2323"/>
      <c r="AK381" s="2898"/>
      <c r="AL381" s="2895">
        <f t="shared" si="96"/>
        <v>0</v>
      </c>
      <c r="AM381" s="2896" t="str">
        <f t="shared" ref="AM381:AM403" si="98">IFERROR(AI381/AL381,"")</f>
        <v/>
      </c>
      <c r="AN381" s="2338"/>
      <c r="AO381" s="2338"/>
      <c r="AP381" s="2338"/>
      <c r="AQ381" s="2338"/>
      <c r="AR381" s="2338"/>
      <c r="AS381" s="2338"/>
      <c r="AT381" s="2338"/>
      <c r="AU381" s="2338"/>
      <c r="AV381" s="2338"/>
      <c r="AW381" s="2338"/>
      <c r="AX381" s="2338"/>
      <c r="AY381" s="2338"/>
      <c r="AZ381" s="2338"/>
      <c r="BA381" s="2338"/>
      <c r="BB381" s="2338"/>
      <c r="BC381" s="2338"/>
      <c r="BD381" s="2338"/>
      <c r="BE381" s="2338"/>
      <c r="BF381" s="2338"/>
      <c r="BG381" s="2338"/>
      <c r="BH381" s="2338"/>
      <c r="BI381" s="2338"/>
      <c r="BJ381" s="2338"/>
      <c r="BK381" s="2338"/>
      <c r="BL381" s="2338"/>
      <c r="BM381" s="2338"/>
      <c r="BN381" s="2338"/>
      <c r="BO381" s="2338"/>
      <c r="BP381" s="2338"/>
      <c r="BQ381" s="2338"/>
      <c r="BR381" s="2338"/>
      <c r="BS381" s="2338"/>
      <c r="BT381" s="2338"/>
      <c r="BU381" s="2338"/>
      <c r="BV381" s="2338"/>
      <c r="BW381" s="2338"/>
      <c r="BX381" s="2338"/>
      <c r="BY381" s="2338"/>
      <c r="BZ381" s="2338"/>
      <c r="CA381" s="2338"/>
      <c r="CB381" s="2338"/>
      <c r="CC381" s="2338"/>
      <c r="CD381" s="2338"/>
      <c r="CE381" s="2338"/>
      <c r="CF381" s="2338"/>
      <c r="CG381" s="2338"/>
      <c r="CH381" s="2338"/>
      <c r="CI381" s="2338"/>
      <c r="CJ381" s="2338"/>
      <c r="CK381" s="2338"/>
      <c r="CL381" s="2338"/>
      <c r="CM381" s="2338"/>
      <c r="CN381" s="2338"/>
      <c r="CO381" s="2338"/>
      <c r="CP381" s="2338"/>
      <c r="CQ381" s="2338"/>
      <c r="CR381" s="2338"/>
      <c r="CS381" s="2338"/>
      <c r="CT381" s="2338"/>
      <c r="CU381" s="2338"/>
      <c r="CV381" s="2338"/>
      <c r="CW381" s="2338"/>
      <c r="CX381" s="2338"/>
      <c r="CY381" s="2338"/>
      <c r="CZ381" s="2338"/>
      <c r="DA381" s="2338"/>
      <c r="DB381" s="2338"/>
      <c r="DC381" s="2338"/>
      <c r="DD381" s="2338"/>
      <c r="DE381" s="2338"/>
      <c r="DF381" s="2338"/>
      <c r="DG381" s="2338"/>
      <c r="DH381" s="2338"/>
      <c r="DI381" s="2338"/>
      <c r="DJ381" s="2338"/>
      <c r="DK381" s="2338"/>
      <c r="DL381" s="2338"/>
      <c r="DM381" s="2338"/>
      <c r="DN381" s="2338"/>
      <c r="DO381" s="2338"/>
    </row>
    <row r="382" spans="1:119" ht="15" hidden="1" customHeight="1" outlineLevel="1">
      <c r="A382" s="2339"/>
      <c r="B382" s="3558"/>
      <c r="C382" s="3558"/>
      <c r="D382" s="3558"/>
      <c r="E382" s="3727"/>
      <c r="F382" s="3728" t="s">
        <v>2633</v>
      </c>
      <c r="G382" s="2612"/>
      <c r="H382" s="2445"/>
      <c r="I382" s="2445"/>
      <c r="J382" s="2445"/>
      <c r="K382" s="2445"/>
      <c r="L382" s="2445"/>
      <c r="M382" s="2445"/>
      <c r="N382" s="2445"/>
      <c r="O382" s="2445"/>
      <c r="P382" s="2445"/>
      <c r="Q382" s="2445"/>
      <c r="R382" s="2445"/>
      <c r="S382" s="2445"/>
      <c r="T382" s="2445"/>
      <c r="U382" s="2445"/>
      <c r="V382" s="2445" t="str">
        <f t="shared" si="89"/>
        <v/>
      </c>
      <c r="W382" s="2445" t="str">
        <f t="shared" si="90"/>
        <v/>
      </c>
      <c r="X382" s="2445" t="str">
        <f t="shared" si="91"/>
        <v/>
      </c>
      <c r="Y382" s="2445"/>
      <c r="Z382" s="2566"/>
      <c r="AA382" s="2566"/>
      <c r="AB382" s="2566"/>
      <c r="AC382" s="2566"/>
      <c r="AD382" s="2323"/>
      <c r="AE382" s="2323"/>
      <c r="AF382" s="2323"/>
      <c r="AG382" s="2323"/>
      <c r="AH382" s="2323"/>
      <c r="AI382" s="2323"/>
      <c r="AJ382" s="2323"/>
      <c r="AK382" s="2898"/>
      <c r="AL382" s="2895">
        <f t="shared" si="96"/>
        <v>0</v>
      </c>
      <c r="AM382" s="2896" t="str">
        <f t="shared" si="98"/>
        <v/>
      </c>
      <c r="AN382" s="2338"/>
      <c r="AO382" s="2338"/>
      <c r="AP382" s="2338"/>
      <c r="AQ382" s="2338"/>
      <c r="AR382" s="2338"/>
      <c r="AS382" s="2338"/>
      <c r="AT382" s="2338"/>
      <c r="AU382" s="2338"/>
      <c r="AV382" s="2338"/>
      <c r="AW382" s="2338"/>
      <c r="AX382" s="2338"/>
      <c r="AY382" s="2338"/>
      <c r="AZ382" s="2338"/>
      <c r="BA382" s="2338"/>
      <c r="BB382" s="2338"/>
      <c r="BC382" s="2338"/>
      <c r="BD382" s="2338"/>
      <c r="BE382" s="2338"/>
      <c r="BF382" s="2338"/>
      <c r="BG382" s="2338"/>
      <c r="BH382" s="2338"/>
      <c r="BI382" s="2338"/>
      <c r="BJ382" s="2338"/>
      <c r="BK382" s="2338"/>
      <c r="BL382" s="2338"/>
      <c r="BM382" s="2338"/>
      <c r="BN382" s="2338"/>
      <c r="BO382" s="2338"/>
      <c r="BP382" s="2338"/>
      <c r="BQ382" s="2338"/>
      <c r="BR382" s="2338"/>
      <c r="BS382" s="2338"/>
      <c r="BT382" s="2338"/>
      <c r="BU382" s="2338"/>
      <c r="BV382" s="2338"/>
      <c r="BW382" s="2338"/>
      <c r="BX382" s="2338"/>
      <c r="BY382" s="2338"/>
      <c r="BZ382" s="2338"/>
      <c r="CA382" s="2338"/>
      <c r="CB382" s="2338"/>
      <c r="CC382" s="2338"/>
      <c r="CD382" s="2338"/>
      <c r="CE382" s="2338"/>
      <c r="CF382" s="2338"/>
      <c r="CG382" s="2338"/>
      <c r="CH382" s="2338"/>
      <c r="CI382" s="2338"/>
      <c r="CJ382" s="2338"/>
      <c r="CK382" s="2338"/>
      <c r="CL382" s="2338"/>
      <c r="CM382" s="2338"/>
      <c r="CN382" s="2338"/>
      <c r="CO382" s="2338"/>
      <c r="CP382" s="2338"/>
      <c r="CQ382" s="2338"/>
      <c r="CR382" s="2338"/>
      <c r="CS382" s="2338"/>
      <c r="CT382" s="2338"/>
      <c r="CU382" s="2338"/>
      <c r="CV382" s="2338"/>
      <c r="CW382" s="2338"/>
      <c r="CX382" s="2338"/>
      <c r="CY382" s="2338"/>
      <c r="CZ382" s="2338"/>
      <c r="DA382" s="2338"/>
      <c r="DB382" s="2338"/>
      <c r="DC382" s="2338"/>
      <c r="DD382" s="2338"/>
      <c r="DE382" s="2338"/>
      <c r="DF382" s="2338"/>
      <c r="DG382" s="2338"/>
      <c r="DH382" s="2338"/>
      <c r="DI382" s="2338"/>
      <c r="DJ382" s="2338"/>
      <c r="DK382" s="2338"/>
      <c r="DL382" s="2338"/>
      <c r="DM382" s="2338"/>
      <c r="DN382" s="2338"/>
      <c r="DO382" s="2338"/>
    </row>
    <row r="383" spans="1:119" ht="15" hidden="1" customHeight="1" outlineLevel="1">
      <c r="A383" s="2339"/>
      <c r="B383" s="3558"/>
      <c r="C383" s="3558"/>
      <c r="D383" s="3558"/>
      <c r="E383" s="3727"/>
      <c r="F383" s="3728" t="s">
        <v>2635</v>
      </c>
      <c r="G383" s="2612"/>
      <c r="H383" s="2445"/>
      <c r="I383" s="2445"/>
      <c r="J383" s="2445"/>
      <c r="K383" s="2445"/>
      <c r="L383" s="2445"/>
      <c r="M383" s="2445"/>
      <c r="N383" s="2445"/>
      <c r="O383" s="2445"/>
      <c r="P383" s="2445"/>
      <c r="Q383" s="2445"/>
      <c r="R383" s="2445"/>
      <c r="S383" s="2445"/>
      <c r="T383" s="2445"/>
      <c r="U383" s="2445"/>
      <c r="V383" s="2445" t="str">
        <f t="shared" si="89"/>
        <v/>
      </c>
      <c r="W383" s="2445" t="str">
        <f t="shared" si="90"/>
        <v/>
      </c>
      <c r="X383" s="2445" t="str">
        <f t="shared" si="91"/>
        <v/>
      </c>
      <c r="Y383" s="2445"/>
      <c r="Z383" s="2566"/>
      <c r="AA383" s="2566"/>
      <c r="AB383" s="2566"/>
      <c r="AC383" s="2566"/>
      <c r="AD383" s="2323"/>
      <c r="AE383" s="2323"/>
      <c r="AF383" s="2323"/>
      <c r="AG383" s="2323"/>
      <c r="AH383" s="2323"/>
      <c r="AI383" s="2323"/>
      <c r="AJ383" s="2323"/>
      <c r="AK383" s="2898"/>
      <c r="AL383" s="2895">
        <f t="shared" si="96"/>
        <v>0</v>
      </c>
      <c r="AM383" s="2896" t="str">
        <f t="shared" si="98"/>
        <v/>
      </c>
      <c r="AN383" s="2338"/>
      <c r="AO383" s="2338"/>
      <c r="AP383" s="2338"/>
      <c r="AQ383" s="2338"/>
      <c r="AR383" s="2338"/>
      <c r="AS383" s="2338"/>
      <c r="AT383" s="2338"/>
      <c r="AU383" s="2338"/>
      <c r="AV383" s="2338"/>
      <c r="AW383" s="2338"/>
      <c r="AX383" s="2338"/>
      <c r="AY383" s="2338"/>
      <c r="AZ383" s="2338"/>
      <c r="BA383" s="2338"/>
      <c r="BB383" s="2338"/>
      <c r="BC383" s="2338"/>
      <c r="BD383" s="2338"/>
      <c r="BE383" s="2338"/>
      <c r="BF383" s="2338"/>
      <c r="BG383" s="2338"/>
      <c r="BH383" s="2338"/>
      <c r="BI383" s="2338"/>
      <c r="BJ383" s="2338"/>
      <c r="BK383" s="2338"/>
      <c r="BL383" s="2338"/>
      <c r="BM383" s="2338"/>
      <c r="BN383" s="2338"/>
      <c r="BO383" s="2338"/>
      <c r="BP383" s="2338"/>
      <c r="BQ383" s="2338"/>
      <c r="BR383" s="2338"/>
      <c r="BS383" s="2338"/>
      <c r="BT383" s="2338"/>
      <c r="BU383" s="2338"/>
      <c r="BV383" s="2338"/>
      <c r="BW383" s="2338"/>
      <c r="BX383" s="2338"/>
      <c r="BY383" s="2338"/>
      <c r="BZ383" s="2338"/>
      <c r="CA383" s="2338"/>
      <c r="CB383" s="2338"/>
      <c r="CC383" s="2338"/>
      <c r="CD383" s="2338"/>
      <c r="CE383" s="2338"/>
      <c r="CF383" s="2338"/>
      <c r="CG383" s="2338"/>
      <c r="CH383" s="2338"/>
      <c r="CI383" s="2338"/>
      <c r="CJ383" s="2338"/>
      <c r="CK383" s="2338"/>
      <c r="CL383" s="2338"/>
      <c r="CM383" s="2338"/>
      <c r="CN383" s="2338"/>
      <c r="CO383" s="2338"/>
      <c r="CP383" s="2338"/>
      <c r="CQ383" s="2338"/>
      <c r="CR383" s="2338"/>
      <c r="CS383" s="2338"/>
      <c r="CT383" s="2338"/>
      <c r="CU383" s="2338"/>
      <c r="CV383" s="2338"/>
      <c r="CW383" s="2338"/>
      <c r="CX383" s="2338"/>
      <c r="CY383" s="2338"/>
      <c r="CZ383" s="2338"/>
      <c r="DA383" s="2338"/>
      <c r="DB383" s="2338"/>
      <c r="DC383" s="2338"/>
      <c r="DD383" s="2338"/>
      <c r="DE383" s="2338"/>
      <c r="DF383" s="2338"/>
      <c r="DG383" s="2338"/>
      <c r="DH383" s="2338"/>
      <c r="DI383" s="2338"/>
      <c r="DJ383" s="2338"/>
      <c r="DK383" s="2338"/>
      <c r="DL383" s="2338"/>
      <c r="DM383" s="2338"/>
      <c r="DN383" s="2338"/>
      <c r="DO383" s="2338"/>
    </row>
    <row r="384" spans="1:119" ht="15" hidden="1" customHeight="1" outlineLevel="1">
      <c r="A384" s="2339"/>
      <c r="B384" s="3558"/>
      <c r="C384" s="3558"/>
      <c r="D384" s="3558"/>
      <c r="E384" s="3727"/>
      <c r="F384" s="3728" t="s">
        <v>2639</v>
      </c>
      <c r="G384" s="2612"/>
      <c r="H384" s="2445"/>
      <c r="I384" s="2445"/>
      <c r="J384" s="2445"/>
      <c r="K384" s="2445"/>
      <c r="L384" s="2445"/>
      <c r="M384" s="2445"/>
      <c r="N384" s="2445"/>
      <c r="O384" s="2445"/>
      <c r="P384" s="2445"/>
      <c r="Q384" s="2445"/>
      <c r="R384" s="2445"/>
      <c r="S384" s="2445"/>
      <c r="T384" s="2445"/>
      <c r="U384" s="2445"/>
      <c r="V384" s="2445" t="str">
        <f t="shared" si="89"/>
        <v/>
      </c>
      <c r="W384" s="2445" t="str">
        <f t="shared" si="90"/>
        <v/>
      </c>
      <c r="X384" s="2445" t="str">
        <f t="shared" si="91"/>
        <v/>
      </c>
      <c r="Y384" s="2445"/>
      <c r="Z384" s="2566"/>
      <c r="AA384" s="2566"/>
      <c r="AB384" s="2566"/>
      <c r="AC384" s="2566"/>
      <c r="AD384" s="2323"/>
      <c r="AE384" s="2323"/>
      <c r="AF384" s="2323"/>
      <c r="AG384" s="2323"/>
      <c r="AH384" s="2323"/>
      <c r="AI384" s="2323"/>
      <c r="AJ384" s="2323"/>
      <c r="AK384" s="2898"/>
      <c r="AL384" s="2895">
        <f t="shared" si="96"/>
        <v>0</v>
      </c>
      <c r="AM384" s="2896" t="str">
        <f t="shared" si="98"/>
        <v/>
      </c>
      <c r="AN384" s="2338"/>
      <c r="AO384" s="2338"/>
      <c r="AP384" s="2338"/>
      <c r="AQ384" s="2338"/>
      <c r="AR384" s="2338"/>
      <c r="AS384" s="2338"/>
      <c r="AT384" s="2338"/>
      <c r="AU384" s="2338"/>
      <c r="AV384" s="2338"/>
      <c r="AW384" s="2338"/>
      <c r="AX384" s="2338"/>
      <c r="AY384" s="2338"/>
      <c r="AZ384" s="2338"/>
      <c r="BA384" s="2338"/>
      <c r="BB384" s="2338"/>
      <c r="BC384" s="2338"/>
      <c r="BD384" s="2338"/>
      <c r="BE384" s="2338"/>
      <c r="BF384" s="2338"/>
      <c r="BG384" s="2338"/>
      <c r="BH384" s="2338"/>
      <c r="BI384" s="2338"/>
      <c r="BJ384" s="2338"/>
      <c r="BK384" s="2338"/>
      <c r="BL384" s="2338"/>
      <c r="BM384" s="2338"/>
      <c r="BN384" s="2338"/>
      <c r="BO384" s="2338"/>
      <c r="BP384" s="2338"/>
      <c r="BQ384" s="2338"/>
      <c r="BR384" s="2338"/>
      <c r="BS384" s="2338"/>
      <c r="BT384" s="2338"/>
      <c r="BU384" s="2338"/>
      <c r="BV384" s="2338"/>
      <c r="BW384" s="2338"/>
      <c r="BX384" s="2338"/>
      <c r="BY384" s="2338"/>
      <c r="BZ384" s="2338"/>
      <c r="CA384" s="2338"/>
      <c r="CB384" s="2338"/>
      <c r="CC384" s="2338"/>
      <c r="CD384" s="2338"/>
      <c r="CE384" s="2338"/>
      <c r="CF384" s="2338"/>
      <c r="CG384" s="2338"/>
      <c r="CH384" s="2338"/>
      <c r="CI384" s="2338"/>
      <c r="CJ384" s="2338"/>
      <c r="CK384" s="2338"/>
      <c r="CL384" s="2338"/>
      <c r="CM384" s="2338"/>
      <c r="CN384" s="2338"/>
      <c r="CO384" s="2338"/>
      <c r="CP384" s="2338"/>
      <c r="CQ384" s="2338"/>
      <c r="CR384" s="2338"/>
      <c r="CS384" s="2338"/>
      <c r="CT384" s="2338"/>
      <c r="CU384" s="2338"/>
      <c r="CV384" s="2338"/>
      <c r="CW384" s="2338"/>
      <c r="CX384" s="2338"/>
      <c r="CY384" s="2338"/>
      <c r="CZ384" s="2338"/>
      <c r="DA384" s="2338"/>
      <c r="DB384" s="2338"/>
      <c r="DC384" s="2338"/>
      <c r="DD384" s="2338"/>
      <c r="DE384" s="2338"/>
      <c r="DF384" s="2338"/>
      <c r="DG384" s="2338"/>
      <c r="DH384" s="2338"/>
      <c r="DI384" s="2338"/>
      <c r="DJ384" s="2338"/>
      <c r="DK384" s="2338"/>
      <c r="DL384" s="2338"/>
      <c r="DM384" s="2338"/>
      <c r="DN384" s="2338"/>
      <c r="DO384" s="2338"/>
    </row>
    <row r="385" spans="1:119" ht="15" hidden="1" customHeight="1" outlineLevel="1">
      <c r="A385" s="2339"/>
      <c r="B385" s="3558"/>
      <c r="C385" s="3558"/>
      <c r="D385" s="3558"/>
      <c r="E385" s="3727"/>
      <c r="F385" s="3728" t="s">
        <v>3872</v>
      </c>
      <c r="G385" s="2612"/>
      <c r="H385" s="2445"/>
      <c r="I385" s="2445"/>
      <c r="J385" s="2445"/>
      <c r="K385" s="2445"/>
      <c r="L385" s="2445"/>
      <c r="M385" s="2445"/>
      <c r="N385" s="2445"/>
      <c r="O385" s="2445"/>
      <c r="P385" s="2445"/>
      <c r="Q385" s="2445"/>
      <c r="R385" s="2445"/>
      <c r="S385" s="2445"/>
      <c r="T385" s="2445"/>
      <c r="U385" s="2445"/>
      <c r="V385" s="2445" t="str">
        <f t="shared" si="89"/>
        <v/>
      </c>
      <c r="W385" s="2445" t="str">
        <f t="shared" si="90"/>
        <v/>
      </c>
      <c r="X385" s="2445" t="str">
        <f t="shared" si="91"/>
        <v/>
      </c>
      <c r="Y385" s="2445"/>
      <c r="Z385" s="2566"/>
      <c r="AA385" s="2566"/>
      <c r="AB385" s="2566"/>
      <c r="AC385" s="2566"/>
      <c r="AD385" s="2323"/>
      <c r="AE385" s="2323"/>
      <c r="AF385" s="2323"/>
      <c r="AG385" s="2323"/>
      <c r="AH385" s="2323"/>
      <c r="AI385" s="2323"/>
      <c r="AJ385" s="2323"/>
      <c r="AK385" s="2898"/>
      <c r="AL385" s="2895">
        <f t="shared" si="96"/>
        <v>0</v>
      </c>
      <c r="AM385" s="2896" t="str">
        <f t="shared" si="98"/>
        <v/>
      </c>
      <c r="AN385" s="2338"/>
      <c r="AO385" s="2338"/>
      <c r="AP385" s="2338"/>
      <c r="AQ385" s="2338"/>
      <c r="AR385" s="2338"/>
      <c r="AS385" s="2338"/>
      <c r="AT385" s="2338"/>
      <c r="AU385" s="2338"/>
      <c r="AV385" s="2338"/>
      <c r="AW385" s="2338"/>
      <c r="AX385" s="2338"/>
      <c r="AY385" s="2338"/>
      <c r="AZ385" s="2338"/>
      <c r="BA385" s="2338"/>
      <c r="BB385" s="2338"/>
      <c r="BC385" s="2338"/>
      <c r="BD385" s="2338"/>
      <c r="BE385" s="2338"/>
      <c r="BF385" s="2338"/>
      <c r="BG385" s="2338"/>
      <c r="BH385" s="2338"/>
      <c r="BI385" s="2338"/>
      <c r="BJ385" s="2338"/>
      <c r="BK385" s="2338"/>
      <c r="BL385" s="2338"/>
      <c r="BM385" s="2338"/>
      <c r="BN385" s="2338"/>
      <c r="BO385" s="2338"/>
      <c r="BP385" s="2338"/>
      <c r="BQ385" s="2338"/>
      <c r="BR385" s="2338"/>
      <c r="BS385" s="2338"/>
      <c r="BT385" s="2338"/>
      <c r="BU385" s="2338"/>
      <c r="BV385" s="2338"/>
      <c r="BW385" s="2338"/>
      <c r="BX385" s="2338"/>
      <c r="BY385" s="2338"/>
      <c r="BZ385" s="2338"/>
      <c r="CA385" s="2338"/>
      <c r="CB385" s="2338"/>
      <c r="CC385" s="2338"/>
      <c r="CD385" s="2338"/>
      <c r="CE385" s="2338"/>
      <c r="CF385" s="2338"/>
      <c r="CG385" s="2338"/>
      <c r="CH385" s="2338"/>
      <c r="CI385" s="2338"/>
      <c r="CJ385" s="2338"/>
      <c r="CK385" s="2338"/>
      <c r="CL385" s="2338"/>
      <c r="CM385" s="2338"/>
      <c r="CN385" s="2338"/>
      <c r="CO385" s="2338"/>
      <c r="CP385" s="2338"/>
      <c r="CQ385" s="2338"/>
      <c r="CR385" s="2338"/>
      <c r="CS385" s="2338"/>
      <c r="CT385" s="2338"/>
      <c r="CU385" s="2338"/>
      <c r="CV385" s="2338"/>
      <c r="CW385" s="2338"/>
      <c r="CX385" s="2338"/>
      <c r="CY385" s="2338"/>
      <c r="CZ385" s="2338"/>
      <c r="DA385" s="2338"/>
      <c r="DB385" s="2338"/>
      <c r="DC385" s="2338"/>
      <c r="DD385" s="2338"/>
      <c r="DE385" s="2338"/>
      <c r="DF385" s="2338"/>
      <c r="DG385" s="2338"/>
      <c r="DH385" s="2338"/>
      <c r="DI385" s="2338"/>
      <c r="DJ385" s="2338"/>
      <c r="DK385" s="2338"/>
      <c r="DL385" s="2338"/>
      <c r="DM385" s="2338"/>
      <c r="DN385" s="2338"/>
      <c r="DO385" s="2338"/>
    </row>
    <row r="386" spans="1:119" ht="15" hidden="1" customHeight="1" outlineLevel="1">
      <c r="A386" s="2339"/>
      <c r="B386" s="3558"/>
      <c r="C386" s="3558"/>
      <c r="D386" s="3558"/>
      <c r="E386" s="3727" t="s">
        <v>3873</v>
      </c>
      <c r="F386" s="3728" t="s">
        <v>2629</v>
      </c>
      <c r="G386" s="2612"/>
      <c r="H386" s="2445"/>
      <c r="I386" s="2445"/>
      <c r="J386" s="2445"/>
      <c r="K386" s="2445"/>
      <c r="L386" s="2445"/>
      <c r="M386" s="2445"/>
      <c r="N386" s="2445"/>
      <c r="O386" s="2445"/>
      <c r="P386" s="2445"/>
      <c r="Q386" s="2445"/>
      <c r="R386" s="2445"/>
      <c r="S386" s="2445"/>
      <c r="T386" s="2445"/>
      <c r="U386" s="2445"/>
      <c r="V386" s="2445" t="str">
        <f t="shared" si="89"/>
        <v/>
      </c>
      <c r="W386" s="2445" t="str">
        <f t="shared" si="90"/>
        <v/>
      </c>
      <c r="X386" s="2445" t="str">
        <f t="shared" si="91"/>
        <v/>
      </c>
      <c r="Y386" s="2445"/>
      <c r="Z386" s="2566"/>
      <c r="AA386" s="2566"/>
      <c r="AB386" s="2566"/>
      <c r="AC386" s="2566"/>
      <c r="AD386" s="2323"/>
      <c r="AE386" s="2323"/>
      <c r="AF386" s="2323"/>
      <c r="AG386" s="2323"/>
      <c r="AH386" s="2323"/>
      <c r="AI386" s="2323"/>
      <c r="AJ386" s="2323"/>
      <c r="AK386" s="2898"/>
      <c r="AL386" s="2895">
        <f t="shared" si="96"/>
        <v>0</v>
      </c>
      <c r="AM386" s="2896" t="str">
        <f t="shared" si="98"/>
        <v/>
      </c>
      <c r="AN386" s="2338"/>
      <c r="AO386" s="2338"/>
      <c r="AP386" s="2338"/>
      <c r="AQ386" s="2338"/>
      <c r="AR386" s="2338"/>
      <c r="AS386" s="2338"/>
      <c r="AT386" s="2338"/>
      <c r="AU386" s="2338"/>
      <c r="AV386" s="2338"/>
      <c r="AW386" s="2338"/>
      <c r="AX386" s="2338"/>
      <c r="AY386" s="2338"/>
      <c r="AZ386" s="2338"/>
      <c r="BA386" s="2338"/>
      <c r="BB386" s="2338"/>
      <c r="BC386" s="2338"/>
      <c r="BD386" s="2338"/>
      <c r="BE386" s="2338"/>
      <c r="BF386" s="2338"/>
      <c r="BG386" s="2338"/>
      <c r="BH386" s="2338"/>
      <c r="BI386" s="2338"/>
      <c r="BJ386" s="2338"/>
      <c r="BK386" s="2338"/>
      <c r="BL386" s="2338"/>
      <c r="BM386" s="2338"/>
      <c r="BN386" s="2338"/>
      <c r="BO386" s="2338"/>
      <c r="BP386" s="2338"/>
      <c r="BQ386" s="2338"/>
      <c r="BR386" s="2338"/>
      <c r="BS386" s="2338"/>
      <c r="BT386" s="2338"/>
      <c r="BU386" s="2338"/>
      <c r="BV386" s="2338"/>
      <c r="BW386" s="2338"/>
      <c r="BX386" s="2338"/>
      <c r="BY386" s="2338"/>
      <c r="BZ386" s="2338"/>
      <c r="CA386" s="2338"/>
      <c r="CB386" s="2338"/>
      <c r="CC386" s="2338"/>
      <c r="CD386" s="2338"/>
      <c r="CE386" s="2338"/>
      <c r="CF386" s="2338"/>
      <c r="CG386" s="2338"/>
      <c r="CH386" s="2338"/>
      <c r="CI386" s="2338"/>
      <c r="CJ386" s="2338"/>
      <c r="CK386" s="2338"/>
      <c r="CL386" s="2338"/>
      <c r="CM386" s="2338"/>
      <c r="CN386" s="2338"/>
      <c r="CO386" s="2338"/>
      <c r="CP386" s="2338"/>
      <c r="CQ386" s="2338"/>
      <c r="CR386" s="2338"/>
      <c r="CS386" s="2338"/>
      <c r="CT386" s="2338"/>
      <c r="CU386" s="2338"/>
      <c r="CV386" s="2338"/>
      <c r="CW386" s="2338"/>
      <c r="CX386" s="2338"/>
      <c r="CY386" s="2338"/>
      <c r="CZ386" s="2338"/>
      <c r="DA386" s="2338"/>
      <c r="DB386" s="2338"/>
      <c r="DC386" s="2338"/>
      <c r="DD386" s="2338"/>
      <c r="DE386" s="2338"/>
      <c r="DF386" s="2338"/>
      <c r="DG386" s="2338"/>
      <c r="DH386" s="2338"/>
      <c r="DI386" s="2338"/>
      <c r="DJ386" s="2338"/>
      <c r="DK386" s="2338"/>
      <c r="DL386" s="2338"/>
      <c r="DM386" s="2338"/>
      <c r="DN386" s="2338"/>
      <c r="DO386" s="2338"/>
    </row>
    <row r="387" spans="1:119" ht="15" hidden="1" customHeight="1" outlineLevel="1">
      <c r="A387" s="2339"/>
      <c r="B387" s="3558"/>
      <c r="C387" s="3558"/>
      <c r="D387" s="3558"/>
      <c r="E387" s="3727"/>
      <c r="F387" s="3728" t="s">
        <v>2631</v>
      </c>
      <c r="G387" s="2612"/>
      <c r="H387" s="2445"/>
      <c r="I387" s="2445"/>
      <c r="J387" s="2445"/>
      <c r="K387" s="2445"/>
      <c r="L387" s="2445"/>
      <c r="M387" s="2445"/>
      <c r="N387" s="2445"/>
      <c r="O387" s="2445"/>
      <c r="P387" s="2445"/>
      <c r="Q387" s="2445"/>
      <c r="R387" s="2445"/>
      <c r="S387" s="2445"/>
      <c r="T387" s="2445"/>
      <c r="U387" s="2445"/>
      <c r="V387" s="2445" t="str">
        <f t="shared" si="89"/>
        <v/>
      </c>
      <c r="W387" s="2445" t="str">
        <f t="shared" si="90"/>
        <v/>
      </c>
      <c r="X387" s="2445" t="str">
        <f t="shared" si="91"/>
        <v/>
      </c>
      <c r="Y387" s="2445"/>
      <c r="Z387" s="2566"/>
      <c r="AA387" s="2566"/>
      <c r="AB387" s="2566"/>
      <c r="AC387" s="2566"/>
      <c r="AD387" s="2323"/>
      <c r="AE387" s="2323"/>
      <c r="AF387" s="2323"/>
      <c r="AG387" s="2323"/>
      <c r="AH387" s="2323"/>
      <c r="AI387" s="2323"/>
      <c r="AJ387" s="2323"/>
      <c r="AK387" s="2898"/>
      <c r="AL387" s="2895">
        <f t="shared" si="96"/>
        <v>0</v>
      </c>
      <c r="AM387" s="2896" t="str">
        <f t="shared" si="98"/>
        <v/>
      </c>
      <c r="AN387" s="2338"/>
      <c r="AO387" s="2338"/>
      <c r="AP387" s="2338"/>
      <c r="AQ387" s="2338"/>
      <c r="AR387" s="2338"/>
      <c r="AS387" s="2338"/>
      <c r="AT387" s="2338"/>
      <c r="AU387" s="2338"/>
      <c r="AV387" s="2338"/>
      <c r="AW387" s="2338"/>
      <c r="AX387" s="2338"/>
      <c r="AY387" s="2338"/>
      <c r="AZ387" s="2338"/>
      <c r="BA387" s="2338"/>
      <c r="BB387" s="2338"/>
      <c r="BC387" s="2338"/>
      <c r="BD387" s="2338"/>
      <c r="BE387" s="2338"/>
      <c r="BF387" s="2338"/>
      <c r="BG387" s="2338"/>
      <c r="BH387" s="2338"/>
      <c r="BI387" s="2338"/>
      <c r="BJ387" s="2338"/>
      <c r="BK387" s="2338"/>
      <c r="BL387" s="2338"/>
      <c r="BM387" s="2338"/>
      <c r="BN387" s="2338"/>
      <c r="BO387" s="2338"/>
      <c r="BP387" s="2338"/>
      <c r="BQ387" s="2338"/>
      <c r="BR387" s="2338"/>
      <c r="BS387" s="2338"/>
      <c r="BT387" s="2338"/>
      <c r="BU387" s="2338"/>
      <c r="BV387" s="2338"/>
      <c r="BW387" s="2338"/>
      <c r="BX387" s="2338"/>
      <c r="BY387" s="2338"/>
      <c r="BZ387" s="2338"/>
      <c r="CA387" s="2338"/>
      <c r="CB387" s="2338"/>
      <c r="CC387" s="2338"/>
      <c r="CD387" s="2338"/>
      <c r="CE387" s="2338"/>
      <c r="CF387" s="2338"/>
      <c r="CG387" s="2338"/>
      <c r="CH387" s="2338"/>
      <c r="CI387" s="2338"/>
      <c r="CJ387" s="2338"/>
      <c r="CK387" s="2338"/>
      <c r="CL387" s="2338"/>
      <c r="CM387" s="2338"/>
      <c r="CN387" s="2338"/>
      <c r="CO387" s="2338"/>
      <c r="CP387" s="2338"/>
      <c r="CQ387" s="2338"/>
      <c r="CR387" s="2338"/>
      <c r="CS387" s="2338"/>
      <c r="CT387" s="2338"/>
      <c r="CU387" s="2338"/>
      <c r="CV387" s="2338"/>
      <c r="CW387" s="2338"/>
      <c r="CX387" s="2338"/>
      <c r="CY387" s="2338"/>
      <c r="CZ387" s="2338"/>
      <c r="DA387" s="2338"/>
      <c r="DB387" s="2338"/>
      <c r="DC387" s="2338"/>
      <c r="DD387" s="2338"/>
      <c r="DE387" s="2338"/>
      <c r="DF387" s="2338"/>
      <c r="DG387" s="2338"/>
      <c r="DH387" s="2338"/>
      <c r="DI387" s="2338"/>
      <c r="DJ387" s="2338"/>
      <c r="DK387" s="2338"/>
      <c r="DL387" s="2338"/>
      <c r="DM387" s="2338"/>
      <c r="DN387" s="2338"/>
      <c r="DO387" s="2338"/>
    </row>
    <row r="388" spans="1:119" ht="15" hidden="1" customHeight="1" outlineLevel="1">
      <c r="A388" s="2339"/>
      <c r="B388" s="3558"/>
      <c r="C388" s="3558"/>
      <c r="D388" s="3558"/>
      <c r="E388" s="3727"/>
      <c r="F388" s="3728" t="s">
        <v>2633</v>
      </c>
      <c r="G388" s="2612"/>
      <c r="H388" s="2445"/>
      <c r="I388" s="2445"/>
      <c r="J388" s="2445"/>
      <c r="K388" s="2445"/>
      <c r="L388" s="2445"/>
      <c r="M388" s="2445"/>
      <c r="N388" s="2445"/>
      <c r="O388" s="2445"/>
      <c r="P388" s="2445"/>
      <c r="Q388" s="2445"/>
      <c r="R388" s="2445"/>
      <c r="S388" s="2445"/>
      <c r="T388" s="2445"/>
      <c r="U388" s="2445"/>
      <c r="V388" s="2445" t="str">
        <f t="shared" si="89"/>
        <v/>
      </c>
      <c r="W388" s="2445" t="str">
        <f t="shared" si="90"/>
        <v/>
      </c>
      <c r="X388" s="2445" t="str">
        <f t="shared" si="91"/>
        <v/>
      </c>
      <c r="Y388" s="2445"/>
      <c r="Z388" s="2566"/>
      <c r="AA388" s="2566"/>
      <c r="AB388" s="2566"/>
      <c r="AC388" s="2566"/>
      <c r="AD388" s="2323"/>
      <c r="AE388" s="2323"/>
      <c r="AF388" s="2323"/>
      <c r="AG388" s="2323"/>
      <c r="AH388" s="2323"/>
      <c r="AI388" s="2323"/>
      <c r="AJ388" s="2323"/>
      <c r="AK388" s="2898"/>
      <c r="AL388" s="2895">
        <f t="shared" si="96"/>
        <v>0</v>
      </c>
      <c r="AM388" s="2896" t="str">
        <f t="shared" si="98"/>
        <v/>
      </c>
      <c r="AN388" s="2338"/>
      <c r="AO388" s="2338"/>
      <c r="AP388" s="2338"/>
      <c r="AQ388" s="2338"/>
      <c r="AR388" s="2338"/>
      <c r="AS388" s="2338"/>
      <c r="AT388" s="2338"/>
      <c r="AU388" s="2338"/>
      <c r="AV388" s="2338"/>
      <c r="AW388" s="2338"/>
      <c r="AX388" s="2338"/>
      <c r="AY388" s="2338"/>
      <c r="AZ388" s="2338"/>
      <c r="BA388" s="2338"/>
      <c r="BB388" s="2338"/>
      <c r="BC388" s="2338"/>
      <c r="BD388" s="2338"/>
      <c r="BE388" s="2338"/>
      <c r="BF388" s="2338"/>
      <c r="BG388" s="2338"/>
      <c r="BH388" s="2338"/>
      <c r="BI388" s="2338"/>
      <c r="BJ388" s="2338"/>
      <c r="BK388" s="2338"/>
      <c r="BL388" s="2338"/>
      <c r="BM388" s="2338"/>
      <c r="BN388" s="2338"/>
      <c r="BO388" s="2338"/>
      <c r="BP388" s="2338"/>
      <c r="BQ388" s="2338"/>
      <c r="BR388" s="2338"/>
      <c r="BS388" s="2338"/>
      <c r="BT388" s="2338"/>
      <c r="BU388" s="2338"/>
      <c r="BV388" s="2338"/>
      <c r="BW388" s="2338"/>
      <c r="BX388" s="2338"/>
      <c r="BY388" s="2338"/>
      <c r="BZ388" s="2338"/>
      <c r="CA388" s="2338"/>
      <c r="CB388" s="2338"/>
      <c r="CC388" s="2338"/>
      <c r="CD388" s="2338"/>
      <c r="CE388" s="2338"/>
      <c r="CF388" s="2338"/>
      <c r="CG388" s="2338"/>
      <c r="CH388" s="2338"/>
      <c r="CI388" s="2338"/>
      <c r="CJ388" s="2338"/>
      <c r="CK388" s="2338"/>
      <c r="CL388" s="2338"/>
      <c r="CM388" s="2338"/>
      <c r="CN388" s="2338"/>
      <c r="CO388" s="2338"/>
      <c r="CP388" s="2338"/>
      <c r="CQ388" s="2338"/>
      <c r="CR388" s="2338"/>
      <c r="CS388" s="2338"/>
      <c r="CT388" s="2338"/>
      <c r="CU388" s="2338"/>
      <c r="CV388" s="2338"/>
      <c r="CW388" s="2338"/>
      <c r="CX388" s="2338"/>
      <c r="CY388" s="2338"/>
      <c r="CZ388" s="2338"/>
      <c r="DA388" s="2338"/>
      <c r="DB388" s="2338"/>
      <c r="DC388" s="2338"/>
      <c r="DD388" s="2338"/>
      <c r="DE388" s="2338"/>
      <c r="DF388" s="2338"/>
      <c r="DG388" s="2338"/>
      <c r="DH388" s="2338"/>
      <c r="DI388" s="2338"/>
      <c r="DJ388" s="2338"/>
      <c r="DK388" s="2338"/>
      <c r="DL388" s="2338"/>
      <c r="DM388" s="2338"/>
      <c r="DN388" s="2338"/>
      <c r="DO388" s="2338"/>
    </row>
    <row r="389" spans="1:119" ht="15" hidden="1" customHeight="1" outlineLevel="1">
      <c r="A389" s="2339"/>
      <c r="B389" s="3558"/>
      <c r="C389" s="3558"/>
      <c r="D389" s="3558"/>
      <c r="E389" s="3727"/>
      <c r="F389" s="3728" t="s">
        <v>2635</v>
      </c>
      <c r="G389" s="2612"/>
      <c r="H389" s="2445"/>
      <c r="I389" s="2445"/>
      <c r="J389" s="2445"/>
      <c r="K389" s="2445"/>
      <c r="L389" s="2445"/>
      <c r="M389" s="2445"/>
      <c r="N389" s="2445"/>
      <c r="O389" s="2445"/>
      <c r="P389" s="2445"/>
      <c r="Q389" s="2445"/>
      <c r="R389" s="2445"/>
      <c r="S389" s="2445"/>
      <c r="T389" s="2445"/>
      <c r="U389" s="2445"/>
      <c r="V389" s="2445" t="str">
        <f t="shared" si="89"/>
        <v/>
      </c>
      <c r="W389" s="2445" t="str">
        <f t="shared" si="90"/>
        <v/>
      </c>
      <c r="X389" s="2445" t="str">
        <f t="shared" si="91"/>
        <v/>
      </c>
      <c r="Y389" s="2445"/>
      <c r="Z389" s="2566"/>
      <c r="AA389" s="2566"/>
      <c r="AB389" s="2566"/>
      <c r="AC389" s="2566"/>
      <c r="AD389" s="2323"/>
      <c r="AE389" s="2323"/>
      <c r="AF389" s="2323"/>
      <c r="AG389" s="2323"/>
      <c r="AH389" s="2323"/>
      <c r="AI389" s="2323"/>
      <c r="AJ389" s="2323"/>
      <c r="AK389" s="2898"/>
      <c r="AL389" s="2895">
        <f t="shared" si="96"/>
        <v>0</v>
      </c>
      <c r="AM389" s="2896" t="str">
        <f t="shared" si="98"/>
        <v/>
      </c>
      <c r="AN389" s="2338"/>
      <c r="AO389" s="2338"/>
      <c r="AP389" s="2338"/>
      <c r="AQ389" s="2338"/>
      <c r="AR389" s="2338"/>
      <c r="AS389" s="2338"/>
      <c r="AT389" s="2338"/>
      <c r="AU389" s="2338"/>
      <c r="AV389" s="2338"/>
      <c r="AW389" s="2338"/>
      <c r="AX389" s="2338"/>
      <c r="AY389" s="2338"/>
      <c r="AZ389" s="2338"/>
      <c r="BA389" s="2338"/>
      <c r="BB389" s="2338"/>
      <c r="BC389" s="2338"/>
      <c r="BD389" s="2338"/>
      <c r="BE389" s="2338"/>
      <c r="BF389" s="2338"/>
      <c r="BG389" s="2338"/>
      <c r="BH389" s="2338"/>
      <c r="BI389" s="2338"/>
      <c r="BJ389" s="2338"/>
      <c r="BK389" s="2338"/>
      <c r="BL389" s="2338"/>
      <c r="BM389" s="2338"/>
      <c r="BN389" s="2338"/>
      <c r="BO389" s="2338"/>
      <c r="BP389" s="2338"/>
      <c r="BQ389" s="2338"/>
      <c r="BR389" s="2338"/>
      <c r="BS389" s="2338"/>
      <c r="BT389" s="2338"/>
      <c r="BU389" s="2338"/>
      <c r="BV389" s="2338"/>
      <c r="BW389" s="2338"/>
      <c r="BX389" s="2338"/>
      <c r="BY389" s="2338"/>
      <c r="BZ389" s="2338"/>
      <c r="CA389" s="2338"/>
      <c r="CB389" s="2338"/>
      <c r="CC389" s="2338"/>
      <c r="CD389" s="2338"/>
      <c r="CE389" s="2338"/>
      <c r="CF389" s="2338"/>
      <c r="CG389" s="2338"/>
      <c r="CH389" s="2338"/>
      <c r="CI389" s="2338"/>
      <c r="CJ389" s="2338"/>
      <c r="CK389" s="2338"/>
      <c r="CL389" s="2338"/>
      <c r="CM389" s="2338"/>
      <c r="CN389" s="2338"/>
      <c r="CO389" s="2338"/>
      <c r="CP389" s="2338"/>
      <c r="CQ389" s="2338"/>
      <c r="CR389" s="2338"/>
      <c r="CS389" s="2338"/>
      <c r="CT389" s="2338"/>
      <c r="CU389" s="2338"/>
      <c r="CV389" s="2338"/>
      <c r="CW389" s="2338"/>
      <c r="CX389" s="2338"/>
      <c r="CY389" s="2338"/>
      <c r="CZ389" s="2338"/>
      <c r="DA389" s="2338"/>
      <c r="DB389" s="2338"/>
      <c r="DC389" s="2338"/>
      <c r="DD389" s="2338"/>
      <c r="DE389" s="2338"/>
      <c r="DF389" s="2338"/>
      <c r="DG389" s="2338"/>
      <c r="DH389" s="2338"/>
      <c r="DI389" s="2338"/>
      <c r="DJ389" s="2338"/>
      <c r="DK389" s="2338"/>
      <c r="DL389" s="2338"/>
      <c r="DM389" s="2338"/>
      <c r="DN389" s="2338"/>
      <c r="DO389" s="2338"/>
    </row>
    <row r="390" spans="1:119" ht="15" hidden="1" customHeight="1" outlineLevel="1">
      <c r="A390" s="2339"/>
      <c r="B390" s="3558"/>
      <c r="C390" s="3558"/>
      <c r="D390" s="3558"/>
      <c r="E390" s="3727"/>
      <c r="F390" s="3728" t="s">
        <v>2639</v>
      </c>
      <c r="G390" s="2612"/>
      <c r="H390" s="2445"/>
      <c r="I390" s="2445"/>
      <c r="J390" s="2445"/>
      <c r="K390" s="2445"/>
      <c r="L390" s="2445"/>
      <c r="M390" s="2445"/>
      <c r="N390" s="2445"/>
      <c r="O390" s="2445"/>
      <c r="P390" s="2445"/>
      <c r="Q390" s="2445"/>
      <c r="R390" s="2445"/>
      <c r="S390" s="2445"/>
      <c r="T390" s="2445"/>
      <c r="U390" s="2445"/>
      <c r="V390" s="2445" t="str">
        <f t="shared" si="89"/>
        <v/>
      </c>
      <c r="W390" s="2445" t="str">
        <f t="shared" si="90"/>
        <v/>
      </c>
      <c r="X390" s="2445" t="str">
        <f t="shared" si="91"/>
        <v/>
      </c>
      <c r="Y390" s="2445"/>
      <c r="Z390" s="2566"/>
      <c r="AA390" s="2566"/>
      <c r="AB390" s="2566"/>
      <c r="AC390" s="2566"/>
      <c r="AD390" s="2323"/>
      <c r="AE390" s="2323"/>
      <c r="AF390" s="2323"/>
      <c r="AG390" s="2323"/>
      <c r="AH390" s="2323"/>
      <c r="AI390" s="2323"/>
      <c r="AJ390" s="2323"/>
      <c r="AK390" s="2898"/>
      <c r="AL390" s="2895">
        <f t="shared" si="96"/>
        <v>0</v>
      </c>
      <c r="AM390" s="2896" t="str">
        <f t="shared" si="98"/>
        <v/>
      </c>
      <c r="AN390" s="2338"/>
      <c r="AO390" s="2338"/>
      <c r="AP390" s="2338"/>
      <c r="AQ390" s="2338"/>
      <c r="AR390" s="2338"/>
      <c r="AS390" s="2338"/>
      <c r="AT390" s="2338"/>
      <c r="AU390" s="2338"/>
      <c r="AV390" s="2338"/>
      <c r="AW390" s="2338"/>
      <c r="AX390" s="2338"/>
      <c r="AY390" s="2338"/>
      <c r="AZ390" s="2338"/>
      <c r="BA390" s="2338"/>
      <c r="BB390" s="2338"/>
      <c r="BC390" s="2338"/>
      <c r="BD390" s="2338"/>
      <c r="BE390" s="2338"/>
      <c r="BF390" s="2338"/>
      <c r="BG390" s="2338"/>
      <c r="BH390" s="2338"/>
      <c r="BI390" s="2338"/>
      <c r="BJ390" s="2338"/>
      <c r="BK390" s="2338"/>
      <c r="BL390" s="2338"/>
      <c r="BM390" s="2338"/>
      <c r="BN390" s="2338"/>
      <c r="BO390" s="2338"/>
      <c r="BP390" s="2338"/>
      <c r="BQ390" s="2338"/>
      <c r="BR390" s="2338"/>
      <c r="BS390" s="2338"/>
      <c r="BT390" s="2338"/>
      <c r="BU390" s="2338"/>
      <c r="BV390" s="2338"/>
      <c r="BW390" s="2338"/>
      <c r="BX390" s="2338"/>
      <c r="BY390" s="2338"/>
      <c r="BZ390" s="2338"/>
      <c r="CA390" s="2338"/>
      <c r="CB390" s="2338"/>
      <c r="CC390" s="2338"/>
      <c r="CD390" s="2338"/>
      <c r="CE390" s="2338"/>
      <c r="CF390" s="2338"/>
      <c r="CG390" s="2338"/>
      <c r="CH390" s="2338"/>
      <c r="CI390" s="2338"/>
      <c r="CJ390" s="2338"/>
      <c r="CK390" s="2338"/>
      <c r="CL390" s="2338"/>
      <c r="CM390" s="2338"/>
      <c r="CN390" s="2338"/>
      <c r="CO390" s="2338"/>
      <c r="CP390" s="2338"/>
      <c r="CQ390" s="2338"/>
      <c r="CR390" s="2338"/>
      <c r="CS390" s="2338"/>
      <c r="CT390" s="2338"/>
      <c r="CU390" s="2338"/>
      <c r="CV390" s="2338"/>
      <c r="CW390" s="2338"/>
      <c r="CX390" s="2338"/>
      <c r="CY390" s="2338"/>
      <c r="CZ390" s="2338"/>
      <c r="DA390" s="2338"/>
      <c r="DB390" s="2338"/>
      <c r="DC390" s="2338"/>
      <c r="DD390" s="2338"/>
      <c r="DE390" s="2338"/>
      <c r="DF390" s="2338"/>
      <c r="DG390" s="2338"/>
      <c r="DH390" s="2338"/>
      <c r="DI390" s="2338"/>
      <c r="DJ390" s="2338"/>
      <c r="DK390" s="2338"/>
      <c r="DL390" s="2338"/>
      <c r="DM390" s="2338"/>
      <c r="DN390" s="2338"/>
      <c r="DO390" s="2338"/>
    </row>
    <row r="391" spans="1:119" ht="15" hidden="1" customHeight="1" outlineLevel="1">
      <c r="A391" s="2339"/>
      <c r="B391" s="3558"/>
      <c r="C391" s="3558"/>
      <c r="D391" s="3558"/>
      <c r="E391" s="3727"/>
      <c r="F391" s="3728" t="s">
        <v>3872</v>
      </c>
      <c r="G391" s="2612"/>
      <c r="H391" s="2445"/>
      <c r="I391" s="2445"/>
      <c r="J391" s="2445"/>
      <c r="K391" s="2445"/>
      <c r="L391" s="2445"/>
      <c r="M391" s="2445"/>
      <c r="N391" s="2445"/>
      <c r="O391" s="2445"/>
      <c r="P391" s="2445"/>
      <c r="Q391" s="2445"/>
      <c r="R391" s="2445"/>
      <c r="S391" s="2445"/>
      <c r="T391" s="2445"/>
      <c r="U391" s="2445"/>
      <c r="V391" s="2445" t="str">
        <f t="shared" si="89"/>
        <v/>
      </c>
      <c r="W391" s="2445" t="str">
        <f t="shared" si="90"/>
        <v/>
      </c>
      <c r="X391" s="2445" t="str">
        <f t="shared" si="91"/>
        <v/>
      </c>
      <c r="Y391" s="2445"/>
      <c r="Z391" s="2775"/>
      <c r="AA391" s="2775"/>
      <c r="AB391" s="2775"/>
      <c r="AC391" s="2775"/>
      <c r="AD391" s="2323"/>
      <c r="AE391" s="2323"/>
      <c r="AF391" s="2323"/>
      <c r="AG391" s="2323"/>
      <c r="AH391" s="2323"/>
      <c r="AI391" s="2323"/>
      <c r="AJ391" s="2323"/>
      <c r="AK391" s="2898"/>
      <c r="AL391" s="2895">
        <f t="shared" si="96"/>
        <v>0</v>
      </c>
      <c r="AM391" s="2896" t="str">
        <f t="shared" si="98"/>
        <v/>
      </c>
      <c r="AN391" s="2338"/>
      <c r="AO391" s="2338"/>
      <c r="AP391" s="2338"/>
      <c r="AQ391" s="2338"/>
      <c r="AR391" s="2338"/>
      <c r="AS391" s="2338"/>
      <c r="AT391" s="2338"/>
      <c r="AU391" s="2338"/>
      <c r="AV391" s="2338"/>
      <c r="AW391" s="2338"/>
      <c r="AX391" s="2338"/>
      <c r="AY391" s="2338"/>
      <c r="AZ391" s="2338"/>
      <c r="BA391" s="2338"/>
      <c r="BB391" s="2338"/>
      <c r="BC391" s="2338"/>
      <c r="BD391" s="2338"/>
      <c r="BE391" s="2338"/>
      <c r="BF391" s="2338"/>
      <c r="BG391" s="2338"/>
      <c r="BH391" s="2338"/>
      <c r="BI391" s="2338"/>
      <c r="BJ391" s="2338"/>
      <c r="BK391" s="2338"/>
      <c r="BL391" s="2338"/>
      <c r="BM391" s="2338"/>
      <c r="BN391" s="2338"/>
      <c r="BO391" s="2338"/>
      <c r="BP391" s="2338"/>
      <c r="BQ391" s="2338"/>
      <c r="BR391" s="2338"/>
      <c r="BS391" s="2338"/>
      <c r="BT391" s="2338"/>
      <c r="BU391" s="2338"/>
      <c r="BV391" s="2338"/>
      <c r="BW391" s="2338"/>
      <c r="BX391" s="2338"/>
      <c r="BY391" s="2338"/>
      <c r="BZ391" s="2338"/>
      <c r="CA391" s="2338"/>
      <c r="CB391" s="2338"/>
      <c r="CC391" s="2338"/>
      <c r="CD391" s="2338"/>
      <c r="CE391" s="2338"/>
      <c r="CF391" s="2338"/>
      <c r="CG391" s="2338"/>
      <c r="CH391" s="2338"/>
      <c r="CI391" s="2338"/>
      <c r="CJ391" s="2338"/>
      <c r="CK391" s="2338"/>
      <c r="CL391" s="2338"/>
      <c r="CM391" s="2338"/>
      <c r="CN391" s="2338"/>
      <c r="CO391" s="2338"/>
      <c r="CP391" s="2338"/>
      <c r="CQ391" s="2338"/>
      <c r="CR391" s="2338"/>
      <c r="CS391" s="2338"/>
      <c r="CT391" s="2338"/>
      <c r="CU391" s="2338"/>
      <c r="CV391" s="2338"/>
      <c r="CW391" s="2338"/>
      <c r="CX391" s="2338"/>
      <c r="CY391" s="2338"/>
      <c r="CZ391" s="2338"/>
      <c r="DA391" s="2338"/>
      <c r="DB391" s="2338"/>
      <c r="DC391" s="2338"/>
      <c r="DD391" s="2338"/>
      <c r="DE391" s="2338"/>
      <c r="DF391" s="2338"/>
      <c r="DG391" s="2338"/>
      <c r="DH391" s="2338"/>
      <c r="DI391" s="2338"/>
      <c r="DJ391" s="2338"/>
      <c r="DK391" s="2338"/>
      <c r="DL391" s="2338"/>
      <c r="DM391" s="2338"/>
      <c r="DN391" s="2338"/>
      <c r="DO391" s="2338"/>
    </row>
    <row r="392" spans="1:119" ht="15" customHeight="1" collapsed="1">
      <c r="A392" s="2339"/>
      <c r="B392" s="3559" t="s">
        <v>2948</v>
      </c>
      <c r="C392" s="3559"/>
      <c r="D392" s="3559"/>
      <c r="E392" s="3727" t="s">
        <v>3871</v>
      </c>
      <c r="F392" s="3728" t="s">
        <v>2629</v>
      </c>
      <c r="G392" s="2612"/>
      <c r="H392" s="2714">
        <f>'приложение 1(1)'!H614+'приложение 1(1)'!H646</f>
        <v>4</v>
      </c>
      <c r="I392" s="2714">
        <f>'приложение 1(1)'!I614</f>
        <v>1</v>
      </c>
      <c r="J392" s="2714">
        <f>'приложение 1(1)'!J646</f>
        <v>1</v>
      </c>
      <c r="K392" s="2445"/>
      <c r="L392" s="3730">
        <f>SUM(H392:J392)</f>
        <v>6</v>
      </c>
      <c r="M392" s="2714">
        <f>'приложение 1(1)'!M614+'приложение 1(1)'!M646</f>
        <v>33</v>
      </c>
      <c r="N392" s="2714">
        <f>'приложение 1(1)'!N614</f>
        <v>15</v>
      </c>
      <c r="O392" s="2714">
        <f>'приложение 1(1)'!O646</f>
        <v>3</v>
      </c>
      <c r="P392" s="2445"/>
      <c r="Q392" s="3731">
        <f>AVERAGE(M392:O392)</f>
        <v>17</v>
      </c>
      <c r="R392" s="3674">
        <f>'приложение 1(1)'!R614+'приложение 1(1)'!R646</f>
        <v>808.59716000000003</v>
      </c>
      <c r="S392" s="3674">
        <f>'приложение 1(1)'!S614</f>
        <v>201.94121999999999</v>
      </c>
      <c r="T392" s="3674">
        <f>'приложение 1(1)'!T646</f>
        <v>255.60234</v>
      </c>
      <c r="U392" s="3674"/>
      <c r="V392" s="2786">
        <f>IFERROR(R392*1000/M392,"")</f>
        <v>24502.944242424244</v>
      </c>
      <c r="W392" s="2786">
        <f>IFERROR(S392*1000/N392,"")</f>
        <v>13462.748</v>
      </c>
      <c r="X392" s="2786">
        <f t="shared" ref="X392" si="99">IFERROR(T392*1000/O392,"")</f>
        <v>85200.78</v>
      </c>
      <c r="Y392" s="2509"/>
      <c r="Z392" s="2775">
        <f t="shared" ref="Z392:Z393" si="100">$Z$13</f>
        <v>1.0528</v>
      </c>
      <c r="AA392" s="2775">
        <f t="shared" ref="AA392:AA393" si="101">$AA$13</f>
        <v>1.0589</v>
      </c>
      <c r="AB392" s="2775">
        <f t="shared" ref="AB392:AB393" si="102">$AB$13</f>
        <v>1.0507936887282501</v>
      </c>
      <c r="AC392" s="2775">
        <f t="shared" ref="AC392:AC393" si="103">$AC$13</f>
        <v>1.04657781587849</v>
      </c>
      <c r="AD392" s="2507">
        <f>IFERROR(V392*$Z$392*$AA$392*$AB$392*$AC$392,"")</f>
        <v>30040.563635320963</v>
      </c>
      <c r="AE392" s="2507">
        <f>IFERROR(W392*$AA$392*$AB$392*$AC$392,"")</f>
        <v>15677.530177435603</v>
      </c>
      <c r="AF392" s="2507">
        <f>IFERROR(X392*$AB$392*$AC$392,"")</f>
        <v>93698.481181370968</v>
      </c>
      <c r="AG392" s="2323"/>
      <c r="AH392" s="2714">
        <f>SUM(AD392:AF392)</f>
        <v>139416.57499412753</v>
      </c>
      <c r="AI392" s="2780">
        <f>AH392/3</f>
        <v>46472.191664709178</v>
      </c>
      <c r="AJ392" s="2782">
        <f>AI392</f>
        <v>46472.191664709178</v>
      </c>
      <c r="AK392" s="2898">
        <f>'Утв.СТС 2018г'!H130</f>
        <v>13089.01</v>
      </c>
      <c r="AL392" s="2895">
        <f t="shared" si="96"/>
        <v>13698.667497811713</v>
      </c>
      <c r="AM392" s="2896">
        <f>IFERROR(AI392/AL392,"")</f>
        <v>3.3924607391290325</v>
      </c>
      <c r="AN392" s="2338"/>
      <c r="AO392" s="2506">
        <f>AJ392*Q392/1000</f>
        <v>790.02725830005602</v>
      </c>
      <c r="AP392" s="2338"/>
      <c r="AQ392" s="2338"/>
      <c r="AR392" s="2338"/>
      <c r="AS392" s="2338"/>
      <c r="AT392" s="2338"/>
      <c r="AU392" s="2338"/>
      <c r="AV392" s="2338"/>
      <c r="AW392" s="2338"/>
      <c r="AX392" s="2338"/>
      <c r="AY392" s="2338"/>
      <c r="AZ392" s="2338"/>
      <c r="BA392" s="2338"/>
      <c r="BB392" s="2338"/>
      <c r="BC392" s="2338"/>
      <c r="BD392" s="2338"/>
      <c r="BE392" s="2338"/>
      <c r="BF392" s="2338"/>
      <c r="BG392" s="2338"/>
      <c r="BH392" s="2338"/>
      <c r="BI392" s="2338"/>
      <c r="BJ392" s="2338"/>
      <c r="BK392" s="2338"/>
      <c r="BL392" s="2338"/>
      <c r="BM392" s="2338"/>
      <c r="BN392" s="2338"/>
      <c r="BO392" s="2338"/>
      <c r="BP392" s="2338"/>
      <c r="BQ392" s="2338"/>
      <c r="BR392" s="2338"/>
      <c r="BS392" s="2338"/>
      <c r="BT392" s="2338"/>
      <c r="BU392" s="2338"/>
      <c r="BV392" s="2338"/>
      <c r="BW392" s="2338"/>
      <c r="BX392" s="2338"/>
      <c r="BY392" s="2338"/>
      <c r="BZ392" s="2338"/>
      <c r="CA392" s="2338"/>
      <c r="CB392" s="2338"/>
      <c r="CC392" s="2338"/>
      <c r="CD392" s="2338"/>
      <c r="CE392" s="2338"/>
      <c r="CF392" s="2338"/>
      <c r="CG392" s="2338"/>
      <c r="CH392" s="2338"/>
      <c r="CI392" s="2338"/>
      <c r="CJ392" s="2338"/>
      <c r="CK392" s="2338"/>
      <c r="CL392" s="2338"/>
      <c r="CM392" s="2338"/>
      <c r="CN392" s="2338"/>
      <c r="CO392" s="2338"/>
      <c r="CP392" s="2338"/>
      <c r="CQ392" s="2338"/>
      <c r="CR392" s="2338"/>
      <c r="CS392" s="2338"/>
      <c r="CT392" s="2338"/>
      <c r="CU392" s="2338"/>
      <c r="CV392" s="2338"/>
      <c r="CW392" s="2338"/>
      <c r="CX392" s="2338"/>
      <c r="CY392" s="2338"/>
      <c r="CZ392" s="2338"/>
      <c r="DA392" s="2338"/>
      <c r="DB392" s="2338"/>
      <c r="DC392" s="2338"/>
      <c r="DD392" s="2338"/>
      <c r="DE392" s="2338"/>
      <c r="DF392" s="2338"/>
      <c r="DG392" s="2338"/>
      <c r="DH392" s="2338"/>
      <c r="DI392" s="2338"/>
      <c r="DJ392" s="2338"/>
      <c r="DK392" s="2338"/>
      <c r="DL392" s="2338"/>
      <c r="DM392" s="2338"/>
      <c r="DN392" s="2338"/>
      <c r="DO392" s="2338"/>
    </row>
    <row r="393" spans="1:119" ht="15" customHeight="1">
      <c r="A393" s="2339"/>
      <c r="B393" s="3559"/>
      <c r="C393" s="3559"/>
      <c r="D393" s="3559"/>
      <c r="E393" s="3727"/>
      <c r="F393" s="3728" t="s">
        <v>2631</v>
      </c>
      <c r="G393" s="2612"/>
      <c r="H393" s="2714"/>
      <c r="I393" s="2714">
        <f>'приложение 1(1)'!I615</f>
        <v>1</v>
      </c>
      <c r="J393" s="2714">
        <f>'приложение 1(1)'!J647</f>
        <v>2</v>
      </c>
      <c r="K393" s="2445"/>
      <c r="L393" s="3730">
        <f>SUM(H393:J393)</f>
        <v>3</v>
      </c>
      <c r="M393" s="2714"/>
      <c r="N393" s="2714">
        <f>'приложение 1(1)'!N615</f>
        <v>15</v>
      </c>
      <c r="O393" s="2714">
        <f>'приложение 1(1)'!O647</f>
        <v>39.5</v>
      </c>
      <c r="P393" s="2445"/>
      <c r="Q393" s="3731">
        <f>AVERAGE(M393:O393)</f>
        <v>27.25</v>
      </c>
      <c r="R393" s="3674"/>
      <c r="S393" s="3674">
        <f>'приложение 1(1)'!S615</f>
        <v>222.81171000000003</v>
      </c>
      <c r="T393" s="3674">
        <f>'приложение 1(1)'!T647</f>
        <v>427.48237</v>
      </c>
      <c r="U393" s="3674"/>
      <c r="V393" s="2786" t="str">
        <f t="shared" ref="V393:V403" si="104">IFERROR(R393*1000/M393,"")</f>
        <v/>
      </c>
      <c r="W393" s="2786">
        <f t="shared" ref="W393:W403" si="105">IFERROR(S393*1000/N393,"")</f>
        <v>14854.114000000001</v>
      </c>
      <c r="X393" s="2786">
        <f t="shared" ref="X393:X403" si="106">IFERROR(T393*1000/O393,"")</f>
        <v>10822.338481012657</v>
      </c>
      <c r="Y393" s="2445"/>
      <c r="Z393" s="2775">
        <f t="shared" si="100"/>
        <v>1.0528</v>
      </c>
      <c r="AA393" s="2775">
        <f t="shared" si="101"/>
        <v>1.0589</v>
      </c>
      <c r="AB393" s="2775">
        <f t="shared" si="102"/>
        <v>1.0507936887282501</v>
      </c>
      <c r="AC393" s="2775">
        <f t="shared" si="103"/>
        <v>1.04657781587849</v>
      </c>
      <c r="AD393" s="2507"/>
      <c r="AE393" s="2507">
        <f>IFERROR(W393*$AA$393*$AB$393*$AC$393,"")</f>
        <v>17297.792433912353</v>
      </c>
      <c r="AF393" s="2507">
        <f>IFERROR(X393*$AB$393*$AC$393,"")</f>
        <v>11901.729990049285</v>
      </c>
      <c r="AG393" s="2323"/>
      <c r="AH393" s="2714">
        <f>SUM(AD393:AF393)</f>
        <v>29199.522423961636</v>
      </c>
      <c r="AI393" s="2780">
        <f>AH393/2</f>
        <v>14599.761211980818</v>
      </c>
      <c r="AJ393" s="2782">
        <f>AVERAGE(AD393:AF393)</f>
        <v>14599.761211980818</v>
      </c>
      <c r="AK393" s="2898">
        <f>'Утв.СТС 2018г'!H131</f>
        <v>4248.6000000000004</v>
      </c>
      <c r="AL393" s="2895">
        <f t="shared" si="96"/>
        <v>4446.4905085413529</v>
      </c>
      <c r="AM393" s="2896">
        <f t="shared" si="98"/>
        <v>3.2834346961802447</v>
      </c>
      <c r="AN393" s="2338"/>
      <c r="AO393" s="2506">
        <f>AJ393*Q393/1000</f>
        <v>397.84349302647729</v>
      </c>
      <c r="AP393" s="2338"/>
      <c r="AQ393" s="2338"/>
      <c r="AR393" s="2338"/>
      <c r="AS393" s="2338"/>
      <c r="AT393" s="2338"/>
      <c r="AU393" s="2338"/>
      <c r="AV393" s="2338"/>
      <c r="AW393" s="2338"/>
      <c r="AX393" s="2338"/>
      <c r="AY393" s="2338"/>
      <c r="AZ393" s="2338"/>
      <c r="BA393" s="2338"/>
      <c r="BB393" s="2338"/>
      <c r="BC393" s="2338"/>
      <c r="BD393" s="2338"/>
      <c r="BE393" s="2338"/>
      <c r="BF393" s="2338"/>
      <c r="BG393" s="2338"/>
      <c r="BH393" s="2338"/>
      <c r="BI393" s="2338"/>
      <c r="BJ393" s="2338"/>
      <c r="BK393" s="2338"/>
      <c r="BL393" s="2338"/>
      <c r="BM393" s="2338"/>
      <c r="BN393" s="2338"/>
      <c r="BO393" s="2338"/>
      <c r="BP393" s="2338"/>
      <c r="BQ393" s="2338"/>
      <c r="BR393" s="2338"/>
      <c r="BS393" s="2338"/>
      <c r="BT393" s="2338"/>
      <c r="BU393" s="2338"/>
      <c r="BV393" s="2338"/>
      <c r="BW393" s="2338"/>
      <c r="BX393" s="2338"/>
      <c r="BY393" s="2338"/>
      <c r="BZ393" s="2338"/>
      <c r="CA393" s="2338"/>
      <c r="CB393" s="2338"/>
      <c r="CC393" s="2338"/>
      <c r="CD393" s="2338"/>
      <c r="CE393" s="2338"/>
      <c r="CF393" s="2338"/>
      <c r="CG393" s="2338"/>
      <c r="CH393" s="2338"/>
      <c r="CI393" s="2338"/>
      <c r="CJ393" s="2338"/>
      <c r="CK393" s="2338"/>
      <c r="CL393" s="2338"/>
      <c r="CM393" s="2338"/>
      <c r="CN393" s="2338"/>
      <c r="CO393" s="2338"/>
      <c r="CP393" s="2338"/>
      <c r="CQ393" s="2338"/>
      <c r="CR393" s="2338"/>
      <c r="CS393" s="2338"/>
      <c r="CT393" s="2338"/>
      <c r="CU393" s="2338"/>
      <c r="CV393" s="2338"/>
      <c r="CW393" s="2338"/>
      <c r="CX393" s="2338"/>
      <c r="CY393" s="2338"/>
      <c r="CZ393" s="2338"/>
      <c r="DA393" s="2338"/>
      <c r="DB393" s="2338"/>
      <c r="DC393" s="2338"/>
      <c r="DD393" s="2338"/>
      <c r="DE393" s="2338"/>
      <c r="DF393" s="2338"/>
      <c r="DG393" s="2338"/>
      <c r="DH393" s="2338"/>
      <c r="DI393" s="2338"/>
      <c r="DJ393" s="2338"/>
      <c r="DK393" s="2338"/>
      <c r="DL393" s="2338"/>
      <c r="DM393" s="2338"/>
      <c r="DN393" s="2338"/>
      <c r="DO393" s="2338"/>
    </row>
    <row r="394" spans="1:119" ht="15" hidden="1" customHeight="1" outlineLevel="1">
      <c r="A394" s="2339"/>
      <c r="B394" s="3559"/>
      <c r="C394" s="3559"/>
      <c r="D394" s="3559"/>
      <c r="E394" s="3727"/>
      <c r="F394" s="3728" t="s">
        <v>2633</v>
      </c>
      <c r="G394" s="2612"/>
      <c r="H394" s="2714"/>
      <c r="I394" s="2714"/>
      <c r="J394" s="2714"/>
      <c r="K394" s="2445"/>
      <c r="L394" s="3730"/>
      <c r="M394" s="2714"/>
      <c r="N394" s="2714"/>
      <c r="O394" s="2714"/>
      <c r="P394" s="2445"/>
      <c r="Q394" s="3731"/>
      <c r="R394" s="3674"/>
      <c r="S394" s="3674"/>
      <c r="T394" s="3674"/>
      <c r="U394" s="3674"/>
      <c r="V394" s="2714" t="str">
        <f t="shared" si="104"/>
        <v/>
      </c>
      <c r="W394" s="2714" t="str">
        <f t="shared" si="105"/>
        <v/>
      </c>
      <c r="X394" s="2714" t="str">
        <f t="shared" si="106"/>
        <v/>
      </c>
      <c r="Y394" s="2445"/>
      <c r="Z394" s="2788"/>
      <c r="AA394" s="2788"/>
      <c r="AB394" s="2788"/>
      <c r="AC394" s="2788"/>
      <c r="AD394" s="2714"/>
      <c r="AE394" s="2714"/>
      <c r="AF394" s="2714"/>
      <c r="AG394" s="2323"/>
      <c r="AH394" s="2714"/>
      <c r="AI394" s="2787"/>
      <c r="AJ394" s="2782"/>
      <c r="AK394" s="2898"/>
      <c r="AL394" s="2895">
        <f t="shared" si="96"/>
        <v>0</v>
      </c>
      <c r="AM394" s="2896" t="str">
        <f t="shared" si="98"/>
        <v/>
      </c>
      <c r="AN394" s="2338"/>
      <c r="AO394" s="2338"/>
      <c r="AP394" s="2338"/>
      <c r="AQ394" s="2338"/>
      <c r="AR394" s="2338"/>
      <c r="AS394" s="2338"/>
      <c r="AT394" s="2338"/>
      <c r="AU394" s="2338"/>
      <c r="AV394" s="2338"/>
      <c r="AW394" s="2338"/>
      <c r="AX394" s="2338"/>
      <c r="AY394" s="2338"/>
      <c r="AZ394" s="2338"/>
      <c r="BA394" s="2338"/>
      <c r="BB394" s="2338"/>
      <c r="BC394" s="2338"/>
      <c r="BD394" s="2338"/>
      <c r="BE394" s="2338"/>
      <c r="BF394" s="2338"/>
      <c r="BG394" s="2338"/>
      <c r="BH394" s="2338"/>
      <c r="BI394" s="2338"/>
      <c r="BJ394" s="2338"/>
      <c r="BK394" s="2338"/>
      <c r="BL394" s="2338"/>
      <c r="BM394" s="2338"/>
      <c r="BN394" s="2338"/>
      <c r="BO394" s="2338"/>
      <c r="BP394" s="2338"/>
      <c r="BQ394" s="2338"/>
      <c r="BR394" s="2338"/>
      <c r="BS394" s="2338"/>
      <c r="BT394" s="2338"/>
      <c r="BU394" s="2338"/>
      <c r="BV394" s="2338"/>
      <c r="BW394" s="2338"/>
      <c r="BX394" s="2338"/>
      <c r="BY394" s="2338"/>
      <c r="BZ394" s="2338"/>
      <c r="CA394" s="2338"/>
      <c r="CB394" s="2338"/>
      <c r="CC394" s="2338"/>
      <c r="CD394" s="2338"/>
      <c r="CE394" s="2338"/>
      <c r="CF394" s="2338"/>
      <c r="CG394" s="2338"/>
      <c r="CH394" s="2338"/>
      <c r="CI394" s="2338"/>
      <c r="CJ394" s="2338"/>
      <c r="CK394" s="2338"/>
      <c r="CL394" s="2338"/>
      <c r="CM394" s="2338"/>
      <c r="CN394" s="2338"/>
      <c r="CO394" s="2338"/>
      <c r="CP394" s="2338"/>
      <c r="CQ394" s="2338"/>
      <c r="CR394" s="2338"/>
      <c r="CS394" s="2338"/>
      <c r="CT394" s="2338"/>
      <c r="CU394" s="2338"/>
      <c r="CV394" s="2338"/>
      <c r="CW394" s="2338"/>
      <c r="CX394" s="2338"/>
      <c r="CY394" s="2338"/>
      <c r="CZ394" s="2338"/>
      <c r="DA394" s="2338"/>
      <c r="DB394" s="2338"/>
      <c r="DC394" s="2338"/>
      <c r="DD394" s="2338"/>
      <c r="DE394" s="2338"/>
      <c r="DF394" s="2338"/>
      <c r="DG394" s="2338"/>
      <c r="DH394" s="2338"/>
      <c r="DI394" s="2338"/>
      <c r="DJ394" s="2338"/>
      <c r="DK394" s="2338"/>
      <c r="DL394" s="2338"/>
      <c r="DM394" s="2338"/>
      <c r="DN394" s="2338"/>
      <c r="DO394" s="2338"/>
    </row>
    <row r="395" spans="1:119" ht="15" customHeight="1" collapsed="1" thickBot="1">
      <c r="A395" s="2339"/>
      <c r="B395" s="3559"/>
      <c r="C395" s="3559"/>
      <c r="D395" s="3559"/>
      <c r="E395" s="3727"/>
      <c r="F395" s="3728" t="s">
        <v>2635</v>
      </c>
      <c r="G395" s="2612"/>
      <c r="H395" s="2714">
        <f>'приложение 1(1)'!H649</f>
        <v>2</v>
      </c>
      <c r="I395" s="2714">
        <f>'приложение 1(1)'!I617</f>
        <v>4</v>
      </c>
      <c r="J395" s="2714"/>
      <c r="K395" s="2445"/>
      <c r="L395" s="3730">
        <f>SUM(H395:J395)</f>
        <v>6</v>
      </c>
      <c r="M395" s="2714">
        <f>'приложение 1(1)'!M649</f>
        <v>151.69999999999999</v>
      </c>
      <c r="N395" s="2714">
        <f>'приложение 1(1)'!N617</f>
        <v>1600</v>
      </c>
      <c r="O395" s="2714"/>
      <c r="P395" s="2445"/>
      <c r="Q395" s="3731">
        <f>AVERAGE(M395:O395)</f>
        <v>875.85</v>
      </c>
      <c r="R395" s="3674">
        <f>'приложение 1(1)'!R649</f>
        <v>856.52384000000006</v>
      </c>
      <c r="S395" s="3674">
        <f>'приложение 1(1)'!S617</f>
        <v>1715.1566200000002</v>
      </c>
      <c r="T395" s="3674"/>
      <c r="U395" s="3674"/>
      <c r="V395" s="2786">
        <f t="shared" si="104"/>
        <v>5646.1690177982873</v>
      </c>
      <c r="W395" s="2786">
        <f t="shared" si="105"/>
        <v>1071.9728875000001</v>
      </c>
      <c r="X395" s="2786" t="str">
        <f t="shared" si="106"/>
        <v/>
      </c>
      <c r="Y395" s="2445"/>
      <c r="Z395" s="2775">
        <f t="shared" ref="Z395" si="107">$Z$13</f>
        <v>1.0528</v>
      </c>
      <c r="AA395" s="2775">
        <f t="shared" ref="AA395" si="108">$AA$13</f>
        <v>1.0589</v>
      </c>
      <c r="AB395" s="2775">
        <f t="shared" ref="AB395" si="109">$AB$13</f>
        <v>1.0507936887282501</v>
      </c>
      <c r="AC395" s="2775">
        <f t="shared" ref="AC395" si="110">$AC$13</f>
        <v>1.04657781587849</v>
      </c>
      <c r="AD395" s="2507">
        <f>IFERROR(V395*$Z$380*$AA$380*$AB$380*$AC$380,"")</f>
        <v>6922.1926147666081</v>
      </c>
      <c r="AE395" s="2507">
        <f>IFERROR(W395*$AA$380*$AB$380*$AC$380,"")</f>
        <v>1248.3251779780792</v>
      </c>
      <c r="AF395" s="2507"/>
      <c r="AG395" s="2323"/>
      <c r="AH395" s="2714">
        <f>SUM(AD395:AF395)</f>
        <v>8170.5177927446875</v>
      </c>
      <c r="AI395" s="2787">
        <f>AH395/2</f>
        <v>4085.2588963723438</v>
      </c>
      <c r="AJ395" s="2782">
        <f>AVERAGE(AD395:AF395)</f>
        <v>4085.2588963723438</v>
      </c>
      <c r="AK395" s="2898">
        <f>'Утв.СТС 2018г'!H133</f>
        <v>907.82</v>
      </c>
      <c r="AL395" s="2895">
        <f t="shared" si="96"/>
        <v>950.10427281081081</v>
      </c>
      <c r="AM395" s="2896">
        <f t="shared" si="98"/>
        <v>4.2998005727165269</v>
      </c>
      <c r="AN395" s="2338"/>
      <c r="AO395" s="2506">
        <f>AJ395*Q395/1000</f>
        <v>3578.0740043877172</v>
      </c>
      <c r="AP395" s="2338"/>
      <c r="AQ395" s="2338"/>
      <c r="AR395" s="2338"/>
      <c r="AS395" s="2338"/>
      <c r="AT395" s="2338"/>
      <c r="AU395" s="2338"/>
      <c r="AV395" s="2338"/>
      <c r="AW395" s="2338"/>
      <c r="AX395" s="2338"/>
      <c r="AY395" s="2338"/>
      <c r="AZ395" s="2338"/>
      <c r="BA395" s="2338"/>
      <c r="BB395" s="2338"/>
      <c r="BC395" s="2338"/>
      <c r="BD395" s="2338"/>
      <c r="BE395" s="2338"/>
      <c r="BF395" s="2338"/>
      <c r="BG395" s="2338"/>
      <c r="BH395" s="2338"/>
      <c r="BI395" s="2338"/>
      <c r="BJ395" s="2338"/>
      <c r="BK395" s="2338"/>
      <c r="BL395" s="2338"/>
      <c r="BM395" s="2338"/>
      <c r="BN395" s="2338"/>
      <c r="BO395" s="2338"/>
      <c r="BP395" s="2338"/>
      <c r="BQ395" s="2338"/>
      <c r="BR395" s="2338"/>
      <c r="BS395" s="2338"/>
      <c r="BT395" s="2338"/>
      <c r="BU395" s="2338"/>
      <c r="BV395" s="2338"/>
      <c r="BW395" s="2338"/>
      <c r="BX395" s="2338"/>
      <c r="BY395" s="2338"/>
      <c r="BZ395" s="2338"/>
      <c r="CA395" s="2338"/>
      <c r="CB395" s="2338"/>
      <c r="CC395" s="2338"/>
      <c r="CD395" s="2338"/>
      <c r="CE395" s="2338"/>
      <c r="CF395" s="2338"/>
      <c r="CG395" s="2338"/>
      <c r="CH395" s="2338"/>
      <c r="CI395" s="2338"/>
      <c r="CJ395" s="2338"/>
      <c r="CK395" s="2338"/>
      <c r="CL395" s="2338"/>
      <c r="CM395" s="2338"/>
      <c r="CN395" s="2338"/>
      <c r="CO395" s="2338"/>
      <c r="CP395" s="2338"/>
      <c r="CQ395" s="2338"/>
      <c r="CR395" s="2338"/>
      <c r="CS395" s="2338"/>
      <c r="CT395" s="2338"/>
      <c r="CU395" s="2338"/>
      <c r="CV395" s="2338"/>
      <c r="CW395" s="2338"/>
      <c r="CX395" s="2338"/>
      <c r="CY395" s="2338"/>
      <c r="CZ395" s="2338"/>
      <c r="DA395" s="2338"/>
      <c r="DB395" s="2338"/>
      <c r="DC395" s="2338"/>
      <c r="DD395" s="2338"/>
      <c r="DE395" s="2338"/>
      <c r="DF395" s="2338"/>
      <c r="DG395" s="2338"/>
      <c r="DH395" s="2338"/>
      <c r="DI395" s="2338"/>
      <c r="DJ395" s="2338"/>
      <c r="DK395" s="2338"/>
      <c r="DL395" s="2338"/>
      <c r="DM395" s="2338"/>
      <c r="DN395" s="2338"/>
      <c r="DO395" s="2338"/>
    </row>
    <row r="396" spans="1:119" ht="15" hidden="1" customHeight="1" outlineLevel="1">
      <c r="A396" s="2339"/>
      <c r="B396" s="3559"/>
      <c r="C396" s="3559"/>
      <c r="D396" s="3559"/>
      <c r="E396" s="3727"/>
      <c r="F396" s="3728" t="s">
        <v>2639</v>
      </c>
      <c r="G396" s="2612"/>
      <c r="H396" s="2445"/>
      <c r="I396" s="2445"/>
      <c r="J396" s="2445"/>
      <c r="K396" s="2445"/>
      <c r="L396" s="2445"/>
      <c r="M396" s="2445"/>
      <c r="N396" s="2445"/>
      <c r="O396" s="2445"/>
      <c r="P396" s="2445"/>
      <c r="Q396" s="2445"/>
      <c r="R396" s="2445"/>
      <c r="S396" s="2445"/>
      <c r="T396" s="2445"/>
      <c r="U396" s="3674"/>
      <c r="V396" s="2509" t="str">
        <f t="shared" si="104"/>
        <v/>
      </c>
      <c r="W396" s="2509" t="str">
        <f t="shared" si="105"/>
        <v/>
      </c>
      <c r="X396" s="2509" t="str">
        <f t="shared" si="106"/>
        <v/>
      </c>
      <c r="Y396" s="2445"/>
      <c r="Z396" s="2566"/>
      <c r="AA396" s="2566"/>
      <c r="AB396" s="2566"/>
      <c r="AC396" s="2566"/>
      <c r="AD396" s="2323"/>
      <c r="AE396" s="2323"/>
      <c r="AF396" s="2323"/>
      <c r="AG396" s="2323"/>
      <c r="AH396" s="2323"/>
      <c r="AI396" s="2323"/>
      <c r="AJ396" s="2323"/>
      <c r="AK396" s="2898"/>
      <c r="AL396" s="2895">
        <f t="shared" si="96"/>
        <v>0</v>
      </c>
      <c r="AM396" s="2896" t="str">
        <f t="shared" si="98"/>
        <v/>
      </c>
      <c r="AN396" s="2338"/>
      <c r="AO396" s="2338"/>
      <c r="AP396" s="2338"/>
      <c r="AQ396" s="2338"/>
      <c r="AR396" s="2338"/>
      <c r="AS396" s="2338"/>
      <c r="AT396" s="2338"/>
      <c r="AU396" s="2338"/>
      <c r="AV396" s="2338"/>
      <c r="AW396" s="2338"/>
      <c r="AX396" s="2338"/>
      <c r="AY396" s="2338"/>
      <c r="AZ396" s="2338"/>
      <c r="BA396" s="2338"/>
      <c r="BB396" s="2338"/>
      <c r="BC396" s="2338"/>
      <c r="BD396" s="2338"/>
      <c r="BE396" s="2338"/>
      <c r="BF396" s="2338"/>
      <c r="BG396" s="2338"/>
      <c r="BH396" s="2338"/>
      <c r="BI396" s="2338"/>
      <c r="BJ396" s="2338"/>
      <c r="BK396" s="2338"/>
      <c r="BL396" s="2338"/>
      <c r="BM396" s="2338"/>
      <c r="BN396" s="2338"/>
      <c r="BO396" s="2338"/>
      <c r="BP396" s="2338"/>
      <c r="BQ396" s="2338"/>
      <c r="BR396" s="2338"/>
      <c r="BS396" s="2338"/>
      <c r="BT396" s="2338"/>
      <c r="BU396" s="2338"/>
      <c r="BV396" s="2338"/>
      <c r="BW396" s="2338"/>
      <c r="BX396" s="2338"/>
      <c r="BY396" s="2338"/>
      <c r="BZ396" s="2338"/>
      <c r="CA396" s="2338"/>
      <c r="CB396" s="2338"/>
      <c r="CC396" s="2338"/>
      <c r="CD396" s="2338"/>
      <c r="CE396" s="2338"/>
      <c r="CF396" s="2338"/>
      <c r="CG396" s="2338"/>
      <c r="CH396" s="2338"/>
      <c r="CI396" s="2338"/>
      <c r="CJ396" s="2338"/>
      <c r="CK396" s="2338"/>
      <c r="CL396" s="2338"/>
      <c r="CM396" s="2338"/>
      <c r="CN396" s="2338"/>
      <c r="CO396" s="2338"/>
      <c r="CP396" s="2338"/>
      <c r="CQ396" s="2338"/>
      <c r="CR396" s="2338"/>
      <c r="CS396" s="2338"/>
      <c r="CT396" s="2338"/>
      <c r="CU396" s="2338"/>
      <c r="CV396" s="2338"/>
      <c r="CW396" s="2338"/>
      <c r="CX396" s="2338"/>
      <c r="CY396" s="2338"/>
      <c r="CZ396" s="2338"/>
      <c r="DA396" s="2338"/>
      <c r="DB396" s="2338"/>
      <c r="DC396" s="2338"/>
      <c r="DD396" s="2338"/>
      <c r="DE396" s="2338"/>
      <c r="DF396" s="2338"/>
      <c r="DG396" s="2338"/>
      <c r="DH396" s="2338"/>
      <c r="DI396" s="2338"/>
      <c r="DJ396" s="2338"/>
      <c r="DK396" s="2338"/>
      <c r="DL396" s="2338"/>
      <c r="DM396" s="2338"/>
      <c r="DN396" s="2338"/>
      <c r="DO396" s="2338"/>
    </row>
    <row r="397" spans="1:119" ht="15" hidden="1" customHeight="1" outlineLevel="1">
      <c r="A397" s="2339"/>
      <c r="B397" s="3559"/>
      <c r="C397" s="3559"/>
      <c r="D397" s="3559"/>
      <c r="E397" s="3727"/>
      <c r="F397" s="3728" t="s">
        <v>3872</v>
      </c>
      <c r="G397" s="2612"/>
      <c r="H397" s="2445"/>
      <c r="I397" s="2445"/>
      <c r="J397" s="2445"/>
      <c r="K397" s="2445"/>
      <c r="L397" s="2445"/>
      <c r="M397" s="2445"/>
      <c r="N397" s="2445"/>
      <c r="O397" s="2445"/>
      <c r="P397" s="2445"/>
      <c r="Q397" s="2445"/>
      <c r="R397" s="2445"/>
      <c r="S397" s="2445"/>
      <c r="T397" s="2445"/>
      <c r="U397" s="3674"/>
      <c r="V397" s="2445" t="str">
        <f t="shared" si="104"/>
        <v/>
      </c>
      <c r="W397" s="2445" t="str">
        <f t="shared" si="105"/>
        <v/>
      </c>
      <c r="X397" s="2445" t="str">
        <f t="shared" si="106"/>
        <v/>
      </c>
      <c r="Y397" s="2445"/>
      <c r="Z397" s="2566"/>
      <c r="AA397" s="2566"/>
      <c r="AB397" s="2566"/>
      <c r="AC397" s="2566"/>
      <c r="AD397" s="2323"/>
      <c r="AE397" s="2323"/>
      <c r="AF397" s="2323"/>
      <c r="AG397" s="2323"/>
      <c r="AH397" s="2323"/>
      <c r="AI397" s="2323"/>
      <c r="AJ397" s="2323"/>
      <c r="AK397" s="2898"/>
      <c r="AL397" s="2895">
        <f t="shared" si="96"/>
        <v>0</v>
      </c>
      <c r="AM397" s="2896" t="str">
        <f t="shared" si="98"/>
        <v/>
      </c>
      <c r="AN397" s="2338"/>
      <c r="AO397" s="2338"/>
      <c r="AP397" s="2338"/>
      <c r="AQ397" s="2338"/>
      <c r="AR397" s="2338"/>
      <c r="AS397" s="2338"/>
      <c r="AT397" s="2338"/>
      <c r="AU397" s="2338"/>
      <c r="AV397" s="2338"/>
      <c r="AW397" s="2338"/>
      <c r="AX397" s="2338"/>
      <c r="AY397" s="2338"/>
      <c r="AZ397" s="2338"/>
      <c r="BA397" s="2338"/>
      <c r="BB397" s="2338"/>
      <c r="BC397" s="2338"/>
      <c r="BD397" s="2338"/>
      <c r="BE397" s="2338"/>
      <c r="BF397" s="2338"/>
      <c r="BG397" s="2338"/>
      <c r="BH397" s="2338"/>
      <c r="BI397" s="2338"/>
      <c r="BJ397" s="2338"/>
      <c r="BK397" s="2338"/>
      <c r="BL397" s="2338"/>
      <c r="BM397" s="2338"/>
      <c r="BN397" s="2338"/>
      <c r="BO397" s="2338"/>
      <c r="BP397" s="2338"/>
      <c r="BQ397" s="2338"/>
      <c r="BR397" s="2338"/>
      <c r="BS397" s="2338"/>
      <c r="BT397" s="2338"/>
      <c r="BU397" s="2338"/>
      <c r="BV397" s="2338"/>
      <c r="BW397" s="2338"/>
      <c r="BX397" s="2338"/>
      <c r="BY397" s="2338"/>
      <c r="BZ397" s="2338"/>
      <c r="CA397" s="2338"/>
      <c r="CB397" s="2338"/>
      <c r="CC397" s="2338"/>
      <c r="CD397" s="2338"/>
      <c r="CE397" s="2338"/>
      <c r="CF397" s="2338"/>
      <c r="CG397" s="2338"/>
      <c r="CH397" s="2338"/>
      <c r="CI397" s="2338"/>
      <c r="CJ397" s="2338"/>
      <c r="CK397" s="2338"/>
      <c r="CL397" s="2338"/>
      <c r="CM397" s="2338"/>
      <c r="CN397" s="2338"/>
      <c r="CO397" s="2338"/>
      <c r="CP397" s="2338"/>
      <c r="CQ397" s="2338"/>
      <c r="CR397" s="2338"/>
      <c r="CS397" s="2338"/>
      <c r="CT397" s="2338"/>
      <c r="CU397" s="2338"/>
      <c r="CV397" s="2338"/>
      <c r="CW397" s="2338"/>
      <c r="CX397" s="2338"/>
      <c r="CY397" s="2338"/>
      <c r="CZ397" s="2338"/>
      <c r="DA397" s="2338"/>
      <c r="DB397" s="2338"/>
      <c r="DC397" s="2338"/>
      <c r="DD397" s="2338"/>
      <c r="DE397" s="2338"/>
      <c r="DF397" s="2338"/>
      <c r="DG397" s="2338"/>
      <c r="DH397" s="2338"/>
      <c r="DI397" s="2338"/>
      <c r="DJ397" s="2338"/>
      <c r="DK397" s="2338"/>
      <c r="DL397" s="2338"/>
      <c r="DM397" s="2338"/>
      <c r="DN397" s="2338"/>
      <c r="DO397" s="2338"/>
    </row>
    <row r="398" spans="1:119" ht="15.75" hidden="1" customHeight="1" outlineLevel="1">
      <c r="A398" s="2339"/>
      <c r="B398" s="3559"/>
      <c r="C398" s="3559"/>
      <c r="D398" s="3559"/>
      <c r="E398" s="3727" t="s">
        <v>3873</v>
      </c>
      <c r="F398" s="3728" t="s">
        <v>2629</v>
      </c>
      <c r="G398" s="2612"/>
      <c r="H398" s="2445"/>
      <c r="I398" s="2445"/>
      <c r="J398" s="2445"/>
      <c r="K398" s="2445"/>
      <c r="L398" s="2445"/>
      <c r="M398" s="2445"/>
      <c r="N398" s="2445"/>
      <c r="O398" s="2445"/>
      <c r="P398" s="2445"/>
      <c r="Q398" s="2445"/>
      <c r="R398" s="2445"/>
      <c r="S398" s="2445"/>
      <c r="T398" s="2445"/>
      <c r="U398" s="2445"/>
      <c r="V398" s="2445" t="str">
        <f t="shared" si="104"/>
        <v/>
      </c>
      <c r="W398" s="2445" t="str">
        <f t="shared" si="105"/>
        <v/>
      </c>
      <c r="X398" s="2445" t="str">
        <f t="shared" si="106"/>
        <v/>
      </c>
      <c r="Y398" s="2445"/>
      <c r="Z398" s="2566"/>
      <c r="AA398" s="2566"/>
      <c r="AB398" s="2566"/>
      <c r="AC398" s="2566"/>
      <c r="AD398" s="2323"/>
      <c r="AE398" s="2323"/>
      <c r="AF398" s="2323"/>
      <c r="AG398" s="2323"/>
      <c r="AH398" s="2323"/>
      <c r="AI398" s="2323"/>
      <c r="AJ398" s="2323"/>
      <c r="AK398" s="2898"/>
      <c r="AL398" s="2895">
        <f t="shared" si="96"/>
        <v>0</v>
      </c>
      <c r="AM398" s="2896" t="str">
        <f t="shared" si="98"/>
        <v/>
      </c>
      <c r="AN398" s="2338"/>
      <c r="AO398" s="2338"/>
      <c r="AP398" s="2338"/>
      <c r="AQ398" s="2338"/>
      <c r="AR398" s="2338"/>
      <c r="AS398" s="2338"/>
      <c r="AT398" s="2338"/>
      <c r="AU398" s="2338"/>
      <c r="AV398" s="2338"/>
      <c r="AW398" s="2338"/>
      <c r="AX398" s="2338"/>
      <c r="AY398" s="2338"/>
      <c r="AZ398" s="2338"/>
      <c r="BA398" s="2338"/>
      <c r="BB398" s="2338"/>
      <c r="BC398" s="2338"/>
      <c r="BD398" s="2338"/>
      <c r="BE398" s="2338"/>
      <c r="BF398" s="2338"/>
      <c r="BG398" s="2338"/>
      <c r="BH398" s="2338"/>
      <c r="BI398" s="2338"/>
      <c r="BJ398" s="2338"/>
      <c r="BK398" s="2338"/>
      <c r="BL398" s="2338"/>
      <c r="BM398" s="2338"/>
      <c r="BN398" s="2338"/>
      <c r="BO398" s="2338"/>
      <c r="BP398" s="2338"/>
      <c r="BQ398" s="2338"/>
      <c r="BR398" s="2338"/>
      <c r="BS398" s="2338"/>
      <c r="BT398" s="2338"/>
      <c r="BU398" s="2338"/>
      <c r="BV398" s="2338"/>
      <c r="BW398" s="2338"/>
      <c r="BX398" s="2338"/>
      <c r="BY398" s="2338"/>
      <c r="BZ398" s="2338"/>
      <c r="CA398" s="2338"/>
      <c r="CB398" s="2338"/>
      <c r="CC398" s="2338"/>
      <c r="CD398" s="2338"/>
      <c r="CE398" s="2338"/>
      <c r="CF398" s="2338"/>
      <c r="CG398" s="2338"/>
      <c r="CH398" s="2338"/>
      <c r="CI398" s="2338"/>
      <c r="CJ398" s="2338"/>
      <c r="CK398" s="2338"/>
      <c r="CL398" s="2338"/>
      <c r="CM398" s="2338"/>
      <c r="CN398" s="2338"/>
      <c r="CO398" s="2338"/>
      <c r="CP398" s="2338"/>
      <c r="CQ398" s="2338"/>
      <c r="CR398" s="2338"/>
      <c r="CS398" s="2338"/>
      <c r="CT398" s="2338"/>
      <c r="CU398" s="2338"/>
      <c r="CV398" s="2338"/>
      <c r="CW398" s="2338"/>
      <c r="CX398" s="2338"/>
      <c r="CY398" s="2338"/>
      <c r="CZ398" s="2338"/>
      <c r="DA398" s="2338"/>
      <c r="DB398" s="2338"/>
      <c r="DC398" s="2338"/>
      <c r="DD398" s="2338"/>
      <c r="DE398" s="2338"/>
      <c r="DF398" s="2338"/>
      <c r="DG398" s="2338"/>
      <c r="DH398" s="2338"/>
      <c r="DI398" s="2338"/>
      <c r="DJ398" s="2338"/>
      <c r="DK398" s="2338"/>
      <c r="DL398" s="2338"/>
      <c r="DM398" s="2338"/>
      <c r="DN398" s="2338"/>
      <c r="DO398" s="2338"/>
    </row>
    <row r="399" spans="1:119" ht="15.75" hidden="1" customHeight="1" outlineLevel="1">
      <c r="A399" s="2339"/>
      <c r="B399" s="3559"/>
      <c r="C399" s="3559"/>
      <c r="D399" s="3559"/>
      <c r="E399" s="3727"/>
      <c r="F399" s="3728" t="s">
        <v>2631</v>
      </c>
      <c r="G399" s="2612"/>
      <c r="H399" s="2445"/>
      <c r="I399" s="2445"/>
      <c r="J399" s="2445"/>
      <c r="K399" s="2445"/>
      <c r="L399" s="2445"/>
      <c r="M399" s="2445"/>
      <c r="N399" s="2445"/>
      <c r="O399" s="2445"/>
      <c r="P399" s="2445"/>
      <c r="Q399" s="2445"/>
      <c r="R399" s="2445"/>
      <c r="S399" s="2445"/>
      <c r="T399" s="2445"/>
      <c r="U399" s="2445"/>
      <c r="V399" s="2445" t="str">
        <f t="shared" si="104"/>
        <v/>
      </c>
      <c r="W399" s="2445" t="str">
        <f t="shared" si="105"/>
        <v/>
      </c>
      <c r="X399" s="2445" t="str">
        <f t="shared" si="106"/>
        <v/>
      </c>
      <c r="Y399" s="2445"/>
      <c r="Z399" s="2566"/>
      <c r="AA399" s="2566"/>
      <c r="AB399" s="2566"/>
      <c r="AC399" s="2566"/>
      <c r="AD399" s="2323"/>
      <c r="AE399" s="2323"/>
      <c r="AF399" s="2323"/>
      <c r="AG399" s="2323"/>
      <c r="AH399" s="2323"/>
      <c r="AI399" s="2323"/>
      <c r="AJ399" s="2323"/>
      <c r="AK399" s="2898"/>
      <c r="AL399" s="2895">
        <f t="shared" si="96"/>
        <v>0</v>
      </c>
      <c r="AM399" s="2896" t="str">
        <f t="shared" si="98"/>
        <v/>
      </c>
      <c r="AN399" s="2338"/>
      <c r="AO399" s="2338"/>
      <c r="AP399" s="2338"/>
      <c r="AQ399" s="2338"/>
      <c r="AR399" s="2338"/>
      <c r="AS399" s="2338"/>
      <c r="AT399" s="2338"/>
      <c r="AU399" s="2338"/>
      <c r="AV399" s="2338"/>
      <c r="AW399" s="2338"/>
      <c r="AX399" s="2338"/>
      <c r="AY399" s="2338"/>
      <c r="AZ399" s="2338"/>
      <c r="BA399" s="2338"/>
      <c r="BB399" s="2338"/>
      <c r="BC399" s="2338"/>
      <c r="BD399" s="2338"/>
      <c r="BE399" s="2338"/>
      <c r="BF399" s="2338"/>
      <c r="BG399" s="2338"/>
      <c r="BH399" s="2338"/>
      <c r="BI399" s="2338"/>
      <c r="BJ399" s="2338"/>
      <c r="BK399" s="2338"/>
      <c r="BL399" s="2338"/>
      <c r="BM399" s="2338"/>
      <c r="BN399" s="2338"/>
      <c r="BO399" s="2338"/>
      <c r="BP399" s="2338"/>
      <c r="BQ399" s="2338"/>
      <c r="BR399" s="2338"/>
      <c r="BS399" s="2338"/>
      <c r="BT399" s="2338"/>
      <c r="BU399" s="2338"/>
      <c r="BV399" s="2338"/>
      <c r="BW399" s="2338"/>
      <c r="BX399" s="2338"/>
      <c r="BY399" s="2338"/>
      <c r="BZ399" s="2338"/>
      <c r="CA399" s="2338"/>
      <c r="CB399" s="2338"/>
      <c r="CC399" s="2338"/>
      <c r="CD399" s="2338"/>
      <c r="CE399" s="2338"/>
      <c r="CF399" s="2338"/>
      <c r="CG399" s="2338"/>
      <c r="CH399" s="2338"/>
      <c r="CI399" s="2338"/>
      <c r="CJ399" s="2338"/>
      <c r="CK399" s="2338"/>
      <c r="CL399" s="2338"/>
      <c r="CM399" s="2338"/>
      <c r="CN399" s="2338"/>
      <c r="CO399" s="2338"/>
      <c r="CP399" s="2338"/>
      <c r="CQ399" s="2338"/>
      <c r="CR399" s="2338"/>
      <c r="CS399" s="2338"/>
      <c r="CT399" s="2338"/>
      <c r="CU399" s="2338"/>
      <c r="CV399" s="2338"/>
      <c r="CW399" s="2338"/>
      <c r="CX399" s="2338"/>
      <c r="CY399" s="2338"/>
      <c r="CZ399" s="2338"/>
      <c r="DA399" s="2338"/>
      <c r="DB399" s="2338"/>
      <c r="DC399" s="2338"/>
      <c r="DD399" s="2338"/>
      <c r="DE399" s="2338"/>
      <c r="DF399" s="2338"/>
      <c r="DG399" s="2338"/>
      <c r="DH399" s="2338"/>
      <c r="DI399" s="2338"/>
      <c r="DJ399" s="2338"/>
      <c r="DK399" s="2338"/>
      <c r="DL399" s="2338"/>
      <c r="DM399" s="2338"/>
      <c r="DN399" s="2338"/>
      <c r="DO399" s="2338"/>
    </row>
    <row r="400" spans="1:119" ht="15" hidden="1" customHeight="1" outlineLevel="1">
      <c r="A400" s="2339"/>
      <c r="B400" s="3559"/>
      <c r="C400" s="3559"/>
      <c r="D400" s="3559"/>
      <c r="E400" s="3727"/>
      <c r="F400" s="3728" t="s">
        <v>2633</v>
      </c>
      <c r="G400" s="2612"/>
      <c r="H400" s="2445"/>
      <c r="I400" s="2445"/>
      <c r="J400" s="2445"/>
      <c r="K400" s="2445"/>
      <c r="L400" s="2445"/>
      <c r="M400" s="2445"/>
      <c r="N400" s="2445"/>
      <c r="O400" s="2445"/>
      <c r="P400" s="2445"/>
      <c r="Q400" s="2445"/>
      <c r="R400" s="2445"/>
      <c r="S400" s="2445"/>
      <c r="T400" s="2445"/>
      <c r="U400" s="2445"/>
      <c r="V400" s="2445" t="str">
        <f t="shared" si="104"/>
        <v/>
      </c>
      <c r="W400" s="2445" t="str">
        <f t="shared" si="105"/>
        <v/>
      </c>
      <c r="X400" s="2445" t="str">
        <f t="shared" si="106"/>
        <v/>
      </c>
      <c r="Y400" s="2445"/>
      <c r="Z400" s="2566"/>
      <c r="AA400" s="2566"/>
      <c r="AB400" s="2566"/>
      <c r="AC400" s="2566"/>
      <c r="AD400" s="2323"/>
      <c r="AE400" s="2323"/>
      <c r="AF400" s="2323"/>
      <c r="AG400" s="2323"/>
      <c r="AH400" s="2323"/>
      <c r="AI400" s="2323"/>
      <c r="AJ400" s="2323"/>
      <c r="AK400" s="2898"/>
      <c r="AL400" s="2895">
        <f t="shared" si="96"/>
        <v>0</v>
      </c>
      <c r="AM400" s="2896" t="str">
        <f t="shared" si="98"/>
        <v/>
      </c>
      <c r="AN400" s="2338"/>
      <c r="AO400" s="2338"/>
      <c r="AP400" s="2338"/>
      <c r="AQ400" s="2338"/>
      <c r="AR400" s="2338"/>
      <c r="AS400" s="2338"/>
      <c r="AT400" s="2338"/>
      <c r="AU400" s="2338"/>
      <c r="AV400" s="2338"/>
      <c r="AW400" s="2338"/>
      <c r="AX400" s="2338"/>
      <c r="AY400" s="2338"/>
      <c r="AZ400" s="2338"/>
      <c r="BA400" s="2338"/>
      <c r="BB400" s="2338"/>
      <c r="BC400" s="2338"/>
      <c r="BD400" s="2338"/>
      <c r="BE400" s="2338"/>
      <c r="BF400" s="2338"/>
      <c r="BG400" s="2338"/>
      <c r="BH400" s="2338"/>
      <c r="BI400" s="2338"/>
      <c r="BJ400" s="2338"/>
      <c r="BK400" s="2338"/>
      <c r="BL400" s="2338"/>
      <c r="BM400" s="2338"/>
      <c r="BN400" s="2338"/>
      <c r="BO400" s="2338"/>
      <c r="BP400" s="2338"/>
      <c r="BQ400" s="2338"/>
      <c r="BR400" s="2338"/>
      <c r="BS400" s="2338"/>
      <c r="BT400" s="2338"/>
      <c r="BU400" s="2338"/>
      <c r="BV400" s="2338"/>
      <c r="BW400" s="2338"/>
      <c r="BX400" s="2338"/>
      <c r="BY400" s="2338"/>
      <c r="BZ400" s="2338"/>
      <c r="CA400" s="2338"/>
      <c r="CB400" s="2338"/>
      <c r="CC400" s="2338"/>
      <c r="CD400" s="2338"/>
      <c r="CE400" s="2338"/>
      <c r="CF400" s="2338"/>
      <c r="CG400" s="2338"/>
      <c r="CH400" s="2338"/>
      <c r="CI400" s="2338"/>
      <c r="CJ400" s="2338"/>
      <c r="CK400" s="2338"/>
      <c r="CL400" s="2338"/>
      <c r="CM400" s="2338"/>
      <c r="CN400" s="2338"/>
      <c r="CO400" s="2338"/>
      <c r="CP400" s="2338"/>
      <c r="CQ400" s="2338"/>
      <c r="CR400" s="2338"/>
      <c r="CS400" s="2338"/>
      <c r="CT400" s="2338"/>
      <c r="CU400" s="2338"/>
      <c r="CV400" s="2338"/>
      <c r="CW400" s="2338"/>
      <c r="CX400" s="2338"/>
      <c r="CY400" s="2338"/>
      <c r="CZ400" s="2338"/>
      <c r="DA400" s="2338"/>
      <c r="DB400" s="2338"/>
      <c r="DC400" s="2338"/>
      <c r="DD400" s="2338"/>
      <c r="DE400" s="2338"/>
      <c r="DF400" s="2338"/>
      <c r="DG400" s="2338"/>
      <c r="DH400" s="2338"/>
      <c r="DI400" s="2338"/>
      <c r="DJ400" s="2338"/>
      <c r="DK400" s="2338"/>
      <c r="DL400" s="2338"/>
      <c r="DM400" s="2338"/>
      <c r="DN400" s="2338"/>
      <c r="DO400" s="2338"/>
    </row>
    <row r="401" spans="1:119" ht="15" hidden="1" customHeight="1" outlineLevel="1">
      <c r="A401" s="2339"/>
      <c r="B401" s="3559"/>
      <c r="C401" s="3559"/>
      <c r="D401" s="3559"/>
      <c r="E401" s="3727"/>
      <c r="F401" s="3728" t="s">
        <v>2635</v>
      </c>
      <c r="G401" s="2612"/>
      <c r="H401" s="2445"/>
      <c r="I401" s="2445"/>
      <c r="J401" s="2445"/>
      <c r="K401" s="2445"/>
      <c r="L401" s="2445"/>
      <c r="M401" s="2445"/>
      <c r="N401" s="2445"/>
      <c r="O401" s="2445"/>
      <c r="P401" s="2445"/>
      <c r="Q401" s="2445"/>
      <c r="R401" s="2445"/>
      <c r="S401" s="2445"/>
      <c r="T401" s="2445"/>
      <c r="U401" s="2445"/>
      <c r="V401" s="2445" t="str">
        <f t="shared" si="104"/>
        <v/>
      </c>
      <c r="W401" s="2445" t="str">
        <f t="shared" si="105"/>
        <v/>
      </c>
      <c r="X401" s="2445" t="str">
        <f t="shared" si="106"/>
        <v/>
      </c>
      <c r="Y401" s="2445"/>
      <c r="Z401" s="2566"/>
      <c r="AA401" s="2566"/>
      <c r="AB401" s="2566"/>
      <c r="AC401" s="2566"/>
      <c r="AD401" s="2323"/>
      <c r="AE401" s="2323"/>
      <c r="AF401" s="2323"/>
      <c r="AG401" s="2323"/>
      <c r="AH401" s="2323"/>
      <c r="AI401" s="2323"/>
      <c r="AJ401" s="2323"/>
      <c r="AK401" s="2898"/>
      <c r="AL401" s="2895">
        <f t="shared" si="96"/>
        <v>0</v>
      </c>
      <c r="AM401" s="2896" t="str">
        <f t="shared" si="98"/>
        <v/>
      </c>
      <c r="AN401" s="2338"/>
      <c r="AO401" s="2338"/>
      <c r="AP401" s="2338"/>
      <c r="AQ401" s="2338"/>
      <c r="AR401" s="2338"/>
      <c r="AS401" s="2338"/>
      <c r="AT401" s="2338"/>
      <c r="AU401" s="2338"/>
      <c r="AV401" s="2338"/>
      <c r="AW401" s="2338"/>
      <c r="AX401" s="2338"/>
      <c r="AY401" s="2338"/>
      <c r="AZ401" s="2338"/>
      <c r="BA401" s="2338"/>
      <c r="BB401" s="2338"/>
      <c r="BC401" s="2338"/>
      <c r="BD401" s="2338"/>
      <c r="BE401" s="2338"/>
      <c r="BF401" s="2338"/>
      <c r="BG401" s="2338"/>
      <c r="BH401" s="2338"/>
      <c r="BI401" s="2338"/>
      <c r="BJ401" s="2338"/>
      <c r="BK401" s="2338"/>
      <c r="BL401" s="2338"/>
      <c r="BM401" s="2338"/>
      <c r="BN401" s="2338"/>
      <c r="BO401" s="2338"/>
      <c r="BP401" s="2338"/>
      <c r="BQ401" s="2338"/>
      <c r="BR401" s="2338"/>
      <c r="BS401" s="2338"/>
      <c r="BT401" s="2338"/>
      <c r="BU401" s="2338"/>
      <c r="BV401" s="2338"/>
      <c r="BW401" s="2338"/>
      <c r="BX401" s="2338"/>
      <c r="BY401" s="2338"/>
      <c r="BZ401" s="2338"/>
      <c r="CA401" s="2338"/>
      <c r="CB401" s="2338"/>
      <c r="CC401" s="2338"/>
      <c r="CD401" s="2338"/>
      <c r="CE401" s="2338"/>
      <c r="CF401" s="2338"/>
      <c r="CG401" s="2338"/>
      <c r="CH401" s="2338"/>
      <c r="CI401" s="2338"/>
      <c r="CJ401" s="2338"/>
      <c r="CK401" s="2338"/>
      <c r="CL401" s="2338"/>
      <c r="CM401" s="2338"/>
      <c r="CN401" s="2338"/>
      <c r="CO401" s="2338"/>
      <c r="CP401" s="2338"/>
      <c r="CQ401" s="2338"/>
      <c r="CR401" s="2338"/>
      <c r="CS401" s="2338"/>
      <c r="CT401" s="2338"/>
      <c r="CU401" s="2338"/>
      <c r="CV401" s="2338"/>
      <c r="CW401" s="2338"/>
      <c r="CX401" s="2338"/>
      <c r="CY401" s="2338"/>
      <c r="CZ401" s="2338"/>
      <c r="DA401" s="2338"/>
      <c r="DB401" s="2338"/>
      <c r="DC401" s="2338"/>
      <c r="DD401" s="2338"/>
      <c r="DE401" s="2338"/>
      <c r="DF401" s="2338"/>
      <c r="DG401" s="2338"/>
      <c r="DH401" s="2338"/>
      <c r="DI401" s="2338"/>
      <c r="DJ401" s="2338"/>
      <c r="DK401" s="2338"/>
      <c r="DL401" s="2338"/>
      <c r="DM401" s="2338"/>
      <c r="DN401" s="2338"/>
      <c r="DO401" s="2338"/>
    </row>
    <row r="402" spans="1:119" ht="15" hidden="1" customHeight="1" outlineLevel="1">
      <c r="A402" s="2339"/>
      <c r="B402" s="3559"/>
      <c r="C402" s="3559"/>
      <c r="D402" s="3559"/>
      <c r="E402" s="3727"/>
      <c r="F402" s="3728" t="s">
        <v>2639</v>
      </c>
      <c r="G402" s="2612"/>
      <c r="H402" s="2445"/>
      <c r="I402" s="2445"/>
      <c r="J402" s="2445"/>
      <c r="K402" s="2445"/>
      <c r="L402" s="2445"/>
      <c r="M402" s="2445"/>
      <c r="N402" s="2445"/>
      <c r="O402" s="2445"/>
      <c r="P402" s="2445"/>
      <c r="Q402" s="2445"/>
      <c r="R402" s="2445"/>
      <c r="S402" s="2445"/>
      <c r="T402" s="2445"/>
      <c r="U402" s="2445"/>
      <c r="V402" s="2445" t="str">
        <f t="shared" si="104"/>
        <v/>
      </c>
      <c r="W402" s="2445" t="str">
        <f t="shared" si="105"/>
        <v/>
      </c>
      <c r="X402" s="2445" t="str">
        <f t="shared" si="106"/>
        <v/>
      </c>
      <c r="Y402" s="2445"/>
      <c r="Z402" s="2566"/>
      <c r="AA402" s="2566"/>
      <c r="AB402" s="2566"/>
      <c r="AC402" s="2566"/>
      <c r="AD402" s="2323"/>
      <c r="AE402" s="2323"/>
      <c r="AF402" s="2323"/>
      <c r="AG402" s="2323"/>
      <c r="AH402" s="2323"/>
      <c r="AI402" s="2323"/>
      <c r="AJ402" s="2323"/>
      <c r="AK402" s="2898"/>
      <c r="AL402" s="2895">
        <f t="shared" si="96"/>
        <v>0</v>
      </c>
      <c r="AM402" s="2896" t="str">
        <f t="shared" si="98"/>
        <v/>
      </c>
      <c r="AN402" s="2338"/>
      <c r="AO402" s="2338"/>
      <c r="AP402" s="2338"/>
      <c r="AQ402" s="2338"/>
      <c r="AR402" s="2338"/>
      <c r="AS402" s="2338"/>
      <c r="AT402" s="2338"/>
      <c r="AU402" s="2338"/>
      <c r="AV402" s="2338"/>
      <c r="AW402" s="2338"/>
      <c r="AX402" s="2338"/>
      <c r="AY402" s="2338"/>
      <c r="AZ402" s="2338"/>
      <c r="BA402" s="2338"/>
      <c r="BB402" s="2338"/>
      <c r="BC402" s="2338"/>
      <c r="BD402" s="2338"/>
      <c r="BE402" s="2338"/>
      <c r="BF402" s="2338"/>
      <c r="BG402" s="2338"/>
      <c r="BH402" s="2338"/>
      <c r="BI402" s="2338"/>
      <c r="BJ402" s="2338"/>
      <c r="BK402" s="2338"/>
      <c r="BL402" s="2338"/>
      <c r="BM402" s="2338"/>
      <c r="BN402" s="2338"/>
      <c r="BO402" s="2338"/>
      <c r="BP402" s="2338"/>
      <c r="BQ402" s="2338"/>
      <c r="BR402" s="2338"/>
      <c r="BS402" s="2338"/>
      <c r="BT402" s="2338"/>
      <c r="BU402" s="2338"/>
      <c r="BV402" s="2338"/>
      <c r="BW402" s="2338"/>
      <c r="BX402" s="2338"/>
      <c r="BY402" s="2338"/>
      <c r="BZ402" s="2338"/>
      <c r="CA402" s="2338"/>
      <c r="CB402" s="2338"/>
      <c r="CC402" s="2338"/>
      <c r="CD402" s="2338"/>
      <c r="CE402" s="2338"/>
      <c r="CF402" s="2338"/>
      <c r="CG402" s="2338"/>
      <c r="CH402" s="2338"/>
      <c r="CI402" s="2338"/>
      <c r="CJ402" s="2338"/>
      <c r="CK402" s="2338"/>
      <c r="CL402" s="2338"/>
      <c r="CM402" s="2338"/>
      <c r="CN402" s="2338"/>
      <c r="CO402" s="2338"/>
      <c r="CP402" s="2338"/>
      <c r="CQ402" s="2338"/>
      <c r="CR402" s="2338"/>
      <c r="CS402" s="2338"/>
      <c r="CT402" s="2338"/>
      <c r="CU402" s="2338"/>
      <c r="CV402" s="2338"/>
      <c r="CW402" s="2338"/>
      <c r="CX402" s="2338"/>
      <c r="CY402" s="2338"/>
      <c r="CZ402" s="2338"/>
      <c r="DA402" s="2338"/>
      <c r="DB402" s="2338"/>
      <c r="DC402" s="2338"/>
      <c r="DD402" s="2338"/>
      <c r="DE402" s="2338"/>
      <c r="DF402" s="2338"/>
      <c r="DG402" s="2338"/>
      <c r="DH402" s="2338"/>
      <c r="DI402" s="2338"/>
      <c r="DJ402" s="2338"/>
      <c r="DK402" s="2338"/>
      <c r="DL402" s="2338"/>
      <c r="DM402" s="2338"/>
      <c r="DN402" s="2338"/>
      <c r="DO402" s="2338"/>
    </row>
    <row r="403" spans="1:119" ht="15" hidden="1" customHeight="1" outlineLevel="1" thickBot="1">
      <c r="A403" s="2339"/>
      <c r="B403" s="3559"/>
      <c r="C403" s="3559"/>
      <c r="D403" s="3559"/>
      <c r="E403" s="3727"/>
      <c r="F403" s="3728" t="s">
        <v>3872</v>
      </c>
      <c r="G403" s="2970"/>
      <c r="H403" s="3732"/>
      <c r="I403" s="3733"/>
      <c r="J403" s="3733"/>
      <c r="K403" s="3733"/>
      <c r="L403" s="3733"/>
      <c r="M403" s="3733"/>
      <c r="N403" s="3733"/>
      <c r="O403" s="3733"/>
      <c r="P403" s="3733"/>
      <c r="Q403" s="3733"/>
      <c r="R403" s="3732"/>
      <c r="S403" s="3732"/>
      <c r="T403" s="3732"/>
      <c r="U403" s="3732"/>
      <c r="V403" s="2445" t="str">
        <f t="shared" si="104"/>
        <v/>
      </c>
      <c r="W403" s="2445" t="str">
        <f t="shared" si="105"/>
        <v/>
      </c>
      <c r="X403" s="2445" t="str">
        <f t="shared" si="106"/>
        <v/>
      </c>
      <c r="Y403" s="2445"/>
      <c r="Z403" s="2566"/>
      <c r="AA403" s="2566"/>
      <c r="AB403" s="2566"/>
      <c r="AC403" s="2566"/>
      <c r="AD403" s="2323"/>
      <c r="AE403" s="2323"/>
      <c r="AF403" s="2323"/>
      <c r="AG403" s="2323"/>
      <c r="AH403" s="2323"/>
      <c r="AI403" s="2323"/>
      <c r="AJ403" s="2323"/>
      <c r="AK403" s="2898"/>
      <c r="AL403" s="2895">
        <f t="shared" si="96"/>
        <v>0</v>
      </c>
      <c r="AM403" s="2896" t="str">
        <f t="shared" si="98"/>
        <v/>
      </c>
      <c r="AN403" s="2338"/>
      <c r="AO403" s="2338"/>
      <c r="AP403" s="2338"/>
      <c r="AQ403" s="2338"/>
      <c r="AR403" s="2338"/>
      <c r="AS403" s="2338"/>
      <c r="AT403" s="2338"/>
      <c r="AU403" s="2338"/>
      <c r="AV403" s="2338"/>
      <c r="AW403" s="2338"/>
      <c r="AX403" s="2338"/>
      <c r="AY403" s="2338"/>
      <c r="AZ403" s="2338"/>
      <c r="BA403" s="2338"/>
      <c r="BB403" s="2338"/>
      <c r="BC403" s="2338"/>
      <c r="BD403" s="2338"/>
      <c r="BE403" s="2338"/>
      <c r="BF403" s="2338"/>
      <c r="BG403" s="2338"/>
      <c r="BH403" s="2338"/>
      <c r="BI403" s="2338"/>
      <c r="BJ403" s="2338"/>
      <c r="BK403" s="2338"/>
      <c r="BL403" s="2338"/>
      <c r="BM403" s="2338"/>
      <c r="BN403" s="2338"/>
      <c r="BO403" s="2338"/>
      <c r="BP403" s="2338"/>
      <c r="BQ403" s="2338"/>
      <c r="BR403" s="2338"/>
      <c r="BS403" s="2338"/>
      <c r="BT403" s="2338"/>
      <c r="BU403" s="2338"/>
      <c r="BV403" s="2338"/>
      <c r="BW403" s="2338"/>
      <c r="BX403" s="2338"/>
      <c r="BY403" s="2338"/>
      <c r="BZ403" s="2338"/>
      <c r="CA403" s="2338"/>
      <c r="CB403" s="2338"/>
      <c r="CC403" s="2338"/>
      <c r="CD403" s="2338"/>
      <c r="CE403" s="2338"/>
      <c r="CF403" s="2338"/>
      <c r="CG403" s="2338"/>
      <c r="CH403" s="2338"/>
      <c r="CI403" s="2338"/>
      <c r="CJ403" s="2338"/>
      <c r="CK403" s="2338"/>
      <c r="CL403" s="2338"/>
      <c r="CM403" s="2338"/>
      <c r="CN403" s="2338"/>
      <c r="CO403" s="2338"/>
      <c r="CP403" s="2338"/>
      <c r="CQ403" s="2338"/>
      <c r="CR403" s="2338"/>
      <c r="CS403" s="2338"/>
      <c r="CT403" s="2338"/>
      <c r="CU403" s="2338"/>
      <c r="CV403" s="2338"/>
      <c r="CW403" s="2338"/>
      <c r="CX403" s="2338"/>
      <c r="CY403" s="2338"/>
      <c r="CZ403" s="2338"/>
      <c r="DA403" s="2338"/>
      <c r="DB403" s="2338"/>
      <c r="DC403" s="2338"/>
      <c r="DD403" s="2338"/>
      <c r="DE403" s="2338"/>
      <c r="DF403" s="2338"/>
      <c r="DG403" s="2338"/>
      <c r="DH403" s="2338"/>
      <c r="DI403" s="2338"/>
      <c r="DJ403" s="2338"/>
      <c r="DK403" s="2338"/>
      <c r="DL403" s="2338"/>
      <c r="DM403" s="2338"/>
      <c r="DN403" s="2338"/>
      <c r="DO403" s="2338"/>
    </row>
    <row r="404" spans="1:119" ht="15" customHeight="1" collapsed="1">
      <c r="A404" s="2352"/>
      <c r="B404" s="2352"/>
      <c r="C404" s="2352"/>
      <c r="D404" s="2352"/>
      <c r="E404" s="2352"/>
      <c r="F404" s="2355"/>
      <c r="G404" s="2355"/>
      <c r="H404" s="3734"/>
      <c r="I404" s="3735"/>
      <c r="J404" s="3735"/>
      <c r="K404" s="3734"/>
      <c r="L404" s="3736"/>
      <c r="M404" s="3734"/>
      <c r="N404" s="3736"/>
      <c r="O404" s="3736"/>
      <c r="P404" s="3734"/>
      <c r="Q404" s="3734"/>
      <c r="R404" s="3737"/>
      <c r="S404" s="3738"/>
      <c r="T404" s="3738"/>
      <c r="U404" s="2345"/>
      <c r="V404" s="2331"/>
      <c r="W404" s="2331"/>
      <c r="X404" s="2331"/>
      <c r="Y404" s="2331"/>
      <c r="Z404" s="2338"/>
      <c r="AA404" s="2338"/>
      <c r="AB404" s="2338"/>
      <c r="AC404" s="2338"/>
      <c r="AD404" s="2338"/>
      <c r="AE404" s="2338"/>
      <c r="AF404" s="2338"/>
      <c r="AG404" s="2338"/>
      <c r="AH404" s="2338"/>
      <c r="AI404" s="2338"/>
      <c r="AJ404" s="2338"/>
      <c r="AK404" s="2338"/>
      <c r="AL404" s="2338"/>
      <c r="AM404" s="2338"/>
      <c r="AN404" s="2338"/>
      <c r="AO404" s="2545">
        <f>SUM(AO380:AO403)</f>
        <v>4765.9447557142503</v>
      </c>
      <c r="AP404" s="2338"/>
      <c r="AQ404" s="2338"/>
      <c r="AR404" s="2338"/>
      <c r="AS404" s="2338"/>
      <c r="AT404" s="2338"/>
      <c r="AU404" s="2338"/>
      <c r="AV404" s="2338"/>
      <c r="AW404" s="2338"/>
      <c r="AX404" s="2338"/>
      <c r="AY404" s="2338"/>
      <c r="AZ404" s="2338"/>
      <c r="BA404" s="2338"/>
      <c r="BB404" s="2338"/>
      <c r="BC404" s="2338"/>
      <c r="BD404" s="2338"/>
      <c r="BE404" s="2338"/>
      <c r="BF404" s="2338"/>
      <c r="BG404" s="2338"/>
      <c r="BH404" s="2338"/>
      <c r="BI404" s="2338"/>
      <c r="BJ404" s="2338"/>
      <c r="BK404" s="2338"/>
      <c r="BL404" s="2338"/>
      <c r="BM404" s="2338"/>
      <c r="BN404" s="2338"/>
      <c r="BO404" s="2338"/>
      <c r="BP404" s="2338"/>
      <c r="BQ404" s="2338"/>
      <c r="BR404" s="2338"/>
      <c r="BS404" s="2338"/>
      <c r="BT404" s="2338"/>
      <c r="BU404" s="2338"/>
      <c r="BV404" s="2338"/>
      <c r="BW404" s="2338"/>
      <c r="BX404" s="2338"/>
      <c r="BY404" s="2338"/>
      <c r="BZ404" s="2338"/>
      <c r="CA404" s="2338"/>
      <c r="CB404" s="2338"/>
      <c r="CC404" s="2338"/>
      <c r="CD404" s="2338"/>
      <c r="CE404" s="2338"/>
      <c r="CF404" s="2338"/>
      <c r="CG404" s="2338"/>
      <c r="CH404" s="2338"/>
      <c r="CI404" s="2338"/>
      <c r="CJ404" s="2338"/>
      <c r="CK404" s="2338"/>
      <c r="CL404" s="2338"/>
      <c r="CM404" s="2338"/>
      <c r="CN404" s="2338"/>
      <c r="CO404" s="2338"/>
      <c r="CP404" s="2338"/>
      <c r="CQ404" s="2338"/>
      <c r="CR404" s="2338"/>
      <c r="CS404" s="2338"/>
      <c r="CT404" s="2338"/>
      <c r="CU404" s="2338"/>
      <c r="CV404" s="2338"/>
      <c r="CW404" s="2338"/>
      <c r="CX404" s="2338"/>
      <c r="CY404" s="2338"/>
      <c r="CZ404" s="2338"/>
      <c r="DA404" s="2338"/>
      <c r="DB404" s="2338"/>
      <c r="DC404" s="2338"/>
      <c r="DD404" s="2338"/>
      <c r="DE404" s="2338"/>
      <c r="DF404" s="2338"/>
      <c r="DG404" s="2338"/>
      <c r="DH404" s="2338"/>
      <c r="DI404" s="2338"/>
      <c r="DJ404" s="2338"/>
      <c r="DK404" s="2338"/>
      <c r="DL404" s="2338"/>
      <c r="DM404" s="2338"/>
      <c r="DN404" s="2338"/>
      <c r="DO404" s="2338"/>
    </row>
    <row r="405" spans="1:119" ht="15" customHeight="1">
      <c r="A405" s="2338"/>
      <c r="B405" s="2338"/>
      <c r="C405" s="2338"/>
      <c r="D405" s="2338"/>
      <c r="E405" s="2338"/>
      <c r="F405" s="3637"/>
      <c r="G405" s="3637"/>
      <c r="H405" s="3739"/>
      <c r="I405" s="3740"/>
      <c r="J405" s="3676"/>
      <c r="K405" s="3676"/>
      <c r="L405" s="3676"/>
      <c r="M405" s="3676"/>
      <c r="N405" s="3676"/>
      <c r="O405" s="3676"/>
      <c r="P405" s="3676"/>
      <c r="Q405" s="3676"/>
      <c r="R405" s="3741"/>
      <c r="S405" s="3742"/>
      <c r="T405" s="3742"/>
      <c r="U405" s="2338"/>
      <c r="Z405" s="2338"/>
      <c r="AA405" s="2338"/>
      <c r="AB405" s="2338"/>
      <c r="AC405" s="2338"/>
      <c r="AD405" s="2338"/>
      <c r="AE405" s="2338"/>
      <c r="AF405" s="2338"/>
      <c r="AG405" s="2338"/>
      <c r="AH405" s="2338"/>
      <c r="AI405" s="2338"/>
      <c r="AJ405" s="2338"/>
      <c r="AK405" s="2338"/>
      <c r="AL405" s="2338"/>
      <c r="AM405" s="2338"/>
      <c r="AN405" s="2338"/>
      <c r="AO405" s="2338"/>
      <c r="AP405" s="2338"/>
      <c r="AQ405" s="2338"/>
      <c r="AR405" s="2338"/>
      <c r="AS405" s="2338"/>
      <c r="AT405" s="2338"/>
      <c r="AU405" s="2338"/>
      <c r="AV405" s="2338"/>
      <c r="AW405" s="2338"/>
      <c r="AX405" s="2338"/>
      <c r="AY405" s="2338"/>
      <c r="AZ405" s="2338"/>
      <c r="BA405" s="2338"/>
      <c r="BB405" s="2338"/>
      <c r="BC405" s="2338"/>
      <c r="BD405" s="2338"/>
      <c r="BE405" s="2338"/>
      <c r="BF405" s="2338"/>
      <c r="BG405" s="2338"/>
      <c r="BH405" s="2338"/>
      <c r="BI405" s="2338"/>
      <c r="BJ405" s="2338"/>
      <c r="BK405" s="2338"/>
      <c r="BL405" s="2338"/>
      <c r="BM405" s="2338"/>
      <c r="BN405" s="2338"/>
      <c r="BO405" s="2338"/>
      <c r="BP405" s="2338"/>
      <c r="BQ405" s="2338"/>
      <c r="BR405" s="2338"/>
      <c r="BS405" s="2338"/>
      <c r="BT405" s="2338"/>
      <c r="BU405" s="2338"/>
      <c r="BV405" s="2338"/>
      <c r="BW405" s="2338"/>
      <c r="BX405" s="2338"/>
      <c r="BY405" s="2338"/>
      <c r="BZ405" s="2338"/>
      <c r="CA405" s="2338"/>
      <c r="CB405" s="2338"/>
      <c r="CC405" s="2338"/>
      <c r="CD405" s="2338"/>
      <c r="CE405" s="2338"/>
      <c r="CF405" s="2338"/>
      <c r="CG405" s="2338"/>
      <c r="CH405" s="2338"/>
      <c r="CI405" s="2338"/>
      <c r="CJ405" s="2338"/>
      <c r="CK405" s="2338"/>
      <c r="CL405" s="2338"/>
      <c r="CM405" s="2338"/>
      <c r="CN405" s="2338"/>
      <c r="CO405" s="2338"/>
      <c r="CP405" s="2338"/>
      <c r="CQ405" s="2338"/>
      <c r="CR405" s="2338"/>
      <c r="CS405" s="2338"/>
      <c r="CT405" s="2338"/>
      <c r="CU405" s="2338"/>
      <c r="CV405" s="2338"/>
      <c r="CW405" s="2338"/>
      <c r="CX405" s="2338"/>
      <c r="CY405" s="2338"/>
      <c r="CZ405" s="2338"/>
      <c r="DA405" s="2338"/>
      <c r="DB405" s="2338"/>
      <c r="DC405" s="2338"/>
      <c r="DD405" s="2338"/>
      <c r="DE405" s="2338"/>
      <c r="DF405" s="2338"/>
      <c r="DG405" s="2338"/>
      <c r="DH405" s="2338"/>
      <c r="DI405" s="2338"/>
      <c r="DJ405" s="2338"/>
      <c r="DK405" s="2338"/>
      <c r="DL405" s="2338"/>
      <c r="DM405" s="2338"/>
      <c r="DN405" s="2338"/>
      <c r="DO405" s="2338"/>
    </row>
    <row r="406" spans="1:119" ht="15" customHeight="1" thickBot="1">
      <c r="A406" s="2338"/>
      <c r="B406" s="2338"/>
      <c r="C406" s="2338"/>
      <c r="D406" s="2338"/>
      <c r="E406" s="2338"/>
      <c r="F406" s="3637"/>
      <c r="G406" s="3637"/>
      <c r="H406" s="3739"/>
      <c r="I406" s="3740"/>
      <c r="J406" s="3676"/>
      <c r="K406" s="3676"/>
      <c r="L406" s="3676"/>
      <c r="M406" s="3676"/>
      <c r="N406" s="3676"/>
      <c r="O406" s="3676"/>
      <c r="P406" s="3676"/>
      <c r="Q406" s="3676"/>
      <c r="R406" s="3741"/>
      <c r="S406" s="3741"/>
      <c r="T406" s="3741"/>
      <c r="U406" s="2338"/>
      <c r="Z406" s="2338">
        <v>8694.5931182795703</v>
      </c>
      <c r="AA406" s="2338">
        <v>8685.6438709677423</v>
      </c>
      <c r="AB406" s="2338"/>
      <c r="AC406" s="2338"/>
      <c r="AD406" s="2338"/>
      <c r="AE406" s="2338"/>
      <c r="AF406" s="2338"/>
      <c r="AG406" s="2338"/>
      <c r="AH406" s="2338"/>
      <c r="AI406" s="2338"/>
      <c r="AJ406" s="2338"/>
      <c r="AK406" s="2338"/>
      <c r="AL406" s="2338"/>
      <c r="AM406" s="2338"/>
      <c r="AN406" s="2338"/>
      <c r="AO406" s="2338"/>
      <c r="AP406" s="2338"/>
      <c r="AQ406" s="2338"/>
      <c r="AR406" s="2338"/>
      <c r="AS406" s="2338"/>
      <c r="AT406" s="2338"/>
      <c r="AU406" s="2338"/>
      <c r="AV406" s="2338"/>
      <c r="AW406" s="2338"/>
      <c r="AX406" s="2338"/>
      <c r="AY406" s="2338"/>
      <c r="AZ406" s="2338"/>
      <c r="BA406" s="2338"/>
      <c r="BB406" s="2338"/>
      <c r="BC406" s="2338"/>
      <c r="BD406" s="2338"/>
      <c r="BE406" s="2338"/>
      <c r="BF406" s="2338"/>
      <c r="BG406" s="2338"/>
      <c r="BH406" s="2338"/>
      <c r="BI406" s="2338"/>
      <c r="BJ406" s="2338"/>
      <c r="BK406" s="2338"/>
      <c r="BL406" s="2338"/>
      <c r="BM406" s="2338"/>
      <c r="BN406" s="2338"/>
      <c r="BO406" s="2338"/>
      <c r="BP406" s="2338"/>
      <c r="BQ406" s="2338"/>
      <c r="BR406" s="2338"/>
      <c r="BS406" s="2338"/>
      <c r="BT406" s="2338"/>
      <c r="BU406" s="2338"/>
      <c r="BV406" s="2338"/>
      <c r="BW406" s="2338"/>
      <c r="BX406" s="2338"/>
      <c r="BY406" s="2338"/>
      <c r="BZ406" s="2338"/>
      <c r="CA406" s="2338"/>
      <c r="CB406" s="2338"/>
      <c r="CC406" s="2338"/>
      <c r="CD406" s="2338"/>
      <c r="CE406" s="2338"/>
      <c r="CF406" s="2338"/>
      <c r="CG406" s="2338"/>
      <c r="CH406" s="2338"/>
      <c r="CI406" s="2338"/>
      <c r="CJ406" s="2338"/>
      <c r="CK406" s="2338"/>
      <c r="CL406" s="2338"/>
      <c r="CM406" s="2338"/>
      <c r="CN406" s="2338"/>
      <c r="CO406" s="2338"/>
      <c r="CP406" s="2338"/>
      <c r="CQ406" s="2338"/>
      <c r="CR406" s="2338"/>
      <c r="CS406" s="2338"/>
      <c r="CT406" s="2338"/>
      <c r="CU406" s="2338"/>
      <c r="CV406" s="2338"/>
      <c r="CW406" s="2338"/>
      <c r="CX406" s="2338"/>
      <c r="CY406" s="2338"/>
      <c r="CZ406" s="2338"/>
      <c r="DA406" s="2338"/>
      <c r="DB406" s="2338"/>
      <c r="DC406" s="2338"/>
      <c r="DD406" s="2338"/>
      <c r="DE406" s="2338"/>
      <c r="DF406" s="2338"/>
      <c r="DG406" s="2338"/>
      <c r="DH406" s="2338"/>
      <c r="DI406" s="2338"/>
      <c r="DJ406" s="2338"/>
      <c r="DK406" s="2338"/>
      <c r="DL406" s="2338"/>
      <c r="DM406" s="2338"/>
      <c r="DN406" s="2338"/>
      <c r="DO406" s="2338"/>
    </row>
    <row r="407" spans="1:119" ht="30" customHeight="1" thickBot="1">
      <c r="A407" s="3080" t="s">
        <v>3874</v>
      </c>
      <c r="B407" s="3081"/>
      <c r="C407" s="3081"/>
      <c r="D407" s="3081"/>
      <c r="E407" s="3081"/>
      <c r="F407" s="3082"/>
      <c r="G407" s="3645" t="s">
        <v>3875</v>
      </c>
      <c r="H407" s="3646"/>
      <c r="I407" s="3646"/>
      <c r="J407" s="3646"/>
      <c r="K407" s="3646"/>
      <c r="L407" s="3646"/>
      <c r="M407" s="3646"/>
      <c r="N407" s="3646"/>
      <c r="O407" s="3646"/>
      <c r="P407" s="3646"/>
      <c r="Q407" s="3646"/>
      <c r="R407" s="3646"/>
      <c r="S407" s="3646"/>
      <c r="T407" s="3646"/>
      <c r="U407" s="3647"/>
      <c r="V407" s="2502"/>
      <c r="W407" s="2502"/>
      <c r="X407" s="2502"/>
      <c r="Y407" s="2502"/>
      <c r="Z407" s="2338"/>
      <c r="AA407" s="2338"/>
      <c r="AB407" s="2338"/>
      <c r="AC407" s="2338"/>
      <c r="AD407" s="2338"/>
      <c r="AE407" s="2338"/>
      <c r="AF407" s="2338"/>
      <c r="AG407" s="2338"/>
      <c r="AH407" s="2338"/>
      <c r="AI407" s="2338"/>
      <c r="AJ407" s="2338"/>
      <c r="AK407" s="2338"/>
      <c r="AL407" s="2338"/>
      <c r="AM407" s="2338"/>
      <c r="AN407" s="2338"/>
      <c r="AO407" s="2338"/>
      <c r="AP407" s="2338"/>
      <c r="AQ407" s="2338"/>
      <c r="AR407" s="2338"/>
      <c r="AS407" s="2338"/>
      <c r="AT407" s="2338"/>
      <c r="AU407" s="2338"/>
      <c r="AV407" s="2338"/>
      <c r="AW407" s="2338"/>
      <c r="AX407" s="2338"/>
      <c r="AY407" s="2338"/>
      <c r="AZ407" s="2338"/>
      <c r="BA407" s="2338"/>
      <c r="BB407" s="2338"/>
      <c r="BC407" s="2338"/>
      <c r="BD407" s="2338"/>
      <c r="BE407" s="2338"/>
      <c r="BF407" s="2338"/>
      <c r="BG407" s="2338"/>
      <c r="BH407" s="2338"/>
      <c r="BI407" s="2338"/>
      <c r="BJ407" s="2338"/>
      <c r="BK407" s="2338"/>
      <c r="BL407" s="2338"/>
      <c r="BM407" s="2338"/>
      <c r="BN407" s="2338"/>
      <c r="BO407" s="2338"/>
      <c r="BP407" s="2338"/>
      <c r="BQ407" s="2338"/>
      <c r="BR407" s="2338"/>
      <c r="BS407" s="2338"/>
      <c r="BT407" s="2338"/>
      <c r="BU407" s="2338"/>
      <c r="BV407" s="2338"/>
      <c r="BW407" s="2338"/>
      <c r="BX407" s="2338"/>
      <c r="BY407" s="2338"/>
      <c r="BZ407" s="2338"/>
      <c r="CA407" s="2338"/>
      <c r="CB407" s="2338"/>
      <c r="CC407" s="2338"/>
      <c r="CD407" s="2338"/>
      <c r="CE407" s="2338"/>
      <c r="CF407" s="2338"/>
      <c r="CG407" s="2338"/>
      <c r="CH407" s="2338"/>
      <c r="CI407" s="2338"/>
      <c r="CJ407" s="2338"/>
      <c r="CK407" s="2338"/>
      <c r="CL407" s="2338"/>
      <c r="CM407" s="2338"/>
      <c r="CN407" s="2338"/>
      <c r="CO407" s="2338"/>
      <c r="CP407" s="2338"/>
      <c r="CQ407" s="2338"/>
      <c r="CR407" s="2338"/>
      <c r="CS407" s="2338"/>
      <c r="CT407" s="2338"/>
      <c r="CU407" s="2338"/>
      <c r="CV407" s="2338"/>
      <c r="CW407" s="2338"/>
      <c r="CX407" s="2338"/>
      <c r="CY407" s="2338"/>
      <c r="CZ407" s="2338"/>
      <c r="DA407" s="2338"/>
      <c r="DB407" s="2338"/>
      <c r="DC407" s="2338"/>
      <c r="DD407" s="2338"/>
      <c r="DE407" s="2338"/>
      <c r="DF407" s="2338"/>
      <c r="DG407" s="2338"/>
      <c r="DH407" s="2338"/>
      <c r="DI407" s="2338"/>
      <c r="DJ407" s="2338"/>
      <c r="DK407" s="2338"/>
      <c r="DL407" s="2338"/>
      <c r="DM407" s="2338"/>
      <c r="DN407" s="2338"/>
      <c r="DO407" s="2338"/>
    </row>
    <row r="408" spans="1:119" ht="41.25" customHeight="1">
      <c r="A408" s="3648" t="s">
        <v>0</v>
      </c>
      <c r="B408" s="3064" t="s">
        <v>3849</v>
      </c>
      <c r="C408" s="3065"/>
      <c r="D408" s="3065"/>
      <c r="E408" s="3012" t="s">
        <v>3876</v>
      </c>
      <c r="F408" s="3010" t="s">
        <v>3867</v>
      </c>
      <c r="G408" s="3003" t="s">
        <v>3854</v>
      </c>
      <c r="H408" s="3058" t="s">
        <v>3868</v>
      </c>
      <c r="I408" s="3059"/>
      <c r="J408" s="3059"/>
      <c r="K408" s="3059"/>
      <c r="L408" s="3060"/>
      <c r="M408" s="3058" t="s">
        <v>3869</v>
      </c>
      <c r="N408" s="3059"/>
      <c r="O408" s="3059"/>
      <c r="P408" s="3059"/>
      <c r="Q408" s="3060"/>
      <c r="R408" s="3710" t="s">
        <v>3870</v>
      </c>
      <c r="S408" s="3711"/>
      <c r="T408" s="3711"/>
      <c r="U408" s="3712"/>
      <c r="V408" s="3099" t="s">
        <v>3978</v>
      </c>
      <c r="W408" s="3100"/>
      <c r="X408" s="3100"/>
      <c r="Y408" s="3101"/>
      <c r="Z408" s="3093" t="s">
        <v>3858</v>
      </c>
      <c r="AA408" s="3093"/>
      <c r="AB408" s="3093"/>
      <c r="AC408" s="3093"/>
      <c r="AD408" s="3102" t="s">
        <v>3979</v>
      </c>
      <c r="AE408" s="3103"/>
      <c r="AF408" s="3103"/>
      <c r="AG408" s="3104"/>
      <c r="AH408" s="2779" t="s">
        <v>3980</v>
      </c>
      <c r="AI408" s="2500" t="s">
        <v>3974</v>
      </c>
      <c r="AJ408" s="2500" t="s">
        <v>3975</v>
      </c>
      <c r="AK408" s="2893" t="s">
        <v>4262</v>
      </c>
      <c r="AL408" s="2894" t="s">
        <v>4263</v>
      </c>
      <c r="AM408" s="2893" t="s">
        <v>4264</v>
      </c>
      <c r="AN408" s="2338"/>
      <c r="AO408" s="2338"/>
      <c r="AP408" s="2338"/>
      <c r="AQ408" s="2338"/>
      <c r="AR408" s="2338"/>
      <c r="AS408" s="2338"/>
      <c r="AT408" s="2338"/>
      <c r="AU408" s="2338"/>
      <c r="AV408" s="2338"/>
      <c r="AW408" s="2338"/>
      <c r="AX408" s="2338"/>
      <c r="AY408" s="2338"/>
      <c r="AZ408" s="2338"/>
      <c r="BA408" s="2338"/>
      <c r="BB408" s="2338"/>
      <c r="BC408" s="2338"/>
      <c r="BD408" s="2338"/>
      <c r="BE408" s="2338"/>
      <c r="BF408" s="2338"/>
      <c r="BG408" s="2338"/>
      <c r="BH408" s="2338"/>
      <c r="BI408" s="2338"/>
      <c r="BJ408" s="2338"/>
      <c r="BK408" s="2338"/>
      <c r="BL408" s="2338"/>
      <c r="BM408" s="2338"/>
      <c r="BN408" s="2338"/>
      <c r="BO408" s="2338"/>
      <c r="BP408" s="2338"/>
      <c r="BQ408" s="2338"/>
      <c r="BR408" s="2338"/>
      <c r="BS408" s="2338"/>
      <c r="BT408" s="2338"/>
      <c r="BU408" s="2338"/>
      <c r="BV408" s="2338"/>
      <c r="BW408" s="2338"/>
      <c r="BX408" s="2338"/>
      <c r="BY408" s="2338"/>
      <c r="BZ408" s="2338"/>
      <c r="CA408" s="2338"/>
      <c r="CB408" s="2338"/>
      <c r="CC408" s="2338"/>
      <c r="CD408" s="2338"/>
      <c r="CE408" s="2338"/>
      <c r="CF408" s="2338"/>
      <c r="CG408" s="2338"/>
      <c r="CH408" s="2338"/>
      <c r="CI408" s="2338"/>
      <c r="CJ408" s="2338"/>
      <c r="CK408" s="2338"/>
      <c r="CL408" s="2338"/>
      <c r="CM408" s="2338"/>
      <c r="CN408" s="2338"/>
      <c r="CO408" s="2338"/>
      <c r="CP408" s="2338"/>
      <c r="CQ408" s="2338"/>
      <c r="CR408" s="2338"/>
      <c r="CS408" s="2338"/>
      <c r="CT408" s="2338"/>
      <c r="CU408" s="2338"/>
      <c r="CV408" s="2338"/>
      <c r="CW408" s="2338"/>
      <c r="CX408" s="2338"/>
      <c r="CY408" s="2338"/>
      <c r="CZ408" s="2338"/>
      <c r="DA408" s="2338"/>
      <c r="DB408" s="2338"/>
      <c r="DC408" s="2338"/>
      <c r="DD408" s="2338"/>
      <c r="DE408" s="2338"/>
      <c r="DF408" s="2338"/>
      <c r="DG408" s="2338"/>
      <c r="DH408" s="2338"/>
      <c r="DI408" s="2338"/>
      <c r="DJ408" s="2338"/>
      <c r="DK408" s="2338"/>
      <c r="DL408" s="2338"/>
      <c r="DM408" s="2338"/>
      <c r="DN408" s="2338"/>
      <c r="DO408" s="2338"/>
    </row>
    <row r="409" spans="1:119" ht="45.75" customHeight="1" thickBot="1">
      <c r="A409" s="3724"/>
      <c r="B409" s="3066"/>
      <c r="C409" s="3026"/>
      <c r="D409" s="3026"/>
      <c r="E409" s="3031"/>
      <c r="F409" s="3030"/>
      <c r="G409" s="3076"/>
      <c r="H409" s="2965">
        <f>H11</f>
        <v>2015</v>
      </c>
      <c r="I409" s="2965">
        <f>I11</f>
        <v>2016</v>
      </c>
      <c r="J409" s="2965">
        <f>J11</f>
        <v>2017</v>
      </c>
      <c r="K409" s="2965" t="str">
        <f>K378</f>
        <v>План (в случае отсутствия факта за 3 года)</v>
      </c>
      <c r="L409" s="2965" t="s">
        <v>2559</v>
      </c>
      <c r="M409" s="2965">
        <f>H409</f>
        <v>2015</v>
      </c>
      <c r="N409" s="2965">
        <f>I409</f>
        <v>2016</v>
      </c>
      <c r="O409" s="2965">
        <f>J409</f>
        <v>2017</v>
      </c>
      <c r="P409" s="2965" t="str">
        <f>P378</f>
        <v>План (в случае отсутствия факта за 3 года)</v>
      </c>
      <c r="Q409" s="2965" t="s">
        <v>2559</v>
      </c>
      <c r="R409" s="2971">
        <f>H409</f>
        <v>2015</v>
      </c>
      <c r="S409" s="2971">
        <f>I409</f>
        <v>2016</v>
      </c>
      <c r="T409" s="2971">
        <f>J409</f>
        <v>2017</v>
      </c>
      <c r="U409" s="2971" t="str">
        <f>U378</f>
        <v>План (в случае отсутствия факта за 3 года)</v>
      </c>
      <c r="V409" s="2496">
        <f>R409</f>
        <v>2015</v>
      </c>
      <c r="W409" s="2496">
        <f>S409</f>
        <v>2016</v>
      </c>
      <c r="X409" s="2496">
        <f>T409</f>
        <v>2017</v>
      </c>
      <c r="Y409" s="2496" t="str">
        <f>U409</f>
        <v>План (в случае отсутствия факта за 3 года)</v>
      </c>
      <c r="Z409" s="2481">
        <v>2016</v>
      </c>
      <c r="AA409" s="2481">
        <v>2017</v>
      </c>
      <c r="AB409" s="2481">
        <v>2018</v>
      </c>
      <c r="AC409" s="2489">
        <v>2019</v>
      </c>
      <c r="AD409" s="2503">
        <f>V409</f>
        <v>2015</v>
      </c>
      <c r="AE409" s="2503">
        <f>W409</f>
        <v>2016</v>
      </c>
      <c r="AF409" s="2503">
        <f>X409</f>
        <v>2017</v>
      </c>
      <c r="AG409" s="2503" t="str">
        <f>Y409</f>
        <v>План (в случае отсутствия факта за 3 года)</v>
      </c>
      <c r="AH409" s="2497" t="s">
        <v>3981</v>
      </c>
      <c r="AI409" s="2505" t="s">
        <v>3976</v>
      </c>
      <c r="AJ409" s="2505" t="s">
        <v>3977</v>
      </c>
      <c r="AK409" s="2881">
        <v>2018</v>
      </c>
      <c r="AL409" s="2890" t="s">
        <v>4265</v>
      </c>
      <c r="AM409" s="2881" t="s">
        <v>4265</v>
      </c>
      <c r="AN409" s="2338"/>
      <c r="AO409" s="2338"/>
      <c r="AP409" s="2338"/>
      <c r="AQ409" s="2338"/>
      <c r="AR409" s="2338"/>
      <c r="AS409" s="2338"/>
      <c r="AT409" s="2338"/>
      <c r="AU409" s="2338"/>
      <c r="AV409" s="2338"/>
      <c r="AW409" s="2338"/>
      <c r="AX409" s="2338"/>
      <c r="AY409" s="2338"/>
      <c r="AZ409" s="2338"/>
      <c r="BA409" s="2338"/>
      <c r="BB409" s="2338"/>
      <c r="BC409" s="2338"/>
      <c r="BD409" s="2338"/>
      <c r="BE409" s="2338"/>
      <c r="BF409" s="2338"/>
      <c r="BG409" s="2338"/>
      <c r="BH409" s="2338"/>
      <c r="BI409" s="2338"/>
      <c r="BJ409" s="2338"/>
      <c r="BK409" s="2338"/>
      <c r="BL409" s="2338"/>
      <c r="BM409" s="2338"/>
      <c r="BN409" s="2338"/>
      <c r="BO409" s="2338"/>
      <c r="BP409" s="2338"/>
      <c r="BQ409" s="2338"/>
      <c r="BR409" s="2338"/>
      <c r="BS409" s="2338"/>
      <c r="BT409" s="2338"/>
      <c r="BU409" s="2338"/>
      <c r="BV409" s="2338"/>
      <c r="BW409" s="2338"/>
      <c r="BX409" s="2338"/>
      <c r="BY409" s="2338"/>
      <c r="BZ409" s="2338"/>
      <c r="CA409" s="2338"/>
      <c r="CB409" s="2338"/>
      <c r="CC409" s="2338"/>
      <c r="CD409" s="2338"/>
      <c r="CE409" s="2338"/>
      <c r="CF409" s="2338"/>
      <c r="CG409" s="2338"/>
      <c r="CH409" s="2338"/>
      <c r="CI409" s="2338"/>
      <c r="CJ409" s="2338"/>
      <c r="CK409" s="2338"/>
      <c r="CL409" s="2338"/>
      <c r="CM409" s="2338"/>
      <c r="CN409" s="2338"/>
      <c r="CO409" s="2338"/>
      <c r="CP409" s="2338"/>
      <c r="CQ409" s="2338"/>
      <c r="CR409" s="2338"/>
      <c r="CS409" s="2338"/>
      <c r="CT409" s="2338"/>
      <c r="CU409" s="2338"/>
      <c r="CV409" s="2338"/>
      <c r="CW409" s="2338"/>
      <c r="CX409" s="2338"/>
      <c r="CY409" s="2338"/>
      <c r="CZ409" s="2338"/>
      <c r="DA409" s="2338"/>
      <c r="DB409" s="2338"/>
      <c r="DC409" s="2338"/>
      <c r="DD409" s="2338"/>
      <c r="DE409" s="2338"/>
      <c r="DF409" s="2338"/>
      <c r="DG409" s="2338"/>
      <c r="DH409" s="2338"/>
      <c r="DI409" s="2338"/>
      <c r="DJ409" s="2338"/>
      <c r="DK409" s="2338"/>
      <c r="DL409" s="2338"/>
      <c r="DM409" s="2338"/>
      <c r="DN409" s="2338"/>
      <c r="DO409" s="2338"/>
    </row>
    <row r="410" spans="1:119" ht="15.75" thickBot="1">
      <c r="A410" s="3714">
        <v>1</v>
      </c>
      <c r="B410" s="3715">
        <v>2</v>
      </c>
      <c r="C410" s="3027"/>
      <c r="D410" s="3027"/>
      <c r="E410" s="3027">
        <v>3</v>
      </c>
      <c r="F410" s="3716"/>
      <c r="G410" s="3655">
        <v>4</v>
      </c>
      <c r="H410" s="3656">
        <v>5</v>
      </c>
      <c r="I410" s="3657"/>
      <c r="J410" s="3657"/>
      <c r="K410" s="3658"/>
      <c r="L410" s="3659"/>
      <c r="M410" s="3656">
        <v>6</v>
      </c>
      <c r="N410" s="3657"/>
      <c r="O410" s="3657"/>
      <c r="P410" s="3658"/>
      <c r="Q410" s="3659"/>
      <c r="R410" s="3656">
        <v>7</v>
      </c>
      <c r="S410" s="3657"/>
      <c r="T410" s="3657"/>
      <c r="U410" s="3658"/>
      <c r="V410" s="3022">
        <v>8</v>
      </c>
      <c r="W410" s="3022"/>
      <c r="X410" s="3022"/>
      <c r="Y410" s="2481"/>
      <c r="Z410" s="3109">
        <v>9</v>
      </c>
      <c r="AA410" s="3110"/>
      <c r="AB410" s="3110"/>
      <c r="AC410" s="3111"/>
      <c r="AD410" s="3105">
        <v>10</v>
      </c>
      <c r="AE410" s="3106"/>
      <c r="AF410" s="3106"/>
      <c r="AG410" s="3107"/>
      <c r="AH410" s="2498">
        <v>11</v>
      </c>
      <c r="AI410" s="2498">
        <v>12</v>
      </c>
      <c r="AJ410" s="2499">
        <v>13</v>
      </c>
      <c r="AK410" s="2891">
        <v>10</v>
      </c>
      <c r="AL410" s="2892">
        <v>11</v>
      </c>
      <c r="AM410" s="2891">
        <v>12</v>
      </c>
      <c r="AN410" s="2338"/>
      <c r="AO410" s="2338"/>
      <c r="AP410" s="2338"/>
      <c r="AQ410" s="2338"/>
      <c r="AR410" s="2338"/>
      <c r="AS410" s="2338"/>
      <c r="AT410" s="2338"/>
      <c r="AU410" s="2338"/>
      <c r="AV410" s="2338"/>
      <c r="AW410" s="2338"/>
      <c r="AX410" s="2338"/>
      <c r="AY410" s="2338"/>
      <c r="AZ410" s="2338"/>
      <c r="BA410" s="2338"/>
      <c r="BB410" s="2338"/>
      <c r="BC410" s="2338"/>
      <c r="BD410" s="2338"/>
      <c r="BE410" s="2338"/>
      <c r="BF410" s="2338"/>
      <c r="BG410" s="2338"/>
      <c r="BH410" s="2338"/>
      <c r="BI410" s="2338"/>
      <c r="BJ410" s="2338"/>
      <c r="BK410" s="2338"/>
      <c r="BL410" s="2338"/>
      <c r="BM410" s="2338"/>
      <c r="BN410" s="2338"/>
      <c r="BO410" s="2338"/>
      <c r="BP410" s="2338"/>
      <c r="BQ410" s="2338"/>
      <c r="BR410" s="2338"/>
      <c r="BS410" s="2338"/>
      <c r="BT410" s="2338"/>
      <c r="BU410" s="2338"/>
      <c r="BV410" s="2338"/>
      <c r="BW410" s="2338"/>
      <c r="BX410" s="2338"/>
      <c r="BY410" s="2338"/>
      <c r="BZ410" s="2338"/>
      <c r="CA410" s="2338"/>
      <c r="CB410" s="2338"/>
      <c r="CC410" s="2338"/>
      <c r="CD410" s="2338"/>
      <c r="CE410" s="2338"/>
      <c r="CF410" s="2338"/>
      <c r="CG410" s="2338"/>
      <c r="CH410" s="2338"/>
      <c r="CI410" s="2338"/>
      <c r="CJ410" s="2338"/>
      <c r="CK410" s="2338"/>
      <c r="CL410" s="2338"/>
      <c r="CM410" s="2338"/>
      <c r="CN410" s="2338"/>
      <c r="CO410" s="2338"/>
      <c r="CP410" s="2338"/>
      <c r="CQ410" s="2338"/>
      <c r="CR410" s="2338"/>
      <c r="CS410" s="2338"/>
      <c r="CT410" s="2338"/>
      <c r="CU410" s="2338"/>
      <c r="CV410" s="2338"/>
      <c r="CW410" s="2338"/>
      <c r="CX410" s="2338"/>
      <c r="CY410" s="2338"/>
      <c r="CZ410" s="2338"/>
      <c r="DA410" s="2338"/>
      <c r="DB410" s="2338"/>
      <c r="DC410" s="2338"/>
      <c r="DD410" s="2338"/>
      <c r="DE410" s="2338"/>
      <c r="DF410" s="2338"/>
      <c r="DG410" s="2338"/>
      <c r="DH410" s="2338"/>
      <c r="DI410" s="2338"/>
      <c r="DJ410" s="2338"/>
      <c r="DK410" s="2338"/>
      <c r="DL410" s="2338"/>
      <c r="DM410" s="2338"/>
      <c r="DN410" s="2338"/>
      <c r="DO410" s="2338"/>
    </row>
    <row r="411" spans="1:119" ht="15" hidden="1" customHeight="1" outlineLevel="1">
      <c r="A411" s="2389"/>
      <c r="B411" s="3064" t="s">
        <v>2952</v>
      </c>
      <c r="C411" s="3065"/>
      <c r="D411" s="3065"/>
      <c r="E411" s="3012" t="s">
        <v>3871</v>
      </c>
      <c r="F411" s="2972" t="s">
        <v>2629</v>
      </c>
      <c r="G411" s="2969"/>
      <c r="H411" s="3719"/>
      <c r="I411" s="3719"/>
      <c r="J411" s="3719"/>
      <c r="K411" s="3719"/>
      <c r="L411" s="3719"/>
      <c r="M411" s="3719"/>
      <c r="N411" s="3719"/>
      <c r="O411" s="3719"/>
      <c r="P411" s="3719"/>
      <c r="Q411" s="2329"/>
      <c r="R411" s="2329"/>
      <c r="S411" s="2329"/>
      <c r="T411" s="2329"/>
      <c r="U411" s="2329"/>
      <c r="V411" s="2329"/>
      <c r="W411" s="2329"/>
      <c r="X411" s="2329"/>
      <c r="Y411" s="2329"/>
      <c r="Z411" s="2775">
        <f t="shared" ref="Z411" si="111">$Z$13</f>
        <v>1.0528</v>
      </c>
      <c r="AA411" s="2775">
        <f t="shared" ref="AA411" si="112">$AA$13</f>
        <v>1.0589</v>
      </c>
      <c r="AB411" s="2775">
        <f t="shared" ref="AB411" si="113">$AB$13</f>
        <v>1.0507936887282501</v>
      </c>
      <c r="AC411" s="2775">
        <f t="shared" ref="AC411" si="114">$AC$13</f>
        <v>1.04657781587849</v>
      </c>
      <c r="AD411" s="2323"/>
      <c r="AE411" s="2323"/>
      <c r="AF411" s="2323"/>
      <c r="AG411" s="2323"/>
      <c r="AH411" s="2323"/>
      <c r="AI411" s="2323"/>
      <c r="AJ411" s="2323"/>
      <c r="AK411" s="2898"/>
      <c r="AL411" s="2895">
        <f t="shared" ref="AL411:AL422" si="115">AK411*$AC$71</f>
        <v>0</v>
      </c>
      <c r="AM411" s="2896" t="str">
        <f t="shared" ref="AM411" si="116">IFERROR(AI411/AL411,"")</f>
        <v/>
      </c>
      <c r="AN411" s="2338"/>
      <c r="AO411" s="2338"/>
      <c r="AP411" s="2338"/>
      <c r="AQ411" s="2338"/>
      <c r="AR411" s="2338"/>
      <c r="AS411" s="2338"/>
      <c r="AT411" s="2338"/>
      <c r="AU411" s="2338"/>
      <c r="AV411" s="2338"/>
      <c r="AW411" s="2338"/>
      <c r="AX411" s="2338"/>
      <c r="AY411" s="2338"/>
      <c r="AZ411" s="2338"/>
      <c r="BA411" s="2338"/>
      <c r="BB411" s="2338"/>
      <c r="BC411" s="2338"/>
      <c r="BD411" s="2338"/>
      <c r="BE411" s="2338"/>
      <c r="BF411" s="2338"/>
      <c r="BG411" s="2338"/>
      <c r="BH411" s="2338"/>
      <c r="BI411" s="2338"/>
      <c r="BJ411" s="2338"/>
      <c r="BK411" s="2338"/>
      <c r="BL411" s="2338"/>
      <c r="BM411" s="2338"/>
      <c r="BN411" s="2338"/>
      <c r="BO411" s="2338"/>
      <c r="BP411" s="2338"/>
      <c r="BQ411" s="2338"/>
      <c r="BR411" s="2338"/>
      <c r="BS411" s="2338"/>
      <c r="BT411" s="2338"/>
      <c r="BU411" s="2338"/>
      <c r="BV411" s="2338"/>
      <c r="BW411" s="2338"/>
      <c r="BX411" s="2338"/>
      <c r="BY411" s="2338"/>
      <c r="BZ411" s="2338"/>
      <c r="CA411" s="2338"/>
      <c r="CB411" s="2338"/>
      <c r="CC411" s="2338"/>
      <c r="CD411" s="2338"/>
      <c r="CE411" s="2338"/>
      <c r="CF411" s="2338"/>
      <c r="CG411" s="2338"/>
      <c r="CH411" s="2338"/>
      <c r="CI411" s="2338"/>
      <c r="CJ411" s="2338"/>
      <c r="CK411" s="2338"/>
      <c r="CL411" s="2338"/>
      <c r="CM411" s="2338"/>
      <c r="CN411" s="2338"/>
      <c r="CO411" s="2338"/>
      <c r="CP411" s="2338"/>
      <c r="CQ411" s="2338"/>
      <c r="CR411" s="2338"/>
      <c r="CS411" s="2338"/>
      <c r="CT411" s="2338"/>
      <c r="CU411" s="2338"/>
      <c r="CV411" s="2338"/>
      <c r="CW411" s="2338"/>
      <c r="CX411" s="2338"/>
      <c r="CY411" s="2338"/>
      <c r="CZ411" s="2338"/>
      <c r="DA411" s="2338"/>
      <c r="DB411" s="2338"/>
      <c r="DC411" s="2338"/>
      <c r="DD411" s="2338"/>
      <c r="DE411" s="2338"/>
      <c r="DF411" s="2338"/>
      <c r="DG411" s="2338"/>
      <c r="DH411" s="2338"/>
      <c r="DI411" s="2338"/>
      <c r="DJ411" s="2338"/>
      <c r="DK411" s="2338"/>
      <c r="DL411" s="2338"/>
      <c r="DM411" s="2338"/>
      <c r="DN411" s="2338"/>
      <c r="DO411" s="2338"/>
    </row>
    <row r="412" spans="1:119" hidden="1" outlineLevel="1">
      <c r="A412" s="2339"/>
      <c r="B412" s="3071"/>
      <c r="C412" s="3035"/>
      <c r="D412" s="3035"/>
      <c r="E412" s="3029"/>
      <c r="F412" s="2680" t="s">
        <v>2631</v>
      </c>
      <c r="G412" s="2612"/>
      <c r="H412" s="2323"/>
      <c r="I412" s="2323"/>
      <c r="J412" s="2323"/>
      <c r="K412" s="2323"/>
      <c r="L412" s="2323"/>
      <c r="M412" s="2323"/>
      <c r="N412" s="2323"/>
      <c r="O412" s="2323"/>
      <c r="P412" s="2323"/>
      <c r="Q412" s="2323"/>
      <c r="R412" s="2323"/>
      <c r="S412" s="2323"/>
      <c r="T412" s="2323"/>
      <c r="U412" s="2323"/>
      <c r="V412" s="2323"/>
      <c r="W412" s="2323"/>
      <c r="X412" s="2323"/>
      <c r="Y412" s="2323"/>
      <c r="Z412" s="2566"/>
      <c r="AA412" s="2566"/>
      <c r="AB412" s="2566"/>
      <c r="AC412" s="2566"/>
      <c r="AD412" s="2323"/>
      <c r="AE412" s="2323"/>
      <c r="AF412" s="2323"/>
      <c r="AG412" s="2323"/>
      <c r="AH412" s="2323"/>
      <c r="AI412" s="2323"/>
      <c r="AJ412" s="2323"/>
      <c r="AK412" s="2898"/>
      <c r="AL412" s="2895">
        <f t="shared" si="115"/>
        <v>0</v>
      </c>
      <c r="AM412" s="2896" t="str">
        <f t="shared" ref="AM412:AM422" si="117">IFERROR(AI412/AL412,"")</f>
        <v/>
      </c>
      <c r="AN412" s="2338"/>
      <c r="AO412" s="2338"/>
      <c r="AP412" s="2338"/>
      <c r="AQ412" s="2338"/>
      <c r="AR412" s="2338"/>
      <c r="AS412" s="2338"/>
      <c r="AT412" s="2338"/>
      <c r="AU412" s="2338"/>
      <c r="AV412" s="2338"/>
      <c r="AW412" s="2338"/>
      <c r="AX412" s="2338"/>
      <c r="AY412" s="2338"/>
      <c r="AZ412" s="2338"/>
      <c r="BA412" s="2338"/>
      <c r="BB412" s="2338"/>
      <c r="BC412" s="2338"/>
      <c r="BD412" s="2338"/>
      <c r="BE412" s="2338"/>
      <c r="BF412" s="2338"/>
      <c r="BG412" s="2338"/>
      <c r="BH412" s="2338"/>
      <c r="BI412" s="2338"/>
      <c r="BJ412" s="2338"/>
      <c r="BK412" s="2338"/>
      <c r="BL412" s="2338"/>
      <c r="BM412" s="2338"/>
      <c r="BN412" s="2338"/>
      <c r="BO412" s="2338"/>
      <c r="BP412" s="2338"/>
      <c r="BQ412" s="2338"/>
      <c r="BR412" s="2338"/>
      <c r="BS412" s="2338"/>
      <c r="BT412" s="2338"/>
      <c r="BU412" s="2338"/>
      <c r="BV412" s="2338"/>
      <c r="BW412" s="2338"/>
      <c r="BX412" s="2338"/>
      <c r="BY412" s="2338"/>
      <c r="BZ412" s="2338"/>
      <c r="CA412" s="2338"/>
      <c r="CB412" s="2338"/>
      <c r="CC412" s="2338"/>
      <c r="CD412" s="2338"/>
      <c r="CE412" s="2338"/>
      <c r="CF412" s="2338"/>
      <c r="CG412" s="2338"/>
      <c r="CH412" s="2338"/>
      <c r="CI412" s="2338"/>
      <c r="CJ412" s="2338"/>
      <c r="CK412" s="2338"/>
      <c r="CL412" s="2338"/>
      <c r="CM412" s="2338"/>
      <c r="CN412" s="2338"/>
      <c r="CO412" s="2338"/>
      <c r="CP412" s="2338"/>
      <c r="CQ412" s="2338"/>
      <c r="CR412" s="2338"/>
      <c r="CS412" s="2338"/>
      <c r="CT412" s="2338"/>
      <c r="CU412" s="2338"/>
      <c r="CV412" s="2338"/>
      <c r="CW412" s="2338"/>
      <c r="CX412" s="2338"/>
      <c r="CY412" s="2338"/>
      <c r="CZ412" s="2338"/>
      <c r="DA412" s="2338"/>
      <c r="DB412" s="2338"/>
      <c r="DC412" s="2338"/>
      <c r="DD412" s="2338"/>
      <c r="DE412" s="2338"/>
      <c r="DF412" s="2338"/>
      <c r="DG412" s="2338"/>
      <c r="DH412" s="2338"/>
      <c r="DI412" s="2338"/>
      <c r="DJ412" s="2338"/>
      <c r="DK412" s="2338"/>
      <c r="DL412" s="2338"/>
      <c r="DM412" s="2338"/>
      <c r="DN412" s="2338"/>
      <c r="DO412" s="2338"/>
    </row>
    <row r="413" spans="1:119" hidden="1" outlineLevel="1">
      <c r="A413" s="2339"/>
      <c r="B413" s="3071"/>
      <c r="C413" s="3035"/>
      <c r="D413" s="3035"/>
      <c r="E413" s="3029"/>
      <c r="F413" s="2680" t="s">
        <v>2633</v>
      </c>
      <c r="G413" s="2612"/>
      <c r="H413" s="2323"/>
      <c r="I413" s="2323"/>
      <c r="J413" s="2323"/>
      <c r="K413" s="2323"/>
      <c r="L413" s="2323"/>
      <c r="M413" s="2323"/>
      <c r="N413" s="2323"/>
      <c r="O413" s="2323"/>
      <c r="P413" s="2323"/>
      <c r="Q413" s="2323"/>
      <c r="R413" s="2323"/>
      <c r="S413" s="2323"/>
      <c r="T413" s="2323"/>
      <c r="U413" s="2323"/>
      <c r="V413" s="2323"/>
      <c r="W413" s="2323"/>
      <c r="X413" s="2323"/>
      <c r="Y413" s="2323"/>
      <c r="Z413" s="2566"/>
      <c r="AA413" s="2566"/>
      <c r="AB413" s="2566"/>
      <c r="AC413" s="2566"/>
      <c r="AD413" s="2323"/>
      <c r="AE413" s="2323"/>
      <c r="AF413" s="2323"/>
      <c r="AG413" s="2323"/>
      <c r="AH413" s="2323"/>
      <c r="AI413" s="2323"/>
      <c r="AJ413" s="2323"/>
      <c r="AK413" s="2898"/>
      <c r="AL413" s="2895">
        <f t="shared" si="115"/>
        <v>0</v>
      </c>
      <c r="AM413" s="2896" t="str">
        <f t="shared" si="117"/>
        <v/>
      </c>
      <c r="AN413" s="2338"/>
      <c r="AO413" s="2338"/>
      <c r="AP413" s="2338"/>
      <c r="AQ413" s="2338"/>
      <c r="AR413" s="2338"/>
      <c r="AS413" s="2338"/>
      <c r="AT413" s="2338"/>
      <c r="AU413" s="2338"/>
      <c r="AV413" s="2338"/>
      <c r="AW413" s="2338"/>
      <c r="AX413" s="2338"/>
      <c r="AY413" s="2338"/>
      <c r="AZ413" s="2338"/>
      <c r="BA413" s="2338"/>
      <c r="BB413" s="2338"/>
      <c r="BC413" s="2338"/>
      <c r="BD413" s="2338"/>
      <c r="BE413" s="2338"/>
      <c r="BF413" s="2338"/>
      <c r="BG413" s="2338"/>
      <c r="BH413" s="2338"/>
      <c r="BI413" s="2338"/>
      <c r="BJ413" s="2338"/>
      <c r="BK413" s="2338"/>
      <c r="BL413" s="2338"/>
      <c r="BM413" s="2338"/>
      <c r="BN413" s="2338"/>
      <c r="BO413" s="2338"/>
      <c r="BP413" s="2338"/>
      <c r="BQ413" s="2338"/>
      <c r="BR413" s="2338"/>
      <c r="BS413" s="2338"/>
      <c r="BT413" s="2338"/>
      <c r="BU413" s="2338"/>
      <c r="BV413" s="2338"/>
      <c r="BW413" s="2338"/>
      <c r="BX413" s="2338"/>
      <c r="BY413" s="2338"/>
      <c r="BZ413" s="2338"/>
      <c r="CA413" s="2338"/>
      <c r="CB413" s="2338"/>
      <c r="CC413" s="2338"/>
      <c r="CD413" s="2338"/>
      <c r="CE413" s="2338"/>
      <c r="CF413" s="2338"/>
      <c r="CG413" s="2338"/>
      <c r="CH413" s="2338"/>
      <c r="CI413" s="2338"/>
      <c r="CJ413" s="2338"/>
      <c r="CK413" s="2338"/>
      <c r="CL413" s="2338"/>
      <c r="CM413" s="2338"/>
      <c r="CN413" s="2338"/>
      <c r="CO413" s="2338"/>
      <c r="CP413" s="2338"/>
      <c r="CQ413" s="2338"/>
      <c r="CR413" s="2338"/>
      <c r="CS413" s="2338"/>
      <c r="CT413" s="2338"/>
      <c r="CU413" s="2338"/>
      <c r="CV413" s="2338"/>
      <c r="CW413" s="2338"/>
      <c r="CX413" s="2338"/>
      <c r="CY413" s="2338"/>
      <c r="CZ413" s="2338"/>
      <c r="DA413" s="2338"/>
      <c r="DB413" s="2338"/>
      <c r="DC413" s="2338"/>
      <c r="DD413" s="2338"/>
      <c r="DE413" s="2338"/>
      <c r="DF413" s="2338"/>
      <c r="DG413" s="2338"/>
      <c r="DH413" s="2338"/>
      <c r="DI413" s="2338"/>
      <c r="DJ413" s="2338"/>
      <c r="DK413" s="2338"/>
      <c r="DL413" s="2338"/>
      <c r="DM413" s="2338"/>
      <c r="DN413" s="2338"/>
      <c r="DO413" s="2338"/>
    </row>
    <row r="414" spans="1:119" hidden="1" outlineLevel="1">
      <c r="A414" s="2339"/>
      <c r="B414" s="3071"/>
      <c r="C414" s="3035"/>
      <c r="D414" s="3035"/>
      <c r="E414" s="3029"/>
      <c r="F414" s="2680" t="s">
        <v>2635</v>
      </c>
      <c r="G414" s="2612"/>
      <c r="H414" s="2323"/>
      <c r="I414" s="2323"/>
      <c r="J414" s="2323"/>
      <c r="K414" s="2323"/>
      <c r="L414" s="2323"/>
      <c r="M414" s="2323"/>
      <c r="N414" s="2323"/>
      <c r="O414" s="2323"/>
      <c r="P414" s="2323"/>
      <c r="Q414" s="2323"/>
      <c r="R414" s="2323"/>
      <c r="S414" s="2323"/>
      <c r="T414" s="2323"/>
      <c r="U414" s="2323"/>
      <c r="V414" s="2323"/>
      <c r="W414" s="2323"/>
      <c r="X414" s="2323"/>
      <c r="Y414" s="2323"/>
      <c r="Z414" s="2566"/>
      <c r="AA414" s="2566"/>
      <c r="AB414" s="2566"/>
      <c r="AC414" s="2566"/>
      <c r="AD414" s="2323"/>
      <c r="AE414" s="2323"/>
      <c r="AF414" s="2323"/>
      <c r="AG414" s="2323"/>
      <c r="AH414" s="2323"/>
      <c r="AI414" s="2323"/>
      <c r="AJ414" s="2323"/>
      <c r="AK414" s="2898"/>
      <c r="AL414" s="2895">
        <f t="shared" si="115"/>
        <v>0</v>
      </c>
      <c r="AM414" s="2896" t="str">
        <f t="shared" si="117"/>
        <v/>
      </c>
      <c r="AN414" s="2338"/>
      <c r="AO414" s="2338"/>
      <c r="AP414" s="2338"/>
      <c r="AQ414" s="2338"/>
      <c r="AR414" s="2338"/>
      <c r="AS414" s="2338"/>
      <c r="AT414" s="2338"/>
      <c r="AU414" s="2338"/>
      <c r="AV414" s="2338"/>
      <c r="AW414" s="2338"/>
      <c r="AX414" s="2338"/>
      <c r="AY414" s="2338"/>
      <c r="AZ414" s="2338"/>
      <c r="BA414" s="2338"/>
      <c r="BB414" s="2338"/>
      <c r="BC414" s="2338"/>
      <c r="BD414" s="2338"/>
      <c r="BE414" s="2338"/>
      <c r="BF414" s="2338"/>
      <c r="BG414" s="2338"/>
      <c r="BH414" s="2338"/>
      <c r="BI414" s="2338"/>
      <c r="BJ414" s="2338"/>
      <c r="BK414" s="2338"/>
      <c r="BL414" s="2338"/>
      <c r="BM414" s="2338"/>
      <c r="BN414" s="2338"/>
      <c r="BO414" s="2338"/>
      <c r="BP414" s="2338"/>
      <c r="BQ414" s="2338"/>
      <c r="BR414" s="2338"/>
      <c r="BS414" s="2338"/>
      <c r="BT414" s="2338"/>
      <c r="BU414" s="2338"/>
      <c r="BV414" s="2338"/>
      <c r="BW414" s="2338"/>
      <c r="BX414" s="2338"/>
      <c r="BY414" s="2338"/>
      <c r="BZ414" s="2338"/>
      <c r="CA414" s="2338"/>
      <c r="CB414" s="2338"/>
      <c r="CC414" s="2338"/>
      <c r="CD414" s="2338"/>
      <c r="CE414" s="2338"/>
      <c r="CF414" s="2338"/>
      <c r="CG414" s="2338"/>
      <c r="CH414" s="2338"/>
      <c r="CI414" s="2338"/>
      <c r="CJ414" s="2338"/>
      <c r="CK414" s="2338"/>
      <c r="CL414" s="2338"/>
      <c r="CM414" s="2338"/>
      <c r="CN414" s="2338"/>
      <c r="CO414" s="2338"/>
      <c r="CP414" s="2338"/>
      <c r="CQ414" s="2338"/>
      <c r="CR414" s="2338"/>
      <c r="CS414" s="2338"/>
      <c r="CT414" s="2338"/>
      <c r="CU414" s="2338"/>
      <c r="CV414" s="2338"/>
      <c r="CW414" s="2338"/>
      <c r="CX414" s="2338"/>
      <c r="CY414" s="2338"/>
      <c r="CZ414" s="2338"/>
      <c r="DA414" s="2338"/>
      <c r="DB414" s="2338"/>
      <c r="DC414" s="2338"/>
      <c r="DD414" s="2338"/>
      <c r="DE414" s="2338"/>
      <c r="DF414" s="2338"/>
      <c r="DG414" s="2338"/>
      <c r="DH414" s="2338"/>
      <c r="DI414" s="2338"/>
      <c r="DJ414" s="2338"/>
      <c r="DK414" s="2338"/>
      <c r="DL414" s="2338"/>
      <c r="DM414" s="2338"/>
      <c r="DN414" s="2338"/>
      <c r="DO414" s="2338"/>
    </row>
    <row r="415" spans="1:119" hidden="1" outlineLevel="1">
      <c r="A415" s="2339"/>
      <c r="B415" s="3071"/>
      <c r="C415" s="3035"/>
      <c r="D415" s="3035"/>
      <c r="E415" s="3029"/>
      <c r="F415" s="2680" t="s">
        <v>2639</v>
      </c>
      <c r="G415" s="2612"/>
      <c r="H415" s="2323"/>
      <c r="I415" s="2323"/>
      <c r="J415" s="2323"/>
      <c r="K415" s="2323"/>
      <c r="L415" s="2323"/>
      <c r="M415" s="2323"/>
      <c r="N415" s="2323"/>
      <c r="O415" s="2323"/>
      <c r="P415" s="2323"/>
      <c r="Q415" s="2323"/>
      <c r="R415" s="2323"/>
      <c r="S415" s="2323"/>
      <c r="T415" s="2323"/>
      <c r="U415" s="2323"/>
      <c r="V415" s="2323"/>
      <c r="W415" s="2323"/>
      <c r="X415" s="2323"/>
      <c r="Y415" s="2323"/>
      <c r="Z415" s="2566"/>
      <c r="AA415" s="2566"/>
      <c r="AB415" s="2566"/>
      <c r="AC415" s="2566"/>
      <c r="AD415" s="2323"/>
      <c r="AE415" s="2323"/>
      <c r="AF415" s="2323"/>
      <c r="AG415" s="2323"/>
      <c r="AH415" s="2323"/>
      <c r="AI415" s="2323"/>
      <c r="AJ415" s="2323"/>
      <c r="AK415" s="2898"/>
      <c r="AL415" s="2895">
        <f t="shared" si="115"/>
        <v>0</v>
      </c>
      <c r="AM415" s="2896" t="str">
        <f t="shared" si="117"/>
        <v/>
      </c>
      <c r="AN415" s="2338"/>
      <c r="AO415" s="2338"/>
      <c r="AP415" s="2338"/>
      <c r="AQ415" s="2338"/>
      <c r="AR415" s="2338"/>
      <c r="AS415" s="2338"/>
      <c r="AT415" s="2338"/>
      <c r="AU415" s="2338"/>
      <c r="AV415" s="2338"/>
      <c r="AW415" s="2338"/>
      <c r="AX415" s="2338"/>
      <c r="AY415" s="2338"/>
      <c r="AZ415" s="2338"/>
      <c r="BA415" s="2338"/>
      <c r="BB415" s="2338"/>
      <c r="BC415" s="2338"/>
      <c r="BD415" s="2338"/>
      <c r="BE415" s="2338"/>
      <c r="BF415" s="2338"/>
      <c r="BG415" s="2338"/>
      <c r="BH415" s="2338"/>
      <c r="BI415" s="2338"/>
      <c r="BJ415" s="2338"/>
      <c r="BK415" s="2338"/>
      <c r="BL415" s="2338"/>
      <c r="BM415" s="2338"/>
      <c r="BN415" s="2338"/>
      <c r="BO415" s="2338"/>
      <c r="BP415" s="2338"/>
      <c r="BQ415" s="2338"/>
      <c r="BR415" s="2338"/>
      <c r="BS415" s="2338"/>
      <c r="BT415" s="2338"/>
      <c r="BU415" s="2338"/>
      <c r="BV415" s="2338"/>
      <c r="BW415" s="2338"/>
      <c r="BX415" s="2338"/>
      <c r="BY415" s="2338"/>
      <c r="BZ415" s="2338"/>
      <c r="CA415" s="2338"/>
      <c r="CB415" s="2338"/>
      <c r="CC415" s="2338"/>
      <c r="CD415" s="2338"/>
      <c r="CE415" s="2338"/>
      <c r="CF415" s="2338"/>
      <c r="CG415" s="2338"/>
      <c r="CH415" s="2338"/>
      <c r="CI415" s="2338"/>
      <c r="CJ415" s="2338"/>
      <c r="CK415" s="2338"/>
      <c r="CL415" s="2338"/>
      <c r="CM415" s="2338"/>
      <c r="CN415" s="2338"/>
      <c r="CO415" s="2338"/>
      <c r="CP415" s="2338"/>
      <c r="CQ415" s="2338"/>
      <c r="CR415" s="2338"/>
      <c r="CS415" s="2338"/>
      <c r="CT415" s="2338"/>
      <c r="CU415" s="2338"/>
      <c r="CV415" s="2338"/>
      <c r="CW415" s="2338"/>
      <c r="CX415" s="2338"/>
      <c r="CY415" s="2338"/>
      <c r="CZ415" s="2338"/>
      <c r="DA415" s="2338"/>
      <c r="DB415" s="2338"/>
      <c r="DC415" s="2338"/>
      <c r="DD415" s="2338"/>
      <c r="DE415" s="2338"/>
      <c r="DF415" s="2338"/>
      <c r="DG415" s="2338"/>
      <c r="DH415" s="2338"/>
      <c r="DI415" s="2338"/>
      <c r="DJ415" s="2338"/>
      <c r="DK415" s="2338"/>
      <c r="DL415" s="2338"/>
      <c r="DM415" s="2338"/>
      <c r="DN415" s="2338"/>
      <c r="DO415" s="2338"/>
    </row>
    <row r="416" spans="1:119" hidden="1" outlineLevel="1">
      <c r="A416" s="2339"/>
      <c r="B416" s="3071"/>
      <c r="C416" s="3035"/>
      <c r="D416" s="3035"/>
      <c r="E416" s="3029"/>
      <c r="F416" s="2680" t="s">
        <v>3872</v>
      </c>
      <c r="G416" s="2612"/>
      <c r="H416" s="2323"/>
      <c r="I416" s="2323"/>
      <c r="J416" s="2323"/>
      <c r="K416" s="2323"/>
      <c r="L416" s="2323"/>
      <c r="M416" s="2323"/>
      <c r="N416" s="2323"/>
      <c r="O416" s="2323"/>
      <c r="P416" s="2323"/>
      <c r="Q416" s="2323"/>
      <c r="R416" s="2323"/>
      <c r="S416" s="2323"/>
      <c r="T416" s="2323"/>
      <c r="U416" s="2323"/>
      <c r="V416" s="2323"/>
      <c r="W416" s="2323"/>
      <c r="X416" s="2323"/>
      <c r="Y416" s="2323"/>
      <c r="Z416" s="2566"/>
      <c r="AA416" s="2566"/>
      <c r="AB416" s="2566"/>
      <c r="AC416" s="2566"/>
      <c r="AD416" s="2323"/>
      <c r="AE416" s="2323"/>
      <c r="AF416" s="2323"/>
      <c r="AG416" s="2323"/>
      <c r="AH416" s="2323"/>
      <c r="AI416" s="2323"/>
      <c r="AJ416" s="2323"/>
      <c r="AK416" s="2898"/>
      <c r="AL416" s="2895">
        <f t="shared" si="115"/>
        <v>0</v>
      </c>
      <c r="AM416" s="2896" t="str">
        <f t="shared" si="117"/>
        <v/>
      </c>
      <c r="AN416" s="2338"/>
      <c r="AO416" s="2338"/>
      <c r="AP416" s="2338"/>
      <c r="AQ416" s="2338"/>
      <c r="AR416" s="2338"/>
      <c r="AS416" s="2338"/>
      <c r="AT416" s="2338"/>
      <c r="AU416" s="2338"/>
      <c r="AV416" s="2338"/>
      <c r="AW416" s="2338"/>
      <c r="AX416" s="2338"/>
      <c r="AY416" s="2338"/>
      <c r="AZ416" s="2338"/>
      <c r="BA416" s="2338"/>
      <c r="BB416" s="2338"/>
      <c r="BC416" s="2338"/>
      <c r="BD416" s="2338"/>
      <c r="BE416" s="2338"/>
      <c r="BF416" s="2338"/>
      <c r="BG416" s="2338"/>
      <c r="BH416" s="2338"/>
      <c r="BI416" s="2338"/>
      <c r="BJ416" s="2338"/>
      <c r="BK416" s="2338"/>
      <c r="BL416" s="2338"/>
      <c r="BM416" s="2338"/>
      <c r="BN416" s="2338"/>
      <c r="BO416" s="2338"/>
      <c r="BP416" s="2338"/>
      <c r="BQ416" s="2338"/>
      <c r="BR416" s="2338"/>
      <c r="BS416" s="2338"/>
      <c r="BT416" s="2338"/>
      <c r="BU416" s="2338"/>
      <c r="BV416" s="2338"/>
      <c r="BW416" s="2338"/>
      <c r="BX416" s="2338"/>
      <c r="BY416" s="2338"/>
      <c r="BZ416" s="2338"/>
      <c r="CA416" s="2338"/>
      <c r="CB416" s="2338"/>
      <c r="CC416" s="2338"/>
      <c r="CD416" s="2338"/>
      <c r="CE416" s="2338"/>
      <c r="CF416" s="2338"/>
      <c r="CG416" s="2338"/>
      <c r="CH416" s="2338"/>
      <c r="CI416" s="2338"/>
      <c r="CJ416" s="2338"/>
      <c r="CK416" s="2338"/>
      <c r="CL416" s="2338"/>
      <c r="CM416" s="2338"/>
      <c r="CN416" s="2338"/>
      <c r="CO416" s="2338"/>
      <c r="CP416" s="2338"/>
      <c r="CQ416" s="2338"/>
      <c r="CR416" s="2338"/>
      <c r="CS416" s="2338"/>
      <c r="CT416" s="2338"/>
      <c r="CU416" s="2338"/>
      <c r="CV416" s="2338"/>
      <c r="CW416" s="2338"/>
      <c r="CX416" s="2338"/>
      <c r="CY416" s="2338"/>
      <c r="CZ416" s="2338"/>
      <c r="DA416" s="2338"/>
      <c r="DB416" s="2338"/>
      <c r="DC416" s="2338"/>
      <c r="DD416" s="2338"/>
      <c r="DE416" s="2338"/>
      <c r="DF416" s="2338"/>
      <c r="DG416" s="2338"/>
      <c r="DH416" s="2338"/>
      <c r="DI416" s="2338"/>
      <c r="DJ416" s="2338"/>
      <c r="DK416" s="2338"/>
      <c r="DL416" s="2338"/>
      <c r="DM416" s="2338"/>
      <c r="DN416" s="2338"/>
      <c r="DO416" s="2338"/>
    </row>
    <row r="417" spans="1:119" hidden="1" outlineLevel="1">
      <c r="A417" s="2339"/>
      <c r="B417" s="3033" t="s">
        <v>2948</v>
      </c>
      <c r="C417" s="3028"/>
      <c r="D417" s="3028"/>
      <c r="E417" s="3029" t="s">
        <v>3873</v>
      </c>
      <c r="F417" s="2680" t="s">
        <v>2629</v>
      </c>
      <c r="G417" s="2612"/>
      <c r="H417" s="2323"/>
      <c r="I417" s="2323"/>
      <c r="J417" s="2323"/>
      <c r="K417" s="2323"/>
      <c r="L417" s="2323"/>
      <c r="M417" s="2323"/>
      <c r="N417" s="2323"/>
      <c r="O417" s="2323"/>
      <c r="P417" s="2323"/>
      <c r="Q417" s="2323"/>
      <c r="R417" s="2323"/>
      <c r="S417" s="2323"/>
      <c r="T417" s="2323"/>
      <c r="U417" s="2323"/>
      <c r="V417" s="2323"/>
      <c r="W417" s="2323"/>
      <c r="X417" s="2323"/>
      <c r="Y417" s="2323"/>
      <c r="Z417" s="2566"/>
      <c r="AA417" s="2566"/>
      <c r="AB417" s="2566"/>
      <c r="AC417" s="2566"/>
      <c r="AD417" s="2323"/>
      <c r="AE417" s="2323"/>
      <c r="AF417" s="2323"/>
      <c r="AG417" s="2323"/>
      <c r="AH417" s="2323"/>
      <c r="AI417" s="2323"/>
      <c r="AJ417" s="2323"/>
      <c r="AK417" s="2898"/>
      <c r="AL417" s="2895">
        <f t="shared" si="115"/>
        <v>0</v>
      </c>
      <c r="AM417" s="2896" t="str">
        <f t="shared" si="117"/>
        <v/>
      </c>
      <c r="AN417" s="2338"/>
      <c r="AO417" s="2338"/>
      <c r="AP417" s="2338"/>
      <c r="AQ417" s="2338"/>
      <c r="AR417" s="2338"/>
      <c r="AS417" s="2338"/>
      <c r="AT417" s="2338"/>
      <c r="AU417" s="2338"/>
      <c r="AV417" s="2338"/>
      <c r="AW417" s="2338"/>
      <c r="AX417" s="2338"/>
      <c r="AY417" s="2338"/>
      <c r="AZ417" s="2338"/>
      <c r="BA417" s="2338"/>
      <c r="BB417" s="2338"/>
      <c r="BC417" s="2338"/>
      <c r="BD417" s="2338"/>
      <c r="BE417" s="2338"/>
      <c r="BF417" s="2338"/>
      <c r="BG417" s="2338"/>
      <c r="BH417" s="2338"/>
      <c r="BI417" s="2338"/>
      <c r="BJ417" s="2338"/>
      <c r="BK417" s="2338"/>
      <c r="BL417" s="2338"/>
      <c r="BM417" s="2338"/>
      <c r="BN417" s="2338"/>
      <c r="BO417" s="2338"/>
      <c r="BP417" s="2338"/>
      <c r="BQ417" s="2338"/>
      <c r="BR417" s="2338"/>
      <c r="BS417" s="2338"/>
      <c r="BT417" s="2338"/>
      <c r="BU417" s="2338"/>
      <c r="BV417" s="2338"/>
      <c r="BW417" s="2338"/>
      <c r="BX417" s="2338"/>
      <c r="BY417" s="2338"/>
      <c r="BZ417" s="2338"/>
      <c r="CA417" s="2338"/>
      <c r="CB417" s="2338"/>
      <c r="CC417" s="2338"/>
      <c r="CD417" s="2338"/>
      <c r="CE417" s="2338"/>
      <c r="CF417" s="2338"/>
      <c r="CG417" s="2338"/>
      <c r="CH417" s="2338"/>
      <c r="CI417" s="2338"/>
      <c r="CJ417" s="2338"/>
      <c r="CK417" s="2338"/>
      <c r="CL417" s="2338"/>
      <c r="CM417" s="2338"/>
      <c r="CN417" s="2338"/>
      <c r="CO417" s="2338"/>
      <c r="CP417" s="2338"/>
      <c r="CQ417" s="2338"/>
      <c r="CR417" s="2338"/>
      <c r="CS417" s="2338"/>
      <c r="CT417" s="2338"/>
      <c r="CU417" s="2338"/>
      <c r="CV417" s="2338"/>
      <c r="CW417" s="2338"/>
      <c r="CX417" s="2338"/>
      <c r="CY417" s="2338"/>
      <c r="CZ417" s="2338"/>
      <c r="DA417" s="2338"/>
      <c r="DB417" s="2338"/>
      <c r="DC417" s="2338"/>
      <c r="DD417" s="2338"/>
      <c r="DE417" s="2338"/>
      <c r="DF417" s="2338"/>
      <c r="DG417" s="2338"/>
      <c r="DH417" s="2338"/>
      <c r="DI417" s="2338"/>
      <c r="DJ417" s="2338"/>
      <c r="DK417" s="2338"/>
      <c r="DL417" s="2338"/>
      <c r="DM417" s="2338"/>
      <c r="DN417" s="2338"/>
      <c r="DO417" s="2338"/>
    </row>
    <row r="418" spans="1:119" hidden="1" outlineLevel="1">
      <c r="A418" s="2339"/>
      <c r="B418" s="3033"/>
      <c r="C418" s="3028"/>
      <c r="D418" s="3028"/>
      <c r="E418" s="3029"/>
      <c r="F418" s="2680" t="s">
        <v>2631</v>
      </c>
      <c r="G418" s="2612"/>
      <c r="H418" s="2323"/>
      <c r="I418" s="2323"/>
      <c r="J418" s="2323"/>
      <c r="K418" s="2323"/>
      <c r="L418" s="2323"/>
      <c r="M418" s="2323"/>
      <c r="N418" s="2323"/>
      <c r="O418" s="2323"/>
      <c r="P418" s="2323"/>
      <c r="Q418" s="2323"/>
      <c r="R418" s="2323"/>
      <c r="S418" s="2323"/>
      <c r="T418" s="2323"/>
      <c r="U418" s="2323"/>
      <c r="V418" s="2323"/>
      <c r="W418" s="2323"/>
      <c r="X418" s="2323"/>
      <c r="Y418" s="2323"/>
      <c r="Z418" s="2566"/>
      <c r="AA418" s="2566"/>
      <c r="AB418" s="2566"/>
      <c r="AC418" s="2566"/>
      <c r="AD418" s="2323"/>
      <c r="AE418" s="2323"/>
      <c r="AF418" s="2323"/>
      <c r="AG418" s="2323"/>
      <c r="AH418" s="2323"/>
      <c r="AI418" s="2323"/>
      <c r="AJ418" s="2323"/>
      <c r="AK418" s="2898"/>
      <c r="AL418" s="2895">
        <f t="shared" si="115"/>
        <v>0</v>
      </c>
      <c r="AM418" s="2896" t="str">
        <f t="shared" si="117"/>
        <v/>
      </c>
      <c r="AN418" s="2338"/>
      <c r="AO418" s="2338"/>
      <c r="AP418" s="2338"/>
      <c r="AQ418" s="2338"/>
      <c r="AR418" s="2338"/>
      <c r="AS418" s="2338"/>
      <c r="AT418" s="2338"/>
      <c r="AU418" s="2338"/>
      <c r="AV418" s="2338"/>
      <c r="AW418" s="2338"/>
      <c r="AX418" s="2338"/>
      <c r="AY418" s="2338"/>
      <c r="AZ418" s="2338"/>
      <c r="BA418" s="2338"/>
      <c r="BB418" s="2338"/>
      <c r="BC418" s="2338"/>
      <c r="BD418" s="2338"/>
      <c r="BE418" s="2338"/>
      <c r="BF418" s="2338"/>
      <c r="BG418" s="2338"/>
      <c r="BH418" s="2338"/>
      <c r="BI418" s="2338"/>
      <c r="BJ418" s="2338"/>
      <c r="BK418" s="2338"/>
      <c r="BL418" s="2338"/>
      <c r="BM418" s="2338"/>
      <c r="BN418" s="2338"/>
      <c r="BO418" s="2338"/>
      <c r="BP418" s="2338"/>
      <c r="BQ418" s="2338"/>
      <c r="BR418" s="2338"/>
      <c r="BS418" s="2338"/>
      <c r="BT418" s="2338"/>
      <c r="BU418" s="2338"/>
      <c r="BV418" s="2338"/>
      <c r="BW418" s="2338"/>
      <c r="BX418" s="2338"/>
      <c r="BY418" s="2338"/>
      <c r="BZ418" s="2338"/>
      <c r="CA418" s="2338"/>
      <c r="CB418" s="2338"/>
      <c r="CC418" s="2338"/>
      <c r="CD418" s="2338"/>
      <c r="CE418" s="2338"/>
      <c r="CF418" s="2338"/>
      <c r="CG418" s="2338"/>
      <c r="CH418" s="2338"/>
      <c r="CI418" s="2338"/>
      <c r="CJ418" s="2338"/>
      <c r="CK418" s="2338"/>
      <c r="CL418" s="2338"/>
      <c r="CM418" s="2338"/>
      <c r="CN418" s="2338"/>
      <c r="CO418" s="2338"/>
      <c r="CP418" s="2338"/>
      <c r="CQ418" s="2338"/>
      <c r="CR418" s="2338"/>
      <c r="CS418" s="2338"/>
      <c r="CT418" s="2338"/>
      <c r="CU418" s="2338"/>
      <c r="CV418" s="2338"/>
      <c r="CW418" s="2338"/>
      <c r="CX418" s="2338"/>
      <c r="CY418" s="2338"/>
      <c r="CZ418" s="2338"/>
      <c r="DA418" s="2338"/>
      <c r="DB418" s="2338"/>
      <c r="DC418" s="2338"/>
      <c r="DD418" s="2338"/>
      <c r="DE418" s="2338"/>
      <c r="DF418" s="2338"/>
      <c r="DG418" s="2338"/>
      <c r="DH418" s="2338"/>
      <c r="DI418" s="2338"/>
      <c r="DJ418" s="2338"/>
      <c r="DK418" s="2338"/>
      <c r="DL418" s="2338"/>
      <c r="DM418" s="2338"/>
      <c r="DN418" s="2338"/>
      <c r="DO418" s="2338"/>
    </row>
    <row r="419" spans="1:119" hidden="1" outlineLevel="1">
      <c r="A419" s="2339"/>
      <c r="B419" s="3033"/>
      <c r="C419" s="3028"/>
      <c r="D419" s="3028"/>
      <c r="E419" s="3029"/>
      <c r="F419" s="2680" t="s">
        <v>2633</v>
      </c>
      <c r="G419" s="2612"/>
      <c r="H419" s="2323"/>
      <c r="I419" s="2323"/>
      <c r="J419" s="2323"/>
      <c r="K419" s="2323"/>
      <c r="L419" s="2323"/>
      <c r="M419" s="2323"/>
      <c r="N419" s="2323"/>
      <c r="O419" s="2323"/>
      <c r="P419" s="2323"/>
      <c r="Q419" s="2323"/>
      <c r="R419" s="2323"/>
      <c r="S419" s="2323"/>
      <c r="T419" s="2323"/>
      <c r="U419" s="2323"/>
      <c r="V419" s="2323"/>
      <c r="W419" s="2323"/>
      <c r="X419" s="2323"/>
      <c r="Y419" s="2323"/>
      <c r="Z419" s="2566"/>
      <c r="AA419" s="2566"/>
      <c r="AB419" s="2566"/>
      <c r="AC419" s="2566"/>
      <c r="AD419" s="2323"/>
      <c r="AE419" s="2323"/>
      <c r="AF419" s="2323"/>
      <c r="AG419" s="2323"/>
      <c r="AH419" s="2323"/>
      <c r="AI419" s="2323"/>
      <c r="AJ419" s="2323"/>
      <c r="AK419" s="2898"/>
      <c r="AL419" s="2895">
        <f t="shared" si="115"/>
        <v>0</v>
      </c>
      <c r="AM419" s="2896" t="str">
        <f t="shared" si="117"/>
        <v/>
      </c>
      <c r="AN419" s="2338"/>
      <c r="AO419" s="2338"/>
      <c r="AP419" s="2338"/>
      <c r="AQ419" s="2338"/>
      <c r="AR419" s="2338"/>
      <c r="AS419" s="2338"/>
      <c r="AT419" s="2338"/>
      <c r="AU419" s="2338"/>
      <c r="AV419" s="2338"/>
      <c r="AW419" s="2338"/>
      <c r="AX419" s="2338"/>
      <c r="AY419" s="2338"/>
      <c r="AZ419" s="2338"/>
      <c r="BA419" s="2338"/>
      <c r="BB419" s="2338"/>
      <c r="BC419" s="2338"/>
      <c r="BD419" s="2338"/>
      <c r="BE419" s="2338"/>
      <c r="BF419" s="2338"/>
      <c r="BG419" s="2338"/>
      <c r="BH419" s="2338"/>
      <c r="BI419" s="2338"/>
      <c r="BJ419" s="2338"/>
      <c r="BK419" s="2338"/>
      <c r="BL419" s="2338"/>
      <c r="BM419" s="2338"/>
      <c r="BN419" s="2338"/>
      <c r="BO419" s="2338"/>
      <c r="BP419" s="2338"/>
      <c r="BQ419" s="2338"/>
      <c r="BR419" s="2338"/>
      <c r="BS419" s="2338"/>
      <c r="BT419" s="2338"/>
      <c r="BU419" s="2338"/>
      <c r="BV419" s="2338"/>
      <c r="BW419" s="2338"/>
      <c r="BX419" s="2338"/>
      <c r="BY419" s="2338"/>
      <c r="BZ419" s="2338"/>
      <c r="CA419" s="2338"/>
      <c r="CB419" s="2338"/>
      <c r="CC419" s="2338"/>
      <c r="CD419" s="2338"/>
      <c r="CE419" s="2338"/>
      <c r="CF419" s="2338"/>
      <c r="CG419" s="2338"/>
      <c r="CH419" s="2338"/>
      <c r="CI419" s="2338"/>
      <c r="CJ419" s="2338"/>
      <c r="CK419" s="2338"/>
      <c r="CL419" s="2338"/>
      <c r="CM419" s="2338"/>
      <c r="CN419" s="2338"/>
      <c r="CO419" s="2338"/>
      <c r="CP419" s="2338"/>
      <c r="CQ419" s="2338"/>
      <c r="CR419" s="2338"/>
      <c r="CS419" s="2338"/>
      <c r="CT419" s="2338"/>
      <c r="CU419" s="2338"/>
      <c r="CV419" s="2338"/>
      <c r="CW419" s="2338"/>
      <c r="CX419" s="2338"/>
      <c r="CY419" s="2338"/>
      <c r="CZ419" s="2338"/>
      <c r="DA419" s="2338"/>
      <c r="DB419" s="2338"/>
      <c r="DC419" s="2338"/>
      <c r="DD419" s="2338"/>
      <c r="DE419" s="2338"/>
      <c r="DF419" s="2338"/>
      <c r="DG419" s="2338"/>
      <c r="DH419" s="2338"/>
      <c r="DI419" s="2338"/>
      <c r="DJ419" s="2338"/>
      <c r="DK419" s="2338"/>
      <c r="DL419" s="2338"/>
      <c r="DM419" s="2338"/>
      <c r="DN419" s="2338"/>
      <c r="DO419" s="2338"/>
    </row>
    <row r="420" spans="1:119" hidden="1" outlineLevel="1">
      <c r="A420" s="2339"/>
      <c r="B420" s="3033"/>
      <c r="C420" s="3028"/>
      <c r="D420" s="3028"/>
      <c r="E420" s="3029"/>
      <c r="F420" s="2680" t="s">
        <v>2635</v>
      </c>
      <c r="G420" s="2612"/>
      <c r="H420" s="2323"/>
      <c r="I420" s="2323"/>
      <c r="J420" s="2323"/>
      <c r="K420" s="2323"/>
      <c r="L420" s="2323"/>
      <c r="M420" s="2323"/>
      <c r="N420" s="2323"/>
      <c r="O420" s="2323"/>
      <c r="P420" s="2323"/>
      <c r="Q420" s="2323"/>
      <c r="R420" s="2323"/>
      <c r="S420" s="2323"/>
      <c r="T420" s="2323"/>
      <c r="U420" s="2323"/>
      <c r="V420" s="2323"/>
      <c r="W420" s="2323"/>
      <c r="X420" s="2323"/>
      <c r="Y420" s="2323"/>
      <c r="Z420" s="2566"/>
      <c r="AA420" s="2566"/>
      <c r="AB420" s="2566"/>
      <c r="AC420" s="2566"/>
      <c r="AD420" s="2323"/>
      <c r="AE420" s="2323"/>
      <c r="AF420" s="2323"/>
      <c r="AG420" s="2323"/>
      <c r="AH420" s="2323"/>
      <c r="AI420" s="2323"/>
      <c r="AJ420" s="2323"/>
      <c r="AK420" s="2898"/>
      <c r="AL420" s="2895">
        <f t="shared" si="115"/>
        <v>0</v>
      </c>
      <c r="AM420" s="2896" t="str">
        <f t="shared" si="117"/>
        <v/>
      </c>
      <c r="AN420" s="2338"/>
      <c r="AO420" s="2338"/>
      <c r="AP420" s="2338"/>
      <c r="AQ420" s="2338"/>
      <c r="AR420" s="2338"/>
      <c r="AS420" s="2338"/>
      <c r="AT420" s="2338"/>
      <c r="AU420" s="2338"/>
      <c r="AV420" s="2338"/>
      <c r="AW420" s="2338"/>
      <c r="AX420" s="2338"/>
      <c r="AY420" s="2338"/>
      <c r="AZ420" s="2338"/>
      <c r="BA420" s="2338"/>
      <c r="BB420" s="2338"/>
      <c r="BC420" s="2338"/>
      <c r="BD420" s="2338"/>
      <c r="BE420" s="2338"/>
      <c r="BF420" s="2338"/>
      <c r="BG420" s="2338"/>
      <c r="BH420" s="2338"/>
      <c r="BI420" s="2338"/>
      <c r="BJ420" s="2338"/>
      <c r="BK420" s="2338"/>
      <c r="BL420" s="2338"/>
      <c r="BM420" s="2338"/>
      <c r="BN420" s="2338"/>
      <c r="BO420" s="2338"/>
      <c r="BP420" s="2338"/>
      <c r="BQ420" s="2338"/>
      <c r="BR420" s="2338"/>
      <c r="BS420" s="2338"/>
      <c r="BT420" s="2338"/>
      <c r="BU420" s="2338"/>
      <c r="BV420" s="2338"/>
      <c r="BW420" s="2338"/>
      <c r="BX420" s="2338"/>
      <c r="BY420" s="2338"/>
      <c r="BZ420" s="2338"/>
      <c r="CA420" s="2338"/>
      <c r="CB420" s="2338"/>
      <c r="CC420" s="2338"/>
      <c r="CD420" s="2338"/>
      <c r="CE420" s="2338"/>
      <c r="CF420" s="2338"/>
      <c r="CG420" s="2338"/>
      <c r="CH420" s="2338"/>
      <c r="CI420" s="2338"/>
      <c r="CJ420" s="2338"/>
      <c r="CK420" s="2338"/>
      <c r="CL420" s="2338"/>
      <c r="CM420" s="2338"/>
      <c r="CN420" s="2338"/>
      <c r="CO420" s="2338"/>
      <c r="CP420" s="2338"/>
      <c r="CQ420" s="2338"/>
      <c r="CR420" s="2338"/>
      <c r="CS420" s="2338"/>
      <c r="CT420" s="2338"/>
      <c r="CU420" s="2338"/>
      <c r="CV420" s="2338"/>
      <c r="CW420" s="2338"/>
      <c r="CX420" s="2338"/>
      <c r="CY420" s="2338"/>
      <c r="CZ420" s="2338"/>
      <c r="DA420" s="2338"/>
      <c r="DB420" s="2338"/>
      <c r="DC420" s="2338"/>
      <c r="DD420" s="2338"/>
      <c r="DE420" s="2338"/>
      <c r="DF420" s="2338"/>
      <c r="DG420" s="2338"/>
      <c r="DH420" s="2338"/>
      <c r="DI420" s="2338"/>
      <c r="DJ420" s="2338"/>
      <c r="DK420" s="2338"/>
      <c r="DL420" s="2338"/>
      <c r="DM420" s="2338"/>
      <c r="DN420" s="2338"/>
      <c r="DO420" s="2338"/>
    </row>
    <row r="421" spans="1:119" hidden="1" outlineLevel="1">
      <c r="A421" s="2339"/>
      <c r="B421" s="3033"/>
      <c r="C421" s="3028"/>
      <c r="D421" s="3028"/>
      <c r="E421" s="3029"/>
      <c r="F421" s="2680" t="s">
        <v>2639</v>
      </c>
      <c r="G421" s="2612"/>
      <c r="H421" s="2323"/>
      <c r="I421" s="2323"/>
      <c r="J421" s="2323"/>
      <c r="K421" s="2323"/>
      <c r="L421" s="2323"/>
      <c r="M421" s="2323"/>
      <c r="N421" s="2323"/>
      <c r="O421" s="2323"/>
      <c r="P421" s="2323"/>
      <c r="Q421" s="2323"/>
      <c r="R421" s="2323"/>
      <c r="S421" s="2323"/>
      <c r="T421" s="2323"/>
      <c r="U421" s="2323"/>
      <c r="V421" s="2323"/>
      <c r="W421" s="2323"/>
      <c r="X421" s="2323"/>
      <c r="Y421" s="2323"/>
      <c r="Z421" s="2566"/>
      <c r="AA421" s="2566"/>
      <c r="AB421" s="2566"/>
      <c r="AC421" s="2566"/>
      <c r="AD421" s="2323"/>
      <c r="AE421" s="2323"/>
      <c r="AF421" s="2323"/>
      <c r="AG421" s="2323"/>
      <c r="AH421" s="2323"/>
      <c r="AI421" s="2323"/>
      <c r="AJ421" s="2323"/>
      <c r="AK421" s="2898"/>
      <c r="AL421" s="2895">
        <f t="shared" si="115"/>
        <v>0</v>
      </c>
      <c r="AM421" s="2896" t="str">
        <f t="shared" si="117"/>
        <v/>
      </c>
      <c r="AN421" s="2338"/>
      <c r="AO421" s="2338"/>
      <c r="AP421" s="2338"/>
      <c r="AQ421" s="2338"/>
      <c r="AR421" s="2338"/>
      <c r="AS421" s="2338"/>
      <c r="AT421" s="2338"/>
      <c r="AU421" s="2338"/>
      <c r="AV421" s="2338"/>
      <c r="AW421" s="2338"/>
      <c r="AX421" s="2338"/>
      <c r="AY421" s="2338"/>
      <c r="AZ421" s="2338"/>
      <c r="BA421" s="2338"/>
      <c r="BB421" s="2338"/>
      <c r="BC421" s="2338"/>
      <c r="BD421" s="2338"/>
      <c r="BE421" s="2338"/>
      <c r="BF421" s="2338"/>
      <c r="BG421" s="2338"/>
      <c r="BH421" s="2338"/>
      <c r="BI421" s="2338"/>
      <c r="BJ421" s="2338"/>
      <c r="BK421" s="2338"/>
      <c r="BL421" s="2338"/>
      <c r="BM421" s="2338"/>
      <c r="BN421" s="2338"/>
      <c r="BO421" s="2338"/>
      <c r="BP421" s="2338"/>
      <c r="BQ421" s="2338"/>
      <c r="BR421" s="2338"/>
      <c r="BS421" s="2338"/>
      <c r="BT421" s="2338"/>
      <c r="BU421" s="2338"/>
      <c r="BV421" s="2338"/>
      <c r="BW421" s="2338"/>
      <c r="BX421" s="2338"/>
      <c r="BY421" s="2338"/>
      <c r="BZ421" s="2338"/>
      <c r="CA421" s="2338"/>
      <c r="CB421" s="2338"/>
      <c r="CC421" s="2338"/>
      <c r="CD421" s="2338"/>
      <c r="CE421" s="2338"/>
      <c r="CF421" s="2338"/>
      <c r="CG421" s="2338"/>
      <c r="CH421" s="2338"/>
      <c r="CI421" s="2338"/>
      <c r="CJ421" s="2338"/>
      <c r="CK421" s="2338"/>
      <c r="CL421" s="2338"/>
      <c r="CM421" s="2338"/>
      <c r="CN421" s="2338"/>
      <c r="CO421" s="2338"/>
      <c r="CP421" s="2338"/>
      <c r="CQ421" s="2338"/>
      <c r="CR421" s="2338"/>
      <c r="CS421" s="2338"/>
      <c r="CT421" s="2338"/>
      <c r="CU421" s="2338"/>
      <c r="CV421" s="2338"/>
      <c r="CW421" s="2338"/>
      <c r="CX421" s="2338"/>
      <c r="CY421" s="2338"/>
      <c r="CZ421" s="2338"/>
      <c r="DA421" s="2338"/>
      <c r="DB421" s="2338"/>
      <c r="DC421" s="2338"/>
      <c r="DD421" s="2338"/>
      <c r="DE421" s="2338"/>
      <c r="DF421" s="2338"/>
      <c r="DG421" s="2338"/>
      <c r="DH421" s="2338"/>
      <c r="DI421" s="2338"/>
      <c r="DJ421" s="2338"/>
      <c r="DK421" s="2338"/>
      <c r="DL421" s="2338"/>
      <c r="DM421" s="2338"/>
      <c r="DN421" s="2338"/>
      <c r="DO421" s="2338"/>
    </row>
    <row r="422" spans="1:119" ht="15.75" hidden="1" outlineLevel="1" thickBot="1">
      <c r="A422" s="2349"/>
      <c r="B422" s="3023"/>
      <c r="C422" s="3030"/>
      <c r="D422" s="3030"/>
      <c r="E422" s="3031"/>
      <c r="F422" s="3743" t="s">
        <v>3872</v>
      </c>
      <c r="G422" s="3744"/>
      <c r="H422" s="2327"/>
      <c r="I422" s="2327"/>
      <c r="J422" s="2327"/>
      <c r="K422" s="2327"/>
      <c r="L422" s="2327"/>
      <c r="M422" s="2327"/>
      <c r="N422" s="2327"/>
      <c r="O422" s="2327"/>
      <c r="P422" s="2327"/>
      <c r="Q422" s="2327"/>
      <c r="R422" s="2327"/>
      <c r="S422" s="2327"/>
      <c r="T422" s="2327"/>
      <c r="U422" s="2327"/>
      <c r="V422" s="2323"/>
      <c r="W422" s="2323"/>
      <c r="X422" s="2323"/>
      <c r="Y422" s="2323"/>
      <c r="Z422" s="2566"/>
      <c r="AA422" s="2566"/>
      <c r="AB422" s="2566"/>
      <c r="AC422" s="2566"/>
      <c r="AD422" s="2323"/>
      <c r="AE422" s="2323"/>
      <c r="AF422" s="2323"/>
      <c r="AG422" s="2323"/>
      <c r="AH422" s="2323"/>
      <c r="AI422" s="2323"/>
      <c r="AJ422" s="2323"/>
      <c r="AK422" s="2898"/>
      <c r="AL422" s="2895">
        <f t="shared" si="115"/>
        <v>0</v>
      </c>
      <c r="AM422" s="2896" t="str">
        <f t="shared" si="117"/>
        <v/>
      </c>
      <c r="AN422" s="2338"/>
      <c r="AO422" s="2338"/>
      <c r="AP422" s="2338"/>
      <c r="AQ422" s="2338"/>
      <c r="AR422" s="2338"/>
      <c r="AS422" s="2338"/>
      <c r="AT422" s="2338"/>
      <c r="AU422" s="2338"/>
      <c r="AV422" s="2338"/>
      <c r="AW422" s="2338"/>
      <c r="AX422" s="2338"/>
      <c r="AY422" s="2338"/>
      <c r="AZ422" s="2338"/>
      <c r="BA422" s="2338"/>
      <c r="BB422" s="2338"/>
      <c r="BC422" s="2338"/>
      <c r="BD422" s="2338"/>
      <c r="BE422" s="2338"/>
      <c r="BF422" s="2338"/>
      <c r="BG422" s="2338"/>
      <c r="BH422" s="2338"/>
      <c r="BI422" s="2338"/>
      <c r="BJ422" s="2338"/>
      <c r="BK422" s="2338"/>
      <c r="BL422" s="2338"/>
      <c r="BM422" s="2338"/>
      <c r="BN422" s="2338"/>
      <c r="BO422" s="2338"/>
      <c r="BP422" s="2338"/>
      <c r="BQ422" s="2338"/>
      <c r="BR422" s="2338"/>
      <c r="BS422" s="2338"/>
      <c r="BT422" s="2338"/>
      <c r="BU422" s="2338"/>
      <c r="BV422" s="2338"/>
      <c r="BW422" s="2338"/>
      <c r="BX422" s="2338"/>
      <c r="BY422" s="2338"/>
      <c r="BZ422" s="2338"/>
      <c r="CA422" s="2338"/>
      <c r="CB422" s="2338"/>
      <c r="CC422" s="2338"/>
      <c r="CD422" s="2338"/>
      <c r="CE422" s="2338"/>
      <c r="CF422" s="2338"/>
      <c r="CG422" s="2338"/>
      <c r="CH422" s="2338"/>
      <c r="CI422" s="2338"/>
      <c r="CJ422" s="2338"/>
      <c r="CK422" s="2338"/>
      <c r="CL422" s="2338"/>
      <c r="CM422" s="2338"/>
      <c r="CN422" s="2338"/>
      <c r="CO422" s="2338"/>
      <c r="CP422" s="2338"/>
      <c r="CQ422" s="2338"/>
      <c r="CR422" s="2338"/>
      <c r="CS422" s="2338"/>
      <c r="CT422" s="2338"/>
      <c r="CU422" s="2338"/>
      <c r="CV422" s="2338"/>
      <c r="CW422" s="2338"/>
      <c r="CX422" s="2338"/>
      <c r="CY422" s="2338"/>
      <c r="CZ422" s="2338"/>
      <c r="DA422" s="2338"/>
      <c r="DB422" s="2338"/>
      <c r="DC422" s="2338"/>
      <c r="DD422" s="2338"/>
      <c r="DE422" s="2338"/>
      <c r="DF422" s="2338"/>
      <c r="DG422" s="2338"/>
      <c r="DH422" s="2338"/>
      <c r="DI422" s="2338"/>
      <c r="DJ422" s="2338"/>
      <c r="DK422" s="2338"/>
      <c r="DL422" s="2338"/>
      <c r="DM422" s="2338"/>
      <c r="DN422" s="2338"/>
      <c r="DO422" s="2338"/>
    </row>
    <row r="423" spans="1:119" collapsed="1">
      <c r="A423" s="2338"/>
      <c r="B423" s="2338"/>
      <c r="C423" s="2338"/>
      <c r="D423" s="2338"/>
      <c r="E423" s="2338"/>
      <c r="F423" s="3637"/>
      <c r="G423" s="3637"/>
      <c r="H423" s="2338"/>
      <c r="I423" s="2338"/>
      <c r="J423" s="2338"/>
      <c r="K423" s="2338"/>
      <c r="L423" s="2338"/>
      <c r="M423" s="2338"/>
      <c r="N423" s="2338"/>
      <c r="O423" s="2338"/>
      <c r="P423" s="2338"/>
      <c r="Q423" s="2338"/>
      <c r="R423" s="2338"/>
      <c r="S423" s="2338"/>
      <c r="T423" s="2338"/>
      <c r="U423" s="2338"/>
      <c r="Z423" s="2338"/>
      <c r="AA423" s="2338"/>
      <c r="AB423" s="2338"/>
      <c r="AC423" s="2338"/>
      <c r="AD423" s="2338"/>
      <c r="AE423" s="2338"/>
      <c r="AF423" s="2338"/>
      <c r="AG423" s="2338"/>
      <c r="AH423" s="2338"/>
      <c r="AI423" s="2338"/>
      <c r="AJ423" s="2338"/>
      <c r="AK423" s="2338"/>
      <c r="AL423" s="2338"/>
      <c r="AM423" s="2338"/>
      <c r="AN423" s="2338"/>
      <c r="AO423" s="2338"/>
      <c r="AP423" s="2338"/>
      <c r="AQ423" s="2338"/>
      <c r="AR423" s="2338"/>
      <c r="AS423" s="2338"/>
      <c r="AT423" s="2338"/>
      <c r="AU423" s="2338"/>
      <c r="AV423" s="2338"/>
      <c r="AW423" s="2338"/>
      <c r="AX423" s="2338"/>
      <c r="AY423" s="2338"/>
      <c r="AZ423" s="2338"/>
      <c r="BA423" s="2338"/>
      <c r="BB423" s="2338"/>
      <c r="BC423" s="2338"/>
      <c r="BD423" s="2338"/>
      <c r="BE423" s="2338"/>
      <c r="BF423" s="2338"/>
      <c r="BG423" s="2338"/>
      <c r="BH423" s="2338"/>
      <c r="BI423" s="2338"/>
      <c r="BJ423" s="2338"/>
      <c r="BK423" s="2338"/>
      <c r="BL423" s="2338"/>
      <c r="BM423" s="2338"/>
      <c r="BN423" s="2338"/>
      <c r="BO423" s="2338"/>
      <c r="BP423" s="2338"/>
      <c r="BQ423" s="2338"/>
      <c r="BR423" s="2338"/>
      <c r="BS423" s="2338"/>
      <c r="BT423" s="2338"/>
      <c r="BU423" s="2338"/>
      <c r="BV423" s="2338"/>
      <c r="BW423" s="2338"/>
      <c r="BX423" s="2338"/>
      <c r="BY423" s="2338"/>
      <c r="BZ423" s="2338"/>
      <c r="CA423" s="2338"/>
      <c r="CB423" s="2338"/>
      <c r="CC423" s="2338"/>
      <c r="CD423" s="2338"/>
      <c r="CE423" s="2338"/>
      <c r="CF423" s="2338"/>
      <c r="CG423" s="2338"/>
      <c r="CH423" s="2338"/>
      <c r="CI423" s="2338"/>
      <c r="CJ423" s="2338"/>
      <c r="CK423" s="2338"/>
      <c r="CL423" s="2338"/>
      <c r="CM423" s="2338"/>
      <c r="CN423" s="2338"/>
      <c r="CO423" s="2338"/>
      <c r="CP423" s="2338"/>
      <c r="CQ423" s="2338"/>
      <c r="CR423" s="2338"/>
      <c r="CS423" s="2338"/>
      <c r="CT423" s="2338"/>
      <c r="CU423" s="2338"/>
      <c r="CV423" s="2338"/>
      <c r="CW423" s="2338"/>
      <c r="CX423" s="2338"/>
      <c r="CY423" s="2338"/>
      <c r="CZ423" s="2338"/>
      <c r="DA423" s="2338"/>
      <c r="DB423" s="2338"/>
      <c r="DC423" s="2338"/>
      <c r="DD423" s="2338"/>
      <c r="DE423" s="2338"/>
      <c r="DF423" s="2338"/>
      <c r="DG423" s="2338"/>
      <c r="DH423" s="2338"/>
      <c r="DI423" s="2338"/>
      <c r="DJ423" s="2338"/>
      <c r="DK423" s="2338"/>
      <c r="DL423" s="2338"/>
      <c r="DM423" s="2338"/>
      <c r="DN423" s="2338"/>
      <c r="DO423" s="2338"/>
    </row>
    <row r="424" spans="1:119" ht="15.75" thickBot="1">
      <c r="A424" s="2338"/>
      <c r="B424" s="2338"/>
      <c r="C424" s="2338"/>
      <c r="D424" s="2338"/>
      <c r="E424" s="2338"/>
      <c r="F424" s="3637"/>
      <c r="G424" s="3637"/>
      <c r="H424" s="2338"/>
      <c r="I424" s="2338"/>
      <c r="J424" s="2338"/>
      <c r="K424" s="2338"/>
      <c r="L424" s="2338"/>
      <c r="M424" s="2338"/>
      <c r="N424" s="2338"/>
      <c r="O424" s="2338"/>
      <c r="P424" s="2338"/>
      <c r="Q424" s="2338"/>
      <c r="R424" s="2338"/>
      <c r="S424" s="2338"/>
      <c r="T424" s="2338"/>
      <c r="U424" s="2338"/>
      <c r="Z424" s="2338"/>
      <c r="AA424" s="2338"/>
      <c r="AB424" s="2338"/>
      <c r="AC424" s="2338"/>
      <c r="AD424" s="2338"/>
      <c r="AE424" s="2338"/>
      <c r="AF424" s="2338"/>
      <c r="AG424" s="2338"/>
      <c r="AH424" s="2338"/>
      <c r="AI424" s="2338"/>
      <c r="AJ424" s="2338"/>
      <c r="AK424" s="2338"/>
      <c r="AL424" s="2338"/>
      <c r="AM424" s="2338"/>
      <c r="AN424" s="2338"/>
      <c r="AO424" s="2338"/>
      <c r="AP424" s="2338"/>
      <c r="AQ424" s="2338"/>
      <c r="AR424" s="2338"/>
      <c r="AS424" s="2338"/>
      <c r="AT424" s="2338"/>
      <c r="AU424" s="2338"/>
      <c r="AV424" s="2338"/>
      <c r="AW424" s="2338"/>
      <c r="AX424" s="2338"/>
      <c r="AY424" s="2338"/>
      <c r="AZ424" s="2338"/>
      <c r="BA424" s="2338"/>
      <c r="BB424" s="2338"/>
      <c r="BC424" s="2338"/>
      <c r="BD424" s="2338"/>
      <c r="BE424" s="2338"/>
      <c r="BF424" s="2338"/>
      <c r="BG424" s="2338"/>
      <c r="BH424" s="2338"/>
      <c r="BI424" s="2338"/>
      <c r="BJ424" s="2338"/>
      <c r="BK424" s="2338"/>
      <c r="BL424" s="2338"/>
      <c r="BM424" s="2338"/>
      <c r="BN424" s="2338"/>
      <c r="BO424" s="2338"/>
      <c r="BP424" s="2338"/>
      <c r="BQ424" s="2338"/>
      <c r="BR424" s="2338"/>
      <c r="BS424" s="2338"/>
      <c r="BT424" s="2338"/>
      <c r="BU424" s="2338"/>
      <c r="BV424" s="2338"/>
      <c r="BW424" s="2338"/>
      <c r="BX424" s="2338"/>
      <c r="BY424" s="2338"/>
      <c r="BZ424" s="2338"/>
      <c r="CA424" s="2338"/>
      <c r="CB424" s="2338"/>
      <c r="CC424" s="2338"/>
      <c r="CD424" s="2338"/>
      <c r="CE424" s="2338"/>
      <c r="CF424" s="2338"/>
      <c r="CG424" s="2338"/>
      <c r="CH424" s="2338"/>
      <c r="CI424" s="2338"/>
      <c r="CJ424" s="2338"/>
      <c r="CK424" s="2338"/>
      <c r="CL424" s="2338"/>
      <c r="CM424" s="2338"/>
      <c r="CN424" s="2338"/>
      <c r="CO424" s="2338"/>
      <c r="CP424" s="2338"/>
      <c r="CQ424" s="2338"/>
      <c r="CR424" s="2338"/>
      <c r="CS424" s="2338"/>
      <c r="CT424" s="2338"/>
      <c r="CU424" s="2338"/>
      <c r="CV424" s="2338"/>
      <c r="CW424" s="2338"/>
      <c r="CX424" s="2338"/>
      <c r="CY424" s="2338"/>
      <c r="CZ424" s="2338"/>
      <c r="DA424" s="2338"/>
      <c r="DB424" s="2338"/>
      <c r="DC424" s="2338"/>
      <c r="DD424" s="2338"/>
      <c r="DE424" s="2338"/>
      <c r="DF424" s="2338"/>
      <c r="DG424" s="2338"/>
      <c r="DH424" s="2338"/>
      <c r="DI424" s="2338"/>
      <c r="DJ424" s="2338"/>
      <c r="DK424" s="2338"/>
      <c r="DL424" s="2338"/>
      <c r="DM424" s="2338"/>
      <c r="DN424" s="2338"/>
      <c r="DO424" s="2338"/>
    </row>
    <row r="425" spans="1:119" ht="26.25" customHeight="1" thickBot="1">
      <c r="A425" s="3061"/>
      <c r="B425" s="3062"/>
      <c r="C425" s="3062"/>
      <c r="D425" s="3062"/>
      <c r="E425" s="3062"/>
      <c r="F425" s="3063"/>
      <c r="G425" s="3645" t="s">
        <v>3877</v>
      </c>
      <c r="H425" s="3646"/>
      <c r="I425" s="3646"/>
      <c r="J425" s="3646"/>
      <c r="K425" s="3646"/>
      <c r="L425" s="3646"/>
      <c r="M425" s="3646"/>
      <c r="N425" s="3646"/>
      <c r="O425" s="3646"/>
      <c r="P425" s="3646"/>
      <c r="Q425" s="3646"/>
      <c r="R425" s="3646"/>
      <c r="S425" s="3646"/>
      <c r="T425" s="3646"/>
      <c r="U425" s="3647"/>
      <c r="V425" s="2502"/>
      <c r="W425" s="2502"/>
      <c r="X425" s="2502"/>
      <c r="Y425" s="2502"/>
      <c r="Z425" s="2338"/>
      <c r="AA425" s="2338"/>
      <c r="AB425" s="2338"/>
      <c r="AC425" s="2338"/>
      <c r="AD425" s="2338"/>
      <c r="AE425" s="2338"/>
      <c r="AF425" s="2338"/>
      <c r="AG425" s="2338"/>
      <c r="AH425" s="2338"/>
      <c r="AI425" s="2338"/>
      <c r="AJ425" s="2338"/>
      <c r="AK425" s="2338"/>
      <c r="AL425" s="2338"/>
      <c r="AM425" s="2338"/>
      <c r="AN425" s="2338"/>
      <c r="AO425" s="2338"/>
      <c r="AP425" s="2338"/>
      <c r="AQ425" s="2338"/>
      <c r="AR425" s="2338"/>
      <c r="AS425" s="2338"/>
      <c r="AT425" s="2338"/>
      <c r="AU425" s="2338"/>
      <c r="AV425" s="2338"/>
      <c r="AW425" s="2338"/>
      <c r="AX425" s="2338"/>
      <c r="AY425" s="2338"/>
      <c r="AZ425" s="2338"/>
      <c r="BA425" s="2338"/>
      <c r="BB425" s="2338"/>
      <c r="BC425" s="2338"/>
      <c r="BD425" s="2338"/>
      <c r="BE425" s="2338"/>
      <c r="BF425" s="2338"/>
      <c r="BG425" s="2338"/>
      <c r="BH425" s="2338"/>
      <c r="BI425" s="2338"/>
      <c r="BJ425" s="2338"/>
      <c r="BK425" s="2338"/>
      <c r="BL425" s="2338"/>
      <c r="BM425" s="2338"/>
      <c r="BN425" s="2338"/>
      <c r="BO425" s="2338"/>
      <c r="BP425" s="2338"/>
      <c r="BQ425" s="2338"/>
      <c r="BR425" s="2338"/>
      <c r="BS425" s="2338"/>
      <c r="BT425" s="2338"/>
      <c r="BU425" s="2338"/>
      <c r="BV425" s="2338"/>
      <c r="BW425" s="2338"/>
      <c r="BX425" s="2338"/>
      <c r="BY425" s="2338"/>
      <c r="BZ425" s="2338"/>
      <c r="CA425" s="2338"/>
      <c r="CB425" s="2338"/>
      <c r="CC425" s="2338"/>
      <c r="CD425" s="2338"/>
      <c r="CE425" s="2338"/>
      <c r="CF425" s="2338"/>
      <c r="CG425" s="2338"/>
      <c r="CH425" s="2338"/>
      <c r="CI425" s="2338"/>
      <c r="CJ425" s="2338"/>
      <c r="CK425" s="2338"/>
      <c r="CL425" s="2338"/>
      <c r="CM425" s="2338"/>
      <c r="CN425" s="2338"/>
      <c r="CO425" s="2338"/>
      <c r="CP425" s="2338"/>
      <c r="CQ425" s="2338"/>
      <c r="CR425" s="2338"/>
      <c r="CS425" s="2338"/>
      <c r="CT425" s="2338"/>
      <c r="CU425" s="2338"/>
      <c r="CV425" s="2338"/>
      <c r="CW425" s="2338"/>
      <c r="CX425" s="2338"/>
      <c r="CY425" s="2338"/>
      <c r="CZ425" s="2338"/>
      <c r="DA425" s="2338"/>
      <c r="DB425" s="2338"/>
      <c r="DC425" s="2338"/>
      <c r="DD425" s="2338"/>
      <c r="DE425" s="2338"/>
      <c r="DF425" s="2338"/>
      <c r="DG425" s="2338"/>
      <c r="DH425" s="2338"/>
      <c r="DI425" s="2338"/>
      <c r="DJ425" s="2338"/>
      <c r="DK425" s="2338"/>
      <c r="DL425" s="2338"/>
      <c r="DM425" s="2338"/>
      <c r="DN425" s="2338"/>
      <c r="DO425" s="2338"/>
    </row>
    <row r="426" spans="1:119" ht="48" customHeight="1">
      <c r="A426" s="3648" t="s">
        <v>0</v>
      </c>
      <c r="B426" s="3064" t="s">
        <v>3849</v>
      </c>
      <c r="C426" s="3065"/>
      <c r="D426" s="3065"/>
      <c r="E426" s="3012" t="s">
        <v>3878</v>
      </c>
      <c r="F426" s="3012"/>
      <c r="G426" s="3003" t="s">
        <v>3854</v>
      </c>
      <c r="H426" s="3058" t="s">
        <v>3868</v>
      </c>
      <c r="I426" s="3059"/>
      <c r="J426" s="3059"/>
      <c r="K426" s="3059"/>
      <c r="L426" s="3060"/>
      <c r="M426" s="3058" t="s">
        <v>3869</v>
      </c>
      <c r="N426" s="3059"/>
      <c r="O426" s="3059"/>
      <c r="P426" s="3059"/>
      <c r="Q426" s="3060"/>
      <c r="R426" s="3710" t="s">
        <v>3870</v>
      </c>
      <c r="S426" s="3711"/>
      <c r="T426" s="3711"/>
      <c r="U426" s="3712"/>
      <c r="V426" s="3099" t="s">
        <v>3978</v>
      </c>
      <c r="W426" s="3100"/>
      <c r="X426" s="3100"/>
      <c r="Y426" s="3101"/>
      <c r="Z426" s="3093" t="s">
        <v>3858</v>
      </c>
      <c r="AA426" s="3093"/>
      <c r="AB426" s="3093"/>
      <c r="AC426" s="3093"/>
      <c r="AD426" s="3102" t="s">
        <v>3979</v>
      </c>
      <c r="AE426" s="3103"/>
      <c r="AF426" s="3103"/>
      <c r="AG426" s="3104"/>
      <c r="AH426" s="2779" t="s">
        <v>3980</v>
      </c>
      <c r="AI426" s="2500" t="s">
        <v>3974</v>
      </c>
      <c r="AJ426" s="2500" t="s">
        <v>3975</v>
      </c>
      <c r="AK426" s="2893" t="s">
        <v>4262</v>
      </c>
      <c r="AL426" s="2894" t="s">
        <v>4263</v>
      </c>
      <c r="AM426" s="2893" t="s">
        <v>4264</v>
      </c>
      <c r="AN426" s="2338"/>
      <c r="AO426" s="2338"/>
      <c r="AP426" s="2338"/>
      <c r="AQ426" s="2338"/>
      <c r="AR426" s="2338"/>
      <c r="AS426" s="2338"/>
      <c r="AT426" s="2338"/>
      <c r="AU426" s="2338"/>
      <c r="AV426" s="2338"/>
      <c r="AW426" s="2338"/>
      <c r="AX426" s="2338"/>
      <c r="AY426" s="2338"/>
      <c r="AZ426" s="2338"/>
      <c r="BA426" s="2338"/>
      <c r="BB426" s="2338"/>
      <c r="BC426" s="2338"/>
      <c r="BD426" s="2338"/>
      <c r="BE426" s="2338"/>
      <c r="BF426" s="2338"/>
      <c r="BG426" s="2338"/>
      <c r="BH426" s="2338"/>
      <c r="BI426" s="2338"/>
      <c r="BJ426" s="2338"/>
      <c r="BK426" s="2338"/>
      <c r="BL426" s="2338"/>
      <c r="BM426" s="2338"/>
      <c r="BN426" s="2338"/>
      <c r="BO426" s="2338"/>
      <c r="BP426" s="2338"/>
      <c r="BQ426" s="2338"/>
      <c r="BR426" s="2338"/>
      <c r="BS426" s="2338"/>
      <c r="BT426" s="2338"/>
      <c r="BU426" s="2338"/>
      <c r="BV426" s="2338"/>
      <c r="BW426" s="2338"/>
      <c r="BX426" s="2338"/>
      <c r="BY426" s="2338"/>
      <c r="BZ426" s="2338"/>
      <c r="CA426" s="2338"/>
      <c r="CB426" s="2338"/>
      <c r="CC426" s="2338"/>
      <c r="CD426" s="2338"/>
      <c r="CE426" s="2338"/>
      <c r="CF426" s="2338"/>
      <c r="CG426" s="2338"/>
      <c r="CH426" s="2338"/>
      <c r="CI426" s="2338"/>
      <c r="CJ426" s="2338"/>
      <c r="CK426" s="2338"/>
      <c r="CL426" s="2338"/>
      <c r="CM426" s="2338"/>
      <c r="CN426" s="2338"/>
      <c r="CO426" s="2338"/>
      <c r="CP426" s="2338"/>
      <c r="CQ426" s="2338"/>
      <c r="CR426" s="2338"/>
      <c r="CS426" s="2338"/>
      <c r="CT426" s="2338"/>
      <c r="CU426" s="2338"/>
      <c r="CV426" s="2338"/>
      <c r="CW426" s="2338"/>
      <c r="CX426" s="2338"/>
      <c r="CY426" s="2338"/>
      <c r="CZ426" s="2338"/>
      <c r="DA426" s="2338"/>
      <c r="DB426" s="2338"/>
      <c r="DC426" s="2338"/>
      <c r="DD426" s="2338"/>
      <c r="DE426" s="2338"/>
      <c r="DF426" s="2338"/>
      <c r="DG426" s="2338"/>
      <c r="DH426" s="2338"/>
      <c r="DI426" s="2338"/>
      <c r="DJ426" s="2338"/>
      <c r="DK426" s="2338"/>
      <c r="DL426" s="2338"/>
      <c r="DM426" s="2338"/>
      <c r="DN426" s="2338"/>
      <c r="DO426" s="2338"/>
    </row>
    <row r="427" spans="1:119" ht="42.75" customHeight="1" thickBot="1">
      <c r="A427" s="3724"/>
      <c r="B427" s="3066"/>
      <c r="C427" s="3026"/>
      <c r="D427" s="3026"/>
      <c r="E427" s="3031"/>
      <c r="F427" s="3031"/>
      <c r="G427" s="3076"/>
      <c r="H427" s="2965">
        <f>H11</f>
        <v>2015</v>
      </c>
      <c r="I427" s="2965">
        <f>I11</f>
        <v>2016</v>
      </c>
      <c r="J427" s="2965">
        <f>J11</f>
        <v>2017</v>
      </c>
      <c r="K427" s="2965" t="str">
        <f>K409</f>
        <v>План (в случае отсутствия факта за 3 года)</v>
      </c>
      <c r="L427" s="2965" t="s">
        <v>2559</v>
      </c>
      <c r="M427" s="2965">
        <f>H427</f>
        <v>2015</v>
      </c>
      <c r="N427" s="2965">
        <f>I427</f>
        <v>2016</v>
      </c>
      <c r="O427" s="2965">
        <f>J427</f>
        <v>2017</v>
      </c>
      <c r="P427" s="2965" t="str">
        <f>P409</f>
        <v>План (в случае отсутствия факта за 3 года)</v>
      </c>
      <c r="Q427" s="2971" t="s">
        <v>2559</v>
      </c>
      <c r="R427" s="2971">
        <f>H427</f>
        <v>2015</v>
      </c>
      <c r="S427" s="2971">
        <f>I427</f>
        <v>2016</v>
      </c>
      <c r="T427" s="2971">
        <f>J427</f>
        <v>2017</v>
      </c>
      <c r="U427" s="2971" t="str">
        <f>U409</f>
        <v>План (в случае отсутствия факта за 3 года)</v>
      </c>
      <c r="V427" s="2496">
        <f>R427</f>
        <v>2015</v>
      </c>
      <c r="W427" s="2496">
        <f>S427</f>
        <v>2016</v>
      </c>
      <c r="X427" s="2496">
        <f>T427</f>
        <v>2017</v>
      </c>
      <c r="Y427" s="2496" t="str">
        <f>U427</f>
        <v>План (в случае отсутствия факта за 3 года)</v>
      </c>
      <c r="Z427" s="2481">
        <v>2016</v>
      </c>
      <c r="AA427" s="2481">
        <v>2017</v>
      </c>
      <c r="AB427" s="2481">
        <v>2018</v>
      </c>
      <c r="AC427" s="2489">
        <v>2019</v>
      </c>
      <c r="AD427" s="2503">
        <f>V427</f>
        <v>2015</v>
      </c>
      <c r="AE427" s="2503">
        <f>W427</f>
        <v>2016</v>
      </c>
      <c r="AF427" s="2503">
        <f>X427</f>
        <v>2017</v>
      </c>
      <c r="AG427" s="2503" t="str">
        <f>Y427</f>
        <v>План (в случае отсутствия факта за 3 года)</v>
      </c>
      <c r="AH427" s="2497" t="s">
        <v>3981</v>
      </c>
      <c r="AI427" s="2505" t="s">
        <v>3976</v>
      </c>
      <c r="AJ427" s="2505" t="s">
        <v>3977</v>
      </c>
      <c r="AK427" s="2881">
        <v>2018</v>
      </c>
      <c r="AL427" s="2890" t="s">
        <v>4265</v>
      </c>
      <c r="AM427" s="2881" t="s">
        <v>4265</v>
      </c>
      <c r="AN427" s="2338"/>
      <c r="AO427" s="2338"/>
      <c r="AP427" s="2338"/>
      <c r="AQ427" s="2338"/>
      <c r="AR427" s="2338"/>
      <c r="AS427" s="2338"/>
      <c r="AT427" s="2338"/>
      <c r="AU427" s="2338"/>
      <c r="AV427" s="2338"/>
      <c r="AW427" s="2338"/>
      <c r="AX427" s="2338"/>
      <c r="AY427" s="2338"/>
      <c r="AZ427" s="2338"/>
      <c r="BA427" s="2338"/>
      <c r="BB427" s="2338"/>
      <c r="BC427" s="2338"/>
      <c r="BD427" s="2338"/>
      <c r="BE427" s="2338"/>
      <c r="BF427" s="2338"/>
      <c r="BG427" s="2338"/>
      <c r="BH427" s="2338"/>
      <c r="BI427" s="2338"/>
      <c r="BJ427" s="2338"/>
      <c r="BK427" s="2338"/>
      <c r="BL427" s="2338"/>
      <c r="BM427" s="2338"/>
      <c r="BN427" s="2338"/>
      <c r="BO427" s="2338"/>
      <c r="BP427" s="2338"/>
      <c r="BQ427" s="2338"/>
      <c r="BR427" s="2338"/>
      <c r="BS427" s="2338"/>
      <c r="BT427" s="2338"/>
      <c r="BU427" s="2338"/>
      <c r="BV427" s="2338"/>
      <c r="BW427" s="2338"/>
      <c r="BX427" s="2338"/>
      <c r="BY427" s="2338"/>
      <c r="BZ427" s="2338"/>
      <c r="CA427" s="2338"/>
      <c r="CB427" s="2338"/>
      <c r="CC427" s="2338"/>
      <c r="CD427" s="2338"/>
      <c r="CE427" s="2338"/>
      <c r="CF427" s="2338"/>
      <c r="CG427" s="2338"/>
      <c r="CH427" s="2338"/>
      <c r="CI427" s="2338"/>
      <c r="CJ427" s="2338"/>
      <c r="CK427" s="2338"/>
      <c r="CL427" s="2338"/>
      <c r="CM427" s="2338"/>
      <c r="CN427" s="2338"/>
      <c r="CO427" s="2338"/>
      <c r="CP427" s="2338"/>
      <c r="CQ427" s="2338"/>
      <c r="CR427" s="2338"/>
      <c r="CS427" s="2338"/>
      <c r="CT427" s="2338"/>
      <c r="CU427" s="2338"/>
      <c r="CV427" s="2338"/>
      <c r="CW427" s="2338"/>
      <c r="CX427" s="2338"/>
      <c r="CY427" s="2338"/>
      <c r="CZ427" s="2338"/>
      <c r="DA427" s="2338"/>
      <c r="DB427" s="2338"/>
      <c r="DC427" s="2338"/>
      <c r="DD427" s="2338"/>
      <c r="DE427" s="2338"/>
      <c r="DF427" s="2338"/>
      <c r="DG427" s="2338"/>
      <c r="DH427" s="2338"/>
      <c r="DI427" s="2338"/>
      <c r="DJ427" s="2338"/>
      <c r="DK427" s="2338"/>
      <c r="DL427" s="2338"/>
      <c r="DM427" s="2338"/>
      <c r="DN427" s="2338"/>
      <c r="DO427" s="2338"/>
    </row>
    <row r="428" spans="1:119" ht="15.75" thickBot="1">
      <c r="A428" s="3714">
        <v>1</v>
      </c>
      <c r="B428" s="3715">
        <v>2</v>
      </c>
      <c r="C428" s="3027"/>
      <c r="D428" s="3027"/>
      <c r="E428" s="3027">
        <v>3</v>
      </c>
      <c r="F428" s="3716"/>
      <c r="G428" s="3655">
        <v>4</v>
      </c>
      <c r="H428" s="3656">
        <v>5</v>
      </c>
      <c r="I428" s="3657"/>
      <c r="J428" s="3657"/>
      <c r="K428" s="3658"/>
      <c r="L428" s="3659"/>
      <c r="M428" s="3656">
        <v>6</v>
      </c>
      <c r="N428" s="3657"/>
      <c r="O428" s="3657"/>
      <c r="P428" s="3658"/>
      <c r="Q428" s="3659"/>
      <c r="R428" s="3656">
        <v>7</v>
      </c>
      <c r="S428" s="3657"/>
      <c r="T428" s="3657"/>
      <c r="U428" s="3658"/>
      <c r="V428" s="3022">
        <v>8</v>
      </c>
      <c r="W428" s="3022"/>
      <c r="X428" s="3022"/>
      <c r="Y428" s="2481"/>
      <c r="Z428" s="3022">
        <v>9</v>
      </c>
      <c r="AA428" s="3022"/>
      <c r="AB428" s="3022"/>
      <c r="AC428" s="3109"/>
      <c r="AD428" s="3105">
        <v>10</v>
      </c>
      <c r="AE428" s="3106"/>
      <c r="AF428" s="3106"/>
      <c r="AG428" s="3107"/>
      <c r="AH428" s="2498">
        <v>11</v>
      </c>
      <c r="AI428" s="2498">
        <v>12</v>
      </c>
      <c r="AJ428" s="2499">
        <v>13</v>
      </c>
      <c r="AK428" s="2891">
        <v>10</v>
      </c>
      <c r="AL428" s="2892">
        <v>11</v>
      </c>
      <c r="AM428" s="2891">
        <v>12</v>
      </c>
      <c r="AN428" s="2338"/>
      <c r="AO428" s="2338"/>
      <c r="AP428" s="2338"/>
      <c r="AQ428" s="2338"/>
      <c r="AR428" s="2338"/>
      <c r="AS428" s="2338"/>
      <c r="AT428" s="2338"/>
      <c r="AU428" s="2338"/>
      <c r="AV428" s="2338"/>
      <c r="AW428" s="2338"/>
      <c r="AX428" s="2338"/>
      <c r="AY428" s="2338"/>
      <c r="AZ428" s="2338"/>
      <c r="BA428" s="2338"/>
      <c r="BB428" s="2338"/>
      <c r="BC428" s="2338"/>
      <c r="BD428" s="2338"/>
      <c r="BE428" s="2338"/>
      <c r="BF428" s="2338"/>
      <c r="BG428" s="2338"/>
      <c r="BH428" s="2338"/>
      <c r="BI428" s="2338"/>
      <c r="BJ428" s="2338"/>
      <c r="BK428" s="2338"/>
      <c r="BL428" s="2338"/>
      <c r="BM428" s="2338"/>
      <c r="BN428" s="2338"/>
      <c r="BO428" s="2338"/>
      <c r="BP428" s="2338"/>
      <c r="BQ428" s="2338"/>
      <c r="BR428" s="2338"/>
      <c r="BS428" s="2338"/>
      <c r="BT428" s="2338"/>
      <c r="BU428" s="2338"/>
      <c r="BV428" s="2338"/>
      <c r="BW428" s="2338"/>
      <c r="BX428" s="2338"/>
      <c r="BY428" s="2338"/>
      <c r="BZ428" s="2338"/>
      <c r="CA428" s="2338"/>
      <c r="CB428" s="2338"/>
      <c r="CC428" s="2338"/>
      <c r="CD428" s="2338"/>
      <c r="CE428" s="2338"/>
      <c r="CF428" s="2338"/>
      <c r="CG428" s="2338"/>
      <c r="CH428" s="2338"/>
      <c r="CI428" s="2338"/>
      <c r="CJ428" s="2338"/>
      <c r="CK428" s="2338"/>
      <c r="CL428" s="2338"/>
      <c r="CM428" s="2338"/>
      <c r="CN428" s="2338"/>
      <c r="CO428" s="2338"/>
      <c r="CP428" s="2338"/>
      <c r="CQ428" s="2338"/>
      <c r="CR428" s="2338"/>
      <c r="CS428" s="2338"/>
      <c r="CT428" s="2338"/>
      <c r="CU428" s="2338"/>
      <c r="CV428" s="2338"/>
      <c r="CW428" s="2338"/>
      <c r="CX428" s="2338"/>
      <c r="CY428" s="2338"/>
      <c r="CZ428" s="2338"/>
      <c r="DA428" s="2338"/>
      <c r="DB428" s="2338"/>
      <c r="DC428" s="2338"/>
      <c r="DD428" s="2338"/>
      <c r="DE428" s="2338"/>
      <c r="DF428" s="2338"/>
      <c r="DG428" s="2338"/>
      <c r="DH428" s="2338"/>
      <c r="DI428" s="2338"/>
      <c r="DJ428" s="2338"/>
      <c r="DK428" s="2338"/>
      <c r="DL428" s="2338"/>
      <c r="DM428" s="2338"/>
      <c r="DN428" s="2338"/>
      <c r="DO428" s="2338"/>
    </row>
    <row r="429" spans="1:119" hidden="1" outlineLevel="1">
      <c r="A429" s="2389"/>
      <c r="B429" s="3745" t="s">
        <v>2952</v>
      </c>
      <c r="C429" s="3010"/>
      <c r="D429" s="3010"/>
      <c r="E429" s="3746" t="s">
        <v>3879</v>
      </c>
      <c r="F429" s="3747"/>
      <c r="G429" s="3748"/>
      <c r="H429" s="3719"/>
      <c r="I429" s="3719"/>
      <c r="J429" s="3719"/>
      <c r="K429" s="3719"/>
      <c r="L429" s="3719"/>
      <c r="M429" s="3719"/>
      <c r="N429" s="3719"/>
      <c r="O429" s="3719"/>
      <c r="P429" s="3719"/>
      <c r="Q429" s="2329"/>
      <c r="R429" s="2329"/>
      <c r="S429" s="2329"/>
      <c r="T429" s="2329"/>
      <c r="U429" s="2329"/>
      <c r="V429" s="2387"/>
      <c r="W429" s="2387"/>
      <c r="X429" s="2387"/>
      <c r="Y429" s="2387"/>
      <c r="Z429" s="2775">
        <f t="shared" ref="Z429" si="118">$Z$13</f>
        <v>1.0528</v>
      </c>
      <c r="AA429" s="2775">
        <f t="shared" ref="AA429" si="119">$AA$13</f>
        <v>1.0589</v>
      </c>
      <c r="AB429" s="2775">
        <f t="shared" ref="AB429" si="120">$AB$13</f>
        <v>1.0507936887282501</v>
      </c>
      <c r="AC429" s="2775">
        <f t="shared" ref="AC429" si="121">$AC$13</f>
        <v>1.04657781587849</v>
      </c>
      <c r="AD429" s="2323"/>
      <c r="AE429" s="2323"/>
      <c r="AF429" s="2323"/>
      <c r="AG429" s="2323"/>
      <c r="AH429" s="2323"/>
      <c r="AI429" s="2323"/>
      <c r="AJ429" s="2323"/>
      <c r="AK429" s="2898"/>
      <c r="AL429" s="2895">
        <f t="shared" ref="AL429:AL432" si="122">AK429*$AC$71</f>
        <v>0</v>
      </c>
      <c r="AM429" s="2896" t="str">
        <f t="shared" ref="AM429" si="123">IFERROR(AI429/AL429,"")</f>
        <v/>
      </c>
      <c r="AN429" s="2338"/>
      <c r="AO429" s="2338"/>
      <c r="AP429" s="2338"/>
      <c r="AQ429" s="2338"/>
      <c r="AR429" s="2338"/>
      <c r="AS429" s="2338"/>
      <c r="AT429" s="2338"/>
      <c r="AU429" s="2338"/>
      <c r="AV429" s="2338"/>
      <c r="AW429" s="2338"/>
      <c r="AX429" s="2338"/>
      <c r="AY429" s="2338"/>
      <c r="AZ429" s="2338"/>
      <c r="BA429" s="2338"/>
      <c r="BB429" s="2338"/>
      <c r="BC429" s="2338"/>
      <c r="BD429" s="2338"/>
      <c r="BE429" s="2338"/>
      <c r="BF429" s="2338"/>
      <c r="BG429" s="2338"/>
      <c r="BH429" s="2338"/>
      <c r="BI429" s="2338"/>
      <c r="BJ429" s="2338"/>
      <c r="BK429" s="2338"/>
      <c r="BL429" s="2338"/>
      <c r="BM429" s="2338"/>
      <c r="BN429" s="2338"/>
      <c r="BO429" s="2338"/>
      <c r="BP429" s="2338"/>
      <c r="BQ429" s="2338"/>
      <c r="BR429" s="2338"/>
      <c r="BS429" s="2338"/>
      <c r="BT429" s="2338"/>
      <c r="BU429" s="2338"/>
      <c r="BV429" s="2338"/>
      <c r="BW429" s="2338"/>
      <c r="BX429" s="2338"/>
      <c r="BY429" s="2338"/>
      <c r="BZ429" s="2338"/>
      <c r="CA429" s="2338"/>
      <c r="CB429" s="2338"/>
      <c r="CC429" s="2338"/>
      <c r="CD429" s="2338"/>
      <c r="CE429" s="2338"/>
      <c r="CF429" s="2338"/>
      <c r="CG429" s="2338"/>
      <c r="CH429" s="2338"/>
      <c r="CI429" s="2338"/>
      <c r="CJ429" s="2338"/>
      <c r="CK429" s="2338"/>
      <c r="CL429" s="2338"/>
      <c r="CM429" s="2338"/>
      <c r="CN429" s="2338"/>
      <c r="CO429" s="2338"/>
      <c r="CP429" s="2338"/>
      <c r="CQ429" s="2338"/>
      <c r="CR429" s="2338"/>
      <c r="CS429" s="2338"/>
      <c r="CT429" s="2338"/>
      <c r="CU429" s="2338"/>
      <c r="CV429" s="2338"/>
      <c r="CW429" s="2338"/>
      <c r="CX429" s="2338"/>
      <c r="CY429" s="2338"/>
      <c r="CZ429" s="2338"/>
      <c r="DA429" s="2338"/>
      <c r="DB429" s="2338"/>
      <c r="DC429" s="2338"/>
      <c r="DD429" s="2338"/>
      <c r="DE429" s="2338"/>
      <c r="DF429" s="2338"/>
      <c r="DG429" s="2338"/>
      <c r="DH429" s="2338"/>
      <c r="DI429" s="2338"/>
      <c r="DJ429" s="2338"/>
      <c r="DK429" s="2338"/>
      <c r="DL429" s="2338"/>
      <c r="DM429" s="2338"/>
      <c r="DN429" s="2338"/>
      <c r="DO429" s="2338"/>
    </row>
    <row r="430" spans="1:119" hidden="1" outlineLevel="1">
      <c r="A430" s="2339"/>
      <c r="B430" s="3033"/>
      <c r="C430" s="3028"/>
      <c r="D430" s="3028"/>
      <c r="E430" s="3749" t="s">
        <v>3880</v>
      </c>
      <c r="F430" s="3750"/>
      <c r="G430" s="3751"/>
      <c r="H430" s="2323"/>
      <c r="I430" s="2323"/>
      <c r="J430" s="2323"/>
      <c r="K430" s="2323"/>
      <c r="L430" s="2323"/>
      <c r="M430" s="2323"/>
      <c r="N430" s="2323"/>
      <c r="O430" s="2323"/>
      <c r="P430" s="2323"/>
      <c r="Q430" s="2323"/>
      <c r="R430" s="2323"/>
      <c r="S430" s="2323"/>
      <c r="T430" s="2323"/>
      <c r="U430" s="2323"/>
      <c r="V430" s="2319"/>
      <c r="W430" s="2319"/>
      <c r="X430" s="2319"/>
      <c r="Y430" s="2319"/>
      <c r="Z430" s="2566"/>
      <c r="AA430" s="2566"/>
      <c r="AB430" s="2566"/>
      <c r="AC430" s="2566"/>
      <c r="AD430" s="2323"/>
      <c r="AE430" s="2323"/>
      <c r="AF430" s="2323"/>
      <c r="AG430" s="2323"/>
      <c r="AH430" s="2323"/>
      <c r="AI430" s="2323"/>
      <c r="AJ430" s="2323"/>
      <c r="AK430" s="2898"/>
      <c r="AL430" s="2895">
        <f t="shared" si="122"/>
        <v>0</v>
      </c>
      <c r="AM430" s="2896" t="str">
        <f t="shared" ref="AM430:AM432" si="124">IFERROR(AI430/AL430,"")</f>
        <v/>
      </c>
      <c r="AN430" s="2338"/>
      <c r="AO430" s="2338"/>
      <c r="AP430" s="2338"/>
      <c r="AQ430" s="2338"/>
      <c r="AR430" s="2338"/>
      <c r="AS430" s="2338"/>
      <c r="AT430" s="2338"/>
      <c r="AU430" s="2338"/>
      <c r="AV430" s="2338"/>
      <c r="AW430" s="2338"/>
      <c r="AX430" s="2338"/>
      <c r="AY430" s="2338"/>
      <c r="AZ430" s="2338"/>
      <c r="BA430" s="2338"/>
      <c r="BB430" s="2338"/>
      <c r="BC430" s="2338"/>
      <c r="BD430" s="2338"/>
      <c r="BE430" s="2338"/>
      <c r="BF430" s="2338"/>
      <c r="BG430" s="2338"/>
      <c r="BH430" s="2338"/>
      <c r="BI430" s="2338"/>
      <c r="BJ430" s="2338"/>
      <c r="BK430" s="2338"/>
      <c r="BL430" s="2338"/>
      <c r="BM430" s="2338"/>
      <c r="BN430" s="2338"/>
      <c r="BO430" s="2338"/>
      <c r="BP430" s="2338"/>
      <c r="BQ430" s="2338"/>
      <c r="BR430" s="2338"/>
      <c r="BS430" s="2338"/>
      <c r="BT430" s="2338"/>
      <c r="BU430" s="2338"/>
      <c r="BV430" s="2338"/>
      <c r="BW430" s="2338"/>
      <c r="BX430" s="2338"/>
      <c r="BY430" s="2338"/>
      <c r="BZ430" s="2338"/>
      <c r="CA430" s="2338"/>
      <c r="CB430" s="2338"/>
      <c r="CC430" s="2338"/>
      <c r="CD430" s="2338"/>
      <c r="CE430" s="2338"/>
      <c r="CF430" s="2338"/>
      <c r="CG430" s="2338"/>
      <c r="CH430" s="2338"/>
      <c r="CI430" s="2338"/>
      <c r="CJ430" s="2338"/>
      <c r="CK430" s="2338"/>
      <c r="CL430" s="2338"/>
      <c r="CM430" s="2338"/>
      <c r="CN430" s="2338"/>
      <c r="CO430" s="2338"/>
      <c r="CP430" s="2338"/>
      <c r="CQ430" s="2338"/>
      <c r="CR430" s="2338"/>
      <c r="CS430" s="2338"/>
      <c r="CT430" s="2338"/>
      <c r="CU430" s="2338"/>
      <c r="CV430" s="2338"/>
      <c r="CW430" s="2338"/>
      <c r="CX430" s="2338"/>
      <c r="CY430" s="2338"/>
      <c r="CZ430" s="2338"/>
      <c r="DA430" s="2338"/>
      <c r="DB430" s="2338"/>
      <c r="DC430" s="2338"/>
      <c r="DD430" s="2338"/>
      <c r="DE430" s="2338"/>
      <c r="DF430" s="2338"/>
      <c r="DG430" s="2338"/>
      <c r="DH430" s="2338"/>
      <c r="DI430" s="2338"/>
      <c r="DJ430" s="2338"/>
      <c r="DK430" s="2338"/>
      <c r="DL430" s="2338"/>
      <c r="DM430" s="2338"/>
      <c r="DN430" s="2338"/>
      <c r="DO430" s="2338"/>
    </row>
    <row r="431" spans="1:119" hidden="1" outlineLevel="1">
      <c r="A431" s="2339"/>
      <c r="B431" s="3033" t="s">
        <v>2948</v>
      </c>
      <c r="C431" s="3028"/>
      <c r="D431" s="3028"/>
      <c r="E431" s="3749" t="s">
        <v>3879</v>
      </c>
      <c r="F431" s="3750"/>
      <c r="G431" s="3751"/>
      <c r="H431" s="2323"/>
      <c r="I431" s="2323"/>
      <c r="J431" s="2323"/>
      <c r="K431" s="2323"/>
      <c r="L431" s="2323"/>
      <c r="M431" s="2323"/>
      <c r="N431" s="2323"/>
      <c r="O431" s="2323"/>
      <c r="P431" s="2323"/>
      <c r="Q431" s="2323"/>
      <c r="R431" s="2323"/>
      <c r="S431" s="2323"/>
      <c r="T431" s="2323"/>
      <c r="U431" s="2323"/>
      <c r="V431" s="2319"/>
      <c r="W431" s="2319"/>
      <c r="X431" s="2319"/>
      <c r="Y431" s="2319"/>
      <c r="Z431" s="2566"/>
      <c r="AA431" s="2566"/>
      <c r="AB431" s="2566"/>
      <c r="AC431" s="2566"/>
      <c r="AD431" s="2323"/>
      <c r="AE431" s="2323"/>
      <c r="AF431" s="2323"/>
      <c r="AG431" s="2323"/>
      <c r="AH431" s="2323"/>
      <c r="AI431" s="2323"/>
      <c r="AJ431" s="2323"/>
      <c r="AK431" s="2898"/>
      <c r="AL431" s="2895">
        <f t="shared" si="122"/>
        <v>0</v>
      </c>
      <c r="AM431" s="2896" t="str">
        <f t="shared" si="124"/>
        <v/>
      </c>
      <c r="AN431" s="2338"/>
      <c r="AO431" s="2338"/>
      <c r="AP431" s="2338"/>
      <c r="AQ431" s="2338"/>
      <c r="AR431" s="2338"/>
      <c r="AS431" s="2338"/>
      <c r="AT431" s="2338"/>
      <c r="AU431" s="2338"/>
      <c r="AV431" s="2338"/>
      <c r="AW431" s="2338"/>
      <c r="AX431" s="2338"/>
      <c r="AY431" s="2338"/>
      <c r="AZ431" s="2338"/>
      <c r="BA431" s="2338"/>
      <c r="BB431" s="2338"/>
      <c r="BC431" s="2338"/>
      <c r="BD431" s="2338"/>
      <c r="BE431" s="2338"/>
      <c r="BF431" s="2338"/>
      <c r="BG431" s="2338"/>
      <c r="BH431" s="2338"/>
      <c r="BI431" s="2338"/>
      <c r="BJ431" s="2338"/>
      <c r="BK431" s="2338"/>
      <c r="BL431" s="2338"/>
      <c r="BM431" s="2338"/>
      <c r="BN431" s="2338"/>
      <c r="BO431" s="2338"/>
      <c r="BP431" s="2338"/>
      <c r="BQ431" s="2338"/>
      <c r="BR431" s="2338"/>
      <c r="BS431" s="2338"/>
      <c r="BT431" s="2338"/>
      <c r="BU431" s="2338"/>
      <c r="BV431" s="2338"/>
      <c r="BW431" s="2338"/>
      <c r="BX431" s="2338"/>
      <c r="BY431" s="2338"/>
      <c r="BZ431" s="2338"/>
      <c r="CA431" s="2338"/>
      <c r="CB431" s="2338"/>
      <c r="CC431" s="2338"/>
      <c r="CD431" s="2338"/>
      <c r="CE431" s="2338"/>
      <c r="CF431" s="2338"/>
      <c r="CG431" s="2338"/>
      <c r="CH431" s="2338"/>
      <c r="CI431" s="2338"/>
      <c r="CJ431" s="2338"/>
      <c r="CK431" s="2338"/>
      <c r="CL431" s="2338"/>
      <c r="CM431" s="2338"/>
      <c r="CN431" s="2338"/>
      <c r="CO431" s="2338"/>
      <c r="CP431" s="2338"/>
      <c r="CQ431" s="2338"/>
      <c r="CR431" s="2338"/>
      <c r="CS431" s="2338"/>
      <c r="CT431" s="2338"/>
      <c r="CU431" s="2338"/>
      <c r="CV431" s="2338"/>
      <c r="CW431" s="2338"/>
      <c r="CX431" s="2338"/>
      <c r="CY431" s="2338"/>
      <c r="CZ431" s="2338"/>
      <c r="DA431" s="2338"/>
      <c r="DB431" s="2338"/>
      <c r="DC431" s="2338"/>
      <c r="DD431" s="2338"/>
      <c r="DE431" s="2338"/>
      <c r="DF431" s="2338"/>
      <c r="DG431" s="2338"/>
      <c r="DH431" s="2338"/>
      <c r="DI431" s="2338"/>
      <c r="DJ431" s="2338"/>
      <c r="DK431" s="2338"/>
      <c r="DL431" s="2338"/>
      <c r="DM431" s="2338"/>
      <c r="DN431" s="2338"/>
      <c r="DO431" s="2338"/>
    </row>
    <row r="432" spans="1:119" ht="15.75" hidden="1" outlineLevel="1" thickBot="1">
      <c r="A432" s="2349"/>
      <c r="B432" s="3023"/>
      <c r="C432" s="3030"/>
      <c r="D432" s="3030"/>
      <c r="E432" s="3752" t="s">
        <v>3880</v>
      </c>
      <c r="F432" s="3753"/>
      <c r="G432" s="3754"/>
      <c r="H432" s="2327"/>
      <c r="I432" s="2327"/>
      <c r="J432" s="2327"/>
      <c r="K432" s="2327"/>
      <c r="L432" s="2327"/>
      <c r="M432" s="2327"/>
      <c r="N432" s="2327"/>
      <c r="O432" s="2327"/>
      <c r="P432" s="2327"/>
      <c r="Q432" s="2327"/>
      <c r="R432" s="2327"/>
      <c r="S432" s="2327"/>
      <c r="T432" s="2327"/>
      <c r="U432" s="2327"/>
      <c r="V432" s="2319"/>
      <c r="W432" s="2319"/>
      <c r="X432" s="2319"/>
      <c r="Y432" s="2319"/>
      <c r="Z432" s="2566"/>
      <c r="AA432" s="2566"/>
      <c r="AB432" s="2566"/>
      <c r="AC432" s="2566"/>
      <c r="AD432" s="2323"/>
      <c r="AE432" s="2323"/>
      <c r="AF432" s="2323"/>
      <c r="AG432" s="2323"/>
      <c r="AH432" s="2323"/>
      <c r="AI432" s="2323"/>
      <c r="AJ432" s="2323"/>
      <c r="AK432" s="2898"/>
      <c r="AL432" s="2895">
        <f t="shared" si="122"/>
        <v>0</v>
      </c>
      <c r="AM432" s="2896" t="str">
        <f t="shared" si="124"/>
        <v/>
      </c>
      <c r="AN432" s="2338"/>
      <c r="AO432" s="2338"/>
      <c r="AP432" s="2338"/>
      <c r="AQ432" s="2338"/>
      <c r="AR432" s="2338"/>
      <c r="AS432" s="2338"/>
      <c r="AT432" s="2338"/>
      <c r="AU432" s="2338"/>
      <c r="AV432" s="2338"/>
      <c r="AW432" s="2338"/>
      <c r="AX432" s="2338"/>
      <c r="AY432" s="2338"/>
      <c r="AZ432" s="2338"/>
      <c r="BA432" s="2338"/>
      <c r="BB432" s="2338"/>
      <c r="BC432" s="2338"/>
      <c r="BD432" s="2338"/>
      <c r="BE432" s="2338"/>
      <c r="BF432" s="2338"/>
      <c r="BG432" s="2338"/>
      <c r="BH432" s="2338"/>
      <c r="BI432" s="2338"/>
      <c r="BJ432" s="2338"/>
      <c r="BK432" s="2338"/>
      <c r="BL432" s="2338"/>
      <c r="BM432" s="2338"/>
      <c r="BN432" s="2338"/>
      <c r="BO432" s="2338"/>
      <c r="BP432" s="2338"/>
      <c r="BQ432" s="2338"/>
      <c r="BR432" s="2338"/>
      <c r="BS432" s="2338"/>
      <c r="BT432" s="2338"/>
      <c r="BU432" s="2338"/>
      <c r="BV432" s="2338"/>
      <c r="BW432" s="2338"/>
      <c r="BX432" s="2338"/>
      <c r="BY432" s="2338"/>
      <c r="BZ432" s="2338"/>
      <c r="CA432" s="2338"/>
      <c r="CB432" s="2338"/>
      <c r="CC432" s="2338"/>
      <c r="CD432" s="2338"/>
      <c r="CE432" s="2338"/>
      <c r="CF432" s="2338"/>
      <c r="CG432" s="2338"/>
      <c r="CH432" s="2338"/>
      <c r="CI432" s="2338"/>
      <c r="CJ432" s="2338"/>
      <c r="CK432" s="2338"/>
      <c r="CL432" s="2338"/>
      <c r="CM432" s="2338"/>
      <c r="CN432" s="2338"/>
      <c r="CO432" s="2338"/>
      <c r="CP432" s="2338"/>
      <c r="CQ432" s="2338"/>
      <c r="CR432" s="2338"/>
      <c r="CS432" s="2338"/>
      <c r="CT432" s="2338"/>
      <c r="CU432" s="2338"/>
      <c r="CV432" s="2338"/>
      <c r="CW432" s="2338"/>
      <c r="CX432" s="2338"/>
      <c r="CY432" s="2338"/>
      <c r="CZ432" s="2338"/>
      <c r="DA432" s="2338"/>
      <c r="DB432" s="2338"/>
      <c r="DC432" s="2338"/>
      <c r="DD432" s="2338"/>
      <c r="DE432" s="2338"/>
      <c r="DF432" s="2338"/>
      <c r="DG432" s="2338"/>
      <c r="DH432" s="2338"/>
      <c r="DI432" s="2338"/>
      <c r="DJ432" s="2338"/>
      <c r="DK432" s="2338"/>
      <c r="DL432" s="2338"/>
      <c r="DM432" s="2338"/>
      <c r="DN432" s="2338"/>
      <c r="DO432" s="2338"/>
    </row>
    <row r="433" spans="1:119" collapsed="1">
      <c r="A433" s="2338"/>
      <c r="B433" s="2338"/>
      <c r="C433" s="2338"/>
      <c r="D433" s="2338"/>
      <c r="E433" s="2338"/>
      <c r="F433" s="3637"/>
      <c r="G433" s="3637"/>
      <c r="H433" s="2338"/>
      <c r="I433" s="2338"/>
      <c r="J433" s="2338"/>
      <c r="K433" s="2338"/>
      <c r="L433" s="2338"/>
      <c r="M433" s="2338"/>
      <c r="N433" s="2338"/>
      <c r="O433" s="2338"/>
      <c r="P433" s="2338"/>
      <c r="Q433" s="2338"/>
      <c r="R433" s="2338"/>
      <c r="S433" s="2338"/>
      <c r="T433" s="2338"/>
      <c r="U433" s="2338"/>
      <c r="Z433" s="2338"/>
      <c r="AA433" s="2338"/>
      <c r="AB433" s="2338"/>
      <c r="AC433" s="2338"/>
      <c r="AD433" s="2338"/>
      <c r="AE433" s="2338"/>
      <c r="AF433" s="2338"/>
      <c r="AG433" s="2338"/>
      <c r="AH433" s="2338"/>
      <c r="AI433" s="2338"/>
      <c r="AJ433" s="2338"/>
      <c r="AK433" s="2338"/>
      <c r="AL433" s="2338"/>
      <c r="AM433" s="2338"/>
      <c r="AN433" s="2338"/>
      <c r="AO433" s="2338"/>
      <c r="AP433" s="2338"/>
      <c r="AQ433" s="2338"/>
      <c r="AR433" s="2338"/>
      <c r="AS433" s="2338"/>
      <c r="AT433" s="2338"/>
      <c r="AU433" s="2338"/>
      <c r="AV433" s="2338"/>
      <c r="AW433" s="2338"/>
      <c r="AX433" s="2338"/>
      <c r="AY433" s="2338"/>
      <c r="AZ433" s="2338"/>
      <c r="BA433" s="2338"/>
      <c r="BB433" s="2338"/>
      <c r="BC433" s="2338"/>
      <c r="BD433" s="2338"/>
      <c r="BE433" s="2338"/>
      <c r="BF433" s="2338"/>
      <c r="BG433" s="2338"/>
      <c r="BH433" s="2338"/>
      <c r="BI433" s="2338"/>
      <c r="BJ433" s="2338"/>
      <c r="BK433" s="2338"/>
      <c r="BL433" s="2338"/>
      <c r="BM433" s="2338"/>
      <c r="BN433" s="2338"/>
      <c r="BO433" s="2338"/>
      <c r="BP433" s="2338"/>
      <c r="BQ433" s="2338"/>
      <c r="BR433" s="2338"/>
      <c r="BS433" s="2338"/>
      <c r="BT433" s="2338"/>
      <c r="BU433" s="2338"/>
      <c r="BV433" s="2338"/>
      <c r="BW433" s="2338"/>
      <c r="BX433" s="2338"/>
      <c r="BY433" s="2338"/>
      <c r="BZ433" s="2338"/>
      <c r="CA433" s="2338"/>
      <c r="CB433" s="2338"/>
      <c r="CC433" s="2338"/>
      <c r="CD433" s="2338"/>
      <c r="CE433" s="2338"/>
      <c r="CF433" s="2338"/>
      <c r="CG433" s="2338"/>
      <c r="CH433" s="2338"/>
      <c r="CI433" s="2338"/>
      <c r="CJ433" s="2338"/>
      <c r="CK433" s="2338"/>
      <c r="CL433" s="2338"/>
      <c r="CM433" s="2338"/>
      <c r="CN433" s="2338"/>
      <c r="CO433" s="2338"/>
      <c r="CP433" s="2338"/>
      <c r="CQ433" s="2338"/>
      <c r="CR433" s="2338"/>
      <c r="CS433" s="2338"/>
      <c r="CT433" s="2338"/>
      <c r="CU433" s="2338"/>
      <c r="CV433" s="2338"/>
      <c r="CW433" s="2338"/>
      <c r="CX433" s="2338"/>
      <c r="CY433" s="2338"/>
      <c r="CZ433" s="2338"/>
      <c r="DA433" s="2338"/>
      <c r="DB433" s="2338"/>
      <c r="DC433" s="2338"/>
      <c r="DD433" s="2338"/>
      <c r="DE433" s="2338"/>
      <c r="DF433" s="2338"/>
      <c r="DG433" s="2338"/>
      <c r="DH433" s="2338"/>
      <c r="DI433" s="2338"/>
      <c r="DJ433" s="2338"/>
      <c r="DK433" s="2338"/>
      <c r="DL433" s="2338"/>
      <c r="DM433" s="2338"/>
      <c r="DN433" s="2338"/>
      <c r="DO433" s="2338"/>
    </row>
    <row r="434" spans="1:119">
      <c r="A434" s="2338"/>
      <c r="B434" s="2338"/>
      <c r="C434" s="2338"/>
      <c r="D434" s="2338"/>
      <c r="E434" s="2338"/>
      <c r="F434" s="3637"/>
      <c r="G434" s="3637"/>
      <c r="H434" s="2338"/>
      <c r="I434" s="2338"/>
      <c r="J434" s="2338"/>
      <c r="K434" s="2338"/>
      <c r="L434" s="2338"/>
      <c r="M434" s="2338"/>
      <c r="N434" s="2338"/>
      <c r="O434" s="2338"/>
      <c r="P434" s="2338"/>
      <c r="Q434" s="2338"/>
      <c r="R434" s="2338"/>
      <c r="S434" s="2338"/>
      <c r="T434" s="2338"/>
      <c r="U434" s="2338"/>
      <c r="Z434" s="2338"/>
      <c r="AA434" s="2338"/>
      <c r="AB434" s="2338"/>
      <c r="AC434" s="2338"/>
      <c r="AD434" s="2338"/>
      <c r="AE434" s="2338"/>
      <c r="AF434" s="2338"/>
      <c r="AG434" s="2338"/>
      <c r="AH434" s="2338"/>
      <c r="AI434" s="2338"/>
      <c r="AJ434" s="2338"/>
      <c r="AK434" s="2338"/>
      <c r="AL434" s="2338"/>
      <c r="AM434" s="2338"/>
      <c r="AN434" s="2338"/>
      <c r="AO434" s="2338"/>
      <c r="AP434" s="2338"/>
      <c r="AQ434" s="2338"/>
      <c r="AR434" s="2338"/>
      <c r="AS434" s="2338"/>
      <c r="AT434" s="2338"/>
      <c r="AU434" s="2338"/>
      <c r="AV434" s="2338"/>
      <c r="AW434" s="2338"/>
      <c r="AX434" s="2338"/>
      <c r="AY434" s="2338"/>
      <c r="AZ434" s="2338"/>
      <c r="BA434" s="2338"/>
      <c r="BB434" s="2338"/>
      <c r="BC434" s="2338"/>
      <c r="BD434" s="2338"/>
      <c r="BE434" s="2338"/>
      <c r="BF434" s="2338"/>
      <c r="BG434" s="2338"/>
      <c r="BH434" s="2338"/>
      <c r="BI434" s="2338"/>
      <c r="BJ434" s="2338"/>
      <c r="BK434" s="2338"/>
      <c r="BL434" s="2338"/>
      <c r="BM434" s="2338"/>
      <c r="BN434" s="2338"/>
      <c r="BO434" s="2338"/>
      <c r="BP434" s="2338"/>
      <c r="BQ434" s="2338"/>
      <c r="BR434" s="2338"/>
      <c r="BS434" s="2338"/>
      <c r="BT434" s="2338"/>
      <c r="BU434" s="2338"/>
      <c r="BV434" s="2338"/>
      <c r="BW434" s="2338"/>
      <c r="BX434" s="2338"/>
      <c r="BY434" s="2338"/>
      <c r="BZ434" s="2338"/>
      <c r="CA434" s="2338"/>
      <c r="CB434" s="2338"/>
      <c r="CC434" s="2338"/>
      <c r="CD434" s="2338"/>
      <c r="CE434" s="2338"/>
      <c r="CF434" s="2338"/>
      <c r="CG434" s="2338"/>
      <c r="CH434" s="2338"/>
      <c r="CI434" s="2338"/>
      <c r="CJ434" s="2338"/>
      <c r="CK434" s="2338"/>
      <c r="CL434" s="2338"/>
      <c r="CM434" s="2338"/>
      <c r="CN434" s="2338"/>
      <c r="CO434" s="2338"/>
      <c r="CP434" s="2338"/>
      <c r="CQ434" s="2338"/>
      <c r="CR434" s="2338"/>
      <c r="CS434" s="2338"/>
      <c r="CT434" s="2338"/>
      <c r="CU434" s="2338"/>
      <c r="CV434" s="2338"/>
      <c r="CW434" s="2338"/>
      <c r="CX434" s="2338"/>
      <c r="CY434" s="2338"/>
      <c r="CZ434" s="2338"/>
      <c r="DA434" s="2338"/>
      <c r="DB434" s="2338"/>
      <c r="DC434" s="2338"/>
      <c r="DD434" s="2338"/>
      <c r="DE434" s="2338"/>
      <c r="DF434" s="2338"/>
      <c r="DG434" s="2338"/>
      <c r="DH434" s="2338"/>
      <c r="DI434" s="2338"/>
      <c r="DJ434" s="2338"/>
      <c r="DK434" s="2338"/>
      <c r="DL434" s="2338"/>
      <c r="DM434" s="2338"/>
      <c r="DN434" s="2338"/>
      <c r="DO434" s="2338"/>
    </row>
    <row r="435" spans="1:119" ht="18.75" hidden="1" outlineLevel="1">
      <c r="E435" s="2449" t="s">
        <v>3954</v>
      </c>
      <c r="F435" s="2450"/>
      <c r="G435" s="2450"/>
      <c r="H435" s="2450"/>
      <c r="I435" s="2451"/>
      <c r="J435" s="2451"/>
      <c r="K435" s="2451"/>
      <c r="L435" s="2451"/>
      <c r="M435" s="2450"/>
      <c r="N435" s="2450"/>
      <c r="O435" s="2449" t="s">
        <v>3955</v>
      </c>
      <c r="Z435" s="2338"/>
      <c r="AA435" s="2338"/>
      <c r="AB435" s="2338"/>
      <c r="AC435" s="2338"/>
      <c r="AD435" s="2338"/>
      <c r="AE435" s="2338"/>
      <c r="AF435" s="2338"/>
      <c r="AG435" s="2338"/>
      <c r="AH435" s="2338"/>
      <c r="AI435" s="2338"/>
      <c r="AJ435" s="2338"/>
      <c r="AK435" s="2338"/>
      <c r="AL435" s="2338"/>
      <c r="AM435" s="2338"/>
      <c r="AN435" s="2338"/>
      <c r="AO435" s="2338"/>
      <c r="AP435" s="2338"/>
      <c r="AQ435" s="2338"/>
      <c r="AR435" s="2338"/>
      <c r="AS435" s="2338"/>
      <c r="AT435" s="2338"/>
      <c r="AU435" s="2338"/>
      <c r="AV435" s="2338"/>
      <c r="AW435" s="2338"/>
      <c r="AX435" s="2338"/>
      <c r="AY435" s="2338"/>
      <c r="AZ435" s="2338"/>
      <c r="BA435" s="2338"/>
      <c r="BB435" s="2338"/>
      <c r="BC435" s="2338"/>
      <c r="BD435" s="2338"/>
      <c r="BE435" s="2338"/>
      <c r="BF435" s="2338"/>
      <c r="BG435" s="2338"/>
      <c r="BH435" s="2338"/>
      <c r="BI435" s="2338"/>
      <c r="BJ435" s="2338"/>
      <c r="BK435" s="2338"/>
      <c r="BL435" s="2338"/>
      <c r="BM435" s="2338"/>
      <c r="BN435" s="2338"/>
      <c r="BO435" s="2338"/>
      <c r="BP435" s="2338"/>
      <c r="BQ435" s="2338"/>
      <c r="BR435" s="2338"/>
      <c r="BS435" s="2338"/>
      <c r="BT435" s="2338"/>
      <c r="BU435" s="2338"/>
      <c r="BV435" s="2338"/>
      <c r="BW435" s="2338"/>
      <c r="BX435" s="2338"/>
      <c r="BY435" s="2338"/>
      <c r="BZ435" s="2338"/>
      <c r="CA435" s="2338"/>
      <c r="CB435" s="2338"/>
      <c r="CC435" s="2338"/>
      <c r="CD435" s="2338"/>
      <c r="CE435" s="2338"/>
      <c r="CF435" s="2338"/>
      <c r="CG435" s="2338"/>
      <c r="CH435" s="2338"/>
      <c r="CI435" s="2338"/>
      <c r="CJ435" s="2338"/>
      <c r="CK435" s="2338"/>
      <c r="CL435" s="2338"/>
      <c r="CM435" s="2338"/>
      <c r="CN435" s="2338"/>
      <c r="CO435" s="2338"/>
      <c r="CP435" s="2338"/>
      <c r="CQ435" s="2338"/>
      <c r="CR435" s="2338"/>
      <c r="CS435" s="2338"/>
      <c r="CT435" s="2338"/>
      <c r="CU435" s="2338"/>
      <c r="CV435" s="2338"/>
      <c r="CW435" s="2338"/>
      <c r="CX435" s="2338"/>
      <c r="CY435" s="2338"/>
      <c r="CZ435" s="2338"/>
      <c r="DA435" s="2338"/>
      <c r="DB435" s="2338"/>
      <c r="DC435" s="2338"/>
      <c r="DD435" s="2338"/>
      <c r="DE435" s="2338"/>
      <c r="DF435" s="2338"/>
      <c r="DG435" s="2338"/>
      <c r="DH435" s="2338"/>
      <c r="DI435" s="2338"/>
      <c r="DJ435" s="2338"/>
      <c r="DK435" s="2338"/>
      <c r="DL435" s="2338"/>
      <c r="DM435" s="2338"/>
      <c r="DN435" s="2338"/>
      <c r="DO435" s="2338"/>
    </row>
    <row r="436" spans="1:119" ht="18.75" hidden="1" outlineLevel="1">
      <c r="E436" s="2449"/>
      <c r="F436" s="2450"/>
      <c r="G436" s="2450"/>
      <c r="H436" s="2450"/>
      <c r="I436" s="2451"/>
      <c r="J436" s="2451"/>
      <c r="K436" s="2451"/>
      <c r="L436" s="2451"/>
      <c r="M436" s="2450"/>
      <c r="N436" s="2450"/>
      <c r="O436" s="2450"/>
      <c r="Z436" s="2338"/>
      <c r="AA436" s="2338"/>
      <c r="AB436" s="2338"/>
      <c r="AC436" s="2338"/>
      <c r="AD436" s="2338"/>
      <c r="AE436" s="2338"/>
      <c r="AF436" s="2338"/>
      <c r="AG436" s="2338"/>
      <c r="AH436" s="2338"/>
      <c r="AI436" s="2338"/>
      <c r="AJ436" s="2338"/>
      <c r="AK436" s="2338"/>
      <c r="AL436" s="2338"/>
      <c r="AM436" s="2338"/>
      <c r="AN436" s="2338"/>
      <c r="AO436" s="2338"/>
      <c r="AP436" s="2338"/>
      <c r="AQ436" s="2338"/>
      <c r="AR436" s="2338"/>
      <c r="AS436" s="2338"/>
      <c r="AT436" s="2338"/>
      <c r="AU436" s="2338"/>
      <c r="AV436" s="2338"/>
      <c r="AW436" s="2338"/>
      <c r="AX436" s="2338"/>
      <c r="AY436" s="2338"/>
      <c r="AZ436" s="2338"/>
      <c r="BA436" s="2338"/>
      <c r="BB436" s="2338"/>
      <c r="BC436" s="2338"/>
      <c r="BD436" s="2338"/>
      <c r="BE436" s="2338"/>
      <c r="BF436" s="2338"/>
      <c r="BG436" s="2338"/>
      <c r="BH436" s="2338"/>
      <c r="BI436" s="2338"/>
      <c r="BJ436" s="2338"/>
      <c r="BK436" s="2338"/>
      <c r="BL436" s="2338"/>
      <c r="BM436" s="2338"/>
      <c r="BN436" s="2338"/>
      <c r="BO436" s="2338"/>
      <c r="BP436" s="2338"/>
      <c r="BQ436" s="2338"/>
      <c r="BR436" s="2338"/>
      <c r="BS436" s="2338"/>
      <c r="BT436" s="2338"/>
      <c r="BU436" s="2338"/>
      <c r="BV436" s="2338"/>
      <c r="BW436" s="2338"/>
      <c r="BX436" s="2338"/>
      <c r="BY436" s="2338"/>
      <c r="BZ436" s="2338"/>
      <c r="CA436" s="2338"/>
      <c r="CB436" s="2338"/>
      <c r="CC436" s="2338"/>
      <c r="CD436" s="2338"/>
      <c r="CE436" s="2338"/>
      <c r="CF436" s="2338"/>
      <c r="CG436" s="2338"/>
      <c r="CH436" s="2338"/>
      <c r="CI436" s="2338"/>
      <c r="CJ436" s="2338"/>
      <c r="CK436" s="2338"/>
      <c r="CL436" s="2338"/>
      <c r="CM436" s="2338"/>
      <c r="CN436" s="2338"/>
      <c r="CO436" s="2338"/>
      <c r="CP436" s="2338"/>
      <c r="CQ436" s="2338"/>
      <c r="CR436" s="2338"/>
      <c r="CS436" s="2338"/>
      <c r="CT436" s="2338"/>
      <c r="CU436" s="2338"/>
      <c r="CV436" s="2338"/>
      <c r="CW436" s="2338"/>
      <c r="CX436" s="2338"/>
      <c r="CY436" s="2338"/>
      <c r="CZ436" s="2338"/>
      <c r="DA436" s="2338"/>
      <c r="DB436" s="2338"/>
      <c r="DC436" s="2338"/>
      <c r="DD436" s="2338"/>
      <c r="DE436" s="2338"/>
      <c r="DF436" s="2338"/>
      <c r="DG436" s="2338"/>
      <c r="DH436" s="2338"/>
      <c r="DI436" s="2338"/>
      <c r="DJ436" s="2338"/>
      <c r="DK436" s="2338"/>
      <c r="DL436" s="2338"/>
      <c r="DM436" s="2338"/>
      <c r="DN436" s="2338"/>
      <c r="DO436" s="2338"/>
    </row>
    <row r="437" spans="1:119" ht="18.75" hidden="1" outlineLevel="1">
      <c r="B437" s="2449"/>
      <c r="C437" s="2450"/>
      <c r="D437" s="2450"/>
      <c r="E437" s="2449"/>
      <c r="F437" s="2450"/>
      <c r="G437" s="2450"/>
      <c r="H437" s="2450"/>
      <c r="I437" s="2451"/>
      <c r="J437" s="2451"/>
      <c r="K437" s="2451"/>
      <c r="L437" s="2451"/>
      <c r="M437" s="2450"/>
      <c r="N437" s="2450"/>
      <c r="O437" s="2450"/>
      <c r="P437"/>
      <c r="Z437" s="2338"/>
      <c r="AA437" s="2338"/>
      <c r="AB437" s="2338"/>
      <c r="AC437" s="2338"/>
      <c r="AD437" s="2338"/>
      <c r="AE437" s="2338"/>
      <c r="AF437" s="2338"/>
      <c r="AG437" s="2338"/>
      <c r="AH437" s="2338"/>
      <c r="AI437" s="2338"/>
      <c r="AJ437" s="2338"/>
      <c r="AK437" s="2338"/>
      <c r="AL437" s="2338"/>
      <c r="AM437" s="2338"/>
      <c r="AN437" s="2338"/>
      <c r="AO437" s="2338"/>
      <c r="AP437" s="2338"/>
      <c r="AQ437" s="2338"/>
      <c r="AR437" s="2338"/>
      <c r="AS437" s="2338"/>
      <c r="AT437" s="2338"/>
      <c r="AU437" s="2338"/>
      <c r="AV437" s="2338"/>
      <c r="AW437" s="2338"/>
      <c r="AX437" s="2338"/>
      <c r="AY437" s="2338"/>
      <c r="AZ437" s="2338"/>
      <c r="BA437" s="2338"/>
      <c r="BB437" s="2338"/>
      <c r="BC437" s="2338"/>
      <c r="BD437" s="2338"/>
      <c r="BE437" s="2338"/>
      <c r="BF437" s="2338"/>
      <c r="BG437" s="2338"/>
      <c r="BH437" s="2338"/>
      <c r="BI437" s="2338"/>
      <c r="BJ437" s="2338"/>
      <c r="BK437" s="2338"/>
      <c r="BL437" s="2338"/>
      <c r="BM437" s="2338"/>
      <c r="BN437" s="2338"/>
      <c r="BO437" s="2338"/>
      <c r="BP437" s="2338"/>
      <c r="BQ437" s="2338"/>
      <c r="BR437" s="2338"/>
      <c r="BS437" s="2338"/>
      <c r="BT437" s="2338"/>
      <c r="BU437" s="2338"/>
      <c r="BV437" s="2338"/>
      <c r="BW437" s="2338"/>
      <c r="BX437" s="2338"/>
      <c r="BY437" s="2338"/>
      <c r="BZ437" s="2338"/>
      <c r="CA437" s="2338"/>
      <c r="CB437" s="2338"/>
      <c r="CC437" s="2338"/>
      <c r="CD437" s="2338"/>
      <c r="CE437" s="2338"/>
      <c r="CF437" s="2338"/>
      <c r="CG437" s="2338"/>
      <c r="CH437" s="2338"/>
      <c r="CI437" s="2338"/>
      <c r="CJ437" s="2338"/>
      <c r="CK437" s="2338"/>
      <c r="CL437" s="2338"/>
      <c r="CM437" s="2338"/>
      <c r="CN437" s="2338"/>
      <c r="CO437" s="2338"/>
      <c r="CP437" s="2338"/>
      <c r="CQ437" s="2338"/>
      <c r="CR437" s="2338"/>
      <c r="CS437" s="2338"/>
      <c r="CT437" s="2338"/>
      <c r="CU437" s="2338"/>
      <c r="CV437" s="2338"/>
      <c r="CW437" s="2338"/>
      <c r="CX437" s="2338"/>
      <c r="CY437" s="2338"/>
      <c r="CZ437" s="2338"/>
      <c r="DA437" s="2338"/>
      <c r="DB437" s="2338"/>
      <c r="DC437" s="2338"/>
      <c r="DD437" s="2338"/>
      <c r="DE437" s="2338"/>
      <c r="DF437" s="2338"/>
      <c r="DG437" s="2338"/>
      <c r="DH437" s="2338"/>
      <c r="DI437" s="2338"/>
      <c r="DJ437" s="2338"/>
      <c r="DK437" s="2338"/>
      <c r="DL437" s="2338"/>
      <c r="DM437" s="2338"/>
      <c r="DN437" s="2338"/>
      <c r="DO437" s="2338"/>
    </row>
    <row r="438" spans="1:119" ht="18.75" hidden="1" outlineLevel="1">
      <c r="B438" s="2449"/>
      <c r="C438" s="2450"/>
      <c r="D438" s="2450"/>
      <c r="E438" s="2449" t="s">
        <v>3351</v>
      </c>
      <c r="F438" s="2450"/>
      <c r="G438" s="2450"/>
      <c r="H438" s="2450"/>
      <c r="I438" s="2451"/>
      <c r="J438" s="2451"/>
      <c r="K438" s="2451"/>
      <c r="L438" s="2451"/>
      <c r="M438" s="2450"/>
      <c r="N438" s="2450"/>
      <c r="O438" s="2449" t="s">
        <v>3352</v>
      </c>
      <c r="P438"/>
      <c r="Z438" s="2338"/>
      <c r="AA438" s="2338"/>
      <c r="AB438" s="2338"/>
      <c r="AC438" s="2338"/>
      <c r="AD438" s="2338"/>
      <c r="AE438" s="2338"/>
      <c r="AF438" s="2338"/>
      <c r="AG438" s="2338"/>
      <c r="AH438" s="2338"/>
      <c r="AI438" s="2338"/>
      <c r="AJ438" s="2338"/>
      <c r="AK438" s="2338"/>
      <c r="AL438" s="2338"/>
      <c r="AM438" s="2338"/>
      <c r="AN438" s="2338"/>
      <c r="AO438" s="2338"/>
      <c r="AP438" s="2338"/>
      <c r="AQ438" s="2338"/>
      <c r="AR438" s="2338"/>
      <c r="AS438" s="2338"/>
      <c r="AT438" s="2338"/>
      <c r="AU438" s="2338"/>
      <c r="AV438" s="2338"/>
      <c r="AW438" s="2338"/>
      <c r="AX438" s="2338"/>
      <c r="AY438" s="2338"/>
      <c r="AZ438" s="2338"/>
      <c r="BA438" s="2338"/>
      <c r="BB438" s="2338"/>
      <c r="BC438" s="2338"/>
      <c r="BD438" s="2338"/>
      <c r="BE438" s="2338"/>
      <c r="BF438" s="2338"/>
      <c r="BG438" s="2338"/>
      <c r="BH438" s="2338"/>
      <c r="BI438" s="2338"/>
      <c r="BJ438" s="2338"/>
      <c r="BK438" s="2338"/>
      <c r="BL438" s="2338"/>
      <c r="BM438" s="2338"/>
      <c r="BN438" s="2338"/>
      <c r="BO438" s="2338"/>
      <c r="BP438" s="2338"/>
      <c r="BQ438" s="2338"/>
      <c r="BR438" s="2338"/>
      <c r="BS438" s="2338"/>
      <c r="BT438" s="2338"/>
      <c r="BU438" s="2338"/>
      <c r="BV438" s="2338"/>
      <c r="BW438" s="2338"/>
      <c r="BX438" s="2338"/>
      <c r="BY438" s="2338"/>
      <c r="BZ438" s="2338"/>
      <c r="CA438" s="2338"/>
      <c r="CB438" s="2338"/>
      <c r="CC438" s="2338"/>
      <c r="CD438" s="2338"/>
      <c r="CE438" s="2338"/>
      <c r="CF438" s="2338"/>
      <c r="CG438" s="2338"/>
      <c r="CH438" s="2338"/>
      <c r="CI438" s="2338"/>
      <c r="CJ438" s="2338"/>
      <c r="CK438" s="2338"/>
      <c r="CL438" s="2338"/>
      <c r="CM438" s="2338"/>
      <c r="CN438" s="2338"/>
      <c r="CO438" s="2338"/>
      <c r="CP438" s="2338"/>
      <c r="CQ438" s="2338"/>
      <c r="CR438" s="2338"/>
      <c r="CS438" s="2338"/>
      <c r="CT438" s="2338"/>
      <c r="CU438" s="2338"/>
      <c r="CV438" s="2338"/>
      <c r="CW438" s="2338"/>
      <c r="CX438" s="2338"/>
      <c r="CY438" s="2338"/>
      <c r="CZ438" s="2338"/>
      <c r="DA438" s="2338"/>
      <c r="DB438" s="2338"/>
      <c r="DC438" s="2338"/>
      <c r="DD438" s="2338"/>
      <c r="DE438" s="2338"/>
      <c r="DF438" s="2338"/>
      <c r="DG438" s="2338"/>
      <c r="DH438" s="2338"/>
      <c r="DI438" s="2338"/>
      <c r="DJ438" s="2338"/>
      <c r="DK438" s="2338"/>
      <c r="DL438" s="2338"/>
      <c r="DM438" s="2338"/>
      <c r="DN438" s="2338"/>
      <c r="DO438" s="2338"/>
    </row>
    <row r="439" spans="1:119" ht="18.75" hidden="1" outlineLevel="1">
      <c r="B439" s="2449"/>
      <c r="C439" s="2450"/>
      <c r="D439" s="2450"/>
      <c r="E439" s="2449"/>
      <c r="F439" s="2450"/>
      <c r="G439" s="2450"/>
      <c r="H439" s="2450"/>
      <c r="I439" s="2451"/>
      <c r="J439" s="2451"/>
      <c r="K439" s="2451"/>
      <c r="L439" s="2451"/>
      <c r="M439" s="2450"/>
      <c r="N439" s="2450"/>
      <c r="O439" s="2450"/>
      <c r="P439"/>
      <c r="Z439" s="2338"/>
      <c r="AA439" s="2338"/>
      <c r="AB439" s="2338"/>
      <c r="AC439" s="2338"/>
      <c r="AD439" s="2338"/>
      <c r="AE439" s="2338"/>
      <c r="AF439" s="2338"/>
      <c r="AG439" s="2338"/>
      <c r="AH439" s="2338"/>
      <c r="AI439" s="2338"/>
      <c r="AJ439" s="2338"/>
      <c r="AK439" s="2338"/>
      <c r="AL439" s="2338"/>
      <c r="AM439" s="2338"/>
      <c r="AN439" s="2338"/>
      <c r="AO439" s="2338"/>
      <c r="AP439" s="2338"/>
      <c r="AQ439" s="2338"/>
      <c r="AR439" s="2338"/>
      <c r="AS439" s="2338"/>
      <c r="AT439" s="2338"/>
      <c r="AU439" s="2338"/>
      <c r="AV439" s="2338"/>
      <c r="AW439" s="2338"/>
      <c r="AX439" s="2338"/>
      <c r="AY439" s="2338"/>
      <c r="AZ439" s="2338"/>
      <c r="BA439" s="2338"/>
      <c r="BB439" s="2338"/>
      <c r="BC439" s="2338"/>
      <c r="BD439" s="2338"/>
      <c r="BE439" s="2338"/>
      <c r="BF439" s="2338"/>
      <c r="BG439" s="2338"/>
      <c r="BH439" s="2338"/>
      <c r="BI439" s="2338"/>
      <c r="BJ439" s="2338"/>
      <c r="BK439" s="2338"/>
      <c r="BL439" s="2338"/>
      <c r="BM439" s="2338"/>
      <c r="BN439" s="2338"/>
      <c r="BO439" s="2338"/>
      <c r="BP439" s="2338"/>
      <c r="BQ439" s="2338"/>
      <c r="BR439" s="2338"/>
      <c r="BS439" s="2338"/>
      <c r="BT439" s="2338"/>
      <c r="BU439" s="2338"/>
      <c r="BV439" s="2338"/>
      <c r="BW439" s="2338"/>
      <c r="BX439" s="2338"/>
      <c r="BY439" s="2338"/>
      <c r="BZ439" s="2338"/>
      <c r="CA439" s="2338"/>
      <c r="CB439" s="2338"/>
      <c r="CC439" s="2338"/>
      <c r="CD439" s="2338"/>
      <c r="CE439" s="2338"/>
      <c r="CF439" s="2338"/>
      <c r="CG439" s="2338"/>
      <c r="CH439" s="2338"/>
      <c r="CI439" s="2338"/>
      <c r="CJ439" s="2338"/>
      <c r="CK439" s="2338"/>
      <c r="CL439" s="2338"/>
      <c r="CM439" s="2338"/>
      <c r="CN439" s="2338"/>
      <c r="CO439" s="2338"/>
      <c r="CP439" s="2338"/>
      <c r="CQ439" s="2338"/>
      <c r="CR439" s="2338"/>
      <c r="CS439" s="2338"/>
      <c r="CT439" s="2338"/>
      <c r="CU439" s="2338"/>
      <c r="CV439" s="2338"/>
      <c r="CW439" s="2338"/>
      <c r="CX439" s="2338"/>
      <c r="CY439" s="2338"/>
      <c r="CZ439" s="2338"/>
      <c r="DA439" s="2338"/>
      <c r="DB439" s="2338"/>
      <c r="DC439" s="2338"/>
      <c r="DD439" s="2338"/>
      <c r="DE439" s="2338"/>
      <c r="DF439" s="2338"/>
      <c r="DG439" s="2338"/>
      <c r="DH439" s="2338"/>
      <c r="DI439" s="2338"/>
      <c r="DJ439" s="2338"/>
      <c r="DK439" s="2338"/>
      <c r="DL439" s="2338"/>
      <c r="DM439" s="2338"/>
      <c r="DN439" s="2338"/>
      <c r="DO439" s="2338"/>
    </row>
    <row r="440" spans="1:119" ht="18.75" hidden="1" outlineLevel="1">
      <c r="E440" s="2449"/>
      <c r="F440" s="2450"/>
      <c r="G440" s="2450"/>
      <c r="H440" s="2450"/>
      <c r="I440" s="2451"/>
      <c r="J440" s="2451"/>
      <c r="K440" s="2451"/>
      <c r="L440" s="2451"/>
      <c r="M440" s="2450"/>
      <c r="N440" s="2450"/>
      <c r="O440" s="2450"/>
      <c r="P440"/>
      <c r="Z440" s="2338"/>
      <c r="AA440" s="2338"/>
      <c r="AB440" s="2338"/>
      <c r="AC440" s="2338"/>
      <c r="AD440" s="2338"/>
      <c r="AE440" s="2338"/>
      <c r="AF440" s="2338"/>
      <c r="AG440" s="2338"/>
      <c r="AH440" s="2338"/>
      <c r="AI440" s="2338"/>
      <c r="AJ440" s="2338"/>
      <c r="AK440" s="2338"/>
      <c r="AL440" s="2338"/>
      <c r="AM440" s="2338"/>
      <c r="AN440" s="2338"/>
      <c r="AO440" s="2338"/>
      <c r="AP440" s="2338"/>
      <c r="AQ440" s="2338"/>
      <c r="AR440" s="2338"/>
      <c r="AS440" s="2338"/>
      <c r="AT440" s="2338"/>
      <c r="AU440" s="2338"/>
      <c r="AV440" s="2338"/>
      <c r="AW440" s="2338"/>
      <c r="AX440" s="2338"/>
      <c r="AY440" s="2338"/>
      <c r="AZ440" s="2338"/>
      <c r="BA440" s="2338"/>
      <c r="BB440" s="2338"/>
      <c r="BC440" s="2338"/>
      <c r="BD440" s="2338"/>
      <c r="BE440" s="2338"/>
      <c r="BF440" s="2338"/>
      <c r="BG440" s="2338"/>
      <c r="BH440" s="2338"/>
      <c r="BI440" s="2338"/>
      <c r="BJ440" s="2338"/>
      <c r="BK440" s="2338"/>
      <c r="BL440" s="2338"/>
      <c r="BM440" s="2338"/>
      <c r="BN440" s="2338"/>
      <c r="BO440" s="2338"/>
      <c r="BP440" s="2338"/>
      <c r="BQ440" s="2338"/>
      <c r="BR440" s="2338"/>
      <c r="BS440" s="2338"/>
      <c r="BT440" s="2338"/>
      <c r="BU440" s="2338"/>
      <c r="BV440" s="2338"/>
      <c r="BW440" s="2338"/>
      <c r="BX440" s="2338"/>
      <c r="BY440" s="2338"/>
      <c r="BZ440" s="2338"/>
      <c r="CA440" s="2338"/>
      <c r="CB440" s="2338"/>
      <c r="CC440" s="2338"/>
      <c r="CD440" s="2338"/>
      <c r="CE440" s="2338"/>
      <c r="CF440" s="2338"/>
      <c r="CG440" s="2338"/>
      <c r="CH440" s="2338"/>
      <c r="CI440" s="2338"/>
      <c r="CJ440" s="2338"/>
      <c r="CK440" s="2338"/>
      <c r="CL440" s="2338"/>
      <c r="CM440" s="2338"/>
      <c r="CN440" s="2338"/>
      <c r="CO440" s="2338"/>
      <c r="CP440" s="2338"/>
      <c r="CQ440" s="2338"/>
      <c r="CR440" s="2338"/>
      <c r="CS440" s="2338"/>
      <c r="CT440" s="2338"/>
      <c r="CU440" s="2338"/>
      <c r="CV440" s="2338"/>
      <c r="CW440" s="2338"/>
      <c r="CX440" s="2338"/>
      <c r="CY440" s="2338"/>
      <c r="CZ440" s="2338"/>
      <c r="DA440" s="2338"/>
      <c r="DB440" s="2338"/>
      <c r="DC440" s="2338"/>
      <c r="DD440" s="2338"/>
      <c r="DE440" s="2338"/>
      <c r="DF440" s="2338"/>
      <c r="DG440" s="2338"/>
      <c r="DH440" s="2338"/>
      <c r="DI440" s="2338"/>
      <c r="DJ440" s="2338"/>
      <c r="DK440" s="2338"/>
      <c r="DL440" s="2338"/>
      <c r="DM440" s="2338"/>
      <c r="DN440" s="2338"/>
      <c r="DO440" s="2338"/>
    </row>
    <row r="441" spans="1:119" ht="18.75" hidden="1" outlineLevel="1">
      <c r="B441" s="2449"/>
      <c r="C441" s="2450"/>
      <c r="D441" s="2450"/>
      <c r="E441" s="2449" t="s">
        <v>3881</v>
      </c>
      <c r="F441" s="2450"/>
      <c r="G441" s="2450"/>
      <c r="H441" s="2450"/>
      <c r="I441" s="2451"/>
      <c r="J441" s="2451"/>
      <c r="K441" s="2451"/>
      <c r="L441" s="2451"/>
      <c r="M441" s="2450"/>
      <c r="N441" s="2450"/>
      <c r="O441" s="2449" t="s">
        <v>3882</v>
      </c>
      <c r="P441"/>
      <c r="Z441" s="2338"/>
      <c r="AA441" s="2338"/>
      <c r="AB441" s="2338"/>
      <c r="AC441" s="2338"/>
      <c r="AD441" s="2338"/>
      <c r="AE441" s="2338"/>
      <c r="AF441" s="2338"/>
      <c r="AG441" s="2338"/>
      <c r="AH441" s="2338"/>
      <c r="AI441" s="2338"/>
      <c r="AJ441" s="2338"/>
      <c r="AK441" s="2338"/>
      <c r="AL441" s="2338"/>
      <c r="AM441" s="2338"/>
      <c r="AN441" s="2338"/>
      <c r="AO441" s="2338"/>
      <c r="AP441" s="2338"/>
      <c r="AQ441" s="2338"/>
      <c r="AR441" s="2338"/>
      <c r="AS441" s="2338"/>
      <c r="AT441" s="2338"/>
      <c r="AU441" s="2338"/>
      <c r="AV441" s="2338"/>
      <c r="AW441" s="2338"/>
      <c r="AX441" s="2338"/>
      <c r="AY441" s="2338"/>
      <c r="AZ441" s="2338"/>
      <c r="BA441" s="2338"/>
      <c r="BB441" s="2338"/>
      <c r="BC441" s="2338"/>
      <c r="BD441" s="2338"/>
      <c r="BE441" s="2338"/>
      <c r="BF441" s="2338"/>
      <c r="BG441" s="2338"/>
      <c r="BH441" s="2338"/>
      <c r="BI441" s="2338"/>
      <c r="BJ441" s="2338"/>
      <c r="BK441" s="2338"/>
      <c r="BL441" s="2338"/>
      <c r="BM441" s="2338"/>
      <c r="BN441" s="2338"/>
      <c r="BO441" s="2338"/>
      <c r="BP441" s="2338"/>
      <c r="BQ441" s="2338"/>
      <c r="BR441" s="2338"/>
      <c r="BS441" s="2338"/>
      <c r="BT441" s="2338"/>
      <c r="BU441" s="2338"/>
      <c r="BV441" s="2338"/>
      <c r="BW441" s="2338"/>
      <c r="BX441" s="2338"/>
      <c r="BY441" s="2338"/>
      <c r="BZ441" s="2338"/>
      <c r="CA441" s="2338"/>
      <c r="CB441" s="2338"/>
      <c r="CC441" s="2338"/>
      <c r="CD441" s="2338"/>
      <c r="CE441" s="2338"/>
      <c r="CF441" s="2338"/>
      <c r="CG441" s="2338"/>
      <c r="CH441" s="2338"/>
      <c r="CI441" s="2338"/>
      <c r="CJ441" s="2338"/>
      <c r="CK441" s="2338"/>
      <c r="CL441" s="2338"/>
      <c r="CM441" s="2338"/>
      <c r="CN441" s="2338"/>
      <c r="CO441" s="2338"/>
      <c r="CP441" s="2338"/>
      <c r="CQ441" s="2338"/>
      <c r="CR441" s="2338"/>
      <c r="CS441" s="2338"/>
      <c r="CT441" s="2338"/>
      <c r="CU441" s="2338"/>
      <c r="CV441" s="2338"/>
      <c r="CW441" s="2338"/>
      <c r="CX441" s="2338"/>
      <c r="CY441" s="2338"/>
      <c r="CZ441" s="2338"/>
      <c r="DA441" s="2338"/>
      <c r="DB441" s="2338"/>
      <c r="DC441" s="2338"/>
      <c r="DD441" s="2338"/>
      <c r="DE441" s="2338"/>
      <c r="DF441" s="2338"/>
      <c r="DG441" s="2338"/>
      <c r="DH441" s="2338"/>
      <c r="DI441" s="2338"/>
      <c r="DJ441" s="2338"/>
      <c r="DK441" s="2338"/>
      <c r="DL441" s="2338"/>
      <c r="DM441" s="2338"/>
      <c r="DN441" s="2338"/>
      <c r="DO441" s="2338"/>
    </row>
    <row r="442" spans="1:119" collapsed="1">
      <c r="P442"/>
      <c r="Z442" s="2338"/>
      <c r="AA442" s="2338"/>
      <c r="AB442" s="2338"/>
      <c r="AC442" s="2338"/>
      <c r="AD442" s="2338"/>
      <c r="AE442" s="2338"/>
      <c r="AF442" s="2338"/>
      <c r="AG442" s="2338"/>
      <c r="AH442" s="2338"/>
      <c r="AI442" s="2338"/>
      <c r="AJ442" s="2338"/>
      <c r="AK442" s="2338"/>
      <c r="AL442" s="2338"/>
      <c r="AM442" s="2338"/>
      <c r="AN442" s="2338"/>
      <c r="AO442" s="2338"/>
      <c r="AP442" s="2338"/>
      <c r="AQ442" s="2338"/>
      <c r="AR442" s="2338"/>
      <c r="AS442" s="2338"/>
      <c r="AT442" s="2338"/>
      <c r="AU442" s="2338"/>
      <c r="AV442" s="2338"/>
      <c r="AW442" s="2338"/>
      <c r="AX442" s="2338"/>
      <c r="AY442" s="2338"/>
      <c r="AZ442" s="2338"/>
      <c r="BA442" s="2338"/>
      <c r="BB442" s="2338"/>
      <c r="BC442" s="2338"/>
      <c r="BD442" s="2338"/>
      <c r="BE442" s="2338"/>
      <c r="BF442" s="2338"/>
      <c r="BG442" s="2338"/>
      <c r="BH442" s="2338"/>
      <c r="BI442" s="2338"/>
      <c r="BJ442" s="2338"/>
      <c r="BK442" s="2338"/>
      <c r="BL442" s="2338"/>
      <c r="BM442" s="2338"/>
      <c r="BN442" s="2338"/>
      <c r="BO442" s="2338"/>
      <c r="BP442" s="2338"/>
      <c r="BQ442" s="2338"/>
      <c r="BR442" s="2338"/>
      <c r="BS442" s="2338"/>
      <c r="BT442" s="2338"/>
      <c r="BU442" s="2338"/>
      <c r="BV442" s="2338"/>
      <c r="BW442" s="2338"/>
      <c r="BX442" s="2338"/>
      <c r="BY442" s="2338"/>
      <c r="BZ442" s="2338"/>
      <c r="CA442" s="2338"/>
      <c r="CB442" s="2338"/>
      <c r="CC442" s="2338"/>
      <c r="CD442" s="2338"/>
      <c r="CE442" s="2338"/>
      <c r="CF442" s="2338"/>
      <c r="CG442" s="2338"/>
      <c r="CH442" s="2338"/>
      <c r="CI442" s="2338"/>
      <c r="CJ442" s="2338"/>
      <c r="CK442" s="2338"/>
      <c r="CL442" s="2338"/>
      <c r="CM442" s="2338"/>
      <c r="CN442" s="2338"/>
      <c r="CO442" s="2338"/>
      <c r="CP442" s="2338"/>
      <c r="CQ442" s="2338"/>
      <c r="CR442" s="2338"/>
      <c r="CS442" s="2338"/>
      <c r="CT442" s="2338"/>
      <c r="CU442" s="2338"/>
      <c r="CV442" s="2338"/>
      <c r="CW442" s="2338"/>
      <c r="CX442" s="2338"/>
      <c r="CY442" s="2338"/>
      <c r="CZ442" s="2338"/>
      <c r="DA442" s="2338"/>
      <c r="DB442" s="2338"/>
      <c r="DC442" s="2338"/>
      <c r="DD442" s="2338"/>
      <c r="DE442" s="2338"/>
      <c r="DF442" s="2338"/>
      <c r="DG442" s="2338"/>
      <c r="DH442" s="2338"/>
      <c r="DI442" s="2338"/>
      <c r="DJ442" s="2338"/>
      <c r="DK442" s="2338"/>
      <c r="DL442" s="2338"/>
      <c r="DM442" s="2338"/>
      <c r="DN442" s="2338"/>
      <c r="DO442" s="2338"/>
    </row>
    <row r="443" spans="1:119">
      <c r="P443"/>
      <c r="Z443" s="2338"/>
      <c r="AA443" s="2338"/>
      <c r="AB443" s="2338"/>
      <c r="AC443" s="2338"/>
      <c r="AD443" s="2338"/>
      <c r="AE443" s="2338"/>
      <c r="AF443" s="2338"/>
      <c r="AG443" s="2338"/>
      <c r="AH443" s="2338"/>
      <c r="AI443" s="2338"/>
      <c r="AJ443" s="2338"/>
      <c r="AK443" s="2338"/>
      <c r="AL443" s="2338"/>
      <c r="AM443" s="2338"/>
      <c r="AN443" s="2338"/>
      <c r="AO443" s="2338"/>
      <c r="AP443" s="2338"/>
      <c r="AQ443" s="2338"/>
      <c r="AR443" s="2338"/>
      <c r="AS443" s="2338"/>
      <c r="AT443" s="2338"/>
      <c r="AU443" s="2338"/>
      <c r="AV443" s="2338"/>
      <c r="AW443" s="2338"/>
      <c r="AX443" s="2338"/>
      <c r="AY443" s="2338"/>
      <c r="AZ443" s="2338"/>
      <c r="BA443" s="2338"/>
      <c r="BB443" s="2338"/>
      <c r="BC443" s="2338"/>
      <c r="BD443" s="2338"/>
      <c r="BE443" s="2338"/>
      <c r="BF443" s="2338"/>
      <c r="BG443" s="2338"/>
      <c r="BH443" s="2338"/>
      <c r="BI443" s="2338"/>
      <c r="BJ443" s="2338"/>
      <c r="BK443" s="2338"/>
      <c r="BL443" s="2338"/>
      <c r="BM443" s="2338"/>
      <c r="BN443" s="2338"/>
      <c r="BO443" s="2338"/>
      <c r="BP443" s="2338"/>
      <c r="BQ443" s="2338"/>
      <c r="BR443" s="2338"/>
      <c r="BS443" s="2338"/>
      <c r="BT443" s="2338"/>
      <c r="BU443" s="2338"/>
      <c r="BV443" s="2338"/>
      <c r="BW443" s="2338"/>
      <c r="BX443" s="2338"/>
      <c r="BY443" s="2338"/>
      <c r="BZ443" s="2338"/>
      <c r="CA443" s="2338"/>
      <c r="CB443" s="2338"/>
      <c r="CC443" s="2338"/>
      <c r="CD443" s="2338"/>
      <c r="CE443" s="2338"/>
      <c r="CF443" s="2338"/>
      <c r="CG443" s="2338"/>
      <c r="CH443" s="2338"/>
      <c r="CI443" s="2338"/>
      <c r="CJ443" s="2338"/>
      <c r="CK443" s="2338"/>
      <c r="CL443" s="2338"/>
      <c r="CM443" s="2338"/>
      <c r="CN443" s="2338"/>
      <c r="CO443" s="2338"/>
      <c r="CP443" s="2338"/>
      <c r="CQ443" s="2338"/>
      <c r="CR443" s="2338"/>
      <c r="CS443" s="2338"/>
      <c r="CT443" s="2338"/>
      <c r="CU443" s="2338"/>
      <c r="CV443" s="2338"/>
      <c r="CW443" s="2338"/>
      <c r="CX443" s="2338"/>
      <c r="CY443" s="2338"/>
      <c r="CZ443" s="2338"/>
      <c r="DA443" s="2338"/>
      <c r="DB443" s="2338"/>
      <c r="DC443" s="2338"/>
      <c r="DD443" s="2338"/>
      <c r="DE443" s="2338"/>
      <c r="DF443" s="2338"/>
      <c r="DG443" s="2338"/>
      <c r="DH443" s="2338"/>
      <c r="DI443" s="2338"/>
      <c r="DJ443" s="2338"/>
      <c r="DK443" s="2338"/>
      <c r="DL443" s="2338"/>
      <c r="DM443" s="2338"/>
      <c r="DN443" s="2338"/>
      <c r="DO443" s="2338"/>
    </row>
    <row r="444" spans="1:119">
      <c r="Z444" s="2338"/>
      <c r="AA444" s="2338"/>
      <c r="AB444" s="2338"/>
      <c r="AC444" s="2338"/>
      <c r="AD444" s="2338"/>
      <c r="AE444" s="2338"/>
      <c r="AF444" s="2338"/>
      <c r="AG444" s="2338"/>
      <c r="AH444" s="2338"/>
      <c r="AI444" s="2338"/>
      <c r="AJ444" s="2338"/>
      <c r="AK444" s="2338"/>
      <c r="AL444" s="2338"/>
      <c r="AM444" s="2338"/>
      <c r="AN444" s="2338"/>
      <c r="AO444" s="2338"/>
      <c r="AP444" s="2338"/>
      <c r="AQ444" s="2338"/>
      <c r="AR444" s="2338"/>
      <c r="AS444" s="2338"/>
      <c r="AT444" s="2338"/>
      <c r="AU444" s="2338"/>
      <c r="AV444" s="2338"/>
      <c r="AW444" s="2338"/>
      <c r="AX444" s="2338"/>
      <c r="AY444" s="2338"/>
      <c r="AZ444" s="2338"/>
      <c r="BA444" s="2338"/>
      <c r="BB444" s="2338"/>
      <c r="BC444" s="2338"/>
      <c r="BD444" s="2338"/>
      <c r="BE444" s="2338"/>
      <c r="BF444" s="2338"/>
      <c r="BG444" s="2338"/>
      <c r="BH444" s="2338"/>
      <c r="BI444" s="2338"/>
      <c r="BJ444" s="2338"/>
      <c r="BK444" s="2338"/>
      <c r="BL444" s="2338"/>
      <c r="BM444" s="2338"/>
      <c r="BN444" s="2338"/>
      <c r="BO444" s="2338"/>
      <c r="BP444" s="2338"/>
      <c r="BQ444" s="2338"/>
      <c r="BR444" s="2338"/>
      <c r="BS444" s="2338"/>
      <c r="BT444" s="2338"/>
      <c r="BU444" s="2338"/>
      <c r="BV444" s="2338"/>
      <c r="BW444" s="2338"/>
      <c r="BX444" s="2338"/>
      <c r="BY444" s="2338"/>
      <c r="BZ444" s="2338"/>
      <c r="CA444" s="2338"/>
      <c r="CB444" s="2338"/>
      <c r="CC444" s="2338"/>
      <c r="CD444" s="2338"/>
      <c r="CE444" s="2338"/>
      <c r="CF444" s="2338"/>
      <c r="CG444" s="2338"/>
      <c r="CH444" s="2338"/>
      <c r="CI444" s="2338"/>
      <c r="CJ444" s="2338"/>
      <c r="CK444" s="2338"/>
      <c r="CL444" s="2338"/>
      <c r="CM444" s="2338"/>
      <c r="CN444" s="2338"/>
      <c r="CO444" s="2338"/>
      <c r="CP444" s="2338"/>
      <c r="CQ444" s="2338"/>
      <c r="CR444" s="2338"/>
      <c r="CS444" s="2338"/>
      <c r="CT444" s="2338"/>
      <c r="CU444" s="2338"/>
      <c r="CV444" s="2338"/>
      <c r="CW444" s="2338"/>
      <c r="CX444" s="2338"/>
      <c r="CY444" s="2338"/>
      <c r="CZ444" s="2338"/>
      <c r="DA444" s="2338"/>
      <c r="DB444" s="2338"/>
      <c r="DC444" s="2338"/>
      <c r="DD444" s="2338"/>
      <c r="DE444" s="2338"/>
      <c r="DF444" s="2338"/>
      <c r="DG444" s="2338"/>
      <c r="DH444" s="2338"/>
      <c r="DI444" s="2338"/>
      <c r="DJ444" s="2338"/>
      <c r="DK444" s="2338"/>
      <c r="DL444" s="2338"/>
      <c r="DM444" s="2338"/>
      <c r="DN444" s="2338"/>
      <c r="DO444" s="2338"/>
    </row>
    <row r="445" spans="1:119">
      <c r="F445" s="1118"/>
      <c r="G445" s="1118"/>
      <c r="Z445" s="2338"/>
      <c r="AA445" s="2338"/>
      <c r="AB445" s="2338"/>
      <c r="AC445" s="2338"/>
      <c r="AD445" s="2338"/>
      <c r="AE445" s="2338"/>
      <c r="AF445" s="2338"/>
      <c r="AG445" s="2338"/>
      <c r="AH445" s="2338"/>
      <c r="AI445" s="2338"/>
      <c r="AJ445" s="2338"/>
      <c r="AK445" s="2338"/>
      <c r="AL445" s="2338"/>
      <c r="AM445" s="2338"/>
      <c r="AN445" s="2338"/>
      <c r="AO445" s="2338"/>
      <c r="AP445" s="2338"/>
      <c r="AQ445" s="2338"/>
      <c r="AR445" s="2338"/>
      <c r="AS445" s="2338"/>
      <c r="AT445" s="2338"/>
      <c r="AU445" s="2338"/>
      <c r="AV445" s="2338"/>
      <c r="AW445" s="2338"/>
      <c r="AX445" s="2338"/>
      <c r="AY445" s="2338"/>
      <c r="AZ445" s="2338"/>
      <c r="BA445" s="2338"/>
      <c r="BB445" s="2338"/>
      <c r="BC445" s="2338"/>
      <c r="BD445" s="2338"/>
      <c r="BE445" s="2338"/>
      <c r="BF445" s="2338"/>
      <c r="BG445" s="2338"/>
      <c r="BH445" s="2338"/>
      <c r="BI445" s="2338"/>
      <c r="BJ445" s="2338"/>
      <c r="BK445" s="2338"/>
      <c r="BL445" s="2338"/>
      <c r="BM445" s="2338"/>
      <c r="BN445" s="2338"/>
      <c r="BO445" s="2338"/>
      <c r="BP445" s="2338"/>
      <c r="BQ445" s="2338"/>
      <c r="BR445" s="2338"/>
      <c r="BS445" s="2338"/>
      <c r="BT445" s="2338"/>
      <c r="BU445" s="2338"/>
      <c r="BV445" s="2338"/>
      <c r="BW445" s="2338"/>
      <c r="BX445" s="2338"/>
      <c r="BY445" s="2338"/>
      <c r="BZ445" s="2338"/>
      <c r="CA445" s="2338"/>
      <c r="CB445" s="2338"/>
      <c r="CC445" s="2338"/>
      <c r="CD445" s="2338"/>
      <c r="CE445" s="2338"/>
      <c r="CF445" s="2338"/>
      <c r="CG445" s="2338"/>
      <c r="CH445" s="2338"/>
      <c r="CI445" s="2338"/>
      <c r="CJ445" s="2338"/>
      <c r="CK445" s="2338"/>
      <c r="CL445" s="2338"/>
      <c r="CM445" s="2338"/>
      <c r="CN445" s="2338"/>
      <c r="CO445" s="2338"/>
      <c r="CP445" s="2338"/>
      <c r="CQ445" s="2338"/>
      <c r="CR445" s="2338"/>
      <c r="CS445" s="2338"/>
      <c r="CT445" s="2338"/>
      <c r="CU445" s="2338"/>
      <c r="CV445" s="2338"/>
      <c r="CW445" s="2338"/>
      <c r="CX445" s="2338"/>
      <c r="CY445" s="2338"/>
      <c r="CZ445" s="2338"/>
      <c r="DA445" s="2338"/>
      <c r="DB445" s="2338"/>
      <c r="DC445" s="2338"/>
      <c r="DD445" s="2338"/>
      <c r="DE445" s="2338"/>
      <c r="DF445" s="2338"/>
      <c r="DG445" s="2338"/>
      <c r="DH445" s="2338"/>
      <c r="DI445" s="2338"/>
      <c r="DJ445" s="2338"/>
      <c r="DK445" s="2338"/>
      <c r="DL445" s="2338"/>
      <c r="DM445" s="2338"/>
      <c r="DN445" s="2338"/>
      <c r="DO445" s="2338"/>
    </row>
    <row r="446" spans="1:119">
      <c r="F446" s="1118"/>
      <c r="G446" s="1118"/>
      <c r="Z446" s="2338"/>
      <c r="AA446" s="2338"/>
      <c r="AB446" s="2338"/>
      <c r="AC446" s="2338"/>
      <c r="AD446" s="2338"/>
      <c r="AE446" s="2338"/>
      <c r="AF446" s="2338"/>
      <c r="AG446" s="2338"/>
      <c r="AH446" s="2338"/>
      <c r="AI446" s="2338"/>
      <c r="AJ446" s="2338"/>
      <c r="AK446" s="2338"/>
      <c r="AL446" s="2338"/>
      <c r="AM446" s="2338"/>
      <c r="AN446" s="2338"/>
      <c r="AO446" s="2338"/>
      <c r="AP446" s="2338"/>
      <c r="AQ446" s="2338"/>
      <c r="AR446" s="2338"/>
      <c r="AS446" s="2338"/>
      <c r="AT446" s="2338"/>
      <c r="AU446" s="2338"/>
      <c r="AV446" s="2338"/>
      <c r="AW446" s="2338"/>
      <c r="AX446" s="2338"/>
      <c r="AY446" s="2338"/>
      <c r="AZ446" s="2338"/>
      <c r="BA446" s="2338"/>
      <c r="BB446" s="2338"/>
      <c r="BC446" s="2338"/>
      <c r="BD446" s="2338"/>
      <c r="BE446" s="2338"/>
      <c r="BF446" s="2338"/>
      <c r="BG446" s="2338"/>
      <c r="BH446" s="2338"/>
      <c r="BI446" s="2338"/>
      <c r="BJ446" s="2338"/>
      <c r="BK446" s="2338"/>
      <c r="BL446" s="2338"/>
      <c r="BM446" s="2338"/>
      <c r="BN446" s="2338"/>
      <c r="BO446" s="2338"/>
      <c r="BP446" s="2338"/>
      <c r="BQ446" s="2338"/>
      <c r="BR446" s="2338"/>
      <c r="BS446" s="2338"/>
      <c r="BT446" s="2338"/>
      <c r="BU446" s="2338"/>
      <c r="BV446" s="2338"/>
      <c r="BW446" s="2338"/>
      <c r="BX446" s="2338"/>
      <c r="BY446" s="2338"/>
      <c r="BZ446" s="2338"/>
      <c r="CA446" s="2338"/>
      <c r="CB446" s="2338"/>
      <c r="CC446" s="2338"/>
      <c r="CD446" s="2338"/>
      <c r="CE446" s="2338"/>
      <c r="CF446" s="2338"/>
      <c r="CG446" s="2338"/>
      <c r="CH446" s="2338"/>
      <c r="CI446" s="2338"/>
      <c r="CJ446" s="2338"/>
      <c r="CK446" s="2338"/>
      <c r="CL446" s="2338"/>
      <c r="CM446" s="2338"/>
      <c r="CN446" s="2338"/>
      <c r="CO446" s="2338"/>
      <c r="CP446" s="2338"/>
      <c r="CQ446" s="2338"/>
      <c r="CR446" s="2338"/>
      <c r="CS446" s="2338"/>
      <c r="CT446" s="2338"/>
      <c r="CU446" s="2338"/>
      <c r="CV446" s="2338"/>
      <c r="CW446" s="2338"/>
      <c r="CX446" s="2338"/>
      <c r="CY446" s="2338"/>
      <c r="CZ446" s="2338"/>
      <c r="DA446" s="2338"/>
      <c r="DB446" s="2338"/>
      <c r="DC446" s="2338"/>
      <c r="DD446" s="2338"/>
      <c r="DE446" s="2338"/>
      <c r="DF446" s="2338"/>
      <c r="DG446" s="2338"/>
      <c r="DH446" s="2338"/>
      <c r="DI446" s="2338"/>
      <c r="DJ446" s="2338"/>
      <c r="DK446" s="2338"/>
      <c r="DL446" s="2338"/>
      <c r="DM446" s="2338"/>
      <c r="DN446" s="2338"/>
      <c r="DO446" s="2338"/>
    </row>
    <row r="447" spans="1:119">
      <c r="Z447" s="2338"/>
      <c r="AA447" s="2338"/>
      <c r="AB447" s="2338"/>
      <c r="AC447" s="2338"/>
      <c r="AD447" s="2338"/>
      <c r="AE447" s="2338"/>
      <c r="AF447" s="2338"/>
      <c r="AG447" s="2338"/>
      <c r="AH447" s="2338"/>
      <c r="AI447" s="2338"/>
      <c r="AJ447" s="2338"/>
      <c r="AK447" s="2338"/>
      <c r="AL447" s="2338"/>
      <c r="AM447" s="2338"/>
      <c r="AN447" s="2338"/>
      <c r="AO447" s="2338"/>
      <c r="AP447" s="2338"/>
      <c r="AQ447" s="2338"/>
      <c r="AR447" s="2338"/>
      <c r="AS447" s="2338"/>
      <c r="AT447" s="2338"/>
      <c r="AU447" s="2338"/>
      <c r="AV447" s="2338"/>
      <c r="AW447" s="2338"/>
      <c r="AX447" s="2338"/>
      <c r="AY447" s="2338"/>
      <c r="AZ447" s="2338"/>
      <c r="BA447" s="2338"/>
      <c r="BB447" s="2338"/>
      <c r="BC447" s="2338"/>
      <c r="BD447" s="2338"/>
      <c r="BE447" s="2338"/>
      <c r="BF447" s="2338"/>
      <c r="BG447" s="2338"/>
      <c r="BH447" s="2338"/>
      <c r="BI447" s="2338"/>
      <c r="BJ447" s="2338"/>
      <c r="BK447" s="2338"/>
      <c r="BL447" s="2338"/>
      <c r="BM447" s="2338"/>
      <c r="BN447" s="2338"/>
      <c r="BO447" s="2338"/>
      <c r="BP447" s="2338"/>
      <c r="BQ447" s="2338"/>
      <c r="BR447" s="2338"/>
      <c r="BS447" s="2338"/>
      <c r="BT447" s="2338"/>
      <c r="BU447" s="2338"/>
      <c r="BV447" s="2338"/>
      <c r="BW447" s="2338"/>
      <c r="BX447" s="2338"/>
      <c r="BY447" s="2338"/>
      <c r="BZ447" s="2338"/>
      <c r="CA447" s="2338"/>
      <c r="CB447" s="2338"/>
      <c r="CC447" s="2338"/>
      <c r="CD447" s="2338"/>
      <c r="CE447" s="2338"/>
      <c r="CF447" s="2338"/>
      <c r="CG447" s="2338"/>
      <c r="CH447" s="2338"/>
      <c r="CI447" s="2338"/>
      <c r="CJ447" s="2338"/>
      <c r="CK447" s="2338"/>
      <c r="CL447" s="2338"/>
      <c r="CM447" s="2338"/>
      <c r="CN447" s="2338"/>
      <c r="CO447" s="2338"/>
      <c r="CP447" s="2338"/>
      <c r="CQ447" s="2338"/>
      <c r="CR447" s="2338"/>
      <c r="CS447" s="2338"/>
      <c r="CT447" s="2338"/>
      <c r="CU447" s="2338"/>
      <c r="CV447" s="2338"/>
      <c r="CW447" s="2338"/>
      <c r="CX447" s="2338"/>
      <c r="CY447" s="2338"/>
      <c r="CZ447" s="2338"/>
      <c r="DA447" s="2338"/>
      <c r="DB447" s="2338"/>
      <c r="DC447" s="2338"/>
      <c r="DD447" s="2338"/>
      <c r="DE447" s="2338"/>
      <c r="DF447" s="2338"/>
      <c r="DG447" s="2338"/>
      <c r="DH447" s="2338"/>
      <c r="DI447" s="2338"/>
      <c r="DJ447" s="2338"/>
      <c r="DK447" s="2338"/>
      <c r="DL447" s="2338"/>
      <c r="DM447" s="2338"/>
      <c r="DN447" s="2338"/>
      <c r="DO447" s="2338"/>
    </row>
    <row r="448" spans="1:119">
      <c r="Z448" s="2338"/>
      <c r="AA448" s="2338"/>
      <c r="AB448" s="2338"/>
      <c r="AC448" s="2338"/>
      <c r="AD448" s="2338"/>
      <c r="AE448" s="2338"/>
      <c r="AF448" s="2338"/>
      <c r="AG448" s="2338"/>
      <c r="AH448" s="2338"/>
      <c r="AI448" s="2338"/>
      <c r="AJ448" s="2338"/>
      <c r="AK448" s="2338"/>
      <c r="AL448" s="2338"/>
      <c r="AM448" s="2338"/>
      <c r="AN448" s="2338"/>
      <c r="AO448" s="2338"/>
      <c r="AP448" s="2338"/>
      <c r="AQ448" s="2338"/>
      <c r="AR448" s="2338"/>
      <c r="AS448" s="2338"/>
      <c r="AT448" s="2338"/>
      <c r="AU448" s="2338"/>
      <c r="AV448" s="2338"/>
      <c r="AW448" s="2338"/>
      <c r="AX448" s="2338"/>
      <c r="AY448" s="2338"/>
      <c r="AZ448" s="2338"/>
      <c r="BA448" s="2338"/>
      <c r="BB448" s="2338"/>
      <c r="BC448" s="2338"/>
      <c r="BD448" s="2338"/>
      <c r="BE448" s="2338"/>
      <c r="BF448" s="2338"/>
      <c r="BG448" s="2338"/>
      <c r="BH448" s="2338"/>
      <c r="BI448" s="2338"/>
      <c r="BJ448" s="2338"/>
      <c r="BK448" s="2338"/>
      <c r="BL448" s="2338"/>
      <c r="BM448" s="2338"/>
      <c r="BN448" s="2338"/>
      <c r="BO448" s="2338"/>
      <c r="BP448" s="2338"/>
      <c r="BQ448" s="2338"/>
      <c r="BR448" s="2338"/>
      <c r="BS448" s="2338"/>
      <c r="BT448" s="2338"/>
      <c r="BU448" s="2338"/>
      <c r="BV448" s="2338"/>
      <c r="BW448" s="2338"/>
      <c r="BX448" s="2338"/>
      <c r="BY448" s="2338"/>
      <c r="BZ448" s="2338"/>
      <c r="CA448" s="2338"/>
      <c r="CB448" s="2338"/>
      <c r="CC448" s="2338"/>
      <c r="CD448" s="2338"/>
      <c r="CE448" s="2338"/>
      <c r="CF448" s="2338"/>
      <c r="CG448" s="2338"/>
      <c r="CH448" s="2338"/>
      <c r="CI448" s="2338"/>
      <c r="CJ448" s="2338"/>
      <c r="CK448" s="2338"/>
      <c r="CL448" s="2338"/>
      <c r="CM448" s="2338"/>
      <c r="CN448" s="2338"/>
      <c r="CO448" s="2338"/>
      <c r="CP448" s="2338"/>
      <c r="CQ448" s="2338"/>
      <c r="CR448" s="2338"/>
      <c r="CS448" s="2338"/>
      <c r="CT448" s="2338"/>
      <c r="CU448" s="2338"/>
      <c r="CV448" s="2338"/>
      <c r="CW448" s="2338"/>
      <c r="CX448" s="2338"/>
      <c r="CY448" s="2338"/>
      <c r="CZ448" s="2338"/>
      <c r="DA448" s="2338"/>
      <c r="DB448" s="2338"/>
      <c r="DC448" s="2338"/>
      <c r="DD448" s="2338"/>
      <c r="DE448" s="2338"/>
      <c r="DF448" s="2338"/>
      <c r="DG448" s="2338"/>
      <c r="DH448" s="2338"/>
      <c r="DI448" s="2338"/>
      <c r="DJ448" s="2338"/>
      <c r="DK448" s="2338"/>
      <c r="DL448" s="2338"/>
      <c r="DM448" s="2338"/>
      <c r="DN448" s="2338"/>
      <c r="DO448" s="2338"/>
    </row>
    <row r="449" spans="26:119">
      <c r="Z449" s="2338"/>
      <c r="AA449" s="2338"/>
      <c r="AB449" s="2338"/>
      <c r="AC449" s="2338"/>
      <c r="AD449" s="2338"/>
      <c r="AE449" s="2338"/>
      <c r="AF449" s="2338"/>
      <c r="AG449" s="2338"/>
      <c r="AH449" s="2338"/>
      <c r="AI449" s="2338"/>
      <c r="AJ449" s="2338"/>
      <c r="AK449" s="2338"/>
      <c r="AL449" s="2338"/>
      <c r="AM449" s="2338"/>
      <c r="AN449" s="2338"/>
      <c r="AO449" s="2338"/>
      <c r="AP449" s="2338"/>
      <c r="AQ449" s="2338"/>
      <c r="AR449" s="2338"/>
      <c r="AS449" s="2338"/>
      <c r="AT449" s="2338"/>
      <c r="AU449" s="2338"/>
      <c r="AV449" s="2338"/>
      <c r="AW449" s="2338"/>
      <c r="AX449" s="2338"/>
      <c r="AY449" s="2338"/>
      <c r="AZ449" s="2338"/>
      <c r="BA449" s="2338"/>
      <c r="BB449" s="2338"/>
      <c r="BC449" s="2338"/>
      <c r="BD449" s="2338"/>
      <c r="BE449" s="2338"/>
      <c r="BF449" s="2338"/>
      <c r="BG449" s="2338"/>
      <c r="BH449" s="2338"/>
      <c r="BI449" s="2338"/>
      <c r="BJ449" s="2338"/>
      <c r="BK449" s="2338"/>
      <c r="BL449" s="2338"/>
      <c r="BM449" s="2338"/>
      <c r="BN449" s="2338"/>
      <c r="BO449" s="2338"/>
      <c r="BP449" s="2338"/>
      <c r="BQ449" s="2338"/>
      <c r="BR449" s="2338"/>
      <c r="BS449" s="2338"/>
      <c r="BT449" s="2338"/>
      <c r="BU449" s="2338"/>
      <c r="BV449" s="2338"/>
      <c r="BW449" s="2338"/>
      <c r="BX449" s="2338"/>
      <c r="BY449" s="2338"/>
      <c r="BZ449" s="2338"/>
      <c r="CA449" s="2338"/>
      <c r="CB449" s="2338"/>
      <c r="CC449" s="2338"/>
      <c r="CD449" s="2338"/>
      <c r="CE449" s="2338"/>
      <c r="CF449" s="2338"/>
      <c r="CG449" s="2338"/>
      <c r="CH449" s="2338"/>
      <c r="CI449" s="2338"/>
      <c r="CJ449" s="2338"/>
      <c r="CK449" s="2338"/>
      <c r="CL449" s="2338"/>
      <c r="CM449" s="2338"/>
      <c r="CN449" s="2338"/>
      <c r="CO449" s="2338"/>
      <c r="CP449" s="2338"/>
      <c r="CQ449" s="2338"/>
      <c r="CR449" s="2338"/>
      <c r="CS449" s="2338"/>
      <c r="CT449" s="2338"/>
      <c r="CU449" s="2338"/>
      <c r="CV449" s="2338"/>
      <c r="CW449" s="2338"/>
      <c r="CX449" s="2338"/>
      <c r="CY449" s="2338"/>
      <c r="CZ449" s="2338"/>
      <c r="DA449" s="2338"/>
      <c r="DB449" s="2338"/>
      <c r="DC449" s="2338"/>
      <c r="DD449" s="2338"/>
      <c r="DE449" s="2338"/>
      <c r="DF449" s="2338"/>
      <c r="DG449" s="2338"/>
      <c r="DH449" s="2338"/>
      <c r="DI449" s="2338"/>
      <c r="DJ449" s="2338"/>
      <c r="DK449" s="2338"/>
      <c r="DL449" s="2338"/>
      <c r="DM449" s="2338"/>
      <c r="DN449" s="2338"/>
      <c r="DO449" s="2338"/>
    </row>
    <row r="450" spans="26:119">
      <c r="Z450" s="2338"/>
      <c r="AA450" s="2338"/>
      <c r="AB450" s="2338"/>
      <c r="AC450" s="2338"/>
      <c r="AD450" s="2338"/>
      <c r="AE450" s="2338"/>
      <c r="AF450" s="2338"/>
      <c r="AG450" s="2338"/>
      <c r="AH450" s="2338"/>
      <c r="AI450" s="2338"/>
      <c r="AJ450" s="2338"/>
      <c r="AK450" s="2338"/>
      <c r="AL450" s="2338"/>
      <c r="AM450" s="2338"/>
      <c r="AN450" s="2338"/>
      <c r="AO450" s="2338"/>
      <c r="AP450" s="2338"/>
      <c r="AQ450" s="2338"/>
      <c r="AR450" s="2338"/>
      <c r="AS450" s="2338"/>
      <c r="AT450" s="2338"/>
      <c r="AU450" s="2338"/>
      <c r="AV450" s="2338"/>
      <c r="AW450" s="2338"/>
      <c r="AX450" s="2338"/>
      <c r="AY450" s="2338"/>
      <c r="AZ450" s="2338"/>
      <c r="BA450" s="2338"/>
      <c r="BB450" s="2338"/>
      <c r="BC450" s="2338"/>
      <c r="BD450" s="2338"/>
      <c r="BE450" s="2338"/>
      <c r="BF450" s="2338"/>
      <c r="BG450" s="2338"/>
      <c r="BH450" s="2338"/>
      <c r="BI450" s="2338"/>
      <c r="BJ450" s="2338"/>
      <c r="BK450" s="2338"/>
      <c r="BL450" s="2338"/>
      <c r="BM450" s="2338"/>
      <c r="BN450" s="2338"/>
      <c r="BO450" s="2338"/>
      <c r="BP450" s="2338"/>
      <c r="BQ450" s="2338"/>
      <c r="BR450" s="2338"/>
      <c r="BS450" s="2338"/>
      <c r="BT450" s="2338"/>
      <c r="BU450" s="2338"/>
      <c r="BV450" s="2338"/>
      <c r="BW450" s="2338"/>
      <c r="BX450" s="2338"/>
      <c r="BY450" s="2338"/>
      <c r="BZ450" s="2338"/>
      <c r="CA450" s="2338"/>
      <c r="CB450" s="2338"/>
      <c r="CC450" s="2338"/>
      <c r="CD450" s="2338"/>
      <c r="CE450" s="2338"/>
      <c r="CF450" s="2338"/>
      <c r="CG450" s="2338"/>
      <c r="CH450" s="2338"/>
      <c r="CI450" s="2338"/>
      <c r="CJ450" s="2338"/>
      <c r="CK450" s="2338"/>
      <c r="CL450" s="2338"/>
      <c r="CM450" s="2338"/>
      <c r="CN450" s="2338"/>
      <c r="CO450" s="2338"/>
      <c r="CP450" s="2338"/>
      <c r="CQ450" s="2338"/>
      <c r="CR450" s="2338"/>
      <c r="CS450" s="2338"/>
      <c r="CT450" s="2338"/>
      <c r="CU450" s="2338"/>
      <c r="CV450" s="2338"/>
      <c r="CW450" s="2338"/>
      <c r="CX450" s="2338"/>
      <c r="CY450" s="2338"/>
      <c r="CZ450" s="2338"/>
      <c r="DA450" s="2338"/>
      <c r="DB450" s="2338"/>
      <c r="DC450" s="2338"/>
      <c r="DD450" s="2338"/>
      <c r="DE450" s="2338"/>
      <c r="DF450" s="2338"/>
      <c r="DG450" s="2338"/>
      <c r="DH450" s="2338"/>
      <c r="DI450" s="2338"/>
      <c r="DJ450" s="2338"/>
      <c r="DK450" s="2338"/>
      <c r="DL450" s="2338"/>
      <c r="DM450" s="2338"/>
      <c r="DN450" s="2338"/>
      <c r="DO450" s="2338"/>
    </row>
    <row r="451" spans="26:119">
      <c r="Z451" s="2338"/>
      <c r="AA451" s="2338"/>
      <c r="AB451" s="2338"/>
      <c r="AC451" s="2338"/>
      <c r="AD451" s="2338"/>
      <c r="AE451" s="2338"/>
      <c r="AF451" s="2338"/>
      <c r="AG451" s="2338"/>
      <c r="AH451" s="2338"/>
      <c r="AI451" s="2338"/>
      <c r="AJ451" s="2338"/>
      <c r="AK451" s="2338"/>
      <c r="AL451" s="2338"/>
      <c r="AM451" s="2338"/>
      <c r="AN451" s="2338"/>
      <c r="AO451" s="2338"/>
      <c r="AP451" s="2338"/>
      <c r="AQ451" s="2338"/>
      <c r="AR451" s="2338"/>
      <c r="AS451" s="2338"/>
      <c r="AT451" s="2338"/>
      <c r="AU451" s="2338"/>
      <c r="AV451" s="2338"/>
      <c r="AW451" s="2338"/>
      <c r="AX451" s="2338"/>
      <c r="AY451" s="2338"/>
      <c r="AZ451" s="2338"/>
      <c r="BA451" s="2338"/>
      <c r="BB451" s="2338"/>
      <c r="BC451" s="2338"/>
      <c r="BD451" s="2338"/>
      <c r="BE451" s="2338"/>
      <c r="BF451" s="2338"/>
      <c r="BG451" s="2338"/>
      <c r="BH451" s="2338"/>
      <c r="BI451" s="2338"/>
      <c r="BJ451" s="2338"/>
      <c r="BK451" s="2338"/>
      <c r="BL451" s="2338"/>
      <c r="BM451" s="2338"/>
      <c r="BN451" s="2338"/>
      <c r="BO451" s="2338"/>
      <c r="BP451" s="2338"/>
      <c r="BQ451" s="2338"/>
      <c r="BR451" s="2338"/>
      <c r="BS451" s="2338"/>
      <c r="BT451" s="2338"/>
      <c r="BU451" s="2338"/>
      <c r="BV451" s="2338"/>
      <c r="BW451" s="2338"/>
      <c r="BX451" s="2338"/>
      <c r="BY451" s="2338"/>
      <c r="BZ451" s="2338"/>
      <c r="CA451" s="2338"/>
      <c r="CB451" s="2338"/>
      <c r="CC451" s="2338"/>
      <c r="CD451" s="2338"/>
      <c r="CE451" s="2338"/>
      <c r="CF451" s="2338"/>
      <c r="CG451" s="2338"/>
      <c r="CH451" s="2338"/>
      <c r="CI451" s="2338"/>
      <c r="CJ451" s="2338"/>
      <c r="CK451" s="2338"/>
      <c r="CL451" s="2338"/>
      <c r="CM451" s="2338"/>
      <c r="CN451" s="2338"/>
      <c r="CO451" s="2338"/>
      <c r="CP451" s="2338"/>
      <c r="CQ451" s="2338"/>
      <c r="CR451" s="2338"/>
      <c r="CS451" s="2338"/>
      <c r="CT451" s="2338"/>
      <c r="CU451" s="2338"/>
      <c r="CV451" s="2338"/>
      <c r="CW451" s="2338"/>
      <c r="CX451" s="2338"/>
      <c r="CY451" s="2338"/>
      <c r="CZ451" s="2338"/>
      <c r="DA451" s="2338"/>
      <c r="DB451" s="2338"/>
      <c r="DC451" s="2338"/>
      <c r="DD451" s="2338"/>
      <c r="DE451" s="2338"/>
      <c r="DF451" s="2338"/>
      <c r="DG451" s="2338"/>
      <c r="DH451" s="2338"/>
      <c r="DI451" s="2338"/>
      <c r="DJ451" s="2338"/>
      <c r="DK451" s="2338"/>
      <c r="DL451" s="2338"/>
      <c r="DM451" s="2338"/>
      <c r="DN451" s="2338"/>
      <c r="DO451" s="2338"/>
    </row>
    <row r="452" spans="26:119">
      <c r="Z452" s="2338"/>
      <c r="AA452" s="2338"/>
      <c r="AB452" s="2338"/>
      <c r="AC452" s="2338"/>
      <c r="AD452" s="2338"/>
      <c r="AE452" s="2338"/>
      <c r="AF452" s="2338"/>
      <c r="AG452" s="2338"/>
      <c r="AH452" s="2338"/>
      <c r="AI452" s="2338"/>
      <c r="AJ452" s="2338"/>
      <c r="AK452" s="2338"/>
      <c r="AL452" s="2338"/>
      <c r="AM452" s="2338"/>
      <c r="AN452" s="2338"/>
      <c r="AO452" s="2338"/>
      <c r="AP452" s="2338"/>
      <c r="AQ452" s="2338"/>
      <c r="AR452" s="2338"/>
      <c r="AS452" s="2338"/>
      <c r="AT452" s="2338"/>
      <c r="AU452" s="2338"/>
      <c r="AV452" s="2338"/>
      <c r="AW452" s="2338"/>
      <c r="AX452" s="2338"/>
      <c r="AY452" s="2338"/>
      <c r="AZ452" s="2338"/>
      <c r="BA452" s="2338"/>
      <c r="BB452" s="2338"/>
      <c r="BC452" s="2338"/>
      <c r="BD452" s="2338"/>
      <c r="BE452" s="2338"/>
      <c r="BF452" s="2338"/>
      <c r="BG452" s="2338"/>
      <c r="BH452" s="2338"/>
      <c r="BI452" s="2338"/>
      <c r="BJ452" s="2338"/>
      <c r="BK452" s="2338"/>
      <c r="BL452" s="2338"/>
      <c r="BM452" s="2338"/>
      <c r="BN452" s="2338"/>
      <c r="BO452" s="2338"/>
      <c r="BP452" s="2338"/>
      <c r="BQ452" s="2338"/>
      <c r="BR452" s="2338"/>
      <c r="BS452" s="2338"/>
      <c r="BT452" s="2338"/>
      <c r="BU452" s="2338"/>
      <c r="BV452" s="2338"/>
      <c r="BW452" s="2338"/>
      <c r="BX452" s="2338"/>
      <c r="BY452" s="2338"/>
      <c r="BZ452" s="2338"/>
      <c r="CA452" s="2338"/>
      <c r="CB452" s="2338"/>
      <c r="CC452" s="2338"/>
      <c r="CD452" s="2338"/>
      <c r="CE452" s="2338"/>
      <c r="CF452" s="2338"/>
      <c r="CG452" s="2338"/>
      <c r="CH452" s="2338"/>
      <c r="CI452" s="2338"/>
      <c r="CJ452" s="2338"/>
      <c r="CK452" s="2338"/>
      <c r="CL452" s="2338"/>
      <c r="CM452" s="2338"/>
      <c r="CN452" s="2338"/>
      <c r="CO452" s="2338"/>
      <c r="CP452" s="2338"/>
      <c r="CQ452" s="2338"/>
      <c r="CR452" s="2338"/>
      <c r="CS452" s="2338"/>
      <c r="CT452" s="2338"/>
      <c r="CU452" s="2338"/>
      <c r="CV452" s="2338"/>
      <c r="CW452" s="2338"/>
      <c r="CX452" s="2338"/>
      <c r="CY452" s="2338"/>
      <c r="CZ452" s="2338"/>
      <c r="DA452" s="2338"/>
      <c r="DB452" s="2338"/>
      <c r="DC452" s="2338"/>
      <c r="DD452" s="2338"/>
      <c r="DE452" s="2338"/>
      <c r="DF452" s="2338"/>
      <c r="DG452" s="2338"/>
      <c r="DH452" s="2338"/>
      <c r="DI452" s="2338"/>
      <c r="DJ452" s="2338"/>
      <c r="DK452" s="2338"/>
      <c r="DL452" s="2338"/>
      <c r="DM452" s="2338"/>
      <c r="DN452" s="2338"/>
      <c r="DO452" s="2338"/>
    </row>
    <row r="453" spans="26:119">
      <c r="Z453" s="2338"/>
      <c r="AA453" s="2338"/>
      <c r="AB453" s="2338"/>
      <c r="AC453" s="2338"/>
      <c r="AD453" s="2338"/>
      <c r="AE453" s="2338"/>
      <c r="AF453" s="2338"/>
      <c r="AG453" s="2338"/>
      <c r="AH453" s="2338"/>
      <c r="AI453" s="2338"/>
      <c r="AJ453" s="2338"/>
      <c r="AK453" s="2338"/>
      <c r="AL453" s="2338"/>
      <c r="AM453" s="2338"/>
      <c r="AN453" s="2338"/>
      <c r="AO453" s="2338"/>
      <c r="AP453" s="2338"/>
      <c r="AQ453" s="2338"/>
      <c r="AR453" s="2338"/>
      <c r="AS453" s="2338"/>
      <c r="AT453" s="2338"/>
      <c r="AU453" s="2338"/>
      <c r="AV453" s="2338"/>
      <c r="AW453" s="2338"/>
      <c r="AX453" s="2338"/>
      <c r="AY453" s="2338"/>
      <c r="AZ453" s="2338"/>
      <c r="BA453" s="2338"/>
      <c r="BB453" s="2338"/>
      <c r="BC453" s="2338"/>
      <c r="BD453" s="2338"/>
      <c r="BE453" s="2338"/>
      <c r="BF453" s="2338"/>
      <c r="BG453" s="2338"/>
      <c r="BH453" s="2338"/>
      <c r="BI453" s="2338"/>
      <c r="BJ453" s="2338"/>
      <c r="BK453" s="2338"/>
      <c r="BL453" s="2338"/>
      <c r="BM453" s="2338"/>
      <c r="BN453" s="2338"/>
      <c r="BO453" s="2338"/>
      <c r="BP453" s="2338"/>
      <c r="BQ453" s="2338"/>
      <c r="BR453" s="2338"/>
      <c r="BS453" s="2338"/>
      <c r="BT453" s="2338"/>
      <c r="BU453" s="2338"/>
      <c r="BV453" s="2338"/>
      <c r="BW453" s="2338"/>
      <c r="BX453" s="2338"/>
      <c r="BY453" s="2338"/>
      <c r="BZ453" s="2338"/>
      <c r="CA453" s="2338"/>
      <c r="CB453" s="2338"/>
      <c r="CC453" s="2338"/>
      <c r="CD453" s="2338"/>
      <c r="CE453" s="2338"/>
      <c r="CF453" s="2338"/>
      <c r="CG453" s="2338"/>
      <c r="CH453" s="2338"/>
      <c r="CI453" s="2338"/>
      <c r="CJ453" s="2338"/>
      <c r="CK453" s="2338"/>
      <c r="CL453" s="2338"/>
      <c r="CM453" s="2338"/>
      <c r="CN453" s="2338"/>
      <c r="CO453" s="2338"/>
      <c r="CP453" s="2338"/>
      <c r="CQ453" s="2338"/>
      <c r="CR453" s="2338"/>
      <c r="CS453" s="2338"/>
      <c r="CT453" s="2338"/>
      <c r="CU453" s="2338"/>
      <c r="CV453" s="2338"/>
      <c r="CW453" s="2338"/>
      <c r="CX453" s="2338"/>
      <c r="CY453" s="2338"/>
      <c r="CZ453" s="2338"/>
      <c r="DA453" s="2338"/>
      <c r="DB453" s="2338"/>
      <c r="DC453" s="2338"/>
      <c r="DD453" s="2338"/>
      <c r="DE453" s="2338"/>
      <c r="DF453" s="2338"/>
      <c r="DG453" s="2338"/>
      <c r="DH453" s="2338"/>
      <c r="DI453" s="2338"/>
      <c r="DJ453" s="2338"/>
      <c r="DK453" s="2338"/>
      <c r="DL453" s="2338"/>
      <c r="DM453" s="2338"/>
      <c r="DN453" s="2338"/>
      <c r="DO453" s="2338"/>
    </row>
    <row r="454" spans="26:119">
      <c r="Z454" s="2338"/>
      <c r="AA454" s="2338"/>
      <c r="AB454" s="2338"/>
      <c r="AC454" s="2338"/>
      <c r="AD454" s="2338"/>
      <c r="AE454" s="2338"/>
      <c r="AF454" s="2338"/>
      <c r="AG454" s="2338"/>
      <c r="AH454" s="2338"/>
      <c r="AI454" s="2338"/>
      <c r="AJ454" s="2338"/>
      <c r="AK454" s="2338"/>
      <c r="AL454" s="2338"/>
      <c r="AM454" s="2338"/>
      <c r="AN454" s="2338"/>
      <c r="AO454" s="2338"/>
      <c r="AP454" s="2338"/>
      <c r="AQ454" s="2338"/>
      <c r="AR454" s="2338"/>
      <c r="AS454" s="2338"/>
      <c r="AT454" s="2338"/>
      <c r="AU454" s="2338"/>
      <c r="AV454" s="2338"/>
      <c r="AW454" s="2338"/>
      <c r="AX454" s="2338"/>
      <c r="AY454" s="2338"/>
      <c r="AZ454" s="2338"/>
      <c r="BA454" s="2338"/>
      <c r="BB454" s="2338"/>
      <c r="BC454" s="2338"/>
      <c r="BD454" s="2338"/>
      <c r="BE454" s="2338"/>
      <c r="BF454" s="2338"/>
      <c r="BG454" s="2338"/>
      <c r="BH454" s="2338"/>
      <c r="BI454" s="2338"/>
      <c r="BJ454" s="2338"/>
      <c r="BK454" s="2338"/>
      <c r="BL454" s="2338"/>
      <c r="BM454" s="2338"/>
      <c r="BN454" s="2338"/>
      <c r="BO454" s="2338"/>
      <c r="BP454" s="2338"/>
      <c r="BQ454" s="2338"/>
      <c r="BR454" s="2338"/>
      <c r="BS454" s="2338"/>
      <c r="BT454" s="2338"/>
      <c r="BU454" s="2338"/>
      <c r="BV454" s="2338"/>
      <c r="BW454" s="2338"/>
      <c r="BX454" s="2338"/>
      <c r="BY454" s="2338"/>
      <c r="BZ454" s="2338"/>
      <c r="CA454" s="2338"/>
      <c r="CB454" s="2338"/>
      <c r="CC454" s="2338"/>
      <c r="CD454" s="2338"/>
      <c r="CE454" s="2338"/>
      <c r="CF454" s="2338"/>
      <c r="CG454" s="2338"/>
      <c r="CH454" s="2338"/>
      <c r="CI454" s="2338"/>
      <c r="CJ454" s="2338"/>
      <c r="CK454" s="2338"/>
      <c r="CL454" s="2338"/>
      <c r="CM454" s="2338"/>
      <c r="CN454" s="2338"/>
      <c r="CO454" s="2338"/>
      <c r="CP454" s="2338"/>
      <c r="CQ454" s="2338"/>
      <c r="CR454" s="2338"/>
      <c r="CS454" s="2338"/>
      <c r="CT454" s="2338"/>
      <c r="CU454" s="2338"/>
      <c r="CV454" s="2338"/>
      <c r="CW454" s="2338"/>
      <c r="CX454" s="2338"/>
      <c r="CY454" s="2338"/>
      <c r="CZ454" s="2338"/>
      <c r="DA454" s="2338"/>
      <c r="DB454" s="2338"/>
      <c r="DC454" s="2338"/>
      <c r="DD454" s="2338"/>
      <c r="DE454" s="2338"/>
      <c r="DF454" s="2338"/>
      <c r="DG454" s="2338"/>
      <c r="DH454" s="2338"/>
      <c r="DI454" s="2338"/>
      <c r="DJ454" s="2338"/>
      <c r="DK454" s="2338"/>
      <c r="DL454" s="2338"/>
      <c r="DM454" s="2338"/>
      <c r="DN454" s="2338"/>
      <c r="DO454" s="2338"/>
    </row>
    <row r="455" spans="26:119">
      <c r="Z455" s="2338"/>
      <c r="AA455" s="2338"/>
      <c r="AB455" s="2338"/>
      <c r="AC455" s="2338"/>
      <c r="AD455" s="2338"/>
      <c r="AE455" s="2338"/>
      <c r="AF455" s="2338"/>
      <c r="AG455" s="2338"/>
      <c r="AH455" s="2338"/>
      <c r="AI455" s="2338"/>
      <c r="AJ455" s="2338"/>
      <c r="AK455" s="2338"/>
      <c r="AL455" s="2338"/>
      <c r="AM455" s="2338"/>
      <c r="AN455" s="2338"/>
      <c r="AO455" s="2338"/>
      <c r="AP455" s="2338"/>
      <c r="AQ455" s="2338"/>
      <c r="AR455" s="2338"/>
      <c r="AS455" s="2338"/>
      <c r="AT455" s="2338"/>
      <c r="AU455" s="2338"/>
      <c r="AV455" s="2338"/>
      <c r="AW455" s="2338"/>
      <c r="AX455" s="2338"/>
      <c r="AY455" s="2338"/>
      <c r="AZ455" s="2338"/>
      <c r="BA455" s="2338"/>
      <c r="BB455" s="2338"/>
      <c r="BC455" s="2338"/>
      <c r="BD455" s="2338"/>
      <c r="BE455" s="2338"/>
      <c r="BF455" s="2338"/>
      <c r="BG455" s="2338"/>
      <c r="BH455" s="2338"/>
      <c r="BI455" s="2338"/>
      <c r="BJ455" s="2338"/>
      <c r="BK455" s="2338"/>
      <c r="BL455" s="2338"/>
      <c r="BM455" s="2338"/>
      <c r="BN455" s="2338"/>
      <c r="BO455" s="2338"/>
      <c r="BP455" s="2338"/>
      <c r="BQ455" s="2338"/>
      <c r="BR455" s="2338"/>
      <c r="BS455" s="2338"/>
      <c r="BT455" s="2338"/>
      <c r="BU455" s="2338"/>
      <c r="BV455" s="2338"/>
      <c r="BW455" s="2338"/>
      <c r="BX455" s="2338"/>
      <c r="BY455" s="2338"/>
      <c r="BZ455" s="2338"/>
      <c r="CA455" s="2338"/>
      <c r="CB455" s="2338"/>
      <c r="CC455" s="2338"/>
      <c r="CD455" s="2338"/>
      <c r="CE455" s="2338"/>
      <c r="CF455" s="2338"/>
      <c r="CG455" s="2338"/>
      <c r="CH455" s="2338"/>
      <c r="CI455" s="2338"/>
      <c r="CJ455" s="2338"/>
      <c r="CK455" s="2338"/>
      <c r="CL455" s="2338"/>
      <c r="CM455" s="2338"/>
      <c r="CN455" s="2338"/>
      <c r="CO455" s="2338"/>
      <c r="CP455" s="2338"/>
      <c r="CQ455" s="2338"/>
      <c r="CR455" s="2338"/>
      <c r="CS455" s="2338"/>
      <c r="CT455" s="2338"/>
      <c r="CU455" s="2338"/>
      <c r="CV455" s="2338"/>
      <c r="CW455" s="2338"/>
      <c r="CX455" s="2338"/>
      <c r="CY455" s="2338"/>
      <c r="CZ455" s="2338"/>
      <c r="DA455" s="2338"/>
      <c r="DB455" s="2338"/>
      <c r="DC455" s="2338"/>
      <c r="DD455" s="2338"/>
      <c r="DE455" s="2338"/>
      <c r="DF455" s="2338"/>
      <c r="DG455" s="2338"/>
      <c r="DH455" s="2338"/>
      <c r="DI455" s="2338"/>
      <c r="DJ455" s="2338"/>
      <c r="DK455" s="2338"/>
      <c r="DL455" s="2338"/>
      <c r="DM455" s="2338"/>
      <c r="DN455" s="2338"/>
      <c r="DO455" s="2338"/>
    </row>
    <row r="456" spans="26:119">
      <c r="Z456" s="2338"/>
      <c r="AA456" s="2338"/>
      <c r="AB456" s="2338"/>
      <c r="AC456" s="2338"/>
      <c r="AD456" s="2338"/>
      <c r="AE456" s="2338"/>
      <c r="AF456" s="2338"/>
      <c r="AG456" s="2338"/>
      <c r="AH456" s="2338"/>
      <c r="AI456" s="2338"/>
      <c r="AJ456" s="2338"/>
      <c r="AK456" s="2338"/>
      <c r="AL456" s="2338"/>
      <c r="AM456" s="2338"/>
      <c r="AN456" s="2338"/>
      <c r="AO456" s="2338"/>
      <c r="AP456" s="2338"/>
      <c r="AQ456" s="2338"/>
      <c r="AR456" s="2338"/>
      <c r="AS456" s="2338"/>
      <c r="AT456" s="2338"/>
      <c r="AU456" s="2338"/>
      <c r="AV456" s="2338"/>
      <c r="AW456" s="2338"/>
      <c r="AX456" s="2338"/>
      <c r="AY456" s="2338"/>
      <c r="AZ456" s="2338"/>
      <c r="BA456" s="2338"/>
      <c r="BB456" s="2338"/>
      <c r="BC456" s="2338"/>
      <c r="BD456" s="2338"/>
      <c r="BE456" s="2338"/>
      <c r="BF456" s="2338"/>
      <c r="BG456" s="2338"/>
      <c r="BH456" s="2338"/>
      <c r="BI456" s="2338"/>
      <c r="BJ456" s="2338"/>
      <c r="BK456" s="2338"/>
      <c r="BL456" s="2338"/>
      <c r="BM456" s="2338"/>
      <c r="BN456" s="2338"/>
      <c r="BO456" s="2338"/>
      <c r="BP456" s="2338"/>
      <c r="BQ456" s="2338"/>
      <c r="BR456" s="2338"/>
      <c r="BS456" s="2338"/>
      <c r="BT456" s="2338"/>
      <c r="BU456" s="2338"/>
      <c r="BV456" s="2338"/>
      <c r="BW456" s="2338"/>
      <c r="BX456" s="2338"/>
      <c r="BY456" s="2338"/>
      <c r="BZ456" s="2338"/>
      <c r="CA456" s="2338"/>
      <c r="CB456" s="2338"/>
      <c r="CC456" s="2338"/>
      <c r="CD456" s="2338"/>
      <c r="CE456" s="2338"/>
      <c r="CF456" s="2338"/>
      <c r="CG456" s="2338"/>
      <c r="CH456" s="2338"/>
      <c r="CI456" s="2338"/>
      <c r="CJ456" s="2338"/>
      <c r="CK456" s="2338"/>
      <c r="CL456" s="2338"/>
      <c r="CM456" s="2338"/>
      <c r="CN456" s="2338"/>
      <c r="CO456" s="2338"/>
      <c r="CP456" s="2338"/>
      <c r="CQ456" s="2338"/>
      <c r="CR456" s="2338"/>
      <c r="CS456" s="2338"/>
      <c r="CT456" s="2338"/>
      <c r="CU456" s="2338"/>
      <c r="CV456" s="2338"/>
      <c r="CW456" s="2338"/>
      <c r="CX456" s="2338"/>
      <c r="CY456" s="2338"/>
      <c r="CZ456" s="2338"/>
      <c r="DA456" s="2338"/>
      <c r="DB456" s="2338"/>
      <c r="DC456" s="2338"/>
      <c r="DD456" s="2338"/>
      <c r="DE456" s="2338"/>
      <c r="DF456" s="2338"/>
      <c r="DG456" s="2338"/>
      <c r="DH456" s="2338"/>
      <c r="DI456" s="2338"/>
      <c r="DJ456" s="2338"/>
      <c r="DK456" s="2338"/>
      <c r="DL456" s="2338"/>
      <c r="DM456" s="2338"/>
      <c r="DN456" s="2338"/>
      <c r="DO456" s="2338"/>
    </row>
    <row r="457" spans="26:119">
      <c r="Z457" s="2338"/>
      <c r="AA457" s="2338"/>
      <c r="AB457" s="2338"/>
      <c r="AC457" s="2338"/>
      <c r="AD457" s="2338"/>
      <c r="AE457" s="2338"/>
      <c r="AF457" s="2338"/>
      <c r="AG457" s="2338"/>
      <c r="AH457" s="2338"/>
      <c r="AI457" s="2338"/>
      <c r="AJ457" s="2338"/>
      <c r="AK457" s="2338"/>
      <c r="AL457" s="2338"/>
      <c r="AM457" s="2338"/>
      <c r="AN457" s="2338"/>
      <c r="AO457" s="2338"/>
      <c r="AP457" s="2338"/>
      <c r="AQ457" s="2338"/>
      <c r="AR457" s="2338"/>
      <c r="AS457" s="2338"/>
      <c r="AT457" s="2338"/>
      <c r="AU457" s="2338"/>
      <c r="AV457" s="2338"/>
      <c r="AW457" s="2338"/>
      <c r="AX457" s="2338"/>
      <c r="AY457" s="2338"/>
      <c r="AZ457" s="2338"/>
      <c r="BA457" s="2338"/>
      <c r="BB457" s="2338"/>
      <c r="BC457" s="2338"/>
      <c r="BD457" s="2338"/>
      <c r="BE457" s="2338"/>
      <c r="BF457" s="2338"/>
      <c r="BG457" s="2338"/>
      <c r="BH457" s="2338"/>
      <c r="BI457" s="2338"/>
      <c r="BJ457" s="2338"/>
      <c r="BK457" s="2338"/>
      <c r="BL457" s="2338"/>
      <c r="BM457" s="2338"/>
      <c r="BN457" s="2338"/>
      <c r="BO457" s="2338"/>
      <c r="BP457" s="2338"/>
      <c r="BQ457" s="2338"/>
      <c r="BR457" s="2338"/>
      <c r="BS457" s="2338"/>
      <c r="BT457" s="2338"/>
      <c r="BU457" s="2338"/>
      <c r="BV457" s="2338"/>
      <c r="BW457" s="2338"/>
      <c r="BX457" s="2338"/>
      <c r="BY457" s="2338"/>
      <c r="BZ457" s="2338"/>
      <c r="CA457" s="2338"/>
      <c r="CB457" s="2338"/>
      <c r="CC457" s="2338"/>
      <c r="CD457" s="2338"/>
      <c r="CE457" s="2338"/>
      <c r="CF457" s="2338"/>
      <c r="CG457" s="2338"/>
      <c r="CH457" s="2338"/>
      <c r="CI457" s="2338"/>
      <c r="CJ457" s="2338"/>
      <c r="CK457" s="2338"/>
      <c r="CL457" s="2338"/>
      <c r="CM457" s="2338"/>
      <c r="CN457" s="2338"/>
      <c r="CO457" s="2338"/>
      <c r="CP457" s="2338"/>
      <c r="CQ457" s="2338"/>
      <c r="CR457" s="2338"/>
      <c r="CS457" s="2338"/>
      <c r="CT457" s="2338"/>
      <c r="CU457" s="2338"/>
      <c r="CV457" s="2338"/>
      <c r="CW457" s="2338"/>
      <c r="CX457" s="2338"/>
      <c r="CY457" s="2338"/>
      <c r="CZ457" s="2338"/>
      <c r="DA457" s="2338"/>
      <c r="DB457" s="2338"/>
      <c r="DC457" s="2338"/>
      <c r="DD457" s="2338"/>
      <c r="DE457" s="2338"/>
      <c r="DF457" s="2338"/>
      <c r="DG457" s="2338"/>
      <c r="DH457" s="2338"/>
      <c r="DI457" s="2338"/>
      <c r="DJ457" s="2338"/>
      <c r="DK457" s="2338"/>
      <c r="DL457" s="2338"/>
      <c r="DM457" s="2338"/>
      <c r="DN457" s="2338"/>
      <c r="DO457" s="2338"/>
    </row>
    <row r="458" spans="26:119">
      <c r="Z458" s="2338"/>
      <c r="AA458" s="2338"/>
      <c r="AB458" s="2338"/>
      <c r="AC458" s="2338"/>
      <c r="AD458" s="2338"/>
      <c r="AE458" s="2338"/>
      <c r="AF458" s="2338"/>
      <c r="AG458" s="2338"/>
      <c r="AH458" s="2338"/>
      <c r="AI458" s="2338"/>
      <c r="AJ458" s="2338"/>
      <c r="AK458" s="2338"/>
      <c r="AL458" s="2338"/>
      <c r="AM458" s="2338"/>
      <c r="AN458" s="2338"/>
      <c r="AO458" s="2338"/>
      <c r="AP458" s="2338"/>
      <c r="AQ458" s="2338"/>
      <c r="AR458" s="2338"/>
      <c r="AS458" s="2338"/>
      <c r="AT458" s="2338"/>
      <c r="AU458" s="2338"/>
      <c r="AV458" s="2338"/>
      <c r="AW458" s="2338"/>
      <c r="AX458" s="2338"/>
      <c r="AY458" s="2338"/>
      <c r="AZ458" s="2338"/>
      <c r="BA458" s="2338"/>
      <c r="BB458" s="2338"/>
      <c r="BC458" s="2338"/>
      <c r="BD458" s="2338"/>
      <c r="BE458" s="2338"/>
      <c r="BF458" s="2338"/>
      <c r="BG458" s="2338"/>
      <c r="BH458" s="2338"/>
      <c r="BI458" s="2338"/>
      <c r="BJ458" s="2338"/>
      <c r="BK458" s="2338"/>
      <c r="BL458" s="2338"/>
      <c r="BM458" s="2338"/>
      <c r="BN458" s="2338"/>
      <c r="BO458" s="2338"/>
      <c r="BP458" s="2338"/>
      <c r="BQ458" s="2338"/>
      <c r="BR458" s="2338"/>
      <c r="BS458" s="2338"/>
      <c r="BT458" s="2338"/>
      <c r="BU458" s="2338"/>
      <c r="BV458" s="2338"/>
      <c r="BW458" s="2338"/>
      <c r="BX458" s="2338"/>
      <c r="BY458" s="2338"/>
      <c r="BZ458" s="2338"/>
      <c r="CA458" s="2338"/>
      <c r="CB458" s="2338"/>
      <c r="CC458" s="2338"/>
      <c r="CD458" s="2338"/>
      <c r="CE458" s="2338"/>
      <c r="CF458" s="2338"/>
      <c r="CG458" s="2338"/>
      <c r="CH458" s="2338"/>
      <c r="CI458" s="2338"/>
      <c r="CJ458" s="2338"/>
      <c r="CK458" s="2338"/>
      <c r="CL458" s="2338"/>
      <c r="CM458" s="2338"/>
      <c r="CN458" s="2338"/>
      <c r="CO458" s="2338"/>
      <c r="CP458" s="2338"/>
      <c r="CQ458" s="2338"/>
      <c r="CR458" s="2338"/>
      <c r="CS458" s="2338"/>
      <c r="CT458" s="2338"/>
      <c r="CU458" s="2338"/>
      <c r="CV458" s="2338"/>
      <c r="CW458" s="2338"/>
      <c r="CX458" s="2338"/>
      <c r="CY458" s="2338"/>
      <c r="CZ458" s="2338"/>
      <c r="DA458" s="2338"/>
      <c r="DB458" s="2338"/>
      <c r="DC458" s="2338"/>
      <c r="DD458" s="2338"/>
      <c r="DE458" s="2338"/>
      <c r="DF458" s="2338"/>
      <c r="DG458" s="2338"/>
      <c r="DH458" s="2338"/>
      <c r="DI458" s="2338"/>
      <c r="DJ458" s="2338"/>
      <c r="DK458" s="2338"/>
      <c r="DL458" s="2338"/>
      <c r="DM458" s="2338"/>
      <c r="DN458" s="2338"/>
      <c r="DO458" s="2338"/>
    </row>
    <row r="459" spans="26:119">
      <c r="Z459" s="2338"/>
      <c r="AA459" s="2338"/>
      <c r="AB459" s="2338"/>
      <c r="AC459" s="2338"/>
      <c r="AD459" s="2338"/>
      <c r="AE459" s="2338"/>
      <c r="AF459" s="2338"/>
      <c r="AG459" s="2338"/>
      <c r="AH459" s="2338"/>
      <c r="AI459" s="2338"/>
      <c r="AJ459" s="2338"/>
      <c r="AK459" s="2338"/>
      <c r="AL459" s="2338"/>
      <c r="AM459" s="2338"/>
      <c r="AN459" s="2338"/>
      <c r="AO459" s="2338"/>
      <c r="AP459" s="2338"/>
      <c r="AQ459" s="2338"/>
      <c r="AR459" s="2338"/>
      <c r="AS459" s="2338"/>
      <c r="AT459" s="2338"/>
      <c r="AU459" s="2338"/>
      <c r="AV459" s="2338"/>
      <c r="AW459" s="2338"/>
      <c r="AX459" s="2338"/>
      <c r="AY459" s="2338"/>
      <c r="AZ459" s="2338"/>
      <c r="BA459" s="2338"/>
      <c r="BB459" s="2338"/>
      <c r="BC459" s="2338"/>
      <c r="BD459" s="2338"/>
      <c r="BE459" s="2338"/>
      <c r="BF459" s="2338"/>
      <c r="BG459" s="2338"/>
      <c r="BH459" s="2338"/>
      <c r="BI459" s="2338"/>
      <c r="BJ459" s="2338"/>
      <c r="BK459" s="2338"/>
      <c r="BL459" s="2338"/>
      <c r="BM459" s="2338"/>
      <c r="BN459" s="2338"/>
      <c r="BO459" s="2338"/>
      <c r="BP459" s="2338"/>
      <c r="BQ459" s="2338"/>
      <c r="BR459" s="2338"/>
      <c r="BS459" s="2338"/>
      <c r="BT459" s="2338"/>
      <c r="BU459" s="2338"/>
      <c r="BV459" s="2338"/>
      <c r="BW459" s="2338"/>
      <c r="BX459" s="2338"/>
      <c r="BY459" s="2338"/>
      <c r="BZ459" s="2338"/>
      <c r="CA459" s="2338"/>
      <c r="CB459" s="2338"/>
      <c r="CC459" s="2338"/>
      <c r="CD459" s="2338"/>
      <c r="CE459" s="2338"/>
      <c r="CF459" s="2338"/>
      <c r="CG459" s="2338"/>
      <c r="CH459" s="2338"/>
      <c r="CI459" s="2338"/>
      <c r="CJ459" s="2338"/>
      <c r="CK459" s="2338"/>
      <c r="CL459" s="2338"/>
      <c r="CM459" s="2338"/>
      <c r="CN459" s="2338"/>
      <c r="CO459" s="2338"/>
      <c r="CP459" s="2338"/>
      <c r="CQ459" s="2338"/>
      <c r="CR459" s="2338"/>
      <c r="CS459" s="2338"/>
      <c r="CT459" s="2338"/>
      <c r="CU459" s="2338"/>
      <c r="CV459" s="2338"/>
      <c r="CW459" s="2338"/>
      <c r="CX459" s="2338"/>
      <c r="CY459" s="2338"/>
      <c r="CZ459" s="2338"/>
      <c r="DA459" s="2338"/>
      <c r="DB459" s="2338"/>
      <c r="DC459" s="2338"/>
      <c r="DD459" s="2338"/>
      <c r="DE459" s="2338"/>
      <c r="DF459" s="2338"/>
      <c r="DG459" s="2338"/>
      <c r="DH459" s="2338"/>
      <c r="DI459" s="2338"/>
      <c r="DJ459" s="2338"/>
      <c r="DK459" s="2338"/>
      <c r="DL459" s="2338"/>
      <c r="DM459" s="2338"/>
      <c r="DN459" s="2338"/>
      <c r="DO459" s="2338"/>
    </row>
    <row r="460" spans="26:119">
      <c r="Z460" s="2338"/>
      <c r="AA460" s="2338"/>
      <c r="AB460" s="2338"/>
      <c r="AC460" s="2338"/>
      <c r="AD460" s="2338"/>
      <c r="AE460" s="2338"/>
      <c r="AF460" s="2338"/>
      <c r="AG460" s="2338"/>
      <c r="AH460" s="2338"/>
      <c r="AI460" s="2338"/>
      <c r="AJ460" s="2338"/>
      <c r="AK460" s="2338"/>
      <c r="AL460" s="2338"/>
      <c r="AM460" s="2338"/>
      <c r="AN460" s="2338"/>
      <c r="AO460" s="2338"/>
      <c r="AP460" s="2338"/>
      <c r="AQ460" s="2338"/>
      <c r="AR460" s="2338"/>
      <c r="AS460" s="2338"/>
      <c r="AT460" s="2338"/>
      <c r="AU460" s="2338"/>
      <c r="AV460" s="2338"/>
      <c r="AW460" s="2338"/>
      <c r="AX460" s="2338"/>
      <c r="AY460" s="2338"/>
      <c r="AZ460" s="2338"/>
      <c r="BA460" s="2338"/>
      <c r="BB460" s="2338"/>
      <c r="BC460" s="2338"/>
      <c r="BD460" s="2338"/>
      <c r="BE460" s="2338"/>
      <c r="BF460" s="2338"/>
      <c r="BG460" s="2338"/>
      <c r="BH460" s="2338"/>
      <c r="BI460" s="2338"/>
      <c r="BJ460" s="2338"/>
      <c r="BK460" s="2338"/>
      <c r="BL460" s="2338"/>
      <c r="BM460" s="2338"/>
      <c r="BN460" s="2338"/>
      <c r="BO460" s="2338"/>
      <c r="BP460" s="2338"/>
      <c r="BQ460" s="2338"/>
      <c r="BR460" s="2338"/>
      <c r="BS460" s="2338"/>
      <c r="BT460" s="2338"/>
      <c r="BU460" s="2338"/>
      <c r="BV460" s="2338"/>
      <c r="BW460" s="2338"/>
      <c r="BX460" s="2338"/>
      <c r="BY460" s="2338"/>
      <c r="BZ460" s="2338"/>
      <c r="CA460" s="2338"/>
      <c r="CB460" s="2338"/>
      <c r="CC460" s="2338"/>
      <c r="CD460" s="2338"/>
      <c r="CE460" s="2338"/>
      <c r="CF460" s="2338"/>
      <c r="CG460" s="2338"/>
      <c r="CH460" s="2338"/>
      <c r="CI460" s="2338"/>
      <c r="CJ460" s="2338"/>
      <c r="CK460" s="2338"/>
      <c r="CL460" s="2338"/>
      <c r="CM460" s="2338"/>
      <c r="CN460" s="2338"/>
      <c r="CO460" s="2338"/>
      <c r="CP460" s="2338"/>
      <c r="CQ460" s="2338"/>
      <c r="CR460" s="2338"/>
      <c r="CS460" s="2338"/>
      <c r="CT460" s="2338"/>
      <c r="CU460" s="2338"/>
      <c r="CV460" s="2338"/>
      <c r="CW460" s="2338"/>
      <c r="CX460" s="2338"/>
      <c r="CY460" s="2338"/>
      <c r="CZ460" s="2338"/>
      <c r="DA460" s="2338"/>
      <c r="DB460" s="2338"/>
      <c r="DC460" s="2338"/>
      <c r="DD460" s="2338"/>
      <c r="DE460" s="2338"/>
      <c r="DF460" s="2338"/>
      <c r="DG460" s="2338"/>
      <c r="DH460" s="2338"/>
      <c r="DI460" s="2338"/>
      <c r="DJ460" s="2338"/>
      <c r="DK460" s="2338"/>
      <c r="DL460" s="2338"/>
      <c r="DM460" s="2338"/>
      <c r="DN460" s="2338"/>
      <c r="DO460" s="2338"/>
    </row>
    <row r="461" spans="26:119">
      <c r="Z461" s="2338"/>
      <c r="AA461" s="2338"/>
      <c r="AB461" s="2338"/>
      <c r="AC461" s="2338"/>
      <c r="AD461" s="2338"/>
      <c r="AE461" s="2338"/>
      <c r="AF461" s="2338"/>
      <c r="AG461" s="2338"/>
      <c r="AH461" s="2338"/>
      <c r="AI461" s="2338"/>
      <c r="AJ461" s="2338"/>
      <c r="AK461" s="2338"/>
      <c r="AL461" s="2338"/>
      <c r="AM461" s="2338"/>
      <c r="AN461" s="2338"/>
      <c r="AO461" s="2338"/>
      <c r="AP461" s="2338"/>
      <c r="AQ461" s="2338"/>
      <c r="AR461" s="2338"/>
      <c r="AS461" s="2338"/>
      <c r="AT461" s="2338"/>
      <c r="AU461" s="2338"/>
      <c r="AV461" s="2338"/>
      <c r="AW461" s="2338"/>
      <c r="AX461" s="2338"/>
      <c r="AY461" s="2338"/>
      <c r="AZ461" s="2338"/>
      <c r="BA461" s="2338"/>
      <c r="BB461" s="2338"/>
      <c r="BC461" s="2338"/>
      <c r="BD461" s="2338"/>
      <c r="BE461" s="2338"/>
      <c r="BF461" s="2338"/>
      <c r="BG461" s="2338"/>
      <c r="BH461" s="2338"/>
      <c r="BI461" s="2338"/>
      <c r="BJ461" s="2338"/>
      <c r="BK461" s="2338"/>
      <c r="BL461" s="2338"/>
      <c r="BM461" s="2338"/>
      <c r="BN461" s="2338"/>
      <c r="BO461" s="2338"/>
      <c r="BP461" s="2338"/>
      <c r="BQ461" s="2338"/>
      <c r="BR461" s="2338"/>
      <c r="BS461" s="2338"/>
      <c r="BT461" s="2338"/>
      <c r="BU461" s="2338"/>
      <c r="BV461" s="2338"/>
      <c r="BW461" s="2338"/>
      <c r="BX461" s="2338"/>
      <c r="BY461" s="2338"/>
      <c r="BZ461" s="2338"/>
      <c r="CA461" s="2338"/>
      <c r="CB461" s="2338"/>
      <c r="CC461" s="2338"/>
      <c r="CD461" s="2338"/>
      <c r="CE461" s="2338"/>
      <c r="CF461" s="2338"/>
      <c r="CG461" s="2338"/>
      <c r="CH461" s="2338"/>
      <c r="CI461" s="2338"/>
      <c r="CJ461" s="2338"/>
      <c r="CK461" s="2338"/>
      <c r="CL461" s="2338"/>
      <c r="CM461" s="2338"/>
      <c r="CN461" s="2338"/>
      <c r="CO461" s="2338"/>
      <c r="CP461" s="2338"/>
      <c r="CQ461" s="2338"/>
      <c r="CR461" s="2338"/>
      <c r="CS461" s="2338"/>
      <c r="CT461" s="2338"/>
      <c r="CU461" s="2338"/>
      <c r="CV461" s="2338"/>
      <c r="CW461" s="2338"/>
      <c r="CX461" s="2338"/>
      <c r="CY461" s="2338"/>
      <c r="CZ461" s="2338"/>
      <c r="DA461" s="2338"/>
      <c r="DB461" s="2338"/>
      <c r="DC461" s="2338"/>
      <c r="DD461" s="2338"/>
      <c r="DE461" s="2338"/>
      <c r="DF461" s="2338"/>
      <c r="DG461" s="2338"/>
      <c r="DH461" s="2338"/>
      <c r="DI461" s="2338"/>
      <c r="DJ461" s="2338"/>
      <c r="DK461" s="2338"/>
      <c r="DL461" s="2338"/>
      <c r="DM461" s="2338"/>
      <c r="DN461" s="2338"/>
      <c r="DO461" s="2338"/>
    </row>
    <row r="462" spans="26:119">
      <c r="Z462" s="2338"/>
      <c r="AA462" s="2338"/>
      <c r="AB462" s="2338"/>
      <c r="AC462" s="2338"/>
      <c r="AD462" s="2338"/>
      <c r="AE462" s="2338"/>
      <c r="AF462" s="2338"/>
      <c r="AG462" s="2338"/>
      <c r="AH462" s="2338"/>
      <c r="AI462" s="2338"/>
      <c r="AJ462" s="2338"/>
      <c r="AK462" s="2338"/>
      <c r="AL462" s="2338"/>
      <c r="AM462" s="2338"/>
      <c r="AN462" s="2338"/>
      <c r="AO462" s="2338"/>
      <c r="AP462" s="2338"/>
      <c r="AQ462" s="2338"/>
      <c r="AR462" s="2338"/>
      <c r="AS462" s="2338"/>
      <c r="AT462" s="2338"/>
      <c r="AU462" s="2338"/>
      <c r="AV462" s="2338"/>
      <c r="AW462" s="2338"/>
      <c r="AX462" s="2338"/>
      <c r="AY462" s="2338"/>
      <c r="AZ462" s="2338"/>
      <c r="BA462" s="2338"/>
      <c r="BB462" s="2338"/>
      <c r="BC462" s="2338"/>
      <c r="BD462" s="2338"/>
      <c r="BE462" s="2338"/>
      <c r="BF462" s="2338"/>
      <c r="BG462" s="2338"/>
      <c r="BH462" s="2338"/>
      <c r="BI462" s="2338"/>
      <c r="BJ462" s="2338"/>
      <c r="BK462" s="2338"/>
      <c r="BL462" s="2338"/>
      <c r="BM462" s="2338"/>
      <c r="BN462" s="2338"/>
      <c r="BO462" s="2338"/>
      <c r="BP462" s="2338"/>
      <c r="BQ462" s="2338"/>
      <c r="BR462" s="2338"/>
      <c r="BS462" s="2338"/>
      <c r="BT462" s="2338"/>
      <c r="BU462" s="2338"/>
      <c r="BV462" s="2338"/>
      <c r="BW462" s="2338"/>
      <c r="BX462" s="2338"/>
      <c r="BY462" s="2338"/>
      <c r="BZ462" s="2338"/>
      <c r="CA462" s="2338"/>
      <c r="CB462" s="2338"/>
      <c r="CC462" s="2338"/>
      <c r="CD462" s="2338"/>
      <c r="CE462" s="2338"/>
      <c r="CF462" s="2338"/>
      <c r="CG462" s="2338"/>
      <c r="CH462" s="2338"/>
      <c r="CI462" s="2338"/>
      <c r="CJ462" s="2338"/>
      <c r="CK462" s="2338"/>
      <c r="CL462" s="2338"/>
      <c r="CM462" s="2338"/>
      <c r="CN462" s="2338"/>
      <c r="CO462" s="2338"/>
      <c r="CP462" s="2338"/>
      <c r="CQ462" s="2338"/>
      <c r="CR462" s="2338"/>
      <c r="CS462" s="2338"/>
      <c r="CT462" s="2338"/>
      <c r="CU462" s="2338"/>
      <c r="CV462" s="2338"/>
      <c r="CW462" s="2338"/>
      <c r="CX462" s="2338"/>
      <c r="CY462" s="2338"/>
      <c r="CZ462" s="2338"/>
      <c r="DA462" s="2338"/>
      <c r="DB462" s="2338"/>
      <c r="DC462" s="2338"/>
      <c r="DD462" s="2338"/>
      <c r="DE462" s="2338"/>
      <c r="DF462" s="2338"/>
      <c r="DG462" s="2338"/>
      <c r="DH462" s="2338"/>
      <c r="DI462" s="2338"/>
      <c r="DJ462" s="2338"/>
      <c r="DK462" s="2338"/>
      <c r="DL462" s="2338"/>
      <c r="DM462" s="2338"/>
      <c r="DN462" s="2338"/>
      <c r="DO462" s="2338"/>
    </row>
    <row r="463" spans="26:119">
      <c r="Z463" s="2338"/>
      <c r="AA463" s="2338"/>
      <c r="AB463" s="2338"/>
      <c r="AC463" s="2338"/>
      <c r="AD463" s="2338"/>
      <c r="AE463" s="2338"/>
      <c r="AF463" s="2338"/>
      <c r="AG463" s="2338"/>
      <c r="AH463" s="2338"/>
      <c r="AI463" s="2338"/>
      <c r="AJ463" s="2338"/>
      <c r="AK463" s="2338"/>
      <c r="AL463" s="2338"/>
      <c r="AM463" s="2338"/>
      <c r="AN463" s="2338"/>
      <c r="AO463" s="2338"/>
      <c r="AP463" s="2338"/>
      <c r="AQ463" s="2338"/>
      <c r="AR463" s="2338"/>
      <c r="AS463" s="2338"/>
      <c r="AT463" s="2338"/>
      <c r="AU463" s="2338"/>
      <c r="AV463" s="2338"/>
      <c r="AW463" s="2338"/>
      <c r="AX463" s="2338"/>
      <c r="AY463" s="2338"/>
      <c r="AZ463" s="2338"/>
      <c r="BA463" s="2338"/>
      <c r="BB463" s="2338"/>
      <c r="BC463" s="2338"/>
      <c r="BD463" s="2338"/>
      <c r="BE463" s="2338"/>
      <c r="BF463" s="2338"/>
      <c r="BG463" s="2338"/>
      <c r="BH463" s="2338"/>
      <c r="BI463" s="2338"/>
      <c r="BJ463" s="2338"/>
      <c r="BK463" s="2338"/>
      <c r="BL463" s="2338"/>
      <c r="BM463" s="2338"/>
      <c r="BN463" s="2338"/>
      <c r="BO463" s="2338"/>
      <c r="BP463" s="2338"/>
      <c r="BQ463" s="2338"/>
      <c r="BR463" s="2338"/>
      <c r="BS463" s="2338"/>
      <c r="BT463" s="2338"/>
      <c r="BU463" s="2338"/>
      <c r="BV463" s="2338"/>
      <c r="BW463" s="2338"/>
      <c r="BX463" s="2338"/>
      <c r="BY463" s="2338"/>
      <c r="BZ463" s="2338"/>
      <c r="CA463" s="2338"/>
      <c r="CB463" s="2338"/>
      <c r="CC463" s="2338"/>
      <c r="CD463" s="2338"/>
      <c r="CE463" s="2338"/>
      <c r="CF463" s="2338"/>
      <c r="CG463" s="2338"/>
      <c r="CH463" s="2338"/>
      <c r="CI463" s="2338"/>
      <c r="CJ463" s="2338"/>
      <c r="CK463" s="2338"/>
      <c r="CL463" s="2338"/>
      <c r="CM463" s="2338"/>
      <c r="CN463" s="2338"/>
      <c r="CO463" s="2338"/>
      <c r="CP463" s="2338"/>
      <c r="CQ463" s="2338"/>
      <c r="CR463" s="2338"/>
      <c r="CS463" s="2338"/>
      <c r="CT463" s="2338"/>
      <c r="CU463" s="2338"/>
      <c r="CV463" s="2338"/>
      <c r="CW463" s="2338"/>
      <c r="CX463" s="2338"/>
      <c r="CY463" s="2338"/>
      <c r="CZ463" s="2338"/>
      <c r="DA463" s="2338"/>
      <c r="DB463" s="2338"/>
      <c r="DC463" s="2338"/>
      <c r="DD463" s="2338"/>
      <c r="DE463" s="2338"/>
      <c r="DF463" s="2338"/>
      <c r="DG463" s="2338"/>
      <c r="DH463" s="2338"/>
      <c r="DI463" s="2338"/>
      <c r="DJ463" s="2338"/>
      <c r="DK463" s="2338"/>
      <c r="DL463" s="2338"/>
      <c r="DM463" s="2338"/>
      <c r="DN463" s="2338"/>
      <c r="DO463" s="2338"/>
    </row>
    <row r="464" spans="26:119">
      <c r="Z464" s="2338"/>
      <c r="AA464" s="2338"/>
      <c r="AB464" s="2338"/>
      <c r="AC464" s="2338"/>
      <c r="AD464" s="2338"/>
      <c r="AE464" s="2338"/>
      <c r="AF464" s="2338"/>
      <c r="AG464" s="2338"/>
      <c r="AH464" s="2338"/>
      <c r="AI464" s="2338"/>
      <c r="AJ464" s="2338"/>
      <c r="AK464" s="2338"/>
      <c r="AL464" s="2338"/>
      <c r="AM464" s="2338"/>
      <c r="AN464" s="2338"/>
      <c r="AO464" s="2338"/>
      <c r="AP464" s="2338"/>
      <c r="AQ464" s="2338"/>
      <c r="AR464" s="2338"/>
      <c r="AS464" s="2338"/>
      <c r="AT464" s="2338"/>
      <c r="AU464" s="2338"/>
      <c r="AV464" s="2338"/>
      <c r="AW464" s="2338"/>
      <c r="AX464" s="2338"/>
      <c r="AY464" s="2338"/>
      <c r="AZ464" s="2338"/>
      <c r="BA464" s="2338"/>
      <c r="BB464" s="2338"/>
      <c r="BC464" s="2338"/>
      <c r="BD464" s="2338"/>
      <c r="BE464" s="2338"/>
      <c r="BF464" s="2338"/>
      <c r="BG464" s="2338"/>
      <c r="BH464" s="2338"/>
      <c r="BI464" s="2338"/>
      <c r="BJ464" s="2338"/>
      <c r="BK464" s="2338"/>
      <c r="BL464" s="2338"/>
      <c r="BM464" s="2338"/>
      <c r="BN464" s="2338"/>
      <c r="BO464" s="2338"/>
      <c r="BP464" s="2338"/>
      <c r="BQ464" s="2338"/>
      <c r="BR464" s="2338"/>
      <c r="BS464" s="2338"/>
      <c r="BT464" s="2338"/>
      <c r="BU464" s="2338"/>
      <c r="BV464" s="2338"/>
      <c r="BW464" s="2338"/>
      <c r="BX464" s="2338"/>
      <c r="BY464" s="2338"/>
      <c r="BZ464" s="2338"/>
      <c r="CA464" s="2338"/>
      <c r="CB464" s="2338"/>
      <c r="CC464" s="2338"/>
      <c r="CD464" s="2338"/>
      <c r="CE464" s="2338"/>
      <c r="CF464" s="2338"/>
      <c r="CG464" s="2338"/>
      <c r="CH464" s="2338"/>
      <c r="CI464" s="2338"/>
      <c r="CJ464" s="2338"/>
      <c r="CK464" s="2338"/>
      <c r="CL464" s="2338"/>
      <c r="CM464" s="2338"/>
      <c r="CN464" s="2338"/>
      <c r="CO464" s="2338"/>
      <c r="CP464" s="2338"/>
      <c r="CQ464" s="2338"/>
      <c r="CR464" s="2338"/>
      <c r="CS464" s="2338"/>
      <c r="CT464" s="2338"/>
      <c r="CU464" s="2338"/>
      <c r="CV464" s="2338"/>
      <c r="CW464" s="2338"/>
      <c r="CX464" s="2338"/>
      <c r="CY464" s="2338"/>
      <c r="CZ464" s="2338"/>
      <c r="DA464" s="2338"/>
      <c r="DB464" s="2338"/>
      <c r="DC464" s="2338"/>
      <c r="DD464" s="2338"/>
      <c r="DE464" s="2338"/>
      <c r="DF464" s="2338"/>
      <c r="DG464" s="2338"/>
      <c r="DH464" s="2338"/>
      <c r="DI464" s="2338"/>
      <c r="DJ464" s="2338"/>
      <c r="DK464" s="2338"/>
      <c r="DL464" s="2338"/>
      <c r="DM464" s="2338"/>
      <c r="DN464" s="2338"/>
      <c r="DO464" s="2338"/>
    </row>
    <row r="465" spans="26:119">
      <c r="Z465" s="2338"/>
      <c r="AA465" s="2338"/>
      <c r="AB465" s="2338"/>
      <c r="AC465" s="2338"/>
      <c r="AD465" s="2338"/>
      <c r="AE465" s="2338"/>
      <c r="AF465" s="2338"/>
      <c r="AG465" s="2338"/>
      <c r="AH465" s="2338"/>
      <c r="AI465" s="2338"/>
      <c r="AJ465" s="2338"/>
      <c r="AK465" s="2338"/>
      <c r="AL465" s="2338"/>
      <c r="AM465" s="2338"/>
      <c r="AN465" s="2338"/>
      <c r="AO465" s="2338"/>
      <c r="AP465" s="2338"/>
      <c r="AQ465" s="2338"/>
      <c r="AR465" s="2338"/>
      <c r="AS465" s="2338"/>
      <c r="AT465" s="2338"/>
      <c r="AU465" s="2338"/>
      <c r="AV465" s="2338"/>
      <c r="AW465" s="2338"/>
      <c r="AX465" s="2338"/>
      <c r="AY465" s="2338"/>
      <c r="AZ465" s="2338"/>
      <c r="BA465" s="2338"/>
      <c r="BB465" s="2338"/>
      <c r="BC465" s="2338"/>
      <c r="BD465" s="2338"/>
      <c r="BE465" s="2338"/>
      <c r="BF465" s="2338"/>
      <c r="BG465" s="2338"/>
      <c r="BH465" s="2338"/>
      <c r="BI465" s="2338"/>
      <c r="BJ465" s="2338"/>
      <c r="BK465" s="2338"/>
      <c r="BL465" s="2338"/>
      <c r="BM465" s="2338"/>
      <c r="BN465" s="2338"/>
      <c r="BO465" s="2338"/>
      <c r="BP465" s="2338"/>
      <c r="BQ465" s="2338"/>
      <c r="BR465" s="2338"/>
      <c r="BS465" s="2338"/>
      <c r="BT465" s="2338"/>
      <c r="BU465" s="2338"/>
      <c r="BV465" s="2338"/>
      <c r="BW465" s="2338"/>
      <c r="BX465" s="2338"/>
      <c r="BY465" s="2338"/>
      <c r="BZ465" s="2338"/>
      <c r="CA465" s="2338"/>
      <c r="CB465" s="2338"/>
      <c r="CC465" s="2338"/>
      <c r="CD465" s="2338"/>
      <c r="CE465" s="2338"/>
      <c r="CF465" s="2338"/>
      <c r="CG465" s="2338"/>
      <c r="CH465" s="2338"/>
      <c r="CI465" s="2338"/>
      <c r="CJ465" s="2338"/>
      <c r="CK465" s="2338"/>
      <c r="CL465" s="2338"/>
      <c r="CM465" s="2338"/>
      <c r="CN465" s="2338"/>
      <c r="CO465" s="2338"/>
      <c r="CP465" s="2338"/>
      <c r="CQ465" s="2338"/>
      <c r="CR465" s="2338"/>
      <c r="CS465" s="2338"/>
      <c r="CT465" s="2338"/>
      <c r="CU465" s="2338"/>
      <c r="CV465" s="2338"/>
      <c r="CW465" s="2338"/>
      <c r="CX465" s="2338"/>
      <c r="CY465" s="2338"/>
      <c r="CZ465" s="2338"/>
      <c r="DA465" s="2338"/>
      <c r="DB465" s="2338"/>
      <c r="DC465" s="2338"/>
      <c r="DD465" s="2338"/>
      <c r="DE465" s="2338"/>
      <c r="DF465" s="2338"/>
      <c r="DG465" s="2338"/>
      <c r="DH465" s="2338"/>
      <c r="DI465" s="2338"/>
      <c r="DJ465" s="2338"/>
      <c r="DK465" s="2338"/>
      <c r="DL465" s="2338"/>
      <c r="DM465" s="2338"/>
      <c r="DN465" s="2338"/>
      <c r="DO465" s="2338"/>
    </row>
    <row r="466" spans="26:119">
      <c r="Z466" s="2338"/>
      <c r="AA466" s="2338"/>
      <c r="AB466" s="2338"/>
      <c r="AC466" s="2338"/>
      <c r="AD466" s="2338"/>
      <c r="AE466" s="2338"/>
      <c r="AF466" s="2338"/>
      <c r="AG466" s="2338"/>
      <c r="AH466" s="2338"/>
      <c r="AI466" s="2338"/>
      <c r="AJ466" s="2338"/>
      <c r="AK466" s="2338"/>
      <c r="AL466" s="2338"/>
      <c r="AM466" s="2338"/>
      <c r="AN466" s="2338"/>
      <c r="AO466" s="2338"/>
      <c r="AP466" s="2338"/>
      <c r="AQ466" s="2338"/>
      <c r="AR466" s="2338"/>
      <c r="AS466" s="2338"/>
      <c r="AT466" s="2338"/>
      <c r="AU466" s="2338"/>
      <c r="AV466" s="2338"/>
      <c r="AW466" s="2338"/>
      <c r="AX466" s="2338"/>
      <c r="AY466" s="2338"/>
      <c r="AZ466" s="2338"/>
      <c r="BA466" s="2338"/>
      <c r="BB466" s="2338"/>
      <c r="BC466" s="2338"/>
      <c r="BD466" s="2338"/>
      <c r="BE466" s="2338"/>
      <c r="BF466" s="2338"/>
      <c r="BG466" s="2338"/>
      <c r="BH466" s="2338"/>
      <c r="BI466" s="2338"/>
      <c r="BJ466" s="2338"/>
      <c r="BK466" s="2338"/>
      <c r="BL466" s="2338"/>
      <c r="BM466" s="2338"/>
      <c r="BN466" s="2338"/>
      <c r="BO466" s="2338"/>
      <c r="BP466" s="2338"/>
      <c r="BQ466" s="2338"/>
      <c r="BR466" s="2338"/>
      <c r="BS466" s="2338"/>
      <c r="BT466" s="2338"/>
      <c r="BU466" s="2338"/>
      <c r="BV466" s="2338"/>
      <c r="BW466" s="2338"/>
      <c r="BX466" s="2338"/>
      <c r="BY466" s="2338"/>
      <c r="BZ466" s="2338"/>
      <c r="CA466" s="2338"/>
      <c r="CB466" s="2338"/>
      <c r="CC466" s="2338"/>
      <c r="CD466" s="2338"/>
      <c r="CE466" s="2338"/>
      <c r="CF466" s="2338"/>
      <c r="CG466" s="2338"/>
      <c r="CH466" s="2338"/>
      <c r="CI466" s="2338"/>
      <c r="CJ466" s="2338"/>
      <c r="CK466" s="2338"/>
      <c r="CL466" s="2338"/>
      <c r="CM466" s="2338"/>
      <c r="CN466" s="2338"/>
      <c r="CO466" s="2338"/>
      <c r="CP466" s="2338"/>
      <c r="CQ466" s="2338"/>
      <c r="CR466" s="2338"/>
      <c r="CS466" s="2338"/>
      <c r="CT466" s="2338"/>
      <c r="CU466" s="2338"/>
      <c r="CV466" s="2338"/>
      <c r="CW466" s="2338"/>
      <c r="CX466" s="2338"/>
      <c r="CY466" s="2338"/>
      <c r="CZ466" s="2338"/>
      <c r="DA466" s="2338"/>
      <c r="DB466" s="2338"/>
      <c r="DC466" s="2338"/>
      <c r="DD466" s="2338"/>
      <c r="DE466" s="2338"/>
      <c r="DF466" s="2338"/>
      <c r="DG466" s="2338"/>
      <c r="DH466" s="2338"/>
      <c r="DI466" s="2338"/>
      <c r="DJ466" s="2338"/>
      <c r="DK466" s="2338"/>
      <c r="DL466" s="2338"/>
      <c r="DM466" s="2338"/>
      <c r="DN466" s="2338"/>
      <c r="DO466" s="2338"/>
    </row>
    <row r="467" spans="26:119">
      <c r="Z467" s="2338"/>
      <c r="AA467" s="2338"/>
      <c r="AB467" s="2338"/>
      <c r="AC467" s="2338"/>
      <c r="AD467" s="2338"/>
      <c r="AE467" s="2338"/>
      <c r="AF467" s="2338"/>
      <c r="AG467" s="2338"/>
      <c r="AH467" s="2338"/>
      <c r="AI467" s="2338"/>
      <c r="AJ467" s="2338"/>
      <c r="AK467" s="2338"/>
      <c r="AL467" s="2338"/>
      <c r="AM467" s="2338"/>
      <c r="AN467" s="2338"/>
      <c r="AO467" s="2338"/>
      <c r="AP467" s="2338"/>
      <c r="AQ467" s="2338"/>
      <c r="AR467" s="2338"/>
      <c r="AS467" s="2338"/>
      <c r="AT467" s="2338"/>
      <c r="AU467" s="2338"/>
      <c r="AV467" s="2338"/>
      <c r="AW467" s="2338"/>
      <c r="AX467" s="2338"/>
      <c r="AY467" s="2338"/>
      <c r="AZ467" s="2338"/>
      <c r="BA467" s="2338"/>
      <c r="BB467" s="2338"/>
      <c r="BC467" s="2338"/>
      <c r="BD467" s="2338"/>
      <c r="BE467" s="2338"/>
      <c r="BF467" s="2338"/>
      <c r="BG467" s="2338"/>
      <c r="BH467" s="2338"/>
      <c r="BI467" s="2338"/>
      <c r="BJ467" s="2338"/>
      <c r="BK467" s="2338"/>
      <c r="BL467" s="2338"/>
      <c r="BM467" s="2338"/>
      <c r="BN467" s="2338"/>
      <c r="BO467" s="2338"/>
      <c r="BP467" s="2338"/>
      <c r="BQ467" s="2338"/>
      <c r="BR467" s="2338"/>
      <c r="BS467" s="2338"/>
      <c r="BT467" s="2338"/>
      <c r="BU467" s="2338"/>
      <c r="BV467" s="2338"/>
      <c r="BW467" s="2338"/>
      <c r="BX467" s="2338"/>
      <c r="BY467" s="2338"/>
      <c r="BZ467" s="2338"/>
      <c r="CA467" s="2338"/>
      <c r="CB467" s="2338"/>
      <c r="CC467" s="2338"/>
      <c r="CD467" s="2338"/>
      <c r="CE467" s="2338"/>
      <c r="CF467" s="2338"/>
      <c r="CG467" s="2338"/>
      <c r="CH467" s="2338"/>
      <c r="CI467" s="2338"/>
      <c r="CJ467" s="2338"/>
      <c r="CK467" s="2338"/>
      <c r="CL467" s="2338"/>
      <c r="CM467" s="2338"/>
      <c r="CN467" s="2338"/>
      <c r="CO467" s="2338"/>
      <c r="CP467" s="2338"/>
      <c r="CQ467" s="2338"/>
      <c r="CR467" s="2338"/>
      <c r="CS467" s="2338"/>
      <c r="CT467" s="2338"/>
      <c r="CU467" s="2338"/>
      <c r="CV467" s="2338"/>
      <c r="CW467" s="2338"/>
      <c r="CX467" s="2338"/>
      <c r="CY467" s="2338"/>
      <c r="CZ467" s="2338"/>
      <c r="DA467" s="2338"/>
      <c r="DB467" s="2338"/>
      <c r="DC467" s="2338"/>
      <c r="DD467" s="2338"/>
      <c r="DE467" s="2338"/>
      <c r="DF467" s="2338"/>
      <c r="DG467" s="2338"/>
      <c r="DH467" s="2338"/>
      <c r="DI467" s="2338"/>
      <c r="DJ467" s="2338"/>
      <c r="DK467" s="2338"/>
      <c r="DL467" s="2338"/>
      <c r="DM467" s="2338"/>
      <c r="DN467" s="2338"/>
      <c r="DO467" s="2338"/>
    </row>
    <row r="468" spans="26:119">
      <c r="Z468" s="2338"/>
      <c r="AA468" s="2338"/>
      <c r="AB468" s="2338"/>
      <c r="AC468" s="2338"/>
      <c r="AD468" s="2338"/>
      <c r="AE468" s="2338"/>
      <c r="AF468" s="2338"/>
      <c r="AG468" s="2338"/>
      <c r="AH468" s="2338"/>
      <c r="AI468" s="2338"/>
      <c r="AJ468" s="2338"/>
      <c r="AK468" s="2338"/>
      <c r="AL468" s="2338"/>
      <c r="AM468" s="2338"/>
      <c r="AN468" s="2338"/>
      <c r="AO468" s="2338"/>
      <c r="AP468" s="2338"/>
      <c r="AQ468" s="2338"/>
      <c r="AR468" s="2338"/>
      <c r="AS468" s="2338"/>
      <c r="AT468" s="2338"/>
      <c r="AU468" s="2338"/>
      <c r="AV468" s="2338"/>
      <c r="AW468" s="2338"/>
      <c r="AX468" s="2338"/>
      <c r="AY468" s="2338"/>
      <c r="AZ468" s="2338"/>
      <c r="BA468" s="2338"/>
      <c r="BB468" s="2338"/>
      <c r="BC468" s="2338"/>
      <c r="BD468" s="2338"/>
      <c r="BE468" s="2338"/>
      <c r="BF468" s="2338"/>
      <c r="BG468" s="2338"/>
      <c r="BH468" s="2338"/>
      <c r="BI468" s="2338"/>
      <c r="BJ468" s="2338"/>
      <c r="BK468" s="2338"/>
      <c r="BL468" s="2338"/>
      <c r="BM468" s="2338"/>
      <c r="BN468" s="2338"/>
      <c r="BO468" s="2338"/>
      <c r="BP468" s="2338"/>
      <c r="BQ468" s="2338"/>
      <c r="BR468" s="2338"/>
      <c r="BS468" s="2338"/>
      <c r="BT468" s="2338"/>
      <c r="BU468" s="2338"/>
      <c r="BV468" s="2338"/>
      <c r="BW468" s="2338"/>
      <c r="BX468" s="2338"/>
      <c r="BY468" s="2338"/>
      <c r="BZ468" s="2338"/>
      <c r="CA468" s="2338"/>
      <c r="CB468" s="2338"/>
      <c r="CC468" s="2338"/>
      <c r="CD468" s="2338"/>
      <c r="CE468" s="2338"/>
      <c r="CF468" s="2338"/>
      <c r="CG468" s="2338"/>
      <c r="CH468" s="2338"/>
      <c r="CI468" s="2338"/>
      <c r="CJ468" s="2338"/>
      <c r="CK468" s="2338"/>
      <c r="CL468" s="2338"/>
      <c r="CM468" s="2338"/>
      <c r="CN468" s="2338"/>
      <c r="CO468" s="2338"/>
      <c r="CP468" s="2338"/>
      <c r="CQ468" s="2338"/>
      <c r="CR468" s="2338"/>
      <c r="CS468" s="2338"/>
      <c r="CT468" s="2338"/>
      <c r="CU468" s="2338"/>
      <c r="CV468" s="2338"/>
      <c r="CW468" s="2338"/>
      <c r="CX468" s="2338"/>
      <c r="CY468" s="2338"/>
      <c r="CZ468" s="2338"/>
      <c r="DA468" s="2338"/>
      <c r="DB468" s="2338"/>
      <c r="DC468" s="2338"/>
      <c r="DD468" s="2338"/>
      <c r="DE468" s="2338"/>
      <c r="DF468" s="2338"/>
      <c r="DG468" s="2338"/>
      <c r="DH468" s="2338"/>
      <c r="DI468" s="2338"/>
      <c r="DJ468" s="2338"/>
      <c r="DK468" s="2338"/>
      <c r="DL468" s="2338"/>
      <c r="DM468" s="2338"/>
      <c r="DN468" s="2338"/>
      <c r="DO468" s="2338"/>
    </row>
    <row r="469" spans="26:119">
      <c r="Z469" s="2338"/>
      <c r="AA469" s="2338"/>
      <c r="AB469" s="2338"/>
      <c r="AC469" s="2338"/>
      <c r="AD469" s="2338"/>
      <c r="AE469" s="2338"/>
      <c r="AF469" s="2338"/>
      <c r="AG469" s="2338"/>
      <c r="AH469" s="2338"/>
      <c r="AI469" s="2338"/>
      <c r="AJ469" s="2338"/>
      <c r="AK469" s="2338"/>
      <c r="AL469" s="2338"/>
      <c r="AM469" s="2338"/>
      <c r="AN469" s="2338"/>
      <c r="AO469" s="2338"/>
      <c r="AP469" s="2338"/>
      <c r="AQ469" s="2338"/>
      <c r="AR469" s="2338"/>
      <c r="AS469" s="2338"/>
      <c r="AT469" s="2338"/>
      <c r="AU469" s="2338"/>
      <c r="AV469" s="2338"/>
      <c r="AW469" s="2338"/>
      <c r="AX469" s="2338"/>
      <c r="AY469" s="2338"/>
      <c r="AZ469" s="2338"/>
      <c r="BA469" s="2338"/>
      <c r="BB469" s="2338"/>
      <c r="BC469" s="2338"/>
      <c r="BD469" s="2338"/>
      <c r="BE469" s="2338"/>
      <c r="BF469" s="2338"/>
      <c r="BG469" s="2338"/>
      <c r="BH469" s="2338"/>
      <c r="BI469" s="2338"/>
      <c r="BJ469" s="2338"/>
      <c r="BK469" s="2338"/>
      <c r="BL469" s="2338"/>
      <c r="BM469" s="2338"/>
      <c r="BN469" s="2338"/>
      <c r="BO469" s="2338"/>
      <c r="BP469" s="2338"/>
      <c r="BQ469" s="2338"/>
      <c r="BR469" s="2338"/>
      <c r="BS469" s="2338"/>
      <c r="BT469" s="2338"/>
      <c r="BU469" s="2338"/>
      <c r="BV469" s="2338"/>
      <c r="BW469" s="2338"/>
      <c r="BX469" s="2338"/>
      <c r="BY469" s="2338"/>
      <c r="BZ469" s="2338"/>
      <c r="CA469" s="2338"/>
      <c r="CB469" s="2338"/>
      <c r="CC469" s="2338"/>
      <c r="CD469" s="2338"/>
      <c r="CE469" s="2338"/>
      <c r="CF469" s="2338"/>
      <c r="CG469" s="2338"/>
      <c r="CH469" s="2338"/>
      <c r="CI469" s="2338"/>
      <c r="CJ469" s="2338"/>
      <c r="CK469" s="2338"/>
      <c r="CL469" s="2338"/>
      <c r="CM469" s="2338"/>
      <c r="CN469" s="2338"/>
      <c r="CO469" s="2338"/>
      <c r="CP469" s="2338"/>
      <c r="CQ469" s="2338"/>
      <c r="CR469" s="2338"/>
      <c r="CS469" s="2338"/>
      <c r="CT469" s="2338"/>
      <c r="CU469" s="2338"/>
      <c r="CV469" s="2338"/>
      <c r="CW469" s="2338"/>
      <c r="CX469" s="2338"/>
      <c r="CY469" s="2338"/>
      <c r="CZ469" s="2338"/>
      <c r="DA469" s="2338"/>
      <c r="DB469" s="2338"/>
      <c r="DC469" s="2338"/>
      <c r="DD469" s="2338"/>
      <c r="DE469" s="2338"/>
      <c r="DF469" s="2338"/>
      <c r="DG469" s="2338"/>
      <c r="DH469" s="2338"/>
      <c r="DI469" s="2338"/>
      <c r="DJ469" s="2338"/>
      <c r="DK469" s="2338"/>
      <c r="DL469" s="2338"/>
      <c r="DM469" s="2338"/>
      <c r="DN469" s="2338"/>
      <c r="DO469" s="2338"/>
    </row>
    <row r="470" spans="26:119">
      <c r="Z470" s="2338"/>
      <c r="AA470" s="2338"/>
      <c r="AB470" s="2338"/>
      <c r="AC470" s="2338"/>
      <c r="AD470" s="2338"/>
      <c r="AE470" s="2338"/>
      <c r="AF470" s="2338"/>
      <c r="AG470" s="2338"/>
      <c r="AH470" s="2338"/>
      <c r="AI470" s="2338"/>
      <c r="AJ470" s="2338"/>
      <c r="AK470" s="2338"/>
      <c r="AL470" s="2338"/>
      <c r="AM470" s="2338"/>
      <c r="AN470" s="2338"/>
      <c r="AO470" s="2338"/>
      <c r="AP470" s="2338"/>
      <c r="AQ470" s="2338"/>
      <c r="AR470" s="2338"/>
      <c r="AS470" s="2338"/>
      <c r="AT470" s="2338"/>
      <c r="AU470" s="2338"/>
      <c r="AV470" s="2338"/>
      <c r="AW470" s="2338"/>
      <c r="AX470" s="2338"/>
      <c r="AY470" s="2338"/>
      <c r="AZ470" s="2338"/>
      <c r="BA470" s="2338"/>
      <c r="BB470" s="2338"/>
      <c r="BC470" s="2338"/>
      <c r="BD470" s="2338"/>
      <c r="BE470" s="2338"/>
      <c r="BF470" s="2338"/>
      <c r="BG470" s="2338"/>
      <c r="BH470" s="2338"/>
      <c r="BI470" s="2338"/>
      <c r="BJ470" s="2338"/>
      <c r="BK470" s="2338"/>
      <c r="BL470" s="2338"/>
      <c r="BM470" s="2338"/>
      <c r="BN470" s="2338"/>
      <c r="BO470" s="2338"/>
      <c r="BP470" s="2338"/>
      <c r="BQ470" s="2338"/>
      <c r="BR470" s="2338"/>
      <c r="BS470" s="2338"/>
      <c r="BT470" s="2338"/>
      <c r="BU470" s="2338"/>
      <c r="BV470" s="2338"/>
      <c r="BW470" s="2338"/>
      <c r="BX470" s="2338"/>
      <c r="BY470" s="2338"/>
      <c r="BZ470" s="2338"/>
      <c r="CA470" s="2338"/>
      <c r="CB470" s="2338"/>
      <c r="CC470" s="2338"/>
      <c r="CD470" s="2338"/>
      <c r="CE470" s="2338"/>
      <c r="CF470" s="2338"/>
      <c r="CG470" s="2338"/>
      <c r="CH470" s="2338"/>
      <c r="CI470" s="2338"/>
      <c r="CJ470" s="2338"/>
      <c r="CK470" s="2338"/>
      <c r="CL470" s="2338"/>
      <c r="CM470" s="2338"/>
      <c r="CN470" s="2338"/>
      <c r="CO470" s="2338"/>
      <c r="CP470" s="2338"/>
      <c r="CQ470" s="2338"/>
      <c r="CR470" s="2338"/>
      <c r="CS470" s="2338"/>
      <c r="CT470" s="2338"/>
      <c r="CU470" s="2338"/>
      <c r="CV470" s="2338"/>
      <c r="CW470" s="2338"/>
      <c r="CX470" s="2338"/>
      <c r="CY470" s="2338"/>
      <c r="CZ470" s="2338"/>
      <c r="DA470" s="2338"/>
      <c r="DB470" s="2338"/>
      <c r="DC470" s="2338"/>
      <c r="DD470" s="2338"/>
      <c r="DE470" s="2338"/>
      <c r="DF470" s="2338"/>
      <c r="DG470" s="2338"/>
      <c r="DH470" s="2338"/>
      <c r="DI470" s="2338"/>
      <c r="DJ470" s="2338"/>
      <c r="DK470" s="2338"/>
      <c r="DL470" s="2338"/>
      <c r="DM470" s="2338"/>
      <c r="DN470" s="2338"/>
      <c r="DO470" s="2338"/>
    </row>
    <row r="471" spans="26:119">
      <c r="Z471" s="2338"/>
      <c r="AA471" s="2338"/>
      <c r="AB471" s="2338"/>
      <c r="AC471" s="2338"/>
      <c r="AD471" s="2338"/>
      <c r="AE471" s="2338"/>
      <c r="AF471" s="2338"/>
      <c r="AG471" s="2338"/>
      <c r="AH471" s="2338"/>
      <c r="AI471" s="2338"/>
      <c r="AJ471" s="2338"/>
      <c r="AK471" s="2338"/>
      <c r="AL471" s="2338"/>
      <c r="AM471" s="2338"/>
      <c r="AN471" s="2338"/>
      <c r="AO471" s="2338"/>
      <c r="AP471" s="2338"/>
      <c r="AQ471" s="2338"/>
      <c r="AR471" s="2338"/>
      <c r="AS471" s="2338"/>
      <c r="AT471" s="2338"/>
      <c r="AU471" s="2338"/>
      <c r="AV471" s="2338"/>
      <c r="AW471" s="2338"/>
      <c r="AX471" s="2338"/>
      <c r="AY471" s="2338"/>
      <c r="AZ471" s="2338"/>
      <c r="BA471" s="2338"/>
      <c r="BB471" s="2338"/>
      <c r="BC471" s="2338"/>
      <c r="BD471" s="2338"/>
      <c r="BE471" s="2338"/>
      <c r="BF471" s="2338"/>
      <c r="BG471" s="2338"/>
      <c r="BH471" s="2338"/>
      <c r="BI471" s="2338"/>
      <c r="BJ471" s="2338"/>
      <c r="BK471" s="2338"/>
      <c r="BL471" s="2338"/>
      <c r="BM471" s="2338"/>
      <c r="BN471" s="2338"/>
      <c r="BO471" s="2338"/>
      <c r="BP471" s="2338"/>
      <c r="BQ471" s="2338"/>
      <c r="BR471" s="2338"/>
      <c r="BS471" s="2338"/>
      <c r="BT471" s="2338"/>
      <c r="BU471" s="2338"/>
      <c r="BV471" s="2338"/>
      <c r="BW471" s="2338"/>
      <c r="BX471" s="2338"/>
      <c r="BY471" s="2338"/>
      <c r="BZ471" s="2338"/>
      <c r="CA471" s="2338"/>
      <c r="CB471" s="2338"/>
      <c r="CC471" s="2338"/>
      <c r="CD471" s="2338"/>
      <c r="CE471" s="2338"/>
      <c r="CF471" s="2338"/>
      <c r="CG471" s="2338"/>
      <c r="CH471" s="2338"/>
      <c r="CI471" s="2338"/>
      <c r="CJ471" s="2338"/>
      <c r="CK471" s="2338"/>
      <c r="CL471" s="2338"/>
      <c r="CM471" s="2338"/>
      <c r="CN471" s="2338"/>
      <c r="CO471" s="2338"/>
      <c r="CP471" s="2338"/>
      <c r="CQ471" s="2338"/>
      <c r="CR471" s="2338"/>
      <c r="CS471" s="2338"/>
      <c r="CT471" s="2338"/>
      <c r="CU471" s="2338"/>
      <c r="CV471" s="2338"/>
      <c r="CW471" s="2338"/>
      <c r="CX471" s="2338"/>
      <c r="CY471" s="2338"/>
      <c r="CZ471" s="2338"/>
      <c r="DA471" s="2338"/>
      <c r="DB471" s="2338"/>
      <c r="DC471" s="2338"/>
      <c r="DD471" s="2338"/>
      <c r="DE471" s="2338"/>
      <c r="DF471" s="2338"/>
      <c r="DG471" s="2338"/>
      <c r="DH471" s="2338"/>
      <c r="DI471" s="2338"/>
      <c r="DJ471" s="2338"/>
      <c r="DK471" s="2338"/>
      <c r="DL471" s="2338"/>
      <c r="DM471" s="2338"/>
      <c r="DN471" s="2338"/>
      <c r="DO471" s="2338"/>
    </row>
    <row r="472" spans="26:119">
      <c r="Z472" s="2338"/>
      <c r="AA472" s="2338"/>
      <c r="AB472" s="2338"/>
      <c r="AC472" s="2338"/>
      <c r="AD472" s="2338"/>
      <c r="AE472" s="2338"/>
      <c r="AF472" s="2338"/>
      <c r="AG472" s="2338"/>
      <c r="AH472" s="2338"/>
      <c r="AI472" s="2338"/>
      <c r="AJ472" s="2338"/>
      <c r="AK472" s="2338"/>
      <c r="AL472" s="2338"/>
      <c r="AM472" s="2338"/>
      <c r="AN472" s="2338"/>
      <c r="AO472" s="2338"/>
      <c r="AP472" s="2338"/>
      <c r="AQ472" s="2338"/>
      <c r="AR472" s="2338"/>
      <c r="AS472" s="2338"/>
      <c r="AT472" s="2338"/>
      <c r="AU472" s="2338"/>
      <c r="AV472" s="2338"/>
      <c r="AW472" s="2338"/>
      <c r="AX472" s="2338"/>
      <c r="AY472" s="2338"/>
      <c r="AZ472" s="2338"/>
      <c r="BA472" s="2338"/>
      <c r="BB472" s="2338"/>
      <c r="BC472" s="2338"/>
      <c r="BD472" s="2338"/>
      <c r="BE472" s="2338"/>
      <c r="BF472" s="2338"/>
      <c r="BG472" s="2338"/>
      <c r="BH472" s="2338"/>
      <c r="BI472" s="2338"/>
      <c r="BJ472" s="2338"/>
      <c r="BK472" s="2338"/>
      <c r="BL472" s="2338"/>
      <c r="BM472" s="2338"/>
      <c r="BN472" s="2338"/>
      <c r="BO472" s="2338"/>
      <c r="BP472" s="2338"/>
      <c r="BQ472" s="2338"/>
      <c r="BR472" s="2338"/>
      <c r="BS472" s="2338"/>
      <c r="BT472" s="2338"/>
      <c r="BU472" s="2338"/>
      <c r="BV472" s="2338"/>
      <c r="BW472" s="2338"/>
      <c r="BX472" s="2338"/>
      <c r="BY472" s="2338"/>
      <c r="BZ472" s="2338"/>
      <c r="CA472" s="2338"/>
      <c r="CB472" s="2338"/>
      <c r="CC472" s="2338"/>
      <c r="CD472" s="2338"/>
      <c r="CE472" s="2338"/>
      <c r="CF472" s="2338"/>
      <c r="CG472" s="2338"/>
      <c r="CH472" s="2338"/>
      <c r="CI472" s="2338"/>
      <c r="CJ472" s="2338"/>
      <c r="CK472" s="2338"/>
      <c r="CL472" s="2338"/>
      <c r="CM472" s="2338"/>
      <c r="CN472" s="2338"/>
      <c r="CO472" s="2338"/>
      <c r="CP472" s="2338"/>
      <c r="CQ472" s="2338"/>
      <c r="CR472" s="2338"/>
      <c r="CS472" s="2338"/>
      <c r="CT472" s="2338"/>
      <c r="CU472" s="2338"/>
      <c r="CV472" s="2338"/>
      <c r="CW472" s="2338"/>
      <c r="CX472" s="2338"/>
      <c r="CY472" s="2338"/>
      <c r="CZ472" s="2338"/>
      <c r="DA472" s="2338"/>
      <c r="DB472" s="2338"/>
      <c r="DC472" s="2338"/>
      <c r="DD472" s="2338"/>
      <c r="DE472" s="2338"/>
      <c r="DF472" s="2338"/>
      <c r="DG472" s="2338"/>
      <c r="DH472" s="2338"/>
      <c r="DI472" s="2338"/>
      <c r="DJ472" s="2338"/>
      <c r="DK472" s="2338"/>
      <c r="DL472" s="2338"/>
      <c r="DM472" s="2338"/>
      <c r="DN472" s="2338"/>
      <c r="DO472" s="2338"/>
    </row>
    <row r="473" spans="26:119">
      <c r="Z473" s="2338"/>
      <c r="AA473" s="2338"/>
      <c r="AB473" s="2338"/>
      <c r="AC473" s="2338"/>
      <c r="AD473" s="2338"/>
      <c r="AE473" s="2338"/>
      <c r="AF473" s="2338"/>
      <c r="AG473" s="2338"/>
      <c r="AH473" s="2338"/>
      <c r="AI473" s="2338"/>
      <c r="AJ473" s="2338"/>
      <c r="AK473" s="2338"/>
      <c r="AL473" s="2338"/>
      <c r="AM473" s="2338"/>
      <c r="AN473" s="2338"/>
      <c r="AO473" s="2338"/>
      <c r="AP473" s="2338"/>
      <c r="AQ473" s="2338"/>
      <c r="AR473" s="2338"/>
      <c r="AS473" s="2338"/>
      <c r="AT473" s="2338"/>
      <c r="AU473" s="2338"/>
      <c r="AV473" s="2338"/>
      <c r="AW473" s="2338"/>
      <c r="AX473" s="2338"/>
      <c r="AY473" s="2338"/>
      <c r="AZ473" s="2338"/>
      <c r="BA473" s="2338"/>
      <c r="BB473" s="2338"/>
      <c r="BC473" s="2338"/>
      <c r="BD473" s="2338"/>
      <c r="BE473" s="2338"/>
      <c r="BF473" s="2338"/>
      <c r="BG473" s="2338"/>
      <c r="BH473" s="2338"/>
      <c r="BI473" s="2338"/>
      <c r="BJ473" s="2338"/>
      <c r="BK473" s="2338"/>
      <c r="BL473" s="2338"/>
      <c r="BM473" s="2338"/>
      <c r="BN473" s="2338"/>
      <c r="BO473" s="2338"/>
      <c r="BP473" s="2338"/>
      <c r="BQ473" s="2338"/>
      <c r="BR473" s="2338"/>
      <c r="BS473" s="2338"/>
      <c r="BT473" s="2338"/>
      <c r="BU473" s="2338"/>
      <c r="BV473" s="2338"/>
      <c r="BW473" s="2338"/>
      <c r="BX473" s="2338"/>
      <c r="BY473" s="2338"/>
      <c r="BZ473" s="2338"/>
      <c r="CA473" s="2338"/>
      <c r="CB473" s="2338"/>
      <c r="CC473" s="2338"/>
      <c r="CD473" s="2338"/>
      <c r="CE473" s="2338"/>
      <c r="CF473" s="2338"/>
      <c r="CG473" s="2338"/>
      <c r="CH473" s="2338"/>
      <c r="CI473" s="2338"/>
      <c r="CJ473" s="2338"/>
      <c r="CK473" s="2338"/>
      <c r="CL473" s="2338"/>
      <c r="CM473" s="2338"/>
      <c r="CN473" s="2338"/>
      <c r="CO473" s="2338"/>
      <c r="CP473" s="2338"/>
      <c r="CQ473" s="2338"/>
      <c r="CR473" s="2338"/>
      <c r="CS473" s="2338"/>
      <c r="CT473" s="2338"/>
      <c r="CU473" s="2338"/>
      <c r="CV473" s="2338"/>
      <c r="CW473" s="2338"/>
      <c r="CX473" s="2338"/>
      <c r="CY473" s="2338"/>
      <c r="CZ473" s="2338"/>
      <c r="DA473" s="2338"/>
      <c r="DB473" s="2338"/>
      <c r="DC473" s="2338"/>
      <c r="DD473" s="2338"/>
      <c r="DE473" s="2338"/>
      <c r="DF473" s="2338"/>
      <c r="DG473" s="2338"/>
      <c r="DH473" s="2338"/>
      <c r="DI473" s="2338"/>
      <c r="DJ473" s="2338"/>
      <c r="DK473" s="2338"/>
      <c r="DL473" s="2338"/>
      <c r="DM473" s="2338"/>
      <c r="DN473" s="2338"/>
      <c r="DO473" s="2338"/>
    </row>
    <row r="474" spans="26:119">
      <c r="Z474" s="2338"/>
      <c r="AA474" s="2338"/>
      <c r="AB474" s="2338"/>
      <c r="AC474" s="2338"/>
      <c r="AD474" s="2338"/>
      <c r="AE474" s="2338"/>
      <c r="AF474" s="2338"/>
      <c r="AG474" s="2338"/>
      <c r="AH474" s="2338"/>
      <c r="AI474" s="2338"/>
      <c r="AJ474" s="2338"/>
      <c r="AK474" s="2338"/>
      <c r="AL474" s="2338"/>
      <c r="AM474" s="2338"/>
      <c r="AN474" s="2338"/>
      <c r="AO474" s="2338"/>
      <c r="AP474" s="2338"/>
      <c r="AQ474" s="2338"/>
      <c r="AR474" s="2338"/>
      <c r="AS474" s="2338"/>
      <c r="AT474" s="2338"/>
      <c r="AU474" s="2338"/>
      <c r="AV474" s="2338"/>
      <c r="AW474" s="2338"/>
      <c r="AX474" s="2338"/>
      <c r="AY474" s="2338"/>
      <c r="AZ474" s="2338"/>
      <c r="BA474" s="2338"/>
      <c r="BB474" s="2338"/>
      <c r="BC474" s="2338"/>
      <c r="BD474" s="2338"/>
      <c r="BE474" s="2338"/>
      <c r="BF474" s="2338"/>
      <c r="BG474" s="2338"/>
      <c r="BH474" s="2338"/>
      <c r="BI474" s="2338"/>
      <c r="BJ474" s="2338"/>
      <c r="BK474" s="2338"/>
      <c r="BL474" s="2338"/>
      <c r="BM474" s="2338"/>
      <c r="BN474" s="2338"/>
      <c r="BO474" s="2338"/>
      <c r="BP474" s="2338"/>
      <c r="BQ474" s="2338"/>
      <c r="BR474" s="2338"/>
      <c r="BS474" s="2338"/>
      <c r="BT474" s="2338"/>
      <c r="BU474" s="2338"/>
      <c r="BV474" s="2338"/>
      <c r="BW474" s="2338"/>
      <c r="BX474" s="2338"/>
      <c r="BY474" s="2338"/>
      <c r="BZ474" s="2338"/>
      <c r="CA474" s="2338"/>
      <c r="CB474" s="2338"/>
      <c r="CC474" s="2338"/>
      <c r="CD474" s="2338"/>
      <c r="CE474" s="2338"/>
      <c r="CF474" s="2338"/>
      <c r="CG474" s="2338"/>
      <c r="CH474" s="2338"/>
      <c r="CI474" s="2338"/>
      <c r="CJ474" s="2338"/>
      <c r="CK474" s="2338"/>
      <c r="CL474" s="2338"/>
      <c r="CM474" s="2338"/>
      <c r="CN474" s="2338"/>
      <c r="CO474" s="2338"/>
      <c r="CP474" s="2338"/>
      <c r="CQ474" s="2338"/>
      <c r="CR474" s="2338"/>
      <c r="CS474" s="2338"/>
      <c r="CT474" s="2338"/>
      <c r="CU474" s="2338"/>
      <c r="CV474" s="2338"/>
      <c r="CW474" s="2338"/>
      <c r="CX474" s="2338"/>
      <c r="CY474" s="2338"/>
      <c r="CZ474" s="2338"/>
      <c r="DA474" s="2338"/>
      <c r="DB474" s="2338"/>
      <c r="DC474" s="2338"/>
      <c r="DD474" s="2338"/>
      <c r="DE474" s="2338"/>
      <c r="DF474" s="2338"/>
      <c r="DG474" s="2338"/>
      <c r="DH474" s="2338"/>
      <c r="DI474" s="2338"/>
      <c r="DJ474" s="2338"/>
      <c r="DK474" s="2338"/>
      <c r="DL474" s="2338"/>
      <c r="DM474" s="2338"/>
      <c r="DN474" s="2338"/>
      <c r="DO474" s="2338"/>
    </row>
    <row r="475" spans="26:119">
      <c r="Z475" s="2338"/>
      <c r="AA475" s="2338"/>
      <c r="AB475" s="2338"/>
      <c r="AC475" s="2338"/>
      <c r="AD475" s="2338"/>
      <c r="AE475" s="2338"/>
      <c r="AF475" s="2338"/>
      <c r="AG475" s="2338"/>
      <c r="AH475" s="2338"/>
      <c r="AI475" s="2338"/>
      <c r="AJ475" s="2338"/>
      <c r="AK475" s="2338"/>
      <c r="AL475" s="2338"/>
      <c r="AM475" s="2338"/>
      <c r="AN475" s="2338"/>
      <c r="AO475" s="2338"/>
      <c r="AP475" s="2338"/>
      <c r="AQ475" s="2338"/>
      <c r="AR475" s="2338"/>
      <c r="AS475" s="2338"/>
      <c r="AT475" s="2338"/>
      <c r="AU475" s="2338"/>
      <c r="AV475" s="2338"/>
      <c r="AW475" s="2338"/>
      <c r="AX475" s="2338"/>
      <c r="AY475" s="2338"/>
      <c r="AZ475" s="2338"/>
      <c r="BA475" s="2338"/>
      <c r="BB475" s="2338"/>
      <c r="BC475" s="2338"/>
      <c r="BD475" s="2338"/>
      <c r="BE475" s="2338"/>
      <c r="BF475" s="2338"/>
      <c r="BG475" s="2338"/>
      <c r="BH475" s="2338"/>
      <c r="BI475" s="2338"/>
      <c r="BJ475" s="2338"/>
      <c r="BK475" s="2338"/>
      <c r="BL475" s="2338"/>
      <c r="BM475" s="2338"/>
      <c r="BN475" s="2338"/>
      <c r="BO475" s="2338"/>
      <c r="BP475" s="2338"/>
      <c r="BQ475" s="2338"/>
      <c r="BR475" s="2338"/>
      <c r="BS475" s="2338"/>
      <c r="BT475" s="2338"/>
      <c r="BU475" s="2338"/>
      <c r="BV475" s="2338"/>
      <c r="BW475" s="2338"/>
      <c r="BX475" s="2338"/>
      <c r="BY475" s="2338"/>
      <c r="BZ475" s="2338"/>
      <c r="CA475" s="2338"/>
      <c r="CB475" s="2338"/>
      <c r="CC475" s="2338"/>
      <c r="CD475" s="2338"/>
      <c r="CE475" s="2338"/>
      <c r="CF475" s="2338"/>
      <c r="CG475" s="2338"/>
      <c r="CH475" s="2338"/>
      <c r="CI475" s="2338"/>
      <c r="CJ475" s="2338"/>
      <c r="CK475" s="2338"/>
      <c r="CL475" s="2338"/>
      <c r="CM475" s="2338"/>
      <c r="CN475" s="2338"/>
      <c r="CO475" s="2338"/>
      <c r="CP475" s="2338"/>
      <c r="CQ475" s="2338"/>
      <c r="CR475" s="2338"/>
      <c r="CS475" s="2338"/>
      <c r="CT475" s="2338"/>
      <c r="CU475" s="2338"/>
      <c r="CV475" s="2338"/>
      <c r="CW475" s="2338"/>
      <c r="CX475" s="2338"/>
      <c r="CY475" s="2338"/>
      <c r="CZ475" s="2338"/>
      <c r="DA475" s="2338"/>
      <c r="DB475" s="2338"/>
      <c r="DC475" s="2338"/>
      <c r="DD475" s="2338"/>
      <c r="DE475" s="2338"/>
      <c r="DF475" s="2338"/>
      <c r="DG475" s="2338"/>
      <c r="DH475" s="2338"/>
      <c r="DI475" s="2338"/>
      <c r="DJ475" s="2338"/>
      <c r="DK475" s="2338"/>
      <c r="DL475" s="2338"/>
      <c r="DM475" s="2338"/>
      <c r="DN475" s="2338"/>
      <c r="DO475" s="2338"/>
    </row>
    <row r="476" spans="26:119">
      <c r="Z476" s="2338"/>
      <c r="AA476" s="2338"/>
      <c r="AB476" s="2338"/>
      <c r="AC476" s="2338"/>
      <c r="AD476" s="2338"/>
      <c r="AE476" s="2338"/>
      <c r="AF476" s="2338"/>
      <c r="AG476" s="2338"/>
      <c r="AH476" s="2338"/>
      <c r="AI476" s="2338"/>
      <c r="AJ476" s="2338"/>
      <c r="AK476" s="2338"/>
      <c r="AL476" s="2338"/>
      <c r="AM476" s="2338"/>
      <c r="AN476" s="2338"/>
      <c r="AO476" s="2338"/>
      <c r="AP476" s="2338"/>
      <c r="AQ476" s="2338"/>
      <c r="AR476" s="2338"/>
      <c r="AS476" s="2338"/>
      <c r="AT476" s="2338"/>
      <c r="AU476" s="2338"/>
      <c r="AV476" s="2338"/>
      <c r="AW476" s="2338"/>
      <c r="AX476" s="2338"/>
      <c r="AY476" s="2338"/>
      <c r="AZ476" s="2338"/>
      <c r="BA476" s="2338"/>
      <c r="BB476" s="2338"/>
      <c r="BC476" s="2338"/>
      <c r="BD476" s="2338"/>
      <c r="BE476" s="2338"/>
      <c r="BF476" s="2338"/>
      <c r="BG476" s="2338"/>
      <c r="BH476" s="2338"/>
      <c r="BI476" s="2338"/>
      <c r="BJ476" s="2338"/>
      <c r="BK476" s="2338"/>
      <c r="BL476" s="2338"/>
      <c r="BM476" s="2338"/>
      <c r="BN476" s="2338"/>
      <c r="BO476" s="2338"/>
      <c r="BP476" s="2338"/>
      <c r="BQ476" s="2338"/>
      <c r="BR476" s="2338"/>
      <c r="BS476" s="2338"/>
      <c r="BT476" s="2338"/>
      <c r="BU476" s="2338"/>
      <c r="BV476" s="2338"/>
      <c r="BW476" s="2338"/>
      <c r="BX476" s="2338"/>
      <c r="BY476" s="2338"/>
      <c r="BZ476" s="2338"/>
      <c r="CA476" s="2338"/>
      <c r="CB476" s="2338"/>
      <c r="CC476" s="2338"/>
      <c r="CD476" s="2338"/>
      <c r="CE476" s="2338"/>
      <c r="CF476" s="2338"/>
      <c r="CG476" s="2338"/>
      <c r="CH476" s="2338"/>
      <c r="CI476" s="2338"/>
      <c r="CJ476" s="2338"/>
      <c r="CK476" s="2338"/>
      <c r="CL476" s="2338"/>
      <c r="CM476" s="2338"/>
      <c r="CN476" s="2338"/>
      <c r="CO476" s="2338"/>
      <c r="CP476" s="2338"/>
      <c r="CQ476" s="2338"/>
      <c r="CR476" s="2338"/>
      <c r="CS476" s="2338"/>
      <c r="CT476" s="2338"/>
      <c r="CU476" s="2338"/>
      <c r="CV476" s="2338"/>
      <c r="CW476" s="2338"/>
      <c r="CX476" s="2338"/>
      <c r="CY476" s="2338"/>
      <c r="CZ476" s="2338"/>
      <c r="DA476" s="2338"/>
      <c r="DB476" s="2338"/>
      <c r="DC476" s="2338"/>
      <c r="DD476" s="2338"/>
      <c r="DE476" s="2338"/>
      <c r="DF476" s="2338"/>
      <c r="DG476" s="2338"/>
      <c r="DH476" s="2338"/>
      <c r="DI476" s="2338"/>
      <c r="DJ476" s="2338"/>
      <c r="DK476" s="2338"/>
      <c r="DL476" s="2338"/>
      <c r="DM476" s="2338"/>
      <c r="DN476" s="2338"/>
      <c r="DO476" s="2338"/>
    </row>
    <row r="477" spans="26:119">
      <c r="Z477" s="2338"/>
      <c r="AA477" s="2338"/>
      <c r="AB477" s="2338"/>
      <c r="AC477" s="2338"/>
      <c r="AD477" s="2338"/>
      <c r="AE477" s="2338"/>
      <c r="AF477" s="2338"/>
      <c r="AG477" s="2338"/>
      <c r="AH477" s="2338"/>
      <c r="AI477" s="2338"/>
      <c r="AJ477" s="2338"/>
      <c r="AK477" s="2338"/>
      <c r="AL477" s="2338"/>
      <c r="AM477" s="2338"/>
      <c r="AN477" s="2338"/>
      <c r="AO477" s="2338"/>
      <c r="AP477" s="2338"/>
      <c r="AQ477" s="2338"/>
      <c r="AR477" s="2338"/>
      <c r="AS477" s="2338"/>
      <c r="AT477" s="2338"/>
      <c r="AU477" s="2338"/>
      <c r="AV477" s="2338"/>
      <c r="AW477" s="2338"/>
      <c r="AX477" s="2338"/>
      <c r="AY477" s="2338"/>
      <c r="AZ477" s="2338"/>
      <c r="BA477" s="2338"/>
      <c r="BB477" s="2338"/>
      <c r="BC477" s="2338"/>
      <c r="BD477" s="2338"/>
      <c r="BE477" s="2338"/>
      <c r="BF477" s="2338"/>
      <c r="BG477" s="2338"/>
      <c r="BH477" s="2338"/>
      <c r="BI477" s="2338"/>
      <c r="BJ477" s="2338"/>
      <c r="BK477" s="2338"/>
      <c r="BL477" s="2338"/>
      <c r="BM477" s="2338"/>
      <c r="BN477" s="2338"/>
      <c r="BO477" s="2338"/>
      <c r="BP477" s="2338"/>
      <c r="BQ477" s="2338"/>
      <c r="BR477" s="2338"/>
      <c r="BS477" s="2338"/>
      <c r="BT477" s="2338"/>
      <c r="BU477" s="2338"/>
      <c r="BV477" s="2338"/>
      <c r="BW477" s="2338"/>
      <c r="BX477" s="2338"/>
      <c r="BY477" s="2338"/>
      <c r="BZ477" s="2338"/>
      <c r="CA477" s="2338"/>
      <c r="CB477" s="2338"/>
      <c r="CC477" s="2338"/>
      <c r="CD477" s="2338"/>
      <c r="CE477" s="2338"/>
      <c r="CF477" s="2338"/>
      <c r="CG477" s="2338"/>
      <c r="CH477" s="2338"/>
      <c r="CI477" s="2338"/>
      <c r="CJ477" s="2338"/>
      <c r="CK477" s="2338"/>
      <c r="CL477" s="2338"/>
      <c r="CM477" s="2338"/>
      <c r="CN477" s="2338"/>
      <c r="CO477" s="2338"/>
      <c r="CP477" s="2338"/>
      <c r="CQ477" s="2338"/>
      <c r="CR477" s="2338"/>
      <c r="CS477" s="2338"/>
      <c r="CT477" s="2338"/>
      <c r="CU477" s="2338"/>
      <c r="CV477" s="2338"/>
      <c r="CW477" s="2338"/>
      <c r="CX477" s="2338"/>
      <c r="CY477" s="2338"/>
      <c r="CZ477" s="2338"/>
      <c r="DA477" s="2338"/>
      <c r="DB477" s="2338"/>
      <c r="DC477" s="2338"/>
      <c r="DD477" s="2338"/>
      <c r="DE477" s="2338"/>
      <c r="DF477" s="2338"/>
      <c r="DG477" s="2338"/>
      <c r="DH477" s="2338"/>
      <c r="DI477" s="2338"/>
      <c r="DJ477" s="2338"/>
      <c r="DK477" s="2338"/>
      <c r="DL477" s="2338"/>
      <c r="DM477" s="2338"/>
      <c r="DN477" s="2338"/>
      <c r="DO477" s="2338"/>
    </row>
    <row r="478" spans="26:119">
      <c r="Z478" s="2338"/>
      <c r="AA478" s="2338"/>
      <c r="AB478" s="2338"/>
      <c r="AC478" s="2338"/>
      <c r="AD478" s="2338"/>
      <c r="AE478" s="2338"/>
      <c r="AF478" s="2338"/>
      <c r="AG478" s="2338"/>
      <c r="AH478" s="2338"/>
      <c r="AI478" s="2338"/>
      <c r="AJ478" s="2338"/>
      <c r="AK478" s="2338"/>
      <c r="AL478" s="2338"/>
      <c r="AM478" s="2338"/>
      <c r="AN478" s="2338"/>
      <c r="AO478" s="2338"/>
      <c r="AP478" s="2338"/>
      <c r="AQ478" s="2338"/>
      <c r="AR478" s="2338"/>
      <c r="AS478" s="2338"/>
      <c r="AT478" s="2338"/>
      <c r="AU478" s="2338"/>
      <c r="AV478" s="2338"/>
      <c r="AW478" s="2338"/>
      <c r="AX478" s="2338"/>
      <c r="AY478" s="2338"/>
      <c r="AZ478" s="2338"/>
      <c r="BA478" s="2338"/>
      <c r="BB478" s="2338"/>
      <c r="BC478" s="2338"/>
      <c r="BD478" s="2338"/>
      <c r="BE478" s="2338"/>
      <c r="BF478" s="2338"/>
      <c r="BG478" s="2338"/>
      <c r="BH478" s="2338"/>
      <c r="BI478" s="2338"/>
      <c r="BJ478" s="2338"/>
      <c r="BK478" s="2338"/>
      <c r="BL478" s="2338"/>
      <c r="BM478" s="2338"/>
      <c r="BN478" s="2338"/>
      <c r="BO478" s="2338"/>
      <c r="BP478" s="2338"/>
      <c r="BQ478" s="2338"/>
      <c r="BR478" s="2338"/>
      <c r="BS478" s="2338"/>
      <c r="BT478" s="2338"/>
      <c r="BU478" s="2338"/>
      <c r="BV478" s="2338"/>
      <c r="BW478" s="2338"/>
      <c r="BX478" s="2338"/>
      <c r="BY478" s="2338"/>
      <c r="BZ478" s="2338"/>
      <c r="CA478" s="2338"/>
      <c r="CB478" s="2338"/>
      <c r="CC478" s="2338"/>
      <c r="CD478" s="2338"/>
      <c r="CE478" s="2338"/>
      <c r="CF478" s="2338"/>
      <c r="CG478" s="2338"/>
      <c r="CH478" s="2338"/>
      <c r="CI478" s="2338"/>
      <c r="CJ478" s="2338"/>
      <c r="CK478" s="2338"/>
      <c r="CL478" s="2338"/>
      <c r="CM478" s="2338"/>
      <c r="CN478" s="2338"/>
      <c r="CO478" s="2338"/>
      <c r="CP478" s="2338"/>
      <c r="CQ478" s="2338"/>
      <c r="CR478" s="2338"/>
      <c r="CS478" s="2338"/>
      <c r="CT478" s="2338"/>
      <c r="CU478" s="2338"/>
      <c r="CV478" s="2338"/>
      <c r="CW478" s="2338"/>
      <c r="CX478" s="2338"/>
      <c r="CY478" s="2338"/>
      <c r="CZ478" s="2338"/>
      <c r="DA478" s="2338"/>
      <c r="DB478" s="2338"/>
      <c r="DC478" s="2338"/>
      <c r="DD478" s="2338"/>
      <c r="DE478" s="2338"/>
      <c r="DF478" s="2338"/>
      <c r="DG478" s="2338"/>
      <c r="DH478" s="2338"/>
      <c r="DI478" s="2338"/>
      <c r="DJ478" s="2338"/>
      <c r="DK478" s="2338"/>
      <c r="DL478" s="2338"/>
      <c r="DM478" s="2338"/>
      <c r="DN478" s="2338"/>
      <c r="DO478" s="2338"/>
    </row>
    <row r="479" spans="26:119">
      <c r="Z479" s="2338"/>
      <c r="AA479" s="2338"/>
      <c r="AB479" s="2338"/>
      <c r="AC479" s="2338"/>
      <c r="AD479" s="2338"/>
      <c r="AE479" s="2338"/>
      <c r="AF479" s="2338"/>
      <c r="AG479" s="2338"/>
      <c r="AH479" s="2338"/>
      <c r="AI479" s="2338"/>
      <c r="AJ479" s="2338"/>
      <c r="AK479" s="2338"/>
      <c r="AL479" s="2338"/>
      <c r="AM479" s="2338"/>
      <c r="AN479" s="2338"/>
      <c r="AO479" s="2338"/>
      <c r="AP479" s="2338"/>
      <c r="AQ479" s="2338"/>
      <c r="AR479" s="2338"/>
      <c r="AS479" s="2338"/>
      <c r="AT479" s="2338"/>
      <c r="AU479" s="2338"/>
      <c r="AV479" s="2338"/>
      <c r="AW479" s="2338"/>
      <c r="AX479" s="2338"/>
      <c r="AY479" s="2338"/>
      <c r="AZ479" s="2338"/>
      <c r="BA479" s="2338"/>
      <c r="BB479" s="2338"/>
      <c r="BC479" s="2338"/>
      <c r="BD479" s="2338"/>
      <c r="BE479" s="2338"/>
      <c r="BF479" s="2338"/>
      <c r="BG479" s="2338"/>
      <c r="BH479" s="2338"/>
      <c r="BI479" s="2338"/>
      <c r="BJ479" s="2338"/>
      <c r="BK479" s="2338"/>
      <c r="BL479" s="2338"/>
      <c r="BM479" s="2338"/>
      <c r="BN479" s="2338"/>
      <c r="BO479" s="2338"/>
      <c r="BP479" s="2338"/>
      <c r="BQ479" s="2338"/>
      <c r="BR479" s="2338"/>
      <c r="BS479" s="2338"/>
      <c r="BT479" s="2338"/>
      <c r="BU479" s="2338"/>
      <c r="BV479" s="2338"/>
      <c r="BW479" s="2338"/>
      <c r="BX479" s="2338"/>
      <c r="BY479" s="2338"/>
      <c r="BZ479" s="2338"/>
      <c r="CA479" s="2338"/>
      <c r="CB479" s="2338"/>
      <c r="CC479" s="2338"/>
      <c r="CD479" s="2338"/>
      <c r="CE479" s="2338"/>
      <c r="CF479" s="2338"/>
      <c r="CG479" s="2338"/>
      <c r="CH479" s="2338"/>
      <c r="CI479" s="2338"/>
      <c r="CJ479" s="2338"/>
      <c r="CK479" s="2338"/>
      <c r="CL479" s="2338"/>
      <c r="CM479" s="2338"/>
      <c r="CN479" s="2338"/>
      <c r="CO479" s="2338"/>
      <c r="CP479" s="2338"/>
      <c r="CQ479" s="2338"/>
      <c r="CR479" s="2338"/>
      <c r="CS479" s="2338"/>
      <c r="CT479" s="2338"/>
      <c r="CU479" s="2338"/>
      <c r="CV479" s="2338"/>
      <c r="CW479" s="2338"/>
      <c r="CX479" s="2338"/>
      <c r="CY479" s="2338"/>
      <c r="CZ479" s="2338"/>
      <c r="DA479" s="2338"/>
      <c r="DB479" s="2338"/>
      <c r="DC479" s="2338"/>
      <c r="DD479" s="2338"/>
      <c r="DE479" s="2338"/>
      <c r="DF479" s="2338"/>
      <c r="DG479" s="2338"/>
      <c r="DH479" s="2338"/>
      <c r="DI479" s="2338"/>
      <c r="DJ479" s="2338"/>
      <c r="DK479" s="2338"/>
      <c r="DL479" s="2338"/>
      <c r="DM479" s="2338"/>
      <c r="DN479" s="2338"/>
      <c r="DO479" s="2338"/>
    </row>
    <row r="480" spans="26:119">
      <c r="Z480" s="2338"/>
      <c r="AA480" s="2338"/>
      <c r="AB480" s="2338"/>
      <c r="AC480" s="2338"/>
      <c r="AD480" s="2338"/>
      <c r="AE480" s="2338"/>
      <c r="AF480" s="2338"/>
      <c r="AG480" s="2338"/>
      <c r="AH480" s="2338"/>
      <c r="AI480" s="2338"/>
      <c r="AJ480" s="2338"/>
      <c r="AK480" s="2338"/>
      <c r="AL480" s="2338"/>
      <c r="AM480" s="2338"/>
      <c r="AN480" s="2338"/>
      <c r="AO480" s="2338"/>
      <c r="AP480" s="2338"/>
      <c r="AQ480" s="2338"/>
      <c r="AR480" s="2338"/>
      <c r="AS480" s="2338"/>
      <c r="AT480" s="2338"/>
      <c r="AU480" s="2338"/>
      <c r="AV480" s="2338"/>
      <c r="AW480" s="2338"/>
      <c r="AX480" s="2338"/>
      <c r="AY480" s="2338"/>
      <c r="AZ480" s="2338"/>
      <c r="BA480" s="2338"/>
      <c r="BB480" s="2338"/>
      <c r="BC480" s="2338"/>
      <c r="BD480" s="2338"/>
      <c r="BE480" s="2338"/>
      <c r="BF480" s="2338"/>
      <c r="BG480" s="2338"/>
      <c r="BH480" s="2338"/>
      <c r="BI480" s="2338"/>
      <c r="BJ480" s="2338"/>
      <c r="BK480" s="2338"/>
      <c r="BL480" s="2338"/>
      <c r="BM480" s="2338"/>
      <c r="BN480" s="2338"/>
      <c r="BO480" s="2338"/>
      <c r="BP480" s="2338"/>
      <c r="BQ480" s="2338"/>
      <c r="BR480" s="2338"/>
      <c r="BS480" s="2338"/>
      <c r="BT480" s="2338"/>
      <c r="BU480" s="2338"/>
      <c r="BV480" s="2338"/>
      <c r="BW480" s="2338"/>
      <c r="BX480" s="2338"/>
      <c r="BY480" s="2338"/>
      <c r="BZ480" s="2338"/>
      <c r="CA480" s="2338"/>
      <c r="CB480" s="2338"/>
      <c r="CC480" s="2338"/>
      <c r="CD480" s="2338"/>
      <c r="CE480" s="2338"/>
      <c r="CF480" s="2338"/>
      <c r="CG480" s="2338"/>
      <c r="CH480" s="2338"/>
      <c r="CI480" s="2338"/>
      <c r="CJ480" s="2338"/>
      <c r="CK480" s="2338"/>
      <c r="CL480" s="2338"/>
      <c r="CM480" s="2338"/>
      <c r="CN480" s="2338"/>
      <c r="CO480" s="2338"/>
      <c r="CP480" s="2338"/>
      <c r="CQ480" s="2338"/>
      <c r="CR480" s="2338"/>
      <c r="CS480" s="2338"/>
      <c r="CT480" s="2338"/>
      <c r="CU480" s="2338"/>
      <c r="CV480" s="2338"/>
      <c r="CW480" s="2338"/>
      <c r="CX480" s="2338"/>
      <c r="CY480" s="2338"/>
      <c r="CZ480" s="2338"/>
      <c r="DA480" s="2338"/>
      <c r="DB480" s="2338"/>
      <c r="DC480" s="2338"/>
      <c r="DD480" s="2338"/>
      <c r="DE480" s="2338"/>
      <c r="DF480" s="2338"/>
      <c r="DG480" s="2338"/>
      <c r="DH480" s="2338"/>
      <c r="DI480" s="2338"/>
      <c r="DJ480" s="2338"/>
      <c r="DK480" s="2338"/>
      <c r="DL480" s="2338"/>
      <c r="DM480" s="2338"/>
      <c r="DN480" s="2338"/>
      <c r="DO480" s="2338"/>
    </row>
    <row r="481" spans="26:119">
      <c r="Z481" s="2338"/>
      <c r="AA481" s="2338"/>
      <c r="AB481" s="2338"/>
      <c r="AC481" s="2338"/>
      <c r="AD481" s="2338"/>
      <c r="AE481" s="2338"/>
      <c r="AF481" s="2338"/>
      <c r="AG481" s="2338"/>
      <c r="AH481" s="2338"/>
      <c r="AI481" s="2338"/>
      <c r="AJ481" s="2338"/>
      <c r="AK481" s="2338"/>
      <c r="AL481" s="2338"/>
      <c r="AM481" s="2338"/>
      <c r="AN481" s="2338"/>
      <c r="AO481" s="2338"/>
      <c r="AP481" s="2338"/>
      <c r="AQ481" s="2338"/>
      <c r="AR481" s="2338"/>
      <c r="AS481" s="2338"/>
      <c r="AT481" s="2338"/>
      <c r="AU481" s="2338"/>
      <c r="AV481" s="2338"/>
      <c r="AW481" s="2338"/>
      <c r="AX481" s="2338"/>
      <c r="AY481" s="2338"/>
      <c r="AZ481" s="2338"/>
      <c r="BA481" s="2338"/>
      <c r="BB481" s="2338"/>
      <c r="BC481" s="2338"/>
      <c r="BD481" s="2338"/>
      <c r="BE481" s="2338"/>
      <c r="BF481" s="2338"/>
      <c r="BG481" s="2338"/>
      <c r="BH481" s="2338"/>
      <c r="BI481" s="2338"/>
      <c r="BJ481" s="2338"/>
      <c r="BK481" s="2338"/>
      <c r="BL481" s="2338"/>
      <c r="BM481" s="2338"/>
      <c r="BN481" s="2338"/>
      <c r="BO481" s="2338"/>
      <c r="BP481" s="2338"/>
      <c r="BQ481" s="2338"/>
      <c r="BR481" s="2338"/>
      <c r="BS481" s="2338"/>
      <c r="BT481" s="2338"/>
      <c r="BU481" s="2338"/>
      <c r="BV481" s="2338"/>
      <c r="BW481" s="2338"/>
      <c r="BX481" s="2338"/>
      <c r="BY481" s="2338"/>
      <c r="BZ481" s="2338"/>
      <c r="CA481" s="2338"/>
      <c r="CB481" s="2338"/>
      <c r="CC481" s="2338"/>
      <c r="CD481" s="2338"/>
      <c r="CE481" s="2338"/>
      <c r="CF481" s="2338"/>
      <c r="CG481" s="2338"/>
      <c r="CH481" s="2338"/>
      <c r="CI481" s="2338"/>
      <c r="CJ481" s="2338"/>
      <c r="CK481" s="2338"/>
      <c r="CL481" s="2338"/>
      <c r="CM481" s="2338"/>
      <c r="CN481" s="2338"/>
      <c r="CO481" s="2338"/>
      <c r="CP481" s="2338"/>
      <c r="CQ481" s="2338"/>
      <c r="CR481" s="2338"/>
      <c r="CS481" s="2338"/>
      <c r="CT481" s="2338"/>
      <c r="CU481" s="2338"/>
      <c r="CV481" s="2338"/>
      <c r="CW481" s="2338"/>
      <c r="CX481" s="2338"/>
      <c r="CY481" s="2338"/>
      <c r="CZ481" s="2338"/>
      <c r="DA481" s="2338"/>
      <c r="DB481" s="2338"/>
      <c r="DC481" s="2338"/>
      <c r="DD481" s="2338"/>
      <c r="DE481" s="2338"/>
      <c r="DF481" s="2338"/>
      <c r="DG481" s="2338"/>
      <c r="DH481" s="2338"/>
      <c r="DI481" s="2338"/>
      <c r="DJ481" s="2338"/>
      <c r="DK481" s="2338"/>
      <c r="DL481" s="2338"/>
      <c r="DM481" s="2338"/>
      <c r="DN481" s="2338"/>
      <c r="DO481" s="2338"/>
    </row>
    <row r="482" spans="26:119">
      <c r="Z482" s="2338"/>
      <c r="AA482" s="2338"/>
      <c r="AB482" s="2338"/>
      <c r="AC482" s="2338"/>
      <c r="AD482" s="2338"/>
      <c r="AE482" s="2338"/>
      <c r="AF482" s="2338"/>
      <c r="AG482" s="2338"/>
      <c r="AH482" s="2338"/>
      <c r="AI482" s="2338"/>
      <c r="AJ482" s="2338"/>
      <c r="AK482" s="2338"/>
      <c r="AL482" s="2338"/>
      <c r="AM482" s="2338"/>
      <c r="AN482" s="2338"/>
      <c r="AO482" s="2338"/>
      <c r="AP482" s="2338"/>
      <c r="AQ482" s="2338"/>
      <c r="AR482" s="2338"/>
      <c r="AS482" s="2338"/>
      <c r="AT482" s="2338"/>
      <c r="AU482" s="2338"/>
      <c r="AV482" s="2338"/>
      <c r="AW482" s="2338"/>
      <c r="AX482" s="2338"/>
      <c r="AY482" s="2338"/>
      <c r="AZ482" s="2338"/>
      <c r="BA482" s="2338"/>
      <c r="BB482" s="2338"/>
      <c r="BC482" s="2338"/>
      <c r="BD482" s="2338"/>
      <c r="BE482" s="2338"/>
      <c r="BF482" s="2338"/>
      <c r="BG482" s="2338"/>
      <c r="BH482" s="2338"/>
      <c r="BI482" s="2338"/>
      <c r="BJ482" s="2338"/>
      <c r="BK482" s="2338"/>
      <c r="BL482" s="2338"/>
      <c r="BM482" s="2338"/>
      <c r="BN482" s="2338"/>
      <c r="BO482" s="2338"/>
      <c r="BP482" s="2338"/>
      <c r="BQ482" s="2338"/>
      <c r="BR482" s="2338"/>
      <c r="BS482" s="2338"/>
      <c r="BT482" s="2338"/>
      <c r="BU482" s="2338"/>
      <c r="BV482" s="2338"/>
      <c r="BW482" s="2338"/>
      <c r="BX482" s="2338"/>
      <c r="BY482" s="2338"/>
      <c r="BZ482" s="2338"/>
      <c r="CA482" s="2338"/>
      <c r="CB482" s="2338"/>
      <c r="CC482" s="2338"/>
      <c r="CD482" s="2338"/>
      <c r="CE482" s="2338"/>
      <c r="CF482" s="2338"/>
      <c r="CG482" s="2338"/>
      <c r="CH482" s="2338"/>
      <c r="CI482" s="2338"/>
      <c r="CJ482" s="2338"/>
      <c r="CK482" s="2338"/>
      <c r="CL482" s="2338"/>
      <c r="CM482" s="2338"/>
      <c r="CN482" s="2338"/>
      <c r="CO482" s="2338"/>
      <c r="CP482" s="2338"/>
      <c r="CQ482" s="2338"/>
      <c r="CR482" s="2338"/>
      <c r="CS482" s="2338"/>
      <c r="CT482" s="2338"/>
      <c r="CU482" s="2338"/>
      <c r="CV482" s="2338"/>
      <c r="CW482" s="2338"/>
      <c r="CX482" s="2338"/>
      <c r="CY482" s="2338"/>
      <c r="CZ482" s="2338"/>
      <c r="DA482" s="2338"/>
      <c r="DB482" s="2338"/>
      <c r="DC482" s="2338"/>
      <c r="DD482" s="2338"/>
      <c r="DE482" s="2338"/>
      <c r="DF482" s="2338"/>
      <c r="DG482" s="2338"/>
      <c r="DH482" s="2338"/>
      <c r="DI482" s="2338"/>
      <c r="DJ482" s="2338"/>
      <c r="DK482" s="2338"/>
      <c r="DL482" s="2338"/>
      <c r="DM482" s="2338"/>
      <c r="DN482" s="2338"/>
      <c r="DO482" s="2338"/>
    </row>
    <row r="483" spans="26:119">
      <c r="Z483" s="2338"/>
      <c r="AA483" s="2338"/>
      <c r="AB483" s="2338"/>
      <c r="AC483" s="2338"/>
      <c r="AD483" s="2338"/>
      <c r="AE483" s="2338"/>
      <c r="AF483" s="2338"/>
      <c r="AG483" s="2338"/>
      <c r="AH483" s="2338"/>
      <c r="AI483" s="2338"/>
      <c r="AJ483" s="2338"/>
      <c r="AK483" s="2338"/>
      <c r="AL483" s="2338"/>
      <c r="AM483" s="2338"/>
      <c r="AN483" s="2338"/>
      <c r="AO483" s="2338"/>
      <c r="AP483" s="2338"/>
      <c r="AQ483" s="2338"/>
      <c r="AR483" s="2338"/>
      <c r="AS483" s="2338"/>
      <c r="AT483" s="2338"/>
      <c r="AU483" s="2338"/>
      <c r="AV483" s="2338"/>
      <c r="AW483" s="2338"/>
      <c r="AX483" s="2338"/>
      <c r="AY483" s="2338"/>
      <c r="AZ483" s="2338"/>
      <c r="BA483" s="2338"/>
      <c r="BB483" s="2338"/>
      <c r="BC483" s="2338"/>
      <c r="BD483" s="2338"/>
      <c r="BE483" s="2338"/>
      <c r="BF483" s="2338"/>
      <c r="BG483" s="2338"/>
      <c r="BH483" s="2338"/>
      <c r="BI483" s="2338"/>
      <c r="BJ483" s="2338"/>
      <c r="BK483" s="2338"/>
      <c r="BL483" s="2338"/>
      <c r="BM483" s="2338"/>
      <c r="BN483" s="2338"/>
      <c r="BO483" s="2338"/>
      <c r="BP483" s="2338"/>
      <c r="BQ483" s="2338"/>
      <c r="BR483" s="2338"/>
      <c r="BS483" s="2338"/>
      <c r="BT483" s="2338"/>
      <c r="BU483" s="2338"/>
      <c r="BV483" s="2338"/>
      <c r="BW483" s="2338"/>
      <c r="BX483" s="2338"/>
      <c r="BY483" s="2338"/>
      <c r="BZ483" s="2338"/>
      <c r="CA483" s="2338"/>
      <c r="CB483" s="2338"/>
      <c r="CC483" s="2338"/>
      <c r="CD483" s="2338"/>
      <c r="CE483" s="2338"/>
      <c r="CF483" s="2338"/>
      <c r="CG483" s="2338"/>
      <c r="CH483" s="2338"/>
      <c r="CI483" s="2338"/>
      <c r="CJ483" s="2338"/>
      <c r="CK483" s="2338"/>
      <c r="CL483" s="2338"/>
      <c r="CM483" s="2338"/>
      <c r="CN483" s="2338"/>
      <c r="CO483" s="2338"/>
      <c r="CP483" s="2338"/>
      <c r="CQ483" s="2338"/>
      <c r="CR483" s="2338"/>
      <c r="CS483" s="2338"/>
      <c r="CT483" s="2338"/>
      <c r="CU483" s="2338"/>
      <c r="CV483" s="2338"/>
      <c r="CW483" s="2338"/>
      <c r="CX483" s="2338"/>
      <c r="CY483" s="2338"/>
      <c r="CZ483" s="2338"/>
      <c r="DA483" s="2338"/>
      <c r="DB483" s="2338"/>
      <c r="DC483" s="2338"/>
      <c r="DD483" s="2338"/>
      <c r="DE483" s="2338"/>
      <c r="DF483" s="2338"/>
      <c r="DG483" s="2338"/>
      <c r="DH483" s="2338"/>
      <c r="DI483" s="2338"/>
      <c r="DJ483" s="2338"/>
      <c r="DK483" s="2338"/>
      <c r="DL483" s="2338"/>
      <c r="DM483" s="2338"/>
      <c r="DN483" s="2338"/>
      <c r="DO483" s="2338"/>
    </row>
    <row r="484" spans="26:119">
      <c r="Z484" s="2338"/>
      <c r="AA484" s="2338"/>
      <c r="AB484" s="2338"/>
      <c r="AC484" s="2338"/>
      <c r="AD484" s="2338"/>
      <c r="AE484" s="2338"/>
      <c r="AF484" s="2338"/>
      <c r="AG484" s="2338"/>
      <c r="AH484" s="2338"/>
      <c r="AI484" s="2338"/>
      <c r="AJ484" s="2338"/>
      <c r="AK484" s="2338"/>
      <c r="AL484" s="2338"/>
      <c r="AM484" s="2338"/>
      <c r="AN484" s="2338"/>
      <c r="AO484" s="2338"/>
      <c r="AP484" s="2338"/>
      <c r="AQ484" s="2338"/>
      <c r="AR484" s="2338"/>
      <c r="AS484" s="2338"/>
      <c r="AT484" s="2338"/>
      <c r="AU484" s="2338"/>
      <c r="AV484" s="2338"/>
      <c r="AW484" s="2338"/>
      <c r="AX484" s="2338"/>
      <c r="AY484" s="2338"/>
      <c r="AZ484" s="2338"/>
      <c r="BA484" s="2338"/>
      <c r="BB484" s="2338"/>
      <c r="BC484" s="2338"/>
      <c r="BD484" s="2338"/>
      <c r="BE484" s="2338"/>
      <c r="BF484" s="2338"/>
      <c r="BG484" s="2338"/>
      <c r="BH484" s="2338"/>
      <c r="BI484" s="2338"/>
      <c r="BJ484" s="2338"/>
      <c r="BK484" s="2338"/>
      <c r="BL484" s="2338"/>
      <c r="BM484" s="2338"/>
      <c r="BN484" s="2338"/>
      <c r="BO484" s="2338"/>
      <c r="BP484" s="2338"/>
      <c r="BQ484" s="2338"/>
      <c r="BR484" s="2338"/>
      <c r="BS484" s="2338"/>
      <c r="BT484" s="2338"/>
      <c r="BU484" s="2338"/>
      <c r="BV484" s="2338"/>
      <c r="BW484" s="2338"/>
      <c r="BX484" s="2338"/>
      <c r="BY484" s="2338"/>
      <c r="BZ484" s="2338"/>
      <c r="CA484" s="2338"/>
      <c r="CB484" s="2338"/>
      <c r="CC484" s="2338"/>
      <c r="CD484" s="2338"/>
      <c r="CE484" s="2338"/>
      <c r="CF484" s="2338"/>
      <c r="CG484" s="2338"/>
      <c r="CH484" s="2338"/>
      <c r="CI484" s="2338"/>
      <c r="CJ484" s="2338"/>
      <c r="CK484" s="2338"/>
      <c r="CL484" s="2338"/>
      <c r="CM484" s="2338"/>
      <c r="CN484" s="2338"/>
      <c r="CO484" s="2338"/>
      <c r="CP484" s="2338"/>
      <c r="CQ484" s="2338"/>
      <c r="CR484" s="2338"/>
      <c r="CS484" s="2338"/>
      <c r="CT484" s="2338"/>
      <c r="CU484" s="2338"/>
      <c r="CV484" s="2338"/>
      <c r="CW484" s="2338"/>
      <c r="CX484" s="2338"/>
      <c r="CY484" s="2338"/>
      <c r="CZ484" s="2338"/>
      <c r="DA484" s="2338"/>
      <c r="DB484" s="2338"/>
      <c r="DC484" s="2338"/>
      <c r="DD484" s="2338"/>
      <c r="DE484" s="2338"/>
      <c r="DF484" s="2338"/>
      <c r="DG484" s="2338"/>
      <c r="DH484" s="2338"/>
      <c r="DI484" s="2338"/>
      <c r="DJ484" s="2338"/>
      <c r="DK484" s="2338"/>
      <c r="DL484" s="2338"/>
      <c r="DM484" s="2338"/>
      <c r="DN484" s="2338"/>
      <c r="DO484" s="2338"/>
    </row>
    <row r="485" spans="26:119">
      <c r="Z485" s="2338"/>
      <c r="AA485" s="2338"/>
      <c r="AB485" s="2338"/>
      <c r="AC485" s="2338"/>
      <c r="AD485" s="2338"/>
      <c r="AE485" s="2338"/>
      <c r="AF485" s="2338"/>
      <c r="AG485" s="2338"/>
      <c r="AH485" s="2338"/>
      <c r="AI485" s="2338"/>
      <c r="AJ485" s="2338"/>
      <c r="AK485" s="2338"/>
      <c r="AL485" s="2338"/>
      <c r="AM485" s="2338"/>
      <c r="AN485" s="2338"/>
      <c r="AO485" s="2338"/>
      <c r="AP485" s="2338"/>
      <c r="AQ485" s="2338"/>
      <c r="AR485" s="2338"/>
      <c r="AS485" s="2338"/>
      <c r="AT485" s="2338"/>
      <c r="AU485" s="2338"/>
      <c r="AV485" s="2338"/>
      <c r="AW485" s="2338"/>
      <c r="AX485" s="2338"/>
      <c r="AY485" s="2338"/>
      <c r="AZ485" s="2338"/>
      <c r="BA485" s="2338"/>
      <c r="BB485" s="2338"/>
      <c r="BC485" s="2338"/>
      <c r="BD485" s="2338"/>
      <c r="BE485" s="2338"/>
      <c r="BF485" s="2338"/>
      <c r="BG485" s="2338"/>
      <c r="BH485" s="2338"/>
      <c r="BI485" s="2338"/>
      <c r="BJ485" s="2338"/>
      <c r="BK485" s="2338"/>
      <c r="BL485" s="2338"/>
      <c r="BM485" s="2338"/>
      <c r="BN485" s="2338"/>
      <c r="BO485" s="2338"/>
      <c r="BP485" s="2338"/>
      <c r="BQ485" s="2338"/>
      <c r="BR485" s="2338"/>
      <c r="BS485" s="2338"/>
      <c r="BT485" s="2338"/>
      <c r="BU485" s="2338"/>
      <c r="BV485" s="2338"/>
      <c r="BW485" s="2338"/>
      <c r="BX485" s="2338"/>
      <c r="BY485" s="2338"/>
      <c r="BZ485" s="2338"/>
      <c r="CA485" s="2338"/>
      <c r="CB485" s="2338"/>
      <c r="CC485" s="2338"/>
      <c r="CD485" s="2338"/>
      <c r="CE485" s="2338"/>
      <c r="CF485" s="2338"/>
      <c r="CG485" s="2338"/>
      <c r="CH485" s="2338"/>
      <c r="CI485" s="2338"/>
      <c r="CJ485" s="2338"/>
      <c r="CK485" s="2338"/>
      <c r="CL485" s="2338"/>
      <c r="CM485" s="2338"/>
      <c r="CN485" s="2338"/>
      <c r="CO485" s="2338"/>
      <c r="CP485" s="2338"/>
      <c r="CQ485" s="2338"/>
      <c r="CR485" s="2338"/>
      <c r="CS485" s="2338"/>
      <c r="CT485" s="2338"/>
      <c r="CU485" s="2338"/>
      <c r="CV485" s="2338"/>
      <c r="CW485" s="2338"/>
      <c r="CX485" s="2338"/>
      <c r="CY485" s="2338"/>
      <c r="CZ485" s="2338"/>
      <c r="DA485" s="2338"/>
      <c r="DB485" s="2338"/>
      <c r="DC485" s="2338"/>
      <c r="DD485" s="2338"/>
      <c r="DE485" s="2338"/>
      <c r="DF485" s="2338"/>
      <c r="DG485" s="2338"/>
      <c r="DH485" s="2338"/>
      <c r="DI485" s="2338"/>
      <c r="DJ485" s="2338"/>
      <c r="DK485" s="2338"/>
      <c r="DL485" s="2338"/>
      <c r="DM485" s="2338"/>
      <c r="DN485" s="2338"/>
      <c r="DO485" s="2338"/>
    </row>
    <row r="486" spans="26:119">
      <c r="Z486" s="2338"/>
      <c r="AA486" s="2338"/>
      <c r="AB486" s="2338"/>
      <c r="AC486" s="2338"/>
      <c r="AD486" s="2338"/>
      <c r="AE486" s="2338"/>
      <c r="AF486" s="2338"/>
      <c r="AG486" s="2338"/>
      <c r="AH486" s="2338"/>
      <c r="AI486" s="2338"/>
      <c r="AJ486" s="2338"/>
      <c r="AK486" s="2338"/>
      <c r="AL486" s="2338"/>
      <c r="AM486" s="2338"/>
      <c r="AN486" s="2338"/>
      <c r="AO486" s="2338"/>
      <c r="AP486" s="2338"/>
      <c r="AQ486" s="2338"/>
      <c r="AR486" s="2338"/>
      <c r="AS486" s="2338"/>
      <c r="AT486" s="2338"/>
      <c r="AU486" s="2338"/>
      <c r="AV486" s="2338"/>
      <c r="AW486" s="2338"/>
      <c r="AX486" s="2338"/>
      <c r="AY486" s="2338"/>
      <c r="AZ486" s="2338"/>
      <c r="BA486" s="2338"/>
      <c r="BB486" s="2338"/>
      <c r="BC486" s="2338"/>
      <c r="BD486" s="2338"/>
      <c r="BE486" s="2338"/>
      <c r="BF486" s="2338"/>
      <c r="BG486" s="2338"/>
      <c r="BH486" s="2338"/>
      <c r="BI486" s="2338"/>
      <c r="BJ486" s="2338"/>
      <c r="BK486" s="2338"/>
      <c r="BL486" s="2338"/>
      <c r="BM486" s="2338"/>
      <c r="BN486" s="2338"/>
      <c r="BO486" s="2338"/>
      <c r="BP486" s="2338"/>
      <c r="BQ486" s="2338"/>
      <c r="BR486" s="2338"/>
      <c r="BS486" s="2338"/>
      <c r="BT486" s="2338"/>
      <c r="BU486" s="2338"/>
      <c r="BV486" s="2338"/>
      <c r="BW486" s="2338"/>
      <c r="BX486" s="2338"/>
      <c r="BY486" s="2338"/>
      <c r="BZ486" s="2338"/>
      <c r="CA486" s="2338"/>
      <c r="CB486" s="2338"/>
      <c r="CC486" s="2338"/>
      <c r="CD486" s="2338"/>
      <c r="CE486" s="2338"/>
      <c r="CF486" s="2338"/>
      <c r="CG486" s="2338"/>
      <c r="CH486" s="2338"/>
      <c r="CI486" s="2338"/>
      <c r="CJ486" s="2338"/>
      <c r="CK486" s="2338"/>
      <c r="CL486" s="2338"/>
      <c r="CM486" s="2338"/>
      <c r="CN486" s="2338"/>
      <c r="CO486" s="2338"/>
      <c r="CP486" s="2338"/>
      <c r="CQ486" s="2338"/>
      <c r="CR486" s="2338"/>
      <c r="CS486" s="2338"/>
      <c r="CT486" s="2338"/>
      <c r="CU486" s="2338"/>
      <c r="CV486" s="2338"/>
      <c r="CW486" s="2338"/>
      <c r="CX486" s="2338"/>
      <c r="CY486" s="2338"/>
      <c r="CZ486" s="2338"/>
      <c r="DA486" s="2338"/>
      <c r="DB486" s="2338"/>
      <c r="DC486" s="2338"/>
      <c r="DD486" s="2338"/>
      <c r="DE486" s="2338"/>
      <c r="DF486" s="2338"/>
      <c r="DG486" s="2338"/>
      <c r="DH486" s="2338"/>
      <c r="DI486" s="2338"/>
      <c r="DJ486" s="2338"/>
      <c r="DK486" s="2338"/>
      <c r="DL486" s="2338"/>
      <c r="DM486" s="2338"/>
      <c r="DN486" s="2338"/>
      <c r="DO486" s="2338"/>
    </row>
    <row r="487" spans="26:119">
      <c r="Z487" s="2338"/>
      <c r="AA487" s="2338"/>
      <c r="AB487" s="2338"/>
      <c r="AC487" s="2338"/>
      <c r="AD487" s="2338"/>
      <c r="AE487" s="2338"/>
      <c r="AF487" s="2338"/>
      <c r="AG487" s="2338"/>
      <c r="AH487" s="2338"/>
      <c r="AI487" s="2338"/>
      <c r="AJ487" s="2338"/>
      <c r="AK487" s="2338"/>
      <c r="AL487" s="2338"/>
      <c r="AM487" s="2338"/>
      <c r="AN487" s="2338"/>
      <c r="AO487" s="2338"/>
      <c r="AP487" s="2338"/>
      <c r="AQ487" s="2338"/>
      <c r="AR487" s="2338"/>
      <c r="AS487" s="2338"/>
      <c r="AT487" s="2338"/>
      <c r="AU487" s="2338"/>
      <c r="AV487" s="2338"/>
      <c r="AW487" s="2338"/>
      <c r="AX487" s="2338"/>
      <c r="AY487" s="2338"/>
      <c r="AZ487" s="2338"/>
      <c r="BA487" s="2338"/>
      <c r="BB487" s="2338"/>
      <c r="BC487" s="2338"/>
      <c r="BD487" s="2338"/>
      <c r="BE487" s="2338"/>
      <c r="BF487" s="2338"/>
      <c r="BG487" s="2338"/>
      <c r="BH487" s="2338"/>
      <c r="BI487" s="2338"/>
      <c r="BJ487" s="2338"/>
      <c r="BK487" s="2338"/>
      <c r="BL487" s="2338"/>
      <c r="BM487" s="2338"/>
      <c r="BN487" s="2338"/>
      <c r="BO487" s="2338"/>
      <c r="BP487" s="2338"/>
      <c r="BQ487" s="2338"/>
      <c r="BR487" s="2338"/>
      <c r="BS487" s="2338"/>
      <c r="BT487" s="2338"/>
      <c r="BU487" s="2338"/>
      <c r="BV487" s="2338"/>
      <c r="BW487" s="2338"/>
      <c r="BX487" s="2338"/>
      <c r="BY487" s="2338"/>
      <c r="BZ487" s="2338"/>
      <c r="CA487" s="2338"/>
      <c r="CB487" s="2338"/>
      <c r="CC487" s="2338"/>
      <c r="CD487" s="2338"/>
      <c r="CE487" s="2338"/>
      <c r="CF487" s="2338"/>
      <c r="CG487" s="2338"/>
      <c r="CH487" s="2338"/>
      <c r="CI487" s="2338"/>
      <c r="CJ487" s="2338"/>
      <c r="CK487" s="2338"/>
      <c r="CL487" s="2338"/>
      <c r="CM487" s="2338"/>
      <c r="CN487" s="2338"/>
      <c r="CO487" s="2338"/>
      <c r="CP487" s="2338"/>
      <c r="CQ487" s="2338"/>
      <c r="CR487" s="2338"/>
      <c r="CS487" s="2338"/>
      <c r="CT487" s="2338"/>
      <c r="CU487" s="2338"/>
      <c r="CV487" s="2338"/>
      <c r="CW487" s="2338"/>
      <c r="CX487" s="2338"/>
      <c r="CY487" s="2338"/>
      <c r="CZ487" s="2338"/>
      <c r="DA487" s="2338"/>
      <c r="DB487" s="2338"/>
      <c r="DC487" s="2338"/>
      <c r="DD487" s="2338"/>
      <c r="DE487" s="2338"/>
      <c r="DF487" s="2338"/>
      <c r="DG487" s="2338"/>
      <c r="DH487" s="2338"/>
      <c r="DI487" s="2338"/>
      <c r="DJ487" s="2338"/>
      <c r="DK487" s="2338"/>
      <c r="DL487" s="2338"/>
      <c r="DM487" s="2338"/>
      <c r="DN487" s="2338"/>
      <c r="DO487" s="2338"/>
    </row>
    <row r="488" spans="26:119">
      <c r="Z488" s="2338"/>
      <c r="AA488" s="2338"/>
      <c r="AB488" s="2338"/>
      <c r="AC488" s="2338"/>
      <c r="AD488" s="2338"/>
      <c r="AE488" s="2338"/>
      <c r="AF488" s="2338"/>
      <c r="AG488" s="2338"/>
      <c r="AH488" s="2338"/>
      <c r="AI488" s="2338"/>
      <c r="AJ488" s="2338"/>
      <c r="AK488" s="2338"/>
      <c r="AL488" s="2338"/>
      <c r="AM488" s="2338"/>
      <c r="AN488" s="2338"/>
      <c r="AO488" s="2338"/>
      <c r="AP488" s="2338"/>
      <c r="AQ488" s="2338"/>
      <c r="AR488" s="2338"/>
      <c r="AS488" s="2338"/>
      <c r="AT488" s="2338"/>
      <c r="AU488" s="2338"/>
      <c r="AV488" s="2338"/>
      <c r="AW488" s="2338"/>
      <c r="AX488" s="2338"/>
      <c r="AY488" s="2338"/>
      <c r="AZ488" s="2338"/>
      <c r="BA488" s="2338"/>
      <c r="BB488" s="2338"/>
      <c r="BC488" s="2338"/>
      <c r="BD488" s="2338"/>
      <c r="BE488" s="2338"/>
      <c r="BF488" s="2338"/>
      <c r="BG488" s="2338"/>
      <c r="BH488" s="2338"/>
      <c r="BI488" s="2338"/>
      <c r="BJ488" s="2338"/>
      <c r="BK488" s="2338"/>
      <c r="BL488" s="2338"/>
      <c r="BM488" s="2338"/>
      <c r="BN488" s="2338"/>
      <c r="BO488" s="2338"/>
      <c r="BP488" s="2338"/>
      <c r="BQ488" s="2338"/>
      <c r="BR488" s="2338"/>
      <c r="BS488" s="2338"/>
      <c r="BT488" s="2338"/>
      <c r="BU488" s="2338"/>
      <c r="BV488" s="2338"/>
      <c r="BW488" s="2338"/>
      <c r="BX488" s="2338"/>
      <c r="BY488" s="2338"/>
      <c r="BZ488" s="2338"/>
      <c r="CA488" s="2338"/>
      <c r="CB488" s="2338"/>
      <c r="CC488" s="2338"/>
      <c r="CD488" s="2338"/>
      <c r="CE488" s="2338"/>
      <c r="CF488" s="2338"/>
      <c r="CG488" s="2338"/>
      <c r="CH488" s="2338"/>
      <c r="CI488" s="2338"/>
      <c r="CJ488" s="2338"/>
      <c r="CK488" s="2338"/>
      <c r="CL488" s="2338"/>
      <c r="CM488" s="2338"/>
      <c r="CN488" s="2338"/>
      <c r="CO488" s="2338"/>
      <c r="CP488" s="2338"/>
      <c r="CQ488" s="2338"/>
      <c r="CR488" s="2338"/>
      <c r="CS488" s="2338"/>
      <c r="CT488" s="2338"/>
      <c r="CU488" s="2338"/>
      <c r="CV488" s="2338"/>
      <c r="CW488" s="2338"/>
      <c r="CX488" s="2338"/>
      <c r="CY488" s="2338"/>
      <c r="CZ488" s="2338"/>
      <c r="DA488" s="2338"/>
      <c r="DB488" s="2338"/>
      <c r="DC488" s="2338"/>
      <c r="DD488" s="2338"/>
      <c r="DE488" s="2338"/>
      <c r="DF488" s="2338"/>
      <c r="DG488" s="2338"/>
      <c r="DH488" s="2338"/>
      <c r="DI488" s="2338"/>
      <c r="DJ488" s="2338"/>
      <c r="DK488" s="2338"/>
      <c r="DL488" s="2338"/>
      <c r="DM488" s="2338"/>
      <c r="DN488" s="2338"/>
      <c r="DO488" s="2338"/>
    </row>
    <row r="489" spans="26:119">
      <c r="Z489" s="2338"/>
      <c r="AA489" s="2338"/>
      <c r="AB489" s="2338"/>
      <c r="AC489" s="2338"/>
      <c r="AD489" s="2338"/>
      <c r="AE489" s="2338"/>
      <c r="AF489" s="2338"/>
      <c r="AG489" s="2338"/>
      <c r="AH489" s="2338"/>
      <c r="AI489" s="2338"/>
      <c r="AJ489" s="2338"/>
      <c r="AK489" s="2338"/>
      <c r="AL489" s="2338"/>
      <c r="AM489" s="2338"/>
      <c r="AN489" s="2338"/>
      <c r="AO489" s="2338"/>
      <c r="AP489" s="2338"/>
      <c r="AQ489" s="2338"/>
      <c r="AR489" s="2338"/>
      <c r="AS489" s="2338"/>
      <c r="AT489" s="2338"/>
      <c r="AU489" s="2338"/>
      <c r="AV489" s="2338"/>
      <c r="AW489" s="2338"/>
      <c r="AX489" s="2338"/>
      <c r="AY489" s="2338"/>
      <c r="AZ489" s="2338"/>
      <c r="BA489" s="2338"/>
      <c r="BB489" s="2338"/>
      <c r="BC489" s="2338"/>
      <c r="BD489" s="2338"/>
      <c r="BE489" s="2338"/>
      <c r="BF489" s="2338"/>
      <c r="BG489" s="2338"/>
      <c r="BH489" s="2338"/>
      <c r="BI489" s="2338"/>
      <c r="BJ489" s="2338"/>
      <c r="BK489" s="2338"/>
      <c r="BL489" s="2338"/>
      <c r="BM489" s="2338"/>
      <c r="BN489" s="2338"/>
      <c r="BO489" s="2338"/>
      <c r="BP489" s="2338"/>
      <c r="BQ489" s="2338"/>
      <c r="BR489" s="2338"/>
      <c r="BS489" s="2338"/>
      <c r="BT489" s="2338"/>
      <c r="BU489" s="2338"/>
      <c r="BV489" s="2338"/>
      <c r="BW489" s="2338"/>
      <c r="BX489" s="2338"/>
      <c r="BY489" s="2338"/>
      <c r="BZ489" s="2338"/>
      <c r="CA489" s="2338"/>
      <c r="CB489" s="2338"/>
      <c r="CC489" s="2338"/>
      <c r="CD489" s="2338"/>
      <c r="CE489" s="2338"/>
      <c r="CF489" s="2338"/>
      <c r="CG489" s="2338"/>
      <c r="CH489" s="2338"/>
      <c r="CI489" s="2338"/>
      <c r="CJ489" s="2338"/>
      <c r="CK489" s="2338"/>
      <c r="CL489" s="2338"/>
      <c r="CM489" s="2338"/>
      <c r="CN489" s="2338"/>
      <c r="CO489" s="2338"/>
      <c r="CP489" s="2338"/>
      <c r="CQ489" s="2338"/>
      <c r="CR489" s="2338"/>
      <c r="CS489" s="2338"/>
      <c r="CT489" s="2338"/>
      <c r="CU489" s="2338"/>
      <c r="CV489" s="2338"/>
      <c r="CW489" s="2338"/>
      <c r="CX489" s="2338"/>
      <c r="CY489" s="2338"/>
      <c r="CZ489" s="2338"/>
      <c r="DA489" s="2338"/>
      <c r="DB489" s="2338"/>
      <c r="DC489" s="2338"/>
      <c r="DD489" s="2338"/>
      <c r="DE489" s="2338"/>
      <c r="DF489" s="2338"/>
      <c r="DG489" s="2338"/>
      <c r="DH489" s="2338"/>
      <c r="DI489" s="2338"/>
      <c r="DJ489" s="2338"/>
      <c r="DK489" s="2338"/>
      <c r="DL489" s="2338"/>
      <c r="DM489" s="2338"/>
      <c r="DN489" s="2338"/>
      <c r="DO489" s="2338"/>
    </row>
    <row r="490" spans="26:119">
      <c r="Z490" s="2338"/>
      <c r="AA490" s="2338"/>
      <c r="AB490" s="2338"/>
      <c r="AC490" s="2338"/>
      <c r="AD490" s="2338"/>
      <c r="AE490" s="2338"/>
      <c r="AF490" s="2338"/>
      <c r="AG490" s="2338"/>
      <c r="AH490" s="2338"/>
      <c r="AI490" s="2338"/>
      <c r="AJ490" s="2338"/>
      <c r="AK490" s="2338"/>
      <c r="AL490" s="2338"/>
      <c r="AM490" s="2338"/>
      <c r="AN490" s="2338"/>
      <c r="AO490" s="2338"/>
      <c r="AP490" s="2338"/>
      <c r="AQ490" s="2338"/>
      <c r="AR490" s="2338"/>
      <c r="AS490" s="2338"/>
      <c r="AT490" s="2338"/>
      <c r="AU490" s="2338"/>
      <c r="AV490" s="2338"/>
      <c r="AW490" s="2338"/>
      <c r="AX490" s="2338"/>
      <c r="AY490" s="2338"/>
      <c r="AZ490" s="2338"/>
      <c r="BA490" s="2338"/>
      <c r="BB490" s="2338"/>
      <c r="BC490" s="2338"/>
      <c r="BD490" s="2338"/>
      <c r="BE490" s="2338"/>
      <c r="BF490" s="2338"/>
      <c r="BG490" s="2338"/>
      <c r="BH490" s="2338"/>
      <c r="BI490" s="2338"/>
      <c r="BJ490" s="2338"/>
      <c r="BK490" s="2338"/>
      <c r="BL490" s="2338"/>
      <c r="BM490" s="2338"/>
      <c r="BN490" s="2338"/>
      <c r="BO490" s="2338"/>
      <c r="BP490" s="2338"/>
      <c r="BQ490" s="2338"/>
      <c r="BR490" s="2338"/>
      <c r="BS490" s="2338"/>
      <c r="BT490" s="2338"/>
      <c r="BU490" s="2338"/>
      <c r="BV490" s="2338"/>
      <c r="BW490" s="2338"/>
      <c r="BX490" s="2338"/>
      <c r="BY490" s="2338"/>
      <c r="BZ490" s="2338"/>
      <c r="CA490" s="2338"/>
      <c r="CB490" s="2338"/>
      <c r="CC490" s="2338"/>
      <c r="CD490" s="2338"/>
      <c r="CE490" s="2338"/>
      <c r="CF490" s="2338"/>
      <c r="CG490" s="2338"/>
      <c r="CH490" s="2338"/>
      <c r="CI490" s="2338"/>
      <c r="CJ490" s="2338"/>
      <c r="CK490" s="2338"/>
      <c r="CL490" s="2338"/>
      <c r="CM490" s="2338"/>
      <c r="CN490" s="2338"/>
      <c r="CO490" s="2338"/>
      <c r="CP490" s="2338"/>
      <c r="CQ490" s="2338"/>
      <c r="CR490" s="2338"/>
      <c r="CS490" s="2338"/>
      <c r="CT490" s="2338"/>
      <c r="CU490" s="2338"/>
      <c r="CV490" s="2338"/>
      <c r="CW490" s="2338"/>
      <c r="CX490" s="2338"/>
      <c r="CY490" s="2338"/>
      <c r="CZ490" s="2338"/>
      <c r="DA490" s="2338"/>
      <c r="DB490" s="2338"/>
      <c r="DC490" s="2338"/>
      <c r="DD490" s="2338"/>
      <c r="DE490" s="2338"/>
      <c r="DF490" s="2338"/>
      <c r="DG490" s="2338"/>
      <c r="DH490" s="2338"/>
      <c r="DI490" s="2338"/>
      <c r="DJ490" s="2338"/>
      <c r="DK490" s="2338"/>
      <c r="DL490" s="2338"/>
      <c r="DM490" s="2338"/>
      <c r="DN490" s="2338"/>
      <c r="DO490" s="2338"/>
    </row>
    <row r="491" spans="26:119">
      <c r="Z491" s="2338"/>
      <c r="AA491" s="2338"/>
      <c r="AB491" s="2338"/>
      <c r="AC491" s="2338"/>
      <c r="AD491" s="2338"/>
      <c r="AE491" s="2338"/>
      <c r="AF491" s="2338"/>
      <c r="AG491" s="2338"/>
      <c r="AH491" s="2338"/>
      <c r="AI491" s="2338"/>
      <c r="AJ491" s="2338"/>
      <c r="AK491" s="2338"/>
      <c r="AL491" s="2338"/>
      <c r="AM491" s="2338"/>
      <c r="AN491" s="2338"/>
      <c r="AO491" s="2338"/>
      <c r="AP491" s="2338"/>
      <c r="AQ491" s="2338"/>
      <c r="AR491" s="2338"/>
      <c r="AS491" s="2338"/>
      <c r="AT491" s="2338"/>
      <c r="AU491" s="2338"/>
      <c r="AV491" s="2338"/>
      <c r="AW491" s="2338"/>
      <c r="AX491" s="2338"/>
      <c r="AY491" s="2338"/>
      <c r="AZ491" s="2338"/>
      <c r="BA491" s="2338"/>
      <c r="BB491" s="2338"/>
      <c r="BC491" s="2338"/>
      <c r="BD491" s="2338"/>
      <c r="BE491" s="2338"/>
      <c r="BF491" s="2338"/>
      <c r="BG491" s="2338"/>
      <c r="BH491" s="2338"/>
      <c r="BI491" s="2338"/>
      <c r="BJ491" s="2338"/>
      <c r="BK491" s="2338"/>
      <c r="BL491" s="2338"/>
      <c r="BM491" s="2338"/>
      <c r="BN491" s="2338"/>
      <c r="BO491" s="2338"/>
      <c r="BP491" s="2338"/>
      <c r="BQ491" s="2338"/>
      <c r="BR491" s="2338"/>
      <c r="BS491" s="2338"/>
      <c r="BT491" s="2338"/>
      <c r="BU491" s="2338"/>
      <c r="BV491" s="2338"/>
      <c r="BW491" s="2338"/>
      <c r="BX491" s="2338"/>
      <c r="BY491" s="2338"/>
      <c r="BZ491" s="2338"/>
      <c r="CA491" s="2338"/>
      <c r="CB491" s="2338"/>
      <c r="CC491" s="2338"/>
      <c r="CD491" s="2338"/>
      <c r="CE491" s="2338"/>
      <c r="CF491" s="2338"/>
      <c r="CG491" s="2338"/>
      <c r="CH491" s="2338"/>
      <c r="CI491" s="2338"/>
      <c r="CJ491" s="2338"/>
      <c r="CK491" s="2338"/>
      <c r="CL491" s="2338"/>
      <c r="CM491" s="2338"/>
      <c r="CN491" s="2338"/>
      <c r="CO491" s="2338"/>
      <c r="CP491" s="2338"/>
      <c r="CQ491" s="2338"/>
      <c r="CR491" s="2338"/>
      <c r="CS491" s="2338"/>
      <c r="CT491" s="2338"/>
      <c r="CU491" s="2338"/>
      <c r="CV491" s="2338"/>
      <c r="CW491" s="2338"/>
      <c r="CX491" s="2338"/>
      <c r="CY491" s="2338"/>
      <c r="CZ491" s="2338"/>
      <c r="DA491" s="2338"/>
      <c r="DB491" s="2338"/>
      <c r="DC491" s="2338"/>
      <c r="DD491" s="2338"/>
      <c r="DE491" s="2338"/>
      <c r="DF491" s="2338"/>
      <c r="DG491" s="2338"/>
      <c r="DH491" s="2338"/>
      <c r="DI491" s="2338"/>
      <c r="DJ491" s="2338"/>
      <c r="DK491" s="2338"/>
      <c r="DL491" s="2338"/>
      <c r="DM491" s="2338"/>
      <c r="DN491" s="2338"/>
      <c r="DO491" s="2338"/>
    </row>
    <row r="492" spans="26:119">
      <c r="Z492" s="2338"/>
      <c r="AA492" s="2338"/>
      <c r="AB492" s="2338"/>
      <c r="AC492" s="2338"/>
      <c r="AD492" s="2338"/>
      <c r="AE492" s="2338"/>
      <c r="AF492" s="2338"/>
      <c r="AG492" s="2338"/>
      <c r="AH492" s="2338"/>
      <c r="AI492" s="2338"/>
      <c r="AJ492" s="2338"/>
      <c r="AK492" s="2338"/>
      <c r="AL492" s="2338"/>
      <c r="AM492" s="2338"/>
      <c r="AN492" s="2338"/>
      <c r="AO492" s="2338"/>
      <c r="AP492" s="2338"/>
      <c r="AQ492" s="2338"/>
      <c r="AR492" s="2338"/>
      <c r="AS492" s="2338"/>
      <c r="AT492" s="2338"/>
      <c r="AU492" s="2338"/>
      <c r="AV492" s="2338"/>
      <c r="AW492" s="2338"/>
      <c r="AX492" s="2338"/>
      <c r="AY492" s="2338"/>
      <c r="AZ492" s="2338"/>
      <c r="BA492" s="2338"/>
      <c r="BB492" s="2338"/>
      <c r="BC492" s="2338"/>
      <c r="BD492" s="2338"/>
      <c r="BE492" s="2338"/>
      <c r="BF492" s="2338"/>
      <c r="BG492" s="2338"/>
      <c r="BH492" s="2338"/>
      <c r="BI492" s="2338"/>
      <c r="BJ492" s="2338"/>
      <c r="BK492" s="2338"/>
      <c r="BL492" s="2338"/>
      <c r="BM492" s="2338"/>
      <c r="BN492" s="2338"/>
      <c r="BO492" s="2338"/>
      <c r="BP492" s="2338"/>
      <c r="BQ492" s="2338"/>
      <c r="BR492" s="2338"/>
      <c r="BS492" s="2338"/>
      <c r="BT492" s="2338"/>
      <c r="BU492" s="2338"/>
      <c r="BV492" s="2338"/>
      <c r="BW492" s="2338"/>
      <c r="BX492" s="2338"/>
      <c r="BY492" s="2338"/>
      <c r="BZ492" s="2338"/>
      <c r="CA492" s="2338"/>
      <c r="CB492" s="2338"/>
      <c r="CC492" s="2338"/>
      <c r="CD492" s="2338"/>
      <c r="CE492" s="2338"/>
      <c r="CF492" s="2338"/>
      <c r="CG492" s="2338"/>
      <c r="CH492" s="2338"/>
      <c r="CI492" s="2338"/>
      <c r="CJ492" s="2338"/>
      <c r="CK492" s="2338"/>
      <c r="CL492" s="2338"/>
      <c r="CM492" s="2338"/>
      <c r="CN492" s="2338"/>
      <c r="CO492" s="2338"/>
      <c r="CP492" s="2338"/>
      <c r="CQ492" s="2338"/>
      <c r="CR492" s="2338"/>
      <c r="CS492" s="2338"/>
      <c r="CT492" s="2338"/>
      <c r="CU492" s="2338"/>
      <c r="CV492" s="2338"/>
      <c r="CW492" s="2338"/>
      <c r="CX492" s="2338"/>
      <c r="CY492" s="2338"/>
      <c r="CZ492" s="2338"/>
      <c r="DA492" s="2338"/>
      <c r="DB492" s="2338"/>
      <c r="DC492" s="2338"/>
      <c r="DD492" s="2338"/>
      <c r="DE492" s="2338"/>
      <c r="DF492" s="2338"/>
      <c r="DG492" s="2338"/>
      <c r="DH492" s="2338"/>
      <c r="DI492" s="2338"/>
      <c r="DJ492" s="2338"/>
      <c r="DK492" s="2338"/>
      <c r="DL492" s="2338"/>
      <c r="DM492" s="2338"/>
      <c r="DN492" s="2338"/>
      <c r="DO492" s="2338"/>
    </row>
    <row r="493" spans="26:119">
      <c r="Z493" s="2338"/>
      <c r="AA493" s="2338"/>
      <c r="AB493" s="2338"/>
      <c r="AC493" s="2338"/>
      <c r="AD493" s="2338"/>
      <c r="AE493" s="2338"/>
      <c r="AF493" s="2338"/>
      <c r="AG493" s="2338"/>
      <c r="AH493" s="2338"/>
      <c r="AI493" s="2338"/>
      <c r="AJ493" s="2338"/>
      <c r="AK493" s="2338"/>
      <c r="AL493" s="2338"/>
      <c r="AM493" s="2338"/>
      <c r="AN493" s="2338"/>
      <c r="AO493" s="2338"/>
      <c r="AP493" s="2338"/>
      <c r="AQ493" s="2338"/>
      <c r="AR493" s="2338"/>
      <c r="AS493" s="2338"/>
      <c r="AT493" s="2338"/>
      <c r="AU493" s="2338"/>
      <c r="AV493" s="2338"/>
      <c r="AW493" s="2338"/>
      <c r="AX493" s="2338"/>
      <c r="AY493" s="2338"/>
      <c r="AZ493" s="2338"/>
      <c r="BA493" s="2338"/>
      <c r="BB493" s="2338"/>
      <c r="BC493" s="2338"/>
      <c r="BD493" s="2338"/>
      <c r="BE493" s="2338"/>
      <c r="BF493" s="2338"/>
      <c r="BG493" s="2338"/>
      <c r="BH493" s="2338"/>
      <c r="BI493" s="2338"/>
      <c r="BJ493" s="2338"/>
      <c r="BK493" s="2338"/>
      <c r="BL493" s="2338"/>
      <c r="BM493" s="2338"/>
      <c r="BN493" s="2338"/>
      <c r="BO493" s="2338"/>
      <c r="BP493" s="2338"/>
      <c r="BQ493" s="2338"/>
      <c r="BR493" s="2338"/>
      <c r="BS493" s="2338"/>
      <c r="BT493" s="2338"/>
      <c r="BU493" s="2338"/>
      <c r="BV493" s="2338"/>
      <c r="BW493" s="2338"/>
      <c r="BX493" s="2338"/>
      <c r="BY493" s="2338"/>
      <c r="BZ493" s="2338"/>
      <c r="CA493" s="2338"/>
      <c r="CB493" s="2338"/>
      <c r="CC493" s="2338"/>
      <c r="CD493" s="2338"/>
      <c r="CE493" s="2338"/>
      <c r="CF493" s="2338"/>
      <c r="CG493" s="2338"/>
      <c r="CH493" s="2338"/>
      <c r="CI493" s="2338"/>
      <c r="CJ493" s="2338"/>
      <c r="CK493" s="2338"/>
      <c r="CL493" s="2338"/>
      <c r="CM493" s="2338"/>
      <c r="CN493" s="2338"/>
      <c r="CO493" s="2338"/>
      <c r="CP493" s="2338"/>
      <c r="CQ493" s="2338"/>
      <c r="CR493" s="2338"/>
      <c r="CS493" s="2338"/>
      <c r="CT493" s="2338"/>
      <c r="CU493" s="2338"/>
      <c r="CV493" s="2338"/>
      <c r="CW493" s="2338"/>
      <c r="CX493" s="2338"/>
      <c r="CY493" s="2338"/>
      <c r="CZ493" s="2338"/>
      <c r="DA493" s="2338"/>
      <c r="DB493" s="2338"/>
      <c r="DC493" s="2338"/>
      <c r="DD493" s="2338"/>
      <c r="DE493" s="2338"/>
      <c r="DF493" s="2338"/>
      <c r="DG493" s="2338"/>
      <c r="DH493" s="2338"/>
      <c r="DI493" s="2338"/>
      <c r="DJ493" s="2338"/>
      <c r="DK493" s="2338"/>
      <c r="DL493" s="2338"/>
      <c r="DM493" s="2338"/>
      <c r="DN493" s="2338"/>
      <c r="DO493" s="2338"/>
    </row>
    <row r="494" spans="26:119">
      <c r="Z494" s="2338"/>
      <c r="AA494" s="2338"/>
      <c r="AB494" s="2338"/>
      <c r="AC494" s="2338"/>
      <c r="AD494" s="2338"/>
      <c r="AE494" s="2338"/>
      <c r="AF494" s="2338"/>
      <c r="AG494" s="2338"/>
      <c r="AH494" s="2338"/>
      <c r="AI494" s="2338"/>
      <c r="AJ494" s="2338"/>
      <c r="AK494" s="2338"/>
      <c r="AL494" s="2338"/>
      <c r="AM494" s="2338"/>
      <c r="AN494" s="2338"/>
      <c r="AO494" s="2338"/>
      <c r="AP494" s="2338"/>
      <c r="AQ494" s="2338"/>
      <c r="AR494" s="2338"/>
      <c r="AS494" s="2338"/>
      <c r="AT494" s="2338"/>
      <c r="AU494" s="2338"/>
      <c r="AV494" s="2338"/>
      <c r="AW494" s="2338"/>
      <c r="AX494" s="2338"/>
      <c r="AY494" s="2338"/>
      <c r="AZ494" s="2338"/>
      <c r="BA494" s="2338"/>
      <c r="BB494" s="2338"/>
      <c r="BC494" s="2338"/>
      <c r="BD494" s="2338"/>
      <c r="BE494" s="2338"/>
      <c r="BF494" s="2338"/>
      <c r="BG494" s="2338"/>
      <c r="BH494" s="2338"/>
      <c r="BI494" s="2338"/>
      <c r="BJ494" s="2338"/>
      <c r="BK494" s="2338"/>
      <c r="BL494" s="2338"/>
      <c r="BM494" s="2338"/>
      <c r="BN494" s="2338"/>
      <c r="BO494" s="2338"/>
      <c r="BP494" s="2338"/>
      <c r="BQ494" s="2338"/>
      <c r="BR494" s="2338"/>
      <c r="BS494" s="2338"/>
      <c r="BT494" s="2338"/>
      <c r="BU494" s="2338"/>
      <c r="BV494" s="2338"/>
      <c r="BW494" s="2338"/>
      <c r="BX494" s="2338"/>
      <c r="BY494" s="2338"/>
      <c r="BZ494" s="2338"/>
      <c r="CA494" s="2338"/>
      <c r="CB494" s="2338"/>
      <c r="CC494" s="2338"/>
      <c r="CD494" s="2338"/>
      <c r="CE494" s="2338"/>
      <c r="CF494" s="2338"/>
      <c r="CG494" s="2338"/>
      <c r="CH494" s="2338"/>
      <c r="CI494" s="2338"/>
      <c r="CJ494" s="2338"/>
      <c r="CK494" s="2338"/>
      <c r="CL494" s="2338"/>
      <c r="CM494" s="2338"/>
      <c r="CN494" s="2338"/>
      <c r="CO494" s="2338"/>
      <c r="CP494" s="2338"/>
      <c r="CQ494" s="2338"/>
      <c r="CR494" s="2338"/>
      <c r="CS494" s="2338"/>
      <c r="CT494" s="2338"/>
      <c r="CU494" s="2338"/>
      <c r="CV494" s="2338"/>
      <c r="CW494" s="2338"/>
      <c r="CX494" s="2338"/>
      <c r="CY494" s="2338"/>
      <c r="CZ494" s="2338"/>
      <c r="DA494" s="2338"/>
      <c r="DB494" s="2338"/>
      <c r="DC494" s="2338"/>
      <c r="DD494" s="2338"/>
      <c r="DE494" s="2338"/>
      <c r="DF494" s="2338"/>
      <c r="DG494" s="2338"/>
      <c r="DH494" s="2338"/>
      <c r="DI494" s="2338"/>
      <c r="DJ494" s="2338"/>
      <c r="DK494" s="2338"/>
      <c r="DL494" s="2338"/>
      <c r="DM494" s="2338"/>
      <c r="DN494" s="2338"/>
      <c r="DO494" s="2338"/>
    </row>
    <row r="495" spans="26:119">
      <c r="Z495" s="2338"/>
      <c r="AA495" s="2338"/>
      <c r="AB495" s="2338"/>
      <c r="AC495" s="2338"/>
      <c r="AD495" s="2338"/>
      <c r="AE495" s="2338"/>
      <c r="AF495" s="2338"/>
      <c r="AG495" s="2338"/>
      <c r="AH495" s="2338"/>
      <c r="AI495" s="2338"/>
      <c r="AJ495" s="2338"/>
      <c r="AK495" s="2338"/>
      <c r="AL495" s="2338"/>
      <c r="AM495" s="2338"/>
      <c r="AN495" s="2338"/>
      <c r="AO495" s="2338"/>
      <c r="AP495" s="2338"/>
      <c r="AQ495" s="2338"/>
      <c r="AR495" s="2338"/>
      <c r="AS495" s="2338"/>
      <c r="AT495" s="2338"/>
      <c r="AU495" s="2338"/>
      <c r="AV495" s="2338"/>
      <c r="AW495" s="2338"/>
      <c r="AX495" s="2338"/>
      <c r="AY495" s="2338"/>
      <c r="AZ495" s="2338"/>
      <c r="BA495" s="2338"/>
      <c r="BB495" s="2338"/>
      <c r="BC495" s="2338"/>
      <c r="BD495" s="2338"/>
      <c r="BE495" s="2338"/>
      <c r="BF495" s="2338"/>
      <c r="BG495" s="2338"/>
      <c r="BH495" s="2338"/>
      <c r="BI495" s="2338"/>
      <c r="BJ495" s="2338"/>
      <c r="BK495" s="2338"/>
      <c r="BL495" s="2338"/>
      <c r="BM495" s="2338"/>
      <c r="BN495" s="2338"/>
      <c r="BO495" s="2338"/>
      <c r="BP495" s="2338"/>
      <c r="BQ495" s="2338"/>
      <c r="BR495" s="2338"/>
      <c r="BS495" s="2338"/>
      <c r="BT495" s="2338"/>
      <c r="BU495" s="2338"/>
      <c r="BV495" s="2338"/>
      <c r="BW495" s="2338"/>
      <c r="BX495" s="2338"/>
      <c r="BY495" s="2338"/>
      <c r="BZ495" s="2338"/>
      <c r="CA495" s="2338"/>
      <c r="CB495" s="2338"/>
      <c r="CC495" s="2338"/>
      <c r="CD495" s="2338"/>
      <c r="CE495" s="2338"/>
      <c r="CF495" s="2338"/>
      <c r="CG495" s="2338"/>
      <c r="CH495" s="2338"/>
      <c r="CI495" s="2338"/>
      <c r="CJ495" s="2338"/>
      <c r="CK495" s="2338"/>
      <c r="CL495" s="2338"/>
      <c r="CM495" s="2338"/>
      <c r="CN495" s="2338"/>
      <c r="CO495" s="2338"/>
      <c r="CP495" s="2338"/>
      <c r="CQ495" s="2338"/>
      <c r="CR495" s="2338"/>
      <c r="CS495" s="2338"/>
      <c r="CT495" s="2338"/>
      <c r="CU495" s="2338"/>
      <c r="CV495" s="2338"/>
      <c r="CW495" s="2338"/>
      <c r="CX495" s="2338"/>
      <c r="CY495" s="2338"/>
      <c r="CZ495" s="2338"/>
      <c r="DA495" s="2338"/>
      <c r="DB495" s="2338"/>
      <c r="DC495" s="2338"/>
      <c r="DD495" s="2338"/>
      <c r="DE495" s="2338"/>
      <c r="DF495" s="2338"/>
      <c r="DG495" s="2338"/>
      <c r="DH495" s="2338"/>
      <c r="DI495" s="2338"/>
      <c r="DJ495" s="2338"/>
      <c r="DK495" s="2338"/>
      <c r="DL495" s="2338"/>
      <c r="DM495" s="2338"/>
      <c r="DN495" s="2338"/>
      <c r="DO495" s="2338"/>
    </row>
    <row r="496" spans="26:119">
      <c r="Z496" s="2338"/>
      <c r="AA496" s="2338"/>
      <c r="AB496" s="2338"/>
      <c r="AC496" s="2338"/>
      <c r="AD496" s="2338"/>
      <c r="AE496" s="2338"/>
      <c r="AF496" s="2338"/>
      <c r="AG496" s="2338"/>
      <c r="AH496" s="2338"/>
      <c r="AI496" s="2338"/>
      <c r="AJ496" s="2338"/>
      <c r="AK496" s="2338"/>
      <c r="AL496" s="2338"/>
      <c r="AM496" s="2338"/>
      <c r="AN496" s="2338"/>
      <c r="AO496" s="2338"/>
      <c r="AP496" s="2338"/>
      <c r="AQ496" s="2338"/>
      <c r="AR496" s="2338"/>
      <c r="AS496" s="2338"/>
      <c r="AT496" s="2338"/>
      <c r="AU496" s="2338"/>
      <c r="AV496" s="2338"/>
      <c r="AW496" s="2338"/>
      <c r="AX496" s="2338"/>
      <c r="AY496" s="2338"/>
      <c r="AZ496" s="2338"/>
      <c r="BA496" s="2338"/>
      <c r="BB496" s="2338"/>
      <c r="BC496" s="2338"/>
      <c r="BD496" s="2338"/>
      <c r="BE496" s="2338"/>
      <c r="BF496" s="2338"/>
      <c r="BG496" s="2338"/>
      <c r="BH496" s="2338"/>
      <c r="BI496" s="2338"/>
      <c r="BJ496" s="2338"/>
      <c r="BK496" s="2338"/>
      <c r="BL496" s="2338"/>
      <c r="BM496" s="2338"/>
      <c r="BN496" s="2338"/>
      <c r="BO496" s="2338"/>
      <c r="BP496" s="2338"/>
      <c r="BQ496" s="2338"/>
      <c r="BR496" s="2338"/>
      <c r="BS496" s="2338"/>
      <c r="BT496" s="2338"/>
      <c r="BU496" s="2338"/>
      <c r="BV496" s="2338"/>
      <c r="BW496" s="2338"/>
      <c r="BX496" s="2338"/>
      <c r="BY496" s="2338"/>
      <c r="BZ496" s="2338"/>
      <c r="CA496" s="2338"/>
      <c r="CB496" s="2338"/>
      <c r="CC496" s="2338"/>
      <c r="CD496" s="2338"/>
      <c r="CE496" s="2338"/>
      <c r="CF496" s="2338"/>
      <c r="CG496" s="2338"/>
      <c r="CH496" s="2338"/>
      <c r="CI496" s="2338"/>
      <c r="CJ496" s="2338"/>
      <c r="CK496" s="2338"/>
      <c r="CL496" s="2338"/>
      <c r="CM496" s="2338"/>
      <c r="CN496" s="2338"/>
      <c r="CO496" s="2338"/>
      <c r="CP496" s="2338"/>
      <c r="CQ496" s="2338"/>
      <c r="CR496" s="2338"/>
      <c r="CS496" s="2338"/>
      <c r="CT496" s="2338"/>
      <c r="CU496" s="2338"/>
      <c r="CV496" s="2338"/>
      <c r="CW496" s="2338"/>
      <c r="CX496" s="2338"/>
      <c r="CY496" s="2338"/>
      <c r="CZ496" s="2338"/>
      <c r="DA496" s="2338"/>
      <c r="DB496" s="2338"/>
      <c r="DC496" s="2338"/>
      <c r="DD496" s="2338"/>
      <c r="DE496" s="2338"/>
      <c r="DF496" s="2338"/>
      <c r="DG496" s="2338"/>
      <c r="DH496" s="2338"/>
      <c r="DI496" s="2338"/>
      <c r="DJ496" s="2338"/>
      <c r="DK496" s="2338"/>
      <c r="DL496" s="2338"/>
      <c r="DM496" s="2338"/>
      <c r="DN496" s="2338"/>
      <c r="DO496" s="2338"/>
    </row>
    <row r="497" spans="26:119">
      <c r="Z497" s="2338"/>
      <c r="AA497" s="2338"/>
      <c r="AB497" s="2338"/>
      <c r="AC497" s="2338"/>
      <c r="AD497" s="2338"/>
      <c r="AE497" s="2338"/>
      <c r="AF497" s="2338"/>
      <c r="AG497" s="2338"/>
      <c r="AH497" s="2338"/>
      <c r="AI497" s="2338"/>
      <c r="AJ497" s="2338"/>
      <c r="AK497" s="2338"/>
      <c r="AL497" s="2338"/>
      <c r="AM497" s="2338"/>
      <c r="AN497" s="2338"/>
      <c r="AO497" s="2338"/>
      <c r="AP497" s="2338"/>
      <c r="AQ497" s="2338"/>
      <c r="AR497" s="2338"/>
      <c r="AS497" s="2338"/>
      <c r="AT497" s="2338"/>
      <c r="AU497" s="2338"/>
      <c r="AV497" s="2338"/>
      <c r="AW497" s="2338"/>
      <c r="AX497" s="2338"/>
      <c r="AY497" s="2338"/>
      <c r="AZ497" s="2338"/>
      <c r="BA497" s="2338"/>
      <c r="BB497" s="2338"/>
      <c r="BC497" s="2338"/>
      <c r="BD497" s="2338"/>
      <c r="BE497" s="2338"/>
      <c r="BF497" s="2338"/>
      <c r="BG497" s="2338"/>
      <c r="BH497" s="2338"/>
      <c r="BI497" s="2338"/>
      <c r="BJ497" s="2338"/>
      <c r="BK497" s="2338"/>
      <c r="BL497" s="2338"/>
      <c r="BM497" s="2338"/>
      <c r="BN497" s="2338"/>
      <c r="BO497" s="2338"/>
      <c r="BP497" s="2338"/>
      <c r="BQ497" s="2338"/>
      <c r="BR497" s="2338"/>
      <c r="BS497" s="2338"/>
      <c r="BT497" s="2338"/>
      <c r="BU497" s="2338"/>
      <c r="BV497" s="2338"/>
      <c r="BW497" s="2338"/>
      <c r="BX497" s="2338"/>
      <c r="BY497" s="2338"/>
      <c r="BZ497" s="2338"/>
      <c r="CA497" s="2338"/>
      <c r="CB497" s="2338"/>
      <c r="CC497" s="2338"/>
      <c r="CD497" s="2338"/>
      <c r="CE497" s="2338"/>
      <c r="CF497" s="2338"/>
      <c r="CG497" s="2338"/>
      <c r="CH497" s="2338"/>
      <c r="CI497" s="2338"/>
      <c r="CJ497" s="2338"/>
      <c r="CK497" s="2338"/>
      <c r="CL497" s="2338"/>
      <c r="CM497" s="2338"/>
      <c r="CN497" s="2338"/>
      <c r="CO497" s="2338"/>
      <c r="CP497" s="2338"/>
      <c r="CQ497" s="2338"/>
      <c r="CR497" s="2338"/>
      <c r="CS497" s="2338"/>
      <c r="CT497" s="2338"/>
      <c r="CU497" s="2338"/>
      <c r="CV497" s="2338"/>
      <c r="CW497" s="2338"/>
      <c r="CX497" s="2338"/>
      <c r="CY497" s="2338"/>
      <c r="CZ497" s="2338"/>
      <c r="DA497" s="2338"/>
      <c r="DB497" s="2338"/>
      <c r="DC497" s="2338"/>
      <c r="DD497" s="2338"/>
      <c r="DE497" s="2338"/>
      <c r="DF497" s="2338"/>
      <c r="DG497" s="2338"/>
      <c r="DH497" s="2338"/>
      <c r="DI497" s="2338"/>
      <c r="DJ497" s="2338"/>
      <c r="DK497" s="2338"/>
      <c r="DL497" s="2338"/>
      <c r="DM497" s="2338"/>
      <c r="DN497" s="2338"/>
      <c r="DO497" s="2338"/>
    </row>
    <row r="498" spans="26:119">
      <c r="Z498" s="2338"/>
      <c r="AA498" s="2338"/>
      <c r="AB498" s="2338"/>
      <c r="AC498" s="2338"/>
      <c r="AD498" s="2338"/>
      <c r="AE498" s="2338"/>
      <c r="AF498" s="2338"/>
      <c r="AG498" s="2338"/>
      <c r="AH498" s="2338"/>
      <c r="AI498" s="2338"/>
      <c r="AJ498" s="2338"/>
      <c r="AK498" s="2338"/>
      <c r="AL498" s="2338"/>
      <c r="AM498" s="2338"/>
      <c r="AN498" s="2338"/>
      <c r="AO498" s="2338"/>
      <c r="AP498" s="2338"/>
      <c r="AQ498" s="2338"/>
      <c r="AR498" s="2338"/>
      <c r="AS498" s="2338"/>
      <c r="AT498" s="2338"/>
      <c r="AU498" s="2338"/>
      <c r="AV498" s="2338"/>
      <c r="AW498" s="2338"/>
      <c r="AX498" s="2338"/>
      <c r="AY498" s="2338"/>
      <c r="AZ498" s="2338"/>
      <c r="BA498" s="2338"/>
      <c r="BB498" s="2338"/>
      <c r="BC498" s="2338"/>
      <c r="BD498" s="2338"/>
      <c r="BE498" s="2338"/>
      <c r="BF498" s="2338"/>
      <c r="BG498" s="2338"/>
      <c r="BH498" s="2338"/>
      <c r="BI498" s="2338"/>
      <c r="BJ498" s="2338"/>
      <c r="BK498" s="2338"/>
      <c r="BL498" s="2338"/>
      <c r="BM498" s="2338"/>
      <c r="BN498" s="2338"/>
      <c r="BO498" s="2338"/>
      <c r="BP498" s="2338"/>
      <c r="BQ498" s="2338"/>
      <c r="BR498" s="2338"/>
      <c r="BS498" s="2338"/>
      <c r="BT498" s="2338"/>
      <c r="BU498" s="2338"/>
      <c r="BV498" s="2338"/>
      <c r="BW498" s="2338"/>
      <c r="BX498" s="2338"/>
      <c r="BY498" s="2338"/>
      <c r="BZ498" s="2338"/>
      <c r="CA498" s="2338"/>
      <c r="CB498" s="2338"/>
      <c r="CC498" s="2338"/>
      <c r="CD498" s="2338"/>
      <c r="CE498" s="2338"/>
      <c r="CF498" s="2338"/>
      <c r="CG498" s="2338"/>
      <c r="CH498" s="2338"/>
      <c r="CI498" s="2338"/>
      <c r="CJ498" s="2338"/>
      <c r="CK498" s="2338"/>
      <c r="CL498" s="2338"/>
      <c r="CM498" s="2338"/>
      <c r="CN498" s="2338"/>
      <c r="CO498" s="2338"/>
      <c r="CP498" s="2338"/>
      <c r="CQ498" s="2338"/>
      <c r="CR498" s="2338"/>
      <c r="CS498" s="2338"/>
      <c r="CT498" s="2338"/>
      <c r="CU498" s="2338"/>
      <c r="CV498" s="2338"/>
      <c r="CW498" s="2338"/>
      <c r="CX498" s="2338"/>
      <c r="CY498" s="2338"/>
      <c r="CZ498" s="2338"/>
      <c r="DA498" s="2338"/>
      <c r="DB498" s="2338"/>
      <c r="DC498" s="2338"/>
      <c r="DD498" s="2338"/>
      <c r="DE498" s="2338"/>
      <c r="DF498" s="2338"/>
      <c r="DG498" s="2338"/>
      <c r="DH498" s="2338"/>
      <c r="DI498" s="2338"/>
      <c r="DJ498" s="2338"/>
      <c r="DK498" s="2338"/>
      <c r="DL498" s="2338"/>
      <c r="DM498" s="2338"/>
      <c r="DN498" s="2338"/>
      <c r="DO498" s="2338"/>
    </row>
    <row r="499" spans="26:119">
      <c r="Z499" s="2338"/>
      <c r="AA499" s="2338"/>
      <c r="AB499" s="2338"/>
      <c r="AC499" s="2338"/>
      <c r="AD499" s="2338"/>
      <c r="AE499" s="2338"/>
      <c r="AF499" s="2338"/>
      <c r="AG499" s="2338"/>
      <c r="AH499" s="2338"/>
      <c r="AI499" s="2338"/>
      <c r="AJ499" s="2338"/>
      <c r="AK499" s="2338"/>
      <c r="AL499" s="2338"/>
      <c r="AM499" s="2338"/>
      <c r="AN499" s="2338"/>
      <c r="AO499" s="2338"/>
      <c r="AP499" s="2338"/>
      <c r="AQ499" s="2338"/>
      <c r="AR499" s="2338"/>
      <c r="AS499" s="2338"/>
      <c r="AT499" s="2338"/>
      <c r="AU499" s="2338"/>
      <c r="AV499" s="2338"/>
      <c r="AW499" s="2338"/>
      <c r="AX499" s="2338"/>
      <c r="AY499" s="2338"/>
      <c r="AZ499" s="2338"/>
      <c r="BA499" s="2338"/>
      <c r="BB499" s="2338"/>
      <c r="BC499" s="2338"/>
      <c r="BD499" s="2338"/>
      <c r="BE499" s="2338"/>
      <c r="BF499" s="2338"/>
      <c r="BG499" s="2338"/>
      <c r="BH499" s="2338"/>
      <c r="BI499" s="2338"/>
      <c r="BJ499" s="2338"/>
      <c r="BK499" s="2338"/>
      <c r="BL499" s="2338"/>
      <c r="BM499" s="2338"/>
      <c r="BN499" s="2338"/>
      <c r="BO499" s="2338"/>
      <c r="BP499" s="2338"/>
      <c r="BQ499" s="2338"/>
      <c r="BR499" s="2338"/>
      <c r="BS499" s="2338"/>
      <c r="BT499" s="2338"/>
      <c r="BU499" s="2338"/>
      <c r="BV499" s="2338"/>
      <c r="BW499" s="2338"/>
      <c r="BX499" s="2338"/>
      <c r="BY499" s="2338"/>
      <c r="BZ499" s="2338"/>
      <c r="CA499" s="2338"/>
      <c r="CB499" s="2338"/>
      <c r="CC499" s="2338"/>
      <c r="CD499" s="2338"/>
      <c r="CE499" s="2338"/>
      <c r="CF499" s="2338"/>
      <c r="CG499" s="2338"/>
      <c r="CH499" s="2338"/>
      <c r="CI499" s="2338"/>
      <c r="CJ499" s="2338"/>
      <c r="CK499" s="2338"/>
      <c r="CL499" s="2338"/>
      <c r="CM499" s="2338"/>
      <c r="CN499" s="2338"/>
      <c r="CO499" s="2338"/>
      <c r="CP499" s="2338"/>
      <c r="CQ499" s="2338"/>
      <c r="CR499" s="2338"/>
      <c r="CS499" s="2338"/>
      <c r="CT499" s="2338"/>
      <c r="CU499" s="2338"/>
      <c r="CV499" s="2338"/>
      <c r="CW499" s="2338"/>
      <c r="CX499" s="2338"/>
      <c r="CY499" s="2338"/>
      <c r="CZ499" s="2338"/>
      <c r="DA499" s="2338"/>
      <c r="DB499" s="2338"/>
      <c r="DC499" s="2338"/>
      <c r="DD499" s="2338"/>
      <c r="DE499" s="2338"/>
      <c r="DF499" s="2338"/>
      <c r="DG499" s="2338"/>
      <c r="DH499" s="2338"/>
      <c r="DI499" s="2338"/>
      <c r="DJ499" s="2338"/>
      <c r="DK499" s="2338"/>
      <c r="DL499" s="2338"/>
      <c r="DM499" s="2338"/>
      <c r="DN499" s="2338"/>
      <c r="DO499" s="2338"/>
    </row>
    <row r="500" spans="26:119">
      <c r="Z500" s="2338"/>
      <c r="AA500" s="2338"/>
      <c r="AB500" s="2338"/>
      <c r="AC500" s="2338"/>
      <c r="AD500" s="2338"/>
      <c r="AE500" s="2338"/>
      <c r="AF500" s="2338"/>
      <c r="AG500" s="2338"/>
      <c r="AH500" s="2338"/>
      <c r="AI500" s="2338"/>
      <c r="AJ500" s="2338"/>
      <c r="AK500" s="2338"/>
      <c r="AL500" s="2338"/>
      <c r="AM500" s="2338"/>
      <c r="AN500" s="2338"/>
      <c r="AO500" s="2338"/>
      <c r="AP500" s="2338"/>
      <c r="AQ500" s="2338"/>
      <c r="AR500" s="2338"/>
      <c r="AS500" s="2338"/>
      <c r="AT500" s="2338"/>
      <c r="AU500" s="2338"/>
      <c r="AV500" s="2338"/>
      <c r="AW500" s="2338"/>
      <c r="AX500" s="2338"/>
      <c r="AY500" s="2338"/>
      <c r="AZ500" s="2338"/>
      <c r="BA500" s="2338"/>
      <c r="BB500" s="2338"/>
      <c r="BC500" s="2338"/>
      <c r="BD500" s="2338"/>
      <c r="BE500" s="2338"/>
      <c r="BF500" s="2338"/>
      <c r="BG500" s="2338"/>
      <c r="BH500" s="2338"/>
      <c r="BI500" s="2338"/>
      <c r="BJ500" s="2338"/>
      <c r="BK500" s="2338"/>
      <c r="BL500" s="2338"/>
      <c r="BM500" s="2338"/>
      <c r="BN500" s="2338"/>
      <c r="BO500" s="2338"/>
      <c r="BP500" s="2338"/>
      <c r="BQ500" s="2338"/>
      <c r="BR500" s="2338"/>
      <c r="BS500" s="2338"/>
      <c r="BT500" s="2338"/>
      <c r="BU500" s="2338"/>
      <c r="BV500" s="2338"/>
      <c r="BW500" s="2338"/>
      <c r="BX500" s="2338"/>
      <c r="BY500" s="2338"/>
      <c r="BZ500" s="2338"/>
      <c r="CA500" s="2338"/>
      <c r="CB500" s="2338"/>
      <c r="CC500" s="2338"/>
      <c r="CD500" s="2338"/>
      <c r="CE500" s="2338"/>
      <c r="CF500" s="2338"/>
      <c r="CG500" s="2338"/>
      <c r="CH500" s="2338"/>
      <c r="CI500" s="2338"/>
      <c r="CJ500" s="2338"/>
      <c r="CK500" s="2338"/>
      <c r="CL500" s="2338"/>
      <c r="CM500" s="2338"/>
      <c r="CN500" s="2338"/>
      <c r="CO500" s="2338"/>
      <c r="CP500" s="2338"/>
      <c r="CQ500" s="2338"/>
      <c r="CR500" s="2338"/>
      <c r="CS500" s="2338"/>
      <c r="CT500" s="2338"/>
      <c r="CU500" s="2338"/>
      <c r="CV500" s="2338"/>
      <c r="CW500" s="2338"/>
      <c r="CX500" s="2338"/>
      <c r="CY500" s="2338"/>
      <c r="CZ500" s="2338"/>
      <c r="DA500" s="2338"/>
      <c r="DB500" s="2338"/>
      <c r="DC500" s="2338"/>
      <c r="DD500" s="2338"/>
      <c r="DE500" s="2338"/>
      <c r="DF500" s="2338"/>
      <c r="DG500" s="2338"/>
      <c r="DH500" s="2338"/>
      <c r="DI500" s="2338"/>
      <c r="DJ500" s="2338"/>
      <c r="DK500" s="2338"/>
      <c r="DL500" s="2338"/>
      <c r="DM500" s="2338"/>
      <c r="DN500" s="2338"/>
      <c r="DO500" s="2338"/>
    </row>
    <row r="501" spans="26:119">
      <c r="Z501" s="2338"/>
      <c r="AA501" s="2338"/>
      <c r="AB501" s="2338"/>
      <c r="AC501" s="2338"/>
      <c r="AD501" s="2338"/>
      <c r="AE501" s="2338"/>
      <c r="AF501" s="2338"/>
      <c r="AG501" s="2338"/>
      <c r="AH501" s="2338"/>
      <c r="AI501" s="2338"/>
      <c r="AJ501" s="2338"/>
      <c r="AK501" s="2338"/>
      <c r="AL501" s="2338"/>
      <c r="AM501" s="2338"/>
      <c r="AN501" s="2338"/>
      <c r="AO501" s="2338"/>
      <c r="AP501" s="2338"/>
      <c r="AQ501" s="2338"/>
      <c r="AR501" s="2338"/>
      <c r="AS501" s="2338"/>
      <c r="AT501" s="2338"/>
      <c r="AU501" s="2338"/>
      <c r="AV501" s="2338"/>
      <c r="AW501" s="2338"/>
      <c r="AX501" s="2338"/>
      <c r="AY501" s="2338"/>
      <c r="AZ501" s="2338"/>
      <c r="BA501" s="2338"/>
      <c r="BB501" s="2338"/>
      <c r="BC501" s="2338"/>
      <c r="BD501" s="2338"/>
      <c r="BE501" s="2338"/>
      <c r="BF501" s="2338"/>
      <c r="BG501" s="2338"/>
      <c r="BH501" s="2338"/>
      <c r="BI501" s="2338"/>
      <c r="BJ501" s="2338"/>
      <c r="BK501" s="2338"/>
      <c r="BL501" s="2338"/>
      <c r="BM501" s="2338"/>
      <c r="BN501" s="2338"/>
      <c r="BO501" s="2338"/>
      <c r="BP501" s="2338"/>
      <c r="BQ501" s="2338"/>
      <c r="BR501" s="2338"/>
      <c r="BS501" s="2338"/>
      <c r="BT501" s="2338"/>
      <c r="BU501" s="2338"/>
      <c r="BV501" s="2338"/>
      <c r="BW501" s="2338"/>
      <c r="BX501" s="2338"/>
      <c r="BY501" s="2338"/>
      <c r="BZ501" s="2338"/>
      <c r="CA501" s="2338"/>
      <c r="CB501" s="2338"/>
      <c r="CC501" s="2338"/>
      <c r="CD501" s="2338"/>
      <c r="CE501" s="2338"/>
      <c r="CF501" s="2338"/>
      <c r="CG501" s="2338"/>
      <c r="CH501" s="2338"/>
      <c r="CI501" s="2338"/>
      <c r="CJ501" s="2338"/>
      <c r="CK501" s="2338"/>
      <c r="CL501" s="2338"/>
      <c r="CM501" s="2338"/>
      <c r="CN501" s="2338"/>
      <c r="CO501" s="2338"/>
      <c r="CP501" s="2338"/>
      <c r="CQ501" s="2338"/>
      <c r="CR501" s="2338"/>
      <c r="CS501" s="2338"/>
      <c r="CT501" s="2338"/>
      <c r="CU501" s="2338"/>
      <c r="CV501" s="2338"/>
      <c r="CW501" s="2338"/>
      <c r="CX501" s="2338"/>
      <c r="CY501" s="2338"/>
      <c r="CZ501" s="2338"/>
      <c r="DA501" s="2338"/>
      <c r="DB501" s="2338"/>
      <c r="DC501" s="2338"/>
      <c r="DD501" s="2338"/>
      <c r="DE501" s="2338"/>
      <c r="DF501" s="2338"/>
      <c r="DG501" s="2338"/>
      <c r="DH501" s="2338"/>
      <c r="DI501" s="2338"/>
      <c r="DJ501" s="2338"/>
      <c r="DK501" s="2338"/>
      <c r="DL501" s="2338"/>
      <c r="DM501" s="2338"/>
      <c r="DN501" s="2338"/>
      <c r="DO501" s="2338"/>
    </row>
    <row r="502" spans="26:119">
      <c r="Z502" s="2338"/>
      <c r="AA502" s="2338"/>
      <c r="AB502" s="2338"/>
      <c r="AC502" s="2338"/>
      <c r="AD502" s="2338"/>
      <c r="AE502" s="2338"/>
      <c r="AF502" s="2338"/>
      <c r="AG502" s="2338"/>
      <c r="AH502" s="2338"/>
      <c r="AI502" s="2338"/>
      <c r="AJ502" s="2338"/>
      <c r="AK502" s="2338"/>
      <c r="AL502" s="2338"/>
      <c r="AM502" s="2338"/>
      <c r="AN502" s="2338"/>
      <c r="AO502" s="2338"/>
      <c r="AP502" s="2338"/>
      <c r="AQ502" s="2338"/>
      <c r="AR502" s="2338"/>
      <c r="AS502" s="2338"/>
      <c r="AT502" s="2338"/>
      <c r="AU502" s="2338"/>
      <c r="AV502" s="2338"/>
      <c r="AW502" s="2338"/>
      <c r="AX502" s="2338"/>
      <c r="AY502" s="2338"/>
      <c r="AZ502" s="2338"/>
      <c r="BA502" s="2338"/>
      <c r="BB502" s="2338"/>
      <c r="BC502" s="2338"/>
      <c r="BD502" s="2338"/>
      <c r="BE502" s="2338"/>
      <c r="BF502" s="2338"/>
      <c r="BG502" s="2338"/>
      <c r="BH502" s="2338"/>
      <c r="BI502" s="2338"/>
      <c r="BJ502" s="2338"/>
      <c r="BK502" s="2338"/>
      <c r="BL502" s="2338"/>
      <c r="BM502" s="2338"/>
      <c r="BN502" s="2338"/>
      <c r="BO502" s="2338"/>
      <c r="BP502" s="2338"/>
      <c r="BQ502" s="2338"/>
      <c r="BR502" s="2338"/>
      <c r="BS502" s="2338"/>
      <c r="BT502" s="2338"/>
      <c r="BU502" s="2338"/>
      <c r="BV502" s="2338"/>
      <c r="BW502" s="2338"/>
      <c r="BX502" s="2338"/>
      <c r="BY502" s="2338"/>
      <c r="BZ502" s="2338"/>
      <c r="CA502" s="2338"/>
      <c r="CB502" s="2338"/>
      <c r="CC502" s="2338"/>
      <c r="CD502" s="2338"/>
      <c r="CE502" s="2338"/>
      <c r="CF502" s="2338"/>
      <c r="CG502" s="2338"/>
      <c r="CH502" s="2338"/>
      <c r="CI502" s="2338"/>
      <c r="CJ502" s="2338"/>
      <c r="CK502" s="2338"/>
      <c r="CL502" s="2338"/>
      <c r="CM502" s="2338"/>
      <c r="CN502" s="2338"/>
      <c r="CO502" s="2338"/>
      <c r="CP502" s="2338"/>
      <c r="CQ502" s="2338"/>
      <c r="CR502" s="2338"/>
      <c r="CS502" s="2338"/>
      <c r="CT502" s="2338"/>
      <c r="CU502" s="2338"/>
      <c r="CV502" s="2338"/>
      <c r="CW502" s="2338"/>
      <c r="CX502" s="2338"/>
      <c r="CY502" s="2338"/>
      <c r="CZ502" s="2338"/>
      <c r="DA502" s="2338"/>
      <c r="DB502" s="2338"/>
      <c r="DC502" s="2338"/>
      <c r="DD502" s="2338"/>
      <c r="DE502" s="2338"/>
      <c r="DF502" s="2338"/>
      <c r="DG502" s="2338"/>
      <c r="DH502" s="2338"/>
      <c r="DI502" s="2338"/>
      <c r="DJ502" s="2338"/>
      <c r="DK502" s="2338"/>
      <c r="DL502" s="2338"/>
      <c r="DM502" s="2338"/>
      <c r="DN502" s="2338"/>
      <c r="DO502" s="2338"/>
    </row>
    <row r="503" spans="26:119">
      <c r="Z503" s="2338"/>
      <c r="AA503" s="2338"/>
      <c r="AB503" s="2338"/>
      <c r="AC503" s="2338"/>
      <c r="AD503" s="2338"/>
      <c r="AE503" s="2338"/>
      <c r="AF503" s="2338"/>
      <c r="AG503" s="2338"/>
      <c r="AH503" s="2338"/>
      <c r="AI503" s="2338"/>
      <c r="AJ503" s="2338"/>
      <c r="AK503" s="2338"/>
      <c r="AL503" s="2338"/>
      <c r="AM503" s="2338"/>
      <c r="AN503" s="2338"/>
      <c r="AO503" s="2338"/>
      <c r="AP503" s="2338"/>
      <c r="AQ503" s="2338"/>
      <c r="AR503" s="2338"/>
      <c r="AS503" s="2338"/>
      <c r="AT503" s="2338"/>
      <c r="AU503" s="2338"/>
      <c r="AV503" s="2338"/>
      <c r="AW503" s="2338"/>
      <c r="AX503" s="2338"/>
      <c r="AY503" s="2338"/>
      <c r="AZ503" s="2338"/>
      <c r="BA503" s="2338"/>
      <c r="BB503" s="2338"/>
      <c r="BC503" s="2338"/>
      <c r="BD503" s="2338"/>
      <c r="BE503" s="2338"/>
      <c r="BF503" s="2338"/>
      <c r="BG503" s="2338"/>
      <c r="BH503" s="2338"/>
      <c r="BI503" s="2338"/>
      <c r="BJ503" s="2338"/>
      <c r="BK503" s="2338"/>
      <c r="BL503" s="2338"/>
      <c r="BM503" s="2338"/>
      <c r="BN503" s="2338"/>
      <c r="BO503" s="2338"/>
      <c r="BP503" s="2338"/>
      <c r="BQ503" s="2338"/>
      <c r="BR503" s="2338"/>
      <c r="BS503" s="2338"/>
      <c r="BT503" s="2338"/>
      <c r="BU503" s="2338"/>
      <c r="BV503" s="2338"/>
      <c r="BW503" s="2338"/>
      <c r="BX503" s="2338"/>
      <c r="BY503" s="2338"/>
      <c r="BZ503" s="2338"/>
      <c r="CA503" s="2338"/>
      <c r="CB503" s="2338"/>
      <c r="CC503" s="2338"/>
      <c r="CD503" s="2338"/>
      <c r="CE503" s="2338"/>
      <c r="CF503" s="2338"/>
      <c r="CG503" s="2338"/>
      <c r="CH503" s="2338"/>
      <c r="CI503" s="2338"/>
      <c r="CJ503" s="2338"/>
      <c r="CK503" s="2338"/>
      <c r="CL503" s="2338"/>
      <c r="CM503" s="2338"/>
      <c r="CN503" s="2338"/>
      <c r="CO503" s="2338"/>
      <c r="CP503" s="2338"/>
      <c r="CQ503" s="2338"/>
      <c r="CR503" s="2338"/>
      <c r="CS503" s="2338"/>
      <c r="CT503" s="2338"/>
      <c r="CU503" s="2338"/>
      <c r="CV503" s="2338"/>
      <c r="CW503" s="2338"/>
      <c r="CX503" s="2338"/>
      <c r="CY503" s="2338"/>
      <c r="CZ503" s="2338"/>
      <c r="DA503" s="2338"/>
      <c r="DB503" s="2338"/>
      <c r="DC503" s="2338"/>
      <c r="DD503" s="2338"/>
      <c r="DE503" s="2338"/>
      <c r="DF503" s="2338"/>
      <c r="DG503" s="2338"/>
      <c r="DH503" s="2338"/>
      <c r="DI503" s="2338"/>
      <c r="DJ503" s="2338"/>
      <c r="DK503" s="2338"/>
      <c r="DL503" s="2338"/>
      <c r="DM503" s="2338"/>
      <c r="DN503" s="2338"/>
      <c r="DO503" s="2338"/>
    </row>
    <row r="504" spans="26:119">
      <c r="Z504" s="2338"/>
      <c r="AA504" s="2338"/>
      <c r="AB504" s="2338"/>
      <c r="AC504" s="2338"/>
      <c r="AD504" s="2338"/>
      <c r="AE504" s="2338"/>
      <c r="AF504" s="2338"/>
      <c r="AG504" s="2338"/>
      <c r="AH504" s="2338"/>
      <c r="AI504" s="2338"/>
      <c r="AJ504" s="2338"/>
      <c r="AK504" s="2338"/>
      <c r="AL504" s="2338"/>
      <c r="AM504" s="2338"/>
      <c r="AN504" s="2338"/>
      <c r="AO504" s="2338"/>
      <c r="AP504" s="2338"/>
      <c r="AQ504" s="2338"/>
      <c r="AR504" s="2338"/>
      <c r="AS504" s="2338"/>
      <c r="AT504" s="2338"/>
      <c r="AU504" s="2338"/>
      <c r="AV504" s="2338"/>
      <c r="AW504" s="2338"/>
      <c r="AX504" s="2338"/>
      <c r="AY504" s="2338"/>
      <c r="AZ504" s="2338"/>
      <c r="BA504" s="2338"/>
      <c r="BB504" s="2338"/>
      <c r="BC504" s="2338"/>
      <c r="BD504" s="2338"/>
      <c r="BE504" s="2338"/>
      <c r="BF504" s="2338"/>
      <c r="BG504" s="2338"/>
      <c r="BH504" s="2338"/>
      <c r="BI504" s="2338"/>
      <c r="BJ504" s="2338"/>
      <c r="BK504" s="2338"/>
      <c r="BL504" s="2338"/>
      <c r="BM504" s="2338"/>
      <c r="BN504" s="2338"/>
      <c r="BO504" s="2338"/>
      <c r="BP504" s="2338"/>
      <c r="BQ504" s="2338"/>
      <c r="BR504" s="2338"/>
      <c r="BS504" s="2338"/>
      <c r="BT504" s="2338"/>
      <c r="BU504" s="2338"/>
      <c r="BV504" s="2338"/>
      <c r="BW504" s="2338"/>
      <c r="BX504" s="2338"/>
      <c r="BY504" s="2338"/>
      <c r="BZ504" s="2338"/>
      <c r="CA504" s="2338"/>
      <c r="CB504" s="2338"/>
      <c r="CC504" s="2338"/>
      <c r="CD504" s="2338"/>
      <c r="CE504" s="2338"/>
      <c r="CF504" s="2338"/>
      <c r="CG504" s="2338"/>
      <c r="CH504" s="2338"/>
      <c r="CI504" s="2338"/>
      <c r="CJ504" s="2338"/>
      <c r="CK504" s="2338"/>
      <c r="CL504" s="2338"/>
      <c r="CM504" s="2338"/>
      <c r="CN504" s="2338"/>
      <c r="CO504" s="2338"/>
      <c r="CP504" s="2338"/>
      <c r="CQ504" s="2338"/>
      <c r="CR504" s="2338"/>
      <c r="CS504" s="2338"/>
      <c r="CT504" s="2338"/>
      <c r="CU504" s="2338"/>
      <c r="CV504" s="2338"/>
      <c r="CW504" s="2338"/>
      <c r="CX504" s="2338"/>
      <c r="CY504" s="2338"/>
      <c r="CZ504" s="2338"/>
      <c r="DA504" s="2338"/>
      <c r="DB504" s="2338"/>
      <c r="DC504" s="2338"/>
      <c r="DD504" s="2338"/>
      <c r="DE504" s="2338"/>
      <c r="DF504" s="2338"/>
      <c r="DG504" s="2338"/>
      <c r="DH504" s="2338"/>
      <c r="DI504" s="2338"/>
      <c r="DJ504" s="2338"/>
      <c r="DK504" s="2338"/>
      <c r="DL504" s="2338"/>
      <c r="DM504" s="2338"/>
      <c r="DN504" s="2338"/>
      <c r="DO504" s="2338"/>
    </row>
    <row r="505" spans="26:119">
      <c r="Z505" s="2338"/>
      <c r="AA505" s="2338"/>
      <c r="AB505" s="2338"/>
      <c r="AC505" s="2338"/>
      <c r="AD505" s="2338"/>
      <c r="AE505" s="2338"/>
      <c r="AF505" s="2338"/>
      <c r="AG505" s="2338"/>
      <c r="AH505" s="2338"/>
      <c r="AI505" s="2338"/>
      <c r="AJ505" s="2338"/>
      <c r="AK505" s="2338"/>
      <c r="AL505" s="2338"/>
      <c r="AM505" s="2338"/>
      <c r="AN505" s="2338"/>
      <c r="AO505" s="2338"/>
      <c r="AP505" s="2338"/>
      <c r="AQ505" s="2338"/>
      <c r="AR505" s="2338"/>
      <c r="AS505" s="2338"/>
      <c r="AT505" s="2338"/>
      <c r="AU505" s="2338"/>
      <c r="AV505" s="2338"/>
      <c r="AW505" s="2338"/>
      <c r="AX505" s="2338"/>
      <c r="AY505" s="2338"/>
      <c r="AZ505" s="2338"/>
      <c r="BA505" s="2338"/>
      <c r="BB505" s="2338"/>
      <c r="BC505" s="2338"/>
      <c r="BD505" s="2338"/>
      <c r="BE505" s="2338"/>
      <c r="BF505" s="2338"/>
      <c r="BG505" s="2338"/>
      <c r="BH505" s="2338"/>
      <c r="BI505" s="2338"/>
      <c r="BJ505" s="2338"/>
      <c r="BK505" s="2338"/>
      <c r="BL505" s="2338"/>
      <c r="BM505" s="2338"/>
      <c r="BN505" s="2338"/>
      <c r="BO505" s="2338"/>
      <c r="BP505" s="2338"/>
      <c r="BQ505" s="2338"/>
      <c r="BR505" s="2338"/>
      <c r="BS505" s="2338"/>
      <c r="BT505" s="2338"/>
      <c r="BU505" s="2338"/>
      <c r="BV505" s="2338"/>
      <c r="BW505" s="2338"/>
      <c r="BX505" s="2338"/>
      <c r="BY505" s="2338"/>
      <c r="BZ505" s="2338"/>
      <c r="CA505" s="2338"/>
      <c r="CB505" s="2338"/>
      <c r="CC505" s="2338"/>
      <c r="CD505" s="2338"/>
      <c r="CE505" s="2338"/>
      <c r="CF505" s="2338"/>
      <c r="CG505" s="2338"/>
      <c r="CH505" s="2338"/>
      <c r="CI505" s="2338"/>
      <c r="CJ505" s="2338"/>
      <c r="CK505" s="2338"/>
      <c r="CL505" s="2338"/>
      <c r="CM505" s="2338"/>
      <c r="CN505" s="2338"/>
      <c r="CO505" s="2338"/>
      <c r="CP505" s="2338"/>
      <c r="CQ505" s="2338"/>
      <c r="CR505" s="2338"/>
      <c r="CS505" s="2338"/>
      <c r="CT505" s="2338"/>
      <c r="CU505" s="2338"/>
      <c r="CV505" s="2338"/>
      <c r="CW505" s="2338"/>
      <c r="CX505" s="2338"/>
      <c r="CY505" s="2338"/>
      <c r="CZ505" s="2338"/>
      <c r="DA505" s="2338"/>
      <c r="DB505" s="2338"/>
      <c r="DC505" s="2338"/>
      <c r="DD505" s="2338"/>
      <c r="DE505" s="2338"/>
      <c r="DF505" s="2338"/>
      <c r="DG505" s="2338"/>
      <c r="DH505" s="2338"/>
      <c r="DI505" s="2338"/>
      <c r="DJ505" s="2338"/>
      <c r="DK505" s="2338"/>
      <c r="DL505" s="2338"/>
      <c r="DM505" s="2338"/>
      <c r="DN505" s="2338"/>
      <c r="DO505" s="2338"/>
    </row>
    <row r="506" spans="26:119">
      <c r="Z506" s="2338"/>
      <c r="AA506" s="2338"/>
      <c r="AB506" s="2338"/>
      <c r="AC506" s="2338"/>
      <c r="AD506" s="2338"/>
      <c r="AE506" s="2338"/>
      <c r="AF506" s="2338"/>
      <c r="AG506" s="2338"/>
      <c r="AH506" s="2338"/>
      <c r="AI506" s="2338"/>
      <c r="AJ506" s="2338"/>
      <c r="AK506" s="2338"/>
      <c r="AL506" s="2338"/>
      <c r="AM506" s="2338"/>
      <c r="AN506" s="2338"/>
      <c r="AO506" s="2338"/>
      <c r="AP506" s="2338"/>
      <c r="AQ506" s="2338"/>
      <c r="AR506" s="2338"/>
      <c r="AS506" s="2338"/>
      <c r="AT506" s="2338"/>
      <c r="AU506" s="2338"/>
      <c r="AV506" s="2338"/>
      <c r="AW506" s="2338"/>
      <c r="AX506" s="2338"/>
      <c r="AY506" s="2338"/>
      <c r="AZ506" s="2338"/>
      <c r="BA506" s="2338"/>
      <c r="BB506" s="2338"/>
      <c r="BC506" s="2338"/>
      <c r="BD506" s="2338"/>
      <c r="BE506" s="2338"/>
      <c r="BF506" s="2338"/>
      <c r="BG506" s="2338"/>
      <c r="BH506" s="2338"/>
      <c r="BI506" s="2338"/>
      <c r="BJ506" s="2338"/>
      <c r="BK506" s="2338"/>
      <c r="BL506" s="2338"/>
      <c r="BM506" s="2338"/>
      <c r="BN506" s="2338"/>
      <c r="BO506" s="2338"/>
      <c r="BP506" s="2338"/>
      <c r="BQ506" s="2338"/>
      <c r="BR506" s="2338"/>
      <c r="BS506" s="2338"/>
      <c r="BT506" s="2338"/>
      <c r="BU506" s="2338"/>
      <c r="BV506" s="2338"/>
      <c r="BW506" s="2338"/>
      <c r="BX506" s="2338"/>
      <c r="BY506" s="2338"/>
      <c r="BZ506" s="2338"/>
      <c r="CA506" s="2338"/>
      <c r="CB506" s="2338"/>
      <c r="CC506" s="2338"/>
      <c r="CD506" s="2338"/>
      <c r="CE506" s="2338"/>
      <c r="CF506" s="2338"/>
      <c r="CG506" s="2338"/>
      <c r="CH506" s="2338"/>
      <c r="CI506" s="2338"/>
      <c r="CJ506" s="2338"/>
      <c r="CK506" s="2338"/>
      <c r="CL506" s="2338"/>
      <c r="CM506" s="2338"/>
      <c r="CN506" s="2338"/>
      <c r="CO506" s="2338"/>
      <c r="CP506" s="2338"/>
      <c r="CQ506" s="2338"/>
      <c r="CR506" s="2338"/>
      <c r="CS506" s="2338"/>
      <c r="CT506" s="2338"/>
      <c r="CU506" s="2338"/>
      <c r="CV506" s="2338"/>
      <c r="CW506" s="2338"/>
      <c r="CX506" s="2338"/>
      <c r="CY506" s="2338"/>
      <c r="CZ506" s="2338"/>
      <c r="DA506" s="2338"/>
      <c r="DB506" s="2338"/>
      <c r="DC506" s="2338"/>
      <c r="DD506" s="2338"/>
      <c r="DE506" s="2338"/>
      <c r="DF506" s="2338"/>
      <c r="DG506" s="2338"/>
      <c r="DH506" s="2338"/>
      <c r="DI506" s="2338"/>
      <c r="DJ506" s="2338"/>
      <c r="DK506" s="2338"/>
      <c r="DL506" s="2338"/>
      <c r="DM506" s="2338"/>
      <c r="DN506" s="2338"/>
      <c r="DO506" s="2338"/>
    </row>
    <row r="507" spans="26:119">
      <c r="Z507" s="2338"/>
      <c r="AA507" s="2338"/>
      <c r="AB507" s="2338"/>
      <c r="AC507" s="2338"/>
      <c r="AD507" s="2338"/>
      <c r="AE507" s="2338"/>
      <c r="AF507" s="2338"/>
      <c r="AG507" s="2338"/>
      <c r="AH507" s="2338"/>
      <c r="AI507" s="2338"/>
      <c r="AJ507" s="2338"/>
      <c r="AK507" s="2338"/>
      <c r="AL507" s="2338"/>
      <c r="AM507" s="2338"/>
      <c r="AN507" s="2338"/>
      <c r="AO507" s="2338"/>
      <c r="AP507" s="2338"/>
      <c r="AQ507" s="2338"/>
      <c r="AR507" s="2338"/>
      <c r="AS507" s="2338"/>
      <c r="AT507" s="2338"/>
      <c r="AU507" s="2338"/>
      <c r="AV507" s="2338"/>
      <c r="AW507" s="2338"/>
      <c r="AX507" s="2338"/>
      <c r="AY507" s="2338"/>
      <c r="AZ507" s="2338"/>
      <c r="BA507" s="2338"/>
      <c r="BB507" s="2338"/>
      <c r="BC507" s="2338"/>
      <c r="BD507" s="2338"/>
      <c r="BE507" s="2338"/>
      <c r="BF507" s="2338"/>
      <c r="BG507" s="2338"/>
      <c r="BH507" s="2338"/>
      <c r="BI507" s="2338"/>
      <c r="BJ507" s="2338"/>
      <c r="BK507" s="2338"/>
      <c r="BL507" s="2338"/>
      <c r="BM507" s="2338"/>
      <c r="BN507" s="2338"/>
      <c r="BO507" s="2338"/>
      <c r="BP507" s="2338"/>
      <c r="BQ507" s="2338"/>
      <c r="BR507" s="2338"/>
      <c r="BS507" s="2338"/>
      <c r="BT507" s="2338"/>
      <c r="BU507" s="2338"/>
      <c r="BV507" s="2338"/>
      <c r="BW507" s="2338"/>
      <c r="BX507" s="2338"/>
      <c r="BY507" s="2338"/>
      <c r="BZ507" s="2338"/>
      <c r="CA507" s="2338"/>
      <c r="CB507" s="2338"/>
      <c r="CC507" s="2338"/>
      <c r="CD507" s="2338"/>
      <c r="CE507" s="2338"/>
      <c r="CF507" s="2338"/>
      <c r="CG507" s="2338"/>
      <c r="CH507" s="2338"/>
      <c r="CI507" s="2338"/>
      <c r="CJ507" s="2338"/>
      <c r="CK507" s="2338"/>
      <c r="CL507" s="2338"/>
      <c r="CM507" s="2338"/>
      <c r="CN507" s="2338"/>
      <c r="CO507" s="2338"/>
      <c r="CP507" s="2338"/>
      <c r="CQ507" s="2338"/>
      <c r="CR507" s="2338"/>
      <c r="CS507" s="2338"/>
      <c r="CT507" s="2338"/>
      <c r="CU507" s="2338"/>
      <c r="CV507" s="2338"/>
      <c r="CW507" s="2338"/>
      <c r="CX507" s="2338"/>
      <c r="CY507" s="2338"/>
      <c r="CZ507" s="2338"/>
      <c r="DA507" s="2338"/>
      <c r="DB507" s="2338"/>
      <c r="DC507" s="2338"/>
      <c r="DD507" s="2338"/>
      <c r="DE507" s="2338"/>
      <c r="DF507" s="2338"/>
      <c r="DG507" s="2338"/>
      <c r="DH507" s="2338"/>
      <c r="DI507" s="2338"/>
      <c r="DJ507" s="2338"/>
      <c r="DK507" s="2338"/>
      <c r="DL507" s="2338"/>
      <c r="DM507" s="2338"/>
      <c r="DN507" s="2338"/>
      <c r="DO507" s="2338"/>
    </row>
    <row r="508" spans="26:119">
      <c r="Z508" s="2338"/>
      <c r="AA508" s="2338"/>
      <c r="AB508" s="2338"/>
      <c r="AC508" s="2338"/>
      <c r="AD508" s="2338"/>
      <c r="AE508" s="2338"/>
      <c r="AF508" s="2338"/>
      <c r="AG508" s="2338"/>
      <c r="AH508" s="2338"/>
      <c r="AI508" s="2338"/>
      <c r="AJ508" s="2338"/>
      <c r="AK508" s="2338"/>
      <c r="AL508" s="2338"/>
      <c r="AM508" s="2338"/>
      <c r="AN508" s="2338"/>
      <c r="AO508" s="2338"/>
      <c r="AP508" s="2338"/>
      <c r="AQ508" s="2338"/>
      <c r="AR508" s="2338"/>
      <c r="AS508" s="2338"/>
      <c r="AT508" s="2338"/>
      <c r="AU508" s="2338"/>
      <c r="AV508" s="2338"/>
      <c r="AW508" s="2338"/>
      <c r="AX508" s="2338"/>
      <c r="AY508" s="2338"/>
      <c r="AZ508" s="2338"/>
      <c r="BA508" s="2338"/>
      <c r="BB508" s="2338"/>
      <c r="BC508" s="2338"/>
      <c r="BD508" s="2338"/>
      <c r="BE508" s="2338"/>
      <c r="BF508" s="2338"/>
      <c r="BG508" s="2338"/>
      <c r="BH508" s="2338"/>
      <c r="BI508" s="2338"/>
      <c r="BJ508" s="2338"/>
      <c r="BK508" s="2338"/>
      <c r="BL508" s="2338"/>
      <c r="BM508" s="2338"/>
      <c r="BN508" s="2338"/>
      <c r="BO508" s="2338"/>
      <c r="BP508" s="2338"/>
      <c r="BQ508" s="2338"/>
      <c r="BR508" s="2338"/>
      <c r="BS508" s="2338"/>
      <c r="BT508" s="2338"/>
      <c r="BU508" s="2338"/>
      <c r="BV508" s="2338"/>
      <c r="BW508" s="2338"/>
      <c r="BX508" s="2338"/>
      <c r="BY508" s="2338"/>
      <c r="BZ508" s="2338"/>
      <c r="CA508" s="2338"/>
      <c r="CB508" s="2338"/>
      <c r="CC508" s="2338"/>
      <c r="CD508" s="2338"/>
      <c r="CE508" s="2338"/>
      <c r="CF508" s="2338"/>
      <c r="CG508" s="2338"/>
      <c r="CH508" s="2338"/>
      <c r="CI508" s="2338"/>
      <c r="CJ508" s="2338"/>
      <c r="CK508" s="2338"/>
      <c r="CL508" s="2338"/>
      <c r="CM508" s="2338"/>
      <c r="CN508" s="2338"/>
      <c r="CO508" s="2338"/>
      <c r="CP508" s="2338"/>
      <c r="CQ508" s="2338"/>
      <c r="CR508" s="2338"/>
      <c r="CS508" s="2338"/>
      <c r="CT508" s="2338"/>
      <c r="CU508" s="2338"/>
      <c r="CV508" s="2338"/>
      <c r="CW508" s="2338"/>
      <c r="CX508" s="2338"/>
      <c r="CY508" s="2338"/>
      <c r="CZ508" s="2338"/>
      <c r="DA508" s="2338"/>
      <c r="DB508" s="2338"/>
      <c r="DC508" s="2338"/>
      <c r="DD508" s="2338"/>
      <c r="DE508" s="2338"/>
      <c r="DF508" s="2338"/>
      <c r="DG508" s="2338"/>
      <c r="DH508" s="2338"/>
      <c r="DI508" s="2338"/>
      <c r="DJ508" s="2338"/>
      <c r="DK508" s="2338"/>
      <c r="DL508" s="2338"/>
      <c r="DM508" s="2338"/>
      <c r="DN508" s="2338"/>
      <c r="DO508" s="2338"/>
    </row>
    <row r="509" spans="26:119">
      <c r="Z509" s="2338"/>
      <c r="AA509" s="2338"/>
      <c r="AB509" s="2338"/>
      <c r="AC509" s="2338"/>
      <c r="AD509" s="2338"/>
      <c r="AE509" s="2338"/>
      <c r="AF509" s="2338"/>
      <c r="AG509" s="2338"/>
      <c r="AH509" s="2338"/>
      <c r="AI509" s="2338"/>
      <c r="AJ509" s="2338"/>
      <c r="AK509" s="2338"/>
      <c r="AL509" s="2338"/>
      <c r="AM509" s="2338"/>
      <c r="AN509" s="2338"/>
      <c r="AO509" s="2338"/>
      <c r="AP509" s="2338"/>
      <c r="AQ509" s="2338"/>
      <c r="AR509" s="2338"/>
      <c r="AS509" s="2338"/>
      <c r="AT509" s="2338"/>
      <c r="AU509" s="2338"/>
      <c r="AV509" s="2338"/>
      <c r="AW509" s="2338"/>
      <c r="AX509" s="2338"/>
      <c r="AY509" s="2338"/>
      <c r="AZ509" s="2338"/>
      <c r="BA509" s="2338"/>
      <c r="BB509" s="2338"/>
      <c r="BC509" s="2338"/>
      <c r="BD509" s="2338"/>
      <c r="BE509" s="2338"/>
      <c r="BF509" s="2338"/>
      <c r="BG509" s="2338"/>
      <c r="BH509" s="2338"/>
      <c r="BI509" s="2338"/>
      <c r="BJ509" s="2338"/>
      <c r="BK509" s="2338"/>
      <c r="BL509" s="2338"/>
      <c r="BM509" s="2338"/>
      <c r="BN509" s="2338"/>
      <c r="BO509" s="2338"/>
      <c r="BP509" s="2338"/>
      <c r="BQ509" s="2338"/>
      <c r="BR509" s="2338"/>
      <c r="BS509" s="2338"/>
      <c r="BT509" s="2338"/>
      <c r="BU509" s="2338"/>
      <c r="BV509" s="2338"/>
      <c r="BW509" s="2338"/>
      <c r="BX509" s="2338"/>
      <c r="BY509" s="2338"/>
      <c r="BZ509" s="2338"/>
      <c r="CA509" s="2338"/>
      <c r="CB509" s="2338"/>
      <c r="CC509" s="2338"/>
      <c r="CD509" s="2338"/>
      <c r="CE509" s="2338"/>
      <c r="CF509" s="2338"/>
      <c r="CG509" s="2338"/>
      <c r="CH509" s="2338"/>
      <c r="CI509" s="2338"/>
      <c r="CJ509" s="2338"/>
      <c r="CK509" s="2338"/>
      <c r="CL509" s="2338"/>
      <c r="CM509" s="2338"/>
      <c r="CN509" s="2338"/>
      <c r="CO509" s="2338"/>
      <c r="CP509" s="2338"/>
      <c r="CQ509" s="2338"/>
      <c r="CR509" s="2338"/>
      <c r="CS509" s="2338"/>
      <c r="CT509" s="2338"/>
      <c r="CU509" s="2338"/>
      <c r="CV509" s="2338"/>
      <c r="CW509" s="2338"/>
      <c r="CX509" s="2338"/>
      <c r="CY509" s="2338"/>
      <c r="CZ509" s="2338"/>
      <c r="DA509" s="2338"/>
      <c r="DB509" s="2338"/>
      <c r="DC509" s="2338"/>
      <c r="DD509" s="2338"/>
      <c r="DE509" s="2338"/>
      <c r="DF509" s="2338"/>
      <c r="DG509" s="2338"/>
      <c r="DH509" s="2338"/>
      <c r="DI509" s="2338"/>
      <c r="DJ509" s="2338"/>
      <c r="DK509" s="2338"/>
      <c r="DL509" s="2338"/>
      <c r="DM509" s="2338"/>
      <c r="DN509" s="2338"/>
      <c r="DO509" s="2338"/>
    </row>
    <row r="510" spans="26:119">
      <c r="Z510" s="2338"/>
      <c r="AA510" s="2338"/>
      <c r="AB510" s="2338"/>
      <c r="AC510" s="2338"/>
      <c r="AD510" s="2338"/>
      <c r="AE510" s="2338"/>
      <c r="AF510" s="2338"/>
      <c r="AG510" s="2338"/>
      <c r="AH510" s="2338"/>
      <c r="AI510" s="2338"/>
      <c r="AJ510" s="2338"/>
      <c r="AK510" s="2338"/>
      <c r="AL510" s="2338"/>
      <c r="AM510" s="2338"/>
      <c r="AN510" s="2338"/>
      <c r="AO510" s="2338"/>
      <c r="AP510" s="2338"/>
      <c r="AQ510" s="2338"/>
      <c r="AR510" s="2338"/>
      <c r="AS510" s="2338"/>
      <c r="AT510" s="2338"/>
      <c r="AU510" s="2338"/>
      <c r="AV510" s="2338"/>
      <c r="AW510" s="2338"/>
      <c r="AX510" s="2338"/>
      <c r="AY510" s="2338"/>
      <c r="AZ510" s="2338"/>
      <c r="BA510" s="2338"/>
      <c r="BB510" s="2338"/>
      <c r="BC510" s="2338"/>
      <c r="BD510" s="2338"/>
      <c r="BE510" s="2338"/>
      <c r="BF510" s="2338"/>
      <c r="BG510" s="2338"/>
      <c r="BH510" s="2338"/>
      <c r="BI510" s="2338"/>
      <c r="BJ510" s="2338"/>
      <c r="BK510" s="2338"/>
      <c r="BL510" s="2338"/>
      <c r="BM510" s="2338"/>
      <c r="BN510" s="2338"/>
      <c r="BO510" s="2338"/>
      <c r="BP510" s="2338"/>
      <c r="BQ510" s="2338"/>
      <c r="BR510" s="2338"/>
      <c r="BS510" s="2338"/>
      <c r="BT510" s="2338"/>
      <c r="BU510" s="2338"/>
      <c r="BV510" s="2338"/>
      <c r="BW510" s="2338"/>
      <c r="BX510" s="2338"/>
      <c r="BY510" s="2338"/>
      <c r="BZ510" s="2338"/>
      <c r="CA510" s="2338"/>
      <c r="CB510" s="2338"/>
      <c r="CC510" s="2338"/>
      <c r="CD510" s="2338"/>
      <c r="CE510" s="2338"/>
      <c r="CF510" s="2338"/>
      <c r="CG510" s="2338"/>
      <c r="CH510" s="2338"/>
      <c r="CI510" s="2338"/>
      <c r="CJ510" s="2338"/>
      <c r="CK510" s="2338"/>
      <c r="CL510" s="2338"/>
      <c r="CM510" s="2338"/>
      <c r="CN510" s="2338"/>
      <c r="CO510" s="2338"/>
      <c r="CP510" s="2338"/>
      <c r="CQ510" s="2338"/>
      <c r="CR510" s="2338"/>
      <c r="CS510" s="2338"/>
      <c r="CT510" s="2338"/>
      <c r="CU510" s="2338"/>
      <c r="CV510" s="2338"/>
      <c r="CW510" s="2338"/>
      <c r="CX510" s="2338"/>
      <c r="CY510" s="2338"/>
      <c r="CZ510" s="2338"/>
      <c r="DA510" s="2338"/>
      <c r="DB510" s="2338"/>
      <c r="DC510" s="2338"/>
      <c r="DD510" s="2338"/>
      <c r="DE510" s="2338"/>
      <c r="DF510" s="2338"/>
      <c r="DG510" s="2338"/>
      <c r="DH510" s="2338"/>
      <c r="DI510" s="2338"/>
      <c r="DJ510" s="2338"/>
      <c r="DK510" s="2338"/>
      <c r="DL510" s="2338"/>
      <c r="DM510" s="2338"/>
      <c r="DN510" s="2338"/>
      <c r="DO510" s="2338"/>
    </row>
    <row r="511" spans="26:119">
      <c r="Z511" s="2338"/>
      <c r="AA511" s="2338"/>
      <c r="AB511" s="2338"/>
      <c r="AC511" s="2338"/>
      <c r="AD511" s="2338"/>
      <c r="AE511" s="2338"/>
      <c r="AF511" s="2338"/>
      <c r="AG511" s="2338"/>
      <c r="AH511" s="2338"/>
      <c r="AI511" s="2338"/>
      <c r="AJ511" s="2338"/>
      <c r="AK511" s="2338"/>
      <c r="AL511" s="2338"/>
      <c r="AM511" s="2338"/>
      <c r="AN511" s="2338"/>
      <c r="AO511" s="2338"/>
      <c r="AP511" s="2338"/>
      <c r="AQ511" s="2338"/>
      <c r="AR511" s="2338"/>
      <c r="AS511" s="2338"/>
      <c r="AT511" s="2338"/>
      <c r="AU511" s="2338"/>
      <c r="AV511" s="2338"/>
      <c r="AW511" s="2338"/>
      <c r="AX511" s="2338"/>
      <c r="AY511" s="2338"/>
      <c r="AZ511" s="2338"/>
      <c r="BA511" s="2338"/>
      <c r="BB511" s="2338"/>
      <c r="BC511" s="2338"/>
      <c r="BD511" s="2338"/>
      <c r="BE511" s="2338"/>
      <c r="BF511" s="2338"/>
      <c r="BG511" s="2338"/>
      <c r="BH511" s="2338"/>
      <c r="BI511" s="2338"/>
      <c r="BJ511" s="2338"/>
      <c r="BK511" s="2338"/>
      <c r="BL511" s="2338"/>
      <c r="BM511" s="2338"/>
      <c r="BN511" s="2338"/>
      <c r="BO511" s="2338"/>
      <c r="BP511" s="2338"/>
      <c r="BQ511" s="2338"/>
      <c r="BR511" s="2338"/>
      <c r="BS511" s="2338"/>
      <c r="BT511" s="2338"/>
      <c r="BU511" s="2338"/>
      <c r="BV511" s="2338"/>
      <c r="BW511" s="2338"/>
      <c r="BX511" s="2338"/>
      <c r="BY511" s="2338"/>
      <c r="BZ511" s="2338"/>
      <c r="CA511" s="2338"/>
      <c r="CB511" s="2338"/>
      <c r="CC511" s="2338"/>
      <c r="CD511" s="2338"/>
      <c r="CE511" s="2338"/>
      <c r="CF511" s="2338"/>
      <c r="CG511" s="2338"/>
      <c r="CH511" s="2338"/>
      <c r="CI511" s="2338"/>
      <c r="CJ511" s="2338"/>
      <c r="CK511" s="2338"/>
      <c r="CL511" s="2338"/>
      <c r="CM511" s="2338"/>
      <c r="CN511" s="2338"/>
      <c r="CO511" s="2338"/>
      <c r="CP511" s="2338"/>
      <c r="CQ511" s="2338"/>
      <c r="CR511" s="2338"/>
      <c r="CS511" s="2338"/>
      <c r="CT511" s="2338"/>
      <c r="CU511" s="2338"/>
      <c r="CV511" s="2338"/>
      <c r="CW511" s="2338"/>
      <c r="CX511" s="2338"/>
      <c r="CY511" s="2338"/>
      <c r="CZ511" s="2338"/>
      <c r="DA511" s="2338"/>
      <c r="DB511" s="2338"/>
      <c r="DC511" s="2338"/>
      <c r="DD511" s="2338"/>
      <c r="DE511" s="2338"/>
      <c r="DF511" s="2338"/>
      <c r="DG511" s="2338"/>
      <c r="DH511" s="2338"/>
      <c r="DI511" s="2338"/>
      <c r="DJ511" s="2338"/>
      <c r="DK511" s="2338"/>
      <c r="DL511" s="2338"/>
      <c r="DM511" s="2338"/>
      <c r="DN511" s="2338"/>
      <c r="DO511" s="2338"/>
    </row>
    <row r="512" spans="26:119">
      <c r="Z512" s="2338"/>
      <c r="AA512" s="2338"/>
      <c r="AB512" s="2338"/>
      <c r="AC512" s="2338"/>
      <c r="AD512" s="2338"/>
      <c r="AE512" s="2338"/>
      <c r="AF512" s="2338"/>
      <c r="AG512" s="2338"/>
      <c r="AH512" s="2338"/>
      <c r="AI512" s="2338"/>
      <c r="AJ512" s="2338"/>
      <c r="AK512" s="2338"/>
      <c r="AL512" s="2338"/>
      <c r="AM512" s="2338"/>
      <c r="AN512" s="2338"/>
      <c r="AO512" s="2338"/>
      <c r="AP512" s="2338"/>
      <c r="AQ512" s="2338"/>
      <c r="AR512" s="2338"/>
      <c r="AS512" s="2338"/>
      <c r="AT512" s="2338"/>
      <c r="AU512" s="2338"/>
      <c r="AV512" s="2338"/>
      <c r="AW512" s="2338"/>
      <c r="AX512" s="2338"/>
      <c r="AY512" s="2338"/>
      <c r="AZ512" s="2338"/>
      <c r="BA512" s="2338"/>
      <c r="BB512" s="2338"/>
      <c r="BC512" s="2338"/>
      <c r="BD512" s="2338"/>
      <c r="BE512" s="2338"/>
      <c r="BF512" s="2338"/>
      <c r="BG512" s="2338"/>
      <c r="BH512" s="2338"/>
      <c r="BI512" s="2338"/>
      <c r="BJ512" s="2338"/>
      <c r="BK512" s="2338"/>
      <c r="BL512" s="2338"/>
      <c r="BM512" s="2338"/>
      <c r="BN512" s="2338"/>
      <c r="BO512" s="2338"/>
      <c r="BP512" s="2338"/>
      <c r="BQ512" s="2338"/>
      <c r="BR512" s="2338"/>
      <c r="BS512" s="2338"/>
      <c r="BT512" s="2338"/>
      <c r="BU512" s="2338"/>
      <c r="BV512" s="2338"/>
      <c r="BW512" s="2338"/>
      <c r="BX512" s="2338"/>
      <c r="BY512" s="2338"/>
      <c r="BZ512" s="2338"/>
      <c r="CA512" s="2338"/>
      <c r="CB512" s="2338"/>
      <c r="CC512" s="2338"/>
      <c r="CD512" s="2338"/>
      <c r="CE512" s="2338"/>
      <c r="CF512" s="2338"/>
      <c r="CG512" s="2338"/>
      <c r="CH512" s="2338"/>
      <c r="CI512" s="2338"/>
      <c r="CJ512" s="2338"/>
      <c r="CK512" s="2338"/>
      <c r="CL512" s="2338"/>
      <c r="CM512" s="2338"/>
      <c r="CN512" s="2338"/>
      <c r="CO512" s="2338"/>
      <c r="CP512" s="2338"/>
      <c r="CQ512" s="2338"/>
      <c r="CR512" s="2338"/>
      <c r="CS512" s="2338"/>
      <c r="CT512" s="2338"/>
      <c r="CU512" s="2338"/>
      <c r="CV512" s="2338"/>
      <c r="CW512" s="2338"/>
      <c r="CX512" s="2338"/>
      <c r="CY512" s="2338"/>
      <c r="CZ512" s="2338"/>
      <c r="DA512" s="2338"/>
      <c r="DB512" s="2338"/>
      <c r="DC512" s="2338"/>
      <c r="DD512" s="2338"/>
      <c r="DE512" s="2338"/>
      <c r="DF512" s="2338"/>
      <c r="DG512" s="2338"/>
      <c r="DH512" s="2338"/>
      <c r="DI512" s="2338"/>
      <c r="DJ512" s="2338"/>
      <c r="DK512" s="2338"/>
      <c r="DL512" s="2338"/>
      <c r="DM512" s="2338"/>
      <c r="DN512" s="2338"/>
      <c r="DO512" s="2338"/>
    </row>
    <row r="513" spans="26:119">
      <c r="Z513" s="2338"/>
      <c r="AA513" s="2338"/>
      <c r="AB513" s="2338"/>
      <c r="AC513" s="2338"/>
      <c r="AD513" s="2338"/>
      <c r="AE513" s="2338"/>
      <c r="AF513" s="2338"/>
      <c r="AG513" s="2338"/>
      <c r="AH513" s="2338"/>
      <c r="AI513" s="2338"/>
      <c r="AJ513" s="2338"/>
      <c r="AK513" s="2338"/>
      <c r="AL513" s="2338"/>
      <c r="AM513" s="2338"/>
      <c r="AN513" s="2338"/>
      <c r="AO513" s="2338"/>
      <c r="AP513" s="2338"/>
      <c r="AQ513" s="2338"/>
      <c r="AR513" s="2338"/>
      <c r="AS513" s="2338"/>
      <c r="AT513" s="2338"/>
      <c r="AU513" s="2338"/>
      <c r="AV513" s="2338"/>
      <c r="AW513" s="2338"/>
      <c r="AX513" s="2338"/>
      <c r="AY513" s="2338"/>
      <c r="AZ513" s="2338"/>
      <c r="BA513" s="2338"/>
      <c r="BB513" s="2338"/>
      <c r="BC513" s="2338"/>
      <c r="BD513" s="2338"/>
      <c r="BE513" s="2338"/>
      <c r="BF513" s="2338"/>
      <c r="BG513" s="2338"/>
      <c r="BH513" s="2338"/>
      <c r="BI513" s="2338"/>
      <c r="BJ513" s="2338"/>
      <c r="BK513" s="2338"/>
      <c r="BL513" s="2338"/>
      <c r="BM513" s="2338"/>
      <c r="BN513" s="2338"/>
      <c r="BO513" s="2338"/>
      <c r="BP513" s="2338"/>
      <c r="BQ513" s="2338"/>
      <c r="BR513" s="2338"/>
      <c r="BS513" s="2338"/>
      <c r="BT513" s="2338"/>
      <c r="BU513" s="2338"/>
      <c r="BV513" s="2338"/>
      <c r="BW513" s="2338"/>
      <c r="BX513" s="2338"/>
      <c r="BY513" s="2338"/>
      <c r="BZ513" s="2338"/>
      <c r="CA513" s="2338"/>
      <c r="CB513" s="2338"/>
      <c r="CC513" s="2338"/>
      <c r="CD513" s="2338"/>
      <c r="CE513" s="2338"/>
      <c r="CF513" s="2338"/>
      <c r="CG513" s="2338"/>
      <c r="CH513" s="2338"/>
      <c r="CI513" s="2338"/>
      <c r="CJ513" s="2338"/>
      <c r="CK513" s="2338"/>
      <c r="CL513" s="2338"/>
      <c r="CM513" s="2338"/>
      <c r="CN513" s="2338"/>
      <c r="CO513" s="2338"/>
      <c r="CP513" s="2338"/>
      <c r="CQ513" s="2338"/>
      <c r="CR513" s="2338"/>
      <c r="CS513" s="2338"/>
      <c r="CT513" s="2338"/>
      <c r="CU513" s="2338"/>
      <c r="CV513" s="2338"/>
      <c r="CW513" s="2338"/>
      <c r="CX513" s="2338"/>
      <c r="CY513" s="2338"/>
      <c r="CZ513" s="2338"/>
      <c r="DA513" s="2338"/>
      <c r="DB513" s="2338"/>
      <c r="DC513" s="2338"/>
      <c r="DD513" s="2338"/>
      <c r="DE513" s="2338"/>
      <c r="DF513" s="2338"/>
      <c r="DG513" s="2338"/>
      <c r="DH513" s="2338"/>
      <c r="DI513" s="2338"/>
      <c r="DJ513" s="2338"/>
      <c r="DK513" s="2338"/>
      <c r="DL513" s="2338"/>
      <c r="DM513" s="2338"/>
      <c r="DN513" s="2338"/>
      <c r="DO513" s="2338"/>
    </row>
    <row r="514" spans="26:119">
      <c r="Z514" s="2338"/>
      <c r="AA514" s="2338"/>
      <c r="AB514" s="2338"/>
      <c r="AC514" s="2338"/>
      <c r="AD514" s="2338"/>
      <c r="AE514" s="2338"/>
      <c r="AF514" s="2338"/>
      <c r="AG514" s="2338"/>
      <c r="AH514" s="2338"/>
      <c r="AI514" s="2338"/>
      <c r="AJ514" s="2338"/>
      <c r="AK514" s="2338"/>
      <c r="AL514" s="2338"/>
      <c r="AM514" s="2338"/>
      <c r="AN514" s="2338"/>
      <c r="AO514" s="2338"/>
      <c r="AP514" s="2338"/>
      <c r="AQ514" s="2338"/>
      <c r="AR514" s="2338"/>
      <c r="AS514" s="2338"/>
      <c r="AT514" s="2338"/>
      <c r="AU514" s="2338"/>
      <c r="AV514" s="2338"/>
      <c r="AW514" s="2338"/>
      <c r="AX514" s="2338"/>
      <c r="AY514" s="2338"/>
      <c r="AZ514" s="2338"/>
      <c r="BA514" s="2338"/>
      <c r="BB514" s="2338"/>
      <c r="BC514" s="2338"/>
      <c r="BD514" s="2338"/>
      <c r="BE514" s="2338"/>
      <c r="BF514" s="2338"/>
      <c r="BG514" s="2338"/>
      <c r="BH514" s="2338"/>
      <c r="BI514" s="2338"/>
      <c r="BJ514" s="2338"/>
      <c r="BK514" s="2338"/>
      <c r="BL514" s="2338"/>
      <c r="BM514" s="2338"/>
      <c r="BN514" s="2338"/>
      <c r="BO514" s="2338"/>
      <c r="BP514" s="2338"/>
      <c r="BQ514" s="2338"/>
      <c r="BR514" s="2338"/>
      <c r="BS514" s="2338"/>
      <c r="BT514" s="2338"/>
      <c r="BU514" s="2338"/>
      <c r="BV514" s="2338"/>
      <c r="BW514" s="2338"/>
      <c r="BX514" s="2338"/>
      <c r="BY514" s="2338"/>
      <c r="BZ514" s="2338"/>
      <c r="CA514" s="2338"/>
      <c r="CB514" s="2338"/>
      <c r="CC514" s="2338"/>
      <c r="CD514" s="2338"/>
      <c r="CE514" s="2338"/>
      <c r="CF514" s="2338"/>
      <c r="CG514" s="2338"/>
      <c r="CH514" s="2338"/>
      <c r="CI514" s="2338"/>
      <c r="CJ514" s="2338"/>
      <c r="CK514" s="2338"/>
      <c r="CL514" s="2338"/>
      <c r="CM514" s="2338"/>
      <c r="CN514" s="2338"/>
      <c r="CO514" s="2338"/>
      <c r="CP514" s="2338"/>
      <c r="CQ514" s="2338"/>
      <c r="CR514" s="2338"/>
      <c r="CS514" s="2338"/>
      <c r="CT514" s="2338"/>
      <c r="CU514" s="2338"/>
      <c r="CV514" s="2338"/>
      <c r="CW514" s="2338"/>
      <c r="CX514" s="2338"/>
      <c r="CY514" s="2338"/>
      <c r="CZ514" s="2338"/>
      <c r="DA514" s="2338"/>
      <c r="DB514" s="2338"/>
      <c r="DC514" s="2338"/>
      <c r="DD514" s="2338"/>
      <c r="DE514" s="2338"/>
      <c r="DF514" s="2338"/>
      <c r="DG514" s="2338"/>
      <c r="DH514" s="2338"/>
      <c r="DI514" s="2338"/>
      <c r="DJ514" s="2338"/>
      <c r="DK514" s="2338"/>
      <c r="DL514" s="2338"/>
      <c r="DM514" s="2338"/>
      <c r="DN514" s="2338"/>
      <c r="DO514" s="2338"/>
    </row>
    <row r="515" spans="26:119">
      <c r="Z515" s="2338"/>
      <c r="AA515" s="2338"/>
      <c r="AB515" s="2338"/>
      <c r="AC515" s="2338"/>
      <c r="AD515" s="2338"/>
      <c r="AE515" s="2338"/>
      <c r="AF515" s="2338"/>
      <c r="AG515" s="2338"/>
      <c r="AH515" s="2338"/>
      <c r="AI515" s="2338"/>
      <c r="AJ515" s="2338"/>
      <c r="AK515" s="2338"/>
      <c r="AL515" s="2338"/>
      <c r="AM515" s="2338"/>
      <c r="AN515" s="2338"/>
      <c r="AO515" s="2338"/>
      <c r="AP515" s="2338"/>
      <c r="AQ515" s="2338"/>
      <c r="AR515" s="2338"/>
      <c r="AS515" s="2338"/>
      <c r="AT515" s="2338"/>
      <c r="AU515" s="2338"/>
      <c r="AV515" s="2338"/>
      <c r="AW515" s="2338"/>
      <c r="AX515" s="2338"/>
      <c r="AY515" s="2338"/>
      <c r="AZ515" s="2338"/>
      <c r="BA515" s="2338"/>
      <c r="BB515" s="2338"/>
      <c r="BC515" s="2338"/>
      <c r="BD515" s="2338"/>
      <c r="BE515" s="2338"/>
      <c r="BF515" s="2338"/>
      <c r="BG515" s="2338"/>
      <c r="BH515" s="2338"/>
      <c r="BI515" s="2338"/>
      <c r="BJ515" s="2338"/>
      <c r="BK515" s="2338"/>
      <c r="BL515" s="2338"/>
      <c r="BM515" s="2338"/>
      <c r="BN515" s="2338"/>
      <c r="BO515" s="2338"/>
      <c r="BP515" s="2338"/>
      <c r="BQ515" s="2338"/>
      <c r="BR515" s="2338"/>
      <c r="BS515" s="2338"/>
      <c r="BT515" s="2338"/>
      <c r="BU515" s="2338"/>
      <c r="BV515" s="2338"/>
      <c r="BW515" s="2338"/>
      <c r="BX515" s="2338"/>
      <c r="BY515" s="2338"/>
      <c r="BZ515" s="2338"/>
      <c r="CA515" s="2338"/>
      <c r="CB515" s="2338"/>
      <c r="CC515" s="2338"/>
      <c r="CD515" s="2338"/>
      <c r="CE515" s="2338"/>
      <c r="CF515" s="2338"/>
      <c r="CG515" s="2338"/>
      <c r="CH515" s="2338"/>
      <c r="CI515" s="2338"/>
      <c r="CJ515" s="2338"/>
      <c r="CK515" s="2338"/>
      <c r="CL515" s="2338"/>
      <c r="CM515" s="2338"/>
      <c r="CN515" s="2338"/>
      <c r="CO515" s="2338"/>
      <c r="CP515" s="2338"/>
      <c r="CQ515" s="2338"/>
      <c r="CR515" s="2338"/>
      <c r="CS515" s="2338"/>
      <c r="CT515" s="2338"/>
      <c r="CU515" s="2338"/>
      <c r="CV515" s="2338"/>
      <c r="CW515" s="2338"/>
      <c r="CX515" s="2338"/>
      <c r="CY515" s="2338"/>
      <c r="CZ515" s="2338"/>
      <c r="DA515" s="2338"/>
      <c r="DB515" s="2338"/>
      <c r="DC515" s="2338"/>
      <c r="DD515" s="2338"/>
      <c r="DE515" s="2338"/>
      <c r="DF515" s="2338"/>
      <c r="DG515" s="2338"/>
      <c r="DH515" s="2338"/>
      <c r="DI515" s="2338"/>
      <c r="DJ515" s="2338"/>
      <c r="DK515" s="2338"/>
      <c r="DL515" s="2338"/>
      <c r="DM515" s="2338"/>
      <c r="DN515" s="2338"/>
      <c r="DO515" s="2338"/>
    </row>
    <row r="516" spans="26:119">
      <c r="Z516" s="2338"/>
      <c r="AA516" s="2338"/>
      <c r="AB516" s="2338"/>
      <c r="AC516" s="2338"/>
      <c r="AD516" s="2338"/>
      <c r="AE516" s="2338"/>
      <c r="AF516" s="2338"/>
      <c r="AG516" s="2338"/>
      <c r="AH516" s="2338"/>
      <c r="AI516" s="2338"/>
      <c r="AJ516" s="2338"/>
      <c r="AK516" s="2338"/>
      <c r="AL516" s="2338"/>
      <c r="AM516" s="2338"/>
      <c r="AN516" s="2338"/>
      <c r="AO516" s="2338"/>
      <c r="AP516" s="2338"/>
      <c r="AQ516" s="2338"/>
      <c r="AR516" s="2338"/>
      <c r="AS516" s="2338"/>
      <c r="AT516" s="2338"/>
      <c r="AU516" s="2338"/>
      <c r="AV516" s="2338"/>
      <c r="AW516" s="2338"/>
      <c r="AX516" s="2338"/>
      <c r="AY516" s="2338"/>
      <c r="AZ516" s="2338"/>
      <c r="BA516" s="2338"/>
      <c r="BB516" s="2338"/>
      <c r="BC516" s="2338"/>
      <c r="BD516" s="2338"/>
      <c r="BE516" s="2338"/>
      <c r="BF516" s="2338"/>
      <c r="BG516" s="2338"/>
      <c r="BH516" s="2338"/>
      <c r="BI516" s="2338"/>
      <c r="BJ516" s="2338"/>
      <c r="BK516" s="2338"/>
      <c r="BL516" s="2338"/>
      <c r="BM516" s="2338"/>
      <c r="BN516" s="2338"/>
      <c r="BO516" s="2338"/>
      <c r="BP516" s="2338"/>
      <c r="BQ516" s="2338"/>
      <c r="BR516" s="2338"/>
      <c r="BS516" s="2338"/>
      <c r="BT516" s="2338"/>
      <c r="BU516" s="2338"/>
      <c r="BV516" s="2338"/>
      <c r="BW516" s="2338"/>
      <c r="BX516" s="2338"/>
      <c r="BY516" s="2338"/>
      <c r="BZ516" s="2338"/>
      <c r="CA516" s="2338"/>
      <c r="CB516" s="2338"/>
      <c r="CC516" s="2338"/>
      <c r="CD516" s="2338"/>
      <c r="CE516" s="2338"/>
      <c r="CF516" s="2338"/>
      <c r="CG516" s="2338"/>
      <c r="CH516" s="2338"/>
      <c r="CI516" s="2338"/>
      <c r="CJ516" s="2338"/>
      <c r="CK516" s="2338"/>
      <c r="CL516" s="2338"/>
      <c r="CM516" s="2338"/>
      <c r="CN516" s="2338"/>
      <c r="CO516" s="2338"/>
      <c r="CP516" s="2338"/>
      <c r="CQ516" s="2338"/>
      <c r="CR516" s="2338"/>
      <c r="CS516" s="2338"/>
      <c r="CT516" s="2338"/>
      <c r="CU516" s="2338"/>
      <c r="CV516" s="2338"/>
      <c r="CW516" s="2338"/>
      <c r="CX516" s="2338"/>
      <c r="CY516" s="2338"/>
      <c r="CZ516" s="2338"/>
      <c r="DA516" s="2338"/>
      <c r="DB516" s="2338"/>
      <c r="DC516" s="2338"/>
      <c r="DD516" s="2338"/>
      <c r="DE516" s="2338"/>
      <c r="DF516" s="2338"/>
      <c r="DG516" s="2338"/>
      <c r="DH516" s="2338"/>
      <c r="DI516" s="2338"/>
      <c r="DJ516" s="2338"/>
      <c r="DK516" s="2338"/>
      <c r="DL516" s="2338"/>
      <c r="DM516" s="2338"/>
      <c r="DN516" s="2338"/>
      <c r="DO516" s="2338"/>
    </row>
    <row r="517" spans="26:119">
      <c r="Z517" s="2338"/>
      <c r="AA517" s="2338"/>
      <c r="AB517" s="2338"/>
      <c r="AC517" s="2338"/>
      <c r="AD517" s="2338"/>
      <c r="AE517" s="2338"/>
      <c r="AF517" s="2338"/>
      <c r="AG517" s="2338"/>
      <c r="AH517" s="2338"/>
      <c r="AI517" s="2338"/>
      <c r="AJ517" s="2338"/>
      <c r="AK517" s="2338"/>
      <c r="AL517" s="2338"/>
      <c r="AM517" s="2338"/>
      <c r="AN517" s="2338"/>
      <c r="AO517" s="2338"/>
      <c r="AP517" s="2338"/>
      <c r="AQ517" s="2338"/>
      <c r="AR517" s="2338"/>
      <c r="AS517" s="2338"/>
      <c r="AT517" s="2338"/>
      <c r="AU517" s="2338"/>
      <c r="AV517" s="2338"/>
      <c r="AW517" s="2338"/>
      <c r="AX517" s="2338"/>
      <c r="AY517" s="2338"/>
      <c r="AZ517" s="2338"/>
      <c r="BA517" s="2338"/>
      <c r="BB517" s="2338"/>
      <c r="BC517" s="2338"/>
      <c r="BD517" s="2338"/>
      <c r="BE517" s="2338"/>
      <c r="BF517" s="2338"/>
      <c r="BG517" s="2338"/>
      <c r="BH517" s="2338"/>
      <c r="BI517" s="2338"/>
      <c r="BJ517" s="2338"/>
      <c r="BK517" s="2338"/>
      <c r="BL517" s="2338"/>
      <c r="BM517" s="2338"/>
      <c r="BN517" s="2338"/>
      <c r="BO517" s="2338"/>
      <c r="BP517" s="2338"/>
      <c r="BQ517" s="2338"/>
      <c r="BR517" s="2338"/>
      <c r="BS517" s="2338"/>
      <c r="BT517" s="2338"/>
      <c r="BU517" s="2338"/>
      <c r="BV517" s="2338"/>
      <c r="BW517" s="2338"/>
      <c r="BX517" s="2338"/>
      <c r="BY517" s="2338"/>
      <c r="BZ517" s="2338"/>
      <c r="CA517" s="2338"/>
      <c r="CB517" s="2338"/>
      <c r="CC517" s="2338"/>
      <c r="CD517" s="2338"/>
      <c r="CE517" s="2338"/>
      <c r="CF517" s="2338"/>
      <c r="CG517" s="2338"/>
      <c r="CH517" s="2338"/>
      <c r="CI517" s="2338"/>
      <c r="CJ517" s="2338"/>
      <c r="CK517" s="2338"/>
      <c r="CL517" s="2338"/>
      <c r="CM517" s="2338"/>
      <c r="CN517" s="2338"/>
      <c r="CO517" s="2338"/>
      <c r="CP517" s="2338"/>
      <c r="CQ517" s="2338"/>
      <c r="CR517" s="2338"/>
      <c r="CS517" s="2338"/>
      <c r="CT517" s="2338"/>
      <c r="CU517" s="2338"/>
      <c r="CV517" s="2338"/>
      <c r="CW517" s="2338"/>
      <c r="CX517" s="2338"/>
      <c r="CY517" s="2338"/>
      <c r="CZ517" s="2338"/>
      <c r="DA517" s="2338"/>
      <c r="DB517" s="2338"/>
      <c r="DC517" s="2338"/>
      <c r="DD517" s="2338"/>
      <c r="DE517" s="2338"/>
      <c r="DF517" s="2338"/>
      <c r="DG517" s="2338"/>
      <c r="DH517" s="2338"/>
      <c r="DI517" s="2338"/>
      <c r="DJ517" s="2338"/>
      <c r="DK517" s="2338"/>
      <c r="DL517" s="2338"/>
      <c r="DM517" s="2338"/>
      <c r="DN517" s="2338"/>
      <c r="DO517" s="2338"/>
    </row>
    <row r="518" spans="26:119">
      <c r="Z518" s="2338"/>
      <c r="AA518" s="2338"/>
      <c r="AB518" s="2338"/>
      <c r="AC518" s="2338"/>
      <c r="AD518" s="2338"/>
      <c r="AE518" s="2338"/>
      <c r="AF518" s="2338"/>
      <c r="AG518" s="2338"/>
      <c r="AH518" s="2338"/>
      <c r="AI518" s="2338"/>
      <c r="AJ518" s="2338"/>
      <c r="AK518" s="2338"/>
      <c r="AL518" s="2338"/>
      <c r="AM518" s="2338"/>
      <c r="AN518" s="2338"/>
      <c r="AO518" s="2338"/>
      <c r="AP518" s="2338"/>
      <c r="AQ518" s="2338"/>
      <c r="AR518" s="2338"/>
      <c r="AS518" s="2338"/>
      <c r="AT518" s="2338"/>
      <c r="AU518" s="2338"/>
      <c r="AV518" s="2338"/>
      <c r="AW518" s="2338"/>
      <c r="AX518" s="2338"/>
      <c r="AY518" s="2338"/>
      <c r="AZ518" s="2338"/>
      <c r="BA518" s="2338"/>
      <c r="BB518" s="2338"/>
      <c r="BC518" s="2338"/>
      <c r="BD518" s="2338"/>
      <c r="BE518" s="2338"/>
      <c r="BF518" s="2338"/>
      <c r="BG518" s="2338"/>
      <c r="BH518" s="2338"/>
      <c r="BI518" s="2338"/>
      <c r="BJ518" s="2338"/>
      <c r="BK518" s="2338"/>
      <c r="BL518" s="2338"/>
      <c r="BM518" s="2338"/>
      <c r="BN518" s="2338"/>
      <c r="BO518" s="2338"/>
      <c r="BP518" s="2338"/>
      <c r="BQ518" s="2338"/>
      <c r="BR518" s="2338"/>
      <c r="BS518" s="2338"/>
      <c r="BT518" s="2338"/>
      <c r="BU518" s="2338"/>
      <c r="BV518" s="2338"/>
      <c r="BW518" s="2338"/>
      <c r="BX518" s="2338"/>
      <c r="BY518" s="2338"/>
      <c r="BZ518" s="2338"/>
      <c r="CA518" s="2338"/>
      <c r="CB518" s="2338"/>
      <c r="CC518" s="2338"/>
      <c r="CD518" s="2338"/>
      <c r="CE518" s="2338"/>
      <c r="CF518" s="2338"/>
      <c r="CG518" s="2338"/>
      <c r="CH518" s="2338"/>
      <c r="CI518" s="2338"/>
      <c r="CJ518" s="2338"/>
      <c r="CK518" s="2338"/>
      <c r="CL518" s="2338"/>
      <c r="CM518" s="2338"/>
      <c r="CN518" s="2338"/>
      <c r="CO518" s="2338"/>
      <c r="CP518" s="2338"/>
      <c r="CQ518" s="2338"/>
      <c r="CR518" s="2338"/>
      <c r="CS518" s="2338"/>
      <c r="CT518" s="2338"/>
      <c r="CU518" s="2338"/>
      <c r="CV518" s="2338"/>
      <c r="CW518" s="2338"/>
      <c r="CX518" s="2338"/>
      <c r="CY518" s="2338"/>
      <c r="CZ518" s="2338"/>
      <c r="DA518" s="2338"/>
      <c r="DB518" s="2338"/>
      <c r="DC518" s="2338"/>
      <c r="DD518" s="2338"/>
      <c r="DE518" s="2338"/>
      <c r="DF518" s="2338"/>
      <c r="DG518" s="2338"/>
      <c r="DH518" s="2338"/>
      <c r="DI518" s="2338"/>
      <c r="DJ518" s="2338"/>
      <c r="DK518" s="2338"/>
      <c r="DL518" s="2338"/>
      <c r="DM518" s="2338"/>
      <c r="DN518" s="2338"/>
      <c r="DO518" s="2338"/>
    </row>
    <row r="519" spans="26:119">
      <c r="Z519" s="2338"/>
      <c r="AA519" s="2338"/>
      <c r="AB519" s="2338"/>
      <c r="AC519" s="2338"/>
      <c r="AD519" s="2338"/>
      <c r="AE519" s="2338"/>
      <c r="AF519" s="2338"/>
      <c r="AG519" s="2338"/>
      <c r="AH519" s="2338"/>
      <c r="AI519" s="2338"/>
      <c r="AJ519" s="2338"/>
      <c r="AK519" s="2338"/>
      <c r="AL519" s="2338"/>
      <c r="AM519" s="2338"/>
      <c r="AN519" s="2338"/>
      <c r="AO519" s="2338"/>
      <c r="AP519" s="2338"/>
      <c r="AQ519" s="2338"/>
      <c r="AR519" s="2338"/>
      <c r="AS519" s="2338"/>
      <c r="AT519" s="2338"/>
      <c r="AU519" s="2338"/>
      <c r="AV519" s="2338"/>
      <c r="AW519" s="2338"/>
      <c r="AX519" s="2338"/>
      <c r="AY519" s="2338"/>
      <c r="AZ519" s="2338"/>
      <c r="BA519" s="2338"/>
      <c r="BB519" s="2338"/>
      <c r="BC519" s="2338"/>
      <c r="BD519" s="2338"/>
      <c r="BE519" s="2338"/>
      <c r="BF519" s="2338"/>
      <c r="BG519" s="2338"/>
      <c r="BH519" s="2338"/>
      <c r="BI519" s="2338"/>
      <c r="BJ519" s="2338"/>
      <c r="BK519" s="2338"/>
      <c r="BL519" s="2338"/>
      <c r="BM519" s="2338"/>
      <c r="BN519" s="2338"/>
      <c r="BO519" s="2338"/>
      <c r="BP519" s="2338"/>
      <c r="BQ519" s="2338"/>
      <c r="BR519" s="2338"/>
      <c r="BS519" s="2338"/>
      <c r="BT519" s="2338"/>
      <c r="BU519" s="2338"/>
      <c r="BV519" s="2338"/>
      <c r="BW519" s="2338"/>
      <c r="BX519" s="2338"/>
      <c r="BY519" s="2338"/>
      <c r="BZ519" s="2338"/>
      <c r="CA519" s="2338"/>
      <c r="CB519" s="2338"/>
      <c r="CC519" s="2338"/>
      <c r="CD519" s="2338"/>
      <c r="CE519" s="2338"/>
      <c r="CF519" s="2338"/>
      <c r="CG519" s="2338"/>
      <c r="CH519" s="2338"/>
      <c r="CI519" s="2338"/>
      <c r="CJ519" s="2338"/>
      <c r="CK519" s="2338"/>
      <c r="CL519" s="2338"/>
      <c r="CM519" s="2338"/>
      <c r="CN519" s="2338"/>
      <c r="CO519" s="2338"/>
      <c r="CP519" s="2338"/>
      <c r="CQ519" s="2338"/>
      <c r="CR519" s="2338"/>
      <c r="CS519" s="2338"/>
      <c r="CT519" s="2338"/>
      <c r="CU519" s="2338"/>
      <c r="CV519" s="2338"/>
      <c r="CW519" s="2338"/>
      <c r="CX519" s="2338"/>
      <c r="CY519" s="2338"/>
      <c r="CZ519" s="2338"/>
      <c r="DA519" s="2338"/>
      <c r="DB519" s="2338"/>
      <c r="DC519" s="2338"/>
      <c r="DD519" s="2338"/>
      <c r="DE519" s="2338"/>
      <c r="DF519" s="2338"/>
      <c r="DG519" s="2338"/>
      <c r="DH519" s="2338"/>
      <c r="DI519" s="2338"/>
      <c r="DJ519" s="2338"/>
      <c r="DK519" s="2338"/>
      <c r="DL519" s="2338"/>
      <c r="DM519" s="2338"/>
      <c r="DN519" s="2338"/>
      <c r="DO519" s="2338"/>
    </row>
    <row r="520" spans="26:119">
      <c r="Z520" s="2338"/>
      <c r="AA520" s="2338"/>
      <c r="AB520" s="2338"/>
      <c r="AC520" s="2338"/>
      <c r="AD520" s="2338"/>
      <c r="AE520" s="2338"/>
      <c r="AF520" s="2338"/>
      <c r="AG520" s="2338"/>
      <c r="AH520" s="2338"/>
      <c r="AI520" s="2338"/>
      <c r="AJ520" s="2338"/>
      <c r="AK520" s="2338"/>
      <c r="AL520" s="2338"/>
      <c r="AM520" s="2338"/>
      <c r="AN520" s="2338"/>
      <c r="AO520" s="2338"/>
      <c r="AP520" s="2338"/>
      <c r="AQ520" s="2338"/>
      <c r="AR520" s="2338"/>
      <c r="AS520" s="2338"/>
      <c r="AT520" s="2338"/>
      <c r="AU520" s="2338"/>
      <c r="AV520" s="2338"/>
      <c r="AW520" s="2338"/>
      <c r="AX520" s="2338"/>
      <c r="AY520" s="2338"/>
      <c r="AZ520" s="2338"/>
      <c r="BA520" s="2338"/>
      <c r="BB520" s="2338"/>
      <c r="BC520" s="2338"/>
      <c r="BD520" s="2338"/>
      <c r="BE520" s="2338"/>
      <c r="BF520" s="2338"/>
      <c r="BG520" s="2338"/>
      <c r="BH520" s="2338"/>
      <c r="BI520" s="2338"/>
      <c r="BJ520" s="2338"/>
      <c r="BK520" s="2338"/>
      <c r="BL520" s="2338"/>
      <c r="BM520" s="2338"/>
      <c r="BN520" s="2338"/>
      <c r="BO520" s="2338"/>
      <c r="BP520" s="2338"/>
      <c r="BQ520" s="2338"/>
      <c r="BR520" s="2338"/>
      <c r="BS520" s="2338"/>
      <c r="BT520" s="2338"/>
      <c r="BU520" s="2338"/>
      <c r="BV520" s="2338"/>
      <c r="BW520" s="2338"/>
      <c r="BX520" s="2338"/>
      <c r="BY520" s="2338"/>
      <c r="BZ520" s="2338"/>
      <c r="CA520" s="2338"/>
      <c r="CB520" s="2338"/>
      <c r="CC520" s="2338"/>
      <c r="CD520" s="2338"/>
      <c r="CE520" s="2338"/>
      <c r="CF520" s="2338"/>
      <c r="CG520" s="2338"/>
      <c r="CH520" s="2338"/>
      <c r="CI520" s="2338"/>
      <c r="CJ520" s="2338"/>
      <c r="CK520" s="2338"/>
      <c r="CL520" s="2338"/>
      <c r="CM520" s="2338"/>
      <c r="CN520" s="2338"/>
      <c r="CO520" s="2338"/>
      <c r="CP520" s="2338"/>
      <c r="CQ520" s="2338"/>
      <c r="CR520" s="2338"/>
      <c r="CS520" s="2338"/>
      <c r="CT520" s="2338"/>
      <c r="CU520" s="2338"/>
      <c r="CV520" s="2338"/>
      <c r="CW520" s="2338"/>
      <c r="CX520" s="2338"/>
      <c r="CY520" s="2338"/>
      <c r="CZ520" s="2338"/>
      <c r="DA520" s="2338"/>
      <c r="DB520" s="2338"/>
      <c r="DC520" s="2338"/>
      <c r="DD520" s="2338"/>
      <c r="DE520" s="2338"/>
      <c r="DF520" s="2338"/>
      <c r="DG520" s="2338"/>
      <c r="DH520" s="2338"/>
      <c r="DI520" s="2338"/>
      <c r="DJ520" s="2338"/>
      <c r="DK520" s="2338"/>
      <c r="DL520" s="2338"/>
      <c r="DM520" s="2338"/>
      <c r="DN520" s="2338"/>
      <c r="DO520" s="2338"/>
    </row>
    <row r="521" spans="26:119">
      <c r="Z521" s="2338"/>
      <c r="AA521" s="2338"/>
      <c r="AB521" s="2338"/>
      <c r="AC521" s="2338"/>
      <c r="AD521" s="2338"/>
      <c r="AE521" s="2338"/>
      <c r="AF521" s="2338"/>
      <c r="AG521" s="2338"/>
      <c r="AH521" s="2338"/>
      <c r="AI521" s="2338"/>
      <c r="AJ521" s="2338"/>
      <c r="AK521" s="2338"/>
      <c r="AL521" s="2338"/>
      <c r="AM521" s="2338"/>
      <c r="AN521" s="2338"/>
      <c r="AO521" s="2338"/>
      <c r="AP521" s="2338"/>
      <c r="AQ521" s="2338"/>
      <c r="AR521" s="2338"/>
      <c r="AS521" s="2338"/>
      <c r="AT521" s="2338"/>
      <c r="AU521" s="2338"/>
      <c r="AV521" s="2338"/>
      <c r="AW521" s="2338"/>
      <c r="AX521" s="2338"/>
      <c r="AY521" s="2338"/>
      <c r="AZ521" s="2338"/>
      <c r="BA521" s="2338"/>
      <c r="BB521" s="2338"/>
      <c r="BC521" s="2338"/>
      <c r="BD521" s="2338"/>
      <c r="BE521" s="2338"/>
      <c r="BF521" s="2338"/>
      <c r="BG521" s="2338"/>
      <c r="BH521" s="2338"/>
      <c r="BI521" s="2338"/>
      <c r="BJ521" s="2338"/>
      <c r="BK521" s="2338"/>
      <c r="BL521" s="2338"/>
      <c r="BM521" s="2338"/>
      <c r="BN521" s="2338"/>
      <c r="BO521" s="2338"/>
      <c r="BP521" s="2338"/>
      <c r="BQ521" s="2338"/>
      <c r="BR521" s="2338"/>
      <c r="BS521" s="2338"/>
      <c r="BT521" s="2338"/>
      <c r="BU521" s="2338"/>
      <c r="BV521" s="2338"/>
      <c r="BW521" s="2338"/>
      <c r="BX521" s="2338"/>
      <c r="BY521" s="2338"/>
      <c r="BZ521" s="2338"/>
      <c r="CA521" s="2338"/>
      <c r="CB521" s="2338"/>
      <c r="CC521" s="2338"/>
      <c r="CD521" s="2338"/>
      <c r="CE521" s="2338"/>
      <c r="CF521" s="2338"/>
      <c r="CG521" s="2338"/>
      <c r="CH521" s="2338"/>
      <c r="CI521" s="2338"/>
      <c r="CJ521" s="2338"/>
      <c r="CK521" s="2338"/>
      <c r="CL521" s="2338"/>
      <c r="CM521" s="2338"/>
      <c r="CN521" s="2338"/>
      <c r="CO521" s="2338"/>
      <c r="CP521" s="2338"/>
      <c r="CQ521" s="2338"/>
      <c r="CR521" s="2338"/>
      <c r="CS521" s="2338"/>
      <c r="CT521" s="2338"/>
      <c r="CU521" s="2338"/>
      <c r="CV521" s="2338"/>
      <c r="CW521" s="2338"/>
      <c r="CX521" s="2338"/>
      <c r="CY521" s="2338"/>
      <c r="CZ521" s="2338"/>
      <c r="DA521" s="2338"/>
      <c r="DB521" s="2338"/>
      <c r="DC521" s="2338"/>
      <c r="DD521" s="2338"/>
      <c r="DE521" s="2338"/>
      <c r="DF521" s="2338"/>
      <c r="DG521" s="2338"/>
      <c r="DH521" s="2338"/>
      <c r="DI521" s="2338"/>
      <c r="DJ521" s="2338"/>
      <c r="DK521" s="2338"/>
      <c r="DL521" s="2338"/>
      <c r="DM521" s="2338"/>
      <c r="DN521" s="2338"/>
      <c r="DO521" s="2338"/>
    </row>
    <row r="522" spans="26:119">
      <c r="Z522" s="2338"/>
      <c r="AA522" s="2338"/>
      <c r="AB522" s="2338"/>
      <c r="AC522" s="2338"/>
      <c r="AD522" s="2338"/>
      <c r="AE522" s="2338"/>
      <c r="AF522" s="2338"/>
      <c r="AG522" s="2338"/>
      <c r="AH522" s="2338"/>
      <c r="AI522" s="2338"/>
      <c r="AJ522" s="2338"/>
      <c r="AK522" s="2338"/>
      <c r="AL522" s="2338"/>
      <c r="AM522" s="2338"/>
      <c r="AN522" s="2338"/>
      <c r="AO522" s="2338"/>
      <c r="AP522" s="2338"/>
      <c r="AQ522" s="2338"/>
      <c r="AR522" s="2338"/>
      <c r="AS522" s="2338"/>
      <c r="AT522" s="2338"/>
      <c r="AU522" s="2338"/>
      <c r="AV522" s="2338"/>
      <c r="AW522" s="2338"/>
      <c r="AX522" s="2338"/>
      <c r="AY522" s="2338"/>
      <c r="AZ522" s="2338"/>
      <c r="BA522" s="2338"/>
      <c r="BB522" s="2338"/>
      <c r="BC522" s="2338"/>
      <c r="BD522" s="2338"/>
      <c r="BE522" s="2338"/>
      <c r="BF522" s="2338"/>
      <c r="BG522" s="2338"/>
      <c r="BH522" s="2338"/>
      <c r="BI522" s="2338"/>
      <c r="BJ522" s="2338"/>
      <c r="BK522" s="2338"/>
      <c r="BL522" s="2338"/>
      <c r="BM522" s="2338"/>
      <c r="BN522" s="2338"/>
      <c r="BO522" s="2338"/>
      <c r="BP522" s="2338"/>
      <c r="BQ522" s="2338"/>
      <c r="BR522" s="2338"/>
      <c r="BS522" s="2338"/>
      <c r="BT522" s="2338"/>
      <c r="BU522" s="2338"/>
      <c r="BV522" s="2338"/>
      <c r="BW522" s="2338"/>
      <c r="BX522" s="2338"/>
      <c r="BY522" s="2338"/>
      <c r="BZ522" s="2338"/>
      <c r="CA522" s="2338"/>
      <c r="CB522" s="2338"/>
      <c r="CC522" s="2338"/>
      <c r="CD522" s="2338"/>
      <c r="CE522" s="2338"/>
      <c r="CF522" s="2338"/>
      <c r="CG522" s="2338"/>
      <c r="CH522" s="2338"/>
      <c r="CI522" s="2338"/>
      <c r="CJ522" s="2338"/>
      <c r="CK522" s="2338"/>
      <c r="CL522" s="2338"/>
      <c r="CM522" s="2338"/>
      <c r="CN522" s="2338"/>
      <c r="CO522" s="2338"/>
      <c r="CP522" s="2338"/>
      <c r="CQ522" s="2338"/>
      <c r="CR522" s="2338"/>
      <c r="CS522" s="2338"/>
      <c r="CT522" s="2338"/>
      <c r="CU522" s="2338"/>
      <c r="CV522" s="2338"/>
      <c r="CW522" s="2338"/>
      <c r="CX522" s="2338"/>
      <c r="CY522" s="2338"/>
      <c r="CZ522" s="2338"/>
      <c r="DA522" s="2338"/>
      <c r="DB522" s="2338"/>
      <c r="DC522" s="2338"/>
      <c r="DD522" s="2338"/>
      <c r="DE522" s="2338"/>
      <c r="DF522" s="2338"/>
      <c r="DG522" s="2338"/>
      <c r="DH522" s="2338"/>
      <c r="DI522" s="2338"/>
      <c r="DJ522" s="2338"/>
      <c r="DK522" s="2338"/>
      <c r="DL522" s="2338"/>
      <c r="DM522" s="2338"/>
      <c r="DN522" s="2338"/>
      <c r="DO522" s="2338"/>
    </row>
    <row r="523" spans="26:119">
      <c r="Z523" s="2338"/>
      <c r="AA523" s="2338"/>
      <c r="AB523" s="2338"/>
      <c r="AC523" s="2338"/>
      <c r="AD523" s="2338"/>
      <c r="AE523" s="2338"/>
      <c r="AF523" s="2338"/>
      <c r="AG523" s="2338"/>
      <c r="AH523" s="2338"/>
      <c r="AI523" s="2338"/>
      <c r="AJ523" s="2338"/>
      <c r="AK523" s="2338"/>
      <c r="AL523" s="2338"/>
      <c r="AM523" s="2338"/>
      <c r="AN523" s="2338"/>
      <c r="AO523" s="2338"/>
      <c r="AP523" s="2338"/>
      <c r="AQ523" s="2338"/>
      <c r="AR523" s="2338"/>
      <c r="AS523" s="2338"/>
      <c r="AT523" s="2338"/>
      <c r="AU523" s="2338"/>
      <c r="AV523" s="2338"/>
      <c r="AW523" s="2338"/>
      <c r="AX523" s="2338"/>
      <c r="AY523" s="2338"/>
      <c r="AZ523" s="2338"/>
      <c r="BA523" s="2338"/>
      <c r="BB523" s="2338"/>
      <c r="BC523" s="2338"/>
      <c r="BD523" s="2338"/>
      <c r="BE523" s="2338"/>
      <c r="BF523" s="2338"/>
      <c r="BG523" s="2338"/>
      <c r="BH523" s="2338"/>
      <c r="BI523" s="2338"/>
      <c r="BJ523" s="2338"/>
      <c r="BK523" s="2338"/>
      <c r="BL523" s="2338"/>
      <c r="BM523" s="2338"/>
      <c r="BN523" s="2338"/>
      <c r="BO523" s="2338"/>
      <c r="BP523" s="2338"/>
      <c r="BQ523" s="2338"/>
      <c r="BR523" s="2338"/>
      <c r="BS523" s="2338"/>
      <c r="BT523" s="2338"/>
      <c r="BU523" s="2338"/>
      <c r="BV523" s="2338"/>
      <c r="BW523" s="2338"/>
      <c r="BX523" s="2338"/>
      <c r="BY523" s="2338"/>
      <c r="BZ523" s="2338"/>
      <c r="CA523" s="2338"/>
      <c r="CB523" s="2338"/>
      <c r="CC523" s="2338"/>
      <c r="CD523" s="2338"/>
      <c r="CE523" s="2338"/>
      <c r="CF523" s="2338"/>
      <c r="CG523" s="2338"/>
      <c r="CH523" s="2338"/>
      <c r="CI523" s="2338"/>
      <c r="CJ523" s="2338"/>
      <c r="CK523" s="2338"/>
      <c r="CL523" s="2338"/>
      <c r="CM523" s="2338"/>
      <c r="CN523" s="2338"/>
      <c r="CO523" s="2338"/>
      <c r="CP523" s="2338"/>
      <c r="CQ523" s="2338"/>
      <c r="CR523" s="2338"/>
      <c r="CS523" s="2338"/>
      <c r="CT523" s="2338"/>
      <c r="CU523" s="2338"/>
      <c r="CV523" s="2338"/>
      <c r="CW523" s="2338"/>
      <c r="CX523" s="2338"/>
      <c r="CY523" s="2338"/>
      <c r="CZ523" s="2338"/>
      <c r="DA523" s="2338"/>
      <c r="DB523" s="2338"/>
      <c r="DC523" s="2338"/>
      <c r="DD523" s="2338"/>
      <c r="DE523" s="2338"/>
      <c r="DF523" s="2338"/>
      <c r="DG523" s="2338"/>
      <c r="DH523" s="2338"/>
      <c r="DI523" s="2338"/>
      <c r="DJ523" s="2338"/>
      <c r="DK523" s="2338"/>
      <c r="DL523" s="2338"/>
      <c r="DM523" s="2338"/>
      <c r="DN523" s="2338"/>
      <c r="DO523" s="2338"/>
    </row>
    <row r="524" spans="26:119">
      <c r="Z524" s="2338"/>
      <c r="AA524" s="2338"/>
      <c r="AB524" s="2338"/>
      <c r="AC524" s="2338"/>
      <c r="AD524" s="2338"/>
      <c r="AE524" s="2338"/>
      <c r="AF524" s="2338"/>
      <c r="AG524" s="2338"/>
      <c r="AH524" s="2338"/>
      <c r="AI524" s="2338"/>
      <c r="AJ524" s="2338"/>
      <c r="AK524" s="2338"/>
      <c r="AL524" s="2338"/>
      <c r="AM524" s="2338"/>
      <c r="AN524" s="2338"/>
      <c r="AO524" s="2338"/>
      <c r="AP524" s="2338"/>
      <c r="AQ524" s="2338"/>
      <c r="AR524" s="2338"/>
      <c r="AS524" s="2338"/>
      <c r="AT524" s="2338"/>
      <c r="AU524" s="2338"/>
      <c r="AV524" s="2338"/>
      <c r="AW524" s="2338"/>
      <c r="AX524" s="2338"/>
      <c r="AY524" s="2338"/>
      <c r="AZ524" s="2338"/>
      <c r="BA524" s="2338"/>
      <c r="BB524" s="2338"/>
      <c r="BC524" s="2338"/>
      <c r="BD524" s="2338"/>
      <c r="BE524" s="2338"/>
      <c r="BF524" s="2338"/>
      <c r="BG524" s="2338"/>
      <c r="BH524" s="2338"/>
      <c r="BI524" s="2338"/>
      <c r="BJ524" s="2338"/>
      <c r="BK524" s="2338"/>
      <c r="BL524" s="2338"/>
      <c r="BM524" s="2338"/>
      <c r="BN524" s="2338"/>
      <c r="BO524" s="2338"/>
      <c r="BP524" s="2338"/>
      <c r="BQ524" s="2338"/>
      <c r="BR524" s="2338"/>
      <c r="BS524" s="2338"/>
      <c r="BT524" s="2338"/>
      <c r="BU524" s="2338"/>
      <c r="BV524" s="2338"/>
      <c r="BW524" s="2338"/>
      <c r="BX524" s="2338"/>
      <c r="BY524" s="2338"/>
      <c r="BZ524" s="2338"/>
      <c r="CA524" s="2338"/>
      <c r="CB524" s="2338"/>
      <c r="CC524" s="2338"/>
      <c r="CD524" s="2338"/>
      <c r="CE524" s="2338"/>
      <c r="CF524" s="2338"/>
      <c r="CG524" s="2338"/>
      <c r="CH524" s="2338"/>
      <c r="CI524" s="2338"/>
      <c r="CJ524" s="2338"/>
      <c r="CK524" s="2338"/>
      <c r="CL524" s="2338"/>
      <c r="CM524" s="2338"/>
      <c r="CN524" s="2338"/>
      <c r="CO524" s="2338"/>
      <c r="CP524" s="2338"/>
      <c r="CQ524" s="2338"/>
      <c r="CR524" s="2338"/>
      <c r="CS524" s="2338"/>
      <c r="CT524" s="2338"/>
      <c r="CU524" s="2338"/>
      <c r="CV524" s="2338"/>
      <c r="CW524" s="2338"/>
      <c r="CX524" s="2338"/>
      <c r="CY524" s="2338"/>
      <c r="CZ524" s="2338"/>
      <c r="DA524" s="2338"/>
      <c r="DB524" s="2338"/>
      <c r="DC524" s="2338"/>
      <c r="DD524" s="2338"/>
      <c r="DE524" s="2338"/>
      <c r="DF524" s="2338"/>
      <c r="DG524" s="2338"/>
      <c r="DH524" s="2338"/>
      <c r="DI524" s="2338"/>
      <c r="DJ524" s="2338"/>
      <c r="DK524" s="2338"/>
      <c r="DL524" s="2338"/>
      <c r="DM524" s="2338"/>
      <c r="DN524" s="2338"/>
      <c r="DO524" s="2338"/>
    </row>
    <row r="525" spans="26:119">
      <c r="Z525" s="2338"/>
      <c r="AA525" s="2338"/>
      <c r="AB525" s="2338"/>
      <c r="AC525" s="2338"/>
      <c r="AD525" s="2338"/>
      <c r="AE525" s="2338"/>
      <c r="AF525" s="2338"/>
      <c r="AG525" s="2338"/>
      <c r="AH525" s="2338"/>
      <c r="AI525" s="2338"/>
      <c r="AJ525" s="2338"/>
      <c r="AK525" s="2338"/>
      <c r="AL525" s="2338"/>
      <c r="AM525" s="2338"/>
      <c r="AN525" s="2338"/>
      <c r="AO525" s="2338"/>
      <c r="AP525" s="2338"/>
      <c r="AQ525" s="2338"/>
      <c r="AR525" s="2338"/>
      <c r="AS525" s="2338"/>
      <c r="AT525" s="2338"/>
      <c r="AU525" s="2338"/>
      <c r="AV525" s="2338"/>
      <c r="AW525" s="2338"/>
      <c r="AX525" s="2338"/>
      <c r="AY525" s="2338"/>
      <c r="AZ525" s="2338"/>
      <c r="BA525" s="2338"/>
      <c r="BB525" s="2338"/>
      <c r="BC525" s="2338"/>
      <c r="BD525" s="2338"/>
      <c r="BE525" s="2338"/>
      <c r="BF525" s="2338"/>
      <c r="BG525" s="2338"/>
      <c r="BH525" s="2338"/>
      <c r="BI525" s="2338"/>
      <c r="BJ525" s="2338"/>
      <c r="BK525" s="2338"/>
      <c r="BL525" s="2338"/>
      <c r="BM525" s="2338"/>
      <c r="BN525" s="2338"/>
      <c r="BO525" s="2338"/>
      <c r="BP525" s="2338"/>
      <c r="BQ525" s="2338"/>
      <c r="BR525" s="2338"/>
      <c r="BS525" s="2338"/>
      <c r="BT525" s="2338"/>
      <c r="BU525" s="2338"/>
      <c r="BV525" s="2338"/>
      <c r="BW525" s="2338"/>
      <c r="BX525" s="2338"/>
      <c r="BY525" s="2338"/>
      <c r="BZ525" s="2338"/>
      <c r="CA525" s="2338"/>
      <c r="CB525" s="2338"/>
      <c r="CC525" s="2338"/>
      <c r="CD525" s="2338"/>
      <c r="CE525" s="2338"/>
      <c r="CF525" s="2338"/>
      <c r="CG525" s="2338"/>
      <c r="CH525" s="2338"/>
      <c r="CI525" s="2338"/>
      <c r="CJ525" s="2338"/>
      <c r="CK525" s="2338"/>
      <c r="CL525" s="2338"/>
      <c r="CM525" s="2338"/>
      <c r="CN525" s="2338"/>
      <c r="CO525" s="2338"/>
      <c r="CP525" s="2338"/>
      <c r="CQ525" s="2338"/>
      <c r="CR525" s="2338"/>
      <c r="CS525" s="2338"/>
      <c r="CT525" s="2338"/>
      <c r="CU525" s="2338"/>
      <c r="CV525" s="2338"/>
      <c r="CW525" s="2338"/>
      <c r="CX525" s="2338"/>
      <c r="CY525" s="2338"/>
      <c r="CZ525" s="2338"/>
      <c r="DA525" s="2338"/>
      <c r="DB525" s="2338"/>
      <c r="DC525" s="2338"/>
      <c r="DD525" s="2338"/>
      <c r="DE525" s="2338"/>
      <c r="DF525" s="2338"/>
      <c r="DG525" s="2338"/>
      <c r="DH525" s="2338"/>
      <c r="DI525" s="2338"/>
      <c r="DJ525" s="2338"/>
      <c r="DK525" s="2338"/>
      <c r="DL525" s="2338"/>
      <c r="DM525" s="2338"/>
      <c r="DN525" s="2338"/>
      <c r="DO525" s="2338"/>
    </row>
    <row r="526" spans="26:119">
      <c r="Z526" s="2338"/>
      <c r="AA526" s="2338"/>
      <c r="AB526" s="2338"/>
      <c r="AC526" s="2338"/>
      <c r="AD526" s="2338"/>
      <c r="AE526" s="2338"/>
      <c r="AF526" s="2338"/>
      <c r="AG526" s="2338"/>
      <c r="AH526" s="2338"/>
      <c r="AI526" s="2338"/>
      <c r="AJ526" s="2338"/>
      <c r="AK526" s="2338"/>
      <c r="AL526" s="2338"/>
      <c r="AM526" s="2338"/>
      <c r="AN526" s="2338"/>
      <c r="AO526" s="2338"/>
      <c r="AP526" s="2338"/>
      <c r="AQ526" s="2338"/>
      <c r="AR526" s="2338"/>
      <c r="AS526" s="2338"/>
      <c r="AT526" s="2338"/>
      <c r="AU526" s="2338"/>
      <c r="AV526" s="2338"/>
      <c r="AW526" s="2338"/>
      <c r="AX526" s="2338"/>
      <c r="AY526" s="2338"/>
      <c r="AZ526" s="2338"/>
      <c r="BA526" s="2338"/>
      <c r="BB526" s="2338"/>
      <c r="BC526" s="2338"/>
      <c r="BD526" s="2338"/>
      <c r="BE526" s="2338"/>
      <c r="BF526" s="2338"/>
      <c r="BG526" s="2338"/>
      <c r="BH526" s="2338"/>
      <c r="BI526" s="2338"/>
      <c r="BJ526" s="2338"/>
      <c r="BK526" s="2338"/>
      <c r="BL526" s="2338"/>
      <c r="BM526" s="2338"/>
      <c r="BN526" s="2338"/>
      <c r="BO526" s="2338"/>
      <c r="BP526" s="2338"/>
      <c r="BQ526" s="2338"/>
      <c r="BR526" s="2338"/>
      <c r="BS526" s="2338"/>
      <c r="BT526" s="2338"/>
      <c r="BU526" s="2338"/>
      <c r="BV526" s="2338"/>
      <c r="BW526" s="2338"/>
      <c r="BX526" s="2338"/>
      <c r="BY526" s="2338"/>
      <c r="BZ526" s="2338"/>
      <c r="CA526" s="2338"/>
      <c r="CB526" s="2338"/>
      <c r="CC526" s="2338"/>
      <c r="CD526" s="2338"/>
      <c r="CE526" s="2338"/>
      <c r="CF526" s="2338"/>
      <c r="CG526" s="2338"/>
      <c r="CH526" s="2338"/>
      <c r="CI526" s="2338"/>
      <c r="CJ526" s="2338"/>
      <c r="CK526" s="2338"/>
      <c r="CL526" s="2338"/>
      <c r="CM526" s="2338"/>
      <c r="CN526" s="2338"/>
      <c r="CO526" s="2338"/>
      <c r="CP526" s="2338"/>
      <c r="CQ526" s="2338"/>
      <c r="CR526" s="2338"/>
      <c r="CS526" s="2338"/>
      <c r="CT526" s="2338"/>
      <c r="CU526" s="2338"/>
      <c r="CV526" s="2338"/>
      <c r="CW526" s="2338"/>
      <c r="CX526" s="2338"/>
      <c r="CY526" s="2338"/>
      <c r="CZ526" s="2338"/>
      <c r="DA526" s="2338"/>
      <c r="DB526" s="2338"/>
      <c r="DC526" s="2338"/>
      <c r="DD526" s="2338"/>
      <c r="DE526" s="2338"/>
      <c r="DF526" s="2338"/>
      <c r="DG526" s="2338"/>
      <c r="DH526" s="2338"/>
      <c r="DI526" s="2338"/>
      <c r="DJ526" s="2338"/>
      <c r="DK526" s="2338"/>
      <c r="DL526" s="2338"/>
      <c r="DM526" s="2338"/>
      <c r="DN526" s="2338"/>
      <c r="DO526" s="2338"/>
    </row>
    <row r="527" spans="26:119">
      <c r="Z527" s="2338"/>
      <c r="AA527" s="2338"/>
      <c r="AB527" s="2338"/>
      <c r="AC527" s="2338"/>
      <c r="AD527" s="2338"/>
      <c r="AE527" s="2338"/>
      <c r="AF527" s="2338"/>
      <c r="AG527" s="2338"/>
      <c r="AH527" s="2338"/>
      <c r="AI527" s="2338"/>
      <c r="AJ527" s="2338"/>
      <c r="AK527" s="2338"/>
      <c r="AL527" s="2338"/>
      <c r="AM527" s="2338"/>
      <c r="AN527" s="2338"/>
      <c r="AO527" s="2338"/>
      <c r="AP527" s="2338"/>
      <c r="AQ527" s="2338"/>
      <c r="AR527" s="2338"/>
      <c r="AS527" s="2338"/>
      <c r="AT527" s="2338"/>
      <c r="AU527" s="2338"/>
      <c r="AV527" s="2338"/>
      <c r="AW527" s="2338"/>
      <c r="AX527" s="2338"/>
      <c r="AY527" s="2338"/>
      <c r="AZ527" s="2338"/>
      <c r="BA527" s="2338"/>
      <c r="BB527" s="2338"/>
      <c r="BC527" s="2338"/>
      <c r="BD527" s="2338"/>
      <c r="BE527" s="2338"/>
      <c r="BF527" s="2338"/>
      <c r="BG527" s="2338"/>
      <c r="BH527" s="2338"/>
      <c r="BI527" s="2338"/>
      <c r="BJ527" s="2338"/>
      <c r="BK527" s="2338"/>
      <c r="BL527" s="2338"/>
      <c r="BM527" s="2338"/>
      <c r="BN527" s="2338"/>
      <c r="BO527" s="2338"/>
      <c r="BP527" s="2338"/>
      <c r="BQ527" s="2338"/>
      <c r="BR527" s="2338"/>
      <c r="BS527" s="2338"/>
      <c r="BT527" s="2338"/>
      <c r="BU527" s="2338"/>
      <c r="BV527" s="2338"/>
      <c r="BW527" s="2338"/>
      <c r="BX527" s="2338"/>
      <c r="BY527" s="2338"/>
      <c r="BZ527" s="2338"/>
      <c r="CA527" s="2338"/>
      <c r="CB527" s="2338"/>
      <c r="CC527" s="2338"/>
      <c r="CD527" s="2338"/>
      <c r="CE527" s="2338"/>
      <c r="CF527" s="2338"/>
      <c r="CG527" s="2338"/>
      <c r="CH527" s="2338"/>
      <c r="CI527" s="2338"/>
      <c r="CJ527" s="2338"/>
      <c r="CK527" s="2338"/>
      <c r="CL527" s="2338"/>
      <c r="CM527" s="2338"/>
      <c r="CN527" s="2338"/>
      <c r="CO527" s="2338"/>
      <c r="CP527" s="2338"/>
      <c r="CQ527" s="2338"/>
      <c r="CR527" s="2338"/>
      <c r="CS527" s="2338"/>
      <c r="CT527" s="2338"/>
      <c r="CU527" s="2338"/>
      <c r="CV527" s="2338"/>
      <c r="CW527" s="2338"/>
      <c r="CX527" s="2338"/>
      <c r="CY527" s="2338"/>
      <c r="CZ527" s="2338"/>
      <c r="DA527" s="2338"/>
      <c r="DB527" s="2338"/>
      <c r="DC527" s="2338"/>
      <c r="DD527" s="2338"/>
      <c r="DE527" s="2338"/>
      <c r="DF527" s="2338"/>
      <c r="DG527" s="2338"/>
      <c r="DH527" s="2338"/>
      <c r="DI527" s="2338"/>
      <c r="DJ527" s="2338"/>
      <c r="DK527" s="2338"/>
      <c r="DL527" s="2338"/>
      <c r="DM527" s="2338"/>
      <c r="DN527" s="2338"/>
      <c r="DO527" s="2338"/>
    </row>
    <row r="528" spans="26:119">
      <c r="Z528" s="2338"/>
      <c r="AA528" s="2338"/>
      <c r="AB528" s="2338"/>
      <c r="AC528" s="2338"/>
      <c r="AD528" s="2338"/>
      <c r="AE528" s="2338"/>
      <c r="AF528" s="2338"/>
      <c r="AG528" s="2338"/>
      <c r="AH528" s="2338"/>
      <c r="AI528" s="2338"/>
      <c r="AJ528" s="2338"/>
      <c r="AK528" s="2338"/>
      <c r="AL528" s="2338"/>
      <c r="AM528" s="2338"/>
      <c r="AN528" s="2338"/>
      <c r="AO528" s="2338"/>
      <c r="AP528" s="2338"/>
      <c r="AQ528" s="2338"/>
      <c r="AR528" s="2338"/>
      <c r="AS528" s="2338"/>
      <c r="AT528" s="2338"/>
      <c r="AU528" s="2338"/>
      <c r="AV528" s="2338"/>
      <c r="AW528" s="2338"/>
      <c r="AX528" s="2338"/>
      <c r="AY528" s="2338"/>
      <c r="AZ528" s="2338"/>
      <c r="BA528" s="2338"/>
      <c r="BB528" s="2338"/>
      <c r="BC528" s="2338"/>
      <c r="BD528" s="2338"/>
      <c r="BE528" s="2338"/>
      <c r="BF528" s="2338"/>
      <c r="BG528" s="2338"/>
      <c r="BH528" s="2338"/>
      <c r="BI528" s="2338"/>
      <c r="BJ528" s="2338"/>
      <c r="BK528" s="2338"/>
      <c r="BL528" s="2338"/>
      <c r="BM528" s="2338"/>
      <c r="BN528" s="2338"/>
      <c r="BO528" s="2338"/>
      <c r="BP528" s="2338"/>
      <c r="BQ528" s="2338"/>
      <c r="BR528" s="2338"/>
      <c r="BS528" s="2338"/>
      <c r="BT528" s="2338"/>
      <c r="BU528" s="2338"/>
      <c r="BV528" s="2338"/>
      <c r="BW528" s="2338"/>
      <c r="BX528" s="2338"/>
      <c r="BY528" s="2338"/>
      <c r="BZ528" s="2338"/>
      <c r="CA528" s="2338"/>
      <c r="CB528" s="2338"/>
      <c r="CC528" s="2338"/>
      <c r="CD528" s="2338"/>
      <c r="CE528" s="2338"/>
      <c r="CF528" s="2338"/>
      <c r="CG528" s="2338"/>
      <c r="CH528" s="2338"/>
      <c r="CI528" s="2338"/>
      <c r="CJ528" s="2338"/>
      <c r="CK528" s="2338"/>
      <c r="CL528" s="2338"/>
      <c r="CM528" s="2338"/>
      <c r="CN528" s="2338"/>
      <c r="CO528" s="2338"/>
      <c r="CP528" s="2338"/>
      <c r="CQ528" s="2338"/>
      <c r="CR528" s="2338"/>
      <c r="CS528" s="2338"/>
      <c r="CT528" s="2338"/>
      <c r="CU528" s="2338"/>
      <c r="CV528" s="2338"/>
      <c r="CW528" s="2338"/>
      <c r="CX528" s="2338"/>
      <c r="CY528" s="2338"/>
      <c r="CZ528" s="2338"/>
      <c r="DA528" s="2338"/>
      <c r="DB528" s="2338"/>
      <c r="DC528" s="2338"/>
      <c r="DD528" s="2338"/>
      <c r="DE528" s="2338"/>
      <c r="DF528" s="2338"/>
      <c r="DG528" s="2338"/>
      <c r="DH528" s="2338"/>
      <c r="DI528" s="2338"/>
      <c r="DJ528" s="2338"/>
      <c r="DK528" s="2338"/>
      <c r="DL528" s="2338"/>
      <c r="DM528" s="2338"/>
      <c r="DN528" s="2338"/>
      <c r="DO528" s="2338"/>
    </row>
    <row r="529" spans="26:119">
      <c r="Z529" s="2338"/>
      <c r="AA529" s="2338"/>
      <c r="AB529" s="2338"/>
      <c r="AC529" s="2338"/>
      <c r="AD529" s="2338"/>
      <c r="AE529" s="2338"/>
      <c r="AF529" s="2338"/>
      <c r="AG529" s="2338"/>
      <c r="AH529" s="2338"/>
      <c r="AI529" s="2338"/>
      <c r="AJ529" s="2338"/>
      <c r="AK529" s="2338"/>
      <c r="AL529" s="2338"/>
      <c r="AM529" s="2338"/>
      <c r="AN529" s="2338"/>
      <c r="AO529" s="2338"/>
      <c r="AP529" s="2338"/>
      <c r="AQ529" s="2338"/>
      <c r="AR529" s="2338"/>
      <c r="AS529" s="2338"/>
      <c r="AT529" s="2338"/>
      <c r="AU529" s="2338"/>
      <c r="AV529" s="2338"/>
      <c r="AW529" s="2338"/>
      <c r="AX529" s="2338"/>
      <c r="AY529" s="2338"/>
      <c r="AZ529" s="2338"/>
      <c r="BA529" s="2338"/>
      <c r="BB529" s="2338"/>
      <c r="BC529" s="2338"/>
      <c r="BD529" s="2338"/>
      <c r="BE529" s="2338"/>
      <c r="BF529" s="2338"/>
      <c r="BG529" s="2338"/>
      <c r="BH529" s="2338"/>
      <c r="BI529" s="2338"/>
      <c r="BJ529" s="2338"/>
      <c r="BK529" s="2338"/>
      <c r="BL529" s="2338"/>
      <c r="BM529" s="2338"/>
      <c r="BN529" s="2338"/>
      <c r="BO529" s="2338"/>
      <c r="BP529" s="2338"/>
      <c r="BQ529" s="2338"/>
      <c r="BR529" s="2338"/>
      <c r="BS529" s="2338"/>
      <c r="BT529" s="2338"/>
      <c r="BU529" s="2338"/>
      <c r="BV529" s="2338"/>
      <c r="BW529" s="2338"/>
      <c r="BX529" s="2338"/>
      <c r="BY529" s="2338"/>
      <c r="BZ529" s="2338"/>
      <c r="CA529" s="2338"/>
      <c r="CB529" s="2338"/>
      <c r="CC529" s="2338"/>
      <c r="CD529" s="2338"/>
      <c r="CE529" s="2338"/>
      <c r="CF529" s="2338"/>
      <c r="CG529" s="2338"/>
      <c r="CH529" s="2338"/>
      <c r="CI529" s="2338"/>
      <c r="CJ529" s="2338"/>
      <c r="CK529" s="2338"/>
      <c r="CL529" s="2338"/>
      <c r="CM529" s="2338"/>
      <c r="CN529" s="2338"/>
      <c r="CO529" s="2338"/>
      <c r="CP529" s="2338"/>
      <c r="CQ529" s="2338"/>
      <c r="CR529" s="2338"/>
      <c r="CS529" s="2338"/>
      <c r="CT529" s="2338"/>
      <c r="CU529" s="2338"/>
      <c r="CV529" s="2338"/>
      <c r="CW529" s="2338"/>
      <c r="CX529" s="2338"/>
      <c r="CY529" s="2338"/>
      <c r="CZ529" s="2338"/>
      <c r="DA529" s="2338"/>
      <c r="DB529" s="2338"/>
      <c r="DC529" s="2338"/>
      <c r="DD529" s="2338"/>
      <c r="DE529" s="2338"/>
      <c r="DF529" s="2338"/>
      <c r="DG529" s="2338"/>
      <c r="DH529" s="2338"/>
      <c r="DI529" s="2338"/>
      <c r="DJ529" s="2338"/>
      <c r="DK529" s="2338"/>
      <c r="DL529" s="2338"/>
      <c r="DM529" s="2338"/>
      <c r="DN529" s="2338"/>
      <c r="DO529" s="2338"/>
    </row>
    <row r="530" spans="26:119">
      <c r="Z530" s="2338"/>
      <c r="AA530" s="2338"/>
      <c r="AB530" s="2338"/>
      <c r="AC530" s="2338"/>
      <c r="AD530" s="2338"/>
      <c r="AE530" s="2338"/>
      <c r="AF530" s="2338"/>
      <c r="AG530" s="2338"/>
      <c r="AH530" s="2338"/>
      <c r="AI530" s="2338"/>
      <c r="AJ530" s="2338"/>
      <c r="AK530" s="2338"/>
      <c r="AL530" s="2338"/>
      <c r="AM530" s="2338"/>
      <c r="AN530" s="2338"/>
      <c r="AO530" s="2338"/>
      <c r="AP530" s="2338"/>
      <c r="AQ530" s="2338"/>
      <c r="AR530" s="2338"/>
      <c r="AS530" s="2338"/>
      <c r="AT530" s="2338"/>
      <c r="AU530" s="2338"/>
      <c r="AV530" s="2338"/>
      <c r="AW530" s="2338"/>
      <c r="AX530" s="2338"/>
      <c r="AY530" s="2338"/>
      <c r="AZ530" s="2338"/>
      <c r="BA530" s="2338"/>
      <c r="BB530" s="2338"/>
      <c r="BC530" s="2338"/>
      <c r="BD530" s="2338"/>
      <c r="BE530" s="2338"/>
      <c r="BF530" s="2338"/>
      <c r="BG530" s="2338"/>
      <c r="BH530" s="2338"/>
      <c r="BI530" s="2338"/>
      <c r="BJ530" s="2338"/>
      <c r="BK530" s="2338"/>
      <c r="BL530" s="2338"/>
      <c r="BM530" s="2338"/>
      <c r="BN530" s="2338"/>
      <c r="BO530" s="2338"/>
      <c r="BP530" s="2338"/>
      <c r="BQ530" s="2338"/>
      <c r="BR530" s="2338"/>
      <c r="BS530" s="2338"/>
      <c r="BT530" s="2338"/>
      <c r="BU530" s="2338"/>
      <c r="BV530" s="2338"/>
      <c r="BW530" s="2338"/>
      <c r="BX530" s="2338"/>
      <c r="BY530" s="2338"/>
      <c r="BZ530" s="2338"/>
      <c r="CA530" s="2338"/>
      <c r="CB530" s="2338"/>
      <c r="CC530" s="2338"/>
      <c r="CD530" s="2338"/>
      <c r="CE530" s="2338"/>
      <c r="CF530" s="2338"/>
      <c r="CG530" s="2338"/>
      <c r="CH530" s="2338"/>
      <c r="CI530" s="2338"/>
      <c r="CJ530" s="2338"/>
      <c r="CK530" s="2338"/>
      <c r="CL530" s="2338"/>
      <c r="CM530" s="2338"/>
      <c r="CN530" s="2338"/>
      <c r="CO530" s="2338"/>
      <c r="CP530" s="2338"/>
      <c r="CQ530" s="2338"/>
      <c r="CR530" s="2338"/>
      <c r="CS530" s="2338"/>
      <c r="CT530" s="2338"/>
      <c r="CU530" s="2338"/>
      <c r="CV530" s="2338"/>
      <c r="CW530" s="2338"/>
      <c r="CX530" s="2338"/>
      <c r="CY530" s="2338"/>
      <c r="CZ530" s="2338"/>
      <c r="DA530" s="2338"/>
      <c r="DB530" s="2338"/>
      <c r="DC530" s="2338"/>
      <c r="DD530" s="2338"/>
      <c r="DE530" s="2338"/>
      <c r="DF530" s="2338"/>
      <c r="DG530" s="2338"/>
      <c r="DH530" s="2338"/>
      <c r="DI530" s="2338"/>
      <c r="DJ530" s="2338"/>
      <c r="DK530" s="2338"/>
      <c r="DL530" s="2338"/>
      <c r="DM530" s="2338"/>
      <c r="DN530" s="2338"/>
      <c r="DO530" s="2338"/>
    </row>
    <row r="531" spans="26:119">
      <c r="Z531" s="2338"/>
      <c r="AA531" s="2338"/>
      <c r="AB531" s="2338"/>
      <c r="AC531" s="2338"/>
      <c r="AD531" s="2338"/>
      <c r="AE531" s="2338"/>
      <c r="AF531" s="2338"/>
      <c r="AG531" s="2338"/>
      <c r="AH531" s="2338"/>
      <c r="AI531" s="2338"/>
      <c r="AJ531" s="2338"/>
      <c r="AK531" s="2338"/>
      <c r="AL531" s="2338"/>
      <c r="AM531" s="2338"/>
      <c r="AN531" s="2338"/>
      <c r="AO531" s="2338"/>
      <c r="AP531" s="2338"/>
      <c r="AQ531" s="2338"/>
      <c r="AR531" s="2338"/>
      <c r="AS531" s="2338"/>
      <c r="AT531" s="2338"/>
      <c r="AU531" s="2338"/>
      <c r="AV531" s="2338"/>
      <c r="AW531" s="2338"/>
      <c r="AX531" s="2338"/>
      <c r="AY531" s="2338"/>
      <c r="AZ531" s="2338"/>
      <c r="BA531" s="2338"/>
      <c r="BB531" s="2338"/>
      <c r="BC531" s="2338"/>
      <c r="BD531" s="2338"/>
      <c r="BE531" s="2338"/>
      <c r="BF531" s="2338"/>
      <c r="BG531" s="2338"/>
      <c r="BH531" s="2338"/>
      <c r="BI531" s="2338"/>
      <c r="BJ531" s="2338"/>
      <c r="BK531" s="2338"/>
      <c r="BL531" s="2338"/>
      <c r="BM531" s="2338"/>
      <c r="BN531" s="2338"/>
      <c r="BO531" s="2338"/>
      <c r="BP531" s="2338"/>
      <c r="BQ531" s="2338"/>
      <c r="BR531" s="2338"/>
      <c r="BS531" s="2338"/>
      <c r="BT531" s="2338"/>
      <c r="BU531" s="2338"/>
      <c r="BV531" s="2338"/>
      <c r="BW531" s="2338"/>
      <c r="BX531" s="2338"/>
      <c r="BY531" s="2338"/>
      <c r="BZ531" s="2338"/>
      <c r="CA531" s="2338"/>
      <c r="CB531" s="2338"/>
      <c r="CC531" s="2338"/>
      <c r="CD531" s="2338"/>
      <c r="CE531" s="2338"/>
      <c r="CF531" s="2338"/>
      <c r="CG531" s="2338"/>
      <c r="CH531" s="2338"/>
      <c r="CI531" s="2338"/>
      <c r="CJ531" s="2338"/>
      <c r="CK531" s="2338"/>
      <c r="CL531" s="2338"/>
      <c r="CM531" s="2338"/>
      <c r="CN531" s="2338"/>
      <c r="CO531" s="2338"/>
      <c r="CP531" s="2338"/>
      <c r="CQ531" s="2338"/>
      <c r="CR531" s="2338"/>
      <c r="CS531" s="2338"/>
      <c r="CT531" s="2338"/>
      <c r="CU531" s="2338"/>
      <c r="CV531" s="2338"/>
      <c r="CW531" s="2338"/>
      <c r="CX531" s="2338"/>
      <c r="CY531" s="2338"/>
      <c r="CZ531" s="2338"/>
      <c r="DA531" s="2338"/>
      <c r="DB531" s="2338"/>
      <c r="DC531" s="2338"/>
      <c r="DD531" s="2338"/>
      <c r="DE531" s="2338"/>
      <c r="DF531" s="2338"/>
      <c r="DG531" s="2338"/>
      <c r="DH531" s="2338"/>
      <c r="DI531" s="2338"/>
      <c r="DJ531" s="2338"/>
      <c r="DK531" s="2338"/>
      <c r="DL531" s="2338"/>
      <c r="DM531" s="2338"/>
      <c r="DN531" s="2338"/>
      <c r="DO531" s="2338"/>
    </row>
    <row r="532" spans="26:119">
      <c r="Z532" s="2338"/>
      <c r="AA532" s="2338"/>
      <c r="AB532" s="2338"/>
      <c r="AC532" s="2338"/>
      <c r="AD532" s="2338"/>
      <c r="AE532" s="2338"/>
      <c r="AF532" s="2338"/>
      <c r="AG532" s="2338"/>
      <c r="AH532" s="2338"/>
      <c r="AI532" s="2338"/>
      <c r="AJ532" s="2338"/>
      <c r="AK532" s="2338"/>
      <c r="AL532" s="2338"/>
      <c r="AM532" s="2338"/>
      <c r="AN532" s="2338"/>
      <c r="AO532" s="2338"/>
      <c r="AP532" s="2338"/>
      <c r="AQ532" s="2338"/>
      <c r="AR532" s="2338"/>
      <c r="AS532" s="2338"/>
      <c r="AT532" s="2338"/>
      <c r="AU532" s="2338"/>
      <c r="AV532" s="2338"/>
      <c r="AW532" s="2338"/>
      <c r="AX532" s="2338"/>
      <c r="AY532" s="2338"/>
      <c r="AZ532" s="2338"/>
      <c r="BA532" s="2338"/>
      <c r="BB532" s="2338"/>
      <c r="BC532" s="2338"/>
      <c r="BD532" s="2338"/>
      <c r="BE532" s="2338"/>
      <c r="BF532" s="2338"/>
      <c r="BG532" s="2338"/>
      <c r="BH532" s="2338"/>
      <c r="BI532" s="2338"/>
      <c r="BJ532" s="2338"/>
      <c r="BK532" s="2338"/>
      <c r="BL532" s="2338"/>
      <c r="BM532" s="2338"/>
      <c r="BN532" s="2338"/>
      <c r="BO532" s="2338"/>
      <c r="BP532" s="2338"/>
      <c r="BQ532" s="2338"/>
      <c r="BR532" s="2338"/>
      <c r="BS532" s="2338"/>
      <c r="BT532" s="2338"/>
      <c r="BU532" s="2338"/>
      <c r="BV532" s="2338"/>
      <c r="BW532" s="2338"/>
      <c r="BX532" s="2338"/>
      <c r="BY532" s="2338"/>
      <c r="BZ532" s="2338"/>
      <c r="CA532" s="2338"/>
      <c r="CB532" s="2338"/>
      <c r="CC532" s="2338"/>
      <c r="CD532" s="2338"/>
      <c r="CE532" s="2338"/>
      <c r="CF532" s="2338"/>
      <c r="CG532" s="2338"/>
      <c r="CH532" s="2338"/>
      <c r="CI532" s="2338"/>
      <c r="CJ532" s="2338"/>
      <c r="CK532" s="2338"/>
      <c r="CL532" s="2338"/>
      <c r="CM532" s="2338"/>
      <c r="CN532" s="2338"/>
      <c r="CO532" s="2338"/>
      <c r="CP532" s="2338"/>
      <c r="CQ532" s="2338"/>
      <c r="CR532" s="2338"/>
      <c r="CS532" s="2338"/>
      <c r="CT532" s="2338"/>
      <c r="CU532" s="2338"/>
      <c r="CV532" s="2338"/>
      <c r="CW532" s="2338"/>
      <c r="CX532" s="2338"/>
      <c r="CY532" s="2338"/>
      <c r="CZ532" s="2338"/>
      <c r="DA532" s="2338"/>
      <c r="DB532" s="2338"/>
      <c r="DC532" s="2338"/>
      <c r="DD532" s="2338"/>
      <c r="DE532" s="2338"/>
      <c r="DF532" s="2338"/>
      <c r="DG532" s="2338"/>
      <c r="DH532" s="2338"/>
      <c r="DI532" s="2338"/>
      <c r="DJ532" s="2338"/>
      <c r="DK532" s="2338"/>
      <c r="DL532" s="2338"/>
      <c r="DM532" s="2338"/>
      <c r="DN532" s="2338"/>
      <c r="DO532" s="2338"/>
    </row>
    <row r="533" spans="26:119">
      <c r="Z533" s="2338"/>
      <c r="AA533" s="2338"/>
      <c r="AB533" s="2338"/>
      <c r="AC533" s="2338"/>
      <c r="AD533" s="2338"/>
      <c r="AE533" s="2338"/>
      <c r="AF533" s="2338"/>
      <c r="AG533" s="2338"/>
      <c r="AH533" s="2338"/>
      <c r="AI533" s="2338"/>
      <c r="AJ533" s="2338"/>
      <c r="AK533" s="2338"/>
      <c r="AL533" s="2338"/>
      <c r="AM533" s="2338"/>
      <c r="AN533" s="2338"/>
      <c r="AO533" s="2338"/>
      <c r="AP533" s="2338"/>
      <c r="AQ533" s="2338"/>
      <c r="AR533" s="2338"/>
      <c r="AS533" s="2338"/>
      <c r="AT533" s="2338"/>
      <c r="AU533" s="2338"/>
      <c r="AV533" s="2338"/>
      <c r="AW533" s="2338"/>
      <c r="AX533" s="2338"/>
      <c r="AY533" s="2338"/>
      <c r="AZ533" s="2338"/>
      <c r="BA533" s="2338"/>
      <c r="BB533" s="2338"/>
      <c r="BC533" s="2338"/>
      <c r="BD533" s="2338"/>
      <c r="BE533" s="2338"/>
      <c r="BF533" s="2338"/>
      <c r="BG533" s="2338"/>
      <c r="BH533" s="2338"/>
      <c r="BI533" s="2338"/>
      <c r="BJ533" s="2338"/>
      <c r="BK533" s="2338"/>
      <c r="BL533" s="2338"/>
      <c r="BM533" s="2338"/>
      <c r="BN533" s="2338"/>
      <c r="BO533" s="2338"/>
      <c r="BP533" s="2338"/>
      <c r="BQ533" s="2338"/>
      <c r="BR533" s="2338"/>
      <c r="BS533" s="2338"/>
      <c r="BT533" s="2338"/>
      <c r="BU533" s="2338"/>
      <c r="BV533" s="2338"/>
      <c r="BW533" s="2338"/>
      <c r="BX533" s="2338"/>
      <c r="BY533" s="2338"/>
      <c r="BZ533" s="2338"/>
      <c r="CA533" s="2338"/>
      <c r="CB533" s="2338"/>
      <c r="CC533" s="2338"/>
      <c r="CD533" s="2338"/>
      <c r="CE533" s="2338"/>
      <c r="CF533" s="2338"/>
      <c r="CG533" s="2338"/>
      <c r="CH533" s="2338"/>
      <c r="CI533" s="2338"/>
      <c r="CJ533" s="2338"/>
      <c r="CK533" s="2338"/>
      <c r="CL533" s="2338"/>
      <c r="CM533" s="2338"/>
      <c r="CN533" s="2338"/>
      <c r="CO533" s="2338"/>
      <c r="CP533" s="2338"/>
      <c r="CQ533" s="2338"/>
      <c r="CR533" s="2338"/>
      <c r="CS533" s="2338"/>
      <c r="CT533" s="2338"/>
      <c r="CU533" s="2338"/>
      <c r="CV533" s="2338"/>
      <c r="CW533" s="2338"/>
      <c r="CX533" s="2338"/>
      <c r="CY533" s="2338"/>
      <c r="CZ533" s="2338"/>
      <c r="DA533" s="2338"/>
      <c r="DB533" s="2338"/>
      <c r="DC533" s="2338"/>
      <c r="DD533" s="2338"/>
      <c r="DE533" s="2338"/>
      <c r="DF533" s="2338"/>
      <c r="DG533" s="2338"/>
      <c r="DH533" s="2338"/>
      <c r="DI533" s="2338"/>
      <c r="DJ533" s="2338"/>
      <c r="DK533" s="2338"/>
      <c r="DL533" s="2338"/>
      <c r="DM533" s="2338"/>
      <c r="DN533" s="2338"/>
      <c r="DO533" s="2338"/>
    </row>
    <row r="534" spans="26:119">
      <c r="Z534" s="2338"/>
      <c r="AA534" s="2338"/>
      <c r="AB534" s="2338"/>
      <c r="AC534" s="2338"/>
      <c r="AD534" s="2338"/>
      <c r="AE534" s="2338"/>
      <c r="AF534" s="2338"/>
      <c r="AG534" s="2338"/>
      <c r="AH534" s="2338"/>
      <c r="AI534" s="2338"/>
      <c r="AJ534" s="2338"/>
      <c r="AK534" s="2338"/>
      <c r="AL534" s="2338"/>
      <c r="AM534" s="2338"/>
      <c r="AN534" s="2338"/>
      <c r="AO534" s="2338"/>
      <c r="AP534" s="2338"/>
      <c r="AQ534" s="2338"/>
      <c r="AR534" s="2338"/>
      <c r="AS534" s="2338"/>
      <c r="AT534" s="2338"/>
      <c r="AU534" s="2338"/>
      <c r="AV534" s="2338"/>
      <c r="AW534" s="2338"/>
      <c r="AX534" s="2338"/>
      <c r="AY534" s="2338"/>
      <c r="AZ534" s="2338"/>
      <c r="BA534" s="2338"/>
      <c r="BB534" s="2338"/>
      <c r="BC534" s="2338"/>
      <c r="BD534" s="2338"/>
      <c r="BE534" s="2338"/>
      <c r="BF534" s="2338"/>
      <c r="BG534" s="2338"/>
      <c r="BH534" s="2338"/>
      <c r="BI534" s="2338"/>
      <c r="BJ534" s="2338"/>
      <c r="BK534" s="2338"/>
      <c r="BL534" s="2338"/>
      <c r="BM534" s="2338"/>
      <c r="BN534" s="2338"/>
      <c r="BO534" s="2338"/>
      <c r="BP534" s="2338"/>
      <c r="BQ534" s="2338"/>
      <c r="BR534" s="2338"/>
      <c r="BS534" s="2338"/>
      <c r="BT534" s="2338"/>
      <c r="BU534" s="2338"/>
      <c r="BV534" s="2338"/>
      <c r="BW534" s="2338"/>
      <c r="BX534" s="2338"/>
      <c r="BY534" s="2338"/>
      <c r="BZ534" s="2338"/>
      <c r="CA534" s="2338"/>
      <c r="CB534" s="2338"/>
      <c r="CC534" s="2338"/>
      <c r="CD534" s="2338"/>
      <c r="CE534" s="2338"/>
      <c r="CF534" s="2338"/>
      <c r="CG534" s="2338"/>
      <c r="CH534" s="2338"/>
      <c r="CI534" s="2338"/>
      <c r="CJ534" s="2338"/>
      <c r="CK534" s="2338"/>
      <c r="CL534" s="2338"/>
      <c r="CM534" s="2338"/>
      <c r="CN534" s="2338"/>
      <c r="CO534" s="2338"/>
      <c r="CP534" s="2338"/>
      <c r="CQ534" s="2338"/>
      <c r="CR534" s="2338"/>
      <c r="CS534" s="2338"/>
      <c r="CT534" s="2338"/>
      <c r="CU534" s="2338"/>
      <c r="CV534" s="2338"/>
      <c r="CW534" s="2338"/>
      <c r="CX534" s="2338"/>
      <c r="CY534" s="2338"/>
      <c r="CZ534" s="2338"/>
      <c r="DA534" s="2338"/>
      <c r="DB534" s="2338"/>
      <c r="DC534" s="2338"/>
      <c r="DD534" s="2338"/>
      <c r="DE534" s="2338"/>
      <c r="DF534" s="2338"/>
      <c r="DG534" s="2338"/>
      <c r="DH534" s="2338"/>
      <c r="DI534" s="2338"/>
      <c r="DJ534" s="2338"/>
      <c r="DK534" s="2338"/>
      <c r="DL534" s="2338"/>
      <c r="DM534" s="2338"/>
      <c r="DN534" s="2338"/>
      <c r="DO534" s="2338"/>
    </row>
    <row r="535" spans="26:119">
      <c r="Z535" s="2338"/>
      <c r="AA535" s="2338"/>
      <c r="AB535" s="2338"/>
      <c r="AC535" s="2338"/>
      <c r="AD535" s="2338"/>
      <c r="AE535" s="2338"/>
      <c r="AF535" s="2338"/>
      <c r="AG535" s="2338"/>
      <c r="AH535" s="2338"/>
      <c r="AI535" s="2338"/>
      <c r="AJ535" s="2338"/>
      <c r="AK535" s="2338"/>
      <c r="AL535" s="2338"/>
      <c r="AM535" s="2338"/>
      <c r="AN535" s="2338"/>
      <c r="AO535" s="2338"/>
      <c r="AP535" s="2338"/>
      <c r="AQ535" s="2338"/>
      <c r="AR535" s="2338"/>
      <c r="AS535" s="2338"/>
      <c r="AT535" s="2338"/>
      <c r="AU535" s="2338"/>
      <c r="AV535" s="2338"/>
      <c r="AW535" s="2338"/>
      <c r="AX535" s="2338"/>
      <c r="AY535" s="2338"/>
      <c r="AZ535" s="2338"/>
      <c r="BA535" s="2338"/>
      <c r="BB535" s="2338"/>
      <c r="BC535" s="2338"/>
      <c r="BD535" s="2338"/>
      <c r="BE535" s="2338"/>
      <c r="BF535" s="2338"/>
      <c r="BG535" s="2338"/>
      <c r="BH535" s="2338"/>
      <c r="BI535" s="2338"/>
      <c r="BJ535" s="2338"/>
      <c r="BK535" s="2338"/>
      <c r="BL535" s="2338"/>
      <c r="BM535" s="2338"/>
      <c r="BN535" s="2338"/>
      <c r="BO535" s="2338"/>
      <c r="BP535" s="2338"/>
      <c r="BQ535" s="2338"/>
      <c r="BR535" s="2338"/>
      <c r="BS535" s="2338"/>
      <c r="BT535" s="2338"/>
      <c r="BU535" s="2338"/>
      <c r="BV535" s="2338"/>
      <c r="BW535" s="2338"/>
      <c r="BX535" s="2338"/>
      <c r="BY535" s="2338"/>
      <c r="BZ535" s="2338"/>
      <c r="CA535" s="2338"/>
      <c r="CB535" s="2338"/>
      <c r="CC535" s="2338"/>
      <c r="CD535" s="2338"/>
      <c r="CE535" s="2338"/>
      <c r="CF535" s="2338"/>
      <c r="CG535" s="2338"/>
      <c r="CH535" s="2338"/>
      <c r="CI535" s="2338"/>
      <c r="CJ535" s="2338"/>
      <c r="CK535" s="2338"/>
      <c r="CL535" s="2338"/>
      <c r="CM535" s="2338"/>
      <c r="CN535" s="2338"/>
      <c r="CO535" s="2338"/>
      <c r="CP535" s="2338"/>
      <c r="CQ535" s="2338"/>
      <c r="CR535" s="2338"/>
      <c r="CS535" s="2338"/>
      <c r="CT535" s="2338"/>
      <c r="CU535" s="2338"/>
      <c r="CV535" s="2338"/>
      <c r="CW535" s="2338"/>
      <c r="CX535" s="2338"/>
      <c r="CY535" s="2338"/>
      <c r="CZ535" s="2338"/>
      <c r="DA535" s="2338"/>
      <c r="DB535" s="2338"/>
      <c r="DC535" s="2338"/>
      <c r="DD535" s="2338"/>
      <c r="DE535" s="2338"/>
      <c r="DF535" s="2338"/>
      <c r="DG535" s="2338"/>
      <c r="DH535" s="2338"/>
      <c r="DI535" s="2338"/>
      <c r="DJ535" s="2338"/>
      <c r="DK535" s="2338"/>
      <c r="DL535" s="2338"/>
      <c r="DM535" s="2338"/>
      <c r="DN535" s="2338"/>
      <c r="DO535" s="2338"/>
    </row>
    <row r="536" spans="26:119">
      <c r="Z536" s="2338"/>
      <c r="AA536" s="2338"/>
      <c r="AB536" s="2338"/>
      <c r="AC536" s="2338"/>
      <c r="AD536" s="2338"/>
      <c r="AE536" s="2338"/>
      <c r="AF536" s="2338"/>
      <c r="AG536" s="2338"/>
      <c r="AH536" s="2338"/>
      <c r="AI536" s="2338"/>
      <c r="AJ536" s="2338"/>
      <c r="AK536" s="2338"/>
      <c r="AL536" s="2338"/>
      <c r="AM536" s="2338"/>
      <c r="AN536" s="2338"/>
      <c r="AO536" s="2338"/>
      <c r="AP536" s="2338"/>
      <c r="AQ536" s="2338"/>
      <c r="AR536" s="2338"/>
      <c r="AS536" s="2338"/>
      <c r="AT536" s="2338"/>
      <c r="AU536" s="2338"/>
      <c r="AV536" s="2338"/>
      <c r="AW536" s="2338"/>
      <c r="AX536" s="2338"/>
      <c r="AY536" s="2338"/>
      <c r="AZ536" s="2338"/>
      <c r="BA536" s="2338"/>
      <c r="BB536" s="2338"/>
      <c r="BC536" s="2338"/>
      <c r="BD536" s="2338"/>
      <c r="BE536" s="2338"/>
      <c r="BF536" s="2338"/>
      <c r="BG536" s="2338"/>
      <c r="BH536" s="2338"/>
      <c r="BI536" s="2338"/>
      <c r="BJ536" s="2338"/>
      <c r="BK536" s="2338"/>
      <c r="BL536" s="2338"/>
      <c r="BM536" s="2338"/>
      <c r="BN536" s="2338"/>
      <c r="BO536" s="2338"/>
      <c r="BP536" s="2338"/>
      <c r="BQ536" s="2338"/>
      <c r="BR536" s="2338"/>
      <c r="BS536" s="2338"/>
      <c r="BT536" s="2338"/>
      <c r="BU536" s="2338"/>
      <c r="BV536" s="2338"/>
      <c r="BW536" s="2338"/>
      <c r="BX536" s="2338"/>
      <c r="BY536" s="2338"/>
      <c r="BZ536" s="2338"/>
      <c r="CA536" s="2338"/>
      <c r="CB536" s="2338"/>
      <c r="CC536" s="2338"/>
      <c r="CD536" s="2338"/>
      <c r="CE536" s="2338"/>
      <c r="CF536" s="2338"/>
      <c r="CG536" s="2338"/>
      <c r="CH536" s="2338"/>
      <c r="CI536" s="2338"/>
      <c r="CJ536" s="2338"/>
      <c r="CK536" s="2338"/>
      <c r="CL536" s="2338"/>
      <c r="CM536" s="2338"/>
      <c r="CN536" s="2338"/>
      <c r="CO536" s="2338"/>
      <c r="CP536" s="2338"/>
      <c r="CQ536" s="2338"/>
      <c r="CR536" s="2338"/>
      <c r="CS536" s="2338"/>
      <c r="CT536" s="2338"/>
      <c r="CU536" s="2338"/>
      <c r="CV536" s="2338"/>
      <c r="CW536" s="2338"/>
      <c r="CX536" s="2338"/>
      <c r="CY536" s="2338"/>
      <c r="CZ536" s="2338"/>
      <c r="DA536" s="2338"/>
      <c r="DB536" s="2338"/>
      <c r="DC536" s="2338"/>
      <c r="DD536" s="2338"/>
      <c r="DE536" s="2338"/>
      <c r="DF536" s="2338"/>
      <c r="DG536" s="2338"/>
      <c r="DH536" s="2338"/>
      <c r="DI536" s="2338"/>
      <c r="DJ536" s="2338"/>
      <c r="DK536" s="2338"/>
      <c r="DL536" s="2338"/>
      <c r="DM536" s="2338"/>
      <c r="DN536" s="2338"/>
      <c r="DO536" s="2338"/>
    </row>
    <row r="537" spans="26:119">
      <c r="Z537" s="2338"/>
      <c r="AA537" s="2338"/>
      <c r="AB537" s="2338"/>
      <c r="AC537" s="2338"/>
      <c r="AD537" s="2338"/>
      <c r="AE537" s="2338"/>
      <c r="AF537" s="2338"/>
      <c r="AG537" s="2338"/>
      <c r="AH537" s="2338"/>
      <c r="AI537" s="2338"/>
      <c r="AJ537" s="2338"/>
      <c r="AK537" s="2338"/>
      <c r="AL537" s="2338"/>
      <c r="AM537" s="2338"/>
      <c r="AN537" s="2338"/>
      <c r="AO537" s="2338"/>
      <c r="AP537" s="2338"/>
      <c r="AQ537" s="2338"/>
      <c r="AR537" s="2338"/>
      <c r="AS537" s="2338"/>
      <c r="AT537" s="2338"/>
      <c r="AU537" s="2338"/>
      <c r="AV537" s="2338"/>
      <c r="AW537" s="2338"/>
      <c r="AX537" s="2338"/>
      <c r="AY537" s="2338"/>
      <c r="AZ537" s="2338"/>
      <c r="BA537" s="2338"/>
      <c r="BB537" s="2338"/>
      <c r="BC537" s="2338"/>
      <c r="BD537" s="2338"/>
      <c r="BE537" s="2338"/>
      <c r="BF537" s="2338"/>
      <c r="BG537" s="2338"/>
      <c r="BH537" s="2338"/>
      <c r="BI537" s="2338"/>
      <c r="BJ537" s="2338"/>
      <c r="BK537" s="2338"/>
      <c r="BL537" s="2338"/>
      <c r="BM537" s="2338"/>
      <c r="BN537" s="2338"/>
      <c r="BO537" s="2338"/>
      <c r="BP537" s="2338"/>
      <c r="BQ537" s="2338"/>
      <c r="BR537" s="2338"/>
      <c r="BS537" s="2338"/>
      <c r="BT537" s="2338"/>
      <c r="BU537" s="2338"/>
      <c r="BV537" s="2338"/>
      <c r="BW537" s="2338"/>
      <c r="BX537" s="2338"/>
      <c r="BY537" s="2338"/>
      <c r="BZ537" s="2338"/>
      <c r="CA537" s="2338"/>
      <c r="CB537" s="2338"/>
      <c r="CC537" s="2338"/>
      <c r="CD537" s="2338"/>
      <c r="CE537" s="2338"/>
      <c r="CF537" s="2338"/>
      <c r="CG537" s="2338"/>
      <c r="CH537" s="2338"/>
      <c r="CI537" s="2338"/>
      <c r="CJ537" s="2338"/>
      <c r="CK537" s="2338"/>
      <c r="CL537" s="2338"/>
      <c r="CM537" s="2338"/>
      <c r="CN537" s="2338"/>
      <c r="CO537" s="2338"/>
      <c r="CP537" s="2338"/>
      <c r="CQ537" s="2338"/>
      <c r="CR537" s="2338"/>
      <c r="CS537" s="2338"/>
      <c r="CT537" s="2338"/>
      <c r="CU537" s="2338"/>
      <c r="CV537" s="2338"/>
      <c r="CW537" s="2338"/>
      <c r="CX537" s="2338"/>
      <c r="CY537" s="2338"/>
      <c r="CZ537" s="2338"/>
      <c r="DA537" s="2338"/>
      <c r="DB537" s="2338"/>
      <c r="DC537" s="2338"/>
      <c r="DD537" s="2338"/>
      <c r="DE537" s="2338"/>
      <c r="DF537" s="2338"/>
      <c r="DG537" s="2338"/>
      <c r="DH537" s="2338"/>
      <c r="DI537" s="2338"/>
      <c r="DJ537" s="2338"/>
      <c r="DK537" s="2338"/>
      <c r="DL537" s="2338"/>
      <c r="DM537" s="2338"/>
      <c r="DN537" s="2338"/>
      <c r="DO537" s="2338"/>
    </row>
    <row r="538" spans="26:119">
      <c r="Z538" s="2338"/>
      <c r="AA538" s="2338"/>
      <c r="AB538" s="2338"/>
      <c r="AC538" s="2338"/>
      <c r="AD538" s="2338"/>
      <c r="AE538" s="2338"/>
      <c r="AF538" s="2338"/>
      <c r="AG538" s="2338"/>
      <c r="AH538" s="2338"/>
      <c r="AI538" s="2338"/>
      <c r="AJ538" s="2338"/>
      <c r="AK538" s="2338"/>
      <c r="AL538" s="2338"/>
      <c r="AM538" s="2338"/>
      <c r="AN538" s="2338"/>
      <c r="AO538" s="2338"/>
      <c r="AP538" s="2338"/>
      <c r="AQ538" s="2338"/>
      <c r="AR538" s="2338"/>
      <c r="AS538" s="2338"/>
      <c r="AT538" s="2338"/>
      <c r="AU538" s="2338"/>
      <c r="AV538" s="2338"/>
      <c r="AW538" s="2338"/>
      <c r="AX538" s="2338"/>
      <c r="AY538" s="2338"/>
      <c r="AZ538" s="2338"/>
      <c r="BA538" s="2338"/>
      <c r="BB538" s="2338"/>
      <c r="BC538" s="2338"/>
      <c r="BD538" s="2338"/>
      <c r="BE538" s="2338"/>
      <c r="BF538" s="2338"/>
      <c r="BG538" s="2338"/>
      <c r="BH538" s="2338"/>
      <c r="BI538" s="2338"/>
      <c r="BJ538" s="2338"/>
      <c r="BK538" s="2338"/>
      <c r="BL538" s="2338"/>
      <c r="BM538" s="2338"/>
      <c r="BN538" s="2338"/>
      <c r="BO538" s="2338"/>
      <c r="BP538" s="2338"/>
      <c r="BQ538" s="2338"/>
      <c r="BR538" s="2338"/>
      <c r="BS538" s="2338"/>
      <c r="BT538" s="2338"/>
      <c r="BU538" s="2338"/>
      <c r="BV538" s="2338"/>
      <c r="BW538" s="2338"/>
      <c r="BX538" s="2338"/>
      <c r="BY538" s="2338"/>
      <c r="BZ538" s="2338"/>
      <c r="CA538" s="2338"/>
      <c r="CB538" s="2338"/>
      <c r="CC538" s="2338"/>
      <c r="CD538" s="2338"/>
      <c r="CE538" s="2338"/>
      <c r="CF538" s="2338"/>
      <c r="CG538" s="2338"/>
      <c r="CH538" s="2338"/>
      <c r="CI538" s="2338"/>
      <c r="CJ538" s="2338"/>
      <c r="CK538" s="2338"/>
      <c r="CL538" s="2338"/>
      <c r="CM538" s="2338"/>
      <c r="CN538" s="2338"/>
      <c r="CO538" s="2338"/>
      <c r="CP538" s="2338"/>
      <c r="CQ538" s="2338"/>
      <c r="CR538" s="2338"/>
      <c r="CS538" s="2338"/>
      <c r="CT538" s="2338"/>
      <c r="CU538" s="2338"/>
      <c r="CV538" s="2338"/>
      <c r="CW538" s="2338"/>
      <c r="CX538" s="2338"/>
      <c r="CY538" s="2338"/>
      <c r="CZ538" s="2338"/>
      <c r="DA538" s="2338"/>
      <c r="DB538" s="2338"/>
      <c r="DC538" s="2338"/>
      <c r="DD538" s="2338"/>
      <c r="DE538" s="2338"/>
      <c r="DF538" s="2338"/>
      <c r="DG538" s="2338"/>
      <c r="DH538" s="2338"/>
      <c r="DI538" s="2338"/>
      <c r="DJ538" s="2338"/>
      <c r="DK538" s="2338"/>
      <c r="DL538" s="2338"/>
      <c r="DM538" s="2338"/>
      <c r="DN538" s="2338"/>
      <c r="DO538" s="2338"/>
    </row>
    <row r="539" spans="26:119">
      <c r="Z539" s="2338"/>
      <c r="AA539" s="2338"/>
      <c r="AB539" s="2338"/>
      <c r="AC539" s="2338"/>
      <c r="AD539" s="2338"/>
      <c r="AE539" s="2338"/>
      <c r="AF539" s="2338"/>
      <c r="AG539" s="2338"/>
      <c r="AH539" s="2338"/>
      <c r="AI539" s="2338"/>
      <c r="AJ539" s="2338"/>
      <c r="AK539" s="2338"/>
      <c r="AL539" s="2338"/>
      <c r="AM539" s="2338"/>
      <c r="AN539" s="2338"/>
      <c r="AO539" s="2338"/>
      <c r="AP539" s="2338"/>
      <c r="AQ539" s="2338"/>
      <c r="AR539" s="2338"/>
      <c r="AS539" s="2338"/>
      <c r="AT539" s="2338"/>
      <c r="AU539" s="2338"/>
      <c r="AV539" s="2338"/>
      <c r="AW539" s="2338"/>
      <c r="AX539" s="2338"/>
      <c r="AY539" s="2338"/>
      <c r="AZ539" s="2338"/>
      <c r="BA539" s="2338"/>
      <c r="BB539" s="2338"/>
      <c r="BC539" s="2338"/>
      <c r="BD539" s="2338"/>
      <c r="BE539" s="2338"/>
      <c r="BF539" s="2338"/>
      <c r="BG539" s="2338"/>
      <c r="BH539" s="2338"/>
      <c r="BI539" s="2338"/>
      <c r="BJ539" s="2338"/>
      <c r="BK539" s="2338"/>
      <c r="BL539" s="2338"/>
      <c r="BM539" s="2338"/>
      <c r="BN539" s="2338"/>
      <c r="BO539" s="2338"/>
      <c r="BP539" s="2338"/>
      <c r="BQ539" s="2338"/>
      <c r="BR539" s="2338"/>
      <c r="BS539" s="2338"/>
      <c r="BT539" s="2338"/>
      <c r="BU539" s="2338"/>
      <c r="BV539" s="2338"/>
      <c r="BW539" s="2338"/>
      <c r="BX539" s="2338"/>
      <c r="BY539" s="2338"/>
      <c r="BZ539" s="2338"/>
      <c r="CA539" s="2338"/>
      <c r="CB539" s="2338"/>
      <c r="CC539" s="2338"/>
      <c r="CD539" s="2338"/>
      <c r="CE539" s="2338"/>
      <c r="CF539" s="2338"/>
      <c r="CG539" s="2338"/>
      <c r="CH539" s="2338"/>
      <c r="CI539" s="2338"/>
      <c r="CJ539" s="2338"/>
      <c r="CK539" s="2338"/>
      <c r="CL539" s="2338"/>
      <c r="CM539" s="2338"/>
      <c r="CN539" s="2338"/>
      <c r="CO539" s="2338"/>
      <c r="CP539" s="2338"/>
      <c r="CQ539" s="2338"/>
      <c r="CR539" s="2338"/>
      <c r="CS539" s="2338"/>
      <c r="CT539" s="2338"/>
      <c r="CU539" s="2338"/>
      <c r="CV539" s="2338"/>
      <c r="CW539" s="2338"/>
      <c r="CX539" s="2338"/>
      <c r="CY539" s="2338"/>
      <c r="CZ539" s="2338"/>
      <c r="DA539" s="2338"/>
      <c r="DB539" s="2338"/>
      <c r="DC539" s="2338"/>
      <c r="DD539" s="2338"/>
      <c r="DE539" s="2338"/>
      <c r="DF539" s="2338"/>
      <c r="DG539" s="2338"/>
      <c r="DH539" s="2338"/>
      <c r="DI539" s="2338"/>
      <c r="DJ539" s="2338"/>
      <c r="DK539" s="2338"/>
      <c r="DL539" s="2338"/>
      <c r="DM539" s="2338"/>
      <c r="DN539" s="2338"/>
      <c r="DO539" s="2338"/>
    </row>
    <row r="540" spans="26:119">
      <c r="Z540" s="2338"/>
      <c r="AA540" s="2338"/>
      <c r="AB540" s="2338"/>
      <c r="AC540" s="2338"/>
      <c r="AD540" s="2338"/>
      <c r="AE540" s="2338"/>
      <c r="AF540" s="2338"/>
      <c r="AG540" s="2338"/>
      <c r="AH540" s="2338"/>
      <c r="AI540" s="2338"/>
      <c r="AJ540" s="2338"/>
      <c r="AK540" s="2338"/>
      <c r="AL540" s="2338"/>
      <c r="AM540" s="2338"/>
      <c r="AN540" s="2338"/>
      <c r="AO540" s="2338"/>
      <c r="AP540" s="2338"/>
      <c r="AQ540" s="2338"/>
      <c r="AR540" s="2338"/>
      <c r="AS540" s="2338"/>
      <c r="AT540" s="2338"/>
      <c r="AU540" s="2338"/>
      <c r="AV540" s="2338"/>
      <c r="AW540" s="2338"/>
      <c r="AX540" s="2338"/>
      <c r="AY540" s="2338"/>
      <c r="AZ540" s="2338"/>
      <c r="BA540" s="2338"/>
      <c r="BB540" s="2338"/>
      <c r="BC540" s="2338"/>
      <c r="BD540" s="2338"/>
      <c r="BE540" s="2338"/>
      <c r="BF540" s="2338"/>
      <c r="BG540" s="2338"/>
      <c r="BH540" s="2338"/>
      <c r="BI540" s="2338"/>
      <c r="BJ540" s="2338"/>
      <c r="BK540" s="2338"/>
      <c r="BL540" s="2338"/>
      <c r="BM540" s="2338"/>
      <c r="BN540" s="2338"/>
      <c r="BO540" s="2338"/>
      <c r="BP540" s="2338"/>
      <c r="BQ540" s="2338"/>
      <c r="BR540" s="2338"/>
      <c r="BS540" s="2338"/>
      <c r="BT540" s="2338"/>
      <c r="BU540" s="2338"/>
      <c r="BV540" s="2338"/>
      <c r="BW540" s="2338"/>
      <c r="BX540" s="2338"/>
      <c r="BY540" s="2338"/>
      <c r="BZ540" s="2338"/>
      <c r="CA540" s="2338"/>
      <c r="CB540" s="2338"/>
      <c r="CC540" s="2338"/>
      <c r="CD540" s="2338"/>
      <c r="CE540" s="2338"/>
      <c r="CF540" s="2338"/>
      <c r="CG540" s="2338"/>
      <c r="CH540" s="2338"/>
      <c r="CI540" s="2338"/>
      <c r="CJ540" s="2338"/>
      <c r="CK540" s="2338"/>
      <c r="CL540" s="2338"/>
      <c r="CM540" s="2338"/>
      <c r="CN540" s="2338"/>
      <c r="CO540" s="2338"/>
      <c r="CP540" s="2338"/>
      <c r="CQ540" s="2338"/>
      <c r="CR540" s="2338"/>
      <c r="CS540" s="2338"/>
      <c r="CT540" s="2338"/>
      <c r="CU540" s="2338"/>
      <c r="CV540" s="2338"/>
      <c r="CW540" s="2338"/>
      <c r="CX540" s="2338"/>
      <c r="CY540" s="2338"/>
      <c r="CZ540" s="2338"/>
      <c r="DA540" s="2338"/>
      <c r="DB540" s="2338"/>
      <c r="DC540" s="2338"/>
      <c r="DD540" s="2338"/>
      <c r="DE540" s="2338"/>
      <c r="DF540" s="2338"/>
      <c r="DG540" s="2338"/>
      <c r="DH540" s="2338"/>
      <c r="DI540" s="2338"/>
      <c r="DJ540" s="2338"/>
      <c r="DK540" s="2338"/>
      <c r="DL540" s="2338"/>
      <c r="DM540" s="2338"/>
      <c r="DN540" s="2338"/>
      <c r="DO540" s="2338"/>
    </row>
    <row r="541" spans="26:119">
      <c r="Z541" s="2338"/>
      <c r="AA541" s="2338"/>
      <c r="AB541" s="2338"/>
      <c r="AC541" s="2338"/>
      <c r="AD541" s="2338"/>
      <c r="AE541" s="2338"/>
      <c r="AF541" s="2338"/>
      <c r="AG541" s="2338"/>
      <c r="AH541" s="2338"/>
      <c r="AI541" s="2338"/>
      <c r="AJ541" s="2338"/>
      <c r="AK541" s="2338"/>
      <c r="AL541" s="2338"/>
      <c r="AM541" s="2338"/>
      <c r="AN541" s="2338"/>
      <c r="AO541" s="2338"/>
      <c r="AP541" s="2338"/>
      <c r="AQ541" s="2338"/>
      <c r="AR541" s="2338"/>
      <c r="AS541" s="2338"/>
      <c r="AT541" s="2338"/>
      <c r="AU541" s="2338"/>
      <c r="AV541" s="2338"/>
      <c r="AW541" s="2338"/>
      <c r="AX541" s="2338"/>
      <c r="AY541" s="2338"/>
      <c r="AZ541" s="2338"/>
      <c r="BA541" s="2338"/>
      <c r="BB541" s="2338"/>
      <c r="BC541" s="2338"/>
      <c r="BD541" s="2338"/>
      <c r="BE541" s="2338"/>
      <c r="BF541" s="2338"/>
      <c r="BG541" s="2338"/>
      <c r="BH541" s="2338"/>
      <c r="BI541" s="2338"/>
      <c r="BJ541" s="2338"/>
      <c r="BK541" s="2338"/>
      <c r="BL541" s="2338"/>
      <c r="BM541" s="2338"/>
      <c r="BN541" s="2338"/>
      <c r="BO541" s="2338"/>
      <c r="BP541" s="2338"/>
      <c r="BQ541" s="2338"/>
      <c r="BR541" s="2338"/>
      <c r="BS541" s="2338"/>
      <c r="BT541" s="2338"/>
      <c r="BU541" s="2338"/>
      <c r="BV541" s="2338"/>
      <c r="BW541" s="2338"/>
      <c r="BX541" s="2338"/>
      <c r="BY541" s="2338"/>
      <c r="BZ541" s="2338"/>
      <c r="CA541" s="2338"/>
      <c r="CB541" s="2338"/>
      <c r="CC541" s="2338"/>
      <c r="CD541" s="2338"/>
      <c r="CE541" s="2338"/>
      <c r="CF541" s="2338"/>
      <c r="CG541" s="2338"/>
      <c r="CH541" s="2338"/>
      <c r="CI541" s="2338"/>
      <c r="CJ541" s="2338"/>
      <c r="CK541" s="2338"/>
      <c r="CL541" s="2338"/>
      <c r="CM541" s="2338"/>
      <c r="CN541" s="2338"/>
      <c r="CO541" s="2338"/>
      <c r="CP541" s="2338"/>
      <c r="CQ541" s="2338"/>
      <c r="CR541" s="2338"/>
      <c r="CS541" s="2338"/>
      <c r="CT541" s="2338"/>
      <c r="CU541" s="2338"/>
      <c r="CV541" s="2338"/>
      <c r="CW541" s="2338"/>
      <c r="CX541" s="2338"/>
      <c r="CY541" s="2338"/>
      <c r="CZ541" s="2338"/>
      <c r="DA541" s="2338"/>
      <c r="DB541" s="2338"/>
      <c r="DC541" s="2338"/>
      <c r="DD541" s="2338"/>
      <c r="DE541" s="2338"/>
      <c r="DF541" s="2338"/>
      <c r="DG541" s="2338"/>
      <c r="DH541" s="2338"/>
      <c r="DI541" s="2338"/>
      <c r="DJ541" s="2338"/>
      <c r="DK541" s="2338"/>
      <c r="DL541" s="2338"/>
      <c r="DM541" s="2338"/>
      <c r="DN541" s="2338"/>
      <c r="DO541" s="2338"/>
    </row>
    <row r="542" spans="26:119">
      <c r="Z542" s="2338"/>
      <c r="AA542" s="2338"/>
      <c r="AB542" s="2338"/>
      <c r="AC542" s="2338"/>
      <c r="AD542" s="2338"/>
      <c r="AE542" s="2338"/>
      <c r="AF542" s="2338"/>
      <c r="AG542" s="2338"/>
      <c r="AH542" s="2338"/>
      <c r="AI542" s="2338"/>
      <c r="AJ542" s="2338"/>
      <c r="AK542" s="2338"/>
      <c r="AL542" s="2338"/>
      <c r="AM542" s="2338"/>
      <c r="AN542" s="2338"/>
      <c r="AO542" s="2338"/>
      <c r="AP542" s="2338"/>
      <c r="AQ542" s="2338"/>
      <c r="AR542" s="2338"/>
      <c r="AS542" s="2338"/>
      <c r="AT542" s="2338"/>
      <c r="AU542" s="2338"/>
      <c r="AV542" s="2338"/>
      <c r="AW542" s="2338"/>
      <c r="AX542" s="2338"/>
      <c r="AY542" s="2338"/>
      <c r="AZ542" s="2338"/>
      <c r="BA542" s="2338"/>
      <c r="BB542" s="2338"/>
      <c r="BC542" s="2338"/>
      <c r="BD542" s="2338"/>
      <c r="BE542" s="2338"/>
      <c r="BF542" s="2338"/>
      <c r="BG542" s="2338"/>
      <c r="BH542" s="2338"/>
      <c r="BI542" s="2338"/>
      <c r="BJ542" s="2338"/>
      <c r="BK542" s="2338"/>
      <c r="BL542" s="2338"/>
      <c r="BM542" s="2338"/>
      <c r="BN542" s="2338"/>
      <c r="BO542" s="2338"/>
      <c r="BP542" s="2338"/>
      <c r="BQ542" s="2338"/>
      <c r="BR542" s="2338"/>
      <c r="BS542" s="2338"/>
      <c r="BT542" s="2338"/>
      <c r="BU542" s="2338"/>
      <c r="BV542" s="2338"/>
      <c r="BW542" s="2338"/>
      <c r="BX542" s="2338"/>
      <c r="BY542" s="2338"/>
      <c r="BZ542" s="2338"/>
      <c r="CA542" s="2338"/>
      <c r="CB542" s="2338"/>
      <c r="CC542" s="2338"/>
      <c r="CD542" s="2338"/>
      <c r="CE542" s="2338"/>
      <c r="CF542" s="2338"/>
      <c r="CG542" s="2338"/>
      <c r="CH542" s="2338"/>
      <c r="CI542" s="2338"/>
      <c r="CJ542" s="2338"/>
      <c r="CK542" s="2338"/>
      <c r="CL542" s="2338"/>
      <c r="CM542" s="2338"/>
      <c r="CN542" s="2338"/>
      <c r="CO542" s="2338"/>
      <c r="CP542" s="2338"/>
      <c r="CQ542" s="2338"/>
      <c r="CR542" s="2338"/>
      <c r="CS542" s="2338"/>
      <c r="CT542" s="2338"/>
      <c r="CU542" s="2338"/>
      <c r="CV542" s="2338"/>
      <c r="CW542" s="2338"/>
      <c r="CX542" s="2338"/>
      <c r="CY542" s="2338"/>
      <c r="CZ542" s="2338"/>
      <c r="DA542" s="2338"/>
      <c r="DB542" s="2338"/>
      <c r="DC542" s="2338"/>
      <c r="DD542" s="2338"/>
      <c r="DE542" s="2338"/>
      <c r="DF542" s="2338"/>
      <c r="DG542" s="2338"/>
      <c r="DH542" s="2338"/>
      <c r="DI542" s="2338"/>
      <c r="DJ542" s="2338"/>
      <c r="DK542" s="2338"/>
      <c r="DL542" s="2338"/>
      <c r="DM542" s="2338"/>
      <c r="DN542" s="2338"/>
      <c r="DO542" s="2338"/>
    </row>
    <row r="543" spans="26:119">
      <c r="Z543" s="2338"/>
      <c r="AA543" s="2338"/>
      <c r="AB543" s="2338"/>
      <c r="AC543" s="2338"/>
      <c r="AD543" s="2338"/>
      <c r="AE543" s="2338"/>
      <c r="AF543" s="2338"/>
      <c r="AG543" s="2338"/>
      <c r="AH543" s="2338"/>
      <c r="AI543" s="2338"/>
      <c r="AJ543" s="2338"/>
      <c r="AK543" s="2338"/>
      <c r="AL543" s="2338"/>
      <c r="AM543" s="2338"/>
      <c r="AN543" s="2338"/>
      <c r="AO543" s="2338"/>
      <c r="AP543" s="2338"/>
      <c r="AQ543" s="2338"/>
      <c r="AR543" s="2338"/>
      <c r="AS543" s="2338"/>
      <c r="AT543" s="2338"/>
      <c r="AU543" s="2338"/>
      <c r="AV543" s="2338"/>
      <c r="AW543" s="2338"/>
      <c r="AX543" s="2338"/>
      <c r="AY543" s="2338"/>
      <c r="AZ543" s="2338"/>
      <c r="BA543" s="2338"/>
      <c r="BB543" s="2338"/>
      <c r="BC543" s="2338"/>
      <c r="BD543" s="2338"/>
      <c r="BE543" s="2338"/>
      <c r="BF543" s="2338"/>
      <c r="BG543" s="2338"/>
      <c r="BH543" s="2338"/>
      <c r="BI543" s="2338"/>
      <c r="BJ543" s="2338"/>
      <c r="BK543" s="2338"/>
      <c r="BL543" s="2338"/>
      <c r="BM543" s="2338"/>
      <c r="BN543" s="2338"/>
      <c r="BO543" s="2338"/>
      <c r="BP543" s="2338"/>
      <c r="BQ543" s="2338"/>
      <c r="BR543" s="2338"/>
      <c r="BS543" s="2338"/>
      <c r="BT543" s="2338"/>
      <c r="BU543" s="2338"/>
      <c r="BV543" s="2338"/>
      <c r="BW543" s="2338"/>
      <c r="BX543" s="2338"/>
      <c r="BY543" s="2338"/>
      <c r="BZ543" s="2338"/>
      <c r="CA543" s="2338"/>
      <c r="CB543" s="2338"/>
      <c r="CC543" s="2338"/>
      <c r="CD543" s="2338"/>
      <c r="CE543" s="2338"/>
      <c r="CF543" s="2338"/>
      <c r="CG543" s="2338"/>
      <c r="CH543" s="2338"/>
      <c r="CI543" s="2338"/>
      <c r="CJ543" s="2338"/>
      <c r="CK543" s="2338"/>
      <c r="CL543" s="2338"/>
      <c r="CM543" s="2338"/>
      <c r="CN543" s="2338"/>
      <c r="CO543" s="2338"/>
      <c r="CP543" s="2338"/>
      <c r="CQ543" s="2338"/>
      <c r="CR543" s="2338"/>
      <c r="CS543" s="2338"/>
      <c r="CT543" s="2338"/>
      <c r="CU543" s="2338"/>
      <c r="CV543" s="2338"/>
      <c r="CW543" s="2338"/>
      <c r="CX543" s="2338"/>
      <c r="CY543" s="2338"/>
      <c r="CZ543" s="2338"/>
      <c r="DA543" s="2338"/>
      <c r="DB543" s="2338"/>
      <c r="DC543" s="2338"/>
      <c r="DD543" s="2338"/>
      <c r="DE543" s="2338"/>
      <c r="DF543" s="2338"/>
      <c r="DG543" s="2338"/>
      <c r="DH543" s="2338"/>
      <c r="DI543" s="2338"/>
      <c r="DJ543" s="2338"/>
      <c r="DK543" s="2338"/>
      <c r="DL543" s="2338"/>
      <c r="DM543" s="2338"/>
      <c r="DN543" s="2338"/>
      <c r="DO543" s="2338"/>
    </row>
    <row r="544" spans="26:119">
      <c r="Z544" s="2338"/>
      <c r="AA544" s="2338"/>
      <c r="AB544" s="2338"/>
      <c r="AC544" s="2338"/>
      <c r="AD544" s="2338"/>
      <c r="AE544" s="2338"/>
      <c r="AF544" s="2338"/>
      <c r="AG544" s="2338"/>
      <c r="AH544" s="2338"/>
      <c r="AI544" s="2338"/>
      <c r="AJ544" s="2338"/>
      <c r="AK544" s="2338"/>
      <c r="AL544" s="2338"/>
      <c r="AM544" s="2338"/>
      <c r="AN544" s="2338"/>
      <c r="AO544" s="2338"/>
      <c r="AP544" s="2338"/>
      <c r="AQ544" s="2338"/>
      <c r="AR544" s="2338"/>
      <c r="AS544" s="2338"/>
      <c r="AT544" s="2338"/>
      <c r="AU544" s="2338"/>
      <c r="AV544" s="2338"/>
      <c r="AW544" s="2338"/>
      <c r="AX544" s="2338"/>
      <c r="AY544" s="2338"/>
      <c r="AZ544" s="2338"/>
      <c r="BA544" s="2338"/>
      <c r="BB544" s="2338"/>
      <c r="BC544" s="2338"/>
      <c r="BD544" s="2338"/>
      <c r="BE544" s="2338"/>
      <c r="BF544" s="2338"/>
      <c r="BG544" s="2338"/>
      <c r="BH544" s="2338"/>
      <c r="BI544" s="2338"/>
      <c r="BJ544" s="2338"/>
      <c r="BK544" s="2338"/>
      <c r="BL544" s="2338"/>
      <c r="BM544" s="2338"/>
      <c r="BN544" s="2338"/>
      <c r="BO544" s="2338"/>
      <c r="BP544" s="2338"/>
      <c r="BQ544" s="2338"/>
      <c r="BR544" s="2338"/>
      <c r="BS544" s="2338"/>
      <c r="BT544" s="2338"/>
      <c r="BU544" s="2338"/>
      <c r="BV544" s="2338"/>
      <c r="BW544" s="2338"/>
      <c r="BX544" s="2338"/>
      <c r="BY544" s="2338"/>
      <c r="BZ544" s="2338"/>
      <c r="CA544" s="2338"/>
      <c r="CB544" s="2338"/>
      <c r="CC544" s="2338"/>
      <c r="CD544" s="2338"/>
      <c r="CE544" s="2338"/>
      <c r="CF544" s="2338"/>
      <c r="CG544" s="2338"/>
      <c r="CH544" s="2338"/>
      <c r="CI544" s="2338"/>
      <c r="CJ544" s="2338"/>
      <c r="CK544" s="2338"/>
      <c r="CL544" s="2338"/>
      <c r="CM544" s="2338"/>
      <c r="CN544" s="2338"/>
      <c r="CO544" s="2338"/>
      <c r="CP544" s="2338"/>
      <c r="CQ544" s="2338"/>
      <c r="CR544" s="2338"/>
      <c r="CS544" s="2338"/>
      <c r="CT544" s="2338"/>
      <c r="CU544" s="2338"/>
      <c r="CV544" s="2338"/>
      <c r="CW544" s="2338"/>
      <c r="CX544" s="2338"/>
      <c r="CY544" s="2338"/>
      <c r="CZ544" s="2338"/>
      <c r="DA544" s="2338"/>
      <c r="DB544" s="2338"/>
      <c r="DC544" s="2338"/>
      <c r="DD544" s="2338"/>
      <c r="DE544" s="2338"/>
      <c r="DF544" s="2338"/>
      <c r="DG544" s="2338"/>
      <c r="DH544" s="2338"/>
      <c r="DI544" s="2338"/>
      <c r="DJ544" s="2338"/>
      <c r="DK544" s="2338"/>
      <c r="DL544" s="2338"/>
      <c r="DM544" s="2338"/>
      <c r="DN544" s="2338"/>
      <c r="DO544" s="2338"/>
    </row>
    <row r="545" spans="26:119">
      <c r="Z545" s="2338"/>
      <c r="AA545" s="2338"/>
      <c r="AB545" s="2338"/>
      <c r="AC545" s="2338"/>
      <c r="AD545" s="2338"/>
      <c r="AE545" s="2338"/>
      <c r="AF545" s="2338"/>
      <c r="AG545" s="2338"/>
      <c r="AH545" s="2338"/>
      <c r="AI545" s="2338"/>
      <c r="AJ545" s="2338"/>
      <c r="AK545" s="2338"/>
      <c r="AL545" s="2338"/>
      <c r="AM545" s="2338"/>
      <c r="AN545" s="2338"/>
      <c r="AO545" s="2338"/>
      <c r="AP545" s="2338"/>
      <c r="AQ545" s="2338"/>
      <c r="AR545" s="2338"/>
      <c r="AS545" s="2338"/>
      <c r="AT545" s="2338"/>
      <c r="AU545" s="2338"/>
      <c r="AV545" s="2338"/>
      <c r="AW545" s="2338"/>
      <c r="AX545" s="2338"/>
      <c r="AY545" s="2338"/>
      <c r="AZ545" s="2338"/>
      <c r="BA545" s="2338"/>
      <c r="BB545" s="2338"/>
      <c r="BC545" s="2338"/>
      <c r="BD545" s="2338"/>
      <c r="BE545" s="2338"/>
      <c r="BF545" s="2338"/>
      <c r="BG545" s="2338"/>
      <c r="BH545" s="2338"/>
      <c r="BI545" s="2338"/>
      <c r="BJ545" s="2338"/>
      <c r="BK545" s="2338"/>
      <c r="BL545" s="2338"/>
      <c r="BM545" s="2338"/>
      <c r="BN545" s="2338"/>
      <c r="BO545" s="2338"/>
      <c r="BP545" s="2338"/>
      <c r="BQ545" s="2338"/>
      <c r="BR545" s="2338"/>
      <c r="BS545" s="2338"/>
      <c r="BT545" s="2338"/>
      <c r="BU545" s="2338"/>
      <c r="BV545" s="2338"/>
      <c r="BW545" s="2338"/>
      <c r="BX545" s="2338"/>
      <c r="BY545" s="2338"/>
      <c r="BZ545" s="2338"/>
      <c r="CA545" s="2338"/>
      <c r="CB545" s="2338"/>
      <c r="CC545" s="2338"/>
      <c r="CD545" s="2338"/>
      <c r="CE545" s="2338"/>
      <c r="CF545" s="2338"/>
      <c r="CG545" s="2338"/>
      <c r="CH545" s="2338"/>
      <c r="CI545" s="2338"/>
      <c r="CJ545" s="2338"/>
      <c r="CK545" s="2338"/>
      <c r="CL545" s="2338"/>
      <c r="CM545" s="2338"/>
      <c r="CN545" s="2338"/>
      <c r="CO545" s="2338"/>
      <c r="CP545" s="2338"/>
      <c r="CQ545" s="2338"/>
      <c r="CR545" s="2338"/>
      <c r="CS545" s="2338"/>
      <c r="CT545" s="2338"/>
      <c r="CU545" s="2338"/>
      <c r="CV545" s="2338"/>
      <c r="CW545" s="2338"/>
      <c r="CX545" s="2338"/>
      <c r="CY545" s="2338"/>
      <c r="CZ545" s="2338"/>
      <c r="DA545" s="2338"/>
      <c r="DB545" s="2338"/>
      <c r="DC545" s="2338"/>
      <c r="DD545" s="2338"/>
      <c r="DE545" s="2338"/>
      <c r="DF545" s="2338"/>
      <c r="DG545" s="2338"/>
      <c r="DH545" s="2338"/>
      <c r="DI545" s="2338"/>
      <c r="DJ545" s="2338"/>
      <c r="DK545" s="2338"/>
      <c r="DL545" s="2338"/>
      <c r="DM545" s="2338"/>
      <c r="DN545" s="2338"/>
      <c r="DO545" s="2338"/>
    </row>
    <row r="546" spans="26:119">
      <c r="Z546" s="2338"/>
      <c r="AA546" s="2338"/>
      <c r="AB546" s="2338"/>
      <c r="AC546" s="2338"/>
      <c r="AD546" s="2338"/>
      <c r="AE546" s="2338"/>
      <c r="AF546" s="2338"/>
      <c r="AG546" s="2338"/>
      <c r="AH546" s="2338"/>
      <c r="AI546" s="2338"/>
      <c r="AJ546" s="2338"/>
      <c r="AK546" s="2338"/>
      <c r="AL546" s="2338"/>
      <c r="AM546" s="2338"/>
      <c r="AN546" s="2338"/>
      <c r="AO546" s="2338"/>
      <c r="AP546" s="2338"/>
      <c r="AQ546" s="2338"/>
      <c r="AR546" s="2338"/>
      <c r="AS546" s="2338"/>
      <c r="AT546" s="2338"/>
      <c r="AU546" s="2338"/>
      <c r="AV546" s="2338"/>
      <c r="AW546" s="2338"/>
      <c r="AX546" s="2338"/>
      <c r="AY546" s="2338"/>
      <c r="AZ546" s="2338"/>
      <c r="BA546" s="2338"/>
      <c r="BB546" s="2338"/>
      <c r="BC546" s="2338"/>
      <c r="BD546" s="2338"/>
      <c r="BE546" s="2338"/>
      <c r="BF546" s="2338"/>
      <c r="BG546" s="2338"/>
      <c r="BH546" s="2338"/>
      <c r="BI546" s="2338"/>
      <c r="BJ546" s="2338"/>
      <c r="BK546" s="2338"/>
      <c r="BL546" s="2338"/>
      <c r="BM546" s="2338"/>
      <c r="BN546" s="2338"/>
      <c r="BO546" s="2338"/>
      <c r="BP546" s="2338"/>
      <c r="BQ546" s="2338"/>
      <c r="BR546" s="2338"/>
      <c r="BS546" s="2338"/>
      <c r="BT546" s="2338"/>
      <c r="BU546" s="2338"/>
      <c r="BV546" s="2338"/>
      <c r="BW546" s="2338"/>
      <c r="BX546" s="2338"/>
      <c r="BY546" s="2338"/>
      <c r="BZ546" s="2338"/>
      <c r="CA546" s="2338"/>
      <c r="CB546" s="2338"/>
      <c r="CC546" s="2338"/>
      <c r="CD546" s="2338"/>
      <c r="CE546" s="2338"/>
      <c r="CF546" s="2338"/>
      <c r="CG546" s="2338"/>
      <c r="CH546" s="2338"/>
      <c r="CI546" s="2338"/>
      <c r="CJ546" s="2338"/>
      <c r="CK546" s="2338"/>
      <c r="CL546" s="2338"/>
      <c r="CM546" s="2338"/>
      <c r="CN546" s="2338"/>
      <c r="CO546" s="2338"/>
      <c r="CP546" s="2338"/>
      <c r="CQ546" s="2338"/>
      <c r="CR546" s="2338"/>
      <c r="CS546" s="2338"/>
      <c r="CT546" s="2338"/>
      <c r="CU546" s="2338"/>
      <c r="CV546" s="2338"/>
      <c r="CW546" s="2338"/>
      <c r="CX546" s="2338"/>
      <c r="CY546" s="2338"/>
      <c r="CZ546" s="2338"/>
      <c r="DA546" s="2338"/>
      <c r="DB546" s="2338"/>
      <c r="DC546" s="2338"/>
      <c r="DD546" s="2338"/>
      <c r="DE546" s="2338"/>
      <c r="DF546" s="2338"/>
      <c r="DG546" s="2338"/>
      <c r="DH546" s="2338"/>
      <c r="DI546" s="2338"/>
      <c r="DJ546" s="2338"/>
      <c r="DK546" s="2338"/>
      <c r="DL546" s="2338"/>
      <c r="DM546" s="2338"/>
      <c r="DN546" s="2338"/>
      <c r="DO546" s="2338"/>
    </row>
    <row r="547" spans="26:119">
      <c r="Z547" s="2338"/>
      <c r="AA547" s="2338"/>
      <c r="AB547" s="2338"/>
      <c r="AC547" s="2338"/>
      <c r="AD547" s="2338"/>
      <c r="AE547" s="2338"/>
      <c r="AF547" s="2338"/>
      <c r="AG547" s="2338"/>
      <c r="AH547" s="2338"/>
      <c r="AI547" s="2338"/>
      <c r="AJ547" s="2338"/>
      <c r="AK547" s="2338"/>
      <c r="AL547" s="2338"/>
      <c r="AM547" s="2338"/>
      <c r="AN547" s="2338"/>
      <c r="AO547" s="2338"/>
      <c r="AP547" s="2338"/>
      <c r="AQ547" s="2338"/>
      <c r="AR547" s="2338"/>
      <c r="AS547" s="2338"/>
      <c r="AT547" s="2338"/>
      <c r="AU547" s="2338"/>
      <c r="AV547" s="2338"/>
      <c r="AW547" s="2338"/>
      <c r="AX547" s="2338"/>
      <c r="AY547" s="2338"/>
      <c r="AZ547" s="2338"/>
      <c r="BA547" s="2338"/>
      <c r="BB547" s="2338"/>
      <c r="BC547" s="2338"/>
      <c r="BD547" s="2338"/>
      <c r="BE547" s="2338"/>
      <c r="BF547" s="2338"/>
      <c r="BG547" s="2338"/>
      <c r="BH547" s="2338"/>
      <c r="BI547" s="2338"/>
      <c r="BJ547" s="2338"/>
      <c r="BK547" s="2338"/>
      <c r="BL547" s="2338"/>
      <c r="BM547" s="2338"/>
      <c r="BN547" s="2338"/>
      <c r="BO547" s="2338"/>
      <c r="BP547" s="2338"/>
      <c r="BQ547" s="2338"/>
      <c r="BR547" s="2338"/>
      <c r="BS547" s="2338"/>
      <c r="BT547" s="2338"/>
      <c r="BU547" s="2338"/>
      <c r="BV547" s="2338"/>
      <c r="BW547" s="2338"/>
      <c r="BX547" s="2338"/>
      <c r="BY547" s="2338"/>
      <c r="BZ547" s="2338"/>
      <c r="CA547" s="2338"/>
      <c r="CB547" s="2338"/>
      <c r="CC547" s="2338"/>
      <c r="CD547" s="2338"/>
      <c r="CE547" s="2338"/>
      <c r="CF547" s="2338"/>
      <c r="CG547" s="2338"/>
      <c r="CH547" s="2338"/>
      <c r="CI547" s="2338"/>
      <c r="CJ547" s="2338"/>
      <c r="CK547" s="2338"/>
      <c r="CL547" s="2338"/>
      <c r="CM547" s="2338"/>
      <c r="CN547" s="2338"/>
      <c r="CO547" s="2338"/>
      <c r="CP547" s="2338"/>
      <c r="CQ547" s="2338"/>
      <c r="CR547" s="2338"/>
      <c r="CS547" s="2338"/>
      <c r="CT547" s="2338"/>
      <c r="CU547" s="2338"/>
      <c r="CV547" s="2338"/>
      <c r="CW547" s="2338"/>
      <c r="CX547" s="2338"/>
      <c r="CY547" s="2338"/>
      <c r="CZ547" s="2338"/>
      <c r="DA547" s="2338"/>
      <c r="DB547" s="2338"/>
      <c r="DC547" s="2338"/>
      <c r="DD547" s="2338"/>
      <c r="DE547" s="2338"/>
      <c r="DF547" s="2338"/>
      <c r="DG547" s="2338"/>
      <c r="DH547" s="2338"/>
      <c r="DI547" s="2338"/>
      <c r="DJ547" s="2338"/>
      <c r="DK547" s="2338"/>
      <c r="DL547" s="2338"/>
      <c r="DM547" s="2338"/>
      <c r="DN547" s="2338"/>
      <c r="DO547" s="2338"/>
    </row>
    <row r="548" spans="26:119">
      <c r="Z548" s="2338"/>
      <c r="AA548" s="2338"/>
      <c r="AB548" s="2338"/>
      <c r="AC548" s="2338"/>
      <c r="AD548" s="2338"/>
      <c r="AE548" s="2338"/>
      <c r="AF548" s="2338"/>
      <c r="AG548" s="2338"/>
      <c r="AH548" s="2338"/>
      <c r="AI548" s="2338"/>
      <c r="AJ548" s="2338"/>
      <c r="AK548" s="2338"/>
      <c r="AL548" s="2338"/>
      <c r="AM548" s="2338"/>
      <c r="AN548" s="2338"/>
      <c r="AO548" s="2338"/>
      <c r="AP548" s="2338"/>
      <c r="AQ548" s="2338"/>
      <c r="AR548" s="2338"/>
      <c r="AS548" s="2338"/>
      <c r="AT548" s="2338"/>
      <c r="AU548" s="2338"/>
      <c r="AV548" s="2338"/>
      <c r="AW548" s="2338"/>
      <c r="AX548" s="2338"/>
      <c r="AY548" s="2338"/>
      <c r="AZ548" s="2338"/>
      <c r="BA548" s="2338"/>
      <c r="BB548" s="2338"/>
      <c r="BC548" s="2338"/>
      <c r="BD548" s="2338"/>
      <c r="BE548" s="2338"/>
      <c r="BF548" s="2338"/>
      <c r="BG548" s="2338"/>
      <c r="BH548" s="2338"/>
      <c r="BI548" s="2338"/>
      <c r="BJ548" s="2338"/>
      <c r="BK548" s="2338"/>
      <c r="BL548" s="2338"/>
      <c r="BM548" s="2338"/>
      <c r="BN548" s="2338"/>
      <c r="BO548" s="2338"/>
      <c r="BP548" s="2338"/>
      <c r="BQ548" s="2338"/>
      <c r="BR548" s="2338"/>
      <c r="BS548" s="2338"/>
      <c r="BT548" s="2338"/>
      <c r="BU548" s="2338"/>
      <c r="BV548" s="2338"/>
      <c r="BW548" s="2338"/>
      <c r="BX548" s="2338"/>
      <c r="BY548" s="2338"/>
      <c r="BZ548" s="2338"/>
      <c r="CA548" s="2338"/>
      <c r="CB548" s="2338"/>
      <c r="CC548" s="2338"/>
      <c r="CD548" s="2338"/>
      <c r="CE548" s="2338"/>
      <c r="CF548" s="2338"/>
      <c r="CG548" s="2338"/>
      <c r="CH548" s="2338"/>
      <c r="CI548" s="2338"/>
      <c r="CJ548" s="2338"/>
      <c r="CK548" s="2338"/>
      <c r="CL548" s="2338"/>
      <c r="CM548" s="2338"/>
      <c r="CN548" s="2338"/>
      <c r="CO548" s="2338"/>
      <c r="CP548" s="2338"/>
      <c r="CQ548" s="2338"/>
      <c r="CR548" s="2338"/>
      <c r="CS548" s="2338"/>
      <c r="CT548" s="2338"/>
      <c r="CU548" s="2338"/>
      <c r="CV548" s="2338"/>
      <c r="CW548" s="2338"/>
      <c r="CX548" s="2338"/>
      <c r="CY548" s="2338"/>
      <c r="CZ548" s="2338"/>
      <c r="DA548" s="2338"/>
      <c r="DB548" s="2338"/>
      <c r="DC548" s="2338"/>
      <c r="DD548" s="2338"/>
      <c r="DE548" s="2338"/>
      <c r="DF548" s="2338"/>
      <c r="DG548" s="2338"/>
      <c r="DH548" s="2338"/>
      <c r="DI548" s="2338"/>
      <c r="DJ548" s="2338"/>
      <c r="DK548" s="2338"/>
      <c r="DL548" s="2338"/>
      <c r="DM548" s="2338"/>
      <c r="DN548" s="2338"/>
      <c r="DO548" s="2338"/>
    </row>
    <row r="549" spans="26:119">
      <c r="Z549" s="2338"/>
      <c r="AA549" s="2338"/>
      <c r="AB549" s="2338"/>
      <c r="AC549" s="2338"/>
      <c r="AD549" s="2338"/>
      <c r="AE549" s="2338"/>
      <c r="AF549" s="2338"/>
      <c r="AG549" s="2338"/>
      <c r="AH549" s="2338"/>
      <c r="AI549" s="2338"/>
      <c r="AJ549" s="2338"/>
      <c r="AK549" s="2338"/>
      <c r="AL549" s="2338"/>
      <c r="AM549" s="2338"/>
      <c r="AN549" s="2338"/>
      <c r="AO549" s="2338"/>
      <c r="AP549" s="2338"/>
      <c r="AQ549" s="2338"/>
      <c r="AR549" s="2338"/>
      <c r="AS549" s="2338"/>
      <c r="AT549" s="2338"/>
      <c r="AU549" s="2338"/>
      <c r="AV549" s="2338"/>
      <c r="AW549" s="2338"/>
      <c r="AX549" s="2338"/>
      <c r="AY549" s="2338"/>
      <c r="AZ549" s="2338"/>
      <c r="BA549" s="2338"/>
      <c r="BB549" s="2338"/>
      <c r="BC549" s="2338"/>
      <c r="BD549" s="2338"/>
      <c r="BE549" s="2338"/>
      <c r="BF549" s="2338"/>
      <c r="BG549" s="2338"/>
      <c r="BH549" s="2338"/>
      <c r="BI549" s="2338"/>
      <c r="BJ549" s="2338"/>
      <c r="BK549" s="2338"/>
      <c r="BL549" s="2338"/>
      <c r="BM549" s="2338"/>
      <c r="BN549" s="2338"/>
      <c r="BO549" s="2338"/>
      <c r="BP549" s="2338"/>
      <c r="BQ549" s="2338"/>
      <c r="BR549" s="2338"/>
      <c r="BS549" s="2338"/>
      <c r="BT549" s="2338"/>
      <c r="BU549" s="2338"/>
      <c r="BV549" s="2338"/>
      <c r="BW549" s="2338"/>
      <c r="BX549" s="2338"/>
      <c r="BY549" s="2338"/>
      <c r="BZ549" s="2338"/>
      <c r="CA549" s="2338"/>
      <c r="CB549" s="2338"/>
      <c r="CC549" s="2338"/>
      <c r="CD549" s="2338"/>
      <c r="CE549" s="2338"/>
      <c r="CF549" s="2338"/>
      <c r="CG549" s="2338"/>
      <c r="CH549" s="2338"/>
      <c r="CI549" s="2338"/>
      <c r="CJ549" s="2338"/>
      <c r="CK549" s="2338"/>
      <c r="CL549" s="2338"/>
      <c r="CM549" s="2338"/>
      <c r="CN549" s="2338"/>
      <c r="CO549" s="2338"/>
      <c r="CP549" s="2338"/>
      <c r="CQ549" s="2338"/>
      <c r="CR549" s="2338"/>
      <c r="CS549" s="2338"/>
      <c r="CT549" s="2338"/>
      <c r="CU549" s="2338"/>
      <c r="CV549" s="2338"/>
      <c r="CW549" s="2338"/>
      <c r="CX549" s="2338"/>
      <c r="CY549" s="2338"/>
      <c r="CZ549" s="2338"/>
      <c r="DA549" s="2338"/>
      <c r="DB549" s="2338"/>
      <c r="DC549" s="2338"/>
      <c r="DD549" s="2338"/>
      <c r="DE549" s="2338"/>
      <c r="DF549" s="2338"/>
      <c r="DG549" s="2338"/>
      <c r="DH549" s="2338"/>
      <c r="DI549" s="2338"/>
      <c r="DJ549" s="2338"/>
      <c r="DK549" s="2338"/>
      <c r="DL549" s="2338"/>
      <c r="DM549" s="2338"/>
      <c r="DN549" s="2338"/>
      <c r="DO549" s="2338"/>
    </row>
    <row r="550" spans="26:119">
      <c r="Z550" s="2338"/>
      <c r="AA550" s="2338"/>
      <c r="AB550" s="2338"/>
      <c r="AC550" s="2338"/>
      <c r="AD550" s="2338"/>
      <c r="AE550" s="2338"/>
      <c r="AF550" s="2338"/>
      <c r="AG550" s="2338"/>
      <c r="AH550" s="2338"/>
      <c r="AI550" s="2338"/>
      <c r="AJ550" s="2338"/>
      <c r="AK550" s="2338"/>
      <c r="AL550" s="2338"/>
      <c r="AM550" s="2338"/>
      <c r="AN550" s="2338"/>
      <c r="AO550" s="2338"/>
      <c r="AP550" s="2338"/>
      <c r="AQ550" s="2338"/>
      <c r="AR550" s="2338"/>
      <c r="AS550" s="2338"/>
      <c r="AT550" s="2338"/>
      <c r="AU550" s="2338"/>
      <c r="AV550" s="2338"/>
      <c r="AW550" s="2338"/>
      <c r="AX550" s="2338"/>
      <c r="AY550" s="2338"/>
      <c r="AZ550" s="2338"/>
      <c r="BA550" s="2338"/>
      <c r="BB550" s="2338"/>
      <c r="BC550" s="2338"/>
      <c r="BD550" s="2338"/>
      <c r="BE550" s="2338"/>
      <c r="BF550" s="2338"/>
      <c r="BG550" s="2338"/>
      <c r="BH550" s="2338"/>
      <c r="BI550" s="2338"/>
      <c r="BJ550" s="2338"/>
      <c r="BK550" s="2338"/>
      <c r="BL550" s="2338"/>
      <c r="BM550" s="2338"/>
      <c r="BN550" s="2338"/>
      <c r="BO550" s="2338"/>
      <c r="BP550" s="2338"/>
      <c r="BQ550" s="2338"/>
      <c r="BR550" s="2338"/>
      <c r="BS550" s="2338"/>
      <c r="BT550" s="2338"/>
      <c r="BU550" s="2338"/>
      <c r="BV550" s="2338"/>
      <c r="BW550" s="2338"/>
      <c r="BX550" s="2338"/>
      <c r="BY550" s="2338"/>
      <c r="BZ550" s="2338"/>
      <c r="CA550" s="2338"/>
      <c r="CB550" s="2338"/>
      <c r="CC550" s="2338"/>
      <c r="CD550" s="2338"/>
      <c r="CE550" s="2338"/>
      <c r="CF550" s="2338"/>
      <c r="CG550" s="2338"/>
      <c r="CH550" s="2338"/>
      <c r="CI550" s="2338"/>
      <c r="CJ550" s="2338"/>
      <c r="CK550" s="2338"/>
      <c r="CL550" s="2338"/>
      <c r="CM550" s="2338"/>
      <c r="CN550" s="2338"/>
      <c r="CO550" s="2338"/>
      <c r="CP550" s="2338"/>
      <c r="CQ550" s="2338"/>
      <c r="CR550" s="2338"/>
      <c r="CS550" s="2338"/>
      <c r="CT550" s="2338"/>
      <c r="CU550" s="2338"/>
      <c r="CV550" s="2338"/>
      <c r="CW550" s="2338"/>
      <c r="CX550" s="2338"/>
      <c r="CY550" s="2338"/>
      <c r="CZ550" s="2338"/>
      <c r="DA550" s="2338"/>
      <c r="DB550" s="2338"/>
      <c r="DC550" s="2338"/>
      <c r="DD550" s="2338"/>
      <c r="DE550" s="2338"/>
      <c r="DF550" s="2338"/>
      <c r="DG550" s="2338"/>
      <c r="DH550" s="2338"/>
      <c r="DI550" s="2338"/>
      <c r="DJ550" s="2338"/>
      <c r="DK550" s="2338"/>
      <c r="DL550" s="2338"/>
      <c r="DM550" s="2338"/>
      <c r="DN550" s="2338"/>
      <c r="DO550" s="2338"/>
    </row>
    <row r="551" spans="26:119">
      <c r="Z551" s="2338"/>
      <c r="AA551" s="2338"/>
      <c r="AB551" s="2338"/>
      <c r="AC551" s="2338"/>
      <c r="AD551" s="2338"/>
      <c r="AE551" s="2338"/>
      <c r="AF551" s="2338"/>
      <c r="AG551" s="2338"/>
      <c r="AH551" s="2338"/>
      <c r="AI551" s="2338"/>
      <c r="AJ551" s="2338"/>
      <c r="AK551" s="2338"/>
      <c r="AL551" s="2338"/>
      <c r="AM551" s="2338"/>
      <c r="AN551" s="2338"/>
      <c r="AO551" s="2338"/>
      <c r="AP551" s="2338"/>
      <c r="AQ551" s="2338"/>
      <c r="AR551" s="2338"/>
      <c r="AS551" s="2338"/>
      <c r="AT551" s="2338"/>
      <c r="AU551" s="2338"/>
      <c r="AV551" s="2338"/>
      <c r="AW551" s="2338"/>
      <c r="AX551" s="2338"/>
      <c r="AY551" s="2338"/>
      <c r="AZ551" s="2338"/>
      <c r="BA551" s="2338"/>
      <c r="BB551" s="2338"/>
      <c r="BC551" s="2338"/>
      <c r="BD551" s="2338"/>
      <c r="BE551" s="2338"/>
      <c r="BF551" s="2338"/>
      <c r="BG551" s="2338"/>
      <c r="BH551" s="2338"/>
      <c r="BI551" s="2338"/>
      <c r="BJ551" s="2338"/>
      <c r="BK551" s="2338"/>
      <c r="BL551" s="2338"/>
      <c r="BM551" s="2338"/>
      <c r="BN551" s="2338"/>
      <c r="BO551" s="2338"/>
      <c r="BP551" s="2338"/>
      <c r="BQ551" s="2338"/>
      <c r="BR551" s="2338"/>
      <c r="BS551" s="2338"/>
      <c r="BT551" s="2338"/>
      <c r="BU551" s="2338"/>
      <c r="BV551" s="2338"/>
      <c r="BW551" s="2338"/>
      <c r="BX551" s="2338"/>
      <c r="BY551" s="2338"/>
      <c r="BZ551" s="2338"/>
      <c r="CA551" s="2338"/>
      <c r="CB551" s="2338"/>
      <c r="CC551" s="2338"/>
      <c r="CD551" s="2338"/>
      <c r="CE551" s="2338"/>
      <c r="CF551" s="2338"/>
      <c r="CG551" s="2338"/>
      <c r="CH551" s="2338"/>
      <c r="CI551" s="2338"/>
      <c r="CJ551" s="2338"/>
      <c r="CK551" s="2338"/>
      <c r="CL551" s="2338"/>
      <c r="CM551" s="2338"/>
      <c r="CN551" s="2338"/>
      <c r="CO551" s="2338"/>
      <c r="CP551" s="2338"/>
      <c r="CQ551" s="2338"/>
      <c r="CR551" s="2338"/>
      <c r="CS551" s="2338"/>
      <c r="CT551" s="2338"/>
      <c r="CU551" s="2338"/>
      <c r="CV551" s="2338"/>
      <c r="CW551" s="2338"/>
      <c r="CX551" s="2338"/>
      <c r="CY551" s="2338"/>
      <c r="CZ551" s="2338"/>
      <c r="DA551" s="2338"/>
      <c r="DB551" s="2338"/>
      <c r="DC551" s="2338"/>
      <c r="DD551" s="2338"/>
      <c r="DE551" s="2338"/>
      <c r="DF551" s="2338"/>
      <c r="DG551" s="2338"/>
      <c r="DH551" s="2338"/>
      <c r="DI551" s="2338"/>
      <c r="DJ551" s="2338"/>
      <c r="DK551" s="2338"/>
      <c r="DL551" s="2338"/>
      <c r="DM551" s="2338"/>
      <c r="DN551" s="2338"/>
      <c r="DO551" s="2338"/>
    </row>
    <row r="552" spans="26:119">
      <c r="Z552" s="2338"/>
      <c r="AA552" s="2338"/>
      <c r="AB552" s="2338"/>
      <c r="AC552" s="2338"/>
      <c r="AD552" s="2338"/>
      <c r="AE552" s="2338"/>
      <c r="AF552" s="2338"/>
      <c r="AG552" s="2338"/>
      <c r="AH552" s="2338"/>
      <c r="AI552" s="2338"/>
      <c r="AJ552" s="2338"/>
      <c r="AK552" s="2338"/>
      <c r="AL552" s="2338"/>
      <c r="AM552" s="2338"/>
      <c r="AN552" s="2338"/>
      <c r="AO552" s="2338"/>
      <c r="AP552" s="2338"/>
      <c r="AQ552" s="2338"/>
      <c r="AR552" s="2338"/>
      <c r="AS552" s="2338"/>
      <c r="AT552" s="2338"/>
      <c r="AU552" s="2338"/>
      <c r="AV552" s="2338"/>
      <c r="AW552" s="2338"/>
      <c r="AX552" s="2338"/>
      <c r="AY552" s="2338"/>
      <c r="AZ552" s="2338"/>
      <c r="BA552" s="2338"/>
      <c r="BB552" s="2338"/>
      <c r="BC552" s="2338"/>
      <c r="BD552" s="2338"/>
      <c r="BE552" s="2338"/>
      <c r="BF552" s="2338"/>
      <c r="BG552" s="2338"/>
      <c r="BH552" s="2338"/>
      <c r="BI552" s="2338"/>
      <c r="BJ552" s="2338"/>
      <c r="BK552" s="2338"/>
      <c r="BL552" s="2338"/>
      <c r="BM552" s="2338"/>
      <c r="BN552" s="2338"/>
      <c r="BO552" s="2338"/>
      <c r="BP552" s="2338"/>
      <c r="BQ552" s="2338"/>
      <c r="BR552" s="2338"/>
      <c r="BS552" s="2338"/>
      <c r="BT552" s="2338"/>
      <c r="BU552" s="2338"/>
      <c r="BV552" s="2338"/>
      <c r="BW552" s="2338"/>
      <c r="BX552" s="2338"/>
      <c r="BY552" s="2338"/>
      <c r="BZ552" s="2338"/>
      <c r="CA552" s="2338"/>
      <c r="CB552" s="2338"/>
      <c r="CC552" s="2338"/>
      <c r="CD552" s="2338"/>
      <c r="CE552" s="2338"/>
      <c r="CF552" s="2338"/>
      <c r="CG552" s="2338"/>
      <c r="CH552" s="2338"/>
      <c r="CI552" s="2338"/>
      <c r="CJ552" s="2338"/>
      <c r="CK552" s="2338"/>
      <c r="CL552" s="2338"/>
      <c r="CM552" s="2338"/>
      <c r="CN552" s="2338"/>
      <c r="CO552" s="2338"/>
      <c r="CP552" s="2338"/>
      <c r="CQ552" s="2338"/>
      <c r="CR552" s="2338"/>
      <c r="CS552" s="2338"/>
      <c r="CT552" s="2338"/>
      <c r="CU552" s="2338"/>
      <c r="CV552" s="2338"/>
      <c r="CW552" s="2338"/>
      <c r="CX552" s="2338"/>
      <c r="CY552" s="2338"/>
      <c r="CZ552" s="2338"/>
      <c r="DA552" s="2338"/>
      <c r="DB552" s="2338"/>
      <c r="DC552" s="2338"/>
      <c r="DD552" s="2338"/>
      <c r="DE552" s="2338"/>
      <c r="DF552" s="2338"/>
      <c r="DG552" s="2338"/>
      <c r="DH552" s="2338"/>
      <c r="DI552" s="2338"/>
      <c r="DJ552" s="2338"/>
      <c r="DK552" s="2338"/>
      <c r="DL552" s="2338"/>
      <c r="DM552" s="2338"/>
      <c r="DN552" s="2338"/>
      <c r="DO552" s="2338"/>
    </row>
    <row r="553" spans="26:119">
      <c r="Z553" s="2338"/>
      <c r="AA553" s="2338"/>
      <c r="AB553" s="2338"/>
      <c r="AC553" s="2338"/>
      <c r="AD553" s="2338"/>
      <c r="AE553" s="2338"/>
      <c r="AF553" s="2338"/>
      <c r="AG553" s="2338"/>
      <c r="AH553" s="2338"/>
      <c r="AI553" s="2338"/>
      <c r="AJ553" s="2338"/>
      <c r="AK553" s="2338"/>
      <c r="AL553" s="2338"/>
      <c r="AM553" s="2338"/>
      <c r="AN553" s="2338"/>
      <c r="AO553" s="2338"/>
      <c r="AP553" s="2338"/>
      <c r="AQ553" s="2338"/>
      <c r="AR553" s="2338"/>
      <c r="AS553" s="2338"/>
      <c r="AT553" s="2338"/>
      <c r="AU553" s="2338"/>
      <c r="AV553" s="2338"/>
      <c r="AW553" s="2338"/>
      <c r="AX553" s="2338"/>
      <c r="AY553" s="2338"/>
      <c r="AZ553" s="2338"/>
      <c r="BA553" s="2338"/>
      <c r="BB553" s="2338"/>
      <c r="BC553" s="2338"/>
      <c r="BD553" s="2338"/>
      <c r="BE553" s="2338"/>
      <c r="BF553" s="2338"/>
      <c r="BG553" s="2338"/>
      <c r="BH553" s="2338"/>
      <c r="BI553" s="2338"/>
      <c r="BJ553" s="2338"/>
      <c r="BK553" s="2338"/>
      <c r="BL553" s="2338"/>
      <c r="BM553" s="2338"/>
      <c r="BN553" s="2338"/>
      <c r="BO553" s="2338"/>
      <c r="BP553" s="2338"/>
      <c r="BQ553" s="2338"/>
      <c r="BR553" s="2338"/>
      <c r="BS553" s="2338"/>
      <c r="BT553" s="2338"/>
      <c r="BU553" s="2338"/>
      <c r="BV553" s="2338"/>
      <c r="BW553" s="2338"/>
      <c r="BX553" s="2338"/>
      <c r="BY553" s="2338"/>
      <c r="BZ553" s="2338"/>
      <c r="CA553" s="2338"/>
      <c r="CB553" s="2338"/>
      <c r="CC553" s="2338"/>
      <c r="CD553" s="2338"/>
      <c r="CE553" s="2338"/>
      <c r="CF553" s="2338"/>
      <c r="CG553" s="2338"/>
      <c r="CH553" s="2338"/>
      <c r="CI553" s="2338"/>
      <c r="CJ553" s="2338"/>
      <c r="CK553" s="2338"/>
      <c r="CL553" s="2338"/>
      <c r="CM553" s="2338"/>
      <c r="CN553" s="2338"/>
      <c r="CO553" s="2338"/>
      <c r="CP553" s="2338"/>
      <c r="CQ553" s="2338"/>
      <c r="CR553" s="2338"/>
      <c r="CS553" s="2338"/>
      <c r="CT553" s="2338"/>
      <c r="CU553" s="2338"/>
      <c r="CV553" s="2338"/>
      <c r="CW553" s="2338"/>
      <c r="CX553" s="2338"/>
      <c r="CY553" s="2338"/>
      <c r="CZ553" s="2338"/>
      <c r="DA553" s="2338"/>
      <c r="DB553" s="2338"/>
      <c r="DC553" s="2338"/>
      <c r="DD553" s="2338"/>
      <c r="DE553" s="2338"/>
      <c r="DF553" s="2338"/>
      <c r="DG553" s="2338"/>
      <c r="DH553" s="2338"/>
      <c r="DI553" s="2338"/>
      <c r="DJ553" s="2338"/>
      <c r="DK553" s="2338"/>
      <c r="DL553" s="2338"/>
      <c r="DM553" s="2338"/>
      <c r="DN553" s="2338"/>
      <c r="DO553" s="2338"/>
    </row>
    <row r="554" spans="26:119">
      <c r="Z554" s="2338"/>
      <c r="AA554" s="2338"/>
      <c r="AB554" s="2338"/>
      <c r="AC554" s="2338"/>
      <c r="AD554" s="2338"/>
      <c r="AE554" s="2338"/>
      <c r="AF554" s="2338"/>
      <c r="AG554" s="2338"/>
      <c r="AH554" s="2338"/>
      <c r="AI554" s="2338"/>
      <c r="AJ554" s="2338"/>
      <c r="AK554" s="2338"/>
      <c r="AL554" s="2338"/>
      <c r="AM554" s="2338"/>
      <c r="AN554" s="2338"/>
      <c r="AO554" s="2338"/>
      <c r="AP554" s="2338"/>
      <c r="AQ554" s="2338"/>
      <c r="AR554" s="2338"/>
      <c r="AS554" s="2338"/>
      <c r="AT554" s="2338"/>
      <c r="AU554" s="2338"/>
      <c r="AV554" s="2338"/>
      <c r="AW554" s="2338"/>
      <c r="AX554" s="2338"/>
      <c r="AY554" s="2338"/>
      <c r="AZ554" s="2338"/>
      <c r="BA554" s="2338"/>
      <c r="BB554" s="2338"/>
      <c r="BC554" s="2338"/>
      <c r="BD554" s="2338"/>
      <c r="BE554" s="2338"/>
      <c r="BF554" s="2338"/>
      <c r="BG554" s="2338"/>
      <c r="BH554" s="2338"/>
      <c r="BI554" s="2338"/>
      <c r="BJ554" s="2338"/>
      <c r="BK554" s="2338"/>
      <c r="BL554" s="2338"/>
      <c r="BM554" s="2338"/>
      <c r="BN554" s="2338"/>
      <c r="BO554" s="2338"/>
      <c r="BP554" s="2338"/>
      <c r="BQ554" s="2338"/>
      <c r="BR554" s="2338"/>
      <c r="BS554" s="2338"/>
      <c r="BT554" s="2338"/>
      <c r="BU554" s="2338"/>
      <c r="BV554" s="2338"/>
      <c r="BW554" s="2338"/>
      <c r="BX554" s="2338"/>
      <c r="BY554" s="2338"/>
      <c r="BZ554" s="2338"/>
      <c r="CA554" s="2338"/>
      <c r="CB554" s="2338"/>
      <c r="CC554" s="2338"/>
      <c r="CD554" s="2338"/>
      <c r="CE554" s="2338"/>
      <c r="CF554" s="2338"/>
      <c r="CG554" s="2338"/>
      <c r="CH554" s="2338"/>
      <c r="CI554" s="2338"/>
      <c r="CJ554" s="2338"/>
      <c r="CK554" s="2338"/>
      <c r="CL554" s="2338"/>
      <c r="CM554" s="2338"/>
      <c r="CN554" s="2338"/>
      <c r="CO554" s="2338"/>
      <c r="CP554" s="2338"/>
      <c r="CQ554" s="2338"/>
      <c r="CR554" s="2338"/>
      <c r="CS554" s="2338"/>
      <c r="CT554" s="2338"/>
      <c r="CU554" s="2338"/>
      <c r="CV554" s="2338"/>
      <c r="CW554" s="2338"/>
      <c r="CX554" s="2338"/>
      <c r="CY554" s="2338"/>
      <c r="CZ554" s="2338"/>
      <c r="DA554" s="2338"/>
      <c r="DB554" s="2338"/>
      <c r="DC554" s="2338"/>
      <c r="DD554" s="2338"/>
      <c r="DE554" s="2338"/>
      <c r="DF554" s="2338"/>
      <c r="DG554" s="2338"/>
      <c r="DH554" s="2338"/>
      <c r="DI554" s="2338"/>
      <c r="DJ554" s="2338"/>
      <c r="DK554" s="2338"/>
      <c r="DL554" s="2338"/>
      <c r="DM554" s="2338"/>
      <c r="DN554" s="2338"/>
      <c r="DO554" s="2338"/>
    </row>
    <row r="555" spans="26:119">
      <c r="Z555" s="2338"/>
      <c r="AA555" s="2338"/>
      <c r="AB555" s="2338"/>
      <c r="AC555" s="2338"/>
      <c r="AD555" s="2338"/>
      <c r="AE555" s="2338"/>
      <c r="AF555" s="2338"/>
      <c r="AG555" s="2338"/>
      <c r="AH555" s="2338"/>
      <c r="AI555" s="2338"/>
      <c r="AJ555" s="2338"/>
      <c r="AK555" s="2338"/>
      <c r="AL555" s="2338"/>
      <c r="AM555" s="2338"/>
      <c r="AN555" s="2338"/>
      <c r="AO555" s="2338"/>
      <c r="AP555" s="2338"/>
      <c r="AQ555" s="2338"/>
      <c r="AR555" s="2338"/>
      <c r="AS555" s="2338"/>
      <c r="AT555" s="2338"/>
      <c r="AU555" s="2338"/>
      <c r="AV555" s="2338"/>
      <c r="AW555" s="2338"/>
      <c r="AX555" s="2338"/>
      <c r="AY555" s="2338"/>
      <c r="AZ555" s="2338"/>
      <c r="BA555" s="2338"/>
      <c r="BB555" s="2338"/>
      <c r="BC555" s="2338"/>
      <c r="BD555" s="2338"/>
      <c r="BE555" s="2338"/>
      <c r="BF555" s="2338"/>
      <c r="BG555" s="2338"/>
      <c r="BH555" s="2338"/>
      <c r="BI555" s="2338"/>
      <c r="BJ555" s="2338"/>
      <c r="BK555" s="2338"/>
      <c r="BL555" s="2338"/>
      <c r="BM555" s="2338"/>
      <c r="BN555" s="2338"/>
      <c r="BO555" s="2338"/>
      <c r="BP555" s="2338"/>
      <c r="BQ555" s="2338"/>
      <c r="BR555" s="2338"/>
      <c r="BS555" s="2338"/>
      <c r="BT555" s="2338"/>
      <c r="BU555" s="2338"/>
      <c r="BV555" s="2338"/>
      <c r="BW555" s="2338"/>
      <c r="BX555" s="2338"/>
      <c r="BY555" s="2338"/>
      <c r="BZ555" s="2338"/>
      <c r="CA555" s="2338"/>
      <c r="CB555" s="2338"/>
      <c r="CC555" s="2338"/>
      <c r="CD555" s="2338"/>
      <c r="CE555" s="2338"/>
      <c r="CF555" s="2338"/>
      <c r="CG555" s="2338"/>
      <c r="CH555" s="2338"/>
      <c r="CI555" s="2338"/>
      <c r="CJ555" s="2338"/>
      <c r="CK555" s="2338"/>
      <c r="CL555" s="2338"/>
      <c r="CM555" s="2338"/>
      <c r="CN555" s="2338"/>
      <c r="CO555" s="2338"/>
      <c r="CP555" s="2338"/>
      <c r="CQ555" s="2338"/>
      <c r="CR555" s="2338"/>
      <c r="CS555" s="2338"/>
      <c r="CT555" s="2338"/>
      <c r="CU555" s="2338"/>
      <c r="CV555" s="2338"/>
      <c r="CW555" s="2338"/>
      <c r="CX555" s="2338"/>
      <c r="CY555" s="2338"/>
      <c r="CZ555" s="2338"/>
      <c r="DA555" s="2338"/>
      <c r="DB555" s="2338"/>
      <c r="DC555" s="2338"/>
      <c r="DD555" s="2338"/>
      <c r="DE555" s="2338"/>
      <c r="DF555" s="2338"/>
      <c r="DG555" s="2338"/>
      <c r="DH555" s="2338"/>
      <c r="DI555" s="2338"/>
      <c r="DJ555" s="2338"/>
      <c r="DK555" s="2338"/>
      <c r="DL555" s="2338"/>
      <c r="DM555" s="2338"/>
      <c r="DN555" s="2338"/>
      <c r="DO555" s="2338"/>
    </row>
    <row r="556" spans="26:119">
      <c r="Z556" s="2338"/>
      <c r="AA556" s="2338"/>
      <c r="AB556" s="2338"/>
      <c r="AC556" s="2338"/>
      <c r="AD556" s="2338"/>
      <c r="AE556" s="2338"/>
      <c r="AF556" s="2338"/>
      <c r="AG556" s="2338"/>
      <c r="AH556" s="2338"/>
      <c r="AI556" s="2338"/>
      <c r="AJ556" s="2338"/>
      <c r="AK556" s="2338"/>
      <c r="AL556" s="2338"/>
      <c r="AM556" s="2338"/>
      <c r="AN556" s="2338"/>
      <c r="AO556" s="2338"/>
      <c r="AP556" s="2338"/>
      <c r="AQ556" s="2338"/>
      <c r="AR556" s="2338"/>
      <c r="AS556" s="2338"/>
      <c r="AT556" s="2338"/>
      <c r="AU556" s="2338"/>
      <c r="AV556" s="2338"/>
      <c r="AW556" s="2338"/>
      <c r="AX556" s="2338"/>
      <c r="AY556" s="2338"/>
      <c r="AZ556" s="2338"/>
      <c r="BA556" s="2338"/>
      <c r="BB556" s="2338"/>
      <c r="BC556" s="2338"/>
      <c r="BD556" s="2338"/>
      <c r="BE556" s="2338"/>
      <c r="BF556" s="2338"/>
      <c r="BG556" s="2338"/>
      <c r="BH556" s="2338"/>
      <c r="BI556" s="2338"/>
      <c r="BJ556" s="2338"/>
      <c r="BK556" s="2338"/>
      <c r="BL556" s="2338"/>
      <c r="BM556" s="2338"/>
      <c r="BN556" s="2338"/>
      <c r="BO556" s="2338"/>
      <c r="BP556" s="2338"/>
      <c r="BQ556" s="2338"/>
      <c r="BR556" s="2338"/>
      <c r="BS556" s="2338"/>
      <c r="BT556" s="2338"/>
      <c r="BU556" s="2338"/>
      <c r="BV556" s="2338"/>
      <c r="BW556" s="2338"/>
      <c r="BX556" s="2338"/>
      <c r="BY556" s="2338"/>
      <c r="BZ556" s="2338"/>
      <c r="CA556" s="2338"/>
      <c r="CB556" s="2338"/>
      <c r="CC556" s="2338"/>
      <c r="CD556" s="2338"/>
      <c r="CE556" s="2338"/>
      <c r="CF556" s="2338"/>
      <c r="CG556" s="2338"/>
      <c r="CH556" s="2338"/>
      <c r="CI556" s="2338"/>
      <c r="CJ556" s="2338"/>
      <c r="CK556" s="2338"/>
      <c r="CL556" s="2338"/>
      <c r="CM556" s="2338"/>
      <c r="CN556" s="2338"/>
      <c r="CO556" s="2338"/>
      <c r="CP556" s="2338"/>
      <c r="CQ556" s="2338"/>
      <c r="CR556" s="2338"/>
      <c r="CS556" s="2338"/>
      <c r="CT556" s="2338"/>
      <c r="CU556" s="2338"/>
      <c r="CV556" s="2338"/>
      <c r="CW556" s="2338"/>
      <c r="CX556" s="2338"/>
      <c r="CY556" s="2338"/>
      <c r="CZ556" s="2338"/>
      <c r="DA556" s="2338"/>
      <c r="DB556" s="2338"/>
      <c r="DC556" s="2338"/>
      <c r="DD556" s="2338"/>
      <c r="DE556" s="2338"/>
      <c r="DF556" s="2338"/>
      <c r="DG556" s="2338"/>
      <c r="DH556" s="2338"/>
      <c r="DI556" s="2338"/>
      <c r="DJ556" s="2338"/>
      <c r="DK556" s="2338"/>
      <c r="DL556" s="2338"/>
      <c r="DM556" s="2338"/>
      <c r="DN556" s="2338"/>
      <c r="DO556" s="2338"/>
    </row>
    <row r="557" spans="26:119">
      <c r="Z557" s="2338"/>
      <c r="AA557" s="2338"/>
      <c r="AB557" s="2338"/>
      <c r="AC557" s="2338"/>
      <c r="AD557" s="2338"/>
      <c r="AE557" s="2338"/>
      <c r="AF557" s="2338"/>
      <c r="AG557" s="2338"/>
      <c r="AH557" s="2338"/>
      <c r="AI557" s="2338"/>
      <c r="AJ557" s="2338"/>
      <c r="AK557" s="2338"/>
      <c r="AL557" s="2338"/>
      <c r="AM557" s="2338"/>
      <c r="AN557" s="2338"/>
      <c r="AO557" s="2338"/>
      <c r="AP557" s="2338"/>
      <c r="AQ557" s="2338"/>
      <c r="AR557" s="2338"/>
      <c r="AS557" s="2338"/>
      <c r="AT557" s="2338"/>
      <c r="AU557" s="2338"/>
      <c r="AV557" s="2338"/>
      <c r="AW557" s="2338"/>
      <c r="AX557" s="2338"/>
      <c r="AY557" s="2338"/>
      <c r="AZ557" s="2338"/>
      <c r="BA557" s="2338"/>
      <c r="BB557" s="2338"/>
      <c r="BC557" s="2338"/>
      <c r="BD557" s="2338"/>
      <c r="BE557" s="2338"/>
      <c r="BF557" s="2338"/>
      <c r="BG557" s="2338"/>
      <c r="BH557" s="2338"/>
      <c r="BI557" s="2338"/>
      <c r="BJ557" s="2338"/>
      <c r="BK557" s="2338"/>
      <c r="BL557" s="2338"/>
      <c r="BM557" s="2338"/>
      <c r="BN557" s="2338"/>
      <c r="BO557" s="2338"/>
      <c r="BP557" s="2338"/>
      <c r="BQ557" s="2338"/>
      <c r="BR557" s="2338"/>
      <c r="BS557" s="2338"/>
      <c r="BT557" s="2338"/>
      <c r="BU557" s="2338"/>
      <c r="BV557" s="2338"/>
      <c r="BW557" s="2338"/>
      <c r="BX557" s="2338"/>
      <c r="BY557" s="2338"/>
      <c r="BZ557" s="2338"/>
      <c r="CA557" s="2338"/>
      <c r="CB557" s="2338"/>
      <c r="CC557" s="2338"/>
      <c r="CD557" s="2338"/>
      <c r="CE557" s="2338"/>
      <c r="CF557" s="2338"/>
      <c r="CG557" s="2338"/>
      <c r="CH557" s="2338"/>
      <c r="CI557" s="2338"/>
      <c r="CJ557" s="2338"/>
      <c r="CK557" s="2338"/>
      <c r="CL557" s="2338"/>
      <c r="CM557" s="2338"/>
      <c r="CN557" s="2338"/>
      <c r="CO557" s="2338"/>
      <c r="CP557" s="2338"/>
      <c r="CQ557" s="2338"/>
      <c r="CR557" s="2338"/>
      <c r="CS557" s="2338"/>
      <c r="CT557" s="2338"/>
      <c r="CU557" s="2338"/>
      <c r="CV557" s="2338"/>
      <c r="CW557" s="2338"/>
      <c r="CX557" s="2338"/>
      <c r="CY557" s="2338"/>
      <c r="CZ557" s="2338"/>
      <c r="DA557" s="2338"/>
      <c r="DB557" s="2338"/>
      <c r="DC557" s="2338"/>
      <c r="DD557" s="2338"/>
      <c r="DE557" s="2338"/>
      <c r="DF557" s="2338"/>
      <c r="DG557" s="2338"/>
      <c r="DH557" s="2338"/>
      <c r="DI557" s="2338"/>
      <c r="DJ557" s="2338"/>
      <c r="DK557" s="2338"/>
      <c r="DL557" s="2338"/>
      <c r="DM557" s="2338"/>
      <c r="DN557" s="2338"/>
      <c r="DO557" s="2338"/>
    </row>
    <row r="558" spans="26:119">
      <c r="Z558" s="2338"/>
      <c r="AA558" s="2338"/>
      <c r="AB558" s="2338"/>
      <c r="AC558" s="2338"/>
      <c r="AD558" s="2338"/>
      <c r="AE558" s="2338"/>
      <c r="AF558" s="2338"/>
      <c r="AG558" s="2338"/>
      <c r="AH558" s="2338"/>
      <c r="AI558" s="2338"/>
      <c r="AJ558" s="2338"/>
      <c r="AK558" s="2338"/>
      <c r="AL558" s="2338"/>
      <c r="AM558" s="2338"/>
      <c r="AN558" s="2338"/>
      <c r="AO558" s="2338"/>
      <c r="AP558" s="2338"/>
      <c r="AQ558" s="2338"/>
      <c r="AR558" s="2338"/>
      <c r="AS558" s="2338"/>
      <c r="AT558" s="2338"/>
      <c r="AU558" s="2338"/>
      <c r="AV558" s="2338"/>
      <c r="AW558" s="2338"/>
      <c r="AX558" s="2338"/>
      <c r="AY558" s="2338"/>
      <c r="AZ558" s="2338"/>
      <c r="BA558" s="2338"/>
      <c r="BB558" s="2338"/>
      <c r="BC558" s="2338"/>
      <c r="BD558" s="2338"/>
      <c r="BE558" s="2338"/>
      <c r="BF558" s="2338"/>
      <c r="BG558" s="2338"/>
      <c r="BH558" s="2338"/>
      <c r="BI558" s="2338"/>
      <c r="BJ558" s="2338"/>
      <c r="BK558" s="2338"/>
      <c r="BL558" s="2338"/>
      <c r="BM558" s="2338"/>
      <c r="BN558" s="2338"/>
      <c r="BO558" s="2338"/>
      <c r="BP558" s="2338"/>
      <c r="BQ558" s="2338"/>
      <c r="BR558" s="2338"/>
      <c r="BS558" s="2338"/>
      <c r="BT558" s="2338"/>
      <c r="BU558" s="2338"/>
      <c r="BV558" s="2338"/>
      <c r="BW558" s="2338"/>
      <c r="BX558" s="2338"/>
      <c r="BY558" s="2338"/>
      <c r="BZ558" s="2338"/>
      <c r="CA558" s="2338"/>
      <c r="CB558" s="2338"/>
      <c r="CC558" s="2338"/>
      <c r="CD558" s="2338"/>
      <c r="CE558" s="2338"/>
      <c r="CF558" s="2338"/>
      <c r="CG558" s="2338"/>
      <c r="CH558" s="2338"/>
      <c r="CI558" s="2338"/>
      <c r="CJ558" s="2338"/>
      <c r="CK558" s="2338"/>
      <c r="CL558" s="2338"/>
      <c r="CM558" s="2338"/>
      <c r="CN558" s="2338"/>
      <c r="CO558" s="2338"/>
      <c r="CP558" s="2338"/>
      <c r="CQ558" s="2338"/>
      <c r="CR558" s="2338"/>
      <c r="CS558" s="2338"/>
      <c r="CT558" s="2338"/>
      <c r="CU558" s="2338"/>
      <c r="CV558" s="2338"/>
      <c r="CW558" s="2338"/>
      <c r="CX558" s="2338"/>
      <c r="CY558" s="2338"/>
      <c r="CZ558" s="2338"/>
      <c r="DA558" s="2338"/>
      <c r="DB558" s="2338"/>
      <c r="DC558" s="2338"/>
      <c r="DD558" s="2338"/>
      <c r="DE558" s="2338"/>
      <c r="DF558" s="2338"/>
      <c r="DG558" s="2338"/>
      <c r="DH558" s="2338"/>
      <c r="DI558" s="2338"/>
      <c r="DJ558" s="2338"/>
      <c r="DK558" s="2338"/>
      <c r="DL558" s="2338"/>
      <c r="DM558" s="2338"/>
      <c r="DN558" s="2338"/>
      <c r="DO558" s="2338"/>
    </row>
    <row r="559" spans="26:119">
      <c r="Z559" s="2338"/>
      <c r="AA559" s="2338"/>
      <c r="AB559" s="2338"/>
      <c r="AC559" s="2338"/>
      <c r="AD559" s="2338"/>
      <c r="AE559" s="2338"/>
      <c r="AF559" s="2338"/>
      <c r="AG559" s="2338"/>
      <c r="AH559" s="2338"/>
      <c r="AI559" s="2338"/>
      <c r="AJ559" s="2338"/>
      <c r="AK559" s="2338"/>
      <c r="AL559" s="2338"/>
      <c r="AM559" s="2338"/>
      <c r="AN559" s="2338"/>
      <c r="AO559" s="2338"/>
      <c r="AP559" s="2338"/>
      <c r="AQ559" s="2338"/>
      <c r="AR559" s="2338"/>
      <c r="AS559" s="2338"/>
      <c r="AT559" s="2338"/>
      <c r="AU559" s="2338"/>
      <c r="AV559" s="2338"/>
      <c r="AW559" s="2338"/>
      <c r="AX559" s="2338"/>
      <c r="AY559" s="2338"/>
      <c r="AZ559" s="2338"/>
      <c r="BA559" s="2338"/>
      <c r="BB559" s="2338"/>
      <c r="BC559" s="2338"/>
      <c r="BD559" s="2338"/>
      <c r="BE559" s="2338"/>
      <c r="BF559" s="2338"/>
      <c r="BG559" s="2338"/>
      <c r="BH559" s="2338"/>
      <c r="BI559" s="2338"/>
      <c r="BJ559" s="2338"/>
      <c r="BK559" s="2338"/>
      <c r="BL559" s="2338"/>
      <c r="BM559" s="2338"/>
      <c r="BN559" s="2338"/>
      <c r="BO559" s="2338"/>
      <c r="BP559" s="2338"/>
      <c r="BQ559" s="2338"/>
      <c r="BR559" s="2338"/>
      <c r="BS559" s="2338"/>
      <c r="BT559" s="2338"/>
      <c r="BU559" s="2338"/>
      <c r="BV559" s="2338"/>
      <c r="BW559" s="2338"/>
      <c r="BX559" s="2338"/>
      <c r="BY559" s="2338"/>
      <c r="BZ559" s="2338"/>
      <c r="CA559" s="2338"/>
      <c r="CB559" s="2338"/>
      <c r="CC559" s="2338"/>
      <c r="CD559" s="2338"/>
      <c r="CE559" s="2338"/>
      <c r="CF559" s="2338"/>
      <c r="CG559" s="2338"/>
      <c r="CH559" s="2338"/>
      <c r="CI559" s="2338"/>
      <c r="CJ559" s="2338"/>
      <c r="CK559" s="2338"/>
      <c r="CL559" s="2338"/>
      <c r="CM559" s="2338"/>
      <c r="CN559" s="2338"/>
      <c r="CO559" s="2338"/>
      <c r="CP559" s="2338"/>
      <c r="CQ559" s="2338"/>
      <c r="CR559" s="2338"/>
      <c r="CS559" s="2338"/>
      <c r="CT559" s="2338"/>
      <c r="CU559" s="2338"/>
      <c r="CV559" s="2338"/>
      <c r="CW559" s="2338"/>
      <c r="CX559" s="2338"/>
      <c r="CY559" s="2338"/>
      <c r="CZ559" s="2338"/>
      <c r="DA559" s="2338"/>
      <c r="DB559" s="2338"/>
      <c r="DC559" s="2338"/>
      <c r="DD559" s="2338"/>
      <c r="DE559" s="2338"/>
      <c r="DF559" s="2338"/>
      <c r="DG559" s="2338"/>
      <c r="DH559" s="2338"/>
      <c r="DI559" s="2338"/>
      <c r="DJ559" s="2338"/>
      <c r="DK559" s="2338"/>
      <c r="DL559" s="2338"/>
      <c r="DM559" s="2338"/>
      <c r="DN559" s="2338"/>
      <c r="DO559" s="2338"/>
    </row>
    <row r="560" spans="26:119">
      <c r="Z560" s="2338"/>
      <c r="AA560" s="2338"/>
      <c r="AB560" s="2338"/>
      <c r="AC560" s="2338"/>
      <c r="AD560" s="2338"/>
      <c r="AE560" s="2338"/>
      <c r="AF560" s="2338"/>
      <c r="AG560" s="2338"/>
      <c r="AH560" s="2338"/>
      <c r="AI560" s="2338"/>
      <c r="AJ560" s="2338"/>
      <c r="AK560" s="2338"/>
      <c r="AL560" s="2338"/>
      <c r="AM560" s="2338"/>
      <c r="AN560" s="2338"/>
      <c r="AO560" s="2338"/>
      <c r="AP560" s="2338"/>
      <c r="AQ560" s="2338"/>
      <c r="AR560" s="2338"/>
      <c r="AS560" s="2338"/>
      <c r="AT560" s="2338"/>
      <c r="AU560" s="2338"/>
      <c r="AV560" s="2338"/>
      <c r="AW560" s="2338"/>
      <c r="AX560" s="2338"/>
      <c r="AY560" s="2338"/>
      <c r="AZ560" s="2338"/>
      <c r="BA560" s="2338"/>
      <c r="BB560" s="2338"/>
      <c r="BC560" s="2338"/>
      <c r="BD560" s="2338"/>
      <c r="BE560" s="2338"/>
      <c r="BF560" s="2338"/>
      <c r="BG560" s="2338"/>
      <c r="BH560" s="2338"/>
      <c r="BI560" s="2338"/>
      <c r="BJ560" s="2338"/>
      <c r="BK560" s="2338"/>
      <c r="BL560" s="2338"/>
      <c r="BM560" s="2338"/>
      <c r="BN560" s="2338"/>
      <c r="BO560" s="2338"/>
      <c r="BP560" s="2338"/>
      <c r="BQ560" s="2338"/>
      <c r="BR560" s="2338"/>
      <c r="BS560" s="2338"/>
      <c r="BT560" s="2338"/>
      <c r="BU560" s="2338"/>
      <c r="BV560" s="2338"/>
      <c r="BW560" s="2338"/>
      <c r="BX560" s="2338"/>
      <c r="BY560" s="2338"/>
      <c r="BZ560" s="2338"/>
      <c r="CA560" s="2338"/>
      <c r="CB560" s="2338"/>
      <c r="CC560" s="2338"/>
      <c r="CD560" s="2338"/>
      <c r="CE560" s="2338"/>
      <c r="CF560" s="2338"/>
      <c r="CG560" s="2338"/>
      <c r="CH560" s="2338"/>
      <c r="CI560" s="2338"/>
      <c r="CJ560" s="2338"/>
      <c r="CK560" s="2338"/>
      <c r="CL560" s="2338"/>
      <c r="CM560" s="2338"/>
      <c r="CN560" s="2338"/>
      <c r="CO560" s="2338"/>
      <c r="CP560" s="2338"/>
      <c r="CQ560" s="2338"/>
      <c r="CR560" s="2338"/>
      <c r="CS560" s="2338"/>
      <c r="CT560" s="2338"/>
      <c r="CU560" s="2338"/>
      <c r="CV560" s="2338"/>
      <c r="CW560" s="2338"/>
      <c r="CX560" s="2338"/>
      <c r="CY560" s="2338"/>
      <c r="CZ560" s="2338"/>
      <c r="DA560" s="2338"/>
      <c r="DB560" s="2338"/>
      <c r="DC560" s="2338"/>
      <c r="DD560" s="2338"/>
      <c r="DE560" s="2338"/>
      <c r="DF560" s="2338"/>
      <c r="DG560" s="2338"/>
      <c r="DH560" s="2338"/>
      <c r="DI560" s="2338"/>
      <c r="DJ560" s="2338"/>
      <c r="DK560" s="2338"/>
      <c r="DL560" s="2338"/>
      <c r="DM560" s="2338"/>
      <c r="DN560" s="2338"/>
      <c r="DO560" s="2338"/>
    </row>
    <row r="561" spans="26:119">
      <c r="Z561" s="2338"/>
      <c r="AA561" s="2338"/>
      <c r="AB561" s="2338"/>
      <c r="AC561" s="2338"/>
      <c r="AD561" s="2338"/>
      <c r="AE561" s="2338"/>
      <c r="AF561" s="2338"/>
      <c r="AG561" s="2338"/>
      <c r="AH561" s="2338"/>
      <c r="AI561" s="2338"/>
      <c r="AJ561" s="2338"/>
      <c r="AK561" s="2338"/>
      <c r="AL561" s="2338"/>
      <c r="AM561" s="2338"/>
      <c r="AN561" s="2338"/>
      <c r="AO561" s="2338"/>
      <c r="AP561" s="2338"/>
      <c r="AQ561" s="2338"/>
      <c r="AR561" s="2338"/>
      <c r="AS561" s="2338"/>
      <c r="AT561" s="2338"/>
      <c r="AU561" s="2338"/>
      <c r="AV561" s="2338"/>
      <c r="AW561" s="2338"/>
      <c r="AX561" s="2338"/>
      <c r="AY561" s="2338"/>
      <c r="AZ561" s="2338"/>
      <c r="BA561" s="2338"/>
      <c r="BB561" s="2338"/>
      <c r="BC561" s="2338"/>
      <c r="BD561" s="2338"/>
      <c r="BE561" s="2338"/>
      <c r="BF561" s="2338"/>
      <c r="BG561" s="2338"/>
      <c r="BH561" s="2338"/>
      <c r="BI561" s="2338"/>
      <c r="BJ561" s="2338"/>
      <c r="BK561" s="2338"/>
      <c r="BL561" s="2338"/>
      <c r="BM561" s="2338"/>
      <c r="BN561" s="2338"/>
      <c r="BO561" s="2338"/>
      <c r="BP561" s="2338"/>
      <c r="BQ561" s="2338"/>
      <c r="BR561" s="2338"/>
      <c r="BS561" s="2338"/>
      <c r="BT561" s="2338"/>
      <c r="BU561" s="2338"/>
      <c r="BV561" s="2338"/>
      <c r="BW561" s="2338"/>
      <c r="BX561" s="2338"/>
      <c r="BY561" s="2338"/>
      <c r="BZ561" s="2338"/>
      <c r="CA561" s="2338"/>
      <c r="CB561" s="2338"/>
      <c r="CC561" s="2338"/>
      <c r="CD561" s="2338"/>
      <c r="CE561" s="2338"/>
      <c r="CF561" s="2338"/>
      <c r="CG561" s="2338"/>
      <c r="CH561" s="2338"/>
      <c r="CI561" s="2338"/>
      <c r="CJ561" s="2338"/>
      <c r="CK561" s="2338"/>
      <c r="CL561" s="2338"/>
      <c r="CM561" s="2338"/>
      <c r="CN561" s="2338"/>
      <c r="CO561" s="2338"/>
      <c r="CP561" s="2338"/>
      <c r="CQ561" s="2338"/>
      <c r="CR561" s="2338"/>
      <c r="CS561" s="2338"/>
      <c r="CT561" s="2338"/>
      <c r="CU561" s="2338"/>
      <c r="CV561" s="2338"/>
      <c r="CW561" s="2338"/>
      <c r="CX561" s="2338"/>
      <c r="CY561" s="2338"/>
      <c r="CZ561" s="2338"/>
      <c r="DA561" s="2338"/>
      <c r="DB561" s="2338"/>
      <c r="DC561" s="2338"/>
      <c r="DD561" s="2338"/>
      <c r="DE561" s="2338"/>
      <c r="DF561" s="2338"/>
      <c r="DG561" s="2338"/>
      <c r="DH561" s="2338"/>
      <c r="DI561" s="2338"/>
      <c r="DJ561" s="2338"/>
      <c r="DK561" s="2338"/>
      <c r="DL561" s="2338"/>
      <c r="DM561" s="2338"/>
      <c r="DN561" s="2338"/>
      <c r="DO561" s="2338"/>
    </row>
    <row r="562" spans="26:119">
      <c r="Z562" s="2338"/>
      <c r="AA562" s="2338"/>
      <c r="AB562" s="2338"/>
      <c r="AC562" s="2338"/>
      <c r="AD562" s="2338"/>
      <c r="AE562" s="2338"/>
      <c r="AF562" s="2338"/>
      <c r="AG562" s="2338"/>
      <c r="AH562" s="2338"/>
      <c r="AI562" s="2338"/>
      <c r="AJ562" s="2338"/>
      <c r="AK562" s="2338"/>
      <c r="AL562" s="2338"/>
      <c r="AM562" s="2338"/>
      <c r="AN562" s="2338"/>
      <c r="AO562" s="2338"/>
      <c r="AP562" s="2338"/>
      <c r="AQ562" s="2338"/>
      <c r="AR562" s="2338"/>
      <c r="AS562" s="2338"/>
      <c r="AT562" s="2338"/>
      <c r="AU562" s="2338"/>
      <c r="AV562" s="2338"/>
      <c r="AW562" s="2338"/>
      <c r="AX562" s="2338"/>
      <c r="AY562" s="2338"/>
      <c r="AZ562" s="2338"/>
      <c r="BA562" s="2338"/>
      <c r="BB562" s="2338"/>
      <c r="BC562" s="2338"/>
      <c r="BD562" s="2338"/>
      <c r="BE562" s="2338"/>
      <c r="BF562" s="2338"/>
      <c r="BG562" s="2338"/>
      <c r="BH562" s="2338"/>
      <c r="BI562" s="2338"/>
      <c r="BJ562" s="2338"/>
      <c r="BK562" s="2338"/>
      <c r="BL562" s="2338"/>
      <c r="BM562" s="2338"/>
      <c r="BN562" s="2338"/>
      <c r="BO562" s="2338"/>
      <c r="BP562" s="2338"/>
      <c r="BQ562" s="2338"/>
      <c r="BR562" s="2338"/>
      <c r="BS562" s="2338"/>
      <c r="BT562" s="2338"/>
      <c r="BU562" s="2338"/>
      <c r="BV562" s="2338"/>
      <c r="BW562" s="2338"/>
      <c r="BX562" s="2338"/>
      <c r="BY562" s="2338"/>
      <c r="BZ562" s="2338"/>
      <c r="CA562" s="2338"/>
      <c r="CB562" s="2338"/>
      <c r="CC562" s="2338"/>
      <c r="CD562" s="2338"/>
      <c r="CE562" s="2338"/>
      <c r="CF562" s="2338"/>
      <c r="CG562" s="2338"/>
      <c r="CH562" s="2338"/>
      <c r="CI562" s="2338"/>
      <c r="CJ562" s="2338"/>
      <c r="CK562" s="2338"/>
      <c r="CL562" s="2338"/>
      <c r="CM562" s="2338"/>
      <c r="CN562" s="2338"/>
      <c r="CO562" s="2338"/>
      <c r="CP562" s="2338"/>
      <c r="CQ562" s="2338"/>
      <c r="CR562" s="2338"/>
      <c r="CS562" s="2338"/>
      <c r="CT562" s="2338"/>
      <c r="CU562" s="2338"/>
      <c r="CV562" s="2338"/>
      <c r="CW562" s="2338"/>
      <c r="CX562" s="2338"/>
      <c r="CY562" s="2338"/>
      <c r="CZ562" s="2338"/>
      <c r="DA562" s="2338"/>
      <c r="DB562" s="2338"/>
      <c r="DC562" s="2338"/>
      <c r="DD562" s="2338"/>
      <c r="DE562" s="2338"/>
      <c r="DF562" s="2338"/>
      <c r="DG562" s="2338"/>
      <c r="DH562" s="2338"/>
      <c r="DI562" s="2338"/>
      <c r="DJ562" s="2338"/>
      <c r="DK562" s="2338"/>
      <c r="DL562" s="2338"/>
      <c r="DM562" s="2338"/>
      <c r="DN562" s="2338"/>
      <c r="DO562" s="2338"/>
    </row>
    <row r="563" spans="26:119">
      <c r="Z563" s="2338"/>
      <c r="AA563" s="2338"/>
      <c r="AB563" s="2338"/>
      <c r="AC563" s="2338"/>
      <c r="AD563" s="2338"/>
      <c r="AE563" s="2338"/>
      <c r="AF563" s="2338"/>
      <c r="AG563" s="2338"/>
      <c r="AH563" s="2338"/>
      <c r="AI563" s="2338"/>
      <c r="AJ563" s="2338"/>
      <c r="AK563" s="2338"/>
      <c r="AL563" s="2338"/>
      <c r="AM563" s="2338"/>
      <c r="AN563" s="2338"/>
      <c r="AO563" s="2338"/>
      <c r="AP563" s="2338"/>
      <c r="AQ563" s="2338"/>
      <c r="AR563" s="2338"/>
      <c r="AS563" s="2338"/>
      <c r="AT563" s="2338"/>
      <c r="AU563" s="2338"/>
      <c r="AV563" s="2338"/>
      <c r="AW563" s="2338"/>
      <c r="AX563" s="2338"/>
      <c r="AY563" s="2338"/>
      <c r="AZ563" s="2338"/>
      <c r="BA563" s="2338"/>
      <c r="BB563" s="2338"/>
      <c r="BC563" s="2338"/>
      <c r="BD563" s="2338"/>
      <c r="BE563" s="2338"/>
      <c r="BF563" s="2338"/>
      <c r="BG563" s="2338"/>
      <c r="BH563" s="2338"/>
      <c r="BI563" s="2338"/>
      <c r="BJ563" s="2338"/>
      <c r="BK563" s="2338"/>
      <c r="BL563" s="2338"/>
      <c r="BM563" s="2338"/>
      <c r="BN563" s="2338"/>
      <c r="BO563" s="2338"/>
      <c r="BP563" s="2338"/>
      <c r="BQ563" s="2338"/>
      <c r="BR563" s="2338"/>
      <c r="BS563" s="2338"/>
      <c r="BT563" s="2338"/>
      <c r="BU563" s="2338"/>
      <c r="BV563" s="2338"/>
      <c r="BW563" s="2338"/>
      <c r="BX563" s="2338"/>
      <c r="BY563" s="2338"/>
      <c r="BZ563" s="2338"/>
      <c r="CA563" s="2338"/>
      <c r="CB563" s="2338"/>
      <c r="CC563" s="2338"/>
      <c r="CD563" s="2338"/>
      <c r="CE563" s="2338"/>
      <c r="CF563" s="2338"/>
      <c r="CG563" s="2338"/>
      <c r="CH563" s="2338"/>
      <c r="CI563" s="2338"/>
      <c r="CJ563" s="2338"/>
      <c r="CK563" s="2338"/>
      <c r="CL563" s="2338"/>
      <c r="CM563" s="2338"/>
      <c r="CN563" s="2338"/>
      <c r="CO563" s="2338"/>
      <c r="CP563" s="2338"/>
      <c r="CQ563" s="2338"/>
      <c r="CR563" s="2338"/>
      <c r="CS563" s="2338"/>
      <c r="CT563" s="2338"/>
      <c r="CU563" s="2338"/>
      <c r="CV563" s="2338"/>
      <c r="CW563" s="2338"/>
      <c r="CX563" s="2338"/>
      <c r="CY563" s="2338"/>
      <c r="CZ563" s="2338"/>
      <c r="DA563" s="2338"/>
      <c r="DB563" s="2338"/>
      <c r="DC563" s="2338"/>
      <c r="DD563" s="2338"/>
      <c r="DE563" s="2338"/>
      <c r="DF563" s="2338"/>
      <c r="DG563" s="2338"/>
      <c r="DH563" s="2338"/>
      <c r="DI563" s="2338"/>
      <c r="DJ563" s="2338"/>
      <c r="DK563" s="2338"/>
      <c r="DL563" s="2338"/>
      <c r="DM563" s="2338"/>
      <c r="DN563" s="2338"/>
      <c r="DO563" s="2338"/>
    </row>
    <row r="564" spans="26:119">
      <c r="Z564" s="2338"/>
      <c r="AA564" s="2338"/>
      <c r="AB564" s="2338"/>
      <c r="AC564" s="2338"/>
      <c r="AD564" s="2338"/>
      <c r="AE564" s="2338"/>
      <c r="AF564" s="2338"/>
      <c r="AG564" s="2338"/>
      <c r="AH564" s="2338"/>
      <c r="AI564" s="2338"/>
      <c r="AJ564" s="2338"/>
      <c r="AK564" s="2338"/>
      <c r="AL564" s="2338"/>
      <c r="AM564" s="2338"/>
      <c r="AN564" s="2338"/>
      <c r="AO564" s="2338"/>
      <c r="AP564" s="2338"/>
      <c r="AQ564" s="2338"/>
      <c r="AR564" s="2338"/>
      <c r="AS564" s="2338"/>
      <c r="AT564" s="2338"/>
      <c r="AU564" s="2338"/>
      <c r="AV564" s="2338"/>
      <c r="AW564" s="2338"/>
      <c r="AX564" s="2338"/>
      <c r="AY564" s="2338"/>
      <c r="AZ564" s="2338"/>
      <c r="BA564" s="2338"/>
      <c r="BB564" s="2338"/>
      <c r="BC564" s="2338"/>
      <c r="BD564" s="2338"/>
      <c r="BE564" s="2338"/>
      <c r="BF564" s="2338"/>
      <c r="BG564" s="2338"/>
      <c r="BH564" s="2338"/>
      <c r="BI564" s="2338"/>
      <c r="BJ564" s="2338"/>
      <c r="BK564" s="2338"/>
      <c r="BL564" s="2338"/>
      <c r="BM564" s="2338"/>
      <c r="BN564" s="2338"/>
      <c r="BO564" s="2338"/>
      <c r="BP564" s="2338"/>
      <c r="BQ564" s="2338"/>
      <c r="BR564" s="2338"/>
      <c r="BS564" s="2338"/>
      <c r="BT564" s="2338"/>
      <c r="BU564" s="2338"/>
      <c r="BV564" s="2338"/>
      <c r="BW564" s="2338"/>
      <c r="BX564" s="2338"/>
      <c r="BY564" s="2338"/>
      <c r="BZ564" s="2338"/>
      <c r="CA564" s="2338"/>
      <c r="CB564" s="2338"/>
      <c r="CC564" s="2338"/>
      <c r="CD564" s="2338"/>
      <c r="CE564" s="2338"/>
      <c r="CF564" s="2338"/>
      <c r="CG564" s="2338"/>
      <c r="CH564" s="2338"/>
      <c r="CI564" s="2338"/>
      <c r="CJ564" s="2338"/>
      <c r="CK564" s="2338"/>
      <c r="CL564" s="2338"/>
      <c r="CM564" s="2338"/>
      <c r="CN564" s="2338"/>
      <c r="CO564" s="2338"/>
      <c r="CP564" s="2338"/>
      <c r="CQ564" s="2338"/>
      <c r="CR564" s="2338"/>
      <c r="CS564" s="2338"/>
      <c r="CT564" s="2338"/>
      <c r="CU564" s="2338"/>
      <c r="CV564" s="2338"/>
      <c r="CW564" s="2338"/>
      <c r="CX564" s="2338"/>
      <c r="CY564" s="2338"/>
      <c r="CZ564" s="2338"/>
      <c r="DA564" s="2338"/>
      <c r="DB564" s="2338"/>
      <c r="DC564" s="2338"/>
      <c r="DD564" s="2338"/>
      <c r="DE564" s="2338"/>
      <c r="DF564" s="2338"/>
      <c r="DG564" s="2338"/>
      <c r="DH564" s="2338"/>
      <c r="DI564" s="2338"/>
      <c r="DJ564" s="2338"/>
      <c r="DK564" s="2338"/>
      <c r="DL564" s="2338"/>
      <c r="DM564" s="2338"/>
      <c r="DN564" s="2338"/>
      <c r="DO564" s="2338"/>
    </row>
    <row r="565" spans="26:119">
      <c r="Z565" s="2338"/>
      <c r="AA565" s="2338"/>
      <c r="AB565" s="2338"/>
      <c r="AC565" s="2338"/>
      <c r="AD565" s="2338"/>
      <c r="AE565" s="2338"/>
      <c r="AF565" s="2338"/>
      <c r="AG565" s="2338"/>
      <c r="AH565" s="2338"/>
      <c r="AI565" s="2338"/>
      <c r="AJ565" s="2338"/>
      <c r="AK565" s="2338"/>
      <c r="AL565" s="2338"/>
      <c r="AM565" s="2338"/>
      <c r="AN565" s="2338"/>
      <c r="AO565" s="2338"/>
      <c r="AP565" s="2338"/>
      <c r="AQ565" s="2338"/>
      <c r="AR565" s="2338"/>
      <c r="AS565" s="2338"/>
      <c r="AT565" s="2338"/>
      <c r="AU565" s="2338"/>
      <c r="AV565" s="2338"/>
      <c r="AW565" s="2338"/>
      <c r="AX565" s="2338"/>
      <c r="AY565" s="2338"/>
      <c r="AZ565" s="2338"/>
      <c r="BA565" s="2338"/>
      <c r="BB565" s="2338"/>
      <c r="BC565" s="2338"/>
      <c r="BD565" s="2338"/>
      <c r="BE565" s="2338"/>
      <c r="BF565" s="2338"/>
      <c r="BG565" s="2338"/>
      <c r="BH565" s="2338"/>
      <c r="BI565" s="2338"/>
      <c r="BJ565" s="2338"/>
      <c r="BK565" s="2338"/>
      <c r="BL565" s="2338"/>
      <c r="BM565" s="2338"/>
      <c r="BN565" s="2338"/>
      <c r="BO565" s="2338"/>
      <c r="BP565" s="2338"/>
      <c r="BQ565" s="2338"/>
      <c r="BR565" s="2338"/>
      <c r="BS565" s="2338"/>
      <c r="BT565" s="2338"/>
      <c r="BU565" s="2338"/>
      <c r="BV565" s="2338"/>
      <c r="BW565" s="2338"/>
      <c r="BX565" s="2338"/>
      <c r="BY565" s="2338"/>
      <c r="BZ565" s="2338"/>
      <c r="CA565" s="2338"/>
      <c r="CB565" s="2338"/>
      <c r="CC565" s="2338"/>
      <c r="CD565" s="2338"/>
      <c r="CE565" s="2338"/>
      <c r="CF565" s="2338"/>
      <c r="CG565" s="2338"/>
      <c r="CH565" s="2338"/>
      <c r="CI565" s="2338"/>
      <c r="CJ565" s="2338"/>
      <c r="CK565" s="2338"/>
      <c r="CL565" s="2338"/>
      <c r="CM565" s="2338"/>
      <c r="CN565" s="2338"/>
      <c r="CO565" s="2338"/>
      <c r="CP565" s="2338"/>
      <c r="CQ565" s="2338"/>
      <c r="CR565" s="2338"/>
      <c r="CS565" s="2338"/>
      <c r="CT565" s="2338"/>
      <c r="CU565" s="2338"/>
      <c r="CV565" s="2338"/>
      <c r="CW565" s="2338"/>
      <c r="CX565" s="2338"/>
      <c r="CY565" s="2338"/>
      <c r="CZ565" s="2338"/>
      <c r="DA565" s="2338"/>
      <c r="DB565" s="2338"/>
      <c r="DC565" s="2338"/>
      <c r="DD565" s="2338"/>
      <c r="DE565" s="2338"/>
      <c r="DF565" s="2338"/>
      <c r="DG565" s="2338"/>
      <c r="DH565" s="2338"/>
      <c r="DI565" s="2338"/>
      <c r="DJ565" s="2338"/>
      <c r="DK565" s="2338"/>
      <c r="DL565" s="2338"/>
      <c r="DM565" s="2338"/>
      <c r="DN565" s="2338"/>
      <c r="DO565" s="2338"/>
    </row>
    <row r="566" spans="26:119">
      <c r="Z566" s="2338"/>
      <c r="AA566" s="2338"/>
      <c r="AB566" s="2338"/>
      <c r="AC566" s="2338"/>
      <c r="AD566" s="2338"/>
      <c r="AE566" s="2338"/>
      <c r="AF566" s="2338"/>
      <c r="AG566" s="2338"/>
      <c r="AH566" s="2338"/>
      <c r="AI566" s="2338"/>
      <c r="AJ566" s="2338"/>
      <c r="AK566" s="2338"/>
      <c r="AL566" s="2338"/>
      <c r="AM566" s="2338"/>
      <c r="AN566" s="2338"/>
      <c r="AO566" s="2338"/>
      <c r="AP566" s="2338"/>
      <c r="AQ566" s="2338"/>
      <c r="AR566" s="2338"/>
      <c r="AS566" s="2338"/>
      <c r="AT566" s="2338"/>
      <c r="AU566" s="2338"/>
      <c r="AV566" s="2338"/>
      <c r="AW566" s="2338"/>
      <c r="AX566" s="2338"/>
      <c r="AY566" s="2338"/>
      <c r="AZ566" s="2338"/>
      <c r="BA566" s="2338"/>
      <c r="BB566" s="2338"/>
      <c r="BC566" s="2338"/>
      <c r="BD566" s="2338"/>
      <c r="BE566" s="2338"/>
      <c r="BF566" s="2338"/>
      <c r="BG566" s="2338"/>
      <c r="BH566" s="2338"/>
      <c r="BI566" s="2338"/>
      <c r="BJ566" s="2338"/>
      <c r="BK566" s="2338"/>
      <c r="BL566" s="2338"/>
      <c r="BM566" s="2338"/>
      <c r="BN566" s="2338"/>
      <c r="BO566" s="2338"/>
      <c r="BP566" s="2338"/>
      <c r="BQ566" s="2338"/>
      <c r="BR566" s="2338"/>
      <c r="BS566" s="2338"/>
      <c r="BT566" s="2338"/>
      <c r="BU566" s="2338"/>
      <c r="BV566" s="2338"/>
      <c r="BW566" s="2338"/>
      <c r="BX566" s="2338"/>
      <c r="BY566" s="2338"/>
      <c r="BZ566" s="2338"/>
      <c r="CA566" s="2338"/>
      <c r="CB566" s="2338"/>
      <c r="CC566" s="2338"/>
      <c r="CD566" s="2338"/>
      <c r="CE566" s="2338"/>
      <c r="CF566" s="2338"/>
      <c r="CG566" s="2338"/>
      <c r="CH566" s="2338"/>
      <c r="CI566" s="2338"/>
      <c r="CJ566" s="2338"/>
      <c r="CK566" s="2338"/>
      <c r="CL566" s="2338"/>
      <c r="CM566" s="2338"/>
      <c r="CN566" s="2338"/>
      <c r="CO566" s="2338"/>
      <c r="CP566" s="2338"/>
      <c r="CQ566" s="2338"/>
      <c r="CR566" s="2338"/>
      <c r="CS566" s="2338"/>
      <c r="CT566" s="2338"/>
      <c r="CU566" s="2338"/>
      <c r="CV566" s="2338"/>
      <c r="CW566" s="2338"/>
      <c r="CX566" s="2338"/>
      <c r="CY566" s="2338"/>
      <c r="CZ566" s="2338"/>
      <c r="DA566" s="2338"/>
      <c r="DB566" s="2338"/>
      <c r="DC566" s="2338"/>
      <c r="DD566" s="2338"/>
      <c r="DE566" s="2338"/>
      <c r="DF566" s="2338"/>
      <c r="DG566" s="2338"/>
      <c r="DH566" s="2338"/>
      <c r="DI566" s="2338"/>
      <c r="DJ566" s="2338"/>
      <c r="DK566" s="2338"/>
      <c r="DL566" s="2338"/>
      <c r="DM566" s="2338"/>
      <c r="DN566" s="2338"/>
      <c r="DO566" s="2338"/>
    </row>
    <row r="567" spans="26:119">
      <c r="Z567" s="2338"/>
      <c r="AA567" s="2338"/>
      <c r="AB567" s="2338"/>
      <c r="AC567" s="2338"/>
      <c r="AD567" s="2338"/>
      <c r="AE567" s="2338"/>
      <c r="AF567" s="2338"/>
      <c r="AG567" s="2338"/>
      <c r="AH567" s="2338"/>
      <c r="AI567" s="2338"/>
      <c r="AJ567" s="2338"/>
      <c r="AK567" s="2338"/>
      <c r="AL567" s="2338"/>
      <c r="AM567" s="2338"/>
      <c r="AN567" s="2338"/>
      <c r="AO567" s="2338"/>
      <c r="AP567" s="2338"/>
      <c r="AQ567" s="2338"/>
      <c r="AR567" s="2338"/>
      <c r="AS567" s="2338"/>
      <c r="AT567" s="2338"/>
      <c r="AU567" s="2338"/>
      <c r="AV567" s="2338"/>
      <c r="AW567" s="2338"/>
      <c r="AX567" s="2338"/>
      <c r="AY567" s="2338"/>
      <c r="AZ567" s="2338"/>
      <c r="BA567" s="2338"/>
      <c r="BB567" s="2338"/>
      <c r="BC567" s="2338"/>
      <c r="BD567" s="2338"/>
      <c r="BE567" s="2338"/>
      <c r="BF567" s="2338"/>
      <c r="BG567" s="2338"/>
      <c r="BH567" s="2338"/>
      <c r="BI567" s="2338"/>
      <c r="BJ567" s="2338"/>
      <c r="BK567" s="2338"/>
      <c r="BL567" s="2338"/>
      <c r="BM567" s="2338"/>
      <c r="BN567" s="2338"/>
      <c r="BO567" s="2338"/>
      <c r="BP567" s="2338"/>
      <c r="BQ567" s="2338"/>
      <c r="BR567" s="2338"/>
      <c r="BS567" s="2338"/>
      <c r="BT567" s="2338"/>
      <c r="BU567" s="2338"/>
      <c r="BV567" s="2338"/>
      <c r="BW567" s="2338"/>
      <c r="BX567" s="2338"/>
      <c r="BY567" s="2338"/>
      <c r="BZ567" s="2338"/>
      <c r="CA567" s="2338"/>
      <c r="CB567" s="2338"/>
      <c r="CC567" s="2338"/>
      <c r="CD567" s="2338"/>
      <c r="CE567" s="2338"/>
      <c r="CF567" s="2338"/>
      <c r="CG567" s="2338"/>
      <c r="CH567" s="2338"/>
      <c r="CI567" s="2338"/>
      <c r="CJ567" s="2338"/>
      <c r="CK567" s="2338"/>
      <c r="CL567" s="2338"/>
      <c r="CM567" s="2338"/>
      <c r="CN567" s="2338"/>
      <c r="CO567" s="2338"/>
      <c r="CP567" s="2338"/>
      <c r="CQ567" s="2338"/>
      <c r="CR567" s="2338"/>
      <c r="CS567" s="2338"/>
      <c r="CT567" s="2338"/>
      <c r="CU567" s="2338"/>
      <c r="CV567" s="2338"/>
      <c r="CW567" s="2338"/>
      <c r="CX567" s="2338"/>
      <c r="CY567" s="2338"/>
      <c r="CZ567" s="2338"/>
      <c r="DA567" s="2338"/>
      <c r="DB567" s="2338"/>
      <c r="DC567" s="2338"/>
      <c r="DD567" s="2338"/>
      <c r="DE567" s="2338"/>
      <c r="DF567" s="2338"/>
      <c r="DG567" s="2338"/>
      <c r="DH567" s="2338"/>
      <c r="DI567" s="2338"/>
      <c r="DJ567" s="2338"/>
      <c r="DK567" s="2338"/>
      <c r="DL567" s="2338"/>
      <c r="DM567" s="2338"/>
      <c r="DN567" s="2338"/>
      <c r="DO567" s="2338"/>
    </row>
    <row r="568" spans="26:119">
      <c r="Z568" s="2338"/>
      <c r="AA568" s="2338"/>
      <c r="AB568" s="2338"/>
      <c r="AC568" s="2338"/>
      <c r="AD568" s="2338"/>
      <c r="AE568" s="2338"/>
      <c r="AF568" s="2338"/>
      <c r="AG568" s="2338"/>
      <c r="AH568" s="2338"/>
      <c r="AI568" s="2338"/>
      <c r="AJ568" s="2338"/>
      <c r="AK568" s="2338"/>
      <c r="AL568" s="2338"/>
      <c r="AM568" s="2338"/>
      <c r="AN568" s="2338"/>
      <c r="AO568" s="2338"/>
      <c r="AP568" s="2338"/>
      <c r="AQ568" s="2338"/>
      <c r="AR568" s="2338"/>
      <c r="AS568" s="2338"/>
      <c r="AT568" s="2338"/>
      <c r="AU568" s="2338"/>
      <c r="AV568" s="2338"/>
      <c r="AW568" s="2338"/>
      <c r="AX568" s="2338"/>
      <c r="AY568" s="2338"/>
      <c r="AZ568" s="2338"/>
      <c r="BA568" s="2338"/>
      <c r="BB568" s="2338"/>
      <c r="BC568" s="2338"/>
      <c r="BD568" s="2338"/>
      <c r="BE568" s="2338"/>
      <c r="BF568" s="2338"/>
      <c r="BG568" s="2338"/>
      <c r="BH568" s="2338"/>
      <c r="BI568" s="2338"/>
      <c r="BJ568" s="2338"/>
      <c r="BK568" s="2338"/>
      <c r="BL568" s="2338"/>
      <c r="BM568" s="2338"/>
      <c r="BN568" s="2338"/>
      <c r="BO568" s="2338"/>
      <c r="BP568" s="2338"/>
      <c r="BQ568" s="2338"/>
      <c r="BR568" s="2338"/>
      <c r="BS568" s="2338"/>
      <c r="BT568" s="2338"/>
      <c r="BU568" s="2338"/>
      <c r="BV568" s="2338"/>
      <c r="BW568" s="2338"/>
      <c r="BX568" s="2338"/>
      <c r="BY568" s="2338"/>
      <c r="BZ568" s="2338"/>
      <c r="CA568" s="2338"/>
      <c r="CB568" s="2338"/>
      <c r="CC568" s="2338"/>
      <c r="CD568" s="2338"/>
      <c r="CE568" s="2338"/>
      <c r="CF568" s="2338"/>
      <c r="CG568" s="2338"/>
      <c r="CH568" s="2338"/>
      <c r="CI568" s="2338"/>
      <c r="CJ568" s="2338"/>
      <c r="CK568" s="2338"/>
      <c r="CL568" s="2338"/>
      <c r="CM568" s="2338"/>
      <c r="CN568" s="2338"/>
      <c r="CO568" s="2338"/>
      <c r="CP568" s="2338"/>
      <c r="CQ568" s="2338"/>
      <c r="CR568" s="2338"/>
      <c r="CS568" s="2338"/>
      <c r="CT568" s="2338"/>
      <c r="CU568" s="2338"/>
      <c r="CV568" s="2338"/>
      <c r="CW568" s="2338"/>
      <c r="CX568" s="2338"/>
      <c r="CY568" s="2338"/>
      <c r="CZ568" s="2338"/>
      <c r="DA568" s="2338"/>
      <c r="DB568" s="2338"/>
      <c r="DC568" s="2338"/>
      <c r="DD568" s="2338"/>
      <c r="DE568" s="2338"/>
      <c r="DF568" s="2338"/>
      <c r="DG568" s="2338"/>
      <c r="DH568" s="2338"/>
      <c r="DI568" s="2338"/>
      <c r="DJ568" s="2338"/>
      <c r="DK568" s="2338"/>
      <c r="DL568" s="2338"/>
      <c r="DM568" s="2338"/>
      <c r="DN568" s="2338"/>
      <c r="DO568" s="2338"/>
    </row>
    <row r="569" spans="26:119">
      <c r="Z569" s="2338"/>
      <c r="AA569" s="2338"/>
      <c r="AB569" s="2338"/>
      <c r="AC569" s="2338"/>
      <c r="AD569" s="2338"/>
      <c r="AE569" s="2338"/>
      <c r="AF569" s="2338"/>
      <c r="AG569" s="2338"/>
      <c r="AH569" s="2338"/>
      <c r="AI569" s="2338"/>
      <c r="AJ569" s="2338"/>
      <c r="AK569" s="2338"/>
      <c r="AL569" s="2338"/>
      <c r="AM569" s="2338"/>
      <c r="AN569" s="2338"/>
      <c r="AO569" s="2338"/>
      <c r="AP569" s="2338"/>
      <c r="AQ569" s="2338"/>
      <c r="AR569" s="2338"/>
      <c r="AS569" s="2338"/>
      <c r="AT569" s="2338"/>
      <c r="AU569" s="2338"/>
      <c r="AV569" s="2338"/>
      <c r="AW569" s="2338"/>
      <c r="AX569" s="2338"/>
      <c r="AY569" s="2338"/>
      <c r="AZ569" s="2338"/>
      <c r="BA569" s="2338"/>
      <c r="BB569" s="2338"/>
      <c r="BC569" s="2338"/>
      <c r="BD569" s="2338"/>
      <c r="BE569" s="2338"/>
      <c r="BF569" s="2338"/>
      <c r="BG569" s="2338"/>
      <c r="BH569" s="2338"/>
      <c r="BI569" s="2338"/>
      <c r="BJ569" s="2338"/>
      <c r="BK569" s="2338"/>
      <c r="BL569" s="2338"/>
      <c r="BM569" s="2338"/>
      <c r="BN569" s="2338"/>
      <c r="BO569" s="2338"/>
      <c r="BP569" s="2338"/>
      <c r="BQ569" s="2338"/>
      <c r="BR569" s="2338"/>
      <c r="BS569" s="2338"/>
      <c r="BT569" s="2338"/>
      <c r="BU569" s="2338"/>
      <c r="BV569" s="2338"/>
      <c r="BW569" s="2338"/>
      <c r="BX569" s="2338"/>
      <c r="BY569" s="2338"/>
      <c r="BZ569" s="2338"/>
      <c r="CA569" s="2338"/>
      <c r="CB569" s="2338"/>
      <c r="CC569" s="2338"/>
      <c r="CD569" s="2338"/>
      <c r="CE569" s="2338"/>
      <c r="CF569" s="2338"/>
      <c r="CG569" s="2338"/>
      <c r="CH569" s="2338"/>
      <c r="CI569" s="2338"/>
      <c r="CJ569" s="2338"/>
      <c r="CK569" s="2338"/>
      <c r="CL569" s="2338"/>
      <c r="CM569" s="2338"/>
      <c r="CN569" s="2338"/>
      <c r="CO569" s="2338"/>
      <c r="CP569" s="2338"/>
      <c r="CQ569" s="2338"/>
      <c r="CR569" s="2338"/>
      <c r="CS569" s="2338"/>
      <c r="CT569" s="2338"/>
      <c r="CU569" s="2338"/>
      <c r="CV569" s="2338"/>
      <c r="CW569" s="2338"/>
      <c r="CX569" s="2338"/>
      <c r="CY569" s="2338"/>
      <c r="CZ569" s="2338"/>
      <c r="DA569" s="2338"/>
      <c r="DB569" s="2338"/>
      <c r="DC569" s="2338"/>
      <c r="DD569" s="2338"/>
      <c r="DE569" s="2338"/>
      <c r="DF569" s="2338"/>
      <c r="DG569" s="2338"/>
      <c r="DH569" s="2338"/>
      <c r="DI569" s="2338"/>
      <c r="DJ569" s="2338"/>
      <c r="DK569" s="2338"/>
      <c r="DL569" s="2338"/>
      <c r="DM569" s="2338"/>
      <c r="DN569" s="2338"/>
      <c r="DO569" s="2338"/>
    </row>
    <row r="570" spans="26:119">
      <c r="Z570" s="2338"/>
      <c r="AA570" s="2338"/>
      <c r="AB570" s="2338"/>
      <c r="AC570" s="2338"/>
      <c r="AD570" s="2338"/>
      <c r="AE570" s="2338"/>
      <c r="AF570" s="2338"/>
      <c r="AG570" s="2338"/>
      <c r="AH570" s="2338"/>
      <c r="AI570" s="2338"/>
      <c r="AJ570" s="2338"/>
      <c r="AK570" s="2338"/>
      <c r="AL570" s="2338"/>
      <c r="AM570" s="2338"/>
      <c r="AN570" s="2338"/>
      <c r="AO570" s="2338"/>
      <c r="AP570" s="2338"/>
      <c r="AQ570" s="2338"/>
      <c r="AR570" s="2338"/>
      <c r="AS570" s="2338"/>
      <c r="AT570" s="2338"/>
      <c r="AU570" s="2338"/>
      <c r="AV570" s="2338"/>
      <c r="AW570" s="2338"/>
      <c r="AX570" s="2338"/>
      <c r="AY570" s="2338"/>
      <c r="AZ570" s="2338"/>
      <c r="BA570" s="2338"/>
      <c r="BB570" s="2338"/>
      <c r="BC570" s="2338"/>
      <c r="BD570" s="2338"/>
      <c r="BE570" s="2338"/>
      <c r="BF570" s="2338"/>
      <c r="BG570" s="2338"/>
      <c r="BH570" s="2338"/>
      <c r="BI570" s="2338"/>
      <c r="BJ570" s="2338"/>
      <c r="BK570" s="2338"/>
      <c r="BL570" s="2338"/>
      <c r="BM570" s="2338"/>
      <c r="BN570" s="2338"/>
      <c r="BO570" s="2338"/>
      <c r="BP570" s="2338"/>
      <c r="BQ570" s="2338"/>
      <c r="BR570" s="2338"/>
      <c r="BS570" s="2338"/>
      <c r="BT570" s="2338"/>
      <c r="BU570" s="2338"/>
      <c r="BV570" s="2338"/>
      <c r="BW570" s="2338"/>
      <c r="BX570" s="2338"/>
      <c r="BY570" s="2338"/>
      <c r="BZ570" s="2338"/>
      <c r="CA570" s="2338"/>
      <c r="CB570" s="2338"/>
      <c r="CC570" s="2338"/>
      <c r="CD570" s="2338"/>
      <c r="CE570" s="2338"/>
      <c r="CF570" s="2338"/>
      <c r="CG570" s="2338"/>
      <c r="CH570" s="2338"/>
      <c r="CI570" s="2338"/>
      <c r="CJ570" s="2338"/>
      <c r="CK570" s="2338"/>
      <c r="CL570" s="2338"/>
      <c r="CM570" s="2338"/>
      <c r="CN570" s="2338"/>
      <c r="CO570" s="2338"/>
      <c r="CP570" s="2338"/>
      <c r="CQ570" s="2338"/>
      <c r="CR570" s="2338"/>
      <c r="CS570" s="2338"/>
      <c r="CT570" s="2338"/>
      <c r="CU570" s="2338"/>
      <c r="CV570" s="2338"/>
      <c r="CW570" s="2338"/>
      <c r="CX570" s="2338"/>
      <c r="CY570" s="2338"/>
      <c r="CZ570" s="2338"/>
      <c r="DA570" s="2338"/>
      <c r="DB570" s="2338"/>
      <c r="DC570" s="2338"/>
      <c r="DD570" s="2338"/>
      <c r="DE570" s="2338"/>
      <c r="DF570" s="2338"/>
      <c r="DG570" s="2338"/>
      <c r="DH570" s="2338"/>
      <c r="DI570" s="2338"/>
      <c r="DJ570" s="2338"/>
      <c r="DK570" s="2338"/>
      <c r="DL570" s="2338"/>
      <c r="DM570" s="2338"/>
      <c r="DN570" s="2338"/>
      <c r="DO570" s="2338"/>
    </row>
    <row r="571" spans="26:119">
      <c r="Z571" s="2338"/>
      <c r="AA571" s="2338"/>
      <c r="AB571" s="2338"/>
      <c r="AC571" s="2338"/>
      <c r="AD571" s="2338"/>
      <c r="AE571" s="2338"/>
      <c r="AF571" s="2338"/>
      <c r="AG571" s="2338"/>
      <c r="AH571" s="2338"/>
      <c r="AI571" s="2338"/>
      <c r="AJ571" s="2338"/>
      <c r="AK571" s="2338"/>
      <c r="AL571" s="2338"/>
      <c r="AM571" s="2338"/>
      <c r="AN571" s="2338"/>
      <c r="AO571" s="2338"/>
      <c r="AP571" s="2338"/>
      <c r="AQ571" s="2338"/>
      <c r="AR571" s="2338"/>
      <c r="AS571" s="2338"/>
      <c r="AT571" s="2338"/>
      <c r="AU571" s="2338"/>
      <c r="AV571" s="2338"/>
      <c r="AW571" s="2338"/>
      <c r="AX571" s="2338"/>
      <c r="AY571" s="2338"/>
      <c r="AZ571" s="2338"/>
      <c r="BA571" s="2338"/>
      <c r="BB571" s="2338"/>
      <c r="BC571" s="2338"/>
      <c r="BD571" s="2338"/>
      <c r="BE571" s="2338"/>
      <c r="BF571" s="2338"/>
      <c r="BG571" s="2338"/>
      <c r="BH571" s="2338"/>
      <c r="BI571" s="2338"/>
      <c r="BJ571" s="2338"/>
      <c r="BK571" s="2338"/>
      <c r="BL571" s="2338"/>
      <c r="BM571" s="2338"/>
      <c r="BN571" s="2338"/>
      <c r="BO571" s="2338"/>
      <c r="BP571" s="2338"/>
      <c r="BQ571" s="2338"/>
      <c r="BR571" s="2338"/>
      <c r="BS571" s="2338"/>
      <c r="BT571" s="2338"/>
      <c r="BU571" s="2338"/>
      <c r="BV571" s="2338"/>
      <c r="BW571" s="2338"/>
      <c r="BX571" s="2338"/>
      <c r="BY571" s="2338"/>
      <c r="BZ571" s="2338"/>
      <c r="CA571" s="2338"/>
      <c r="CB571" s="2338"/>
      <c r="CC571" s="2338"/>
      <c r="CD571" s="2338"/>
      <c r="CE571" s="2338"/>
      <c r="CF571" s="2338"/>
      <c r="CG571" s="2338"/>
      <c r="CH571" s="2338"/>
      <c r="CI571" s="2338"/>
      <c r="CJ571" s="2338"/>
      <c r="CK571" s="2338"/>
      <c r="CL571" s="2338"/>
      <c r="CM571" s="2338"/>
      <c r="CN571" s="2338"/>
      <c r="CO571" s="2338"/>
      <c r="CP571" s="2338"/>
      <c r="CQ571" s="2338"/>
      <c r="CR571" s="2338"/>
      <c r="CS571" s="2338"/>
      <c r="CT571" s="2338"/>
      <c r="CU571" s="2338"/>
      <c r="CV571" s="2338"/>
      <c r="CW571" s="2338"/>
      <c r="CX571" s="2338"/>
      <c r="CY571" s="2338"/>
      <c r="CZ571" s="2338"/>
      <c r="DA571" s="2338"/>
      <c r="DB571" s="2338"/>
      <c r="DC571" s="2338"/>
      <c r="DD571" s="2338"/>
      <c r="DE571" s="2338"/>
      <c r="DF571" s="2338"/>
      <c r="DG571" s="2338"/>
      <c r="DH571" s="2338"/>
      <c r="DI571" s="2338"/>
      <c r="DJ571" s="2338"/>
      <c r="DK571" s="2338"/>
      <c r="DL571" s="2338"/>
      <c r="DM571" s="2338"/>
      <c r="DN571" s="2338"/>
      <c r="DO571" s="2338"/>
    </row>
    <row r="572" spans="26:119">
      <c r="Z572" s="2338"/>
      <c r="AA572" s="2338"/>
      <c r="AB572" s="2338"/>
      <c r="AC572" s="2338"/>
      <c r="AD572" s="2338"/>
      <c r="AE572" s="2338"/>
      <c r="AF572" s="2338"/>
      <c r="AG572" s="2338"/>
      <c r="AH572" s="2338"/>
      <c r="AI572" s="2338"/>
      <c r="AJ572" s="2338"/>
      <c r="AK572" s="2338"/>
      <c r="AL572" s="2338"/>
      <c r="AM572" s="2338"/>
      <c r="AN572" s="2338"/>
      <c r="AO572" s="2338"/>
      <c r="AP572" s="2338"/>
      <c r="AQ572" s="2338"/>
      <c r="AR572" s="2338"/>
      <c r="AS572" s="2338"/>
      <c r="AT572" s="2338"/>
      <c r="AU572" s="2338"/>
      <c r="AV572" s="2338"/>
      <c r="AW572" s="2338"/>
      <c r="AX572" s="2338"/>
      <c r="AY572" s="2338"/>
      <c r="AZ572" s="2338"/>
      <c r="BA572" s="2338"/>
      <c r="BB572" s="2338"/>
      <c r="BC572" s="2338"/>
      <c r="BD572" s="2338"/>
      <c r="BE572" s="2338"/>
      <c r="BF572" s="2338"/>
      <c r="BG572" s="2338"/>
      <c r="BH572" s="2338"/>
      <c r="BI572" s="2338"/>
      <c r="BJ572" s="2338"/>
      <c r="BK572" s="2338"/>
      <c r="BL572" s="2338"/>
      <c r="BM572" s="2338"/>
      <c r="BN572" s="2338"/>
      <c r="BO572" s="2338"/>
      <c r="BP572" s="2338"/>
      <c r="BQ572" s="2338"/>
      <c r="BR572" s="2338"/>
      <c r="BS572" s="2338"/>
      <c r="BT572" s="2338"/>
      <c r="BU572" s="2338"/>
      <c r="BV572" s="2338"/>
      <c r="BW572" s="2338"/>
      <c r="BX572" s="2338"/>
      <c r="BY572" s="2338"/>
      <c r="BZ572" s="2338"/>
      <c r="CA572" s="2338"/>
      <c r="CB572" s="2338"/>
      <c r="CC572" s="2338"/>
      <c r="CD572" s="2338"/>
      <c r="CE572" s="2338"/>
      <c r="CF572" s="2338"/>
      <c r="CG572" s="2338"/>
      <c r="CH572" s="2338"/>
      <c r="CI572" s="2338"/>
      <c r="CJ572" s="2338"/>
      <c r="CK572" s="2338"/>
      <c r="CL572" s="2338"/>
      <c r="CM572" s="2338"/>
      <c r="CN572" s="2338"/>
      <c r="CO572" s="2338"/>
      <c r="CP572" s="2338"/>
      <c r="CQ572" s="2338"/>
      <c r="CR572" s="2338"/>
      <c r="CS572" s="2338"/>
      <c r="CT572" s="2338"/>
      <c r="CU572" s="2338"/>
      <c r="CV572" s="2338"/>
      <c r="CW572" s="2338"/>
      <c r="CX572" s="2338"/>
      <c r="CY572" s="2338"/>
      <c r="CZ572" s="2338"/>
      <c r="DA572" s="2338"/>
      <c r="DB572" s="2338"/>
      <c r="DC572" s="2338"/>
      <c r="DD572" s="2338"/>
      <c r="DE572" s="2338"/>
      <c r="DF572" s="2338"/>
      <c r="DG572" s="2338"/>
      <c r="DH572" s="2338"/>
      <c r="DI572" s="2338"/>
      <c r="DJ572" s="2338"/>
      <c r="DK572" s="2338"/>
      <c r="DL572" s="2338"/>
      <c r="DM572" s="2338"/>
      <c r="DN572" s="2338"/>
      <c r="DO572" s="2338"/>
    </row>
    <row r="573" spans="26:119">
      <c r="Z573" s="2338"/>
      <c r="AA573" s="2338"/>
      <c r="AB573" s="2338"/>
      <c r="AC573" s="2338"/>
      <c r="AD573" s="2338"/>
      <c r="AE573" s="2338"/>
      <c r="AF573" s="2338"/>
      <c r="AG573" s="2338"/>
      <c r="AH573" s="2338"/>
      <c r="AI573" s="2338"/>
      <c r="AJ573" s="2338"/>
      <c r="AK573" s="2338"/>
      <c r="AL573" s="2338"/>
      <c r="AM573" s="2338"/>
      <c r="AN573" s="2338"/>
      <c r="AO573" s="2338"/>
      <c r="AP573" s="2338"/>
      <c r="AQ573" s="2338"/>
      <c r="AR573" s="2338"/>
      <c r="AS573" s="2338"/>
      <c r="AT573" s="2338"/>
      <c r="AU573" s="2338"/>
      <c r="AV573" s="2338"/>
      <c r="AW573" s="2338"/>
      <c r="AX573" s="2338"/>
      <c r="AY573" s="2338"/>
      <c r="AZ573" s="2338"/>
      <c r="BA573" s="2338"/>
      <c r="BB573" s="2338"/>
      <c r="BC573" s="2338"/>
      <c r="BD573" s="2338"/>
      <c r="BE573" s="2338"/>
      <c r="BF573" s="2338"/>
      <c r="BG573" s="2338"/>
      <c r="BH573" s="2338"/>
      <c r="BI573" s="2338"/>
      <c r="BJ573" s="2338"/>
      <c r="BK573" s="2338"/>
      <c r="BL573" s="2338"/>
      <c r="BM573" s="2338"/>
      <c r="BN573" s="2338"/>
      <c r="BO573" s="2338"/>
      <c r="BP573" s="2338"/>
      <c r="BQ573" s="2338"/>
      <c r="BR573" s="2338"/>
      <c r="BS573" s="2338"/>
      <c r="BT573" s="2338"/>
      <c r="BU573" s="2338"/>
      <c r="BV573" s="2338"/>
      <c r="BW573" s="2338"/>
      <c r="BX573" s="2338"/>
      <c r="BY573" s="2338"/>
      <c r="BZ573" s="2338"/>
      <c r="CA573" s="2338"/>
      <c r="CB573" s="2338"/>
      <c r="CC573" s="2338"/>
      <c r="CD573" s="2338"/>
      <c r="CE573" s="2338"/>
      <c r="CF573" s="2338"/>
      <c r="CG573" s="2338"/>
      <c r="CH573" s="2338"/>
      <c r="CI573" s="2338"/>
      <c r="CJ573" s="2338"/>
      <c r="CK573" s="2338"/>
      <c r="CL573" s="2338"/>
      <c r="CM573" s="2338"/>
      <c r="CN573" s="2338"/>
      <c r="CO573" s="2338"/>
      <c r="CP573" s="2338"/>
      <c r="CQ573" s="2338"/>
      <c r="CR573" s="2338"/>
      <c r="CS573" s="2338"/>
      <c r="CT573" s="2338"/>
      <c r="CU573" s="2338"/>
      <c r="CV573" s="2338"/>
      <c r="CW573" s="2338"/>
      <c r="CX573" s="2338"/>
      <c r="CY573" s="2338"/>
      <c r="CZ573" s="2338"/>
      <c r="DA573" s="2338"/>
      <c r="DB573" s="2338"/>
      <c r="DC573" s="2338"/>
      <c r="DD573" s="2338"/>
      <c r="DE573" s="2338"/>
      <c r="DF573" s="2338"/>
      <c r="DG573" s="2338"/>
      <c r="DH573" s="2338"/>
      <c r="DI573" s="2338"/>
      <c r="DJ573" s="2338"/>
      <c r="DK573" s="2338"/>
      <c r="DL573" s="2338"/>
      <c r="DM573" s="2338"/>
      <c r="DN573" s="2338"/>
      <c r="DO573" s="2338"/>
    </row>
    <row r="574" spans="26:119">
      <c r="Z574" s="2338"/>
      <c r="AA574" s="2338"/>
      <c r="AB574" s="2338"/>
      <c r="AC574" s="2338"/>
      <c r="AD574" s="2338"/>
      <c r="AE574" s="2338"/>
      <c r="AF574" s="2338"/>
      <c r="AG574" s="2338"/>
      <c r="AH574" s="2338"/>
      <c r="AI574" s="2338"/>
      <c r="AJ574" s="2338"/>
      <c r="AK574" s="2338"/>
      <c r="AL574" s="2338"/>
      <c r="AM574" s="2338"/>
      <c r="AN574" s="2338"/>
      <c r="AO574" s="2338"/>
      <c r="AP574" s="2338"/>
      <c r="AQ574" s="2338"/>
      <c r="AR574" s="2338"/>
      <c r="AS574" s="2338"/>
      <c r="AT574" s="2338"/>
      <c r="AU574" s="2338"/>
      <c r="AV574" s="2338"/>
      <c r="AW574" s="2338"/>
      <c r="AX574" s="2338"/>
      <c r="AY574" s="2338"/>
      <c r="AZ574" s="2338"/>
      <c r="BA574" s="2338"/>
      <c r="BB574" s="2338"/>
      <c r="BC574" s="2338"/>
      <c r="BD574" s="2338"/>
      <c r="BE574" s="2338"/>
      <c r="BF574" s="2338"/>
      <c r="BG574" s="2338"/>
      <c r="BH574" s="2338"/>
      <c r="BI574" s="2338"/>
      <c r="BJ574" s="2338"/>
      <c r="BK574" s="2338"/>
      <c r="BL574" s="2338"/>
      <c r="BM574" s="2338"/>
      <c r="BN574" s="2338"/>
      <c r="BO574" s="2338"/>
      <c r="BP574" s="2338"/>
      <c r="BQ574" s="2338"/>
      <c r="BR574" s="2338"/>
      <c r="BS574" s="2338"/>
      <c r="BT574" s="2338"/>
      <c r="BU574" s="2338"/>
      <c r="BV574" s="2338"/>
      <c r="BW574" s="2338"/>
      <c r="BX574" s="2338"/>
      <c r="BY574" s="2338"/>
      <c r="BZ574" s="2338"/>
      <c r="CA574" s="2338"/>
      <c r="CB574" s="2338"/>
      <c r="CC574" s="2338"/>
      <c r="CD574" s="2338"/>
      <c r="CE574" s="2338"/>
      <c r="CF574" s="2338"/>
      <c r="CG574" s="2338"/>
      <c r="CH574" s="2338"/>
      <c r="CI574" s="2338"/>
      <c r="CJ574" s="2338"/>
      <c r="CK574" s="2338"/>
      <c r="CL574" s="2338"/>
      <c r="CM574" s="2338"/>
      <c r="CN574" s="2338"/>
      <c r="CO574" s="2338"/>
      <c r="CP574" s="2338"/>
      <c r="CQ574" s="2338"/>
      <c r="CR574" s="2338"/>
      <c r="CS574" s="2338"/>
      <c r="CT574" s="2338"/>
      <c r="CU574" s="2338"/>
      <c r="CV574" s="2338"/>
      <c r="CW574" s="2338"/>
      <c r="CX574" s="2338"/>
      <c r="CY574" s="2338"/>
      <c r="CZ574" s="2338"/>
      <c r="DA574" s="2338"/>
      <c r="DB574" s="2338"/>
      <c r="DC574" s="2338"/>
      <c r="DD574" s="2338"/>
      <c r="DE574" s="2338"/>
      <c r="DF574" s="2338"/>
      <c r="DG574" s="2338"/>
      <c r="DH574" s="2338"/>
      <c r="DI574" s="2338"/>
      <c r="DJ574" s="2338"/>
      <c r="DK574" s="2338"/>
      <c r="DL574" s="2338"/>
      <c r="DM574" s="2338"/>
      <c r="DN574" s="2338"/>
      <c r="DO574" s="2338"/>
    </row>
    <row r="575" spans="26:119">
      <c r="Z575" s="2338"/>
      <c r="AA575" s="2338"/>
      <c r="AB575" s="2338"/>
      <c r="AC575" s="2338"/>
      <c r="AD575" s="2338"/>
      <c r="AE575" s="2338"/>
      <c r="AF575" s="2338"/>
      <c r="AG575" s="2338"/>
      <c r="AH575" s="2338"/>
      <c r="AI575" s="2338"/>
      <c r="AJ575" s="2338"/>
      <c r="AK575" s="2338"/>
      <c r="AL575" s="2338"/>
      <c r="AM575" s="2338"/>
      <c r="AN575" s="2338"/>
      <c r="AO575" s="2338"/>
      <c r="AP575" s="2338"/>
      <c r="AQ575" s="2338"/>
      <c r="AR575" s="2338"/>
      <c r="AS575" s="2338"/>
      <c r="AT575" s="2338"/>
      <c r="AU575" s="2338"/>
      <c r="AV575" s="2338"/>
      <c r="AW575" s="2338"/>
      <c r="AX575" s="2338"/>
      <c r="AY575" s="2338"/>
      <c r="AZ575" s="2338"/>
      <c r="BA575" s="2338"/>
      <c r="BB575" s="2338"/>
      <c r="BC575" s="2338"/>
      <c r="BD575" s="2338"/>
      <c r="BE575" s="2338"/>
      <c r="BF575" s="2338"/>
      <c r="BG575" s="2338"/>
      <c r="BH575" s="2338"/>
      <c r="BI575" s="2338"/>
      <c r="BJ575" s="2338"/>
      <c r="BK575" s="2338"/>
      <c r="BL575" s="2338"/>
      <c r="BM575" s="2338"/>
      <c r="BN575" s="2338"/>
      <c r="BO575" s="2338"/>
      <c r="BP575" s="2338"/>
      <c r="BQ575" s="2338"/>
      <c r="BR575" s="2338"/>
      <c r="BS575" s="2338"/>
      <c r="BT575" s="2338"/>
      <c r="BU575" s="2338"/>
      <c r="BV575" s="2338"/>
      <c r="BW575" s="2338"/>
      <c r="BX575" s="2338"/>
      <c r="BY575" s="2338"/>
      <c r="BZ575" s="2338"/>
      <c r="CA575" s="2338"/>
      <c r="CB575" s="2338"/>
      <c r="CC575" s="2338"/>
      <c r="CD575" s="2338"/>
      <c r="CE575" s="2338"/>
      <c r="CF575" s="2338"/>
      <c r="CG575" s="2338"/>
      <c r="CH575" s="2338"/>
      <c r="CI575" s="2338"/>
      <c r="CJ575" s="2338"/>
      <c r="CK575" s="2338"/>
      <c r="CL575" s="2338"/>
      <c r="CM575" s="2338"/>
      <c r="CN575" s="2338"/>
      <c r="CO575" s="2338"/>
      <c r="CP575" s="2338"/>
      <c r="CQ575" s="2338"/>
      <c r="CR575" s="2338"/>
      <c r="CS575" s="2338"/>
      <c r="CT575" s="2338"/>
      <c r="CU575" s="2338"/>
      <c r="CV575" s="2338"/>
      <c r="CW575" s="2338"/>
      <c r="CX575" s="2338"/>
      <c r="CY575" s="2338"/>
      <c r="CZ575" s="2338"/>
      <c r="DA575" s="2338"/>
      <c r="DB575" s="2338"/>
      <c r="DC575" s="2338"/>
      <c r="DD575" s="2338"/>
      <c r="DE575" s="2338"/>
      <c r="DF575" s="2338"/>
      <c r="DG575" s="2338"/>
      <c r="DH575" s="2338"/>
      <c r="DI575" s="2338"/>
      <c r="DJ575" s="2338"/>
      <c r="DK575" s="2338"/>
      <c r="DL575" s="2338"/>
      <c r="DM575" s="2338"/>
      <c r="DN575" s="2338"/>
      <c r="DO575" s="2338"/>
    </row>
    <row r="576" spans="26:119">
      <c r="Z576" s="2338"/>
      <c r="AA576" s="2338"/>
      <c r="AB576" s="2338"/>
      <c r="AC576" s="2338"/>
      <c r="AD576" s="2338"/>
      <c r="AE576" s="2338"/>
      <c r="AF576" s="2338"/>
      <c r="AG576" s="2338"/>
      <c r="AH576" s="2338"/>
      <c r="AI576" s="2338"/>
      <c r="AJ576" s="2338"/>
      <c r="AK576" s="2338"/>
      <c r="AL576" s="2338"/>
      <c r="AM576" s="2338"/>
      <c r="AN576" s="2338"/>
      <c r="AO576" s="2338"/>
      <c r="AP576" s="2338"/>
      <c r="AQ576" s="2338"/>
      <c r="AR576" s="2338"/>
      <c r="AS576" s="2338"/>
      <c r="AT576" s="2338"/>
      <c r="AU576" s="2338"/>
      <c r="AV576" s="2338"/>
      <c r="AW576" s="2338"/>
      <c r="AX576" s="2338"/>
      <c r="AY576" s="2338"/>
      <c r="AZ576" s="2338"/>
      <c r="BA576" s="2338"/>
      <c r="BB576" s="2338"/>
      <c r="BC576" s="2338"/>
      <c r="BD576" s="2338"/>
      <c r="BE576" s="2338"/>
      <c r="BF576" s="2338"/>
      <c r="BG576" s="2338"/>
      <c r="BH576" s="2338"/>
      <c r="BI576" s="2338"/>
      <c r="BJ576" s="2338"/>
      <c r="BK576" s="2338"/>
      <c r="BL576" s="2338"/>
      <c r="BM576" s="2338"/>
      <c r="BN576" s="2338"/>
      <c r="BO576" s="2338"/>
      <c r="BP576" s="2338"/>
      <c r="BQ576" s="2338"/>
      <c r="BR576" s="2338"/>
      <c r="BS576" s="2338"/>
      <c r="BT576" s="2338"/>
      <c r="BU576" s="2338"/>
      <c r="BV576" s="2338"/>
      <c r="BW576" s="2338"/>
      <c r="BX576" s="2338"/>
      <c r="BY576" s="2338"/>
      <c r="BZ576" s="2338"/>
      <c r="CA576" s="2338"/>
      <c r="CB576" s="2338"/>
      <c r="CC576" s="2338"/>
      <c r="CD576" s="2338"/>
      <c r="CE576" s="2338"/>
      <c r="CF576" s="2338"/>
      <c r="CG576" s="2338"/>
      <c r="CH576" s="2338"/>
      <c r="CI576" s="2338"/>
      <c r="CJ576" s="2338"/>
      <c r="CK576" s="2338"/>
      <c r="CL576" s="2338"/>
      <c r="CM576" s="2338"/>
      <c r="CN576" s="2338"/>
      <c r="CO576" s="2338"/>
      <c r="CP576" s="2338"/>
      <c r="CQ576" s="2338"/>
      <c r="CR576" s="2338"/>
      <c r="CS576" s="2338"/>
      <c r="CT576" s="2338"/>
      <c r="CU576" s="2338"/>
      <c r="CV576" s="2338"/>
      <c r="CW576" s="2338"/>
      <c r="CX576" s="2338"/>
      <c r="CY576" s="2338"/>
      <c r="CZ576" s="2338"/>
      <c r="DA576" s="2338"/>
      <c r="DB576" s="2338"/>
      <c r="DC576" s="2338"/>
      <c r="DD576" s="2338"/>
      <c r="DE576" s="2338"/>
      <c r="DF576" s="2338"/>
      <c r="DG576" s="2338"/>
      <c r="DH576" s="2338"/>
      <c r="DI576" s="2338"/>
      <c r="DJ576" s="2338"/>
      <c r="DK576" s="2338"/>
      <c r="DL576" s="2338"/>
      <c r="DM576" s="2338"/>
      <c r="DN576" s="2338"/>
      <c r="DO576" s="2338"/>
    </row>
    <row r="577" spans="26:119">
      <c r="Z577" s="2338"/>
      <c r="AA577" s="2338"/>
      <c r="AB577" s="2338"/>
      <c r="AC577" s="2338"/>
      <c r="AD577" s="2338"/>
      <c r="AE577" s="2338"/>
      <c r="AF577" s="2338"/>
      <c r="AG577" s="2338"/>
      <c r="AH577" s="2338"/>
      <c r="AI577" s="2338"/>
      <c r="AJ577" s="2338"/>
      <c r="AK577" s="2338"/>
      <c r="AL577" s="2338"/>
      <c r="AM577" s="2338"/>
      <c r="AN577" s="2338"/>
      <c r="AO577" s="2338"/>
      <c r="AP577" s="2338"/>
      <c r="AQ577" s="2338"/>
      <c r="AR577" s="2338"/>
      <c r="AS577" s="2338"/>
      <c r="AT577" s="2338"/>
      <c r="AU577" s="2338"/>
      <c r="AV577" s="2338"/>
      <c r="AW577" s="2338"/>
      <c r="AX577" s="2338"/>
      <c r="AY577" s="2338"/>
      <c r="AZ577" s="2338"/>
      <c r="BA577" s="2338"/>
      <c r="BB577" s="2338"/>
      <c r="BC577" s="2338"/>
      <c r="BD577" s="2338"/>
      <c r="BE577" s="2338"/>
      <c r="BF577" s="2338"/>
      <c r="BG577" s="2338"/>
      <c r="BH577" s="2338"/>
      <c r="BI577" s="2338"/>
      <c r="BJ577" s="2338"/>
      <c r="BK577" s="2338"/>
      <c r="BL577" s="2338"/>
      <c r="BM577" s="2338"/>
      <c r="BN577" s="2338"/>
      <c r="BO577" s="2338"/>
      <c r="BP577" s="2338"/>
      <c r="BQ577" s="2338"/>
      <c r="BR577" s="2338"/>
      <c r="BS577" s="2338"/>
      <c r="BT577" s="2338"/>
      <c r="BU577" s="2338"/>
      <c r="BV577" s="2338"/>
      <c r="BW577" s="2338"/>
      <c r="BX577" s="2338"/>
      <c r="BY577" s="2338"/>
      <c r="BZ577" s="2338"/>
      <c r="CA577" s="2338"/>
      <c r="CB577" s="2338"/>
      <c r="CC577" s="2338"/>
      <c r="CD577" s="2338"/>
      <c r="CE577" s="2338"/>
      <c r="CF577" s="2338"/>
      <c r="CG577" s="2338"/>
      <c r="CH577" s="2338"/>
      <c r="CI577" s="2338"/>
      <c r="CJ577" s="2338"/>
      <c r="CK577" s="2338"/>
      <c r="CL577" s="2338"/>
      <c r="CM577" s="2338"/>
      <c r="CN577" s="2338"/>
      <c r="CO577" s="2338"/>
      <c r="CP577" s="2338"/>
      <c r="CQ577" s="2338"/>
      <c r="CR577" s="2338"/>
      <c r="CS577" s="2338"/>
      <c r="CT577" s="2338"/>
      <c r="CU577" s="2338"/>
      <c r="CV577" s="2338"/>
      <c r="CW577" s="2338"/>
      <c r="CX577" s="2338"/>
      <c r="CY577" s="2338"/>
      <c r="CZ577" s="2338"/>
      <c r="DA577" s="2338"/>
      <c r="DB577" s="2338"/>
      <c r="DC577" s="2338"/>
      <c r="DD577" s="2338"/>
      <c r="DE577" s="2338"/>
      <c r="DF577" s="2338"/>
      <c r="DG577" s="2338"/>
      <c r="DH577" s="2338"/>
      <c r="DI577" s="2338"/>
      <c r="DJ577" s="2338"/>
      <c r="DK577" s="2338"/>
      <c r="DL577" s="2338"/>
      <c r="DM577" s="2338"/>
      <c r="DN577" s="2338"/>
      <c r="DO577" s="2338"/>
    </row>
    <row r="578" spans="26:119">
      <c r="Z578" s="2338"/>
      <c r="AA578" s="2338"/>
      <c r="AB578" s="2338"/>
      <c r="AC578" s="2338"/>
      <c r="AD578" s="2338"/>
      <c r="AE578" s="2338"/>
      <c r="AF578" s="2338"/>
      <c r="AG578" s="2338"/>
      <c r="AH578" s="2338"/>
      <c r="AI578" s="2338"/>
      <c r="AJ578" s="2338"/>
      <c r="AK578" s="2338"/>
      <c r="AL578" s="2338"/>
      <c r="AM578" s="2338"/>
      <c r="AN578" s="2338"/>
      <c r="AO578" s="2338"/>
      <c r="AP578" s="2338"/>
      <c r="AQ578" s="2338"/>
      <c r="AR578" s="2338"/>
      <c r="AS578" s="2338"/>
      <c r="AT578" s="2338"/>
      <c r="AU578" s="2338"/>
      <c r="AV578" s="2338"/>
      <c r="AW578" s="2338"/>
      <c r="AX578" s="2338"/>
      <c r="AY578" s="2338"/>
      <c r="AZ578" s="2338"/>
      <c r="BA578" s="2338"/>
      <c r="BB578" s="2338"/>
      <c r="BC578" s="2338"/>
      <c r="BD578" s="2338"/>
      <c r="BE578" s="2338"/>
      <c r="BF578" s="2338"/>
      <c r="BG578" s="2338"/>
      <c r="BH578" s="2338"/>
      <c r="BI578" s="2338"/>
      <c r="BJ578" s="2338"/>
      <c r="BK578" s="2338"/>
      <c r="BL578" s="2338"/>
      <c r="BM578" s="2338"/>
      <c r="BN578" s="2338"/>
      <c r="BO578" s="2338"/>
      <c r="BP578" s="2338"/>
      <c r="BQ578" s="2338"/>
      <c r="BR578" s="2338"/>
      <c r="BS578" s="2338"/>
      <c r="BT578" s="2338"/>
      <c r="BU578" s="2338"/>
      <c r="BV578" s="2338"/>
      <c r="BW578" s="2338"/>
      <c r="BX578" s="2338"/>
      <c r="BY578" s="2338"/>
      <c r="BZ578" s="2338"/>
      <c r="CA578" s="2338"/>
      <c r="CB578" s="2338"/>
      <c r="CC578" s="2338"/>
      <c r="CD578" s="2338"/>
      <c r="CE578" s="2338"/>
      <c r="CF578" s="2338"/>
      <c r="CG578" s="2338"/>
      <c r="CH578" s="2338"/>
      <c r="CI578" s="2338"/>
      <c r="CJ578" s="2338"/>
      <c r="CK578" s="2338"/>
      <c r="CL578" s="2338"/>
      <c r="CM578" s="2338"/>
      <c r="CN578" s="2338"/>
      <c r="CO578" s="2338"/>
      <c r="CP578" s="2338"/>
      <c r="CQ578" s="2338"/>
      <c r="CR578" s="2338"/>
      <c r="CS578" s="2338"/>
      <c r="CT578" s="2338"/>
      <c r="CU578" s="2338"/>
      <c r="CV578" s="2338"/>
      <c r="CW578" s="2338"/>
      <c r="CX578" s="2338"/>
      <c r="CY578" s="2338"/>
      <c r="CZ578" s="2338"/>
      <c r="DA578" s="2338"/>
      <c r="DB578" s="2338"/>
      <c r="DC578" s="2338"/>
      <c r="DD578" s="2338"/>
      <c r="DE578" s="2338"/>
      <c r="DF578" s="2338"/>
      <c r="DG578" s="2338"/>
      <c r="DH578" s="2338"/>
      <c r="DI578" s="2338"/>
      <c r="DJ578" s="2338"/>
      <c r="DK578" s="2338"/>
      <c r="DL578" s="2338"/>
      <c r="DM578" s="2338"/>
      <c r="DN578" s="2338"/>
      <c r="DO578" s="2338"/>
    </row>
    <row r="579" spans="26:119">
      <c r="Z579" s="2338"/>
      <c r="AA579" s="2338"/>
      <c r="AB579" s="2338"/>
      <c r="AC579" s="2338"/>
      <c r="AD579" s="2338"/>
      <c r="AE579" s="2338"/>
      <c r="AF579" s="2338"/>
      <c r="AG579" s="2338"/>
      <c r="AH579" s="2338"/>
      <c r="AI579" s="2338"/>
      <c r="AJ579" s="2338"/>
      <c r="AK579" s="2338"/>
      <c r="AL579" s="2338"/>
      <c r="AM579" s="2338"/>
      <c r="AN579" s="2338"/>
      <c r="AO579" s="2338"/>
      <c r="AP579" s="2338"/>
      <c r="AQ579" s="2338"/>
      <c r="AR579" s="2338"/>
      <c r="AS579" s="2338"/>
      <c r="AT579" s="2338"/>
      <c r="AU579" s="2338"/>
      <c r="AV579" s="2338"/>
      <c r="AW579" s="2338"/>
      <c r="AX579" s="2338"/>
      <c r="AY579" s="2338"/>
      <c r="AZ579" s="2338"/>
      <c r="BA579" s="2338"/>
      <c r="BB579" s="2338"/>
      <c r="BC579" s="2338"/>
      <c r="BD579" s="2338"/>
      <c r="BE579" s="2338"/>
      <c r="BF579" s="2338"/>
      <c r="BG579" s="2338"/>
      <c r="BH579" s="2338"/>
      <c r="BI579" s="2338"/>
      <c r="BJ579" s="2338"/>
      <c r="BK579" s="2338"/>
      <c r="BL579" s="2338"/>
      <c r="BM579" s="2338"/>
      <c r="BN579" s="2338"/>
      <c r="BO579" s="2338"/>
      <c r="BP579" s="2338"/>
      <c r="BQ579" s="2338"/>
      <c r="BR579" s="2338"/>
      <c r="BS579" s="2338"/>
      <c r="BT579" s="2338"/>
      <c r="BU579" s="2338"/>
      <c r="BV579" s="2338"/>
      <c r="BW579" s="2338"/>
      <c r="BX579" s="2338"/>
      <c r="BY579" s="2338"/>
      <c r="BZ579" s="2338"/>
      <c r="CA579" s="2338"/>
      <c r="CB579" s="2338"/>
      <c r="CC579" s="2338"/>
      <c r="CD579" s="2338"/>
      <c r="CE579" s="2338"/>
      <c r="CF579" s="2338"/>
      <c r="CG579" s="2338"/>
      <c r="CH579" s="2338"/>
      <c r="CI579" s="2338"/>
      <c r="CJ579" s="2338"/>
      <c r="CK579" s="2338"/>
      <c r="CL579" s="2338"/>
      <c r="CM579" s="2338"/>
      <c r="CN579" s="2338"/>
      <c r="CO579" s="2338"/>
      <c r="CP579" s="2338"/>
      <c r="CQ579" s="2338"/>
      <c r="CR579" s="2338"/>
      <c r="CS579" s="2338"/>
      <c r="CT579" s="2338"/>
      <c r="CU579" s="2338"/>
      <c r="CV579" s="2338"/>
      <c r="CW579" s="2338"/>
      <c r="CX579" s="2338"/>
      <c r="CY579" s="2338"/>
      <c r="CZ579" s="2338"/>
      <c r="DA579" s="2338"/>
      <c r="DB579" s="2338"/>
      <c r="DC579" s="2338"/>
      <c r="DD579" s="2338"/>
      <c r="DE579" s="2338"/>
      <c r="DF579" s="2338"/>
      <c r="DG579" s="2338"/>
      <c r="DH579" s="2338"/>
      <c r="DI579" s="2338"/>
      <c r="DJ579" s="2338"/>
      <c r="DK579" s="2338"/>
      <c r="DL579" s="2338"/>
      <c r="DM579" s="2338"/>
      <c r="DN579" s="2338"/>
      <c r="DO579" s="2338"/>
    </row>
    <row r="580" spans="26:119">
      <c r="Z580" s="2338"/>
      <c r="AA580" s="2338"/>
      <c r="AB580" s="2338"/>
      <c r="AC580" s="2338"/>
      <c r="AD580" s="2338"/>
      <c r="AE580" s="2338"/>
      <c r="AF580" s="2338"/>
      <c r="AG580" s="2338"/>
      <c r="AH580" s="2338"/>
      <c r="AI580" s="2338"/>
      <c r="AJ580" s="2338"/>
      <c r="AK580" s="2338"/>
      <c r="AL580" s="2338"/>
      <c r="AM580" s="2338"/>
      <c r="AN580" s="2338"/>
      <c r="AO580" s="2338"/>
      <c r="AP580" s="2338"/>
      <c r="AQ580" s="2338"/>
      <c r="AR580" s="2338"/>
      <c r="AS580" s="2338"/>
      <c r="AT580" s="2338"/>
      <c r="AU580" s="2338"/>
      <c r="AV580" s="2338"/>
      <c r="AW580" s="2338"/>
      <c r="AX580" s="2338"/>
      <c r="AY580" s="2338"/>
      <c r="AZ580" s="2338"/>
      <c r="BA580" s="2338"/>
      <c r="BB580" s="2338"/>
      <c r="BC580" s="2338"/>
      <c r="BD580" s="2338"/>
      <c r="BE580" s="2338"/>
      <c r="BF580" s="2338"/>
      <c r="BG580" s="2338"/>
      <c r="BH580" s="2338"/>
      <c r="BI580" s="2338"/>
      <c r="BJ580" s="2338"/>
      <c r="BK580" s="2338"/>
      <c r="BL580" s="2338"/>
      <c r="BM580" s="2338"/>
      <c r="BN580" s="2338"/>
      <c r="BO580" s="2338"/>
      <c r="BP580" s="2338"/>
      <c r="BQ580" s="2338"/>
      <c r="BR580" s="2338"/>
      <c r="BS580" s="2338"/>
      <c r="BT580" s="2338"/>
      <c r="BU580" s="2338"/>
      <c r="BV580" s="2338"/>
      <c r="BW580" s="2338"/>
      <c r="BX580" s="2338"/>
      <c r="BY580" s="2338"/>
      <c r="BZ580" s="2338"/>
      <c r="CA580" s="2338"/>
      <c r="CB580" s="2338"/>
      <c r="CC580" s="2338"/>
      <c r="CD580" s="2338"/>
      <c r="CE580" s="2338"/>
      <c r="CF580" s="2338"/>
      <c r="CG580" s="2338"/>
      <c r="CH580" s="2338"/>
      <c r="CI580" s="2338"/>
      <c r="CJ580" s="2338"/>
      <c r="CK580" s="2338"/>
      <c r="CL580" s="2338"/>
      <c r="CM580" s="2338"/>
      <c r="CN580" s="2338"/>
      <c r="CO580" s="2338"/>
      <c r="CP580" s="2338"/>
      <c r="CQ580" s="2338"/>
      <c r="CR580" s="2338"/>
      <c r="CS580" s="2338"/>
      <c r="CT580" s="2338"/>
      <c r="CU580" s="2338"/>
      <c r="CV580" s="2338"/>
      <c r="CW580" s="2338"/>
      <c r="CX580" s="2338"/>
      <c r="CY580" s="2338"/>
      <c r="CZ580" s="2338"/>
      <c r="DA580" s="2338"/>
      <c r="DB580" s="2338"/>
      <c r="DC580" s="2338"/>
      <c r="DD580" s="2338"/>
      <c r="DE580" s="2338"/>
      <c r="DF580" s="2338"/>
      <c r="DG580" s="2338"/>
      <c r="DH580" s="2338"/>
      <c r="DI580" s="2338"/>
      <c r="DJ580" s="2338"/>
      <c r="DK580" s="2338"/>
      <c r="DL580" s="2338"/>
      <c r="DM580" s="2338"/>
      <c r="DN580" s="2338"/>
      <c r="DO580" s="2338"/>
    </row>
    <row r="581" spans="26:119">
      <c r="Z581" s="2338"/>
      <c r="AA581" s="2338"/>
      <c r="AB581" s="2338"/>
      <c r="AC581" s="2338"/>
      <c r="AD581" s="2338"/>
      <c r="AE581" s="2338"/>
      <c r="AF581" s="2338"/>
      <c r="AG581" s="2338"/>
      <c r="AH581" s="2338"/>
      <c r="AI581" s="2338"/>
      <c r="AJ581" s="2338"/>
      <c r="AK581" s="2338"/>
      <c r="AL581" s="2338"/>
      <c r="AM581" s="2338"/>
      <c r="AN581" s="2338"/>
      <c r="AO581" s="2338"/>
      <c r="AP581" s="2338"/>
      <c r="AQ581" s="2338"/>
      <c r="AR581" s="2338"/>
      <c r="AS581" s="2338"/>
      <c r="AT581" s="2338"/>
      <c r="AU581" s="2338"/>
      <c r="AV581" s="2338"/>
      <c r="AW581" s="2338"/>
      <c r="AX581" s="2338"/>
      <c r="AY581" s="2338"/>
      <c r="AZ581" s="2338"/>
      <c r="BA581" s="2338"/>
      <c r="BB581" s="2338"/>
      <c r="BC581" s="2338"/>
      <c r="BD581" s="2338"/>
      <c r="BE581" s="2338"/>
      <c r="BF581" s="2338"/>
      <c r="BG581" s="2338"/>
      <c r="BH581" s="2338"/>
      <c r="BI581" s="2338"/>
      <c r="BJ581" s="2338"/>
      <c r="BK581" s="2338"/>
      <c r="BL581" s="2338"/>
      <c r="BM581" s="2338"/>
      <c r="BN581" s="2338"/>
      <c r="BO581" s="2338"/>
      <c r="BP581" s="2338"/>
      <c r="BQ581" s="2338"/>
      <c r="BR581" s="2338"/>
      <c r="BS581" s="2338"/>
      <c r="BT581" s="2338"/>
      <c r="BU581" s="2338"/>
      <c r="BV581" s="2338"/>
      <c r="BW581" s="2338"/>
      <c r="BX581" s="2338"/>
      <c r="BY581" s="2338"/>
      <c r="BZ581" s="2338"/>
      <c r="CA581" s="2338"/>
      <c r="CB581" s="2338"/>
      <c r="CC581" s="2338"/>
      <c r="CD581" s="2338"/>
      <c r="CE581" s="2338"/>
      <c r="CF581" s="2338"/>
      <c r="CG581" s="2338"/>
      <c r="CH581" s="2338"/>
      <c r="CI581" s="2338"/>
      <c r="CJ581" s="2338"/>
      <c r="CK581" s="2338"/>
      <c r="CL581" s="2338"/>
      <c r="CM581" s="2338"/>
      <c r="CN581" s="2338"/>
      <c r="CO581" s="2338"/>
      <c r="CP581" s="2338"/>
      <c r="CQ581" s="2338"/>
      <c r="CR581" s="2338"/>
      <c r="CS581" s="2338"/>
      <c r="CT581" s="2338"/>
      <c r="CU581" s="2338"/>
      <c r="CV581" s="2338"/>
      <c r="CW581" s="2338"/>
      <c r="CX581" s="2338"/>
      <c r="CY581" s="2338"/>
      <c r="CZ581" s="2338"/>
      <c r="DA581" s="2338"/>
      <c r="DB581" s="2338"/>
      <c r="DC581" s="2338"/>
      <c r="DD581" s="2338"/>
      <c r="DE581" s="2338"/>
      <c r="DF581" s="2338"/>
      <c r="DG581" s="2338"/>
      <c r="DH581" s="2338"/>
      <c r="DI581" s="2338"/>
      <c r="DJ581" s="2338"/>
      <c r="DK581" s="2338"/>
      <c r="DL581" s="2338"/>
      <c r="DM581" s="2338"/>
      <c r="DN581" s="2338"/>
      <c r="DO581" s="2338"/>
    </row>
    <row r="582" spans="26:119">
      <c r="Z582" s="2338"/>
      <c r="AA582" s="2338"/>
      <c r="AB582" s="2338"/>
      <c r="AC582" s="2338"/>
      <c r="AD582" s="2338"/>
      <c r="AE582" s="2338"/>
      <c r="AF582" s="2338"/>
      <c r="AG582" s="2338"/>
      <c r="AH582" s="2338"/>
      <c r="AI582" s="2338"/>
      <c r="AJ582" s="2338"/>
      <c r="AK582" s="2338"/>
      <c r="AL582" s="2338"/>
      <c r="AM582" s="2338"/>
      <c r="AN582" s="2338"/>
      <c r="AO582" s="2338"/>
      <c r="AP582" s="2338"/>
      <c r="AQ582" s="2338"/>
      <c r="AR582" s="2338"/>
      <c r="AS582" s="2338"/>
      <c r="AT582" s="2338"/>
      <c r="AU582" s="2338"/>
      <c r="AV582" s="2338"/>
      <c r="AW582" s="2338"/>
      <c r="AX582" s="2338"/>
      <c r="AY582" s="2338"/>
      <c r="AZ582" s="2338"/>
      <c r="BA582" s="2338"/>
      <c r="BB582" s="2338"/>
      <c r="BC582" s="2338"/>
      <c r="BD582" s="2338"/>
      <c r="BE582" s="2338"/>
      <c r="BF582" s="2338"/>
      <c r="BG582" s="2338"/>
      <c r="BH582" s="2338"/>
      <c r="BI582" s="2338"/>
      <c r="BJ582" s="2338"/>
      <c r="BK582" s="2338"/>
      <c r="BL582" s="2338"/>
      <c r="BM582" s="2338"/>
      <c r="BN582" s="2338"/>
      <c r="BO582" s="2338"/>
      <c r="BP582" s="2338"/>
      <c r="BQ582" s="2338"/>
      <c r="BR582" s="2338"/>
      <c r="BS582" s="2338"/>
      <c r="BT582" s="2338"/>
      <c r="BU582" s="2338"/>
      <c r="BV582" s="2338"/>
      <c r="BW582" s="2338"/>
      <c r="BX582" s="2338"/>
      <c r="BY582" s="2338"/>
      <c r="BZ582" s="2338"/>
      <c r="CA582" s="2338"/>
      <c r="CB582" s="2338"/>
      <c r="CC582" s="2338"/>
      <c r="CD582" s="2338"/>
      <c r="CE582" s="2338"/>
      <c r="CF582" s="2338"/>
      <c r="CG582" s="2338"/>
      <c r="CH582" s="2338"/>
      <c r="CI582" s="2338"/>
      <c r="CJ582" s="2338"/>
      <c r="CK582" s="2338"/>
      <c r="CL582" s="2338"/>
      <c r="CM582" s="2338"/>
      <c r="CN582" s="2338"/>
      <c r="CO582" s="2338"/>
      <c r="CP582" s="2338"/>
      <c r="CQ582" s="2338"/>
      <c r="CR582" s="2338"/>
      <c r="CS582" s="2338"/>
      <c r="CT582" s="2338"/>
      <c r="CU582" s="2338"/>
      <c r="CV582" s="2338"/>
      <c r="CW582" s="2338"/>
      <c r="CX582" s="2338"/>
      <c r="CY582" s="2338"/>
      <c r="CZ582" s="2338"/>
      <c r="DA582" s="2338"/>
      <c r="DB582" s="2338"/>
      <c r="DC582" s="2338"/>
      <c r="DD582" s="2338"/>
      <c r="DE582" s="2338"/>
      <c r="DF582" s="2338"/>
      <c r="DG582" s="2338"/>
      <c r="DH582" s="2338"/>
      <c r="DI582" s="2338"/>
      <c r="DJ582" s="2338"/>
      <c r="DK582" s="2338"/>
      <c r="DL582" s="2338"/>
      <c r="DM582" s="2338"/>
      <c r="DN582" s="2338"/>
      <c r="DO582" s="2338"/>
    </row>
    <row r="583" spans="26:119">
      <c r="Z583" s="2338"/>
      <c r="AA583" s="2338"/>
      <c r="AB583" s="2338"/>
      <c r="AC583" s="2338"/>
      <c r="AD583" s="2338"/>
      <c r="AE583" s="2338"/>
      <c r="AF583" s="2338"/>
      <c r="AG583" s="2338"/>
      <c r="AH583" s="2338"/>
      <c r="AI583" s="2338"/>
      <c r="AJ583" s="2338"/>
      <c r="AK583" s="2338"/>
      <c r="AL583" s="2338"/>
      <c r="AM583" s="2338"/>
      <c r="AN583" s="2338"/>
      <c r="AO583" s="2338"/>
      <c r="AP583" s="2338"/>
      <c r="AQ583" s="2338"/>
      <c r="AR583" s="2338"/>
      <c r="AS583" s="2338"/>
      <c r="AT583" s="2338"/>
      <c r="AU583" s="2338"/>
      <c r="AV583" s="2338"/>
      <c r="AW583" s="2338"/>
      <c r="AX583" s="2338"/>
      <c r="AY583" s="2338"/>
      <c r="AZ583" s="2338"/>
      <c r="BA583" s="2338"/>
      <c r="BB583" s="2338"/>
      <c r="BC583" s="2338"/>
      <c r="BD583" s="2338"/>
      <c r="BE583" s="2338"/>
      <c r="BF583" s="2338"/>
      <c r="BG583" s="2338"/>
      <c r="BH583" s="2338"/>
      <c r="BI583" s="2338"/>
      <c r="BJ583" s="2338"/>
      <c r="BK583" s="2338"/>
      <c r="BL583" s="2338"/>
      <c r="BM583" s="2338"/>
      <c r="BN583" s="2338"/>
      <c r="BO583" s="2338"/>
      <c r="BP583" s="2338"/>
      <c r="BQ583" s="2338"/>
      <c r="BR583" s="2338"/>
      <c r="BS583" s="2338"/>
      <c r="BT583" s="2338"/>
      <c r="BU583" s="2338"/>
      <c r="BV583" s="2338"/>
      <c r="BW583" s="2338"/>
      <c r="BX583" s="2338"/>
      <c r="BY583" s="2338"/>
      <c r="BZ583" s="2338"/>
      <c r="CA583" s="2338"/>
      <c r="CB583" s="2338"/>
      <c r="CC583" s="2338"/>
      <c r="CD583" s="2338"/>
      <c r="CE583" s="2338"/>
      <c r="CF583" s="2338"/>
      <c r="CG583" s="2338"/>
      <c r="CH583" s="2338"/>
      <c r="CI583" s="2338"/>
      <c r="CJ583" s="2338"/>
      <c r="CK583" s="2338"/>
      <c r="CL583" s="2338"/>
      <c r="CM583" s="2338"/>
      <c r="CN583" s="2338"/>
      <c r="CO583" s="2338"/>
      <c r="CP583" s="2338"/>
      <c r="CQ583" s="2338"/>
      <c r="CR583" s="2338"/>
      <c r="CS583" s="2338"/>
      <c r="CT583" s="2338"/>
      <c r="CU583" s="2338"/>
      <c r="CV583" s="2338"/>
      <c r="CW583" s="2338"/>
      <c r="CX583" s="2338"/>
      <c r="CY583" s="2338"/>
      <c r="CZ583" s="2338"/>
      <c r="DA583" s="2338"/>
      <c r="DB583" s="2338"/>
      <c r="DC583" s="2338"/>
      <c r="DD583" s="2338"/>
      <c r="DE583" s="2338"/>
      <c r="DF583" s="2338"/>
      <c r="DG583" s="2338"/>
      <c r="DH583" s="2338"/>
      <c r="DI583" s="2338"/>
      <c r="DJ583" s="2338"/>
      <c r="DK583" s="2338"/>
      <c r="DL583" s="2338"/>
      <c r="DM583" s="2338"/>
      <c r="DN583" s="2338"/>
      <c r="DO583" s="2338"/>
    </row>
    <row r="584" spans="26:119">
      <c r="Z584" s="2338"/>
      <c r="AA584" s="2338"/>
      <c r="AB584" s="2338"/>
      <c r="AC584" s="2338"/>
      <c r="AD584" s="2338"/>
      <c r="AE584" s="2338"/>
      <c r="AF584" s="2338"/>
      <c r="AG584" s="2338"/>
      <c r="AH584" s="2338"/>
      <c r="AI584" s="2338"/>
      <c r="AJ584" s="2338"/>
      <c r="AK584" s="2338"/>
      <c r="AL584" s="2338"/>
      <c r="AM584" s="2338"/>
      <c r="AN584" s="2338"/>
      <c r="AO584" s="2338"/>
      <c r="AP584" s="2338"/>
      <c r="AQ584" s="2338"/>
      <c r="AR584" s="2338"/>
      <c r="AS584" s="2338"/>
      <c r="AT584" s="2338"/>
      <c r="AU584" s="2338"/>
      <c r="AV584" s="2338"/>
      <c r="AW584" s="2338"/>
      <c r="AX584" s="2338"/>
      <c r="AY584" s="2338"/>
      <c r="AZ584" s="2338"/>
      <c r="BA584" s="2338"/>
      <c r="BB584" s="2338"/>
      <c r="BC584" s="2338"/>
      <c r="BD584" s="2338"/>
      <c r="BE584" s="2338"/>
      <c r="BF584" s="2338"/>
      <c r="BG584" s="2338"/>
      <c r="BH584" s="2338"/>
      <c r="BI584" s="2338"/>
      <c r="BJ584" s="2338"/>
      <c r="BK584" s="2338"/>
      <c r="BL584" s="2338"/>
      <c r="BM584" s="2338"/>
      <c r="BN584" s="2338"/>
      <c r="BO584" s="2338"/>
      <c r="BP584" s="2338"/>
      <c r="BQ584" s="2338"/>
      <c r="BR584" s="2338"/>
      <c r="BS584" s="2338"/>
      <c r="BT584" s="2338"/>
      <c r="BU584" s="2338"/>
      <c r="BV584" s="2338"/>
      <c r="BW584" s="2338"/>
      <c r="BX584" s="2338"/>
      <c r="BY584" s="2338"/>
      <c r="BZ584" s="2338"/>
      <c r="CA584" s="2338"/>
      <c r="CB584" s="2338"/>
      <c r="CC584" s="2338"/>
      <c r="CD584" s="2338"/>
      <c r="CE584" s="2338"/>
      <c r="CF584" s="2338"/>
      <c r="CG584" s="2338"/>
      <c r="CH584" s="2338"/>
      <c r="CI584" s="2338"/>
      <c r="CJ584" s="2338"/>
      <c r="CK584" s="2338"/>
      <c r="CL584" s="2338"/>
      <c r="CM584" s="2338"/>
      <c r="CN584" s="2338"/>
      <c r="CO584" s="2338"/>
      <c r="CP584" s="2338"/>
      <c r="CQ584" s="2338"/>
      <c r="CR584" s="2338"/>
      <c r="CS584" s="2338"/>
      <c r="CT584" s="2338"/>
      <c r="CU584" s="2338"/>
      <c r="CV584" s="2338"/>
      <c r="CW584" s="2338"/>
      <c r="CX584" s="2338"/>
      <c r="CY584" s="2338"/>
      <c r="CZ584" s="2338"/>
      <c r="DA584" s="2338"/>
      <c r="DB584" s="2338"/>
      <c r="DC584" s="2338"/>
      <c r="DD584" s="2338"/>
      <c r="DE584" s="2338"/>
      <c r="DF584" s="2338"/>
      <c r="DG584" s="2338"/>
      <c r="DH584" s="2338"/>
      <c r="DI584" s="2338"/>
      <c r="DJ584" s="2338"/>
      <c r="DK584" s="2338"/>
      <c r="DL584" s="2338"/>
      <c r="DM584" s="2338"/>
      <c r="DN584" s="2338"/>
      <c r="DO584" s="2338"/>
    </row>
    <row r="585" spans="26:119">
      <c r="Z585" s="2338"/>
      <c r="AA585" s="2338"/>
      <c r="AB585" s="2338"/>
      <c r="AC585" s="2338"/>
      <c r="AD585" s="2338"/>
      <c r="AE585" s="2338"/>
      <c r="AF585" s="2338"/>
      <c r="AG585" s="2338"/>
      <c r="AH585" s="2338"/>
      <c r="AI585" s="2338"/>
      <c r="AJ585" s="2338"/>
      <c r="AK585" s="2338"/>
      <c r="AL585" s="2338"/>
      <c r="AM585" s="2338"/>
      <c r="AN585" s="2338"/>
      <c r="AO585" s="2338"/>
      <c r="AP585" s="2338"/>
      <c r="AQ585" s="2338"/>
      <c r="AR585" s="2338"/>
      <c r="AS585" s="2338"/>
      <c r="AT585" s="2338"/>
      <c r="AU585" s="2338"/>
      <c r="AV585" s="2338"/>
      <c r="AW585" s="2338"/>
      <c r="AX585" s="2338"/>
      <c r="AY585" s="2338"/>
      <c r="AZ585" s="2338"/>
      <c r="BA585" s="2338"/>
      <c r="BB585" s="2338"/>
      <c r="BC585" s="2338"/>
      <c r="BD585" s="2338"/>
      <c r="BE585" s="2338"/>
      <c r="BF585" s="2338"/>
      <c r="BG585" s="2338"/>
      <c r="BH585" s="2338"/>
      <c r="BI585" s="2338"/>
      <c r="BJ585" s="2338"/>
      <c r="BK585" s="2338"/>
      <c r="BL585" s="2338"/>
      <c r="BM585" s="2338"/>
      <c r="BN585" s="2338"/>
      <c r="BO585" s="2338"/>
      <c r="BP585" s="2338"/>
      <c r="BQ585" s="2338"/>
      <c r="BR585" s="2338"/>
      <c r="BS585" s="2338"/>
      <c r="BT585" s="2338"/>
      <c r="BU585" s="2338"/>
      <c r="BV585" s="2338"/>
      <c r="BW585" s="2338"/>
      <c r="BX585" s="2338"/>
      <c r="BY585" s="2338"/>
      <c r="BZ585" s="2338"/>
      <c r="CA585" s="2338"/>
      <c r="CB585" s="2338"/>
      <c r="CC585" s="2338"/>
      <c r="CD585" s="2338"/>
      <c r="CE585" s="2338"/>
      <c r="CF585" s="2338"/>
      <c r="CG585" s="2338"/>
      <c r="CH585" s="2338"/>
      <c r="CI585" s="2338"/>
      <c r="CJ585" s="2338"/>
      <c r="CK585" s="2338"/>
      <c r="CL585" s="2338"/>
      <c r="CM585" s="2338"/>
      <c r="CN585" s="2338"/>
      <c r="CO585" s="2338"/>
      <c r="CP585" s="2338"/>
      <c r="CQ585" s="2338"/>
      <c r="CR585" s="2338"/>
      <c r="CS585" s="2338"/>
      <c r="CT585" s="2338"/>
      <c r="CU585" s="2338"/>
      <c r="CV585" s="2338"/>
      <c r="CW585" s="2338"/>
      <c r="CX585" s="2338"/>
      <c r="CY585" s="2338"/>
      <c r="CZ585" s="2338"/>
      <c r="DA585" s="2338"/>
      <c r="DB585" s="2338"/>
      <c r="DC585" s="2338"/>
      <c r="DD585" s="2338"/>
      <c r="DE585" s="2338"/>
      <c r="DF585" s="2338"/>
      <c r="DG585" s="2338"/>
      <c r="DH585" s="2338"/>
      <c r="DI585" s="2338"/>
      <c r="DJ585" s="2338"/>
      <c r="DK585" s="2338"/>
      <c r="DL585" s="2338"/>
      <c r="DM585" s="2338"/>
      <c r="DN585" s="2338"/>
      <c r="DO585" s="2338"/>
    </row>
    <row r="586" spans="26:119">
      <c r="Z586" s="2338"/>
      <c r="AA586" s="2338"/>
      <c r="AB586" s="2338"/>
      <c r="AC586" s="2338"/>
      <c r="AD586" s="2338"/>
      <c r="AE586" s="2338"/>
      <c r="AF586" s="2338"/>
      <c r="AG586" s="2338"/>
      <c r="AH586" s="2338"/>
      <c r="AI586" s="2338"/>
      <c r="AJ586" s="2338"/>
      <c r="AK586" s="2338"/>
      <c r="AL586" s="2338"/>
      <c r="AM586" s="2338"/>
      <c r="AN586" s="2338"/>
      <c r="AO586" s="2338"/>
      <c r="AP586" s="2338"/>
      <c r="AQ586" s="2338"/>
      <c r="AR586" s="2338"/>
      <c r="AS586" s="2338"/>
      <c r="AT586" s="2338"/>
      <c r="AU586" s="2338"/>
      <c r="AV586" s="2338"/>
      <c r="AW586" s="2338"/>
      <c r="AX586" s="2338"/>
      <c r="AY586" s="2338"/>
      <c r="AZ586" s="2338"/>
      <c r="BA586" s="2338"/>
      <c r="BB586" s="2338"/>
      <c r="BC586" s="2338"/>
      <c r="BD586" s="2338"/>
      <c r="BE586" s="2338"/>
      <c r="BF586" s="2338"/>
      <c r="BG586" s="2338"/>
      <c r="BH586" s="2338"/>
      <c r="BI586" s="2338"/>
      <c r="BJ586" s="2338"/>
      <c r="BK586" s="2338"/>
      <c r="BL586" s="2338"/>
      <c r="BM586" s="2338"/>
      <c r="BN586" s="2338"/>
      <c r="BO586" s="2338"/>
      <c r="BP586" s="2338"/>
      <c r="BQ586" s="2338"/>
      <c r="BR586" s="2338"/>
      <c r="BS586" s="2338"/>
      <c r="BT586" s="2338"/>
      <c r="BU586" s="2338"/>
      <c r="BV586" s="2338"/>
      <c r="BW586" s="2338"/>
      <c r="BX586" s="2338"/>
      <c r="BY586" s="2338"/>
      <c r="BZ586" s="2338"/>
      <c r="CA586" s="2338"/>
      <c r="CB586" s="2338"/>
      <c r="CC586" s="2338"/>
      <c r="CD586" s="2338"/>
      <c r="CE586" s="2338"/>
      <c r="CF586" s="2338"/>
      <c r="CG586" s="2338"/>
      <c r="CH586" s="2338"/>
      <c r="CI586" s="2338"/>
      <c r="CJ586" s="2338"/>
      <c r="CK586" s="2338"/>
      <c r="CL586" s="2338"/>
      <c r="CM586" s="2338"/>
      <c r="CN586" s="2338"/>
      <c r="CO586" s="2338"/>
      <c r="CP586" s="2338"/>
      <c r="CQ586" s="2338"/>
      <c r="CR586" s="2338"/>
      <c r="CS586" s="2338"/>
      <c r="CT586" s="2338"/>
      <c r="CU586" s="2338"/>
      <c r="CV586" s="2338"/>
      <c r="CW586" s="2338"/>
      <c r="CX586" s="2338"/>
      <c r="CY586" s="2338"/>
      <c r="CZ586" s="2338"/>
      <c r="DA586" s="2338"/>
      <c r="DB586" s="2338"/>
      <c r="DC586" s="2338"/>
      <c r="DD586" s="2338"/>
      <c r="DE586" s="2338"/>
      <c r="DF586" s="2338"/>
      <c r="DG586" s="2338"/>
      <c r="DH586" s="2338"/>
      <c r="DI586" s="2338"/>
      <c r="DJ586" s="2338"/>
      <c r="DK586" s="2338"/>
      <c r="DL586" s="2338"/>
      <c r="DM586" s="2338"/>
      <c r="DN586" s="2338"/>
      <c r="DO586" s="2338"/>
    </row>
    <row r="587" spans="26:119">
      <c r="Z587" s="2338"/>
      <c r="AA587" s="2338"/>
      <c r="AB587" s="2338"/>
      <c r="AC587" s="2338"/>
      <c r="AD587" s="2338"/>
      <c r="AE587" s="2338"/>
      <c r="AF587" s="2338"/>
      <c r="AG587" s="2338"/>
      <c r="AH587" s="2338"/>
      <c r="AI587" s="2338"/>
      <c r="AJ587" s="2338"/>
      <c r="AK587" s="2338"/>
      <c r="AL587" s="2338"/>
      <c r="AM587" s="2338"/>
      <c r="AN587" s="2338"/>
      <c r="AO587" s="2338"/>
      <c r="AP587" s="2338"/>
      <c r="AQ587" s="2338"/>
      <c r="AR587" s="2338"/>
      <c r="AS587" s="2338"/>
      <c r="AT587" s="2338"/>
      <c r="AU587" s="2338"/>
      <c r="AV587" s="2338"/>
      <c r="AW587" s="2338"/>
      <c r="AX587" s="2338"/>
      <c r="AY587" s="2338"/>
      <c r="AZ587" s="2338"/>
      <c r="BA587" s="2338"/>
      <c r="BB587" s="2338"/>
      <c r="BC587" s="2338"/>
      <c r="BD587" s="2338"/>
      <c r="BE587" s="2338"/>
      <c r="BF587" s="2338"/>
      <c r="BG587" s="2338"/>
      <c r="BH587" s="2338"/>
      <c r="BI587" s="2338"/>
      <c r="BJ587" s="2338"/>
      <c r="BK587" s="2338"/>
      <c r="BL587" s="2338"/>
      <c r="BM587" s="2338"/>
      <c r="BN587" s="2338"/>
      <c r="BO587" s="2338"/>
      <c r="BP587" s="2338"/>
      <c r="BQ587" s="2338"/>
      <c r="BR587" s="2338"/>
      <c r="BS587" s="2338"/>
      <c r="BT587" s="2338"/>
      <c r="BU587" s="2338"/>
      <c r="BV587" s="2338"/>
      <c r="BW587" s="2338"/>
      <c r="BX587" s="2338"/>
      <c r="BY587" s="2338"/>
      <c r="BZ587" s="2338"/>
      <c r="CA587" s="2338"/>
      <c r="CB587" s="2338"/>
      <c r="CC587" s="2338"/>
      <c r="CD587" s="2338"/>
      <c r="CE587" s="2338"/>
      <c r="CF587" s="2338"/>
      <c r="CG587" s="2338"/>
      <c r="CH587" s="2338"/>
      <c r="CI587" s="2338"/>
      <c r="CJ587" s="2338"/>
      <c r="CK587" s="2338"/>
      <c r="CL587" s="2338"/>
      <c r="CM587" s="2338"/>
      <c r="CN587" s="2338"/>
      <c r="CO587" s="2338"/>
      <c r="CP587" s="2338"/>
      <c r="CQ587" s="2338"/>
      <c r="CR587" s="2338"/>
      <c r="CS587" s="2338"/>
      <c r="CT587" s="2338"/>
      <c r="CU587" s="2338"/>
      <c r="CV587" s="2338"/>
      <c r="CW587" s="2338"/>
      <c r="CX587" s="2338"/>
      <c r="CY587" s="2338"/>
      <c r="CZ587" s="2338"/>
      <c r="DA587" s="2338"/>
      <c r="DB587" s="2338"/>
      <c r="DC587" s="2338"/>
      <c r="DD587" s="2338"/>
      <c r="DE587" s="2338"/>
      <c r="DF587" s="2338"/>
      <c r="DG587" s="2338"/>
      <c r="DH587" s="2338"/>
      <c r="DI587" s="2338"/>
      <c r="DJ587" s="2338"/>
      <c r="DK587" s="2338"/>
      <c r="DL587" s="2338"/>
      <c r="DM587" s="2338"/>
      <c r="DN587" s="2338"/>
      <c r="DO587" s="2338"/>
    </row>
    <row r="588" spans="26:119">
      <c r="Z588" s="2338"/>
      <c r="AA588" s="2338"/>
      <c r="AB588" s="2338"/>
      <c r="AC588" s="2338"/>
      <c r="AD588" s="2338"/>
      <c r="AE588" s="2338"/>
      <c r="AF588" s="2338"/>
      <c r="AG588" s="2338"/>
      <c r="AH588" s="2338"/>
      <c r="AI588" s="2338"/>
      <c r="AJ588" s="2338"/>
      <c r="AK588" s="2338"/>
      <c r="AL588" s="2338"/>
      <c r="AM588" s="2338"/>
      <c r="AN588" s="2338"/>
      <c r="AO588" s="2338"/>
      <c r="AP588" s="2338"/>
      <c r="AQ588" s="2338"/>
      <c r="AR588" s="2338"/>
      <c r="AS588" s="2338"/>
      <c r="AT588" s="2338"/>
      <c r="AU588" s="2338"/>
      <c r="AV588" s="2338"/>
      <c r="AW588" s="2338"/>
      <c r="AX588" s="2338"/>
      <c r="AY588" s="2338"/>
      <c r="AZ588" s="2338"/>
      <c r="BA588" s="2338"/>
      <c r="BB588" s="2338"/>
      <c r="BC588" s="2338"/>
      <c r="BD588" s="2338"/>
      <c r="BE588" s="2338"/>
      <c r="BF588" s="2338"/>
      <c r="BG588" s="2338"/>
      <c r="BH588" s="2338"/>
      <c r="BI588" s="2338"/>
      <c r="BJ588" s="2338"/>
      <c r="BK588" s="2338"/>
      <c r="BL588" s="2338"/>
      <c r="BM588" s="2338"/>
      <c r="BN588" s="2338"/>
      <c r="BO588" s="2338"/>
      <c r="BP588" s="2338"/>
      <c r="BQ588" s="2338"/>
      <c r="BR588" s="2338"/>
      <c r="BS588" s="2338"/>
      <c r="BT588" s="2338"/>
      <c r="BU588" s="2338"/>
      <c r="BV588" s="2338"/>
      <c r="BW588" s="2338"/>
      <c r="BX588" s="2338"/>
      <c r="BY588" s="2338"/>
      <c r="BZ588" s="2338"/>
      <c r="CA588" s="2338"/>
      <c r="CB588" s="2338"/>
      <c r="CC588" s="2338"/>
      <c r="CD588" s="2338"/>
      <c r="CE588" s="2338"/>
      <c r="CF588" s="2338"/>
      <c r="CG588" s="2338"/>
      <c r="CH588" s="2338"/>
      <c r="CI588" s="2338"/>
      <c r="CJ588" s="2338"/>
      <c r="CK588" s="2338"/>
      <c r="CL588" s="2338"/>
      <c r="CM588" s="2338"/>
      <c r="CN588" s="2338"/>
      <c r="CO588" s="2338"/>
      <c r="CP588" s="2338"/>
      <c r="CQ588" s="2338"/>
      <c r="CR588" s="2338"/>
      <c r="CS588" s="2338"/>
      <c r="CT588" s="2338"/>
      <c r="CU588" s="2338"/>
      <c r="CV588" s="2338"/>
      <c r="CW588" s="2338"/>
      <c r="CX588" s="2338"/>
      <c r="CY588" s="2338"/>
      <c r="CZ588" s="2338"/>
      <c r="DA588" s="2338"/>
      <c r="DB588" s="2338"/>
      <c r="DC588" s="2338"/>
      <c r="DD588" s="2338"/>
      <c r="DE588" s="2338"/>
      <c r="DF588" s="2338"/>
      <c r="DG588" s="2338"/>
      <c r="DH588" s="2338"/>
      <c r="DI588" s="2338"/>
      <c r="DJ588" s="2338"/>
      <c r="DK588" s="2338"/>
      <c r="DL588" s="2338"/>
      <c r="DM588" s="2338"/>
      <c r="DN588" s="2338"/>
      <c r="DO588" s="2338"/>
    </row>
    <row r="589" spans="26:119">
      <c r="Z589" s="2338"/>
      <c r="AA589" s="2338"/>
      <c r="AB589" s="2338"/>
      <c r="AC589" s="2338"/>
      <c r="AD589" s="2338"/>
      <c r="AE589" s="2338"/>
      <c r="AF589" s="2338"/>
      <c r="AG589" s="2338"/>
      <c r="AH589" s="2338"/>
      <c r="AI589" s="2338"/>
      <c r="AJ589" s="2338"/>
      <c r="AK589" s="2338"/>
      <c r="AL589" s="2338"/>
      <c r="AM589" s="2338"/>
      <c r="AN589" s="2338"/>
      <c r="AO589" s="2338"/>
      <c r="AP589" s="2338"/>
      <c r="AQ589" s="2338"/>
      <c r="AR589" s="2338"/>
      <c r="AS589" s="2338"/>
      <c r="AT589" s="2338"/>
      <c r="AU589" s="2338"/>
      <c r="AV589" s="2338"/>
      <c r="AW589" s="2338"/>
      <c r="AX589" s="2338"/>
      <c r="AY589" s="2338"/>
      <c r="AZ589" s="2338"/>
      <c r="BA589" s="2338"/>
      <c r="BB589" s="2338"/>
      <c r="BC589" s="2338"/>
      <c r="BD589" s="2338"/>
      <c r="BE589" s="2338"/>
      <c r="BF589" s="2338"/>
      <c r="BG589" s="2338"/>
      <c r="BH589" s="2338"/>
      <c r="BI589" s="2338"/>
      <c r="BJ589" s="2338"/>
      <c r="BK589" s="2338"/>
      <c r="BL589" s="2338"/>
      <c r="BM589" s="2338"/>
      <c r="BN589" s="2338"/>
      <c r="BO589" s="2338"/>
      <c r="BP589" s="2338"/>
      <c r="BQ589" s="2338"/>
      <c r="BR589" s="2338"/>
      <c r="BS589" s="2338"/>
      <c r="BT589" s="2338"/>
      <c r="BU589" s="2338"/>
      <c r="BV589" s="2338"/>
      <c r="BW589" s="2338"/>
      <c r="BX589" s="2338"/>
      <c r="BY589" s="2338"/>
      <c r="BZ589" s="2338"/>
      <c r="CA589" s="2338"/>
      <c r="CB589" s="2338"/>
      <c r="CC589" s="2338"/>
      <c r="CD589" s="2338"/>
      <c r="CE589" s="2338"/>
      <c r="CF589" s="2338"/>
      <c r="CG589" s="2338"/>
      <c r="CH589" s="2338"/>
      <c r="CI589" s="2338"/>
      <c r="CJ589" s="2338"/>
      <c r="CK589" s="2338"/>
      <c r="CL589" s="2338"/>
      <c r="CM589" s="2338"/>
      <c r="CN589" s="2338"/>
      <c r="CO589" s="2338"/>
      <c r="CP589" s="2338"/>
      <c r="CQ589" s="2338"/>
      <c r="CR589" s="2338"/>
      <c r="CS589" s="2338"/>
      <c r="CT589" s="2338"/>
      <c r="CU589" s="2338"/>
      <c r="CV589" s="2338"/>
      <c r="CW589" s="2338"/>
      <c r="CX589" s="2338"/>
      <c r="CY589" s="2338"/>
      <c r="CZ589" s="2338"/>
      <c r="DA589" s="2338"/>
      <c r="DB589" s="2338"/>
      <c r="DC589" s="2338"/>
      <c r="DD589" s="2338"/>
      <c r="DE589" s="2338"/>
      <c r="DF589" s="2338"/>
      <c r="DG589" s="2338"/>
      <c r="DH589" s="2338"/>
      <c r="DI589" s="2338"/>
      <c r="DJ589" s="2338"/>
      <c r="DK589" s="2338"/>
      <c r="DL589" s="2338"/>
      <c r="DM589" s="2338"/>
      <c r="DN589" s="2338"/>
      <c r="DO589" s="2338"/>
    </row>
    <row r="590" spans="26:119">
      <c r="Z590" s="2338"/>
      <c r="AA590" s="2338"/>
      <c r="AB590" s="2338"/>
      <c r="AC590" s="2338"/>
      <c r="AD590" s="2338"/>
      <c r="AE590" s="2338"/>
      <c r="AF590" s="2338"/>
      <c r="AG590" s="2338"/>
      <c r="AH590" s="2338"/>
      <c r="AI590" s="2338"/>
      <c r="AJ590" s="2338"/>
      <c r="AK590" s="2338"/>
      <c r="AL590" s="2338"/>
      <c r="AM590" s="2338"/>
      <c r="AN590" s="2338"/>
      <c r="AO590" s="2338"/>
      <c r="AP590" s="2338"/>
      <c r="AQ590" s="2338"/>
      <c r="AR590" s="2338"/>
      <c r="AS590" s="2338"/>
      <c r="AT590" s="2338"/>
      <c r="AU590" s="2338"/>
      <c r="AV590" s="2338"/>
      <c r="AW590" s="2338"/>
      <c r="AX590" s="2338"/>
      <c r="AY590" s="2338"/>
      <c r="AZ590" s="2338"/>
      <c r="BA590" s="2338"/>
      <c r="BB590" s="2338"/>
      <c r="BC590" s="2338"/>
      <c r="BD590" s="2338"/>
      <c r="BE590" s="2338"/>
      <c r="BF590" s="2338"/>
      <c r="BG590" s="2338"/>
      <c r="BH590" s="2338"/>
      <c r="BI590" s="2338"/>
      <c r="BJ590" s="2338"/>
      <c r="BK590" s="2338"/>
      <c r="BL590" s="2338"/>
      <c r="BM590" s="2338"/>
      <c r="BN590" s="2338"/>
      <c r="BO590" s="2338"/>
      <c r="BP590" s="2338"/>
      <c r="BQ590" s="2338"/>
      <c r="BR590" s="2338"/>
      <c r="BS590" s="2338"/>
      <c r="BT590" s="2338"/>
      <c r="BU590" s="2338"/>
      <c r="BV590" s="2338"/>
      <c r="BW590" s="2338"/>
      <c r="BX590" s="2338"/>
      <c r="BY590" s="2338"/>
      <c r="BZ590" s="2338"/>
      <c r="CA590" s="2338"/>
      <c r="CB590" s="2338"/>
      <c r="CC590" s="2338"/>
      <c r="CD590" s="2338"/>
      <c r="CE590" s="2338"/>
      <c r="CF590" s="2338"/>
      <c r="CG590" s="2338"/>
      <c r="CH590" s="2338"/>
      <c r="CI590" s="2338"/>
      <c r="CJ590" s="2338"/>
      <c r="CK590" s="2338"/>
      <c r="CL590" s="2338"/>
      <c r="CM590" s="2338"/>
      <c r="CN590" s="2338"/>
      <c r="CO590" s="2338"/>
      <c r="CP590" s="2338"/>
      <c r="CQ590" s="2338"/>
      <c r="CR590" s="2338"/>
      <c r="CS590" s="2338"/>
      <c r="CT590" s="2338"/>
      <c r="CU590" s="2338"/>
      <c r="CV590" s="2338"/>
      <c r="CW590" s="2338"/>
      <c r="CX590" s="2338"/>
      <c r="CY590" s="2338"/>
      <c r="CZ590" s="2338"/>
      <c r="DA590" s="2338"/>
      <c r="DB590" s="2338"/>
      <c r="DC590" s="2338"/>
      <c r="DD590" s="2338"/>
      <c r="DE590" s="2338"/>
      <c r="DF590" s="2338"/>
      <c r="DG590" s="2338"/>
      <c r="DH590" s="2338"/>
      <c r="DI590" s="2338"/>
      <c r="DJ590" s="2338"/>
      <c r="DK590" s="2338"/>
      <c r="DL590" s="2338"/>
      <c r="DM590" s="2338"/>
      <c r="DN590" s="2338"/>
      <c r="DO590" s="2338"/>
    </row>
    <row r="591" spans="26:119">
      <c r="Z591" s="2338"/>
      <c r="AA591" s="2338"/>
      <c r="AB591" s="2338"/>
      <c r="AC591" s="2338"/>
      <c r="AD591" s="2338"/>
      <c r="AE591" s="2338"/>
      <c r="AF591" s="2338"/>
      <c r="AG591" s="2338"/>
      <c r="AH591" s="2338"/>
      <c r="AI591" s="2338"/>
      <c r="AJ591" s="2338"/>
      <c r="AK591" s="2338"/>
      <c r="AL591" s="2338"/>
      <c r="AM591" s="2338"/>
      <c r="AN591" s="2338"/>
      <c r="AO591" s="2338"/>
      <c r="AP591" s="2338"/>
      <c r="AQ591" s="2338"/>
      <c r="AR591" s="2338"/>
      <c r="AS591" s="2338"/>
      <c r="AT591" s="2338"/>
      <c r="AU591" s="2338"/>
      <c r="AV591" s="2338"/>
      <c r="AW591" s="2338"/>
      <c r="AX591" s="2338"/>
      <c r="AY591" s="2338"/>
      <c r="AZ591" s="2338"/>
      <c r="BA591" s="2338"/>
      <c r="BB591" s="2338"/>
      <c r="BC591" s="2338"/>
      <c r="BD591" s="2338"/>
      <c r="BE591" s="2338"/>
      <c r="BF591" s="2338"/>
      <c r="BG591" s="2338"/>
      <c r="BH591" s="2338"/>
      <c r="BI591" s="2338"/>
      <c r="BJ591" s="2338"/>
      <c r="BK591" s="2338"/>
      <c r="BL591" s="2338"/>
      <c r="BM591" s="2338"/>
      <c r="BN591" s="2338"/>
      <c r="BO591" s="2338"/>
      <c r="BP591" s="2338"/>
      <c r="BQ591" s="2338"/>
      <c r="BR591" s="2338"/>
      <c r="BS591" s="2338"/>
      <c r="BT591" s="2338"/>
      <c r="BU591" s="2338"/>
      <c r="BV591" s="2338"/>
      <c r="BW591" s="2338"/>
      <c r="BX591" s="2338"/>
      <c r="BY591" s="2338"/>
      <c r="BZ591" s="2338"/>
      <c r="CA591" s="2338"/>
      <c r="CB591" s="2338"/>
      <c r="CC591" s="2338"/>
      <c r="CD591" s="2338"/>
      <c r="CE591" s="2338"/>
      <c r="CF591" s="2338"/>
      <c r="CG591" s="2338"/>
      <c r="CH591" s="2338"/>
      <c r="CI591" s="2338"/>
      <c r="CJ591" s="2338"/>
      <c r="CK591" s="2338"/>
      <c r="CL591" s="2338"/>
      <c r="CM591" s="2338"/>
      <c r="CN591" s="2338"/>
      <c r="CO591" s="2338"/>
      <c r="CP591" s="2338"/>
      <c r="CQ591" s="2338"/>
      <c r="CR591" s="2338"/>
      <c r="CS591" s="2338"/>
      <c r="CT591" s="2338"/>
      <c r="CU591" s="2338"/>
      <c r="CV591" s="2338"/>
      <c r="CW591" s="2338"/>
      <c r="CX591" s="2338"/>
      <c r="CY591" s="2338"/>
      <c r="CZ591" s="2338"/>
      <c r="DA591" s="2338"/>
      <c r="DB591" s="2338"/>
      <c r="DC591" s="2338"/>
      <c r="DD591" s="2338"/>
      <c r="DE591" s="2338"/>
      <c r="DF591" s="2338"/>
      <c r="DG591" s="2338"/>
      <c r="DH591" s="2338"/>
      <c r="DI591" s="2338"/>
      <c r="DJ591" s="2338"/>
      <c r="DK591" s="2338"/>
      <c r="DL591" s="2338"/>
      <c r="DM591" s="2338"/>
      <c r="DN591" s="2338"/>
      <c r="DO591" s="2338"/>
    </row>
    <row r="592" spans="26:119">
      <c r="Z592" s="2338"/>
      <c r="AA592" s="2338"/>
      <c r="AB592" s="2338"/>
      <c r="AC592" s="2338"/>
      <c r="AD592" s="2338"/>
      <c r="AE592" s="2338"/>
      <c r="AF592" s="2338"/>
      <c r="AG592" s="2338"/>
      <c r="AH592" s="2338"/>
      <c r="AI592" s="2338"/>
      <c r="AJ592" s="2338"/>
      <c r="AK592" s="2338"/>
      <c r="AL592" s="2338"/>
      <c r="AM592" s="2338"/>
      <c r="AN592" s="2338"/>
      <c r="AO592" s="2338"/>
      <c r="AP592" s="2338"/>
      <c r="AQ592" s="2338"/>
      <c r="AR592" s="2338"/>
      <c r="AS592" s="2338"/>
      <c r="AT592" s="2338"/>
      <c r="AU592" s="2338"/>
      <c r="AV592" s="2338"/>
      <c r="AW592" s="2338"/>
      <c r="AX592" s="2338"/>
      <c r="AY592" s="2338"/>
      <c r="AZ592" s="2338"/>
      <c r="BA592" s="2338"/>
      <c r="BB592" s="2338"/>
      <c r="BC592" s="2338"/>
      <c r="BD592" s="2338"/>
      <c r="BE592" s="2338"/>
      <c r="BF592" s="2338"/>
      <c r="BG592" s="2338"/>
      <c r="BH592" s="2338"/>
      <c r="BI592" s="2338"/>
      <c r="BJ592" s="2338"/>
      <c r="BK592" s="2338"/>
      <c r="BL592" s="2338"/>
      <c r="BM592" s="2338"/>
      <c r="BN592" s="2338"/>
      <c r="BO592" s="2338"/>
      <c r="BP592" s="2338"/>
      <c r="BQ592" s="2338"/>
      <c r="BR592" s="2338"/>
      <c r="BS592" s="2338"/>
      <c r="BT592" s="2338"/>
      <c r="BU592" s="2338"/>
      <c r="BV592" s="2338"/>
      <c r="BW592" s="2338"/>
      <c r="BX592" s="2338"/>
      <c r="BY592" s="2338"/>
      <c r="BZ592" s="2338"/>
      <c r="CA592" s="2338"/>
      <c r="CB592" s="2338"/>
      <c r="CC592" s="2338"/>
      <c r="CD592" s="2338"/>
      <c r="CE592" s="2338"/>
      <c r="CF592" s="2338"/>
      <c r="CG592" s="2338"/>
      <c r="CH592" s="2338"/>
      <c r="CI592" s="2338"/>
      <c r="CJ592" s="2338"/>
      <c r="CK592" s="2338"/>
      <c r="CL592" s="2338"/>
      <c r="CM592" s="2338"/>
      <c r="CN592" s="2338"/>
      <c r="CO592" s="2338"/>
      <c r="CP592" s="2338"/>
      <c r="CQ592" s="2338"/>
      <c r="CR592" s="2338"/>
      <c r="CS592" s="2338"/>
      <c r="CT592" s="2338"/>
      <c r="CU592" s="2338"/>
      <c r="CV592" s="2338"/>
      <c r="CW592" s="2338"/>
      <c r="CX592" s="2338"/>
      <c r="CY592" s="2338"/>
      <c r="CZ592" s="2338"/>
      <c r="DA592" s="2338"/>
      <c r="DB592" s="2338"/>
      <c r="DC592" s="2338"/>
      <c r="DD592" s="2338"/>
      <c r="DE592" s="2338"/>
      <c r="DF592" s="2338"/>
      <c r="DG592" s="2338"/>
      <c r="DH592" s="2338"/>
      <c r="DI592" s="2338"/>
      <c r="DJ592" s="2338"/>
      <c r="DK592" s="2338"/>
      <c r="DL592" s="2338"/>
      <c r="DM592" s="2338"/>
      <c r="DN592" s="2338"/>
      <c r="DO592" s="2338"/>
    </row>
    <row r="593" spans="26:119">
      <c r="Z593" s="2338"/>
      <c r="AA593" s="2338"/>
      <c r="AB593" s="2338"/>
      <c r="AC593" s="2338"/>
      <c r="AD593" s="2338"/>
      <c r="AE593" s="2338"/>
      <c r="AF593" s="2338"/>
      <c r="AG593" s="2338"/>
      <c r="AH593" s="2338"/>
      <c r="AI593" s="2338"/>
      <c r="AJ593" s="2338"/>
      <c r="AK593" s="2338"/>
      <c r="AL593" s="2338"/>
      <c r="AM593" s="2338"/>
      <c r="AN593" s="2338"/>
      <c r="AO593" s="2338"/>
      <c r="AP593" s="2338"/>
      <c r="AQ593" s="2338"/>
      <c r="AR593" s="2338"/>
      <c r="AS593" s="2338"/>
      <c r="AT593" s="2338"/>
      <c r="AU593" s="2338"/>
      <c r="AV593" s="2338"/>
      <c r="AW593" s="2338"/>
      <c r="AX593" s="2338"/>
      <c r="AY593" s="2338"/>
      <c r="AZ593" s="2338"/>
      <c r="BA593" s="2338"/>
      <c r="BB593" s="2338"/>
      <c r="BC593" s="2338"/>
      <c r="BD593" s="2338"/>
      <c r="BE593" s="2338"/>
      <c r="BF593" s="2338"/>
      <c r="BG593" s="2338"/>
      <c r="BH593" s="2338"/>
      <c r="BI593" s="2338"/>
      <c r="BJ593" s="2338"/>
      <c r="BK593" s="2338"/>
      <c r="BL593" s="2338"/>
      <c r="BM593" s="2338"/>
      <c r="BN593" s="2338"/>
      <c r="BO593" s="2338"/>
      <c r="BP593" s="2338"/>
      <c r="BQ593" s="2338"/>
      <c r="BR593" s="2338"/>
      <c r="BS593" s="2338"/>
      <c r="BT593" s="2338"/>
      <c r="BU593" s="2338"/>
      <c r="BV593" s="2338"/>
      <c r="BW593" s="2338"/>
      <c r="BX593" s="2338"/>
      <c r="BY593" s="2338"/>
      <c r="BZ593" s="2338"/>
      <c r="CA593" s="2338"/>
      <c r="CB593" s="2338"/>
      <c r="CC593" s="2338"/>
      <c r="CD593" s="2338"/>
      <c r="CE593" s="2338"/>
      <c r="CF593" s="2338"/>
      <c r="CG593" s="2338"/>
      <c r="CH593" s="2338"/>
      <c r="CI593" s="2338"/>
      <c r="CJ593" s="2338"/>
      <c r="CK593" s="2338"/>
      <c r="CL593" s="2338"/>
      <c r="CM593" s="2338"/>
      <c r="CN593" s="2338"/>
      <c r="CO593" s="2338"/>
      <c r="CP593" s="2338"/>
      <c r="CQ593" s="2338"/>
      <c r="CR593" s="2338"/>
      <c r="CS593" s="2338"/>
      <c r="CT593" s="2338"/>
      <c r="CU593" s="2338"/>
      <c r="CV593" s="2338"/>
      <c r="CW593" s="2338"/>
      <c r="CX593" s="2338"/>
      <c r="CY593" s="2338"/>
      <c r="CZ593" s="2338"/>
      <c r="DA593" s="2338"/>
      <c r="DB593" s="2338"/>
      <c r="DC593" s="2338"/>
      <c r="DD593" s="2338"/>
      <c r="DE593" s="2338"/>
      <c r="DF593" s="2338"/>
      <c r="DG593" s="2338"/>
      <c r="DH593" s="2338"/>
      <c r="DI593" s="2338"/>
      <c r="DJ593" s="2338"/>
      <c r="DK593" s="2338"/>
      <c r="DL593" s="2338"/>
      <c r="DM593" s="2338"/>
      <c r="DN593" s="2338"/>
      <c r="DO593" s="2338"/>
    </row>
    <row r="594" spans="26:119">
      <c r="Z594" s="2338"/>
      <c r="AA594" s="2338"/>
      <c r="AB594" s="2338"/>
      <c r="AC594" s="2338"/>
      <c r="AD594" s="2338"/>
      <c r="AE594" s="2338"/>
      <c r="AF594" s="2338"/>
      <c r="AG594" s="2338"/>
      <c r="AH594" s="2338"/>
      <c r="AI594" s="2338"/>
      <c r="AJ594" s="2338"/>
      <c r="AK594" s="2338"/>
      <c r="AL594" s="2338"/>
      <c r="AM594" s="2338"/>
      <c r="AN594" s="2338"/>
      <c r="AO594" s="2338"/>
      <c r="AP594" s="2338"/>
      <c r="AQ594" s="2338"/>
      <c r="AR594" s="2338"/>
      <c r="AS594" s="2338"/>
      <c r="AT594" s="2338"/>
      <c r="AU594" s="2338"/>
      <c r="AV594" s="2338"/>
      <c r="AW594" s="2338"/>
      <c r="AX594" s="2338"/>
      <c r="AY594" s="2338"/>
      <c r="AZ594" s="2338"/>
      <c r="BA594" s="2338"/>
      <c r="BB594" s="2338"/>
      <c r="BC594" s="2338"/>
      <c r="BD594" s="2338"/>
      <c r="BE594" s="2338"/>
      <c r="BF594" s="2338"/>
      <c r="BG594" s="2338"/>
      <c r="BH594" s="2338"/>
      <c r="BI594" s="2338"/>
      <c r="BJ594" s="2338"/>
      <c r="BK594" s="2338"/>
      <c r="BL594" s="2338"/>
      <c r="BM594" s="2338"/>
      <c r="BN594" s="2338"/>
      <c r="BO594" s="2338"/>
      <c r="BP594" s="2338"/>
      <c r="BQ594" s="2338"/>
      <c r="BR594" s="2338"/>
      <c r="BS594" s="2338"/>
      <c r="BT594" s="2338"/>
      <c r="BU594" s="2338"/>
      <c r="BV594" s="2338"/>
      <c r="BW594" s="2338"/>
      <c r="BX594" s="2338"/>
      <c r="BY594" s="2338"/>
      <c r="BZ594" s="2338"/>
      <c r="CA594" s="2338"/>
      <c r="CB594" s="2338"/>
      <c r="CC594" s="2338"/>
      <c r="CD594" s="2338"/>
      <c r="CE594" s="2338"/>
      <c r="CF594" s="2338"/>
      <c r="CG594" s="2338"/>
      <c r="CH594" s="2338"/>
      <c r="CI594" s="2338"/>
      <c r="CJ594" s="2338"/>
      <c r="CK594" s="2338"/>
      <c r="CL594" s="2338"/>
      <c r="CM594" s="2338"/>
      <c r="CN594" s="2338"/>
      <c r="CO594" s="2338"/>
      <c r="CP594" s="2338"/>
      <c r="CQ594" s="2338"/>
      <c r="CR594" s="2338"/>
      <c r="CS594" s="2338"/>
      <c r="CT594" s="2338"/>
      <c r="CU594" s="2338"/>
      <c r="CV594" s="2338"/>
      <c r="CW594" s="2338"/>
      <c r="CX594" s="2338"/>
      <c r="CY594" s="2338"/>
      <c r="CZ594" s="2338"/>
      <c r="DA594" s="2338"/>
      <c r="DB594" s="2338"/>
      <c r="DC594" s="2338"/>
      <c r="DD594" s="2338"/>
      <c r="DE594" s="2338"/>
      <c r="DF594" s="2338"/>
      <c r="DG594" s="2338"/>
      <c r="DH594" s="2338"/>
      <c r="DI594" s="2338"/>
      <c r="DJ594" s="2338"/>
      <c r="DK594" s="2338"/>
      <c r="DL594" s="2338"/>
      <c r="DM594" s="2338"/>
      <c r="DN594" s="2338"/>
      <c r="DO594" s="2338"/>
    </row>
    <row r="595" spans="26:119">
      <c r="Z595" s="2338"/>
      <c r="AA595" s="2338"/>
      <c r="AB595" s="2338"/>
      <c r="AC595" s="2338"/>
      <c r="AD595" s="2338"/>
      <c r="AE595" s="2338"/>
      <c r="AF595" s="2338"/>
      <c r="AG595" s="2338"/>
      <c r="AH595" s="2338"/>
      <c r="AI595" s="2338"/>
      <c r="AJ595" s="2338"/>
      <c r="AK595" s="2338"/>
      <c r="AL595" s="2338"/>
      <c r="AM595" s="2338"/>
      <c r="AN595" s="2338"/>
      <c r="AO595" s="2338"/>
      <c r="AP595" s="2338"/>
      <c r="AQ595" s="2338"/>
      <c r="AR595" s="2338"/>
      <c r="AS595" s="2338"/>
      <c r="AT595" s="2338"/>
      <c r="AU595" s="2338"/>
      <c r="AV595" s="2338"/>
      <c r="AW595" s="2338"/>
      <c r="AX595" s="2338"/>
      <c r="AY595" s="2338"/>
      <c r="AZ595" s="2338"/>
      <c r="BA595" s="2338"/>
      <c r="BB595" s="2338"/>
      <c r="BC595" s="2338"/>
      <c r="BD595" s="2338"/>
      <c r="BE595" s="2338"/>
      <c r="BF595" s="2338"/>
      <c r="BG595" s="2338"/>
      <c r="BH595" s="2338"/>
      <c r="BI595" s="2338"/>
      <c r="BJ595" s="2338"/>
      <c r="BK595" s="2338"/>
      <c r="BL595" s="2338"/>
      <c r="BM595" s="2338"/>
      <c r="BN595" s="2338"/>
      <c r="BO595" s="2338"/>
      <c r="BP595" s="2338"/>
      <c r="BQ595" s="2338"/>
      <c r="BR595" s="2338"/>
      <c r="BS595" s="2338"/>
      <c r="BT595" s="2338"/>
      <c r="BU595" s="2338"/>
      <c r="BV595" s="2338"/>
      <c r="BW595" s="2338"/>
      <c r="BX595" s="2338"/>
      <c r="BY595" s="2338"/>
      <c r="BZ595" s="2338"/>
      <c r="CA595" s="2338"/>
      <c r="CB595" s="2338"/>
      <c r="CC595" s="2338"/>
      <c r="CD595" s="2338"/>
      <c r="CE595" s="2338"/>
      <c r="CF595" s="2338"/>
      <c r="CG595" s="2338"/>
      <c r="CH595" s="2338"/>
      <c r="CI595" s="2338"/>
      <c r="CJ595" s="2338"/>
      <c r="CK595" s="2338"/>
      <c r="CL595" s="2338"/>
      <c r="CM595" s="2338"/>
      <c r="CN595" s="2338"/>
      <c r="CO595" s="2338"/>
      <c r="CP595" s="2338"/>
      <c r="CQ595" s="2338"/>
      <c r="CR595" s="2338"/>
      <c r="CS595" s="2338"/>
      <c r="CT595" s="2338"/>
      <c r="CU595" s="2338"/>
      <c r="CV595" s="2338"/>
      <c r="CW595" s="2338"/>
      <c r="CX595" s="2338"/>
      <c r="CY595" s="2338"/>
      <c r="CZ595" s="2338"/>
      <c r="DA595" s="2338"/>
      <c r="DB595" s="2338"/>
      <c r="DC595" s="2338"/>
      <c r="DD595" s="2338"/>
      <c r="DE595" s="2338"/>
      <c r="DF595" s="2338"/>
      <c r="DG595" s="2338"/>
      <c r="DH595" s="2338"/>
      <c r="DI595" s="2338"/>
      <c r="DJ595" s="2338"/>
      <c r="DK595" s="2338"/>
      <c r="DL595" s="2338"/>
      <c r="DM595" s="2338"/>
      <c r="DN595" s="2338"/>
      <c r="DO595" s="2338"/>
    </row>
    <row r="596" spans="26:119">
      <c r="Z596" s="2338"/>
      <c r="AA596" s="2338"/>
      <c r="AB596" s="2338"/>
      <c r="AC596" s="2338"/>
      <c r="AD596" s="2338"/>
      <c r="AE596" s="2338"/>
      <c r="AF596" s="2338"/>
      <c r="AG596" s="2338"/>
      <c r="AH596" s="2338"/>
      <c r="AI596" s="2338"/>
      <c r="AJ596" s="2338"/>
      <c r="AK596" s="2338"/>
      <c r="AL596" s="2338"/>
      <c r="AM596" s="2338"/>
      <c r="AN596" s="2338"/>
      <c r="AO596" s="2338"/>
      <c r="AP596" s="2338"/>
      <c r="AQ596" s="2338"/>
      <c r="AR596" s="2338"/>
      <c r="AS596" s="2338"/>
      <c r="AT596" s="2338"/>
      <c r="AU596" s="2338"/>
      <c r="AV596" s="2338"/>
      <c r="AW596" s="2338"/>
      <c r="AX596" s="2338"/>
      <c r="AY596" s="2338"/>
      <c r="AZ596" s="2338"/>
      <c r="BA596" s="2338"/>
      <c r="BB596" s="2338"/>
      <c r="BC596" s="2338"/>
      <c r="BD596" s="2338"/>
      <c r="BE596" s="2338"/>
      <c r="BF596" s="2338"/>
      <c r="BG596" s="2338"/>
      <c r="BH596" s="2338"/>
      <c r="BI596" s="2338"/>
      <c r="BJ596" s="2338"/>
      <c r="BK596" s="2338"/>
      <c r="BL596" s="2338"/>
      <c r="BM596" s="2338"/>
      <c r="BN596" s="2338"/>
      <c r="BO596" s="2338"/>
      <c r="BP596" s="2338"/>
      <c r="BQ596" s="2338"/>
      <c r="BR596" s="2338"/>
      <c r="BS596" s="2338"/>
      <c r="BT596" s="2338"/>
      <c r="BU596" s="2338"/>
      <c r="BV596" s="2338"/>
      <c r="BW596" s="2338"/>
      <c r="BX596" s="2338"/>
      <c r="BY596" s="2338"/>
      <c r="BZ596" s="2338"/>
      <c r="CA596" s="2338"/>
      <c r="CB596" s="2338"/>
      <c r="CC596" s="2338"/>
      <c r="CD596" s="2338"/>
      <c r="CE596" s="2338"/>
      <c r="CF596" s="2338"/>
      <c r="CG596" s="2338"/>
      <c r="CH596" s="2338"/>
      <c r="CI596" s="2338"/>
      <c r="CJ596" s="2338"/>
      <c r="CK596" s="2338"/>
      <c r="CL596" s="2338"/>
      <c r="CM596" s="2338"/>
      <c r="CN596" s="2338"/>
      <c r="CO596" s="2338"/>
      <c r="CP596" s="2338"/>
      <c r="CQ596" s="2338"/>
      <c r="CR596" s="2338"/>
      <c r="CS596" s="2338"/>
      <c r="CT596" s="2338"/>
      <c r="CU596" s="2338"/>
      <c r="CV596" s="2338"/>
      <c r="CW596" s="2338"/>
      <c r="CX596" s="2338"/>
      <c r="CY596" s="2338"/>
      <c r="CZ596" s="2338"/>
      <c r="DA596" s="2338"/>
      <c r="DB596" s="2338"/>
      <c r="DC596" s="2338"/>
      <c r="DD596" s="2338"/>
      <c r="DE596" s="2338"/>
      <c r="DF596" s="2338"/>
      <c r="DG596" s="2338"/>
      <c r="DH596" s="2338"/>
      <c r="DI596" s="2338"/>
      <c r="DJ596" s="2338"/>
      <c r="DK596" s="2338"/>
      <c r="DL596" s="2338"/>
      <c r="DM596" s="2338"/>
      <c r="DN596" s="2338"/>
      <c r="DO596" s="2338"/>
    </row>
    <row r="597" spans="26:119">
      <c r="Z597" s="2338"/>
      <c r="AA597" s="2338"/>
      <c r="AB597" s="2338"/>
      <c r="AC597" s="2338"/>
      <c r="AD597" s="2338"/>
      <c r="AE597" s="2338"/>
      <c r="AF597" s="2338"/>
      <c r="AG597" s="2338"/>
      <c r="AH597" s="2338"/>
      <c r="AI597" s="2338"/>
      <c r="AJ597" s="2338"/>
      <c r="AK597" s="2338"/>
      <c r="AL597" s="2338"/>
      <c r="AM597" s="2338"/>
      <c r="AN597" s="2338"/>
      <c r="AO597" s="2338"/>
      <c r="AP597" s="2338"/>
      <c r="AQ597" s="2338"/>
      <c r="AR597" s="2338"/>
      <c r="AS597" s="2338"/>
      <c r="AT597" s="2338"/>
      <c r="AU597" s="2338"/>
      <c r="AV597" s="2338"/>
      <c r="AW597" s="2338"/>
      <c r="AX597" s="2338"/>
      <c r="AY597" s="2338"/>
      <c r="AZ597" s="2338"/>
      <c r="BA597" s="2338"/>
      <c r="BB597" s="2338"/>
      <c r="BC597" s="2338"/>
      <c r="BD597" s="2338"/>
      <c r="BE597" s="2338"/>
      <c r="BF597" s="2338"/>
      <c r="BG597" s="2338"/>
      <c r="BH597" s="2338"/>
      <c r="BI597" s="2338"/>
      <c r="BJ597" s="2338"/>
      <c r="BK597" s="2338"/>
      <c r="BL597" s="2338"/>
      <c r="BM597" s="2338"/>
      <c r="BN597" s="2338"/>
      <c r="BO597" s="2338"/>
      <c r="BP597" s="2338"/>
      <c r="BQ597" s="2338"/>
      <c r="BR597" s="2338"/>
      <c r="BS597" s="2338"/>
      <c r="BT597" s="2338"/>
      <c r="BU597" s="2338"/>
      <c r="BV597" s="2338"/>
      <c r="BW597" s="2338"/>
      <c r="BX597" s="2338"/>
      <c r="BY597" s="2338"/>
      <c r="BZ597" s="2338"/>
      <c r="CA597" s="2338"/>
      <c r="CB597" s="2338"/>
      <c r="CC597" s="2338"/>
      <c r="CD597" s="2338"/>
      <c r="CE597" s="2338"/>
      <c r="CF597" s="2338"/>
      <c r="CG597" s="2338"/>
      <c r="CH597" s="2338"/>
      <c r="CI597" s="2338"/>
      <c r="CJ597" s="2338"/>
      <c r="CK597" s="2338"/>
      <c r="CL597" s="2338"/>
      <c r="CM597" s="2338"/>
      <c r="CN597" s="2338"/>
      <c r="CO597" s="2338"/>
      <c r="CP597" s="2338"/>
      <c r="CQ597" s="2338"/>
      <c r="CR597" s="2338"/>
      <c r="CS597" s="2338"/>
      <c r="CT597" s="2338"/>
      <c r="CU597" s="2338"/>
      <c r="CV597" s="2338"/>
      <c r="CW597" s="2338"/>
      <c r="CX597" s="2338"/>
      <c r="CY597" s="2338"/>
      <c r="CZ597" s="2338"/>
      <c r="DA597" s="2338"/>
      <c r="DB597" s="2338"/>
      <c r="DC597" s="2338"/>
      <c r="DD597" s="2338"/>
      <c r="DE597" s="2338"/>
      <c r="DF597" s="2338"/>
      <c r="DG597" s="2338"/>
      <c r="DH597" s="2338"/>
      <c r="DI597" s="2338"/>
      <c r="DJ597" s="2338"/>
      <c r="DK597" s="2338"/>
      <c r="DL597" s="2338"/>
      <c r="DM597" s="2338"/>
      <c r="DN597" s="2338"/>
      <c r="DO597" s="2338"/>
    </row>
    <row r="598" spans="26:119">
      <c r="Z598" s="2338"/>
      <c r="AA598" s="2338"/>
      <c r="AB598" s="2338"/>
      <c r="AC598" s="2338"/>
      <c r="AD598" s="2338"/>
      <c r="AE598" s="2338"/>
      <c r="AF598" s="2338"/>
      <c r="AG598" s="2338"/>
      <c r="AH598" s="2338"/>
      <c r="AI598" s="2338"/>
      <c r="AJ598" s="2338"/>
      <c r="AK598" s="2338"/>
      <c r="AL598" s="2338"/>
      <c r="AM598" s="2338"/>
      <c r="AN598" s="2338"/>
      <c r="AO598" s="2338"/>
      <c r="AP598" s="2338"/>
      <c r="AQ598" s="2338"/>
      <c r="AR598" s="2338"/>
      <c r="AS598" s="2338"/>
      <c r="AT598" s="2338"/>
      <c r="AU598" s="2338"/>
      <c r="AV598" s="2338"/>
      <c r="AW598" s="2338"/>
      <c r="AX598" s="2338"/>
      <c r="AY598" s="2338"/>
      <c r="AZ598" s="2338"/>
      <c r="BA598" s="2338"/>
      <c r="BB598" s="2338"/>
      <c r="BC598" s="2338"/>
      <c r="BD598" s="2338"/>
      <c r="BE598" s="2338"/>
      <c r="BF598" s="2338"/>
      <c r="BG598" s="2338"/>
      <c r="BH598" s="2338"/>
      <c r="BI598" s="2338"/>
      <c r="BJ598" s="2338"/>
      <c r="BK598" s="2338"/>
      <c r="BL598" s="2338"/>
      <c r="BM598" s="2338"/>
      <c r="BN598" s="2338"/>
      <c r="BO598" s="2338"/>
      <c r="BP598" s="2338"/>
      <c r="BQ598" s="2338"/>
      <c r="BR598" s="2338"/>
      <c r="BS598" s="2338"/>
      <c r="BT598" s="2338"/>
      <c r="BU598" s="2338"/>
      <c r="BV598" s="2338"/>
      <c r="BW598" s="2338"/>
      <c r="BX598" s="2338"/>
      <c r="BY598" s="2338"/>
      <c r="BZ598" s="2338"/>
      <c r="CA598" s="2338"/>
      <c r="CB598" s="2338"/>
      <c r="CC598" s="2338"/>
      <c r="CD598" s="2338"/>
      <c r="CE598" s="2338"/>
      <c r="CF598" s="2338"/>
      <c r="CG598" s="2338"/>
      <c r="CH598" s="2338"/>
      <c r="CI598" s="2338"/>
      <c r="CJ598" s="2338"/>
      <c r="CK598" s="2338"/>
      <c r="CL598" s="2338"/>
      <c r="CM598" s="2338"/>
      <c r="CN598" s="2338"/>
      <c r="CO598" s="2338"/>
      <c r="CP598" s="2338"/>
      <c r="CQ598" s="2338"/>
      <c r="CR598" s="2338"/>
      <c r="CS598" s="2338"/>
      <c r="CT598" s="2338"/>
      <c r="CU598" s="2338"/>
      <c r="CV598" s="2338"/>
      <c r="CW598" s="2338"/>
      <c r="CX598" s="2338"/>
      <c r="CY598" s="2338"/>
      <c r="CZ598" s="2338"/>
      <c r="DA598" s="2338"/>
      <c r="DB598" s="2338"/>
      <c r="DC598" s="2338"/>
      <c r="DD598" s="2338"/>
      <c r="DE598" s="2338"/>
      <c r="DF598" s="2338"/>
      <c r="DG598" s="2338"/>
      <c r="DH598" s="2338"/>
      <c r="DI598" s="2338"/>
      <c r="DJ598" s="2338"/>
      <c r="DK598" s="2338"/>
      <c r="DL598" s="2338"/>
      <c r="DM598" s="2338"/>
      <c r="DN598" s="2338"/>
      <c r="DO598" s="2338"/>
    </row>
    <row r="599" spans="26:119">
      <c r="Z599" s="2338"/>
      <c r="AA599" s="2338"/>
      <c r="AB599" s="2338"/>
      <c r="AC599" s="2338"/>
      <c r="AD599" s="2338"/>
      <c r="AE599" s="2338"/>
      <c r="AF599" s="2338"/>
      <c r="AG599" s="2338"/>
      <c r="AH599" s="2338"/>
      <c r="AI599" s="2338"/>
      <c r="AJ599" s="2338"/>
      <c r="AK599" s="2338"/>
      <c r="AL599" s="2338"/>
      <c r="AM599" s="2338"/>
      <c r="AN599" s="2338"/>
      <c r="AO599" s="2338"/>
      <c r="AP599" s="2338"/>
      <c r="AQ599" s="2338"/>
      <c r="AR599" s="2338"/>
      <c r="AS599" s="2338"/>
      <c r="AT599" s="2338"/>
      <c r="AU599" s="2338"/>
      <c r="AV599" s="2338"/>
      <c r="AW599" s="2338"/>
      <c r="AX599" s="2338"/>
      <c r="AY599" s="2338"/>
      <c r="AZ599" s="2338"/>
      <c r="BA599" s="2338"/>
      <c r="BB599" s="2338"/>
      <c r="BC599" s="2338"/>
      <c r="BD599" s="2338"/>
      <c r="BE599" s="2338"/>
      <c r="BF599" s="2338"/>
      <c r="BG599" s="2338"/>
      <c r="BH599" s="2338"/>
      <c r="BI599" s="2338"/>
      <c r="BJ599" s="2338"/>
      <c r="BK599" s="2338"/>
      <c r="BL599" s="2338"/>
      <c r="BM599" s="2338"/>
      <c r="BN599" s="2338"/>
      <c r="BO599" s="2338"/>
      <c r="BP599" s="2338"/>
      <c r="BQ599" s="2338"/>
      <c r="BR599" s="2338"/>
      <c r="BS599" s="2338"/>
      <c r="BT599" s="2338"/>
      <c r="BU599" s="2338"/>
      <c r="BV599" s="2338"/>
      <c r="BW599" s="2338"/>
      <c r="BX599" s="2338"/>
      <c r="BY599" s="2338"/>
      <c r="BZ599" s="2338"/>
      <c r="CA599" s="2338"/>
      <c r="CB599" s="2338"/>
      <c r="CC599" s="2338"/>
      <c r="CD599" s="2338"/>
      <c r="CE599" s="2338"/>
      <c r="CF599" s="2338"/>
      <c r="CG599" s="2338"/>
      <c r="CH599" s="2338"/>
      <c r="CI599" s="2338"/>
      <c r="CJ599" s="2338"/>
      <c r="CK599" s="2338"/>
      <c r="CL599" s="2338"/>
      <c r="CM599" s="2338"/>
      <c r="CN599" s="2338"/>
      <c r="CO599" s="2338"/>
      <c r="CP599" s="2338"/>
      <c r="CQ599" s="2338"/>
      <c r="CR599" s="2338"/>
      <c r="CS599" s="2338"/>
      <c r="CT599" s="2338"/>
      <c r="CU599" s="2338"/>
      <c r="CV599" s="2338"/>
      <c r="CW599" s="2338"/>
      <c r="CX599" s="2338"/>
      <c r="CY599" s="2338"/>
      <c r="CZ599" s="2338"/>
      <c r="DA599" s="2338"/>
      <c r="DB599" s="2338"/>
      <c r="DC599" s="2338"/>
      <c r="DD599" s="2338"/>
      <c r="DE599" s="2338"/>
      <c r="DF599" s="2338"/>
      <c r="DG599" s="2338"/>
      <c r="DH599" s="2338"/>
      <c r="DI599" s="2338"/>
      <c r="DJ599" s="2338"/>
      <c r="DK599" s="2338"/>
      <c r="DL599" s="2338"/>
      <c r="DM599" s="2338"/>
      <c r="DN599" s="2338"/>
      <c r="DO599" s="2338"/>
    </row>
    <row r="600" spans="26:119">
      <c r="Z600" s="2338"/>
      <c r="AA600" s="2338"/>
      <c r="AB600" s="2338"/>
      <c r="AC600" s="2338"/>
      <c r="AD600" s="2338"/>
      <c r="AE600" s="2338"/>
      <c r="AF600" s="2338"/>
      <c r="AG600" s="2338"/>
      <c r="AH600" s="2338"/>
      <c r="AI600" s="2338"/>
      <c r="AJ600" s="2338"/>
      <c r="AK600" s="2338"/>
      <c r="AL600" s="2338"/>
      <c r="AM600" s="2338"/>
      <c r="AN600" s="2338"/>
      <c r="AO600" s="2338"/>
      <c r="AP600" s="2338"/>
      <c r="AQ600" s="2338"/>
      <c r="AR600" s="2338"/>
      <c r="AS600" s="2338"/>
      <c r="AT600" s="2338"/>
      <c r="AU600" s="2338"/>
      <c r="AV600" s="2338"/>
      <c r="AW600" s="2338"/>
      <c r="AX600" s="2338"/>
      <c r="AY600" s="2338"/>
      <c r="AZ600" s="2338"/>
      <c r="BA600" s="2338"/>
      <c r="BB600" s="2338"/>
      <c r="BC600" s="2338"/>
      <c r="BD600" s="2338"/>
      <c r="BE600" s="2338"/>
      <c r="BF600" s="2338"/>
      <c r="BG600" s="2338"/>
      <c r="BH600" s="2338"/>
      <c r="BI600" s="2338"/>
      <c r="BJ600" s="2338"/>
      <c r="BK600" s="2338"/>
      <c r="BL600" s="2338"/>
      <c r="BM600" s="2338"/>
      <c r="BN600" s="2338"/>
      <c r="BO600" s="2338"/>
      <c r="BP600" s="2338"/>
      <c r="BQ600" s="2338"/>
      <c r="BR600" s="2338"/>
      <c r="BS600" s="2338"/>
      <c r="BT600" s="2338"/>
      <c r="BU600" s="2338"/>
      <c r="BV600" s="2338"/>
      <c r="BW600" s="2338"/>
      <c r="BX600" s="2338"/>
      <c r="BY600" s="2338"/>
      <c r="BZ600" s="2338"/>
      <c r="CA600" s="2338"/>
      <c r="CB600" s="2338"/>
      <c r="CC600" s="2338"/>
      <c r="CD600" s="2338"/>
      <c r="CE600" s="2338"/>
      <c r="CF600" s="2338"/>
      <c r="CG600" s="2338"/>
      <c r="CH600" s="2338"/>
      <c r="CI600" s="2338"/>
      <c r="CJ600" s="2338"/>
      <c r="CK600" s="2338"/>
      <c r="CL600" s="2338"/>
      <c r="CM600" s="2338"/>
      <c r="CN600" s="2338"/>
      <c r="CO600" s="2338"/>
      <c r="CP600" s="2338"/>
      <c r="CQ600" s="2338"/>
      <c r="CR600" s="2338"/>
      <c r="CS600" s="2338"/>
      <c r="CT600" s="2338"/>
      <c r="CU600" s="2338"/>
      <c r="CV600" s="2338"/>
      <c r="CW600" s="2338"/>
      <c r="CX600" s="2338"/>
      <c r="CY600" s="2338"/>
      <c r="CZ600" s="2338"/>
      <c r="DA600" s="2338"/>
      <c r="DB600" s="2338"/>
      <c r="DC600" s="2338"/>
      <c r="DD600" s="2338"/>
      <c r="DE600" s="2338"/>
      <c r="DF600" s="2338"/>
      <c r="DG600" s="2338"/>
      <c r="DH600" s="2338"/>
      <c r="DI600" s="2338"/>
      <c r="DJ600" s="2338"/>
      <c r="DK600" s="2338"/>
      <c r="DL600" s="2338"/>
      <c r="DM600" s="2338"/>
      <c r="DN600" s="2338"/>
      <c r="DO600" s="2338"/>
    </row>
    <row r="601" spans="26:119">
      <c r="Z601" s="2338"/>
      <c r="AA601" s="2338"/>
      <c r="AB601" s="2338"/>
      <c r="AC601" s="2338"/>
      <c r="AD601" s="2338"/>
      <c r="AE601" s="2338"/>
      <c r="AF601" s="2338"/>
      <c r="AG601" s="2338"/>
      <c r="AH601" s="2338"/>
      <c r="AI601" s="2338"/>
      <c r="AJ601" s="2338"/>
      <c r="AK601" s="2338"/>
      <c r="AL601" s="2338"/>
      <c r="AM601" s="2338"/>
      <c r="AN601" s="2338"/>
      <c r="AO601" s="2338"/>
      <c r="AP601" s="2338"/>
      <c r="AQ601" s="2338"/>
      <c r="AR601" s="2338"/>
      <c r="AS601" s="2338"/>
      <c r="AT601" s="2338"/>
      <c r="AU601" s="2338"/>
      <c r="AV601" s="2338"/>
      <c r="AW601" s="2338"/>
      <c r="AX601" s="2338"/>
      <c r="AY601" s="2338"/>
      <c r="AZ601" s="2338"/>
      <c r="BA601" s="2338"/>
      <c r="BB601" s="2338"/>
      <c r="BC601" s="2338"/>
      <c r="BD601" s="2338"/>
      <c r="BE601" s="2338"/>
      <c r="BF601" s="2338"/>
      <c r="BG601" s="2338"/>
      <c r="BH601" s="2338"/>
      <c r="BI601" s="2338"/>
      <c r="BJ601" s="2338"/>
      <c r="BK601" s="2338"/>
      <c r="BL601" s="2338"/>
      <c r="BM601" s="2338"/>
      <c r="BN601" s="2338"/>
      <c r="BO601" s="2338"/>
      <c r="BP601" s="2338"/>
      <c r="BQ601" s="2338"/>
      <c r="BR601" s="2338"/>
      <c r="BS601" s="2338"/>
      <c r="BT601" s="2338"/>
      <c r="BU601" s="2338"/>
      <c r="BV601" s="2338"/>
      <c r="BW601" s="2338"/>
      <c r="BX601" s="2338"/>
      <c r="BY601" s="2338"/>
      <c r="BZ601" s="2338"/>
      <c r="CA601" s="2338"/>
      <c r="CB601" s="2338"/>
      <c r="CC601" s="2338"/>
      <c r="CD601" s="2338"/>
      <c r="CE601" s="2338"/>
      <c r="CF601" s="2338"/>
      <c r="CG601" s="2338"/>
      <c r="CH601" s="2338"/>
      <c r="CI601" s="2338"/>
      <c r="CJ601" s="2338"/>
      <c r="CK601" s="2338"/>
      <c r="CL601" s="2338"/>
      <c r="CM601" s="2338"/>
      <c r="CN601" s="2338"/>
      <c r="CO601" s="2338"/>
      <c r="CP601" s="2338"/>
      <c r="CQ601" s="2338"/>
      <c r="CR601" s="2338"/>
      <c r="CS601" s="2338"/>
      <c r="CT601" s="2338"/>
      <c r="CU601" s="2338"/>
      <c r="CV601" s="2338"/>
      <c r="CW601" s="2338"/>
      <c r="CX601" s="2338"/>
      <c r="CY601" s="2338"/>
      <c r="CZ601" s="2338"/>
      <c r="DA601" s="2338"/>
      <c r="DB601" s="2338"/>
      <c r="DC601" s="2338"/>
      <c r="DD601" s="2338"/>
      <c r="DE601" s="2338"/>
      <c r="DF601" s="2338"/>
      <c r="DG601" s="2338"/>
      <c r="DH601" s="2338"/>
      <c r="DI601" s="2338"/>
      <c r="DJ601" s="2338"/>
      <c r="DK601" s="2338"/>
      <c r="DL601" s="2338"/>
      <c r="DM601" s="2338"/>
      <c r="DN601" s="2338"/>
      <c r="DO601" s="2338"/>
    </row>
    <row r="602" spans="26:119">
      <c r="Z602" s="2338"/>
      <c r="AA602" s="2338"/>
      <c r="AB602" s="2338"/>
      <c r="AC602" s="2338"/>
      <c r="AD602" s="2338"/>
      <c r="AE602" s="2338"/>
      <c r="AF602" s="2338"/>
      <c r="AG602" s="2338"/>
      <c r="AH602" s="2338"/>
      <c r="AI602" s="2338"/>
      <c r="AJ602" s="2338"/>
      <c r="AK602" s="2338"/>
      <c r="AL602" s="2338"/>
      <c r="AM602" s="2338"/>
      <c r="AN602" s="2338"/>
      <c r="AO602" s="2338"/>
      <c r="AP602" s="2338"/>
      <c r="AQ602" s="2338"/>
      <c r="AR602" s="2338"/>
      <c r="AS602" s="2338"/>
      <c r="AT602" s="2338"/>
      <c r="AU602" s="2338"/>
      <c r="AV602" s="2338"/>
      <c r="AW602" s="2338"/>
      <c r="AX602" s="2338"/>
      <c r="AY602" s="2338"/>
      <c r="AZ602" s="2338"/>
      <c r="BA602" s="2338"/>
      <c r="BB602" s="2338"/>
      <c r="BC602" s="2338"/>
      <c r="BD602" s="2338"/>
      <c r="BE602" s="2338"/>
      <c r="BF602" s="2338"/>
      <c r="BG602" s="2338"/>
      <c r="BH602" s="2338"/>
      <c r="BI602" s="2338"/>
      <c r="BJ602" s="2338"/>
      <c r="BK602" s="2338"/>
      <c r="BL602" s="2338"/>
      <c r="BM602" s="2338"/>
      <c r="BN602" s="2338"/>
      <c r="BO602" s="2338"/>
      <c r="BP602" s="2338"/>
      <c r="BQ602" s="2338"/>
      <c r="BR602" s="2338"/>
      <c r="BS602" s="2338"/>
      <c r="BT602" s="2338"/>
      <c r="BU602" s="2338"/>
      <c r="BV602" s="2338"/>
      <c r="BW602" s="2338"/>
      <c r="BX602" s="2338"/>
      <c r="BY602" s="2338"/>
      <c r="BZ602" s="2338"/>
      <c r="CA602" s="2338"/>
      <c r="CB602" s="2338"/>
      <c r="CC602" s="2338"/>
      <c r="CD602" s="2338"/>
      <c r="CE602" s="2338"/>
      <c r="CF602" s="2338"/>
      <c r="CG602" s="2338"/>
      <c r="CH602" s="2338"/>
      <c r="CI602" s="2338"/>
      <c r="CJ602" s="2338"/>
      <c r="CK602" s="2338"/>
      <c r="CL602" s="2338"/>
      <c r="CM602" s="2338"/>
      <c r="CN602" s="2338"/>
      <c r="CO602" s="2338"/>
      <c r="CP602" s="2338"/>
      <c r="CQ602" s="2338"/>
      <c r="CR602" s="2338"/>
      <c r="CS602" s="2338"/>
      <c r="CT602" s="2338"/>
      <c r="CU602" s="2338"/>
      <c r="CV602" s="2338"/>
      <c r="CW602" s="2338"/>
      <c r="CX602" s="2338"/>
      <c r="CY602" s="2338"/>
      <c r="CZ602" s="2338"/>
      <c r="DA602" s="2338"/>
      <c r="DB602" s="2338"/>
      <c r="DC602" s="2338"/>
      <c r="DD602" s="2338"/>
      <c r="DE602" s="2338"/>
      <c r="DF602" s="2338"/>
      <c r="DG602" s="2338"/>
      <c r="DH602" s="2338"/>
      <c r="DI602" s="2338"/>
      <c r="DJ602" s="2338"/>
      <c r="DK602" s="2338"/>
      <c r="DL602" s="2338"/>
      <c r="DM602" s="2338"/>
      <c r="DN602" s="2338"/>
      <c r="DO602" s="2338"/>
    </row>
    <row r="603" spans="26:119">
      <c r="Z603" s="2338"/>
      <c r="AA603" s="2338"/>
      <c r="AB603" s="2338"/>
      <c r="AC603" s="2338"/>
      <c r="AD603" s="2338"/>
      <c r="AE603" s="2338"/>
      <c r="AF603" s="2338"/>
      <c r="AG603" s="2338"/>
      <c r="AH603" s="2338"/>
      <c r="AI603" s="2338"/>
      <c r="AJ603" s="2338"/>
      <c r="AK603" s="2338"/>
      <c r="AL603" s="2338"/>
      <c r="AM603" s="2338"/>
      <c r="AN603" s="2338"/>
      <c r="AO603" s="2338"/>
      <c r="AP603" s="2338"/>
      <c r="AQ603" s="2338"/>
      <c r="AR603" s="2338"/>
      <c r="AS603" s="2338"/>
      <c r="AT603" s="2338"/>
      <c r="AU603" s="2338"/>
      <c r="AV603" s="2338"/>
      <c r="AW603" s="2338"/>
      <c r="AX603" s="2338"/>
      <c r="AY603" s="2338"/>
      <c r="AZ603" s="2338"/>
      <c r="BA603" s="2338"/>
      <c r="BB603" s="2338"/>
      <c r="BC603" s="2338"/>
      <c r="BD603" s="2338"/>
      <c r="BE603" s="2338"/>
      <c r="BF603" s="2338"/>
      <c r="BG603" s="2338"/>
      <c r="BH603" s="2338"/>
      <c r="BI603" s="2338"/>
      <c r="BJ603" s="2338"/>
      <c r="BK603" s="2338"/>
      <c r="BL603" s="2338"/>
      <c r="BM603" s="2338"/>
      <c r="BN603" s="2338"/>
      <c r="BO603" s="2338"/>
      <c r="BP603" s="2338"/>
      <c r="BQ603" s="2338"/>
      <c r="BR603" s="2338"/>
      <c r="BS603" s="2338"/>
      <c r="BT603" s="2338"/>
      <c r="BU603" s="2338"/>
      <c r="BV603" s="2338"/>
      <c r="BW603" s="2338"/>
      <c r="BX603" s="2338"/>
      <c r="BY603" s="2338"/>
      <c r="BZ603" s="2338"/>
      <c r="CA603" s="2338"/>
      <c r="CB603" s="2338"/>
      <c r="CC603" s="2338"/>
      <c r="CD603" s="2338"/>
      <c r="CE603" s="2338"/>
      <c r="CF603" s="2338"/>
      <c r="CG603" s="2338"/>
      <c r="CH603" s="2338"/>
      <c r="CI603" s="2338"/>
      <c r="CJ603" s="2338"/>
      <c r="CK603" s="2338"/>
      <c r="CL603" s="2338"/>
      <c r="CM603" s="2338"/>
      <c r="CN603" s="2338"/>
      <c r="CO603" s="2338"/>
      <c r="CP603" s="2338"/>
      <c r="CQ603" s="2338"/>
      <c r="CR603" s="2338"/>
      <c r="CS603" s="2338"/>
      <c r="CT603" s="2338"/>
      <c r="CU603" s="2338"/>
      <c r="CV603" s="2338"/>
      <c r="CW603" s="2338"/>
      <c r="CX603" s="2338"/>
      <c r="CY603" s="2338"/>
      <c r="CZ603" s="2338"/>
      <c r="DA603" s="2338"/>
      <c r="DB603" s="2338"/>
      <c r="DC603" s="2338"/>
      <c r="DD603" s="2338"/>
      <c r="DE603" s="2338"/>
      <c r="DF603" s="2338"/>
      <c r="DG603" s="2338"/>
      <c r="DH603" s="2338"/>
      <c r="DI603" s="2338"/>
      <c r="DJ603" s="2338"/>
      <c r="DK603" s="2338"/>
      <c r="DL603" s="2338"/>
      <c r="DM603" s="2338"/>
      <c r="DN603" s="2338"/>
      <c r="DO603" s="2338"/>
    </row>
    <row r="604" spans="26:119">
      <c r="Z604" s="2338"/>
      <c r="AA604" s="2338"/>
      <c r="AB604" s="2338"/>
      <c r="AC604" s="2338"/>
      <c r="AD604" s="2338"/>
      <c r="AE604" s="2338"/>
      <c r="AF604" s="2338"/>
      <c r="AG604" s="2338"/>
      <c r="AH604" s="2338"/>
      <c r="AI604" s="2338"/>
      <c r="AJ604" s="2338"/>
      <c r="AK604" s="2338"/>
      <c r="AL604" s="2338"/>
      <c r="AM604" s="2338"/>
      <c r="AN604" s="2338"/>
      <c r="AO604" s="2338"/>
      <c r="AP604" s="2338"/>
      <c r="AQ604" s="2338"/>
      <c r="AR604" s="2338"/>
      <c r="AS604" s="2338"/>
      <c r="AT604" s="2338"/>
      <c r="AU604" s="2338"/>
      <c r="AV604" s="2338"/>
      <c r="AW604" s="2338"/>
      <c r="AX604" s="2338"/>
      <c r="AY604" s="2338"/>
      <c r="AZ604" s="2338"/>
      <c r="BA604" s="2338"/>
      <c r="BB604" s="2338"/>
      <c r="BC604" s="2338"/>
      <c r="BD604" s="2338"/>
      <c r="BE604" s="2338"/>
      <c r="BF604" s="2338"/>
      <c r="BG604" s="2338"/>
      <c r="BH604" s="2338"/>
      <c r="BI604" s="2338"/>
      <c r="BJ604" s="2338"/>
      <c r="BK604" s="2338"/>
      <c r="BL604" s="2338"/>
      <c r="BM604" s="2338"/>
      <c r="BN604" s="2338"/>
      <c r="BO604" s="2338"/>
      <c r="BP604" s="2338"/>
      <c r="BQ604" s="2338"/>
      <c r="BR604" s="2338"/>
      <c r="BS604" s="2338"/>
      <c r="BT604" s="2338"/>
      <c r="BU604" s="2338"/>
      <c r="BV604" s="2338"/>
      <c r="BW604" s="2338"/>
      <c r="BX604" s="2338"/>
      <c r="BY604" s="2338"/>
      <c r="BZ604" s="2338"/>
      <c r="CA604" s="2338"/>
      <c r="CB604" s="2338"/>
      <c r="CC604" s="2338"/>
      <c r="CD604" s="2338"/>
      <c r="CE604" s="2338"/>
      <c r="CF604" s="2338"/>
      <c r="CG604" s="2338"/>
      <c r="CH604" s="2338"/>
      <c r="CI604" s="2338"/>
      <c r="CJ604" s="2338"/>
      <c r="CK604" s="2338"/>
      <c r="CL604" s="2338"/>
      <c r="CM604" s="2338"/>
      <c r="CN604" s="2338"/>
      <c r="CO604" s="2338"/>
      <c r="CP604" s="2338"/>
      <c r="CQ604" s="2338"/>
      <c r="CR604" s="2338"/>
      <c r="CS604" s="2338"/>
      <c r="CT604" s="2338"/>
      <c r="CU604" s="2338"/>
      <c r="CV604" s="2338"/>
      <c r="CW604" s="2338"/>
      <c r="CX604" s="2338"/>
      <c r="CY604" s="2338"/>
      <c r="CZ604" s="2338"/>
      <c r="DA604" s="2338"/>
      <c r="DB604" s="2338"/>
      <c r="DC604" s="2338"/>
      <c r="DD604" s="2338"/>
      <c r="DE604" s="2338"/>
      <c r="DF604" s="2338"/>
      <c r="DG604" s="2338"/>
      <c r="DH604" s="2338"/>
      <c r="DI604" s="2338"/>
      <c r="DJ604" s="2338"/>
      <c r="DK604" s="2338"/>
      <c r="DL604" s="2338"/>
      <c r="DM604" s="2338"/>
      <c r="DN604" s="2338"/>
      <c r="DO604" s="2338"/>
    </row>
    <row r="605" spans="26:119">
      <c r="Z605" s="2338"/>
      <c r="AA605" s="2338"/>
      <c r="AB605" s="2338"/>
      <c r="AC605" s="2338"/>
      <c r="AD605" s="2338"/>
      <c r="AE605" s="2338"/>
      <c r="AF605" s="2338"/>
      <c r="AG605" s="2338"/>
      <c r="AH605" s="2338"/>
      <c r="AI605" s="2338"/>
      <c r="AJ605" s="2338"/>
      <c r="AK605" s="2338"/>
      <c r="AL605" s="2338"/>
      <c r="AM605" s="2338"/>
      <c r="AN605" s="2338"/>
      <c r="AO605" s="2338"/>
      <c r="AP605" s="2338"/>
      <c r="AQ605" s="2338"/>
      <c r="AR605" s="2338"/>
      <c r="AS605" s="2338"/>
      <c r="AT605" s="2338"/>
      <c r="AU605" s="2338"/>
      <c r="AV605" s="2338"/>
      <c r="AW605" s="2338"/>
      <c r="AX605" s="2338"/>
      <c r="AY605" s="2338"/>
      <c r="AZ605" s="2338"/>
      <c r="BA605" s="2338"/>
      <c r="BB605" s="2338"/>
      <c r="BC605" s="2338"/>
      <c r="BD605" s="2338"/>
      <c r="BE605" s="2338"/>
      <c r="BF605" s="2338"/>
      <c r="BG605" s="2338"/>
      <c r="BH605" s="2338"/>
      <c r="BI605" s="2338"/>
      <c r="BJ605" s="2338"/>
      <c r="BK605" s="2338"/>
      <c r="BL605" s="2338"/>
      <c r="BM605" s="2338"/>
      <c r="BN605" s="2338"/>
      <c r="BO605" s="2338"/>
      <c r="BP605" s="2338"/>
      <c r="BQ605" s="2338"/>
      <c r="BR605" s="2338"/>
      <c r="BS605" s="2338"/>
      <c r="BT605" s="2338"/>
      <c r="BU605" s="2338"/>
      <c r="BV605" s="2338"/>
      <c r="BW605" s="2338"/>
      <c r="BX605" s="2338"/>
      <c r="BY605" s="2338"/>
      <c r="BZ605" s="2338"/>
      <c r="CA605" s="2338"/>
      <c r="CB605" s="2338"/>
      <c r="CC605" s="2338"/>
      <c r="CD605" s="2338"/>
      <c r="CE605" s="2338"/>
      <c r="CF605" s="2338"/>
      <c r="CG605" s="2338"/>
      <c r="CH605" s="2338"/>
      <c r="CI605" s="2338"/>
      <c r="CJ605" s="2338"/>
      <c r="CK605" s="2338"/>
      <c r="CL605" s="2338"/>
      <c r="CM605" s="2338"/>
      <c r="CN605" s="2338"/>
      <c r="CO605" s="2338"/>
      <c r="CP605" s="2338"/>
      <c r="CQ605" s="2338"/>
      <c r="CR605" s="2338"/>
      <c r="CS605" s="2338"/>
      <c r="CT605" s="2338"/>
      <c r="CU605" s="2338"/>
      <c r="CV605" s="2338"/>
      <c r="CW605" s="2338"/>
      <c r="CX605" s="2338"/>
      <c r="CY605" s="2338"/>
      <c r="CZ605" s="2338"/>
      <c r="DA605" s="2338"/>
      <c r="DB605" s="2338"/>
      <c r="DC605" s="2338"/>
      <c r="DD605" s="2338"/>
      <c r="DE605" s="2338"/>
      <c r="DF605" s="2338"/>
      <c r="DG605" s="2338"/>
      <c r="DH605" s="2338"/>
      <c r="DI605" s="2338"/>
      <c r="DJ605" s="2338"/>
      <c r="DK605" s="2338"/>
      <c r="DL605" s="2338"/>
      <c r="DM605" s="2338"/>
      <c r="DN605" s="2338"/>
      <c r="DO605" s="2338"/>
    </row>
    <row r="606" spans="26:119">
      <c r="Z606" s="2338"/>
      <c r="AA606" s="2338"/>
      <c r="AB606" s="2338"/>
      <c r="AC606" s="2338"/>
      <c r="AD606" s="2338"/>
      <c r="AE606" s="2338"/>
      <c r="AF606" s="2338"/>
      <c r="AG606" s="2338"/>
      <c r="AH606" s="2338"/>
      <c r="AI606" s="2338"/>
      <c r="AJ606" s="2338"/>
      <c r="AK606" s="2338"/>
      <c r="AL606" s="2338"/>
      <c r="AM606" s="2338"/>
      <c r="AN606" s="2338"/>
      <c r="AO606" s="2338"/>
      <c r="AP606" s="2338"/>
      <c r="AQ606" s="2338"/>
      <c r="AR606" s="2338"/>
      <c r="AS606" s="2338"/>
      <c r="AT606" s="2338"/>
      <c r="AU606" s="2338"/>
      <c r="AV606" s="2338"/>
      <c r="AW606" s="2338"/>
      <c r="AX606" s="2338"/>
      <c r="AY606" s="2338"/>
      <c r="AZ606" s="2338"/>
      <c r="BA606" s="2338"/>
      <c r="BB606" s="2338"/>
      <c r="BC606" s="2338"/>
      <c r="BD606" s="2338"/>
      <c r="BE606" s="2338"/>
      <c r="BF606" s="2338"/>
      <c r="BG606" s="2338"/>
      <c r="BH606" s="2338"/>
      <c r="BI606" s="2338"/>
      <c r="BJ606" s="2338"/>
      <c r="BK606" s="2338"/>
      <c r="BL606" s="2338"/>
      <c r="BM606" s="2338"/>
      <c r="BN606" s="2338"/>
      <c r="BO606" s="2338"/>
      <c r="BP606" s="2338"/>
      <c r="BQ606" s="2338"/>
      <c r="BR606" s="2338"/>
      <c r="BS606" s="2338"/>
      <c r="BT606" s="2338"/>
      <c r="BU606" s="2338"/>
      <c r="BV606" s="2338"/>
      <c r="BW606" s="2338"/>
      <c r="BX606" s="2338"/>
      <c r="BY606" s="2338"/>
      <c r="BZ606" s="2338"/>
      <c r="CA606" s="2338"/>
      <c r="CB606" s="2338"/>
      <c r="CC606" s="2338"/>
      <c r="CD606" s="2338"/>
      <c r="CE606" s="2338"/>
      <c r="CF606" s="2338"/>
      <c r="CG606" s="2338"/>
      <c r="CH606" s="2338"/>
      <c r="CI606" s="2338"/>
      <c r="CJ606" s="2338"/>
      <c r="CK606" s="2338"/>
      <c r="CL606" s="2338"/>
      <c r="CM606" s="2338"/>
      <c r="CN606" s="2338"/>
      <c r="CO606" s="2338"/>
      <c r="CP606" s="2338"/>
      <c r="CQ606" s="2338"/>
      <c r="CR606" s="2338"/>
      <c r="CS606" s="2338"/>
      <c r="CT606" s="2338"/>
      <c r="CU606" s="2338"/>
      <c r="CV606" s="2338"/>
      <c r="CW606" s="2338"/>
      <c r="CX606" s="2338"/>
      <c r="CY606" s="2338"/>
      <c r="CZ606" s="2338"/>
      <c r="DA606" s="2338"/>
      <c r="DB606" s="2338"/>
      <c r="DC606" s="2338"/>
      <c r="DD606" s="2338"/>
      <c r="DE606" s="2338"/>
      <c r="DF606" s="2338"/>
      <c r="DG606" s="2338"/>
      <c r="DH606" s="2338"/>
      <c r="DI606" s="2338"/>
      <c r="DJ606" s="2338"/>
      <c r="DK606" s="2338"/>
      <c r="DL606" s="2338"/>
      <c r="DM606" s="2338"/>
      <c r="DN606" s="2338"/>
      <c r="DO606" s="2338"/>
    </row>
    <row r="607" spans="26:119">
      <c r="Z607" s="2338"/>
      <c r="AA607" s="2338"/>
      <c r="AB607" s="2338"/>
      <c r="AC607" s="2338"/>
      <c r="AD607" s="2338"/>
      <c r="AE607" s="2338"/>
      <c r="AF607" s="2338"/>
      <c r="AG607" s="2338"/>
      <c r="AH607" s="2338"/>
      <c r="AI607" s="2338"/>
      <c r="AJ607" s="2338"/>
      <c r="AK607" s="2338"/>
      <c r="AL607" s="2338"/>
      <c r="AM607" s="2338"/>
      <c r="AN607" s="2338"/>
      <c r="AO607" s="2338"/>
      <c r="AP607" s="2338"/>
      <c r="AQ607" s="2338"/>
      <c r="AR607" s="2338"/>
      <c r="AS607" s="2338"/>
      <c r="AT607" s="2338"/>
      <c r="AU607" s="2338"/>
      <c r="AV607" s="2338"/>
      <c r="AW607" s="2338"/>
      <c r="AX607" s="2338"/>
      <c r="AY607" s="2338"/>
      <c r="AZ607" s="2338"/>
      <c r="BA607" s="2338"/>
      <c r="BB607" s="2338"/>
      <c r="BC607" s="2338"/>
      <c r="BD607" s="2338"/>
      <c r="BE607" s="2338"/>
      <c r="BF607" s="2338"/>
      <c r="BG607" s="2338"/>
      <c r="BH607" s="2338"/>
      <c r="BI607" s="2338"/>
      <c r="BJ607" s="2338"/>
      <c r="BK607" s="2338"/>
      <c r="BL607" s="2338"/>
      <c r="BM607" s="2338"/>
      <c r="BN607" s="2338"/>
      <c r="BO607" s="2338"/>
      <c r="BP607" s="2338"/>
      <c r="BQ607" s="2338"/>
      <c r="BR607" s="2338"/>
      <c r="BS607" s="2338"/>
      <c r="BT607" s="2338"/>
      <c r="BU607" s="2338"/>
      <c r="BV607" s="2338"/>
      <c r="BW607" s="2338"/>
      <c r="BX607" s="2338"/>
      <c r="BY607" s="2338"/>
      <c r="BZ607" s="2338"/>
      <c r="CA607" s="2338"/>
      <c r="CB607" s="2338"/>
      <c r="CC607" s="2338"/>
      <c r="CD607" s="2338"/>
      <c r="CE607" s="2338"/>
      <c r="CF607" s="2338"/>
      <c r="CG607" s="2338"/>
      <c r="CH607" s="2338"/>
      <c r="CI607" s="2338"/>
      <c r="CJ607" s="2338"/>
      <c r="CK607" s="2338"/>
      <c r="CL607" s="2338"/>
      <c r="CM607" s="2338"/>
      <c r="CN607" s="2338"/>
      <c r="CO607" s="2338"/>
      <c r="CP607" s="2338"/>
      <c r="CQ607" s="2338"/>
      <c r="CR607" s="2338"/>
      <c r="CS607" s="2338"/>
      <c r="CT607" s="2338"/>
      <c r="CU607" s="2338"/>
      <c r="CV607" s="2338"/>
      <c r="CW607" s="2338"/>
      <c r="CX607" s="2338"/>
      <c r="CY607" s="2338"/>
      <c r="CZ607" s="2338"/>
      <c r="DA607" s="2338"/>
      <c r="DB607" s="2338"/>
      <c r="DC607" s="2338"/>
      <c r="DD607" s="2338"/>
      <c r="DE607" s="2338"/>
      <c r="DF607" s="2338"/>
      <c r="DG607" s="2338"/>
      <c r="DH607" s="2338"/>
      <c r="DI607" s="2338"/>
      <c r="DJ607" s="2338"/>
      <c r="DK607" s="2338"/>
      <c r="DL607" s="2338"/>
      <c r="DM607" s="2338"/>
      <c r="DN607" s="2338"/>
      <c r="DO607" s="2338"/>
    </row>
    <row r="608" spans="26:119">
      <c r="Z608" s="2338"/>
      <c r="AA608" s="2338"/>
      <c r="AB608" s="2338"/>
      <c r="AC608" s="2338"/>
      <c r="AD608" s="2338"/>
      <c r="AE608" s="2338"/>
      <c r="AF608" s="2338"/>
      <c r="AG608" s="2338"/>
      <c r="AH608" s="2338"/>
      <c r="AI608" s="2338"/>
      <c r="AJ608" s="2338"/>
      <c r="AK608" s="2338"/>
      <c r="AL608" s="2338"/>
      <c r="AM608" s="2338"/>
      <c r="AN608" s="2338"/>
      <c r="AO608" s="2338"/>
      <c r="AP608" s="2338"/>
      <c r="AQ608" s="2338"/>
      <c r="AR608" s="2338"/>
      <c r="AS608" s="2338"/>
      <c r="AT608" s="2338"/>
      <c r="AU608" s="2338"/>
      <c r="AV608" s="2338"/>
      <c r="AW608" s="2338"/>
      <c r="AX608" s="2338"/>
      <c r="AY608" s="2338"/>
      <c r="AZ608" s="2338"/>
      <c r="BA608" s="2338"/>
      <c r="BB608" s="2338"/>
      <c r="BC608" s="2338"/>
      <c r="BD608" s="2338"/>
      <c r="BE608" s="2338"/>
      <c r="BF608" s="2338"/>
      <c r="BG608" s="2338"/>
      <c r="BH608" s="2338"/>
      <c r="BI608" s="2338"/>
      <c r="BJ608" s="2338"/>
      <c r="BK608" s="2338"/>
      <c r="BL608" s="2338"/>
      <c r="BM608" s="2338"/>
      <c r="BN608" s="2338"/>
      <c r="BO608" s="2338"/>
      <c r="BP608" s="2338"/>
      <c r="BQ608" s="2338"/>
      <c r="BR608" s="2338"/>
      <c r="BS608" s="2338"/>
      <c r="BT608" s="2338"/>
      <c r="BU608" s="2338"/>
      <c r="BV608" s="2338"/>
      <c r="BW608" s="2338"/>
      <c r="BX608" s="2338"/>
      <c r="BY608" s="2338"/>
      <c r="BZ608" s="2338"/>
      <c r="CA608" s="2338"/>
      <c r="CB608" s="2338"/>
      <c r="CC608" s="2338"/>
      <c r="CD608" s="2338"/>
      <c r="CE608" s="2338"/>
      <c r="CF608" s="2338"/>
      <c r="CG608" s="2338"/>
      <c r="CH608" s="2338"/>
      <c r="CI608" s="2338"/>
      <c r="CJ608" s="2338"/>
      <c r="CK608" s="2338"/>
      <c r="CL608" s="2338"/>
      <c r="CM608" s="2338"/>
      <c r="CN608" s="2338"/>
      <c r="CO608" s="2338"/>
      <c r="CP608" s="2338"/>
      <c r="CQ608" s="2338"/>
      <c r="CR608" s="2338"/>
      <c r="CS608" s="2338"/>
      <c r="CT608" s="2338"/>
      <c r="CU608" s="2338"/>
      <c r="CV608" s="2338"/>
      <c r="CW608" s="2338"/>
      <c r="CX608" s="2338"/>
      <c r="CY608" s="2338"/>
      <c r="CZ608" s="2338"/>
      <c r="DA608" s="2338"/>
      <c r="DB608" s="2338"/>
      <c r="DC608" s="2338"/>
      <c r="DD608" s="2338"/>
      <c r="DE608" s="2338"/>
      <c r="DF608" s="2338"/>
      <c r="DG608" s="2338"/>
      <c r="DH608" s="2338"/>
      <c r="DI608" s="2338"/>
      <c r="DJ608" s="2338"/>
      <c r="DK608" s="2338"/>
      <c r="DL608" s="2338"/>
      <c r="DM608" s="2338"/>
      <c r="DN608" s="2338"/>
      <c r="DO608" s="2338"/>
    </row>
    <row r="609" spans="26:119">
      <c r="Z609" s="2338"/>
      <c r="AA609" s="2338"/>
      <c r="AB609" s="2338"/>
      <c r="AC609" s="2338"/>
      <c r="AD609" s="2338"/>
      <c r="AE609" s="2338"/>
      <c r="AF609" s="2338"/>
      <c r="AG609" s="2338"/>
      <c r="AH609" s="2338"/>
      <c r="AI609" s="2338"/>
      <c r="AJ609" s="2338"/>
      <c r="AK609" s="2338"/>
      <c r="AL609" s="2338"/>
      <c r="AM609" s="2338"/>
      <c r="AN609" s="2338"/>
      <c r="AO609" s="2338"/>
      <c r="AP609" s="2338"/>
      <c r="AQ609" s="2338"/>
      <c r="AR609" s="2338"/>
      <c r="AS609" s="2338"/>
      <c r="AT609" s="2338"/>
      <c r="AU609" s="2338"/>
      <c r="AV609" s="2338"/>
      <c r="AW609" s="2338"/>
      <c r="AX609" s="2338"/>
      <c r="AY609" s="2338"/>
      <c r="AZ609" s="2338"/>
      <c r="BA609" s="2338"/>
      <c r="BB609" s="2338"/>
      <c r="BC609" s="2338"/>
      <c r="BD609" s="2338"/>
      <c r="BE609" s="2338"/>
      <c r="BF609" s="2338"/>
      <c r="BG609" s="2338"/>
      <c r="BH609" s="2338"/>
      <c r="BI609" s="2338"/>
      <c r="BJ609" s="2338"/>
      <c r="BK609" s="2338"/>
      <c r="BL609" s="2338"/>
      <c r="BM609" s="2338"/>
      <c r="BN609" s="2338"/>
      <c r="BO609" s="2338"/>
      <c r="BP609" s="2338"/>
      <c r="BQ609" s="2338"/>
      <c r="BR609" s="2338"/>
      <c r="BS609" s="2338"/>
      <c r="BT609" s="2338"/>
      <c r="BU609" s="2338"/>
      <c r="BV609" s="2338"/>
      <c r="BW609" s="2338"/>
      <c r="BX609" s="2338"/>
      <c r="BY609" s="2338"/>
      <c r="BZ609" s="2338"/>
      <c r="CA609" s="2338"/>
      <c r="CB609" s="2338"/>
      <c r="CC609" s="2338"/>
      <c r="CD609" s="2338"/>
      <c r="CE609" s="2338"/>
      <c r="CF609" s="2338"/>
      <c r="CG609" s="2338"/>
      <c r="CH609" s="2338"/>
      <c r="CI609" s="2338"/>
      <c r="CJ609" s="2338"/>
      <c r="CK609" s="2338"/>
      <c r="CL609" s="2338"/>
      <c r="CM609" s="2338"/>
      <c r="CN609" s="2338"/>
      <c r="CO609" s="2338"/>
      <c r="CP609" s="2338"/>
      <c r="CQ609" s="2338"/>
      <c r="CR609" s="2338"/>
      <c r="CS609" s="2338"/>
      <c r="CT609" s="2338"/>
      <c r="CU609" s="2338"/>
      <c r="CV609" s="2338"/>
      <c r="CW609" s="2338"/>
      <c r="CX609" s="2338"/>
      <c r="CY609" s="2338"/>
      <c r="CZ609" s="2338"/>
      <c r="DA609" s="2338"/>
      <c r="DB609" s="2338"/>
      <c r="DC609" s="2338"/>
      <c r="DD609" s="2338"/>
      <c r="DE609" s="2338"/>
      <c r="DF609" s="2338"/>
      <c r="DG609" s="2338"/>
      <c r="DH609" s="2338"/>
      <c r="DI609" s="2338"/>
      <c r="DJ609" s="2338"/>
      <c r="DK609" s="2338"/>
      <c r="DL609" s="2338"/>
      <c r="DM609" s="2338"/>
      <c r="DN609" s="2338"/>
      <c r="DO609" s="2338"/>
    </row>
    <row r="610" spans="26:119">
      <c r="Z610" s="2338"/>
      <c r="AA610" s="2338"/>
      <c r="AB610" s="2338"/>
      <c r="AC610" s="2338"/>
      <c r="AD610" s="2338"/>
      <c r="AE610" s="2338"/>
      <c r="AF610" s="2338"/>
      <c r="AG610" s="2338"/>
      <c r="AH610" s="2338"/>
      <c r="AI610" s="2338"/>
      <c r="AJ610" s="2338"/>
      <c r="AK610" s="2338"/>
      <c r="AL610" s="2338"/>
      <c r="AM610" s="2338"/>
      <c r="AN610" s="2338"/>
      <c r="AO610" s="2338"/>
      <c r="AP610" s="2338"/>
      <c r="AQ610" s="2338"/>
      <c r="AR610" s="2338"/>
      <c r="AS610" s="2338"/>
      <c r="AT610" s="2338"/>
      <c r="AU610" s="2338"/>
      <c r="AV610" s="2338"/>
      <c r="AW610" s="2338"/>
      <c r="AX610" s="2338"/>
      <c r="AY610" s="2338"/>
      <c r="AZ610" s="2338"/>
      <c r="BA610" s="2338"/>
      <c r="BB610" s="2338"/>
      <c r="BC610" s="2338"/>
      <c r="BD610" s="2338"/>
      <c r="BE610" s="2338"/>
      <c r="BF610" s="2338"/>
      <c r="BG610" s="2338"/>
      <c r="BH610" s="2338"/>
      <c r="BI610" s="2338"/>
      <c r="BJ610" s="2338"/>
      <c r="BK610" s="2338"/>
      <c r="BL610" s="2338"/>
      <c r="BM610" s="2338"/>
      <c r="BN610" s="2338"/>
      <c r="BO610" s="2338"/>
      <c r="BP610" s="2338"/>
      <c r="BQ610" s="2338"/>
      <c r="BR610" s="2338"/>
      <c r="BS610" s="2338"/>
      <c r="BT610" s="2338"/>
      <c r="BU610" s="2338"/>
      <c r="BV610" s="2338"/>
      <c r="BW610" s="2338"/>
      <c r="BX610" s="2338"/>
      <c r="BY610" s="2338"/>
      <c r="BZ610" s="2338"/>
      <c r="CA610" s="2338"/>
      <c r="CB610" s="2338"/>
      <c r="CC610" s="2338"/>
      <c r="CD610" s="2338"/>
      <c r="CE610" s="2338"/>
      <c r="CF610" s="2338"/>
      <c r="CG610" s="2338"/>
      <c r="CH610" s="2338"/>
      <c r="CI610" s="2338"/>
      <c r="CJ610" s="2338"/>
      <c r="CK610" s="2338"/>
      <c r="CL610" s="2338"/>
      <c r="CM610" s="2338"/>
      <c r="CN610" s="2338"/>
      <c r="CO610" s="2338"/>
      <c r="CP610" s="2338"/>
      <c r="CQ610" s="2338"/>
      <c r="CR610" s="2338"/>
      <c r="CS610" s="2338"/>
      <c r="CT610" s="2338"/>
      <c r="CU610" s="2338"/>
      <c r="CV610" s="2338"/>
      <c r="CW610" s="2338"/>
      <c r="CX610" s="2338"/>
      <c r="CY610" s="2338"/>
      <c r="CZ610" s="2338"/>
      <c r="DA610" s="2338"/>
      <c r="DB610" s="2338"/>
      <c r="DC610" s="2338"/>
      <c r="DD610" s="2338"/>
      <c r="DE610" s="2338"/>
      <c r="DF610" s="2338"/>
      <c r="DG610" s="2338"/>
      <c r="DH610" s="2338"/>
      <c r="DI610" s="2338"/>
      <c r="DJ610" s="2338"/>
      <c r="DK610" s="2338"/>
      <c r="DL610" s="2338"/>
      <c r="DM610" s="2338"/>
      <c r="DN610" s="2338"/>
      <c r="DO610" s="2338"/>
    </row>
    <row r="611" spans="26:119">
      <c r="Z611" s="2338"/>
      <c r="AA611" s="2338"/>
      <c r="AB611" s="2338"/>
      <c r="AC611" s="2338"/>
      <c r="AD611" s="2338"/>
      <c r="AE611" s="2338"/>
      <c r="AF611" s="2338"/>
      <c r="AG611" s="2338"/>
      <c r="AH611" s="2338"/>
      <c r="AI611" s="2338"/>
      <c r="AJ611" s="2338"/>
      <c r="AK611" s="2338"/>
      <c r="AL611" s="2338"/>
      <c r="AM611" s="2338"/>
      <c r="AN611" s="2338"/>
      <c r="AO611" s="2338"/>
      <c r="AP611" s="2338"/>
      <c r="AQ611" s="2338"/>
      <c r="AR611" s="2338"/>
      <c r="AS611" s="2338"/>
      <c r="AT611" s="2338"/>
      <c r="AU611" s="2338"/>
      <c r="AV611" s="2338"/>
      <c r="AW611" s="2338"/>
      <c r="AX611" s="2338"/>
      <c r="AY611" s="2338"/>
      <c r="AZ611" s="2338"/>
      <c r="BA611" s="2338"/>
      <c r="BB611" s="2338"/>
      <c r="BC611" s="2338"/>
      <c r="BD611" s="2338"/>
      <c r="BE611" s="2338"/>
      <c r="BF611" s="2338"/>
      <c r="BG611" s="2338"/>
      <c r="BH611" s="2338"/>
      <c r="BI611" s="2338"/>
      <c r="BJ611" s="2338"/>
      <c r="BK611" s="2338"/>
      <c r="BL611" s="2338"/>
      <c r="BM611" s="2338"/>
      <c r="BN611" s="2338"/>
      <c r="BO611" s="2338"/>
      <c r="BP611" s="2338"/>
      <c r="BQ611" s="2338"/>
      <c r="BR611" s="2338"/>
      <c r="BS611" s="2338"/>
      <c r="BT611" s="2338"/>
      <c r="BU611" s="2338"/>
      <c r="BV611" s="2338"/>
      <c r="BW611" s="2338"/>
      <c r="BX611" s="2338"/>
      <c r="BY611" s="2338"/>
      <c r="BZ611" s="2338"/>
      <c r="CA611" s="2338"/>
      <c r="CB611" s="2338"/>
      <c r="CC611" s="2338"/>
      <c r="CD611" s="2338"/>
      <c r="CE611" s="2338"/>
      <c r="CF611" s="2338"/>
      <c r="CG611" s="2338"/>
      <c r="CH611" s="2338"/>
      <c r="CI611" s="2338"/>
      <c r="CJ611" s="2338"/>
      <c r="CK611" s="2338"/>
      <c r="CL611" s="2338"/>
      <c r="CM611" s="2338"/>
      <c r="CN611" s="2338"/>
      <c r="CO611" s="2338"/>
      <c r="CP611" s="2338"/>
      <c r="CQ611" s="2338"/>
      <c r="CR611" s="2338"/>
      <c r="CS611" s="2338"/>
      <c r="CT611" s="2338"/>
      <c r="CU611" s="2338"/>
      <c r="CV611" s="2338"/>
      <c r="CW611" s="2338"/>
      <c r="CX611" s="2338"/>
      <c r="CY611" s="2338"/>
      <c r="CZ611" s="2338"/>
      <c r="DA611" s="2338"/>
      <c r="DB611" s="2338"/>
      <c r="DC611" s="2338"/>
      <c r="DD611" s="2338"/>
      <c r="DE611" s="2338"/>
      <c r="DF611" s="2338"/>
      <c r="DG611" s="2338"/>
      <c r="DH611" s="2338"/>
      <c r="DI611" s="2338"/>
      <c r="DJ611" s="2338"/>
      <c r="DK611" s="2338"/>
      <c r="DL611" s="2338"/>
      <c r="DM611" s="2338"/>
      <c r="DN611" s="2338"/>
      <c r="DO611" s="2338"/>
    </row>
    <row r="612" spans="26:119">
      <c r="Z612" s="2338"/>
      <c r="AA612" s="2338"/>
      <c r="AB612" s="2338"/>
      <c r="AC612" s="2338"/>
      <c r="AD612" s="2338"/>
      <c r="AE612" s="2338"/>
      <c r="AF612" s="2338"/>
      <c r="AG612" s="2338"/>
      <c r="AH612" s="2338"/>
      <c r="AI612" s="2338"/>
      <c r="AJ612" s="2338"/>
      <c r="AK612" s="2338"/>
      <c r="AL612" s="2338"/>
      <c r="AM612" s="2338"/>
      <c r="AN612" s="2338"/>
      <c r="AO612" s="2338"/>
      <c r="AP612" s="2338"/>
      <c r="AQ612" s="2338"/>
      <c r="AR612" s="2338"/>
      <c r="AS612" s="2338"/>
      <c r="AT612" s="2338"/>
      <c r="AU612" s="2338"/>
      <c r="AV612" s="2338"/>
      <c r="AW612" s="2338"/>
      <c r="AX612" s="2338"/>
      <c r="AY612" s="2338"/>
      <c r="AZ612" s="2338"/>
      <c r="BA612" s="2338"/>
      <c r="BB612" s="2338"/>
      <c r="BC612" s="2338"/>
      <c r="BD612" s="2338"/>
      <c r="BE612" s="2338"/>
      <c r="BF612" s="2338"/>
      <c r="BG612" s="2338"/>
      <c r="BH612" s="2338"/>
      <c r="BI612" s="2338"/>
      <c r="BJ612" s="2338"/>
      <c r="BK612" s="2338"/>
      <c r="BL612" s="2338"/>
      <c r="BM612" s="2338"/>
      <c r="BN612" s="2338"/>
      <c r="BO612" s="2338"/>
      <c r="BP612" s="2338"/>
      <c r="BQ612" s="2338"/>
      <c r="BR612" s="2338"/>
      <c r="BS612" s="2338"/>
      <c r="BT612" s="2338"/>
      <c r="BU612" s="2338"/>
      <c r="BV612" s="2338"/>
      <c r="BW612" s="2338"/>
      <c r="BX612" s="2338"/>
      <c r="BY612" s="2338"/>
      <c r="BZ612" s="2338"/>
      <c r="CA612" s="2338"/>
      <c r="CB612" s="2338"/>
      <c r="CC612" s="2338"/>
      <c r="CD612" s="2338"/>
      <c r="CE612" s="2338"/>
      <c r="CF612" s="2338"/>
      <c r="CG612" s="2338"/>
      <c r="CH612" s="2338"/>
      <c r="CI612" s="2338"/>
      <c r="CJ612" s="2338"/>
      <c r="CK612" s="2338"/>
      <c r="CL612" s="2338"/>
      <c r="CM612" s="2338"/>
      <c r="CN612" s="2338"/>
      <c r="CO612" s="2338"/>
      <c r="CP612" s="2338"/>
      <c r="CQ612" s="2338"/>
      <c r="CR612" s="2338"/>
      <c r="CS612" s="2338"/>
      <c r="CT612" s="2338"/>
      <c r="CU612" s="2338"/>
      <c r="CV612" s="2338"/>
      <c r="CW612" s="2338"/>
      <c r="CX612" s="2338"/>
      <c r="CY612" s="2338"/>
      <c r="CZ612" s="2338"/>
      <c r="DA612" s="2338"/>
      <c r="DB612" s="2338"/>
      <c r="DC612" s="2338"/>
      <c r="DD612" s="2338"/>
      <c r="DE612" s="2338"/>
      <c r="DF612" s="2338"/>
      <c r="DG612" s="2338"/>
      <c r="DH612" s="2338"/>
      <c r="DI612" s="2338"/>
      <c r="DJ612" s="2338"/>
      <c r="DK612" s="2338"/>
      <c r="DL612" s="2338"/>
      <c r="DM612" s="2338"/>
      <c r="DN612" s="2338"/>
      <c r="DO612" s="2338"/>
    </row>
  </sheetData>
  <mergeCells count="306">
    <mergeCell ref="AD410:AG410"/>
    <mergeCell ref="AD426:AG426"/>
    <mergeCell ref="AD428:AG428"/>
    <mergeCell ref="H341:L341"/>
    <mergeCell ref="M341:Q341"/>
    <mergeCell ref="H377:L377"/>
    <mergeCell ref="M377:Q377"/>
    <mergeCell ref="H408:L408"/>
    <mergeCell ref="M408:Q408"/>
    <mergeCell ref="H426:L426"/>
    <mergeCell ref="M426:Q426"/>
    <mergeCell ref="Z379:AC379"/>
    <mergeCell ref="Z426:AC426"/>
    <mergeCell ref="Z428:AC428"/>
    <mergeCell ref="Z408:AC408"/>
    <mergeCell ref="Z410:AC410"/>
    <mergeCell ref="V410:X410"/>
    <mergeCell ref="V426:Y426"/>
    <mergeCell ref="V428:X428"/>
    <mergeCell ref="AD124:AG124"/>
    <mergeCell ref="AD126:AG126"/>
    <mergeCell ref="AD232:AG232"/>
    <mergeCell ref="AD234:AG234"/>
    <mergeCell ref="AD341:AG341"/>
    <mergeCell ref="AD343:AG343"/>
    <mergeCell ref="AD377:AG377"/>
    <mergeCell ref="AD379:AG379"/>
    <mergeCell ref="AD408:AG408"/>
    <mergeCell ref="V10:Y10"/>
    <mergeCell ref="AD10:AG10"/>
    <mergeCell ref="AD12:AG12"/>
    <mergeCell ref="H10:L10"/>
    <mergeCell ref="M10:Q10"/>
    <mergeCell ref="V68:Y68"/>
    <mergeCell ref="V70:X70"/>
    <mergeCell ref="AD68:AG68"/>
    <mergeCell ref="AD70:AG70"/>
    <mergeCell ref="H68:L68"/>
    <mergeCell ref="M68:Q68"/>
    <mergeCell ref="V12:X12"/>
    <mergeCell ref="Z68:AC68"/>
    <mergeCell ref="Z70:AC70"/>
    <mergeCell ref="R68:U68"/>
    <mergeCell ref="Z10:AC10"/>
    <mergeCell ref="V124:Y124"/>
    <mergeCell ref="V126:X126"/>
    <mergeCell ref="V232:Y232"/>
    <mergeCell ref="V234:X234"/>
    <mergeCell ref="V341:Y341"/>
    <mergeCell ref="V343:X343"/>
    <mergeCell ref="V377:Y377"/>
    <mergeCell ref="V379:X379"/>
    <mergeCell ref="V408:Y408"/>
    <mergeCell ref="Z124:AC124"/>
    <mergeCell ref="Z126:AC126"/>
    <mergeCell ref="Z232:AC232"/>
    <mergeCell ref="Z234:AC234"/>
    <mergeCell ref="Z341:AC341"/>
    <mergeCell ref="Z343:AC343"/>
    <mergeCell ref="Z377:AC377"/>
    <mergeCell ref="B429:D430"/>
    <mergeCell ref="E429:F429"/>
    <mergeCell ref="E430:F430"/>
    <mergeCell ref="R408:U408"/>
    <mergeCell ref="B410:D410"/>
    <mergeCell ref="E410:F410"/>
    <mergeCell ref="H410:K410"/>
    <mergeCell ref="M410:P410"/>
    <mergeCell ref="R410:U410"/>
    <mergeCell ref="R377:U377"/>
    <mergeCell ref="B379:D379"/>
    <mergeCell ref="E379:F379"/>
    <mergeCell ref="H379:K379"/>
    <mergeCell ref="M379:P379"/>
    <mergeCell ref="R379:U379"/>
    <mergeCell ref="B359:D373"/>
    <mergeCell ref="E359:E363"/>
    <mergeCell ref="B431:D432"/>
    <mergeCell ref="E431:F431"/>
    <mergeCell ref="E432:F432"/>
    <mergeCell ref="R426:U426"/>
    <mergeCell ref="B428:D428"/>
    <mergeCell ref="E428:F428"/>
    <mergeCell ref="H428:K428"/>
    <mergeCell ref="M428:P428"/>
    <mergeCell ref="R428:U428"/>
    <mergeCell ref="A426:A427"/>
    <mergeCell ref="B426:D427"/>
    <mergeCell ref="E426:F427"/>
    <mergeCell ref="G426:G427"/>
    <mergeCell ref="B411:D416"/>
    <mergeCell ref="E411:E416"/>
    <mergeCell ref="B417:D422"/>
    <mergeCell ref="E417:E422"/>
    <mergeCell ref="A425:F425"/>
    <mergeCell ref="G425:U425"/>
    <mergeCell ref="A408:A409"/>
    <mergeCell ref="B408:D409"/>
    <mergeCell ref="E408:E409"/>
    <mergeCell ref="F408:F409"/>
    <mergeCell ref="G408:G409"/>
    <mergeCell ref="E380:E385"/>
    <mergeCell ref="E398:E403"/>
    <mergeCell ref="A407:F407"/>
    <mergeCell ref="G407:U407"/>
    <mergeCell ref="A377:A378"/>
    <mergeCell ref="B377:D378"/>
    <mergeCell ref="E377:E378"/>
    <mergeCell ref="F377:F378"/>
    <mergeCell ref="G377:G378"/>
    <mergeCell ref="B380:D391"/>
    <mergeCell ref="E386:E391"/>
    <mergeCell ref="B392:D403"/>
    <mergeCell ref="E392:E397"/>
    <mergeCell ref="E364:E368"/>
    <mergeCell ref="E369:E373"/>
    <mergeCell ref="O369:R369"/>
    <mergeCell ref="A376:F376"/>
    <mergeCell ref="G376:U376"/>
    <mergeCell ref="B343:D343"/>
    <mergeCell ref="E343:F343"/>
    <mergeCell ref="H343:K343"/>
    <mergeCell ref="M343:P343"/>
    <mergeCell ref="R343:U343"/>
    <mergeCell ref="B344:D358"/>
    <mergeCell ref="E344:E348"/>
    <mergeCell ref="E349:E353"/>
    <mergeCell ref="E354:E358"/>
    <mergeCell ref="A340:F340"/>
    <mergeCell ref="G340:U340"/>
    <mergeCell ref="A341:A342"/>
    <mergeCell ref="B341:D342"/>
    <mergeCell ref="E341:E342"/>
    <mergeCell ref="F341:F342"/>
    <mergeCell ref="G341:G342"/>
    <mergeCell ref="R341:U341"/>
    <mergeCell ref="E295:E300"/>
    <mergeCell ref="D301:D312"/>
    <mergeCell ref="E301:E306"/>
    <mergeCell ref="E307:E312"/>
    <mergeCell ref="B313:B336"/>
    <mergeCell ref="C313:C336"/>
    <mergeCell ref="D313:D324"/>
    <mergeCell ref="E313:E318"/>
    <mergeCell ref="E319:E324"/>
    <mergeCell ref="D325:D336"/>
    <mergeCell ref="E325:E330"/>
    <mergeCell ref="E331:E336"/>
    <mergeCell ref="E259:E264"/>
    <mergeCell ref="D265:D276"/>
    <mergeCell ref="E265:E270"/>
    <mergeCell ref="E271:E276"/>
    <mergeCell ref="C277:C282"/>
    <mergeCell ref="D277:D282"/>
    <mergeCell ref="E277:E282"/>
    <mergeCell ref="B235:B312"/>
    <mergeCell ref="C235:C258"/>
    <mergeCell ref="D235:D246"/>
    <mergeCell ref="E235:E240"/>
    <mergeCell ref="E241:E246"/>
    <mergeCell ref="D247:D258"/>
    <mergeCell ref="E247:E252"/>
    <mergeCell ref="E253:E258"/>
    <mergeCell ref="C259:C276"/>
    <mergeCell ref="D259:D264"/>
    <mergeCell ref="C283:C294"/>
    <mergeCell ref="D283:D288"/>
    <mergeCell ref="E283:E288"/>
    <mergeCell ref="D289:D294"/>
    <mergeCell ref="E289:E294"/>
    <mergeCell ref="C295:C312"/>
    <mergeCell ref="D295:D300"/>
    <mergeCell ref="R232:U232"/>
    <mergeCell ref="C234:F234"/>
    <mergeCell ref="H234:K234"/>
    <mergeCell ref="M234:P234"/>
    <mergeCell ref="R234:U234"/>
    <mergeCell ref="A231:F231"/>
    <mergeCell ref="G231:U231"/>
    <mergeCell ref="A232:A233"/>
    <mergeCell ref="B232:B233"/>
    <mergeCell ref="C232:C233"/>
    <mergeCell ref="D232:D233"/>
    <mergeCell ref="E232:E233"/>
    <mergeCell ref="F232:F233"/>
    <mergeCell ref="G232:G233"/>
    <mergeCell ref="H232:L232"/>
    <mergeCell ref="M232:Q232"/>
    <mergeCell ref="E187:E192"/>
    <mergeCell ref="D193:D204"/>
    <mergeCell ref="E193:E198"/>
    <mergeCell ref="E199:E204"/>
    <mergeCell ref="B205:B228"/>
    <mergeCell ref="C205:C228"/>
    <mergeCell ref="D205:D216"/>
    <mergeCell ref="E205:E210"/>
    <mergeCell ref="E211:E216"/>
    <mergeCell ref="D217:D228"/>
    <mergeCell ref="E217:E222"/>
    <mergeCell ref="E223:E228"/>
    <mergeCell ref="E151:E156"/>
    <mergeCell ref="D157:D168"/>
    <mergeCell ref="E157:E162"/>
    <mergeCell ref="E163:E168"/>
    <mergeCell ref="C169:C174"/>
    <mergeCell ref="D169:D174"/>
    <mergeCell ref="E169:E174"/>
    <mergeCell ref="B127:B204"/>
    <mergeCell ref="C127:C150"/>
    <mergeCell ref="D127:D138"/>
    <mergeCell ref="E127:E132"/>
    <mergeCell ref="E133:E138"/>
    <mergeCell ref="D139:D150"/>
    <mergeCell ref="E139:E144"/>
    <mergeCell ref="E145:E150"/>
    <mergeCell ref="C151:C168"/>
    <mergeCell ref="D151:D156"/>
    <mergeCell ref="C175:C186"/>
    <mergeCell ref="D175:D180"/>
    <mergeCell ref="E175:E180"/>
    <mergeCell ref="D181:D186"/>
    <mergeCell ref="E181:E186"/>
    <mergeCell ref="C187:C204"/>
    <mergeCell ref="D187:D192"/>
    <mergeCell ref="R124:U124"/>
    <mergeCell ref="C126:F126"/>
    <mergeCell ref="H126:K126"/>
    <mergeCell ref="M126:P126"/>
    <mergeCell ref="R126:U126"/>
    <mergeCell ref="B122:T122"/>
    <mergeCell ref="A123:F123"/>
    <mergeCell ref="G123:U123"/>
    <mergeCell ref="A124:A125"/>
    <mergeCell ref="B124:B125"/>
    <mergeCell ref="C124:C125"/>
    <mergeCell ref="D124:D125"/>
    <mergeCell ref="E124:E125"/>
    <mergeCell ref="F124:F125"/>
    <mergeCell ref="G124:G125"/>
    <mergeCell ref="H124:L124"/>
    <mergeCell ref="M124:Q124"/>
    <mergeCell ref="B95:B118"/>
    <mergeCell ref="C95:C118"/>
    <mergeCell ref="D95:D106"/>
    <mergeCell ref="E95:E100"/>
    <mergeCell ref="E101:E106"/>
    <mergeCell ref="D107:D118"/>
    <mergeCell ref="E107:E112"/>
    <mergeCell ref="E113:E118"/>
    <mergeCell ref="B71:B94"/>
    <mergeCell ref="C71:C94"/>
    <mergeCell ref="D71:D82"/>
    <mergeCell ref="E71:E76"/>
    <mergeCell ref="E77:E82"/>
    <mergeCell ref="D83:D94"/>
    <mergeCell ref="E83:E88"/>
    <mergeCell ref="E89:E94"/>
    <mergeCell ref="C70:F70"/>
    <mergeCell ref="H70:K70"/>
    <mergeCell ref="M70:P70"/>
    <mergeCell ref="R70:U70"/>
    <mergeCell ref="A67:F67"/>
    <mergeCell ref="G67:U67"/>
    <mergeCell ref="A68:A69"/>
    <mergeCell ref="B68:B69"/>
    <mergeCell ref="C68:C69"/>
    <mergeCell ref="D68:D69"/>
    <mergeCell ref="E68:E69"/>
    <mergeCell ref="F68:F69"/>
    <mergeCell ref="G68:G69"/>
    <mergeCell ref="C12:F12"/>
    <mergeCell ref="H12:K12"/>
    <mergeCell ref="M12:P12"/>
    <mergeCell ref="R12:U12"/>
    <mergeCell ref="Z12:AC12"/>
    <mergeCell ref="B37:B60"/>
    <mergeCell ref="C37:C60"/>
    <mergeCell ref="D37:D48"/>
    <mergeCell ref="E37:E42"/>
    <mergeCell ref="E43:E48"/>
    <mergeCell ref="D49:D60"/>
    <mergeCell ref="E49:E54"/>
    <mergeCell ref="E55:E60"/>
    <mergeCell ref="B13:B36"/>
    <mergeCell ref="C13:C36"/>
    <mergeCell ref="D13:D24"/>
    <mergeCell ref="E13:E18"/>
    <mergeCell ref="E19:E24"/>
    <mergeCell ref="D25:D36"/>
    <mergeCell ref="E25:E30"/>
    <mergeCell ref="E31:E36"/>
    <mergeCell ref="F10:F11"/>
    <mergeCell ref="R1:T1"/>
    <mergeCell ref="S3:T4"/>
    <mergeCell ref="S5:T5"/>
    <mergeCell ref="B6:S6"/>
    <mergeCell ref="B8:T8"/>
    <mergeCell ref="A9:F9"/>
    <mergeCell ref="G9:U9"/>
    <mergeCell ref="G10:G11"/>
    <mergeCell ref="R10:U10"/>
    <mergeCell ref="A10:A11"/>
    <mergeCell ref="B10:B11"/>
    <mergeCell ref="C10:C11"/>
    <mergeCell ref="D10:D11"/>
    <mergeCell ref="E10:E11"/>
  </mergeCells>
  <pageMargins left="0.70866141732283472" right="0.70866141732283472" top="0.74803149606299213" bottom="0.74803149606299213" header="0.31496062992125984" footer="0.31496062992125984"/>
  <pageSetup paperSize="8" scale="51" fitToHeight="2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02"/>
  <sheetViews>
    <sheetView zoomScale="70" zoomScaleNormal="70" workbookViewId="0">
      <pane xSplit="2" ySplit="7" topLeftCell="C192" activePane="bottomRight" state="frozen"/>
      <selection pane="topRight" activeCell="C1" sqref="C1"/>
      <selection pane="bottomLeft" activeCell="A8" sqref="A8"/>
      <selection pane="bottomRight" activeCell="G214" sqref="G214"/>
    </sheetView>
  </sheetViews>
  <sheetFormatPr defaultRowHeight="12.75" outlineLevelCol="1"/>
  <cols>
    <col min="1" max="1" width="9.140625" style="2244"/>
    <col min="2" max="2" width="84.140625" style="2244" customWidth="1"/>
    <col min="3" max="3" width="17.140625" style="2244" customWidth="1" outlineLevel="1"/>
    <col min="4" max="4" width="15" style="2244" customWidth="1" outlineLevel="1"/>
    <col min="5" max="5" width="14.42578125" style="2244" customWidth="1" outlineLevel="1"/>
    <col min="6" max="6" width="14.28515625" style="2244" customWidth="1" outlineLevel="1"/>
    <col min="7" max="7" width="16.42578125" style="2244" customWidth="1" outlineLevel="1"/>
    <col min="8" max="8" width="16.85546875" style="2244" customWidth="1" outlineLevel="1"/>
    <col min="9" max="10" width="14.5703125" style="2244" customWidth="1" outlineLevel="1"/>
    <col min="11" max="11" width="14" style="2244" customWidth="1" outlineLevel="1"/>
    <col min="12" max="12" width="16.5703125" style="2244" customWidth="1" outlineLevel="1"/>
    <col min="13" max="13" width="16.28515625" style="2244" customWidth="1" outlineLevel="1"/>
    <col min="14" max="14" width="22.140625" style="2244" customWidth="1"/>
    <col min="15" max="16384" width="9.140625" style="2244"/>
  </cols>
  <sheetData>
    <row r="1" spans="2:14">
      <c r="B1" s="3447" t="s">
        <v>29</v>
      </c>
      <c r="C1" s="3447"/>
      <c r="D1" s="3447"/>
      <c r="E1" s="3447"/>
      <c r="F1" s="3447"/>
      <c r="G1" s="3447"/>
    </row>
    <row r="2" spans="2:14" ht="15.75">
      <c r="B2" s="2245" t="s">
        <v>1313</v>
      </c>
      <c r="C2" s="2245" t="b">
        <f ca="1">C3=C8</f>
        <v>1</v>
      </c>
      <c r="D2" s="2246" t="b">
        <f>D3=D8</f>
        <v>1</v>
      </c>
      <c r="E2" s="2245"/>
      <c r="F2" s="2245"/>
      <c r="G2" s="2245" t="b">
        <f ca="1">G3=G8</f>
        <v>1</v>
      </c>
      <c r="H2" s="2245" t="b">
        <f ca="1">H3=H8</f>
        <v>1</v>
      </c>
      <c r="L2" s="2247" t="s">
        <v>3833</v>
      </c>
      <c r="M2" s="2247" t="s">
        <v>2564</v>
      </c>
      <c r="N2" s="2247" t="s">
        <v>3834</v>
      </c>
    </row>
    <row r="3" spans="2:14">
      <c r="B3" s="2248"/>
      <c r="C3" s="2249">
        <f>[41]об.счета20!N524</f>
        <v>6114158.4900000002</v>
      </c>
      <c r="D3" s="2249">
        <f>[41]об.счета20!M13</f>
        <v>2076287.51</v>
      </c>
      <c r="E3" s="2248"/>
      <c r="F3" s="2248"/>
      <c r="G3" s="2249">
        <f>[41]об.счета20!M187</f>
        <v>231993.94</v>
      </c>
      <c r="H3" s="2250">
        <f>[41]об.счета20!M356</f>
        <v>3805877.04</v>
      </c>
      <c r="L3" s="2251">
        <f>'Выручка, УО_2017'!G6</f>
        <v>2076287.51</v>
      </c>
      <c r="M3" s="2251">
        <f>'Выручка, УО_2017'!G7</f>
        <v>1859017.6</v>
      </c>
      <c r="N3" s="2251">
        <f>'Выручка, УО_2017'!G8</f>
        <v>217269.90999999992</v>
      </c>
    </row>
    <row r="4" spans="2:14">
      <c r="B4" s="2252" t="s">
        <v>31</v>
      </c>
      <c r="C4" s="3448" t="s">
        <v>32</v>
      </c>
      <c r="D4" s="3448"/>
      <c r="E4" s="3448"/>
      <c r="F4" s="3448"/>
      <c r="G4" s="3448"/>
      <c r="L4" s="2253">
        <f>L3/$L$3</f>
        <v>1</v>
      </c>
      <c r="M4" s="2254">
        <f>M3/$L$3</f>
        <v>0.89535653951894167</v>
      </c>
      <c r="N4" s="2254">
        <f>N3/$L$3</f>
        <v>0.10464346048105828</v>
      </c>
    </row>
    <row r="5" spans="2:14" ht="12.75" customHeight="1">
      <c r="B5" s="3420" t="s">
        <v>1461</v>
      </c>
      <c r="C5" s="3416" t="s">
        <v>39</v>
      </c>
      <c r="D5" s="3416" t="s">
        <v>1462</v>
      </c>
      <c r="E5" s="3451" t="s">
        <v>1463</v>
      </c>
      <c r="F5" s="3452"/>
      <c r="G5" s="3416" t="s">
        <v>1464</v>
      </c>
      <c r="H5" s="3416" t="s">
        <v>1465</v>
      </c>
    </row>
    <row r="6" spans="2:14" ht="25.5" customHeight="1">
      <c r="B6" s="3449"/>
      <c r="C6" s="3450"/>
      <c r="D6" s="3450"/>
      <c r="E6" s="2255" t="s">
        <v>1466</v>
      </c>
      <c r="F6" s="2255" t="s">
        <v>1467</v>
      </c>
      <c r="G6" s="3450"/>
      <c r="H6" s="3450"/>
      <c r="J6" s="3442" t="s">
        <v>3824</v>
      </c>
      <c r="K6" s="3442" t="s">
        <v>3796</v>
      </c>
      <c r="L6" s="3442" t="s">
        <v>3797</v>
      </c>
      <c r="N6" s="3443" t="s">
        <v>3825</v>
      </c>
    </row>
    <row r="7" spans="2:14">
      <c r="B7" s="2256">
        <v>1</v>
      </c>
      <c r="C7" s="2257">
        <f>B7+1</f>
        <v>2</v>
      </c>
      <c r="D7" s="2257">
        <f t="shared" ref="D7:H7" si="0">C7+1</f>
        <v>3</v>
      </c>
      <c r="E7" s="2257">
        <f t="shared" si="0"/>
        <v>4</v>
      </c>
      <c r="F7" s="2257">
        <f t="shared" si="0"/>
        <v>5</v>
      </c>
      <c r="G7" s="2257">
        <f t="shared" si="0"/>
        <v>6</v>
      </c>
      <c r="H7" s="2257">
        <f t="shared" si="0"/>
        <v>7</v>
      </c>
      <c r="J7" s="3442"/>
      <c r="K7" s="3442"/>
      <c r="L7" s="3442"/>
      <c r="N7" s="3443"/>
    </row>
    <row r="8" spans="2:14">
      <c r="B8" s="2258" t="s">
        <v>46</v>
      </c>
      <c r="C8" s="2259">
        <f ca="1">SUM(C9,C12,C27,C75,C162)</f>
        <v>6114158.4900000002</v>
      </c>
      <c r="D8" s="2260">
        <f>SUM(D9,D12,D27,D75,D162)</f>
        <v>2076287.5100000002</v>
      </c>
      <c r="E8" s="2259">
        <f>SUM(E9,E12,E27,E75,E162)</f>
        <v>1859017.6199999996</v>
      </c>
      <c r="F8" s="2259">
        <f t="shared" ref="F8" si="1">SUM(F9,F12,F27,F75,F162)</f>
        <v>217269.88999999998</v>
      </c>
      <c r="G8" s="2259">
        <f ca="1">SUM(G9,G12,G27,G75,G162)</f>
        <v>231993.94</v>
      </c>
      <c r="H8" s="2259">
        <f t="shared" ref="H8" ca="1" si="2">SUM(H9,H12,H27,H75,H162)</f>
        <v>3805877.0399999996</v>
      </c>
      <c r="J8" s="2166">
        <v>1</v>
      </c>
      <c r="K8" s="2166">
        <f>J8+1</f>
        <v>2</v>
      </c>
      <c r="L8" s="2166">
        <f>K8+1</f>
        <v>3</v>
      </c>
      <c r="N8" s="2261"/>
    </row>
    <row r="9" spans="2:14">
      <c r="B9" s="2262" t="s">
        <v>1469</v>
      </c>
      <c r="C9" s="2263">
        <f ca="1">SUM(C10:C11)</f>
        <v>36980.85</v>
      </c>
      <c r="D9" s="2263">
        <f t="shared" ref="D9:H9" si="3">SUM(D10:D11)</f>
        <v>19424.63</v>
      </c>
      <c r="E9" s="2263">
        <f t="shared" si="3"/>
        <v>17391.97</v>
      </c>
      <c r="F9" s="2263">
        <f t="shared" si="3"/>
        <v>2032.6599999999999</v>
      </c>
      <c r="G9" s="2263">
        <f t="shared" ca="1" si="3"/>
        <v>1726.29</v>
      </c>
      <c r="H9" s="2263">
        <f t="shared" ca="1" si="3"/>
        <v>15829.93</v>
      </c>
      <c r="J9" s="2264"/>
      <c r="K9" s="2265">
        <f ca="1">C9-J9</f>
        <v>36980.85</v>
      </c>
      <c r="L9" s="2265">
        <f ca="1">C9-E9-J9</f>
        <v>19588.879999999997</v>
      </c>
      <c r="N9" s="2261"/>
    </row>
    <row r="10" spans="2:14">
      <c r="B10" s="2266" t="s">
        <v>1319</v>
      </c>
      <c r="C10" s="2267">
        <f ca="1">SUM(D10,G10:H10)</f>
        <v>73.570000000000007</v>
      </c>
      <c r="D10" s="2230">
        <v>43.7</v>
      </c>
      <c r="E10" s="2230">
        <f>ROUND(D10*$M$4,2)</f>
        <v>39.130000000000003</v>
      </c>
      <c r="F10" s="2230">
        <f>ROUND(D10*$N$4,2)</f>
        <v>4.57</v>
      </c>
      <c r="G10" s="2230">
        <f ca="1">SUMIF($B$262:$C$430,B10,$D$262:$D$430)</f>
        <v>24.04</v>
      </c>
      <c r="H10" s="2230">
        <f ca="1">SUMIF($B$435:$C$602,B10,$D$435:$D$602)</f>
        <v>5.83</v>
      </c>
      <c r="J10" s="2264"/>
      <c r="K10" s="2265">
        <f t="shared" ref="K10:K73" ca="1" si="4">C10-J10</f>
        <v>73.570000000000007</v>
      </c>
      <c r="L10" s="2265">
        <f t="shared" ref="L10:L73" ca="1" si="5">C10-E10-J10</f>
        <v>34.440000000000005</v>
      </c>
      <c r="N10" s="2091" t="str">
        <f>VLOOKUP('[30]СС 2016'!$C10,'[30]СС 2015'!$C:$O,13,FALSE)</f>
        <v>Амортизация прочих ОС</v>
      </c>
    </row>
    <row r="11" spans="2:14">
      <c r="B11" s="2266" t="s">
        <v>1320</v>
      </c>
      <c r="C11" s="2267">
        <f ca="1">SUM(D11,G11:H11)</f>
        <v>36907.279999999999</v>
      </c>
      <c r="D11" s="2230">
        <v>19380.93</v>
      </c>
      <c r="E11" s="2230">
        <f>ROUND(D11*$M$4,2)</f>
        <v>17352.84</v>
      </c>
      <c r="F11" s="2230">
        <f>ROUND(D11*$N$4,2)</f>
        <v>2028.09</v>
      </c>
      <c r="G11" s="2230">
        <f ca="1">SUMIF($B$262:$C$430,B11,$D$262:$D$430)</f>
        <v>1702.25</v>
      </c>
      <c r="H11" s="2230">
        <f ca="1">SUMIF($B$435:$C$602,B11,$D$435:$D$602)</f>
        <v>15824.1</v>
      </c>
      <c r="J11" s="2264"/>
      <c r="K11" s="2265">
        <f t="shared" ca="1" si="4"/>
        <v>36907.279999999999</v>
      </c>
      <c r="L11" s="2265">
        <f t="shared" ca="1" si="5"/>
        <v>19554.439999999999</v>
      </c>
      <c r="N11" s="2091" t="str">
        <f>VLOOKUP('[30]СС 2016'!$C11,'[30]СС 2015'!$C:$O,13,FALSE)</f>
        <v>Амортизация прочих ОС</v>
      </c>
    </row>
    <row r="12" spans="2:14">
      <c r="B12" s="2262" t="s">
        <v>1470</v>
      </c>
      <c r="C12" s="2263">
        <f ca="1">SUM(C13:C26)</f>
        <v>4459569.9800000004</v>
      </c>
      <c r="D12" s="2263">
        <f t="shared" ref="D12:H12" si="6">SUM(D13:D26)</f>
        <v>1523289.6700000004</v>
      </c>
      <c r="E12" s="2263">
        <f t="shared" si="6"/>
        <v>1363887.3699999996</v>
      </c>
      <c r="F12" s="2263">
        <f t="shared" si="6"/>
        <v>159402.29999999999</v>
      </c>
      <c r="G12" s="2263">
        <f t="shared" ca="1" si="6"/>
        <v>50298.25</v>
      </c>
      <c r="H12" s="2263">
        <f t="shared" ca="1" si="6"/>
        <v>2885982.0599999996</v>
      </c>
      <c r="J12" s="2264"/>
      <c r="K12" s="2265">
        <f t="shared" ca="1" si="4"/>
        <v>4459569.9800000004</v>
      </c>
      <c r="L12" s="2265">
        <f t="shared" ca="1" si="5"/>
        <v>3095682.6100000008</v>
      </c>
      <c r="N12" s="2261"/>
    </row>
    <row r="13" spans="2:14" ht="24">
      <c r="B13" s="2266" t="s">
        <v>1325</v>
      </c>
      <c r="C13" s="2267">
        <f t="shared" ref="C13:C26" ca="1" si="7">SUM(D13,G13:H13)</f>
        <v>14.489999999999998</v>
      </c>
      <c r="D13" s="2230">
        <v>9.19</v>
      </c>
      <c r="E13" s="2230">
        <f t="shared" ref="E13:E26" si="8">ROUND(D13*$M$4,2)</f>
        <v>8.23</v>
      </c>
      <c r="F13" s="2230">
        <f t="shared" ref="F13:F26" si="9">ROUND(D13*$N$4,2)</f>
        <v>0.96</v>
      </c>
      <c r="G13" s="2230">
        <f t="shared" ref="G13:G26" ca="1" si="10">SUMIF($B$262:$C$430,B13,$D$262:$D$430)</f>
        <v>4.4400000000000004</v>
      </c>
      <c r="H13" s="2230">
        <f t="shared" ref="H13:H26" ca="1" si="11">SUMIF($B$435:$C$602,B13,$D$435:$D$602)</f>
        <v>0.86</v>
      </c>
      <c r="J13" s="2264"/>
      <c r="K13" s="2265">
        <f t="shared" ca="1" si="4"/>
        <v>14.489999999999998</v>
      </c>
      <c r="L13" s="2265">
        <f t="shared" ca="1" si="5"/>
        <v>6.259999999999998</v>
      </c>
      <c r="N13" s="2091" t="str">
        <f>$B$192</f>
        <v>Оплата труда ППП (без соц. отчислений)</v>
      </c>
    </row>
    <row r="14" spans="2:14" ht="24">
      <c r="B14" s="2266" t="s">
        <v>1326</v>
      </c>
      <c r="C14" s="2267">
        <f t="shared" ca="1" si="7"/>
        <v>2280.4699999999998</v>
      </c>
      <c r="D14" s="2230">
        <v>10.09</v>
      </c>
      <c r="E14" s="2230">
        <f t="shared" si="8"/>
        <v>9.0299999999999994</v>
      </c>
      <c r="F14" s="2230">
        <f t="shared" si="9"/>
        <v>1.06</v>
      </c>
      <c r="G14" s="2230">
        <f t="shared" ca="1" si="10"/>
        <v>5.18</v>
      </c>
      <c r="H14" s="2230">
        <f t="shared" ca="1" si="11"/>
        <v>2265.1999999999998</v>
      </c>
      <c r="J14" s="2264"/>
      <c r="K14" s="2265">
        <f t="shared" ca="1" si="4"/>
        <v>2280.4699999999998</v>
      </c>
      <c r="L14" s="2265">
        <f t="shared" ca="1" si="5"/>
        <v>2271.4399999999996</v>
      </c>
      <c r="N14" s="2091" t="str">
        <f t="shared" ref="N14:N26" si="12">$B$192</f>
        <v>Оплата труда ППП (без соц. отчислений)</v>
      </c>
    </row>
    <row r="15" spans="2:14" ht="24">
      <c r="B15" s="2266" t="s">
        <v>1331</v>
      </c>
      <c r="C15" s="2267">
        <f t="shared" ca="1" si="7"/>
        <v>200428.36</v>
      </c>
      <c r="D15" s="2230">
        <v>73680.22</v>
      </c>
      <c r="E15" s="2230">
        <f t="shared" si="8"/>
        <v>65970.070000000007</v>
      </c>
      <c r="F15" s="2230">
        <f t="shared" si="9"/>
        <v>7710.15</v>
      </c>
      <c r="G15" s="2230">
        <f t="shared" ca="1" si="10"/>
        <v>1662.87</v>
      </c>
      <c r="H15" s="2230">
        <f t="shared" ca="1" si="11"/>
        <v>125085.27</v>
      </c>
      <c r="J15" s="2264"/>
      <c r="K15" s="2265">
        <f t="shared" ca="1" si="4"/>
        <v>200428.36</v>
      </c>
      <c r="L15" s="2265">
        <f t="shared" ca="1" si="5"/>
        <v>134458.28999999998</v>
      </c>
      <c r="N15" s="2091" t="str">
        <f t="shared" si="12"/>
        <v>Оплата труда ППП (без соц. отчислений)</v>
      </c>
    </row>
    <row r="16" spans="2:14" ht="24">
      <c r="B16" s="2266" t="s">
        <v>1332</v>
      </c>
      <c r="C16" s="2267">
        <f t="shared" ca="1" si="7"/>
        <v>242748.39</v>
      </c>
      <c r="D16" s="2230">
        <v>92236.61</v>
      </c>
      <c r="E16" s="2230">
        <f t="shared" si="8"/>
        <v>82584.649999999994</v>
      </c>
      <c r="F16" s="2230">
        <f t="shared" si="9"/>
        <v>9651.9599999999991</v>
      </c>
      <c r="G16" s="2230">
        <f ca="1">SUMIF($B$262:$C$430,B16,$D$262:$D$430)</f>
        <v>3376.19</v>
      </c>
      <c r="H16" s="2230">
        <f t="shared" ca="1" si="11"/>
        <v>147135.59</v>
      </c>
      <c r="J16" s="2264"/>
      <c r="K16" s="2265">
        <f t="shared" ca="1" si="4"/>
        <v>242748.39</v>
      </c>
      <c r="L16" s="2265">
        <f t="shared" ca="1" si="5"/>
        <v>160163.74000000002</v>
      </c>
      <c r="N16" s="2091" t="str">
        <f t="shared" si="12"/>
        <v>Оплата труда ППП (без соц. отчислений)</v>
      </c>
    </row>
    <row r="17" spans="2:14" ht="24">
      <c r="B17" s="2266" t="s">
        <v>1338</v>
      </c>
      <c r="C17" s="2267">
        <f t="shared" ca="1" si="7"/>
        <v>315.27</v>
      </c>
      <c r="D17" s="2230">
        <v>174.81</v>
      </c>
      <c r="E17" s="2230">
        <f t="shared" si="8"/>
        <v>156.52000000000001</v>
      </c>
      <c r="F17" s="2230">
        <f t="shared" si="9"/>
        <v>18.29</v>
      </c>
      <c r="G17" s="2230">
        <f t="shared" ca="1" si="10"/>
        <v>115.63</v>
      </c>
      <c r="H17" s="2230">
        <f t="shared" ca="1" si="11"/>
        <v>24.83</v>
      </c>
      <c r="J17" s="2264"/>
      <c r="K17" s="2265">
        <f t="shared" ca="1" si="4"/>
        <v>315.27</v>
      </c>
      <c r="L17" s="2265">
        <f t="shared" ca="1" si="5"/>
        <v>158.74999999999997</v>
      </c>
      <c r="N17" s="2091" t="str">
        <f t="shared" si="12"/>
        <v>Оплата труда ППП (без соц. отчислений)</v>
      </c>
    </row>
    <row r="18" spans="2:14" ht="24">
      <c r="B18" s="2266" t="s">
        <v>1362</v>
      </c>
      <c r="C18" s="2267">
        <f t="shared" ca="1" si="7"/>
        <v>19010.62</v>
      </c>
      <c r="D18" s="2230">
        <v>3239.08</v>
      </c>
      <c r="E18" s="2230">
        <f t="shared" si="8"/>
        <v>2900.13</v>
      </c>
      <c r="F18" s="2230">
        <f t="shared" si="9"/>
        <v>338.95</v>
      </c>
      <c r="G18" s="2230">
        <f t="shared" ca="1" si="10"/>
        <v>93.19</v>
      </c>
      <c r="H18" s="2230">
        <f t="shared" ca="1" si="11"/>
        <v>15678.35</v>
      </c>
      <c r="J18" s="2264"/>
      <c r="K18" s="2265">
        <f t="shared" ca="1" si="4"/>
        <v>19010.62</v>
      </c>
      <c r="L18" s="2265">
        <f t="shared" ca="1" si="5"/>
        <v>16110.489999999998</v>
      </c>
      <c r="N18" s="2091" t="str">
        <f t="shared" si="12"/>
        <v>Оплата труда ППП (без соц. отчислений)</v>
      </c>
    </row>
    <row r="19" spans="2:14" ht="24">
      <c r="B19" s="2266" t="s">
        <v>1363</v>
      </c>
      <c r="C19" s="2267">
        <f t="shared" ca="1" si="7"/>
        <v>62078.14</v>
      </c>
      <c r="D19" s="2230">
        <v>61981.78</v>
      </c>
      <c r="E19" s="2230">
        <f t="shared" si="8"/>
        <v>55495.79</v>
      </c>
      <c r="F19" s="2230">
        <f t="shared" si="9"/>
        <v>6485.99</v>
      </c>
      <c r="G19" s="2230">
        <f ca="1">SUMIF($B$262:$C$430,B19,$D$262:$D$430)</f>
        <v>80.66</v>
      </c>
      <c r="H19" s="2230">
        <f t="shared" ca="1" si="11"/>
        <v>15.7</v>
      </c>
      <c r="J19" s="2264"/>
      <c r="K19" s="2265">
        <f t="shared" ca="1" si="4"/>
        <v>62078.14</v>
      </c>
      <c r="L19" s="2265">
        <f t="shared" ca="1" si="5"/>
        <v>6582.3499999999985</v>
      </c>
      <c r="N19" s="2091" t="str">
        <f t="shared" si="12"/>
        <v>Оплата труда ППП (без соц. отчислений)</v>
      </c>
    </row>
    <row r="20" spans="2:14" ht="24">
      <c r="B20" s="2266" t="s">
        <v>1364</v>
      </c>
      <c r="C20" s="2267">
        <f t="shared" ca="1" si="7"/>
        <v>2364222.7599999998</v>
      </c>
      <c r="D20" s="2230">
        <v>867835.52</v>
      </c>
      <c r="E20" s="2230">
        <f t="shared" si="8"/>
        <v>777022.21</v>
      </c>
      <c r="F20" s="2230">
        <f t="shared" si="9"/>
        <v>90813.31</v>
      </c>
      <c r="G20" s="2230">
        <f t="shared" ca="1" si="10"/>
        <v>19309.84</v>
      </c>
      <c r="H20" s="2230">
        <f t="shared" ca="1" si="11"/>
        <v>1477077.4</v>
      </c>
      <c r="J20" s="2264"/>
      <c r="K20" s="2265">
        <f t="shared" ca="1" si="4"/>
        <v>2364222.7599999998</v>
      </c>
      <c r="L20" s="2265">
        <f t="shared" ca="1" si="5"/>
        <v>1587200.5499999998</v>
      </c>
      <c r="N20" s="2091" t="str">
        <f t="shared" si="12"/>
        <v>Оплата труда ППП (без соц. отчислений)</v>
      </c>
    </row>
    <row r="21" spans="2:14" ht="24">
      <c r="B21" s="2266" t="s">
        <v>1381</v>
      </c>
      <c r="C21" s="2267">
        <f t="shared" ca="1" si="7"/>
        <v>211450.31</v>
      </c>
      <c r="D21" s="2230">
        <v>8849.23</v>
      </c>
      <c r="E21" s="2230">
        <f t="shared" si="8"/>
        <v>7923.22</v>
      </c>
      <c r="F21" s="2230">
        <f t="shared" si="9"/>
        <v>926.01</v>
      </c>
      <c r="G21" s="2230">
        <f t="shared" ca="1" si="10"/>
        <v>10399.66</v>
      </c>
      <c r="H21" s="2230">
        <f t="shared" ca="1" si="11"/>
        <v>192201.42</v>
      </c>
      <c r="J21" s="2264"/>
      <c r="K21" s="2265">
        <f t="shared" ca="1" si="4"/>
        <v>211450.31</v>
      </c>
      <c r="L21" s="2265">
        <f t="shared" ca="1" si="5"/>
        <v>203527.09</v>
      </c>
      <c r="N21" s="2091" t="str">
        <f t="shared" si="12"/>
        <v>Оплата труда ППП (без соц. отчислений)</v>
      </c>
    </row>
    <row r="22" spans="2:14" ht="24">
      <c r="B22" s="2266" t="s">
        <v>1382</v>
      </c>
      <c r="C22" s="2267">
        <f t="shared" ca="1" si="7"/>
        <v>128306.87</v>
      </c>
      <c r="D22" s="2230">
        <v>42056.24</v>
      </c>
      <c r="E22" s="2230">
        <f t="shared" si="8"/>
        <v>37655.33</v>
      </c>
      <c r="F22" s="2230">
        <f t="shared" si="9"/>
        <v>4400.91</v>
      </c>
      <c r="G22" s="2230">
        <f t="shared" ca="1" si="10"/>
        <v>3673.79</v>
      </c>
      <c r="H22" s="2230">
        <f t="shared" ca="1" si="11"/>
        <v>82576.84</v>
      </c>
      <c r="J22" s="2264"/>
      <c r="K22" s="2265">
        <f t="shared" ca="1" si="4"/>
        <v>128306.87</v>
      </c>
      <c r="L22" s="2265">
        <f t="shared" ca="1" si="5"/>
        <v>90651.54</v>
      </c>
      <c r="N22" s="2091" t="str">
        <f t="shared" si="12"/>
        <v>Оплата труда ППП (без соц. отчислений)</v>
      </c>
    </row>
    <row r="23" spans="2:14" ht="24">
      <c r="B23" s="2266" t="s">
        <v>1383</v>
      </c>
      <c r="C23" s="2267">
        <f t="shared" ca="1" si="7"/>
        <v>82121.2</v>
      </c>
      <c r="D23" s="2230">
        <v>2484.35</v>
      </c>
      <c r="E23" s="2230">
        <f t="shared" si="8"/>
        <v>2224.38</v>
      </c>
      <c r="F23" s="2230">
        <f t="shared" si="9"/>
        <v>259.97000000000003</v>
      </c>
      <c r="G23" s="2230">
        <f t="shared" ca="1" si="10"/>
        <v>2802.54</v>
      </c>
      <c r="H23" s="2230">
        <f t="shared" ca="1" si="11"/>
        <v>76834.31</v>
      </c>
      <c r="J23" s="2264"/>
      <c r="K23" s="2265">
        <f t="shared" ca="1" si="4"/>
        <v>82121.2</v>
      </c>
      <c r="L23" s="2265">
        <f t="shared" ca="1" si="5"/>
        <v>79896.819999999992</v>
      </c>
      <c r="N23" s="2091" t="str">
        <f t="shared" si="12"/>
        <v>Оплата труда ППП (без соц. отчислений)</v>
      </c>
    </row>
    <row r="24" spans="2:14" ht="24">
      <c r="B24" s="2266" t="s">
        <v>1384</v>
      </c>
      <c r="C24" s="2267">
        <f t="shared" ca="1" si="7"/>
        <v>302381.06</v>
      </c>
      <c r="D24" s="2230">
        <v>103456.04</v>
      </c>
      <c r="E24" s="2230">
        <f t="shared" si="8"/>
        <v>92630.04</v>
      </c>
      <c r="F24" s="2230">
        <f t="shared" si="9"/>
        <v>10826</v>
      </c>
      <c r="G24" s="2230">
        <f t="shared" ca="1" si="10"/>
        <v>2263.9299999999998</v>
      </c>
      <c r="H24" s="2230">
        <f t="shared" ca="1" si="11"/>
        <v>196661.09</v>
      </c>
      <c r="J24" s="2264"/>
      <c r="K24" s="2265">
        <f t="shared" ca="1" si="4"/>
        <v>302381.06</v>
      </c>
      <c r="L24" s="2265">
        <f t="shared" ca="1" si="5"/>
        <v>209751.02000000002</v>
      </c>
      <c r="N24" s="2091" t="str">
        <f t="shared" si="12"/>
        <v>Оплата труда ППП (без соц. отчислений)</v>
      </c>
    </row>
    <row r="25" spans="2:14" ht="24">
      <c r="B25" s="2266" t="s">
        <v>1385</v>
      </c>
      <c r="C25" s="2267">
        <f t="shared" ca="1" si="7"/>
        <v>1075.23</v>
      </c>
      <c r="D25" s="2230">
        <v>582.87</v>
      </c>
      <c r="E25" s="2230">
        <f t="shared" si="8"/>
        <v>521.88</v>
      </c>
      <c r="F25" s="2230">
        <f t="shared" si="9"/>
        <v>60.99</v>
      </c>
      <c r="G25" s="2230">
        <f t="shared" ca="1" si="10"/>
        <v>439.02</v>
      </c>
      <c r="H25" s="2230">
        <f t="shared" ca="1" si="11"/>
        <v>53.34</v>
      </c>
      <c r="J25" s="2264"/>
      <c r="K25" s="2265">
        <f t="shared" ca="1" si="4"/>
        <v>1075.23</v>
      </c>
      <c r="L25" s="2265">
        <f t="shared" ca="1" si="5"/>
        <v>553.35</v>
      </c>
      <c r="N25" s="2091" t="str">
        <f t="shared" si="12"/>
        <v>Оплата труда ППП (без соц. отчислений)</v>
      </c>
    </row>
    <row r="26" spans="2:14" ht="24">
      <c r="B26" s="2266" t="s">
        <v>1386</v>
      </c>
      <c r="C26" s="2267">
        <f t="shared" ca="1" si="7"/>
        <v>843136.81</v>
      </c>
      <c r="D26" s="2230">
        <v>266693.64</v>
      </c>
      <c r="E26" s="2230">
        <f t="shared" si="8"/>
        <v>238785.89</v>
      </c>
      <c r="F26" s="2230">
        <f t="shared" si="9"/>
        <v>27907.75</v>
      </c>
      <c r="G26" s="2230">
        <f t="shared" ca="1" si="10"/>
        <v>6071.31</v>
      </c>
      <c r="H26" s="2230">
        <f t="shared" ca="1" si="11"/>
        <v>570371.86</v>
      </c>
      <c r="J26" s="2264"/>
      <c r="K26" s="2265">
        <f t="shared" ca="1" si="4"/>
        <v>843136.81</v>
      </c>
      <c r="L26" s="2265">
        <f t="shared" ca="1" si="5"/>
        <v>604350.92000000004</v>
      </c>
      <c r="N26" s="2091" t="str">
        <f t="shared" si="12"/>
        <v>Оплата труда ППП (без соц. отчислений)</v>
      </c>
    </row>
    <row r="27" spans="2:14">
      <c r="B27" s="2268" t="s">
        <v>1471</v>
      </c>
      <c r="C27" s="2263">
        <f ca="1">SUM(C28,C31,C47)</f>
        <v>58258.040000000008</v>
      </c>
      <c r="D27" s="2263">
        <f t="shared" ref="D27:H27" si="13">SUM(D28,D31,D47)</f>
        <v>37969.31</v>
      </c>
      <c r="E27" s="2263">
        <f t="shared" si="13"/>
        <v>33996.07</v>
      </c>
      <c r="F27" s="2263">
        <f t="shared" si="13"/>
        <v>3973.24</v>
      </c>
      <c r="G27" s="2263">
        <f t="shared" ca="1" si="13"/>
        <v>7411.0599999999995</v>
      </c>
      <c r="H27" s="2263">
        <f t="shared" ca="1" si="13"/>
        <v>12877.67</v>
      </c>
      <c r="J27" s="2264"/>
      <c r="K27" s="2265">
        <f t="shared" ca="1" si="4"/>
        <v>58258.040000000008</v>
      </c>
      <c r="L27" s="2265">
        <f t="shared" ca="1" si="5"/>
        <v>24261.970000000008</v>
      </c>
      <c r="N27" s="2261"/>
    </row>
    <row r="28" spans="2:14">
      <c r="B28" s="2269" t="s">
        <v>1472</v>
      </c>
      <c r="C28" s="2263">
        <f ca="1">SUM(C29:C30)</f>
        <v>6549.72</v>
      </c>
      <c r="D28" s="2263">
        <f t="shared" ref="D28:H28" si="14">SUM(D29:D30)</f>
        <v>3989.18</v>
      </c>
      <c r="E28" s="2263">
        <f t="shared" si="14"/>
        <v>3571.7400000000002</v>
      </c>
      <c r="F28" s="2263">
        <f t="shared" si="14"/>
        <v>417.44</v>
      </c>
      <c r="G28" s="2263">
        <f t="shared" ca="1" si="14"/>
        <v>2189.39</v>
      </c>
      <c r="H28" s="2263">
        <f t="shared" ca="1" si="14"/>
        <v>371.15</v>
      </c>
      <c r="J28" s="2264"/>
      <c r="K28" s="2265">
        <f t="shared" ca="1" si="4"/>
        <v>6549.72</v>
      </c>
      <c r="L28" s="2265">
        <f t="shared" ca="1" si="5"/>
        <v>2977.98</v>
      </c>
      <c r="N28" s="2261"/>
    </row>
    <row r="29" spans="2:14" ht="24">
      <c r="B29" s="2266" t="s">
        <v>1411</v>
      </c>
      <c r="C29" s="2267">
        <f t="shared" ref="C29:C30" ca="1" si="15">SUM(D29,G29:H29)</f>
        <v>369.5</v>
      </c>
      <c r="D29" s="2230">
        <v>235.22</v>
      </c>
      <c r="E29" s="2230">
        <f t="shared" ref="E29:E30" si="16">ROUND(D29*$M$4,2)</f>
        <v>210.61</v>
      </c>
      <c r="F29" s="2230">
        <f t="shared" ref="F29:F30" si="17">ROUND(D29*$N$4,2)</f>
        <v>24.61</v>
      </c>
      <c r="G29" s="2230">
        <f ca="1">SUMIF($B$262:$C$430,B29,$D$262:$D$430)</f>
        <v>123.66</v>
      </c>
      <c r="H29" s="2230">
        <f t="shared" ref="H29:H30" ca="1" si="18">SUMIF($B$435:$C$602,B29,$D$435:$D$602)</f>
        <v>10.62</v>
      </c>
      <c r="J29" s="2264"/>
      <c r="K29" s="2265">
        <f t="shared" ca="1" si="4"/>
        <v>369.5</v>
      </c>
      <c r="L29" s="2265">
        <f t="shared" ca="1" si="5"/>
        <v>158.88999999999999</v>
      </c>
      <c r="N29" s="2091" t="str">
        <f>$B$191</f>
        <v>Энергия на хозяйственные нужды</v>
      </c>
    </row>
    <row r="30" spans="2:14" ht="24">
      <c r="B30" s="2266" t="s">
        <v>1459</v>
      </c>
      <c r="C30" s="2267">
        <f t="shared" ca="1" si="15"/>
        <v>6180.22</v>
      </c>
      <c r="D30" s="2230">
        <v>3753.96</v>
      </c>
      <c r="E30" s="2230">
        <f t="shared" si="16"/>
        <v>3361.13</v>
      </c>
      <c r="F30" s="2230">
        <f t="shared" si="17"/>
        <v>392.83</v>
      </c>
      <c r="G30" s="2230">
        <f ca="1">SUMIF($B$262:$C$430,B30,$D$262:$D$430)</f>
        <v>2065.73</v>
      </c>
      <c r="H30" s="2230">
        <f t="shared" ca="1" si="18"/>
        <v>360.53</v>
      </c>
      <c r="J30" s="2264"/>
      <c r="K30" s="2265">
        <f t="shared" ca="1" si="4"/>
        <v>6180.22</v>
      </c>
      <c r="L30" s="2265">
        <f t="shared" ca="1" si="5"/>
        <v>2819.09</v>
      </c>
      <c r="N30" s="2091" t="str">
        <f>$B$191</f>
        <v>Энергия на хозяйственные нужды</v>
      </c>
    </row>
    <row r="31" spans="2:14" ht="24">
      <c r="B31" s="2268" t="s">
        <v>1473</v>
      </c>
      <c r="C31" s="2263">
        <f ca="1">SUM(C32,C37,C36)</f>
        <v>7154.4400000000005</v>
      </c>
      <c r="D31" s="2263">
        <f t="shared" ref="D31:H31" si="19">SUM(D32,D37,D36)</f>
        <v>6196.3399999999992</v>
      </c>
      <c r="E31" s="2263">
        <f t="shared" si="19"/>
        <v>5547.92</v>
      </c>
      <c r="F31" s="2263">
        <f t="shared" si="19"/>
        <v>648.41999999999996</v>
      </c>
      <c r="G31" s="2263">
        <f t="shared" ca="1" si="19"/>
        <v>627.01</v>
      </c>
      <c r="H31" s="2263">
        <f t="shared" ca="1" si="19"/>
        <v>331.09000000000003</v>
      </c>
      <c r="J31" s="2264"/>
      <c r="K31" s="2265">
        <f t="shared" ca="1" si="4"/>
        <v>7154.4400000000005</v>
      </c>
      <c r="L31" s="2265">
        <f t="shared" ca="1" si="5"/>
        <v>1606.5200000000004</v>
      </c>
      <c r="N31" s="2261"/>
    </row>
    <row r="32" spans="2:14">
      <c r="B32" s="2269" t="s">
        <v>1474</v>
      </c>
      <c r="C32" s="2263">
        <f ca="1">SUM(C33:C35)</f>
        <v>1066.71</v>
      </c>
      <c r="D32" s="2263">
        <f t="shared" ref="D32:H32" si="20">SUM(D33:D35)</f>
        <v>638.97</v>
      </c>
      <c r="E32" s="2263">
        <f t="shared" si="20"/>
        <v>572.11</v>
      </c>
      <c r="F32" s="2263">
        <f t="shared" si="20"/>
        <v>66.86</v>
      </c>
      <c r="G32" s="2263">
        <f t="shared" ca="1" si="20"/>
        <v>333.37</v>
      </c>
      <c r="H32" s="2263">
        <f t="shared" ca="1" si="20"/>
        <v>94.36999999999999</v>
      </c>
      <c r="J32" s="2264"/>
      <c r="K32" s="2265">
        <f t="shared" ca="1" si="4"/>
        <v>1066.71</v>
      </c>
      <c r="L32" s="2265">
        <f t="shared" ca="1" si="5"/>
        <v>494.6</v>
      </c>
      <c r="N32" s="2261"/>
    </row>
    <row r="33" spans="2:17" ht="24" customHeight="1">
      <c r="B33" s="2270" t="s">
        <v>1426</v>
      </c>
      <c r="C33" s="2267">
        <f t="shared" ref="C33:C36" ca="1" si="21">SUM(D33,G33:H33)</f>
        <v>139</v>
      </c>
      <c r="D33" s="2230">
        <v>84.49</v>
      </c>
      <c r="E33" s="2230">
        <f t="shared" ref="E33:E36" si="22">ROUND(D33*$M$4,2)</f>
        <v>75.650000000000006</v>
      </c>
      <c r="F33" s="2230">
        <f t="shared" ref="F33:F36" si="23">ROUND(D33*$N$4,2)</f>
        <v>8.84</v>
      </c>
      <c r="G33" s="2230">
        <f t="shared" ref="G33:G36" ca="1" si="24">SUMIF($B$262:$C$430,B33,$D$262:$D$430)</f>
        <v>32.11</v>
      </c>
      <c r="H33" s="2230">
        <f t="shared" ref="H33:H36" ca="1" si="25">SUMIF($B$435:$C$602,B33,$D$435:$D$602)</f>
        <v>22.4</v>
      </c>
      <c r="J33" s="2264"/>
      <c r="K33" s="2265">
        <f t="shared" ca="1" si="4"/>
        <v>139</v>
      </c>
      <c r="L33" s="2265">
        <f t="shared" ca="1" si="5"/>
        <v>63.349999999999994</v>
      </c>
      <c r="N33" s="2091" t="str">
        <f>$B$195</f>
        <v xml:space="preserve"> - работы и услуги производственного характера</v>
      </c>
    </row>
    <row r="34" spans="2:17" ht="24" customHeight="1">
      <c r="B34" s="2270" t="s">
        <v>1433</v>
      </c>
      <c r="C34" s="2267">
        <f t="shared" ca="1" si="21"/>
        <v>839.44</v>
      </c>
      <c r="D34" s="2230">
        <v>498.53</v>
      </c>
      <c r="E34" s="2230">
        <f t="shared" si="22"/>
        <v>446.36</v>
      </c>
      <c r="F34" s="2230">
        <f t="shared" si="23"/>
        <v>52.17</v>
      </c>
      <c r="G34" s="2230">
        <f t="shared" ca="1" si="24"/>
        <v>274.20999999999998</v>
      </c>
      <c r="H34" s="2230">
        <f t="shared" ca="1" si="25"/>
        <v>66.7</v>
      </c>
      <c r="J34" s="2264"/>
      <c r="K34" s="2265">
        <f t="shared" ca="1" si="4"/>
        <v>839.44</v>
      </c>
      <c r="L34" s="2265">
        <f t="shared" ca="1" si="5"/>
        <v>393.08000000000004</v>
      </c>
      <c r="N34" s="2091" t="str">
        <f>$B$195</f>
        <v xml:space="preserve"> - работы и услуги производственного характера</v>
      </c>
    </row>
    <row r="35" spans="2:17" ht="24.75" customHeight="1">
      <c r="B35" s="2271" t="s">
        <v>1436</v>
      </c>
      <c r="C35" s="2267">
        <f ca="1">SUM(D35,G35:H35)</f>
        <v>88.27</v>
      </c>
      <c r="D35" s="2230">
        <v>55.95</v>
      </c>
      <c r="E35" s="2230">
        <f t="shared" si="22"/>
        <v>50.1</v>
      </c>
      <c r="F35" s="2230">
        <f t="shared" si="23"/>
        <v>5.85</v>
      </c>
      <c r="G35" s="2230">
        <f t="shared" ca="1" si="24"/>
        <v>27.05</v>
      </c>
      <c r="H35" s="2230">
        <f t="shared" ca="1" si="25"/>
        <v>5.27</v>
      </c>
      <c r="J35" s="2264"/>
      <c r="K35" s="2265">
        <f t="shared" ca="1" si="4"/>
        <v>88.27</v>
      </c>
      <c r="L35" s="2265">
        <f t="shared" ca="1" si="5"/>
        <v>38.169999999999995</v>
      </c>
      <c r="N35" s="2091" t="str">
        <f>$B$195</f>
        <v xml:space="preserve"> - работы и услуги производственного характера</v>
      </c>
    </row>
    <row r="36" spans="2:17" ht="24" customHeight="1">
      <c r="B36" s="2270" t="s">
        <v>1427</v>
      </c>
      <c r="C36" s="2267">
        <f t="shared" ca="1" si="21"/>
        <v>259.64</v>
      </c>
      <c r="D36" s="2230">
        <v>160.32</v>
      </c>
      <c r="E36" s="2230">
        <f t="shared" si="22"/>
        <v>143.54</v>
      </c>
      <c r="F36" s="2230">
        <f t="shared" si="23"/>
        <v>16.78</v>
      </c>
      <c r="G36" s="2230">
        <f t="shared" ca="1" si="24"/>
        <v>74.97</v>
      </c>
      <c r="H36" s="2230">
        <f t="shared" ca="1" si="25"/>
        <v>24.35</v>
      </c>
      <c r="J36" s="2264"/>
      <c r="K36" s="2265">
        <f t="shared" ca="1" si="4"/>
        <v>259.64</v>
      </c>
      <c r="L36" s="2265">
        <f t="shared" ca="1" si="5"/>
        <v>116.1</v>
      </c>
      <c r="N36" s="2091" t="str">
        <f>$B$195</f>
        <v xml:space="preserve"> - работы и услуги производственного характера</v>
      </c>
    </row>
    <row r="37" spans="2:17">
      <c r="B37" s="2268" t="s">
        <v>1475</v>
      </c>
      <c r="C37" s="2263">
        <f ca="1">SUM(C38,C41)</f>
        <v>5828.09</v>
      </c>
      <c r="D37" s="2263">
        <f t="shared" ref="D37:H37" si="26">SUM(D38,D41)</f>
        <v>5397.0499999999993</v>
      </c>
      <c r="E37" s="2263">
        <f t="shared" si="26"/>
        <v>4832.2700000000004</v>
      </c>
      <c r="F37" s="2263">
        <f t="shared" si="26"/>
        <v>564.78</v>
      </c>
      <c r="G37" s="2263">
        <f t="shared" ca="1" si="26"/>
        <v>218.67000000000002</v>
      </c>
      <c r="H37" s="2263">
        <f t="shared" ca="1" si="26"/>
        <v>212.37</v>
      </c>
      <c r="J37" s="2264"/>
      <c r="K37" s="2265">
        <f t="shared" ca="1" si="4"/>
        <v>5828.09</v>
      </c>
      <c r="L37" s="2265">
        <f t="shared" ca="1" si="5"/>
        <v>995.81999999999971</v>
      </c>
      <c r="N37" s="2261"/>
    </row>
    <row r="38" spans="2:17">
      <c r="B38" s="2269" t="s">
        <v>1476</v>
      </c>
      <c r="C38" s="2263">
        <f ca="1">SUM(C39:C40)</f>
        <v>4893.7700000000004</v>
      </c>
      <c r="D38" s="2263">
        <f t="shared" ref="D38:H38" si="27">SUM(D39:D40)</f>
        <v>4593.3499999999995</v>
      </c>
      <c r="E38" s="2263">
        <f t="shared" si="27"/>
        <v>4112.68</v>
      </c>
      <c r="F38" s="2263">
        <f t="shared" si="27"/>
        <v>480.67</v>
      </c>
      <c r="G38" s="2263">
        <f t="shared" ca="1" si="27"/>
        <v>142.78</v>
      </c>
      <c r="H38" s="2263">
        <f t="shared" ca="1" si="27"/>
        <v>157.64000000000001</v>
      </c>
      <c r="J38" s="2264"/>
      <c r="K38" s="2265">
        <f t="shared" ca="1" si="4"/>
        <v>4893.7700000000004</v>
      </c>
      <c r="L38" s="2265">
        <f t="shared" ca="1" si="5"/>
        <v>781.09000000000015</v>
      </c>
      <c r="N38" s="2261"/>
    </row>
    <row r="39" spans="2:17" ht="24" customHeight="1">
      <c r="B39" s="2270" t="s">
        <v>1437</v>
      </c>
      <c r="C39" s="2267">
        <f t="shared" ref="C39:C46" ca="1" si="28">SUM(D39,G39:H39)</f>
        <v>4633.3900000000003</v>
      </c>
      <c r="D39" s="2230">
        <v>4435.12</v>
      </c>
      <c r="E39" s="2230">
        <f t="shared" ref="E39:E46" si="29">ROUND(D39*$M$4,2)</f>
        <v>3971.01</v>
      </c>
      <c r="F39" s="2230">
        <f t="shared" ref="F39:F40" si="30">ROUND(D39*$N$4,2)</f>
        <v>464.11</v>
      </c>
      <c r="G39" s="2230">
        <f t="shared" ref="G39:G40" ca="1" si="31">SUMIF($B$262:$C$430,B39,$D$262:$D$430)</f>
        <v>82.59</v>
      </c>
      <c r="H39" s="2230">
        <f t="shared" ref="H39:H46" ca="1" si="32">SUMIF($B$435:$C$602,B39,$D$435:$D$602)</f>
        <v>115.68</v>
      </c>
      <c r="J39" s="2264"/>
      <c r="K39" s="2265">
        <f t="shared" ca="1" si="4"/>
        <v>4633.3900000000003</v>
      </c>
      <c r="L39" s="2265">
        <f t="shared" ca="1" si="5"/>
        <v>662.38000000000011</v>
      </c>
      <c r="N39" s="2091" t="str">
        <f t="shared" ref="N39:N46" si="33">$B$195</f>
        <v xml:space="preserve"> - работы и услуги производственного характера</v>
      </c>
    </row>
    <row r="40" spans="2:17" ht="26.25" customHeight="1">
      <c r="B40" s="2270" t="s">
        <v>1438</v>
      </c>
      <c r="C40" s="2267">
        <f t="shared" ca="1" si="28"/>
        <v>260.38</v>
      </c>
      <c r="D40" s="2230">
        <v>158.22999999999999</v>
      </c>
      <c r="E40" s="2230">
        <f t="shared" si="29"/>
        <v>141.66999999999999</v>
      </c>
      <c r="F40" s="2230">
        <f t="shared" si="30"/>
        <v>16.559999999999999</v>
      </c>
      <c r="G40" s="2230">
        <f t="shared" ca="1" si="31"/>
        <v>60.19</v>
      </c>
      <c r="H40" s="2230">
        <f t="shared" ca="1" si="32"/>
        <v>41.96</v>
      </c>
      <c r="J40" s="2264"/>
      <c r="K40" s="2265">
        <f t="shared" ca="1" si="4"/>
        <v>260.38</v>
      </c>
      <c r="L40" s="2265">
        <f t="shared" ca="1" si="5"/>
        <v>118.71000000000001</v>
      </c>
      <c r="N40" s="2091" t="str">
        <f t="shared" si="33"/>
        <v xml:space="preserve"> - работы и услуги производственного характера</v>
      </c>
    </row>
    <row r="41" spans="2:17">
      <c r="B41" s="2268" t="s">
        <v>1477</v>
      </c>
      <c r="C41" s="2263">
        <f ca="1">SUM(C42:C46)</f>
        <v>934.31999999999994</v>
      </c>
      <c r="D41" s="2263">
        <f t="shared" ref="D41:H41" si="34">SUM(D42:D46)</f>
        <v>803.7</v>
      </c>
      <c r="E41" s="2263">
        <f t="shared" si="34"/>
        <v>719.59</v>
      </c>
      <c r="F41" s="2263">
        <f t="shared" si="34"/>
        <v>84.110000000000014</v>
      </c>
      <c r="G41" s="2263">
        <f t="shared" ca="1" si="34"/>
        <v>75.89</v>
      </c>
      <c r="H41" s="2263">
        <f t="shared" ca="1" si="34"/>
        <v>54.73</v>
      </c>
      <c r="J41" s="2264"/>
      <c r="K41" s="2265">
        <f t="shared" ca="1" si="4"/>
        <v>934.31999999999994</v>
      </c>
      <c r="L41" s="2265">
        <f t="shared" ca="1" si="5"/>
        <v>214.7299999999999</v>
      </c>
      <c r="N41" s="2261"/>
    </row>
    <row r="42" spans="2:17" ht="28.5" customHeight="1">
      <c r="B42" s="2270" t="s">
        <v>1439</v>
      </c>
      <c r="C42" s="2267">
        <f t="shared" ca="1" si="28"/>
        <v>112.39999999999999</v>
      </c>
      <c r="D42" s="2230">
        <v>67.88</v>
      </c>
      <c r="E42" s="2230">
        <f t="shared" si="29"/>
        <v>60.78</v>
      </c>
      <c r="F42" s="2230">
        <f t="shared" ref="F42:F46" si="35">ROUND(D42*$N$4,2)</f>
        <v>7.1</v>
      </c>
      <c r="G42" s="2230">
        <f t="shared" ref="G42:G46" ca="1" si="36">SUMIF($B$262:$C$430,B42,$D$262:$D$430)</f>
        <v>27.11</v>
      </c>
      <c r="H42" s="2230">
        <f t="shared" ca="1" si="32"/>
        <v>17.41</v>
      </c>
      <c r="J42" s="2264"/>
      <c r="K42" s="2265">
        <f t="shared" ca="1" si="4"/>
        <v>112.39999999999999</v>
      </c>
      <c r="L42" s="2265">
        <f t="shared" ca="1" si="5"/>
        <v>51.61999999999999</v>
      </c>
      <c r="N42" s="2091" t="str">
        <f t="shared" si="33"/>
        <v xml:space="preserve"> - работы и услуги производственного характера</v>
      </c>
    </row>
    <row r="43" spans="2:17" ht="26.25" customHeight="1">
      <c r="B43" s="2270" t="s">
        <v>1440</v>
      </c>
      <c r="C43" s="2267">
        <f t="shared" ca="1" si="28"/>
        <v>12.07</v>
      </c>
      <c r="D43" s="2230">
        <v>7.41</v>
      </c>
      <c r="E43" s="2230">
        <f t="shared" si="29"/>
        <v>6.63</v>
      </c>
      <c r="F43" s="2230">
        <f t="shared" si="35"/>
        <v>0.78</v>
      </c>
      <c r="G43" s="2230">
        <f t="shared" ca="1" si="36"/>
        <v>3.91</v>
      </c>
      <c r="H43" s="2230">
        <f t="shared" ca="1" si="32"/>
        <v>0.75</v>
      </c>
      <c r="J43" s="2264"/>
      <c r="K43" s="2265">
        <f t="shared" ca="1" si="4"/>
        <v>12.07</v>
      </c>
      <c r="L43" s="2265">
        <f t="shared" ca="1" si="5"/>
        <v>5.44</v>
      </c>
      <c r="N43" s="2091" t="str">
        <f t="shared" si="33"/>
        <v xml:space="preserve"> - работы и услуги производственного характера</v>
      </c>
    </row>
    <row r="44" spans="2:17" ht="25.5" customHeight="1">
      <c r="B44" s="2270" t="s">
        <v>1441</v>
      </c>
      <c r="C44" s="2267">
        <f t="shared" ca="1" si="28"/>
        <v>0.67</v>
      </c>
      <c r="D44" s="2230">
        <v>0.67</v>
      </c>
      <c r="E44" s="2230">
        <f t="shared" si="29"/>
        <v>0.6</v>
      </c>
      <c r="F44" s="2230">
        <f t="shared" si="35"/>
        <v>7.0000000000000007E-2</v>
      </c>
      <c r="G44" s="2230">
        <f t="shared" ca="1" si="36"/>
        <v>0</v>
      </c>
      <c r="H44" s="2230">
        <f t="shared" ca="1" si="32"/>
        <v>0</v>
      </c>
      <c r="J44" s="2264"/>
      <c r="K44" s="2265">
        <f t="shared" ca="1" si="4"/>
        <v>0.67</v>
      </c>
      <c r="L44" s="2265">
        <f t="shared" ca="1" si="5"/>
        <v>7.0000000000000062E-2</v>
      </c>
      <c r="N44" s="2091" t="str">
        <f t="shared" si="33"/>
        <v xml:space="preserve"> - работы и услуги производственного характера</v>
      </c>
    </row>
    <row r="45" spans="2:17" ht="25.5" customHeight="1">
      <c r="B45" s="2270" t="s">
        <v>1442</v>
      </c>
      <c r="C45" s="2267">
        <f t="shared" ca="1" si="28"/>
        <v>741.37</v>
      </c>
      <c r="D45" s="2230">
        <v>689.75</v>
      </c>
      <c r="E45" s="2230">
        <f t="shared" si="29"/>
        <v>617.57000000000005</v>
      </c>
      <c r="F45" s="2230">
        <f t="shared" si="35"/>
        <v>72.180000000000007</v>
      </c>
      <c r="G45" s="2230">
        <f t="shared" ca="1" si="36"/>
        <v>19.87</v>
      </c>
      <c r="H45" s="2230">
        <f t="shared" ca="1" si="32"/>
        <v>31.75</v>
      </c>
      <c r="J45" s="2264"/>
      <c r="K45" s="2265">
        <f t="shared" ca="1" si="4"/>
        <v>741.37</v>
      </c>
      <c r="L45" s="2265">
        <f t="shared" ca="1" si="5"/>
        <v>123.79999999999995</v>
      </c>
      <c r="N45" s="2091" t="str">
        <f t="shared" si="33"/>
        <v xml:space="preserve"> - работы и услуги производственного характера</v>
      </c>
    </row>
    <row r="46" spans="2:17" ht="25.5" customHeight="1">
      <c r="B46" s="2270" t="s">
        <v>1443</v>
      </c>
      <c r="C46" s="2267">
        <f t="shared" ca="1" si="28"/>
        <v>67.81</v>
      </c>
      <c r="D46" s="2230">
        <v>37.99</v>
      </c>
      <c r="E46" s="2230">
        <f t="shared" si="29"/>
        <v>34.01</v>
      </c>
      <c r="F46" s="2230">
        <f t="shared" si="35"/>
        <v>3.98</v>
      </c>
      <c r="G46" s="2230">
        <f t="shared" ca="1" si="36"/>
        <v>25</v>
      </c>
      <c r="H46" s="2230">
        <f t="shared" ca="1" si="32"/>
        <v>4.82</v>
      </c>
      <c r="J46" s="2264"/>
      <c r="K46" s="2265">
        <f t="shared" ca="1" si="4"/>
        <v>67.81</v>
      </c>
      <c r="L46" s="2265">
        <f t="shared" ca="1" si="5"/>
        <v>33.800000000000004</v>
      </c>
      <c r="N46" s="2091" t="str">
        <f t="shared" si="33"/>
        <v xml:space="preserve"> - работы и услуги производственного характера</v>
      </c>
    </row>
    <row r="47" spans="2:17">
      <c r="B47" s="2268" t="s">
        <v>1478</v>
      </c>
      <c r="C47" s="2263">
        <f ca="1">SUM(C48,C51,C56,C64)</f>
        <v>44553.880000000005</v>
      </c>
      <c r="D47" s="2263">
        <f t="shared" ref="D47:H47" si="37">SUM(D48,D51,D56,D64)</f>
        <v>27783.79</v>
      </c>
      <c r="E47" s="2263">
        <f t="shared" si="37"/>
        <v>24876.41</v>
      </c>
      <c r="F47" s="2263">
        <f t="shared" si="37"/>
        <v>2907.3799999999997</v>
      </c>
      <c r="G47" s="2263">
        <f t="shared" ca="1" si="37"/>
        <v>4594.66</v>
      </c>
      <c r="H47" s="2263">
        <f t="shared" ca="1" si="37"/>
        <v>12175.43</v>
      </c>
      <c r="J47" s="2264"/>
      <c r="K47" s="2265">
        <f t="shared" ca="1" si="4"/>
        <v>44553.880000000005</v>
      </c>
      <c r="L47" s="2265">
        <f t="shared" ca="1" si="5"/>
        <v>19677.470000000005</v>
      </c>
      <c r="N47" s="2261"/>
    </row>
    <row r="48" spans="2:17">
      <c r="B48" s="2268" t="s">
        <v>1479</v>
      </c>
      <c r="C48" s="2263">
        <f ca="1">SUM(C49:C50)</f>
        <v>23923.33</v>
      </c>
      <c r="D48" s="2263">
        <f t="shared" ref="D48:H48" si="38">SUM(D49:D50)</f>
        <v>19075.84</v>
      </c>
      <c r="E48" s="2263">
        <f t="shared" si="38"/>
        <v>17079.68</v>
      </c>
      <c r="F48" s="2263">
        <f t="shared" si="38"/>
        <v>1996.16</v>
      </c>
      <c r="G48" s="2263">
        <f t="shared" ca="1" si="38"/>
        <v>1987.96</v>
      </c>
      <c r="H48" s="2263">
        <f t="shared" ca="1" si="38"/>
        <v>2859.5299999999997</v>
      </c>
      <c r="J48" s="2264"/>
      <c r="K48" s="2265">
        <f t="shared" ca="1" si="4"/>
        <v>23923.33</v>
      </c>
      <c r="L48" s="2265">
        <f t="shared" ca="1" si="5"/>
        <v>6843.6500000000015</v>
      </c>
      <c r="N48" s="2261"/>
      <c r="Q48" s="2093" t="s">
        <v>3766</v>
      </c>
    </row>
    <row r="49" spans="2:17" ht="24">
      <c r="B49" s="2270" t="s">
        <v>1327</v>
      </c>
      <c r="C49" s="2267">
        <f t="shared" ref="C49:C50" ca="1" si="39">SUM(D49,G49:H49)</f>
        <v>18287.400000000001</v>
      </c>
      <c r="D49" s="2230">
        <v>15794</v>
      </c>
      <c r="E49" s="2230">
        <f t="shared" ref="E49:E74" si="40">ROUND(D49*$M$4,2)</f>
        <v>14141.26</v>
      </c>
      <c r="F49" s="2230">
        <f t="shared" ref="F49:F50" si="41">ROUND(D49*$N$4,2)</f>
        <v>1652.74</v>
      </c>
      <c r="G49" s="2230">
        <f t="shared" ref="G49:G50" ca="1" si="42">SUMIF($B$262:$C$430,B49,$D$262:$D$430)</f>
        <v>1626.41</v>
      </c>
      <c r="H49" s="2230">
        <f t="shared" ref="H49:H74" ca="1" si="43">SUMIF($B$435:$C$602,B49,$D$435:$D$602)</f>
        <v>866.99</v>
      </c>
      <c r="J49" s="2264"/>
      <c r="K49" s="2265">
        <f t="shared" ca="1" si="4"/>
        <v>18287.400000000001</v>
      </c>
      <c r="L49" s="2265">
        <f t="shared" ca="1" si="5"/>
        <v>4146.1400000000012</v>
      </c>
      <c r="N49" s="2091" t="str">
        <f>$B$187</f>
        <v>Вспомогательные материалы</v>
      </c>
      <c r="Q49" s="2093"/>
    </row>
    <row r="50" spans="2:17" ht="24">
      <c r="B50" s="2270" t="s">
        <v>1328</v>
      </c>
      <c r="C50" s="2267">
        <f t="shared" ca="1" si="39"/>
        <v>5635.93</v>
      </c>
      <c r="D50" s="2230">
        <v>3281.84</v>
      </c>
      <c r="E50" s="2230">
        <f t="shared" si="40"/>
        <v>2938.42</v>
      </c>
      <c r="F50" s="2230">
        <f t="shared" si="41"/>
        <v>343.42</v>
      </c>
      <c r="G50" s="2230">
        <f t="shared" ca="1" si="42"/>
        <v>361.55</v>
      </c>
      <c r="H50" s="2230">
        <f t="shared" ca="1" si="43"/>
        <v>1992.54</v>
      </c>
      <c r="J50" s="2264"/>
      <c r="K50" s="2265">
        <f t="shared" ca="1" si="4"/>
        <v>5635.93</v>
      </c>
      <c r="L50" s="2265">
        <f t="shared" ca="1" si="5"/>
        <v>2697.51</v>
      </c>
      <c r="N50" s="2091" t="str">
        <f>$B$187</f>
        <v>Вспомогательные материалы</v>
      </c>
      <c r="Q50" s="2299"/>
    </row>
    <row r="51" spans="2:17">
      <c r="B51" s="2268" t="s">
        <v>1480</v>
      </c>
      <c r="C51" s="2263">
        <f ca="1">SUM(C52:C55)</f>
        <v>1909.7599999999998</v>
      </c>
      <c r="D51" s="2263">
        <f t="shared" ref="D51:H51" si="44">SUM(D52:D55)</f>
        <v>1306.73</v>
      </c>
      <c r="E51" s="2263">
        <f t="shared" si="44"/>
        <v>1169.98</v>
      </c>
      <c r="F51" s="2263">
        <f t="shared" si="44"/>
        <v>136.75</v>
      </c>
      <c r="G51" s="2263">
        <f t="shared" ca="1" si="44"/>
        <v>429.69</v>
      </c>
      <c r="H51" s="2263">
        <f t="shared" ca="1" si="44"/>
        <v>173.34</v>
      </c>
      <c r="J51" s="2264"/>
      <c r="K51" s="2265">
        <f t="shared" ca="1" si="4"/>
        <v>1909.7599999999998</v>
      </c>
      <c r="L51" s="2265">
        <f t="shared" ca="1" si="5"/>
        <v>739.77999999999975</v>
      </c>
      <c r="N51" s="2261"/>
      <c r="Q51" s="2168" t="s">
        <v>3755</v>
      </c>
    </row>
    <row r="52" spans="2:17" ht="14.25" customHeight="1">
      <c r="B52" s="2270" t="s">
        <v>1350</v>
      </c>
      <c r="C52" s="2267">
        <f t="shared" ref="C52:C74" ca="1" si="45">SUM(D52,G52:H52)</f>
        <v>347.57</v>
      </c>
      <c r="D52" s="2230">
        <v>347.57</v>
      </c>
      <c r="E52" s="2230">
        <f t="shared" si="40"/>
        <v>311.2</v>
      </c>
      <c r="F52" s="2230">
        <f t="shared" ref="F52:F55" si="46">ROUND(D52*$N$4,2)</f>
        <v>36.369999999999997</v>
      </c>
      <c r="G52" s="2230">
        <f t="shared" ref="G52:G55" ca="1" si="47">SUMIF($B$262:$C$430,B52,$D$262:$D$430)</f>
        <v>0</v>
      </c>
      <c r="H52" s="2230">
        <f t="shared" ca="1" si="43"/>
        <v>0</v>
      </c>
      <c r="J52" s="2264"/>
      <c r="K52" s="2265">
        <f t="shared" ca="1" si="4"/>
        <v>347.57</v>
      </c>
      <c r="L52" s="2265">
        <f t="shared" ca="1" si="5"/>
        <v>36.370000000000005</v>
      </c>
      <c r="N52" s="2091" t="str">
        <f t="shared" ref="N52:N74" si="48">$B$187</f>
        <v>Вспомогательные материалы</v>
      </c>
    </row>
    <row r="53" spans="2:17" ht="14.25" customHeight="1">
      <c r="B53" s="2270" t="s">
        <v>1352</v>
      </c>
      <c r="C53" s="2267">
        <f t="shared" ca="1" si="45"/>
        <v>560.29999999999995</v>
      </c>
      <c r="D53" s="2230">
        <v>399.04</v>
      </c>
      <c r="E53" s="2230">
        <f t="shared" si="40"/>
        <v>357.28</v>
      </c>
      <c r="F53" s="2230">
        <f t="shared" si="46"/>
        <v>41.76</v>
      </c>
      <c r="G53" s="2230">
        <f t="shared" ca="1" si="47"/>
        <v>120.24</v>
      </c>
      <c r="H53" s="2230">
        <f t="shared" ca="1" si="43"/>
        <v>41.02</v>
      </c>
      <c r="J53" s="2264"/>
      <c r="K53" s="2265">
        <f t="shared" ca="1" si="4"/>
        <v>560.29999999999995</v>
      </c>
      <c r="L53" s="2265">
        <f t="shared" ca="1" si="5"/>
        <v>203.01999999999998</v>
      </c>
      <c r="N53" s="2091" t="str">
        <f t="shared" si="48"/>
        <v>Вспомогательные материалы</v>
      </c>
    </row>
    <row r="54" spans="2:17" ht="16.5" customHeight="1">
      <c r="B54" s="2270" t="s">
        <v>1354</v>
      </c>
      <c r="C54" s="2267">
        <f t="shared" ca="1" si="45"/>
        <v>715.26</v>
      </c>
      <c r="D54" s="2230">
        <v>383.26</v>
      </c>
      <c r="E54" s="2230">
        <f t="shared" si="40"/>
        <v>343.15</v>
      </c>
      <c r="F54" s="2230">
        <f t="shared" si="46"/>
        <v>40.11</v>
      </c>
      <c r="G54" s="2230">
        <f t="shared" ca="1" si="47"/>
        <v>222.58</v>
      </c>
      <c r="H54" s="2230">
        <f t="shared" ca="1" si="43"/>
        <v>109.42</v>
      </c>
      <c r="J54" s="2264"/>
      <c r="K54" s="2265">
        <f t="shared" ca="1" si="4"/>
        <v>715.26</v>
      </c>
      <c r="L54" s="2265">
        <f t="shared" ca="1" si="5"/>
        <v>372.11</v>
      </c>
      <c r="N54" s="2091" t="str">
        <f t="shared" si="48"/>
        <v>Вспомогательные материалы</v>
      </c>
    </row>
    <row r="55" spans="2:17" ht="15.75" customHeight="1">
      <c r="B55" s="2270" t="s">
        <v>1357</v>
      </c>
      <c r="C55" s="2267">
        <f t="shared" ca="1" si="45"/>
        <v>286.63</v>
      </c>
      <c r="D55" s="2230">
        <v>176.86</v>
      </c>
      <c r="E55" s="2230">
        <f t="shared" si="40"/>
        <v>158.35</v>
      </c>
      <c r="F55" s="2230">
        <f t="shared" si="46"/>
        <v>18.510000000000002</v>
      </c>
      <c r="G55" s="2230">
        <f t="shared" ca="1" si="47"/>
        <v>86.87</v>
      </c>
      <c r="H55" s="2230">
        <f t="shared" ca="1" si="43"/>
        <v>22.9</v>
      </c>
      <c r="J55" s="2264"/>
      <c r="K55" s="2265">
        <f t="shared" ca="1" si="4"/>
        <v>286.63</v>
      </c>
      <c r="L55" s="2265">
        <f t="shared" ca="1" si="5"/>
        <v>128.28</v>
      </c>
      <c r="N55" s="2091" t="str">
        <f t="shared" si="48"/>
        <v>Вспомогательные материалы</v>
      </c>
    </row>
    <row r="56" spans="2:17">
      <c r="B56" s="2268" t="s">
        <v>1481</v>
      </c>
      <c r="C56" s="2263">
        <f ca="1">SUM(C57:C63)</f>
        <v>8377.760000000002</v>
      </c>
      <c r="D56" s="2263">
        <f t="shared" ref="D56:H56" si="49">SUM(D57:D63)</f>
        <v>5443.2300000000005</v>
      </c>
      <c r="E56" s="2263">
        <f t="shared" si="49"/>
        <v>4873.6400000000003</v>
      </c>
      <c r="F56" s="2263">
        <f t="shared" si="49"/>
        <v>569.5899999999998</v>
      </c>
      <c r="G56" s="2263">
        <f t="shared" ca="1" si="49"/>
        <v>1294.9899999999998</v>
      </c>
      <c r="H56" s="2263">
        <f t="shared" ca="1" si="49"/>
        <v>1639.5400000000002</v>
      </c>
      <c r="J56" s="2264"/>
      <c r="K56" s="2265">
        <f t="shared" ca="1" si="4"/>
        <v>8377.760000000002</v>
      </c>
      <c r="L56" s="2265">
        <f t="shared" ca="1" si="5"/>
        <v>3504.1200000000017</v>
      </c>
      <c r="N56" s="2261"/>
      <c r="Q56" s="2093" t="s">
        <v>3755</v>
      </c>
    </row>
    <row r="57" spans="2:17" ht="24">
      <c r="B57" s="2270" t="s">
        <v>1351</v>
      </c>
      <c r="C57" s="2267">
        <f t="shared" ca="1" si="45"/>
        <v>265.39</v>
      </c>
      <c r="D57" s="2230">
        <v>175.22</v>
      </c>
      <c r="E57" s="2230">
        <f t="shared" si="40"/>
        <v>156.88</v>
      </c>
      <c r="F57" s="2230">
        <f t="shared" ref="F57:F63" si="50">ROUND(D57*$N$4,2)</f>
        <v>18.34</v>
      </c>
      <c r="G57" s="2230">
        <f t="shared" ref="G57:G63" ca="1" si="51">SUMIF($B$262:$C$430,B57,$D$262:$D$430)</f>
        <v>29.27</v>
      </c>
      <c r="H57" s="2230">
        <f t="shared" ca="1" si="43"/>
        <v>60.9</v>
      </c>
      <c r="J57" s="2264"/>
      <c r="K57" s="2265">
        <f t="shared" ca="1" si="4"/>
        <v>265.39</v>
      </c>
      <c r="L57" s="2265">
        <f t="shared" ca="1" si="5"/>
        <v>108.50999999999999</v>
      </c>
      <c r="N57" s="2091" t="str">
        <f t="shared" si="48"/>
        <v>Вспомогательные материалы</v>
      </c>
    </row>
    <row r="58" spans="2:17" ht="18.75" customHeight="1">
      <c r="B58" s="2270" t="s">
        <v>1353</v>
      </c>
      <c r="C58" s="2267">
        <f t="shared" ca="1" si="45"/>
        <v>4035.3599999999997</v>
      </c>
      <c r="D58" s="2230">
        <v>3071.39</v>
      </c>
      <c r="E58" s="2230">
        <f t="shared" si="40"/>
        <v>2749.99</v>
      </c>
      <c r="F58" s="2230">
        <f t="shared" si="50"/>
        <v>321.39999999999998</v>
      </c>
      <c r="G58" s="2230">
        <f t="shared" ca="1" si="51"/>
        <v>807.26</v>
      </c>
      <c r="H58" s="2230">
        <f t="shared" ca="1" si="43"/>
        <v>156.71</v>
      </c>
      <c r="J58" s="2264"/>
      <c r="K58" s="2265">
        <f t="shared" ca="1" si="4"/>
        <v>4035.3599999999997</v>
      </c>
      <c r="L58" s="2265">
        <f t="shared" ca="1" si="5"/>
        <v>1285.3699999999999</v>
      </c>
      <c r="N58" s="2091" t="str">
        <f t="shared" si="48"/>
        <v>Вспомогательные материалы</v>
      </c>
    </row>
    <row r="59" spans="2:17" ht="12" customHeight="1">
      <c r="B59" s="2270" t="s">
        <v>1355</v>
      </c>
      <c r="C59" s="2267">
        <f t="shared" ca="1" si="45"/>
        <v>235.5</v>
      </c>
      <c r="D59" s="2230">
        <v>135.16999999999999</v>
      </c>
      <c r="E59" s="2230">
        <f t="shared" si="40"/>
        <v>121.03</v>
      </c>
      <c r="F59" s="2230">
        <f t="shared" si="50"/>
        <v>14.14</v>
      </c>
      <c r="G59" s="2230">
        <f t="shared" ca="1" si="51"/>
        <v>58.89</v>
      </c>
      <c r="H59" s="2230">
        <f t="shared" ca="1" si="43"/>
        <v>41.44</v>
      </c>
      <c r="J59" s="2264"/>
      <c r="K59" s="2265">
        <f t="shared" ca="1" si="4"/>
        <v>235.5</v>
      </c>
      <c r="L59" s="2265">
        <f t="shared" ca="1" si="5"/>
        <v>114.47</v>
      </c>
      <c r="N59" s="2091" t="str">
        <f t="shared" si="48"/>
        <v>Вспомогательные материалы</v>
      </c>
    </row>
    <row r="60" spans="2:17" ht="14.25" customHeight="1">
      <c r="B60" s="2270" t="s">
        <v>1356</v>
      </c>
      <c r="C60" s="2267">
        <f t="shared" ca="1" si="45"/>
        <v>3610.0700000000006</v>
      </c>
      <c r="D60" s="2230">
        <v>1944.65</v>
      </c>
      <c r="E60" s="2230">
        <f t="shared" si="40"/>
        <v>1741.16</v>
      </c>
      <c r="F60" s="2230">
        <f t="shared" si="50"/>
        <v>203.49</v>
      </c>
      <c r="G60" s="2230">
        <f t="shared" ca="1" si="51"/>
        <v>291.77999999999997</v>
      </c>
      <c r="H60" s="2230">
        <f t="shared" ca="1" si="43"/>
        <v>1373.64</v>
      </c>
      <c r="J60" s="2264"/>
      <c r="K60" s="2265">
        <f t="shared" ca="1" si="4"/>
        <v>3610.0700000000006</v>
      </c>
      <c r="L60" s="2265">
        <f t="shared" ca="1" si="5"/>
        <v>1868.9100000000005</v>
      </c>
      <c r="N60" s="2091" t="str">
        <f t="shared" si="48"/>
        <v>Вспомогательные материалы</v>
      </c>
    </row>
    <row r="61" spans="2:17" ht="16.5" customHeight="1">
      <c r="B61" s="2270" t="s">
        <v>1358</v>
      </c>
      <c r="C61" s="2267">
        <f t="shared" ca="1" si="45"/>
        <v>55.23</v>
      </c>
      <c r="D61" s="2230">
        <v>37.01</v>
      </c>
      <c r="E61" s="2230">
        <f t="shared" si="40"/>
        <v>33.14</v>
      </c>
      <c r="F61" s="2230">
        <f t="shared" si="50"/>
        <v>3.87</v>
      </c>
      <c r="G61" s="2230">
        <f t="shared" ca="1" si="51"/>
        <v>16.09</v>
      </c>
      <c r="H61" s="2230">
        <f t="shared" ca="1" si="43"/>
        <v>2.13</v>
      </c>
      <c r="J61" s="2264"/>
      <c r="K61" s="2265">
        <f t="shared" ca="1" si="4"/>
        <v>55.23</v>
      </c>
      <c r="L61" s="2265">
        <f t="shared" ca="1" si="5"/>
        <v>22.089999999999996</v>
      </c>
      <c r="N61" s="2091" t="str">
        <f t="shared" si="48"/>
        <v>Вспомогательные материалы</v>
      </c>
    </row>
    <row r="62" spans="2:17" ht="13.5" customHeight="1">
      <c r="B62" s="2270" t="s">
        <v>1359</v>
      </c>
      <c r="C62" s="2267">
        <f t="shared" ca="1" si="45"/>
        <v>154.37</v>
      </c>
      <c r="D62" s="2230">
        <v>69.7</v>
      </c>
      <c r="E62" s="2230">
        <f t="shared" si="40"/>
        <v>62.41</v>
      </c>
      <c r="F62" s="2230">
        <f t="shared" si="50"/>
        <v>7.29</v>
      </c>
      <c r="G62" s="2230">
        <f t="shared" ca="1" si="51"/>
        <v>80.77</v>
      </c>
      <c r="H62" s="2230">
        <f t="shared" ca="1" si="43"/>
        <v>3.9</v>
      </c>
      <c r="J62" s="2264"/>
      <c r="K62" s="2265">
        <f t="shared" ca="1" si="4"/>
        <v>154.37</v>
      </c>
      <c r="L62" s="2265">
        <f t="shared" ca="1" si="5"/>
        <v>91.960000000000008</v>
      </c>
      <c r="N62" s="2091" t="str">
        <f t="shared" si="48"/>
        <v>Вспомогательные материалы</v>
      </c>
    </row>
    <row r="63" spans="2:17" ht="17.25" customHeight="1">
      <c r="B63" s="2270" t="s">
        <v>1360</v>
      </c>
      <c r="C63" s="2267">
        <f t="shared" ca="1" si="45"/>
        <v>21.84</v>
      </c>
      <c r="D63" s="2230">
        <v>10.09</v>
      </c>
      <c r="E63" s="2230">
        <f t="shared" si="40"/>
        <v>9.0299999999999994</v>
      </c>
      <c r="F63" s="2230">
        <f t="shared" si="50"/>
        <v>1.06</v>
      </c>
      <c r="G63" s="2230">
        <f t="shared" ca="1" si="51"/>
        <v>10.93</v>
      </c>
      <c r="H63" s="2230">
        <f t="shared" ca="1" si="43"/>
        <v>0.82</v>
      </c>
      <c r="J63" s="2264"/>
      <c r="K63" s="2265">
        <f t="shared" ca="1" si="4"/>
        <v>21.84</v>
      </c>
      <c r="L63" s="2265">
        <f t="shared" ca="1" si="5"/>
        <v>12.81</v>
      </c>
      <c r="N63" s="2091" t="str">
        <f t="shared" si="48"/>
        <v>Вспомогательные материалы</v>
      </c>
    </row>
    <row r="64" spans="2:17">
      <c r="B64" s="2268" t="s">
        <v>1482</v>
      </c>
      <c r="C64" s="2263">
        <f ca="1">SUM(C65:C74)</f>
        <v>10343.029999999999</v>
      </c>
      <c r="D64" s="2263">
        <f t="shared" ref="D64:H64" si="52">SUM(D65:D74)</f>
        <v>1957.99</v>
      </c>
      <c r="E64" s="2263">
        <f t="shared" si="52"/>
        <v>1753.1100000000001</v>
      </c>
      <c r="F64" s="2263">
        <f t="shared" si="52"/>
        <v>204.88</v>
      </c>
      <c r="G64" s="2263">
        <f t="shared" ca="1" si="52"/>
        <v>882.01999999999987</v>
      </c>
      <c r="H64" s="2263">
        <f t="shared" ca="1" si="52"/>
        <v>7503.02</v>
      </c>
      <c r="J64" s="2264"/>
      <c r="K64" s="2265">
        <f t="shared" ca="1" si="4"/>
        <v>10343.029999999999</v>
      </c>
      <c r="L64" s="2265">
        <f t="shared" ca="1" si="5"/>
        <v>8589.9199999999983</v>
      </c>
      <c r="N64" s="2261"/>
      <c r="Q64" s="2299" t="str">
        <f>B190</f>
        <v>прочие материалы</v>
      </c>
    </row>
    <row r="65" spans="2:14" ht="16.5" customHeight="1">
      <c r="B65" s="2270" t="s">
        <v>1368</v>
      </c>
      <c r="C65" s="2267">
        <f t="shared" ca="1" si="45"/>
        <v>273.33</v>
      </c>
      <c r="D65" s="2230">
        <v>153.76</v>
      </c>
      <c r="E65" s="2230">
        <f t="shared" si="40"/>
        <v>137.66999999999999</v>
      </c>
      <c r="F65" s="2230">
        <f t="shared" ref="F65:F74" si="53">ROUND(D65*$N$4,2)</f>
        <v>16.09</v>
      </c>
      <c r="G65" s="2230">
        <f t="shared" ref="G65:G74" ca="1" si="54">SUMIF($B$262:$C$430,B65,$D$262:$D$430)</f>
        <v>68.16</v>
      </c>
      <c r="H65" s="2230">
        <f t="shared" ca="1" si="43"/>
        <v>51.41</v>
      </c>
      <c r="J65" s="2264"/>
      <c r="K65" s="2265">
        <f t="shared" ca="1" si="4"/>
        <v>273.33</v>
      </c>
      <c r="L65" s="2265">
        <f t="shared" ca="1" si="5"/>
        <v>135.66</v>
      </c>
      <c r="N65" s="2091" t="str">
        <f t="shared" si="48"/>
        <v>Вспомогательные материалы</v>
      </c>
    </row>
    <row r="66" spans="2:14" ht="16.5" customHeight="1">
      <c r="B66" s="2270" t="s">
        <v>1369</v>
      </c>
      <c r="C66" s="2267">
        <f t="shared" ca="1" si="45"/>
        <v>133.59</v>
      </c>
      <c r="D66" s="2230">
        <v>84.33</v>
      </c>
      <c r="E66" s="2230">
        <f t="shared" si="40"/>
        <v>75.510000000000005</v>
      </c>
      <c r="F66" s="2230">
        <f t="shared" si="53"/>
        <v>8.82</v>
      </c>
      <c r="G66" s="2230">
        <f t="shared" ca="1" si="54"/>
        <v>37.47</v>
      </c>
      <c r="H66" s="2230">
        <f t="shared" ca="1" si="43"/>
        <v>11.79</v>
      </c>
      <c r="J66" s="2264"/>
      <c r="K66" s="2265">
        <f t="shared" ca="1" si="4"/>
        <v>133.59</v>
      </c>
      <c r="L66" s="2265">
        <f t="shared" ca="1" si="5"/>
        <v>58.08</v>
      </c>
      <c r="N66" s="2091" t="str">
        <f t="shared" si="48"/>
        <v>Вспомогательные материалы</v>
      </c>
    </row>
    <row r="67" spans="2:14" ht="19.5" customHeight="1">
      <c r="B67" s="2270" t="s">
        <v>1370</v>
      </c>
      <c r="C67" s="2267">
        <f t="shared" ca="1" si="45"/>
        <v>846.5200000000001</v>
      </c>
      <c r="D67" s="2230">
        <v>498.17</v>
      </c>
      <c r="E67" s="2230">
        <f t="shared" si="40"/>
        <v>446.04</v>
      </c>
      <c r="F67" s="2230">
        <f t="shared" si="53"/>
        <v>52.13</v>
      </c>
      <c r="G67" s="2230">
        <f t="shared" ca="1" si="54"/>
        <v>279.5</v>
      </c>
      <c r="H67" s="2230">
        <f t="shared" ca="1" si="43"/>
        <v>68.849999999999994</v>
      </c>
      <c r="J67" s="2264"/>
      <c r="K67" s="2265">
        <f t="shared" ca="1" si="4"/>
        <v>846.5200000000001</v>
      </c>
      <c r="L67" s="2265">
        <f t="shared" ca="1" si="5"/>
        <v>400.48000000000008</v>
      </c>
      <c r="N67" s="2091" t="str">
        <f t="shared" si="48"/>
        <v>Вспомогательные материалы</v>
      </c>
    </row>
    <row r="68" spans="2:14" ht="15.75" customHeight="1">
      <c r="B68" s="2270" t="s">
        <v>1371</v>
      </c>
      <c r="C68" s="2267">
        <f t="shared" ca="1" si="45"/>
        <v>7648.9000000000005</v>
      </c>
      <c r="D68" s="2230">
        <v>290.06</v>
      </c>
      <c r="E68" s="2230">
        <f t="shared" si="40"/>
        <v>259.70999999999998</v>
      </c>
      <c r="F68" s="2230">
        <f t="shared" si="53"/>
        <v>30.35</v>
      </c>
      <c r="G68" s="2230">
        <f t="shared" ca="1" si="54"/>
        <v>107.58</v>
      </c>
      <c r="H68" s="2230">
        <f t="shared" ca="1" si="43"/>
        <v>7251.26</v>
      </c>
      <c r="J68" s="2264"/>
      <c r="K68" s="2265">
        <f t="shared" ca="1" si="4"/>
        <v>7648.9000000000005</v>
      </c>
      <c r="L68" s="2265">
        <f t="shared" ca="1" si="5"/>
        <v>7389.1900000000005</v>
      </c>
      <c r="N68" s="2091" t="str">
        <f t="shared" si="48"/>
        <v>Вспомогательные материалы</v>
      </c>
    </row>
    <row r="69" spans="2:14" ht="17.25" customHeight="1">
      <c r="B69" s="2270" t="s">
        <v>1372</v>
      </c>
      <c r="C69" s="2267">
        <f t="shared" ca="1" si="45"/>
        <v>117.35</v>
      </c>
      <c r="D69" s="2230">
        <v>70.37</v>
      </c>
      <c r="E69" s="2230">
        <f t="shared" si="40"/>
        <v>63.01</v>
      </c>
      <c r="F69" s="2230">
        <f t="shared" si="53"/>
        <v>7.36</v>
      </c>
      <c r="G69" s="2230">
        <f t="shared" ca="1" si="54"/>
        <v>34.32</v>
      </c>
      <c r="H69" s="2230">
        <f t="shared" ca="1" si="43"/>
        <v>12.66</v>
      </c>
      <c r="J69" s="2264"/>
      <c r="K69" s="2265">
        <f t="shared" ca="1" si="4"/>
        <v>117.35</v>
      </c>
      <c r="L69" s="2265">
        <f t="shared" ca="1" si="5"/>
        <v>54.339999999999996</v>
      </c>
      <c r="N69" s="2091" t="str">
        <f t="shared" si="48"/>
        <v>Вспомогательные материалы</v>
      </c>
    </row>
    <row r="70" spans="2:14" ht="19.5" customHeight="1">
      <c r="B70" s="2270" t="s">
        <v>1373</v>
      </c>
      <c r="C70" s="2267">
        <f t="shared" ca="1" si="45"/>
        <v>76.989999999999995</v>
      </c>
      <c r="D70" s="2230">
        <v>46.21</v>
      </c>
      <c r="E70" s="2230">
        <f t="shared" si="40"/>
        <v>41.37</v>
      </c>
      <c r="F70" s="2230">
        <f t="shared" si="53"/>
        <v>4.84</v>
      </c>
      <c r="G70" s="2230">
        <f t="shared" ca="1" si="54"/>
        <v>24.23</v>
      </c>
      <c r="H70" s="2230">
        <f t="shared" ca="1" si="43"/>
        <v>6.55</v>
      </c>
      <c r="J70" s="2264"/>
      <c r="K70" s="2265">
        <f t="shared" ca="1" si="4"/>
        <v>76.989999999999995</v>
      </c>
      <c r="L70" s="2265">
        <f t="shared" ca="1" si="5"/>
        <v>35.619999999999997</v>
      </c>
      <c r="N70" s="2091" t="str">
        <f t="shared" si="48"/>
        <v>Вспомогательные материалы</v>
      </c>
    </row>
    <row r="71" spans="2:14" ht="16.5" customHeight="1">
      <c r="B71" s="2270" t="s">
        <v>1374</v>
      </c>
      <c r="C71" s="2267">
        <f t="shared" ca="1" si="45"/>
        <v>83.460000000000008</v>
      </c>
      <c r="D71" s="2230">
        <v>45.32</v>
      </c>
      <c r="E71" s="2230">
        <f t="shared" si="40"/>
        <v>40.58</v>
      </c>
      <c r="F71" s="2230">
        <f t="shared" si="53"/>
        <v>4.74</v>
      </c>
      <c r="G71" s="2230">
        <f t="shared" ca="1" si="54"/>
        <v>27.91</v>
      </c>
      <c r="H71" s="2230">
        <f t="shared" ca="1" si="43"/>
        <v>10.23</v>
      </c>
      <c r="J71" s="2264"/>
      <c r="K71" s="2265">
        <f t="shared" ca="1" si="4"/>
        <v>83.460000000000008</v>
      </c>
      <c r="L71" s="2265">
        <f t="shared" ca="1" si="5"/>
        <v>42.88000000000001</v>
      </c>
      <c r="N71" s="2091" t="str">
        <f t="shared" si="48"/>
        <v>Вспомогательные материалы</v>
      </c>
    </row>
    <row r="72" spans="2:14" ht="16.5" customHeight="1">
      <c r="B72" s="2270" t="s">
        <v>1375</v>
      </c>
      <c r="C72" s="2267">
        <f t="shared" ca="1" si="45"/>
        <v>144.11000000000001</v>
      </c>
      <c r="D72" s="2230">
        <v>80.680000000000007</v>
      </c>
      <c r="E72" s="2230">
        <f t="shared" si="40"/>
        <v>72.239999999999995</v>
      </c>
      <c r="F72" s="2230">
        <f t="shared" si="53"/>
        <v>8.44</v>
      </c>
      <c r="G72" s="2230">
        <f t="shared" ca="1" si="54"/>
        <v>44.02</v>
      </c>
      <c r="H72" s="2230">
        <f t="shared" ca="1" si="43"/>
        <v>19.41</v>
      </c>
      <c r="J72" s="2264"/>
      <c r="K72" s="2265">
        <f t="shared" ca="1" si="4"/>
        <v>144.11000000000001</v>
      </c>
      <c r="L72" s="2265">
        <f t="shared" ca="1" si="5"/>
        <v>71.870000000000019</v>
      </c>
      <c r="N72" s="2091" t="str">
        <f t="shared" si="48"/>
        <v>Вспомогательные материалы</v>
      </c>
    </row>
    <row r="73" spans="2:14" ht="16.5" customHeight="1">
      <c r="B73" s="2270" t="s">
        <v>1376</v>
      </c>
      <c r="C73" s="2267">
        <f t="shared" ca="1" si="45"/>
        <v>990.87999999999988</v>
      </c>
      <c r="D73" s="2230">
        <v>676.56</v>
      </c>
      <c r="E73" s="2230">
        <f t="shared" si="40"/>
        <v>605.76</v>
      </c>
      <c r="F73" s="2230">
        <f t="shared" si="53"/>
        <v>70.8</v>
      </c>
      <c r="G73" s="2230">
        <f t="shared" ca="1" si="54"/>
        <v>245.27</v>
      </c>
      <c r="H73" s="2230">
        <f t="shared" ca="1" si="43"/>
        <v>69.05</v>
      </c>
      <c r="J73" s="2264"/>
      <c r="K73" s="2265">
        <f t="shared" ca="1" si="4"/>
        <v>990.87999999999988</v>
      </c>
      <c r="L73" s="2265">
        <f t="shared" ca="1" si="5"/>
        <v>385.11999999999989</v>
      </c>
      <c r="N73" s="2091" t="str">
        <f t="shared" si="48"/>
        <v>Вспомогательные материалы</v>
      </c>
    </row>
    <row r="74" spans="2:14" ht="14.25" customHeight="1">
      <c r="B74" s="2270" t="s">
        <v>1377</v>
      </c>
      <c r="C74" s="2267">
        <f t="shared" ca="1" si="45"/>
        <v>27.9</v>
      </c>
      <c r="D74" s="2230">
        <v>12.53</v>
      </c>
      <c r="E74" s="2230">
        <f t="shared" si="40"/>
        <v>11.22</v>
      </c>
      <c r="F74" s="2230">
        <f t="shared" si="53"/>
        <v>1.31</v>
      </c>
      <c r="G74" s="2230">
        <f t="shared" ca="1" si="54"/>
        <v>13.56</v>
      </c>
      <c r="H74" s="2230">
        <f t="shared" ca="1" si="43"/>
        <v>1.81</v>
      </c>
      <c r="J74" s="2264"/>
      <c r="K74" s="2265">
        <f t="shared" ref="K74:K137" ca="1" si="55">C74-J74</f>
        <v>27.9</v>
      </c>
      <c r="L74" s="2265">
        <f t="shared" ref="L74:L137" ca="1" si="56">C74-E74-J74</f>
        <v>16.68</v>
      </c>
      <c r="N74" s="2091" t="str">
        <f t="shared" si="48"/>
        <v>Вспомогательные материалы</v>
      </c>
    </row>
    <row r="75" spans="2:14">
      <c r="B75" s="2268" t="s">
        <v>1483</v>
      </c>
      <c r="C75" s="2263">
        <f ca="1">SUM(C76,C80,C92,C99,C100,C113,C120,C121,C122)</f>
        <v>210237.58</v>
      </c>
      <c r="D75" s="2263">
        <f t="shared" ref="D75:H75" si="57">SUM(D76,D80,D92,D99,D100,D113,D120,D121,D122)</f>
        <v>35245.67</v>
      </c>
      <c r="E75" s="2263">
        <f t="shared" si="57"/>
        <v>31557.449999999997</v>
      </c>
      <c r="F75" s="2263">
        <f t="shared" si="57"/>
        <v>3688.22</v>
      </c>
      <c r="G75" s="2263">
        <f t="shared" ca="1" si="57"/>
        <v>158062.72999999998</v>
      </c>
      <c r="H75" s="2263">
        <f t="shared" ca="1" si="57"/>
        <v>16929.18</v>
      </c>
      <c r="J75" s="2264"/>
      <c r="K75" s="2265">
        <f t="shared" ca="1" si="55"/>
        <v>210237.58</v>
      </c>
      <c r="L75" s="2265">
        <f t="shared" ca="1" si="56"/>
        <v>178680.13</v>
      </c>
      <c r="N75" s="2261"/>
    </row>
    <row r="76" spans="2:14">
      <c r="B76" s="2268" t="s">
        <v>1484</v>
      </c>
      <c r="C76" s="2263">
        <f ca="1">SUM(C77:C79)</f>
        <v>908.43</v>
      </c>
      <c r="D76" s="2263">
        <f t="shared" ref="D76:H76" si="58">SUM(D77:D79)</f>
        <v>506.46000000000004</v>
      </c>
      <c r="E76" s="2263">
        <f t="shared" si="58"/>
        <v>453.46</v>
      </c>
      <c r="F76" s="2263">
        <f t="shared" si="58"/>
        <v>53</v>
      </c>
      <c r="G76" s="2263">
        <f t="shared" ca="1" si="58"/>
        <v>328.38</v>
      </c>
      <c r="H76" s="2263">
        <f t="shared" ca="1" si="58"/>
        <v>73.59</v>
      </c>
      <c r="J76" s="2264"/>
      <c r="K76" s="2265">
        <f t="shared" ca="1" si="55"/>
        <v>908.43</v>
      </c>
      <c r="L76" s="2265">
        <f t="shared" ca="1" si="56"/>
        <v>454.96999999999997</v>
      </c>
      <c r="N76" s="2261"/>
    </row>
    <row r="77" spans="2:14">
      <c r="B77" s="2270" t="s">
        <v>1321</v>
      </c>
      <c r="C77" s="2267">
        <f t="shared" ref="C77:C79" ca="1" si="59">SUM(D77,G77:H77)</f>
        <v>39.83</v>
      </c>
      <c r="D77" s="2230">
        <v>27.98</v>
      </c>
      <c r="E77" s="2230">
        <f t="shared" ref="E77:E79" si="60">ROUND(D77*$M$4,2)</f>
        <v>25.05</v>
      </c>
      <c r="F77" s="2230">
        <f t="shared" ref="F77:F79" si="61">ROUND(D77*$N$4,2)</f>
        <v>2.93</v>
      </c>
      <c r="G77" s="2230">
        <f t="shared" ref="G77:G79" ca="1" si="62">SUMIF($B$262:$C$430,B77,$D$262:$D$430)</f>
        <v>9.3000000000000007</v>
      </c>
      <c r="H77" s="2230">
        <f t="shared" ref="H77:H79" ca="1" si="63">SUMIF($B$435:$C$602,B77,$D$435:$D$602)</f>
        <v>2.5499999999999998</v>
      </c>
      <c r="J77" s="2264"/>
      <c r="K77" s="2265">
        <f t="shared" ca="1" si="55"/>
        <v>39.83</v>
      </c>
      <c r="L77" s="2265">
        <f t="shared" ca="1" si="56"/>
        <v>14.779999999999998</v>
      </c>
      <c r="N77" s="2091" t="str">
        <f>$B$201</f>
        <v>плата за аренду имущества</v>
      </c>
    </row>
    <row r="78" spans="2:14">
      <c r="B78" s="2270" t="s">
        <v>1322</v>
      </c>
      <c r="C78" s="2267">
        <f t="shared" ca="1" si="59"/>
        <v>125.55</v>
      </c>
      <c r="D78" s="2230">
        <v>75.61</v>
      </c>
      <c r="E78" s="2230">
        <f t="shared" si="60"/>
        <v>67.7</v>
      </c>
      <c r="F78" s="2230">
        <f t="shared" si="61"/>
        <v>7.91</v>
      </c>
      <c r="G78" s="2230">
        <f t="shared" ca="1" si="62"/>
        <v>40.159999999999997</v>
      </c>
      <c r="H78" s="2230">
        <f t="shared" ca="1" si="63"/>
        <v>9.7799999999999994</v>
      </c>
      <c r="J78" s="2264"/>
      <c r="K78" s="2265">
        <f t="shared" ca="1" si="55"/>
        <v>125.55</v>
      </c>
      <c r="L78" s="2265">
        <f t="shared" ca="1" si="56"/>
        <v>57.849999999999994</v>
      </c>
      <c r="N78" s="2091" t="str">
        <f>$B$201</f>
        <v>плата за аренду имущества</v>
      </c>
    </row>
    <row r="79" spans="2:14">
      <c r="B79" s="2270" t="s">
        <v>1323</v>
      </c>
      <c r="C79" s="2267">
        <f t="shared" ca="1" si="59"/>
        <v>743.05</v>
      </c>
      <c r="D79" s="2230">
        <v>402.87</v>
      </c>
      <c r="E79" s="2230">
        <f t="shared" si="60"/>
        <v>360.71</v>
      </c>
      <c r="F79" s="2230">
        <f t="shared" si="61"/>
        <v>42.16</v>
      </c>
      <c r="G79" s="2230">
        <f t="shared" ca="1" si="62"/>
        <v>278.92</v>
      </c>
      <c r="H79" s="2230">
        <f t="shared" ca="1" si="63"/>
        <v>61.26</v>
      </c>
      <c r="J79" s="2264"/>
      <c r="K79" s="2265">
        <f t="shared" ca="1" si="55"/>
        <v>743.05</v>
      </c>
      <c r="L79" s="2265">
        <f t="shared" ca="1" si="56"/>
        <v>382.34</v>
      </c>
      <c r="N79" s="2091" t="str">
        <f>$B$201</f>
        <v>плата за аренду имущества</v>
      </c>
    </row>
    <row r="80" spans="2:14">
      <c r="B80" s="2268" t="s">
        <v>1485</v>
      </c>
      <c r="C80" s="2263">
        <f ca="1">SUM(C81,C84,C85,C89,C90,C91)</f>
        <v>20037.519999999997</v>
      </c>
      <c r="D80" s="2263">
        <f t="shared" ref="D80:H80" si="64">SUM(D81,D84,D85,D89,D90,D91)</f>
        <v>6212.53</v>
      </c>
      <c r="E80" s="2263">
        <f t="shared" si="64"/>
        <v>5562.42</v>
      </c>
      <c r="F80" s="2263">
        <f t="shared" si="64"/>
        <v>650.1099999999999</v>
      </c>
      <c r="G80" s="2263">
        <f t="shared" ca="1" si="64"/>
        <v>1120.6399999999999</v>
      </c>
      <c r="H80" s="2263">
        <f t="shared" ca="1" si="64"/>
        <v>12704.349999999999</v>
      </c>
      <c r="J80" s="2264"/>
      <c r="K80" s="2265">
        <f t="shared" ca="1" si="55"/>
        <v>20037.519999999997</v>
      </c>
      <c r="L80" s="2265">
        <f t="shared" ca="1" si="56"/>
        <v>14475.099999999997</v>
      </c>
      <c r="N80" s="2261"/>
    </row>
    <row r="81" spans="2:14">
      <c r="B81" s="2268" t="s">
        <v>1486</v>
      </c>
      <c r="C81" s="2263">
        <f ca="1">SUM(C82:C83)</f>
        <v>1065.4099999999999</v>
      </c>
      <c r="D81" s="2263">
        <f t="shared" ref="D81:H81" si="65">SUM(D82:D83)</f>
        <v>637.94999999999993</v>
      </c>
      <c r="E81" s="2263">
        <f t="shared" si="65"/>
        <v>571.19000000000005</v>
      </c>
      <c r="F81" s="2263">
        <f t="shared" si="65"/>
        <v>66.759999999999991</v>
      </c>
      <c r="G81" s="2263">
        <f t="shared" ca="1" si="65"/>
        <v>355.46999999999997</v>
      </c>
      <c r="H81" s="2263">
        <f t="shared" ca="1" si="65"/>
        <v>71.989999999999995</v>
      </c>
      <c r="J81" s="2264"/>
      <c r="K81" s="2265">
        <f t="shared" ca="1" si="55"/>
        <v>1065.4099999999999</v>
      </c>
      <c r="L81" s="2265">
        <f t="shared" ca="1" si="56"/>
        <v>494.2199999999998</v>
      </c>
      <c r="N81" s="2261"/>
    </row>
    <row r="82" spans="2:14" ht="60">
      <c r="B82" s="2270" t="s">
        <v>1333</v>
      </c>
      <c r="C82" s="2267">
        <f t="shared" ref="C82:C99" ca="1" si="66">SUM(D82,G82:H82)</f>
        <v>945.92</v>
      </c>
      <c r="D82" s="2230">
        <v>571.04999999999995</v>
      </c>
      <c r="E82" s="2230">
        <f t="shared" ref="E82:E99" si="67">ROUND(D82*$M$4,2)</f>
        <v>511.29</v>
      </c>
      <c r="F82" s="2230">
        <f t="shared" ref="F82:F84" si="68">ROUND(D82*$N$4,2)</f>
        <v>59.76</v>
      </c>
      <c r="G82" s="2230">
        <f t="shared" ref="G82:G99" ca="1" si="69">SUMIF($B$262:$C$430,B82,$D$262:$D$430)</f>
        <v>311.45999999999998</v>
      </c>
      <c r="H82" s="2230">
        <f t="shared" ref="H82:H99" ca="1" si="70">SUMIF($B$435:$C$602,B82,$D$435:$D$602)</f>
        <v>63.41</v>
      </c>
      <c r="J82" s="2264"/>
      <c r="K82" s="2265">
        <f t="shared" ca="1" si="55"/>
        <v>945.92</v>
      </c>
      <c r="L82" s="2265">
        <f t="shared" ca="1" si="56"/>
        <v>434.62999999999994</v>
      </c>
      <c r="N82" s="2091" t="str">
        <f>$B$216</f>
        <v xml:space="preserve">Затраты на охрану труда - мероприятия по предупреждению заболеваний на производстве </v>
      </c>
    </row>
    <row r="83" spans="2:14" ht="60">
      <c r="B83" s="2270" t="s">
        <v>1334</v>
      </c>
      <c r="C83" s="2267">
        <f t="shared" ca="1" si="66"/>
        <v>119.49</v>
      </c>
      <c r="D83" s="2230">
        <v>66.900000000000006</v>
      </c>
      <c r="E83" s="2230">
        <f t="shared" si="67"/>
        <v>59.9</v>
      </c>
      <c r="F83" s="2230">
        <f t="shared" si="68"/>
        <v>7</v>
      </c>
      <c r="G83" s="2230">
        <f t="shared" ca="1" si="69"/>
        <v>44.01</v>
      </c>
      <c r="H83" s="2230">
        <f t="shared" ca="1" si="70"/>
        <v>8.58</v>
      </c>
      <c r="J83" s="2264"/>
      <c r="K83" s="2265">
        <f t="shared" ca="1" si="55"/>
        <v>119.49</v>
      </c>
      <c r="L83" s="2265">
        <f t="shared" ca="1" si="56"/>
        <v>59.589999999999996</v>
      </c>
      <c r="N83" s="2091" t="str">
        <f>$B$216</f>
        <v xml:space="preserve">Затраты на охрану труда - мероприятия по предупреждению заболеваний на производстве </v>
      </c>
    </row>
    <row r="84" spans="2:14">
      <c r="B84" s="2270" t="s">
        <v>1335</v>
      </c>
      <c r="C84" s="2267">
        <f ca="1">SUM(D84,G84:H84)</f>
        <v>166.22</v>
      </c>
      <c r="D84" s="2230">
        <v>72.45</v>
      </c>
      <c r="E84" s="2230">
        <f t="shared" si="67"/>
        <v>64.87</v>
      </c>
      <c r="F84" s="2230">
        <f t="shared" si="68"/>
        <v>7.58</v>
      </c>
      <c r="G84" s="2230">
        <f t="shared" ca="1" si="69"/>
        <v>89.45</v>
      </c>
      <c r="H84" s="2230">
        <f t="shared" ca="1" si="70"/>
        <v>4.32</v>
      </c>
      <c r="J84" s="2264"/>
      <c r="K84" s="2265">
        <f t="shared" ca="1" si="55"/>
        <v>166.22</v>
      </c>
      <c r="L84" s="2265">
        <f t="shared" ca="1" si="56"/>
        <v>101.35</v>
      </c>
      <c r="N84" s="2091" t="str">
        <f>$B$223</f>
        <v xml:space="preserve">Услуги PR, СМИ, рекламы </v>
      </c>
    </row>
    <row r="85" spans="2:14">
      <c r="B85" s="2268" t="s">
        <v>1487</v>
      </c>
      <c r="C85" s="2263">
        <f ca="1">SUM(C86:C88)</f>
        <v>1762.08</v>
      </c>
      <c r="D85" s="2263">
        <f>SUM(D86:D88)</f>
        <v>1239.31</v>
      </c>
      <c r="E85" s="2263">
        <f t="shared" ref="E85:H85" si="71">SUM(E86:E88)</f>
        <v>1109.6199999999999</v>
      </c>
      <c r="F85" s="2263">
        <f t="shared" si="71"/>
        <v>129.69</v>
      </c>
      <c r="G85" s="2263">
        <f t="shared" ca="1" si="71"/>
        <v>451.44</v>
      </c>
      <c r="H85" s="2263">
        <f t="shared" ca="1" si="71"/>
        <v>71.33</v>
      </c>
      <c r="J85" s="2264"/>
      <c r="K85" s="2265">
        <f t="shared" ca="1" si="55"/>
        <v>1762.08</v>
      </c>
      <c r="L85" s="2265">
        <f t="shared" ca="1" si="56"/>
        <v>652.46</v>
      </c>
      <c r="N85" s="2261"/>
    </row>
    <row r="86" spans="2:14" ht="36" customHeight="1">
      <c r="B86" s="2270" t="s">
        <v>1378</v>
      </c>
      <c r="C86" s="2267">
        <f t="shared" ca="1" si="66"/>
        <v>2.15</v>
      </c>
      <c r="D86" s="2230">
        <v>2.15</v>
      </c>
      <c r="E86" s="2230">
        <f t="shared" si="67"/>
        <v>1.93</v>
      </c>
      <c r="F86" s="2230">
        <f t="shared" ref="F86:F91" si="72">ROUND(D86*$N$4,2)</f>
        <v>0.22</v>
      </c>
      <c r="G86" s="2230">
        <f t="shared" ca="1" si="69"/>
        <v>0</v>
      </c>
      <c r="H86" s="2230">
        <f t="shared" ca="1" si="70"/>
        <v>0</v>
      </c>
      <c r="J86" s="2264"/>
      <c r="K86" s="2265">
        <f t="shared" ca="1" si="55"/>
        <v>2.15</v>
      </c>
      <c r="L86" s="2265">
        <f t="shared" ca="1" si="56"/>
        <v>0.21999999999999997</v>
      </c>
      <c r="N86" s="2091" t="str">
        <f>$B$222</f>
        <v>Расходы по управлению собственностью - межевание земельных участков</v>
      </c>
    </row>
    <row r="87" spans="2:14" ht="37.5" customHeight="1">
      <c r="B87" s="2270" t="s">
        <v>1379</v>
      </c>
      <c r="C87" s="2267">
        <f t="shared" ca="1" si="66"/>
        <v>526.77</v>
      </c>
      <c r="D87" s="2230">
        <v>266.95999999999998</v>
      </c>
      <c r="E87" s="2230">
        <f t="shared" si="67"/>
        <v>239.02</v>
      </c>
      <c r="F87" s="2230">
        <f t="shared" si="72"/>
        <v>27.94</v>
      </c>
      <c r="G87" s="2230">
        <f t="shared" ca="1" si="69"/>
        <v>229.45</v>
      </c>
      <c r="H87" s="2230">
        <f t="shared" ca="1" si="70"/>
        <v>30.36</v>
      </c>
      <c r="J87" s="2264"/>
      <c r="K87" s="2265">
        <f t="shared" ca="1" si="55"/>
        <v>526.77</v>
      </c>
      <c r="L87" s="2265">
        <f t="shared" ca="1" si="56"/>
        <v>287.75</v>
      </c>
      <c r="N87" s="2091" t="str">
        <f t="shared" ref="N87:N88" si="73">$B$222</f>
        <v>Расходы по управлению собственностью - межевание земельных участков</v>
      </c>
    </row>
    <row r="88" spans="2:14" ht="36" customHeight="1">
      <c r="B88" s="2270" t="s">
        <v>1380</v>
      </c>
      <c r="C88" s="2267">
        <f t="shared" ca="1" si="66"/>
        <v>1233.1600000000001</v>
      </c>
      <c r="D88" s="2230">
        <v>970.2</v>
      </c>
      <c r="E88" s="2230">
        <f t="shared" si="67"/>
        <v>868.67</v>
      </c>
      <c r="F88" s="2230">
        <f t="shared" si="72"/>
        <v>101.53</v>
      </c>
      <c r="G88" s="2230">
        <f t="shared" ca="1" si="69"/>
        <v>221.99</v>
      </c>
      <c r="H88" s="2230">
        <f t="shared" ca="1" si="70"/>
        <v>40.97</v>
      </c>
      <c r="J88" s="2264"/>
      <c r="K88" s="2265">
        <f t="shared" ca="1" si="55"/>
        <v>1233.1600000000001</v>
      </c>
      <c r="L88" s="2265">
        <f t="shared" ca="1" si="56"/>
        <v>364.49000000000012</v>
      </c>
      <c r="N88" s="2091" t="str">
        <f t="shared" si="73"/>
        <v>Расходы по управлению собственностью - межевание земельных участков</v>
      </c>
    </row>
    <row r="89" spans="2:14">
      <c r="B89" s="2270" t="s">
        <v>1339</v>
      </c>
      <c r="C89" s="2267">
        <f ca="1">SUM(D89,G89:H89)</f>
        <v>16975.239999999998</v>
      </c>
      <c r="D89" s="2230">
        <v>4217.3500000000004</v>
      </c>
      <c r="E89" s="2230">
        <f t="shared" si="67"/>
        <v>3776.03</v>
      </c>
      <c r="F89" s="2230">
        <f t="shared" si="72"/>
        <v>441.32</v>
      </c>
      <c r="G89" s="2230">
        <f t="shared" ca="1" si="69"/>
        <v>205.66</v>
      </c>
      <c r="H89" s="2230">
        <f t="shared" ca="1" si="70"/>
        <v>12552.23</v>
      </c>
      <c r="J89" s="2264"/>
      <c r="K89" s="2265">
        <f t="shared" ca="1" si="55"/>
        <v>16975.239999999998</v>
      </c>
      <c r="L89" s="2265">
        <f t="shared" ca="1" si="56"/>
        <v>13199.209999999997</v>
      </c>
      <c r="N89" s="2091" t="str">
        <f>$B$218</f>
        <v>Канцелярские расходы</v>
      </c>
    </row>
    <row r="90" spans="2:14" ht="24">
      <c r="B90" s="2270" t="s">
        <v>1425</v>
      </c>
      <c r="C90" s="2267">
        <f ca="1">SUM(D90,G90:H90)</f>
        <v>9.5299999999999994</v>
      </c>
      <c r="D90" s="2230">
        <v>9.5299999999999994</v>
      </c>
      <c r="E90" s="2230">
        <f t="shared" si="67"/>
        <v>8.5299999999999994</v>
      </c>
      <c r="F90" s="2230">
        <f t="shared" si="72"/>
        <v>1</v>
      </c>
      <c r="G90" s="2230">
        <f t="shared" ca="1" si="69"/>
        <v>0</v>
      </c>
      <c r="H90" s="2230">
        <f t="shared" ca="1" si="70"/>
        <v>0</v>
      </c>
      <c r="J90" s="2264"/>
      <c r="K90" s="2265">
        <f t="shared" ca="1" si="55"/>
        <v>9.5299999999999994</v>
      </c>
      <c r="L90" s="2265">
        <f t="shared" ca="1" si="56"/>
        <v>1</v>
      </c>
      <c r="N90" s="2091" t="str">
        <f>$B$227</f>
        <v>прочие</v>
      </c>
    </row>
    <row r="91" spans="2:14">
      <c r="B91" s="2270" t="s">
        <v>1446</v>
      </c>
      <c r="C91" s="2267">
        <f ca="1">SUM(D91,G91:H91)</f>
        <v>59.040000000000006</v>
      </c>
      <c r="D91" s="2230">
        <v>35.94</v>
      </c>
      <c r="E91" s="2230">
        <f t="shared" si="67"/>
        <v>32.18</v>
      </c>
      <c r="F91" s="2230">
        <f t="shared" si="72"/>
        <v>3.76</v>
      </c>
      <c r="G91" s="2230">
        <f t="shared" ca="1" si="69"/>
        <v>18.62</v>
      </c>
      <c r="H91" s="2230">
        <f t="shared" ca="1" si="70"/>
        <v>4.4800000000000004</v>
      </c>
      <c r="J91" s="2264"/>
      <c r="K91" s="2265">
        <f t="shared" ca="1" si="55"/>
        <v>59.040000000000006</v>
      </c>
      <c r="L91" s="2265">
        <f t="shared" ca="1" si="56"/>
        <v>26.860000000000007</v>
      </c>
      <c r="N91" s="2091" t="str">
        <f>$B$227</f>
        <v>прочие</v>
      </c>
    </row>
    <row r="92" spans="2:14">
      <c r="B92" s="2268" t="s">
        <v>1488</v>
      </c>
      <c r="C92" s="2263">
        <f ca="1">SUM(C93:C98)</f>
        <v>4687.07</v>
      </c>
      <c r="D92" s="2263">
        <f t="shared" ref="D92:H92" si="74">SUM(D93:D98)</f>
        <v>3062.95</v>
      </c>
      <c r="E92" s="2263">
        <f t="shared" si="74"/>
        <v>2742.43</v>
      </c>
      <c r="F92" s="2263">
        <f t="shared" si="74"/>
        <v>320.52000000000004</v>
      </c>
      <c r="G92" s="2263">
        <f t="shared" ca="1" si="74"/>
        <v>1201.25</v>
      </c>
      <c r="H92" s="2263">
        <f t="shared" ca="1" si="74"/>
        <v>422.87</v>
      </c>
      <c r="J92" s="2264"/>
      <c r="K92" s="2265">
        <f t="shared" ca="1" si="55"/>
        <v>4687.07</v>
      </c>
      <c r="L92" s="2265">
        <f t="shared" ca="1" si="56"/>
        <v>1944.6399999999999</v>
      </c>
      <c r="N92" s="2261"/>
    </row>
    <row r="93" spans="2:14">
      <c r="B93" s="2270" t="s">
        <v>1329</v>
      </c>
      <c r="C93" s="2267">
        <f t="shared" ca="1" si="66"/>
        <v>1150.5</v>
      </c>
      <c r="D93" s="2230">
        <v>680.52</v>
      </c>
      <c r="E93" s="2230">
        <f t="shared" si="67"/>
        <v>609.30999999999995</v>
      </c>
      <c r="F93" s="2230">
        <f t="shared" ref="F93:F99" si="75">ROUND(D93*$N$4,2)</f>
        <v>71.209999999999994</v>
      </c>
      <c r="G93" s="2230">
        <f t="shared" ca="1" si="69"/>
        <v>378.16</v>
      </c>
      <c r="H93" s="2230">
        <f t="shared" ca="1" si="70"/>
        <v>91.82</v>
      </c>
      <c r="J93" s="2264"/>
      <c r="K93" s="2265">
        <f t="shared" ca="1" si="55"/>
        <v>1150.5</v>
      </c>
      <c r="L93" s="2265">
        <f t="shared" ca="1" si="56"/>
        <v>541.19000000000005</v>
      </c>
      <c r="N93" s="2091" t="str">
        <f>$B$215</f>
        <v>Страхование</v>
      </c>
    </row>
    <row r="94" spans="2:14">
      <c r="B94" s="2270" t="s">
        <v>1330</v>
      </c>
      <c r="C94" s="2267">
        <f t="shared" ca="1" si="66"/>
        <v>80.900000000000006</v>
      </c>
      <c r="D94" s="2230">
        <v>47.36</v>
      </c>
      <c r="E94" s="2230">
        <f t="shared" si="67"/>
        <v>42.4</v>
      </c>
      <c r="F94" s="2230">
        <f t="shared" si="75"/>
        <v>4.96</v>
      </c>
      <c r="G94" s="2230">
        <f t="shared" ca="1" si="69"/>
        <v>26.76</v>
      </c>
      <c r="H94" s="2230">
        <f t="shared" ca="1" si="70"/>
        <v>6.78</v>
      </c>
      <c r="J94" s="2264"/>
      <c r="K94" s="2265">
        <f t="shared" ca="1" si="55"/>
        <v>80.900000000000006</v>
      </c>
      <c r="L94" s="2265">
        <f t="shared" ca="1" si="56"/>
        <v>38.500000000000007</v>
      </c>
      <c r="N94" s="2091" t="str">
        <f t="shared" ref="N94:N98" si="76">$B$215</f>
        <v>Страхование</v>
      </c>
    </row>
    <row r="95" spans="2:14">
      <c r="B95" s="2270" t="s">
        <v>1387</v>
      </c>
      <c r="C95" s="2267">
        <f t="shared" ca="1" si="66"/>
        <v>1050.92</v>
      </c>
      <c r="D95" s="2230">
        <v>880.86</v>
      </c>
      <c r="E95" s="2230">
        <f t="shared" si="67"/>
        <v>788.68</v>
      </c>
      <c r="F95" s="2230">
        <f t="shared" si="75"/>
        <v>92.18</v>
      </c>
      <c r="G95" s="2230">
        <f t="shared" ca="1" si="69"/>
        <v>88.6</v>
      </c>
      <c r="H95" s="2230">
        <f t="shared" ca="1" si="70"/>
        <v>81.459999999999994</v>
      </c>
      <c r="J95" s="2264"/>
      <c r="K95" s="2265">
        <f t="shared" ca="1" si="55"/>
        <v>1050.92</v>
      </c>
      <c r="L95" s="2265">
        <f t="shared" ca="1" si="56"/>
        <v>262.24000000000012</v>
      </c>
      <c r="N95" s="2091" t="str">
        <f t="shared" si="76"/>
        <v>Страхование</v>
      </c>
    </row>
    <row r="96" spans="2:14">
      <c r="B96" s="2270" t="s">
        <v>1388</v>
      </c>
      <c r="C96" s="2267">
        <f t="shared" ca="1" si="66"/>
        <v>45.68</v>
      </c>
      <c r="D96" s="2230">
        <v>39.32</v>
      </c>
      <c r="E96" s="2230">
        <f t="shared" si="67"/>
        <v>35.21</v>
      </c>
      <c r="F96" s="2230">
        <f t="shared" si="75"/>
        <v>4.1100000000000003</v>
      </c>
      <c r="G96" s="2230">
        <f t="shared" ca="1" si="69"/>
        <v>4.67</v>
      </c>
      <c r="H96" s="2230">
        <f t="shared" ca="1" si="70"/>
        <v>1.69</v>
      </c>
      <c r="J96" s="2264"/>
      <c r="K96" s="2265">
        <f t="shared" ca="1" si="55"/>
        <v>45.68</v>
      </c>
      <c r="L96" s="2265">
        <f t="shared" ca="1" si="56"/>
        <v>10.469999999999999</v>
      </c>
      <c r="N96" s="2091" t="str">
        <f t="shared" si="76"/>
        <v>Страхование</v>
      </c>
    </row>
    <row r="97" spans="2:14">
      <c r="B97" s="2270" t="s">
        <v>1389</v>
      </c>
      <c r="C97" s="2267">
        <f t="shared" ca="1" si="66"/>
        <v>2090.96</v>
      </c>
      <c r="D97" s="2230">
        <v>1237.5899999999999</v>
      </c>
      <c r="E97" s="2230">
        <f t="shared" si="67"/>
        <v>1108.08</v>
      </c>
      <c r="F97" s="2230">
        <f t="shared" si="75"/>
        <v>129.51</v>
      </c>
      <c r="G97" s="2230">
        <f t="shared" ca="1" si="69"/>
        <v>686.75</v>
      </c>
      <c r="H97" s="2230">
        <f t="shared" ca="1" si="70"/>
        <v>166.62</v>
      </c>
      <c r="J97" s="2264"/>
      <c r="K97" s="2265">
        <f t="shared" ca="1" si="55"/>
        <v>2090.96</v>
      </c>
      <c r="L97" s="2265">
        <f t="shared" ca="1" si="56"/>
        <v>982.88000000000011</v>
      </c>
      <c r="N97" s="2091" t="str">
        <f t="shared" si="76"/>
        <v>Страхование</v>
      </c>
    </row>
    <row r="98" spans="2:14">
      <c r="B98" s="2270" t="s">
        <v>1390</v>
      </c>
      <c r="C98" s="2267">
        <f t="shared" ca="1" si="66"/>
        <v>268.11</v>
      </c>
      <c r="D98" s="2230">
        <v>177.3</v>
      </c>
      <c r="E98" s="2230">
        <f t="shared" si="67"/>
        <v>158.75</v>
      </c>
      <c r="F98" s="2230">
        <f t="shared" si="75"/>
        <v>18.55</v>
      </c>
      <c r="G98" s="2230">
        <f t="shared" ca="1" si="69"/>
        <v>16.309999999999999</v>
      </c>
      <c r="H98" s="2230">
        <f t="shared" ca="1" si="70"/>
        <v>74.5</v>
      </c>
      <c r="J98" s="2264"/>
      <c r="K98" s="2265">
        <f t="shared" ca="1" si="55"/>
        <v>268.11</v>
      </c>
      <c r="L98" s="2265">
        <f t="shared" ca="1" si="56"/>
        <v>109.36000000000001</v>
      </c>
      <c r="N98" s="2091" t="str">
        <f t="shared" si="76"/>
        <v>Страхование</v>
      </c>
    </row>
    <row r="99" spans="2:14" ht="24">
      <c r="B99" s="2270" t="s">
        <v>1336</v>
      </c>
      <c r="C99" s="2267">
        <f t="shared" ca="1" si="66"/>
        <v>497.98999999999995</v>
      </c>
      <c r="D99" s="2230">
        <v>232.18</v>
      </c>
      <c r="E99" s="2230">
        <f t="shared" si="67"/>
        <v>207.88</v>
      </c>
      <c r="F99" s="2230">
        <f t="shared" si="75"/>
        <v>24.3</v>
      </c>
      <c r="G99" s="2230">
        <f t="shared" ca="1" si="69"/>
        <v>246.47</v>
      </c>
      <c r="H99" s="2230">
        <f t="shared" ca="1" si="70"/>
        <v>19.34</v>
      </c>
      <c r="J99" s="2264"/>
      <c r="K99" s="2265">
        <f t="shared" ca="1" si="55"/>
        <v>497.98999999999995</v>
      </c>
      <c r="L99" s="2265">
        <f t="shared" ca="1" si="56"/>
        <v>290.10999999999996</v>
      </c>
      <c r="N99" s="2091" t="str">
        <f>$B$217</f>
        <v>Затраты на экологию (кроме налогов и сборов)</v>
      </c>
    </row>
    <row r="100" spans="2:14">
      <c r="B100" s="2268" t="s">
        <v>1489</v>
      </c>
      <c r="C100" s="2263">
        <f ca="1">SUM(C101,C107)</f>
        <v>2036.4499999999998</v>
      </c>
      <c r="D100" s="2263">
        <f t="shared" ref="D100:H100" si="77">SUM(D101,D107)</f>
        <v>1323.2599999999998</v>
      </c>
      <c r="E100" s="2263">
        <f t="shared" si="77"/>
        <v>1184.79</v>
      </c>
      <c r="F100" s="2263">
        <f t="shared" si="77"/>
        <v>138.47</v>
      </c>
      <c r="G100" s="2263">
        <f t="shared" ca="1" si="77"/>
        <v>497.98</v>
      </c>
      <c r="H100" s="2263">
        <f t="shared" ca="1" si="77"/>
        <v>215.20999999999998</v>
      </c>
      <c r="J100" s="2264"/>
      <c r="K100" s="2265">
        <f t="shared" ca="1" si="55"/>
        <v>2036.4499999999998</v>
      </c>
      <c r="L100" s="2265">
        <f t="shared" ca="1" si="56"/>
        <v>851.65999999999985</v>
      </c>
      <c r="N100" s="2261"/>
    </row>
    <row r="101" spans="2:14">
      <c r="B101" s="2268" t="s">
        <v>1490</v>
      </c>
      <c r="C101" s="2263">
        <f ca="1">SUM(C102:C106)</f>
        <v>1186.3799999999999</v>
      </c>
      <c r="D101" s="2263">
        <f t="shared" ref="D101:H101" si="78">SUM(D102:D106)</f>
        <v>791.64</v>
      </c>
      <c r="E101" s="2263">
        <f t="shared" si="78"/>
        <v>708.8</v>
      </c>
      <c r="F101" s="2263">
        <f t="shared" si="78"/>
        <v>82.84</v>
      </c>
      <c r="G101" s="2263">
        <f t="shared" ca="1" si="78"/>
        <v>310.19</v>
      </c>
      <c r="H101" s="2263">
        <f t="shared" ca="1" si="78"/>
        <v>84.55</v>
      </c>
      <c r="J101" s="2264"/>
      <c r="K101" s="2265">
        <f t="shared" ca="1" si="55"/>
        <v>1186.3799999999999</v>
      </c>
      <c r="L101" s="2265">
        <f t="shared" ca="1" si="56"/>
        <v>477.57999999999993</v>
      </c>
      <c r="N101" s="2261"/>
    </row>
    <row r="102" spans="2:14">
      <c r="B102" s="2270" t="s">
        <v>1340</v>
      </c>
      <c r="C102" s="2267">
        <f t="shared" ref="C102:C121" ca="1" si="79">SUM(D102,G102:H102)</f>
        <v>1.7</v>
      </c>
      <c r="D102" s="2230">
        <v>1.7</v>
      </c>
      <c r="E102" s="2230">
        <f t="shared" ref="E102:E121" si="80">ROUND(D102*$M$4,2)</f>
        <v>1.52</v>
      </c>
      <c r="F102" s="2230">
        <f t="shared" ref="F102:F106" si="81">ROUND(D102*$N$4,2)</f>
        <v>0.18</v>
      </c>
      <c r="G102" s="2230">
        <f t="shared" ref="G102:G121" ca="1" si="82">SUMIF($B$262:$C$430,B102,$D$262:$D$430)</f>
        <v>0</v>
      </c>
      <c r="H102" s="2230">
        <f t="shared" ref="H102:H121" ca="1" si="83">SUMIF($B$435:$C$602,B102,$D$435:$D$602)</f>
        <v>0</v>
      </c>
      <c r="J102" s="2264"/>
      <c r="K102" s="2265">
        <f t="shared" ca="1" si="55"/>
        <v>1.7</v>
      </c>
      <c r="L102" s="2265">
        <f t="shared" ca="1" si="56"/>
        <v>0.17999999999999994</v>
      </c>
      <c r="N102" s="2091" t="str">
        <f>$B$219</f>
        <v>Командировочные расходы</v>
      </c>
    </row>
    <row r="103" spans="2:14" ht="24">
      <c r="B103" s="2270" t="s">
        <v>1341</v>
      </c>
      <c r="C103" s="2267">
        <f t="shared" ca="1" si="79"/>
        <v>1.22</v>
      </c>
      <c r="D103" s="2230">
        <v>0.8</v>
      </c>
      <c r="E103" s="2230">
        <f t="shared" si="80"/>
        <v>0.72</v>
      </c>
      <c r="F103" s="2230">
        <f t="shared" si="81"/>
        <v>0.08</v>
      </c>
      <c r="G103" s="2230">
        <f t="shared" ca="1" si="82"/>
        <v>0.35</v>
      </c>
      <c r="H103" s="2230">
        <f t="shared" ca="1" si="83"/>
        <v>7.0000000000000007E-2</v>
      </c>
      <c r="J103" s="2264"/>
      <c r="K103" s="2265">
        <f t="shared" ca="1" si="55"/>
        <v>1.22</v>
      </c>
      <c r="L103" s="2265">
        <f t="shared" ca="1" si="56"/>
        <v>0.5</v>
      </c>
      <c r="N103" s="2091" t="str">
        <f t="shared" ref="N103:N112" si="84">$B$219</f>
        <v>Командировочные расходы</v>
      </c>
    </row>
    <row r="104" spans="2:14">
      <c r="B104" s="2270" t="s">
        <v>1342</v>
      </c>
      <c r="C104" s="2267">
        <f t="shared" ca="1" si="79"/>
        <v>194.15</v>
      </c>
      <c r="D104" s="2230">
        <v>136.63</v>
      </c>
      <c r="E104" s="2230">
        <f t="shared" si="80"/>
        <v>122.33</v>
      </c>
      <c r="F104" s="2230">
        <f t="shared" si="81"/>
        <v>14.3</v>
      </c>
      <c r="G104" s="2230">
        <f t="shared" ca="1" si="82"/>
        <v>45.18</v>
      </c>
      <c r="H104" s="2230">
        <f t="shared" ca="1" si="83"/>
        <v>12.34</v>
      </c>
      <c r="J104" s="2264"/>
      <c r="K104" s="2265">
        <f t="shared" ca="1" si="55"/>
        <v>194.15</v>
      </c>
      <c r="L104" s="2265">
        <f t="shared" ca="1" si="56"/>
        <v>71.820000000000007</v>
      </c>
      <c r="N104" s="2091" t="str">
        <f t="shared" si="84"/>
        <v>Командировочные расходы</v>
      </c>
    </row>
    <row r="105" spans="2:14">
      <c r="B105" s="2270" t="s">
        <v>1343</v>
      </c>
      <c r="C105" s="2267">
        <f t="shared" ca="1" si="79"/>
        <v>488.28</v>
      </c>
      <c r="D105" s="2230">
        <v>321.89</v>
      </c>
      <c r="E105" s="2230">
        <f t="shared" si="80"/>
        <v>288.20999999999998</v>
      </c>
      <c r="F105" s="2230">
        <f t="shared" si="81"/>
        <v>33.68</v>
      </c>
      <c r="G105" s="2230">
        <f t="shared" ca="1" si="82"/>
        <v>130.66999999999999</v>
      </c>
      <c r="H105" s="2230">
        <f t="shared" ca="1" si="83"/>
        <v>35.72</v>
      </c>
      <c r="J105" s="2264"/>
      <c r="K105" s="2265">
        <f t="shared" ca="1" si="55"/>
        <v>488.28</v>
      </c>
      <c r="L105" s="2265">
        <f t="shared" ca="1" si="56"/>
        <v>200.07</v>
      </c>
      <c r="N105" s="2091" t="str">
        <f t="shared" si="84"/>
        <v>Командировочные расходы</v>
      </c>
    </row>
    <row r="106" spans="2:14">
      <c r="B106" s="2270" t="s">
        <v>1344</v>
      </c>
      <c r="C106" s="2267">
        <f t="shared" ca="1" si="79"/>
        <v>501.03000000000003</v>
      </c>
      <c r="D106" s="2230">
        <v>330.62</v>
      </c>
      <c r="E106" s="2230">
        <f t="shared" si="80"/>
        <v>296.02</v>
      </c>
      <c r="F106" s="2230">
        <f t="shared" si="81"/>
        <v>34.6</v>
      </c>
      <c r="G106" s="2230">
        <f t="shared" ca="1" si="82"/>
        <v>133.99</v>
      </c>
      <c r="H106" s="2230">
        <f t="shared" ca="1" si="83"/>
        <v>36.42</v>
      </c>
      <c r="J106" s="2264"/>
      <c r="K106" s="2265">
        <f t="shared" ca="1" si="55"/>
        <v>501.03000000000003</v>
      </c>
      <c r="L106" s="2265">
        <f t="shared" ca="1" si="56"/>
        <v>205.01000000000005</v>
      </c>
      <c r="N106" s="2091" t="str">
        <f t="shared" si="84"/>
        <v>Командировочные расходы</v>
      </c>
    </row>
    <row r="107" spans="2:14">
      <c r="B107" s="2268" t="s">
        <v>1491</v>
      </c>
      <c r="C107" s="2263">
        <f ca="1">SUM(C108:C112)</f>
        <v>850.06999999999994</v>
      </c>
      <c r="D107" s="2263">
        <f t="shared" ref="D107:H107" si="85">SUM(D108:D112)</f>
        <v>531.61999999999989</v>
      </c>
      <c r="E107" s="2263">
        <f t="shared" si="85"/>
        <v>475.99</v>
      </c>
      <c r="F107" s="2263">
        <f t="shared" si="85"/>
        <v>55.629999999999995</v>
      </c>
      <c r="G107" s="2263">
        <f t="shared" ca="1" si="85"/>
        <v>187.79000000000002</v>
      </c>
      <c r="H107" s="2263">
        <f t="shared" ca="1" si="85"/>
        <v>130.66</v>
      </c>
      <c r="J107" s="2264"/>
      <c r="K107" s="2265">
        <f t="shared" ca="1" si="55"/>
        <v>850.06999999999994</v>
      </c>
      <c r="L107" s="2265">
        <f t="shared" ca="1" si="56"/>
        <v>374.07999999999993</v>
      </c>
      <c r="N107" s="2261"/>
    </row>
    <row r="108" spans="2:14">
      <c r="B108" s="2270" t="s">
        <v>1345</v>
      </c>
      <c r="C108" s="2267">
        <f t="shared" ca="1" si="79"/>
        <v>4.3999999999999995</v>
      </c>
      <c r="D108" s="2230">
        <v>2.48</v>
      </c>
      <c r="E108" s="2230">
        <f t="shared" si="80"/>
        <v>2.2200000000000002</v>
      </c>
      <c r="F108" s="2230">
        <f t="shared" ref="F108:F112" si="86">ROUND(D108*$N$4,2)</f>
        <v>0.26</v>
      </c>
      <c r="G108" s="2230">
        <f t="shared" ca="1" si="82"/>
        <v>1.54</v>
      </c>
      <c r="H108" s="2230">
        <f t="shared" ca="1" si="83"/>
        <v>0.38</v>
      </c>
      <c r="J108" s="2264"/>
      <c r="K108" s="2265">
        <f t="shared" ca="1" si="55"/>
        <v>4.3999999999999995</v>
      </c>
      <c r="L108" s="2265">
        <f t="shared" ca="1" si="56"/>
        <v>2.1799999999999993</v>
      </c>
      <c r="N108" s="2091" t="str">
        <f t="shared" si="84"/>
        <v>Командировочные расходы</v>
      </c>
    </row>
    <row r="109" spans="2:14">
      <c r="B109" s="2270" t="s">
        <v>1346</v>
      </c>
      <c r="C109" s="2267">
        <f t="shared" ca="1" si="79"/>
        <v>0.33999999999999997</v>
      </c>
      <c r="D109" s="2230">
        <v>0.19</v>
      </c>
      <c r="E109" s="2230">
        <f t="shared" si="80"/>
        <v>0.17</v>
      </c>
      <c r="F109" s="2230">
        <f t="shared" si="86"/>
        <v>0.02</v>
      </c>
      <c r="G109" s="2230">
        <f t="shared" ca="1" si="82"/>
        <v>0.12</v>
      </c>
      <c r="H109" s="2230">
        <f t="shared" ca="1" si="83"/>
        <v>0.03</v>
      </c>
      <c r="J109" s="2264"/>
      <c r="K109" s="2265">
        <f t="shared" ca="1" si="55"/>
        <v>0.33999999999999997</v>
      </c>
      <c r="L109" s="2265">
        <f t="shared" ca="1" si="56"/>
        <v>0.16999999999999996</v>
      </c>
      <c r="N109" s="2091" t="str">
        <f t="shared" si="84"/>
        <v>Командировочные расходы</v>
      </c>
    </row>
    <row r="110" spans="2:14">
      <c r="B110" s="2270" t="s">
        <v>1347</v>
      </c>
      <c r="C110" s="2267">
        <f t="shared" ca="1" si="79"/>
        <v>6.69</v>
      </c>
      <c r="D110" s="2230">
        <v>4.4800000000000004</v>
      </c>
      <c r="E110" s="2230">
        <f t="shared" si="80"/>
        <v>4.01</v>
      </c>
      <c r="F110" s="2230">
        <f t="shared" si="86"/>
        <v>0.47</v>
      </c>
      <c r="G110" s="2230">
        <f t="shared" ca="1" si="82"/>
        <v>1.57</v>
      </c>
      <c r="H110" s="2230">
        <f t="shared" ca="1" si="83"/>
        <v>0.64</v>
      </c>
      <c r="J110" s="2264"/>
      <c r="K110" s="2265">
        <f t="shared" ca="1" si="55"/>
        <v>6.69</v>
      </c>
      <c r="L110" s="2265">
        <f t="shared" ca="1" si="56"/>
        <v>2.6800000000000006</v>
      </c>
      <c r="N110" s="2091" t="str">
        <f t="shared" si="84"/>
        <v>Командировочные расходы</v>
      </c>
    </row>
    <row r="111" spans="2:14">
      <c r="B111" s="2270" t="s">
        <v>1348</v>
      </c>
      <c r="C111" s="2267">
        <f t="shared" ca="1" si="79"/>
        <v>407.51</v>
      </c>
      <c r="D111" s="2230">
        <v>265.07</v>
      </c>
      <c r="E111" s="2230">
        <f t="shared" si="80"/>
        <v>237.33</v>
      </c>
      <c r="F111" s="2230">
        <f t="shared" si="86"/>
        <v>27.74</v>
      </c>
      <c r="G111" s="2230">
        <f t="shared" ca="1" si="82"/>
        <v>93.01</v>
      </c>
      <c r="H111" s="2230">
        <f t="shared" ca="1" si="83"/>
        <v>49.43</v>
      </c>
      <c r="J111" s="2264"/>
      <c r="K111" s="2265">
        <f t="shared" ca="1" si="55"/>
        <v>407.51</v>
      </c>
      <c r="L111" s="2265">
        <f t="shared" ca="1" si="56"/>
        <v>170.17999999999998</v>
      </c>
      <c r="N111" s="2091" t="str">
        <f t="shared" si="84"/>
        <v>Командировочные расходы</v>
      </c>
    </row>
    <row r="112" spans="2:14">
      <c r="B112" s="2270" t="s">
        <v>1349</v>
      </c>
      <c r="C112" s="2267">
        <f t="shared" ca="1" si="79"/>
        <v>431.13</v>
      </c>
      <c r="D112" s="2230">
        <v>259.39999999999998</v>
      </c>
      <c r="E112" s="2230">
        <f t="shared" si="80"/>
        <v>232.26</v>
      </c>
      <c r="F112" s="2230">
        <f t="shared" si="86"/>
        <v>27.14</v>
      </c>
      <c r="G112" s="2230">
        <f t="shared" ca="1" si="82"/>
        <v>91.55</v>
      </c>
      <c r="H112" s="2230">
        <f t="shared" ca="1" si="83"/>
        <v>80.180000000000007</v>
      </c>
      <c r="J112" s="2264"/>
      <c r="K112" s="2265">
        <f t="shared" ca="1" si="55"/>
        <v>431.13</v>
      </c>
      <c r="L112" s="2265">
        <f t="shared" ca="1" si="56"/>
        <v>198.87</v>
      </c>
      <c r="N112" s="2091" t="str">
        <f t="shared" si="84"/>
        <v>Командировочные расходы</v>
      </c>
    </row>
    <row r="113" spans="2:14">
      <c r="B113" s="2268" t="s">
        <v>1492</v>
      </c>
      <c r="C113" s="2263">
        <f ca="1">SUM(C114:C119)</f>
        <v>21394.359999999997</v>
      </c>
      <c r="D113" s="2263">
        <f t="shared" ref="D113:H113" si="87">SUM(D114:D119)</f>
        <v>11174.96</v>
      </c>
      <c r="E113" s="2263">
        <f t="shared" si="87"/>
        <v>10005.58</v>
      </c>
      <c r="F113" s="2263">
        <f t="shared" si="87"/>
        <v>1169.3799999999999</v>
      </c>
      <c r="G113" s="2263">
        <f t="shared" ca="1" si="87"/>
        <v>8396.2099999999991</v>
      </c>
      <c r="H113" s="2263">
        <f t="shared" ca="1" si="87"/>
        <v>1823.1899999999998</v>
      </c>
      <c r="J113" s="2264"/>
      <c r="K113" s="2265">
        <f t="shared" ca="1" si="55"/>
        <v>21394.359999999997</v>
      </c>
      <c r="L113" s="2265">
        <f t="shared" ca="1" si="56"/>
        <v>11388.779999999997</v>
      </c>
      <c r="N113" s="2261"/>
    </row>
    <row r="114" spans="2:14" ht="51.75" customHeight="1">
      <c r="B114" s="2270" t="s">
        <v>1324</v>
      </c>
      <c r="C114" s="2267">
        <f t="shared" ca="1" si="79"/>
        <v>95.52</v>
      </c>
      <c r="D114" s="2230">
        <v>76.64</v>
      </c>
      <c r="E114" s="2230">
        <f t="shared" si="80"/>
        <v>68.62</v>
      </c>
      <c r="F114" s="2230">
        <f t="shared" ref="F114:F121" si="88">ROUND(D114*$N$4,2)</f>
        <v>8.02</v>
      </c>
      <c r="G114" s="2230">
        <f t="shared" ca="1" si="82"/>
        <v>9.5500000000000007</v>
      </c>
      <c r="H114" s="2230">
        <f t="shared" ca="1" si="83"/>
        <v>9.33</v>
      </c>
      <c r="J114" s="2264"/>
      <c r="K114" s="2265">
        <f t="shared" ca="1" si="55"/>
        <v>95.52</v>
      </c>
      <c r="L114" s="2265">
        <f t="shared" ca="1" si="56"/>
        <v>26.899999999999991</v>
      </c>
      <c r="N114" s="2091" t="str">
        <f>$B$196</f>
        <v xml:space="preserve"> - налоги и сборы, уменьшающие налогооблагаемую базу на прибыль организаций, всего</v>
      </c>
    </row>
    <row r="115" spans="2:14" ht="45.75" customHeight="1">
      <c r="B115" s="2270" t="s">
        <v>1337</v>
      </c>
      <c r="C115" s="2267">
        <f t="shared" ca="1" si="79"/>
        <v>129.71</v>
      </c>
      <c r="D115" s="2230">
        <v>67.84</v>
      </c>
      <c r="E115" s="2230">
        <f t="shared" si="80"/>
        <v>60.74</v>
      </c>
      <c r="F115" s="2230">
        <f t="shared" si="88"/>
        <v>7.1</v>
      </c>
      <c r="G115" s="2230">
        <f t="shared" ca="1" si="82"/>
        <v>53.44</v>
      </c>
      <c r="H115" s="2230">
        <f t="shared" ca="1" si="83"/>
        <v>8.43</v>
      </c>
      <c r="J115" s="2264"/>
      <c r="K115" s="2265">
        <f t="shared" ca="1" si="55"/>
        <v>129.71</v>
      </c>
      <c r="L115" s="2265">
        <f t="shared" ca="1" si="56"/>
        <v>68.97</v>
      </c>
      <c r="N115" s="2091" t="str">
        <f t="shared" ref="N115:N119" si="89">$B$196</f>
        <v xml:space="preserve"> - налоги и сборы, уменьшающие налогооблагаемую базу на прибыль организаций, всего</v>
      </c>
    </row>
    <row r="116" spans="2:14" ht="47.25" customHeight="1">
      <c r="B116" s="2270" t="s">
        <v>1361</v>
      </c>
      <c r="C116" s="2267">
        <f t="shared" ca="1" si="79"/>
        <v>19729.73</v>
      </c>
      <c r="D116" s="2230">
        <v>10388.83</v>
      </c>
      <c r="E116" s="2230">
        <f t="shared" si="80"/>
        <v>9301.7099999999991</v>
      </c>
      <c r="F116" s="2230">
        <f t="shared" si="88"/>
        <v>1087.1199999999999</v>
      </c>
      <c r="G116" s="2230">
        <f t="shared" ca="1" si="82"/>
        <v>8028.94</v>
      </c>
      <c r="H116" s="2230">
        <f t="shared" ca="1" si="83"/>
        <v>1311.96</v>
      </c>
      <c r="J116" s="2264"/>
      <c r="K116" s="2265">
        <f t="shared" ca="1" si="55"/>
        <v>19729.73</v>
      </c>
      <c r="L116" s="2265">
        <f t="shared" ca="1" si="56"/>
        <v>10428.02</v>
      </c>
      <c r="N116" s="2091" t="str">
        <f t="shared" si="89"/>
        <v xml:space="preserve"> - налоги и сборы, уменьшающие налогооблагаемую базу на прибыль организаций, всего</v>
      </c>
    </row>
    <row r="117" spans="2:14" ht="47.25" customHeight="1">
      <c r="B117" s="2270" t="s">
        <v>1412</v>
      </c>
      <c r="C117" s="2267">
        <f t="shared" ca="1" si="79"/>
        <v>1186.76</v>
      </c>
      <c r="D117" s="2230">
        <v>525.04</v>
      </c>
      <c r="E117" s="2230">
        <f t="shared" si="80"/>
        <v>470.1</v>
      </c>
      <c r="F117" s="2230">
        <f t="shared" si="88"/>
        <v>54.94</v>
      </c>
      <c r="G117" s="2230">
        <f t="shared" ca="1" si="82"/>
        <v>178.09</v>
      </c>
      <c r="H117" s="2230">
        <f t="shared" ca="1" si="83"/>
        <v>483.63</v>
      </c>
      <c r="J117" s="2264"/>
      <c r="K117" s="2265">
        <f t="shared" ca="1" si="55"/>
        <v>1186.76</v>
      </c>
      <c r="L117" s="2265">
        <f t="shared" ca="1" si="56"/>
        <v>716.66</v>
      </c>
      <c r="N117" s="2091" t="str">
        <f t="shared" si="89"/>
        <v xml:space="preserve"> - налоги и сборы, уменьшающие налогооблагаемую базу на прибыль организаций, всего</v>
      </c>
    </row>
    <row r="118" spans="2:14" ht="49.5" customHeight="1">
      <c r="B118" s="2270" t="s">
        <v>1457</v>
      </c>
      <c r="C118" s="2267">
        <f t="shared" ca="1" si="79"/>
        <v>39.26</v>
      </c>
      <c r="D118" s="2230">
        <v>23.6</v>
      </c>
      <c r="E118" s="2230">
        <f t="shared" si="80"/>
        <v>21.13</v>
      </c>
      <c r="F118" s="2230">
        <f t="shared" si="88"/>
        <v>2.4700000000000002</v>
      </c>
      <c r="G118" s="2230">
        <f t="shared" ca="1" si="82"/>
        <v>11.36</v>
      </c>
      <c r="H118" s="2230">
        <f t="shared" ca="1" si="83"/>
        <v>4.3</v>
      </c>
      <c r="J118" s="2264"/>
      <c r="K118" s="2265">
        <f t="shared" ca="1" si="55"/>
        <v>39.26</v>
      </c>
      <c r="L118" s="2265">
        <f t="shared" ca="1" si="56"/>
        <v>18.13</v>
      </c>
      <c r="N118" s="2091" t="str">
        <f t="shared" si="89"/>
        <v xml:space="preserve"> - налоги и сборы, уменьшающие налогооблагаемую базу на прибыль организаций, всего</v>
      </c>
    </row>
    <row r="119" spans="2:14" ht="45.75" customHeight="1">
      <c r="B119" s="2270" t="s">
        <v>1458</v>
      </c>
      <c r="C119" s="2267">
        <f t="shared" ca="1" si="79"/>
        <v>213.38</v>
      </c>
      <c r="D119" s="2230">
        <v>93.01</v>
      </c>
      <c r="E119" s="2230">
        <f t="shared" si="80"/>
        <v>83.28</v>
      </c>
      <c r="F119" s="2230">
        <f t="shared" si="88"/>
        <v>9.73</v>
      </c>
      <c r="G119" s="2230">
        <f t="shared" ca="1" si="82"/>
        <v>114.83</v>
      </c>
      <c r="H119" s="2230">
        <f t="shared" ca="1" si="83"/>
        <v>5.54</v>
      </c>
      <c r="J119" s="2264"/>
      <c r="K119" s="2265">
        <f t="shared" ca="1" si="55"/>
        <v>213.38</v>
      </c>
      <c r="L119" s="2265">
        <f t="shared" ca="1" si="56"/>
        <v>130.1</v>
      </c>
      <c r="N119" s="2091" t="str">
        <f t="shared" si="89"/>
        <v xml:space="preserve"> - налоги и сборы, уменьшающие налогооблагаемую базу на прибыль организаций, всего</v>
      </c>
    </row>
    <row r="120" spans="2:14" ht="36">
      <c r="B120" s="2271" t="s">
        <v>1428</v>
      </c>
      <c r="C120" s="2267">
        <f t="shared" ca="1" si="79"/>
        <v>165.65</v>
      </c>
      <c r="D120" s="2230">
        <v>86.53</v>
      </c>
      <c r="E120" s="2230">
        <f t="shared" si="80"/>
        <v>77.48</v>
      </c>
      <c r="F120" s="2230">
        <f t="shared" si="88"/>
        <v>9.0500000000000007</v>
      </c>
      <c r="G120" s="2230">
        <f t="shared" ca="1" si="82"/>
        <v>68.38</v>
      </c>
      <c r="H120" s="2230">
        <f t="shared" ca="1" si="83"/>
        <v>10.74</v>
      </c>
      <c r="J120" s="2264"/>
      <c r="K120" s="2265">
        <f t="shared" ca="1" si="55"/>
        <v>165.65</v>
      </c>
      <c r="L120" s="2265">
        <f t="shared" ca="1" si="56"/>
        <v>88.17</v>
      </c>
      <c r="N120" s="2091" t="str">
        <f>$B$225</f>
        <v>Услуги по организации функционирования и развитию ЕЭС России</v>
      </c>
    </row>
    <row r="121" spans="2:14" ht="36">
      <c r="B121" s="2271" t="s">
        <v>1460</v>
      </c>
      <c r="C121" s="2267">
        <f t="shared" ca="1" si="79"/>
        <v>139246.56</v>
      </c>
      <c r="D121" s="2230">
        <v>0</v>
      </c>
      <c r="E121" s="2230">
        <f t="shared" si="80"/>
        <v>0</v>
      </c>
      <c r="F121" s="2230">
        <f t="shared" si="88"/>
        <v>0</v>
      </c>
      <c r="G121" s="2230">
        <f t="shared" ca="1" si="82"/>
        <v>139246.56</v>
      </c>
      <c r="H121" s="2230">
        <f t="shared" ca="1" si="83"/>
        <v>0</v>
      </c>
      <c r="J121" s="2264"/>
      <c r="K121" s="2265">
        <f t="shared" ca="1" si="55"/>
        <v>139246.56</v>
      </c>
      <c r="L121" s="2265">
        <f t="shared" ca="1" si="56"/>
        <v>139246.56</v>
      </c>
      <c r="N121" s="2091" t="str">
        <f>$B$225</f>
        <v>Услуги по организации функционирования и развитию ЕЭС России</v>
      </c>
    </row>
    <row r="122" spans="2:14">
      <c r="B122" s="2268" t="s">
        <v>1493</v>
      </c>
      <c r="C122" s="2263">
        <f ca="1">SUM(C123,C132,C137,C140,C146,C150,C151,C152,C160,C161)</f>
        <v>21263.55</v>
      </c>
      <c r="D122" s="2263">
        <f t="shared" ref="D122:H122" si="90">SUM(D123,D132,D137,D140,D146,D150,D151,D152,D160,D161)</f>
        <v>12646.800000000001</v>
      </c>
      <c r="E122" s="2263">
        <f t="shared" si="90"/>
        <v>11323.410000000002</v>
      </c>
      <c r="F122" s="2263">
        <f t="shared" si="90"/>
        <v>1323.3899999999999</v>
      </c>
      <c r="G122" s="2263">
        <f t="shared" ca="1" si="90"/>
        <v>6956.86</v>
      </c>
      <c r="H122" s="2263">
        <f t="shared" ca="1" si="90"/>
        <v>1659.8899999999999</v>
      </c>
      <c r="J122" s="2264"/>
      <c r="K122" s="2265">
        <f t="shared" ca="1" si="55"/>
        <v>21263.55</v>
      </c>
      <c r="L122" s="2265">
        <f t="shared" ca="1" si="56"/>
        <v>9940.1399999999976</v>
      </c>
      <c r="N122" s="2261"/>
    </row>
    <row r="123" spans="2:14">
      <c r="B123" s="2268" t="s">
        <v>1494</v>
      </c>
      <c r="C123" s="2263">
        <f ca="1">SUM(C124:C131)</f>
        <v>1119.0200000000002</v>
      </c>
      <c r="D123" s="2263">
        <f t="shared" ref="D123:H123" si="91">SUM(D124:D131)</f>
        <v>655.35</v>
      </c>
      <c r="E123" s="2263">
        <f t="shared" si="91"/>
        <v>586.76999999999987</v>
      </c>
      <c r="F123" s="2263">
        <f t="shared" si="91"/>
        <v>68.58</v>
      </c>
      <c r="G123" s="2263">
        <f t="shared" ca="1" si="91"/>
        <v>301.27999999999997</v>
      </c>
      <c r="H123" s="2263">
        <f t="shared" ca="1" si="91"/>
        <v>162.39000000000001</v>
      </c>
      <c r="J123" s="2264"/>
      <c r="K123" s="2265">
        <f t="shared" ca="1" si="55"/>
        <v>1119.0200000000002</v>
      </c>
      <c r="L123" s="2265">
        <f t="shared" ca="1" si="56"/>
        <v>532.25000000000034</v>
      </c>
      <c r="N123" s="2261"/>
    </row>
    <row r="124" spans="2:14">
      <c r="B124" s="2270" t="s">
        <v>1413</v>
      </c>
      <c r="C124" s="2267">
        <f t="shared" ref="C124:C182" ca="1" si="92">SUM(D124,G124:H124)</f>
        <v>46.59</v>
      </c>
      <c r="D124" s="2230">
        <v>28.35</v>
      </c>
      <c r="E124" s="2230">
        <f t="shared" ref="E124:E182" si="93">ROUND(D124*$M$4,2)</f>
        <v>25.38</v>
      </c>
      <c r="F124" s="2230">
        <f t="shared" ref="F124:F131" si="94">ROUND(D124*$N$4,2)</f>
        <v>2.97</v>
      </c>
      <c r="G124" s="2230">
        <f t="shared" ref="G124:G182" ca="1" si="95">SUMIF($B$262:$C$430,B124,$D$262:$D$430)</f>
        <v>12.32</v>
      </c>
      <c r="H124" s="2230">
        <f t="shared" ref="H124:H182" ca="1" si="96">SUMIF($B$435:$C$602,B124,$D$435:$D$602)</f>
        <v>5.92</v>
      </c>
      <c r="J124" s="2264"/>
      <c r="K124" s="2265">
        <f t="shared" ca="1" si="55"/>
        <v>46.59</v>
      </c>
      <c r="L124" s="2265">
        <f t="shared" ca="1" si="56"/>
        <v>21.210000000000004</v>
      </c>
      <c r="N124" s="2091" t="str">
        <f>$B$227</f>
        <v>прочие</v>
      </c>
    </row>
    <row r="125" spans="2:14" ht="24">
      <c r="B125" s="2270" t="s">
        <v>1429</v>
      </c>
      <c r="C125" s="2267">
        <f t="shared" ca="1" si="92"/>
        <v>120.18</v>
      </c>
      <c r="D125" s="2230">
        <v>77.66</v>
      </c>
      <c r="E125" s="2230">
        <f t="shared" si="93"/>
        <v>69.53</v>
      </c>
      <c r="F125" s="2230">
        <f t="shared" si="94"/>
        <v>8.1300000000000008</v>
      </c>
      <c r="G125" s="2230">
        <f t="shared" ca="1" si="95"/>
        <v>7.64</v>
      </c>
      <c r="H125" s="2230">
        <f t="shared" ca="1" si="96"/>
        <v>34.880000000000003</v>
      </c>
      <c r="J125" s="2264"/>
      <c r="K125" s="2265">
        <f t="shared" ca="1" si="55"/>
        <v>120.18</v>
      </c>
      <c r="L125" s="2265">
        <f t="shared" ca="1" si="56"/>
        <v>50.650000000000006</v>
      </c>
      <c r="N125" s="2091" t="str">
        <f t="shared" ref="N125:N131" si="97">$B$227</f>
        <v>прочие</v>
      </c>
    </row>
    <row r="126" spans="2:14" ht="24">
      <c r="B126" s="2270" t="s">
        <v>1430</v>
      </c>
      <c r="C126" s="2267">
        <f t="shared" ca="1" si="92"/>
        <v>398.92</v>
      </c>
      <c r="D126" s="2230">
        <v>304.24</v>
      </c>
      <c r="E126" s="2230">
        <f t="shared" si="93"/>
        <v>272.39999999999998</v>
      </c>
      <c r="F126" s="2230">
        <f t="shared" si="94"/>
        <v>31.84</v>
      </c>
      <c r="G126" s="2230">
        <f t="shared" ca="1" si="95"/>
        <v>68.040000000000006</v>
      </c>
      <c r="H126" s="2230">
        <f t="shared" ca="1" si="96"/>
        <v>26.64</v>
      </c>
      <c r="J126" s="2264"/>
      <c r="K126" s="2265">
        <f t="shared" ca="1" si="55"/>
        <v>398.92</v>
      </c>
      <c r="L126" s="2265">
        <f t="shared" ca="1" si="56"/>
        <v>126.52000000000004</v>
      </c>
      <c r="N126" s="2091" t="str">
        <f t="shared" si="97"/>
        <v>прочие</v>
      </c>
    </row>
    <row r="127" spans="2:14">
      <c r="B127" s="2270" t="s">
        <v>1431</v>
      </c>
      <c r="C127" s="2267">
        <f t="shared" ca="1" si="92"/>
        <v>393.06</v>
      </c>
      <c r="D127" s="2230">
        <v>201.95</v>
      </c>
      <c r="E127" s="2230">
        <f t="shared" si="93"/>
        <v>180.82</v>
      </c>
      <c r="F127" s="2230">
        <f t="shared" si="94"/>
        <v>21.13</v>
      </c>
      <c r="G127" s="2230">
        <f t="shared" ca="1" si="95"/>
        <v>182.31</v>
      </c>
      <c r="H127" s="2230">
        <f t="shared" ca="1" si="96"/>
        <v>8.8000000000000007</v>
      </c>
      <c r="J127" s="2264"/>
      <c r="K127" s="2265">
        <f t="shared" ca="1" si="55"/>
        <v>393.06</v>
      </c>
      <c r="L127" s="2265">
        <f t="shared" ca="1" si="56"/>
        <v>212.24</v>
      </c>
      <c r="N127" s="2091" t="str">
        <f t="shared" si="97"/>
        <v>прочие</v>
      </c>
    </row>
    <row r="128" spans="2:14">
      <c r="B128" s="2270" t="s">
        <v>1432</v>
      </c>
      <c r="C128" s="2267">
        <f t="shared" ca="1" si="92"/>
        <v>19.62</v>
      </c>
      <c r="D128" s="2230">
        <v>8.5500000000000007</v>
      </c>
      <c r="E128" s="2230">
        <f t="shared" si="93"/>
        <v>7.66</v>
      </c>
      <c r="F128" s="2230">
        <f t="shared" si="94"/>
        <v>0.89</v>
      </c>
      <c r="G128" s="2230">
        <f t="shared" ca="1" si="95"/>
        <v>10.56</v>
      </c>
      <c r="H128" s="2230">
        <f t="shared" ca="1" si="96"/>
        <v>0.51</v>
      </c>
      <c r="J128" s="2264"/>
      <c r="K128" s="2265">
        <f t="shared" ca="1" si="55"/>
        <v>19.62</v>
      </c>
      <c r="L128" s="2265">
        <f t="shared" ca="1" si="56"/>
        <v>11.96</v>
      </c>
      <c r="N128" s="2091" t="str">
        <f t="shared" si="97"/>
        <v>прочие</v>
      </c>
    </row>
    <row r="129" spans="2:14" ht="24">
      <c r="B129" s="2270" t="s">
        <v>1434</v>
      </c>
      <c r="C129" s="2267">
        <f t="shared" ca="1" si="92"/>
        <v>5.6999999999999993</v>
      </c>
      <c r="D129" s="2230">
        <v>2.76</v>
      </c>
      <c r="E129" s="2230">
        <f t="shared" si="93"/>
        <v>2.4700000000000002</v>
      </c>
      <c r="F129" s="2230">
        <f t="shared" si="94"/>
        <v>0.28999999999999998</v>
      </c>
      <c r="G129" s="2230">
        <f t="shared" ca="1" si="95"/>
        <v>1.44</v>
      </c>
      <c r="H129" s="2230">
        <f t="shared" ca="1" si="96"/>
        <v>1.5</v>
      </c>
      <c r="J129" s="2264"/>
      <c r="K129" s="2265">
        <f t="shared" ca="1" si="55"/>
        <v>5.6999999999999993</v>
      </c>
      <c r="L129" s="2265">
        <f t="shared" ca="1" si="56"/>
        <v>3.2299999999999991</v>
      </c>
      <c r="N129" s="2091" t="str">
        <f t="shared" si="97"/>
        <v>прочие</v>
      </c>
    </row>
    <row r="130" spans="2:14" ht="24">
      <c r="B130" s="2270" t="s">
        <v>1435</v>
      </c>
      <c r="C130" s="2267">
        <f t="shared" ca="1" si="92"/>
        <v>131.28</v>
      </c>
      <c r="D130" s="2230">
        <v>29.71</v>
      </c>
      <c r="E130" s="2230">
        <f t="shared" si="93"/>
        <v>26.6</v>
      </c>
      <c r="F130" s="2230">
        <f t="shared" si="94"/>
        <v>3.11</v>
      </c>
      <c r="G130" s="2230">
        <f t="shared" ca="1" si="95"/>
        <v>17.89</v>
      </c>
      <c r="H130" s="2230">
        <f t="shared" ca="1" si="96"/>
        <v>83.68</v>
      </c>
      <c r="J130" s="2264"/>
      <c r="K130" s="2265">
        <f t="shared" ca="1" si="55"/>
        <v>131.28</v>
      </c>
      <c r="L130" s="2265">
        <f t="shared" ca="1" si="56"/>
        <v>104.68</v>
      </c>
      <c r="N130" s="2091" t="str">
        <f t="shared" si="97"/>
        <v>прочие</v>
      </c>
    </row>
    <row r="131" spans="2:14">
      <c r="B131" s="2270" t="s">
        <v>1455</v>
      </c>
      <c r="C131" s="2267">
        <f t="shared" ca="1" si="92"/>
        <v>3.67</v>
      </c>
      <c r="D131" s="2230">
        <v>2.13</v>
      </c>
      <c r="E131" s="2230">
        <f t="shared" si="93"/>
        <v>1.91</v>
      </c>
      <c r="F131" s="2230">
        <f t="shared" si="94"/>
        <v>0.22</v>
      </c>
      <c r="G131" s="2230">
        <f t="shared" ca="1" si="95"/>
        <v>1.08</v>
      </c>
      <c r="H131" s="2230">
        <f t="shared" ca="1" si="96"/>
        <v>0.46</v>
      </c>
      <c r="J131" s="2264"/>
      <c r="K131" s="2265">
        <f t="shared" ca="1" si="55"/>
        <v>3.67</v>
      </c>
      <c r="L131" s="2265">
        <f t="shared" ca="1" si="56"/>
        <v>1.76</v>
      </c>
      <c r="N131" s="2091" t="str">
        <f t="shared" si="97"/>
        <v>прочие</v>
      </c>
    </row>
    <row r="132" spans="2:14">
      <c r="B132" s="2268" t="s">
        <v>1495</v>
      </c>
      <c r="C132" s="2263">
        <f ca="1">SUM(C133:C136)</f>
        <v>1150.48</v>
      </c>
      <c r="D132" s="2263">
        <f t="shared" ref="D132:H132" si="98">SUM(D133:D136)</f>
        <v>713.13</v>
      </c>
      <c r="E132" s="2263">
        <f t="shared" si="98"/>
        <v>638.5100000000001</v>
      </c>
      <c r="F132" s="2263">
        <f t="shared" si="98"/>
        <v>74.62</v>
      </c>
      <c r="G132" s="2263">
        <f t="shared" ca="1" si="98"/>
        <v>377.07</v>
      </c>
      <c r="H132" s="2263">
        <f t="shared" ca="1" si="98"/>
        <v>60.279999999999994</v>
      </c>
      <c r="J132" s="2264"/>
      <c r="K132" s="2265">
        <f t="shared" ca="1" si="55"/>
        <v>1150.48</v>
      </c>
      <c r="L132" s="2265">
        <f t="shared" ca="1" si="56"/>
        <v>511.96999999999991</v>
      </c>
      <c r="N132" s="2261"/>
    </row>
    <row r="133" spans="2:14" ht="24">
      <c r="B133" s="2270" t="s">
        <v>1419</v>
      </c>
      <c r="C133" s="2267">
        <f t="shared" ca="1" si="92"/>
        <v>241.1</v>
      </c>
      <c r="D133" s="2230">
        <v>143.75</v>
      </c>
      <c r="E133" s="2230">
        <f t="shared" si="93"/>
        <v>128.71</v>
      </c>
      <c r="F133" s="2230">
        <f t="shared" ref="F133:F136" si="99">ROUND(D133*$N$4,2)</f>
        <v>15.04</v>
      </c>
      <c r="G133" s="2230">
        <f t="shared" ca="1" si="95"/>
        <v>75.41</v>
      </c>
      <c r="H133" s="2230">
        <f t="shared" ca="1" si="96"/>
        <v>21.94</v>
      </c>
      <c r="J133" s="2264"/>
      <c r="K133" s="2265">
        <f t="shared" ca="1" si="55"/>
        <v>241.1</v>
      </c>
      <c r="L133" s="2265">
        <f t="shared" ca="1" si="56"/>
        <v>112.38999999999999</v>
      </c>
      <c r="N133" s="2091" t="str">
        <f>$B$224</f>
        <v>Услуги коммунального хозяйства</v>
      </c>
    </row>
    <row r="134" spans="2:14" ht="24">
      <c r="B134" s="2270" t="s">
        <v>1420</v>
      </c>
      <c r="C134" s="2267">
        <f t="shared" ca="1" si="92"/>
        <v>739.43</v>
      </c>
      <c r="D134" s="2230">
        <v>471.01</v>
      </c>
      <c r="E134" s="2230">
        <f t="shared" si="93"/>
        <v>421.72</v>
      </c>
      <c r="F134" s="2230">
        <f t="shared" si="99"/>
        <v>49.29</v>
      </c>
      <c r="G134" s="2230">
        <f t="shared" ca="1" si="95"/>
        <v>246.17</v>
      </c>
      <c r="H134" s="2230">
        <f t="shared" ca="1" si="96"/>
        <v>22.25</v>
      </c>
      <c r="J134" s="2264"/>
      <c r="K134" s="2265">
        <f t="shared" ca="1" si="55"/>
        <v>739.43</v>
      </c>
      <c r="L134" s="2265">
        <f t="shared" ca="1" si="56"/>
        <v>317.70999999999992</v>
      </c>
      <c r="N134" s="2091" t="str">
        <f t="shared" ref="N134:N136" si="100">$B$224</f>
        <v>Услуги коммунального хозяйства</v>
      </c>
    </row>
    <row r="135" spans="2:14" ht="24">
      <c r="B135" s="2270" t="s">
        <v>1421</v>
      </c>
      <c r="C135" s="2267">
        <f t="shared" ca="1" si="92"/>
        <v>71.949999999999989</v>
      </c>
      <c r="D135" s="2230">
        <v>39.65</v>
      </c>
      <c r="E135" s="2230">
        <f t="shared" si="93"/>
        <v>35.5</v>
      </c>
      <c r="F135" s="2230">
        <f t="shared" si="99"/>
        <v>4.1500000000000004</v>
      </c>
      <c r="G135" s="2230">
        <f t="shared" ca="1" si="95"/>
        <v>25.36</v>
      </c>
      <c r="H135" s="2230">
        <f t="shared" ca="1" si="96"/>
        <v>6.94</v>
      </c>
      <c r="J135" s="2264"/>
      <c r="K135" s="2265">
        <f t="shared" ca="1" si="55"/>
        <v>71.949999999999989</v>
      </c>
      <c r="L135" s="2265">
        <f t="shared" ca="1" si="56"/>
        <v>36.449999999999989</v>
      </c>
      <c r="N135" s="2091" t="str">
        <f t="shared" si="100"/>
        <v>Услуги коммунального хозяйства</v>
      </c>
    </row>
    <row r="136" spans="2:14" ht="24">
      <c r="B136" s="2270" t="s">
        <v>1422</v>
      </c>
      <c r="C136" s="2267">
        <f t="shared" ca="1" si="92"/>
        <v>98</v>
      </c>
      <c r="D136" s="2230">
        <v>58.72</v>
      </c>
      <c r="E136" s="2230">
        <f t="shared" si="93"/>
        <v>52.58</v>
      </c>
      <c r="F136" s="2230">
        <f t="shared" si="99"/>
        <v>6.14</v>
      </c>
      <c r="G136" s="2230">
        <f t="shared" ca="1" si="95"/>
        <v>30.13</v>
      </c>
      <c r="H136" s="2230">
        <f t="shared" ca="1" si="96"/>
        <v>9.15</v>
      </c>
      <c r="J136" s="2264"/>
      <c r="K136" s="2265">
        <f t="shared" ca="1" si="55"/>
        <v>98</v>
      </c>
      <c r="L136" s="2265">
        <f t="shared" ca="1" si="56"/>
        <v>45.42</v>
      </c>
      <c r="N136" s="2091" t="str">
        <f t="shared" si="100"/>
        <v>Услуги коммунального хозяйства</v>
      </c>
    </row>
    <row r="137" spans="2:14">
      <c r="B137" s="2268" t="s">
        <v>1496</v>
      </c>
      <c r="C137" s="2263">
        <f ca="1">SUM(C138:C139)</f>
        <v>606.99</v>
      </c>
      <c r="D137" s="2263">
        <f t="shared" ref="D137:H137" si="101">SUM(D138:D139)</f>
        <v>450.71000000000004</v>
      </c>
      <c r="E137" s="2263">
        <f t="shared" si="101"/>
        <v>403.55</v>
      </c>
      <c r="F137" s="2263">
        <f t="shared" si="101"/>
        <v>47.160000000000004</v>
      </c>
      <c r="G137" s="2263">
        <f t="shared" ca="1" si="101"/>
        <v>149.09</v>
      </c>
      <c r="H137" s="2263">
        <f t="shared" ca="1" si="101"/>
        <v>7.19</v>
      </c>
      <c r="J137" s="2264"/>
      <c r="K137" s="2265">
        <f t="shared" ca="1" si="55"/>
        <v>606.99</v>
      </c>
      <c r="L137" s="2265">
        <f t="shared" ca="1" si="56"/>
        <v>203.44</v>
      </c>
      <c r="N137" s="2261"/>
    </row>
    <row r="138" spans="2:14" ht="50.25" customHeight="1">
      <c r="B138" s="2270" t="s">
        <v>1423</v>
      </c>
      <c r="C138" s="2267">
        <f t="shared" ca="1" si="92"/>
        <v>277.02</v>
      </c>
      <c r="D138" s="2230">
        <v>120.74</v>
      </c>
      <c r="E138" s="2230">
        <f t="shared" si="93"/>
        <v>108.11</v>
      </c>
      <c r="F138" s="2230">
        <f t="shared" ref="F138:F139" si="102">ROUND(D138*$N$4,2)</f>
        <v>12.63</v>
      </c>
      <c r="G138" s="2230">
        <f t="shared" ca="1" si="95"/>
        <v>149.09</v>
      </c>
      <c r="H138" s="2230">
        <f t="shared" ca="1" si="96"/>
        <v>7.19</v>
      </c>
      <c r="J138" s="2264"/>
      <c r="K138" s="2265">
        <f t="shared" ref="K138:K182" ca="1" si="103">C138-J138</f>
        <v>277.02</v>
      </c>
      <c r="L138" s="2265">
        <f t="shared" ref="L138:L182" ca="1" si="104">C138-E138-J138</f>
        <v>168.90999999999997</v>
      </c>
      <c r="N138" s="2091" t="str">
        <f>$B$200</f>
        <v>расходы на информационное обслуживание, консультационные и юридические услуги</v>
      </c>
    </row>
    <row r="139" spans="2:14" ht="48" customHeight="1">
      <c r="B139" s="2270" t="s">
        <v>1424</v>
      </c>
      <c r="C139" s="2267">
        <f t="shared" ca="1" si="92"/>
        <v>329.97</v>
      </c>
      <c r="D139" s="2230">
        <v>329.97</v>
      </c>
      <c r="E139" s="2230">
        <f t="shared" si="93"/>
        <v>295.44</v>
      </c>
      <c r="F139" s="2230">
        <f t="shared" si="102"/>
        <v>34.53</v>
      </c>
      <c r="G139" s="2230">
        <f t="shared" ca="1" si="95"/>
        <v>0</v>
      </c>
      <c r="H139" s="2230">
        <f t="shared" ca="1" si="96"/>
        <v>0</v>
      </c>
      <c r="J139" s="2264"/>
      <c r="K139" s="2265">
        <f t="shared" ca="1" si="103"/>
        <v>329.97</v>
      </c>
      <c r="L139" s="2265">
        <f t="shared" ca="1" si="104"/>
        <v>34.53000000000003</v>
      </c>
      <c r="N139" s="2091" t="str">
        <f>$B$200</f>
        <v>расходы на информационное обслуживание, консультационные и юридические услуги</v>
      </c>
    </row>
    <row r="140" spans="2:14">
      <c r="B140" s="2268" t="s">
        <v>1497</v>
      </c>
      <c r="C140" s="2263">
        <f ca="1">SUM(C141:C145)</f>
        <v>7176.9400000000005</v>
      </c>
      <c r="D140" s="2263">
        <f t="shared" ref="D140:H140" si="105">SUM(D141:D145)</f>
        <v>4216.71</v>
      </c>
      <c r="E140" s="2263">
        <f t="shared" si="105"/>
        <v>3775.4600000000005</v>
      </c>
      <c r="F140" s="2263">
        <f t="shared" si="105"/>
        <v>441.25</v>
      </c>
      <c r="G140" s="2263">
        <f t="shared" ca="1" si="105"/>
        <v>2396.67</v>
      </c>
      <c r="H140" s="2263">
        <f t="shared" ca="1" si="105"/>
        <v>563.55999999999995</v>
      </c>
      <c r="J140" s="2264"/>
      <c r="K140" s="2265">
        <f t="shared" ca="1" si="103"/>
        <v>7176.9400000000005</v>
      </c>
      <c r="L140" s="2265">
        <f t="shared" ca="1" si="104"/>
        <v>3401.48</v>
      </c>
      <c r="N140" s="2261"/>
    </row>
    <row r="141" spans="2:14" ht="44.25" customHeight="1">
      <c r="B141" s="2270" t="s">
        <v>1414</v>
      </c>
      <c r="C141" s="2267">
        <f t="shared" ca="1" si="92"/>
        <v>1730.0500000000002</v>
      </c>
      <c r="D141" s="2230">
        <v>1044.3800000000001</v>
      </c>
      <c r="E141" s="2230">
        <f t="shared" si="93"/>
        <v>935.09</v>
      </c>
      <c r="F141" s="2230">
        <f t="shared" ref="F141:F145" si="106">ROUND(D141*$N$4,2)</f>
        <v>109.29</v>
      </c>
      <c r="G141" s="2230">
        <f t="shared" ca="1" si="95"/>
        <v>540.04</v>
      </c>
      <c r="H141" s="2230">
        <f t="shared" ca="1" si="96"/>
        <v>145.63</v>
      </c>
      <c r="J141" s="2264"/>
      <c r="K141" s="2265">
        <f t="shared" ca="1" si="103"/>
        <v>1730.0500000000002</v>
      </c>
      <c r="L141" s="2265">
        <f t="shared" ca="1" si="104"/>
        <v>794.96000000000015</v>
      </c>
      <c r="N141" s="2091" t="str">
        <f t="shared" ref="N141:N145" si="107">$B$200</f>
        <v>расходы на информационное обслуживание, консультационные и юридические услуги</v>
      </c>
    </row>
    <row r="142" spans="2:14" ht="44.25" customHeight="1">
      <c r="B142" s="2270" t="s">
        <v>1415</v>
      </c>
      <c r="C142" s="2267">
        <f t="shared" ca="1" si="92"/>
        <v>111.67999999999999</v>
      </c>
      <c r="D142" s="2230">
        <v>66.33</v>
      </c>
      <c r="E142" s="2230">
        <f t="shared" si="93"/>
        <v>59.39</v>
      </c>
      <c r="F142" s="2230">
        <f t="shared" si="106"/>
        <v>6.94</v>
      </c>
      <c r="G142" s="2230">
        <f t="shared" ca="1" si="95"/>
        <v>36.49</v>
      </c>
      <c r="H142" s="2230">
        <f t="shared" ca="1" si="96"/>
        <v>8.86</v>
      </c>
      <c r="J142" s="2264"/>
      <c r="K142" s="2265">
        <f t="shared" ca="1" si="103"/>
        <v>111.67999999999999</v>
      </c>
      <c r="L142" s="2265">
        <f t="shared" ca="1" si="104"/>
        <v>52.289999999999992</v>
      </c>
      <c r="N142" s="2091" t="str">
        <f t="shared" si="107"/>
        <v>расходы на информационное обслуживание, консультационные и юридические услуги</v>
      </c>
    </row>
    <row r="143" spans="2:14" ht="47.25" customHeight="1">
      <c r="B143" s="2270" t="s">
        <v>1416</v>
      </c>
      <c r="C143" s="2267">
        <f t="shared" ca="1" si="92"/>
        <v>4297.84</v>
      </c>
      <c r="D143" s="2230">
        <v>2545.71</v>
      </c>
      <c r="E143" s="2230">
        <f t="shared" si="93"/>
        <v>2279.3200000000002</v>
      </c>
      <c r="F143" s="2230">
        <f t="shared" si="106"/>
        <v>266.39</v>
      </c>
      <c r="G143" s="2230">
        <f t="shared" ca="1" si="95"/>
        <v>1410.14</v>
      </c>
      <c r="H143" s="2230">
        <f t="shared" ca="1" si="96"/>
        <v>341.99</v>
      </c>
      <c r="J143" s="2264"/>
      <c r="K143" s="2265">
        <f t="shared" ca="1" si="103"/>
        <v>4297.84</v>
      </c>
      <c r="L143" s="2265">
        <f t="shared" ca="1" si="104"/>
        <v>2018.52</v>
      </c>
      <c r="N143" s="2091" t="str">
        <f t="shared" si="107"/>
        <v>расходы на информационное обслуживание, консультационные и юридические услуги</v>
      </c>
    </row>
    <row r="144" spans="2:14" ht="48" customHeight="1">
      <c r="B144" s="2270" t="s">
        <v>1417</v>
      </c>
      <c r="C144" s="2267">
        <f t="shared" ca="1" si="92"/>
        <v>373.75</v>
      </c>
      <c r="D144" s="2230">
        <v>206.16</v>
      </c>
      <c r="E144" s="2230">
        <f t="shared" si="93"/>
        <v>184.59</v>
      </c>
      <c r="F144" s="2230">
        <f t="shared" si="106"/>
        <v>21.57</v>
      </c>
      <c r="G144" s="2230">
        <f t="shared" ca="1" si="95"/>
        <v>143.28</v>
      </c>
      <c r="H144" s="2230">
        <f t="shared" ca="1" si="96"/>
        <v>24.31</v>
      </c>
      <c r="J144" s="2264"/>
      <c r="K144" s="2265">
        <f t="shared" ca="1" si="103"/>
        <v>373.75</v>
      </c>
      <c r="L144" s="2265">
        <f t="shared" ca="1" si="104"/>
        <v>189.16</v>
      </c>
      <c r="N144" s="2091" t="str">
        <f t="shared" si="107"/>
        <v>расходы на информационное обслуживание, консультационные и юридические услуги</v>
      </c>
    </row>
    <row r="145" spans="2:14" ht="51.75" customHeight="1">
      <c r="B145" s="2270" t="s">
        <v>1418</v>
      </c>
      <c r="C145" s="2267">
        <f t="shared" ca="1" si="92"/>
        <v>663.62</v>
      </c>
      <c r="D145" s="2230">
        <v>354.13</v>
      </c>
      <c r="E145" s="2230">
        <f t="shared" si="93"/>
        <v>317.07</v>
      </c>
      <c r="F145" s="2230">
        <f t="shared" si="106"/>
        <v>37.06</v>
      </c>
      <c r="G145" s="2230">
        <f t="shared" ca="1" si="95"/>
        <v>266.72000000000003</v>
      </c>
      <c r="H145" s="2230">
        <f t="shared" ca="1" si="96"/>
        <v>42.77</v>
      </c>
      <c r="J145" s="2264"/>
      <c r="K145" s="2265">
        <f t="shared" ca="1" si="103"/>
        <v>663.62</v>
      </c>
      <c r="L145" s="2265">
        <f t="shared" ca="1" si="104"/>
        <v>346.55</v>
      </c>
      <c r="N145" s="2091" t="str">
        <f t="shared" si="107"/>
        <v>расходы на информационное обслуживание, консультационные и юридические услуги</v>
      </c>
    </row>
    <row r="146" spans="2:14">
      <c r="B146" s="2268" t="s">
        <v>1498</v>
      </c>
      <c r="C146" s="2263">
        <f ca="1">SUM(C147:C149)</f>
        <v>2066.06</v>
      </c>
      <c r="D146" s="2263">
        <f t="shared" ref="D146:H146" si="108">SUM(D147:D149)</f>
        <v>1196.44</v>
      </c>
      <c r="E146" s="2263">
        <f t="shared" si="108"/>
        <v>1071.24</v>
      </c>
      <c r="F146" s="2263">
        <f t="shared" si="108"/>
        <v>125.2</v>
      </c>
      <c r="G146" s="2263">
        <f t="shared" ca="1" si="108"/>
        <v>729.29000000000008</v>
      </c>
      <c r="H146" s="2263">
        <f t="shared" ca="1" si="108"/>
        <v>140.33000000000001</v>
      </c>
      <c r="J146" s="2264"/>
      <c r="K146" s="2265">
        <f t="shared" ca="1" si="103"/>
        <v>2066.06</v>
      </c>
      <c r="L146" s="2265">
        <f t="shared" ca="1" si="104"/>
        <v>994.81999999999994</v>
      </c>
      <c r="N146" s="2261"/>
    </row>
    <row r="147" spans="2:14">
      <c r="B147" s="2270" t="s">
        <v>1365</v>
      </c>
      <c r="C147" s="2267">
        <f t="shared" ca="1" si="92"/>
        <v>1559.3600000000001</v>
      </c>
      <c r="D147" s="2230">
        <v>894.94</v>
      </c>
      <c r="E147" s="2230">
        <f t="shared" si="93"/>
        <v>801.29</v>
      </c>
      <c r="F147" s="2230">
        <f t="shared" ref="F147:F151" si="109">ROUND(D147*$N$4,2)</f>
        <v>93.65</v>
      </c>
      <c r="G147" s="2230">
        <f t="shared" ca="1" si="95"/>
        <v>562.72</v>
      </c>
      <c r="H147" s="2230">
        <f t="shared" ca="1" si="96"/>
        <v>101.7</v>
      </c>
      <c r="J147" s="2264"/>
      <c r="K147" s="2265">
        <f t="shared" ca="1" si="103"/>
        <v>1559.3600000000001</v>
      </c>
      <c r="L147" s="2265">
        <f t="shared" ca="1" si="104"/>
        <v>758.07000000000016</v>
      </c>
      <c r="N147" s="2091" t="str">
        <f>$B$221</f>
        <v>Повышение квалификации</v>
      </c>
    </row>
    <row r="148" spans="2:14">
      <c r="B148" s="2270" t="s">
        <v>1366</v>
      </c>
      <c r="C148" s="2267">
        <f t="shared" ca="1" si="92"/>
        <v>460.33999999999992</v>
      </c>
      <c r="D148" s="2230">
        <v>258.33999999999997</v>
      </c>
      <c r="E148" s="2230">
        <f t="shared" si="93"/>
        <v>231.31</v>
      </c>
      <c r="F148" s="2230">
        <f t="shared" si="109"/>
        <v>27.03</v>
      </c>
      <c r="G148" s="2230">
        <f t="shared" ca="1" si="95"/>
        <v>164.72</v>
      </c>
      <c r="H148" s="2230">
        <f t="shared" ca="1" si="96"/>
        <v>37.28</v>
      </c>
      <c r="J148" s="2264"/>
      <c r="K148" s="2265">
        <f t="shared" ca="1" si="103"/>
        <v>460.33999999999992</v>
      </c>
      <c r="L148" s="2265">
        <f t="shared" ca="1" si="104"/>
        <v>229.02999999999992</v>
      </c>
      <c r="N148" s="2091" t="str">
        <f t="shared" ref="N148:N149" si="110">$B$221</f>
        <v>Повышение квалификации</v>
      </c>
    </row>
    <row r="149" spans="2:14">
      <c r="B149" s="2270" t="s">
        <v>1367</v>
      </c>
      <c r="C149" s="2267">
        <f t="shared" ca="1" si="92"/>
        <v>46.36</v>
      </c>
      <c r="D149" s="2230">
        <v>43.16</v>
      </c>
      <c r="E149" s="2230">
        <f t="shared" si="93"/>
        <v>38.64</v>
      </c>
      <c r="F149" s="2230">
        <f t="shared" si="109"/>
        <v>4.5199999999999996</v>
      </c>
      <c r="G149" s="2230">
        <f t="shared" ca="1" si="95"/>
        <v>1.85</v>
      </c>
      <c r="H149" s="2230">
        <f t="shared" ca="1" si="96"/>
        <v>1.35</v>
      </c>
      <c r="J149" s="2264"/>
      <c r="K149" s="2265">
        <f t="shared" ca="1" si="103"/>
        <v>46.36</v>
      </c>
      <c r="L149" s="2265">
        <f t="shared" ca="1" si="104"/>
        <v>7.7199999999999989</v>
      </c>
      <c r="N149" s="2091" t="str">
        <f t="shared" si="110"/>
        <v>Повышение квалификации</v>
      </c>
    </row>
    <row r="150" spans="2:14" ht="24">
      <c r="B150" s="2270" t="s">
        <v>1444</v>
      </c>
      <c r="C150" s="2267">
        <f t="shared" ca="1" si="92"/>
        <v>284.77000000000004</v>
      </c>
      <c r="D150" s="2230">
        <v>177.93</v>
      </c>
      <c r="E150" s="2230">
        <f t="shared" si="93"/>
        <v>159.31</v>
      </c>
      <c r="F150" s="2230">
        <f t="shared" si="109"/>
        <v>18.62</v>
      </c>
      <c r="G150" s="2230">
        <f t="shared" ca="1" si="95"/>
        <v>84.54</v>
      </c>
      <c r="H150" s="2230">
        <f t="shared" ca="1" si="96"/>
        <v>22.3</v>
      </c>
      <c r="J150" s="2264"/>
      <c r="K150" s="2265">
        <f t="shared" ca="1" si="103"/>
        <v>284.77000000000004</v>
      </c>
      <c r="L150" s="2265">
        <f t="shared" ca="1" si="104"/>
        <v>125.46000000000004</v>
      </c>
      <c r="N150" s="2091" t="str">
        <f>$B$199</f>
        <v>расходы на охрану и пожарную безопасность</v>
      </c>
    </row>
    <row r="151" spans="2:14" ht="24">
      <c r="B151" s="2270" t="s">
        <v>1445</v>
      </c>
      <c r="C151" s="2267">
        <f t="shared" ca="1" si="92"/>
        <v>219.76999999999998</v>
      </c>
      <c r="D151" s="2230">
        <v>127.88</v>
      </c>
      <c r="E151" s="2230">
        <f t="shared" si="93"/>
        <v>114.5</v>
      </c>
      <c r="F151" s="2230">
        <f t="shared" si="109"/>
        <v>13.38</v>
      </c>
      <c r="G151" s="2230">
        <f t="shared" ca="1" si="95"/>
        <v>73.959999999999994</v>
      </c>
      <c r="H151" s="2230">
        <f t="shared" ca="1" si="96"/>
        <v>17.93</v>
      </c>
      <c r="J151" s="2264"/>
      <c r="K151" s="2265">
        <f t="shared" ca="1" si="103"/>
        <v>219.76999999999998</v>
      </c>
      <c r="L151" s="2265">
        <f t="shared" ca="1" si="104"/>
        <v>105.26999999999998</v>
      </c>
      <c r="N151" s="2091" t="str">
        <f>$B$199</f>
        <v>расходы на охрану и пожарную безопасность</v>
      </c>
    </row>
    <row r="152" spans="2:14">
      <c r="B152" s="2268" t="s">
        <v>1499</v>
      </c>
      <c r="C152" s="2263">
        <f ca="1">SUM(C153:C159)</f>
        <v>2943.2999999999997</v>
      </c>
      <c r="D152" s="2263">
        <f t="shared" ref="D152:H152" si="111">SUM(D153:D159)</f>
        <v>1745.6200000000001</v>
      </c>
      <c r="E152" s="2263">
        <f t="shared" si="111"/>
        <v>1562.9600000000003</v>
      </c>
      <c r="F152" s="2263">
        <f t="shared" si="111"/>
        <v>182.66</v>
      </c>
      <c r="G152" s="2263">
        <f t="shared" ca="1" si="111"/>
        <v>962.4</v>
      </c>
      <c r="H152" s="2263">
        <f t="shared" ca="1" si="111"/>
        <v>235.27999999999997</v>
      </c>
      <c r="J152" s="2264"/>
      <c r="K152" s="2265">
        <f t="shared" ca="1" si="103"/>
        <v>2943.2999999999997</v>
      </c>
      <c r="L152" s="2265">
        <f t="shared" ca="1" si="104"/>
        <v>1380.3399999999995</v>
      </c>
      <c r="N152" s="2261"/>
    </row>
    <row r="153" spans="2:14">
      <c r="B153" s="2270" t="s">
        <v>1447</v>
      </c>
      <c r="C153" s="2267">
        <f t="shared" ca="1" si="92"/>
        <v>1647.2800000000002</v>
      </c>
      <c r="D153" s="2230">
        <v>974.57</v>
      </c>
      <c r="E153" s="2230">
        <f t="shared" si="93"/>
        <v>872.59</v>
      </c>
      <c r="F153" s="2230">
        <f t="shared" ref="F153:F161" si="112">ROUND(D153*$N$4,2)</f>
        <v>101.98</v>
      </c>
      <c r="G153" s="2230">
        <f t="shared" ca="1" si="95"/>
        <v>540.83000000000004</v>
      </c>
      <c r="H153" s="2230">
        <f t="shared" ca="1" si="96"/>
        <v>131.88</v>
      </c>
      <c r="J153" s="2264"/>
      <c r="K153" s="2265">
        <f t="shared" ca="1" si="103"/>
        <v>1647.2800000000002</v>
      </c>
      <c r="L153" s="2265">
        <f t="shared" ca="1" si="104"/>
        <v>774.69000000000017</v>
      </c>
      <c r="N153" s="2091" t="str">
        <f>$B$198</f>
        <v>услуги связи</v>
      </c>
    </row>
    <row r="154" spans="2:14">
      <c r="B154" s="2270" t="s">
        <v>1448</v>
      </c>
      <c r="C154" s="2267">
        <f t="shared" ca="1" si="92"/>
        <v>386.71999999999997</v>
      </c>
      <c r="D154" s="2230">
        <v>231.06</v>
      </c>
      <c r="E154" s="2230">
        <f t="shared" si="93"/>
        <v>206.88</v>
      </c>
      <c r="F154" s="2230">
        <f t="shared" si="112"/>
        <v>24.18</v>
      </c>
      <c r="G154" s="2230">
        <f t="shared" ca="1" si="95"/>
        <v>124.71</v>
      </c>
      <c r="H154" s="2230">
        <f t="shared" ca="1" si="96"/>
        <v>30.95</v>
      </c>
      <c r="J154" s="2264"/>
      <c r="K154" s="2265">
        <f t="shared" ca="1" si="103"/>
        <v>386.71999999999997</v>
      </c>
      <c r="L154" s="2265">
        <f t="shared" ca="1" si="104"/>
        <v>179.83999999999997</v>
      </c>
      <c r="N154" s="2091" t="str">
        <f t="shared" ref="N154:N159" si="113">$B$198</f>
        <v>услуги связи</v>
      </c>
    </row>
    <row r="155" spans="2:14">
      <c r="B155" s="2270" t="s">
        <v>1449</v>
      </c>
      <c r="C155" s="2267">
        <f t="shared" ca="1" si="92"/>
        <v>29.4</v>
      </c>
      <c r="D155" s="2230">
        <v>17.22</v>
      </c>
      <c r="E155" s="2230">
        <f t="shared" si="93"/>
        <v>15.42</v>
      </c>
      <c r="F155" s="2230">
        <f t="shared" si="112"/>
        <v>1.8</v>
      </c>
      <c r="G155" s="2230">
        <f t="shared" ca="1" si="95"/>
        <v>9.8000000000000007</v>
      </c>
      <c r="H155" s="2230">
        <f t="shared" ca="1" si="96"/>
        <v>2.38</v>
      </c>
      <c r="J155" s="2264"/>
      <c r="K155" s="2265">
        <f t="shared" ca="1" si="103"/>
        <v>29.4</v>
      </c>
      <c r="L155" s="2265">
        <f t="shared" ca="1" si="104"/>
        <v>13.979999999999999</v>
      </c>
      <c r="N155" s="2091" t="str">
        <f t="shared" si="113"/>
        <v>услуги связи</v>
      </c>
    </row>
    <row r="156" spans="2:14">
      <c r="B156" s="2270" t="s">
        <v>1450</v>
      </c>
      <c r="C156" s="2267">
        <f t="shared" ca="1" si="92"/>
        <v>299.21999999999997</v>
      </c>
      <c r="D156" s="2230">
        <v>176.91</v>
      </c>
      <c r="E156" s="2230">
        <f t="shared" si="93"/>
        <v>158.4</v>
      </c>
      <c r="F156" s="2230">
        <f t="shared" si="112"/>
        <v>18.510000000000002</v>
      </c>
      <c r="G156" s="2230">
        <f t="shared" ca="1" si="95"/>
        <v>98.11</v>
      </c>
      <c r="H156" s="2230">
        <f t="shared" ca="1" si="96"/>
        <v>24.2</v>
      </c>
      <c r="J156" s="2264"/>
      <c r="K156" s="2265">
        <f t="shared" ca="1" si="103"/>
        <v>299.21999999999997</v>
      </c>
      <c r="L156" s="2265">
        <f t="shared" ca="1" si="104"/>
        <v>140.81999999999996</v>
      </c>
      <c r="N156" s="2091" t="str">
        <f t="shared" si="113"/>
        <v>услуги связи</v>
      </c>
    </row>
    <row r="157" spans="2:14">
      <c r="B157" s="2270" t="s">
        <v>1451</v>
      </c>
      <c r="C157" s="2267">
        <f t="shared" ca="1" si="92"/>
        <v>549.54</v>
      </c>
      <c r="D157" s="2230">
        <v>325.29000000000002</v>
      </c>
      <c r="E157" s="2230">
        <f t="shared" si="93"/>
        <v>291.25</v>
      </c>
      <c r="F157" s="2230">
        <f t="shared" si="112"/>
        <v>34.04</v>
      </c>
      <c r="G157" s="2230">
        <f t="shared" ca="1" si="95"/>
        <v>180.82</v>
      </c>
      <c r="H157" s="2230">
        <f t="shared" ca="1" si="96"/>
        <v>43.43</v>
      </c>
      <c r="J157" s="2264"/>
      <c r="K157" s="2265">
        <f t="shared" ca="1" si="103"/>
        <v>549.54</v>
      </c>
      <c r="L157" s="2265">
        <f t="shared" ca="1" si="104"/>
        <v>258.28999999999996</v>
      </c>
      <c r="N157" s="2091" t="str">
        <f t="shared" si="113"/>
        <v>услуги связи</v>
      </c>
    </row>
    <row r="158" spans="2:14">
      <c r="B158" s="2270" t="s">
        <v>1452</v>
      </c>
      <c r="C158" s="2267">
        <f t="shared" ca="1" si="92"/>
        <v>25.35</v>
      </c>
      <c r="D158" s="2230">
        <v>17.48</v>
      </c>
      <c r="E158" s="2230">
        <f t="shared" si="93"/>
        <v>15.65</v>
      </c>
      <c r="F158" s="2230">
        <f t="shared" si="112"/>
        <v>1.83</v>
      </c>
      <c r="G158" s="2230">
        <f t="shared" ca="1" si="95"/>
        <v>5.87</v>
      </c>
      <c r="H158" s="2230">
        <f t="shared" ca="1" si="96"/>
        <v>2</v>
      </c>
      <c r="J158" s="2264"/>
      <c r="K158" s="2265">
        <f t="shared" ca="1" si="103"/>
        <v>25.35</v>
      </c>
      <c r="L158" s="2265">
        <f t="shared" ca="1" si="104"/>
        <v>9.7000000000000011</v>
      </c>
      <c r="N158" s="2091" t="str">
        <f t="shared" si="113"/>
        <v>услуги связи</v>
      </c>
    </row>
    <row r="159" spans="2:14">
      <c r="B159" s="2270" t="s">
        <v>1453</v>
      </c>
      <c r="C159" s="2267">
        <f t="shared" ca="1" si="92"/>
        <v>5.79</v>
      </c>
      <c r="D159" s="2230">
        <v>3.09</v>
      </c>
      <c r="E159" s="2230">
        <f t="shared" si="93"/>
        <v>2.77</v>
      </c>
      <c r="F159" s="2230">
        <f t="shared" si="112"/>
        <v>0.32</v>
      </c>
      <c r="G159" s="2230">
        <f t="shared" ca="1" si="95"/>
        <v>2.2599999999999998</v>
      </c>
      <c r="H159" s="2230">
        <f t="shared" ca="1" si="96"/>
        <v>0.44</v>
      </c>
      <c r="J159" s="2264"/>
      <c r="K159" s="2265">
        <f t="shared" ca="1" si="103"/>
        <v>5.79</v>
      </c>
      <c r="L159" s="2265">
        <f t="shared" ca="1" si="104"/>
        <v>3.02</v>
      </c>
      <c r="N159" s="2091" t="str">
        <f t="shared" si="113"/>
        <v>услуги связи</v>
      </c>
    </row>
    <row r="160" spans="2:14">
      <c r="B160" s="2270" t="s">
        <v>1454</v>
      </c>
      <c r="C160" s="2267">
        <f t="shared" ca="1" si="92"/>
        <v>223.64</v>
      </c>
      <c r="D160" s="2230">
        <v>118.42</v>
      </c>
      <c r="E160" s="2230">
        <f t="shared" si="93"/>
        <v>106.03</v>
      </c>
      <c r="F160" s="2230">
        <f t="shared" si="112"/>
        <v>12.39</v>
      </c>
      <c r="G160" s="2230">
        <f t="shared" ca="1" si="95"/>
        <v>90.52</v>
      </c>
      <c r="H160" s="2230">
        <f t="shared" ca="1" si="96"/>
        <v>14.7</v>
      </c>
      <c r="J160" s="2264"/>
      <c r="K160" s="2265">
        <f t="shared" ca="1" si="103"/>
        <v>223.64</v>
      </c>
      <c r="L160" s="2265">
        <f t="shared" ca="1" si="104"/>
        <v>117.60999999999999</v>
      </c>
      <c r="N160" s="2091" t="str">
        <f>$B$223</f>
        <v xml:space="preserve">Услуги PR, СМИ, рекламы </v>
      </c>
    </row>
    <row r="161" spans="2:14" ht="24">
      <c r="B161" s="2270" t="s">
        <v>1456</v>
      </c>
      <c r="C161" s="2267">
        <f t="shared" ca="1" si="92"/>
        <v>5472.58</v>
      </c>
      <c r="D161" s="2230">
        <v>3244.61</v>
      </c>
      <c r="E161" s="2230">
        <f t="shared" si="93"/>
        <v>2905.08</v>
      </c>
      <c r="F161" s="2230">
        <f t="shared" si="112"/>
        <v>339.53</v>
      </c>
      <c r="G161" s="2230">
        <f t="shared" ca="1" si="95"/>
        <v>1792.04</v>
      </c>
      <c r="H161" s="2230">
        <f t="shared" ca="1" si="96"/>
        <v>435.93</v>
      </c>
      <c r="J161" s="2264"/>
      <c r="K161" s="2265">
        <f t="shared" ca="1" si="103"/>
        <v>5472.58</v>
      </c>
      <c r="L161" s="2265">
        <f t="shared" ca="1" si="104"/>
        <v>2567.5</v>
      </c>
      <c r="N161" s="2091" t="str">
        <f>$B$199</f>
        <v>расходы на охрану и пожарную безопасность</v>
      </c>
    </row>
    <row r="162" spans="2:14">
      <c r="B162" s="2268" t="s">
        <v>1500</v>
      </c>
      <c r="C162" s="2263">
        <f ca="1">SUM(C163:C182)</f>
        <v>1349112.04</v>
      </c>
      <c r="D162" s="2263">
        <f t="shared" ref="D162:H162" si="114">SUM(D163:D182)</f>
        <v>460358.23</v>
      </c>
      <c r="E162" s="2263">
        <f t="shared" si="114"/>
        <v>412184.76000000007</v>
      </c>
      <c r="F162" s="2263">
        <f t="shared" si="114"/>
        <v>48173.470000000008</v>
      </c>
      <c r="G162" s="2263">
        <f t="shared" ca="1" si="114"/>
        <v>14495.610000000004</v>
      </c>
      <c r="H162" s="2263">
        <f t="shared" ca="1" si="114"/>
        <v>874258.19999999984</v>
      </c>
      <c r="J162" s="2264"/>
      <c r="K162" s="2265">
        <f t="shared" ca="1" si="103"/>
        <v>1349112.04</v>
      </c>
      <c r="L162" s="2265">
        <f t="shared" ca="1" si="104"/>
        <v>936927.28</v>
      </c>
      <c r="N162" s="2261"/>
    </row>
    <row r="163" spans="2:14" ht="24">
      <c r="B163" s="2270" t="s">
        <v>1391</v>
      </c>
      <c r="C163" s="2267">
        <f t="shared" ca="1" si="92"/>
        <v>191121.16</v>
      </c>
      <c r="D163" s="2230">
        <v>69387.72</v>
      </c>
      <c r="E163" s="2230">
        <f t="shared" si="93"/>
        <v>62126.75</v>
      </c>
      <c r="F163" s="2230">
        <f t="shared" ref="F163:F182" si="115">ROUND(D163*$N$4,2)</f>
        <v>7260.97</v>
      </c>
      <c r="G163" s="2230">
        <f t="shared" ca="1" si="95"/>
        <v>1592.25</v>
      </c>
      <c r="H163" s="2230">
        <f t="shared" ca="1" si="96"/>
        <v>120141.19</v>
      </c>
      <c r="J163" s="2264"/>
      <c r="K163" s="2265">
        <f t="shared" ca="1" si="103"/>
        <v>191121.16</v>
      </c>
      <c r="L163" s="2265">
        <f t="shared" ca="1" si="104"/>
        <v>128994.41</v>
      </c>
      <c r="N163" s="2091" t="str">
        <f>$B$193</f>
        <v>Отчисления на страховые взносы</v>
      </c>
    </row>
    <row r="164" spans="2:14" ht="24">
      <c r="B164" s="2270" t="s">
        <v>1392</v>
      </c>
      <c r="C164" s="2267">
        <f t="shared" ca="1" si="92"/>
        <v>10784.04</v>
      </c>
      <c r="D164" s="2230">
        <v>451.32</v>
      </c>
      <c r="E164" s="2230">
        <f t="shared" si="93"/>
        <v>404.09</v>
      </c>
      <c r="F164" s="2230">
        <f t="shared" si="115"/>
        <v>47.23</v>
      </c>
      <c r="G164" s="2230">
        <f t="shared" ca="1" si="95"/>
        <v>530.46</v>
      </c>
      <c r="H164" s="2230">
        <f t="shared" ca="1" si="96"/>
        <v>9802.26</v>
      </c>
      <c r="J164" s="2264"/>
      <c r="K164" s="2265">
        <f t="shared" ca="1" si="103"/>
        <v>10784.04</v>
      </c>
      <c r="L164" s="2265">
        <f t="shared" ca="1" si="104"/>
        <v>10379.950000000001</v>
      </c>
      <c r="N164" s="2091" t="str">
        <f t="shared" ref="N164:N182" si="116">$B$193</f>
        <v>Отчисления на страховые взносы</v>
      </c>
    </row>
    <row r="165" spans="2:14" ht="24">
      <c r="B165" s="2270" t="s">
        <v>1393</v>
      </c>
      <c r="C165" s="2267">
        <f t="shared" ca="1" si="92"/>
        <v>6112.6900000000005</v>
      </c>
      <c r="D165" s="2230">
        <v>2140.5100000000002</v>
      </c>
      <c r="E165" s="2230">
        <f t="shared" si="93"/>
        <v>1916.52</v>
      </c>
      <c r="F165" s="2230">
        <f t="shared" si="115"/>
        <v>223.99</v>
      </c>
      <c r="G165" s="2230">
        <f t="shared" ca="1" si="95"/>
        <v>181.99</v>
      </c>
      <c r="H165" s="2230">
        <f t="shared" ca="1" si="96"/>
        <v>3790.19</v>
      </c>
      <c r="J165" s="2264"/>
      <c r="K165" s="2265">
        <f t="shared" ca="1" si="103"/>
        <v>6112.6900000000005</v>
      </c>
      <c r="L165" s="2265">
        <f t="shared" ca="1" si="104"/>
        <v>4196.17</v>
      </c>
      <c r="N165" s="2091" t="str">
        <f t="shared" si="116"/>
        <v>Отчисления на страховые взносы</v>
      </c>
    </row>
    <row r="166" spans="2:14" ht="24">
      <c r="B166" s="2270" t="s">
        <v>1394</v>
      </c>
      <c r="C166" s="2267">
        <f t="shared" ca="1" si="92"/>
        <v>4188</v>
      </c>
      <c r="D166" s="2230">
        <v>126.65</v>
      </c>
      <c r="E166" s="2230">
        <f t="shared" si="93"/>
        <v>113.4</v>
      </c>
      <c r="F166" s="2230">
        <f t="shared" si="115"/>
        <v>13.25</v>
      </c>
      <c r="G166" s="2230">
        <f t="shared" ca="1" si="95"/>
        <v>142.87</v>
      </c>
      <c r="H166" s="2230">
        <f t="shared" ca="1" si="96"/>
        <v>3918.48</v>
      </c>
      <c r="J166" s="2264"/>
      <c r="K166" s="2265">
        <f t="shared" ca="1" si="103"/>
        <v>4188</v>
      </c>
      <c r="L166" s="2265">
        <f t="shared" ca="1" si="104"/>
        <v>4074.6</v>
      </c>
      <c r="N166" s="2091" t="str">
        <f t="shared" si="116"/>
        <v>Отчисления на страховые взносы</v>
      </c>
    </row>
    <row r="167" spans="2:14" ht="24">
      <c r="B167" s="2270" t="s">
        <v>1395</v>
      </c>
      <c r="C167" s="2267">
        <f t="shared" ca="1" si="92"/>
        <v>15416.880000000001</v>
      </c>
      <c r="D167" s="2230">
        <v>5275.48</v>
      </c>
      <c r="E167" s="2230">
        <f t="shared" si="93"/>
        <v>4723.4399999999996</v>
      </c>
      <c r="F167" s="2230">
        <f t="shared" si="115"/>
        <v>552.04</v>
      </c>
      <c r="G167" s="2230">
        <f t="shared" ca="1" si="95"/>
        <v>114.3</v>
      </c>
      <c r="H167" s="2230">
        <f t="shared" ca="1" si="96"/>
        <v>10027.1</v>
      </c>
      <c r="J167" s="2264"/>
      <c r="K167" s="2265">
        <f t="shared" ca="1" si="103"/>
        <v>15416.880000000001</v>
      </c>
      <c r="L167" s="2265">
        <f t="shared" ca="1" si="104"/>
        <v>10693.440000000002</v>
      </c>
      <c r="N167" s="2091" t="str">
        <f t="shared" si="116"/>
        <v>Отчисления на страховые взносы</v>
      </c>
    </row>
    <row r="168" spans="2:14" ht="24">
      <c r="B168" s="2270" t="s">
        <v>1396</v>
      </c>
      <c r="C168" s="2267">
        <f t="shared" ca="1" si="92"/>
        <v>823764.56</v>
      </c>
      <c r="D168" s="2230">
        <v>298924.15000000002</v>
      </c>
      <c r="E168" s="2230">
        <f t="shared" si="93"/>
        <v>267643.69</v>
      </c>
      <c r="F168" s="2230">
        <f t="shared" si="115"/>
        <v>31280.46</v>
      </c>
      <c r="G168" s="2230">
        <f t="shared" ca="1" si="95"/>
        <v>6612.99</v>
      </c>
      <c r="H168" s="2230">
        <f t="shared" ca="1" si="96"/>
        <v>518227.42</v>
      </c>
      <c r="J168" s="2264"/>
      <c r="K168" s="2265">
        <f t="shared" ca="1" si="103"/>
        <v>823764.56</v>
      </c>
      <c r="L168" s="2265">
        <f t="shared" ca="1" si="104"/>
        <v>556120.87000000011</v>
      </c>
      <c r="N168" s="2091" t="str">
        <f t="shared" si="116"/>
        <v>Отчисления на страховые взносы</v>
      </c>
    </row>
    <row r="169" spans="2:14" ht="24">
      <c r="B169" s="2270" t="s">
        <v>1397</v>
      </c>
      <c r="C169" s="2267">
        <f t="shared" ca="1" si="92"/>
        <v>37407.51</v>
      </c>
      <c r="D169" s="2230">
        <v>1710.01</v>
      </c>
      <c r="E169" s="2230">
        <f t="shared" si="93"/>
        <v>1531.07</v>
      </c>
      <c r="F169" s="2230">
        <f t="shared" si="115"/>
        <v>178.94</v>
      </c>
      <c r="G169" s="2230">
        <f t="shared" ca="1" si="95"/>
        <v>2010.95</v>
      </c>
      <c r="H169" s="2230">
        <f t="shared" ca="1" si="96"/>
        <v>33686.550000000003</v>
      </c>
      <c r="J169" s="2264"/>
      <c r="K169" s="2265">
        <f t="shared" ca="1" si="103"/>
        <v>37407.51</v>
      </c>
      <c r="L169" s="2265">
        <f t="shared" ca="1" si="104"/>
        <v>35876.44</v>
      </c>
      <c r="N169" s="2091" t="str">
        <f t="shared" si="116"/>
        <v>Отчисления на страховые взносы</v>
      </c>
    </row>
    <row r="170" spans="2:14" ht="24">
      <c r="B170" s="2270" t="s">
        <v>1398</v>
      </c>
      <c r="C170" s="2267">
        <f t="shared" ca="1" si="92"/>
        <v>28228.92</v>
      </c>
      <c r="D170" s="2230">
        <v>9147.35</v>
      </c>
      <c r="E170" s="2230">
        <f t="shared" si="93"/>
        <v>8190.14</v>
      </c>
      <c r="F170" s="2230">
        <f t="shared" si="115"/>
        <v>957.21</v>
      </c>
      <c r="G170" s="2230">
        <f t="shared" ca="1" si="95"/>
        <v>691.75</v>
      </c>
      <c r="H170" s="2230">
        <f t="shared" ca="1" si="96"/>
        <v>18389.82</v>
      </c>
      <c r="J170" s="2264"/>
      <c r="K170" s="2265">
        <f t="shared" ca="1" si="103"/>
        <v>28228.92</v>
      </c>
      <c r="L170" s="2265">
        <f t="shared" ca="1" si="104"/>
        <v>20038.78</v>
      </c>
      <c r="N170" s="2091" t="str">
        <f t="shared" si="116"/>
        <v>Отчисления на страховые взносы</v>
      </c>
    </row>
    <row r="171" spans="2:14" ht="24">
      <c r="B171" s="2270" t="s">
        <v>1399</v>
      </c>
      <c r="C171" s="2267">
        <f t="shared" ca="1" si="92"/>
        <v>18066.47</v>
      </c>
      <c r="D171" s="2230">
        <v>546.49</v>
      </c>
      <c r="E171" s="2230">
        <f t="shared" si="93"/>
        <v>489.3</v>
      </c>
      <c r="F171" s="2230">
        <f t="shared" si="115"/>
        <v>57.19</v>
      </c>
      <c r="G171" s="2230">
        <f t="shared" ca="1" si="95"/>
        <v>616.5</v>
      </c>
      <c r="H171" s="2230">
        <f t="shared" ca="1" si="96"/>
        <v>16903.48</v>
      </c>
      <c r="J171" s="2264"/>
      <c r="K171" s="2265">
        <f t="shared" ca="1" si="103"/>
        <v>18066.47</v>
      </c>
      <c r="L171" s="2265">
        <f t="shared" ca="1" si="104"/>
        <v>17577.170000000002</v>
      </c>
      <c r="N171" s="2091" t="str">
        <f t="shared" si="116"/>
        <v>Отчисления на страховые взносы</v>
      </c>
    </row>
    <row r="172" spans="2:14" ht="24">
      <c r="B172" s="2270" t="s">
        <v>1400</v>
      </c>
      <c r="C172" s="2267">
        <f t="shared" ca="1" si="92"/>
        <v>66586.27</v>
      </c>
      <c r="D172" s="2230">
        <v>22720.59</v>
      </c>
      <c r="E172" s="2230">
        <f t="shared" si="93"/>
        <v>20343.03</v>
      </c>
      <c r="F172" s="2230">
        <f t="shared" si="115"/>
        <v>2377.56</v>
      </c>
      <c r="G172" s="2230">
        <f t="shared" ca="1" si="95"/>
        <v>467.61</v>
      </c>
      <c r="H172" s="2230">
        <f t="shared" ca="1" si="96"/>
        <v>43398.07</v>
      </c>
      <c r="J172" s="2264"/>
      <c r="K172" s="2265">
        <f t="shared" ca="1" si="103"/>
        <v>66586.27</v>
      </c>
      <c r="L172" s="2265">
        <f t="shared" ca="1" si="104"/>
        <v>46243.240000000005</v>
      </c>
      <c r="N172" s="2091" t="str">
        <f t="shared" si="116"/>
        <v>Отчисления на страховые взносы</v>
      </c>
    </row>
    <row r="173" spans="2:14" ht="24">
      <c r="B173" s="2270" t="s">
        <v>1401</v>
      </c>
      <c r="C173" s="2267">
        <f t="shared" ca="1" si="92"/>
        <v>14969.89</v>
      </c>
      <c r="D173" s="2230">
        <v>5426.39</v>
      </c>
      <c r="E173" s="2230">
        <f t="shared" si="93"/>
        <v>4858.55</v>
      </c>
      <c r="F173" s="2230">
        <f t="shared" si="115"/>
        <v>567.84</v>
      </c>
      <c r="G173" s="2230">
        <f t="shared" ca="1" si="95"/>
        <v>121.77</v>
      </c>
      <c r="H173" s="2230">
        <f t="shared" ca="1" si="96"/>
        <v>9421.73</v>
      </c>
      <c r="J173" s="2264"/>
      <c r="K173" s="2265">
        <f t="shared" ca="1" si="103"/>
        <v>14969.89</v>
      </c>
      <c r="L173" s="2265">
        <f t="shared" ca="1" si="104"/>
        <v>10111.34</v>
      </c>
      <c r="N173" s="2091" t="str">
        <f t="shared" si="116"/>
        <v>Отчисления на страховые взносы</v>
      </c>
    </row>
    <row r="174" spans="2:14" ht="24">
      <c r="B174" s="2270" t="s">
        <v>1402</v>
      </c>
      <c r="C174" s="2267">
        <f t="shared" ca="1" si="92"/>
        <v>845.71</v>
      </c>
      <c r="D174" s="2230">
        <v>35.340000000000003</v>
      </c>
      <c r="E174" s="2230">
        <f t="shared" si="93"/>
        <v>31.64</v>
      </c>
      <c r="F174" s="2230">
        <f t="shared" si="115"/>
        <v>3.7</v>
      </c>
      <c r="G174" s="2230">
        <f t="shared" ca="1" si="95"/>
        <v>41.63</v>
      </c>
      <c r="H174" s="2230">
        <f t="shared" ca="1" si="96"/>
        <v>768.74</v>
      </c>
      <c r="J174" s="2264"/>
      <c r="K174" s="2265">
        <f t="shared" ca="1" si="103"/>
        <v>845.71</v>
      </c>
      <c r="L174" s="2265">
        <f t="shared" ca="1" si="104"/>
        <v>814.07</v>
      </c>
      <c r="N174" s="2091" t="str">
        <f t="shared" si="116"/>
        <v>Отчисления на страховые взносы</v>
      </c>
    </row>
    <row r="175" spans="2:14" ht="24">
      <c r="B175" s="2270" t="s">
        <v>1403</v>
      </c>
      <c r="C175" s="2267">
        <f t="shared" ca="1" si="92"/>
        <v>538.6</v>
      </c>
      <c r="D175" s="2230">
        <v>168.74</v>
      </c>
      <c r="E175" s="2230">
        <f t="shared" si="93"/>
        <v>151.08000000000001</v>
      </c>
      <c r="F175" s="2230">
        <f t="shared" si="115"/>
        <v>17.66</v>
      </c>
      <c r="G175" s="2230">
        <f t="shared" ca="1" si="95"/>
        <v>15.36</v>
      </c>
      <c r="H175" s="2230">
        <f t="shared" ca="1" si="96"/>
        <v>354.5</v>
      </c>
      <c r="J175" s="2264"/>
      <c r="K175" s="2265">
        <f t="shared" ca="1" si="103"/>
        <v>538.6</v>
      </c>
      <c r="L175" s="2265">
        <f t="shared" ca="1" si="104"/>
        <v>387.52</v>
      </c>
      <c r="N175" s="2091" t="str">
        <f t="shared" si="116"/>
        <v>Отчисления на страховые взносы</v>
      </c>
    </row>
    <row r="176" spans="2:14" ht="24">
      <c r="B176" s="2270" t="s">
        <v>1404</v>
      </c>
      <c r="C176" s="2267">
        <f t="shared" ca="1" si="92"/>
        <v>328.24</v>
      </c>
      <c r="D176" s="2230">
        <v>9.8800000000000008</v>
      </c>
      <c r="E176" s="2230">
        <f t="shared" si="93"/>
        <v>8.85</v>
      </c>
      <c r="F176" s="2230">
        <f t="shared" si="115"/>
        <v>1.03</v>
      </c>
      <c r="G176" s="2230">
        <f t="shared" ca="1" si="95"/>
        <v>11.18</v>
      </c>
      <c r="H176" s="2230">
        <f t="shared" ca="1" si="96"/>
        <v>307.18</v>
      </c>
      <c r="J176" s="2264"/>
      <c r="K176" s="2265">
        <f t="shared" ca="1" si="103"/>
        <v>328.24</v>
      </c>
      <c r="L176" s="2265">
        <f t="shared" ca="1" si="104"/>
        <v>319.39</v>
      </c>
      <c r="N176" s="2091" t="str">
        <f t="shared" si="116"/>
        <v>Отчисления на страховые взносы</v>
      </c>
    </row>
    <row r="177" spans="1:14" ht="24">
      <c r="B177" s="2270" t="s">
        <v>1405</v>
      </c>
      <c r="C177" s="2267">
        <f t="shared" ca="1" si="92"/>
        <v>1201.19</v>
      </c>
      <c r="D177" s="2230">
        <v>412.61</v>
      </c>
      <c r="E177" s="2230">
        <f t="shared" si="93"/>
        <v>369.43</v>
      </c>
      <c r="F177" s="2230">
        <f t="shared" si="115"/>
        <v>43.18</v>
      </c>
      <c r="G177" s="2230">
        <f t="shared" ca="1" si="95"/>
        <v>7.87</v>
      </c>
      <c r="H177" s="2230">
        <f t="shared" ca="1" si="96"/>
        <v>780.71</v>
      </c>
      <c r="J177" s="2264"/>
      <c r="K177" s="2265">
        <f t="shared" ca="1" si="103"/>
        <v>1201.19</v>
      </c>
      <c r="L177" s="2265">
        <f t="shared" ca="1" si="104"/>
        <v>831.76</v>
      </c>
      <c r="N177" s="2091" t="str">
        <f t="shared" si="116"/>
        <v>Отчисления на страховые взносы</v>
      </c>
    </row>
    <row r="178" spans="1:14" ht="24">
      <c r="B178" s="2270" t="s">
        <v>1406</v>
      </c>
      <c r="C178" s="2267">
        <f t="shared" ca="1" si="92"/>
        <v>108479.61000000002</v>
      </c>
      <c r="D178" s="2230">
        <v>39359.980000000003</v>
      </c>
      <c r="E178" s="2230">
        <f t="shared" si="93"/>
        <v>35241.22</v>
      </c>
      <c r="F178" s="2230">
        <f t="shared" si="115"/>
        <v>4118.76</v>
      </c>
      <c r="G178" s="2230">
        <f t="shared" ca="1" si="95"/>
        <v>814.42</v>
      </c>
      <c r="H178" s="2230">
        <f t="shared" ca="1" si="96"/>
        <v>68305.210000000006</v>
      </c>
      <c r="J178" s="2264"/>
      <c r="K178" s="2265">
        <f t="shared" ca="1" si="103"/>
        <v>108479.61000000002</v>
      </c>
      <c r="L178" s="2265">
        <f t="shared" ca="1" si="104"/>
        <v>73238.390000000014</v>
      </c>
      <c r="N178" s="2091" t="str">
        <f t="shared" si="116"/>
        <v>Отчисления на страховые взносы</v>
      </c>
    </row>
    <row r="179" spans="1:14" ht="24">
      <c r="B179" s="2270" t="s">
        <v>1407</v>
      </c>
      <c r="C179" s="2267">
        <f t="shared" ca="1" si="92"/>
        <v>6132.15</v>
      </c>
      <c r="D179" s="2230">
        <v>256.66000000000003</v>
      </c>
      <c r="E179" s="2230">
        <f t="shared" si="93"/>
        <v>229.8</v>
      </c>
      <c r="F179" s="2230">
        <f t="shared" si="115"/>
        <v>26.86</v>
      </c>
      <c r="G179" s="2230">
        <f t="shared" ca="1" si="95"/>
        <v>301.62</v>
      </c>
      <c r="H179" s="2230">
        <f t="shared" ca="1" si="96"/>
        <v>5573.87</v>
      </c>
      <c r="J179" s="2264"/>
      <c r="K179" s="2265">
        <f t="shared" ca="1" si="103"/>
        <v>6132.15</v>
      </c>
      <c r="L179" s="2265">
        <f t="shared" ca="1" si="104"/>
        <v>5902.3499999999995</v>
      </c>
      <c r="N179" s="2091" t="str">
        <f t="shared" si="116"/>
        <v>Отчисления на страховые взносы</v>
      </c>
    </row>
    <row r="180" spans="1:14" ht="24">
      <c r="B180" s="2270" t="s">
        <v>1408</v>
      </c>
      <c r="C180" s="2267">
        <f t="shared" ca="1" si="92"/>
        <v>3844.35</v>
      </c>
      <c r="D180" s="2230">
        <v>1194.67</v>
      </c>
      <c r="E180" s="2230">
        <f t="shared" si="93"/>
        <v>1069.6600000000001</v>
      </c>
      <c r="F180" s="2230">
        <f t="shared" si="115"/>
        <v>125.01</v>
      </c>
      <c r="G180" s="2230">
        <f t="shared" ca="1" si="95"/>
        <v>80.08</v>
      </c>
      <c r="H180" s="2230">
        <f t="shared" ca="1" si="96"/>
        <v>2569.6</v>
      </c>
      <c r="J180" s="2264"/>
      <c r="K180" s="2265">
        <f t="shared" ca="1" si="103"/>
        <v>3844.35</v>
      </c>
      <c r="L180" s="2265">
        <f t="shared" ca="1" si="104"/>
        <v>2774.6899999999996</v>
      </c>
      <c r="N180" s="2091" t="str">
        <f t="shared" si="116"/>
        <v>Отчисления на страховые взносы</v>
      </c>
    </row>
    <row r="181" spans="1:14" ht="24">
      <c r="B181" s="2270" t="s">
        <v>1409</v>
      </c>
      <c r="C181" s="2267">
        <f t="shared" ca="1" si="92"/>
        <v>2381.52</v>
      </c>
      <c r="D181" s="2230">
        <v>72.069999999999993</v>
      </c>
      <c r="E181" s="2230">
        <f t="shared" si="93"/>
        <v>64.53</v>
      </c>
      <c r="F181" s="2230">
        <f t="shared" si="115"/>
        <v>7.54</v>
      </c>
      <c r="G181" s="2230">
        <f t="shared" ca="1" si="95"/>
        <v>81.239999999999995</v>
      </c>
      <c r="H181" s="2230">
        <f t="shared" ca="1" si="96"/>
        <v>2228.21</v>
      </c>
      <c r="J181" s="2264"/>
      <c r="K181" s="2265">
        <f t="shared" ca="1" si="103"/>
        <v>2381.52</v>
      </c>
      <c r="L181" s="2265">
        <f t="shared" ca="1" si="104"/>
        <v>2316.9899999999998</v>
      </c>
      <c r="N181" s="2091" t="str">
        <f t="shared" si="116"/>
        <v>Отчисления на страховые взносы</v>
      </c>
    </row>
    <row r="182" spans="1:14" ht="24">
      <c r="B182" s="2272" t="s">
        <v>1410</v>
      </c>
      <c r="C182" s="2267">
        <f t="shared" ca="1" si="92"/>
        <v>8714.2800000000007</v>
      </c>
      <c r="D182" s="2230">
        <v>2991.62</v>
      </c>
      <c r="E182" s="2230">
        <f t="shared" si="93"/>
        <v>2678.57</v>
      </c>
      <c r="F182" s="2230">
        <f t="shared" si="115"/>
        <v>313.05</v>
      </c>
      <c r="G182" s="2230">
        <f t="shared" ca="1" si="95"/>
        <v>58.77</v>
      </c>
      <c r="H182" s="2230">
        <f t="shared" ca="1" si="96"/>
        <v>5663.89</v>
      </c>
      <c r="J182" s="2264"/>
      <c r="K182" s="2265">
        <f t="shared" ca="1" si="103"/>
        <v>8714.2800000000007</v>
      </c>
      <c r="L182" s="2265">
        <f t="shared" ca="1" si="104"/>
        <v>6035.7100000000009</v>
      </c>
      <c r="N182" s="2091" t="str">
        <f t="shared" si="116"/>
        <v>Отчисления на страховые взносы</v>
      </c>
    </row>
    <row r="184" spans="1:14" ht="15">
      <c r="C184" s="2154"/>
      <c r="D184" s="2273"/>
      <c r="E184" s="2274"/>
      <c r="F184" s="3444" t="s">
        <v>2936</v>
      </c>
      <c r="G184" s="3446" t="s">
        <v>3795</v>
      </c>
      <c r="H184" s="3446"/>
      <c r="I184" s="3444" t="s">
        <v>2915</v>
      </c>
      <c r="J184" s="3444" t="s">
        <v>1465</v>
      </c>
      <c r="K184" s="3444" t="s">
        <v>3832</v>
      </c>
    </row>
    <row r="185" spans="1:14" ht="57">
      <c r="B185" s="2244">
        <f>('Выручка, УО_2017'!C20+'Выручка, УО_2017'!C23+'Выручка, УО_2017'!C25+'Выручка, УО_2017'!C22)*1000</f>
        <v>7443128.54</v>
      </c>
      <c r="C185" s="2154" t="b">
        <f ca="1">C186=B185</f>
        <v>1</v>
      </c>
      <c r="D185" s="2275" t="str">
        <f>K6</f>
        <v>Факт без индивидуальных проектов</v>
      </c>
      <c r="E185" s="2275" t="str">
        <f>L6</f>
        <v>Факт без индивидуальных и льготников</v>
      </c>
      <c r="F185" s="3445"/>
      <c r="G185" s="2275" t="s">
        <v>3798</v>
      </c>
      <c r="H185" s="2275" t="s">
        <v>3799</v>
      </c>
      <c r="I185" s="3445"/>
      <c r="J185" s="3445"/>
      <c r="K185" s="3445"/>
    </row>
    <row r="186" spans="1:14" ht="28.5" customHeight="1">
      <c r="A186" s="2276" t="s">
        <v>25</v>
      </c>
      <c r="B186" s="2277" t="s">
        <v>3702</v>
      </c>
      <c r="C186" s="2278">
        <f ca="1">SUM(C187,C191:C194,C203)</f>
        <v>7443128.54</v>
      </c>
      <c r="D186" s="2278">
        <f t="shared" ref="D186:K186" ca="1" si="117">SUM(D187,D191:D194,D203)</f>
        <v>7443128.54</v>
      </c>
      <c r="E186" s="2278">
        <f t="shared" ca="1" si="117"/>
        <v>4742059.7209078409</v>
      </c>
      <c r="F186" s="2278">
        <f t="shared" si="117"/>
        <v>2655526.9108586786</v>
      </c>
      <c r="G186" s="2278">
        <f t="shared" si="117"/>
        <v>2025702.1692555964</v>
      </c>
      <c r="H186" s="2278">
        <f t="shared" si="117"/>
        <v>629824.74160308135</v>
      </c>
      <c r="I186" s="2278">
        <f t="shared" ca="1" si="117"/>
        <v>947208.50487883762</v>
      </c>
      <c r="J186" s="2278">
        <f t="shared" ca="1" si="117"/>
        <v>3840393.1242624833</v>
      </c>
      <c r="K186" s="2278">
        <f t="shared" si="117"/>
        <v>0</v>
      </c>
      <c r="L186" s="2279">
        <f ca="1">SUM(G186:J186)</f>
        <v>7443128.5399999991</v>
      </c>
    </row>
    <row r="187" spans="1:14" ht="45" customHeight="1">
      <c r="A187" s="2105" t="s">
        <v>4</v>
      </c>
      <c r="B187" s="2280" t="s">
        <v>3703</v>
      </c>
      <c r="C187" s="2281">
        <f ca="1">SUMIF($N$9:$N$182,$B187,$C$9:$C$182)</f>
        <v>44553.88</v>
      </c>
      <c r="D187" s="2281">
        <f ca="1">SUMIF($N$9:$N$182,$B187,$K$9:$K$182)</f>
        <v>44553.88</v>
      </c>
      <c r="E187" s="2281">
        <f ca="1">SUMIF($N$9:$N$182,$B187,$L$9:$L$182)</f>
        <v>19677.469999999998</v>
      </c>
      <c r="F187" s="2281">
        <f>SUMIF($N$9:$N$182,$B187,$D$9:$D$182)</f>
        <v>27783.789999999997</v>
      </c>
      <c r="G187" s="2281">
        <f>SUMIF($N$9:$N$182,$B187,$E$9:$E$182)</f>
        <v>24876.409999999993</v>
      </c>
      <c r="H187" s="2281">
        <f t="shared" ref="H187:H193" si="118">SUMIF($N$9:$N$182,$B187,$F$9:$F$182)</f>
        <v>2907.380000000001</v>
      </c>
      <c r="I187" s="2281">
        <f ca="1">SUMIF($N$9:$N$182,$B187,$G$9:$G$182)</f>
        <v>4594.6599999999989</v>
      </c>
      <c r="J187" s="2281">
        <f ca="1">SUMIF($N$9:$N$182,$B187,$H$9:$H$182)</f>
        <v>12175.429999999998</v>
      </c>
      <c r="K187" s="2281"/>
      <c r="L187" s="2282">
        <f ca="1">C186-L186</f>
        <v>0</v>
      </c>
      <c r="N187" s="2299"/>
    </row>
    <row r="188" spans="1:14" ht="15.75">
      <c r="A188" s="2105"/>
      <c r="B188" s="2283" t="s">
        <v>3766</v>
      </c>
      <c r="C188" s="2284">
        <f ca="1">C48</f>
        <v>23923.33</v>
      </c>
      <c r="D188" s="2284">
        <f ca="1">SUMIF($Q$9:$Q$182,$B188,$K$9:$K$182)</f>
        <v>23923.33</v>
      </c>
      <c r="E188" s="2284">
        <f ca="1">SUMIF($Q$9:$Q$182,$B188,$L$9:$L$182)</f>
        <v>6843.6500000000015</v>
      </c>
      <c r="F188" s="2284">
        <f>G188+H188</f>
        <v>19075.84</v>
      </c>
      <c r="G188" s="2284">
        <f>SUMIF($Q$9:$Q$182,$B188,$E$9:$E$182)</f>
        <v>17079.68</v>
      </c>
      <c r="H188" s="2284">
        <f>SUMIF($Q$9:$Q$182,$B188,$F$9:$F$182)</f>
        <v>1996.16</v>
      </c>
      <c r="I188" s="2284">
        <f ca="1">SUMIF($Q$9:$Q$182,$B188,$G$9:$G$182)</f>
        <v>1987.96</v>
      </c>
      <c r="J188" s="2284">
        <f ca="1">SUMIF($Q$9:$Q$182,$B188,$H$9:$H$182)</f>
        <v>2859.5299999999997</v>
      </c>
      <c r="K188" s="2284"/>
    </row>
    <row r="189" spans="1:14" ht="15.75">
      <c r="A189" s="2105"/>
      <c r="B189" s="2283" t="s">
        <v>3755</v>
      </c>
      <c r="C189" s="2284">
        <f ca="1">SUMIF($Q$9:$Q$182,$B189,$C$9:$C$182)</f>
        <v>10287.520000000002</v>
      </c>
      <c r="D189" s="2284">
        <f t="shared" ref="D189:D190" ca="1" si="119">SUMIF($Q$9:$Q$182,$B189,$K$9:$K$182)</f>
        <v>10287.520000000002</v>
      </c>
      <c r="E189" s="2284">
        <f t="shared" ref="E189:E190" ca="1" si="120">SUMIF($Q$9:$Q$182,$B189,$L$9:$L$182)</f>
        <v>4243.9000000000015</v>
      </c>
      <c r="F189" s="2284">
        <f t="shared" ref="F189:F190" si="121">G189+H189</f>
        <v>6749.9600000000009</v>
      </c>
      <c r="G189" s="2284">
        <f>SUMIF($Q$9:$Q$182,$B189,$E$9:$E$182)</f>
        <v>6043.6200000000008</v>
      </c>
      <c r="H189" s="2284">
        <f t="shared" ref="H189:H190" si="122">SUMIF($Q$9:$Q$182,$B189,$F$9:$F$182)</f>
        <v>706.3399999999998</v>
      </c>
      <c r="I189" s="2284">
        <f t="shared" ref="I189:I190" ca="1" si="123">SUMIF($Q$9:$Q$182,$B189,$G$9:$G$182)</f>
        <v>1724.6799999999998</v>
      </c>
      <c r="J189" s="2284">
        <f t="shared" ref="J189:J190" ca="1" si="124">SUMIF($Q$9:$Q$182,$B189,$H$9:$H$182)</f>
        <v>1812.88</v>
      </c>
      <c r="K189" s="2284"/>
    </row>
    <row r="190" spans="1:14" ht="15.75">
      <c r="A190" s="2105"/>
      <c r="B190" s="2283" t="s">
        <v>3767</v>
      </c>
      <c r="C190" s="2284">
        <f ca="1">C187-C188-C189</f>
        <v>10343.029999999993</v>
      </c>
      <c r="D190" s="2284">
        <f t="shared" ca="1" si="119"/>
        <v>10343.029999999999</v>
      </c>
      <c r="E190" s="2284">
        <f t="shared" ca="1" si="120"/>
        <v>8589.9199999999983</v>
      </c>
      <c r="F190" s="2284">
        <f t="shared" si="121"/>
        <v>1957.9900000000002</v>
      </c>
      <c r="G190" s="2284">
        <f>SUMIF($Q$9:$Q$182,$B190,$E$9:$E$182)</f>
        <v>1753.1100000000001</v>
      </c>
      <c r="H190" s="2284">
        <f t="shared" si="122"/>
        <v>204.88</v>
      </c>
      <c r="I190" s="2284">
        <f t="shared" ca="1" si="123"/>
        <v>882.01999999999987</v>
      </c>
      <c r="J190" s="2284">
        <f t="shared" ca="1" si="124"/>
        <v>7503.02</v>
      </c>
      <c r="K190" s="2284"/>
    </row>
    <row r="191" spans="1:14" ht="15.75">
      <c r="A191" s="2113" t="s">
        <v>5</v>
      </c>
      <c r="B191" s="2285" t="s">
        <v>3704</v>
      </c>
      <c r="C191" s="2284">
        <f t="shared" ref="C191:C205" ca="1" si="125">SUMIF($N$9:$N$182,$B191,$C$9:$C$182)</f>
        <v>6549.72</v>
      </c>
      <c r="D191" s="2284">
        <f t="shared" ref="D191:D201" ca="1" si="126">SUMIF($N$9:$N$182,$B191,$K$9:$K$182)</f>
        <v>6549.72</v>
      </c>
      <c r="E191" s="2284">
        <f t="shared" ref="E191:E201" ca="1" si="127">SUMIF($N$9:$N$182,$B191,$L$9:$L$182)</f>
        <v>2977.98</v>
      </c>
      <c r="F191" s="2284">
        <f t="shared" ref="F191:F201" si="128">SUMIF($N$9:$N$182,$B191,$D$9:$D$182)</f>
        <v>3989.18</v>
      </c>
      <c r="G191" s="2284">
        <f t="shared" ref="G191:G193" si="129">SUMIF($N$9:$N$182,$B191,$E$9:$E$182)</f>
        <v>3571.7400000000002</v>
      </c>
      <c r="H191" s="2284">
        <f t="shared" si="118"/>
        <v>417.44</v>
      </c>
      <c r="I191" s="2284">
        <f t="shared" ref="I191:I193" ca="1" si="130">SUMIF($N$9:$N$182,$B191,$G$9:$G$182)</f>
        <v>2189.39</v>
      </c>
      <c r="J191" s="2284">
        <f t="shared" ref="J191:J193" ca="1" si="131">SUMIF($N$9:$N$182,$B191,$H$9:$H$182)</f>
        <v>371.15</v>
      </c>
      <c r="K191" s="2284"/>
    </row>
    <row r="192" spans="1:14" ht="15.75">
      <c r="A192" s="2113" t="s">
        <v>6</v>
      </c>
      <c r="B192" s="2285" t="s">
        <v>3771</v>
      </c>
      <c r="C192" s="2284">
        <f ca="1">SUMIF($N$9:$N$182,$B192,$C$9:$C$182)</f>
        <v>4459569.9800000004</v>
      </c>
      <c r="D192" s="2284">
        <f t="shared" ca="1" si="126"/>
        <v>4459569.9800000004</v>
      </c>
      <c r="E192" s="2284">
        <f t="shared" ca="1" si="127"/>
        <v>3095682.6099999994</v>
      </c>
      <c r="F192" s="2284">
        <f t="shared" si="128"/>
        <v>1523289.6700000004</v>
      </c>
      <c r="G192" s="2284">
        <f t="shared" si="129"/>
        <v>1363887.3699999996</v>
      </c>
      <c r="H192" s="2284">
        <f t="shared" si="118"/>
        <v>159402.29999999999</v>
      </c>
      <c r="I192" s="2284">
        <f t="shared" ca="1" si="130"/>
        <v>50298.25</v>
      </c>
      <c r="J192" s="2284">
        <f t="shared" ca="1" si="131"/>
        <v>2885982.0599999996</v>
      </c>
      <c r="K192" s="2284"/>
    </row>
    <row r="193" spans="1:11" ht="15.75">
      <c r="A193" s="2113" t="s">
        <v>7</v>
      </c>
      <c r="B193" s="2285" t="s">
        <v>3706</v>
      </c>
      <c r="C193" s="2284">
        <f t="shared" ca="1" si="125"/>
        <v>1349112.04</v>
      </c>
      <c r="D193" s="2284">
        <f t="shared" ca="1" si="126"/>
        <v>1349112.04</v>
      </c>
      <c r="E193" s="2284">
        <f t="shared" ca="1" si="127"/>
        <v>936927.28</v>
      </c>
      <c r="F193" s="2284">
        <f t="shared" si="128"/>
        <v>460358.23</v>
      </c>
      <c r="G193" s="2284">
        <f t="shared" si="129"/>
        <v>412184.76000000007</v>
      </c>
      <c r="H193" s="2284">
        <f t="shared" si="118"/>
        <v>48173.470000000008</v>
      </c>
      <c r="I193" s="2284">
        <f t="shared" ca="1" si="130"/>
        <v>14495.610000000004</v>
      </c>
      <c r="J193" s="2284">
        <f t="shared" ca="1" si="131"/>
        <v>874258.19999999984</v>
      </c>
      <c r="K193" s="2284"/>
    </row>
    <row r="194" spans="1:11" ht="15.75">
      <c r="A194" s="2113" t="s">
        <v>3707</v>
      </c>
      <c r="B194" s="2285" t="s">
        <v>3708</v>
      </c>
      <c r="C194" s="2286">
        <f ca="1">SUM(C195:C197)</f>
        <v>1026594.5399999999</v>
      </c>
      <c r="D194" s="2286">
        <f t="shared" ref="D194:K194" ca="1" si="132">SUM(D195:D197)</f>
        <v>1026594.5399999999</v>
      </c>
      <c r="E194" s="2286">
        <f t="shared" ca="1" si="132"/>
        <v>199875.52999999997</v>
      </c>
      <c r="F194" s="2286">
        <f t="shared" si="132"/>
        <v>397443.9898514041</v>
      </c>
      <c r="G194" s="2286">
        <f t="shared" si="132"/>
        <v>151352.36016343726</v>
      </c>
      <c r="H194" s="2286">
        <f t="shared" si="132"/>
        <v>246091.62968796678</v>
      </c>
      <c r="I194" s="2286">
        <f t="shared" ca="1" si="132"/>
        <v>576004.1658643554</v>
      </c>
      <c r="J194" s="2286">
        <f t="shared" ca="1" si="132"/>
        <v>53146.384284240281</v>
      </c>
      <c r="K194" s="2286">
        <f t="shared" si="132"/>
        <v>0</v>
      </c>
    </row>
    <row r="195" spans="1:11" ht="15.75">
      <c r="A195" s="2113" t="s">
        <v>3709</v>
      </c>
      <c r="B195" s="2283" t="s">
        <v>3778</v>
      </c>
      <c r="C195" s="2284">
        <f t="shared" ca="1" si="125"/>
        <v>7154.44</v>
      </c>
      <c r="D195" s="2284">
        <f t="shared" ca="1" si="126"/>
        <v>7154.44</v>
      </c>
      <c r="E195" s="2284">
        <f t="shared" ca="1" si="127"/>
        <v>1606.52</v>
      </c>
      <c r="F195" s="2284">
        <f t="shared" si="128"/>
        <v>6196.3399999999992</v>
      </c>
      <c r="G195" s="2284">
        <f t="shared" ref="G195:G196" si="133">SUMIF($N$9:$N$182,$B195,$E$9:$E$182)</f>
        <v>5547.92</v>
      </c>
      <c r="H195" s="2284">
        <f t="shared" ref="H195:H196" si="134">SUMIF($N$9:$N$182,$B195,$F$9:$F$182)</f>
        <v>648.42000000000007</v>
      </c>
      <c r="I195" s="2284">
        <f t="shared" ref="I195:I196" ca="1" si="135">SUMIF($N$9:$N$182,$B195,$G$9:$G$182)</f>
        <v>627.0100000000001</v>
      </c>
      <c r="J195" s="2284">
        <f t="shared" ref="J195:J196" ca="1" si="136">SUMIF($N$9:$N$182,$B195,$H$9:$H$182)</f>
        <v>331.09000000000003</v>
      </c>
      <c r="K195" s="2284"/>
    </row>
    <row r="196" spans="1:11" ht="31.5">
      <c r="A196" s="2113" t="s">
        <v>3711</v>
      </c>
      <c r="B196" s="2283" t="s">
        <v>3779</v>
      </c>
      <c r="C196" s="2284">
        <f t="shared" ca="1" si="125"/>
        <v>21394.359999999997</v>
      </c>
      <c r="D196" s="2284">
        <f t="shared" ca="1" si="126"/>
        <v>21394.359999999997</v>
      </c>
      <c r="E196" s="2284">
        <f t="shared" ca="1" si="127"/>
        <v>11388.78</v>
      </c>
      <c r="F196" s="2284">
        <f t="shared" si="128"/>
        <v>11174.96</v>
      </c>
      <c r="G196" s="2284">
        <f t="shared" si="133"/>
        <v>10005.58</v>
      </c>
      <c r="H196" s="2284">
        <f t="shared" si="134"/>
        <v>1169.3799999999999</v>
      </c>
      <c r="I196" s="2284">
        <f t="shared" ca="1" si="135"/>
        <v>8396.2099999999991</v>
      </c>
      <c r="J196" s="2284">
        <f t="shared" ca="1" si="136"/>
        <v>1823.1899999999998</v>
      </c>
      <c r="K196" s="2284"/>
    </row>
    <row r="197" spans="1:11" ht="15.75">
      <c r="A197" s="2113" t="s">
        <v>3713</v>
      </c>
      <c r="B197" s="2283" t="s">
        <v>3835</v>
      </c>
      <c r="C197" s="2286">
        <f ca="1">SUM(C198:C202)</f>
        <v>998045.73999999987</v>
      </c>
      <c r="D197" s="2286">
        <f t="shared" ref="D197:K197" ca="1" si="137">SUM(D198:D202)</f>
        <v>998045.73999999987</v>
      </c>
      <c r="E197" s="2286">
        <f t="shared" ca="1" si="137"/>
        <v>186880.22999999998</v>
      </c>
      <c r="F197" s="2286">
        <f t="shared" si="137"/>
        <v>380072.68985140411</v>
      </c>
      <c r="G197" s="2286">
        <f t="shared" si="137"/>
        <v>135798.86016343726</v>
      </c>
      <c r="H197" s="2286">
        <f t="shared" si="137"/>
        <v>244273.82968796679</v>
      </c>
      <c r="I197" s="2286">
        <f t="shared" ca="1" si="137"/>
        <v>566980.94586435542</v>
      </c>
      <c r="J197" s="2286">
        <f t="shared" ca="1" si="137"/>
        <v>50992.104284240282</v>
      </c>
      <c r="K197" s="2286">
        <f t="shared" si="137"/>
        <v>0</v>
      </c>
    </row>
    <row r="198" spans="1:11" ht="15.75">
      <c r="A198" s="2113" t="s">
        <v>3715</v>
      </c>
      <c r="B198" s="2287" t="s">
        <v>3716</v>
      </c>
      <c r="C198" s="2284">
        <f t="shared" ca="1" si="125"/>
        <v>2943.2999999999997</v>
      </c>
      <c r="D198" s="2284">
        <f t="shared" ca="1" si="126"/>
        <v>2943.2999999999997</v>
      </c>
      <c r="E198" s="2284">
        <f t="shared" ca="1" si="127"/>
        <v>1380.3400000000001</v>
      </c>
      <c r="F198" s="2284">
        <f t="shared" si="128"/>
        <v>1745.6200000000001</v>
      </c>
      <c r="G198" s="2284">
        <f t="shared" ref="G198:G201" si="138">SUMIF($N$9:$N$182,$B198,$E$9:$E$182)</f>
        <v>1562.9600000000003</v>
      </c>
      <c r="H198" s="2284">
        <f t="shared" ref="H198:H201" si="139">SUMIF($N$9:$N$182,$B198,$F$9:$F$182)</f>
        <v>182.66</v>
      </c>
      <c r="I198" s="2284">
        <f t="shared" ref="I198:I201" ca="1" si="140">SUMIF($N$9:$N$182,$B198,$G$9:$G$182)</f>
        <v>962.4</v>
      </c>
      <c r="J198" s="2284">
        <f t="shared" ref="J198:J201" ca="1" si="141">SUMIF($N$9:$N$182,$B198,$H$9:$H$182)</f>
        <v>235.27999999999997</v>
      </c>
      <c r="K198" s="2284"/>
    </row>
    <row r="199" spans="1:11" ht="15.75">
      <c r="A199" s="2113" t="s">
        <v>3717</v>
      </c>
      <c r="B199" s="2287" t="s">
        <v>3718</v>
      </c>
      <c r="C199" s="2284">
        <f t="shared" ca="1" si="125"/>
        <v>5977.12</v>
      </c>
      <c r="D199" s="2284">
        <f t="shared" ca="1" si="126"/>
        <v>5977.12</v>
      </c>
      <c r="E199" s="2284">
        <f t="shared" ca="1" si="127"/>
        <v>2798.23</v>
      </c>
      <c r="F199" s="2284">
        <f t="shared" si="128"/>
        <v>3550.42</v>
      </c>
      <c r="G199" s="2284">
        <f t="shared" si="138"/>
        <v>3178.89</v>
      </c>
      <c r="H199" s="2284">
        <f t="shared" si="139"/>
        <v>371.53</v>
      </c>
      <c r="I199" s="2284">
        <f t="shared" ca="1" si="140"/>
        <v>1950.54</v>
      </c>
      <c r="J199" s="2284">
        <f t="shared" ca="1" si="141"/>
        <v>476.16</v>
      </c>
      <c r="K199" s="2284"/>
    </row>
    <row r="200" spans="1:11" ht="31.5">
      <c r="A200" s="2113" t="s">
        <v>3719</v>
      </c>
      <c r="B200" s="2287" t="s">
        <v>3781</v>
      </c>
      <c r="C200" s="2284">
        <f t="shared" ca="1" si="125"/>
        <v>7783.9299999999994</v>
      </c>
      <c r="D200" s="2284">
        <f t="shared" ca="1" si="126"/>
        <v>7783.9299999999994</v>
      </c>
      <c r="E200" s="2284">
        <f t="shared" ca="1" si="127"/>
        <v>3604.92</v>
      </c>
      <c r="F200" s="2284">
        <f t="shared" si="128"/>
        <v>4667.42</v>
      </c>
      <c r="G200" s="2284">
        <f t="shared" si="138"/>
        <v>4179.01</v>
      </c>
      <c r="H200" s="2284">
        <f t="shared" si="139"/>
        <v>488.40999999999997</v>
      </c>
      <c r="I200" s="2284">
        <f t="shared" ca="1" si="140"/>
        <v>2545.7600000000002</v>
      </c>
      <c r="J200" s="2284">
        <f t="shared" ca="1" si="141"/>
        <v>570.75</v>
      </c>
      <c r="K200" s="2284"/>
    </row>
    <row r="201" spans="1:11" ht="15.75">
      <c r="A201" s="2113" t="s">
        <v>3721</v>
      </c>
      <c r="B201" s="2287" t="s">
        <v>3722</v>
      </c>
      <c r="C201" s="2284">
        <f t="shared" ca="1" si="125"/>
        <v>908.43</v>
      </c>
      <c r="D201" s="2284">
        <f t="shared" ca="1" si="126"/>
        <v>908.43</v>
      </c>
      <c r="E201" s="2284">
        <f t="shared" ca="1" si="127"/>
        <v>454.96999999999997</v>
      </c>
      <c r="F201" s="2284">
        <f t="shared" si="128"/>
        <v>506.46000000000004</v>
      </c>
      <c r="G201" s="2284">
        <f t="shared" si="138"/>
        <v>453.46</v>
      </c>
      <c r="H201" s="2284">
        <f t="shared" si="139"/>
        <v>53</v>
      </c>
      <c r="I201" s="2284">
        <f t="shared" ca="1" si="140"/>
        <v>328.38</v>
      </c>
      <c r="J201" s="2284">
        <f t="shared" ca="1" si="141"/>
        <v>73.59</v>
      </c>
      <c r="K201" s="2284"/>
    </row>
    <row r="202" spans="1:11" ht="15.75">
      <c r="A202" s="2113" t="s">
        <v>3723</v>
      </c>
      <c r="B202" s="2287" t="s">
        <v>3782</v>
      </c>
      <c r="C202" s="2286">
        <f ca="1">C212</f>
        <v>980432.95999999985</v>
      </c>
      <c r="D202" s="2286">
        <f t="shared" ref="D202:K202" ca="1" si="142">D212</f>
        <v>980432.95999999985</v>
      </c>
      <c r="E202" s="2286">
        <f t="shared" ca="1" si="142"/>
        <v>178641.77</v>
      </c>
      <c r="F202" s="2286">
        <f t="shared" si="142"/>
        <v>369602.76985140413</v>
      </c>
      <c r="G202" s="2286">
        <f t="shared" si="142"/>
        <v>126424.54016343725</v>
      </c>
      <c r="H202" s="2286">
        <f t="shared" si="142"/>
        <v>243178.22968796678</v>
      </c>
      <c r="I202" s="2286">
        <f t="shared" ca="1" si="142"/>
        <v>561193.86586435547</v>
      </c>
      <c r="J202" s="2286">
        <f t="shared" ca="1" si="142"/>
        <v>49636.324284240283</v>
      </c>
      <c r="K202" s="2286">
        <f t="shared" si="142"/>
        <v>0</v>
      </c>
    </row>
    <row r="203" spans="1:11" ht="15.75">
      <c r="A203" s="2113" t="s">
        <v>3725</v>
      </c>
      <c r="B203" s="2285" t="s">
        <v>3726</v>
      </c>
      <c r="C203" s="2286">
        <f>SUM(C204:C207)</f>
        <v>556748.38</v>
      </c>
      <c r="D203" s="2286">
        <f t="shared" ref="D203:K203" si="143">SUM(D204:D207)</f>
        <v>556748.38</v>
      </c>
      <c r="E203" s="2286">
        <f t="shared" si="143"/>
        <v>486918.85090784053</v>
      </c>
      <c r="F203" s="2286">
        <f t="shared" si="143"/>
        <v>242662.05100727419</v>
      </c>
      <c r="G203" s="2286">
        <f t="shared" si="143"/>
        <v>69829.529092159559</v>
      </c>
      <c r="H203" s="2286">
        <f t="shared" si="143"/>
        <v>172832.52191511463</v>
      </c>
      <c r="I203" s="2286">
        <f t="shared" si="143"/>
        <v>299626.42901448224</v>
      </c>
      <c r="J203" s="2286">
        <f t="shared" si="143"/>
        <v>14459.899978243608</v>
      </c>
      <c r="K203" s="2286">
        <f t="shared" si="143"/>
        <v>0</v>
      </c>
    </row>
    <row r="204" spans="1:11" ht="15.75">
      <c r="A204" s="2113" t="s">
        <v>3727</v>
      </c>
      <c r="B204" s="2283" t="s">
        <v>3783</v>
      </c>
      <c r="C204" s="2284">
        <f t="shared" si="125"/>
        <v>0</v>
      </c>
      <c r="D204" s="2284">
        <f t="shared" ref="D204:D205" si="144">SUMIF($N$9:$N$182,$B204,$K$9:$K$182)</f>
        <v>0</v>
      </c>
      <c r="E204" s="2284">
        <f t="shared" ref="E204:E205" si="145">SUMIF($N$9:$N$182,$B204,$L$9:$L$182)</f>
        <v>0</v>
      </c>
      <c r="F204" s="2284">
        <f t="shared" ref="F204:F205" si="146">SUMIF($N$9:$N$182,$B204,$D$9:$D$182)</f>
        <v>0</v>
      </c>
      <c r="G204" s="2284">
        <f t="shared" ref="G204:G205" si="147">SUMIF($N$9:$N$182,$B204,$E$9:$E$182)</f>
        <v>0</v>
      </c>
      <c r="H204" s="2284">
        <f t="shared" ref="H204:H205" si="148">SUMIF($N$9:$N$182,$B204,$F$9:$F$182)</f>
        <v>0</v>
      </c>
      <c r="I204" s="2284">
        <f t="shared" ref="I204:I205" si="149">SUMIF($N$9:$N$182,$B204,$G$9:$G$182)</f>
        <v>0</v>
      </c>
      <c r="J204" s="2284">
        <f t="shared" ref="J204:J205" si="150">SUMIF($N$9:$N$182,$B204,$H$9:$H$182)</f>
        <v>0</v>
      </c>
      <c r="K204" s="2284"/>
    </row>
    <row r="205" spans="1:11" ht="15.75">
      <c r="A205" s="2113" t="s">
        <v>3729</v>
      </c>
      <c r="B205" s="2283" t="s">
        <v>3784</v>
      </c>
      <c r="C205" s="2284">
        <f t="shared" si="125"/>
        <v>0</v>
      </c>
      <c r="D205" s="2284">
        <f t="shared" si="144"/>
        <v>0</v>
      </c>
      <c r="E205" s="2284">
        <f t="shared" si="145"/>
        <v>0</v>
      </c>
      <c r="F205" s="2284">
        <f t="shared" si="146"/>
        <v>0</v>
      </c>
      <c r="G205" s="2284">
        <f t="shared" si="147"/>
        <v>0</v>
      </c>
      <c r="H205" s="2284">
        <f t="shared" si="148"/>
        <v>0</v>
      </c>
      <c r="I205" s="2284">
        <f t="shared" si="149"/>
        <v>0</v>
      </c>
      <c r="J205" s="2284">
        <f t="shared" si="150"/>
        <v>0</v>
      </c>
      <c r="K205" s="2284"/>
    </row>
    <row r="206" spans="1:11" ht="15.75">
      <c r="A206" s="2113" t="s">
        <v>3731</v>
      </c>
      <c r="B206" s="2283" t="s">
        <v>3785</v>
      </c>
      <c r="C206" s="2286">
        <f>C228</f>
        <v>373793.53</v>
      </c>
      <c r="D206" s="2286">
        <f t="shared" ref="D206:K206" si="151">D228</f>
        <v>373793.53</v>
      </c>
      <c r="E206" s="2286">
        <f t="shared" si="151"/>
        <v>326910.90381688299</v>
      </c>
      <c r="F206" s="2286">
        <f>F228</f>
        <v>162920.10520632152</v>
      </c>
      <c r="G206" s="2286">
        <f t="shared" si="151"/>
        <v>46882.626183117085</v>
      </c>
      <c r="H206" s="2286">
        <f t="shared" si="151"/>
        <v>116037.47902320445</v>
      </c>
      <c r="I206" s="2286">
        <f t="shared" si="151"/>
        <v>201165.23838402142</v>
      </c>
      <c r="J206" s="2286">
        <f t="shared" si="151"/>
        <v>9708.1864096570898</v>
      </c>
      <c r="K206" s="2286">
        <f t="shared" si="151"/>
        <v>0</v>
      </c>
    </row>
    <row r="207" spans="1:11" ht="15.75">
      <c r="A207" s="2118" t="s">
        <v>3733</v>
      </c>
      <c r="B207" s="2288" t="s">
        <v>3786</v>
      </c>
      <c r="C207" s="2289">
        <f>C237</f>
        <v>182954.85</v>
      </c>
      <c r="D207" s="2289">
        <f>C207</f>
        <v>182954.85</v>
      </c>
      <c r="E207" s="2289">
        <f>C207-G207</f>
        <v>160007.94709095752</v>
      </c>
      <c r="F207" s="2289">
        <f>G207+H207</f>
        <v>79741.945800952657</v>
      </c>
      <c r="G207" s="2289">
        <f>'Выручка, УО_2017'!H34</f>
        <v>22946.902909042477</v>
      </c>
      <c r="H207" s="2289">
        <f>'Выручка, УО_2017'!I34</f>
        <v>56795.042891910176</v>
      </c>
      <c r="I207" s="2289">
        <f>'Выручка, УО_2017'!J34</f>
        <v>98461.190630460827</v>
      </c>
      <c r="J207" s="2289">
        <f>'Выручка, УО_2017'!K34</f>
        <v>4751.7135685865178</v>
      </c>
      <c r="K207" s="2289"/>
    </row>
    <row r="209" spans="1:11" ht="19.5" customHeight="1">
      <c r="A209" s="3394" t="s">
        <v>3817</v>
      </c>
      <c r="B209" s="3394" t="s">
        <v>3818</v>
      </c>
      <c r="C209" s="2212"/>
      <c r="D209" s="3437" t="str">
        <f>K$6</f>
        <v>Факт без индивидуальных проектов</v>
      </c>
      <c r="E209" s="3437" t="str">
        <f>L$6</f>
        <v>Факт без индивидуальных и льготников</v>
      </c>
      <c r="F209" s="3439" t="s">
        <v>2936</v>
      </c>
      <c r="G209" s="3441" t="s">
        <v>3795</v>
      </c>
      <c r="H209" s="3441"/>
      <c r="I209" s="3439" t="s">
        <v>2915</v>
      </c>
      <c r="J209" s="3439" t="s">
        <v>1465</v>
      </c>
      <c r="K209" s="3439" t="s">
        <v>3741</v>
      </c>
    </row>
    <row r="210" spans="1:11" ht="27.75" customHeight="1">
      <c r="A210" s="3436"/>
      <c r="B210" s="3436"/>
      <c r="C210" s="2212"/>
      <c r="D210" s="3438"/>
      <c r="E210" s="3438"/>
      <c r="F210" s="3440"/>
      <c r="G210" s="2290" t="s">
        <v>3798</v>
      </c>
      <c r="H210" s="2290" t="s">
        <v>3799</v>
      </c>
      <c r="I210" s="3440"/>
      <c r="J210" s="3440"/>
      <c r="K210" s="3440"/>
    </row>
    <row r="211" spans="1:11">
      <c r="A211" s="2291">
        <v>1</v>
      </c>
      <c r="B211" s="2291">
        <v>2</v>
      </c>
      <c r="C211" s="2174"/>
      <c r="D211" s="2097"/>
      <c r="E211" s="2097"/>
      <c r="F211" s="2098"/>
      <c r="G211" s="2098"/>
      <c r="H211" s="2098"/>
      <c r="I211" s="2098"/>
      <c r="J211" s="2098"/>
      <c r="K211" s="2098"/>
    </row>
    <row r="212" spans="1:11" ht="15">
      <c r="A212" s="3434" t="s">
        <v>3819</v>
      </c>
      <c r="B212" s="3435"/>
      <c r="C212" s="2292">
        <f ca="1">SUM(C213:C227)</f>
        <v>980432.95999999985</v>
      </c>
      <c r="D212" s="2293">
        <f t="shared" ref="D212:K212" ca="1" si="152">SUM(D213:D227)</f>
        <v>980432.95999999985</v>
      </c>
      <c r="E212" s="2293">
        <f t="shared" ca="1" si="152"/>
        <v>178641.77</v>
      </c>
      <c r="F212" s="2293">
        <f t="shared" si="152"/>
        <v>369602.76985140413</v>
      </c>
      <c r="G212" s="2293">
        <f t="shared" si="152"/>
        <v>126424.54016343725</v>
      </c>
      <c r="H212" s="2293">
        <f t="shared" si="152"/>
        <v>243178.22968796678</v>
      </c>
      <c r="I212" s="2293">
        <f t="shared" ca="1" si="152"/>
        <v>561193.86586435547</v>
      </c>
      <c r="J212" s="2293">
        <f t="shared" ca="1" si="152"/>
        <v>49636.324284240283</v>
      </c>
      <c r="K212" s="2293">
        <f t="shared" si="152"/>
        <v>0</v>
      </c>
    </row>
    <row r="213" spans="1:11" ht="15.75">
      <c r="A213" s="2125">
        <v>1</v>
      </c>
      <c r="B213" s="2280" t="s">
        <v>3836</v>
      </c>
      <c r="C213" s="2284">
        <f>'Выручка, УО_2017'!C23*1000</f>
        <v>772221.67</v>
      </c>
      <c r="D213" s="2281">
        <f>C213</f>
        <v>772221.67</v>
      </c>
      <c r="E213" s="2294">
        <f t="shared" ref="E213:E227" si="153">SUMIF($N$9:$N$182,$B213,$L$9:$L$182)</f>
        <v>0</v>
      </c>
      <c r="F213" s="2294">
        <f>G213+H213</f>
        <v>336577.34985140408</v>
      </c>
      <c r="G213" s="2295">
        <f>'Выручка, УО_2017'!H23*1000</f>
        <v>96855.020163437279</v>
      </c>
      <c r="H213" s="2295">
        <f>'Выручка, УО_2017'!I23*1000</f>
        <v>239722.32968796679</v>
      </c>
      <c r="I213" s="2295">
        <f>'Выручка, УО_2017'!J23*1000</f>
        <v>415588.13586435566</v>
      </c>
      <c r="J213" s="2295">
        <f>'Выручка, УО_2017'!K23*1000</f>
        <v>20056.184284240295</v>
      </c>
      <c r="K213" s="2294"/>
    </row>
    <row r="214" spans="1:11" ht="15.75">
      <c r="A214" s="2128">
        <v>2</v>
      </c>
      <c r="B214" s="2283" t="s">
        <v>1320</v>
      </c>
      <c r="C214" s="2284">
        <f t="shared" ref="C214:C227" ca="1" si="154">SUMIF($N$9:$N$182,$B214,$C$9:$C$182)</f>
        <v>36980.85</v>
      </c>
      <c r="D214" s="2296">
        <f t="shared" ref="D214:D227" ca="1" si="155">SUMIF($N$9:$N$182,$B214,$K$9:$K$182)</f>
        <v>36980.85</v>
      </c>
      <c r="E214" s="2296">
        <f t="shared" ca="1" si="153"/>
        <v>19588.879999999997</v>
      </c>
      <c r="F214" s="2296">
        <f t="shared" ref="F214:F227" si="156">SUMIF($N$9:$N$182,$B214,$D$9:$D$182)</f>
        <v>19424.63</v>
      </c>
      <c r="G214" s="2296">
        <f t="shared" ref="G214:G227" si="157">SUMIF($N$9:$N$182,$B214,$E$9:$E$182)</f>
        <v>17391.97</v>
      </c>
      <c r="H214" s="2296">
        <f t="shared" ref="H214:H227" si="158">SUMIF($N$9:$N$182,$B214,$F$9:$F$182)</f>
        <v>2032.6599999999999</v>
      </c>
      <c r="I214" s="2296">
        <f t="shared" ref="I214:I227" ca="1" si="159">SUMIF($N$9:$N$182,$B214,$G$9:$G$182)</f>
        <v>1726.29</v>
      </c>
      <c r="J214" s="2296">
        <f t="shared" ref="J214:J227" ca="1" si="160">SUMIF($N$9:$N$182,$B214,$H$9:$H$182)</f>
        <v>15829.93</v>
      </c>
      <c r="K214" s="2296"/>
    </row>
    <row r="215" spans="1:11" ht="15.75">
      <c r="A215" s="2128">
        <v>3</v>
      </c>
      <c r="B215" s="2283" t="s">
        <v>3837</v>
      </c>
      <c r="C215" s="2284">
        <f t="shared" ca="1" si="154"/>
        <v>4687.07</v>
      </c>
      <c r="D215" s="2296">
        <f t="shared" ca="1" si="155"/>
        <v>4687.07</v>
      </c>
      <c r="E215" s="2296">
        <f t="shared" ca="1" si="153"/>
        <v>1944.6400000000003</v>
      </c>
      <c r="F215" s="2296">
        <f t="shared" si="156"/>
        <v>3062.95</v>
      </c>
      <c r="G215" s="2296">
        <f t="shared" si="157"/>
        <v>2742.43</v>
      </c>
      <c r="H215" s="2296">
        <f t="shared" si="158"/>
        <v>320.52000000000004</v>
      </c>
      <c r="I215" s="2296">
        <f t="shared" ca="1" si="159"/>
        <v>1201.25</v>
      </c>
      <c r="J215" s="2296">
        <f t="shared" ca="1" si="160"/>
        <v>422.87</v>
      </c>
      <c r="K215" s="2296"/>
    </row>
    <row r="216" spans="1:11" ht="31.5">
      <c r="A216" s="2128">
        <v>4</v>
      </c>
      <c r="B216" s="2283" t="s">
        <v>3838</v>
      </c>
      <c r="C216" s="2284">
        <f t="shared" ca="1" si="154"/>
        <v>1065.4099999999999</v>
      </c>
      <c r="D216" s="2296">
        <f ca="1">SUMIF($N$9:$N$182,$B216,$K$9:$K$182)</f>
        <v>1065.4099999999999</v>
      </c>
      <c r="E216" s="2296">
        <f t="shared" ca="1" si="153"/>
        <v>494.21999999999991</v>
      </c>
      <c r="F216" s="2296">
        <f t="shared" si="156"/>
        <v>637.94999999999993</v>
      </c>
      <c r="G216" s="2296">
        <f t="shared" si="157"/>
        <v>571.19000000000005</v>
      </c>
      <c r="H216" s="2296">
        <f t="shared" si="158"/>
        <v>66.759999999999991</v>
      </c>
      <c r="I216" s="2296">
        <f t="shared" ca="1" si="159"/>
        <v>355.46999999999997</v>
      </c>
      <c r="J216" s="2296">
        <f t="shared" ca="1" si="160"/>
        <v>71.989999999999995</v>
      </c>
      <c r="K216" s="2296"/>
    </row>
    <row r="217" spans="1:11" ht="15.75">
      <c r="A217" s="2128">
        <v>5</v>
      </c>
      <c r="B217" s="2285" t="s">
        <v>1336</v>
      </c>
      <c r="C217" s="2284">
        <f t="shared" ca="1" si="154"/>
        <v>497.98999999999995</v>
      </c>
      <c r="D217" s="2296">
        <f t="shared" ca="1" si="155"/>
        <v>497.98999999999995</v>
      </c>
      <c r="E217" s="2296">
        <f t="shared" ca="1" si="153"/>
        <v>290.10999999999996</v>
      </c>
      <c r="F217" s="2296">
        <f t="shared" si="156"/>
        <v>232.18</v>
      </c>
      <c r="G217" s="2296">
        <f t="shared" si="157"/>
        <v>207.88</v>
      </c>
      <c r="H217" s="2296">
        <f t="shared" si="158"/>
        <v>24.3</v>
      </c>
      <c r="I217" s="2296">
        <f t="shared" ca="1" si="159"/>
        <v>246.47</v>
      </c>
      <c r="J217" s="2296">
        <f t="shared" ca="1" si="160"/>
        <v>19.34</v>
      </c>
      <c r="K217" s="2296"/>
    </row>
    <row r="218" spans="1:11" ht="15.75">
      <c r="A218" s="2128">
        <v>6</v>
      </c>
      <c r="B218" s="2285" t="s">
        <v>3839</v>
      </c>
      <c r="C218" s="2284">
        <f t="shared" ca="1" si="154"/>
        <v>16975.239999999998</v>
      </c>
      <c r="D218" s="2296">
        <f t="shared" ca="1" si="155"/>
        <v>16975.239999999998</v>
      </c>
      <c r="E218" s="2296">
        <f t="shared" ca="1" si="153"/>
        <v>13199.209999999997</v>
      </c>
      <c r="F218" s="2296">
        <f t="shared" si="156"/>
        <v>4217.3500000000004</v>
      </c>
      <c r="G218" s="2296">
        <f t="shared" si="157"/>
        <v>3776.03</v>
      </c>
      <c r="H218" s="2296">
        <f t="shared" si="158"/>
        <v>441.32</v>
      </c>
      <c r="I218" s="2296">
        <f t="shared" ca="1" si="159"/>
        <v>205.66</v>
      </c>
      <c r="J218" s="2296">
        <f t="shared" ca="1" si="160"/>
        <v>12552.23</v>
      </c>
      <c r="K218" s="2296"/>
    </row>
    <row r="219" spans="1:11" ht="15.75">
      <c r="A219" s="2128">
        <v>7</v>
      </c>
      <c r="B219" s="2285" t="s">
        <v>3840</v>
      </c>
      <c r="C219" s="2284">
        <f t="shared" ca="1" si="154"/>
        <v>2036.4499999999998</v>
      </c>
      <c r="D219" s="2296">
        <f t="shared" ca="1" si="155"/>
        <v>2036.4499999999998</v>
      </c>
      <c r="E219" s="2296">
        <f t="shared" ca="1" si="153"/>
        <v>851.66000000000008</v>
      </c>
      <c r="F219" s="2296">
        <f t="shared" si="156"/>
        <v>1323.2600000000002</v>
      </c>
      <c r="G219" s="2296">
        <f t="shared" si="157"/>
        <v>1184.79</v>
      </c>
      <c r="H219" s="2296">
        <f t="shared" si="158"/>
        <v>138.47</v>
      </c>
      <c r="I219" s="2296">
        <f t="shared" ca="1" si="159"/>
        <v>497.98</v>
      </c>
      <c r="J219" s="2296">
        <f t="shared" ca="1" si="160"/>
        <v>215.21</v>
      </c>
      <c r="K219" s="2296"/>
    </row>
    <row r="220" spans="1:11" ht="15.75">
      <c r="A220" s="2128">
        <v>8</v>
      </c>
      <c r="B220" s="2285" t="s">
        <v>1362</v>
      </c>
      <c r="C220" s="2284">
        <f t="shared" si="154"/>
        <v>0</v>
      </c>
      <c r="D220" s="2296">
        <f t="shared" si="155"/>
        <v>0</v>
      </c>
      <c r="E220" s="2296">
        <f t="shared" si="153"/>
        <v>0</v>
      </c>
      <c r="F220" s="2296">
        <f t="shared" si="156"/>
        <v>0</v>
      </c>
      <c r="G220" s="2296">
        <f t="shared" si="157"/>
        <v>0</v>
      </c>
      <c r="H220" s="2296">
        <f t="shared" si="158"/>
        <v>0</v>
      </c>
      <c r="I220" s="2296">
        <f t="shared" si="159"/>
        <v>0</v>
      </c>
      <c r="J220" s="2296">
        <f t="shared" si="160"/>
        <v>0</v>
      </c>
      <c r="K220" s="2296"/>
    </row>
    <row r="221" spans="1:11" ht="15.75">
      <c r="A221" s="2128">
        <v>9</v>
      </c>
      <c r="B221" s="2283" t="s">
        <v>3841</v>
      </c>
      <c r="C221" s="2284">
        <f t="shared" ca="1" si="154"/>
        <v>2066.06</v>
      </c>
      <c r="D221" s="2296">
        <f t="shared" ca="1" si="155"/>
        <v>2066.06</v>
      </c>
      <c r="E221" s="2296">
        <f t="shared" ca="1" si="153"/>
        <v>994.82000000000016</v>
      </c>
      <c r="F221" s="2296">
        <f t="shared" si="156"/>
        <v>1196.44</v>
      </c>
      <c r="G221" s="2296">
        <f t="shared" si="157"/>
        <v>1071.24</v>
      </c>
      <c r="H221" s="2296">
        <f t="shared" si="158"/>
        <v>125.2</v>
      </c>
      <c r="I221" s="2296">
        <f t="shared" ca="1" si="159"/>
        <v>729.29000000000008</v>
      </c>
      <c r="J221" s="2296">
        <f t="shared" ca="1" si="160"/>
        <v>140.33000000000001</v>
      </c>
      <c r="K221" s="2296"/>
    </row>
    <row r="222" spans="1:11" ht="15.75">
      <c r="A222" s="2128">
        <v>10</v>
      </c>
      <c r="B222" s="2283" t="s">
        <v>3804</v>
      </c>
      <c r="C222" s="2284">
        <f t="shared" ca="1" si="154"/>
        <v>1762.08</v>
      </c>
      <c r="D222" s="2296">
        <f t="shared" ca="1" si="155"/>
        <v>1762.08</v>
      </c>
      <c r="E222" s="2296">
        <f t="shared" ca="1" si="153"/>
        <v>652.46000000000015</v>
      </c>
      <c r="F222" s="2296">
        <f t="shared" si="156"/>
        <v>1239.31</v>
      </c>
      <c r="G222" s="2296">
        <f t="shared" si="157"/>
        <v>1109.6199999999999</v>
      </c>
      <c r="H222" s="2296">
        <f t="shared" si="158"/>
        <v>129.69</v>
      </c>
      <c r="I222" s="2296">
        <f t="shared" ca="1" si="159"/>
        <v>451.44</v>
      </c>
      <c r="J222" s="2296">
        <f t="shared" ca="1" si="160"/>
        <v>71.33</v>
      </c>
      <c r="K222" s="2296"/>
    </row>
    <row r="223" spans="1:11" ht="15.75">
      <c r="A223" s="2128">
        <v>11</v>
      </c>
      <c r="B223" s="2283" t="s">
        <v>3842</v>
      </c>
      <c r="C223" s="2284">
        <f t="shared" ca="1" si="154"/>
        <v>389.86</v>
      </c>
      <c r="D223" s="2296">
        <f t="shared" ca="1" si="155"/>
        <v>389.86</v>
      </c>
      <c r="E223" s="2296">
        <f t="shared" ca="1" si="153"/>
        <v>218.95999999999998</v>
      </c>
      <c r="F223" s="2296">
        <f t="shared" si="156"/>
        <v>190.87</v>
      </c>
      <c r="G223" s="2296">
        <f t="shared" si="157"/>
        <v>170.9</v>
      </c>
      <c r="H223" s="2296">
        <f t="shared" si="158"/>
        <v>19.97</v>
      </c>
      <c r="I223" s="2296">
        <f t="shared" ca="1" si="159"/>
        <v>179.97</v>
      </c>
      <c r="J223" s="2296">
        <f t="shared" ca="1" si="160"/>
        <v>19.02</v>
      </c>
      <c r="K223" s="2296"/>
    </row>
    <row r="224" spans="1:11" ht="15.75">
      <c r="A224" s="2128">
        <v>12</v>
      </c>
      <c r="B224" s="2287" t="s">
        <v>3843</v>
      </c>
      <c r="C224" s="2284">
        <f t="shared" ca="1" si="154"/>
        <v>1150.48</v>
      </c>
      <c r="D224" s="2296">
        <f t="shared" ca="1" si="155"/>
        <v>1150.48</v>
      </c>
      <c r="E224" s="2296">
        <f t="shared" ca="1" si="153"/>
        <v>511.96999999999991</v>
      </c>
      <c r="F224" s="2296">
        <f t="shared" si="156"/>
        <v>713.13</v>
      </c>
      <c r="G224" s="2296">
        <f t="shared" si="157"/>
        <v>638.5100000000001</v>
      </c>
      <c r="H224" s="2296">
        <f t="shared" si="158"/>
        <v>74.62</v>
      </c>
      <c r="I224" s="2296">
        <f t="shared" ca="1" si="159"/>
        <v>377.07</v>
      </c>
      <c r="J224" s="2296">
        <f t="shared" ca="1" si="160"/>
        <v>60.279999999999994</v>
      </c>
      <c r="K224" s="2296"/>
    </row>
    <row r="225" spans="1:11" ht="15.75">
      <c r="A225" s="2128">
        <v>13</v>
      </c>
      <c r="B225" s="2287" t="s">
        <v>1460</v>
      </c>
      <c r="C225" s="2284">
        <f t="shared" ca="1" si="154"/>
        <v>139412.21</v>
      </c>
      <c r="D225" s="2296">
        <f t="shared" ca="1" si="155"/>
        <v>139412.21</v>
      </c>
      <c r="E225" s="2296">
        <f t="shared" ca="1" si="153"/>
        <v>139334.73000000001</v>
      </c>
      <c r="F225" s="2297">
        <f t="shared" si="156"/>
        <v>86.53</v>
      </c>
      <c r="G225" s="2296">
        <f t="shared" si="157"/>
        <v>77.48</v>
      </c>
      <c r="H225" s="2296">
        <f t="shared" si="158"/>
        <v>9.0500000000000007</v>
      </c>
      <c r="I225" s="2296">
        <f t="shared" ca="1" si="159"/>
        <v>139314.94</v>
      </c>
      <c r="J225" s="2296">
        <f t="shared" ca="1" si="160"/>
        <v>10.74</v>
      </c>
      <c r="K225" s="2296"/>
    </row>
    <row r="226" spans="1:11" ht="31.5">
      <c r="A226" s="2128">
        <v>14</v>
      </c>
      <c r="B226" s="2287" t="s">
        <v>3813</v>
      </c>
      <c r="C226" s="2284">
        <f t="shared" si="154"/>
        <v>0</v>
      </c>
      <c r="D226" s="2296">
        <f t="shared" si="155"/>
        <v>0</v>
      </c>
      <c r="E226" s="2296">
        <f t="shared" si="153"/>
        <v>0</v>
      </c>
      <c r="F226" s="2296">
        <f t="shared" si="156"/>
        <v>0</v>
      </c>
      <c r="G226" s="2296">
        <f t="shared" si="157"/>
        <v>0</v>
      </c>
      <c r="H226" s="2296">
        <f t="shared" si="158"/>
        <v>0</v>
      </c>
      <c r="I226" s="2296">
        <f t="shared" si="159"/>
        <v>0</v>
      </c>
      <c r="J226" s="2296">
        <f t="shared" si="160"/>
        <v>0</v>
      </c>
      <c r="K226" s="2296"/>
    </row>
    <row r="227" spans="1:11" ht="15.75">
      <c r="A227" s="2131">
        <v>15</v>
      </c>
      <c r="B227" s="2287" t="s">
        <v>3844</v>
      </c>
      <c r="C227" s="2284">
        <f t="shared" ca="1" si="154"/>
        <v>1187.5899999999999</v>
      </c>
      <c r="D227" s="2298">
        <f t="shared" ca="1" si="155"/>
        <v>1187.5899999999999</v>
      </c>
      <c r="E227" s="2298">
        <f t="shared" ca="1" si="153"/>
        <v>560.11000000000013</v>
      </c>
      <c r="F227" s="2298">
        <f t="shared" si="156"/>
        <v>700.82</v>
      </c>
      <c r="G227" s="2298">
        <f t="shared" si="157"/>
        <v>627.4799999999999</v>
      </c>
      <c r="H227" s="2298">
        <f t="shared" si="158"/>
        <v>73.34</v>
      </c>
      <c r="I227" s="2298">
        <f t="shared" ca="1" si="159"/>
        <v>319.89999999999998</v>
      </c>
      <c r="J227" s="2298">
        <f t="shared" ca="1" si="160"/>
        <v>166.87000000000003</v>
      </c>
      <c r="K227" s="2298"/>
    </row>
    <row r="228" spans="1:11" ht="15">
      <c r="A228" s="3434" t="s">
        <v>3820</v>
      </c>
      <c r="B228" s="3435"/>
      <c r="C228" s="2217">
        <f>SUM(C229:C231)</f>
        <v>373793.53</v>
      </c>
      <c r="D228" s="2218">
        <f>SUM(D229:D231)</f>
        <v>373793.53</v>
      </c>
      <c r="E228" s="2218">
        <f>SUM(E229:E231)</f>
        <v>326910.90381688299</v>
      </c>
      <c r="F228" s="2218">
        <f t="shared" ref="F228:K228" si="161">SUM(F229:F231)</f>
        <v>162920.10520632152</v>
      </c>
      <c r="G228" s="2218">
        <f>SUM(G229:G231)</f>
        <v>46882.626183117085</v>
      </c>
      <c r="H228" s="2218">
        <f t="shared" si="161"/>
        <v>116037.47902320445</v>
      </c>
      <c r="I228" s="2218">
        <f t="shared" si="161"/>
        <v>201165.23838402142</v>
      </c>
      <c r="J228" s="2218">
        <f t="shared" si="161"/>
        <v>9708.1864096570898</v>
      </c>
      <c r="K228" s="2218">
        <f t="shared" si="161"/>
        <v>0</v>
      </c>
    </row>
    <row r="229" spans="1:11">
      <c r="A229" s="2125">
        <v>1</v>
      </c>
      <c r="B229" s="2135" t="s">
        <v>3821</v>
      </c>
    </row>
    <row r="230" spans="1:11">
      <c r="A230" s="2128">
        <v>2</v>
      </c>
      <c r="B230" s="2136" t="s">
        <v>2921</v>
      </c>
      <c r="C230" s="2281">
        <f>'Выручка, УО_2017'!C22*1000-C235</f>
        <v>242881.29000000004</v>
      </c>
      <c r="D230" s="2281">
        <f>C230</f>
        <v>242881.29000000004</v>
      </c>
      <c r="E230" s="2281">
        <f>C230-G230</f>
        <v>212418.18177730672</v>
      </c>
      <c r="F230" s="2281">
        <f>G230+H230</f>
        <v>105861.23372559328</v>
      </c>
      <c r="G230" s="2281">
        <f>'Выручка, УО_2017'!H22*1000-'СС2017 '!G235</f>
        <v>30463.108222693307</v>
      </c>
      <c r="H230" s="2281">
        <f>'Выручка, УО_2017'!I22*1000-'СС2017 '!H235</f>
        <v>75398.125502899973</v>
      </c>
      <c r="I230" s="2281">
        <f>'Выручка, УО_2017'!J22*1000-'СС2017 '!I235</f>
        <v>130711.92982851627</v>
      </c>
      <c r="J230" s="2281">
        <f>'Выручка, УО_2017'!K22*1000-'СС2017 '!J235</f>
        <v>6308.1264458904734</v>
      </c>
      <c r="K230" s="2281"/>
    </row>
    <row r="231" spans="1:11">
      <c r="A231" s="2131">
        <v>3</v>
      </c>
      <c r="B231" s="2137" t="s">
        <v>2924</v>
      </c>
      <c r="C231" s="2289">
        <f>'Выручка, УО_2017'!C25*1000-C236</f>
        <v>130912.24000000002</v>
      </c>
      <c r="D231" s="2289">
        <f>C231</f>
        <v>130912.24000000002</v>
      </c>
      <c r="E231" s="2289">
        <f>C231-G231</f>
        <v>114492.72203957624</v>
      </c>
      <c r="F231" s="2289">
        <f>G231+H231</f>
        <v>57058.871480728238</v>
      </c>
      <c r="G231" s="2289">
        <f>'Выручка, УО_2017'!H25*1000-'СС2017 '!G236</f>
        <v>16419.517960423775</v>
      </c>
      <c r="H231" s="2289">
        <f>'Выручка, УО_2017'!I25*1000-'СС2017 '!H236</f>
        <v>40639.353520304467</v>
      </c>
      <c r="I231" s="2289">
        <f>'Выручка, УО_2017'!J25*1000-'СС2017 '!I236</f>
        <v>70453.308555505151</v>
      </c>
      <c r="J231" s="2289">
        <f>'Выручка, УО_2017'!K25*1000-'СС2017 '!J236</f>
        <v>3400.0599637666173</v>
      </c>
      <c r="K231" s="2289"/>
    </row>
    <row r="235" spans="1:11">
      <c r="B235" s="2299" t="s">
        <v>3845</v>
      </c>
      <c r="C235" s="2244">
        <v>165337.07</v>
      </c>
      <c r="G235" s="2300">
        <f>G237-G236</f>
        <v>20737.212909042479</v>
      </c>
      <c r="H235" s="2300">
        <f t="shared" ref="H235:J235" si="162">H237-H236</f>
        <v>51325.922891910173</v>
      </c>
      <c r="I235" s="2300">
        <f t="shared" si="162"/>
        <v>88979.790630460833</v>
      </c>
      <c r="J235" s="2300">
        <f t="shared" si="162"/>
        <v>4294.1435685865181</v>
      </c>
    </row>
    <row r="236" spans="1:11">
      <c r="B236" s="2299" t="s">
        <v>3846</v>
      </c>
      <c r="C236" s="2244">
        <v>17617.78</v>
      </c>
      <c r="G236" s="2300">
        <f>ROUND(G237/$C$237*$C$236,2)</f>
        <v>2209.69</v>
      </c>
      <c r="H236" s="2300">
        <f t="shared" ref="H236:J236" si="163">ROUND(H237/$C$237*$C$236,2)</f>
        <v>5469.12</v>
      </c>
      <c r="I236" s="2300">
        <f t="shared" si="163"/>
        <v>9481.4</v>
      </c>
      <c r="J236" s="2300">
        <f t="shared" si="163"/>
        <v>457.57</v>
      </c>
    </row>
    <row r="237" spans="1:11">
      <c r="C237" s="2244">
        <f>SUM(C235:C236)</f>
        <v>182954.85</v>
      </c>
      <c r="G237" s="2300">
        <f>'Выручка, УО_2017'!H34</f>
        <v>22946.902909042477</v>
      </c>
      <c r="H237" s="2300">
        <f>'Выручка, УО_2017'!I34</f>
        <v>56795.042891910176</v>
      </c>
      <c r="I237" s="2300">
        <f>'Выручка, УО_2017'!J34</f>
        <v>98461.190630460827</v>
      </c>
      <c r="J237" s="2300">
        <f>'Выручка, УО_2017'!K34</f>
        <v>4751.7135685865178</v>
      </c>
    </row>
    <row r="259" spans="2:4" ht="12.75" customHeight="1"/>
    <row r="260" spans="2:4" ht="12.75" customHeight="1"/>
    <row r="261" spans="2:4">
      <c r="B261" s="3432" t="s">
        <v>715</v>
      </c>
      <c r="C261" s="3432"/>
      <c r="D261" s="2301">
        <v>231993.94</v>
      </c>
    </row>
    <row r="262" spans="2:4" hidden="1">
      <c r="B262" s="3433" t="s">
        <v>1318</v>
      </c>
      <c r="C262" s="3433"/>
      <c r="D262" s="2302"/>
    </row>
    <row r="263" spans="2:4" hidden="1">
      <c r="B263" s="3427" t="s">
        <v>1469</v>
      </c>
      <c r="C263" s="3427"/>
      <c r="D263" s="2303">
        <v>1726.29</v>
      </c>
    </row>
    <row r="264" spans="2:4" hidden="1">
      <c r="B264" s="3424" t="s">
        <v>1319</v>
      </c>
      <c r="C264" s="3424"/>
      <c r="D264" s="2304">
        <v>24.04</v>
      </c>
    </row>
    <row r="265" spans="2:4" hidden="1">
      <c r="B265" s="3424" t="s">
        <v>1320</v>
      </c>
      <c r="C265" s="3424"/>
      <c r="D265" s="2305">
        <v>1702.25</v>
      </c>
    </row>
    <row r="266" spans="2:4" hidden="1">
      <c r="B266" s="3427" t="s">
        <v>1470</v>
      </c>
      <c r="C266" s="3427"/>
      <c r="D266" s="2303">
        <v>50298.25</v>
      </c>
    </row>
    <row r="267" spans="2:4" hidden="1">
      <c r="B267" s="3424" t="s">
        <v>1325</v>
      </c>
      <c r="C267" s="3424"/>
      <c r="D267" s="2304">
        <v>4.4400000000000004</v>
      </c>
    </row>
    <row r="268" spans="2:4" hidden="1">
      <c r="B268" s="3424" t="s">
        <v>1326</v>
      </c>
      <c r="C268" s="3424"/>
      <c r="D268" s="2304">
        <v>5.18</v>
      </c>
    </row>
    <row r="269" spans="2:4" hidden="1">
      <c r="B269" s="3424" t="s">
        <v>1331</v>
      </c>
      <c r="C269" s="3424"/>
      <c r="D269" s="2305">
        <v>1662.87</v>
      </c>
    </row>
    <row r="270" spans="2:4" hidden="1">
      <c r="B270" s="3424" t="s">
        <v>1332</v>
      </c>
      <c r="C270" s="3424"/>
      <c r="D270" s="2305">
        <v>3376.19</v>
      </c>
    </row>
    <row r="271" spans="2:4" hidden="1">
      <c r="B271" s="3424" t="s">
        <v>1338</v>
      </c>
      <c r="C271" s="3424"/>
      <c r="D271" s="2304">
        <v>115.63</v>
      </c>
    </row>
    <row r="272" spans="2:4" hidden="1">
      <c r="B272" s="3424" t="s">
        <v>1362</v>
      </c>
      <c r="C272" s="3424"/>
      <c r="D272" s="2304">
        <v>93.19</v>
      </c>
    </row>
    <row r="273" spans="2:4" hidden="1">
      <c r="B273" s="3424" t="s">
        <v>1363</v>
      </c>
      <c r="C273" s="3424"/>
      <c r="D273" s="2304">
        <v>80.66</v>
      </c>
    </row>
    <row r="274" spans="2:4" hidden="1">
      <c r="B274" s="3424" t="s">
        <v>1364</v>
      </c>
      <c r="C274" s="3424"/>
      <c r="D274" s="2305">
        <v>19309.84</v>
      </c>
    </row>
    <row r="275" spans="2:4" hidden="1">
      <c r="B275" s="3424" t="s">
        <v>1381</v>
      </c>
      <c r="C275" s="3424"/>
      <c r="D275" s="2305">
        <v>10399.66</v>
      </c>
    </row>
    <row r="276" spans="2:4" hidden="1">
      <c r="B276" s="3424" t="s">
        <v>1382</v>
      </c>
      <c r="C276" s="3424"/>
      <c r="D276" s="2305">
        <v>3673.79</v>
      </c>
    </row>
    <row r="277" spans="2:4" hidden="1">
      <c r="B277" s="3424" t="s">
        <v>1383</v>
      </c>
      <c r="C277" s="3424"/>
      <c r="D277" s="2305">
        <v>2802.54</v>
      </c>
    </row>
    <row r="278" spans="2:4" hidden="1">
      <c r="B278" s="3424" t="s">
        <v>1384</v>
      </c>
      <c r="C278" s="3424"/>
      <c r="D278" s="2305">
        <v>2263.9299999999998</v>
      </c>
    </row>
    <row r="279" spans="2:4" hidden="1">
      <c r="B279" s="3424" t="s">
        <v>1385</v>
      </c>
      <c r="C279" s="3424"/>
      <c r="D279" s="2304">
        <v>439.02</v>
      </c>
    </row>
    <row r="280" spans="2:4" hidden="1">
      <c r="B280" s="3424" t="s">
        <v>1386</v>
      </c>
      <c r="C280" s="3424"/>
      <c r="D280" s="2305">
        <v>6071.31</v>
      </c>
    </row>
    <row r="281" spans="2:4" hidden="1">
      <c r="B281" s="3427" t="s">
        <v>1471</v>
      </c>
      <c r="C281" s="3427"/>
      <c r="D281" s="2303">
        <v>7411.06</v>
      </c>
    </row>
    <row r="282" spans="2:4" hidden="1">
      <c r="B282" s="3429" t="s">
        <v>1472</v>
      </c>
      <c r="C282" s="3429"/>
      <c r="D282" s="2303">
        <v>2189.39</v>
      </c>
    </row>
    <row r="283" spans="2:4" hidden="1">
      <c r="B283" s="3426" t="s">
        <v>1411</v>
      </c>
      <c r="C283" s="3426"/>
      <c r="D283" s="2304">
        <v>123.66</v>
      </c>
    </row>
    <row r="284" spans="2:4" hidden="1">
      <c r="B284" s="3426" t="s">
        <v>1459</v>
      </c>
      <c r="C284" s="3426"/>
      <c r="D284" s="2305">
        <v>2065.73</v>
      </c>
    </row>
    <row r="285" spans="2:4" hidden="1">
      <c r="B285" s="3429" t="s">
        <v>1473</v>
      </c>
      <c r="C285" s="3429"/>
      <c r="D285" s="2306">
        <v>627.01</v>
      </c>
    </row>
    <row r="286" spans="2:4" hidden="1">
      <c r="B286" s="3428" t="s">
        <v>1474</v>
      </c>
      <c r="C286" s="3428"/>
      <c r="D286" s="2306">
        <v>333.37</v>
      </c>
    </row>
    <row r="287" spans="2:4" hidden="1">
      <c r="B287" s="3425" t="s">
        <v>1426</v>
      </c>
      <c r="C287" s="3425"/>
      <c r="D287" s="2304">
        <v>32.11</v>
      </c>
    </row>
    <row r="288" spans="2:4" hidden="1">
      <c r="B288" s="3425" t="s">
        <v>1433</v>
      </c>
      <c r="C288" s="3425"/>
      <c r="D288" s="2304">
        <v>274.20999999999998</v>
      </c>
    </row>
    <row r="289" spans="2:4" hidden="1">
      <c r="B289" s="3425" t="s">
        <v>1436</v>
      </c>
      <c r="C289" s="3425"/>
      <c r="D289" s="2304">
        <v>27.05</v>
      </c>
    </row>
    <row r="290" spans="2:4" hidden="1">
      <c r="B290" s="3426" t="s">
        <v>1427</v>
      </c>
      <c r="C290" s="3426"/>
      <c r="D290" s="2304">
        <v>74.97</v>
      </c>
    </row>
    <row r="291" spans="2:4" hidden="1">
      <c r="B291" s="3428" t="s">
        <v>1475</v>
      </c>
      <c r="C291" s="3428"/>
      <c r="D291" s="2306">
        <v>218.67</v>
      </c>
    </row>
    <row r="292" spans="2:4" hidden="1">
      <c r="B292" s="3431" t="s">
        <v>1476</v>
      </c>
      <c r="C292" s="3431"/>
      <c r="D292" s="2306">
        <v>142.78</v>
      </c>
    </row>
    <row r="293" spans="2:4" hidden="1">
      <c r="B293" s="3430" t="s">
        <v>1437</v>
      </c>
      <c r="C293" s="3430"/>
      <c r="D293" s="2304">
        <v>82.59</v>
      </c>
    </row>
    <row r="294" spans="2:4" hidden="1">
      <c r="B294" s="3430" t="s">
        <v>1438</v>
      </c>
      <c r="C294" s="3430"/>
      <c r="D294" s="2304">
        <v>60.19</v>
      </c>
    </row>
    <row r="295" spans="2:4" hidden="1">
      <c r="B295" s="3431" t="s">
        <v>1477</v>
      </c>
      <c r="C295" s="3431"/>
      <c r="D295" s="2306">
        <v>75.89</v>
      </c>
    </row>
    <row r="296" spans="2:4" hidden="1">
      <c r="B296" s="3430" t="s">
        <v>1439</v>
      </c>
      <c r="C296" s="3430"/>
      <c r="D296" s="2304">
        <v>27.11</v>
      </c>
    </row>
    <row r="297" spans="2:4" hidden="1">
      <c r="B297" s="3430" t="s">
        <v>1440</v>
      </c>
      <c r="C297" s="3430"/>
      <c r="D297" s="2304">
        <v>3.91</v>
      </c>
    </row>
    <row r="298" spans="2:4" hidden="1">
      <c r="B298" s="3430" t="s">
        <v>1442</v>
      </c>
      <c r="C298" s="3430"/>
      <c r="D298" s="2304">
        <v>19.87</v>
      </c>
    </row>
    <row r="299" spans="2:4" hidden="1">
      <c r="B299" s="3430" t="s">
        <v>1443</v>
      </c>
      <c r="C299" s="3430"/>
      <c r="D299" s="2304">
        <v>25</v>
      </c>
    </row>
    <row r="300" spans="2:4" hidden="1">
      <c r="B300" s="3429" t="s">
        <v>1478</v>
      </c>
      <c r="C300" s="3429"/>
      <c r="D300" s="2303">
        <v>4594.66</v>
      </c>
    </row>
    <row r="301" spans="2:4" hidden="1">
      <c r="B301" s="3428" t="s">
        <v>1479</v>
      </c>
      <c r="C301" s="3428"/>
      <c r="D301" s="2303">
        <v>1987.96</v>
      </c>
    </row>
    <row r="302" spans="2:4" hidden="1">
      <c r="B302" s="3425" t="s">
        <v>1327</v>
      </c>
      <c r="C302" s="3425"/>
      <c r="D302" s="2305">
        <v>1626.41</v>
      </c>
    </row>
    <row r="303" spans="2:4" hidden="1">
      <c r="B303" s="3425" t="s">
        <v>1328</v>
      </c>
      <c r="C303" s="3425"/>
      <c r="D303" s="2304">
        <v>361.55</v>
      </c>
    </row>
    <row r="304" spans="2:4" hidden="1">
      <c r="B304" s="3428" t="s">
        <v>1480</v>
      </c>
      <c r="C304" s="3428"/>
      <c r="D304" s="2306">
        <v>429.69</v>
      </c>
    </row>
    <row r="305" spans="2:4" hidden="1">
      <c r="B305" s="3425" t="s">
        <v>1352</v>
      </c>
      <c r="C305" s="3425"/>
      <c r="D305" s="2304">
        <v>120.24</v>
      </c>
    </row>
    <row r="306" spans="2:4" hidden="1">
      <c r="B306" s="3425" t="s">
        <v>1354</v>
      </c>
      <c r="C306" s="3425"/>
      <c r="D306" s="2304">
        <v>222.58</v>
      </c>
    </row>
    <row r="307" spans="2:4" hidden="1">
      <c r="B307" s="3425" t="s">
        <v>1357</v>
      </c>
      <c r="C307" s="3425"/>
      <c r="D307" s="2304">
        <v>86.87</v>
      </c>
    </row>
    <row r="308" spans="2:4" hidden="1">
      <c r="B308" s="3428" t="s">
        <v>1481</v>
      </c>
      <c r="C308" s="3428"/>
      <c r="D308" s="2303">
        <v>1294.99</v>
      </c>
    </row>
    <row r="309" spans="2:4" hidden="1">
      <c r="B309" s="3425" t="s">
        <v>1351</v>
      </c>
      <c r="C309" s="3425"/>
      <c r="D309" s="2304">
        <v>29.27</v>
      </c>
    </row>
    <row r="310" spans="2:4" hidden="1">
      <c r="B310" s="3425" t="s">
        <v>1353</v>
      </c>
      <c r="C310" s="3425"/>
      <c r="D310" s="2304">
        <v>807.26</v>
      </c>
    </row>
    <row r="311" spans="2:4" hidden="1">
      <c r="B311" s="3425" t="s">
        <v>1355</v>
      </c>
      <c r="C311" s="3425"/>
      <c r="D311" s="2304">
        <v>58.89</v>
      </c>
    </row>
    <row r="312" spans="2:4" hidden="1">
      <c r="B312" s="3425" t="s">
        <v>1356</v>
      </c>
      <c r="C312" s="3425"/>
      <c r="D312" s="2304">
        <v>291.77999999999997</v>
      </c>
    </row>
    <row r="313" spans="2:4" hidden="1">
      <c r="B313" s="3425" t="s">
        <v>1358</v>
      </c>
      <c r="C313" s="3425"/>
      <c r="D313" s="2304">
        <v>16.09</v>
      </c>
    </row>
    <row r="314" spans="2:4" hidden="1">
      <c r="B314" s="3425" t="s">
        <v>1359</v>
      </c>
      <c r="C314" s="3425"/>
      <c r="D314" s="2304">
        <v>80.77</v>
      </c>
    </row>
    <row r="315" spans="2:4" hidden="1">
      <c r="B315" s="3425" t="s">
        <v>1360</v>
      </c>
      <c r="C315" s="3425"/>
      <c r="D315" s="2304">
        <v>10.93</v>
      </c>
    </row>
    <row r="316" spans="2:4" hidden="1">
      <c r="B316" s="3428" t="s">
        <v>1482</v>
      </c>
      <c r="C316" s="3428"/>
      <c r="D316" s="2306">
        <v>882.02</v>
      </c>
    </row>
    <row r="317" spans="2:4" hidden="1">
      <c r="B317" s="3425" t="s">
        <v>1368</v>
      </c>
      <c r="C317" s="3425"/>
      <c r="D317" s="2304">
        <v>68.16</v>
      </c>
    </row>
    <row r="318" spans="2:4" hidden="1">
      <c r="B318" s="3425" t="s">
        <v>1369</v>
      </c>
      <c r="C318" s="3425"/>
      <c r="D318" s="2304">
        <v>37.47</v>
      </c>
    </row>
    <row r="319" spans="2:4" hidden="1">
      <c r="B319" s="3425" t="s">
        <v>1370</v>
      </c>
      <c r="C319" s="3425"/>
      <c r="D319" s="2304">
        <v>279.5</v>
      </c>
    </row>
    <row r="320" spans="2:4" hidden="1">
      <c r="B320" s="3425" t="s">
        <v>1371</v>
      </c>
      <c r="C320" s="3425"/>
      <c r="D320" s="2304">
        <v>107.58</v>
      </c>
    </row>
    <row r="321" spans="2:4" hidden="1">
      <c r="B321" s="3425" t="s">
        <v>1372</v>
      </c>
      <c r="C321" s="3425"/>
      <c r="D321" s="2304">
        <v>34.32</v>
      </c>
    </row>
    <row r="322" spans="2:4" hidden="1">
      <c r="B322" s="3425" t="s">
        <v>1373</v>
      </c>
      <c r="C322" s="3425"/>
      <c r="D322" s="2304">
        <v>24.23</v>
      </c>
    </row>
    <row r="323" spans="2:4" hidden="1">
      <c r="B323" s="3425" t="s">
        <v>1374</v>
      </c>
      <c r="C323" s="3425"/>
      <c r="D323" s="2304">
        <v>27.91</v>
      </c>
    </row>
    <row r="324" spans="2:4" hidden="1">
      <c r="B324" s="3425" t="s">
        <v>1375</v>
      </c>
      <c r="C324" s="3425"/>
      <c r="D324" s="2304">
        <v>44.02</v>
      </c>
    </row>
    <row r="325" spans="2:4" hidden="1">
      <c r="B325" s="3425" t="s">
        <v>1376</v>
      </c>
      <c r="C325" s="3425"/>
      <c r="D325" s="2304">
        <v>245.27</v>
      </c>
    </row>
    <row r="326" spans="2:4" hidden="1">
      <c r="B326" s="3425" t="s">
        <v>1377</v>
      </c>
      <c r="C326" s="3425"/>
      <c r="D326" s="2304">
        <v>13.56</v>
      </c>
    </row>
    <row r="327" spans="2:4" hidden="1">
      <c r="B327" s="3427" t="s">
        <v>1483</v>
      </c>
      <c r="C327" s="3427"/>
      <c r="D327" s="2303">
        <v>158062.73000000001</v>
      </c>
    </row>
    <row r="328" spans="2:4" hidden="1">
      <c r="B328" s="3429" t="s">
        <v>1484</v>
      </c>
      <c r="C328" s="3429"/>
      <c r="D328" s="2306">
        <v>328.38</v>
      </c>
    </row>
    <row r="329" spans="2:4" hidden="1">
      <c r="B329" s="3426" t="s">
        <v>1321</v>
      </c>
      <c r="C329" s="3426"/>
      <c r="D329" s="2304">
        <v>9.3000000000000007</v>
      </c>
    </row>
    <row r="330" spans="2:4" hidden="1">
      <c r="B330" s="3426" t="s">
        <v>1322</v>
      </c>
      <c r="C330" s="3426"/>
      <c r="D330" s="2304">
        <v>40.159999999999997</v>
      </c>
    </row>
    <row r="331" spans="2:4" hidden="1">
      <c r="B331" s="3426" t="s">
        <v>1323</v>
      </c>
      <c r="C331" s="3426"/>
      <c r="D331" s="2304">
        <v>278.92</v>
      </c>
    </row>
    <row r="332" spans="2:4" hidden="1">
      <c r="B332" s="3429" t="s">
        <v>1485</v>
      </c>
      <c r="C332" s="3429"/>
      <c r="D332" s="2303">
        <v>1120.6400000000001</v>
      </c>
    </row>
    <row r="333" spans="2:4" hidden="1">
      <c r="B333" s="3428" t="s">
        <v>1486</v>
      </c>
      <c r="C333" s="3428"/>
      <c r="D333" s="2306">
        <v>355.47</v>
      </c>
    </row>
    <row r="334" spans="2:4" hidden="1">
      <c r="B334" s="3425" t="s">
        <v>1333</v>
      </c>
      <c r="C334" s="3425"/>
      <c r="D334" s="2304">
        <v>311.45999999999998</v>
      </c>
    </row>
    <row r="335" spans="2:4" hidden="1">
      <c r="B335" s="3425" t="s">
        <v>1334</v>
      </c>
      <c r="C335" s="3425"/>
      <c r="D335" s="2304">
        <v>44.01</v>
      </c>
    </row>
    <row r="336" spans="2:4" hidden="1">
      <c r="B336" s="3426" t="s">
        <v>1335</v>
      </c>
      <c r="C336" s="3426"/>
      <c r="D336" s="2304">
        <v>89.45</v>
      </c>
    </row>
    <row r="337" spans="2:4" hidden="1">
      <c r="B337" s="3428" t="s">
        <v>1487</v>
      </c>
      <c r="C337" s="3428"/>
      <c r="D337" s="2306">
        <v>451.44</v>
      </c>
    </row>
    <row r="338" spans="2:4" hidden="1">
      <c r="B338" s="3425" t="s">
        <v>1379</v>
      </c>
      <c r="C338" s="3425"/>
      <c r="D338" s="2304">
        <v>229.45</v>
      </c>
    </row>
    <row r="339" spans="2:4" hidden="1">
      <c r="B339" s="3425" t="s">
        <v>1380</v>
      </c>
      <c r="C339" s="3425"/>
      <c r="D339" s="2304">
        <v>221.99</v>
      </c>
    </row>
    <row r="340" spans="2:4" hidden="1">
      <c r="B340" s="3426" t="s">
        <v>1339</v>
      </c>
      <c r="C340" s="3426"/>
      <c r="D340" s="2304">
        <v>205.66</v>
      </c>
    </row>
    <row r="341" spans="2:4" hidden="1">
      <c r="B341" s="3426" t="s">
        <v>1446</v>
      </c>
      <c r="C341" s="3426"/>
      <c r="D341" s="2304">
        <v>18.62</v>
      </c>
    </row>
    <row r="342" spans="2:4" hidden="1">
      <c r="B342" s="3429" t="s">
        <v>1488</v>
      </c>
      <c r="C342" s="3429"/>
      <c r="D342" s="2303">
        <v>1201.25</v>
      </c>
    </row>
    <row r="343" spans="2:4" hidden="1">
      <c r="B343" s="3426" t="s">
        <v>1329</v>
      </c>
      <c r="C343" s="3426"/>
      <c r="D343" s="2304">
        <v>378.16</v>
      </c>
    </row>
    <row r="344" spans="2:4" hidden="1">
      <c r="B344" s="3426" t="s">
        <v>1330</v>
      </c>
      <c r="C344" s="3426"/>
      <c r="D344" s="2304">
        <v>26.76</v>
      </c>
    </row>
    <row r="345" spans="2:4" hidden="1">
      <c r="B345" s="3426" t="s">
        <v>1387</v>
      </c>
      <c r="C345" s="3426"/>
      <c r="D345" s="2304">
        <v>88.6</v>
      </c>
    </row>
    <row r="346" spans="2:4" hidden="1">
      <c r="B346" s="3426" t="s">
        <v>1388</v>
      </c>
      <c r="C346" s="3426"/>
      <c r="D346" s="2304">
        <v>4.67</v>
      </c>
    </row>
    <row r="347" spans="2:4" hidden="1">
      <c r="B347" s="3426" t="s">
        <v>1389</v>
      </c>
      <c r="C347" s="3426"/>
      <c r="D347" s="2304">
        <v>686.75</v>
      </c>
    </row>
    <row r="348" spans="2:4" hidden="1">
      <c r="B348" s="3426" t="s">
        <v>1390</v>
      </c>
      <c r="C348" s="3426"/>
      <c r="D348" s="2304">
        <v>16.309999999999999</v>
      </c>
    </row>
    <row r="349" spans="2:4" hidden="1">
      <c r="B349" s="3424" t="s">
        <v>1336</v>
      </c>
      <c r="C349" s="3424"/>
      <c r="D349" s="2304">
        <v>246.47</v>
      </c>
    </row>
    <row r="350" spans="2:4" hidden="1">
      <c r="B350" s="3429" t="s">
        <v>1489</v>
      </c>
      <c r="C350" s="3429"/>
      <c r="D350" s="2306">
        <v>497.98</v>
      </c>
    </row>
    <row r="351" spans="2:4" hidden="1">
      <c r="B351" s="3428" t="s">
        <v>1490</v>
      </c>
      <c r="C351" s="3428"/>
      <c r="D351" s="2306">
        <v>310.19</v>
      </c>
    </row>
    <row r="352" spans="2:4" hidden="1">
      <c r="B352" s="3425" t="s">
        <v>1341</v>
      </c>
      <c r="C352" s="3425"/>
      <c r="D352" s="2304">
        <v>0.35</v>
      </c>
    </row>
    <row r="353" spans="2:4" hidden="1">
      <c r="B353" s="3425" t="s">
        <v>1342</v>
      </c>
      <c r="C353" s="3425"/>
      <c r="D353" s="2304">
        <v>45.18</v>
      </c>
    </row>
    <row r="354" spans="2:4" hidden="1">
      <c r="B354" s="3425" t="s">
        <v>1343</v>
      </c>
      <c r="C354" s="3425"/>
      <c r="D354" s="2304">
        <v>130.66999999999999</v>
      </c>
    </row>
    <row r="355" spans="2:4" hidden="1">
      <c r="B355" s="3425" t="s">
        <v>1344</v>
      </c>
      <c r="C355" s="3425"/>
      <c r="D355" s="2304">
        <v>133.99</v>
      </c>
    </row>
    <row r="356" spans="2:4" hidden="1">
      <c r="B356" s="3428" t="s">
        <v>1491</v>
      </c>
      <c r="C356" s="3428"/>
      <c r="D356" s="2306">
        <v>187.79</v>
      </c>
    </row>
    <row r="357" spans="2:4" hidden="1">
      <c r="B357" s="3425" t="s">
        <v>1345</v>
      </c>
      <c r="C357" s="3425"/>
      <c r="D357" s="2304">
        <v>1.54</v>
      </c>
    </row>
    <row r="358" spans="2:4" hidden="1">
      <c r="B358" s="3425" t="s">
        <v>1346</v>
      </c>
      <c r="C358" s="3425"/>
      <c r="D358" s="2304">
        <v>0.12</v>
      </c>
    </row>
    <row r="359" spans="2:4" hidden="1">
      <c r="B359" s="3425" t="s">
        <v>1347</v>
      </c>
      <c r="C359" s="3425"/>
      <c r="D359" s="2304">
        <v>1.57</v>
      </c>
    </row>
    <row r="360" spans="2:4" hidden="1">
      <c r="B360" s="3425" t="s">
        <v>1348</v>
      </c>
      <c r="C360" s="3425"/>
      <c r="D360" s="2304">
        <v>93.01</v>
      </c>
    </row>
    <row r="361" spans="2:4" hidden="1">
      <c r="B361" s="3425" t="s">
        <v>1349</v>
      </c>
      <c r="C361" s="3425"/>
      <c r="D361" s="2304">
        <v>91.55</v>
      </c>
    </row>
    <row r="362" spans="2:4" hidden="1">
      <c r="B362" s="3429" t="s">
        <v>1492</v>
      </c>
      <c r="C362" s="3429"/>
      <c r="D362" s="2303">
        <v>8396.2099999999991</v>
      </c>
    </row>
    <row r="363" spans="2:4" hidden="1">
      <c r="B363" s="3426" t="s">
        <v>1324</v>
      </c>
      <c r="C363" s="3426"/>
      <c r="D363" s="2304">
        <v>9.5500000000000007</v>
      </c>
    </row>
    <row r="364" spans="2:4" hidden="1">
      <c r="B364" s="3426" t="s">
        <v>1337</v>
      </c>
      <c r="C364" s="3426"/>
      <c r="D364" s="2304">
        <v>53.44</v>
      </c>
    </row>
    <row r="365" spans="2:4" hidden="1">
      <c r="B365" s="3426" t="s">
        <v>1361</v>
      </c>
      <c r="C365" s="3426"/>
      <c r="D365" s="2305">
        <v>8028.94</v>
      </c>
    </row>
    <row r="366" spans="2:4" hidden="1">
      <c r="B366" s="3426" t="s">
        <v>1412</v>
      </c>
      <c r="C366" s="3426"/>
      <c r="D366" s="2304">
        <v>178.09</v>
      </c>
    </row>
    <row r="367" spans="2:4" hidden="1">
      <c r="B367" s="3426" t="s">
        <v>1457</v>
      </c>
      <c r="C367" s="3426"/>
      <c r="D367" s="2304">
        <v>11.36</v>
      </c>
    </row>
    <row r="368" spans="2:4" hidden="1">
      <c r="B368" s="3426" t="s">
        <v>1458</v>
      </c>
      <c r="C368" s="3426"/>
      <c r="D368" s="2304">
        <v>114.83</v>
      </c>
    </row>
    <row r="369" spans="2:4" hidden="1">
      <c r="B369" s="3424" t="s">
        <v>1428</v>
      </c>
      <c r="C369" s="3424"/>
      <c r="D369" s="2304">
        <v>68.38</v>
      </c>
    </row>
    <row r="370" spans="2:4" hidden="1">
      <c r="B370" s="3424" t="s">
        <v>1460</v>
      </c>
      <c r="C370" s="3424"/>
      <c r="D370" s="2305">
        <v>139246.56</v>
      </c>
    </row>
    <row r="371" spans="2:4" hidden="1">
      <c r="B371" s="3429" t="s">
        <v>1493</v>
      </c>
      <c r="C371" s="3429"/>
      <c r="D371" s="2303">
        <v>6956.86</v>
      </c>
    </row>
    <row r="372" spans="2:4" hidden="1">
      <c r="B372" s="3428" t="s">
        <v>1494</v>
      </c>
      <c r="C372" s="3428"/>
      <c r="D372" s="2306">
        <v>301.27999999999997</v>
      </c>
    </row>
    <row r="373" spans="2:4" hidden="1">
      <c r="B373" s="3425" t="s">
        <v>1413</v>
      </c>
      <c r="C373" s="3425"/>
      <c r="D373" s="2304">
        <v>12.32</v>
      </c>
    </row>
    <row r="374" spans="2:4" hidden="1">
      <c r="B374" s="3425" t="s">
        <v>1429</v>
      </c>
      <c r="C374" s="3425"/>
      <c r="D374" s="2304">
        <v>7.64</v>
      </c>
    </row>
    <row r="375" spans="2:4" hidden="1">
      <c r="B375" s="3425" t="s">
        <v>1430</v>
      </c>
      <c r="C375" s="3425"/>
      <c r="D375" s="2304">
        <v>68.040000000000006</v>
      </c>
    </row>
    <row r="376" spans="2:4" hidden="1">
      <c r="B376" s="3425" t="s">
        <v>1431</v>
      </c>
      <c r="C376" s="3425"/>
      <c r="D376" s="2304">
        <v>182.31</v>
      </c>
    </row>
    <row r="377" spans="2:4" hidden="1">
      <c r="B377" s="3425" t="s">
        <v>1432</v>
      </c>
      <c r="C377" s="3425"/>
      <c r="D377" s="2304">
        <v>10.56</v>
      </c>
    </row>
    <row r="378" spans="2:4" hidden="1">
      <c r="B378" s="3425" t="s">
        <v>1434</v>
      </c>
      <c r="C378" s="3425"/>
      <c r="D378" s="2304">
        <v>1.44</v>
      </c>
    </row>
    <row r="379" spans="2:4" hidden="1">
      <c r="B379" s="3425" t="s">
        <v>1435</v>
      </c>
      <c r="C379" s="3425"/>
      <c r="D379" s="2304">
        <v>17.89</v>
      </c>
    </row>
    <row r="380" spans="2:4" hidden="1">
      <c r="B380" s="3425" t="s">
        <v>1455</v>
      </c>
      <c r="C380" s="3425"/>
      <c r="D380" s="2304">
        <v>1.08</v>
      </c>
    </row>
    <row r="381" spans="2:4" hidden="1">
      <c r="B381" s="3428" t="s">
        <v>1495</v>
      </c>
      <c r="C381" s="3428"/>
      <c r="D381" s="2306">
        <v>377.07</v>
      </c>
    </row>
    <row r="382" spans="2:4" hidden="1">
      <c r="B382" s="3425" t="s">
        <v>1419</v>
      </c>
      <c r="C382" s="3425"/>
      <c r="D382" s="2304">
        <v>75.41</v>
      </c>
    </row>
    <row r="383" spans="2:4" hidden="1">
      <c r="B383" s="3425" t="s">
        <v>1420</v>
      </c>
      <c r="C383" s="3425"/>
      <c r="D383" s="2304">
        <v>246.17</v>
      </c>
    </row>
    <row r="384" spans="2:4" hidden="1">
      <c r="B384" s="3425" t="s">
        <v>1421</v>
      </c>
      <c r="C384" s="3425"/>
      <c r="D384" s="2304">
        <v>25.36</v>
      </c>
    </row>
    <row r="385" spans="2:4" hidden="1">
      <c r="B385" s="3425" t="s">
        <v>1422</v>
      </c>
      <c r="C385" s="3425"/>
      <c r="D385" s="2304">
        <v>30.13</v>
      </c>
    </row>
    <row r="386" spans="2:4" hidden="1">
      <c r="B386" s="3428" t="s">
        <v>1496</v>
      </c>
      <c r="C386" s="3428"/>
      <c r="D386" s="2306">
        <v>149.09</v>
      </c>
    </row>
    <row r="387" spans="2:4" hidden="1">
      <c r="B387" s="3425" t="s">
        <v>1423</v>
      </c>
      <c r="C387" s="3425"/>
      <c r="D387" s="2304">
        <v>149.09</v>
      </c>
    </row>
    <row r="388" spans="2:4" hidden="1">
      <c r="B388" s="3428" t="s">
        <v>1497</v>
      </c>
      <c r="C388" s="3428"/>
      <c r="D388" s="2303">
        <v>2396.67</v>
      </c>
    </row>
    <row r="389" spans="2:4" hidden="1">
      <c r="B389" s="3425" t="s">
        <v>1414</v>
      </c>
      <c r="C389" s="3425"/>
      <c r="D389" s="2304">
        <v>540.04</v>
      </c>
    </row>
    <row r="390" spans="2:4" hidden="1">
      <c r="B390" s="3425" t="s">
        <v>1415</v>
      </c>
      <c r="C390" s="3425"/>
      <c r="D390" s="2304">
        <v>36.49</v>
      </c>
    </row>
    <row r="391" spans="2:4" hidden="1">
      <c r="B391" s="3425" t="s">
        <v>1416</v>
      </c>
      <c r="C391" s="3425"/>
      <c r="D391" s="2305">
        <v>1410.14</v>
      </c>
    </row>
    <row r="392" spans="2:4" hidden="1">
      <c r="B392" s="3425" t="s">
        <v>1417</v>
      </c>
      <c r="C392" s="3425"/>
      <c r="D392" s="2304">
        <v>143.28</v>
      </c>
    </row>
    <row r="393" spans="2:4" hidden="1">
      <c r="B393" s="3425" t="s">
        <v>1418</v>
      </c>
      <c r="C393" s="3425"/>
      <c r="D393" s="2304">
        <v>266.72000000000003</v>
      </c>
    </row>
    <row r="394" spans="2:4" hidden="1">
      <c r="B394" s="3428" t="s">
        <v>1498</v>
      </c>
      <c r="C394" s="3428"/>
      <c r="D394" s="2306">
        <v>729.29</v>
      </c>
    </row>
    <row r="395" spans="2:4" hidden="1">
      <c r="B395" s="3425" t="s">
        <v>1365</v>
      </c>
      <c r="C395" s="3425"/>
      <c r="D395" s="2304">
        <v>562.72</v>
      </c>
    </row>
    <row r="396" spans="2:4" hidden="1">
      <c r="B396" s="3425" t="s">
        <v>1366</v>
      </c>
      <c r="C396" s="3425"/>
      <c r="D396" s="2304">
        <v>164.72</v>
      </c>
    </row>
    <row r="397" spans="2:4" hidden="1">
      <c r="B397" s="3425" t="s">
        <v>1367</v>
      </c>
      <c r="C397" s="3425"/>
      <c r="D397" s="2304">
        <v>1.85</v>
      </c>
    </row>
    <row r="398" spans="2:4" hidden="1">
      <c r="B398" s="3426" t="s">
        <v>1444</v>
      </c>
      <c r="C398" s="3426"/>
      <c r="D398" s="2304">
        <v>84.54</v>
      </c>
    </row>
    <row r="399" spans="2:4" hidden="1">
      <c r="B399" s="3426" t="s">
        <v>1445</v>
      </c>
      <c r="C399" s="3426"/>
      <c r="D399" s="2304">
        <v>73.959999999999994</v>
      </c>
    </row>
    <row r="400" spans="2:4" hidden="1">
      <c r="B400" s="3428" t="s">
        <v>1499</v>
      </c>
      <c r="C400" s="3428"/>
      <c r="D400" s="2306">
        <v>962.4</v>
      </c>
    </row>
    <row r="401" spans="2:4" hidden="1">
      <c r="B401" s="3425" t="s">
        <v>1447</v>
      </c>
      <c r="C401" s="3425"/>
      <c r="D401" s="2304">
        <v>540.83000000000004</v>
      </c>
    </row>
    <row r="402" spans="2:4" hidden="1">
      <c r="B402" s="3425" t="s">
        <v>1448</v>
      </c>
      <c r="C402" s="3425"/>
      <c r="D402" s="2304">
        <v>124.71</v>
      </c>
    </row>
    <row r="403" spans="2:4" hidden="1">
      <c r="B403" s="3425" t="s">
        <v>1449</v>
      </c>
      <c r="C403" s="3425"/>
      <c r="D403" s="2304">
        <v>9.8000000000000007</v>
      </c>
    </row>
    <row r="404" spans="2:4" hidden="1">
      <c r="B404" s="3425" t="s">
        <v>1450</v>
      </c>
      <c r="C404" s="3425"/>
      <c r="D404" s="2304">
        <v>98.11</v>
      </c>
    </row>
    <row r="405" spans="2:4" hidden="1">
      <c r="B405" s="3425" t="s">
        <v>1451</v>
      </c>
      <c r="C405" s="3425"/>
      <c r="D405" s="2304">
        <v>180.82</v>
      </c>
    </row>
    <row r="406" spans="2:4" hidden="1">
      <c r="B406" s="3425" t="s">
        <v>1452</v>
      </c>
      <c r="C406" s="3425"/>
      <c r="D406" s="2304">
        <v>5.87</v>
      </c>
    </row>
    <row r="407" spans="2:4" hidden="1">
      <c r="B407" s="3425" t="s">
        <v>1453</v>
      </c>
      <c r="C407" s="3425"/>
      <c r="D407" s="2304">
        <v>2.2599999999999998</v>
      </c>
    </row>
    <row r="408" spans="2:4" hidden="1">
      <c r="B408" s="3426" t="s">
        <v>1454</v>
      </c>
      <c r="C408" s="3426"/>
      <c r="D408" s="2304">
        <v>90.52</v>
      </c>
    </row>
    <row r="409" spans="2:4" hidden="1">
      <c r="B409" s="3426" t="s">
        <v>1456</v>
      </c>
      <c r="C409" s="3426"/>
      <c r="D409" s="2305">
        <v>1792.04</v>
      </c>
    </row>
    <row r="410" spans="2:4" hidden="1">
      <c r="B410" s="3427" t="s">
        <v>1500</v>
      </c>
      <c r="C410" s="3427"/>
      <c r="D410" s="2303">
        <v>14495.61</v>
      </c>
    </row>
    <row r="411" spans="2:4" hidden="1">
      <c r="B411" s="3424" t="s">
        <v>1391</v>
      </c>
      <c r="C411" s="3424"/>
      <c r="D411" s="2305">
        <v>1592.25</v>
      </c>
    </row>
    <row r="412" spans="2:4" hidden="1">
      <c r="B412" s="3424" t="s">
        <v>1392</v>
      </c>
      <c r="C412" s="3424"/>
      <c r="D412" s="2304">
        <v>530.46</v>
      </c>
    </row>
    <row r="413" spans="2:4" hidden="1">
      <c r="B413" s="3424" t="s">
        <v>1393</v>
      </c>
      <c r="C413" s="3424"/>
      <c r="D413" s="2304">
        <v>181.99</v>
      </c>
    </row>
    <row r="414" spans="2:4" hidden="1">
      <c r="B414" s="3424" t="s">
        <v>1394</v>
      </c>
      <c r="C414" s="3424"/>
      <c r="D414" s="2304">
        <v>142.87</v>
      </c>
    </row>
    <row r="415" spans="2:4" hidden="1">
      <c r="B415" s="3424" t="s">
        <v>1395</v>
      </c>
      <c r="C415" s="3424"/>
      <c r="D415" s="2304">
        <v>114.3</v>
      </c>
    </row>
    <row r="416" spans="2:4" hidden="1">
      <c r="B416" s="3424" t="s">
        <v>1396</v>
      </c>
      <c r="C416" s="3424"/>
      <c r="D416" s="2305">
        <v>6612.99</v>
      </c>
    </row>
    <row r="417" spans="2:4" hidden="1">
      <c r="B417" s="3424" t="s">
        <v>1397</v>
      </c>
      <c r="C417" s="3424"/>
      <c r="D417" s="2305">
        <v>2010.95</v>
      </c>
    </row>
    <row r="418" spans="2:4" hidden="1">
      <c r="B418" s="3424" t="s">
        <v>1398</v>
      </c>
      <c r="C418" s="3424"/>
      <c r="D418" s="2304">
        <v>691.75</v>
      </c>
    </row>
    <row r="419" spans="2:4" hidden="1">
      <c r="B419" s="3424" t="s">
        <v>1399</v>
      </c>
      <c r="C419" s="3424"/>
      <c r="D419" s="2304">
        <v>616.5</v>
      </c>
    </row>
    <row r="420" spans="2:4" hidden="1">
      <c r="B420" s="3424" t="s">
        <v>1400</v>
      </c>
      <c r="C420" s="3424"/>
      <c r="D420" s="2304">
        <v>467.61</v>
      </c>
    </row>
    <row r="421" spans="2:4" hidden="1">
      <c r="B421" s="3424" t="s">
        <v>1401</v>
      </c>
      <c r="C421" s="3424"/>
      <c r="D421" s="2304">
        <v>121.77</v>
      </c>
    </row>
    <row r="422" spans="2:4" hidden="1">
      <c r="B422" s="3424" t="s">
        <v>1402</v>
      </c>
      <c r="C422" s="3424"/>
      <c r="D422" s="2304">
        <v>41.63</v>
      </c>
    </row>
    <row r="423" spans="2:4" hidden="1">
      <c r="B423" s="3424" t="s">
        <v>1403</v>
      </c>
      <c r="C423" s="3424"/>
      <c r="D423" s="2304">
        <v>15.36</v>
      </c>
    </row>
    <row r="424" spans="2:4" hidden="1">
      <c r="B424" s="3424" t="s">
        <v>1404</v>
      </c>
      <c r="C424" s="3424"/>
      <c r="D424" s="2304">
        <v>11.18</v>
      </c>
    </row>
    <row r="425" spans="2:4" hidden="1">
      <c r="B425" s="3424" t="s">
        <v>1405</v>
      </c>
      <c r="C425" s="3424"/>
      <c r="D425" s="2304">
        <v>7.87</v>
      </c>
    </row>
    <row r="426" spans="2:4" hidden="1">
      <c r="B426" s="3424" t="s">
        <v>1406</v>
      </c>
      <c r="C426" s="3424"/>
      <c r="D426" s="2304">
        <v>814.42</v>
      </c>
    </row>
    <row r="427" spans="2:4" hidden="1">
      <c r="B427" s="3424" t="s">
        <v>1407</v>
      </c>
      <c r="C427" s="3424"/>
      <c r="D427" s="2304">
        <v>301.62</v>
      </c>
    </row>
    <row r="428" spans="2:4" hidden="1">
      <c r="B428" s="3424" t="s">
        <v>1408</v>
      </c>
      <c r="C428" s="3424"/>
      <c r="D428" s="2304">
        <v>80.08</v>
      </c>
    </row>
    <row r="429" spans="2:4" hidden="1">
      <c r="B429" s="3424" t="s">
        <v>1409</v>
      </c>
      <c r="C429" s="3424"/>
      <c r="D429" s="2304">
        <v>81.239999999999995</v>
      </c>
    </row>
    <row r="430" spans="2:4" hidden="1">
      <c r="B430" s="3424" t="s">
        <v>1410</v>
      </c>
      <c r="C430" s="3424"/>
      <c r="D430" s="2304">
        <v>58.77</v>
      </c>
    </row>
    <row r="434" spans="2:4">
      <c r="B434" s="3432" t="s">
        <v>738</v>
      </c>
      <c r="C434" s="3432"/>
      <c r="D434" s="2301">
        <v>3805877.04</v>
      </c>
    </row>
    <row r="435" spans="2:4" hidden="1">
      <c r="B435" s="3433" t="s">
        <v>1318</v>
      </c>
      <c r="C435" s="3433"/>
      <c r="D435" s="2302"/>
    </row>
    <row r="436" spans="2:4" hidden="1">
      <c r="B436" s="3427" t="s">
        <v>1469</v>
      </c>
      <c r="C436" s="3427"/>
      <c r="D436" s="2303">
        <v>15829.93</v>
      </c>
    </row>
    <row r="437" spans="2:4" hidden="1">
      <c r="B437" s="3424" t="s">
        <v>1319</v>
      </c>
      <c r="C437" s="3424"/>
      <c r="D437" s="2304">
        <v>5.83</v>
      </c>
    </row>
    <row r="438" spans="2:4" hidden="1">
      <c r="B438" s="3424" t="s">
        <v>1320</v>
      </c>
      <c r="C438" s="3424"/>
      <c r="D438" s="2305">
        <v>15824.1</v>
      </c>
    </row>
    <row r="439" spans="2:4" hidden="1">
      <c r="B439" s="3427" t="s">
        <v>1470</v>
      </c>
      <c r="C439" s="3427"/>
      <c r="D439" s="2303">
        <v>2885982.06</v>
      </c>
    </row>
    <row r="440" spans="2:4" hidden="1">
      <c r="B440" s="3424" t="s">
        <v>1325</v>
      </c>
      <c r="C440" s="3424"/>
      <c r="D440" s="2304">
        <v>0.86</v>
      </c>
    </row>
    <row r="441" spans="2:4" hidden="1">
      <c r="B441" s="3424" t="s">
        <v>1326</v>
      </c>
      <c r="C441" s="3424"/>
      <c r="D441" s="2305">
        <v>2265.1999999999998</v>
      </c>
    </row>
    <row r="442" spans="2:4" hidden="1">
      <c r="B442" s="3424" t="s">
        <v>1331</v>
      </c>
      <c r="C442" s="3424"/>
      <c r="D442" s="2305">
        <v>125085.27</v>
      </c>
    </row>
    <row r="443" spans="2:4" hidden="1">
      <c r="B443" s="3424" t="s">
        <v>1332</v>
      </c>
      <c r="C443" s="3424"/>
      <c r="D443" s="2305">
        <v>147135.59</v>
      </c>
    </row>
    <row r="444" spans="2:4" hidden="1">
      <c r="B444" s="3424" t="s">
        <v>1338</v>
      </c>
      <c r="C444" s="3424"/>
      <c r="D444" s="2304">
        <v>24.83</v>
      </c>
    </row>
    <row r="445" spans="2:4" hidden="1">
      <c r="B445" s="3424" t="s">
        <v>1362</v>
      </c>
      <c r="C445" s="3424"/>
      <c r="D445" s="2305">
        <v>15678.35</v>
      </c>
    </row>
    <row r="446" spans="2:4" hidden="1">
      <c r="B446" s="3424" t="s">
        <v>1363</v>
      </c>
      <c r="C446" s="3424"/>
      <c r="D446" s="2304">
        <v>15.7</v>
      </c>
    </row>
    <row r="447" spans="2:4" hidden="1">
      <c r="B447" s="3424" t="s">
        <v>1364</v>
      </c>
      <c r="C447" s="3424"/>
      <c r="D447" s="2305">
        <v>1477077.4</v>
      </c>
    </row>
    <row r="448" spans="2:4" hidden="1">
      <c r="B448" s="3424" t="s">
        <v>1381</v>
      </c>
      <c r="C448" s="3424"/>
      <c r="D448" s="2305">
        <v>192201.42</v>
      </c>
    </row>
    <row r="449" spans="2:4" hidden="1">
      <c r="B449" s="3424" t="s">
        <v>1382</v>
      </c>
      <c r="C449" s="3424"/>
      <c r="D449" s="2305">
        <v>82576.84</v>
      </c>
    </row>
    <row r="450" spans="2:4" hidden="1">
      <c r="B450" s="3424" t="s">
        <v>1383</v>
      </c>
      <c r="C450" s="3424"/>
      <c r="D450" s="2305">
        <v>76834.31</v>
      </c>
    </row>
    <row r="451" spans="2:4" hidden="1">
      <c r="B451" s="3424" t="s">
        <v>1384</v>
      </c>
      <c r="C451" s="3424"/>
      <c r="D451" s="2305">
        <v>196661.09</v>
      </c>
    </row>
    <row r="452" spans="2:4" hidden="1">
      <c r="B452" s="3424" t="s">
        <v>1385</v>
      </c>
      <c r="C452" s="3424"/>
      <c r="D452" s="2304">
        <v>53.34</v>
      </c>
    </row>
    <row r="453" spans="2:4" hidden="1">
      <c r="B453" s="3424" t="s">
        <v>1386</v>
      </c>
      <c r="C453" s="3424"/>
      <c r="D453" s="2305">
        <v>570371.86</v>
      </c>
    </row>
    <row r="454" spans="2:4" hidden="1">
      <c r="B454" s="3427" t="s">
        <v>1471</v>
      </c>
      <c r="C454" s="3427"/>
      <c r="D454" s="2303">
        <v>12877.67</v>
      </c>
    </row>
    <row r="455" spans="2:4" hidden="1">
      <c r="B455" s="3429" t="s">
        <v>1472</v>
      </c>
      <c r="C455" s="3429"/>
      <c r="D455" s="2306">
        <v>371.15</v>
      </c>
    </row>
    <row r="456" spans="2:4" hidden="1">
      <c r="B456" s="3426" t="s">
        <v>1411</v>
      </c>
      <c r="C456" s="3426"/>
      <c r="D456" s="2304">
        <v>10.62</v>
      </c>
    </row>
    <row r="457" spans="2:4" hidden="1">
      <c r="B457" s="3426" t="s">
        <v>1459</v>
      </c>
      <c r="C457" s="3426"/>
      <c r="D457" s="2304">
        <v>360.53</v>
      </c>
    </row>
    <row r="458" spans="2:4" hidden="1">
      <c r="B458" s="3429" t="s">
        <v>1473</v>
      </c>
      <c r="C458" s="3429"/>
      <c r="D458" s="2306">
        <v>331.09</v>
      </c>
    </row>
    <row r="459" spans="2:4" hidden="1">
      <c r="B459" s="3428" t="s">
        <v>1474</v>
      </c>
      <c r="C459" s="3428"/>
      <c r="D459" s="2306">
        <v>94.37</v>
      </c>
    </row>
    <row r="460" spans="2:4" hidden="1">
      <c r="B460" s="3425" t="s">
        <v>1426</v>
      </c>
      <c r="C460" s="3425"/>
      <c r="D460" s="2304">
        <v>22.4</v>
      </c>
    </row>
    <row r="461" spans="2:4" hidden="1">
      <c r="B461" s="3425" t="s">
        <v>1433</v>
      </c>
      <c r="C461" s="3425"/>
      <c r="D461" s="2304">
        <v>66.7</v>
      </c>
    </row>
    <row r="462" spans="2:4" hidden="1">
      <c r="B462" s="3425" t="s">
        <v>1436</v>
      </c>
      <c r="C462" s="3425"/>
      <c r="D462" s="2304">
        <v>5.27</v>
      </c>
    </row>
    <row r="463" spans="2:4" hidden="1">
      <c r="B463" s="3426" t="s">
        <v>1427</v>
      </c>
      <c r="C463" s="3426"/>
      <c r="D463" s="2304">
        <v>24.35</v>
      </c>
    </row>
    <row r="464" spans="2:4" hidden="1">
      <c r="B464" s="3428" t="s">
        <v>1475</v>
      </c>
      <c r="C464" s="3428"/>
      <c r="D464" s="2306">
        <v>212.37</v>
      </c>
    </row>
    <row r="465" spans="2:4" hidden="1">
      <c r="B465" s="3431" t="s">
        <v>1476</v>
      </c>
      <c r="C465" s="3431"/>
      <c r="D465" s="2306">
        <v>157.63999999999999</v>
      </c>
    </row>
    <row r="466" spans="2:4" hidden="1">
      <c r="B466" s="3430" t="s">
        <v>1437</v>
      </c>
      <c r="C466" s="3430"/>
      <c r="D466" s="2304">
        <v>115.68</v>
      </c>
    </row>
    <row r="467" spans="2:4" hidden="1">
      <c r="B467" s="3430" t="s">
        <v>1438</v>
      </c>
      <c r="C467" s="3430"/>
      <c r="D467" s="2304">
        <v>41.96</v>
      </c>
    </row>
    <row r="468" spans="2:4" hidden="1">
      <c r="B468" s="3431" t="s">
        <v>1477</v>
      </c>
      <c r="C468" s="3431"/>
      <c r="D468" s="2306">
        <v>54.73</v>
      </c>
    </row>
    <row r="469" spans="2:4" hidden="1">
      <c r="B469" s="3430" t="s">
        <v>1439</v>
      </c>
      <c r="C469" s="3430"/>
      <c r="D469" s="2304">
        <v>17.41</v>
      </c>
    </row>
    <row r="470" spans="2:4" hidden="1">
      <c r="B470" s="3430" t="s">
        <v>1440</v>
      </c>
      <c r="C470" s="3430"/>
      <c r="D470" s="2304">
        <v>0.75</v>
      </c>
    </row>
    <row r="471" spans="2:4" hidden="1">
      <c r="B471" s="3430" t="s">
        <v>1442</v>
      </c>
      <c r="C471" s="3430"/>
      <c r="D471" s="2304">
        <v>31.75</v>
      </c>
    </row>
    <row r="472" spans="2:4" hidden="1">
      <c r="B472" s="3430" t="s">
        <v>1443</v>
      </c>
      <c r="C472" s="3430"/>
      <c r="D472" s="2304">
        <v>4.82</v>
      </c>
    </row>
    <row r="473" spans="2:4" hidden="1">
      <c r="B473" s="3429" t="s">
        <v>1478</v>
      </c>
      <c r="C473" s="3429"/>
      <c r="D473" s="2303">
        <v>12175.43</v>
      </c>
    </row>
    <row r="474" spans="2:4" hidden="1">
      <c r="B474" s="3428" t="s">
        <v>1479</v>
      </c>
      <c r="C474" s="3428"/>
      <c r="D474" s="2303">
        <v>2859.53</v>
      </c>
    </row>
    <row r="475" spans="2:4" hidden="1">
      <c r="B475" s="3425" t="s">
        <v>1327</v>
      </c>
      <c r="C475" s="3425"/>
      <c r="D475" s="2304">
        <v>866.99</v>
      </c>
    </row>
    <row r="476" spans="2:4" hidden="1">
      <c r="B476" s="3425" t="s">
        <v>1328</v>
      </c>
      <c r="C476" s="3425"/>
      <c r="D476" s="2305">
        <v>1992.54</v>
      </c>
    </row>
    <row r="477" spans="2:4" hidden="1">
      <c r="B477" s="3428" t="s">
        <v>1480</v>
      </c>
      <c r="C477" s="3428"/>
      <c r="D477" s="2306">
        <v>173.34</v>
      </c>
    </row>
    <row r="478" spans="2:4" hidden="1">
      <c r="B478" s="3425" t="s">
        <v>1352</v>
      </c>
      <c r="C478" s="3425"/>
      <c r="D478" s="2304">
        <v>41.02</v>
      </c>
    </row>
    <row r="479" spans="2:4" hidden="1">
      <c r="B479" s="3425" t="s">
        <v>1354</v>
      </c>
      <c r="C479" s="3425"/>
      <c r="D479" s="2304">
        <v>109.42</v>
      </c>
    </row>
    <row r="480" spans="2:4" hidden="1">
      <c r="B480" s="3425" t="s">
        <v>1357</v>
      </c>
      <c r="C480" s="3425"/>
      <c r="D480" s="2304">
        <v>22.9</v>
      </c>
    </row>
    <row r="481" spans="2:4" hidden="1">
      <c r="B481" s="3428" t="s">
        <v>1481</v>
      </c>
      <c r="C481" s="3428"/>
      <c r="D481" s="2303">
        <v>1639.54</v>
      </c>
    </row>
    <row r="482" spans="2:4" hidden="1">
      <c r="B482" s="3425" t="s">
        <v>1351</v>
      </c>
      <c r="C482" s="3425"/>
      <c r="D482" s="2304">
        <v>60.9</v>
      </c>
    </row>
    <row r="483" spans="2:4" hidden="1">
      <c r="B483" s="3425" t="s">
        <v>1353</v>
      </c>
      <c r="C483" s="3425"/>
      <c r="D483" s="2304">
        <v>156.71</v>
      </c>
    </row>
    <row r="484" spans="2:4" hidden="1">
      <c r="B484" s="3425" t="s">
        <v>1355</v>
      </c>
      <c r="C484" s="3425"/>
      <c r="D484" s="2304">
        <v>41.44</v>
      </c>
    </row>
    <row r="485" spans="2:4" hidden="1">
      <c r="B485" s="3425" t="s">
        <v>1356</v>
      </c>
      <c r="C485" s="3425"/>
      <c r="D485" s="2305">
        <v>1373.64</v>
      </c>
    </row>
    <row r="486" spans="2:4" hidden="1">
      <c r="B486" s="3425" t="s">
        <v>1358</v>
      </c>
      <c r="C486" s="3425"/>
      <c r="D486" s="2304">
        <v>2.13</v>
      </c>
    </row>
    <row r="487" spans="2:4" hidden="1">
      <c r="B487" s="3425" t="s">
        <v>1359</v>
      </c>
      <c r="C487" s="3425"/>
      <c r="D487" s="2304">
        <v>3.9</v>
      </c>
    </row>
    <row r="488" spans="2:4" hidden="1">
      <c r="B488" s="3425" t="s">
        <v>1360</v>
      </c>
      <c r="C488" s="3425"/>
      <c r="D488" s="2304">
        <v>0.82</v>
      </c>
    </row>
    <row r="489" spans="2:4" hidden="1">
      <c r="B489" s="3428" t="s">
        <v>1482</v>
      </c>
      <c r="C489" s="3428"/>
      <c r="D489" s="2303">
        <v>7503.02</v>
      </c>
    </row>
    <row r="490" spans="2:4" hidden="1">
      <c r="B490" s="3425" t="s">
        <v>1368</v>
      </c>
      <c r="C490" s="3425"/>
      <c r="D490" s="2304">
        <v>51.41</v>
      </c>
    </row>
    <row r="491" spans="2:4" hidden="1">
      <c r="B491" s="3425" t="s">
        <v>1369</v>
      </c>
      <c r="C491" s="3425"/>
      <c r="D491" s="2304">
        <v>11.79</v>
      </c>
    </row>
    <row r="492" spans="2:4" hidden="1">
      <c r="B492" s="3425" t="s">
        <v>1370</v>
      </c>
      <c r="C492" s="3425"/>
      <c r="D492" s="2304">
        <v>68.849999999999994</v>
      </c>
    </row>
    <row r="493" spans="2:4" hidden="1">
      <c r="B493" s="3425" t="s">
        <v>1371</v>
      </c>
      <c r="C493" s="3425"/>
      <c r="D493" s="2305">
        <v>7251.26</v>
      </c>
    </row>
    <row r="494" spans="2:4" hidden="1">
      <c r="B494" s="3425" t="s">
        <v>1372</v>
      </c>
      <c r="C494" s="3425"/>
      <c r="D494" s="2304">
        <v>12.66</v>
      </c>
    </row>
    <row r="495" spans="2:4" hidden="1">
      <c r="B495" s="3425" t="s">
        <v>1373</v>
      </c>
      <c r="C495" s="3425"/>
      <c r="D495" s="2304">
        <v>6.55</v>
      </c>
    </row>
    <row r="496" spans="2:4" hidden="1">
      <c r="B496" s="3425" t="s">
        <v>1374</v>
      </c>
      <c r="C496" s="3425"/>
      <c r="D496" s="2304">
        <v>10.23</v>
      </c>
    </row>
    <row r="497" spans="2:4" hidden="1">
      <c r="B497" s="3425" t="s">
        <v>1375</v>
      </c>
      <c r="C497" s="3425"/>
      <c r="D497" s="2304">
        <v>19.41</v>
      </c>
    </row>
    <row r="498" spans="2:4" hidden="1">
      <c r="B498" s="3425" t="s">
        <v>1376</v>
      </c>
      <c r="C498" s="3425"/>
      <c r="D498" s="2304">
        <v>69.05</v>
      </c>
    </row>
    <row r="499" spans="2:4" hidden="1">
      <c r="B499" s="3425" t="s">
        <v>1377</v>
      </c>
      <c r="C499" s="3425"/>
      <c r="D499" s="2304">
        <v>1.81</v>
      </c>
    </row>
    <row r="500" spans="2:4" hidden="1">
      <c r="B500" s="3427" t="s">
        <v>1483</v>
      </c>
      <c r="C500" s="3427"/>
      <c r="D500" s="2303">
        <v>16929.18</v>
      </c>
    </row>
    <row r="501" spans="2:4" hidden="1">
      <c r="B501" s="3429" t="s">
        <v>1484</v>
      </c>
      <c r="C501" s="3429"/>
      <c r="D501" s="2306">
        <v>73.59</v>
      </c>
    </row>
    <row r="502" spans="2:4" hidden="1">
      <c r="B502" s="3426" t="s">
        <v>1321</v>
      </c>
      <c r="C502" s="3426"/>
      <c r="D502" s="2304">
        <v>2.5499999999999998</v>
      </c>
    </row>
    <row r="503" spans="2:4" hidden="1">
      <c r="B503" s="3426" t="s">
        <v>1322</v>
      </c>
      <c r="C503" s="3426"/>
      <c r="D503" s="2304">
        <v>9.7799999999999994</v>
      </c>
    </row>
    <row r="504" spans="2:4" hidden="1">
      <c r="B504" s="3426" t="s">
        <v>1323</v>
      </c>
      <c r="C504" s="3426"/>
      <c r="D504" s="2304">
        <v>61.26</v>
      </c>
    </row>
    <row r="505" spans="2:4" hidden="1">
      <c r="B505" s="3429" t="s">
        <v>1485</v>
      </c>
      <c r="C505" s="3429"/>
      <c r="D505" s="2303">
        <v>12704.35</v>
      </c>
    </row>
    <row r="506" spans="2:4" hidden="1">
      <c r="B506" s="3428" t="s">
        <v>1486</v>
      </c>
      <c r="C506" s="3428"/>
      <c r="D506" s="2306">
        <v>71.989999999999995</v>
      </c>
    </row>
    <row r="507" spans="2:4" hidden="1">
      <c r="B507" s="3425" t="s">
        <v>1333</v>
      </c>
      <c r="C507" s="3425"/>
      <c r="D507" s="2304">
        <v>63.41</v>
      </c>
    </row>
    <row r="508" spans="2:4" hidden="1">
      <c r="B508" s="3425" t="s">
        <v>1334</v>
      </c>
      <c r="C508" s="3425"/>
      <c r="D508" s="2304">
        <v>8.58</v>
      </c>
    </row>
    <row r="509" spans="2:4" hidden="1">
      <c r="B509" s="3426" t="s">
        <v>1335</v>
      </c>
      <c r="C509" s="3426"/>
      <c r="D509" s="2304">
        <v>4.32</v>
      </c>
    </row>
    <row r="510" spans="2:4" hidden="1">
      <c r="B510" s="3428" t="s">
        <v>1487</v>
      </c>
      <c r="C510" s="3428"/>
      <c r="D510" s="2306">
        <v>71.33</v>
      </c>
    </row>
    <row r="511" spans="2:4" hidden="1">
      <c r="B511" s="3425" t="s">
        <v>1379</v>
      </c>
      <c r="C511" s="3425"/>
      <c r="D511" s="2304">
        <v>30.36</v>
      </c>
    </row>
    <row r="512" spans="2:4" hidden="1">
      <c r="B512" s="3425" t="s">
        <v>1380</v>
      </c>
      <c r="C512" s="3425"/>
      <c r="D512" s="2304">
        <v>40.97</v>
      </c>
    </row>
    <row r="513" spans="2:4" hidden="1">
      <c r="B513" s="3426" t="s">
        <v>1339</v>
      </c>
      <c r="C513" s="3426"/>
      <c r="D513" s="2305">
        <v>12552.23</v>
      </c>
    </row>
    <row r="514" spans="2:4" hidden="1">
      <c r="B514" s="3426" t="s">
        <v>1446</v>
      </c>
      <c r="C514" s="3426"/>
      <c r="D514" s="2304">
        <v>4.4800000000000004</v>
      </c>
    </row>
    <row r="515" spans="2:4" hidden="1">
      <c r="B515" s="3429" t="s">
        <v>1488</v>
      </c>
      <c r="C515" s="3429"/>
      <c r="D515" s="2306">
        <v>422.87</v>
      </c>
    </row>
    <row r="516" spans="2:4" hidden="1">
      <c r="B516" s="3426" t="s">
        <v>1329</v>
      </c>
      <c r="C516" s="3426"/>
      <c r="D516" s="2304">
        <v>91.82</v>
      </c>
    </row>
    <row r="517" spans="2:4" hidden="1">
      <c r="B517" s="3426" t="s">
        <v>1330</v>
      </c>
      <c r="C517" s="3426"/>
      <c r="D517" s="2304">
        <v>6.78</v>
      </c>
    </row>
    <row r="518" spans="2:4" hidden="1">
      <c r="B518" s="3426" t="s">
        <v>1387</v>
      </c>
      <c r="C518" s="3426"/>
      <c r="D518" s="2304">
        <v>81.459999999999994</v>
      </c>
    </row>
    <row r="519" spans="2:4" hidden="1">
      <c r="B519" s="3426" t="s">
        <v>1388</v>
      </c>
      <c r="C519" s="3426"/>
      <c r="D519" s="2304">
        <v>1.69</v>
      </c>
    </row>
    <row r="520" spans="2:4" hidden="1">
      <c r="B520" s="3426" t="s">
        <v>1389</v>
      </c>
      <c r="C520" s="3426"/>
      <c r="D520" s="2304">
        <v>166.62</v>
      </c>
    </row>
    <row r="521" spans="2:4" hidden="1">
      <c r="B521" s="3426" t="s">
        <v>1390</v>
      </c>
      <c r="C521" s="3426"/>
      <c r="D521" s="2304">
        <v>74.5</v>
      </c>
    </row>
    <row r="522" spans="2:4" hidden="1">
      <c r="B522" s="3424" t="s">
        <v>1336</v>
      </c>
      <c r="C522" s="3424"/>
      <c r="D522" s="2304">
        <v>19.34</v>
      </c>
    </row>
    <row r="523" spans="2:4" hidden="1">
      <c r="B523" s="3429" t="s">
        <v>1489</v>
      </c>
      <c r="C523" s="3429"/>
      <c r="D523" s="2306">
        <v>215.21</v>
      </c>
    </row>
    <row r="524" spans="2:4" hidden="1">
      <c r="B524" s="3428" t="s">
        <v>1490</v>
      </c>
      <c r="C524" s="3428"/>
      <c r="D524" s="2306">
        <v>84.55</v>
      </c>
    </row>
    <row r="525" spans="2:4" hidden="1">
      <c r="B525" s="3425" t="s">
        <v>1341</v>
      </c>
      <c r="C525" s="3425"/>
      <c r="D525" s="2304">
        <v>7.0000000000000007E-2</v>
      </c>
    </row>
    <row r="526" spans="2:4" hidden="1">
      <c r="B526" s="3425" t="s">
        <v>1342</v>
      </c>
      <c r="C526" s="3425"/>
      <c r="D526" s="2304">
        <v>12.34</v>
      </c>
    </row>
    <row r="527" spans="2:4" hidden="1">
      <c r="B527" s="3425" t="s">
        <v>1343</v>
      </c>
      <c r="C527" s="3425"/>
      <c r="D527" s="2304">
        <v>35.72</v>
      </c>
    </row>
    <row r="528" spans="2:4" hidden="1">
      <c r="B528" s="3425" t="s">
        <v>1344</v>
      </c>
      <c r="C528" s="3425"/>
      <c r="D528" s="2304">
        <v>36.42</v>
      </c>
    </row>
    <row r="529" spans="2:4" hidden="1">
      <c r="B529" s="3428" t="s">
        <v>1491</v>
      </c>
      <c r="C529" s="3428"/>
      <c r="D529" s="2306">
        <v>130.66</v>
      </c>
    </row>
    <row r="530" spans="2:4" hidden="1">
      <c r="B530" s="3425" t="s">
        <v>1345</v>
      </c>
      <c r="C530" s="3425"/>
      <c r="D530" s="2304">
        <v>0.38</v>
      </c>
    </row>
    <row r="531" spans="2:4" hidden="1">
      <c r="B531" s="3425" t="s">
        <v>1346</v>
      </c>
      <c r="C531" s="3425"/>
      <c r="D531" s="2304">
        <v>0.03</v>
      </c>
    </row>
    <row r="532" spans="2:4" hidden="1">
      <c r="B532" s="3425" t="s">
        <v>1347</v>
      </c>
      <c r="C532" s="3425"/>
      <c r="D532" s="2304">
        <v>0.64</v>
      </c>
    </row>
    <row r="533" spans="2:4" hidden="1">
      <c r="B533" s="3425" t="s">
        <v>1348</v>
      </c>
      <c r="C533" s="3425"/>
      <c r="D533" s="2304">
        <v>49.43</v>
      </c>
    </row>
    <row r="534" spans="2:4" hidden="1">
      <c r="B534" s="3425" t="s">
        <v>1349</v>
      </c>
      <c r="C534" s="3425"/>
      <c r="D534" s="2304">
        <v>80.180000000000007</v>
      </c>
    </row>
    <row r="535" spans="2:4" hidden="1">
      <c r="B535" s="3429" t="s">
        <v>1492</v>
      </c>
      <c r="C535" s="3429"/>
      <c r="D535" s="2303">
        <v>1823.19</v>
      </c>
    </row>
    <row r="536" spans="2:4" hidden="1">
      <c r="B536" s="3426" t="s">
        <v>1324</v>
      </c>
      <c r="C536" s="3426"/>
      <c r="D536" s="2304">
        <v>9.33</v>
      </c>
    </row>
    <row r="537" spans="2:4" hidden="1">
      <c r="B537" s="3426" t="s">
        <v>1337</v>
      </c>
      <c r="C537" s="3426"/>
      <c r="D537" s="2304">
        <v>8.43</v>
      </c>
    </row>
    <row r="538" spans="2:4" hidden="1">
      <c r="B538" s="3426" t="s">
        <v>1361</v>
      </c>
      <c r="C538" s="3426"/>
      <c r="D538" s="2305">
        <v>1311.96</v>
      </c>
    </row>
    <row r="539" spans="2:4" hidden="1">
      <c r="B539" s="3426" t="s">
        <v>1412</v>
      </c>
      <c r="C539" s="3426"/>
      <c r="D539" s="2304">
        <v>483.63</v>
      </c>
    </row>
    <row r="540" spans="2:4" hidden="1">
      <c r="B540" s="3426" t="s">
        <v>1457</v>
      </c>
      <c r="C540" s="3426"/>
      <c r="D540" s="2304">
        <v>4.3</v>
      </c>
    </row>
    <row r="541" spans="2:4" hidden="1">
      <c r="B541" s="3426" t="s">
        <v>1458</v>
      </c>
      <c r="C541" s="3426"/>
      <c r="D541" s="2304">
        <v>5.54</v>
      </c>
    </row>
    <row r="542" spans="2:4" hidden="1">
      <c r="B542" s="3424" t="s">
        <v>1428</v>
      </c>
      <c r="C542" s="3424"/>
      <c r="D542" s="2304">
        <v>10.74</v>
      </c>
    </row>
    <row r="543" spans="2:4" hidden="1">
      <c r="B543" s="3429" t="s">
        <v>1493</v>
      </c>
      <c r="C543" s="3429"/>
      <c r="D543" s="2303">
        <v>1659.89</v>
      </c>
    </row>
    <row r="544" spans="2:4" hidden="1">
      <c r="B544" s="3428" t="s">
        <v>1494</v>
      </c>
      <c r="C544" s="3428"/>
      <c r="D544" s="2306">
        <v>162.38999999999999</v>
      </c>
    </row>
    <row r="545" spans="2:4" hidden="1">
      <c r="B545" s="3425" t="s">
        <v>1413</v>
      </c>
      <c r="C545" s="3425"/>
      <c r="D545" s="2304">
        <v>5.92</v>
      </c>
    </row>
    <row r="546" spans="2:4" hidden="1">
      <c r="B546" s="3425" t="s">
        <v>1429</v>
      </c>
      <c r="C546" s="3425"/>
      <c r="D546" s="2304">
        <v>34.880000000000003</v>
      </c>
    </row>
    <row r="547" spans="2:4" hidden="1">
      <c r="B547" s="3425" t="s">
        <v>1430</v>
      </c>
      <c r="C547" s="3425"/>
      <c r="D547" s="2304">
        <v>26.64</v>
      </c>
    </row>
    <row r="548" spans="2:4" hidden="1">
      <c r="B548" s="3425" t="s">
        <v>1431</v>
      </c>
      <c r="C548" s="3425"/>
      <c r="D548" s="2304">
        <v>8.8000000000000007</v>
      </c>
    </row>
    <row r="549" spans="2:4" hidden="1">
      <c r="B549" s="3425" t="s">
        <v>1432</v>
      </c>
      <c r="C549" s="3425"/>
      <c r="D549" s="2304">
        <v>0.51</v>
      </c>
    </row>
    <row r="550" spans="2:4" hidden="1">
      <c r="B550" s="3425" t="s">
        <v>1434</v>
      </c>
      <c r="C550" s="3425"/>
      <c r="D550" s="2304">
        <v>1.5</v>
      </c>
    </row>
    <row r="551" spans="2:4" hidden="1">
      <c r="B551" s="3425" t="s">
        <v>1435</v>
      </c>
      <c r="C551" s="3425"/>
      <c r="D551" s="2304">
        <v>83.68</v>
      </c>
    </row>
    <row r="552" spans="2:4" hidden="1">
      <c r="B552" s="3425" t="s">
        <v>1455</v>
      </c>
      <c r="C552" s="3425"/>
      <c r="D552" s="2304">
        <v>0.46</v>
      </c>
    </row>
    <row r="553" spans="2:4" hidden="1">
      <c r="B553" s="3428" t="s">
        <v>1495</v>
      </c>
      <c r="C553" s="3428"/>
      <c r="D553" s="2306">
        <v>60.28</v>
      </c>
    </row>
    <row r="554" spans="2:4" hidden="1">
      <c r="B554" s="3425" t="s">
        <v>1419</v>
      </c>
      <c r="C554" s="3425"/>
      <c r="D554" s="2304">
        <v>21.94</v>
      </c>
    </row>
    <row r="555" spans="2:4" hidden="1">
      <c r="B555" s="3425" t="s">
        <v>1420</v>
      </c>
      <c r="C555" s="3425"/>
      <c r="D555" s="2304">
        <v>22.25</v>
      </c>
    </row>
    <row r="556" spans="2:4" hidden="1">
      <c r="B556" s="3425" t="s">
        <v>1421</v>
      </c>
      <c r="C556" s="3425"/>
      <c r="D556" s="2304">
        <v>6.94</v>
      </c>
    </row>
    <row r="557" spans="2:4" hidden="1">
      <c r="B557" s="3425" t="s">
        <v>1422</v>
      </c>
      <c r="C557" s="3425"/>
      <c r="D557" s="2304">
        <v>9.15</v>
      </c>
    </row>
    <row r="558" spans="2:4" hidden="1">
      <c r="B558" s="3428" t="s">
        <v>1496</v>
      </c>
      <c r="C558" s="3428"/>
      <c r="D558" s="2306">
        <v>7.19</v>
      </c>
    </row>
    <row r="559" spans="2:4" hidden="1">
      <c r="B559" s="3425" t="s">
        <v>1423</v>
      </c>
      <c r="C559" s="3425"/>
      <c r="D559" s="2304">
        <v>7.19</v>
      </c>
    </row>
    <row r="560" spans="2:4" hidden="1">
      <c r="B560" s="3428" t="s">
        <v>1497</v>
      </c>
      <c r="C560" s="3428"/>
      <c r="D560" s="2306">
        <v>563.55999999999995</v>
      </c>
    </row>
    <row r="561" spans="2:4" hidden="1">
      <c r="B561" s="3425" t="s">
        <v>1414</v>
      </c>
      <c r="C561" s="3425"/>
      <c r="D561" s="2304">
        <v>145.63</v>
      </c>
    </row>
    <row r="562" spans="2:4" hidden="1">
      <c r="B562" s="3425" t="s">
        <v>1415</v>
      </c>
      <c r="C562" s="3425"/>
      <c r="D562" s="2304">
        <v>8.86</v>
      </c>
    </row>
    <row r="563" spans="2:4" hidden="1">
      <c r="B563" s="3425" t="s">
        <v>1416</v>
      </c>
      <c r="C563" s="3425"/>
      <c r="D563" s="2304">
        <v>341.99</v>
      </c>
    </row>
    <row r="564" spans="2:4" hidden="1">
      <c r="B564" s="3425" t="s">
        <v>1417</v>
      </c>
      <c r="C564" s="3425"/>
      <c r="D564" s="2304">
        <v>24.31</v>
      </c>
    </row>
    <row r="565" spans="2:4" hidden="1">
      <c r="B565" s="3425" t="s">
        <v>1418</v>
      </c>
      <c r="C565" s="3425"/>
      <c r="D565" s="2304">
        <v>42.77</v>
      </c>
    </row>
    <row r="566" spans="2:4" hidden="1">
      <c r="B566" s="3428" t="s">
        <v>1498</v>
      </c>
      <c r="C566" s="3428"/>
      <c r="D566" s="2306">
        <v>140.33000000000001</v>
      </c>
    </row>
    <row r="567" spans="2:4" hidden="1">
      <c r="B567" s="3425" t="s">
        <v>1365</v>
      </c>
      <c r="C567" s="3425"/>
      <c r="D567" s="2304">
        <v>101.7</v>
      </c>
    </row>
    <row r="568" spans="2:4" hidden="1">
      <c r="B568" s="3425" t="s">
        <v>1366</v>
      </c>
      <c r="C568" s="3425"/>
      <c r="D568" s="2304">
        <v>37.28</v>
      </c>
    </row>
    <row r="569" spans="2:4" hidden="1">
      <c r="B569" s="3425" t="s">
        <v>1367</v>
      </c>
      <c r="C569" s="3425"/>
      <c r="D569" s="2304">
        <v>1.35</v>
      </c>
    </row>
    <row r="570" spans="2:4" hidden="1">
      <c r="B570" s="3426" t="s">
        <v>1444</v>
      </c>
      <c r="C570" s="3426"/>
      <c r="D570" s="2304">
        <v>22.3</v>
      </c>
    </row>
    <row r="571" spans="2:4" hidden="1">
      <c r="B571" s="3426" t="s">
        <v>1445</v>
      </c>
      <c r="C571" s="3426"/>
      <c r="D571" s="2304">
        <v>17.93</v>
      </c>
    </row>
    <row r="572" spans="2:4" hidden="1">
      <c r="B572" s="3428" t="s">
        <v>1499</v>
      </c>
      <c r="C572" s="3428"/>
      <c r="D572" s="2306">
        <v>235.28</v>
      </c>
    </row>
    <row r="573" spans="2:4" hidden="1">
      <c r="B573" s="3425" t="s">
        <v>1447</v>
      </c>
      <c r="C573" s="3425"/>
      <c r="D573" s="2304">
        <v>131.88</v>
      </c>
    </row>
    <row r="574" spans="2:4" hidden="1">
      <c r="B574" s="3425" t="s">
        <v>1448</v>
      </c>
      <c r="C574" s="3425"/>
      <c r="D574" s="2304">
        <v>30.95</v>
      </c>
    </row>
    <row r="575" spans="2:4" hidden="1">
      <c r="B575" s="3425" t="s">
        <v>1449</v>
      </c>
      <c r="C575" s="3425"/>
      <c r="D575" s="2304">
        <v>2.38</v>
      </c>
    </row>
    <row r="576" spans="2:4" hidden="1">
      <c r="B576" s="3425" t="s">
        <v>1450</v>
      </c>
      <c r="C576" s="3425"/>
      <c r="D576" s="2304">
        <v>24.2</v>
      </c>
    </row>
    <row r="577" spans="2:4" hidden="1">
      <c r="B577" s="3425" t="s">
        <v>1451</v>
      </c>
      <c r="C577" s="3425"/>
      <c r="D577" s="2304">
        <v>43.43</v>
      </c>
    </row>
    <row r="578" spans="2:4" hidden="1">
      <c r="B578" s="3425" t="s">
        <v>1452</v>
      </c>
      <c r="C578" s="3425"/>
      <c r="D578" s="2304">
        <v>2</v>
      </c>
    </row>
    <row r="579" spans="2:4" hidden="1">
      <c r="B579" s="3425" t="s">
        <v>1453</v>
      </c>
      <c r="C579" s="3425"/>
      <c r="D579" s="2304">
        <v>0.44</v>
      </c>
    </row>
    <row r="580" spans="2:4" hidden="1">
      <c r="B580" s="3426" t="s">
        <v>1454</v>
      </c>
      <c r="C580" s="3426"/>
      <c r="D580" s="2304">
        <v>14.7</v>
      </c>
    </row>
    <row r="581" spans="2:4" hidden="1">
      <c r="B581" s="3426" t="s">
        <v>1456</v>
      </c>
      <c r="C581" s="3426"/>
      <c r="D581" s="2304">
        <v>435.93</v>
      </c>
    </row>
    <row r="582" spans="2:4" hidden="1">
      <c r="B582" s="3427" t="s">
        <v>1500</v>
      </c>
      <c r="C582" s="3427"/>
      <c r="D582" s="2303">
        <v>874258.2</v>
      </c>
    </row>
    <row r="583" spans="2:4" hidden="1">
      <c r="B583" s="3424" t="s">
        <v>1391</v>
      </c>
      <c r="C583" s="3424"/>
      <c r="D583" s="2305">
        <v>120141.19</v>
      </c>
    </row>
    <row r="584" spans="2:4" hidden="1">
      <c r="B584" s="3424" t="s">
        <v>1392</v>
      </c>
      <c r="C584" s="3424"/>
      <c r="D584" s="2305">
        <v>9802.26</v>
      </c>
    </row>
    <row r="585" spans="2:4" hidden="1">
      <c r="B585" s="3424" t="s">
        <v>1393</v>
      </c>
      <c r="C585" s="3424"/>
      <c r="D585" s="2305">
        <v>3790.19</v>
      </c>
    </row>
    <row r="586" spans="2:4" hidden="1">
      <c r="B586" s="3424" t="s">
        <v>1394</v>
      </c>
      <c r="C586" s="3424"/>
      <c r="D586" s="2305">
        <v>3918.48</v>
      </c>
    </row>
    <row r="587" spans="2:4" hidden="1">
      <c r="B587" s="3424" t="s">
        <v>1395</v>
      </c>
      <c r="C587" s="3424"/>
      <c r="D587" s="2305">
        <v>10027.1</v>
      </c>
    </row>
    <row r="588" spans="2:4" hidden="1">
      <c r="B588" s="3424" t="s">
        <v>1396</v>
      </c>
      <c r="C588" s="3424"/>
      <c r="D588" s="2305">
        <v>518227.42</v>
      </c>
    </row>
    <row r="589" spans="2:4" hidden="1">
      <c r="B589" s="3424" t="s">
        <v>1397</v>
      </c>
      <c r="C589" s="3424"/>
      <c r="D589" s="2305">
        <v>33686.550000000003</v>
      </c>
    </row>
    <row r="590" spans="2:4" hidden="1">
      <c r="B590" s="3424" t="s">
        <v>1398</v>
      </c>
      <c r="C590" s="3424"/>
      <c r="D590" s="2305">
        <v>18389.82</v>
      </c>
    </row>
    <row r="591" spans="2:4" hidden="1">
      <c r="B591" s="3424" t="s">
        <v>1399</v>
      </c>
      <c r="C591" s="3424"/>
      <c r="D591" s="2305">
        <v>16903.48</v>
      </c>
    </row>
    <row r="592" spans="2:4" hidden="1">
      <c r="B592" s="3424" t="s">
        <v>1400</v>
      </c>
      <c r="C592" s="3424"/>
      <c r="D592" s="2305">
        <v>43398.07</v>
      </c>
    </row>
    <row r="593" spans="2:4" hidden="1">
      <c r="B593" s="3424" t="s">
        <v>1401</v>
      </c>
      <c r="C593" s="3424"/>
      <c r="D593" s="2305">
        <v>9421.73</v>
      </c>
    </row>
    <row r="594" spans="2:4" hidden="1">
      <c r="B594" s="3424" t="s">
        <v>1402</v>
      </c>
      <c r="C594" s="3424"/>
      <c r="D594" s="2304">
        <v>768.74</v>
      </c>
    </row>
    <row r="595" spans="2:4" hidden="1">
      <c r="B595" s="3424" t="s">
        <v>1403</v>
      </c>
      <c r="C595" s="3424"/>
      <c r="D595" s="2304">
        <v>354.5</v>
      </c>
    </row>
    <row r="596" spans="2:4" hidden="1">
      <c r="B596" s="3424" t="s">
        <v>1404</v>
      </c>
      <c r="C596" s="3424"/>
      <c r="D596" s="2304">
        <v>307.18</v>
      </c>
    </row>
    <row r="597" spans="2:4" hidden="1">
      <c r="B597" s="3424" t="s">
        <v>1405</v>
      </c>
      <c r="C597" s="3424"/>
      <c r="D597" s="2304">
        <v>780.71</v>
      </c>
    </row>
    <row r="598" spans="2:4" hidden="1">
      <c r="B598" s="3424" t="s">
        <v>1406</v>
      </c>
      <c r="C598" s="3424"/>
      <c r="D598" s="2305">
        <v>68305.210000000006</v>
      </c>
    </row>
    <row r="599" spans="2:4" hidden="1">
      <c r="B599" s="3424" t="s">
        <v>1407</v>
      </c>
      <c r="C599" s="3424"/>
      <c r="D599" s="2305">
        <v>5573.87</v>
      </c>
    </row>
    <row r="600" spans="2:4" hidden="1">
      <c r="B600" s="3424" t="s">
        <v>1408</v>
      </c>
      <c r="C600" s="3424"/>
      <c r="D600" s="2305">
        <v>2569.6</v>
      </c>
    </row>
    <row r="601" spans="2:4" hidden="1">
      <c r="B601" s="3424" t="s">
        <v>1409</v>
      </c>
      <c r="C601" s="3424"/>
      <c r="D601" s="2305">
        <v>2228.21</v>
      </c>
    </row>
    <row r="602" spans="2:4" hidden="1">
      <c r="B602" s="3424" t="s">
        <v>1410</v>
      </c>
      <c r="C602" s="3424"/>
      <c r="D602" s="2305">
        <v>5663.89</v>
      </c>
    </row>
  </sheetData>
  <mergeCells count="367">
    <mergeCell ref="B1:G1"/>
    <mergeCell ref="C4:G4"/>
    <mergeCell ref="B5:B6"/>
    <mergeCell ref="C5:C6"/>
    <mergeCell ref="D5:D6"/>
    <mergeCell ref="E5:F5"/>
    <mergeCell ref="G5:G6"/>
    <mergeCell ref="H5:H6"/>
    <mergeCell ref="J6:J7"/>
    <mergeCell ref="K6:K7"/>
    <mergeCell ref="L6:L7"/>
    <mergeCell ref="N6:N7"/>
    <mergeCell ref="F184:F185"/>
    <mergeCell ref="G184:H184"/>
    <mergeCell ref="I184:I185"/>
    <mergeCell ref="J184:J185"/>
    <mergeCell ref="K184:K185"/>
    <mergeCell ref="I209:I210"/>
    <mergeCell ref="J209:J210"/>
    <mergeCell ref="K209:K210"/>
    <mergeCell ref="A212:B212"/>
    <mergeCell ref="A228:B228"/>
    <mergeCell ref="B261:C261"/>
    <mergeCell ref="A209:A210"/>
    <mergeCell ref="B209:B210"/>
    <mergeCell ref="D209:D210"/>
    <mergeCell ref="E209:E210"/>
    <mergeCell ref="F209:F210"/>
    <mergeCell ref="G209:H20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39:C439"/>
    <mergeCell ref="B440:C440"/>
    <mergeCell ref="B441:C441"/>
    <mergeCell ref="B442:C442"/>
    <mergeCell ref="B443:C443"/>
    <mergeCell ref="B444:C444"/>
    <mergeCell ref="B430:C430"/>
    <mergeCell ref="B434:C434"/>
    <mergeCell ref="B435:C435"/>
    <mergeCell ref="B436:C436"/>
    <mergeCell ref="B437:C437"/>
    <mergeCell ref="B438:C438"/>
    <mergeCell ref="B451:C451"/>
    <mergeCell ref="B452:C452"/>
    <mergeCell ref="B453:C453"/>
    <mergeCell ref="B454:C454"/>
    <mergeCell ref="B455:C455"/>
    <mergeCell ref="B456:C456"/>
    <mergeCell ref="B445:C445"/>
    <mergeCell ref="B446:C446"/>
    <mergeCell ref="B447:C447"/>
    <mergeCell ref="B448:C448"/>
    <mergeCell ref="B449:C449"/>
    <mergeCell ref="B450:C450"/>
    <mergeCell ref="B463:C463"/>
    <mergeCell ref="B464:C464"/>
    <mergeCell ref="B465:C465"/>
    <mergeCell ref="B466:C466"/>
    <mergeCell ref="B467:C467"/>
    <mergeCell ref="B468:C468"/>
    <mergeCell ref="B457:C457"/>
    <mergeCell ref="B458:C458"/>
    <mergeCell ref="B459:C459"/>
    <mergeCell ref="B460:C460"/>
    <mergeCell ref="B461:C461"/>
    <mergeCell ref="B462:C462"/>
    <mergeCell ref="B475:C475"/>
    <mergeCell ref="B476:C476"/>
    <mergeCell ref="B477:C477"/>
    <mergeCell ref="B478:C478"/>
    <mergeCell ref="B479:C479"/>
    <mergeCell ref="B480:C480"/>
    <mergeCell ref="B469:C469"/>
    <mergeCell ref="B470:C470"/>
    <mergeCell ref="B471:C471"/>
    <mergeCell ref="B472:C472"/>
    <mergeCell ref="B473:C473"/>
    <mergeCell ref="B474:C474"/>
    <mergeCell ref="B487:C487"/>
    <mergeCell ref="B488:C488"/>
    <mergeCell ref="B489:C489"/>
    <mergeCell ref="B490:C490"/>
    <mergeCell ref="B491:C491"/>
    <mergeCell ref="B492:C492"/>
    <mergeCell ref="B481:C481"/>
    <mergeCell ref="B482:C482"/>
    <mergeCell ref="B483:C483"/>
    <mergeCell ref="B484:C484"/>
    <mergeCell ref="B485:C485"/>
    <mergeCell ref="B486:C486"/>
    <mergeCell ref="B499:C499"/>
    <mergeCell ref="B500:C500"/>
    <mergeCell ref="B501:C501"/>
    <mergeCell ref="B502:C502"/>
    <mergeCell ref="B503:C503"/>
    <mergeCell ref="B504:C504"/>
    <mergeCell ref="B493:C493"/>
    <mergeCell ref="B494:C494"/>
    <mergeCell ref="B495:C495"/>
    <mergeCell ref="B496:C496"/>
    <mergeCell ref="B497:C497"/>
    <mergeCell ref="B498:C498"/>
    <mergeCell ref="B511:C511"/>
    <mergeCell ref="B512:C512"/>
    <mergeCell ref="B513:C513"/>
    <mergeCell ref="B514:C514"/>
    <mergeCell ref="B515:C515"/>
    <mergeCell ref="B516:C516"/>
    <mergeCell ref="B505:C505"/>
    <mergeCell ref="B506:C506"/>
    <mergeCell ref="B507:C507"/>
    <mergeCell ref="B508:C508"/>
    <mergeCell ref="B509:C509"/>
    <mergeCell ref="B510:C510"/>
    <mergeCell ref="B523:C523"/>
    <mergeCell ref="B524:C524"/>
    <mergeCell ref="B525:C525"/>
    <mergeCell ref="B526:C526"/>
    <mergeCell ref="B527:C527"/>
    <mergeCell ref="B528:C528"/>
    <mergeCell ref="B517:C517"/>
    <mergeCell ref="B518:C518"/>
    <mergeCell ref="B519:C519"/>
    <mergeCell ref="B520:C520"/>
    <mergeCell ref="B521:C521"/>
    <mergeCell ref="B522:C522"/>
    <mergeCell ref="B535:C535"/>
    <mergeCell ref="B536:C536"/>
    <mergeCell ref="B537:C537"/>
    <mergeCell ref="B538:C538"/>
    <mergeCell ref="B539:C539"/>
    <mergeCell ref="B540:C540"/>
    <mergeCell ref="B529:C529"/>
    <mergeCell ref="B530:C530"/>
    <mergeCell ref="B531:C531"/>
    <mergeCell ref="B532:C532"/>
    <mergeCell ref="B533:C533"/>
    <mergeCell ref="B534:C534"/>
    <mergeCell ref="B547:C547"/>
    <mergeCell ref="B548:C548"/>
    <mergeCell ref="B549:C549"/>
    <mergeCell ref="B550:C550"/>
    <mergeCell ref="B551:C551"/>
    <mergeCell ref="B552:C552"/>
    <mergeCell ref="B541:C541"/>
    <mergeCell ref="B542:C542"/>
    <mergeCell ref="B543:C543"/>
    <mergeCell ref="B544:C544"/>
    <mergeCell ref="B545:C545"/>
    <mergeCell ref="B546:C546"/>
    <mergeCell ref="B559:C559"/>
    <mergeCell ref="B560:C560"/>
    <mergeCell ref="B561:C561"/>
    <mergeCell ref="B562:C562"/>
    <mergeCell ref="B563:C563"/>
    <mergeCell ref="B564:C564"/>
    <mergeCell ref="B553:C553"/>
    <mergeCell ref="B554:C554"/>
    <mergeCell ref="B555:C555"/>
    <mergeCell ref="B556:C556"/>
    <mergeCell ref="B557:C557"/>
    <mergeCell ref="B558:C558"/>
    <mergeCell ref="B571:C571"/>
    <mergeCell ref="B572:C572"/>
    <mergeCell ref="B573:C573"/>
    <mergeCell ref="B574:C574"/>
    <mergeCell ref="B575:C575"/>
    <mergeCell ref="B576:C576"/>
    <mergeCell ref="B565:C565"/>
    <mergeCell ref="B566:C566"/>
    <mergeCell ref="B567:C567"/>
    <mergeCell ref="B568:C568"/>
    <mergeCell ref="B569:C569"/>
    <mergeCell ref="B570:C570"/>
    <mergeCell ref="B583:C583"/>
    <mergeCell ref="B584:C584"/>
    <mergeCell ref="B585:C585"/>
    <mergeCell ref="B586:C586"/>
    <mergeCell ref="B587:C587"/>
    <mergeCell ref="B588:C588"/>
    <mergeCell ref="B577:C577"/>
    <mergeCell ref="B578:C578"/>
    <mergeCell ref="B579:C579"/>
    <mergeCell ref="B580:C580"/>
    <mergeCell ref="B581:C581"/>
    <mergeCell ref="B582:C582"/>
    <mergeCell ref="B601:C601"/>
    <mergeCell ref="B602:C602"/>
    <mergeCell ref="B595:C595"/>
    <mergeCell ref="B596:C596"/>
    <mergeCell ref="B597:C597"/>
    <mergeCell ref="B598:C598"/>
    <mergeCell ref="B599:C599"/>
    <mergeCell ref="B600:C600"/>
    <mergeCell ref="B589:C589"/>
    <mergeCell ref="B590:C590"/>
    <mergeCell ref="B591:C591"/>
    <mergeCell ref="B592:C592"/>
    <mergeCell ref="B593:C593"/>
    <mergeCell ref="B594:C59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73"/>
  <sheetViews>
    <sheetView topLeftCell="A121" zoomScale="70" zoomScaleNormal="70" workbookViewId="0">
      <selection activeCell="G77" sqref="G77"/>
    </sheetView>
  </sheetViews>
  <sheetFormatPr defaultColWidth="9.140625" defaultRowHeight="12.75" outlineLevelRow="7"/>
  <cols>
    <col min="1" max="1" width="9" style="3" customWidth="1"/>
    <col min="2" max="2" width="3.5703125" style="3" customWidth="1"/>
    <col min="3" max="3" width="1.7109375" style="3" customWidth="1"/>
    <col min="4" max="4" width="29.5703125" style="3" customWidth="1"/>
    <col min="5" max="5" width="16.140625" style="3" customWidth="1"/>
    <col min="6" max="6" width="18.28515625" style="3" customWidth="1"/>
    <col min="7" max="7" width="17.7109375" style="3" customWidth="1"/>
    <col min="9" max="9" width="12.28515625" bestFit="1" customWidth="1"/>
    <col min="10" max="10" width="16.28515625" bestFit="1" customWidth="1"/>
    <col min="257" max="257" width="9" customWidth="1"/>
    <col min="258" max="258" width="3.5703125" customWidth="1"/>
    <col min="259" max="259" width="1.7109375" customWidth="1"/>
    <col min="260" max="260" width="29.5703125" customWidth="1"/>
    <col min="261" max="261" width="16.140625" customWidth="1"/>
    <col min="262" max="262" width="18.28515625" customWidth="1"/>
    <col min="263" max="263" width="17.7109375" customWidth="1"/>
    <col min="513" max="513" width="9" customWidth="1"/>
    <col min="514" max="514" width="3.5703125" customWidth="1"/>
    <col min="515" max="515" width="1.7109375" customWidth="1"/>
    <col min="516" max="516" width="29.5703125" customWidth="1"/>
    <col min="517" max="517" width="16.140625" customWidth="1"/>
    <col min="518" max="518" width="18.28515625" customWidth="1"/>
    <col min="519" max="519" width="17.7109375" customWidth="1"/>
    <col min="769" max="769" width="9" customWidth="1"/>
    <col min="770" max="770" width="3.5703125" customWidth="1"/>
    <col min="771" max="771" width="1.7109375" customWidth="1"/>
    <col min="772" max="772" width="29.5703125" customWidth="1"/>
    <col min="773" max="773" width="16.140625" customWidth="1"/>
    <col min="774" max="774" width="18.28515625" customWidth="1"/>
    <col min="775" max="775" width="17.7109375" customWidth="1"/>
    <col min="1025" max="1025" width="9" customWidth="1"/>
    <col min="1026" max="1026" width="3.5703125" customWidth="1"/>
    <col min="1027" max="1027" width="1.7109375" customWidth="1"/>
    <col min="1028" max="1028" width="29.5703125" customWidth="1"/>
    <col min="1029" max="1029" width="16.140625" customWidth="1"/>
    <col min="1030" max="1030" width="18.28515625" customWidth="1"/>
    <col min="1031" max="1031" width="17.7109375" customWidth="1"/>
    <col min="1281" max="1281" width="9" customWidth="1"/>
    <col min="1282" max="1282" width="3.5703125" customWidth="1"/>
    <col min="1283" max="1283" width="1.7109375" customWidth="1"/>
    <col min="1284" max="1284" width="29.5703125" customWidth="1"/>
    <col min="1285" max="1285" width="16.140625" customWidth="1"/>
    <col min="1286" max="1286" width="18.28515625" customWidth="1"/>
    <col min="1287" max="1287" width="17.7109375" customWidth="1"/>
    <col min="1537" max="1537" width="9" customWidth="1"/>
    <col min="1538" max="1538" width="3.5703125" customWidth="1"/>
    <col min="1539" max="1539" width="1.7109375" customWidth="1"/>
    <col min="1540" max="1540" width="29.5703125" customWidth="1"/>
    <col min="1541" max="1541" width="16.140625" customWidth="1"/>
    <col min="1542" max="1542" width="18.28515625" customWidth="1"/>
    <col min="1543" max="1543" width="17.7109375" customWidth="1"/>
    <col min="1793" max="1793" width="9" customWidth="1"/>
    <col min="1794" max="1794" width="3.5703125" customWidth="1"/>
    <col min="1795" max="1795" width="1.7109375" customWidth="1"/>
    <col min="1796" max="1796" width="29.5703125" customWidth="1"/>
    <col min="1797" max="1797" width="16.140625" customWidth="1"/>
    <col min="1798" max="1798" width="18.28515625" customWidth="1"/>
    <col min="1799" max="1799" width="17.7109375" customWidth="1"/>
    <col min="2049" max="2049" width="9" customWidth="1"/>
    <col min="2050" max="2050" width="3.5703125" customWidth="1"/>
    <col min="2051" max="2051" width="1.7109375" customWidth="1"/>
    <col min="2052" max="2052" width="29.5703125" customWidth="1"/>
    <col min="2053" max="2053" width="16.140625" customWidth="1"/>
    <col min="2054" max="2054" width="18.28515625" customWidth="1"/>
    <col min="2055" max="2055" width="17.7109375" customWidth="1"/>
    <col min="2305" max="2305" width="9" customWidth="1"/>
    <col min="2306" max="2306" width="3.5703125" customWidth="1"/>
    <col min="2307" max="2307" width="1.7109375" customWidth="1"/>
    <col min="2308" max="2308" width="29.5703125" customWidth="1"/>
    <col min="2309" max="2309" width="16.140625" customWidth="1"/>
    <col min="2310" max="2310" width="18.28515625" customWidth="1"/>
    <col min="2311" max="2311" width="17.7109375" customWidth="1"/>
    <col min="2561" max="2561" width="9" customWidth="1"/>
    <col min="2562" max="2562" width="3.5703125" customWidth="1"/>
    <col min="2563" max="2563" width="1.7109375" customWidth="1"/>
    <col min="2564" max="2564" width="29.5703125" customWidth="1"/>
    <col min="2565" max="2565" width="16.140625" customWidth="1"/>
    <col min="2566" max="2566" width="18.28515625" customWidth="1"/>
    <col min="2567" max="2567" width="17.7109375" customWidth="1"/>
    <col min="2817" max="2817" width="9" customWidth="1"/>
    <col min="2818" max="2818" width="3.5703125" customWidth="1"/>
    <col min="2819" max="2819" width="1.7109375" customWidth="1"/>
    <col min="2820" max="2820" width="29.5703125" customWidth="1"/>
    <col min="2821" max="2821" width="16.140625" customWidth="1"/>
    <col min="2822" max="2822" width="18.28515625" customWidth="1"/>
    <col min="2823" max="2823" width="17.7109375" customWidth="1"/>
    <col min="3073" max="3073" width="9" customWidth="1"/>
    <col min="3074" max="3074" width="3.5703125" customWidth="1"/>
    <col min="3075" max="3075" width="1.7109375" customWidth="1"/>
    <col min="3076" max="3076" width="29.5703125" customWidth="1"/>
    <col min="3077" max="3077" width="16.140625" customWidth="1"/>
    <col min="3078" max="3078" width="18.28515625" customWidth="1"/>
    <col min="3079" max="3079" width="17.7109375" customWidth="1"/>
    <col min="3329" max="3329" width="9" customWidth="1"/>
    <col min="3330" max="3330" width="3.5703125" customWidth="1"/>
    <col min="3331" max="3331" width="1.7109375" customWidth="1"/>
    <col min="3332" max="3332" width="29.5703125" customWidth="1"/>
    <col min="3333" max="3333" width="16.140625" customWidth="1"/>
    <col min="3334" max="3334" width="18.28515625" customWidth="1"/>
    <col min="3335" max="3335" width="17.7109375" customWidth="1"/>
    <col min="3585" max="3585" width="9" customWidth="1"/>
    <col min="3586" max="3586" width="3.5703125" customWidth="1"/>
    <col min="3587" max="3587" width="1.7109375" customWidth="1"/>
    <col min="3588" max="3588" width="29.5703125" customWidth="1"/>
    <col min="3589" max="3589" width="16.140625" customWidth="1"/>
    <col min="3590" max="3590" width="18.28515625" customWidth="1"/>
    <col min="3591" max="3591" width="17.7109375" customWidth="1"/>
    <col min="3841" max="3841" width="9" customWidth="1"/>
    <col min="3842" max="3842" width="3.5703125" customWidth="1"/>
    <col min="3843" max="3843" width="1.7109375" customWidth="1"/>
    <col min="3844" max="3844" width="29.5703125" customWidth="1"/>
    <col min="3845" max="3845" width="16.140625" customWidth="1"/>
    <col min="3846" max="3846" width="18.28515625" customWidth="1"/>
    <col min="3847" max="3847" width="17.7109375" customWidth="1"/>
    <col min="4097" max="4097" width="9" customWidth="1"/>
    <col min="4098" max="4098" width="3.5703125" customWidth="1"/>
    <col min="4099" max="4099" width="1.7109375" customWidth="1"/>
    <col min="4100" max="4100" width="29.5703125" customWidth="1"/>
    <col min="4101" max="4101" width="16.140625" customWidth="1"/>
    <col min="4102" max="4102" width="18.28515625" customWidth="1"/>
    <col min="4103" max="4103" width="17.7109375" customWidth="1"/>
    <col min="4353" max="4353" width="9" customWidth="1"/>
    <col min="4354" max="4354" width="3.5703125" customWidth="1"/>
    <col min="4355" max="4355" width="1.7109375" customWidth="1"/>
    <col min="4356" max="4356" width="29.5703125" customWidth="1"/>
    <col min="4357" max="4357" width="16.140625" customWidth="1"/>
    <col min="4358" max="4358" width="18.28515625" customWidth="1"/>
    <col min="4359" max="4359" width="17.7109375" customWidth="1"/>
    <col min="4609" max="4609" width="9" customWidth="1"/>
    <col min="4610" max="4610" width="3.5703125" customWidth="1"/>
    <col min="4611" max="4611" width="1.7109375" customWidth="1"/>
    <col min="4612" max="4612" width="29.5703125" customWidth="1"/>
    <col min="4613" max="4613" width="16.140625" customWidth="1"/>
    <col min="4614" max="4614" width="18.28515625" customWidth="1"/>
    <col min="4615" max="4615" width="17.7109375" customWidth="1"/>
    <col min="4865" max="4865" width="9" customWidth="1"/>
    <col min="4866" max="4866" width="3.5703125" customWidth="1"/>
    <col min="4867" max="4867" width="1.7109375" customWidth="1"/>
    <col min="4868" max="4868" width="29.5703125" customWidth="1"/>
    <col min="4869" max="4869" width="16.140625" customWidth="1"/>
    <col min="4870" max="4870" width="18.28515625" customWidth="1"/>
    <col min="4871" max="4871" width="17.7109375" customWidth="1"/>
    <col min="5121" max="5121" width="9" customWidth="1"/>
    <col min="5122" max="5122" width="3.5703125" customWidth="1"/>
    <col min="5123" max="5123" width="1.7109375" customWidth="1"/>
    <col min="5124" max="5124" width="29.5703125" customWidth="1"/>
    <col min="5125" max="5125" width="16.140625" customWidth="1"/>
    <col min="5126" max="5126" width="18.28515625" customWidth="1"/>
    <col min="5127" max="5127" width="17.7109375" customWidth="1"/>
    <col min="5377" max="5377" width="9" customWidth="1"/>
    <col min="5378" max="5378" width="3.5703125" customWidth="1"/>
    <col min="5379" max="5379" width="1.7109375" customWidth="1"/>
    <col min="5380" max="5380" width="29.5703125" customWidth="1"/>
    <col min="5381" max="5381" width="16.140625" customWidth="1"/>
    <col min="5382" max="5382" width="18.28515625" customWidth="1"/>
    <col min="5383" max="5383" width="17.7109375" customWidth="1"/>
    <col min="5633" max="5633" width="9" customWidth="1"/>
    <col min="5634" max="5634" width="3.5703125" customWidth="1"/>
    <col min="5635" max="5635" width="1.7109375" customWidth="1"/>
    <col min="5636" max="5636" width="29.5703125" customWidth="1"/>
    <col min="5637" max="5637" width="16.140625" customWidth="1"/>
    <col min="5638" max="5638" width="18.28515625" customWidth="1"/>
    <col min="5639" max="5639" width="17.7109375" customWidth="1"/>
    <col min="5889" max="5889" width="9" customWidth="1"/>
    <col min="5890" max="5890" width="3.5703125" customWidth="1"/>
    <col min="5891" max="5891" width="1.7109375" customWidth="1"/>
    <col min="5892" max="5892" width="29.5703125" customWidth="1"/>
    <col min="5893" max="5893" width="16.140625" customWidth="1"/>
    <col min="5894" max="5894" width="18.28515625" customWidth="1"/>
    <col min="5895" max="5895" width="17.7109375" customWidth="1"/>
    <col min="6145" max="6145" width="9" customWidth="1"/>
    <col min="6146" max="6146" width="3.5703125" customWidth="1"/>
    <col min="6147" max="6147" width="1.7109375" customWidth="1"/>
    <col min="6148" max="6148" width="29.5703125" customWidth="1"/>
    <col min="6149" max="6149" width="16.140625" customWidth="1"/>
    <col min="6150" max="6150" width="18.28515625" customWidth="1"/>
    <col min="6151" max="6151" width="17.7109375" customWidth="1"/>
    <col min="6401" max="6401" width="9" customWidth="1"/>
    <col min="6402" max="6402" width="3.5703125" customWidth="1"/>
    <col min="6403" max="6403" width="1.7109375" customWidth="1"/>
    <col min="6404" max="6404" width="29.5703125" customWidth="1"/>
    <col min="6405" max="6405" width="16.140625" customWidth="1"/>
    <col min="6406" max="6406" width="18.28515625" customWidth="1"/>
    <col min="6407" max="6407" width="17.7109375" customWidth="1"/>
    <col min="6657" max="6657" width="9" customWidth="1"/>
    <col min="6658" max="6658" width="3.5703125" customWidth="1"/>
    <col min="6659" max="6659" width="1.7109375" customWidth="1"/>
    <col min="6660" max="6660" width="29.5703125" customWidth="1"/>
    <col min="6661" max="6661" width="16.140625" customWidth="1"/>
    <col min="6662" max="6662" width="18.28515625" customWidth="1"/>
    <col min="6663" max="6663" width="17.7109375" customWidth="1"/>
    <col min="6913" max="6913" width="9" customWidth="1"/>
    <col min="6914" max="6914" width="3.5703125" customWidth="1"/>
    <col min="6915" max="6915" width="1.7109375" customWidth="1"/>
    <col min="6916" max="6916" width="29.5703125" customWidth="1"/>
    <col min="6917" max="6917" width="16.140625" customWidth="1"/>
    <col min="6918" max="6918" width="18.28515625" customWidth="1"/>
    <col min="6919" max="6919" width="17.7109375" customWidth="1"/>
    <col min="7169" max="7169" width="9" customWidth="1"/>
    <col min="7170" max="7170" width="3.5703125" customWidth="1"/>
    <col min="7171" max="7171" width="1.7109375" customWidth="1"/>
    <col min="7172" max="7172" width="29.5703125" customWidth="1"/>
    <col min="7173" max="7173" width="16.140625" customWidth="1"/>
    <col min="7174" max="7174" width="18.28515625" customWidth="1"/>
    <col min="7175" max="7175" width="17.7109375" customWidth="1"/>
    <col min="7425" max="7425" width="9" customWidth="1"/>
    <col min="7426" max="7426" width="3.5703125" customWidth="1"/>
    <col min="7427" max="7427" width="1.7109375" customWidth="1"/>
    <col min="7428" max="7428" width="29.5703125" customWidth="1"/>
    <col min="7429" max="7429" width="16.140625" customWidth="1"/>
    <col min="7430" max="7430" width="18.28515625" customWidth="1"/>
    <col min="7431" max="7431" width="17.7109375" customWidth="1"/>
    <col min="7681" max="7681" width="9" customWidth="1"/>
    <col min="7682" max="7682" width="3.5703125" customWidth="1"/>
    <col min="7683" max="7683" width="1.7109375" customWidth="1"/>
    <col min="7684" max="7684" width="29.5703125" customWidth="1"/>
    <col min="7685" max="7685" width="16.140625" customWidth="1"/>
    <col min="7686" max="7686" width="18.28515625" customWidth="1"/>
    <col min="7687" max="7687" width="17.7109375" customWidth="1"/>
    <col min="7937" max="7937" width="9" customWidth="1"/>
    <col min="7938" max="7938" width="3.5703125" customWidth="1"/>
    <col min="7939" max="7939" width="1.7109375" customWidth="1"/>
    <col min="7940" max="7940" width="29.5703125" customWidth="1"/>
    <col min="7941" max="7941" width="16.140625" customWidth="1"/>
    <col min="7942" max="7942" width="18.28515625" customWidth="1"/>
    <col min="7943" max="7943" width="17.7109375" customWidth="1"/>
    <col min="8193" max="8193" width="9" customWidth="1"/>
    <col min="8194" max="8194" width="3.5703125" customWidth="1"/>
    <col min="8195" max="8195" width="1.7109375" customWidth="1"/>
    <col min="8196" max="8196" width="29.5703125" customWidth="1"/>
    <col min="8197" max="8197" width="16.140625" customWidth="1"/>
    <col min="8198" max="8198" width="18.28515625" customWidth="1"/>
    <col min="8199" max="8199" width="17.7109375" customWidth="1"/>
    <col min="8449" max="8449" width="9" customWidth="1"/>
    <col min="8450" max="8450" width="3.5703125" customWidth="1"/>
    <col min="8451" max="8451" width="1.7109375" customWidth="1"/>
    <col min="8452" max="8452" width="29.5703125" customWidth="1"/>
    <col min="8453" max="8453" width="16.140625" customWidth="1"/>
    <col min="8454" max="8454" width="18.28515625" customWidth="1"/>
    <col min="8455" max="8455" width="17.7109375" customWidth="1"/>
    <col min="8705" max="8705" width="9" customWidth="1"/>
    <col min="8706" max="8706" width="3.5703125" customWidth="1"/>
    <col min="8707" max="8707" width="1.7109375" customWidth="1"/>
    <col min="8708" max="8708" width="29.5703125" customWidth="1"/>
    <col min="8709" max="8709" width="16.140625" customWidth="1"/>
    <col min="8710" max="8710" width="18.28515625" customWidth="1"/>
    <col min="8711" max="8711" width="17.7109375" customWidth="1"/>
    <col min="8961" max="8961" width="9" customWidth="1"/>
    <col min="8962" max="8962" width="3.5703125" customWidth="1"/>
    <col min="8963" max="8963" width="1.7109375" customWidth="1"/>
    <col min="8964" max="8964" width="29.5703125" customWidth="1"/>
    <col min="8965" max="8965" width="16.140625" customWidth="1"/>
    <col min="8966" max="8966" width="18.28515625" customWidth="1"/>
    <col min="8967" max="8967" width="17.7109375" customWidth="1"/>
    <col min="9217" max="9217" width="9" customWidth="1"/>
    <col min="9218" max="9218" width="3.5703125" customWidth="1"/>
    <col min="9219" max="9219" width="1.7109375" customWidth="1"/>
    <col min="9220" max="9220" width="29.5703125" customWidth="1"/>
    <col min="9221" max="9221" width="16.140625" customWidth="1"/>
    <col min="9222" max="9222" width="18.28515625" customWidth="1"/>
    <col min="9223" max="9223" width="17.7109375" customWidth="1"/>
    <col min="9473" max="9473" width="9" customWidth="1"/>
    <col min="9474" max="9474" width="3.5703125" customWidth="1"/>
    <col min="9475" max="9475" width="1.7109375" customWidth="1"/>
    <col min="9476" max="9476" width="29.5703125" customWidth="1"/>
    <col min="9477" max="9477" width="16.140625" customWidth="1"/>
    <col min="9478" max="9478" width="18.28515625" customWidth="1"/>
    <col min="9479" max="9479" width="17.7109375" customWidth="1"/>
    <col min="9729" max="9729" width="9" customWidth="1"/>
    <col min="9730" max="9730" width="3.5703125" customWidth="1"/>
    <col min="9731" max="9731" width="1.7109375" customWidth="1"/>
    <col min="9732" max="9732" width="29.5703125" customWidth="1"/>
    <col min="9733" max="9733" width="16.140625" customWidth="1"/>
    <col min="9734" max="9734" width="18.28515625" customWidth="1"/>
    <col min="9735" max="9735" width="17.7109375" customWidth="1"/>
    <col min="9985" max="9985" width="9" customWidth="1"/>
    <col min="9986" max="9986" width="3.5703125" customWidth="1"/>
    <col min="9987" max="9987" width="1.7109375" customWidth="1"/>
    <col min="9988" max="9988" width="29.5703125" customWidth="1"/>
    <col min="9989" max="9989" width="16.140625" customWidth="1"/>
    <col min="9990" max="9990" width="18.28515625" customWidth="1"/>
    <col min="9991" max="9991" width="17.7109375" customWidth="1"/>
    <col min="10241" max="10241" width="9" customWidth="1"/>
    <col min="10242" max="10242" width="3.5703125" customWidth="1"/>
    <col min="10243" max="10243" width="1.7109375" customWidth="1"/>
    <col min="10244" max="10244" width="29.5703125" customWidth="1"/>
    <col min="10245" max="10245" width="16.140625" customWidth="1"/>
    <col min="10246" max="10246" width="18.28515625" customWidth="1"/>
    <col min="10247" max="10247" width="17.7109375" customWidth="1"/>
    <col min="10497" max="10497" width="9" customWidth="1"/>
    <col min="10498" max="10498" width="3.5703125" customWidth="1"/>
    <col min="10499" max="10499" width="1.7109375" customWidth="1"/>
    <col min="10500" max="10500" width="29.5703125" customWidth="1"/>
    <col min="10501" max="10501" width="16.140625" customWidth="1"/>
    <col min="10502" max="10502" width="18.28515625" customWidth="1"/>
    <col min="10503" max="10503" width="17.7109375" customWidth="1"/>
    <col min="10753" max="10753" width="9" customWidth="1"/>
    <col min="10754" max="10754" width="3.5703125" customWidth="1"/>
    <col min="10755" max="10755" width="1.7109375" customWidth="1"/>
    <col min="10756" max="10756" width="29.5703125" customWidth="1"/>
    <col min="10757" max="10757" width="16.140625" customWidth="1"/>
    <col min="10758" max="10758" width="18.28515625" customWidth="1"/>
    <col min="10759" max="10759" width="17.7109375" customWidth="1"/>
    <col min="11009" max="11009" width="9" customWidth="1"/>
    <col min="11010" max="11010" width="3.5703125" customWidth="1"/>
    <col min="11011" max="11011" width="1.7109375" customWidth="1"/>
    <col min="11012" max="11012" width="29.5703125" customWidth="1"/>
    <col min="11013" max="11013" width="16.140625" customWidth="1"/>
    <col min="11014" max="11014" width="18.28515625" customWidth="1"/>
    <col min="11015" max="11015" width="17.7109375" customWidth="1"/>
    <col min="11265" max="11265" width="9" customWidth="1"/>
    <col min="11266" max="11266" width="3.5703125" customWidth="1"/>
    <col min="11267" max="11267" width="1.7109375" customWidth="1"/>
    <col min="11268" max="11268" width="29.5703125" customWidth="1"/>
    <col min="11269" max="11269" width="16.140625" customWidth="1"/>
    <col min="11270" max="11270" width="18.28515625" customWidth="1"/>
    <col min="11271" max="11271" width="17.7109375" customWidth="1"/>
    <col min="11521" max="11521" width="9" customWidth="1"/>
    <col min="11522" max="11522" width="3.5703125" customWidth="1"/>
    <col min="11523" max="11523" width="1.7109375" customWidth="1"/>
    <col min="11524" max="11524" width="29.5703125" customWidth="1"/>
    <col min="11525" max="11525" width="16.140625" customWidth="1"/>
    <col min="11526" max="11526" width="18.28515625" customWidth="1"/>
    <col min="11527" max="11527" width="17.7109375" customWidth="1"/>
    <col min="11777" max="11777" width="9" customWidth="1"/>
    <col min="11778" max="11778" width="3.5703125" customWidth="1"/>
    <col min="11779" max="11779" width="1.7109375" customWidth="1"/>
    <col min="11780" max="11780" width="29.5703125" customWidth="1"/>
    <col min="11781" max="11781" width="16.140625" customWidth="1"/>
    <col min="11782" max="11782" width="18.28515625" customWidth="1"/>
    <col min="11783" max="11783" width="17.7109375" customWidth="1"/>
    <col min="12033" max="12033" width="9" customWidth="1"/>
    <col min="12034" max="12034" width="3.5703125" customWidth="1"/>
    <col min="12035" max="12035" width="1.7109375" customWidth="1"/>
    <col min="12036" max="12036" width="29.5703125" customWidth="1"/>
    <col min="12037" max="12037" width="16.140625" customWidth="1"/>
    <col min="12038" max="12038" width="18.28515625" customWidth="1"/>
    <col min="12039" max="12039" width="17.7109375" customWidth="1"/>
    <col min="12289" max="12289" width="9" customWidth="1"/>
    <col min="12290" max="12290" width="3.5703125" customWidth="1"/>
    <col min="12291" max="12291" width="1.7109375" customWidth="1"/>
    <col min="12292" max="12292" width="29.5703125" customWidth="1"/>
    <col min="12293" max="12293" width="16.140625" customWidth="1"/>
    <col min="12294" max="12294" width="18.28515625" customWidth="1"/>
    <col min="12295" max="12295" width="17.7109375" customWidth="1"/>
    <col min="12545" max="12545" width="9" customWidth="1"/>
    <col min="12546" max="12546" width="3.5703125" customWidth="1"/>
    <col min="12547" max="12547" width="1.7109375" customWidth="1"/>
    <col min="12548" max="12548" width="29.5703125" customWidth="1"/>
    <col min="12549" max="12549" width="16.140625" customWidth="1"/>
    <col min="12550" max="12550" width="18.28515625" customWidth="1"/>
    <col min="12551" max="12551" width="17.7109375" customWidth="1"/>
    <col min="12801" max="12801" width="9" customWidth="1"/>
    <col min="12802" max="12802" width="3.5703125" customWidth="1"/>
    <col min="12803" max="12803" width="1.7109375" customWidth="1"/>
    <col min="12804" max="12804" width="29.5703125" customWidth="1"/>
    <col min="12805" max="12805" width="16.140625" customWidth="1"/>
    <col min="12806" max="12806" width="18.28515625" customWidth="1"/>
    <col min="12807" max="12807" width="17.7109375" customWidth="1"/>
    <col min="13057" max="13057" width="9" customWidth="1"/>
    <col min="13058" max="13058" width="3.5703125" customWidth="1"/>
    <col min="13059" max="13059" width="1.7109375" customWidth="1"/>
    <col min="13060" max="13060" width="29.5703125" customWidth="1"/>
    <col min="13061" max="13061" width="16.140625" customWidth="1"/>
    <col min="13062" max="13062" width="18.28515625" customWidth="1"/>
    <col min="13063" max="13063" width="17.7109375" customWidth="1"/>
    <col min="13313" max="13313" width="9" customWidth="1"/>
    <col min="13314" max="13314" width="3.5703125" customWidth="1"/>
    <col min="13315" max="13315" width="1.7109375" customWidth="1"/>
    <col min="13316" max="13316" width="29.5703125" customWidth="1"/>
    <col min="13317" max="13317" width="16.140625" customWidth="1"/>
    <col min="13318" max="13318" width="18.28515625" customWidth="1"/>
    <col min="13319" max="13319" width="17.7109375" customWidth="1"/>
    <col min="13569" max="13569" width="9" customWidth="1"/>
    <col min="13570" max="13570" width="3.5703125" customWidth="1"/>
    <col min="13571" max="13571" width="1.7109375" customWidth="1"/>
    <col min="13572" max="13572" width="29.5703125" customWidth="1"/>
    <col min="13573" max="13573" width="16.140625" customWidth="1"/>
    <col min="13574" max="13574" width="18.28515625" customWidth="1"/>
    <col min="13575" max="13575" width="17.7109375" customWidth="1"/>
    <col min="13825" max="13825" width="9" customWidth="1"/>
    <col min="13826" max="13826" width="3.5703125" customWidth="1"/>
    <col min="13827" max="13827" width="1.7109375" customWidth="1"/>
    <col min="13828" max="13828" width="29.5703125" customWidth="1"/>
    <col min="13829" max="13829" width="16.140625" customWidth="1"/>
    <col min="13830" max="13830" width="18.28515625" customWidth="1"/>
    <col min="13831" max="13831" width="17.7109375" customWidth="1"/>
    <col min="14081" max="14081" width="9" customWidth="1"/>
    <col min="14082" max="14082" width="3.5703125" customWidth="1"/>
    <col min="14083" max="14083" width="1.7109375" customWidth="1"/>
    <col min="14084" max="14084" width="29.5703125" customWidth="1"/>
    <col min="14085" max="14085" width="16.140625" customWidth="1"/>
    <col min="14086" max="14086" width="18.28515625" customWidth="1"/>
    <col min="14087" max="14087" width="17.7109375" customWidth="1"/>
    <col min="14337" max="14337" width="9" customWidth="1"/>
    <col min="14338" max="14338" width="3.5703125" customWidth="1"/>
    <col min="14339" max="14339" width="1.7109375" customWidth="1"/>
    <col min="14340" max="14340" width="29.5703125" customWidth="1"/>
    <col min="14341" max="14341" width="16.140625" customWidth="1"/>
    <col min="14342" max="14342" width="18.28515625" customWidth="1"/>
    <col min="14343" max="14343" width="17.7109375" customWidth="1"/>
    <col min="14593" max="14593" width="9" customWidth="1"/>
    <col min="14594" max="14594" width="3.5703125" customWidth="1"/>
    <col min="14595" max="14595" width="1.7109375" customWidth="1"/>
    <col min="14596" max="14596" width="29.5703125" customWidth="1"/>
    <col min="14597" max="14597" width="16.140625" customWidth="1"/>
    <col min="14598" max="14598" width="18.28515625" customWidth="1"/>
    <col min="14599" max="14599" width="17.7109375" customWidth="1"/>
    <col min="14849" max="14849" width="9" customWidth="1"/>
    <col min="14850" max="14850" width="3.5703125" customWidth="1"/>
    <col min="14851" max="14851" width="1.7109375" customWidth="1"/>
    <col min="14852" max="14852" width="29.5703125" customWidth="1"/>
    <col min="14853" max="14853" width="16.140625" customWidth="1"/>
    <col min="14854" max="14854" width="18.28515625" customWidth="1"/>
    <col min="14855" max="14855" width="17.7109375" customWidth="1"/>
    <col min="15105" max="15105" width="9" customWidth="1"/>
    <col min="15106" max="15106" width="3.5703125" customWidth="1"/>
    <col min="15107" max="15107" width="1.7109375" customWidth="1"/>
    <col min="15108" max="15108" width="29.5703125" customWidth="1"/>
    <col min="15109" max="15109" width="16.140625" customWidth="1"/>
    <col min="15110" max="15110" width="18.28515625" customWidth="1"/>
    <col min="15111" max="15111" width="17.7109375" customWidth="1"/>
    <col min="15361" max="15361" width="9" customWidth="1"/>
    <col min="15362" max="15362" width="3.5703125" customWidth="1"/>
    <col min="15363" max="15363" width="1.7109375" customWidth="1"/>
    <col min="15364" max="15364" width="29.5703125" customWidth="1"/>
    <col min="15365" max="15365" width="16.140625" customWidth="1"/>
    <col min="15366" max="15366" width="18.28515625" customWidth="1"/>
    <col min="15367" max="15367" width="17.7109375" customWidth="1"/>
    <col min="15617" max="15617" width="9" customWidth="1"/>
    <col min="15618" max="15618" width="3.5703125" customWidth="1"/>
    <col min="15619" max="15619" width="1.7109375" customWidth="1"/>
    <col min="15620" max="15620" width="29.5703125" customWidth="1"/>
    <col min="15621" max="15621" width="16.140625" customWidth="1"/>
    <col min="15622" max="15622" width="18.28515625" customWidth="1"/>
    <col min="15623" max="15623" width="17.7109375" customWidth="1"/>
    <col min="15873" max="15873" width="9" customWidth="1"/>
    <col min="15874" max="15874" width="3.5703125" customWidth="1"/>
    <col min="15875" max="15875" width="1.7109375" customWidth="1"/>
    <col min="15876" max="15876" width="29.5703125" customWidth="1"/>
    <col min="15877" max="15877" width="16.140625" customWidth="1"/>
    <col min="15878" max="15878" width="18.28515625" customWidth="1"/>
    <col min="15879" max="15879" width="17.7109375" customWidth="1"/>
    <col min="16129" max="16129" width="9" customWidth="1"/>
    <col min="16130" max="16130" width="3.5703125" customWidth="1"/>
    <col min="16131" max="16131" width="1.7109375" customWidth="1"/>
    <col min="16132" max="16132" width="29.5703125" customWidth="1"/>
    <col min="16133" max="16133" width="16.140625" customWidth="1"/>
    <col min="16134" max="16134" width="18.28515625" customWidth="1"/>
    <col min="16135" max="16135" width="17.7109375" customWidth="1"/>
  </cols>
  <sheetData>
    <row r="1" spans="1:9" s="3" customFormat="1" ht="9.9499999999999993" customHeight="1"/>
    <row r="2" spans="1:9" ht="24" customHeight="1">
      <c r="A2" s="464" t="s">
        <v>2796</v>
      </c>
      <c r="B2" s="464"/>
      <c r="C2" s="464"/>
      <c r="D2" s="464"/>
      <c r="E2" s="464"/>
    </row>
    <row r="3" spans="1:9" s="3" customFormat="1" ht="9.9499999999999993" customHeight="1"/>
    <row r="4" spans="1:9" ht="12.75" customHeight="1" outlineLevel="1">
      <c r="A4" s="465" t="s">
        <v>2797</v>
      </c>
      <c r="B4" s="465"/>
      <c r="C4" s="465" t="s">
        <v>2798</v>
      </c>
      <c r="D4" s="465"/>
    </row>
    <row r="5" spans="1:9" s="3" customFormat="1" ht="9.9499999999999993" customHeight="1"/>
    <row r="6" spans="1:9" ht="12.75" customHeight="1">
      <c r="A6" s="3453" t="s">
        <v>2799</v>
      </c>
      <c r="B6" s="3453"/>
      <c r="C6" s="3453"/>
      <c r="D6" s="3453" t="s">
        <v>2800</v>
      </c>
      <c r="E6" s="3453"/>
      <c r="F6" s="3453"/>
      <c r="G6" s="3454" t="s">
        <v>2801</v>
      </c>
    </row>
    <row r="7" spans="1:9" ht="36.75" customHeight="1">
      <c r="A7" s="3453" t="s">
        <v>2802</v>
      </c>
      <c r="B7" s="3453"/>
      <c r="C7" s="3453"/>
      <c r="D7" s="3453" t="s">
        <v>2803</v>
      </c>
      <c r="E7" s="3453"/>
      <c r="F7" s="3453"/>
      <c r="G7" s="3455"/>
    </row>
    <row r="8" spans="1:9" ht="11.25" customHeight="1">
      <c r="A8" s="466"/>
      <c r="B8" s="467"/>
      <c r="C8" s="468"/>
      <c r="D8" s="3456" t="s">
        <v>2804</v>
      </c>
      <c r="E8" s="3456"/>
      <c r="F8" s="3456"/>
      <c r="G8" s="469"/>
    </row>
    <row r="9" spans="1:9" ht="15" outlineLevel="1">
      <c r="A9" s="3470" t="s">
        <v>3</v>
      </c>
      <c r="B9" s="3470"/>
      <c r="C9" s="3470"/>
      <c r="D9" s="3471" t="s">
        <v>2805</v>
      </c>
      <c r="E9" s="3471"/>
      <c r="F9" s="3471"/>
      <c r="G9" s="470">
        <v>1548728.0671699999</v>
      </c>
    </row>
    <row r="10" spans="1:9" ht="11.25" customHeight="1" outlineLevel="2" collapsed="1">
      <c r="A10" s="3470" t="s">
        <v>27</v>
      </c>
      <c r="B10" s="3470"/>
      <c r="C10" s="3470"/>
      <c r="D10" s="3472" t="s">
        <v>2806</v>
      </c>
      <c r="E10" s="3472"/>
      <c r="F10" s="3472"/>
      <c r="G10" s="471">
        <v>668218.04347999999</v>
      </c>
    </row>
    <row r="11" spans="1:9" ht="11.25" customHeight="1" outlineLevel="3">
      <c r="A11" s="466"/>
      <c r="B11" s="467"/>
      <c r="C11" s="468"/>
      <c r="D11" s="3473" t="s">
        <v>2807</v>
      </c>
      <c r="E11" s="3474"/>
      <c r="F11" s="3475"/>
      <c r="G11" s="471">
        <v>668218.04347999999</v>
      </c>
    </row>
    <row r="12" spans="1:9" ht="11.25" customHeight="1" outlineLevel="7">
      <c r="A12" s="482"/>
      <c r="B12" s="483"/>
      <c r="C12" s="484"/>
      <c r="D12" s="3460" t="s">
        <v>2810</v>
      </c>
      <c r="E12" s="3460"/>
      <c r="F12" s="3460"/>
      <c r="G12" s="475">
        <v>668218.04347999999</v>
      </c>
    </row>
    <row r="13" spans="1:9" ht="11.25" customHeight="1" outlineLevel="2">
      <c r="A13" s="3458" t="s">
        <v>28</v>
      </c>
      <c r="B13" s="3458"/>
      <c r="C13" s="3458"/>
      <c r="D13" s="3459" t="s">
        <v>1461</v>
      </c>
      <c r="E13" s="3459"/>
      <c r="F13" s="3459"/>
      <c r="G13" s="583">
        <v>1126.0119</v>
      </c>
      <c r="I13" s="523"/>
    </row>
    <row r="14" spans="1:9" ht="11.25" customHeight="1" outlineLevel="3">
      <c r="A14" s="466"/>
      <c r="B14" s="467"/>
      <c r="C14" s="468"/>
      <c r="D14" s="3457" t="s">
        <v>2807</v>
      </c>
      <c r="E14" s="3457"/>
      <c r="F14" s="3457"/>
      <c r="G14" s="471">
        <v>1126.0119</v>
      </c>
    </row>
    <row r="15" spans="1:9" ht="11.25" customHeight="1" outlineLevel="3">
      <c r="A15" s="466"/>
      <c r="B15" s="467"/>
      <c r="C15" s="468"/>
      <c r="D15" s="3457" t="s">
        <v>2811</v>
      </c>
      <c r="E15" s="3457"/>
      <c r="F15" s="3457"/>
      <c r="G15" s="486"/>
    </row>
    <row r="16" spans="1:9" ht="11.25" customHeight="1" outlineLevel="4">
      <c r="A16" s="472"/>
      <c r="B16" s="473"/>
      <c r="C16" s="474"/>
      <c r="D16" s="479"/>
      <c r="E16" s="480"/>
      <c r="F16" s="481"/>
      <c r="G16" s="485"/>
    </row>
    <row r="17" spans="1:7" ht="11.25" customHeight="1" outlineLevel="3">
      <c r="A17" s="466"/>
      <c r="B17" s="467"/>
      <c r="C17" s="468"/>
      <c r="D17" s="3457" t="s">
        <v>2812</v>
      </c>
      <c r="E17" s="3457"/>
      <c r="F17" s="3457"/>
      <c r="G17" s="486"/>
    </row>
    <row r="18" spans="1:7" ht="11.25" customHeight="1" outlineLevel="4">
      <c r="A18" s="472"/>
      <c r="B18" s="473"/>
      <c r="C18" s="474"/>
      <c r="D18" s="479"/>
      <c r="E18" s="480"/>
      <c r="F18" s="481"/>
      <c r="G18" s="485"/>
    </row>
    <row r="19" spans="1:7" ht="11.25" customHeight="1" outlineLevel="2">
      <c r="A19" s="3464" t="s">
        <v>2813</v>
      </c>
      <c r="B19" s="3465"/>
      <c r="C19" s="3466"/>
      <c r="D19" s="3457" t="s">
        <v>2814</v>
      </c>
      <c r="E19" s="3457"/>
      <c r="F19" s="3457"/>
      <c r="G19" s="486">
        <v>19747.271110000001</v>
      </c>
    </row>
    <row r="20" spans="1:7" ht="11.25" customHeight="1" outlineLevel="3">
      <c r="A20" s="3479" t="s">
        <v>2815</v>
      </c>
      <c r="B20" s="3480"/>
      <c r="C20" s="3481"/>
      <c r="D20" s="3457" t="s">
        <v>2816</v>
      </c>
      <c r="E20" s="3457"/>
      <c r="F20" s="3457"/>
      <c r="G20" s="486">
        <v>19399.811689999999</v>
      </c>
    </row>
    <row r="21" spans="1:7" ht="11.25" customHeight="1" outlineLevel="4">
      <c r="A21" s="466"/>
      <c r="B21" s="467"/>
      <c r="C21" s="468"/>
      <c r="D21" s="3476" t="s">
        <v>2807</v>
      </c>
      <c r="E21" s="3477"/>
      <c r="F21" s="3478"/>
      <c r="G21" s="471">
        <v>19237.707829999999</v>
      </c>
    </row>
    <row r="22" spans="1:7" ht="11.25" customHeight="1" outlineLevel="4">
      <c r="A22" s="466"/>
      <c r="B22" s="467"/>
      <c r="C22" s="468"/>
      <c r="D22" s="3461" t="s">
        <v>2811</v>
      </c>
      <c r="E22" s="3462"/>
      <c r="F22" s="3463"/>
      <c r="G22" s="486"/>
    </row>
    <row r="23" spans="1:7" ht="11.25" customHeight="1" outlineLevel="4">
      <c r="A23" s="466"/>
      <c r="B23" s="467"/>
      <c r="C23" s="468"/>
      <c r="D23" s="3461" t="s">
        <v>2812</v>
      </c>
      <c r="E23" s="3462"/>
      <c r="F23" s="3463"/>
      <c r="G23" s="490">
        <v>162.10386</v>
      </c>
    </row>
    <row r="24" spans="1:7" ht="11.25" customHeight="1" outlineLevel="3">
      <c r="A24" s="3464" t="s">
        <v>2817</v>
      </c>
      <c r="B24" s="3465"/>
      <c r="C24" s="3466"/>
      <c r="D24" s="3467" t="s">
        <v>2818</v>
      </c>
      <c r="E24" s="3468"/>
      <c r="F24" s="3469"/>
      <c r="G24" s="490">
        <v>347.45942000000002</v>
      </c>
    </row>
    <row r="25" spans="1:7" ht="11.25" customHeight="1" outlineLevel="4">
      <c r="A25" s="466"/>
      <c r="B25" s="467"/>
      <c r="C25" s="468"/>
      <c r="D25" s="3476" t="s">
        <v>2807</v>
      </c>
      <c r="E25" s="3477"/>
      <c r="F25" s="3478"/>
      <c r="G25" s="490">
        <v>347.45942000000002</v>
      </c>
    </row>
    <row r="26" spans="1:7" ht="11.25" customHeight="1" outlineLevel="4">
      <c r="A26" s="466"/>
      <c r="B26" s="467"/>
      <c r="C26" s="468"/>
      <c r="D26" s="3461" t="s">
        <v>2811</v>
      </c>
      <c r="E26" s="3462"/>
      <c r="F26" s="3463"/>
      <c r="G26" s="486"/>
    </row>
    <row r="27" spans="1:7" ht="11.25" customHeight="1" outlineLevel="4">
      <c r="A27" s="466"/>
      <c r="B27" s="467"/>
      <c r="C27" s="468"/>
      <c r="D27" s="3461" t="s">
        <v>2812</v>
      </c>
      <c r="E27" s="3462"/>
      <c r="F27" s="3463"/>
      <c r="G27" s="486"/>
    </row>
    <row r="28" spans="1:7" ht="15" outlineLevel="1">
      <c r="A28" s="3470" t="s">
        <v>8</v>
      </c>
      <c r="B28" s="3470"/>
      <c r="C28" s="3470"/>
      <c r="D28" s="3471" t="s">
        <v>2819</v>
      </c>
      <c r="E28" s="3471"/>
      <c r="F28" s="3471"/>
      <c r="G28" s="470">
        <v>1783676.68536</v>
      </c>
    </row>
    <row r="29" spans="1:7" ht="11.25" customHeight="1" outlineLevel="2" collapsed="1">
      <c r="A29" s="3479" t="s">
        <v>22</v>
      </c>
      <c r="B29" s="3480"/>
      <c r="C29" s="3481"/>
      <c r="D29" s="3487" t="s">
        <v>2806</v>
      </c>
      <c r="E29" s="3488"/>
      <c r="F29" s="3489"/>
      <c r="G29" s="471">
        <v>961179.11531000002</v>
      </c>
    </row>
    <row r="30" spans="1:7" ht="11.25" customHeight="1" outlineLevel="3">
      <c r="A30" s="466"/>
      <c r="B30" s="467"/>
      <c r="C30" s="468"/>
      <c r="D30" s="3473" t="s">
        <v>2807</v>
      </c>
      <c r="E30" s="3474"/>
      <c r="F30" s="3475"/>
      <c r="G30" s="471">
        <v>961179.11531000002</v>
      </c>
    </row>
    <row r="31" spans="1:7" ht="11.25" customHeight="1" outlineLevel="3">
      <c r="A31" s="466"/>
      <c r="B31" s="467"/>
      <c r="C31" s="468"/>
      <c r="D31" s="3484" t="s">
        <v>2811</v>
      </c>
      <c r="E31" s="3485"/>
      <c r="F31" s="3486"/>
      <c r="G31" s="486"/>
    </row>
    <row r="32" spans="1:7" ht="11.25" customHeight="1" outlineLevel="3">
      <c r="A32" s="466"/>
      <c r="B32" s="467"/>
      <c r="C32" s="468"/>
      <c r="D32" s="3484" t="s">
        <v>2812</v>
      </c>
      <c r="E32" s="3485"/>
      <c r="F32" s="3486"/>
      <c r="G32" s="486"/>
    </row>
    <row r="33" spans="1:7" ht="11.25" customHeight="1" outlineLevel="2">
      <c r="A33" s="3458" t="s">
        <v>23</v>
      </c>
      <c r="B33" s="3458"/>
      <c r="C33" s="3458"/>
      <c r="D33" s="3459" t="s">
        <v>1461</v>
      </c>
      <c r="E33" s="3459"/>
      <c r="F33" s="3459"/>
      <c r="G33" s="583">
        <v>6114.1584899999998</v>
      </c>
    </row>
    <row r="34" spans="1:7" ht="11.25" customHeight="1" outlineLevel="3">
      <c r="A34" s="466"/>
      <c r="B34" s="467"/>
      <c r="C34" s="468"/>
      <c r="D34" s="3457" t="s">
        <v>2807</v>
      </c>
      <c r="E34" s="3457"/>
      <c r="F34" s="3457"/>
      <c r="G34" s="471">
        <v>6114.1584899999998</v>
      </c>
    </row>
    <row r="35" spans="1:7" ht="11.25" customHeight="1" outlineLevel="3">
      <c r="A35" s="466"/>
      <c r="B35" s="467"/>
      <c r="C35" s="468"/>
      <c r="D35" s="3457" t="s">
        <v>2811</v>
      </c>
      <c r="E35" s="3457"/>
      <c r="F35" s="3457"/>
      <c r="G35" s="486"/>
    </row>
    <row r="36" spans="1:7" ht="11.25" customHeight="1" outlineLevel="3">
      <c r="A36" s="466"/>
      <c r="B36" s="467"/>
      <c r="C36" s="468"/>
      <c r="D36" s="3457" t="s">
        <v>2812</v>
      </c>
      <c r="E36" s="3457"/>
      <c r="F36" s="3457"/>
      <c r="G36" s="486"/>
    </row>
    <row r="37" spans="1:7" ht="11.25" customHeight="1" outlineLevel="4">
      <c r="A37" s="472"/>
      <c r="B37" s="473"/>
      <c r="C37" s="474"/>
      <c r="D37" s="479"/>
      <c r="E37" s="480"/>
      <c r="F37" s="481"/>
      <c r="G37" s="485"/>
    </row>
    <row r="38" spans="1:7" ht="11.25" customHeight="1" outlineLevel="2">
      <c r="A38" s="3470" t="s">
        <v>24</v>
      </c>
      <c r="B38" s="3470"/>
      <c r="C38" s="3470"/>
      <c r="D38" s="3472" t="s">
        <v>2814</v>
      </c>
      <c r="E38" s="3472"/>
      <c r="F38" s="3472"/>
      <c r="G38" s="471">
        <v>21204.391370000001</v>
      </c>
    </row>
    <row r="39" spans="1:7" ht="11.25" customHeight="1" outlineLevel="3">
      <c r="A39" s="3470" t="s">
        <v>2820</v>
      </c>
      <c r="B39" s="3470"/>
      <c r="C39" s="3470"/>
      <c r="D39" s="3457" t="s">
        <v>2816</v>
      </c>
      <c r="E39" s="3457"/>
      <c r="F39" s="3457"/>
      <c r="G39" s="471">
        <v>20005.060219999999</v>
      </c>
    </row>
    <row r="40" spans="1:7" ht="11.25" customHeight="1" outlineLevel="4">
      <c r="A40" s="466"/>
      <c r="B40" s="467"/>
      <c r="C40" s="468"/>
      <c r="D40" s="3482" t="s">
        <v>2807</v>
      </c>
      <c r="E40" s="3482"/>
      <c r="F40" s="3482"/>
      <c r="G40" s="471">
        <v>19915.37225</v>
      </c>
    </row>
    <row r="41" spans="1:7" ht="11.25" customHeight="1" outlineLevel="4">
      <c r="A41" s="466"/>
      <c r="B41" s="467"/>
      <c r="C41" s="468"/>
      <c r="D41" s="3482" t="s">
        <v>2811</v>
      </c>
      <c r="E41" s="3482"/>
      <c r="F41" s="3482"/>
      <c r="G41" s="490">
        <v>89.687970000000007</v>
      </c>
    </row>
    <row r="42" spans="1:7" ht="11.25" customHeight="1" outlineLevel="4">
      <c r="A42" s="466"/>
      <c r="B42" s="467"/>
      <c r="C42" s="468"/>
      <c r="D42" s="3482" t="s">
        <v>2812</v>
      </c>
      <c r="E42" s="3482"/>
      <c r="F42" s="3482"/>
      <c r="G42" s="486"/>
    </row>
    <row r="43" spans="1:7" ht="11.25" customHeight="1" outlineLevel="5">
      <c r="A43" s="476"/>
      <c r="B43" s="477"/>
      <c r="C43" s="478"/>
      <c r="D43" s="479"/>
      <c r="E43" s="480"/>
      <c r="F43" s="481"/>
      <c r="G43" s="485"/>
    </row>
    <row r="44" spans="1:7" ht="11.25" customHeight="1" outlineLevel="3">
      <c r="A44" s="3470" t="s">
        <v>2821</v>
      </c>
      <c r="B44" s="3470"/>
      <c r="C44" s="3470"/>
      <c r="D44" s="3457" t="s">
        <v>2818</v>
      </c>
      <c r="E44" s="3457"/>
      <c r="F44" s="3457"/>
      <c r="G44" s="471">
        <v>1199.33115</v>
      </c>
    </row>
    <row r="45" spans="1:7" ht="11.25" customHeight="1" outlineLevel="4">
      <c r="A45" s="466"/>
      <c r="B45" s="467"/>
      <c r="C45" s="468"/>
      <c r="D45" s="3482" t="s">
        <v>2807</v>
      </c>
      <c r="E45" s="3482"/>
      <c r="F45" s="3482"/>
      <c r="G45" s="471">
        <v>1199.33115</v>
      </c>
    </row>
    <row r="46" spans="1:7" ht="11.25" customHeight="1" outlineLevel="4">
      <c r="A46" s="466"/>
      <c r="B46" s="467"/>
      <c r="C46" s="468"/>
      <c r="D46" s="3482" t="s">
        <v>2811</v>
      </c>
      <c r="E46" s="3482"/>
      <c r="F46" s="3482"/>
      <c r="G46" s="486"/>
    </row>
    <row r="47" spans="1:7" ht="11.25" customHeight="1" outlineLevel="4">
      <c r="A47" s="466"/>
      <c r="B47" s="467"/>
      <c r="C47" s="468"/>
      <c r="D47" s="3482" t="s">
        <v>2812</v>
      </c>
      <c r="E47" s="3482"/>
      <c r="F47" s="3482"/>
      <c r="G47" s="486"/>
    </row>
    <row r="48" spans="1:7" ht="15" outlineLevel="1">
      <c r="A48" s="3470" t="s">
        <v>11</v>
      </c>
      <c r="B48" s="3470"/>
      <c r="C48" s="3470"/>
      <c r="D48" s="3471" t="s">
        <v>2809</v>
      </c>
      <c r="E48" s="3471"/>
      <c r="F48" s="3471"/>
      <c r="G48" s="470">
        <v>-234948.61819000001</v>
      </c>
    </row>
    <row r="49" spans="1:9" ht="11.25" customHeight="1" outlineLevel="2" collapsed="1">
      <c r="A49" s="3470" t="s">
        <v>2822</v>
      </c>
      <c r="B49" s="3470"/>
      <c r="C49" s="3470"/>
      <c r="D49" s="3472" t="s">
        <v>2806</v>
      </c>
      <c r="E49" s="3472"/>
      <c r="F49" s="3472"/>
      <c r="G49" s="471">
        <v>-292961.07182999997</v>
      </c>
    </row>
    <row r="50" spans="1:9" ht="11.25" customHeight="1" outlineLevel="2">
      <c r="A50" s="3458" t="s">
        <v>2823</v>
      </c>
      <c r="B50" s="3458"/>
      <c r="C50" s="3458"/>
      <c r="D50" s="3459" t="s">
        <v>1461</v>
      </c>
      <c r="E50" s="3459"/>
      <c r="F50" s="3459"/>
      <c r="G50" s="583">
        <v>-4988.1465900000003</v>
      </c>
      <c r="I50" s="522"/>
    </row>
    <row r="51" spans="1:9" ht="11.25" customHeight="1" outlineLevel="2">
      <c r="A51" s="3470" t="s">
        <v>2824</v>
      </c>
      <c r="B51" s="3470"/>
      <c r="C51" s="3470"/>
      <c r="D51" s="3472" t="s">
        <v>2814</v>
      </c>
      <c r="E51" s="3472"/>
      <c r="F51" s="3472"/>
      <c r="G51" s="471">
        <v>-1457.1202599999999</v>
      </c>
    </row>
    <row r="52" spans="1:9" ht="11.25" customHeight="1" outlineLevel="3">
      <c r="A52" s="3470" t="s">
        <v>2825</v>
      </c>
      <c r="B52" s="3470"/>
      <c r="C52" s="3470"/>
      <c r="D52" s="3457" t="s">
        <v>2816</v>
      </c>
      <c r="E52" s="3457"/>
      <c r="F52" s="3457"/>
      <c r="G52" s="490">
        <v>-605.24852999999996</v>
      </c>
    </row>
    <row r="53" spans="1:9" ht="11.25" customHeight="1" outlineLevel="3">
      <c r="A53" s="3470" t="s">
        <v>2826</v>
      </c>
      <c r="B53" s="3470"/>
      <c r="C53" s="3470"/>
      <c r="D53" s="3457" t="s">
        <v>2818</v>
      </c>
      <c r="E53" s="3457"/>
      <c r="F53" s="3457"/>
      <c r="G53" s="490">
        <v>-851.87172999999996</v>
      </c>
    </row>
    <row r="54" spans="1:9" ht="14.25" customHeight="1" outlineLevel="1">
      <c r="A54" s="3470" t="s">
        <v>14</v>
      </c>
      <c r="B54" s="3470"/>
      <c r="C54" s="3470"/>
      <c r="D54" s="3471" t="s">
        <v>2827</v>
      </c>
      <c r="E54" s="3471"/>
      <c r="F54" s="3471"/>
      <c r="G54" s="470">
        <v>66686.233399999997</v>
      </c>
    </row>
    <row r="55" spans="1:9" ht="11.25" customHeight="1" outlineLevel="2" collapsed="1">
      <c r="A55" s="3470" t="s">
        <v>2828</v>
      </c>
      <c r="B55" s="3470"/>
      <c r="C55" s="3470"/>
      <c r="D55" s="3472" t="s">
        <v>2806</v>
      </c>
      <c r="E55" s="3472"/>
      <c r="F55" s="3472"/>
      <c r="G55" s="471">
        <v>61850.072460000003</v>
      </c>
    </row>
    <row r="56" spans="1:9" ht="11.25" customHeight="1" outlineLevel="3">
      <c r="A56" s="466"/>
      <c r="B56" s="467"/>
      <c r="C56" s="468"/>
      <c r="D56" s="3457" t="s">
        <v>2807</v>
      </c>
      <c r="E56" s="3457"/>
      <c r="F56" s="3457"/>
      <c r="G56" s="471">
        <v>54009.395259999998</v>
      </c>
    </row>
    <row r="57" spans="1:9" ht="11.25" customHeight="1" outlineLevel="3">
      <c r="A57" s="466"/>
      <c r="B57" s="467"/>
      <c r="C57" s="468"/>
      <c r="D57" s="3457" t="s">
        <v>2811</v>
      </c>
      <c r="E57" s="3457"/>
      <c r="F57" s="3457"/>
      <c r="G57" s="471">
        <v>-3932.3274500000002</v>
      </c>
    </row>
    <row r="58" spans="1:9" ht="11.25" customHeight="1" outlineLevel="3">
      <c r="A58" s="466"/>
      <c r="B58" s="467"/>
      <c r="C58" s="468"/>
      <c r="D58" s="3457" t="s">
        <v>2812</v>
      </c>
      <c r="E58" s="3457"/>
      <c r="F58" s="3457"/>
      <c r="G58" s="471">
        <v>11773.004650000001</v>
      </c>
    </row>
    <row r="59" spans="1:9" ht="11.25" customHeight="1" outlineLevel="2">
      <c r="A59" s="3458" t="s">
        <v>2829</v>
      </c>
      <c r="B59" s="3458"/>
      <c r="C59" s="3458"/>
      <c r="D59" s="3459" t="s">
        <v>1461</v>
      </c>
      <c r="E59" s="3459"/>
      <c r="F59" s="3459"/>
      <c r="G59" s="583">
        <v>26.567080000000001</v>
      </c>
    </row>
    <row r="60" spans="1:9" ht="11.25" customHeight="1" outlineLevel="3">
      <c r="A60" s="466"/>
      <c r="B60" s="467"/>
      <c r="C60" s="468"/>
      <c r="D60" s="3457" t="s">
        <v>2807</v>
      </c>
      <c r="E60" s="3457"/>
      <c r="F60" s="3457"/>
      <c r="G60" s="490">
        <v>12.411060000000001</v>
      </c>
    </row>
    <row r="61" spans="1:9" ht="11.25" customHeight="1" outlineLevel="3">
      <c r="A61" s="466"/>
      <c r="B61" s="467"/>
      <c r="C61" s="468"/>
      <c r="D61" s="3457" t="s">
        <v>2811</v>
      </c>
      <c r="E61" s="3457"/>
      <c r="F61" s="3457"/>
      <c r="G61" s="490">
        <v>-0.65634999999999999</v>
      </c>
    </row>
    <row r="62" spans="1:9" ht="11.25" customHeight="1" outlineLevel="3">
      <c r="A62" s="466"/>
      <c r="B62" s="467"/>
      <c r="C62" s="468"/>
      <c r="D62" s="3457" t="s">
        <v>2812</v>
      </c>
      <c r="E62" s="3457"/>
      <c r="F62" s="3457"/>
      <c r="G62" s="490">
        <v>14.81237</v>
      </c>
    </row>
    <row r="63" spans="1:9" ht="11.25" customHeight="1" outlineLevel="2">
      <c r="A63" s="3470" t="s">
        <v>2830</v>
      </c>
      <c r="B63" s="3470"/>
      <c r="C63" s="3470"/>
      <c r="D63" s="3472" t="s">
        <v>2814</v>
      </c>
      <c r="E63" s="3472"/>
      <c r="F63" s="3472"/>
      <c r="G63" s="490">
        <v>675.87639000000001</v>
      </c>
    </row>
    <row r="64" spans="1:9" ht="11.25" customHeight="1" outlineLevel="3">
      <c r="A64" s="3470" t="s">
        <v>2831</v>
      </c>
      <c r="B64" s="3470"/>
      <c r="C64" s="3470"/>
      <c r="D64" s="3457" t="s">
        <v>2816</v>
      </c>
      <c r="E64" s="3457"/>
      <c r="F64" s="3457"/>
      <c r="G64" s="490">
        <v>646.29208000000006</v>
      </c>
    </row>
    <row r="65" spans="1:7" ht="11.25" customHeight="1" outlineLevel="4">
      <c r="A65" s="466"/>
      <c r="B65" s="467"/>
      <c r="C65" s="468"/>
      <c r="D65" s="3482" t="s">
        <v>2807</v>
      </c>
      <c r="E65" s="3482"/>
      <c r="F65" s="3482"/>
      <c r="G65" s="490">
        <v>428.36980999999997</v>
      </c>
    </row>
    <row r="66" spans="1:7" ht="11.25" customHeight="1" outlineLevel="4">
      <c r="A66" s="466"/>
      <c r="B66" s="467"/>
      <c r="C66" s="468"/>
      <c r="D66" s="3482" t="s">
        <v>2811</v>
      </c>
      <c r="E66" s="3482"/>
      <c r="F66" s="3482"/>
      <c r="G66" s="490">
        <v>-75.358559999999997</v>
      </c>
    </row>
    <row r="67" spans="1:7" ht="11.25" customHeight="1" outlineLevel="4">
      <c r="A67" s="466"/>
      <c r="B67" s="467"/>
      <c r="C67" s="468"/>
      <c r="D67" s="3482" t="s">
        <v>2812</v>
      </c>
      <c r="E67" s="3482"/>
      <c r="F67" s="3482"/>
      <c r="G67" s="490">
        <v>293.28082999999998</v>
      </c>
    </row>
    <row r="68" spans="1:7" ht="11.25" customHeight="1" outlineLevel="3">
      <c r="A68" s="3470" t="s">
        <v>2832</v>
      </c>
      <c r="B68" s="3470"/>
      <c r="C68" s="3470"/>
      <c r="D68" s="3457" t="s">
        <v>2818</v>
      </c>
      <c r="E68" s="3457"/>
      <c r="F68" s="3457"/>
      <c r="G68" s="490">
        <v>29.584309999999999</v>
      </c>
    </row>
    <row r="69" spans="1:7" ht="11.25" customHeight="1" outlineLevel="4">
      <c r="A69" s="466"/>
      <c r="B69" s="467"/>
      <c r="C69" s="468"/>
      <c r="D69" s="3482" t="s">
        <v>2807</v>
      </c>
      <c r="E69" s="3482"/>
      <c r="F69" s="3482"/>
      <c r="G69" s="490">
        <v>23.83615</v>
      </c>
    </row>
    <row r="70" spans="1:7" ht="11.25" customHeight="1" outlineLevel="4">
      <c r="A70" s="466"/>
      <c r="B70" s="467"/>
      <c r="C70" s="468"/>
      <c r="D70" s="3482" t="s">
        <v>2811</v>
      </c>
      <c r="E70" s="3482"/>
      <c r="F70" s="3482"/>
      <c r="G70" s="490">
        <v>-1.8660099999999999</v>
      </c>
    </row>
    <row r="71" spans="1:7" ht="11.25" customHeight="1" outlineLevel="4">
      <c r="A71" s="466"/>
      <c r="B71" s="467"/>
      <c r="C71" s="468"/>
      <c r="D71" s="3482" t="s">
        <v>2812</v>
      </c>
      <c r="E71" s="3482"/>
      <c r="F71" s="3482"/>
      <c r="G71" s="490">
        <v>7.6141699999999997</v>
      </c>
    </row>
    <row r="72" spans="1:7" ht="15" outlineLevel="1">
      <c r="A72" s="3470" t="s">
        <v>20</v>
      </c>
      <c r="B72" s="3470"/>
      <c r="C72" s="3470"/>
      <c r="D72" s="3471" t="s">
        <v>2833</v>
      </c>
      <c r="E72" s="3471"/>
      <c r="F72" s="3471"/>
      <c r="G72" s="470">
        <v>312778.32954000001</v>
      </c>
    </row>
    <row r="73" spans="1:7" ht="11.25" customHeight="1" outlineLevel="2" collapsed="1">
      <c r="A73" s="3470" t="s">
        <v>15</v>
      </c>
      <c r="B73" s="3470"/>
      <c r="C73" s="3470"/>
      <c r="D73" s="3472" t="s">
        <v>2806</v>
      </c>
      <c r="E73" s="3472"/>
      <c r="F73" s="3472"/>
      <c r="G73" s="471">
        <v>294689.88365999999</v>
      </c>
    </row>
    <row r="74" spans="1:7" ht="11.25" customHeight="1" outlineLevel="3">
      <c r="A74" s="466"/>
      <c r="B74" s="467"/>
      <c r="C74" s="468"/>
      <c r="D74" s="3457" t="s">
        <v>2807</v>
      </c>
      <c r="E74" s="3457"/>
      <c r="F74" s="3457"/>
      <c r="G74" s="471">
        <v>270880.04946000001</v>
      </c>
    </row>
    <row r="75" spans="1:7" ht="11.25" customHeight="1" outlineLevel="3">
      <c r="A75" s="466"/>
      <c r="B75" s="467"/>
      <c r="C75" s="468"/>
      <c r="D75" s="3457" t="s">
        <v>2811</v>
      </c>
      <c r="E75" s="3457"/>
      <c r="F75" s="3457"/>
      <c r="G75" s="490">
        <v>-920.75570000000005</v>
      </c>
    </row>
    <row r="76" spans="1:7" ht="11.25" customHeight="1" outlineLevel="3">
      <c r="A76" s="466"/>
      <c r="B76" s="467"/>
      <c r="C76" s="468"/>
      <c r="D76" s="3457" t="s">
        <v>2812</v>
      </c>
      <c r="E76" s="3457"/>
      <c r="F76" s="3457"/>
      <c r="G76" s="471">
        <v>24730.589899999999</v>
      </c>
    </row>
    <row r="77" spans="1:7" ht="11.25" customHeight="1" outlineLevel="2">
      <c r="A77" s="3458" t="s">
        <v>16</v>
      </c>
      <c r="B77" s="3458"/>
      <c r="C77" s="3458"/>
      <c r="D77" s="3459" t="s">
        <v>1461</v>
      </c>
      <c r="E77" s="3459"/>
      <c r="F77" s="3459"/>
      <c r="G77" s="583">
        <v>556.74838</v>
      </c>
    </row>
    <row r="78" spans="1:7" ht="11.25" customHeight="1" outlineLevel="3">
      <c r="A78" s="466"/>
      <c r="B78" s="467"/>
      <c r="C78" s="468"/>
      <c r="D78" s="3457" t="s">
        <v>2807</v>
      </c>
      <c r="E78" s="3457"/>
      <c r="F78" s="3457"/>
      <c r="G78" s="490">
        <v>408.21836000000002</v>
      </c>
    </row>
    <row r="79" spans="1:7" ht="11.25" customHeight="1" outlineLevel="3">
      <c r="A79" s="466"/>
      <c r="B79" s="467"/>
      <c r="C79" s="468"/>
      <c r="D79" s="3457" t="s">
        <v>2811</v>
      </c>
      <c r="E79" s="3457"/>
      <c r="F79" s="3457"/>
      <c r="G79" s="490">
        <v>-0.65634999999999999</v>
      </c>
    </row>
    <row r="80" spans="1:7" ht="11.25" customHeight="1" outlineLevel="3">
      <c r="A80" s="466"/>
      <c r="B80" s="467"/>
      <c r="C80" s="468"/>
      <c r="D80" s="3457" t="s">
        <v>2812</v>
      </c>
      <c r="E80" s="3457"/>
      <c r="F80" s="3457"/>
      <c r="G80" s="490">
        <v>149.18637000000001</v>
      </c>
    </row>
    <row r="81" spans="1:7" ht="11.25" customHeight="1" outlineLevel="2">
      <c r="A81" s="3470" t="s">
        <v>17</v>
      </c>
      <c r="B81" s="3470"/>
      <c r="C81" s="3470"/>
      <c r="D81" s="3472" t="s">
        <v>2814</v>
      </c>
      <c r="E81" s="3472"/>
      <c r="F81" s="3472"/>
      <c r="G81" s="471">
        <v>1675.58195</v>
      </c>
    </row>
    <row r="82" spans="1:7" ht="11.25" customHeight="1" outlineLevel="3">
      <c r="A82" s="3470" t="s">
        <v>2834</v>
      </c>
      <c r="B82" s="3470"/>
      <c r="C82" s="3470"/>
      <c r="D82" s="3457" t="s">
        <v>2816</v>
      </c>
      <c r="E82" s="3457"/>
      <c r="F82" s="3457"/>
      <c r="G82" s="471">
        <v>1593.13697</v>
      </c>
    </row>
    <row r="83" spans="1:7" ht="11.25" customHeight="1" outlineLevel="4">
      <c r="A83" s="466"/>
      <c r="B83" s="467"/>
      <c r="C83" s="468"/>
      <c r="D83" s="3482" t="s">
        <v>2807</v>
      </c>
      <c r="E83" s="3482"/>
      <c r="F83" s="3482"/>
      <c r="G83" s="490">
        <v>374.22548</v>
      </c>
    </row>
    <row r="84" spans="1:7" ht="11.25" customHeight="1" outlineLevel="4">
      <c r="A84" s="466"/>
      <c r="B84" s="467"/>
      <c r="C84" s="468"/>
      <c r="D84" s="3482" t="s">
        <v>2811</v>
      </c>
      <c r="E84" s="3482"/>
      <c r="F84" s="3482"/>
      <c r="G84" s="490">
        <v>178.90932000000001</v>
      </c>
    </row>
    <row r="85" spans="1:7" ht="11.25" customHeight="1" outlineLevel="4">
      <c r="A85" s="466"/>
      <c r="B85" s="467"/>
      <c r="C85" s="468"/>
      <c r="D85" s="3482" t="s">
        <v>2812</v>
      </c>
      <c r="E85" s="3482"/>
      <c r="F85" s="3482"/>
      <c r="G85" s="471">
        <v>1040.00217</v>
      </c>
    </row>
    <row r="86" spans="1:7" ht="11.25" customHeight="1" outlineLevel="3">
      <c r="A86" s="3470" t="s">
        <v>2835</v>
      </c>
      <c r="B86" s="3470"/>
      <c r="C86" s="3470"/>
      <c r="D86" s="3457" t="s">
        <v>2818</v>
      </c>
      <c r="E86" s="3457"/>
      <c r="F86" s="3457"/>
      <c r="G86" s="490">
        <v>82.444980000000001</v>
      </c>
    </row>
    <row r="87" spans="1:7" ht="11.25" customHeight="1" outlineLevel="4">
      <c r="A87" s="466"/>
      <c r="B87" s="467"/>
      <c r="C87" s="468"/>
      <c r="D87" s="3482" t="s">
        <v>2807</v>
      </c>
      <c r="E87" s="3482"/>
      <c r="F87" s="3482"/>
      <c r="G87" s="490">
        <v>55.590699999999998</v>
      </c>
    </row>
    <row r="88" spans="1:7" ht="11.25" customHeight="1" outlineLevel="4">
      <c r="A88" s="466"/>
      <c r="B88" s="467"/>
      <c r="C88" s="468"/>
      <c r="D88" s="3482" t="s">
        <v>2811</v>
      </c>
      <c r="E88" s="3482"/>
      <c r="F88" s="3482"/>
      <c r="G88" s="490">
        <v>-1.8660099999999999</v>
      </c>
    </row>
    <row r="89" spans="1:7" ht="11.25" customHeight="1" outlineLevel="4">
      <c r="A89" s="466"/>
      <c r="B89" s="467"/>
      <c r="C89" s="468"/>
      <c r="D89" s="3482" t="s">
        <v>2812</v>
      </c>
      <c r="E89" s="3482"/>
      <c r="F89" s="3482"/>
      <c r="G89" s="490">
        <v>28.720289999999999</v>
      </c>
    </row>
    <row r="90" spans="1:7" ht="15" outlineLevel="1">
      <c r="A90" s="3470" t="s">
        <v>2836</v>
      </c>
      <c r="B90" s="3470"/>
      <c r="C90" s="3470"/>
      <c r="D90" s="3471" t="s">
        <v>2837</v>
      </c>
      <c r="E90" s="3471"/>
      <c r="F90" s="3471"/>
      <c r="G90" s="470">
        <v>41003.332829999999</v>
      </c>
    </row>
    <row r="91" spans="1:7" ht="11.25" customHeight="1" outlineLevel="2" collapsed="1">
      <c r="A91" s="3470" t="s">
        <v>2838</v>
      </c>
      <c r="B91" s="3470"/>
      <c r="C91" s="3470"/>
      <c r="D91" s="3472" t="s">
        <v>2806</v>
      </c>
      <c r="E91" s="3472"/>
      <c r="F91" s="3472"/>
      <c r="G91" s="471">
        <v>38619.883099999999</v>
      </c>
    </row>
    <row r="92" spans="1:7" ht="11.25" customHeight="1" outlineLevel="3">
      <c r="A92" s="466"/>
      <c r="B92" s="467"/>
      <c r="C92" s="468"/>
      <c r="D92" s="3457" t="s">
        <v>2807</v>
      </c>
      <c r="E92" s="3457"/>
      <c r="F92" s="3457"/>
      <c r="G92" s="486"/>
    </row>
    <row r="93" spans="1:7" ht="11.25" customHeight="1" outlineLevel="3">
      <c r="A93" s="466"/>
      <c r="B93" s="467"/>
      <c r="C93" s="468"/>
      <c r="D93" s="3457" t="s">
        <v>2811</v>
      </c>
      <c r="E93" s="3457"/>
      <c r="F93" s="3457"/>
      <c r="G93" s="486"/>
    </row>
    <row r="94" spans="1:7" ht="11.25" customHeight="1" outlineLevel="3">
      <c r="A94" s="466"/>
      <c r="B94" s="467"/>
      <c r="C94" s="468"/>
      <c r="D94" s="3457" t="s">
        <v>2812</v>
      </c>
      <c r="E94" s="3457"/>
      <c r="F94" s="3457"/>
      <c r="G94" s="471">
        <v>38619.883099999999</v>
      </c>
    </row>
    <row r="95" spans="1:7" ht="11.25" customHeight="1" outlineLevel="2">
      <c r="A95" s="3458" t="s">
        <v>2839</v>
      </c>
      <c r="B95" s="3458"/>
      <c r="C95" s="3458"/>
      <c r="D95" s="3459" t="s">
        <v>1461</v>
      </c>
      <c r="E95" s="3459"/>
      <c r="F95" s="3459"/>
      <c r="G95" s="583">
        <v>772.22167000000002</v>
      </c>
    </row>
    <row r="96" spans="1:7" ht="11.25" customHeight="1" outlineLevel="3">
      <c r="A96" s="466"/>
      <c r="B96" s="467"/>
      <c r="C96" s="468"/>
      <c r="D96" s="3457" t="s">
        <v>2807</v>
      </c>
      <c r="E96" s="3457"/>
      <c r="F96" s="3457"/>
      <c r="G96" s="486"/>
    </row>
    <row r="97" spans="1:7" ht="11.25" customHeight="1" outlineLevel="3">
      <c r="A97" s="466"/>
      <c r="B97" s="467"/>
      <c r="C97" s="468"/>
      <c r="D97" s="3457" t="s">
        <v>2811</v>
      </c>
      <c r="E97" s="3457"/>
      <c r="F97" s="3457"/>
      <c r="G97" s="486"/>
    </row>
    <row r="98" spans="1:7" ht="11.25" customHeight="1" outlineLevel="3">
      <c r="A98" s="466"/>
      <c r="B98" s="467"/>
      <c r="C98" s="468"/>
      <c r="D98" s="3457" t="s">
        <v>2812</v>
      </c>
      <c r="E98" s="3457"/>
      <c r="F98" s="3457"/>
      <c r="G98" s="490">
        <v>772.22167000000002</v>
      </c>
    </row>
    <row r="99" spans="1:7" ht="11.25" customHeight="1" outlineLevel="2">
      <c r="A99" s="3470" t="s">
        <v>2840</v>
      </c>
      <c r="B99" s="3470"/>
      <c r="C99" s="3470"/>
      <c r="D99" s="3472" t="s">
        <v>2814</v>
      </c>
      <c r="E99" s="3472"/>
      <c r="F99" s="3472"/>
      <c r="G99" s="471">
        <v>1611.2280599999999</v>
      </c>
    </row>
    <row r="100" spans="1:7" ht="11.25" customHeight="1" outlineLevel="3">
      <c r="A100" s="3470" t="s">
        <v>2841</v>
      </c>
      <c r="B100" s="3470"/>
      <c r="C100" s="3470"/>
      <c r="D100" s="3457" t="s">
        <v>2816</v>
      </c>
      <c r="E100" s="3457"/>
      <c r="F100" s="3457"/>
      <c r="G100" s="471">
        <v>1606.5802699999999</v>
      </c>
    </row>
    <row r="101" spans="1:7" ht="11.25" customHeight="1" outlineLevel="4">
      <c r="A101" s="466"/>
      <c r="B101" s="467"/>
      <c r="C101" s="468"/>
      <c r="D101" s="3482" t="s">
        <v>2807</v>
      </c>
      <c r="E101" s="3482"/>
      <c r="F101" s="3482"/>
      <c r="G101" s="486"/>
    </row>
    <row r="102" spans="1:7" ht="11.25" customHeight="1" outlineLevel="4">
      <c r="A102" s="466"/>
      <c r="B102" s="467"/>
      <c r="C102" s="468"/>
      <c r="D102" s="3482" t="s">
        <v>2811</v>
      </c>
      <c r="E102" s="3482"/>
      <c r="F102" s="3482"/>
      <c r="G102" s="486"/>
    </row>
    <row r="103" spans="1:7" ht="11.25" customHeight="1" outlineLevel="4">
      <c r="A103" s="466"/>
      <c r="B103" s="467"/>
      <c r="C103" s="468"/>
      <c r="D103" s="3482" t="s">
        <v>2812</v>
      </c>
      <c r="E103" s="3482"/>
      <c r="F103" s="3482"/>
      <c r="G103" s="471">
        <v>1606.5802699999999</v>
      </c>
    </row>
    <row r="104" spans="1:7" ht="11.25" customHeight="1" outlineLevel="3">
      <c r="A104" s="3470" t="s">
        <v>2842</v>
      </c>
      <c r="B104" s="3470"/>
      <c r="C104" s="3470"/>
      <c r="D104" s="3457" t="s">
        <v>2818</v>
      </c>
      <c r="E104" s="3457"/>
      <c r="F104" s="3457"/>
      <c r="G104" s="490">
        <v>4.6477899999999996</v>
      </c>
    </row>
    <row r="105" spans="1:7" ht="11.25" customHeight="1" outlineLevel="4">
      <c r="A105" s="466"/>
      <c r="B105" s="467"/>
      <c r="C105" s="468"/>
      <c r="D105" s="3482" t="s">
        <v>2807</v>
      </c>
      <c r="E105" s="3482"/>
      <c r="F105" s="3482"/>
      <c r="G105" s="486"/>
    </row>
    <row r="106" spans="1:7" ht="11.25" customHeight="1" outlineLevel="4">
      <c r="A106" s="466"/>
      <c r="B106" s="467"/>
      <c r="C106" s="468"/>
      <c r="D106" s="3482" t="s">
        <v>2811</v>
      </c>
      <c r="E106" s="3482"/>
      <c r="F106" s="3482"/>
      <c r="G106" s="486"/>
    </row>
    <row r="107" spans="1:7" ht="11.25" customHeight="1" outlineLevel="4">
      <c r="A107" s="466"/>
      <c r="B107" s="467"/>
      <c r="C107" s="468"/>
      <c r="D107" s="3482" t="s">
        <v>2812</v>
      </c>
      <c r="E107" s="3482"/>
      <c r="F107" s="3482"/>
      <c r="G107" s="490">
        <v>4.6477899999999996</v>
      </c>
    </row>
    <row r="108" spans="1:7" ht="15" outlineLevel="1">
      <c r="A108" s="3470" t="s">
        <v>2843</v>
      </c>
      <c r="B108" s="3470"/>
      <c r="C108" s="3470"/>
      <c r="D108" s="3471" t="s">
        <v>2844</v>
      </c>
      <c r="E108" s="3471"/>
      <c r="F108" s="3471"/>
      <c r="G108" s="470">
        <v>2251.8892599999999</v>
      </c>
    </row>
    <row r="109" spans="1:7" ht="11.25" customHeight="1" outlineLevel="2" collapsed="1">
      <c r="A109" s="3470" t="s">
        <v>2845</v>
      </c>
      <c r="B109" s="3470"/>
      <c r="C109" s="3470"/>
      <c r="D109" s="3472" t="s">
        <v>2806</v>
      </c>
      <c r="E109" s="3472"/>
      <c r="F109" s="3472"/>
      <c r="G109" s="486"/>
    </row>
    <row r="110" spans="1:7" ht="11.25" customHeight="1" outlineLevel="3">
      <c r="A110" s="466"/>
      <c r="B110" s="467"/>
      <c r="C110" s="468"/>
      <c r="D110" s="3457" t="s">
        <v>2807</v>
      </c>
      <c r="E110" s="3457"/>
      <c r="F110" s="3457"/>
      <c r="G110" s="486"/>
    </row>
    <row r="111" spans="1:7" ht="11.25" customHeight="1" outlineLevel="4">
      <c r="A111" s="472"/>
      <c r="B111" s="473"/>
      <c r="C111" s="474"/>
      <c r="D111" s="479"/>
      <c r="E111" s="480"/>
      <c r="F111" s="481"/>
      <c r="G111" s="485"/>
    </row>
    <row r="112" spans="1:7" ht="11.25" customHeight="1" outlineLevel="3">
      <c r="A112" s="466"/>
      <c r="B112" s="467"/>
      <c r="C112" s="468"/>
      <c r="D112" s="3457" t="s">
        <v>2811</v>
      </c>
      <c r="E112" s="3457"/>
      <c r="F112" s="3457"/>
      <c r="G112" s="486"/>
    </row>
    <row r="113" spans="1:7" ht="11.25" customHeight="1" outlineLevel="4">
      <c r="A113" s="472"/>
      <c r="B113" s="473"/>
      <c r="C113" s="474"/>
      <c r="D113" s="479"/>
      <c r="E113" s="480"/>
      <c r="F113" s="481"/>
      <c r="G113" s="485"/>
    </row>
    <row r="114" spans="1:7" ht="11.25" customHeight="1" outlineLevel="3">
      <c r="A114" s="466"/>
      <c r="B114" s="467"/>
      <c r="C114" s="468"/>
      <c r="D114" s="3457" t="s">
        <v>2812</v>
      </c>
      <c r="E114" s="3457"/>
      <c r="F114" s="3457"/>
      <c r="G114" s="486"/>
    </row>
    <row r="115" spans="1:7" ht="11.25" customHeight="1" outlineLevel="4">
      <c r="A115" s="472"/>
      <c r="B115" s="473"/>
      <c r="C115" s="474"/>
      <c r="D115" s="479"/>
      <c r="E115" s="480"/>
      <c r="F115" s="481"/>
      <c r="G115" s="485"/>
    </row>
    <row r="116" spans="1:7" ht="11.25" customHeight="1" outlineLevel="2">
      <c r="A116" s="3458" t="s">
        <v>2846</v>
      </c>
      <c r="B116" s="3458"/>
      <c r="C116" s="3458"/>
      <c r="D116" s="3459" t="s">
        <v>1461</v>
      </c>
      <c r="E116" s="3459"/>
      <c r="F116" s="3459"/>
      <c r="G116" s="583"/>
    </row>
    <row r="117" spans="1:7" ht="11.25" customHeight="1" outlineLevel="3">
      <c r="A117" s="466"/>
      <c r="B117" s="467"/>
      <c r="C117" s="468"/>
      <c r="D117" s="3457" t="s">
        <v>2807</v>
      </c>
      <c r="E117" s="3457"/>
      <c r="F117" s="3457"/>
      <c r="G117" s="486"/>
    </row>
    <row r="118" spans="1:7" ht="11.25" customHeight="1" outlineLevel="3">
      <c r="A118" s="466"/>
      <c r="B118" s="467"/>
      <c r="C118" s="468"/>
      <c r="D118" s="3457" t="s">
        <v>2811</v>
      </c>
      <c r="E118" s="3457"/>
      <c r="F118" s="3457"/>
      <c r="G118" s="486"/>
    </row>
    <row r="119" spans="1:7" ht="11.25" customHeight="1" outlineLevel="3">
      <c r="A119" s="466"/>
      <c r="B119" s="467"/>
      <c r="C119" s="468"/>
      <c r="D119" s="3457" t="s">
        <v>2812</v>
      </c>
      <c r="E119" s="3457"/>
      <c r="F119" s="3457"/>
      <c r="G119" s="486"/>
    </row>
    <row r="120" spans="1:7" ht="11.25" customHeight="1" outlineLevel="2">
      <c r="A120" s="3470" t="s">
        <v>2847</v>
      </c>
      <c r="B120" s="3470"/>
      <c r="C120" s="3470"/>
      <c r="D120" s="3472" t="s">
        <v>2814</v>
      </c>
      <c r="E120" s="3472"/>
      <c r="F120" s="3472"/>
      <c r="G120" s="471">
        <v>2251.8892599999999</v>
      </c>
    </row>
    <row r="121" spans="1:7" ht="11.25" customHeight="1" outlineLevel="3">
      <c r="A121" s="3470" t="s">
        <v>2848</v>
      </c>
      <c r="B121" s="3470"/>
      <c r="C121" s="3470"/>
      <c r="D121" s="3457" t="s">
        <v>2816</v>
      </c>
      <c r="E121" s="3457"/>
      <c r="F121" s="3457"/>
      <c r="G121" s="471">
        <v>2251.8892599999999</v>
      </c>
    </row>
    <row r="122" spans="1:7" ht="11.25" customHeight="1" outlineLevel="4">
      <c r="A122" s="466"/>
      <c r="B122" s="467"/>
      <c r="C122" s="468"/>
      <c r="D122" s="3482" t="s">
        <v>2807</v>
      </c>
      <c r="E122" s="3482"/>
      <c r="F122" s="3482"/>
      <c r="G122" s="490">
        <v>64.520039999999995</v>
      </c>
    </row>
    <row r="123" spans="1:7" ht="11.25" customHeight="1" outlineLevel="4">
      <c r="A123" s="466"/>
      <c r="B123" s="467"/>
      <c r="C123" s="468"/>
      <c r="D123" s="3482" t="s">
        <v>2811</v>
      </c>
      <c r="E123" s="3482"/>
      <c r="F123" s="3482"/>
      <c r="G123" s="486"/>
    </row>
    <row r="124" spans="1:7" ht="11.25" customHeight="1" outlineLevel="4">
      <c r="A124" s="466"/>
      <c r="B124" s="467"/>
      <c r="C124" s="468"/>
      <c r="D124" s="3482" t="s">
        <v>2812</v>
      </c>
      <c r="E124" s="3482"/>
      <c r="F124" s="3482"/>
      <c r="G124" s="471">
        <v>2187.36922</v>
      </c>
    </row>
    <row r="125" spans="1:7" ht="11.25" customHeight="1" outlineLevel="3">
      <c r="A125" s="3470" t="s">
        <v>2849</v>
      </c>
      <c r="B125" s="3470"/>
      <c r="C125" s="3470"/>
      <c r="D125" s="3457" t="s">
        <v>2818</v>
      </c>
      <c r="E125" s="3457"/>
      <c r="F125" s="3457"/>
      <c r="G125" s="486"/>
    </row>
    <row r="126" spans="1:7" ht="11.25" customHeight="1" outlineLevel="4">
      <c r="A126" s="466"/>
      <c r="B126" s="467"/>
      <c r="C126" s="468"/>
      <c r="D126" s="3482" t="s">
        <v>2807</v>
      </c>
      <c r="E126" s="3482"/>
      <c r="F126" s="3482"/>
      <c r="G126" s="486"/>
    </row>
    <row r="127" spans="1:7" ht="11.25" customHeight="1" outlineLevel="4">
      <c r="A127" s="466"/>
      <c r="B127" s="467"/>
      <c r="C127" s="468"/>
      <c r="D127" s="3482" t="s">
        <v>2811</v>
      </c>
      <c r="E127" s="3482"/>
      <c r="F127" s="3482"/>
      <c r="G127" s="486"/>
    </row>
    <row r="128" spans="1:7" ht="11.25" customHeight="1" outlineLevel="4">
      <c r="A128" s="466"/>
      <c r="B128" s="467"/>
      <c r="C128" s="468"/>
      <c r="D128" s="3482" t="s">
        <v>2812</v>
      </c>
      <c r="E128" s="3482"/>
      <c r="F128" s="3482"/>
      <c r="G128" s="486"/>
    </row>
    <row r="129" spans="1:7" ht="11.25" customHeight="1" outlineLevel="5">
      <c r="A129" s="476"/>
      <c r="B129" s="477"/>
      <c r="C129" s="478"/>
      <c r="D129" s="479"/>
      <c r="E129" s="480"/>
      <c r="F129" s="481"/>
      <c r="G129" s="485"/>
    </row>
    <row r="130" spans="1:7" ht="15" outlineLevel="1">
      <c r="A130" s="3470" t="s">
        <v>2850</v>
      </c>
      <c r="B130" s="3470"/>
      <c r="C130" s="3470"/>
      <c r="D130" s="3471" t="s">
        <v>2851</v>
      </c>
      <c r="E130" s="3471"/>
      <c r="F130" s="3471"/>
      <c r="G130" s="470">
        <v>781372.55987999996</v>
      </c>
    </row>
    <row r="131" spans="1:7" ht="11.25" customHeight="1" outlineLevel="2" collapsed="1">
      <c r="A131" s="3470" t="s">
        <v>2852</v>
      </c>
      <c r="B131" s="3470"/>
      <c r="C131" s="3470"/>
      <c r="D131" s="3472" t="s">
        <v>2806</v>
      </c>
      <c r="E131" s="3472"/>
      <c r="F131" s="3472"/>
      <c r="G131" s="471">
        <v>767838.47542000003</v>
      </c>
    </row>
    <row r="132" spans="1:7" ht="11.25" customHeight="1" outlineLevel="3">
      <c r="A132" s="466"/>
      <c r="B132" s="467"/>
      <c r="C132" s="468"/>
      <c r="D132" s="3457" t="s">
        <v>2807</v>
      </c>
      <c r="E132" s="3457"/>
      <c r="F132" s="3457"/>
      <c r="G132" s="471">
        <v>767838.47542000003</v>
      </c>
    </row>
    <row r="133" spans="1:7" ht="11.25" customHeight="1" outlineLevel="3">
      <c r="A133" s="466"/>
      <c r="B133" s="467"/>
      <c r="C133" s="468"/>
      <c r="D133" s="3457" t="s">
        <v>2811</v>
      </c>
      <c r="E133" s="3457"/>
      <c r="F133" s="3457"/>
      <c r="G133" s="486"/>
    </row>
    <row r="134" spans="1:7" ht="11.25" customHeight="1" outlineLevel="3">
      <c r="A134" s="466"/>
      <c r="B134" s="467"/>
      <c r="C134" s="468"/>
      <c r="D134" s="3457" t="s">
        <v>2812</v>
      </c>
      <c r="E134" s="3457"/>
      <c r="F134" s="3457"/>
      <c r="G134" s="486"/>
    </row>
    <row r="135" spans="1:7" ht="11.25" customHeight="1" outlineLevel="2">
      <c r="A135" s="3458" t="s">
        <v>2853</v>
      </c>
      <c r="B135" s="3458"/>
      <c r="C135" s="3458"/>
      <c r="D135" s="3459" t="s">
        <v>1461</v>
      </c>
      <c r="E135" s="3459"/>
      <c r="F135" s="3459"/>
      <c r="G135" s="583"/>
    </row>
    <row r="136" spans="1:7" ht="11.25" customHeight="1" outlineLevel="3">
      <c r="A136" s="466"/>
      <c r="B136" s="467"/>
      <c r="C136" s="468"/>
      <c r="D136" s="3457" t="s">
        <v>2807</v>
      </c>
      <c r="E136" s="3457"/>
      <c r="F136" s="3457"/>
      <c r="G136" s="486"/>
    </row>
    <row r="137" spans="1:7" ht="11.25" customHeight="1" outlineLevel="3">
      <c r="A137" s="466"/>
      <c r="B137" s="467"/>
      <c r="C137" s="468"/>
      <c r="D137" s="3457" t="s">
        <v>2811</v>
      </c>
      <c r="E137" s="3457"/>
      <c r="F137" s="3457"/>
      <c r="G137" s="486"/>
    </row>
    <row r="138" spans="1:7" ht="11.25" customHeight="1" outlineLevel="3">
      <c r="A138" s="466"/>
      <c r="B138" s="467"/>
      <c r="C138" s="468"/>
      <c r="D138" s="3457" t="s">
        <v>2812</v>
      </c>
      <c r="E138" s="3457"/>
      <c r="F138" s="3457"/>
      <c r="G138" s="486"/>
    </row>
    <row r="139" spans="1:7" ht="11.25" customHeight="1" outlineLevel="2">
      <c r="A139" s="3470" t="s">
        <v>2854</v>
      </c>
      <c r="B139" s="3470"/>
      <c r="C139" s="3470"/>
      <c r="D139" s="3472" t="s">
        <v>2814</v>
      </c>
      <c r="E139" s="3472"/>
      <c r="F139" s="3472"/>
      <c r="G139" s="486"/>
    </row>
    <row r="140" spans="1:7" ht="11.25" customHeight="1" outlineLevel="3">
      <c r="A140" s="3470" t="s">
        <v>2855</v>
      </c>
      <c r="B140" s="3470"/>
      <c r="C140" s="3470"/>
      <c r="D140" s="3457" t="s">
        <v>2816</v>
      </c>
      <c r="E140" s="3457"/>
      <c r="F140" s="3457"/>
      <c r="G140" s="486"/>
    </row>
    <row r="141" spans="1:7" ht="11.25" customHeight="1" outlineLevel="4">
      <c r="A141" s="466"/>
      <c r="B141" s="467"/>
      <c r="C141" s="468"/>
      <c r="D141" s="3482" t="s">
        <v>2807</v>
      </c>
      <c r="E141" s="3482"/>
      <c r="F141" s="3482"/>
      <c r="G141" s="486"/>
    </row>
    <row r="142" spans="1:7" ht="11.25" customHeight="1" outlineLevel="4">
      <c r="A142" s="466"/>
      <c r="B142" s="467"/>
      <c r="C142" s="468"/>
      <c r="D142" s="3482" t="s">
        <v>2811</v>
      </c>
      <c r="E142" s="3482"/>
      <c r="F142" s="3482"/>
      <c r="G142" s="486"/>
    </row>
    <row r="143" spans="1:7" ht="11.25" customHeight="1" outlineLevel="4">
      <c r="A143" s="466"/>
      <c r="B143" s="467"/>
      <c r="C143" s="468"/>
      <c r="D143" s="3482" t="s">
        <v>2812</v>
      </c>
      <c r="E143" s="3482"/>
      <c r="F143" s="3482"/>
      <c r="G143" s="486"/>
    </row>
    <row r="144" spans="1:7" ht="11.25" customHeight="1" outlineLevel="3">
      <c r="A144" s="3470" t="s">
        <v>2856</v>
      </c>
      <c r="B144" s="3470"/>
      <c r="C144" s="3470"/>
      <c r="D144" s="3457" t="s">
        <v>2818</v>
      </c>
      <c r="E144" s="3457"/>
      <c r="F144" s="3457"/>
      <c r="G144" s="486"/>
    </row>
    <row r="145" spans="1:7" ht="11.25" customHeight="1" outlineLevel="4">
      <c r="A145" s="466"/>
      <c r="B145" s="467"/>
      <c r="C145" s="468"/>
      <c r="D145" s="3482" t="s">
        <v>2807</v>
      </c>
      <c r="E145" s="3482"/>
      <c r="F145" s="3482"/>
      <c r="G145" s="486"/>
    </row>
    <row r="146" spans="1:7" ht="11.25" customHeight="1" outlineLevel="4">
      <c r="A146" s="466"/>
      <c r="B146" s="467"/>
      <c r="C146" s="468"/>
      <c r="D146" s="3482" t="s">
        <v>2811</v>
      </c>
      <c r="E146" s="3482"/>
      <c r="F146" s="3482"/>
      <c r="G146" s="486"/>
    </row>
    <row r="147" spans="1:7" ht="11.25" customHeight="1" outlineLevel="4">
      <c r="A147" s="466"/>
      <c r="B147" s="467"/>
      <c r="C147" s="468"/>
      <c r="D147" s="3482" t="s">
        <v>2812</v>
      </c>
      <c r="E147" s="3482"/>
      <c r="F147" s="3482"/>
      <c r="G147" s="486"/>
    </row>
    <row r="148" spans="1:7" ht="17.25" customHeight="1" outlineLevel="1">
      <c r="A148" s="3470" t="s">
        <v>2857</v>
      </c>
      <c r="B148" s="3470"/>
      <c r="C148" s="3470"/>
      <c r="D148" s="3471" t="s">
        <v>2858</v>
      </c>
      <c r="E148" s="3471"/>
      <c r="F148" s="3471"/>
      <c r="G148" s="470">
        <v>-1327398.9539600001</v>
      </c>
    </row>
    <row r="149" spans="1:7" ht="11.25" customHeight="1" outlineLevel="2" collapsed="1">
      <c r="A149" s="3470" t="s">
        <v>2859</v>
      </c>
      <c r="B149" s="3470"/>
      <c r="C149" s="3470"/>
      <c r="D149" s="3472" t="s">
        <v>2806</v>
      </c>
      <c r="E149" s="3472"/>
      <c r="F149" s="3472"/>
      <c r="G149" s="471">
        <v>-1332259.2415499999</v>
      </c>
    </row>
    <row r="150" spans="1:7" ht="11.25" customHeight="1" outlineLevel="2">
      <c r="A150" s="3458" t="s">
        <v>2860</v>
      </c>
      <c r="B150" s="3458"/>
      <c r="C150" s="3458"/>
      <c r="D150" s="3459" t="s">
        <v>1461</v>
      </c>
      <c r="E150" s="3459"/>
      <c r="F150" s="3459"/>
      <c r="G150" s="583">
        <v>-6290.5495600000004</v>
      </c>
    </row>
    <row r="151" spans="1:7" ht="11.25" customHeight="1" outlineLevel="3">
      <c r="A151" s="487"/>
      <c r="B151" s="488"/>
      <c r="C151" s="489"/>
      <c r="D151" s="479"/>
      <c r="E151" s="480"/>
      <c r="F151" s="481"/>
      <c r="G151" s="485"/>
    </row>
    <row r="152" spans="1:7" ht="11.25" customHeight="1" outlineLevel="2">
      <c r="A152" s="3470" t="s">
        <v>2861</v>
      </c>
      <c r="B152" s="3470"/>
      <c r="C152" s="3470"/>
      <c r="D152" s="3472" t="s">
        <v>2814</v>
      </c>
      <c r="E152" s="3472"/>
      <c r="F152" s="3472"/>
      <c r="G152" s="471">
        <v>-1816.16462</v>
      </c>
    </row>
    <row r="153" spans="1:7" ht="11.25" customHeight="1" outlineLevel="3">
      <c r="A153" s="3470" t="s">
        <v>2862</v>
      </c>
      <c r="B153" s="3470"/>
      <c r="C153" s="3470"/>
      <c r="D153" s="3457" t="s">
        <v>2816</v>
      </c>
      <c r="E153" s="3457"/>
      <c r="F153" s="3457"/>
      <c r="G153" s="490">
        <v>-906.78443000000004</v>
      </c>
    </row>
    <row r="154" spans="1:7" ht="11.25" customHeight="1" outlineLevel="3">
      <c r="A154" s="3470" t="s">
        <v>2863</v>
      </c>
      <c r="B154" s="3470"/>
      <c r="C154" s="3470"/>
      <c r="D154" s="3457" t="s">
        <v>2818</v>
      </c>
      <c r="E154" s="3457"/>
      <c r="F154" s="3457"/>
      <c r="G154" s="490">
        <v>-909.38018999999997</v>
      </c>
    </row>
    <row r="155" spans="1:7" ht="15" outlineLevel="1">
      <c r="A155" s="3470" t="s">
        <v>2864</v>
      </c>
      <c r="B155" s="3470"/>
      <c r="C155" s="3470"/>
      <c r="D155" s="3471" t="s">
        <v>2865</v>
      </c>
      <c r="E155" s="3471"/>
      <c r="F155" s="3471"/>
      <c r="G155" s="470">
        <v>-28045.428220000002</v>
      </c>
    </row>
    <row r="156" spans="1:7" ht="11.25" customHeight="1" outlineLevel="2" collapsed="1">
      <c r="A156" s="3470" t="s">
        <v>2866</v>
      </c>
      <c r="B156" s="3470"/>
      <c r="C156" s="3470"/>
      <c r="D156" s="3472" t="s">
        <v>2867</v>
      </c>
      <c r="E156" s="3472"/>
      <c r="F156" s="3472"/>
      <c r="G156" s="471">
        <v>-265479.79079</v>
      </c>
    </row>
    <row r="157" spans="1:7" ht="11.25" customHeight="1" outlineLevel="3">
      <c r="A157" s="3470" t="s">
        <v>2868</v>
      </c>
      <c r="B157" s="3470"/>
      <c r="C157" s="3470"/>
      <c r="D157" s="3457" t="s">
        <v>2806</v>
      </c>
      <c r="E157" s="3457"/>
      <c r="F157" s="3457"/>
      <c r="G157" s="471">
        <v>-265479.79079</v>
      </c>
    </row>
    <row r="158" spans="1:7" ht="11.25" customHeight="1" outlineLevel="3">
      <c r="A158" s="3458" t="s">
        <v>2869</v>
      </c>
      <c r="B158" s="3458"/>
      <c r="C158" s="3458"/>
      <c r="D158" s="3483" t="s">
        <v>1461</v>
      </c>
      <c r="E158" s="3483"/>
      <c r="F158" s="3483"/>
      <c r="G158" s="584"/>
    </row>
    <row r="159" spans="1:7" ht="11.25" customHeight="1" outlineLevel="3">
      <c r="A159" s="3470" t="s">
        <v>2870</v>
      </c>
      <c r="B159" s="3470"/>
      <c r="C159" s="3470"/>
      <c r="D159" s="3457" t="s">
        <v>2814</v>
      </c>
      <c r="E159" s="3457"/>
      <c r="F159" s="3457"/>
      <c r="G159" s="486"/>
    </row>
    <row r="160" spans="1:7" ht="11.25" customHeight="1" outlineLevel="4">
      <c r="A160" s="3470" t="s">
        <v>2871</v>
      </c>
      <c r="B160" s="3470"/>
      <c r="C160" s="3470"/>
      <c r="D160" s="3482" t="s">
        <v>2816</v>
      </c>
      <c r="E160" s="3482"/>
      <c r="F160" s="3482"/>
      <c r="G160" s="486"/>
    </row>
    <row r="161" spans="1:7" ht="11.25" customHeight="1" outlineLevel="4">
      <c r="A161" s="3470" t="s">
        <v>2872</v>
      </c>
      <c r="B161" s="3470"/>
      <c r="C161" s="3470"/>
      <c r="D161" s="3482" t="s">
        <v>2818</v>
      </c>
      <c r="E161" s="3482"/>
      <c r="F161" s="3482"/>
      <c r="G161" s="486"/>
    </row>
    <row r="162" spans="1:7" ht="11.25" customHeight="1" outlineLevel="2">
      <c r="A162" s="3470" t="s">
        <v>2873</v>
      </c>
      <c r="B162" s="3470"/>
      <c r="C162" s="3470"/>
      <c r="D162" s="3472" t="s">
        <v>2874</v>
      </c>
      <c r="E162" s="3472"/>
      <c r="F162" s="3472"/>
      <c r="G162" s="471">
        <v>237434.36257</v>
      </c>
    </row>
    <row r="163" spans="1:7" ht="11.25" customHeight="1" outlineLevel="3">
      <c r="A163" s="3456" t="s">
        <v>2875</v>
      </c>
      <c r="B163" s="3456"/>
      <c r="C163" s="3456"/>
      <c r="D163" s="3457" t="s">
        <v>2806</v>
      </c>
      <c r="E163" s="3457"/>
      <c r="F163" s="3457"/>
      <c r="G163" s="471">
        <v>237434.36257</v>
      </c>
    </row>
    <row r="164" spans="1:7" ht="11.25" customHeight="1" outlineLevel="3">
      <c r="A164" s="3458" t="s">
        <v>2876</v>
      </c>
      <c r="B164" s="3458"/>
      <c r="C164" s="3458"/>
      <c r="D164" s="3483" t="s">
        <v>1461</v>
      </c>
      <c r="E164" s="3483"/>
      <c r="F164" s="3483"/>
      <c r="G164" s="584"/>
    </row>
    <row r="165" spans="1:7" ht="11.25" customHeight="1" outlineLevel="3">
      <c r="A165" s="3456" t="s">
        <v>2877</v>
      </c>
      <c r="B165" s="3456"/>
      <c r="C165" s="3456"/>
      <c r="D165" s="3457" t="s">
        <v>2814</v>
      </c>
      <c r="E165" s="3457"/>
      <c r="F165" s="3457"/>
      <c r="G165" s="486"/>
    </row>
    <row r="166" spans="1:7" ht="11.25" customHeight="1" outlineLevel="4">
      <c r="A166" s="3456" t="s">
        <v>2878</v>
      </c>
      <c r="B166" s="3456"/>
      <c r="C166" s="3456"/>
      <c r="D166" s="3482" t="s">
        <v>2816</v>
      </c>
      <c r="E166" s="3482"/>
      <c r="F166" s="3482"/>
      <c r="G166" s="486"/>
    </row>
    <row r="167" spans="1:7" ht="11.25" customHeight="1" outlineLevel="4">
      <c r="A167" s="3456" t="s">
        <v>2879</v>
      </c>
      <c r="B167" s="3456"/>
      <c r="C167" s="3456"/>
      <c r="D167" s="3482" t="s">
        <v>2818</v>
      </c>
      <c r="E167" s="3482"/>
      <c r="F167" s="3482"/>
      <c r="G167" s="486"/>
    </row>
    <row r="168" spans="1:7" ht="15" outlineLevel="1">
      <c r="A168" s="3456" t="s">
        <v>2880</v>
      </c>
      <c r="B168" s="3456"/>
      <c r="C168" s="3456"/>
      <c r="D168" s="3471" t="s">
        <v>2881</v>
      </c>
      <c r="E168" s="3471"/>
      <c r="F168" s="3471"/>
      <c r="G168" s="470">
        <v>-1299353.52574</v>
      </c>
    </row>
    <row r="169" spans="1:7" ht="11.25" customHeight="1" outlineLevel="2" collapsed="1">
      <c r="A169" s="3456" t="s">
        <v>2882</v>
      </c>
      <c r="B169" s="3456"/>
      <c r="C169" s="3456"/>
      <c r="D169" s="3472" t="s">
        <v>2806</v>
      </c>
      <c r="E169" s="3472"/>
      <c r="F169" s="3472"/>
      <c r="G169" s="471">
        <v>-1304213.81333</v>
      </c>
    </row>
    <row r="170" spans="1:7" ht="11.25" customHeight="1" outlineLevel="2">
      <c r="A170" s="3458" t="s">
        <v>2883</v>
      </c>
      <c r="B170" s="3458"/>
      <c r="C170" s="3458"/>
      <c r="D170" s="3459" t="s">
        <v>1461</v>
      </c>
      <c r="E170" s="3459"/>
      <c r="F170" s="3459"/>
      <c r="G170" s="583">
        <v>-6290.5495600000004</v>
      </c>
    </row>
    <row r="171" spans="1:7" ht="11.25" customHeight="1" outlineLevel="2">
      <c r="A171" s="3470" t="s">
        <v>2884</v>
      </c>
      <c r="B171" s="3470"/>
      <c r="C171" s="3470"/>
      <c r="D171" s="3472" t="s">
        <v>2814</v>
      </c>
      <c r="E171" s="3472"/>
      <c r="F171" s="3472"/>
      <c r="G171" s="471">
        <v>-1816.16462</v>
      </c>
    </row>
    <row r="172" spans="1:7" ht="11.25" customHeight="1" outlineLevel="3">
      <c r="A172" s="3470" t="s">
        <v>2885</v>
      </c>
      <c r="B172" s="3470"/>
      <c r="C172" s="3470"/>
      <c r="D172" s="3457" t="s">
        <v>2816</v>
      </c>
      <c r="E172" s="3457"/>
      <c r="F172" s="3457"/>
      <c r="G172" s="490">
        <v>-906.78443000000004</v>
      </c>
    </row>
    <row r="173" spans="1:7" ht="11.25" customHeight="1" outlineLevel="3">
      <c r="A173" s="3470" t="s">
        <v>2886</v>
      </c>
      <c r="B173" s="3470"/>
      <c r="C173" s="3470"/>
      <c r="D173" s="3457" t="s">
        <v>2818</v>
      </c>
      <c r="E173" s="3457"/>
      <c r="F173" s="3457"/>
      <c r="G173" s="490">
        <v>-909.38018999999997</v>
      </c>
    </row>
  </sheetData>
  <mergeCells count="235">
    <mergeCell ref="D30:F30"/>
    <mergeCell ref="A28:C28"/>
    <mergeCell ref="D28:F28"/>
    <mergeCell ref="A29:C29"/>
    <mergeCell ref="D32:F32"/>
    <mergeCell ref="D31:F31"/>
    <mergeCell ref="D48:F48"/>
    <mergeCell ref="D41:F41"/>
    <mergeCell ref="D36:F36"/>
    <mergeCell ref="A38:C38"/>
    <mergeCell ref="D38:F38"/>
    <mergeCell ref="A39:C39"/>
    <mergeCell ref="D39:F39"/>
    <mergeCell ref="D40:F40"/>
    <mergeCell ref="D35:F35"/>
    <mergeCell ref="D34:F34"/>
    <mergeCell ref="A33:C33"/>
    <mergeCell ref="D33:F33"/>
    <mergeCell ref="D29:F29"/>
    <mergeCell ref="D58:F58"/>
    <mergeCell ref="A173:C173"/>
    <mergeCell ref="D173:F173"/>
    <mergeCell ref="A172:C172"/>
    <mergeCell ref="D172:F172"/>
    <mergeCell ref="A171:C171"/>
    <mergeCell ref="D171:F171"/>
    <mergeCell ref="A170:C170"/>
    <mergeCell ref="D170:F170"/>
    <mergeCell ref="A168:C168"/>
    <mergeCell ref="D168:F168"/>
    <mergeCell ref="A169:C169"/>
    <mergeCell ref="D169:F169"/>
    <mergeCell ref="A167:C167"/>
    <mergeCell ref="D167:F167"/>
    <mergeCell ref="A164:C164"/>
    <mergeCell ref="D164:F164"/>
    <mergeCell ref="A165:C165"/>
    <mergeCell ref="D165:F165"/>
    <mergeCell ref="A166:C166"/>
    <mergeCell ref="D166:F166"/>
    <mergeCell ref="A162:C162"/>
    <mergeCell ref="D162:F162"/>
    <mergeCell ref="A163:C163"/>
    <mergeCell ref="D163:F163"/>
    <mergeCell ref="A161:C161"/>
    <mergeCell ref="D161:F161"/>
    <mergeCell ref="A159:C159"/>
    <mergeCell ref="D159:F159"/>
    <mergeCell ref="A160:C160"/>
    <mergeCell ref="D160:F160"/>
    <mergeCell ref="A158:C158"/>
    <mergeCell ref="D158:F158"/>
    <mergeCell ref="A155:C155"/>
    <mergeCell ref="D155:F155"/>
    <mergeCell ref="A156:C156"/>
    <mergeCell ref="D156:F156"/>
    <mergeCell ref="A157:C157"/>
    <mergeCell ref="D157:F157"/>
    <mergeCell ref="A154:C154"/>
    <mergeCell ref="D154:F154"/>
    <mergeCell ref="A152:C152"/>
    <mergeCell ref="D152:F152"/>
    <mergeCell ref="A153:C153"/>
    <mergeCell ref="D153:F153"/>
    <mergeCell ref="A150:C150"/>
    <mergeCell ref="D150:F150"/>
    <mergeCell ref="A148:C148"/>
    <mergeCell ref="D148:F148"/>
    <mergeCell ref="A149:C149"/>
    <mergeCell ref="D149:F149"/>
    <mergeCell ref="D146:F146"/>
    <mergeCell ref="D147:F147"/>
    <mergeCell ref="D141:F141"/>
    <mergeCell ref="D142:F142"/>
    <mergeCell ref="D143:F143"/>
    <mergeCell ref="A144:C144"/>
    <mergeCell ref="D144:F144"/>
    <mergeCell ref="D145:F145"/>
    <mergeCell ref="D136:F136"/>
    <mergeCell ref="D137:F137"/>
    <mergeCell ref="D138:F138"/>
    <mergeCell ref="A139:C139"/>
    <mergeCell ref="D139:F139"/>
    <mergeCell ref="A140:C140"/>
    <mergeCell ref="D140:F140"/>
    <mergeCell ref="D133:F133"/>
    <mergeCell ref="D134:F134"/>
    <mergeCell ref="A135:C135"/>
    <mergeCell ref="D135:F135"/>
    <mergeCell ref="D132:F132"/>
    <mergeCell ref="A130:C130"/>
    <mergeCell ref="D130:F130"/>
    <mergeCell ref="A131:C131"/>
    <mergeCell ref="D131:F131"/>
    <mergeCell ref="D126:F126"/>
    <mergeCell ref="D127:F127"/>
    <mergeCell ref="D128:F128"/>
    <mergeCell ref="A125:C125"/>
    <mergeCell ref="D125:F125"/>
    <mergeCell ref="D123:F123"/>
    <mergeCell ref="D124:F124"/>
    <mergeCell ref="D119:F119"/>
    <mergeCell ref="A120:C120"/>
    <mergeCell ref="D120:F120"/>
    <mergeCell ref="A121:C121"/>
    <mergeCell ref="D121:F121"/>
    <mergeCell ref="D122:F122"/>
    <mergeCell ref="D112:F112"/>
    <mergeCell ref="D114:F114"/>
    <mergeCell ref="A116:C116"/>
    <mergeCell ref="D116:F116"/>
    <mergeCell ref="D117:F117"/>
    <mergeCell ref="D118:F118"/>
    <mergeCell ref="A108:C108"/>
    <mergeCell ref="D108:F108"/>
    <mergeCell ref="A109:C109"/>
    <mergeCell ref="D109:F109"/>
    <mergeCell ref="D110:F110"/>
    <mergeCell ref="D107:F107"/>
    <mergeCell ref="D106:F106"/>
    <mergeCell ref="A104:C104"/>
    <mergeCell ref="D104:F104"/>
    <mergeCell ref="D105:F105"/>
    <mergeCell ref="D102:F102"/>
    <mergeCell ref="D103:F103"/>
    <mergeCell ref="A100:C100"/>
    <mergeCell ref="D100:F100"/>
    <mergeCell ref="D101:F101"/>
    <mergeCell ref="A99:C99"/>
    <mergeCell ref="D99:F99"/>
    <mergeCell ref="D97:F97"/>
    <mergeCell ref="D98:F98"/>
    <mergeCell ref="D96:F96"/>
    <mergeCell ref="A95:C95"/>
    <mergeCell ref="D95:F95"/>
    <mergeCell ref="D93:F93"/>
    <mergeCell ref="D94:F94"/>
    <mergeCell ref="A90:C90"/>
    <mergeCell ref="D90:F90"/>
    <mergeCell ref="A91:C91"/>
    <mergeCell ref="D91:F91"/>
    <mergeCell ref="D92:F92"/>
    <mergeCell ref="D89:F89"/>
    <mergeCell ref="D88:F88"/>
    <mergeCell ref="A86:C86"/>
    <mergeCell ref="D86:F86"/>
    <mergeCell ref="D87:F87"/>
    <mergeCell ref="D85:F85"/>
    <mergeCell ref="D84:F84"/>
    <mergeCell ref="D83:F83"/>
    <mergeCell ref="A81:C81"/>
    <mergeCell ref="D81:F81"/>
    <mergeCell ref="A82:C82"/>
    <mergeCell ref="D82:F82"/>
    <mergeCell ref="D80:F80"/>
    <mergeCell ref="D79:F79"/>
    <mergeCell ref="D78:F78"/>
    <mergeCell ref="A77:C77"/>
    <mergeCell ref="D77:F77"/>
    <mergeCell ref="D76:F76"/>
    <mergeCell ref="D75:F75"/>
    <mergeCell ref="A73:C73"/>
    <mergeCell ref="D73:F73"/>
    <mergeCell ref="D74:F74"/>
    <mergeCell ref="A72:C72"/>
    <mergeCell ref="D72:F72"/>
    <mergeCell ref="D71:F71"/>
    <mergeCell ref="D70:F70"/>
    <mergeCell ref="A68:C68"/>
    <mergeCell ref="D68:F68"/>
    <mergeCell ref="D69:F69"/>
    <mergeCell ref="D67:F67"/>
    <mergeCell ref="D66:F66"/>
    <mergeCell ref="A64:C64"/>
    <mergeCell ref="D64:F64"/>
    <mergeCell ref="D65:F65"/>
    <mergeCell ref="A63:C63"/>
    <mergeCell ref="D63:F63"/>
    <mergeCell ref="D62:F62"/>
    <mergeCell ref="D61:F61"/>
    <mergeCell ref="A59:C59"/>
    <mergeCell ref="D59:F59"/>
    <mergeCell ref="D60:F60"/>
    <mergeCell ref="D57:F57"/>
    <mergeCell ref="A54:C54"/>
    <mergeCell ref="D54:F54"/>
    <mergeCell ref="A55:C55"/>
    <mergeCell ref="D55:F55"/>
    <mergeCell ref="D56:F56"/>
    <mergeCell ref="A53:C53"/>
    <mergeCell ref="D53:F53"/>
    <mergeCell ref="A51:C51"/>
    <mergeCell ref="D51:F51"/>
    <mergeCell ref="A52:C52"/>
    <mergeCell ref="D52:F52"/>
    <mergeCell ref="A50:C50"/>
    <mergeCell ref="D50:F50"/>
    <mergeCell ref="A48:C48"/>
    <mergeCell ref="A49:C49"/>
    <mergeCell ref="D49:F49"/>
    <mergeCell ref="D47:F47"/>
    <mergeCell ref="D46:F46"/>
    <mergeCell ref="D45:F45"/>
    <mergeCell ref="D42:F42"/>
    <mergeCell ref="A44:C44"/>
    <mergeCell ref="D44:F44"/>
    <mergeCell ref="D27:F27"/>
    <mergeCell ref="D26:F26"/>
    <mergeCell ref="A24:C24"/>
    <mergeCell ref="D24:F24"/>
    <mergeCell ref="D22:F22"/>
    <mergeCell ref="D23:F23"/>
    <mergeCell ref="A9:C9"/>
    <mergeCell ref="D9:F9"/>
    <mergeCell ref="A10:C10"/>
    <mergeCell ref="D10:F10"/>
    <mergeCell ref="D11:F11"/>
    <mergeCell ref="D25:F25"/>
    <mergeCell ref="D21:F21"/>
    <mergeCell ref="D20:F20"/>
    <mergeCell ref="A20:C20"/>
    <mergeCell ref="D19:F19"/>
    <mergeCell ref="A19:C19"/>
    <mergeCell ref="A6:C6"/>
    <mergeCell ref="D6:F6"/>
    <mergeCell ref="G6:G7"/>
    <mergeCell ref="A7:C7"/>
    <mergeCell ref="D7:F7"/>
    <mergeCell ref="D8:F8"/>
    <mergeCell ref="D15:F15"/>
    <mergeCell ref="D17:F17"/>
    <mergeCell ref="A13:C13"/>
    <mergeCell ref="D13:F13"/>
    <mergeCell ref="D14:F14"/>
    <mergeCell ref="D12:F1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S2959"/>
  <sheetViews>
    <sheetView topLeftCell="A1035" zoomScale="85" zoomScaleNormal="85" workbookViewId="0">
      <selection activeCell="AC1081" activeCellId="1" sqref="AC1078 AC1081"/>
    </sheetView>
  </sheetViews>
  <sheetFormatPr defaultRowHeight="12.75" outlineLevelRow="7" outlineLevelCol="1"/>
  <cols>
    <col min="1" max="1" width="61" style="3" customWidth="1"/>
    <col min="2" max="2" width="20.140625" style="3" customWidth="1"/>
    <col min="3" max="4" width="16" style="3" hidden="1" customWidth="1" outlineLevel="1"/>
    <col min="5" max="5" width="16" style="3" customWidth="1" collapsed="1"/>
    <col min="6" max="7" width="16" style="3" hidden="1" customWidth="1" outlineLevel="1"/>
    <col min="8" max="8" width="11.42578125" style="3" hidden="1" customWidth="1" outlineLevel="1"/>
    <col min="9" max="9" width="4.5703125" style="3" hidden="1" customWidth="1" outlineLevel="1"/>
    <col min="10" max="17" width="16" style="3" hidden="1" customWidth="1" outlineLevel="1"/>
    <col min="18" max="18" width="16" style="3" customWidth="1" collapsed="1"/>
    <col min="19" max="27" width="16" style="3" hidden="1" customWidth="1" outlineLevel="1"/>
    <col min="28" max="28" width="9.140625" customWidth="1" collapsed="1"/>
    <col min="29" max="29" width="14.7109375" customWidth="1"/>
    <col min="30" max="30" width="16.85546875" customWidth="1"/>
    <col min="31" max="32" width="9.140625" hidden="1" customWidth="1"/>
    <col min="33" max="33" width="18.28515625" customWidth="1"/>
    <col min="34" max="34" width="13.42578125" customWidth="1"/>
    <col min="35" max="35" width="14.7109375" customWidth="1"/>
    <col min="36" max="36" width="13" customWidth="1"/>
    <col min="37" max="37" width="11.42578125" customWidth="1"/>
    <col min="38" max="41" width="9.140625" customWidth="1"/>
    <col min="42" max="42" width="11.85546875" customWidth="1"/>
    <col min="43" max="43" width="15.7109375" customWidth="1"/>
    <col min="44" max="44" width="11.42578125" customWidth="1"/>
    <col min="45" max="45" width="16.85546875" customWidth="1"/>
    <col min="46" max="256" width="9.140625" customWidth="1"/>
    <col min="257" max="257" width="16" customWidth="1"/>
    <col min="258" max="258" width="4" customWidth="1"/>
    <col min="259" max="263" width="16" customWidth="1"/>
    <col min="264" max="264" width="11.42578125" customWidth="1"/>
    <col min="265" max="265" width="4.5703125" customWidth="1"/>
    <col min="266" max="283" width="16" customWidth="1"/>
    <col min="284" max="512" width="9.140625" customWidth="1"/>
    <col min="513" max="513" width="16" customWidth="1"/>
    <col min="514" max="514" width="4" customWidth="1"/>
    <col min="515" max="519" width="16" customWidth="1"/>
    <col min="520" max="520" width="11.42578125" customWidth="1"/>
    <col min="521" max="521" width="4.5703125" customWidth="1"/>
    <col min="522" max="539" width="16" customWidth="1"/>
    <col min="540" max="768" width="9.140625" customWidth="1"/>
    <col min="769" max="769" width="16" customWidth="1"/>
    <col min="770" max="770" width="4" customWidth="1"/>
    <col min="771" max="775" width="16" customWidth="1"/>
    <col min="776" max="776" width="11.42578125" customWidth="1"/>
    <col min="777" max="777" width="4.5703125" customWidth="1"/>
    <col min="778" max="795" width="16" customWidth="1"/>
    <col min="796" max="1024" width="9.140625" customWidth="1"/>
    <col min="1025" max="1025" width="16" customWidth="1"/>
    <col min="1026" max="1026" width="4" customWidth="1"/>
    <col min="1027" max="1031" width="16" customWidth="1"/>
    <col min="1032" max="1032" width="11.42578125" customWidth="1"/>
    <col min="1033" max="1033" width="4.5703125" customWidth="1"/>
    <col min="1034" max="1051" width="16" customWidth="1"/>
    <col min="1052" max="1280" width="9.140625" customWidth="1"/>
    <col min="1281" max="1281" width="16" customWidth="1"/>
    <col min="1282" max="1282" width="4" customWidth="1"/>
    <col min="1283" max="1287" width="16" customWidth="1"/>
    <col min="1288" max="1288" width="11.42578125" customWidth="1"/>
    <col min="1289" max="1289" width="4.5703125" customWidth="1"/>
    <col min="1290" max="1307" width="16" customWidth="1"/>
    <col min="1308" max="1536" width="9.140625" customWidth="1"/>
    <col min="1537" max="1537" width="16" customWidth="1"/>
    <col min="1538" max="1538" width="4" customWidth="1"/>
    <col min="1539" max="1543" width="16" customWidth="1"/>
    <col min="1544" max="1544" width="11.42578125" customWidth="1"/>
    <col min="1545" max="1545" width="4.5703125" customWidth="1"/>
    <col min="1546" max="1563" width="16" customWidth="1"/>
    <col min="1564" max="1792" width="9.140625" customWidth="1"/>
    <col min="1793" max="1793" width="16" customWidth="1"/>
    <col min="1794" max="1794" width="4" customWidth="1"/>
    <col min="1795" max="1799" width="16" customWidth="1"/>
    <col min="1800" max="1800" width="11.42578125" customWidth="1"/>
    <col min="1801" max="1801" width="4.5703125" customWidth="1"/>
    <col min="1802" max="1819" width="16" customWidth="1"/>
    <col min="1820" max="2048" width="9.140625" customWidth="1"/>
    <col min="2049" max="2049" width="16" customWidth="1"/>
    <col min="2050" max="2050" width="4" customWidth="1"/>
    <col min="2051" max="2055" width="16" customWidth="1"/>
    <col min="2056" max="2056" width="11.42578125" customWidth="1"/>
    <col min="2057" max="2057" width="4.5703125" customWidth="1"/>
    <col min="2058" max="2075" width="16" customWidth="1"/>
    <col min="2076" max="2304" width="9.140625" customWidth="1"/>
    <col min="2305" max="2305" width="16" customWidth="1"/>
    <col min="2306" max="2306" width="4" customWidth="1"/>
    <col min="2307" max="2311" width="16" customWidth="1"/>
    <col min="2312" max="2312" width="11.42578125" customWidth="1"/>
    <col min="2313" max="2313" width="4.5703125" customWidth="1"/>
    <col min="2314" max="2331" width="16" customWidth="1"/>
    <col min="2332" max="2560" width="9.140625" customWidth="1"/>
    <col min="2561" max="2561" width="16" customWidth="1"/>
    <col min="2562" max="2562" width="4" customWidth="1"/>
    <col min="2563" max="2567" width="16" customWidth="1"/>
    <col min="2568" max="2568" width="11.42578125" customWidth="1"/>
    <col min="2569" max="2569" width="4.5703125" customWidth="1"/>
    <col min="2570" max="2587" width="16" customWidth="1"/>
    <col min="2588" max="2816" width="9.140625" customWidth="1"/>
    <col min="2817" max="2817" width="16" customWidth="1"/>
    <col min="2818" max="2818" width="4" customWidth="1"/>
    <col min="2819" max="2823" width="16" customWidth="1"/>
    <col min="2824" max="2824" width="11.42578125" customWidth="1"/>
    <col min="2825" max="2825" width="4.5703125" customWidth="1"/>
    <col min="2826" max="2843" width="16" customWidth="1"/>
    <col min="2844" max="3072" width="9.140625" customWidth="1"/>
    <col min="3073" max="3073" width="16" customWidth="1"/>
    <col min="3074" max="3074" width="4" customWidth="1"/>
    <col min="3075" max="3079" width="16" customWidth="1"/>
    <col min="3080" max="3080" width="11.42578125" customWidth="1"/>
    <col min="3081" max="3081" width="4.5703125" customWidth="1"/>
    <col min="3082" max="3099" width="16" customWidth="1"/>
    <col min="3100" max="3328" width="9.140625" customWidth="1"/>
    <col min="3329" max="3329" width="16" customWidth="1"/>
    <col min="3330" max="3330" width="4" customWidth="1"/>
    <col min="3331" max="3335" width="16" customWidth="1"/>
    <col min="3336" max="3336" width="11.42578125" customWidth="1"/>
    <col min="3337" max="3337" width="4.5703125" customWidth="1"/>
    <col min="3338" max="3355" width="16" customWidth="1"/>
    <col min="3356" max="3584" width="9.140625" customWidth="1"/>
    <col min="3585" max="3585" width="16" customWidth="1"/>
    <col min="3586" max="3586" width="4" customWidth="1"/>
    <col min="3587" max="3591" width="16" customWidth="1"/>
    <col min="3592" max="3592" width="11.42578125" customWidth="1"/>
    <col min="3593" max="3593" width="4.5703125" customWidth="1"/>
    <col min="3594" max="3611" width="16" customWidth="1"/>
    <col min="3612" max="3840" width="9.140625" customWidth="1"/>
    <col min="3841" max="3841" width="16" customWidth="1"/>
    <col min="3842" max="3842" width="4" customWidth="1"/>
    <col min="3843" max="3847" width="16" customWidth="1"/>
    <col min="3848" max="3848" width="11.42578125" customWidth="1"/>
    <col min="3849" max="3849" width="4.5703125" customWidth="1"/>
    <col min="3850" max="3867" width="16" customWidth="1"/>
    <col min="3868" max="4096" width="9.140625" customWidth="1"/>
    <col min="4097" max="4097" width="16" customWidth="1"/>
    <col min="4098" max="4098" width="4" customWidth="1"/>
    <col min="4099" max="4103" width="16" customWidth="1"/>
    <col min="4104" max="4104" width="11.42578125" customWidth="1"/>
    <col min="4105" max="4105" width="4.5703125" customWidth="1"/>
    <col min="4106" max="4123" width="16" customWidth="1"/>
    <col min="4124" max="4352" width="9.140625" customWidth="1"/>
    <col min="4353" max="4353" width="16" customWidth="1"/>
    <col min="4354" max="4354" width="4" customWidth="1"/>
    <col min="4355" max="4359" width="16" customWidth="1"/>
    <col min="4360" max="4360" width="11.42578125" customWidth="1"/>
    <col min="4361" max="4361" width="4.5703125" customWidth="1"/>
    <col min="4362" max="4379" width="16" customWidth="1"/>
    <col min="4380" max="4608" width="9.140625" customWidth="1"/>
    <col min="4609" max="4609" width="16" customWidth="1"/>
    <col min="4610" max="4610" width="4" customWidth="1"/>
    <col min="4611" max="4615" width="16" customWidth="1"/>
    <col min="4616" max="4616" width="11.42578125" customWidth="1"/>
    <col min="4617" max="4617" width="4.5703125" customWidth="1"/>
    <col min="4618" max="4635" width="16" customWidth="1"/>
    <col min="4636" max="4864" width="9.140625" customWidth="1"/>
    <col min="4865" max="4865" width="16" customWidth="1"/>
    <col min="4866" max="4866" width="4" customWidth="1"/>
    <col min="4867" max="4871" width="16" customWidth="1"/>
    <col min="4872" max="4872" width="11.42578125" customWidth="1"/>
    <col min="4873" max="4873" width="4.5703125" customWidth="1"/>
    <col min="4874" max="4891" width="16" customWidth="1"/>
    <col min="4892" max="5120" width="9.140625" customWidth="1"/>
    <col min="5121" max="5121" width="16" customWidth="1"/>
    <col min="5122" max="5122" width="4" customWidth="1"/>
    <col min="5123" max="5127" width="16" customWidth="1"/>
    <col min="5128" max="5128" width="11.42578125" customWidth="1"/>
    <col min="5129" max="5129" width="4.5703125" customWidth="1"/>
    <col min="5130" max="5147" width="16" customWidth="1"/>
    <col min="5148" max="5376" width="9.140625" customWidth="1"/>
    <col min="5377" max="5377" width="16" customWidth="1"/>
    <col min="5378" max="5378" width="4" customWidth="1"/>
    <col min="5379" max="5383" width="16" customWidth="1"/>
    <col min="5384" max="5384" width="11.42578125" customWidth="1"/>
    <col min="5385" max="5385" width="4.5703125" customWidth="1"/>
    <col min="5386" max="5403" width="16" customWidth="1"/>
    <col min="5404" max="5632" width="9.140625" customWidth="1"/>
    <col min="5633" max="5633" width="16" customWidth="1"/>
    <col min="5634" max="5634" width="4" customWidth="1"/>
    <col min="5635" max="5639" width="16" customWidth="1"/>
    <col min="5640" max="5640" width="11.42578125" customWidth="1"/>
    <col min="5641" max="5641" width="4.5703125" customWidth="1"/>
    <col min="5642" max="5659" width="16" customWidth="1"/>
    <col min="5660" max="5888" width="9.140625" customWidth="1"/>
    <col min="5889" max="5889" width="16" customWidth="1"/>
    <col min="5890" max="5890" width="4" customWidth="1"/>
    <col min="5891" max="5895" width="16" customWidth="1"/>
    <col min="5896" max="5896" width="11.42578125" customWidth="1"/>
    <col min="5897" max="5897" width="4.5703125" customWidth="1"/>
    <col min="5898" max="5915" width="16" customWidth="1"/>
    <col min="5916" max="6144" width="9.140625" customWidth="1"/>
    <col min="6145" max="6145" width="16" customWidth="1"/>
    <col min="6146" max="6146" width="4" customWidth="1"/>
    <col min="6147" max="6151" width="16" customWidth="1"/>
    <col min="6152" max="6152" width="11.42578125" customWidth="1"/>
    <col min="6153" max="6153" width="4.5703125" customWidth="1"/>
    <col min="6154" max="6171" width="16" customWidth="1"/>
    <col min="6172" max="6400" width="9.140625" customWidth="1"/>
    <col min="6401" max="6401" width="16" customWidth="1"/>
    <col min="6402" max="6402" width="4" customWidth="1"/>
    <col min="6403" max="6407" width="16" customWidth="1"/>
    <col min="6408" max="6408" width="11.42578125" customWidth="1"/>
    <col min="6409" max="6409" width="4.5703125" customWidth="1"/>
    <col min="6410" max="6427" width="16" customWidth="1"/>
    <col min="6428" max="6656" width="9.140625" customWidth="1"/>
    <col min="6657" max="6657" width="16" customWidth="1"/>
    <col min="6658" max="6658" width="4" customWidth="1"/>
    <col min="6659" max="6663" width="16" customWidth="1"/>
    <col min="6664" max="6664" width="11.42578125" customWidth="1"/>
    <col min="6665" max="6665" width="4.5703125" customWidth="1"/>
    <col min="6666" max="6683" width="16" customWidth="1"/>
    <col min="6684" max="6912" width="9.140625" customWidth="1"/>
    <col min="6913" max="6913" width="16" customWidth="1"/>
    <col min="6914" max="6914" width="4" customWidth="1"/>
    <col min="6915" max="6919" width="16" customWidth="1"/>
    <col min="6920" max="6920" width="11.42578125" customWidth="1"/>
    <col min="6921" max="6921" width="4.5703125" customWidth="1"/>
    <col min="6922" max="6939" width="16" customWidth="1"/>
    <col min="6940" max="7168" width="9.140625" customWidth="1"/>
    <col min="7169" max="7169" width="16" customWidth="1"/>
    <col min="7170" max="7170" width="4" customWidth="1"/>
    <col min="7171" max="7175" width="16" customWidth="1"/>
    <col min="7176" max="7176" width="11.42578125" customWidth="1"/>
    <col min="7177" max="7177" width="4.5703125" customWidth="1"/>
    <col min="7178" max="7195" width="16" customWidth="1"/>
    <col min="7196" max="7424" width="9.140625" customWidth="1"/>
    <col min="7425" max="7425" width="16" customWidth="1"/>
    <col min="7426" max="7426" width="4" customWidth="1"/>
    <col min="7427" max="7431" width="16" customWidth="1"/>
    <col min="7432" max="7432" width="11.42578125" customWidth="1"/>
    <col min="7433" max="7433" width="4.5703125" customWidth="1"/>
    <col min="7434" max="7451" width="16" customWidth="1"/>
    <col min="7452" max="7680" width="9.140625" customWidth="1"/>
    <col min="7681" max="7681" width="16" customWidth="1"/>
    <col min="7682" max="7682" width="4" customWidth="1"/>
    <col min="7683" max="7687" width="16" customWidth="1"/>
    <col min="7688" max="7688" width="11.42578125" customWidth="1"/>
    <col min="7689" max="7689" width="4.5703125" customWidth="1"/>
    <col min="7690" max="7707" width="16" customWidth="1"/>
    <col min="7708" max="7936" width="9.140625" customWidth="1"/>
    <col min="7937" max="7937" width="16" customWidth="1"/>
    <col min="7938" max="7938" width="4" customWidth="1"/>
    <col min="7939" max="7943" width="16" customWidth="1"/>
    <col min="7944" max="7944" width="11.42578125" customWidth="1"/>
    <col min="7945" max="7945" width="4.5703125" customWidth="1"/>
    <col min="7946" max="7963" width="16" customWidth="1"/>
    <col min="7964" max="8192" width="9.140625" customWidth="1"/>
    <col min="8193" max="8193" width="16" customWidth="1"/>
    <col min="8194" max="8194" width="4" customWidth="1"/>
    <col min="8195" max="8199" width="16" customWidth="1"/>
    <col min="8200" max="8200" width="11.42578125" customWidth="1"/>
    <col min="8201" max="8201" width="4.5703125" customWidth="1"/>
    <col min="8202" max="8219" width="16" customWidth="1"/>
    <col min="8220" max="8448" width="9.140625" customWidth="1"/>
    <col min="8449" max="8449" width="16" customWidth="1"/>
    <col min="8450" max="8450" width="4" customWidth="1"/>
    <col min="8451" max="8455" width="16" customWidth="1"/>
    <col min="8456" max="8456" width="11.42578125" customWidth="1"/>
    <col min="8457" max="8457" width="4.5703125" customWidth="1"/>
    <col min="8458" max="8475" width="16" customWidth="1"/>
    <col min="8476" max="8704" width="9.140625" customWidth="1"/>
    <col min="8705" max="8705" width="16" customWidth="1"/>
    <col min="8706" max="8706" width="4" customWidth="1"/>
    <col min="8707" max="8711" width="16" customWidth="1"/>
    <col min="8712" max="8712" width="11.42578125" customWidth="1"/>
    <col min="8713" max="8713" width="4.5703125" customWidth="1"/>
    <col min="8714" max="8731" width="16" customWidth="1"/>
    <col min="8732" max="8960" width="9.140625" customWidth="1"/>
    <col min="8961" max="8961" width="16" customWidth="1"/>
    <col min="8962" max="8962" width="4" customWidth="1"/>
    <col min="8963" max="8967" width="16" customWidth="1"/>
    <col min="8968" max="8968" width="11.42578125" customWidth="1"/>
    <col min="8969" max="8969" width="4.5703125" customWidth="1"/>
    <col min="8970" max="8987" width="16" customWidth="1"/>
    <col min="8988" max="9216" width="9.140625" customWidth="1"/>
    <col min="9217" max="9217" width="16" customWidth="1"/>
    <col min="9218" max="9218" width="4" customWidth="1"/>
    <col min="9219" max="9223" width="16" customWidth="1"/>
    <col min="9224" max="9224" width="11.42578125" customWidth="1"/>
    <col min="9225" max="9225" width="4.5703125" customWidth="1"/>
    <col min="9226" max="9243" width="16" customWidth="1"/>
    <col min="9244" max="9472" width="9.140625" customWidth="1"/>
    <col min="9473" max="9473" width="16" customWidth="1"/>
    <col min="9474" max="9474" width="4" customWidth="1"/>
    <col min="9475" max="9479" width="16" customWidth="1"/>
    <col min="9480" max="9480" width="11.42578125" customWidth="1"/>
    <col min="9481" max="9481" width="4.5703125" customWidth="1"/>
    <col min="9482" max="9499" width="16" customWidth="1"/>
    <col min="9500" max="9728" width="9.140625" customWidth="1"/>
    <col min="9729" max="9729" width="16" customWidth="1"/>
    <col min="9730" max="9730" width="4" customWidth="1"/>
    <col min="9731" max="9735" width="16" customWidth="1"/>
    <col min="9736" max="9736" width="11.42578125" customWidth="1"/>
    <col min="9737" max="9737" width="4.5703125" customWidth="1"/>
    <col min="9738" max="9755" width="16" customWidth="1"/>
    <col min="9756" max="9984" width="9.140625" customWidth="1"/>
    <col min="9985" max="9985" width="16" customWidth="1"/>
    <col min="9986" max="9986" width="4" customWidth="1"/>
    <col min="9987" max="9991" width="16" customWidth="1"/>
    <col min="9992" max="9992" width="11.42578125" customWidth="1"/>
    <col min="9993" max="9993" width="4.5703125" customWidth="1"/>
    <col min="9994" max="10011" width="16" customWidth="1"/>
    <col min="10012" max="10240" width="9.140625" customWidth="1"/>
    <col min="10241" max="10241" width="16" customWidth="1"/>
    <col min="10242" max="10242" width="4" customWidth="1"/>
    <col min="10243" max="10247" width="16" customWidth="1"/>
    <col min="10248" max="10248" width="11.42578125" customWidth="1"/>
    <col min="10249" max="10249" width="4.5703125" customWidth="1"/>
    <col min="10250" max="10267" width="16" customWidth="1"/>
    <col min="10268" max="10496" width="9.140625" customWidth="1"/>
    <col min="10497" max="10497" width="16" customWidth="1"/>
    <col min="10498" max="10498" width="4" customWidth="1"/>
    <col min="10499" max="10503" width="16" customWidth="1"/>
    <col min="10504" max="10504" width="11.42578125" customWidth="1"/>
    <col min="10505" max="10505" width="4.5703125" customWidth="1"/>
    <col min="10506" max="10523" width="16" customWidth="1"/>
    <col min="10524" max="10752" width="9.140625" customWidth="1"/>
    <col min="10753" max="10753" width="16" customWidth="1"/>
    <col min="10754" max="10754" width="4" customWidth="1"/>
    <col min="10755" max="10759" width="16" customWidth="1"/>
    <col min="10760" max="10760" width="11.42578125" customWidth="1"/>
    <col min="10761" max="10761" width="4.5703125" customWidth="1"/>
    <col min="10762" max="10779" width="16" customWidth="1"/>
    <col min="10780" max="11008" width="9.140625" customWidth="1"/>
    <col min="11009" max="11009" width="16" customWidth="1"/>
    <col min="11010" max="11010" width="4" customWidth="1"/>
    <col min="11011" max="11015" width="16" customWidth="1"/>
    <col min="11016" max="11016" width="11.42578125" customWidth="1"/>
    <col min="11017" max="11017" width="4.5703125" customWidth="1"/>
    <col min="11018" max="11035" width="16" customWidth="1"/>
    <col min="11036" max="11264" width="9.140625" customWidth="1"/>
    <col min="11265" max="11265" width="16" customWidth="1"/>
    <col min="11266" max="11266" width="4" customWidth="1"/>
    <col min="11267" max="11271" width="16" customWidth="1"/>
    <col min="11272" max="11272" width="11.42578125" customWidth="1"/>
    <col min="11273" max="11273" width="4.5703125" customWidth="1"/>
    <col min="11274" max="11291" width="16" customWidth="1"/>
    <col min="11292" max="11520" width="9.140625" customWidth="1"/>
    <col min="11521" max="11521" width="16" customWidth="1"/>
    <col min="11522" max="11522" width="4" customWidth="1"/>
    <col min="11523" max="11527" width="16" customWidth="1"/>
    <col min="11528" max="11528" width="11.42578125" customWidth="1"/>
    <col min="11529" max="11529" width="4.5703125" customWidth="1"/>
    <col min="11530" max="11547" width="16" customWidth="1"/>
    <col min="11548" max="11776" width="9.140625" customWidth="1"/>
    <col min="11777" max="11777" width="16" customWidth="1"/>
    <col min="11778" max="11778" width="4" customWidth="1"/>
    <col min="11779" max="11783" width="16" customWidth="1"/>
    <col min="11784" max="11784" width="11.42578125" customWidth="1"/>
    <col min="11785" max="11785" width="4.5703125" customWidth="1"/>
    <col min="11786" max="11803" width="16" customWidth="1"/>
    <col min="11804" max="12032" width="9.140625" customWidth="1"/>
    <col min="12033" max="12033" width="16" customWidth="1"/>
    <col min="12034" max="12034" width="4" customWidth="1"/>
    <col min="12035" max="12039" width="16" customWidth="1"/>
    <col min="12040" max="12040" width="11.42578125" customWidth="1"/>
    <col min="12041" max="12041" width="4.5703125" customWidth="1"/>
    <col min="12042" max="12059" width="16" customWidth="1"/>
    <col min="12060" max="12288" width="9.140625" customWidth="1"/>
    <col min="12289" max="12289" width="16" customWidth="1"/>
    <col min="12290" max="12290" width="4" customWidth="1"/>
    <col min="12291" max="12295" width="16" customWidth="1"/>
    <col min="12296" max="12296" width="11.42578125" customWidth="1"/>
    <col min="12297" max="12297" width="4.5703125" customWidth="1"/>
    <col min="12298" max="12315" width="16" customWidth="1"/>
    <col min="12316" max="12544" width="9.140625" customWidth="1"/>
    <col min="12545" max="12545" width="16" customWidth="1"/>
    <col min="12546" max="12546" width="4" customWidth="1"/>
    <col min="12547" max="12551" width="16" customWidth="1"/>
    <col min="12552" max="12552" width="11.42578125" customWidth="1"/>
    <col min="12553" max="12553" width="4.5703125" customWidth="1"/>
    <col min="12554" max="12571" width="16" customWidth="1"/>
    <col min="12572" max="12800" width="9.140625" customWidth="1"/>
    <col min="12801" max="12801" width="16" customWidth="1"/>
    <col min="12802" max="12802" width="4" customWidth="1"/>
    <col min="12803" max="12807" width="16" customWidth="1"/>
    <col min="12808" max="12808" width="11.42578125" customWidth="1"/>
    <col min="12809" max="12809" width="4.5703125" customWidth="1"/>
    <col min="12810" max="12827" width="16" customWidth="1"/>
    <col min="12828" max="13056" width="9.140625" customWidth="1"/>
    <col min="13057" max="13057" width="16" customWidth="1"/>
    <col min="13058" max="13058" width="4" customWidth="1"/>
    <col min="13059" max="13063" width="16" customWidth="1"/>
    <col min="13064" max="13064" width="11.42578125" customWidth="1"/>
    <col min="13065" max="13065" width="4.5703125" customWidth="1"/>
    <col min="13066" max="13083" width="16" customWidth="1"/>
    <col min="13084" max="13312" width="9.140625" customWidth="1"/>
    <col min="13313" max="13313" width="16" customWidth="1"/>
    <col min="13314" max="13314" width="4" customWidth="1"/>
    <col min="13315" max="13319" width="16" customWidth="1"/>
    <col min="13320" max="13320" width="11.42578125" customWidth="1"/>
    <col min="13321" max="13321" width="4.5703125" customWidth="1"/>
    <col min="13322" max="13339" width="16" customWidth="1"/>
    <col min="13340" max="13568" width="9.140625" customWidth="1"/>
    <col min="13569" max="13569" width="16" customWidth="1"/>
    <col min="13570" max="13570" width="4" customWidth="1"/>
    <col min="13571" max="13575" width="16" customWidth="1"/>
    <col min="13576" max="13576" width="11.42578125" customWidth="1"/>
    <col min="13577" max="13577" width="4.5703125" customWidth="1"/>
    <col min="13578" max="13595" width="16" customWidth="1"/>
    <col min="13596" max="13824" width="9.140625" customWidth="1"/>
    <col min="13825" max="13825" width="16" customWidth="1"/>
    <col min="13826" max="13826" width="4" customWidth="1"/>
    <col min="13827" max="13831" width="16" customWidth="1"/>
    <col min="13832" max="13832" width="11.42578125" customWidth="1"/>
    <col min="13833" max="13833" width="4.5703125" customWidth="1"/>
    <col min="13834" max="13851" width="16" customWidth="1"/>
    <col min="13852" max="14080" width="9.140625" customWidth="1"/>
    <col min="14081" max="14081" width="16" customWidth="1"/>
    <col min="14082" max="14082" width="4" customWidth="1"/>
    <col min="14083" max="14087" width="16" customWidth="1"/>
    <col min="14088" max="14088" width="11.42578125" customWidth="1"/>
    <col min="14089" max="14089" width="4.5703125" customWidth="1"/>
    <col min="14090" max="14107" width="16" customWidth="1"/>
    <col min="14108" max="14336" width="9.140625" customWidth="1"/>
    <col min="14337" max="14337" width="16" customWidth="1"/>
    <col min="14338" max="14338" width="4" customWidth="1"/>
    <col min="14339" max="14343" width="16" customWidth="1"/>
    <col min="14344" max="14344" width="11.42578125" customWidth="1"/>
    <col min="14345" max="14345" width="4.5703125" customWidth="1"/>
    <col min="14346" max="14363" width="16" customWidth="1"/>
    <col min="14364" max="14592" width="9.140625" customWidth="1"/>
    <col min="14593" max="14593" width="16" customWidth="1"/>
    <col min="14594" max="14594" width="4" customWidth="1"/>
    <col min="14595" max="14599" width="16" customWidth="1"/>
    <col min="14600" max="14600" width="11.42578125" customWidth="1"/>
    <col min="14601" max="14601" width="4.5703125" customWidth="1"/>
    <col min="14602" max="14619" width="16" customWidth="1"/>
    <col min="14620" max="14848" width="9.140625" customWidth="1"/>
    <col min="14849" max="14849" width="16" customWidth="1"/>
    <col min="14850" max="14850" width="4" customWidth="1"/>
    <col min="14851" max="14855" width="16" customWidth="1"/>
    <col min="14856" max="14856" width="11.42578125" customWidth="1"/>
    <col min="14857" max="14857" width="4.5703125" customWidth="1"/>
    <col min="14858" max="14875" width="16" customWidth="1"/>
    <col min="14876" max="15104" width="9.140625" customWidth="1"/>
    <col min="15105" max="15105" width="16" customWidth="1"/>
    <col min="15106" max="15106" width="4" customWidth="1"/>
    <col min="15107" max="15111" width="16" customWidth="1"/>
    <col min="15112" max="15112" width="11.42578125" customWidth="1"/>
    <col min="15113" max="15113" width="4.5703125" customWidth="1"/>
    <col min="15114" max="15131" width="16" customWidth="1"/>
    <col min="15132" max="15360" width="9.140625" customWidth="1"/>
    <col min="15361" max="15361" width="16" customWidth="1"/>
    <col min="15362" max="15362" width="4" customWidth="1"/>
    <col min="15363" max="15367" width="16" customWidth="1"/>
    <col min="15368" max="15368" width="11.42578125" customWidth="1"/>
    <col min="15369" max="15369" width="4.5703125" customWidth="1"/>
    <col min="15370" max="15387" width="16" customWidth="1"/>
    <col min="15388" max="15616" width="9.140625" customWidth="1"/>
    <col min="15617" max="15617" width="16" customWidth="1"/>
    <col min="15618" max="15618" width="4" customWidth="1"/>
    <col min="15619" max="15623" width="16" customWidth="1"/>
    <col min="15624" max="15624" width="11.42578125" customWidth="1"/>
    <col min="15625" max="15625" width="4.5703125" customWidth="1"/>
    <col min="15626" max="15643" width="16" customWidth="1"/>
    <col min="15644" max="15872" width="9.140625" customWidth="1"/>
    <col min="15873" max="15873" width="16" customWidth="1"/>
    <col min="15874" max="15874" width="4" customWidth="1"/>
    <col min="15875" max="15879" width="16" customWidth="1"/>
    <col min="15880" max="15880" width="11.42578125" customWidth="1"/>
    <col min="15881" max="15881" width="4.5703125" customWidth="1"/>
    <col min="15882" max="15899" width="16" customWidth="1"/>
    <col min="15900" max="16128" width="9.140625" customWidth="1"/>
    <col min="16129" max="16129" width="16" customWidth="1"/>
    <col min="16130" max="16130" width="4" customWidth="1"/>
    <col min="16131" max="16135" width="16" customWidth="1"/>
    <col min="16136" max="16136" width="11.42578125" customWidth="1"/>
    <col min="16137" max="16137" width="4.5703125" customWidth="1"/>
    <col min="16138" max="16155" width="16" customWidth="1"/>
    <col min="16156" max="16384" width="9.140625" customWidth="1"/>
  </cols>
  <sheetData>
    <row r="1" spans="1:45">
      <c r="A1" s="3496" t="s">
        <v>29</v>
      </c>
      <c r="B1" s="3496"/>
      <c r="C1" s="3496"/>
      <c r="D1" s="3496"/>
      <c r="E1" s="3496"/>
      <c r="F1" s="3496"/>
      <c r="G1" s="3496"/>
      <c r="H1" s="3496"/>
    </row>
    <row r="2" spans="1:45" ht="19.5" customHeight="1">
      <c r="A2" s="3497" t="s">
        <v>30</v>
      </c>
      <c r="B2" s="3497"/>
      <c r="C2" s="3497"/>
      <c r="D2" s="3497"/>
      <c r="E2" s="3497"/>
      <c r="F2" s="3497"/>
      <c r="G2" s="3497"/>
      <c r="H2" s="3497"/>
      <c r="AC2" s="67"/>
      <c r="AD2" s="68" t="s">
        <v>2516</v>
      </c>
      <c r="AH2" s="491" t="s">
        <v>2887</v>
      </c>
      <c r="AI2" s="1" t="s">
        <v>3655</v>
      </c>
      <c r="AK2" t="s">
        <v>3629</v>
      </c>
      <c r="AP2" s="3490" t="s">
        <v>3630</v>
      </c>
      <c r="AQ2" s="3490"/>
      <c r="AR2" s="3490"/>
      <c r="AS2" s="3490"/>
    </row>
    <row r="3" spans="1:45" s="3" customFormat="1">
      <c r="E3" s="3">
        <f>УО2017г!G13</f>
        <v>1126.0119</v>
      </c>
      <c r="AC3" s="69" t="s">
        <v>1462</v>
      </c>
      <c r="AD3" s="492">
        <f>SUM(AC15:AC1033)</f>
        <v>579119.34</v>
      </c>
      <c r="AH3" s="1414">
        <f>AH4+AH5</f>
        <v>349</v>
      </c>
      <c r="AI3" s="1417">
        <f>SUM(AI4:AI5)</f>
        <v>2460.4500000000003</v>
      </c>
      <c r="AK3" s="1396">
        <f>COUNTIF(AG15:AG1033,"&gt;0")</f>
        <v>46</v>
      </c>
      <c r="AP3" s="3490"/>
      <c r="AQ3" s="3490"/>
      <c r="AR3" s="3490"/>
      <c r="AS3" s="3490"/>
    </row>
    <row r="4" spans="1:45">
      <c r="A4" s="5" t="s">
        <v>31</v>
      </c>
      <c r="B4" s="3498" t="s">
        <v>32</v>
      </c>
      <c r="C4" s="3498"/>
      <c r="D4" s="3498"/>
      <c r="E4" s="3498"/>
      <c r="F4" s="3498"/>
      <c r="G4" s="3498"/>
      <c r="H4" s="3498"/>
      <c r="AC4" s="69" t="s">
        <v>1502</v>
      </c>
      <c r="AD4" s="492">
        <f>SUMIF(AD15:AD1033,1,AC15:AC1033)</f>
        <v>166650</v>
      </c>
      <c r="AH4" s="1413">
        <f>AD14</f>
        <v>303</v>
      </c>
      <c r="AI4" s="1414">
        <v>2202.9800000000005</v>
      </c>
      <c r="AJ4">
        <f>AI4/AI3</f>
        <v>0.89535654047023927</v>
      </c>
      <c r="AK4" s="1395"/>
      <c r="AP4" s="1411"/>
      <c r="AQ4" s="1408"/>
      <c r="AR4" s="1408"/>
      <c r="AS4" s="1412"/>
    </row>
    <row r="5" spans="1:45" s="3" customFormat="1" ht="15.75" customHeight="1">
      <c r="E5" s="532">
        <f>E14/1.18</f>
        <v>1126012.3644067799</v>
      </c>
      <c r="R5" s="599">
        <f>E3-E5/1000</f>
        <v>-4.6440677988357493E-4</v>
      </c>
      <c r="AC5" s="69" t="s">
        <v>1503</v>
      </c>
      <c r="AD5" s="492">
        <f>AD3-AD4</f>
        <v>412469.33999999997</v>
      </c>
      <c r="AH5" s="2">
        <f>AK3</f>
        <v>46</v>
      </c>
      <c r="AI5" s="1414">
        <v>257.46999999999991</v>
      </c>
      <c r="AJ5">
        <f>AI5/AI3</f>
        <v>0.10464345952976077</v>
      </c>
      <c r="AK5" s="1394"/>
      <c r="AP5" s="1402" t="str">
        <f>A2272</f>
        <v>Петруев Эрдни Хоньашевич</v>
      </c>
      <c r="AQ5" s="1403"/>
      <c r="AR5" s="1404">
        <f>R2272</f>
        <v>550</v>
      </c>
      <c r="AS5" s="3491">
        <v>1</v>
      </c>
    </row>
    <row r="6" spans="1:45">
      <c r="A6" s="5" t="s">
        <v>33</v>
      </c>
      <c r="B6" s="3498" t="s">
        <v>34</v>
      </c>
      <c r="C6" s="3498"/>
      <c r="D6" s="3498"/>
      <c r="E6" s="3498"/>
      <c r="F6" s="3498"/>
      <c r="G6" s="3498"/>
      <c r="H6" s="3498"/>
      <c r="AC6" s="1" t="s">
        <v>3654</v>
      </c>
      <c r="AP6" s="1405" t="str">
        <f>A2273</f>
        <v>11901-14-00165363-1</v>
      </c>
      <c r="AQ6" s="1406"/>
      <c r="AR6" s="1407"/>
      <c r="AS6" s="3491"/>
    </row>
    <row r="7" spans="1:45" s="3" customFormat="1">
      <c r="AP7" s="1411"/>
      <c r="AQ7" s="1408"/>
      <c r="AR7" s="1408"/>
      <c r="AS7" s="1412"/>
    </row>
    <row r="8" spans="1:45">
      <c r="A8" s="3492" t="s">
        <v>35</v>
      </c>
      <c r="B8" s="3492"/>
      <c r="C8" s="3492" t="s">
        <v>36</v>
      </c>
      <c r="D8" s="3492" t="s">
        <v>37</v>
      </c>
      <c r="E8" s="3492" t="s">
        <v>38</v>
      </c>
      <c r="F8" s="3493">
        <v>51</v>
      </c>
      <c r="G8" s="3493">
        <v>62</v>
      </c>
      <c r="H8" s="3495" t="s">
        <v>45</v>
      </c>
      <c r="I8" s="3495"/>
      <c r="J8" s="3495" t="s">
        <v>743</v>
      </c>
      <c r="K8" s="3493">
        <v>76</v>
      </c>
      <c r="L8" s="3495" t="s">
        <v>1504</v>
      </c>
      <c r="M8" s="3493">
        <v>90</v>
      </c>
      <c r="N8" s="3495" t="s">
        <v>1505</v>
      </c>
      <c r="O8" s="3506" t="s">
        <v>1506</v>
      </c>
      <c r="P8" s="3493">
        <v>91</v>
      </c>
      <c r="Q8" s="3495" t="s">
        <v>1507</v>
      </c>
      <c r="R8" s="3492" t="s">
        <v>39</v>
      </c>
      <c r="S8" s="3493">
        <v>50</v>
      </c>
      <c r="T8" s="3495" t="s">
        <v>1508</v>
      </c>
      <c r="U8" s="3493">
        <v>51</v>
      </c>
      <c r="V8" s="3493">
        <v>62</v>
      </c>
      <c r="W8" s="3495" t="s">
        <v>743</v>
      </c>
      <c r="X8" s="3493">
        <v>91</v>
      </c>
      <c r="Y8" s="3495" t="s">
        <v>1509</v>
      </c>
      <c r="Z8" s="3492" t="s">
        <v>40</v>
      </c>
      <c r="AA8" s="3492" t="s">
        <v>41</v>
      </c>
      <c r="AP8" s="1402" t="s">
        <v>3631</v>
      </c>
      <c r="AQ8" s="1403"/>
      <c r="AR8" s="1409"/>
      <c r="AS8" s="3491">
        <v>1</v>
      </c>
    </row>
    <row r="9" spans="1:45">
      <c r="A9" s="3492" t="s">
        <v>42</v>
      </c>
      <c r="B9" s="3492"/>
      <c r="C9" s="3492"/>
      <c r="D9" s="3492"/>
      <c r="E9" s="3492"/>
      <c r="F9" s="3494"/>
      <c r="G9" s="3494"/>
      <c r="H9" s="3495"/>
      <c r="I9" s="3495"/>
      <c r="J9" s="3495"/>
      <c r="K9" s="3494"/>
      <c r="L9" s="3495"/>
      <c r="M9" s="3494"/>
      <c r="N9" s="3495"/>
      <c r="O9" s="3506"/>
      <c r="P9" s="3494"/>
      <c r="Q9" s="3495"/>
      <c r="R9" s="3492"/>
      <c r="S9" s="3494"/>
      <c r="T9" s="3495"/>
      <c r="U9" s="3494"/>
      <c r="V9" s="3494"/>
      <c r="W9" s="3495"/>
      <c r="X9" s="3494"/>
      <c r="Y9" s="3495"/>
      <c r="Z9" s="3492"/>
      <c r="AA9" s="3492"/>
      <c r="AH9">
        <v>351</v>
      </c>
      <c r="AI9">
        <f>SUM(AI10:AI11)</f>
        <v>349</v>
      </c>
      <c r="AP9" s="1405" t="str">
        <f>A2515</f>
        <v>11901-13-00145891-1</v>
      </c>
      <c r="AQ9" s="1406"/>
      <c r="AR9" s="1410">
        <f>R2515</f>
        <v>0</v>
      </c>
      <c r="AS9" s="3491"/>
    </row>
    <row r="10" spans="1:45">
      <c r="A10" s="3492" t="s">
        <v>43</v>
      </c>
      <c r="B10" s="3492"/>
      <c r="C10" s="3492"/>
      <c r="D10" s="3492"/>
      <c r="E10" s="3492"/>
      <c r="F10" s="3494"/>
      <c r="G10" s="3494"/>
      <c r="H10" s="3495"/>
      <c r="I10" s="3495"/>
      <c r="J10" s="3495"/>
      <c r="K10" s="3494"/>
      <c r="L10" s="3495"/>
      <c r="M10" s="3494"/>
      <c r="N10" s="3495"/>
      <c r="O10" s="3506"/>
      <c r="P10" s="3494"/>
      <c r="Q10" s="3495"/>
      <c r="R10" s="3492"/>
      <c r="S10" s="3494"/>
      <c r="T10" s="3495"/>
      <c r="U10" s="3494"/>
      <c r="V10" s="3494"/>
      <c r="W10" s="3495"/>
      <c r="X10" s="3494"/>
      <c r="Y10" s="3495"/>
      <c r="Z10" s="3492"/>
      <c r="AA10" s="3492"/>
      <c r="AH10">
        <f>AH9-46</f>
        <v>305</v>
      </c>
      <c r="AI10">
        <v>303</v>
      </c>
      <c r="AS10">
        <f>SUM(AS5:AS9)</f>
        <v>2</v>
      </c>
    </row>
    <row r="11" spans="1:45">
      <c r="A11" s="3492" t="s">
        <v>44</v>
      </c>
      <c r="B11" s="3492"/>
      <c r="C11" s="3492"/>
      <c r="D11" s="3492"/>
      <c r="E11" s="3492"/>
      <c r="F11" s="3494"/>
      <c r="G11" s="3494"/>
      <c r="H11" s="3495"/>
      <c r="I11" s="3495"/>
      <c r="J11" s="3495"/>
      <c r="K11" s="3494"/>
      <c r="L11" s="3495"/>
      <c r="M11" s="3494"/>
      <c r="N11" s="3495"/>
      <c r="O11" s="3506"/>
      <c r="P11" s="3494"/>
      <c r="Q11" s="3495"/>
      <c r="R11" s="3492"/>
      <c r="S11" s="3494"/>
      <c r="T11" s="3495"/>
      <c r="U11" s="3494"/>
      <c r="V11" s="3494"/>
      <c r="W11" s="3495"/>
      <c r="X11" s="3494"/>
      <c r="Y11" s="3495"/>
      <c r="Z11" s="3492"/>
      <c r="AA11" s="3492"/>
      <c r="AD11" s="26"/>
      <c r="AH11">
        <v>46</v>
      </c>
      <c r="AI11">
        <v>46</v>
      </c>
    </row>
    <row r="12" spans="1:45" ht="18" customHeight="1">
      <c r="A12" s="3492" t="s">
        <v>1510</v>
      </c>
      <c r="B12" s="3492"/>
      <c r="C12" s="3492"/>
      <c r="D12" s="3492"/>
      <c r="E12" s="3492"/>
      <c r="F12" s="3494"/>
      <c r="G12" s="3494"/>
      <c r="H12" s="3495"/>
      <c r="I12" s="3495"/>
      <c r="J12" s="3495"/>
      <c r="K12" s="3494"/>
      <c r="L12" s="3495"/>
      <c r="M12" s="3494"/>
      <c r="N12" s="3495"/>
      <c r="O12" s="3506"/>
      <c r="P12" s="3494"/>
      <c r="Q12" s="3495"/>
      <c r="R12" s="3492"/>
      <c r="S12" s="3494"/>
      <c r="T12" s="3495"/>
      <c r="U12" s="3494"/>
      <c r="V12" s="3494"/>
      <c r="W12" s="3495"/>
      <c r="X12" s="3494"/>
      <c r="Y12" s="3495"/>
      <c r="Z12" s="3492"/>
      <c r="AA12" s="3492"/>
      <c r="AC12" s="24">
        <f>SUM(AC19:AC24,AC32,AC39:AC46,AC51:AC72,AC78:AC98,AC104:AC143,AC150,AC157:AC160,AC169:AC205,AC211:AC277,AC283:AC349,AC358:AC390,AC396:AC507,AC513:AC597,AC600:AC633,AC636:AC663,AC666:AC687,AC693:AC723,AC726:AC756,AC759,AC764:AC773,AC779:AC797,AC800:AC821,AC824:AC827,AC838:AC847,AC852:AC879,AC882:AC909,AC912:AC942,AC947:AC950,AC962:AC968,AC978:AC984,AC990,AC997,AC1002:AC1004,AC1014,AC1022:AC1028,)</f>
        <v>166650</v>
      </c>
    </row>
    <row r="13" spans="1:45" ht="21.75" customHeight="1">
      <c r="A13" s="3495" t="s">
        <v>45</v>
      </c>
      <c r="B13" s="3495"/>
      <c r="C13" s="18">
        <v>81266.55</v>
      </c>
      <c r="D13" s="18">
        <v>6058702.8300000001</v>
      </c>
      <c r="E13" s="18">
        <v>2797811.88</v>
      </c>
      <c r="F13" s="18">
        <v>533973.66</v>
      </c>
      <c r="G13" s="18">
        <v>924249.42</v>
      </c>
      <c r="H13" s="3505">
        <v>922900.36</v>
      </c>
      <c r="I13" s="3505"/>
      <c r="J13" s="18">
        <v>1349.06</v>
      </c>
      <c r="K13" s="18">
        <v>10890.22</v>
      </c>
      <c r="L13" s="18">
        <v>10890.22</v>
      </c>
      <c r="M13" s="18">
        <v>1328694.5900000001</v>
      </c>
      <c r="N13" s="18">
        <v>1328694.5900000001</v>
      </c>
      <c r="O13" s="18">
        <v>1328694.5900000001</v>
      </c>
      <c r="P13" s="19">
        <v>3.99</v>
      </c>
      <c r="Q13" s="19">
        <v>3.99</v>
      </c>
      <c r="R13" s="18">
        <v>3158400.66</v>
      </c>
      <c r="S13" s="18">
        <v>12847.96</v>
      </c>
      <c r="T13" s="18">
        <v>12847.96</v>
      </c>
      <c r="U13" s="18">
        <v>2221303.27</v>
      </c>
      <c r="V13" s="18">
        <v>924249.42</v>
      </c>
      <c r="W13" s="18">
        <v>924249.42</v>
      </c>
      <c r="X13" s="19">
        <v>0.01</v>
      </c>
      <c r="Y13" s="19">
        <v>0.01</v>
      </c>
      <c r="Z13" s="18">
        <v>306681.64</v>
      </c>
      <c r="AA13" s="18">
        <v>6644706.7000000002</v>
      </c>
      <c r="AG13" s="26"/>
    </row>
    <row r="14" spans="1:45" outlineLevel="3">
      <c r="A14" s="3502" t="s">
        <v>1512</v>
      </c>
      <c r="B14" s="3502"/>
      <c r="C14" s="54">
        <v>81266.55</v>
      </c>
      <c r="D14" s="55"/>
      <c r="E14" s="54">
        <v>1328694.5900000001</v>
      </c>
      <c r="F14" s="56"/>
      <c r="G14" s="56"/>
      <c r="H14" s="56"/>
      <c r="I14" s="56"/>
      <c r="J14" s="56"/>
      <c r="K14" s="56"/>
      <c r="L14" s="56"/>
      <c r="M14" s="54">
        <v>1328694.5900000001</v>
      </c>
      <c r="N14" s="54">
        <v>1328694.5900000001</v>
      </c>
      <c r="O14" s="54">
        <v>1328694.5900000001</v>
      </c>
      <c r="P14" s="56"/>
      <c r="Q14" s="56"/>
      <c r="R14" s="54">
        <v>1103279.5</v>
      </c>
      <c r="S14" s="54">
        <v>12847.96</v>
      </c>
      <c r="T14" s="54">
        <v>12847.96</v>
      </c>
      <c r="U14" s="54">
        <v>167531.17000000001</v>
      </c>
      <c r="V14" s="54">
        <v>922900.36</v>
      </c>
      <c r="W14" s="54">
        <v>922900.36</v>
      </c>
      <c r="X14" s="57">
        <v>0.01</v>
      </c>
      <c r="Y14" s="57">
        <v>0.01</v>
      </c>
      <c r="Z14" s="54">
        <v>306681.64</v>
      </c>
      <c r="AA14" s="55"/>
      <c r="AC14" s="26">
        <f>SUM(AC15:AC1033)</f>
        <v>579119.34</v>
      </c>
      <c r="AD14" s="26">
        <f t="shared" ref="AD14:AF14" si="0">SUM(AD15:AD1033)</f>
        <v>303</v>
      </c>
      <c r="AE14" s="26">
        <f t="shared" si="0"/>
        <v>0</v>
      </c>
      <c r="AF14" s="26">
        <f t="shared" si="0"/>
        <v>170158.63559322036</v>
      </c>
      <c r="AG14" s="26">
        <f>SUM(AG15:AG1033)</f>
        <v>412451.36999999994</v>
      </c>
    </row>
    <row r="15" spans="1:45" outlineLevel="4">
      <c r="A15" s="3503" t="s">
        <v>46</v>
      </c>
      <c r="B15" s="3503"/>
      <c r="C15" s="58"/>
      <c r="D15" s="58"/>
      <c r="E15" s="59">
        <v>579119.34</v>
      </c>
      <c r="F15" s="58"/>
      <c r="G15" s="58"/>
      <c r="H15" s="60"/>
      <c r="I15" s="61"/>
      <c r="J15" s="58"/>
      <c r="K15" s="58"/>
      <c r="L15" s="58"/>
      <c r="M15" s="59">
        <v>579119.34</v>
      </c>
      <c r="N15" s="59">
        <v>579119.34</v>
      </c>
      <c r="O15" s="59">
        <v>579119.34</v>
      </c>
      <c r="P15" s="58"/>
      <c r="Q15" s="58"/>
      <c r="R15" s="59">
        <v>579119.34</v>
      </c>
      <c r="S15" s="58"/>
      <c r="T15" s="58"/>
      <c r="U15" s="59">
        <v>50414.66</v>
      </c>
      <c r="V15" s="59">
        <v>528704.67000000004</v>
      </c>
      <c r="W15" s="59">
        <v>528704.67000000004</v>
      </c>
      <c r="X15" s="62">
        <v>0.01</v>
      </c>
      <c r="Y15" s="62">
        <v>0.01</v>
      </c>
      <c r="Z15" s="58"/>
      <c r="AA15" s="58"/>
      <c r="AC15" s="70" t="str">
        <f>IF(LEFT($A16,5)="Реали",$E16,"")</f>
        <v/>
      </c>
      <c r="AD15" s="75" t="str">
        <f>IF(AC15=550,1,"")</f>
        <v/>
      </c>
      <c r="AI15">
        <v>58</v>
      </c>
    </row>
    <row r="16" spans="1:45" outlineLevel="5">
      <c r="A16" s="3504" t="s">
        <v>47</v>
      </c>
      <c r="B16" s="3504"/>
      <c r="C16" s="48"/>
      <c r="D16" s="48"/>
      <c r="E16" s="49">
        <v>12542.78</v>
      </c>
      <c r="F16" s="48"/>
      <c r="G16" s="48"/>
      <c r="H16" s="50"/>
      <c r="I16" s="51"/>
      <c r="J16" s="48"/>
      <c r="K16" s="48"/>
      <c r="L16" s="48"/>
      <c r="M16" s="49">
        <v>12542.78</v>
      </c>
      <c r="N16" s="49">
        <v>12542.78</v>
      </c>
      <c r="O16" s="49">
        <v>12542.78</v>
      </c>
      <c r="P16" s="48"/>
      <c r="Q16" s="48"/>
      <c r="R16" s="49">
        <v>12542.78</v>
      </c>
      <c r="S16" s="48"/>
      <c r="T16" s="48"/>
      <c r="U16" s="52">
        <v>550</v>
      </c>
      <c r="V16" s="49">
        <v>11992.78</v>
      </c>
      <c r="W16" s="49">
        <v>11992.78</v>
      </c>
      <c r="X16" s="48"/>
      <c r="Y16" s="48"/>
      <c r="Z16" s="48"/>
      <c r="AA16" s="48"/>
      <c r="AC16" s="70" t="str">
        <f>IF(LEFT($A16,5)="Реали",$E16,"")</f>
        <v/>
      </c>
      <c r="AD16" s="75" t="str">
        <f>IF(AC16=550,1,"")</f>
        <v/>
      </c>
    </row>
    <row r="17" spans="1:36" outlineLevel="6">
      <c r="A17" s="3501" t="s">
        <v>48</v>
      </c>
      <c r="B17" s="3501"/>
      <c r="C17" s="7"/>
      <c r="D17" s="7"/>
      <c r="E17" s="14">
        <v>550</v>
      </c>
      <c r="F17" s="7"/>
      <c r="G17" s="7"/>
      <c r="H17" s="8"/>
      <c r="I17" s="9"/>
      <c r="J17" s="7"/>
      <c r="K17" s="7"/>
      <c r="L17" s="7"/>
      <c r="M17" s="14">
        <v>550</v>
      </c>
      <c r="N17" s="14">
        <v>550</v>
      </c>
      <c r="O17" s="14">
        <v>550</v>
      </c>
      <c r="P17" s="7"/>
      <c r="Q17" s="7"/>
      <c r="R17" s="14">
        <v>550</v>
      </c>
      <c r="S17" s="7"/>
      <c r="T17" s="7"/>
      <c r="U17" s="7"/>
      <c r="V17" s="14">
        <v>550</v>
      </c>
      <c r="W17" s="14">
        <v>550</v>
      </c>
      <c r="X17" s="7"/>
      <c r="Y17" s="7"/>
      <c r="Z17" s="7"/>
      <c r="AA17" s="7"/>
      <c r="AC17" s="70" t="str">
        <f t="shared" ref="AC17:AC80" si="1">IF(LEFT($A17,5)="Реали",$E17,"")</f>
        <v/>
      </c>
      <c r="AD17" s="75" t="str">
        <f t="shared" ref="AD17:AD80" si="2">IF(AC17=550,1,"")</f>
        <v/>
      </c>
    </row>
    <row r="18" spans="1:36" outlineLevel="7">
      <c r="A18" s="3500" t="s">
        <v>49</v>
      </c>
      <c r="B18" s="3500"/>
      <c r="C18" s="7"/>
      <c r="D18" s="7"/>
      <c r="E18" s="14">
        <v>550</v>
      </c>
      <c r="F18" s="7"/>
      <c r="G18" s="7"/>
      <c r="H18" s="8"/>
      <c r="I18" s="9"/>
      <c r="J18" s="7"/>
      <c r="K18" s="7"/>
      <c r="L18" s="7"/>
      <c r="M18" s="14">
        <v>550</v>
      </c>
      <c r="N18" s="14">
        <v>550</v>
      </c>
      <c r="O18" s="14">
        <v>550</v>
      </c>
      <c r="P18" s="7"/>
      <c r="Q18" s="7"/>
      <c r="R18" s="14">
        <v>550</v>
      </c>
      <c r="S18" s="7"/>
      <c r="T18" s="7"/>
      <c r="U18" s="7"/>
      <c r="V18" s="14">
        <v>550</v>
      </c>
      <c r="W18" s="14">
        <v>550</v>
      </c>
      <c r="X18" s="7"/>
      <c r="Y18" s="7"/>
      <c r="Z18" s="7"/>
      <c r="AA18" s="7"/>
      <c r="AC18" s="70" t="str">
        <f t="shared" si="1"/>
        <v/>
      </c>
      <c r="AD18" s="75" t="str">
        <f t="shared" si="2"/>
        <v/>
      </c>
      <c r="AH18" t="s">
        <v>3573</v>
      </c>
    </row>
    <row r="19" spans="1:36" outlineLevel="7">
      <c r="A19" s="3499" t="s">
        <v>1513</v>
      </c>
      <c r="B19" s="3499"/>
      <c r="C19" s="7"/>
      <c r="D19" s="7"/>
      <c r="E19" s="14">
        <v>550</v>
      </c>
      <c r="F19" s="7"/>
      <c r="G19" s="7"/>
      <c r="H19" s="8"/>
      <c r="I19" s="9"/>
      <c r="J19" s="7"/>
      <c r="K19" s="7"/>
      <c r="L19" s="7"/>
      <c r="M19" s="14">
        <v>550</v>
      </c>
      <c r="N19" s="14">
        <v>550</v>
      </c>
      <c r="O19" s="14">
        <v>550</v>
      </c>
      <c r="P19" s="7"/>
      <c r="Q19" s="7"/>
      <c r="R19" s="14">
        <v>550</v>
      </c>
      <c r="S19" s="7"/>
      <c r="T19" s="7"/>
      <c r="U19" s="7"/>
      <c r="V19" s="14">
        <v>550</v>
      </c>
      <c r="W19" s="14">
        <v>550</v>
      </c>
      <c r="X19" s="7"/>
      <c r="Y19" s="7"/>
      <c r="Z19" s="7"/>
      <c r="AA19" s="7"/>
      <c r="AC19" s="70">
        <f>IF(LEFT($A19,5)="Реали",$E19,"")</f>
        <v>550</v>
      </c>
      <c r="AD19" s="75">
        <f>IF(AC19=550,1,"")</f>
        <v>1</v>
      </c>
      <c r="AI19">
        <v>303</v>
      </c>
    </row>
    <row r="20" spans="1:36" outlineLevel="6">
      <c r="A20" s="3501" t="s">
        <v>50</v>
      </c>
      <c r="B20" s="3501"/>
      <c r="C20" s="7"/>
      <c r="D20" s="7"/>
      <c r="E20" s="13">
        <v>10093.719999999999</v>
      </c>
      <c r="F20" s="7"/>
      <c r="G20" s="7"/>
      <c r="H20" s="8"/>
      <c r="I20" s="9"/>
      <c r="J20" s="7"/>
      <c r="K20" s="7"/>
      <c r="L20" s="7"/>
      <c r="M20" s="13">
        <v>10093.719999999999</v>
      </c>
      <c r="N20" s="13">
        <v>10093.719999999999</v>
      </c>
      <c r="O20" s="13">
        <v>10093.719999999999</v>
      </c>
      <c r="P20" s="7"/>
      <c r="Q20" s="7"/>
      <c r="R20" s="13">
        <v>10093.719999999999</v>
      </c>
      <c r="S20" s="7"/>
      <c r="T20" s="7"/>
      <c r="U20" s="14">
        <v>550</v>
      </c>
      <c r="V20" s="13">
        <v>9543.7199999999993</v>
      </c>
      <c r="W20" s="13">
        <v>9543.7199999999993</v>
      </c>
      <c r="X20" s="7"/>
      <c r="Y20" s="7"/>
      <c r="Z20" s="7"/>
      <c r="AA20" s="7"/>
      <c r="AC20" s="70" t="str">
        <f t="shared" si="1"/>
        <v/>
      </c>
      <c r="AD20" s="75" t="str">
        <f t="shared" si="2"/>
        <v/>
      </c>
    </row>
    <row r="21" spans="1:36" outlineLevel="7">
      <c r="A21" s="3500" t="s">
        <v>51</v>
      </c>
      <c r="B21" s="3500"/>
      <c r="C21" s="7"/>
      <c r="D21" s="7"/>
      <c r="E21" s="14">
        <v>550</v>
      </c>
      <c r="F21" s="7"/>
      <c r="G21" s="7"/>
      <c r="H21" s="8"/>
      <c r="I21" s="9"/>
      <c r="J21" s="7"/>
      <c r="K21" s="7"/>
      <c r="L21" s="7"/>
      <c r="M21" s="14">
        <v>550</v>
      </c>
      <c r="N21" s="14">
        <v>550</v>
      </c>
      <c r="O21" s="14">
        <v>550</v>
      </c>
      <c r="P21" s="7"/>
      <c r="Q21" s="7"/>
      <c r="R21" s="14">
        <v>550</v>
      </c>
      <c r="S21" s="7"/>
      <c r="T21" s="7"/>
      <c r="U21" s="14">
        <v>550</v>
      </c>
      <c r="V21" s="7"/>
      <c r="W21" s="7"/>
      <c r="X21" s="7"/>
      <c r="Y21" s="7"/>
      <c r="Z21" s="7"/>
      <c r="AA21" s="7"/>
      <c r="AC21" s="70" t="str">
        <f t="shared" si="1"/>
        <v/>
      </c>
      <c r="AD21" s="75" t="str">
        <f t="shared" si="2"/>
        <v/>
      </c>
      <c r="AH21" s="1" t="s">
        <v>3387</v>
      </c>
    </row>
    <row r="22" spans="1:36" outlineLevel="7">
      <c r="A22" s="3499" t="s">
        <v>1514</v>
      </c>
      <c r="B22" s="3499"/>
      <c r="C22" s="7"/>
      <c r="D22" s="7"/>
      <c r="E22" s="14">
        <v>550</v>
      </c>
      <c r="F22" s="7"/>
      <c r="G22" s="7"/>
      <c r="H22" s="8"/>
      <c r="I22" s="9"/>
      <c r="J22" s="7"/>
      <c r="K22" s="7"/>
      <c r="L22" s="7"/>
      <c r="M22" s="14">
        <v>550</v>
      </c>
      <c r="N22" s="14">
        <v>550</v>
      </c>
      <c r="O22" s="14">
        <v>550</v>
      </c>
      <c r="P22" s="7"/>
      <c r="Q22" s="7"/>
      <c r="R22" s="14">
        <v>550</v>
      </c>
      <c r="S22" s="7"/>
      <c r="T22" s="7"/>
      <c r="U22" s="14">
        <v>550</v>
      </c>
      <c r="V22" s="7"/>
      <c r="W22" s="7"/>
      <c r="X22" s="7"/>
      <c r="Y22" s="7"/>
      <c r="Z22" s="7"/>
      <c r="AA22" s="7"/>
      <c r="AC22" s="70">
        <f t="shared" si="1"/>
        <v>550</v>
      </c>
      <c r="AD22" s="75">
        <f>IF(AC22=550,1,"")</f>
        <v>1</v>
      </c>
    </row>
    <row r="23" spans="1:36" outlineLevel="7">
      <c r="A23" s="3500" t="s">
        <v>52</v>
      </c>
      <c r="B23" s="3500"/>
      <c r="C23" s="7"/>
      <c r="D23" s="7"/>
      <c r="E23" s="14">
        <v>550</v>
      </c>
      <c r="F23" s="7"/>
      <c r="G23" s="7"/>
      <c r="H23" s="8"/>
      <c r="I23" s="9"/>
      <c r="J23" s="7"/>
      <c r="K23" s="7"/>
      <c r="L23" s="7"/>
      <c r="M23" s="14">
        <v>550</v>
      </c>
      <c r="N23" s="14">
        <v>550</v>
      </c>
      <c r="O23" s="14">
        <v>550</v>
      </c>
      <c r="P23" s="7"/>
      <c r="Q23" s="7"/>
      <c r="R23" s="14">
        <v>550</v>
      </c>
      <c r="S23" s="7"/>
      <c r="T23" s="7"/>
      <c r="U23" s="7"/>
      <c r="V23" s="14">
        <v>550</v>
      </c>
      <c r="W23" s="14">
        <v>550</v>
      </c>
      <c r="X23" s="7"/>
      <c r="Y23" s="7"/>
      <c r="Z23" s="7"/>
      <c r="AA23" s="7"/>
      <c r="AC23" s="70" t="str">
        <f t="shared" si="1"/>
        <v/>
      </c>
      <c r="AD23" s="75" t="str">
        <f t="shared" si="2"/>
        <v/>
      </c>
      <c r="AH23" s="1" t="s">
        <v>3486</v>
      </c>
    </row>
    <row r="24" spans="1:36" outlineLevel="7">
      <c r="A24" s="3499" t="s">
        <v>1515</v>
      </c>
      <c r="B24" s="3499"/>
      <c r="C24" s="7"/>
      <c r="D24" s="7"/>
      <c r="E24" s="14">
        <v>550</v>
      </c>
      <c r="F24" s="7"/>
      <c r="G24" s="7"/>
      <c r="H24" s="8"/>
      <c r="I24" s="9"/>
      <c r="J24" s="7"/>
      <c r="K24" s="7"/>
      <c r="L24" s="7"/>
      <c r="M24" s="14">
        <v>550</v>
      </c>
      <c r="N24" s="14">
        <v>550</v>
      </c>
      <c r="O24" s="14">
        <v>550</v>
      </c>
      <c r="P24" s="7"/>
      <c r="Q24" s="7"/>
      <c r="R24" s="14">
        <v>550</v>
      </c>
      <c r="S24" s="7"/>
      <c r="T24" s="7"/>
      <c r="U24" s="7"/>
      <c r="V24" s="14">
        <v>550</v>
      </c>
      <c r="W24" s="14">
        <v>550</v>
      </c>
      <c r="X24" s="7"/>
      <c r="Y24" s="7"/>
      <c r="Z24" s="7"/>
      <c r="AA24" s="7"/>
      <c r="AC24" s="70">
        <f t="shared" si="1"/>
        <v>550</v>
      </c>
      <c r="AD24" s="75">
        <f t="shared" si="2"/>
        <v>1</v>
      </c>
    </row>
    <row r="25" spans="1:36" outlineLevel="7">
      <c r="A25" s="3500" t="s">
        <v>53</v>
      </c>
      <c r="B25" s="3500"/>
      <c r="C25" s="7"/>
      <c r="D25" s="7"/>
      <c r="E25" s="13">
        <v>8993.7199999999993</v>
      </c>
      <c r="F25" s="7"/>
      <c r="G25" s="7"/>
      <c r="H25" s="8"/>
      <c r="I25" s="9"/>
      <c r="J25" s="7"/>
      <c r="K25" s="7"/>
      <c r="L25" s="7"/>
      <c r="M25" s="13">
        <v>8993.7199999999993</v>
      </c>
      <c r="N25" s="13">
        <v>8993.7199999999993</v>
      </c>
      <c r="O25" s="13">
        <v>8993.7199999999993</v>
      </c>
      <c r="P25" s="7"/>
      <c r="Q25" s="7"/>
      <c r="R25" s="13">
        <v>8993.7199999999993</v>
      </c>
      <c r="S25" s="7"/>
      <c r="T25" s="7"/>
      <c r="U25" s="7"/>
      <c r="V25" s="13">
        <v>8993.7199999999993</v>
      </c>
      <c r="W25" s="13">
        <v>8993.7199999999993</v>
      </c>
      <c r="X25" s="7"/>
      <c r="Y25" s="7"/>
      <c r="Z25" s="7"/>
      <c r="AA25" s="7"/>
      <c r="AC25" s="70" t="str">
        <f t="shared" si="1"/>
        <v/>
      </c>
      <c r="AD25" s="75" t="str">
        <f t="shared" si="2"/>
        <v/>
      </c>
      <c r="AH25" s="1" t="s">
        <v>3621</v>
      </c>
      <c r="AJ25" s="1"/>
    </row>
    <row r="26" spans="1:36" outlineLevel="7">
      <c r="A26" s="3499" t="s">
        <v>1516</v>
      </c>
      <c r="B26" s="3499"/>
      <c r="C26" s="7"/>
      <c r="D26" s="7"/>
      <c r="E26" s="13">
        <v>8993.7199999999993</v>
      </c>
      <c r="F26" s="7"/>
      <c r="G26" s="7"/>
      <c r="H26" s="8"/>
      <c r="I26" s="9"/>
      <c r="J26" s="7"/>
      <c r="K26" s="7"/>
      <c r="L26" s="7"/>
      <c r="M26" s="13">
        <v>8993.7199999999993</v>
      </c>
      <c r="N26" s="13">
        <v>8993.7199999999993</v>
      </c>
      <c r="O26" s="13">
        <v>8993.7199999999993</v>
      </c>
      <c r="P26" s="7"/>
      <c r="Q26" s="7"/>
      <c r="R26" s="13">
        <v>8993.7199999999993</v>
      </c>
      <c r="S26" s="7"/>
      <c r="T26" s="7"/>
      <c r="U26" s="7"/>
      <c r="V26" s="13">
        <v>8993.7199999999993</v>
      </c>
      <c r="W26" s="13">
        <v>8993.7199999999993</v>
      </c>
      <c r="X26" s="7"/>
      <c r="Y26" s="7"/>
      <c r="Z26" s="7"/>
      <c r="AA26" s="7"/>
      <c r="AC26" s="70">
        <f t="shared" si="1"/>
        <v>8993.7199999999993</v>
      </c>
      <c r="AD26" s="75" t="str">
        <f t="shared" si="2"/>
        <v/>
      </c>
      <c r="AG26">
        <f>AC26</f>
        <v>8993.7199999999993</v>
      </c>
    </row>
    <row r="27" spans="1:36" outlineLevel="6">
      <c r="A27" s="3501" t="s">
        <v>54</v>
      </c>
      <c r="B27" s="3501"/>
      <c r="C27" s="7"/>
      <c r="D27" s="7"/>
      <c r="E27" s="13">
        <v>1349.06</v>
      </c>
      <c r="F27" s="7"/>
      <c r="G27" s="7"/>
      <c r="H27" s="8"/>
      <c r="I27" s="9"/>
      <c r="J27" s="7"/>
      <c r="K27" s="7"/>
      <c r="L27" s="7"/>
      <c r="M27" s="13">
        <v>1349.06</v>
      </c>
      <c r="N27" s="13">
        <v>1349.06</v>
      </c>
      <c r="O27" s="13">
        <v>1349.06</v>
      </c>
      <c r="P27" s="7"/>
      <c r="Q27" s="7"/>
      <c r="R27" s="13">
        <v>1349.06</v>
      </c>
      <c r="S27" s="7"/>
      <c r="T27" s="7"/>
      <c r="U27" s="7"/>
      <c r="V27" s="13">
        <v>1349.06</v>
      </c>
      <c r="W27" s="13">
        <v>1349.06</v>
      </c>
      <c r="X27" s="7"/>
      <c r="Y27" s="7"/>
      <c r="Z27" s="7"/>
      <c r="AA27" s="7"/>
      <c r="AC27" s="70" t="str">
        <f t="shared" si="1"/>
        <v/>
      </c>
      <c r="AD27" s="75" t="str">
        <f t="shared" si="2"/>
        <v/>
      </c>
    </row>
    <row r="28" spans="1:36" outlineLevel="7">
      <c r="A28" s="3500" t="s">
        <v>55</v>
      </c>
      <c r="B28" s="3500"/>
      <c r="C28" s="7"/>
      <c r="D28" s="7"/>
      <c r="E28" s="13">
        <v>1349.06</v>
      </c>
      <c r="F28" s="7"/>
      <c r="G28" s="7"/>
      <c r="H28" s="8"/>
      <c r="I28" s="9"/>
      <c r="J28" s="7"/>
      <c r="K28" s="7"/>
      <c r="L28" s="7"/>
      <c r="M28" s="13">
        <v>1349.06</v>
      </c>
      <c r="N28" s="13">
        <v>1349.06</v>
      </c>
      <c r="O28" s="13">
        <v>1349.06</v>
      </c>
      <c r="P28" s="7"/>
      <c r="Q28" s="7"/>
      <c r="R28" s="13">
        <v>1349.06</v>
      </c>
      <c r="S28" s="7"/>
      <c r="T28" s="7"/>
      <c r="U28" s="7"/>
      <c r="V28" s="13">
        <v>1349.06</v>
      </c>
      <c r="W28" s="13">
        <v>1349.06</v>
      </c>
      <c r="X28" s="7"/>
      <c r="Y28" s="7"/>
      <c r="Z28" s="7"/>
      <c r="AA28" s="7"/>
      <c r="AC28" s="70" t="str">
        <f t="shared" si="1"/>
        <v/>
      </c>
      <c r="AD28" s="75" t="str">
        <f t="shared" si="2"/>
        <v/>
      </c>
      <c r="AH28" s="1" t="s">
        <v>3607</v>
      </c>
      <c r="AJ28" s="1"/>
    </row>
    <row r="29" spans="1:36" outlineLevel="7">
      <c r="A29" s="3499" t="s">
        <v>1517</v>
      </c>
      <c r="B29" s="3499"/>
      <c r="C29" s="7"/>
      <c r="D29" s="7"/>
      <c r="E29" s="13">
        <v>1349.06</v>
      </c>
      <c r="F29" s="7"/>
      <c r="G29" s="7"/>
      <c r="H29" s="8"/>
      <c r="I29" s="9"/>
      <c r="J29" s="7"/>
      <c r="K29" s="7"/>
      <c r="L29" s="7"/>
      <c r="M29" s="13">
        <v>1349.06</v>
      </c>
      <c r="N29" s="13">
        <v>1349.06</v>
      </c>
      <c r="O29" s="13">
        <v>1349.06</v>
      </c>
      <c r="P29" s="7"/>
      <c r="Q29" s="7"/>
      <c r="R29" s="13">
        <v>1349.06</v>
      </c>
      <c r="S29" s="7"/>
      <c r="T29" s="7"/>
      <c r="U29" s="7"/>
      <c r="V29" s="13">
        <v>1349.06</v>
      </c>
      <c r="W29" s="13">
        <v>1349.06</v>
      </c>
      <c r="X29" s="7"/>
      <c r="Y29" s="7"/>
      <c r="Z29" s="7"/>
      <c r="AA29" s="7"/>
      <c r="AC29" s="70">
        <f t="shared" si="1"/>
        <v>1349.06</v>
      </c>
      <c r="AD29" s="75" t="str">
        <f t="shared" si="2"/>
        <v/>
      </c>
      <c r="AG29">
        <f>AC29</f>
        <v>1349.06</v>
      </c>
    </row>
    <row r="30" spans="1:36" outlineLevel="6">
      <c r="A30" s="3501" t="s">
        <v>56</v>
      </c>
      <c r="B30" s="3501"/>
      <c r="C30" s="7"/>
      <c r="D30" s="7"/>
      <c r="E30" s="14">
        <v>550</v>
      </c>
      <c r="F30" s="7"/>
      <c r="G30" s="7"/>
      <c r="H30" s="8"/>
      <c r="I30" s="9"/>
      <c r="J30" s="7"/>
      <c r="K30" s="7"/>
      <c r="L30" s="7"/>
      <c r="M30" s="14">
        <v>550</v>
      </c>
      <c r="N30" s="14">
        <v>550</v>
      </c>
      <c r="O30" s="14">
        <v>550</v>
      </c>
      <c r="P30" s="7"/>
      <c r="Q30" s="7"/>
      <c r="R30" s="14">
        <v>550</v>
      </c>
      <c r="S30" s="7"/>
      <c r="T30" s="7"/>
      <c r="U30" s="7"/>
      <c r="V30" s="14">
        <v>550</v>
      </c>
      <c r="W30" s="14">
        <v>550</v>
      </c>
      <c r="X30" s="7"/>
      <c r="Y30" s="7"/>
      <c r="Z30" s="7"/>
      <c r="AA30" s="7"/>
      <c r="AC30" s="70" t="str">
        <f t="shared" si="1"/>
        <v/>
      </c>
      <c r="AD30" s="75" t="str">
        <f t="shared" si="2"/>
        <v/>
      </c>
    </row>
    <row r="31" spans="1:36" outlineLevel="7">
      <c r="A31" s="3500" t="s">
        <v>57</v>
      </c>
      <c r="B31" s="3500"/>
      <c r="C31" s="7"/>
      <c r="D31" s="7"/>
      <c r="E31" s="14">
        <v>550</v>
      </c>
      <c r="F31" s="7"/>
      <c r="G31" s="7"/>
      <c r="H31" s="8"/>
      <c r="I31" s="9"/>
      <c r="J31" s="7"/>
      <c r="K31" s="7"/>
      <c r="L31" s="7"/>
      <c r="M31" s="14">
        <v>550</v>
      </c>
      <c r="N31" s="14">
        <v>550</v>
      </c>
      <c r="O31" s="14">
        <v>550</v>
      </c>
      <c r="P31" s="7"/>
      <c r="Q31" s="7"/>
      <c r="R31" s="14">
        <v>550</v>
      </c>
      <c r="S31" s="7"/>
      <c r="T31" s="7"/>
      <c r="U31" s="7"/>
      <c r="V31" s="14">
        <v>550</v>
      </c>
      <c r="W31" s="14">
        <v>550</v>
      </c>
      <c r="X31" s="7"/>
      <c r="Y31" s="7"/>
      <c r="Z31" s="7"/>
      <c r="AA31" s="7"/>
      <c r="AC31" s="70" t="str">
        <f t="shared" si="1"/>
        <v/>
      </c>
      <c r="AD31" s="75" t="str">
        <f t="shared" si="2"/>
        <v/>
      </c>
      <c r="AH31" s="1" t="s">
        <v>2767</v>
      </c>
    </row>
    <row r="32" spans="1:36" outlineLevel="7">
      <c r="A32" s="3499" t="s">
        <v>1518</v>
      </c>
      <c r="B32" s="3499"/>
      <c r="C32" s="7"/>
      <c r="D32" s="7"/>
      <c r="E32" s="14">
        <v>550</v>
      </c>
      <c r="F32" s="7"/>
      <c r="G32" s="7"/>
      <c r="H32" s="8"/>
      <c r="I32" s="9"/>
      <c r="J32" s="7"/>
      <c r="K32" s="7"/>
      <c r="L32" s="7"/>
      <c r="M32" s="14">
        <v>550</v>
      </c>
      <c r="N32" s="14">
        <v>550</v>
      </c>
      <c r="O32" s="14">
        <v>550</v>
      </c>
      <c r="P32" s="7"/>
      <c r="Q32" s="7"/>
      <c r="R32" s="14">
        <v>550</v>
      </c>
      <c r="S32" s="7"/>
      <c r="T32" s="7"/>
      <c r="U32" s="7"/>
      <c r="V32" s="14">
        <v>550</v>
      </c>
      <c r="W32" s="14">
        <v>550</v>
      </c>
      <c r="X32" s="7"/>
      <c r="Y32" s="7"/>
      <c r="Z32" s="7"/>
      <c r="AA32" s="7"/>
      <c r="AC32" s="70">
        <f t="shared" si="1"/>
        <v>550</v>
      </c>
      <c r="AD32" s="75">
        <f>IF(AC32=550,1,"")</f>
        <v>1</v>
      </c>
    </row>
    <row r="33" spans="1:36" outlineLevel="5">
      <c r="A33" s="3504" t="s">
        <v>58</v>
      </c>
      <c r="B33" s="3504"/>
      <c r="C33" s="48"/>
      <c r="D33" s="48"/>
      <c r="E33" s="49">
        <v>5046.8599999999997</v>
      </c>
      <c r="F33" s="48"/>
      <c r="G33" s="48"/>
      <c r="H33" s="50"/>
      <c r="I33" s="51"/>
      <c r="J33" s="48"/>
      <c r="K33" s="48"/>
      <c r="L33" s="48"/>
      <c r="M33" s="49">
        <v>5046.8599999999997</v>
      </c>
      <c r="N33" s="49">
        <v>5046.8599999999997</v>
      </c>
      <c r="O33" s="49">
        <v>5046.8599999999997</v>
      </c>
      <c r="P33" s="48"/>
      <c r="Q33" s="48"/>
      <c r="R33" s="49">
        <v>5046.8599999999997</v>
      </c>
      <c r="S33" s="48"/>
      <c r="T33" s="48"/>
      <c r="U33" s="48"/>
      <c r="V33" s="49">
        <v>5046.8599999999997</v>
      </c>
      <c r="W33" s="49">
        <v>5046.8599999999997</v>
      </c>
      <c r="X33" s="48"/>
      <c r="Y33" s="48"/>
      <c r="Z33" s="48"/>
      <c r="AA33" s="48"/>
      <c r="AC33" s="70" t="str">
        <f t="shared" si="1"/>
        <v/>
      </c>
      <c r="AD33" s="75" t="str">
        <f t="shared" si="2"/>
        <v/>
      </c>
    </row>
    <row r="34" spans="1:36" outlineLevel="6">
      <c r="A34" s="3501" t="s">
        <v>59</v>
      </c>
      <c r="B34" s="3501"/>
      <c r="C34" s="7"/>
      <c r="D34" s="7"/>
      <c r="E34" s="13">
        <v>4496.8599999999997</v>
      </c>
      <c r="F34" s="7"/>
      <c r="G34" s="7"/>
      <c r="H34" s="8"/>
      <c r="I34" s="9"/>
      <c r="J34" s="7"/>
      <c r="K34" s="7"/>
      <c r="L34" s="7"/>
      <c r="M34" s="13">
        <v>4496.8599999999997</v>
      </c>
      <c r="N34" s="13">
        <v>4496.8599999999997</v>
      </c>
      <c r="O34" s="13">
        <v>4496.8599999999997</v>
      </c>
      <c r="P34" s="7"/>
      <c r="Q34" s="7"/>
      <c r="R34" s="13">
        <v>4496.8599999999997</v>
      </c>
      <c r="S34" s="7"/>
      <c r="T34" s="7"/>
      <c r="U34" s="7"/>
      <c r="V34" s="13">
        <v>4496.8599999999997</v>
      </c>
      <c r="W34" s="13">
        <v>4496.8599999999997</v>
      </c>
      <c r="X34" s="7"/>
      <c r="Y34" s="7"/>
      <c r="Z34" s="7"/>
      <c r="AA34" s="7"/>
      <c r="AC34" s="70" t="str">
        <f t="shared" si="1"/>
        <v/>
      </c>
      <c r="AD34" s="75" t="str">
        <f t="shared" si="2"/>
        <v/>
      </c>
    </row>
    <row r="35" spans="1:36" outlineLevel="7">
      <c r="A35" s="3500" t="s">
        <v>60</v>
      </c>
      <c r="B35" s="3500"/>
      <c r="C35" s="7"/>
      <c r="D35" s="7"/>
      <c r="E35" s="13">
        <v>4496.8599999999997</v>
      </c>
      <c r="F35" s="7"/>
      <c r="G35" s="7"/>
      <c r="H35" s="8"/>
      <c r="I35" s="9"/>
      <c r="J35" s="7"/>
      <c r="K35" s="7"/>
      <c r="L35" s="7"/>
      <c r="M35" s="13">
        <v>4496.8599999999997</v>
      </c>
      <c r="N35" s="13">
        <v>4496.8599999999997</v>
      </c>
      <c r="O35" s="13">
        <v>4496.8599999999997</v>
      </c>
      <c r="P35" s="7"/>
      <c r="Q35" s="7"/>
      <c r="R35" s="13">
        <v>4496.8599999999997</v>
      </c>
      <c r="S35" s="7"/>
      <c r="T35" s="7"/>
      <c r="U35" s="7"/>
      <c r="V35" s="13">
        <v>4496.8599999999997</v>
      </c>
      <c r="W35" s="13">
        <v>4496.8599999999997</v>
      </c>
      <c r="X35" s="7"/>
      <c r="Y35" s="7"/>
      <c r="Z35" s="7"/>
      <c r="AA35" s="7"/>
      <c r="AC35" s="70" t="str">
        <f t="shared" si="1"/>
        <v/>
      </c>
      <c r="AD35" s="75" t="str">
        <f t="shared" si="2"/>
        <v/>
      </c>
      <c r="AH35" s="1" t="s">
        <v>3618</v>
      </c>
      <c r="AJ35" s="1"/>
    </row>
    <row r="36" spans="1:36" outlineLevel="7">
      <c r="A36" s="3499" t="s">
        <v>1519</v>
      </c>
      <c r="B36" s="3499"/>
      <c r="C36" s="7"/>
      <c r="D36" s="7"/>
      <c r="E36" s="13">
        <v>4496.8599999999997</v>
      </c>
      <c r="F36" s="7"/>
      <c r="G36" s="7"/>
      <c r="H36" s="8"/>
      <c r="I36" s="9"/>
      <c r="J36" s="7"/>
      <c r="K36" s="7"/>
      <c r="L36" s="7"/>
      <c r="M36" s="13">
        <v>4496.8599999999997</v>
      </c>
      <c r="N36" s="13">
        <v>4496.8599999999997</v>
      </c>
      <c r="O36" s="13">
        <v>4496.8599999999997</v>
      </c>
      <c r="P36" s="7"/>
      <c r="Q36" s="7"/>
      <c r="R36" s="13">
        <v>4496.8599999999997</v>
      </c>
      <c r="S36" s="7"/>
      <c r="T36" s="7"/>
      <c r="U36" s="7"/>
      <c r="V36" s="13">
        <v>4496.8599999999997</v>
      </c>
      <c r="W36" s="13">
        <v>4496.8599999999997</v>
      </c>
      <c r="X36" s="7"/>
      <c r="Y36" s="7"/>
      <c r="Z36" s="7"/>
      <c r="AA36" s="7"/>
      <c r="AC36" s="70">
        <f t="shared" si="1"/>
        <v>4496.8599999999997</v>
      </c>
      <c r="AD36" s="75" t="str">
        <f t="shared" si="2"/>
        <v/>
      </c>
      <c r="AG36">
        <f>AC36</f>
        <v>4496.8599999999997</v>
      </c>
    </row>
    <row r="37" spans="1:36" outlineLevel="6">
      <c r="A37" s="3501" t="s">
        <v>61</v>
      </c>
      <c r="B37" s="3501"/>
      <c r="C37" s="7"/>
      <c r="D37" s="7"/>
      <c r="E37" s="14">
        <v>550</v>
      </c>
      <c r="F37" s="7"/>
      <c r="G37" s="7"/>
      <c r="H37" s="8"/>
      <c r="I37" s="9"/>
      <c r="J37" s="7"/>
      <c r="K37" s="7"/>
      <c r="L37" s="7"/>
      <c r="M37" s="14">
        <v>550</v>
      </c>
      <c r="N37" s="14">
        <v>550</v>
      </c>
      <c r="O37" s="14">
        <v>550</v>
      </c>
      <c r="P37" s="7"/>
      <c r="Q37" s="7"/>
      <c r="R37" s="14">
        <v>550</v>
      </c>
      <c r="S37" s="7"/>
      <c r="T37" s="7"/>
      <c r="U37" s="7"/>
      <c r="V37" s="14">
        <v>550</v>
      </c>
      <c r="W37" s="14">
        <v>550</v>
      </c>
      <c r="X37" s="7"/>
      <c r="Y37" s="7"/>
      <c r="Z37" s="7"/>
      <c r="AA37" s="7"/>
      <c r="AC37" s="70" t="str">
        <f t="shared" si="1"/>
        <v/>
      </c>
      <c r="AD37" s="75" t="str">
        <f t="shared" si="2"/>
        <v/>
      </c>
    </row>
    <row r="38" spans="1:36" outlineLevel="7">
      <c r="A38" s="3500" t="s">
        <v>62</v>
      </c>
      <c r="B38" s="3500"/>
      <c r="C38" s="7"/>
      <c r="D38" s="7"/>
      <c r="E38" s="14">
        <v>550</v>
      </c>
      <c r="F38" s="7"/>
      <c r="G38" s="7"/>
      <c r="H38" s="8"/>
      <c r="I38" s="9"/>
      <c r="J38" s="7"/>
      <c r="K38" s="7"/>
      <c r="L38" s="7"/>
      <c r="M38" s="14">
        <v>550</v>
      </c>
      <c r="N38" s="14">
        <v>550</v>
      </c>
      <c r="O38" s="14">
        <v>550</v>
      </c>
      <c r="P38" s="7"/>
      <c r="Q38" s="7"/>
      <c r="R38" s="14">
        <v>550</v>
      </c>
      <c r="S38" s="7"/>
      <c r="T38" s="7"/>
      <c r="U38" s="7"/>
      <c r="V38" s="14">
        <v>550</v>
      </c>
      <c r="W38" s="14">
        <v>550</v>
      </c>
      <c r="X38" s="7"/>
      <c r="Y38" s="7"/>
      <c r="Z38" s="7"/>
      <c r="AA38" s="7"/>
      <c r="AC38" s="70" t="str">
        <f t="shared" si="1"/>
        <v/>
      </c>
      <c r="AD38" s="75" t="str">
        <f t="shared" si="2"/>
        <v/>
      </c>
      <c r="AH38" s="1" t="s">
        <v>3547</v>
      </c>
    </row>
    <row r="39" spans="1:36" outlineLevel="7">
      <c r="A39" s="3499" t="s">
        <v>1520</v>
      </c>
      <c r="B39" s="3499"/>
      <c r="C39" s="7"/>
      <c r="D39" s="7"/>
      <c r="E39" s="14">
        <v>550</v>
      </c>
      <c r="F39" s="7"/>
      <c r="G39" s="7"/>
      <c r="H39" s="8"/>
      <c r="I39" s="9"/>
      <c r="J39" s="7"/>
      <c r="K39" s="7"/>
      <c r="L39" s="7"/>
      <c r="M39" s="14">
        <v>550</v>
      </c>
      <c r="N39" s="14">
        <v>550</v>
      </c>
      <c r="O39" s="14">
        <v>550</v>
      </c>
      <c r="P39" s="7"/>
      <c r="Q39" s="7"/>
      <c r="R39" s="14">
        <v>550</v>
      </c>
      <c r="S39" s="7"/>
      <c r="T39" s="7"/>
      <c r="U39" s="7"/>
      <c r="V39" s="14">
        <v>550</v>
      </c>
      <c r="W39" s="14">
        <v>550</v>
      </c>
      <c r="X39" s="7"/>
      <c r="Y39" s="7"/>
      <c r="Z39" s="7"/>
      <c r="AA39" s="7"/>
      <c r="AC39" s="70">
        <f t="shared" si="1"/>
        <v>550</v>
      </c>
      <c r="AD39" s="75">
        <f>IF(AC39=550,1,"")</f>
        <v>1</v>
      </c>
    </row>
    <row r="40" spans="1:36" outlineLevel="5">
      <c r="A40" s="3504" t="s">
        <v>63</v>
      </c>
      <c r="B40" s="3504"/>
      <c r="C40" s="48"/>
      <c r="D40" s="48"/>
      <c r="E40" s="49">
        <v>270766.62</v>
      </c>
      <c r="F40" s="48"/>
      <c r="G40" s="48"/>
      <c r="H40" s="50"/>
      <c r="I40" s="51"/>
      <c r="J40" s="48"/>
      <c r="K40" s="48"/>
      <c r="L40" s="48"/>
      <c r="M40" s="49">
        <v>270766.62</v>
      </c>
      <c r="N40" s="49">
        <v>270766.62</v>
      </c>
      <c r="O40" s="49">
        <v>270766.62</v>
      </c>
      <c r="P40" s="48"/>
      <c r="Q40" s="48"/>
      <c r="R40" s="49">
        <v>270766.62</v>
      </c>
      <c r="S40" s="48"/>
      <c r="T40" s="48"/>
      <c r="U40" s="49">
        <v>29745.01</v>
      </c>
      <c r="V40" s="49">
        <v>241021.61</v>
      </c>
      <c r="W40" s="49">
        <v>241021.61</v>
      </c>
      <c r="X40" s="48"/>
      <c r="Y40" s="48"/>
      <c r="Z40" s="48"/>
      <c r="AA40" s="48"/>
      <c r="AC40" s="70" t="str">
        <f t="shared" si="1"/>
        <v/>
      </c>
      <c r="AD40" s="75" t="str">
        <f t="shared" si="2"/>
        <v/>
      </c>
    </row>
    <row r="41" spans="1:36" outlineLevel="6">
      <c r="A41" s="3501" t="s">
        <v>64</v>
      </c>
      <c r="B41" s="3501"/>
      <c r="C41" s="7"/>
      <c r="D41" s="7"/>
      <c r="E41" s="14">
        <v>550</v>
      </c>
      <c r="F41" s="7"/>
      <c r="G41" s="7"/>
      <c r="H41" s="8"/>
      <c r="I41" s="9"/>
      <c r="J41" s="7"/>
      <c r="K41" s="7"/>
      <c r="L41" s="7"/>
      <c r="M41" s="14">
        <v>550</v>
      </c>
      <c r="N41" s="14">
        <v>550</v>
      </c>
      <c r="O41" s="14">
        <v>550</v>
      </c>
      <c r="P41" s="7"/>
      <c r="Q41" s="7"/>
      <c r="R41" s="14">
        <v>550</v>
      </c>
      <c r="S41" s="7"/>
      <c r="T41" s="7"/>
      <c r="U41" s="14">
        <v>550</v>
      </c>
      <c r="V41" s="7"/>
      <c r="W41" s="7"/>
      <c r="X41" s="7"/>
      <c r="Y41" s="7"/>
      <c r="Z41" s="7"/>
      <c r="AA41" s="7"/>
      <c r="AC41" s="70" t="str">
        <f t="shared" si="1"/>
        <v/>
      </c>
      <c r="AD41" s="75" t="str">
        <f t="shared" si="2"/>
        <v/>
      </c>
    </row>
    <row r="42" spans="1:36" outlineLevel="7">
      <c r="A42" s="3500" t="s">
        <v>65</v>
      </c>
      <c r="B42" s="3500"/>
      <c r="C42" s="7"/>
      <c r="D42" s="7"/>
      <c r="E42" s="14">
        <v>550</v>
      </c>
      <c r="F42" s="7"/>
      <c r="G42" s="7"/>
      <c r="H42" s="8"/>
      <c r="I42" s="9"/>
      <c r="J42" s="7"/>
      <c r="K42" s="7"/>
      <c r="L42" s="7"/>
      <c r="M42" s="14">
        <v>550</v>
      </c>
      <c r="N42" s="14">
        <v>550</v>
      </c>
      <c r="O42" s="14">
        <v>550</v>
      </c>
      <c r="P42" s="7"/>
      <c r="Q42" s="7"/>
      <c r="R42" s="14">
        <v>550</v>
      </c>
      <c r="S42" s="7"/>
      <c r="T42" s="7"/>
      <c r="U42" s="14">
        <v>550</v>
      </c>
      <c r="V42" s="7"/>
      <c r="W42" s="7"/>
      <c r="X42" s="7"/>
      <c r="Y42" s="7"/>
      <c r="Z42" s="7"/>
      <c r="AA42" s="7"/>
      <c r="AC42" s="70" t="str">
        <f t="shared" si="1"/>
        <v/>
      </c>
      <c r="AD42" s="75" t="str">
        <f t="shared" si="2"/>
        <v/>
      </c>
      <c r="AH42" s="1" t="s">
        <v>3424</v>
      </c>
    </row>
    <row r="43" spans="1:36" outlineLevel="7">
      <c r="A43" s="3499" t="s">
        <v>1521</v>
      </c>
      <c r="B43" s="3499"/>
      <c r="C43" s="7"/>
      <c r="D43" s="7"/>
      <c r="E43" s="14">
        <v>550</v>
      </c>
      <c r="F43" s="7"/>
      <c r="G43" s="7"/>
      <c r="H43" s="8"/>
      <c r="I43" s="9"/>
      <c r="J43" s="7"/>
      <c r="K43" s="7"/>
      <c r="L43" s="7"/>
      <c r="M43" s="14">
        <v>550</v>
      </c>
      <c r="N43" s="14">
        <v>550</v>
      </c>
      <c r="O43" s="14">
        <v>550</v>
      </c>
      <c r="P43" s="7"/>
      <c r="Q43" s="7"/>
      <c r="R43" s="14">
        <v>550</v>
      </c>
      <c r="S43" s="7"/>
      <c r="T43" s="7"/>
      <c r="U43" s="14">
        <v>550</v>
      </c>
      <c r="V43" s="7"/>
      <c r="W43" s="7"/>
      <c r="X43" s="7"/>
      <c r="Y43" s="7"/>
      <c r="Z43" s="7"/>
      <c r="AA43" s="7"/>
      <c r="AC43" s="70">
        <f t="shared" si="1"/>
        <v>550</v>
      </c>
      <c r="AD43" s="75">
        <f>IF(AC43=550,1,"")</f>
        <v>1</v>
      </c>
    </row>
    <row r="44" spans="1:36" outlineLevel="6">
      <c r="A44" s="3501" t="s">
        <v>66</v>
      </c>
      <c r="B44" s="3501"/>
      <c r="C44" s="7"/>
      <c r="D44" s="7"/>
      <c r="E44" s="13">
        <v>5046.88</v>
      </c>
      <c r="F44" s="7"/>
      <c r="G44" s="7"/>
      <c r="H44" s="8"/>
      <c r="I44" s="9"/>
      <c r="J44" s="7"/>
      <c r="K44" s="7"/>
      <c r="L44" s="7"/>
      <c r="M44" s="13">
        <v>5046.88</v>
      </c>
      <c r="N44" s="13">
        <v>5046.88</v>
      </c>
      <c r="O44" s="13">
        <v>5046.88</v>
      </c>
      <c r="P44" s="7"/>
      <c r="Q44" s="7"/>
      <c r="R44" s="13">
        <v>5046.88</v>
      </c>
      <c r="S44" s="7"/>
      <c r="T44" s="7"/>
      <c r="U44" s="13">
        <v>4496.88</v>
      </c>
      <c r="V44" s="14">
        <v>550</v>
      </c>
      <c r="W44" s="14">
        <v>550</v>
      </c>
      <c r="X44" s="7"/>
      <c r="Y44" s="7"/>
      <c r="Z44" s="7"/>
      <c r="AA44" s="7"/>
      <c r="AC44" s="70" t="str">
        <f t="shared" si="1"/>
        <v/>
      </c>
      <c r="AD44" s="75" t="str">
        <f t="shared" si="2"/>
        <v/>
      </c>
    </row>
    <row r="45" spans="1:36" outlineLevel="7">
      <c r="A45" s="3500" t="s">
        <v>67</v>
      </c>
      <c r="B45" s="3500"/>
      <c r="C45" s="7"/>
      <c r="D45" s="7"/>
      <c r="E45" s="14">
        <v>550</v>
      </c>
      <c r="F45" s="7"/>
      <c r="G45" s="7"/>
      <c r="H45" s="8"/>
      <c r="I45" s="9"/>
      <c r="J45" s="7"/>
      <c r="K45" s="7"/>
      <c r="L45" s="7"/>
      <c r="M45" s="14">
        <v>550</v>
      </c>
      <c r="N45" s="14">
        <v>550</v>
      </c>
      <c r="O45" s="14">
        <v>550</v>
      </c>
      <c r="P45" s="7"/>
      <c r="Q45" s="7"/>
      <c r="R45" s="14">
        <v>550</v>
      </c>
      <c r="S45" s="7"/>
      <c r="T45" s="7"/>
      <c r="U45" s="7"/>
      <c r="V45" s="14">
        <v>550</v>
      </c>
      <c r="W45" s="14">
        <v>550</v>
      </c>
      <c r="X45" s="7"/>
      <c r="Y45" s="7"/>
      <c r="Z45" s="7"/>
      <c r="AA45" s="7"/>
      <c r="AC45" s="70" t="str">
        <f t="shared" si="1"/>
        <v/>
      </c>
      <c r="AD45" s="75" t="str">
        <f t="shared" si="2"/>
        <v/>
      </c>
      <c r="AH45" t="s">
        <v>3395</v>
      </c>
    </row>
    <row r="46" spans="1:36" outlineLevel="7">
      <c r="A46" s="3499" t="s">
        <v>1522</v>
      </c>
      <c r="B46" s="3499"/>
      <c r="C46" s="7"/>
      <c r="D46" s="7"/>
      <c r="E46" s="14">
        <v>550</v>
      </c>
      <c r="F46" s="7"/>
      <c r="G46" s="7"/>
      <c r="H46" s="8"/>
      <c r="I46" s="9"/>
      <c r="J46" s="7"/>
      <c r="K46" s="7"/>
      <c r="L46" s="7"/>
      <c r="M46" s="14">
        <v>550</v>
      </c>
      <c r="N46" s="14">
        <v>550</v>
      </c>
      <c r="O46" s="14">
        <v>550</v>
      </c>
      <c r="P46" s="7"/>
      <c r="Q46" s="7"/>
      <c r="R46" s="14">
        <v>550</v>
      </c>
      <c r="S46" s="7"/>
      <c r="T46" s="7"/>
      <c r="U46" s="7"/>
      <c r="V46" s="14">
        <v>550</v>
      </c>
      <c r="W46" s="14">
        <v>550</v>
      </c>
      <c r="X46" s="7"/>
      <c r="Y46" s="7"/>
      <c r="Z46" s="7"/>
      <c r="AA46" s="7"/>
      <c r="AC46" s="70">
        <f t="shared" si="1"/>
        <v>550</v>
      </c>
      <c r="AD46" s="75">
        <f t="shared" si="2"/>
        <v>1</v>
      </c>
    </row>
    <row r="47" spans="1:36" outlineLevel="7">
      <c r="A47" s="3500" t="s">
        <v>68</v>
      </c>
      <c r="B47" s="3500"/>
      <c r="C47" s="7"/>
      <c r="D47" s="7"/>
      <c r="E47" s="13">
        <v>4496.88</v>
      </c>
      <c r="F47" s="7"/>
      <c r="G47" s="7"/>
      <c r="H47" s="8"/>
      <c r="I47" s="9"/>
      <c r="J47" s="7"/>
      <c r="K47" s="7"/>
      <c r="L47" s="7"/>
      <c r="M47" s="13">
        <v>4496.88</v>
      </c>
      <c r="N47" s="13">
        <v>4496.88</v>
      </c>
      <c r="O47" s="13">
        <v>4496.88</v>
      </c>
      <c r="P47" s="7"/>
      <c r="Q47" s="7"/>
      <c r="R47" s="13">
        <v>4496.88</v>
      </c>
      <c r="S47" s="7"/>
      <c r="T47" s="7"/>
      <c r="U47" s="13">
        <v>4496.88</v>
      </c>
      <c r="V47" s="7"/>
      <c r="W47" s="7"/>
      <c r="X47" s="7"/>
      <c r="Y47" s="7"/>
      <c r="Z47" s="7"/>
      <c r="AA47" s="7"/>
      <c r="AC47" s="70" t="str">
        <f t="shared" si="1"/>
        <v/>
      </c>
      <c r="AD47" s="75" t="str">
        <f t="shared" si="2"/>
        <v/>
      </c>
      <c r="AH47" s="1" t="s">
        <v>3616</v>
      </c>
      <c r="AJ47" s="1"/>
    </row>
    <row r="48" spans="1:36" outlineLevel="7">
      <c r="A48" s="3499" t="s">
        <v>1523</v>
      </c>
      <c r="B48" s="3499"/>
      <c r="C48" s="7"/>
      <c r="D48" s="7"/>
      <c r="E48" s="13">
        <v>4496.88</v>
      </c>
      <c r="F48" s="7"/>
      <c r="G48" s="7"/>
      <c r="H48" s="8"/>
      <c r="I48" s="9"/>
      <c r="J48" s="7"/>
      <c r="K48" s="7"/>
      <c r="L48" s="7"/>
      <c r="M48" s="13">
        <v>4496.88</v>
      </c>
      <c r="N48" s="13">
        <v>4496.88</v>
      </c>
      <c r="O48" s="13">
        <v>4496.88</v>
      </c>
      <c r="P48" s="7"/>
      <c r="Q48" s="7"/>
      <c r="R48" s="13">
        <v>4496.88</v>
      </c>
      <c r="S48" s="7"/>
      <c r="T48" s="7"/>
      <c r="U48" s="13">
        <v>4496.88</v>
      </c>
      <c r="V48" s="7"/>
      <c r="W48" s="7"/>
      <c r="X48" s="7"/>
      <c r="Y48" s="7"/>
      <c r="Z48" s="7"/>
      <c r="AA48" s="7"/>
      <c r="AC48" s="70">
        <f t="shared" si="1"/>
        <v>4496.88</v>
      </c>
      <c r="AD48" s="75" t="str">
        <f t="shared" si="2"/>
        <v/>
      </c>
      <c r="AG48">
        <f>AC48</f>
        <v>4496.88</v>
      </c>
    </row>
    <row r="49" spans="1:34" outlineLevel="6">
      <c r="A49" s="3501" t="s">
        <v>69</v>
      </c>
      <c r="B49" s="3501"/>
      <c r="C49" s="7"/>
      <c r="D49" s="7"/>
      <c r="E49" s="14">
        <v>550</v>
      </c>
      <c r="F49" s="7"/>
      <c r="G49" s="7"/>
      <c r="H49" s="8"/>
      <c r="I49" s="9"/>
      <c r="J49" s="7"/>
      <c r="K49" s="7"/>
      <c r="L49" s="7"/>
      <c r="M49" s="14">
        <v>550</v>
      </c>
      <c r="N49" s="14">
        <v>550</v>
      </c>
      <c r="O49" s="14">
        <v>550</v>
      </c>
      <c r="P49" s="7"/>
      <c r="Q49" s="7"/>
      <c r="R49" s="14">
        <v>550</v>
      </c>
      <c r="S49" s="7"/>
      <c r="T49" s="7"/>
      <c r="U49" s="7"/>
      <c r="V49" s="14">
        <v>550</v>
      </c>
      <c r="W49" s="14">
        <v>550</v>
      </c>
      <c r="X49" s="7"/>
      <c r="Y49" s="7"/>
      <c r="Z49" s="7"/>
      <c r="AA49" s="7"/>
      <c r="AC49" s="70" t="str">
        <f t="shared" si="1"/>
        <v/>
      </c>
      <c r="AD49" s="75" t="str">
        <f t="shared" si="2"/>
        <v/>
      </c>
    </row>
    <row r="50" spans="1:34" outlineLevel="7">
      <c r="A50" s="3500" t="s">
        <v>70</v>
      </c>
      <c r="B50" s="3500"/>
      <c r="C50" s="7"/>
      <c r="D50" s="7"/>
      <c r="E50" s="14">
        <v>550</v>
      </c>
      <c r="F50" s="7"/>
      <c r="G50" s="7"/>
      <c r="H50" s="8"/>
      <c r="I50" s="9"/>
      <c r="J50" s="7"/>
      <c r="K50" s="7"/>
      <c r="L50" s="7"/>
      <c r="M50" s="14">
        <v>550</v>
      </c>
      <c r="N50" s="14">
        <v>550</v>
      </c>
      <c r="O50" s="14">
        <v>550</v>
      </c>
      <c r="P50" s="7"/>
      <c r="Q50" s="7"/>
      <c r="R50" s="14">
        <v>550</v>
      </c>
      <c r="S50" s="7"/>
      <c r="T50" s="7"/>
      <c r="U50" s="7"/>
      <c r="V50" s="14">
        <v>550</v>
      </c>
      <c r="W50" s="14">
        <v>550</v>
      </c>
      <c r="X50" s="7"/>
      <c r="Y50" s="7"/>
      <c r="Z50" s="7"/>
      <c r="AA50" s="7"/>
      <c r="AC50" s="70" t="str">
        <f t="shared" si="1"/>
        <v/>
      </c>
      <c r="AD50" s="75" t="str">
        <f t="shared" si="2"/>
        <v/>
      </c>
      <c r="AH50" t="s">
        <v>70</v>
      </c>
    </row>
    <row r="51" spans="1:34" outlineLevel="7">
      <c r="A51" s="3499" t="s">
        <v>1524</v>
      </c>
      <c r="B51" s="3499"/>
      <c r="C51" s="7"/>
      <c r="D51" s="7"/>
      <c r="E51" s="14">
        <v>550</v>
      </c>
      <c r="F51" s="7"/>
      <c r="G51" s="7"/>
      <c r="H51" s="8"/>
      <c r="I51" s="9"/>
      <c r="J51" s="7"/>
      <c r="K51" s="7"/>
      <c r="L51" s="7"/>
      <c r="M51" s="14">
        <v>550</v>
      </c>
      <c r="N51" s="14">
        <v>550</v>
      </c>
      <c r="O51" s="14">
        <v>550</v>
      </c>
      <c r="P51" s="7"/>
      <c r="Q51" s="7"/>
      <c r="R51" s="14">
        <v>550</v>
      </c>
      <c r="S51" s="7"/>
      <c r="T51" s="7"/>
      <c r="U51" s="7"/>
      <c r="V51" s="14">
        <v>550</v>
      </c>
      <c r="W51" s="14">
        <v>550</v>
      </c>
      <c r="X51" s="7"/>
      <c r="Y51" s="7"/>
      <c r="Z51" s="7"/>
      <c r="AA51" s="7"/>
      <c r="AC51" s="70">
        <f t="shared" si="1"/>
        <v>550</v>
      </c>
      <c r="AD51" s="75">
        <f t="shared" si="2"/>
        <v>1</v>
      </c>
    </row>
    <row r="52" spans="1:34" outlineLevel="6">
      <c r="A52" s="3501" t="s">
        <v>71</v>
      </c>
      <c r="B52" s="3501"/>
      <c r="C52" s="7"/>
      <c r="D52" s="7"/>
      <c r="E52" s="14">
        <v>550</v>
      </c>
      <c r="F52" s="7"/>
      <c r="G52" s="7"/>
      <c r="H52" s="8"/>
      <c r="I52" s="9"/>
      <c r="J52" s="7"/>
      <c r="K52" s="7"/>
      <c r="L52" s="7"/>
      <c r="M52" s="14">
        <v>550</v>
      </c>
      <c r="N52" s="14">
        <v>550</v>
      </c>
      <c r="O52" s="14">
        <v>550</v>
      </c>
      <c r="P52" s="7"/>
      <c r="Q52" s="7"/>
      <c r="R52" s="14">
        <v>550</v>
      </c>
      <c r="S52" s="7"/>
      <c r="T52" s="7"/>
      <c r="U52" s="7"/>
      <c r="V52" s="14">
        <v>550</v>
      </c>
      <c r="W52" s="14">
        <v>550</v>
      </c>
      <c r="X52" s="7"/>
      <c r="Y52" s="7"/>
      <c r="Z52" s="7"/>
      <c r="AA52" s="7"/>
      <c r="AC52" s="70" t="str">
        <f t="shared" si="1"/>
        <v/>
      </c>
      <c r="AD52" s="75" t="str">
        <f t="shared" si="2"/>
        <v/>
      </c>
    </row>
    <row r="53" spans="1:34" outlineLevel="7">
      <c r="A53" s="3500" t="s">
        <v>72</v>
      </c>
      <c r="B53" s="3500"/>
      <c r="C53" s="7"/>
      <c r="D53" s="7"/>
      <c r="E53" s="14">
        <v>550</v>
      </c>
      <c r="F53" s="7"/>
      <c r="G53" s="7"/>
      <c r="H53" s="8"/>
      <c r="I53" s="9"/>
      <c r="J53" s="7"/>
      <c r="K53" s="7"/>
      <c r="L53" s="7"/>
      <c r="M53" s="14">
        <v>550</v>
      </c>
      <c r="N53" s="14">
        <v>550</v>
      </c>
      <c r="O53" s="14">
        <v>550</v>
      </c>
      <c r="P53" s="7"/>
      <c r="Q53" s="7"/>
      <c r="R53" s="14">
        <v>550</v>
      </c>
      <c r="S53" s="7"/>
      <c r="T53" s="7"/>
      <c r="U53" s="7"/>
      <c r="V53" s="14">
        <v>550</v>
      </c>
      <c r="W53" s="14">
        <v>550</v>
      </c>
      <c r="X53" s="7"/>
      <c r="Y53" s="7"/>
      <c r="Z53" s="7"/>
      <c r="AA53" s="7"/>
      <c r="AC53" s="70" t="str">
        <f t="shared" si="1"/>
        <v/>
      </c>
      <c r="AD53" s="75" t="str">
        <f t="shared" si="2"/>
        <v/>
      </c>
      <c r="AH53" s="1" t="s">
        <v>3448</v>
      </c>
    </row>
    <row r="54" spans="1:34" outlineLevel="7">
      <c r="A54" s="3499" t="s">
        <v>1525</v>
      </c>
      <c r="B54" s="3499"/>
      <c r="C54" s="7"/>
      <c r="D54" s="7"/>
      <c r="E54" s="14">
        <v>550</v>
      </c>
      <c r="F54" s="7"/>
      <c r="G54" s="7"/>
      <c r="H54" s="8"/>
      <c r="I54" s="9"/>
      <c r="J54" s="7"/>
      <c r="K54" s="7"/>
      <c r="L54" s="7"/>
      <c r="M54" s="14">
        <v>550</v>
      </c>
      <c r="N54" s="14">
        <v>550</v>
      </c>
      <c r="O54" s="14">
        <v>550</v>
      </c>
      <c r="P54" s="7"/>
      <c r="Q54" s="7"/>
      <c r="R54" s="14">
        <v>550</v>
      </c>
      <c r="S54" s="7"/>
      <c r="T54" s="7"/>
      <c r="U54" s="7"/>
      <c r="V54" s="14">
        <v>550</v>
      </c>
      <c r="W54" s="14">
        <v>550</v>
      </c>
      <c r="X54" s="7"/>
      <c r="Y54" s="7"/>
      <c r="Z54" s="7"/>
      <c r="AA54" s="7"/>
      <c r="AC54" s="70">
        <f t="shared" si="1"/>
        <v>550</v>
      </c>
      <c r="AD54" s="75">
        <f t="shared" si="2"/>
        <v>1</v>
      </c>
    </row>
    <row r="55" spans="1:34" outlineLevel="6">
      <c r="A55" s="3501" t="s">
        <v>73</v>
      </c>
      <c r="B55" s="3501"/>
      <c r="C55" s="7"/>
      <c r="D55" s="7"/>
      <c r="E55" s="14">
        <v>550</v>
      </c>
      <c r="F55" s="7"/>
      <c r="G55" s="7"/>
      <c r="H55" s="8"/>
      <c r="I55" s="9"/>
      <c r="J55" s="7"/>
      <c r="K55" s="7"/>
      <c r="L55" s="7"/>
      <c r="M55" s="14">
        <v>550</v>
      </c>
      <c r="N55" s="14">
        <v>550</v>
      </c>
      <c r="O55" s="14">
        <v>550</v>
      </c>
      <c r="P55" s="7"/>
      <c r="Q55" s="7"/>
      <c r="R55" s="14">
        <v>550</v>
      </c>
      <c r="S55" s="7"/>
      <c r="T55" s="7"/>
      <c r="U55" s="7"/>
      <c r="V55" s="14">
        <v>550</v>
      </c>
      <c r="W55" s="14">
        <v>550</v>
      </c>
      <c r="X55" s="7"/>
      <c r="Y55" s="7"/>
      <c r="Z55" s="7"/>
      <c r="AA55" s="7"/>
      <c r="AC55" s="70" t="str">
        <f t="shared" si="1"/>
        <v/>
      </c>
      <c r="AD55" s="75" t="str">
        <f t="shared" si="2"/>
        <v/>
      </c>
    </row>
    <row r="56" spans="1:34" outlineLevel="7">
      <c r="A56" s="3500" t="s">
        <v>74</v>
      </c>
      <c r="B56" s="3500"/>
      <c r="C56" s="7"/>
      <c r="D56" s="7"/>
      <c r="E56" s="14">
        <v>550</v>
      </c>
      <c r="F56" s="7"/>
      <c r="G56" s="7"/>
      <c r="H56" s="8"/>
      <c r="I56" s="9"/>
      <c r="J56" s="7"/>
      <c r="K56" s="7"/>
      <c r="L56" s="7"/>
      <c r="M56" s="14">
        <v>550</v>
      </c>
      <c r="N56" s="14">
        <v>550</v>
      </c>
      <c r="O56" s="14">
        <v>550</v>
      </c>
      <c r="P56" s="7"/>
      <c r="Q56" s="7"/>
      <c r="R56" s="14">
        <v>550</v>
      </c>
      <c r="S56" s="7"/>
      <c r="T56" s="7"/>
      <c r="U56" s="7"/>
      <c r="V56" s="14">
        <v>550</v>
      </c>
      <c r="W56" s="14">
        <v>550</v>
      </c>
      <c r="X56" s="7"/>
      <c r="Y56" s="7"/>
      <c r="Z56" s="7"/>
      <c r="AA56" s="7"/>
      <c r="AC56" s="70" t="str">
        <f t="shared" si="1"/>
        <v/>
      </c>
      <c r="AD56" s="75" t="str">
        <f t="shared" si="2"/>
        <v/>
      </c>
      <c r="AH56" s="1" t="s">
        <v>3491</v>
      </c>
    </row>
    <row r="57" spans="1:34" outlineLevel="7">
      <c r="A57" s="3499" t="s">
        <v>1526</v>
      </c>
      <c r="B57" s="3499"/>
      <c r="C57" s="7"/>
      <c r="D57" s="7"/>
      <c r="E57" s="14">
        <v>550</v>
      </c>
      <c r="F57" s="7"/>
      <c r="G57" s="7"/>
      <c r="H57" s="8"/>
      <c r="I57" s="9"/>
      <c r="J57" s="7"/>
      <c r="K57" s="7"/>
      <c r="L57" s="7"/>
      <c r="M57" s="14">
        <v>550</v>
      </c>
      <c r="N57" s="14">
        <v>550</v>
      </c>
      <c r="O57" s="14">
        <v>550</v>
      </c>
      <c r="P57" s="7"/>
      <c r="Q57" s="7"/>
      <c r="R57" s="14">
        <v>550</v>
      </c>
      <c r="S57" s="7"/>
      <c r="T57" s="7"/>
      <c r="U57" s="7"/>
      <c r="V57" s="14">
        <v>550</v>
      </c>
      <c r="W57" s="14">
        <v>550</v>
      </c>
      <c r="X57" s="7"/>
      <c r="Y57" s="7"/>
      <c r="Z57" s="7"/>
      <c r="AA57" s="7"/>
      <c r="AC57" s="70">
        <f t="shared" si="1"/>
        <v>550</v>
      </c>
      <c r="AD57" s="75">
        <f t="shared" si="2"/>
        <v>1</v>
      </c>
    </row>
    <row r="58" spans="1:34" outlineLevel="6">
      <c r="A58" s="3501" t="s">
        <v>75</v>
      </c>
      <c r="B58" s="3501"/>
      <c r="C58" s="7"/>
      <c r="D58" s="7"/>
      <c r="E58" s="14">
        <v>550</v>
      </c>
      <c r="F58" s="7"/>
      <c r="G58" s="7"/>
      <c r="H58" s="8"/>
      <c r="I58" s="9"/>
      <c r="J58" s="7"/>
      <c r="K58" s="7"/>
      <c r="L58" s="7"/>
      <c r="M58" s="14">
        <v>550</v>
      </c>
      <c r="N58" s="14">
        <v>550</v>
      </c>
      <c r="O58" s="14">
        <v>550</v>
      </c>
      <c r="P58" s="7"/>
      <c r="Q58" s="7"/>
      <c r="R58" s="14">
        <v>550</v>
      </c>
      <c r="S58" s="7"/>
      <c r="T58" s="7"/>
      <c r="U58" s="7"/>
      <c r="V58" s="14">
        <v>550</v>
      </c>
      <c r="W58" s="14">
        <v>550</v>
      </c>
      <c r="X58" s="7"/>
      <c r="Y58" s="7"/>
      <c r="Z58" s="7"/>
      <c r="AA58" s="7"/>
      <c r="AC58" s="70" t="str">
        <f t="shared" si="1"/>
        <v/>
      </c>
      <c r="AD58" s="75" t="str">
        <f t="shared" si="2"/>
        <v/>
      </c>
    </row>
    <row r="59" spans="1:34" outlineLevel="7">
      <c r="A59" s="3500" t="s">
        <v>76</v>
      </c>
      <c r="B59" s="3500"/>
      <c r="C59" s="7"/>
      <c r="D59" s="7"/>
      <c r="E59" s="14">
        <v>550</v>
      </c>
      <c r="F59" s="7"/>
      <c r="G59" s="7"/>
      <c r="H59" s="8"/>
      <c r="I59" s="9"/>
      <c r="J59" s="7"/>
      <c r="K59" s="7"/>
      <c r="L59" s="7"/>
      <c r="M59" s="14">
        <v>550</v>
      </c>
      <c r="N59" s="14">
        <v>550</v>
      </c>
      <c r="O59" s="14">
        <v>550</v>
      </c>
      <c r="P59" s="7"/>
      <c r="Q59" s="7"/>
      <c r="R59" s="14">
        <v>550</v>
      </c>
      <c r="S59" s="7"/>
      <c r="T59" s="7"/>
      <c r="U59" s="7"/>
      <c r="V59" s="14">
        <v>550</v>
      </c>
      <c r="W59" s="14">
        <v>550</v>
      </c>
      <c r="X59" s="7"/>
      <c r="Y59" s="7"/>
      <c r="Z59" s="7"/>
      <c r="AA59" s="7"/>
      <c r="AC59" s="70" t="str">
        <f t="shared" si="1"/>
        <v/>
      </c>
      <c r="AD59" s="75" t="str">
        <f t="shared" si="2"/>
        <v/>
      </c>
      <c r="AH59" s="1" t="s">
        <v>2690</v>
      </c>
    </row>
    <row r="60" spans="1:34" outlineLevel="7">
      <c r="A60" s="3499" t="s">
        <v>1527</v>
      </c>
      <c r="B60" s="3499"/>
      <c r="C60" s="7"/>
      <c r="D60" s="7"/>
      <c r="E60" s="14">
        <v>550</v>
      </c>
      <c r="F60" s="7"/>
      <c r="G60" s="7"/>
      <c r="H60" s="8"/>
      <c r="I60" s="9"/>
      <c r="J60" s="7"/>
      <c r="K60" s="7"/>
      <c r="L60" s="7"/>
      <c r="M60" s="14">
        <v>550</v>
      </c>
      <c r="N60" s="14">
        <v>550</v>
      </c>
      <c r="O60" s="14">
        <v>550</v>
      </c>
      <c r="P60" s="7"/>
      <c r="Q60" s="7"/>
      <c r="R60" s="14">
        <v>550</v>
      </c>
      <c r="S60" s="7"/>
      <c r="T60" s="7"/>
      <c r="U60" s="7"/>
      <c r="V60" s="14">
        <v>550</v>
      </c>
      <c r="W60" s="14">
        <v>550</v>
      </c>
      <c r="X60" s="7"/>
      <c r="Y60" s="7"/>
      <c r="Z60" s="7"/>
      <c r="AA60" s="7"/>
      <c r="AC60" s="70">
        <f t="shared" si="1"/>
        <v>550</v>
      </c>
      <c r="AD60" s="75">
        <f t="shared" si="2"/>
        <v>1</v>
      </c>
    </row>
    <row r="61" spans="1:34" outlineLevel="6">
      <c r="A61" s="3501" t="s">
        <v>77</v>
      </c>
      <c r="B61" s="3501"/>
      <c r="C61" s="7"/>
      <c r="D61" s="7"/>
      <c r="E61" s="14">
        <v>550</v>
      </c>
      <c r="F61" s="7"/>
      <c r="G61" s="7"/>
      <c r="H61" s="8"/>
      <c r="I61" s="9"/>
      <c r="J61" s="7"/>
      <c r="K61" s="7"/>
      <c r="L61" s="7"/>
      <c r="M61" s="14">
        <v>550</v>
      </c>
      <c r="N61" s="14">
        <v>550</v>
      </c>
      <c r="O61" s="14">
        <v>550</v>
      </c>
      <c r="P61" s="7"/>
      <c r="Q61" s="7"/>
      <c r="R61" s="14">
        <v>550</v>
      </c>
      <c r="S61" s="7"/>
      <c r="T61" s="7"/>
      <c r="U61" s="7"/>
      <c r="V61" s="14">
        <v>550</v>
      </c>
      <c r="W61" s="14">
        <v>550</v>
      </c>
      <c r="X61" s="7"/>
      <c r="Y61" s="7"/>
      <c r="Z61" s="7"/>
      <c r="AA61" s="7"/>
      <c r="AC61" s="70" t="str">
        <f t="shared" si="1"/>
        <v/>
      </c>
      <c r="AD61" s="75" t="str">
        <f t="shared" si="2"/>
        <v/>
      </c>
    </row>
    <row r="62" spans="1:34" outlineLevel="7">
      <c r="A62" s="3500" t="s">
        <v>78</v>
      </c>
      <c r="B62" s="3500"/>
      <c r="C62" s="7"/>
      <c r="D62" s="7"/>
      <c r="E62" s="14">
        <v>550</v>
      </c>
      <c r="F62" s="7"/>
      <c r="G62" s="7"/>
      <c r="H62" s="8"/>
      <c r="I62" s="9"/>
      <c r="J62" s="7"/>
      <c r="K62" s="7"/>
      <c r="L62" s="7"/>
      <c r="M62" s="14">
        <v>550</v>
      </c>
      <c r="N62" s="14">
        <v>550</v>
      </c>
      <c r="O62" s="14">
        <v>550</v>
      </c>
      <c r="P62" s="7"/>
      <c r="Q62" s="7"/>
      <c r="R62" s="14">
        <v>550</v>
      </c>
      <c r="S62" s="7"/>
      <c r="T62" s="7"/>
      <c r="U62" s="7"/>
      <c r="V62" s="14">
        <v>550</v>
      </c>
      <c r="W62" s="14">
        <v>550</v>
      </c>
      <c r="X62" s="7"/>
      <c r="Y62" s="7"/>
      <c r="Z62" s="7"/>
      <c r="AA62" s="7"/>
      <c r="AC62" s="70" t="str">
        <f t="shared" si="1"/>
        <v/>
      </c>
      <c r="AD62" s="75" t="str">
        <f t="shared" si="2"/>
        <v/>
      </c>
      <c r="AH62" s="1" t="s">
        <v>3452</v>
      </c>
    </row>
    <row r="63" spans="1:34" outlineLevel="7">
      <c r="A63" s="3499" t="s">
        <v>1528</v>
      </c>
      <c r="B63" s="3499"/>
      <c r="C63" s="7"/>
      <c r="D63" s="7"/>
      <c r="E63" s="14">
        <v>550</v>
      </c>
      <c r="F63" s="7"/>
      <c r="G63" s="7"/>
      <c r="H63" s="8"/>
      <c r="I63" s="9"/>
      <c r="J63" s="7"/>
      <c r="K63" s="7"/>
      <c r="L63" s="7"/>
      <c r="M63" s="14">
        <v>550</v>
      </c>
      <c r="N63" s="14">
        <v>550</v>
      </c>
      <c r="O63" s="14">
        <v>550</v>
      </c>
      <c r="P63" s="7"/>
      <c r="Q63" s="7"/>
      <c r="R63" s="14">
        <v>550</v>
      </c>
      <c r="S63" s="7"/>
      <c r="T63" s="7"/>
      <c r="U63" s="7"/>
      <c r="V63" s="14">
        <v>550</v>
      </c>
      <c r="W63" s="14">
        <v>550</v>
      </c>
      <c r="X63" s="7"/>
      <c r="Y63" s="7"/>
      <c r="Z63" s="7"/>
      <c r="AA63" s="7"/>
      <c r="AC63" s="70">
        <f t="shared" si="1"/>
        <v>550</v>
      </c>
      <c r="AD63" s="75">
        <f t="shared" si="2"/>
        <v>1</v>
      </c>
    </row>
    <row r="64" spans="1:34" outlineLevel="6">
      <c r="A64" s="3501" t="s">
        <v>79</v>
      </c>
      <c r="B64" s="3501"/>
      <c r="C64" s="7"/>
      <c r="D64" s="7"/>
      <c r="E64" s="14">
        <v>550</v>
      </c>
      <c r="F64" s="7"/>
      <c r="G64" s="7"/>
      <c r="H64" s="8"/>
      <c r="I64" s="9"/>
      <c r="J64" s="7"/>
      <c r="K64" s="7"/>
      <c r="L64" s="7"/>
      <c r="M64" s="14">
        <v>550</v>
      </c>
      <c r="N64" s="14">
        <v>550</v>
      </c>
      <c r="O64" s="14">
        <v>550</v>
      </c>
      <c r="P64" s="7"/>
      <c r="Q64" s="7"/>
      <c r="R64" s="14">
        <v>550</v>
      </c>
      <c r="S64" s="7"/>
      <c r="T64" s="7"/>
      <c r="U64" s="7"/>
      <c r="V64" s="14">
        <v>550</v>
      </c>
      <c r="W64" s="14">
        <v>550</v>
      </c>
      <c r="X64" s="7"/>
      <c r="Y64" s="7"/>
      <c r="Z64" s="7"/>
      <c r="AA64" s="7"/>
      <c r="AC64" s="70" t="str">
        <f t="shared" si="1"/>
        <v/>
      </c>
      <c r="AD64" s="75" t="str">
        <f t="shared" si="2"/>
        <v/>
      </c>
    </row>
    <row r="65" spans="1:36" outlineLevel="7">
      <c r="A65" s="3500" t="s">
        <v>80</v>
      </c>
      <c r="B65" s="3500"/>
      <c r="C65" s="7"/>
      <c r="D65" s="7"/>
      <c r="E65" s="14">
        <v>550</v>
      </c>
      <c r="F65" s="7"/>
      <c r="G65" s="7"/>
      <c r="H65" s="8"/>
      <c r="I65" s="9"/>
      <c r="J65" s="7"/>
      <c r="K65" s="7"/>
      <c r="L65" s="7"/>
      <c r="M65" s="14">
        <v>550</v>
      </c>
      <c r="N65" s="14">
        <v>550</v>
      </c>
      <c r="O65" s="14">
        <v>550</v>
      </c>
      <c r="P65" s="7"/>
      <c r="Q65" s="7"/>
      <c r="R65" s="14">
        <v>550</v>
      </c>
      <c r="S65" s="7"/>
      <c r="T65" s="7"/>
      <c r="U65" s="7"/>
      <c r="V65" s="14">
        <v>550</v>
      </c>
      <c r="W65" s="14">
        <v>550</v>
      </c>
      <c r="X65" s="7"/>
      <c r="Y65" s="7"/>
      <c r="Z65" s="7"/>
      <c r="AA65" s="7"/>
      <c r="AC65" s="70" t="str">
        <f t="shared" si="1"/>
        <v/>
      </c>
      <c r="AD65" s="75" t="str">
        <f t="shared" si="2"/>
        <v/>
      </c>
      <c r="AH65" t="s">
        <v>3490</v>
      </c>
    </row>
    <row r="66" spans="1:36" outlineLevel="7">
      <c r="A66" s="3499" t="s">
        <v>1529</v>
      </c>
      <c r="B66" s="3499"/>
      <c r="C66" s="7"/>
      <c r="D66" s="7"/>
      <c r="E66" s="14">
        <v>550</v>
      </c>
      <c r="F66" s="7"/>
      <c r="G66" s="7"/>
      <c r="H66" s="8"/>
      <c r="I66" s="9"/>
      <c r="J66" s="7"/>
      <c r="K66" s="7"/>
      <c r="L66" s="7"/>
      <c r="M66" s="14">
        <v>550</v>
      </c>
      <c r="N66" s="14">
        <v>550</v>
      </c>
      <c r="O66" s="14">
        <v>550</v>
      </c>
      <c r="P66" s="7"/>
      <c r="Q66" s="7"/>
      <c r="R66" s="14">
        <v>550</v>
      </c>
      <c r="S66" s="7"/>
      <c r="T66" s="7"/>
      <c r="U66" s="7"/>
      <c r="V66" s="14">
        <v>550</v>
      </c>
      <c r="W66" s="14">
        <v>550</v>
      </c>
      <c r="X66" s="7"/>
      <c r="Y66" s="7"/>
      <c r="Z66" s="7"/>
      <c r="AA66" s="7"/>
      <c r="AC66" s="70">
        <f t="shared" si="1"/>
        <v>550</v>
      </c>
      <c r="AD66" s="75">
        <f t="shared" si="2"/>
        <v>1</v>
      </c>
    </row>
    <row r="67" spans="1:36" outlineLevel="6">
      <c r="A67" s="3501" t="s">
        <v>81</v>
      </c>
      <c r="B67" s="3501"/>
      <c r="C67" s="7"/>
      <c r="D67" s="7"/>
      <c r="E67" s="14">
        <v>550</v>
      </c>
      <c r="F67" s="7"/>
      <c r="G67" s="7"/>
      <c r="H67" s="8"/>
      <c r="I67" s="9"/>
      <c r="J67" s="7"/>
      <c r="K67" s="7"/>
      <c r="L67" s="7"/>
      <c r="M67" s="14">
        <v>550</v>
      </c>
      <c r="N67" s="14">
        <v>550</v>
      </c>
      <c r="O67" s="14">
        <v>550</v>
      </c>
      <c r="P67" s="7"/>
      <c r="Q67" s="7"/>
      <c r="R67" s="14">
        <v>550</v>
      </c>
      <c r="S67" s="7"/>
      <c r="T67" s="7"/>
      <c r="U67" s="7"/>
      <c r="V67" s="14">
        <v>550</v>
      </c>
      <c r="W67" s="14">
        <v>550</v>
      </c>
      <c r="X67" s="7"/>
      <c r="Y67" s="7"/>
      <c r="Z67" s="7"/>
      <c r="AA67" s="7"/>
      <c r="AC67" s="70" t="str">
        <f t="shared" si="1"/>
        <v/>
      </c>
      <c r="AD67" s="75" t="str">
        <f t="shared" si="2"/>
        <v/>
      </c>
    </row>
    <row r="68" spans="1:36" outlineLevel="7">
      <c r="A68" s="3500" t="s">
        <v>82</v>
      </c>
      <c r="B68" s="3500"/>
      <c r="C68" s="7"/>
      <c r="D68" s="7"/>
      <c r="E68" s="14">
        <v>550</v>
      </c>
      <c r="F68" s="7"/>
      <c r="G68" s="7"/>
      <c r="H68" s="8"/>
      <c r="I68" s="9"/>
      <c r="J68" s="7"/>
      <c r="K68" s="7"/>
      <c r="L68" s="7"/>
      <c r="M68" s="14">
        <v>550</v>
      </c>
      <c r="N68" s="14">
        <v>550</v>
      </c>
      <c r="O68" s="14">
        <v>550</v>
      </c>
      <c r="P68" s="7"/>
      <c r="Q68" s="7"/>
      <c r="R68" s="14">
        <v>550</v>
      </c>
      <c r="S68" s="7"/>
      <c r="T68" s="7"/>
      <c r="U68" s="7"/>
      <c r="V68" s="14">
        <v>550</v>
      </c>
      <c r="W68" s="14">
        <v>550</v>
      </c>
      <c r="X68" s="7"/>
      <c r="Y68" s="7"/>
      <c r="Z68" s="7"/>
      <c r="AA68" s="7"/>
      <c r="AC68" s="70" t="str">
        <f t="shared" si="1"/>
        <v/>
      </c>
      <c r="AD68" s="75" t="str">
        <f t="shared" si="2"/>
        <v/>
      </c>
      <c r="AH68" s="1" t="s">
        <v>3527</v>
      </c>
    </row>
    <row r="69" spans="1:36" outlineLevel="7">
      <c r="A69" s="3499" t="s">
        <v>1530</v>
      </c>
      <c r="B69" s="3499"/>
      <c r="C69" s="7"/>
      <c r="D69" s="7"/>
      <c r="E69" s="14">
        <v>550</v>
      </c>
      <c r="F69" s="7"/>
      <c r="G69" s="7"/>
      <c r="H69" s="8"/>
      <c r="I69" s="9"/>
      <c r="J69" s="7"/>
      <c r="K69" s="7"/>
      <c r="L69" s="7"/>
      <c r="M69" s="14">
        <v>550</v>
      </c>
      <c r="N69" s="14">
        <v>550</v>
      </c>
      <c r="O69" s="14">
        <v>550</v>
      </c>
      <c r="P69" s="7"/>
      <c r="Q69" s="7"/>
      <c r="R69" s="14">
        <v>550</v>
      </c>
      <c r="S69" s="7"/>
      <c r="T69" s="7"/>
      <c r="U69" s="7"/>
      <c r="V69" s="14">
        <v>550</v>
      </c>
      <c r="W69" s="14">
        <v>550</v>
      </c>
      <c r="X69" s="7"/>
      <c r="Y69" s="7"/>
      <c r="Z69" s="7"/>
      <c r="AA69" s="7"/>
      <c r="AC69" s="70">
        <f t="shared" si="1"/>
        <v>550</v>
      </c>
      <c r="AD69" s="75">
        <f t="shared" si="2"/>
        <v>1</v>
      </c>
    </row>
    <row r="70" spans="1:36" outlineLevel="6">
      <c r="A70" s="3501" t="s">
        <v>83</v>
      </c>
      <c r="B70" s="3501"/>
      <c r="C70" s="7"/>
      <c r="D70" s="7"/>
      <c r="E70" s="14">
        <v>550</v>
      </c>
      <c r="F70" s="7"/>
      <c r="G70" s="7"/>
      <c r="H70" s="8"/>
      <c r="I70" s="9"/>
      <c r="J70" s="7"/>
      <c r="K70" s="7"/>
      <c r="L70" s="7"/>
      <c r="M70" s="14">
        <v>550</v>
      </c>
      <c r="N70" s="14">
        <v>550</v>
      </c>
      <c r="O70" s="14">
        <v>550</v>
      </c>
      <c r="P70" s="7"/>
      <c r="Q70" s="7"/>
      <c r="R70" s="14">
        <v>550</v>
      </c>
      <c r="S70" s="7"/>
      <c r="T70" s="7"/>
      <c r="U70" s="7"/>
      <c r="V70" s="14">
        <v>550</v>
      </c>
      <c r="W70" s="14">
        <v>550</v>
      </c>
      <c r="X70" s="7"/>
      <c r="Y70" s="7"/>
      <c r="Z70" s="7"/>
      <c r="AA70" s="7"/>
      <c r="AC70" s="70" t="str">
        <f t="shared" si="1"/>
        <v/>
      </c>
      <c r="AD70" s="75" t="str">
        <f t="shared" si="2"/>
        <v/>
      </c>
    </row>
    <row r="71" spans="1:36" outlineLevel="7">
      <c r="A71" s="3500" t="s">
        <v>84</v>
      </c>
      <c r="B71" s="3500"/>
      <c r="C71" s="7"/>
      <c r="D71" s="7"/>
      <c r="E71" s="14">
        <v>550</v>
      </c>
      <c r="F71" s="7"/>
      <c r="G71" s="7"/>
      <c r="H71" s="8"/>
      <c r="I71" s="9"/>
      <c r="J71" s="7"/>
      <c r="K71" s="7"/>
      <c r="L71" s="7"/>
      <c r="M71" s="14">
        <v>550</v>
      </c>
      <c r="N71" s="14">
        <v>550</v>
      </c>
      <c r="O71" s="14">
        <v>550</v>
      </c>
      <c r="P71" s="7"/>
      <c r="Q71" s="7"/>
      <c r="R71" s="14">
        <v>550</v>
      </c>
      <c r="S71" s="7"/>
      <c r="T71" s="7"/>
      <c r="U71" s="7"/>
      <c r="V71" s="14">
        <v>550</v>
      </c>
      <c r="W71" s="14">
        <v>550</v>
      </c>
      <c r="X71" s="7"/>
      <c r="Y71" s="7"/>
      <c r="Z71" s="7"/>
      <c r="AA71" s="7"/>
      <c r="AC71" s="70" t="str">
        <f t="shared" si="1"/>
        <v/>
      </c>
      <c r="AD71" s="75" t="str">
        <f t="shared" si="2"/>
        <v/>
      </c>
      <c r="AH71" s="1" t="s">
        <v>2730</v>
      </c>
    </row>
    <row r="72" spans="1:36" outlineLevel="7">
      <c r="A72" s="3499" t="s">
        <v>1531</v>
      </c>
      <c r="B72" s="3499"/>
      <c r="C72" s="7"/>
      <c r="D72" s="7"/>
      <c r="E72" s="14">
        <v>550</v>
      </c>
      <c r="F72" s="7"/>
      <c r="G72" s="7"/>
      <c r="H72" s="8"/>
      <c r="I72" s="9"/>
      <c r="J72" s="7"/>
      <c r="K72" s="7"/>
      <c r="L72" s="7"/>
      <c r="M72" s="14">
        <v>550</v>
      </c>
      <c r="N72" s="14">
        <v>550</v>
      </c>
      <c r="O72" s="14">
        <v>550</v>
      </c>
      <c r="P72" s="7"/>
      <c r="Q72" s="7"/>
      <c r="R72" s="14">
        <v>550</v>
      </c>
      <c r="S72" s="7"/>
      <c r="T72" s="7"/>
      <c r="U72" s="7"/>
      <c r="V72" s="14">
        <v>550</v>
      </c>
      <c r="W72" s="14">
        <v>550</v>
      </c>
      <c r="X72" s="7"/>
      <c r="Y72" s="7"/>
      <c r="Z72" s="7"/>
      <c r="AA72" s="7"/>
      <c r="AC72" s="70">
        <f t="shared" si="1"/>
        <v>550</v>
      </c>
      <c r="AD72" s="75">
        <f t="shared" si="2"/>
        <v>1</v>
      </c>
    </row>
    <row r="73" spans="1:36" outlineLevel="6">
      <c r="A73" s="3501" t="s">
        <v>85</v>
      </c>
      <c r="B73" s="3501"/>
      <c r="C73" s="7"/>
      <c r="D73" s="7"/>
      <c r="E73" s="13">
        <v>6295.61</v>
      </c>
      <c r="F73" s="7"/>
      <c r="G73" s="7"/>
      <c r="H73" s="8"/>
      <c r="I73" s="9"/>
      <c r="J73" s="7"/>
      <c r="K73" s="7"/>
      <c r="L73" s="7"/>
      <c r="M73" s="13">
        <v>6295.61</v>
      </c>
      <c r="N73" s="13">
        <v>6295.61</v>
      </c>
      <c r="O73" s="13">
        <v>6295.61</v>
      </c>
      <c r="P73" s="7"/>
      <c r="Q73" s="7"/>
      <c r="R73" s="13">
        <v>6295.61</v>
      </c>
      <c r="S73" s="7"/>
      <c r="T73" s="7"/>
      <c r="U73" s="7"/>
      <c r="V73" s="13">
        <v>6295.61</v>
      </c>
      <c r="W73" s="13">
        <v>6295.61</v>
      </c>
      <c r="X73" s="7"/>
      <c r="Y73" s="7"/>
      <c r="Z73" s="7"/>
      <c r="AA73" s="7"/>
      <c r="AC73" s="70" t="str">
        <f t="shared" si="1"/>
        <v/>
      </c>
      <c r="AD73" s="75" t="str">
        <f t="shared" si="2"/>
        <v/>
      </c>
    </row>
    <row r="74" spans="1:36" outlineLevel="7">
      <c r="A74" s="3500" t="s">
        <v>86</v>
      </c>
      <c r="B74" s="3500"/>
      <c r="C74" s="7"/>
      <c r="D74" s="7"/>
      <c r="E74" s="13">
        <v>6295.61</v>
      </c>
      <c r="F74" s="7"/>
      <c r="G74" s="7"/>
      <c r="H74" s="8"/>
      <c r="I74" s="9"/>
      <c r="J74" s="7"/>
      <c r="K74" s="7"/>
      <c r="L74" s="7"/>
      <c r="M74" s="13">
        <v>6295.61</v>
      </c>
      <c r="N74" s="13">
        <v>6295.61</v>
      </c>
      <c r="O74" s="13">
        <v>6295.61</v>
      </c>
      <c r="P74" s="7"/>
      <c r="Q74" s="7"/>
      <c r="R74" s="13">
        <v>6295.61</v>
      </c>
      <c r="S74" s="7"/>
      <c r="T74" s="7"/>
      <c r="U74" s="7"/>
      <c r="V74" s="13">
        <v>6295.61</v>
      </c>
      <c r="W74" s="13">
        <v>6295.61</v>
      </c>
      <c r="X74" s="7"/>
      <c r="Y74" s="7"/>
      <c r="Z74" s="7"/>
      <c r="AA74" s="7"/>
      <c r="AC74" s="70" t="str">
        <f t="shared" si="1"/>
        <v/>
      </c>
      <c r="AD74" s="75" t="str">
        <f t="shared" si="2"/>
        <v/>
      </c>
      <c r="AH74" s="1" t="s">
        <v>3615</v>
      </c>
      <c r="AJ74" s="1"/>
    </row>
    <row r="75" spans="1:36" outlineLevel="7">
      <c r="A75" s="3499" t="s">
        <v>1532</v>
      </c>
      <c r="B75" s="3499"/>
      <c r="C75" s="7"/>
      <c r="D75" s="7"/>
      <c r="E75" s="13">
        <v>6295.61</v>
      </c>
      <c r="F75" s="7"/>
      <c r="G75" s="7"/>
      <c r="H75" s="8"/>
      <c r="I75" s="9"/>
      <c r="J75" s="7"/>
      <c r="K75" s="7"/>
      <c r="L75" s="7"/>
      <c r="M75" s="13">
        <v>6295.61</v>
      </c>
      <c r="N75" s="13">
        <v>6295.61</v>
      </c>
      <c r="O75" s="13">
        <v>6295.61</v>
      </c>
      <c r="P75" s="7"/>
      <c r="Q75" s="7"/>
      <c r="R75" s="13">
        <v>6295.61</v>
      </c>
      <c r="S75" s="7"/>
      <c r="T75" s="7"/>
      <c r="U75" s="7"/>
      <c r="V75" s="13">
        <v>6295.61</v>
      </c>
      <c r="W75" s="13">
        <v>6295.61</v>
      </c>
      <c r="X75" s="7"/>
      <c r="Y75" s="7"/>
      <c r="Z75" s="7"/>
      <c r="AA75" s="7"/>
      <c r="AC75" s="70">
        <f t="shared" si="1"/>
        <v>6295.61</v>
      </c>
      <c r="AD75" s="75" t="str">
        <f t="shared" si="2"/>
        <v/>
      </c>
      <c r="AG75">
        <f>AC75</f>
        <v>6295.61</v>
      </c>
    </row>
    <row r="76" spans="1:36" outlineLevel="6">
      <c r="A76" s="3501" t="s">
        <v>87</v>
      </c>
      <c r="B76" s="3501"/>
      <c r="C76" s="7"/>
      <c r="D76" s="7"/>
      <c r="E76" s="14">
        <v>550</v>
      </c>
      <c r="F76" s="7"/>
      <c r="G76" s="7"/>
      <c r="H76" s="8"/>
      <c r="I76" s="9"/>
      <c r="J76" s="7"/>
      <c r="K76" s="7"/>
      <c r="L76" s="7"/>
      <c r="M76" s="14">
        <v>550</v>
      </c>
      <c r="N76" s="14">
        <v>550</v>
      </c>
      <c r="O76" s="14">
        <v>550</v>
      </c>
      <c r="P76" s="7"/>
      <c r="Q76" s="7"/>
      <c r="R76" s="14">
        <v>550</v>
      </c>
      <c r="S76" s="7"/>
      <c r="T76" s="7"/>
      <c r="U76" s="7"/>
      <c r="V76" s="14">
        <v>550</v>
      </c>
      <c r="W76" s="14">
        <v>550</v>
      </c>
      <c r="X76" s="7"/>
      <c r="Y76" s="7"/>
      <c r="Z76" s="7"/>
      <c r="AA76" s="7"/>
      <c r="AC76" s="70" t="str">
        <f t="shared" si="1"/>
        <v/>
      </c>
      <c r="AD76" s="75" t="str">
        <f t="shared" si="2"/>
        <v/>
      </c>
    </row>
    <row r="77" spans="1:36" outlineLevel="7">
      <c r="A77" s="3500" t="s">
        <v>88</v>
      </c>
      <c r="B77" s="3500"/>
      <c r="C77" s="7"/>
      <c r="D77" s="7"/>
      <c r="E77" s="14">
        <v>550</v>
      </c>
      <c r="F77" s="7"/>
      <c r="G77" s="7"/>
      <c r="H77" s="8"/>
      <c r="I77" s="9"/>
      <c r="J77" s="7"/>
      <c r="K77" s="7"/>
      <c r="L77" s="7"/>
      <c r="M77" s="14">
        <v>550</v>
      </c>
      <c r="N77" s="14">
        <v>550</v>
      </c>
      <c r="O77" s="14">
        <v>550</v>
      </c>
      <c r="P77" s="7"/>
      <c r="Q77" s="7"/>
      <c r="R77" s="14">
        <v>550</v>
      </c>
      <c r="S77" s="7"/>
      <c r="T77" s="7"/>
      <c r="U77" s="7"/>
      <c r="V77" s="14">
        <v>550</v>
      </c>
      <c r="W77" s="14">
        <v>550</v>
      </c>
      <c r="X77" s="7"/>
      <c r="Y77" s="7"/>
      <c r="Z77" s="7"/>
      <c r="AA77" s="7"/>
      <c r="AC77" s="70" t="str">
        <f t="shared" si="1"/>
        <v/>
      </c>
      <c r="AD77" s="75" t="str">
        <f t="shared" si="2"/>
        <v/>
      </c>
      <c r="AH77" t="s">
        <v>3548</v>
      </c>
    </row>
    <row r="78" spans="1:36" outlineLevel="7">
      <c r="A78" s="3499" t="s">
        <v>1533</v>
      </c>
      <c r="B78" s="3499"/>
      <c r="C78" s="7"/>
      <c r="D78" s="7"/>
      <c r="E78" s="14">
        <v>550</v>
      </c>
      <c r="F78" s="7"/>
      <c r="G78" s="7"/>
      <c r="H78" s="8"/>
      <c r="I78" s="9"/>
      <c r="J78" s="7"/>
      <c r="K78" s="7"/>
      <c r="L78" s="7"/>
      <c r="M78" s="14">
        <v>550</v>
      </c>
      <c r="N78" s="14">
        <v>550</v>
      </c>
      <c r="O78" s="14">
        <v>550</v>
      </c>
      <c r="P78" s="7"/>
      <c r="Q78" s="7"/>
      <c r="R78" s="14">
        <v>550</v>
      </c>
      <c r="S78" s="7"/>
      <c r="T78" s="7"/>
      <c r="U78" s="7"/>
      <c r="V78" s="14">
        <v>550</v>
      </c>
      <c r="W78" s="14">
        <v>550</v>
      </c>
      <c r="X78" s="7"/>
      <c r="Y78" s="7"/>
      <c r="Z78" s="7"/>
      <c r="AA78" s="7"/>
      <c r="AC78" s="70">
        <f t="shared" si="1"/>
        <v>550</v>
      </c>
      <c r="AD78" s="75">
        <f t="shared" si="2"/>
        <v>1</v>
      </c>
    </row>
    <row r="79" spans="1:36" outlineLevel="6">
      <c r="A79" s="3501" t="s">
        <v>89</v>
      </c>
      <c r="B79" s="3501"/>
      <c r="C79" s="7"/>
      <c r="D79" s="7"/>
      <c r="E79" s="14">
        <v>550</v>
      </c>
      <c r="F79" s="7"/>
      <c r="G79" s="7"/>
      <c r="H79" s="8"/>
      <c r="I79" s="9"/>
      <c r="J79" s="7"/>
      <c r="K79" s="7"/>
      <c r="L79" s="7"/>
      <c r="M79" s="14">
        <v>550</v>
      </c>
      <c r="N79" s="14">
        <v>550</v>
      </c>
      <c r="O79" s="14">
        <v>550</v>
      </c>
      <c r="P79" s="7"/>
      <c r="Q79" s="7"/>
      <c r="R79" s="14">
        <v>550</v>
      </c>
      <c r="S79" s="7"/>
      <c r="T79" s="7"/>
      <c r="U79" s="7"/>
      <c r="V79" s="14">
        <v>550</v>
      </c>
      <c r="W79" s="14">
        <v>550</v>
      </c>
      <c r="X79" s="7"/>
      <c r="Y79" s="7"/>
      <c r="Z79" s="7"/>
      <c r="AA79" s="7"/>
      <c r="AC79" s="70" t="str">
        <f t="shared" si="1"/>
        <v/>
      </c>
      <c r="AD79" s="75" t="str">
        <f t="shared" si="2"/>
        <v/>
      </c>
    </row>
    <row r="80" spans="1:36" outlineLevel="7">
      <c r="A80" s="3500" t="s">
        <v>90</v>
      </c>
      <c r="B80" s="3500"/>
      <c r="C80" s="7"/>
      <c r="D80" s="7"/>
      <c r="E80" s="14">
        <v>550</v>
      </c>
      <c r="F80" s="7"/>
      <c r="G80" s="7"/>
      <c r="H80" s="8"/>
      <c r="I80" s="9"/>
      <c r="J80" s="7"/>
      <c r="K80" s="7"/>
      <c r="L80" s="7"/>
      <c r="M80" s="14">
        <v>550</v>
      </c>
      <c r="N80" s="14">
        <v>550</v>
      </c>
      <c r="O80" s="14">
        <v>550</v>
      </c>
      <c r="P80" s="7"/>
      <c r="Q80" s="7"/>
      <c r="R80" s="14">
        <v>550</v>
      </c>
      <c r="S80" s="7"/>
      <c r="T80" s="7"/>
      <c r="U80" s="7"/>
      <c r="V80" s="14">
        <v>550</v>
      </c>
      <c r="W80" s="14">
        <v>550</v>
      </c>
      <c r="X80" s="7"/>
      <c r="Y80" s="7"/>
      <c r="Z80" s="7"/>
      <c r="AA80" s="7"/>
      <c r="AC80" s="70" t="str">
        <f t="shared" si="1"/>
        <v/>
      </c>
      <c r="AD80" s="75" t="str">
        <f t="shared" si="2"/>
        <v/>
      </c>
      <c r="AH80" s="1" t="s">
        <v>3379</v>
      </c>
    </row>
    <row r="81" spans="1:34" outlineLevel="7">
      <c r="A81" s="3499" t="s">
        <v>1534</v>
      </c>
      <c r="B81" s="3499"/>
      <c r="C81" s="7"/>
      <c r="D81" s="7"/>
      <c r="E81" s="14">
        <v>550</v>
      </c>
      <c r="F81" s="7"/>
      <c r="G81" s="7"/>
      <c r="H81" s="8"/>
      <c r="I81" s="9"/>
      <c r="J81" s="7"/>
      <c r="K81" s="7"/>
      <c r="L81" s="7"/>
      <c r="M81" s="14">
        <v>550</v>
      </c>
      <c r="N81" s="14">
        <v>550</v>
      </c>
      <c r="O81" s="14">
        <v>550</v>
      </c>
      <c r="P81" s="7"/>
      <c r="Q81" s="7"/>
      <c r="R81" s="14">
        <v>550</v>
      </c>
      <c r="S81" s="7"/>
      <c r="T81" s="7"/>
      <c r="U81" s="7"/>
      <c r="V81" s="14">
        <v>550</v>
      </c>
      <c r="W81" s="14">
        <v>550</v>
      </c>
      <c r="X81" s="7"/>
      <c r="Y81" s="7"/>
      <c r="Z81" s="7"/>
      <c r="AA81" s="7"/>
      <c r="AC81" s="70">
        <f t="shared" ref="AC81:AC144" si="3">IF(LEFT($A81,5)="Реали",$E81,"")</f>
        <v>550</v>
      </c>
      <c r="AD81" s="75">
        <f t="shared" ref="AD81:AD144" si="4">IF(AC81=550,1,"")</f>
        <v>1</v>
      </c>
    </row>
    <row r="82" spans="1:34" outlineLevel="6">
      <c r="A82" s="3501" t="s">
        <v>91</v>
      </c>
      <c r="B82" s="3501"/>
      <c r="C82" s="7"/>
      <c r="D82" s="7"/>
      <c r="E82" s="14">
        <v>550</v>
      </c>
      <c r="F82" s="7"/>
      <c r="G82" s="7"/>
      <c r="H82" s="8"/>
      <c r="I82" s="9"/>
      <c r="J82" s="7"/>
      <c r="K82" s="7"/>
      <c r="L82" s="7"/>
      <c r="M82" s="14">
        <v>550</v>
      </c>
      <c r="N82" s="14">
        <v>550</v>
      </c>
      <c r="O82" s="14">
        <v>550</v>
      </c>
      <c r="P82" s="7"/>
      <c r="Q82" s="7"/>
      <c r="R82" s="14">
        <v>550</v>
      </c>
      <c r="S82" s="7"/>
      <c r="T82" s="7"/>
      <c r="U82" s="7"/>
      <c r="V82" s="14">
        <v>550</v>
      </c>
      <c r="W82" s="14">
        <v>550</v>
      </c>
      <c r="X82" s="7"/>
      <c r="Y82" s="7"/>
      <c r="Z82" s="7"/>
      <c r="AA82" s="7"/>
      <c r="AC82" s="70" t="str">
        <f t="shared" si="3"/>
        <v/>
      </c>
      <c r="AD82" s="75" t="str">
        <f t="shared" si="4"/>
        <v/>
      </c>
    </row>
    <row r="83" spans="1:34" outlineLevel="7">
      <c r="A83" s="3500" t="s">
        <v>92</v>
      </c>
      <c r="B83" s="3500"/>
      <c r="C83" s="7"/>
      <c r="D83" s="7"/>
      <c r="E83" s="14">
        <v>550</v>
      </c>
      <c r="F83" s="7"/>
      <c r="G83" s="7"/>
      <c r="H83" s="8"/>
      <c r="I83" s="9"/>
      <c r="J83" s="7"/>
      <c r="K83" s="7"/>
      <c r="L83" s="7"/>
      <c r="M83" s="14">
        <v>550</v>
      </c>
      <c r="N83" s="14">
        <v>550</v>
      </c>
      <c r="O83" s="14">
        <v>550</v>
      </c>
      <c r="P83" s="7"/>
      <c r="Q83" s="7"/>
      <c r="R83" s="14">
        <v>550</v>
      </c>
      <c r="S83" s="7"/>
      <c r="T83" s="7"/>
      <c r="U83" s="7"/>
      <c r="V83" s="14">
        <v>550</v>
      </c>
      <c r="W83" s="14">
        <v>550</v>
      </c>
      <c r="X83" s="7"/>
      <c r="Y83" s="7"/>
      <c r="Z83" s="7"/>
      <c r="AA83" s="7"/>
      <c r="AC83" s="70" t="str">
        <f t="shared" si="3"/>
        <v/>
      </c>
      <c r="AD83" s="75" t="str">
        <f t="shared" si="4"/>
        <v/>
      </c>
      <c r="AH83" t="s">
        <v>3513</v>
      </c>
    </row>
    <row r="84" spans="1:34" outlineLevel="7">
      <c r="A84" s="3499" t="s">
        <v>1535</v>
      </c>
      <c r="B84" s="3499"/>
      <c r="C84" s="7"/>
      <c r="D84" s="7"/>
      <c r="E84" s="14">
        <v>550</v>
      </c>
      <c r="F84" s="7"/>
      <c r="G84" s="7"/>
      <c r="H84" s="8"/>
      <c r="I84" s="9"/>
      <c r="J84" s="7"/>
      <c r="K84" s="7"/>
      <c r="L84" s="7"/>
      <c r="M84" s="14">
        <v>550</v>
      </c>
      <c r="N84" s="14">
        <v>550</v>
      </c>
      <c r="O84" s="14">
        <v>550</v>
      </c>
      <c r="P84" s="7"/>
      <c r="Q84" s="7"/>
      <c r="R84" s="14">
        <v>550</v>
      </c>
      <c r="S84" s="7"/>
      <c r="T84" s="7"/>
      <c r="U84" s="7"/>
      <c r="V84" s="14">
        <v>550</v>
      </c>
      <c r="W84" s="14">
        <v>550</v>
      </c>
      <c r="X84" s="7"/>
      <c r="Y84" s="7"/>
      <c r="Z84" s="7"/>
      <c r="AA84" s="7"/>
      <c r="AC84" s="70">
        <f t="shared" si="3"/>
        <v>550</v>
      </c>
      <c r="AD84" s="75">
        <f t="shared" si="4"/>
        <v>1</v>
      </c>
    </row>
    <row r="85" spans="1:34" outlineLevel="6">
      <c r="A85" s="3501" t="s">
        <v>93</v>
      </c>
      <c r="B85" s="3501"/>
      <c r="C85" s="7"/>
      <c r="D85" s="7"/>
      <c r="E85" s="14">
        <v>550</v>
      </c>
      <c r="F85" s="7"/>
      <c r="G85" s="7"/>
      <c r="H85" s="8"/>
      <c r="I85" s="9"/>
      <c r="J85" s="7"/>
      <c r="K85" s="7"/>
      <c r="L85" s="7"/>
      <c r="M85" s="14">
        <v>550</v>
      </c>
      <c r="N85" s="14">
        <v>550</v>
      </c>
      <c r="O85" s="14">
        <v>550</v>
      </c>
      <c r="P85" s="7"/>
      <c r="Q85" s="7"/>
      <c r="R85" s="14">
        <v>550</v>
      </c>
      <c r="S85" s="7"/>
      <c r="T85" s="7"/>
      <c r="U85" s="7"/>
      <c r="V85" s="14">
        <v>550</v>
      </c>
      <c r="W85" s="14">
        <v>550</v>
      </c>
      <c r="X85" s="7"/>
      <c r="Y85" s="7"/>
      <c r="Z85" s="7"/>
      <c r="AA85" s="7"/>
      <c r="AC85" s="70" t="str">
        <f t="shared" si="3"/>
        <v/>
      </c>
      <c r="AD85" s="75" t="str">
        <f t="shared" si="4"/>
        <v/>
      </c>
    </row>
    <row r="86" spans="1:34" outlineLevel="7">
      <c r="A86" s="3500" t="s">
        <v>94</v>
      </c>
      <c r="B86" s="3500"/>
      <c r="C86" s="7"/>
      <c r="D86" s="7"/>
      <c r="E86" s="14">
        <v>550</v>
      </c>
      <c r="F86" s="7"/>
      <c r="G86" s="7"/>
      <c r="H86" s="8"/>
      <c r="I86" s="9"/>
      <c r="J86" s="7"/>
      <c r="K86" s="7"/>
      <c r="L86" s="7"/>
      <c r="M86" s="14">
        <v>550</v>
      </c>
      <c r="N86" s="14">
        <v>550</v>
      </c>
      <c r="O86" s="14">
        <v>550</v>
      </c>
      <c r="P86" s="7"/>
      <c r="Q86" s="7"/>
      <c r="R86" s="14">
        <v>550</v>
      </c>
      <c r="S86" s="7"/>
      <c r="T86" s="7"/>
      <c r="U86" s="7"/>
      <c r="V86" s="14">
        <v>550</v>
      </c>
      <c r="W86" s="14">
        <v>550</v>
      </c>
      <c r="X86" s="7"/>
      <c r="Y86" s="7"/>
      <c r="Z86" s="7"/>
      <c r="AA86" s="7"/>
      <c r="AC86" s="70" t="str">
        <f t="shared" si="3"/>
        <v/>
      </c>
      <c r="AD86" s="75" t="str">
        <f t="shared" si="4"/>
        <v/>
      </c>
      <c r="AH86" s="1" t="s">
        <v>3464</v>
      </c>
    </row>
    <row r="87" spans="1:34" outlineLevel="7">
      <c r="A87" s="3499" t="s">
        <v>1536</v>
      </c>
      <c r="B87" s="3499"/>
      <c r="C87" s="7"/>
      <c r="D87" s="7"/>
      <c r="E87" s="14">
        <v>550</v>
      </c>
      <c r="F87" s="7"/>
      <c r="G87" s="7"/>
      <c r="H87" s="8"/>
      <c r="I87" s="9"/>
      <c r="J87" s="7"/>
      <c r="K87" s="7"/>
      <c r="L87" s="7"/>
      <c r="M87" s="14">
        <v>550</v>
      </c>
      <c r="N87" s="14">
        <v>550</v>
      </c>
      <c r="O87" s="14">
        <v>550</v>
      </c>
      <c r="P87" s="7"/>
      <c r="Q87" s="7"/>
      <c r="R87" s="14">
        <v>550</v>
      </c>
      <c r="S87" s="7"/>
      <c r="T87" s="7"/>
      <c r="U87" s="7"/>
      <c r="V87" s="14">
        <v>550</v>
      </c>
      <c r="W87" s="14">
        <v>550</v>
      </c>
      <c r="X87" s="7"/>
      <c r="Y87" s="7"/>
      <c r="Z87" s="7"/>
      <c r="AA87" s="7"/>
      <c r="AC87" s="70">
        <f t="shared" si="3"/>
        <v>550</v>
      </c>
      <c r="AD87" s="75">
        <f t="shared" si="4"/>
        <v>1</v>
      </c>
    </row>
    <row r="88" spans="1:34" outlineLevel="6">
      <c r="A88" s="3501" t="s">
        <v>95</v>
      </c>
      <c r="B88" s="3501"/>
      <c r="C88" s="7"/>
      <c r="D88" s="7"/>
      <c r="E88" s="14">
        <v>550</v>
      </c>
      <c r="F88" s="7"/>
      <c r="G88" s="7"/>
      <c r="H88" s="8"/>
      <c r="I88" s="9"/>
      <c r="J88" s="7"/>
      <c r="K88" s="7"/>
      <c r="L88" s="7"/>
      <c r="M88" s="14">
        <v>550</v>
      </c>
      <c r="N88" s="14">
        <v>550</v>
      </c>
      <c r="O88" s="14">
        <v>550</v>
      </c>
      <c r="P88" s="7"/>
      <c r="Q88" s="7"/>
      <c r="R88" s="14">
        <v>550</v>
      </c>
      <c r="S88" s="7"/>
      <c r="T88" s="7"/>
      <c r="U88" s="7"/>
      <c r="V88" s="14">
        <v>550</v>
      </c>
      <c r="W88" s="14">
        <v>550</v>
      </c>
      <c r="X88" s="7"/>
      <c r="Y88" s="7"/>
      <c r="Z88" s="7"/>
      <c r="AA88" s="7"/>
      <c r="AC88" s="70" t="str">
        <f t="shared" si="3"/>
        <v/>
      </c>
      <c r="AD88" s="75" t="str">
        <f t="shared" si="4"/>
        <v/>
      </c>
    </row>
    <row r="89" spans="1:34" outlineLevel="7">
      <c r="A89" s="3500" t="s">
        <v>96</v>
      </c>
      <c r="B89" s="3500"/>
      <c r="C89" s="7"/>
      <c r="D89" s="7"/>
      <c r="E89" s="14">
        <v>550</v>
      </c>
      <c r="F89" s="7"/>
      <c r="G89" s="7"/>
      <c r="H89" s="8"/>
      <c r="I89" s="9"/>
      <c r="J89" s="7"/>
      <c r="K89" s="7"/>
      <c r="L89" s="7"/>
      <c r="M89" s="14">
        <v>550</v>
      </c>
      <c r="N89" s="14">
        <v>550</v>
      </c>
      <c r="O89" s="14">
        <v>550</v>
      </c>
      <c r="P89" s="7"/>
      <c r="Q89" s="7"/>
      <c r="R89" s="14">
        <v>550</v>
      </c>
      <c r="S89" s="7"/>
      <c r="T89" s="7"/>
      <c r="U89" s="7"/>
      <c r="V89" s="14">
        <v>550</v>
      </c>
      <c r="W89" s="14">
        <v>550</v>
      </c>
      <c r="X89" s="7"/>
      <c r="Y89" s="7"/>
      <c r="Z89" s="7"/>
      <c r="AA89" s="7"/>
      <c r="AC89" s="70" t="str">
        <f t="shared" si="3"/>
        <v/>
      </c>
      <c r="AD89" s="75" t="str">
        <f t="shared" si="4"/>
        <v/>
      </c>
      <c r="AH89" t="s">
        <v>3438</v>
      </c>
    </row>
    <row r="90" spans="1:34" outlineLevel="7">
      <c r="A90" s="3499" t="s">
        <v>1537</v>
      </c>
      <c r="B90" s="3499"/>
      <c r="C90" s="7"/>
      <c r="D90" s="7"/>
      <c r="E90" s="14">
        <v>550</v>
      </c>
      <c r="F90" s="7"/>
      <c r="G90" s="7"/>
      <c r="H90" s="8"/>
      <c r="I90" s="9"/>
      <c r="J90" s="7"/>
      <c r="K90" s="7"/>
      <c r="L90" s="7"/>
      <c r="M90" s="14">
        <v>550</v>
      </c>
      <c r="N90" s="14">
        <v>550</v>
      </c>
      <c r="O90" s="14">
        <v>550</v>
      </c>
      <c r="P90" s="7"/>
      <c r="Q90" s="7"/>
      <c r="R90" s="14">
        <v>550</v>
      </c>
      <c r="S90" s="7"/>
      <c r="T90" s="7"/>
      <c r="U90" s="7"/>
      <c r="V90" s="14">
        <v>550</v>
      </c>
      <c r="W90" s="14">
        <v>550</v>
      </c>
      <c r="X90" s="7"/>
      <c r="Y90" s="7"/>
      <c r="Z90" s="7"/>
      <c r="AA90" s="7"/>
      <c r="AC90" s="70">
        <f t="shared" si="3"/>
        <v>550</v>
      </c>
      <c r="AD90" s="75">
        <f t="shared" si="4"/>
        <v>1</v>
      </c>
    </row>
    <row r="91" spans="1:34" outlineLevel="6">
      <c r="A91" s="3501" t="s">
        <v>97</v>
      </c>
      <c r="B91" s="3501"/>
      <c r="C91" s="7"/>
      <c r="D91" s="7"/>
      <c r="E91" s="14">
        <v>550</v>
      </c>
      <c r="F91" s="7"/>
      <c r="G91" s="7"/>
      <c r="H91" s="8"/>
      <c r="I91" s="9"/>
      <c r="J91" s="7"/>
      <c r="K91" s="7"/>
      <c r="L91" s="7"/>
      <c r="M91" s="14">
        <v>550</v>
      </c>
      <c r="N91" s="14">
        <v>550</v>
      </c>
      <c r="O91" s="14">
        <v>550</v>
      </c>
      <c r="P91" s="7"/>
      <c r="Q91" s="7"/>
      <c r="R91" s="14">
        <v>550</v>
      </c>
      <c r="S91" s="7"/>
      <c r="T91" s="7"/>
      <c r="U91" s="7"/>
      <c r="V91" s="14">
        <v>550</v>
      </c>
      <c r="W91" s="14">
        <v>550</v>
      </c>
      <c r="X91" s="7"/>
      <c r="Y91" s="7"/>
      <c r="Z91" s="7"/>
      <c r="AA91" s="7"/>
      <c r="AC91" s="70" t="str">
        <f t="shared" si="3"/>
        <v/>
      </c>
      <c r="AD91" s="75" t="str">
        <f t="shared" si="4"/>
        <v/>
      </c>
    </row>
    <row r="92" spans="1:34" outlineLevel="7">
      <c r="A92" s="3500" t="s">
        <v>98</v>
      </c>
      <c r="B92" s="3500"/>
      <c r="C92" s="7"/>
      <c r="D92" s="7"/>
      <c r="E92" s="14">
        <v>550</v>
      </c>
      <c r="F92" s="7"/>
      <c r="G92" s="7"/>
      <c r="H92" s="8"/>
      <c r="I92" s="9"/>
      <c r="J92" s="7"/>
      <c r="K92" s="7"/>
      <c r="L92" s="7"/>
      <c r="M92" s="14">
        <v>550</v>
      </c>
      <c r="N92" s="14">
        <v>550</v>
      </c>
      <c r="O92" s="14">
        <v>550</v>
      </c>
      <c r="P92" s="7"/>
      <c r="Q92" s="7"/>
      <c r="R92" s="14">
        <v>550</v>
      </c>
      <c r="S92" s="7"/>
      <c r="T92" s="7"/>
      <c r="U92" s="7"/>
      <c r="V92" s="14">
        <v>550</v>
      </c>
      <c r="W92" s="14">
        <v>550</v>
      </c>
      <c r="X92" s="7"/>
      <c r="Y92" s="7"/>
      <c r="Z92" s="7"/>
      <c r="AA92" s="7"/>
      <c r="AC92" s="70" t="str">
        <f t="shared" si="3"/>
        <v/>
      </c>
      <c r="AD92" s="75" t="str">
        <f t="shared" si="4"/>
        <v/>
      </c>
      <c r="AH92" t="s">
        <v>98</v>
      </c>
    </row>
    <row r="93" spans="1:34" outlineLevel="7">
      <c r="A93" s="3499" t="s">
        <v>1538</v>
      </c>
      <c r="B93" s="3499"/>
      <c r="C93" s="7"/>
      <c r="D93" s="7"/>
      <c r="E93" s="14">
        <v>550</v>
      </c>
      <c r="F93" s="7"/>
      <c r="G93" s="7"/>
      <c r="H93" s="8"/>
      <c r="I93" s="9"/>
      <c r="J93" s="7"/>
      <c r="K93" s="7"/>
      <c r="L93" s="7"/>
      <c r="M93" s="14">
        <v>550</v>
      </c>
      <c r="N93" s="14">
        <v>550</v>
      </c>
      <c r="O93" s="14">
        <v>550</v>
      </c>
      <c r="P93" s="7"/>
      <c r="Q93" s="7"/>
      <c r="R93" s="14">
        <v>550</v>
      </c>
      <c r="S93" s="7"/>
      <c r="T93" s="7"/>
      <c r="U93" s="7"/>
      <c r="V93" s="14">
        <v>550</v>
      </c>
      <c r="W93" s="14">
        <v>550</v>
      </c>
      <c r="X93" s="7"/>
      <c r="Y93" s="7"/>
      <c r="Z93" s="7"/>
      <c r="AA93" s="7"/>
      <c r="AC93" s="70">
        <f t="shared" si="3"/>
        <v>550</v>
      </c>
      <c r="AD93" s="75">
        <f t="shared" si="4"/>
        <v>1</v>
      </c>
    </row>
    <row r="94" spans="1:34" outlineLevel="6">
      <c r="A94" s="3501" t="s">
        <v>99</v>
      </c>
      <c r="B94" s="3501"/>
      <c r="C94" s="7"/>
      <c r="D94" s="7"/>
      <c r="E94" s="13">
        <v>1100</v>
      </c>
      <c r="F94" s="7"/>
      <c r="G94" s="7"/>
      <c r="H94" s="8"/>
      <c r="I94" s="9"/>
      <c r="J94" s="7"/>
      <c r="K94" s="7"/>
      <c r="L94" s="7"/>
      <c r="M94" s="13">
        <v>1100</v>
      </c>
      <c r="N94" s="13">
        <v>1100</v>
      </c>
      <c r="O94" s="13">
        <v>1100</v>
      </c>
      <c r="P94" s="7"/>
      <c r="Q94" s="7"/>
      <c r="R94" s="13">
        <v>1100</v>
      </c>
      <c r="S94" s="7"/>
      <c r="T94" s="7"/>
      <c r="U94" s="7"/>
      <c r="V94" s="13">
        <v>1100</v>
      </c>
      <c r="W94" s="13">
        <v>1100</v>
      </c>
      <c r="X94" s="7"/>
      <c r="Y94" s="7"/>
      <c r="Z94" s="7"/>
      <c r="AA94" s="7"/>
      <c r="AC94" s="70" t="str">
        <f t="shared" si="3"/>
        <v/>
      </c>
      <c r="AD94" s="75" t="str">
        <f t="shared" si="4"/>
        <v/>
      </c>
    </row>
    <row r="95" spans="1:34" outlineLevel="7">
      <c r="A95" s="3500" t="s">
        <v>100</v>
      </c>
      <c r="B95" s="3500"/>
      <c r="C95" s="7"/>
      <c r="D95" s="7"/>
      <c r="E95" s="14">
        <v>550</v>
      </c>
      <c r="F95" s="7"/>
      <c r="G95" s="7"/>
      <c r="H95" s="8"/>
      <c r="I95" s="9"/>
      <c r="J95" s="7"/>
      <c r="K95" s="7"/>
      <c r="L95" s="7"/>
      <c r="M95" s="14">
        <v>550</v>
      </c>
      <c r="N95" s="14">
        <v>550</v>
      </c>
      <c r="O95" s="14">
        <v>550</v>
      </c>
      <c r="P95" s="7"/>
      <c r="Q95" s="7"/>
      <c r="R95" s="14">
        <v>550</v>
      </c>
      <c r="S95" s="7"/>
      <c r="T95" s="7"/>
      <c r="U95" s="7"/>
      <c r="V95" s="14">
        <v>550</v>
      </c>
      <c r="W95" s="14">
        <v>550</v>
      </c>
      <c r="X95" s="7"/>
      <c r="Y95" s="7"/>
      <c r="Z95" s="7"/>
      <c r="AA95" s="7"/>
      <c r="AC95" s="70" t="str">
        <f t="shared" si="3"/>
        <v/>
      </c>
      <c r="AD95" s="75" t="str">
        <f t="shared" si="4"/>
        <v/>
      </c>
      <c r="AH95" t="s">
        <v>100</v>
      </c>
    </row>
    <row r="96" spans="1:34" outlineLevel="7">
      <c r="A96" s="3499" t="s">
        <v>1539</v>
      </c>
      <c r="B96" s="3499"/>
      <c r="C96" s="7"/>
      <c r="D96" s="7"/>
      <c r="E96" s="14">
        <v>550</v>
      </c>
      <c r="F96" s="7"/>
      <c r="G96" s="7"/>
      <c r="H96" s="8"/>
      <c r="I96" s="9"/>
      <c r="J96" s="7"/>
      <c r="K96" s="7"/>
      <c r="L96" s="7"/>
      <c r="M96" s="14">
        <v>550</v>
      </c>
      <c r="N96" s="14">
        <v>550</v>
      </c>
      <c r="O96" s="14">
        <v>550</v>
      </c>
      <c r="P96" s="7"/>
      <c r="Q96" s="7"/>
      <c r="R96" s="14">
        <v>550</v>
      </c>
      <c r="S96" s="7"/>
      <c r="T96" s="7"/>
      <c r="U96" s="7"/>
      <c r="V96" s="14">
        <v>550</v>
      </c>
      <c r="W96" s="14">
        <v>550</v>
      </c>
      <c r="X96" s="7"/>
      <c r="Y96" s="7"/>
      <c r="Z96" s="7"/>
      <c r="AA96" s="7"/>
      <c r="AC96" s="70">
        <f t="shared" si="3"/>
        <v>550</v>
      </c>
      <c r="AD96" s="75">
        <f t="shared" si="4"/>
        <v>1</v>
      </c>
    </row>
    <row r="97" spans="1:36" outlineLevel="7">
      <c r="A97" s="3500" t="s">
        <v>101</v>
      </c>
      <c r="B97" s="3500"/>
      <c r="C97" s="7"/>
      <c r="D97" s="7"/>
      <c r="E97" s="14">
        <v>550</v>
      </c>
      <c r="F97" s="7"/>
      <c r="G97" s="7"/>
      <c r="H97" s="8"/>
      <c r="I97" s="9"/>
      <c r="J97" s="7"/>
      <c r="K97" s="7"/>
      <c r="L97" s="7"/>
      <c r="M97" s="14">
        <v>550</v>
      </c>
      <c r="N97" s="14">
        <v>550</v>
      </c>
      <c r="O97" s="14">
        <v>550</v>
      </c>
      <c r="P97" s="7"/>
      <c r="Q97" s="7"/>
      <c r="R97" s="14">
        <v>550</v>
      </c>
      <c r="S97" s="7"/>
      <c r="T97" s="7"/>
      <c r="U97" s="7"/>
      <c r="V97" s="14">
        <v>550</v>
      </c>
      <c r="W97" s="14">
        <v>550</v>
      </c>
      <c r="X97" s="7"/>
      <c r="Y97" s="7"/>
      <c r="Z97" s="7"/>
      <c r="AA97" s="7"/>
      <c r="AC97" s="70" t="str">
        <f t="shared" si="3"/>
        <v/>
      </c>
      <c r="AD97" s="75" t="str">
        <f t="shared" si="4"/>
        <v/>
      </c>
      <c r="AH97" t="s">
        <v>3394</v>
      </c>
    </row>
    <row r="98" spans="1:36" outlineLevel="7">
      <c r="A98" s="3499" t="s">
        <v>1540</v>
      </c>
      <c r="B98" s="3499"/>
      <c r="C98" s="7"/>
      <c r="D98" s="7"/>
      <c r="E98" s="14">
        <v>550</v>
      </c>
      <c r="F98" s="7"/>
      <c r="G98" s="7"/>
      <c r="H98" s="8"/>
      <c r="I98" s="9"/>
      <c r="J98" s="7"/>
      <c r="K98" s="7"/>
      <c r="L98" s="7"/>
      <c r="M98" s="14">
        <v>550</v>
      </c>
      <c r="N98" s="14">
        <v>550</v>
      </c>
      <c r="O98" s="14">
        <v>550</v>
      </c>
      <c r="P98" s="7"/>
      <c r="Q98" s="7"/>
      <c r="R98" s="14">
        <v>550</v>
      </c>
      <c r="S98" s="7"/>
      <c r="T98" s="7"/>
      <c r="U98" s="7"/>
      <c r="V98" s="14">
        <v>550</v>
      </c>
      <c r="W98" s="14">
        <v>550</v>
      </c>
      <c r="X98" s="7"/>
      <c r="Y98" s="7"/>
      <c r="Z98" s="7"/>
      <c r="AA98" s="7"/>
      <c r="AC98" s="70">
        <f t="shared" si="3"/>
        <v>550</v>
      </c>
      <c r="AD98" s="75">
        <f t="shared" si="4"/>
        <v>1</v>
      </c>
    </row>
    <row r="99" spans="1:36" outlineLevel="6">
      <c r="A99" s="3501" t="s">
        <v>102</v>
      </c>
      <c r="B99" s="3501"/>
      <c r="C99" s="7"/>
      <c r="D99" s="7"/>
      <c r="E99" s="13">
        <v>7240.76</v>
      </c>
      <c r="F99" s="7"/>
      <c r="G99" s="7"/>
      <c r="H99" s="8"/>
      <c r="I99" s="9"/>
      <c r="J99" s="7"/>
      <c r="K99" s="7"/>
      <c r="L99" s="7"/>
      <c r="M99" s="13">
        <v>7240.76</v>
      </c>
      <c r="N99" s="13">
        <v>7240.76</v>
      </c>
      <c r="O99" s="13">
        <v>7240.76</v>
      </c>
      <c r="P99" s="7"/>
      <c r="Q99" s="7"/>
      <c r="R99" s="13">
        <v>7240.76</v>
      </c>
      <c r="S99" s="7"/>
      <c r="T99" s="7"/>
      <c r="U99" s="7"/>
      <c r="V99" s="13">
        <v>7240.76</v>
      </c>
      <c r="W99" s="13">
        <v>7240.76</v>
      </c>
      <c r="X99" s="7"/>
      <c r="Y99" s="7"/>
      <c r="Z99" s="7"/>
      <c r="AA99" s="7"/>
      <c r="AC99" s="70" t="str">
        <f t="shared" si="3"/>
        <v/>
      </c>
      <c r="AD99" s="75" t="str">
        <f t="shared" si="4"/>
        <v/>
      </c>
      <c r="AH99" s="1" t="s">
        <v>3582</v>
      </c>
      <c r="AJ99" s="1"/>
    </row>
    <row r="100" spans="1:36" outlineLevel="7">
      <c r="A100" s="3500" t="s">
        <v>103</v>
      </c>
      <c r="B100" s="3500"/>
      <c r="C100" s="7"/>
      <c r="D100" s="7"/>
      <c r="E100" s="13">
        <v>7240.76</v>
      </c>
      <c r="F100" s="7"/>
      <c r="G100" s="7"/>
      <c r="H100" s="8"/>
      <c r="I100" s="9"/>
      <c r="J100" s="7"/>
      <c r="K100" s="7"/>
      <c r="L100" s="7"/>
      <c r="M100" s="13">
        <v>7240.76</v>
      </c>
      <c r="N100" s="13">
        <v>7240.76</v>
      </c>
      <c r="O100" s="13">
        <v>7240.76</v>
      </c>
      <c r="P100" s="7"/>
      <c r="Q100" s="7"/>
      <c r="R100" s="13">
        <v>7240.76</v>
      </c>
      <c r="S100" s="7"/>
      <c r="T100" s="7"/>
      <c r="U100" s="7"/>
      <c r="V100" s="13">
        <v>7240.76</v>
      </c>
      <c r="W100" s="13">
        <v>7240.76</v>
      </c>
      <c r="X100" s="7"/>
      <c r="Y100" s="7"/>
      <c r="Z100" s="7"/>
      <c r="AA100" s="7"/>
      <c r="AC100" s="70" t="str">
        <f t="shared" si="3"/>
        <v/>
      </c>
      <c r="AD100" s="75" t="str">
        <f t="shared" si="4"/>
        <v/>
      </c>
    </row>
    <row r="101" spans="1:36" outlineLevel="7">
      <c r="A101" s="3499" t="s">
        <v>1541</v>
      </c>
      <c r="B101" s="3499"/>
      <c r="C101" s="7"/>
      <c r="D101" s="7"/>
      <c r="E101" s="13">
        <v>7240.76</v>
      </c>
      <c r="F101" s="7"/>
      <c r="G101" s="7"/>
      <c r="H101" s="8"/>
      <c r="I101" s="9"/>
      <c r="J101" s="7"/>
      <c r="K101" s="7"/>
      <c r="L101" s="7"/>
      <c r="M101" s="13">
        <v>7240.76</v>
      </c>
      <c r="N101" s="13">
        <v>7240.76</v>
      </c>
      <c r="O101" s="13">
        <v>7240.76</v>
      </c>
      <c r="P101" s="7"/>
      <c r="Q101" s="7"/>
      <c r="R101" s="13">
        <v>7240.76</v>
      </c>
      <c r="S101" s="7"/>
      <c r="T101" s="7"/>
      <c r="U101" s="7"/>
      <c r="V101" s="13">
        <v>7240.76</v>
      </c>
      <c r="W101" s="13">
        <v>7240.76</v>
      </c>
      <c r="X101" s="7"/>
      <c r="Y101" s="7"/>
      <c r="Z101" s="7"/>
      <c r="AA101" s="7"/>
      <c r="AC101" s="70">
        <f t="shared" si="3"/>
        <v>7240.76</v>
      </c>
      <c r="AD101" s="75" t="str">
        <f t="shared" si="4"/>
        <v/>
      </c>
      <c r="AG101">
        <f>AC101</f>
        <v>7240.76</v>
      </c>
      <c r="AH101" s="27"/>
    </row>
    <row r="102" spans="1:36" outlineLevel="6">
      <c r="A102" s="3501" t="s">
        <v>104</v>
      </c>
      <c r="B102" s="3501"/>
      <c r="C102" s="7"/>
      <c r="D102" s="7"/>
      <c r="E102" s="14">
        <v>550</v>
      </c>
      <c r="F102" s="7"/>
      <c r="G102" s="7"/>
      <c r="H102" s="8"/>
      <c r="I102" s="9"/>
      <c r="J102" s="7"/>
      <c r="K102" s="7"/>
      <c r="L102" s="7"/>
      <c r="M102" s="14">
        <v>550</v>
      </c>
      <c r="N102" s="14">
        <v>550</v>
      </c>
      <c r="O102" s="14">
        <v>550</v>
      </c>
      <c r="P102" s="7"/>
      <c r="Q102" s="7"/>
      <c r="R102" s="14">
        <v>550</v>
      </c>
      <c r="S102" s="7"/>
      <c r="T102" s="7"/>
      <c r="U102" s="7"/>
      <c r="V102" s="14">
        <v>550</v>
      </c>
      <c r="W102" s="14">
        <v>550</v>
      </c>
      <c r="X102" s="7"/>
      <c r="Y102" s="7"/>
      <c r="Z102" s="7"/>
      <c r="AA102" s="7"/>
      <c r="AC102" s="70" t="str">
        <f t="shared" si="3"/>
        <v/>
      </c>
      <c r="AD102" s="75" t="str">
        <f t="shared" si="4"/>
        <v/>
      </c>
    </row>
    <row r="103" spans="1:36" outlineLevel="7">
      <c r="A103" s="3500" t="s">
        <v>105</v>
      </c>
      <c r="B103" s="3500"/>
      <c r="C103" s="7"/>
      <c r="D103" s="7"/>
      <c r="E103" s="14">
        <v>550</v>
      </c>
      <c r="F103" s="7"/>
      <c r="G103" s="7"/>
      <c r="H103" s="8"/>
      <c r="I103" s="9"/>
      <c r="J103" s="7"/>
      <c r="K103" s="7"/>
      <c r="L103" s="7"/>
      <c r="M103" s="14">
        <v>550</v>
      </c>
      <c r="N103" s="14">
        <v>550</v>
      </c>
      <c r="O103" s="14">
        <v>550</v>
      </c>
      <c r="P103" s="7"/>
      <c r="Q103" s="7"/>
      <c r="R103" s="14">
        <v>550</v>
      </c>
      <c r="S103" s="7"/>
      <c r="T103" s="7"/>
      <c r="U103" s="7"/>
      <c r="V103" s="14">
        <v>550</v>
      </c>
      <c r="W103" s="14">
        <v>550</v>
      </c>
      <c r="X103" s="7"/>
      <c r="Y103" s="7"/>
      <c r="Z103" s="7"/>
      <c r="AA103" s="7"/>
      <c r="AC103" s="70" t="str">
        <f t="shared" si="3"/>
        <v/>
      </c>
      <c r="AD103" s="75" t="str">
        <f t="shared" si="4"/>
        <v/>
      </c>
      <c r="AH103" t="s">
        <v>3549</v>
      </c>
    </row>
    <row r="104" spans="1:36" outlineLevel="7">
      <c r="A104" s="3499" t="s">
        <v>1542</v>
      </c>
      <c r="B104" s="3499"/>
      <c r="C104" s="7"/>
      <c r="D104" s="7"/>
      <c r="E104" s="14">
        <v>550</v>
      </c>
      <c r="F104" s="7"/>
      <c r="G104" s="7"/>
      <c r="H104" s="8"/>
      <c r="I104" s="9"/>
      <c r="J104" s="7"/>
      <c r="K104" s="7"/>
      <c r="L104" s="7"/>
      <c r="M104" s="14">
        <v>550</v>
      </c>
      <c r="N104" s="14">
        <v>550</v>
      </c>
      <c r="O104" s="14">
        <v>550</v>
      </c>
      <c r="P104" s="7"/>
      <c r="Q104" s="7"/>
      <c r="R104" s="14">
        <v>550</v>
      </c>
      <c r="S104" s="7"/>
      <c r="T104" s="7"/>
      <c r="U104" s="7"/>
      <c r="V104" s="14">
        <v>550</v>
      </c>
      <c r="W104" s="14">
        <v>550</v>
      </c>
      <c r="X104" s="7"/>
      <c r="Y104" s="7"/>
      <c r="Z104" s="7"/>
      <c r="AA104" s="7"/>
      <c r="AC104" s="70">
        <f t="shared" si="3"/>
        <v>550</v>
      </c>
      <c r="AD104" s="75">
        <f t="shared" si="4"/>
        <v>1</v>
      </c>
    </row>
    <row r="105" spans="1:36" outlineLevel="6">
      <c r="A105" s="3501" t="s">
        <v>106</v>
      </c>
      <c r="B105" s="3501"/>
      <c r="C105" s="7"/>
      <c r="D105" s="7"/>
      <c r="E105" s="14">
        <v>550</v>
      </c>
      <c r="F105" s="7"/>
      <c r="G105" s="7"/>
      <c r="H105" s="8"/>
      <c r="I105" s="9"/>
      <c r="J105" s="7"/>
      <c r="K105" s="7"/>
      <c r="L105" s="7"/>
      <c r="M105" s="14">
        <v>550</v>
      </c>
      <c r="N105" s="14">
        <v>550</v>
      </c>
      <c r="O105" s="14">
        <v>550</v>
      </c>
      <c r="P105" s="7"/>
      <c r="Q105" s="7"/>
      <c r="R105" s="14">
        <v>550</v>
      </c>
      <c r="S105" s="7"/>
      <c r="T105" s="7"/>
      <c r="U105" s="7"/>
      <c r="V105" s="14">
        <v>550</v>
      </c>
      <c r="W105" s="14">
        <v>550</v>
      </c>
      <c r="X105" s="7"/>
      <c r="Y105" s="7"/>
      <c r="Z105" s="7"/>
      <c r="AA105" s="7"/>
      <c r="AC105" s="70" t="str">
        <f t="shared" si="3"/>
        <v/>
      </c>
      <c r="AD105" s="75" t="str">
        <f t="shared" si="4"/>
        <v/>
      </c>
    </row>
    <row r="106" spans="1:36" outlineLevel="7">
      <c r="A106" s="3500" t="s">
        <v>107</v>
      </c>
      <c r="B106" s="3500"/>
      <c r="C106" s="7"/>
      <c r="D106" s="7"/>
      <c r="E106" s="14">
        <v>550</v>
      </c>
      <c r="F106" s="7"/>
      <c r="G106" s="7"/>
      <c r="H106" s="8"/>
      <c r="I106" s="9"/>
      <c r="J106" s="7"/>
      <c r="K106" s="7"/>
      <c r="L106" s="7"/>
      <c r="M106" s="14">
        <v>550</v>
      </c>
      <c r="N106" s="14">
        <v>550</v>
      </c>
      <c r="O106" s="14">
        <v>550</v>
      </c>
      <c r="P106" s="7"/>
      <c r="Q106" s="7"/>
      <c r="R106" s="14">
        <v>550</v>
      </c>
      <c r="S106" s="7"/>
      <c r="T106" s="7"/>
      <c r="U106" s="7"/>
      <c r="V106" s="14">
        <v>550</v>
      </c>
      <c r="W106" s="14">
        <v>550</v>
      </c>
      <c r="X106" s="7"/>
      <c r="Y106" s="7"/>
      <c r="Z106" s="7"/>
      <c r="AA106" s="7"/>
      <c r="AC106" s="70" t="str">
        <f t="shared" si="3"/>
        <v/>
      </c>
      <c r="AD106" s="75" t="str">
        <f t="shared" si="4"/>
        <v/>
      </c>
      <c r="AH106" t="s">
        <v>107</v>
      </c>
    </row>
    <row r="107" spans="1:36" outlineLevel="7">
      <c r="A107" s="3499" t="s">
        <v>1543</v>
      </c>
      <c r="B107" s="3499"/>
      <c r="C107" s="7"/>
      <c r="D107" s="7"/>
      <c r="E107" s="14">
        <v>550</v>
      </c>
      <c r="F107" s="7"/>
      <c r="G107" s="7"/>
      <c r="H107" s="8"/>
      <c r="I107" s="9"/>
      <c r="J107" s="7"/>
      <c r="K107" s="7"/>
      <c r="L107" s="7"/>
      <c r="M107" s="14">
        <v>550</v>
      </c>
      <c r="N107" s="14">
        <v>550</v>
      </c>
      <c r="O107" s="14">
        <v>550</v>
      </c>
      <c r="P107" s="7"/>
      <c r="Q107" s="7"/>
      <c r="R107" s="14">
        <v>550</v>
      </c>
      <c r="S107" s="7"/>
      <c r="T107" s="7"/>
      <c r="U107" s="7"/>
      <c r="V107" s="14">
        <v>550</v>
      </c>
      <c r="W107" s="14">
        <v>550</v>
      </c>
      <c r="X107" s="7"/>
      <c r="Y107" s="7"/>
      <c r="Z107" s="7"/>
      <c r="AA107" s="7"/>
      <c r="AC107" s="70">
        <f t="shared" si="3"/>
        <v>550</v>
      </c>
      <c r="AD107" s="75">
        <f t="shared" si="4"/>
        <v>1</v>
      </c>
    </row>
    <row r="108" spans="1:36" outlineLevel="6">
      <c r="A108" s="3501" t="s">
        <v>108</v>
      </c>
      <c r="B108" s="3501"/>
      <c r="C108" s="7"/>
      <c r="D108" s="7"/>
      <c r="E108" s="14">
        <v>550</v>
      </c>
      <c r="F108" s="7"/>
      <c r="G108" s="7"/>
      <c r="H108" s="8"/>
      <c r="I108" s="9"/>
      <c r="J108" s="7"/>
      <c r="K108" s="7"/>
      <c r="L108" s="7"/>
      <c r="M108" s="14">
        <v>550</v>
      </c>
      <c r="N108" s="14">
        <v>550</v>
      </c>
      <c r="O108" s="14">
        <v>550</v>
      </c>
      <c r="P108" s="7"/>
      <c r="Q108" s="7"/>
      <c r="R108" s="14">
        <v>550</v>
      </c>
      <c r="S108" s="7"/>
      <c r="T108" s="7"/>
      <c r="U108" s="7"/>
      <c r="V108" s="14">
        <v>550</v>
      </c>
      <c r="W108" s="14">
        <v>550</v>
      </c>
      <c r="X108" s="7"/>
      <c r="Y108" s="7"/>
      <c r="Z108" s="7"/>
      <c r="AA108" s="7"/>
      <c r="AC108" s="70" t="str">
        <f t="shared" si="3"/>
        <v/>
      </c>
      <c r="AD108" s="75" t="str">
        <f t="shared" si="4"/>
        <v/>
      </c>
    </row>
    <row r="109" spans="1:36" outlineLevel="7">
      <c r="A109" s="3500" t="s">
        <v>109</v>
      </c>
      <c r="B109" s="3500"/>
      <c r="C109" s="7"/>
      <c r="D109" s="7"/>
      <c r="E109" s="14">
        <v>550</v>
      </c>
      <c r="F109" s="7"/>
      <c r="G109" s="7"/>
      <c r="H109" s="8"/>
      <c r="I109" s="9"/>
      <c r="J109" s="7"/>
      <c r="K109" s="7"/>
      <c r="L109" s="7"/>
      <c r="M109" s="14">
        <v>550</v>
      </c>
      <c r="N109" s="14">
        <v>550</v>
      </c>
      <c r="O109" s="14">
        <v>550</v>
      </c>
      <c r="P109" s="7"/>
      <c r="Q109" s="7"/>
      <c r="R109" s="14">
        <v>550</v>
      </c>
      <c r="S109" s="7"/>
      <c r="T109" s="7"/>
      <c r="U109" s="7"/>
      <c r="V109" s="14">
        <v>550</v>
      </c>
      <c r="W109" s="14">
        <v>550</v>
      </c>
      <c r="X109" s="7"/>
      <c r="Y109" s="7"/>
      <c r="Z109" s="7"/>
      <c r="AA109" s="7"/>
      <c r="AC109" s="70" t="str">
        <f t="shared" si="3"/>
        <v/>
      </c>
      <c r="AD109" s="75" t="str">
        <f t="shared" si="4"/>
        <v/>
      </c>
      <c r="AH109" t="s">
        <v>3543</v>
      </c>
    </row>
    <row r="110" spans="1:36" outlineLevel="7">
      <c r="A110" s="3499" t="s">
        <v>1544</v>
      </c>
      <c r="B110" s="3499"/>
      <c r="C110" s="7"/>
      <c r="D110" s="7"/>
      <c r="E110" s="14">
        <v>550</v>
      </c>
      <c r="F110" s="7"/>
      <c r="G110" s="7"/>
      <c r="H110" s="8"/>
      <c r="I110" s="9"/>
      <c r="J110" s="7"/>
      <c r="K110" s="7"/>
      <c r="L110" s="7"/>
      <c r="M110" s="14">
        <v>550</v>
      </c>
      <c r="N110" s="14">
        <v>550</v>
      </c>
      <c r="O110" s="14">
        <v>550</v>
      </c>
      <c r="P110" s="7"/>
      <c r="Q110" s="7"/>
      <c r="R110" s="14">
        <v>550</v>
      </c>
      <c r="S110" s="7"/>
      <c r="T110" s="7"/>
      <c r="U110" s="7"/>
      <c r="V110" s="14">
        <v>550</v>
      </c>
      <c r="W110" s="14">
        <v>550</v>
      </c>
      <c r="X110" s="7"/>
      <c r="Y110" s="7"/>
      <c r="Z110" s="7"/>
      <c r="AA110" s="7"/>
      <c r="AC110" s="70">
        <f t="shared" si="3"/>
        <v>550</v>
      </c>
      <c r="AD110" s="75">
        <f t="shared" si="4"/>
        <v>1</v>
      </c>
    </row>
    <row r="111" spans="1:36" outlineLevel="6">
      <c r="A111" s="3501" t="s">
        <v>110</v>
      </c>
      <c r="B111" s="3501"/>
      <c r="C111" s="7"/>
      <c r="D111" s="7"/>
      <c r="E111" s="14">
        <v>550</v>
      </c>
      <c r="F111" s="7"/>
      <c r="G111" s="7"/>
      <c r="H111" s="8"/>
      <c r="I111" s="9"/>
      <c r="J111" s="7"/>
      <c r="K111" s="7"/>
      <c r="L111" s="7"/>
      <c r="M111" s="14">
        <v>550</v>
      </c>
      <c r="N111" s="14">
        <v>550</v>
      </c>
      <c r="O111" s="14">
        <v>550</v>
      </c>
      <c r="P111" s="7"/>
      <c r="Q111" s="7"/>
      <c r="R111" s="14">
        <v>550</v>
      </c>
      <c r="S111" s="7"/>
      <c r="T111" s="7"/>
      <c r="U111" s="7"/>
      <c r="V111" s="14">
        <v>550</v>
      </c>
      <c r="W111" s="14">
        <v>550</v>
      </c>
      <c r="X111" s="7"/>
      <c r="Y111" s="7"/>
      <c r="Z111" s="7"/>
      <c r="AA111" s="7"/>
      <c r="AC111" s="70" t="str">
        <f t="shared" si="3"/>
        <v/>
      </c>
      <c r="AD111" s="75" t="str">
        <f t="shared" si="4"/>
        <v/>
      </c>
    </row>
    <row r="112" spans="1:36" outlineLevel="7">
      <c r="A112" s="3500" t="s">
        <v>111</v>
      </c>
      <c r="B112" s="3500"/>
      <c r="C112" s="7"/>
      <c r="D112" s="7"/>
      <c r="E112" s="14">
        <v>550</v>
      </c>
      <c r="F112" s="7"/>
      <c r="G112" s="7"/>
      <c r="H112" s="8"/>
      <c r="I112" s="9"/>
      <c r="J112" s="7"/>
      <c r="K112" s="7"/>
      <c r="L112" s="7"/>
      <c r="M112" s="14">
        <v>550</v>
      </c>
      <c r="N112" s="14">
        <v>550</v>
      </c>
      <c r="O112" s="14">
        <v>550</v>
      </c>
      <c r="P112" s="7"/>
      <c r="Q112" s="7"/>
      <c r="R112" s="14">
        <v>550</v>
      </c>
      <c r="S112" s="7"/>
      <c r="T112" s="7"/>
      <c r="U112" s="7"/>
      <c r="V112" s="14">
        <v>550</v>
      </c>
      <c r="W112" s="14">
        <v>550</v>
      </c>
      <c r="X112" s="7"/>
      <c r="Y112" s="7"/>
      <c r="Z112" s="7"/>
      <c r="AA112" s="7"/>
      <c r="AC112" s="70" t="str">
        <f t="shared" si="3"/>
        <v/>
      </c>
      <c r="AD112" s="75" t="str">
        <f t="shared" si="4"/>
        <v/>
      </c>
      <c r="AH112" t="s">
        <v>3440</v>
      </c>
    </row>
    <row r="113" spans="1:34" outlineLevel="7">
      <c r="A113" s="3499" t="s">
        <v>1545</v>
      </c>
      <c r="B113" s="3499"/>
      <c r="C113" s="7"/>
      <c r="D113" s="7"/>
      <c r="E113" s="14">
        <v>550</v>
      </c>
      <c r="F113" s="7"/>
      <c r="G113" s="7"/>
      <c r="H113" s="8"/>
      <c r="I113" s="9"/>
      <c r="J113" s="7"/>
      <c r="K113" s="7"/>
      <c r="L113" s="7"/>
      <c r="M113" s="14">
        <v>550</v>
      </c>
      <c r="N113" s="14">
        <v>550</v>
      </c>
      <c r="O113" s="14">
        <v>550</v>
      </c>
      <c r="P113" s="7"/>
      <c r="Q113" s="7"/>
      <c r="R113" s="14">
        <v>550</v>
      </c>
      <c r="S113" s="7"/>
      <c r="T113" s="7"/>
      <c r="U113" s="7"/>
      <c r="V113" s="14">
        <v>550</v>
      </c>
      <c r="W113" s="14">
        <v>550</v>
      </c>
      <c r="X113" s="7"/>
      <c r="Y113" s="7"/>
      <c r="Z113" s="7"/>
      <c r="AA113" s="7"/>
      <c r="AC113" s="70">
        <f t="shared" si="3"/>
        <v>550</v>
      </c>
      <c r="AD113" s="75">
        <f t="shared" si="4"/>
        <v>1</v>
      </c>
    </row>
    <row r="114" spans="1:34" outlineLevel="6">
      <c r="A114" s="3501" t="s">
        <v>112</v>
      </c>
      <c r="B114" s="3501"/>
      <c r="C114" s="7"/>
      <c r="D114" s="7"/>
      <c r="E114" s="14">
        <v>550</v>
      </c>
      <c r="F114" s="7"/>
      <c r="G114" s="7"/>
      <c r="H114" s="8"/>
      <c r="I114" s="9"/>
      <c r="J114" s="7"/>
      <c r="K114" s="7"/>
      <c r="L114" s="7"/>
      <c r="M114" s="14">
        <v>550</v>
      </c>
      <c r="N114" s="14">
        <v>550</v>
      </c>
      <c r="O114" s="14">
        <v>550</v>
      </c>
      <c r="P114" s="7"/>
      <c r="Q114" s="7"/>
      <c r="R114" s="14">
        <v>550</v>
      </c>
      <c r="S114" s="7"/>
      <c r="T114" s="7"/>
      <c r="U114" s="7"/>
      <c r="V114" s="14">
        <v>550</v>
      </c>
      <c r="W114" s="14">
        <v>550</v>
      </c>
      <c r="X114" s="7"/>
      <c r="Y114" s="7"/>
      <c r="Z114" s="7"/>
      <c r="AA114" s="7"/>
      <c r="AC114" s="70" t="str">
        <f t="shared" si="3"/>
        <v/>
      </c>
      <c r="AD114" s="75" t="str">
        <f t="shared" si="4"/>
        <v/>
      </c>
    </row>
    <row r="115" spans="1:34" outlineLevel="7">
      <c r="A115" s="3500" t="s">
        <v>113</v>
      </c>
      <c r="B115" s="3500"/>
      <c r="C115" s="7"/>
      <c r="D115" s="7"/>
      <c r="E115" s="14">
        <v>550</v>
      </c>
      <c r="F115" s="7"/>
      <c r="G115" s="7"/>
      <c r="H115" s="8"/>
      <c r="I115" s="9"/>
      <c r="J115" s="7"/>
      <c r="K115" s="7"/>
      <c r="L115" s="7"/>
      <c r="M115" s="14">
        <v>550</v>
      </c>
      <c r="N115" s="14">
        <v>550</v>
      </c>
      <c r="O115" s="14">
        <v>550</v>
      </c>
      <c r="P115" s="7"/>
      <c r="Q115" s="7"/>
      <c r="R115" s="14">
        <v>550</v>
      </c>
      <c r="S115" s="7"/>
      <c r="T115" s="7"/>
      <c r="U115" s="7"/>
      <c r="V115" s="14">
        <v>550</v>
      </c>
      <c r="W115" s="14">
        <v>550</v>
      </c>
      <c r="X115" s="7"/>
      <c r="Y115" s="7"/>
      <c r="Z115" s="7"/>
      <c r="AA115" s="7"/>
      <c r="AC115" s="70" t="str">
        <f t="shared" si="3"/>
        <v/>
      </c>
      <c r="AD115" s="75" t="str">
        <f t="shared" si="4"/>
        <v/>
      </c>
      <c r="AH115" t="s">
        <v>3281</v>
      </c>
    </row>
    <row r="116" spans="1:34" outlineLevel="7">
      <c r="A116" s="3499" t="s">
        <v>1546</v>
      </c>
      <c r="B116" s="3499"/>
      <c r="C116" s="7"/>
      <c r="D116" s="7"/>
      <c r="E116" s="14">
        <v>550</v>
      </c>
      <c r="F116" s="7"/>
      <c r="G116" s="7"/>
      <c r="H116" s="8"/>
      <c r="I116" s="9"/>
      <c r="J116" s="7"/>
      <c r="K116" s="7"/>
      <c r="L116" s="7"/>
      <c r="M116" s="14">
        <v>550</v>
      </c>
      <c r="N116" s="14">
        <v>550</v>
      </c>
      <c r="O116" s="14">
        <v>550</v>
      </c>
      <c r="P116" s="7"/>
      <c r="Q116" s="7"/>
      <c r="R116" s="14">
        <v>550</v>
      </c>
      <c r="S116" s="7"/>
      <c r="T116" s="7"/>
      <c r="U116" s="7"/>
      <c r="V116" s="14">
        <v>550</v>
      </c>
      <c r="W116" s="14">
        <v>550</v>
      </c>
      <c r="X116" s="7"/>
      <c r="Y116" s="7"/>
      <c r="Z116" s="7"/>
      <c r="AA116" s="7"/>
      <c r="AC116" s="70">
        <f t="shared" si="3"/>
        <v>550</v>
      </c>
      <c r="AD116" s="75">
        <f t="shared" si="4"/>
        <v>1</v>
      </c>
    </row>
    <row r="117" spans="1:34" outlineLevel="6">
      <c r="A117" s="3501" t="s">
        <v>114</v>
      </c>
      <c r="B117" s="3501"/>
      <c r="C117" s="7"/>
      <c r="D117" s="7"/>
      <c r="E117" s="14">
        <v>550</v>
      </c>
      <c r="F117" s="7"/>
      <c r="G117" s="7"/>
      <c r="H117" s="8"/>
      <c r="I117" s="9"/>
      <c r="J117" s="7"/>
      <c r="K117" s="7"/>
      <c r="L117" s="7"/>
      <c r="M117" s="14">
        <v>550</v>
      </c>
      <c r="N117" s="14">
        <v>550</v>
      </c>
      <c r="O117" s="14">
        <v>550</v>
      </c>
      <c r="P117" s="7"/>
      <c r="Q117" s="7"/>
      <c r="R117" s="14">
        <v>550</v>
      </c>
      <c r="S117" s="7"/>
      <c r="T117" s="7"/>
      <c r="U117" s="7"/>
      <c r="V117" s="14">
        <v>550</v>
      </c>
      <c r="W117" s="14">
        <v>550</v>
      </c>
      <c r="X117" s="7"/>
      <c r="Y117" s="7"/>
      <c r="Z117" s="7"/>
      <c r="AA117" s="7"/>
      <c r="AC117" s="70" t="str">
        <f t="shared" si="3"/>
        <v/>
      </c>
      <c r="AD117" s="75" t="str">
        <f t="shared" si="4"/>
        <v/>
      </c>
    </row>
    <row r="118" spans="1:34" outlineLevel="7">
      <c r="A118" s="3500" t="s">
        <v>115</v>
      </c>
      <c r="B118" s="3500"/>
      <c r="C118" s="7"/>
      <c r="D118" s="7"/>
      <c r="E118" s="14">
        <v>550</v>
      </c>
      <c r="F118" s="7"/>
      <c r="G118" s="7"/>
      <c r="H118" s="8"/>
      <c r="I118" s="9"/>
      <c r="J118" s="7"/>
      <c r="K118" s="7"/>
      <c r="L118" s="7"/>
      <c r="M118" s="14">
        <v>550</v>
      </c>
      <c r="N118" s="14">
        <v>550</v>
      </c>
      <c r="O118" s="14">
        <v>550</v>
      </c>
      <c r="P118" s="7"/>
      <c r="Q118" s="7"/>
      <c r="R118" s="14">
        <v>550</v>
      </c>
      <c r="S118" s="7"/>
      <c r="T118" s="7"/>
      <c r="U118" s="7"/>
      <c r="V118" s="14">
        <v>550</v>
      </c>
      <c r="W118" s="14">
        <v>550</v>
      </c>
      <c r="X118" s="7"/>
      <c r="Y118" s="7"/>
      <c r="Z118" s="7"/>
      <c r="AA118" s="7"/>
      <c r="AC118" s="70" t="str">
        <f t="shared" si="3"/>
        <v/>
      </c>
      <c r="AD118" s="75" t="str">
        <f t="shared" si="4"/>
        <v/>
      </c>
      <c r="AH118" t="s">
        <v>3510</v>
      </c>
    </row>
    <row r="119" spans="1:34" outlineLevel="7">
      <c r="A119" s="3499" t="s">
        <v>1547</v>
      </c>
      <c r="B119" s="3499"/>
      <c r="C119" s="7"/>
      <c r="D119" s="7"/>
      <c r="E119" s="14">
        <v>550</v>
      </c>
      <c r="F119" s="7"/>
      <c r="G119" s="7"/>
      <c r="H119" s="8"/>
      <c r="I119" s="9"/>
      <c r="J119" s="7"/>
      <c r="K119" s="7"/>
      <c r="L119" s="7"/>
      <c r="M119" s="14">
        <v>550</v>
      </c>
      <c r="N119" s="14">
        <v>550</v>
      </c>
      <c r="O119" s="14">
        <v>550</v>
      </c>
      <c r="P119" s="7"/>
      <c r="Q119" s="7"/>
      <c r="R119" s="14">
        <v>550</v>
      </c>
      <c r="S119" s="7"/>
      <c r="T119" s="7"/>
      <c r="U119" s="7"/>
      <c r="V119" s="14">
        <v>550</v>
      </c>
      <c r="W119" s="14">
        <v>550</v>
      </c>
      <c r="X119" s="7"/>
      <c r="Y119" s="7"/>
      <c r="Z119" s="7"/>
      <c r="AA119" s="7"/>
      <c r="AC119" s="70">
        <f t="shared" si="3"/>
        <v>550</v>
      </c>
      <c r="AD119" s="75">
        <f t="shared" si="4"/>
        <v>1</v>
      </c>
    </row>
    <row r="120" spans="1:34" outlineLevel="6">
      <c r="A120" s="3501" t="s">
        <v>116</v>
      </c>
      <c r="B120" s="3501"/>
      <c r="C120" s="7"/>
      <c r="D120" s="7"/>
      <c r="E120" s="14">
        <v>550</v>
      </c>
      <c r="F120" s="7"/>
      <c r="G120" s="7"/>
      <c r="H120" s="8"/>
      <c r="I120" s="9"/>
      <c r="J120" s="7"/>
      <c r="K120" s="7"/>
      <c r="L120" s="7"/>
      <c r="M120" s="14">
        <v>550</v>
      </c>
      <c r="N120" s="14">
        <v>550</v>
      </c>
      <c r="O120" s="14">
        <v>550</v>
      </c>
      <c r="P120" s="7"/>
      <c r="Q120" s="7"/>
      <c r="R120" s="14">
        <v>550</v>
      </c>
      <c r="S120" s="7"/>
      <c r="T120" s="7"/>
      <c r="U120" s="7"/>
      <c r="V120" s="14">
        <v>550</v>
      </c>
      <c r="W120" s="14">
        <v>550</v>
      </c>
      <c r="X120" s="7"/>
      <c r="Y120" s="7"/>
      <c r="Z120" s="7"/>
      <c r="AA120" s="7"/>
      <c r="AC120" s="70" t="str">
        <f t="shared" si="3"/>
        <v/>
      </c>
      <c r="AD120" s="75" t="str">
        <f t="shared" si="4"/>
        <v/>
      </c>
    </row>
    <row r="121" spans="1:34" outlineLevel="7">
      <c r="A121" s="3500" t="s">
        <v>117</v>
      </c>
      <c r="B121" s="3500"/>
      <c r="C121" s="7"/>
      <c r="D121" s="7"/>
      <c r="E121" s="14">
        <v>550</v>
      </c>
      <c r="F121" s="7"/>
      <c r="G121" s="7"/>
      <c r="H121" s="8"/>
      <c r="I121" s="9"/>
      <c r="J121" s="7"/>
      <c r="K121" s="7"/>
      <c r="L121" s="7"/>
      <c r="M121" s="14">
        <v>550</v>
      </c>
      <c r="N121" s="14">
        <v>550</v>
      </c>
      <c r="O121" s="14">
        <v>550</v>
      </c>
      <c r="P121" s="7"/>
      <c r="Q121" s="7"/>
      <c r="R121" s="14">
        <v>550</v>
      </c>
      <c r="S121" s="7"/>
      <c r="T121" s="7"/>
      <c r="U121" s="7"/>
      <c r="V121" s="14">
        <v>550</v>
      </c>
      <c r="W121" s="14">
        <v>550</v>
      </c>
      <c r="X121" s="7"/>
      <c r="Y121" s="7"/>
      <c r="Z121" s="7"/>
      <c r="AA121" s="7"/>
      <c r="AC121" s="70" t="str">
        <f t="shared" si="3"/>
        <v/>
      </c>
      <c r="AD121" s="75" t="str">
        <f t="shared" si="4"/>
        <v/>
      </c>
      <c r="AH121" t="s">
        <v>2749</v>
      </c>
    </row>
    <row r="122" spans="1:34" outlineLevel="7">
      <c r="A122" s="3499" t="s">
        <v>1548</v>
      </c>
      <c r="B122" s="3499"/>
      <c r="C122" s="7"/>
      <c r="D122" s="7"/>
      <c r="E122" s="14">
        <v>550</v>
      </c>
      <c r="F122" s="7"/>
      <c r="G122" s="7"/>
      <c r="H122" s="8"/>
      <c r="I122" s="9"/>
      <c r="J122" s="7"/>
      <c r="K122" s="7"/>
      <c r="L122" s="7"/>
      <c r="M122" s="14">
        <v>550</v>
      </c>
      <c r="N122" s="14">
        <v>550</v>
      </c>
      <c r="O122" s="14">
        <v>550</v>
      </c>
      <c r="P122" s="7"/>
      <c r="Q122" s="7"/>
      <c r="R122" s="14">
        <v>550</v>
      </c>
      <c r="S122" s="7"/>
      <c r="T122" s="7"/>
      <c r="U122" s="7"/>
      <c r="V122" s="14">
        <v>550</v>
      </c>
      <c r="W122" s="14">
        <v>550</v>
      </c>
      <c r="X122" s="7"/>
      <c r="Y122" s="7"/>
      <c r="Z122" s="7"/>
      <c r="AA122" s="7"/>
      <c r="AC122" s="70">
        <f t="shared" si="3"/>
        <v>550</v>
      </c>
      <c r="AD122" s="75">
        <f t="shared" si="4"/>
        <v>1</v>
      </c>
    </row>
    <row r="123" spans="1:34" outlineLevel="6">
      <c r="A123" s="3501" t="s">
        <v>118</v>
      </c>
      <c r="B123" s="3501"/>
      <c r="C123" s="7"/>
      <c r="D123" s="7"/>
      <c r="E123" s="14">
        <v>550</v>
      </c>
      <c r="F123" s="7"/>
      <c r="G123" s="7"/>
      <c r="H123" s="8"/>
      <c r="I123" s="9"/>
      <c r="J123" s="7"/>
      <c r="K123" s="7"/>
      <c r="L123" s="7"/>
      <c r="M123" s="14">
        <v>550</v>
      </c>
      <c r="N123" s="14">
        <v>550</v>
      </c>
      <c r="O123" s="14">
        <v>550</v>
      </c>
      <c r="P123" s="7"/>
      <c r="Q123" s="7"/>
      <c r="R123" s="14">
        <v>550</v>
      </c>
      <c r="S123" s="7"/>
      <c r="T123" s="7"/>
      <c r="U123" s="7"/>
      <c r="V123" s="14">
        <v>550</v>
      </c>
      <c r="W123" s="14">
        <v>550</v>
      </c>
      <c r="X123" s="7"/>
      <c r="Y123" s="7"/>
      <c r="Z123" s="7"/>
      <c r="AA123" s="7"/>
      <c r="AC123" s="70" t="str">
        <f t="shared" si="3"/>
        <v/>
      </c>
      <c r="AD123" s="75" t="str">
        <f t="shared" si="4"/>
        <v/>
      </c>
    </row>
    <row r="124" spans="1:34" outlineLevel="7">
      <c r="A124" s="3500" t="s">
        <v>119</v>
      </c>
      <c r="B124" s="3500"/>
      <c r="C124" s="7"/>
      <c r="D124" s="7"/>
      <c r="E124" s="14">
        <v>550</v>
      </c>
      <c r="F124" s="7"/>
      <c r="G124" s="7"/>
      <c r="H124" s="8"/>
      <c r="I124" s="9"/>
      <c r="J124" s="7"/>
      <c r="K124" s="7"/>
      <c r="L124" s="7"/>
      <c r="M124" s="14">
        <v>550</v>
      </c>
      <c r="N124" s="14">
        <v>550</v>
      </c>
      <c r="O124" s="14">
        <v>550</v>
      </c>
      <c r="P124" s="7"/>
      <c r="Q124" s="7"/>
      <c r="R124" s="14">
        <v>550</v>
      </c>
      <c r="S124" s="7"/>
      <c r="T124" s="7"/>
      <c r="U124" s="7"/>
      <c r="V124" s="14">
        <v>550</v>
      </c>
      <c r="W124" s="14">
        <v>550</v>
      </c>
      <c r="X124" s="7"/>
      <c r="Y124" s="7"/>
      <c r="Z124" s="7"/>
      <c r="AA124" s="7"/>
      <c r="AC124" s="70" t="str">
        <f t="shared" si="3"/>
        <v/>
      </c>
      <c r="AD124" s="75" t="str">
        <f t="shared" si="4"/>
        <v/>
      </c>
      <c r="AH124" t="s">
        <v>3544</v>
      </c>
    </row>
    <row r="125" spans="1:34" outlineLevel="7">
      <c r="A125" s="3499" t="s">
        <v>1549</v>
      </c>
      <c r="B125" s="3499"/>
      <c r="C125" s="7"/>
      <c r="D125" s="7"/>
      <c r="E125" s="14">
        <v>550</v>
      </c>
      <c r="F125" s="7"/>
      <c r="G125" s="7"/>
      <c r="H125" s="8"/>
      <c r="I125" s="9"/>
      <c r="J125" s="7"/>
      <c r="K125" s="7"/>
      <c r="L125" s="7"/>
      <c r="M125" s="14">
        <v>550</v>
      </c>
      <c r="N125" s="14">
        <v>550</v>
      </c>
      <c r="O125" s="14">
        <v>550</v>
      </c>
      <c r="P125" s="7"/>
      <c r="Q125" s="7"/>
      <c r="R125" s="14">
        <v>550</v>
      </c>
      <c r="S125" s="7"/>
      <c r="T125" s="7"/>
      <c r="U125" s="7"/>
      <c r="V125" s="14">
        <v>550</v>
      </c>
      <c r="W125" s="14">
        <v>550</v>
      </c>
      <c r="X125" s="7"/>
      <c r="Y125" s="7"/>
      <c r="Z125" s="7"/>
      <c r="AA125" s="7"/>
      <c r="AC125" s="70">
        <f t="shared" si="3"/>
        <v>550</v>
      </c>
      <c r="AD125" s="75">
        <f t="shared" si="4"/>
        <v>1</v>
      </c>
    </row>
    <row r="126" spans="1:34" outlineLevel="6">
      <c r="A126" s="3501" t="s">
        <v>120</v>
      </c>
      <c r="B126" s="3501"/>
      <c r="C126" s="7"/>
      <c r="D126" s="7"/>
      <c r="E126" s="14">
        <v>550</v>
      </c>
      <c r="F126" s="7"/>
      <c r="G126" s="7"/>
      <c r="H126" s="8"/>
      <c r="I126" s="9"/>
      <c r="J126" s="7"/>
      <c r="K126" s="7"/>
      <c r="L126" s="7"/>
      <c r="M126" s="14">
        <v>550</v>
      </c>
      <c r="N126" s="14">
        <v>550</v>
      </c>
      <c r="O126" s="14">
        <v>550</v>
      </c>
      <c r="P126" s="7"/>
      <c r="Q126" s="7"/>
      <c r="R126" s="14">
        <v>550</v>
      </c>
      <c r="S126" s="7"/>
      <c r="T126" s="7"/>
      <c r="U126" s="7"/>
      <c r="V126" s="14">
        <v>550</v>
      </c>
      <c r="W126" s="14">
        <v>550</v>
      </c>
      <c r="X126" s="7"/>
      <c r="Y126" s="7"/>
      <c r="Z126" s="7"/>
      <c r="AA126" s="7"/>
      <c r="AC126" s="70" t="str">
        <f t="shared" si="3"/>
        <v/>
      </c>
      <c r="AD126" s="75" t="str">
        <f t="shared" si="4"/>
        <v/>
      </c>
    </row>
    <row r="127" spans="1:34" outlineLevel="7">
      <c r="A127" s="3500" t="s">
        <v>121</v>
      </c>
      <c r="B127" s="3500"/>
      <c r="C127" s="7"/>
      <c r="D127" s="7"/>
      <c r="E127" s="14">
        <v>550</v>
      </c>
      <c r="F127" s="7"/>
      <c r="G127" s="7"/>
      <c r="H127" s="8"/>
      <c r="I127" s="9"/>
      <c r="J127" s="7"/>
      <c r="K127" s="7"/>
      <c r="L127" s="7"/>
      <c r="M127" s="14">
        <v>550</v>
      </c>
      <c r="N127" s="14">
        <v>550</v>
      </c>
      <c r="O127" s="14">
        <v>550</v>
      </c>
      <c r="P127" s="7"/>
      <c r="Q127" s="7"/>
      <c r="R127" s="14">
        <v>550</v>
      </c>
      <c r="S127" s="7"/>
      <c r="T127" s="7"/>
      <c r="U127" s="7"/>
      <c r="V127" s="14">
        <v>550</v>
      </c>
      <c r="W127" s="14">
        <v>550</v>
      </c>
      <c r="X127" s="7"/>
      <c r="Y127" s="7"/>
      <c r="Z127" s="7"/>
      <c r="AA127" s="7"/>
      <c r="AC127" s="70" t="str">
        <f t="shared" si="3"/>
        <v/>
      </c>
      <c r="AD127" s="75" t="str">
        <f t="shared" si="4"/>
        <v/>
      </c>
      <c r="AH127" t="s">
        <v>3528</v>
      </c>
    </row>
    <row r="128" spans="1:34" outlineLevel="7">
      <c r="A128" s="3499" t="s">
        <v>1550</v>
      </c>
      <c r="B128" s="3499"/>
      <c r="C128" s="7"/>
      <c r="D128" s="7"/>
      <c r="E128" s="14">
        <v>550</v>
      </c>
      <c r="F128" s="7"/>
      <c r="G128" s="7"/>
      <c r="H128" s="8"/>
      <c r="I128" s="9"/>
      <c r="J128" s="7"/>
      <c r="K128" s="7"/>
      <c r="L128" s="7"/>
      <c r="M128" s="14">
        <v>550</v>
      </c>
      <c r="N128" s="14">
        <v>550</v>
      </c>
      <c r="O128" s="14">
        <v>550</v>
      </c>
      <c r="P128" s="7"/>
      <c r="Q128" s="7"/>
      <c r="R128" s="14">
        <v>550</v>
      </c>
      <c r="S128" s="7"/>
      <c r="T128" s="7"/>
      <c r="U128" s="7"/>
      <c r="V128" s="14">
        <v>550</v>
      </c>
      <c r="W128" s="14">
        <v>550</v>
      </c>
      <c r="X128" s="7"/>
      <c r="Y128" s="7"/>
      <c r="Z128" s="7"/>
      <c r="AA128" s="7"/>
      <c r="AC128" s="70">
        <f t="shared" si="3"/>
        <v>550</v>
      </c>
      <c r="AD128" s="75">
        <f t="shared" si="4"/>
        <v>1</v>
      </c>
    </row>
    <row r="129" spans="1:36" outlineLevel="6">
      <c r="A129" s="3501" t="s">
        <v>122</v>
      </c>
      <c r="B129" s="3501"/>
      <c r="C129" s="7"/>
      <c r="D129" s="7"/>
      <c r="E129" s="14">
        <v>550</v>
      </c>
      <c r="F129" s="7"/>
      <c r="G129" s="7"/>
      <c r="H129" s="8"/>
      <c r="I129" s="9"/>
      <c r="J129" s="7"/>
      <c r="K129" s="7"/>
      <c r="L129" s="7"/>
      <c r="M129" s="14">
        <v>550</v>
      </c>
      <c r="N129" s="14">
        <v>550</v>
      </c>
      <c r="O129" s="14">
        <v>550</v>
      </c>
      <c r="P129" s="7"/>
      <c r="Q129" s="7"/>
      <c r="R129" s="14">
        <v>550</v>
      </c>
      <c r="S129" s="7"/>
      <c r="T129" s="7"/>
      <c r="U129" s="7"/>
      <c r="V129" s="14">
        <v>550</v>
      </c>
      <c r="W129" s="14">
        <v>550</v>
      </c>
      <c r="X129" s="7"/>
      <c r="Y129" s="7"/>
      <c r="Z129" s="7"/>
      <c r="AA129" s="7"/>
      <c r="AC129" s="70" t="str">
        <f t="shared" si="3"/>
        <v/>
      </c>
      <c r="AD129" s="75" t="str">
        <f t="shared" si="4"/>
        <v/>
      </c>
    </row>
    <row r="130" spans="1:36" outlineLevel="7">
      <c r="A130" s="3500" t="s">
        <v>123</v>
      </c>
      <c r="B130" s="3500"/>
      <c r="C130" s="7"/>
      <c r="D130" s="7"/>
      <c r="E130" s="14">
        <v>550</v>
      </c>
      <c r="F130" s="7"/>
      <c r="G130" s="7"/>
      <c r="H130" s="8"/>
      <c r="I130" s="9"/>
      <c r="J130" s="7"/>
      <c r="K130" s="7"/>
      <c r="L130" s="7"/>
      <c r="M130" s="14">
        <v>550</v>
      </c>
      <c r="N130" s="14">
        <v>550</v>
      </c>
      <c r="O130" s="14">
        <v>550</v>
      </c>
      <c r="P130" s="7"/>
      <c r="Q130" s="7"/>
      <c r="R130" s="14">
        <v>550</v>
      </c>
      <c r="S130" s="7"/>
      <c r="T130" s="7"/>
      <c r="U130" s="7"/>
      <c r="V130" s="14">
        <v>550</v>
      </c>
      <c r="W130" s="14">
        <v>550</v>
      </c>
      <c r="X130" s="7"/>
      <c r="Y130" s="7"/>
      <c r="Z130" s="7"/>
      <c r="AA130" s="7"/>
      <c r="AC130" s="70" t="str">
        <f t="shared" si="3"/>
        <v/>
      </c>
      <c r="AD130" s="75" t="str">
        <f t="shared" si="4"/>
        <v/>
      </c>
      <c r="AH130" t="s">
        <v>123</v>
      </c>
    </row>
    <row r="131" spans="1:36" outlineLevel="7">
      <c r="A131" s="3499" t="s">
        <v>1551</v>
      </c>
      <c r="B131" s="3499"/>
      <c r="C131" s="7"/>
      <c r="D131" s="7"/>
      <c r="E131" s="14">
        <v>550</v>
      </c>
      <c r="F131" s="7"/>
      <c r="G131" s="7"/>
      <c r="H131" s="8"/>
      <c r="I131" s="9"/>
      <c r="J131" s="7"/>
      <c r="K131" s="7"/>
      <c r="L131" s="7"/>
      <c r="M131" s="14">
        <v>550</v>
      </c>
      <c r="N131" s="14">
        <v>550</v>
      </c>
      <c r="O131" s="14">
        <v>550</v>
      </c>
      <c r="P131" s="7"/>
      <c r="Q131" s="7"/>
      <c r="R131" s="14">
        <v>550</v>
      </c>
      <c r="S131" s="7"/>
      <c r="T131" s="7"/>
      <c r="U131" s="7"/>
      <c r="V131" s="14">
        <v>550</v>
      </c>
      <c r="W131" s="14">
        <v>550</v>
      </c>
      <c r="X131" s="7"/>
      <c r="Y131" s="7"/>
      <c r="Z131" s="7"/>
      <c r="AA131" s="7"/>
      <c r="AC131" s="70">
        <f t="shared" si="3"/>
        <v>550</v>
      </c>
      <c r="AD131" s="75">
        <f t="shared" si="4"/>
        <v>1</v>
      </c>
    </row>
    <row r="132" spans="1:36" outlineLevel="6">
      <c r="A132" s="3501" t="s">
        <v>124</v>
      </c>
      <c r="B132" s="3501"/>
      <c r="C132" s="7"/>
      <c r="D132" s="7"/>
      <c r="E132" s="14">
        <v>550</v>
      </c>
      <c r="F132" s="7"/>
      <c r="G132" s="7"/>
      <c r="H132" s="8"/>
      <c r="I132" s="9"/>
      <c r="J132" s="7"/>
      <c r="K132" s="7"/>
      <c r="L132" s="7"/>
      <c r="M132" s="14">
        <v>550</v>
      </c>
      <c r="N132" s="14">
        <v>550</v>
      </c>
      <c r="O132" s="14">
        <v>550</v>
      </c>
      <c r="P132" s="7"/>
      <c r="Q132" s="7"/>
      <c r="R132" s="14">
        <v>550</v>
      </c>
      <c r="S132" s="7"/>
      <c r="T132" s="7"/>
      <c r="U132" s="7"/>
      <c r="V132" s="14">
        <v>550</v>
      </c>
      <c r="W132" s="14">
        <v>550</v>
      </c>
      <c r="X132" s="7"/>
      <c r="Y132" s="7"/>
      <c r="Z132" s="7"/>
      <c r="AA132" s="7"/>
      <c r="AC132" s="70" t="str">
        <f t="shared" si="3"/>
        <v/>
      </c>
      <c r="AD132" s="75" t="str">
        <f t="shared" si="4"/>
        <v/>
      </c>
    </row>
    <row r="133" spans="1:36" outlineLevel="7">
      <c r="A133" s="3500" t="s">
        <v>125</v>
      </c>
      <c r="B133" s="3500"/>
      <c r="C133" s="7"/>
      <c r="D133" s="7"/>
      <c r="E133" s="14">
        <v>550</v>
      </c>
      <c r="F133" s="7"/>
      <c r="G133" s="7"/>
      <c r="H133" s="8"/>
      <c r="I133" s="9"/>
      <c r="J133" s="7"/>
      <c r="K133" s="7"/>
      <c r="L133" s="7"/>
      <c r="M133" s="14">
        <v>550</v>
      </c>
      <c r="N133" s="14">
        <v>550</v>
      </c>
      <c r="O133" s="14">
        <v>550</v>
      </c>
      <c r="P133" s="7"/>
      <c r="Q133" s="7"/>
      <c r="R133" s="14">
        <v>550</v>
      </c>
      <c r="S133" s="7"/>
      <c r="T133" s="7"/>
      <c r="U133" s="7"/>
      <c r="V133" s="14">
        <v>550</v>
      </c>
      <c r="W133" s="14">
        <v>550</v>
      </c>
      <c r="X133" s="7"/>
      <c r="Y133" s="7"/>
      <c r="Z133" s="7"/>
      <c r="AA133" s="7"/>
      <c r="AC133" s="70" t="str">
        <f t="shared" si="3"/>
        <v/>
      </c>
      <c r="AD133" s="75" t="str">
        <f t="shared" si="4"/>
        <v/>
      </c>
      <c r="AH133" t="s">
        <v>3484</v>
      </c>
    </row>
    <row r="134" spans="1:36" outlineLevel="7">
      <c r="A134" s="3499" t="s">
        <v>1552</v>
      </c>
      <c r="B134" s="3499"/>
      <c r="C134" s="7"/>
      <c r="D134" s="7"/>
      <c r="E134" s="14">
        <v>550</v>
      </c>
      <c r="F134" s="7"/>
      <c r="G134" s="7"/>
      <c r="H134" s="8"/>
      <c r="I134" s="9"/>
      <c r="J134" s="7"/>
      <c r="K134" s="7"/>
      <c r="L134" s="7"/>
      <c r="M134" s="14">
        <v>550</v>
      </c>
      <c r="N134" s="14">
        <v>550</v>
      </c>
      <c r="O134" s="14">
        <v>550</v>
      </c>
      <c r="P134" s="7"/>
      <c r="Q134" s="7"/>
      <c r="R134" s="14">
        <v>550</v>
      </c>
      <c r="S134" s="7"/>
      <c r="T134" s="7"/>
      <c r="U134" s="7"/>
      <c r="V134" s="14">
        <v>550</v>
      </c>
      <c r="W134" s="14">
        <v>550</v>
      </c>
      <c r="X134" s="7"/>
      <c r="Y134" s="7"/>
      <c r="Z134" s="7"/>
      <c r="AA134" s="7"/>
      <c r="AC134" s="70">
        <f t="shared" si="3"/>
        <v>550</v>
      </c>
      <c r="AD134" s="75">
        <f t="shared" si="4"/>
        <v>1</v>
      </c>
    </row>
    <row r="135" spans="1:36" outlineLevel="6">
      <c r="A135" s="3501" t="s">
        <v>126</v>
      </c>
      <c r="B135" s="3501"/>
      <c r="C135" s="7"/>
      <c r="D135" s="7"/>
      <c r="E135" s="14">
        <v>550</v>
      </c>
      <c r="F135" s="7"/>
      <c r="G135" s="7"/>
      <c r="H135" s="8"/>
      <c r="I135" s="9"/>
      <c r="J135" s="7"/>
      <c r="K135" s="7"/>
      <c r="L135" s="7"/>
      <c r="M135" s="14">
        <v>550</v>
      </c>
      <c r="N135" s="14">
        <v>550</v>
      </c>
      <c r="O135" s="14">
        <v>550</v>
      </c>
      <c r="P135" s="7"/>
      <c r="Q135" s="7"/>
      <c r="R135" s="14">
        <v>550</v>
      </c>
      <c r="S135" s="7"/>
      <c r="T135" s="7"/>
      <c r="U135" s="7"/>
      <c r="V135" s="14">
        <v>550</v>
      </c>
      <c r="W135" s="14">
        <v>550</v>
      </c>
      <c r="X135" s="7"/>
      <c r="Y135" s="7"/>
      <c r="Z135" s="7"/>
      <c r="AA135" s="7"/>
      <c r="AC135" s="70" t="str">
        <f t="shared" si="3"/>
        <v/>
      </c>
      <c r="AD135" s="75" t="str">
        <f t="shared" si="4"/>
        <v/>
      </c>
    </row>
    <row r="136" spans="1:36" outlineLevel="7">
      <c r="A136" s="3500" t="s">
        <v>127</v>
      </c>
      <c r="B136" s="3500"/>
      <c r="C136" s="7"/>
      <c r="D136" s="7"/>
      <c r="E136" s="14">
        <v>550</v>
      </c>
      <c r="F136" s="7"/>
      <c r="G136" s="7"/>
      <c r="H136" s="8"/>
      <c r="I136" s="9"/>
      <c r="J136" s="7"/>
      <c r="K136" s="7"/>
      <c r="L136" s="7"/>
      <c r="M136" s="14">
        <v>550</v>
      </c>
      <c r="N136" s="14">
        <v>550</v>
      </c>
      <c r="O136" s="14">
        <v>550</v>
      </c>
      <c r="P136" s="7"/>
      <c r="Q136" s="7"/>
      <c r="R136" s="14">
        <v>550</v>
      </c>
      <c r="S136" s="7"/>
      <c r="T136" s="7"/>
      <c r="U136" s="7"/>
      <c r="V136" s="14">
        <v>550</v>
      </c>
      <c r="W136" s="14">
        <v>550</v>
      </c>
      <c r="X136" s="7"/>
      <c r="Y136" s="7"/>
      <c r="Z136" s="7"/>
      <c r="AA136" s="7"/>
      <c r="AC136" s="70" t="str">
        <f t="shared" si="3"/>
        <v/>
      </c>
      <c r="AD136" s="75" t="str">
        <f t="shared" si="4"/>
        <v/>
      </c>
      <c r="AH136" t="s">
        <v>3437</v>
      </c>
    </row>
    <row r="137" spans="1:36" outlineLevel="7">
      <c r="A137" s="3499" t="s">
        <v>1553</v>
      </c>
      <c r="B137" s="3499"/>
      <c r="C137" s="7"/>
      <c r="D137" s="7"/>
      <c r="E137" s="14">
        <v>550</v>
      </c>
      <c r="F137" s="7"/>
      <c r="G137" s="7"/>
      <c r="H137" s="8"/>
      <c r="I137" s="9"/>
      <c r="J137" s="7"/>
      <c r="K137" s="7"/>
      <c r="L137" s="7"/>
      <c r="M137" s="14">
        <v>550</v>
      </c>
      <c r="N137" s="14">
        <v>550</v>
      </c>
      <c r="O137" s="14">
        <v>550</v>
      </c>
      <c r="P137" s="7"/>
      <c r="Q137" s="7"/>
      <c r="R137" s="14">
        <v>550</v>
      </c>
      <c r="S137" s="7"/>
      <c r="T137" s="7"/>
      <c r="U137" s="7"/>
      <c r="V137" s="14">
        <v>550</v>
      </c>
      <c r="W137" s="14">
        <v>550</v>
      </c>
      <c r="X137" s="7"/>
      <c r="Y137" s="7"/>
      <c r="Z137" s="7"/>
      <c r="AA137" s="7"/>
      <c r="AC137" s="70">
        <f t="shared" si="3"/>
        <v>550</v>
      </c>
      <c r="AD137" s="75">
        <f t="shared" si="4"/>
        <v>1</v>
      </c>
    </row>
    <row r="138" spans="1:36" outlineLevel="6">
      <c r="A138" s="3501" t="s">
        <v>128</v>
      </c>
      <c r="B138" s="3501"/>
      <c r="C138" s="7"/>
      <c r="D138" s="7"/>
      <c r="E138" s="14">
        <v>550</v>
      </c>
      <c r="F138" s="7"/>
      <c r="G138" s="7"/>
      <c r="H138" s="8"/>
      <c r="I138" s="9"/>
      <c r="J138" s="7"/>
      <c r="K138" s="7"/>
      <c r="L138" s="7"/>
      <c r="M138" s="14">
        <v>550</v>
      </c>
      <c r="N138" s="14">
        <v>550</v>
      </c>
      <c r="O138" s="14">
        <v>550</v>
      </c>
      <c r="P138" s="7"/>
      <c r="Q138" s="7"/>
      <c r="R138" s="14">
        <v>550</v>
      </c>
      <c r="S138" s="7"/>
      <c r="T138" s="7"/>
      <c r="U138" s="7"/>
      <c r="V138" s="14">
        <v>550</v>
      </c>
      <c r="W138" s="14">
        <v>550</v>
      </c>
      <c r="X138" s="7"/>
      <c r="Y138" s="7"/>
      <c r="Z138" s="7"/>
      <c r="AA138" s="7"/>
      <c r="AC138" s="70" t="str">
        <f t="shared" si="3"/>
        <v/>
      </c>
      <c r="AD138" s="75" t="str">
        <f t="shared" si="4"/>
        <v/>
      </c>
    </row>
    <row r="139" spans="1:36" outlineLevel="7">
      <c r="A139" s="3500" t="s">
        <v>129</v>
      </c>
      <c r="B139" s="3500"/>
      <c r="C139" s="7"/>
      <c r="D139" s="7"/>
      <c r="E139" s="14">
        <v>550</v>
      </c>
      <c r="F139" s="7"/>
      <c r="G139" s="7"/>
      <c r="H139" s="8"/>
      <c r="I139" s="9"/>
      <c r="J139" s="7"/>
      <c r="K139" s="7"/>
      <c r="L139" s="7"/>
      <c r="M139" s="14">
        <v>550</v>
      </c>
      <c r="N139" s="14">
        <v>550</v>
      </c>
      <c r="O139" s="14">
        <v>550</v>
      </c>
      <c r="P139" s="7"/>
      <c r="Q139" s="7"/>
      <c r="R139" s="14">
        <v>550</v>
      </c>
      <c r="S139" s="7"/>
      <c r="T139" s="7"/>
      <c r="U139" s="7"/>
      <c r="V139" s="14">
        <v>550</v>
      </c>
      <c r="W139" s="14">
        <v>550</v>
      </c>
      <c r="X139" s="7"/>
      <c r="Y139" s="7"/>
      <c r="Z139" s="7"/>
      <c r="AA139" s="7"/>
      <c r="AC139" s="70" t="str">
        <f t="shared" si="3"/>
        <v/>
      </c>
      <c r="AD139" s="75" t="str">
        <f t="shared" si="4"/>
        <v/>
      </c>
      <c r="AH139" t="s">
        <v>3541</v>
      </c>
    </row>
    <row r="140" spans="1:36" outlineLevel="7">
      <c r="A140" s="3499" t="s">
        <v>1554</v>
      </c>
      <c r="B140" s="3499"/>
      <c r="C140" s="7"/>
      <c r="D140" s="7"/>
      <c r="E140" s="14">
        <v>550</v>
      </c>
      <c r="F140" s="7"/>
      <c r="G140" s="7"/>
      <c r="H140" s="8"/>
      <c r="I140" s="9"/>
      <c r="J140" s="7"/>
      <c r="K140" s="7"/>
      <c r="L140" s="7"/>
      <c r="M140" s="14">
        <v>550</v>
      </c>
      <c r="N140" s="14">
        <v>550</v>
      </c>
      <c r="O140" s="14">
        <v>550</v>
      </c>
      <c r="P140" s="7"/>
      <c r="Q140" s="7"/>
      <c r="R140" s="14">
        <v>550</v>
      </c>
      <c r="S140" s="7"/>
      <c r="T140" s="7"/>
      <c r="U140" s="7"/>
      <c r="V140" s="14">
        <v>550</v>
      </c>
      <c r="W140" s="14">
        <v>550</v>
      </c>
      <c r="X140" s="7"/>
      <c r="Y140" s="7"/>
      <c r="Z140" s="7"/>
      <c r="AA140" s="7"/>
      <c r="AC140" s="70">
        <f t="shared" si="3"/>
        <v>550</v>
      </c>
      <c r="AD140" s="75">
        <f t="shared" si="4"/>
        <v>1</v>
      </c>
    </row>
    <row r="141" spans="1:36" outlineLevel="6">
      <c r="A141" s="3501" t="s">
        <v>130</v>
      </c>
      <c r="B141" s="3501"/>
      <c r="C141" s="7"/>
      <c r="D141" s="7"/>
      <c r="E141" s="13">
        <v>9543.7199999999993</v>
      </c>
      <c r="F141" s="7"/>
      <c r="G141" s="7"/>
      <c r="H141" s="8"/>
      <c r="I141" s="9"/>
      <c r="J141" s="7"/>
      <c r="K141" s="7"/>
      <c r="L141" s="7"/>
      <c r="M141" s="13">
        <v>9543.7199999999993</v>
      </c>
      <c r="N141" s="13">
        <v>9543.7199999999993</v>
      </c>
      <c r="O141" s="13">
        <v>9543.7199999999993</v>
      </c>
      <c r="P141" s="7"/>
      <c r="Q141" s="7"/>
      <c r="R141" s="13">
        <v>9543.7199999999993</v>
      </c>
      <c r="S141" s="7"/>
      <c r="T141" s="7"/>
      <c r="U141" s="7"/>
      <c r="V141" s="13">
        <v>9543.7199999999993</v>
      </c>
      <c r="W141" s="13">
        <v>9543.7199999999993</v>
      </c>
      <c r="X141" s="7"/>
      <c r="Y141" s="7"/>
      <c r="Z141" s="7"/>
      <c r="AA141" s="7"/>
      <c r="AC141" s="70" t="str">
        <f t="shared" si="3"/>
        <v/>
      </c>
      <c r="AD141" s="75" t="str">
        <f t="shared" si="4"/>
        <v/>
      </c>
    </row>
    <row r="142" spans="1:36" outlineLevel="7">
      <c r="A142" s="3500" t="s">
        <v>131</v>
      </c>
      <c r="B142" s="3500"/>
      <c r="C142" s="7"/>
      <c r="D142" s="7"/>
      <c r="E142" s="14">
        <v>550</v>
      </c>
      <c r="F142" s="7"/>
      <c r="G142" s="7"/>
      <c r="H142" s="8"/>
      <c r="I142" s="9"/>
      <c r="J142" s="7"/>
      <c r="K142" s="7"/>
      <c r="L142" s="7"/>
      <c r="M142" s="14">
        <v>550</v>
      </c>
      <c r="N142" s="14">
        <v>550</v>
      </c>
      <c r="O142" s="14">
        <v>550</v>
      </c>
      <c r="P142" s="7"/>
      <c r="Q142" s="7"/>
      <c r="R142" s="14">
        <v>550</v>
      </c>
      <c r="S142" s="7"/>
      <c r="T142" s="7"/>
      <c r="U142" s="7"/>
      <c r="V142" s="14">
        <v>550</v>
      </c>
      <c r="W142" s="14">
        <v>550</v>
      </c>
      <c r="X142" s="7"/>
      <c r="Y142" s="7"/>
      <c r="Z142" s="7"/>
      <c r="AA142" s="7"/>
      <c r="AC142" s="70" t="str">
        <f t="shared" si="3"/>
        <v/>
      </c>
      <c r="AD142" s="75" t="str">
        <f t="shared" si="4"/>
        <v/>
      </c>
      <c r="AH142" t="s">
        <v>3388</v>
      </c>
    </row>
    <row r="143" spans="1:36" outlineLevel="7">
      <c r="A143" s="3499" t="s">
        <v>1555</v>
      </c>
      <c r="B143" s="3499"/>
      <c r="C143" s="7"/>
      <c r="D143" s="7"/>
      <c r="E143" s="14">
        <v>550</v>
      </c>
      <c r="F143" s="7"/>
      <c r="G143" s="7"/>
      <c r="H143" s="8"/>
      <c r="I143" s="9"/>
      <c r="J143" s="7"/>
      <c r="K143" s="7"/>
      <c r="L143" s="7"/>
      <c r="M143" s="14">
        <v>550</v>
      </c>
      <c r="N143" s="14">
        <v>550</v>
      </c>
      <c r="O143" s="14">
        <v>550</v>
      </c>
      <c r="P143" s="7"/>
      <c r="Q143" s="7"/>
      <c r="R143" s="14">
        <v>550</v>
      </c>
      <c r="S143" s="7"/>
      <c r="T143" s="7"/>
      <c r="U143" s="7"/>
      <c r="V143" s="14">
        <v>550</v>
      </c>
      <c r="W143" s="14">
        <v>550</v>
      </c>
      <c r="X143" s="7"/>
      <c r="Y143" s="7"/>
      <c r="Z143" s="7"/>
      <c r="AA143" s="7"/>
      <c r="AC143" s="70">
        <f t="shared" si="3"/>
        <v>550</v>
      </c>
      <c r="AD143" s="75">
        <f>IF(AC143=550,1,"")</f>
        <v>1</v>
      </c>
    </row>
    <row r="144" spans="1:36" outlineLevel="7">
      <c r="A144" s="3500" t="s">
        <v>132</v>
      </c>
      <c r="B144" s="3500"/>
      <c r="C144" s="7"/>
      <c r="D144" s="7"/>
      <c r="E144" s="13">
        <v>4496.8599999999997</v>
      </c>
      <c r="F144" s="7"/>
      <c r="G144" s="7"/>
      <c r="H144" s="8"/>
      <c r="I144" s="9"/>
      <c r="J144" s="7"/>
      <c r="K144" s="7"/>
      <c r="L144" s="7"/>
      <c r="M144" s="13">
        <v>4496.8599999999997</v>
      </c>
      <c r="N144" s="13">
        <v>4496.8599999999997</v>
      </c>
      <c r="O144" s="13">
        <v>4496.8599999999997</v>
      </c>
      <c r="P144" s="7"/>
      <c r="Q144" s="7"/>
      <c r="R144" s="13">
        <v>4496.8599999999997</v>
      </c>
      <c r="S144" s="7"/>
      <c r="T144" s="7"/>
      <c r="U144" s="7"/>
      <c r="V144" s="13">
        <v>4496.8599999999997</v>
      </c>
      <c r="W144" s="13">
        <v>4496.8599999999997</v>
      </c>
      <c r="X144" s="7"/>
      <c r="Y144" s="7"/>
      <c r="Z144" s="7"/>
      <c r="AA144" s="7"/>
      <c r="AC144" s="70" t="str">
        <f t="shared" si="3"/>
        <v/>
      </c>
      <c r="AD144" s="75" t="str">
        <f t="shared" si="4"/>
        <v/>
      </c>
      <c r="AH144" s="1" t="s">
        <v>3627</v>
      </c>
      <c r="AJ144" s="1"/>
    </row>
    <row r="145" spans="1:36" outlineLevel="7">
      <c r="A145" s="3499" t="s">
        <v>1556</v>
      </c>
      <c r="B145" s="3499"/>
      <c r="C145" s="7"/>
      <c r="D145" s="7"/>
      <c r="E145" s="13">
        <v>4496.8599999999997</v>
      </c>
      <c r="F145" s="7"/>
      <c r="G145" s="7"/>
      <c r="H145" s="8"/>
      <c r="I145" s="9"/>
      <c r="J145" s="7"/>
      <c r="K145" s="7"/>
      <c r="L145" s="7"/>
      <c r="M145" s="13">
        <v>4496.8599999999997</v>
      </c>
      <c r="N145" s="13">
        <v>4496.8599999999997</v>
      </c>
      <c r="O145" s="13">
        <v>4496.8599999999997</v>
      </c>
      <c r="P145" s="7"/>
      <c r="Q145" s="7"/>
      <c r="R145" s="13">
        <v>4496.8599999999997</v>
      </c>
      <c r="S145" s="7"/>
      <c r="T145" s="7"/>
      <c r="U145" s="7"/>
      <c r="V145" s="13">
        <v>4496.8599999999997</v>
      </c>
      <c r="W145" s="13">
        <v>4496.8599999999997</v>
      </c>
      <c r="X145" s="7"/>
      <c r="Y145" s="7"/>
      <c r="Z145" s="7"/>
      <c r="AA145" s="7"/>
      <c r="AC145" s="70">
        <f t="shared" ref="AC145:AC208" si="5">IF(LEFT($A145,5)="Реали",$E145,"")</f>
        <v>4496.8599999999997</v>
      </c>
      <c r="AD145" s="75" t="str">
        <f t="shared" ref="AD145:AD208" si="6">IF(AC145=550,1,"")</f>
        <v/>
      </c>
      <c r="AG145">
        <f>AC145</f>
        <v>4496.8599999999997</v>
      </c>
      <c r="AH145" s="27"/>
    </row>
    <row r="146" spans="1:36" outlineLevel="7">
      <c r="A146" s="3500" t="s">
        <v>133</v>
      </c>
      <c r="B146" s="3500"/>
      <c r="C146" s="7"/>
      <c r="D146" s="7"/>
      <c r="E146" s="13">
        <v>4496.8599999999997</v>
      </c>
      <c r="F146" s="7"/>
      <c r="G146" s="7"/>
      <c r="H146" s="8"/>
      <c r="I146" s="9"/>
      <c r="J146" s="7"/>
      <c r="K146" s="7"/>
      <c r="L146" s="7"/>
      <c r="M146" s="13">
        <v>4496.8599999999997</v>
      </c>
      <c r="N146" s="13">
        <v>4496.8599999999997</v>
      </c>
      <c r="O146" s="13">
        <v>4496.8599999999997</v>
      </c>
      <c r="P146" s="7"/>
      <c r="Q146" s="7"/>
      <c r="R146" s="13">
        <v>4496.8599999999997</v>
      </c>
      <c r="S146" s="7"/>
      <c r="T146" s="7"/>
      <c r="U146" s="7"/>
      <c r="V146" s="13">
        <v>4496.8599999999997</v>
      </c>
      <c r="W146" s="13">
        <v>4496.8599999999997</v>
      </c>
      <c r="X146" s="7"/>
      <c r="Y146" s="7"/>
      <c r="Z146" s="7"/>
      <c r="AA146" s="7"/>
      <c r="AC146" s="70" t="str">
        <f t="shared" si="5"/>
        <v/>
      </c>
      <c r="AD146" s="75" t="str">
        <f t="shared" si="6"/>
        <v/>
      </c>
      <c r="AH146" s="1" t="s">
        <v>3586</v>
      </c>
      <c r="AJ146" s="1"/>
    </row>
    <row r="147" spans="1:36" outlineLevel="7">
      <c r="A147" s="3499" t="s">
        <v>1557</v>
      </c>
      <c r="B147" s="3499"/>
      <c r="C147" s="7"/>
      <c r="D147" s="7"/>
      <c r="E147" s="13">
        <v>4496.8599999999997</v>
      </c>
      <c r="F147" s="7"/>
      <c r="G147" s="7"/>
      <c r="H147" s="8"/>
      <c r="I147" s="9"/>
      <c r="J147" s="7"/>
      <c r="K147" s="7"/>
      <c r="L147" s="7"/>
      <c r="M147" s="13">
        <v>4496.8599999999997</v>
      </c>
      <c r="N147" s="13">
        <v>4496.8599999999997</v>
      </c>
      <c r="O147" s="13">
        <v>4496.8599999999997</v>
      </c>
      <c r="P147" s="7"/>
      <c r="Q147" s="7"/>
      <c r="R147" s="13">
        <v>4496.8599999999997</v>
      </c>
      <c r="S147" s="7"/>
      <c r="T147" s="7"/>
      <c r="U147" s="7"/>
      <c r="V147" s="13">
        <v>4496.8599999999997</v>
      </c>
      <c r="W147" s="13">
        <v>4496.8599999999997</v>
      </c>
      <c r="X147" s="7"/>
      <c r="Y147" s="7"/>
      <c r="Z147" s="7"/>
      <c r="AA147" s="7"/>
      <c r="AC147" s="70">
        <f t="shared" si="5"/>
        <v>4496.8599999999997</v>
      </c>
      <c r="AD147" s="75" t="str">
        <f t="shared" si="6"/>
        <v/>
      </c>
      <c r="AG147">
        <f>AC147</f>
        <v>4496.8599999999997</v>
      </c>
      <c r="AH147" s="27"/>
    </row>
    <row r="148" spans="1:36" outlineLevel="6">
      <c r="A148" s="3501" t="s">
        <v>134</v>
      </c>
      <c r="B148" s="3501"/>
      <c r="C148" s="7"/>
      <c r="D148" s="7"/>
      <c r="E148" s="13">
        <v>9543.7199999999993</v>
      </c>
      <c r="F148" s="7"/>
      <c r="G148" s="7"/>
      <c r="H148" s="8"/>
      <c r="I148" s="9"/>
      <c r="J148" s="7"/>
      <c r="K148" s="7"/>
      <c r="L148" s="7"/>
      <c r="M148" s="13">
        <v>9543.7199999999993</v>
      </c>
      <c r="N148" s="13">
        <v>9543.7199999999993</v>
      </c>
      <c r="O148" s="13">
        <v>9543.7199999999993</v>
      </c>
      <c r="P148" s="7"/>
      <c r="Q148" s="7"/>
      <c r="R148" s="13">
        <v>9543.7199999999993</v>
      </c>
      <c r="S148" s="7"/>
      <c r="T148" s="7"/>
      <c r="U148" s="7"/>
      <c r="V148" s="13">
        <v>9543.7199999999993</v>
      </c>
      <c r="W148" s="13">
        <v>9543.7199999999993</v>
      </c>
      <c r="X148" s="7"/>
      <c r="Y148" s="7"/>
      <c r="Z148" s="7"/>
      <c r="AA148" s="7"/>
      <c r="AC148" s="70" t="str">
        <f t="shared" si="5"/>
        <v/>
      </c>
      <c r="AD148" s="75" t="str">
        <f t="shared" si="6"/>
        <v/>
      </c>
    </row>
    <row r="149" spans="1:36" outlineLevel="7">
      <c r="A149" s="3500" t="s">
        <v>135</v>
      </c>
      <c r="B149" s="3500"/>
      <c r="C149" s="7"/>
      <c r="D149" s="7"/>
      <c r="E149" s="14">
        <v>550</v>
      </c>
      <c r="F149" s="7"/>
      <c r="G149" s="7"/>
      <c r="H149" s="8"/>
      <c r="I149" s="9"/>
      <c r="J149" s="7"/>
      <c r="K149" s="7"/>
      <c r="L149" s="7"/>
      <c r="M149" s="14">
        <v>550</v>
      </c>
      <c r="N149" s="14">
        <v>550</v>
      </c>
      <c r="O149" s="14">
        <v>550</v>
      </c>
      <c r="P149" s="7"/>
      <c r="Q149" s="7"/>
      <c r="R149" s="14">
        <v>550</v>
      </c>
      <c r="S149" s="7"/>
      <c r="T149" s="7"/>
      <c r="U149" s="7"/>
      <c r="V149" s="14">
        <v>550</v>
      </c>
      <c r="W149" s="14">
        <v>550</v>
      </c>
      <c r="X149" s="7"/>
      <c r="Y149" s="7"/>
      <c r="Z149" s="7"/>
      <c r="AA149" s="7"/>
      <c r="AC149" s="70" t="str">
        <f t="shared" si="5"/>
        <v/>
      </c>
      <c r="AD149" s="75" t="str">
        <f t="shared" si="6"/>
        <v/>
      </c>
      <c r="AH149" t="s">
        <v>3467</v>
      </c>
    </row>
    <row r="150" spans="1:36" outlineLevel="7">
      <c r="A150" s="3499" t="s">
        <v>1558</v>
      </c>
      <c r="B150" s="3499"/>
      <c r="C150" s="7"/>
      <c r="D150" s="7"/>
      <c r="E150" s="14">
        <v>550</v>
      </c>
      <c r="F150" s="7"/>
      <c r="G150" s="7"/>
      <c r="H150" s="8"/>
      <c r="I150" s="9"/>
      <c r="J150" s="7"/>
      <c r="K150" s="7"/>
      <c r="L150" s="7"/>
      <c r="M150" s="14">
        <v>550</v>
      </c>
      <c r="N150" s="14">
        <v>550</v>
      </c>
      <c r="O150" s="14">
        <v>550</v>
      </c>
      <c r="P150" s="7"/>
      <c r="Q150" s="7"/>
      <c r="R150" s="14">
        <v>550</v>
      </c>
      <c r="S150" s="7"/>
      <c r="T150" s="7"/>
      <c r="U150" s="7"/>
      <c r="V150" s="14">
        <v>550</v>
      </c>
      <c r="W150" s="14">
        <v>550</v>
      </c>
      <c r="X150" s="7"/>
      <c r="Y150" s="7"/>
      <c r="Z150" s="7"/>
      <c r="AA150" s="7"/>
      <c r="AC150" s="70">
        <f t="shared" si="5"/>
        <v>550</v>
      </c>
      <c r="AD150" s="75">
        <f>IF(AC150=550,1,"")</f>
        <v>1</v>
      </c>
    </row>
    <row r="151" spans="1:36" outlineLevel="7">
      <c r="A151" s="3500" t="s">
        <v>136</v>
      </c>
      <c r="B151" s="3500"/>
      <c r="C151" s="7"/>
      <c r="D151" s="7"/>
      <c r="E151" s="13">
        <v>4496.8599999999997</v>
      </c>
      <c r="F151" s="7"/>
      <c r="G151" s="7"/>
      <c r="H151" s="8"/>
      <c r="I151" s="9"/>
      <c r="J151" s="7"/>
      <c r="K151" s="7"/>
      <c r="L151" s="7"/>
      <c r="M151" s="13">
        <v>4496.8599999999997</v>
      </c>
      <c r="N151" s="13">
        <v>4496.8599999999997</v>
      </c>
      <c r="O151" s="13">
        <v>4496.8599999999997</v>
      </c>
      <c r="P151" s="7"/>
      <c r="Q151" s="7"/>
      <c r="R151" s="13">
        <v>4496.8599999999997</v>
      </c>
      <c r="S151" s="7"/>
      <c r="T151" s="7"/>
      <c r="U151" s="7"/>
      <c r="V151" s="13">
        <v>4496.8599999999997</v>
      </c>
      <c r="W151" s="13">
        <v>4496.8599999999997</v>
      </c>
      <c r="X151" s="7"/>
      <c r="Y151" s="7"/>
      <c r="Z151" s="7"/>
      <c r="AA151" s="7"/>
      <c r="AC151" s="70" t="str">
        <f t="shared" si="5"/>
        <v/>
      </c>
      <c r="AD151" s="75" t="str">
        <f t="shared" si="6"/>
        <v/>
      </c>
      <c r="AH151" s="1" t="s">
        <v>3608</v>
      </c>
      <c r="AJ151" s="1"/>
    </row>
    <row r="152" spans="1:36" outlineLevel="7">
      <c r="A152" s="3499" t="s">
        <v>1559</v>
      </c>
      <c r="B152" s="3499"/>
      <c r="C152" s="7"/>
      <c r="D152" s="7"/>
      <c r="E152" s="13">
        <v>4496.8599999999997</v>
      </c>
      <c r="F152" s="7"/>
      <c r="G152" s="7"/>
      <c r="H152" s="8"/>
      <c r="I152" s="9"/>
      <c r="J152" s="7"/>
      <c r="K152" s="7"/>
      <c r="L152" s="7"/>
      <c r="M152" s="13">
        <v>4496.8599999999997</v>
      </c>
      <c r="N152" s="13">
        <v>4496.8599999999997</v>
      </c>
      <c r="O152" s="13">
        <v>4496.8599999999997</v>
      </c>
      <c r="P152" s="7"/>
      <c r="Q152" s="7"/>
      <c r="R152" s="13">
        <v>4496.8599999999997</v>
      </c>
      <c r="S152" s="7"/>
      <c r="T152" s="7"/>
      <c r="U152" s="7"/>
      <c r="V152" s="13">
        <v>4496.8599999999997</v>
      </c>
      <c r="W152" s="13">
        <v>4496.8599999999997</v>
      </c>
      <c r="X152" s="7"/>
      <c r="Y152" s="7"/>
      <c r="Z152" s="7"/>
      <c r="AA152" s="7"/>
      <c r="AC152" s="70">
        <f t="shared" si="5"/>
        <v>4496.8599999999997</v>
      </c>
      <c r="AD152" s="75" t="str">
        <f t="shared" si="6"/>
        <v/>
      </c>
      <c r="AG152">
        <f>AC152</f>
        <v>4496.8599999999997</v>
      </c>
      <c r="AH152" s="27"/>
    </row>
    <row r="153" spans="1:36" outlineLevel="7">
      <c r="A153" s="3500" t="s">
        <v>137</v>
      </c>
      <c r="B153" s="3500"/>
      <c r="C153" s="7"/>
      <c r="D153" s="7"/>
      <c r="E153" s="13">
        <v>4496.8599999999997</v>
      </c>
      <c r="F153" s="7"/>
      <c r="G153" s="7"/>
      <c r="H153" s="8"/>
      <c r="I153" s="9"/>
      <c r="J153" s="7"/>
      <c r="K153" s="7"/>
      <c r="L153" s="7"/>
      <c r="M153" s="13">
        <v>4496.8599999999997</v>
      </c>
      <c r="N153" s="13">
        <v>4496.8599999999997</v>
      </c>
      <c r="O153" s="13">
        <v>4496.8599999999997</v>
      </c>
      <c r="P153" s="7"/>
      <c r="Q153" s="7"/>
      <c r="R153" s="13">
        <v>4496.8599999999997</v>
      </c>
      <c r="S153" s="7"/>
      <c r="T153" s="7"/>
      <c r="U153" s="7"/>
      <c r="V153" s="13">
        <v>4496.8599999999997</v>
      </c>
      <c r="W153" s="13">
        <v>4496.8599999999997</v>
      </c>
      <c r="X153" s="7"/>
      <c r="Y153" s="7"/>
      <c r="Z153" s="7"/>
      <c r="AA153" s="7"/>
      <c r="AC153" s="70" t="str">
        <f t="shared" si="5"/>
        <v/>
      </c>
      <c r="AD153" s="75" t="str">
        <f t="shared" si="6"/>
        <v/>
      </c>
      <c r="AH153" s="1" t="s">
        <v>3614</v>
      </c>
      <c r="AJ153" s="1"/>
    </row>
    <row r="154" spans="1:36" outlineLevel="7">
      <c r="A154" s="3499" t="s">
        <v>1560</v>
      </c>
      <c r="B154" s="3499"/>
      <c r="C154" s="7"/>
      <c r="D154" s="7"/>
      <c r="E154" s="13">
        <v>4496.8599999999997</v>
      </c>
      <c r="F154" s="7"/>
      <c r="G154" s="7"/>
      <c r="H154" s="8"/>
      <c r="I154" s="9"/>
      <c r="J154" s="7"/>
      <c r="K154" s="7"/>
      <c r="L154" s="7"/>
      <c r="M154" s="13">
        <v>4496.8599999999997</v>
      </c>
      <c r="N154" s="13">
        <v>4496.8599999999997</v>
      </c>
      <c r="O154" s="13">
        <v>4496.8599999999997</v>
      </c>
      <c r="P154" s="7"/>
      <c r="Q154" s="7"/>
      <c r="R154" s="13">
        <v>4496.8599999999997</v>
      </c>
      <c r="S154" s="7"/>
      <c r="T154" s="7"/>
      <c r="U154" s="7"/>
      <c r="V154" s="13">
        <v>4496.8599999999997</v>
      </c>
      <c r="W154" s="13">
        <v>4496.8599999999997</v>
      </c>
      <c r="X154" s="7"/>
      <c r="Y154" s="7"/>
      <c r="Z154" s="7"/>
      <c r="AA154" s="7"/>
      <c r="AC154" s="70">
        <f t="shared" si="5"/>
        <v>4496.8599999999997</v>
      </c>
      <c r="AD154" s="75" t="str">
        <f t="shared" si="6"/>
        <v/>
      </c>
      <c r="AG154">
        <f>AC154</f>
        <v>4496.8599999999997</v>
      </c>
      <c r="AH154" s="27"/>
    </row>
    <row r="155" spans="1:36" outlineLevel="6">
      <c r="A155" s="3501" t="s">
        <v>138</v>
      </c>
      <c r="B155" s="3501"/>
      <c r="C155" s="7"/>
      <c r="D155" s="7"/>
      <c r="E155" s="14">
        <v>550</v>
      </c>
      <c r="F155" s="7"/>
      <c r="G155" s="7"/>
      <c r="H155" s="8"/>
      <c r="I155" s="9"/>
      <c r="J155" s="7"/>
      <c r="K155" s="7"/>
      <c r="L155" s="7"/>
      <c r="M155" s="14">
        <v>550</v>
      </c>
      <c r="N155" s="14">
        <v>550</v>
      </c>
      <c r="O155" s="14">
        <v>550</v>
      </c>
      <c r="P155" s="7"/>
      <c r="Q155" s="7"/>
      <c r="R155" s="14">
        <v>550</v>
      </c>
      <c r="S155" s="7"/>
      <c r="T155" s="7"/>
      <c r="U155" s="7"/>
      <c r="V155" s="14">
        <v>550</v>
      </c>
      <c r="W155" s="14">
        <v>550</v>
      </c>
      <c r="X155" s="7"/>
      <c r="Y155" s="7"/>
      <c r="Z155" s="7"/>
      <c r="AA155" s="7"/>
      <c r="AC155" s="70" t="str">
        <f t="shared" si="5"/>
        <v/>
      </c>
      <c r="AD155" s="75" t="str">
        <f t="shared" si="6"/>
        <v/>
      </c>
    </row>
    <row r="156" spans="1:36" outlineLevel="7">
      <c r="A156" s="3500" t="s">
        <v>139</v>
      </c>
      <c r="B156" s="3500"/>
      <c r="C156" s="7"/>
      <c r="D156" s="7"/>
      <c r="E156" s="14">
        <v>550</v>
      </c>
      <c r="F156" s="7"/>
      <c r="G156" s="7"/>
      <c r="H156" s="8"/>
      <c r="I156" s="9"/>
      <c r="J156" s="7"/>
      <c r="K156" s="7"/>
      <c r="L156" s="7"/>
      <c r="M156" s="14">
        <v>550</v>
      </c>
      <c r="N156" s="14">
        <v>550</v>
      </c>
      <c r="O156" s="14">
        <v>550</v>
      </c>
      <c r="P156" s="7"/>
      <c r="Q156" s="7"/>
      <c r="R156" s="14">
        <v>550</v>
      </c>
      <c r="S156" s="7"/>
      <c r="T156" s="7"/>
      <c r="U156" s="7"/>
      <c r="V156" s="14">
        <v>550</v>
      </c>
      <c r="W156" s="14">
        <v>550</v>
      </c>
      <c r="X156" s="7"/>
      <c r="Y156" s="7"/>
      <c r="Z156" s="7"/>
      <c r="AA156" s="7"/>
      <c r="AC156" s="70" t="str">
        <f t="shared" si="5"/>
        <v/>
      </c>
      <c r="AD156" s="75" t="str">
        <f t="shared" si="6"/>
        <v/>
      </c>
      <c r="AH156" t="s">
        <v>3461</v>
      </c>
    </row>
    <row r="157" spans="1:36" outlineLevel="7">
      <c r="A157" s="3499" t="s">
        <v>1561</v>
      </c>
      <c r="B157" s="3499"/>
      <c r="C157" s="7"/>
      <c r="D157" s="7"/>
      <c r="E157" s="14">
        <v>550</v>
      </c>
      <c r="F157" s="7"/>
      <c r="G157" s="7"/>
      <c r="H157" s="8"/>
      <c r="I157" s="9"/>
      <c r="J157" s="7"/>
      <c r="K157" s="7"/>
      <c r="L157" s="7"/>
      <c r="M157" s="14">
        <v>550</v>
      </c>
      <c r="N157" s="14">
        <v>550</v>
      </c>
      <c r="O157" s="14">
        <v>550</v>
      </c>
      <c r="P157" s="7"/>
      <c r="Q157" s="7"/>
      <c r="R157" s="14">
        <v>550</v>
      </c>
      <c r="S157" s="7"/>
      <c r="T157" s="7"/>
      <c r="U157" s="7"/>
      <c r="V157" s="14">
        <v>550</v>
      </c>
      <c r="W157" s="14">
        <v>550</v>
      </c>
      <c r="X157" s="7"/>
      <c r="Y157" s="7"/>
      <c r="Z157" s="7"/>
      <c r="AA157" s="7"/>
      <c r="AC157" s="70">
        <f t="shared" si="5"/>
        <v>550</v>
      </c>
      <c r="AD157" s="75">
        <f t="shared" si="6"/>
        <v>1</v>
      </c>
    </row>
    <row r="158" spans="1:36" outlineLevel="6">
      <c r="A158" s="3501" t="s">
        <v>140</v>
      </c>
      <c r="B158" s="3501"/>
      <c r="C158" s="7"/>
      <c r="D158" s="7"/>
      <c r="E158" s="14">
        <v>550</v>
      </c>
      <c r="F158" s="7"/>
      <c r="G158" s="7"/>
      <c r="H158" s="8"/>
      <c r="I158" s="9"/>
      <c r="J158" s="7"/>
      <c r="K158" s="7"/>
      <c r="L158" s="7"/>
      <c r="M158" s="14">
        <v>550</v>
      </c>
      <c r="N158" s="14">
        <v>550</v>
      </c>
      <c r="O158" s="14">
        <v>550</v>
      </c>
      <c r="P158" s="7"/>
      <c r="Q158" s="7"/>
      <c r="R158" s="14">
        <v>550</v>
      </c>
      <c r="S158" s="7"/>
      <c r="T158" s="7"/>
      <c r="U158" s="7"/>
      <c r="V158" s="14">
        <v>550</v>
      </c>
      <c r="W158" s="14">
        <v>550</v>
      </c>
      <c r="X158" s="7"/>
      <c r="Y158" s="7"/>
      <c r="Z158" s="7"/>
      <c r="AA158" s="7"/>
      <c r="AC158" s="70" t="str">
        <f t="shared" si="5"/>
        <v/>
      </c>
      <c r="AD158" s="75" t="str">
        <f t="shared" si="6"/>
        <v/>
      </c>
    </row>
    <row r="159" spans="1:36" outlineLevel="7">
      <c r="A159" s="3500" t="s">
        <v>141</v>
      </c>
      <c r="B159" s="3500"/>
      <c r="C159" s="7"/>
      <c r="D159" s="7"/>
      <c r="E159" s="14">
        <v>550</v>
      </c>
      <c r="F159" s="7"/>
      <c r="G159" s="7"/>
      <c r="H159" s="8"/>
      <c r="I159" s="9"/>
      <c r="J159" s="7"/>
      <c r="K159" s="7"/>
      <c r="L159" s="7"/>
      <c r="M159" s="14">
        <v>550</v>
      </c>
      <c r="N159" s="14">
        <v>550</v>
      </c>
      <c r="O159" s="14">
        <v>550</v>
      </c>
      <c r="P159" s="7"/>
      <c r="Q159" s="7"/>
      <c r="R159" s="14">
        <v>550</v>
      </c>
      <c r="S159" s="7"/>
      <c r="T159" s="7"/>
      <c r="U159" s="7"/>
      <c r="V159" s="14">
        <v>550</v>
      </c>
      <c r="W159" s="14">
        <v>550</v>
      </c>
      <c r="X159" s="7"/>
      <c r="Y159" s="7"/>
      <c r="Z159" s="7"/>
      <c r="AA159" s="7"/>
      <c r="AC159" s="70" t="str">
        <f t="shared" si="5"/>
        <v/>
      </c>
      <c r="AD159" s="75" t="str">
        <f t="shared" si="6"/>
        <v/>
      </c>
      <c r="AH159" t="s">
        <v>3363</v>
      </c>
    </row>
    <row r="160" spans="1:36" outlineLevel="7">
      <c r="A160" s="3499" t="s">
        <v>1562</v>
      </c>
      <c r="B160" s="3499"/>
      <c r="C160" s="7"/>
      <c r="D160" s="7"/>
      <c r="E160" s="14">
        <v>550</v>
      </c>
      <c r="F160" s="7"/>
      <c r="G160" s="7"/>
      <c r="H160" s="8"/>
      <c r="I160" s="9"/>
      <c r="J160" s="7"/>
      <c r="K160" s="7"/>
      <c r="L160" s="7"/>
      <c r="M160" s="14">
        <v>550</v>
      </c>
      <c r="N160" s="14">
        <v>550</v>
      </c>
      <c r="O160" s="14">
        <v>550</v>
      </c>
      <c r="P160" s="7"/>
      <c r="Q160" s="7"/>
      <c r="R160" s="14">
        <v>550</v>
      </c>
      <c r="S160" s="7"/>
      <c r="T160" s="7"/>
      <c r="U160" s="7"/>
      <c r="V160" s="14">
        <v>550</v>
      </c>
      <c r="W160" s="14">
        <v>550</v>
      </c>
      <c r="X160" s="7"/>
      <c r="Y160" s="7"/>
      <c r="Z160" s="7"/>
      <c r="AA160" s="7"/>
      <c r="AC160" s="70">
        <f t="shared" si="5"/>
        <v>550</v>
      </c>
      <c r="AD160" s="75">
        <f t="shared" si="6"/>
        <v>1</v>
      </c>
    </row>
    <row r="161" spans="1:36" outlineLevel="6">
      <c r="A161" s="3501" t="s">
        <v>142</v>
      </c>
      <c r="B161" s="3501"/>
      <c r="C161" s="7"/>
      <c r="D161" s="7"/>
      <c r="E161" s="13">
        <v>4496.8599999999997</v>
      </c>
      <c r="F161" s="7"/>
      <c r="G161" s="7"/>
      <c r="H161" s="8"/>
      <c r="I161" s="9"/>
      <c r="J161" s="7"/>
      <c r="K161" s="7"/>
      <c r="L161" s="7"/>
      <c r="M161" s="13">
        <v>4496.8599999999997</v>
      </c>
      <c r="N161" s="13">
        <v>4496.8599999999997</v>
      </c>
      <c r="O161" s="13">
        <v>4496.8599999999997</v>
      </c>
      <c r="P161" s="7"/>
      <c r="Q161" s="7"/>
      <c r="R161" s="13">
        <v>4496.8599999999997</v>
      </c>
      <c r="S161" s="7"/>
      <c r="T161" s="7"/>
      <c r="U161" s="7"/>
      <c r="V161" s="13">
        <v>4496.8599999999997</v>
      </c>
      <c r="W161" s="13">
        <v>4496.8599999999997</v>
      </c>
      <c r="X161" s="7"/>
      <c r="Y161" s="7"/>
      <c r="Z161" s="7"/>
      <c r="AA161" s="7"/>
      <c r="AC161" s="70" t="str">
        <f t="shared" si="5"/>
        <v/>
      </c>
      <c r="AD161" s="75" t="str">
        <f t="shared" si="6"/>
        <v/>
      </c>
    </row>
    <row r="162" spans="1:36" outlineLevel="7">
      <c r="A162" s="3500" t="s">
        <v>143</v>
      </c>
      <c r="B162" s="3500"/>
      <c r="C162" s="7"/>
      <c r="D162" s="7"/>
      <c r="E162" s="13">
        <v>4496.8599999999997</v>
      </c>
      <c r="F162" s="7"/>
      <c r="G162" s="7"/>
      <c r="H162" s="8"/>
      <c r="I162" s="9"/>
      <c r="J162" s="7"/>
      <c r="K162" s="7"/>
      <c r="L162" s="7"/>
      <c r="M162" s="13">
        <v>4496.8599999999997</v>
      </c>
      <c r="N162" s="13">
        <v>4496.8599999999997</v>
      </c>
      <c r="O162" s="13">
        <v>4496.8599999999997</v>
      </c>
      <c r="P162" s="7"/>
      <c r="Q162" s="7"/>
      <c r="R162" s="13">
        <v>4496.8599999999997</v>
      </c>
      <c r="S162" s="7"/>
      <c r="T162" s="7"/>
      <c r="U162" s="7"/>
      <c r="V162" s="13">
        <v>4496.8599999999997</v>
      </c>
      <c r="W162" s="13">
        <v>4496.8599999999997</v>
      </c>
      <c r="X162" s="7"/>
      <c r="Y162" s="7"/>
      <c r="Z162" s="7"/>
      <c r="AA162" s="7"/>
      <c r="AC162" s="70" t="str">
        <f t="shared" si="5"/>
        <v/>
      </c>
      <c r="AD162" s="75" t="str">
        <f t="shared" si="6"/>
        <v/>
      </c>
      <c r="AH162" s="1" t="s">
        <v>3604</v>
      </c>
      <c r="AJ162" s="1"/>
    </row>
    <row r="163" spans="1:36" outlineLevel="7">
      <c r="A163" s="3499" t="s">
        <v>1563</v>
      </c>
      <c r="B163" s="3499"/>
      <c r="C163" s="7"/>
      <c r="D163" s="7"/>
      <c r="E163" s="13">
        <v>4496.8599999999997</v>
      </c>
      <c r="F163" s="7"/>
      <c r="G163" s="7"/>
      <c r="H163" s="8"/>
      <c r="I163" s="9"/>
      <c r="J163" s="7"/>
      <c r="K163" s="7"/>
      <c r="L163" s="7"/>
      <c r="M163" s="13">
        <v>4496.8599999999997</v>
      </c>
      <c r="N163" s="13">
        <v>4496.8599999999997</v>
      </c>
      <c r="O163" s="13">
        <v>4496.8599999999997</v>
      </c>
      <c r="P163" s="7"/>
      <c r="Q163" s="7"/>
      <c r="R163" s="13">
        <v>4496.8599999999997</v>
      </c>
      <c r="S163" s="7"/>
      <c r="T163" s="7"/>
      <c r="U163" s="7"/>
      <c r="V163" s="13">
        <v>4496.8599999999997</v>
      </c>
      <c r="W163" s="13">
        <v>4496.8599999999997</v>
      </c>
      <c r="X163" s="7"/>
      <c r="Y163" s="7"/>
      <c r="Z163" s="7"/>
      <c r="AA163" s="7"/>
      <c r="AC163" s="70">
        <f t="shared" si="5"/>
        <v>4496.8599999999997</v>
      </c>
      <c r="AD163" s="75" t="str">
        <f t="shared" si="6"/>
        <v/>
      </c>
      <c r="AG163">
        <f>AC163</f>
        <v>4496.8599999999997</v>
      </c>
      <c r="AH163" s="27"/>
    </row>
    <row r="164" spans="1:36" outlineLevel="6">
      <c r="A164" s="3501" t="s">
        <v>144</v>
      </c>
      <c r="B164" s="3501"/>
      <c r="C164" s="7"/>
      <c r="D164" s="7"/>
      <c r="E164" s="13">
        <v>4496.8599999999997</v>
      </c>
      <c r="F164" s="7"/>
      <c r="G164" s="7"/>
      <c r="H164" s="8"/>
      <c r="I164" s="9"/>
      <c r="J164" s="7"/>
      <c r="K164" s="7"/>
      <c r="L164" s="7"/>
      <c r="M164" s="13">
        <v>4496.8599999999997</v>
      </c>
      <c r="N164" s="13">
        <v>4496.8599999999997</v>
      </c>
      <c r="O164" s="13">
        <v>4496.8599999999997</v>
      </c>
      <c r="P164" s="7"/>
      <c r="Q164" s="7"/>
      <c r="R164" s="13">
        <v>4496.8599999999997</v>
      </c>
      <c r="S164" s="7"/>
      <c r="T164" s="7"/>
      <c r="U164" s="7"/>
      <c r="V164" s="13">
        <v>4496.8599999999997</v>
      </c>
      <c r="W164" s="13">
        <v>4496.8599999999997</v>
      </c>
      <c r="X164" s="7"/>
      <c r="Y164" s="7"/>
      <c r="Z164" s="7"/>
      <c r="AA164" s="7"/>
      <c r="AC164" s="70" t="str">
        <f t="shared" si="5"/>
        <v/>
      </c>
      <c r="AD164" s="75" t="str">
        <f t="shared" si="6"/>
        <v/>
      </c>
    </row>
    <row r="165" spans="1:36" outlineLevel="7">
      <c r="A165" s="3500" t="s">
        <v>145</v>
      </c>
      <c r="B165" s="3500"/>
      <c r="C165" s="7"/>
      <c r="D165" s="7"/>
      <c r="E165" s="13">
        <v>4496.8599999999997</v>
      </c>
      <c r="F165" s="7"/>
      <c r="G165" s="7"/>
      <c r="H165" s="8"/>
      <c r="I165" s="9"/>
      <c r="J165" s="7"/>
      <c r="K165" s="7"/>
      <c r="L165" s="7"/>
      <c r="M165" s="13">
        <v>4496.8599999999997</v>
      </c>
      <c r="N165" s="13">
        <v>4496.8599999999997</v>
      </c>
      <c r="O165" s="13">
        <v>4496.8599999999997</v>
      </c>
      <c r="P165" s="7"/>
      <c r="Q165" s="7"/>
      <c r="R165" s="13">
        <v>4496.8599999999997</v>
      </c>
      <c r="S165" s="7"/>
      <c r="T165" s="7"/>
      <c r="U165" s="7"/>
      <c r="V165" s="13">
        <v>4496.8599999999997</v>
      </c>
      <c r="W165" s="13">
        <v>4496.8599999999997</v>
      </c>
      <c r="X165" s="7"/>
      <c r="Y165" s="7"/>
      <c r="Z165" s="7"/>
      <c r="AA165" s="7"/>
      <c r="AC165" s="70" t="str">
        <f t="shared" si="5"/>
        <v/>
      </c>
      <c r="AD165" s="75" t="str">
        <f t="shared" si="6"/>
        <v/>
      </c>
      <c r="AH165" s="1" t="s">
        <v>3599</v>
      </c>
      <c r="AJ165" s="1"/>
    </row>
    <row r="166" spans="1:36" outlineLevel="7">
      <c r="A166" s="3499" t="s">
        <v>1564</v>
      </c>
      <c r="B166" s="3499"/>
      <c r="C166" s="7"/>
      <c r="D166" s="7"/>
      <c r="E166" s="13">
        <v>4496.8599999999997</v>
      </c>
      <c r="F166" s="7"/>
      <c r="G166" s="7"/>
      <c r="H166" s="8"/>
      <c r="I166" s="9"/>
      <c r="J166" s="7"/>
      <c r="K166" s="7"/>
      <c r="L166" s="7"/>
      <c r="M166" s="13">
        <v>4496.8599999999997</v>
      </c>
      <c r="N166" s="13">
        <v>4496.8599999999997</v>
      </c>
      <c r="O166" s="13">
        <v>4496.8599999999997</v>
      </c>
      <c r="P166" s="7"/>
      <c r="Q166" s="7"/>
      <c r="R166" s="13">
        <v>4496.8599999999997</v>
      </c>
      <c r="S166" s="7"/>
      <c r="T166" s="7"/>
      <c r="U166" s="7"/>
      <c r="V166" s="13">
        <v>4496.8599999999997</v>
      </c>
      <c r="W166" s="13">
        <v>4496.8599999999997</v>
      </c>
      <c r="X166" s="7"/>
      <c r="Y166" s="7"/>
      <c r="Z166" s="7"/>
      <c r="AA166" s="7"/>
      <c r="AC166" s="70">
        <f t="shared" si="5"/>
        <v>4496.8599999999997</v>
      </c>
      <c r="AD166" s="75" t="str">
        <f t="shared" si="6"/>
        <v/>
      </c>
      <c r="AG166">
        <f>AC166</f>
        <v>4496.8599999999997</v>
      </c>
      <c r="AH166" s="27"/>
    </row>
    <row r="167" spans="1:36" outlineLevel="6">
      <c r="A167" s="3501" t="s">
        <v>146</v>
      </c>
      <c r="B167" s="3501"/>
      <c r="C167" s="7"/>
      <c r="D167" s="7"/>
      <c r="E167" s="14">
        <v>550</v>
      </c>
      <c r="F167" s="7"/>
      <c r="G167" s="7"/>
      <c r="H167" s="8"/>
      <c r="I167" s="9"/>
      <c r="J167" s="7"/>
      <c r="K167" s="7"/>
      <c r="L167" s="7"/>
      <c r="M167" s="14">
        <v>550</v>
      </c>
      <c r="N167" s="14">
        <v>550</v>
      </c>
      <c r="O167" s="14">
        <v>550</v>
      </c>
      <c r="P167" s="7"/>
      <c r="Q167" s="7"/>
      <c r="R167" s="14">
        <v>550</v>
      </c>
      <c r="S167" s="7"/>
      <c r="T167" s="7"/>
      <c r="U167" s="7"/>
      <c r="V167" s="14">
        <v>550</v>
      </c>
      <c r="W167" s="14">
        <v>550</v>
      </c>
      <c r="X167" s="7"/>
      <c r="Y167" s="7"/>
      <c r="Z167" s="7"/>
      <c r="AA167" s="7"/>
      <c r="AC167" s="70" t="str">
        <f t="shared" si="5"/>
        <v/>
      </c>
      <c r="AD167" s="75" t="str">
        <f t="shared" si="6"/>
        <v/>
      </c>
    </row>
    <row r="168" spans="1:36" outlineLevel="7">
      <c r="A168" s="3500" t="s">
        <v>147</v>
      </c>
      <c r="B168" s="3500"/>
      <c r="C168" s="7"/>
      <c r="D168" s="7"/>
      <c r="E168" s="14">
        <v>550</v>
      </c>
      <c r="F168" s="7"/>
      <c r="G168" s="7"/>
      <c r="H168" s="8"/>
      <c r="I168" s="9"/>
      <c r="J168" s="7"/>
      <c r="K168" s="7"/>
      <c r="L168" s="7"/>
      <c r="M168" s="14">
        <v>550</v>
      </c>
      <c r="N168" s="14">
        <v>550</v>
      </c>
      <c r="O168" s="14">
        <v>550</v>
      </c>
      <c r="P168" s="7"/>
      <c r="Q168" s="7"/>
      <c r="R168" s="14">
        <v>550</v>
      </c>
      <c r="S168" s="7"/>
      <c r="T168" s="7"/>
      <c r="U168" s="7"/>
      <c r="V168" s="14">
        <v>550</v>
      </c>
      <c r="W168" s="14">
        <v>550</v>
      </c>
      <c r="X168" s="7"/>
      <c r="Y168" s="7"/>
      <c r="Z168" s="7"/>
      <c r="AA168" s="7"/>
      <c r="AC168" s="70" t="str">
        <f t="shared" si="5"/>
        <v/>
      </c>
      <c r="AD168" s="75" t="str">
        <f t="shared" si="6"/>
        <v/>
      </c>
      <c r="AH168" t="s">
        <v>3526</v>
      </c>
    </row>
    <row r="169" spans="1:36" outlineLevel="7">
      <c r="A169" s="3499" t="s">
        <v>1565</v>
      </c>
      <c r="B169" s="3499"/>
      <c r="C169" s="7"/>
      <c r="D169" s="7"/>
      <c r="E169" s="14">
        <v>550</v>
      </c>
      <c r="F169" s="7"/>
      <c r="G169" s="7"/>
      <c r="H169" s="8"/>
      <c r="I169" s="9"/>
      <c r="J169" s="7"/>
      <c r="K169" s="7"/>
      <c r="L169" s="7"/>
      <c r="M169" s="14">
        <v>550</v>
      </c>
      <c r="N169" s="14">
        <v>550</v>
      </c>
      <c r="O169" s="14">
        <v>550</v>
      </c>
      <c r="P169" s="7"/>
      <c r="Q169" s="7"/>
      <c r="R169" s="14">
        <v>550</v>
      </c>
      <c r="S169" s="7"/>
      <c r="T169" s="7"/>
      <c r="U169" s="7"/>
      <c r="V169" s="14">
        <v>550</v>
      </c>
      <c r="W169" s="14">
        <v>550</v>
      </c>
      <c r="X169" s="7"/>
      <c r="Y169" s="7"/>
      <c r="Z169" s="7"/>
      <c r="AA169" s="7"/>
      <c r="AC169" s="70">
        <f t="shared" si="5"/>
        <v>550</v>
      </c>
      <c r="AD169" s="75">
        <f t="shared" si="6"/>
        <v>1</v>
      </c>
    </row>
    <row r="170" spans="1:36" outlineLevel="6">
      <c r="A170" s="3501" t="s">
        <v>148</v>
      </c>
      <c r="B170" s="3501"/>
      <c r="C170" s="7"/>
      <c r="D170" s="7"/>
      <c r="E170" s="14">
        <v>550</v>
      </c>
      <c r="F170" s="7"/>
      <c r="G170" s="7"/>
      <c r="H170" s="8"/>
      <c r="I170" s="9"/>
      <c r="J170" s="7"/>
      <c r="K170" s="7"/>
      <c r="L170" s="7"/>
      <c r="M170" s="14">
        <v>550</v>
      </c>
      <c r="N170" s="14">
        <v>550</v>
      </c>
      <c r="O170" s="14">
        <v>550</v>
      </c>
      <c r="P170" s="7"/>
      <c r="Q170" s="7"/>
      <c r="R170" s="14">
        <v>550</v>
      </c>
      <c r="S170" s="7"/>
      <c r="T170" s="7"/>
      <c r="U170" s="7"/>
      <c r="V170" s="14">
        <v>550</v>
      </c>
      <c r="W170" s="14">
        <v>550</v>
      </c>
      <c r="X170" s="7"/>
      <c r="Y170" s="7"/>
      <c r="Z170" s="7"/>
      <c r="AA170" s="7"/>
      <c r="AC170" s="70" t="str">
        <f t="shared" si="5"/>
        <v/>
      </c>
      <c r="AD170" s="75" t="str">
        <f t="shared" si="6"/>
        <v/>
      </c>
    </row>
    <row r="171" spans="1:36" outlineLevel="7">
      <c r="A171" s="3500" t="s">
        <v>149</v>
      </c>
      <c r="B171" s="3500"/>
      <c r="C171" s="7"/>
      <c r="D171" s="7"/>
      <c r="E171" s="14">
        <v>550</v>
      </c>
      <c r="F171" s="7"/>
      <c r="G171" s="7"/>
      <c r="H171" s="8"/>
      <c r="I171" s="9"/>
      <c r="J171" s="7"/>
      <c r="K171" s="7"/>
      <c r="L171" s="7"/>
      <c r="M171" s="14">
        <v>550</v>
      </c>
      <c r="N171" s="14">
        <v>550</v>
      </c>
      <c r="O171" s="14">
        <v>550</v>
      </c>
      <c r="P171" s="7"/>
      <c r="Q171" s="7"/>
      <c r="R171" s="14">
        <v>550</v>
      </c>
      <c r="S171" s="7"/>
      <c r="T171" s="7"/>
      <c r="U171" s="7"/>
      <c r="V171" s="14">
        <v>550</v>
      </c>
      <c r="W171" s="14">
        <v>550</v>
      </c>
      <c r="X171" s="7"/>
      <c r="Y171" s="7"/>
      <c r="Z171" s="7"/>
      <c r="AA171" s="7"/>
      <c r="AC171" s="70" t="str">
        <f t="shared" si="5"/>
        <v/>
      </c>
      <c r="AD171" s="75" t="str">
        <f>IF(AC171=550,1,"")</f>
        <v/>
      </c>
      <c r="AH171" t="s">
        <v>149</v>
      </c>
    </row>
    <row r="172" spans="1:36" outlineLevel="7">
      <c r="A172" s="3499" t="s">
        <v>1566</v>
      </c>
      <c r="B172" s="3499"/>
      <c r="C172" s="7"/>
      <c r="D172" s="7"/>
      <c r="E172" s="14">
        <v>550</v>
      </c>
      <c r="F172" s="7"/>
      <c r="G172" s="7"/>
      <c r="H172" s="8"/>
      <c r="I172" s="9"/>
      <c r="J172" s="7"/>
      <c r="K172" s="7"/>
      <c r="L172" s="7"/>
      <c r="M172" s="14">
        <v>550</v>
      </c>
      <c r="N172" s="14">
        <v>550</v>
      </c>
      <c r="O172" s="14">
        <v>550</v>
      </c>
      <c r="P172" s="7"/>
      <c r="Q172" s="7"/>
      <c r="R172" s="14">
        <v>550</v>
      </c>
      <c r="S172" s="7"/>
      <c r="T172" s="7"/>
      <c r="U172" s="7"/>
      <c r="V172" s="14">
        <v>550</v>
      </c>
      <c r="W172" s="14">
        <v>550</v>
      </c>
      <c r="X172" s="7"/>
      <c r="Y172" s="7"/>
      <c r="Z172" s="7"/>
      <c r="AA172" s="7"/>
      <c r="AC172" s="70">
        <f t="shared" si="5"/>
        <v>550</v>
      </c>
      <c r="AD172" s="75">
        <f t="shared" si="6"/>
        <v>1</v>
      </c>
    </row>
    <row r="173" spans="1:36" outlineLevel="6">
      <c r="A173" s="3501" t="s">
        <v>150</v>
      </c>
      <c r="B173" s="3501"/>
      <c r="C173" s="7"/>
      <c r="D173" s="7"/>
      <c r="E173" s="14">
        <v>550</v>
      </c>
      <c r="F173" s="7"/>
      <c r="G173" s="7"/>
      <c r="H173" s="8"/>
      <c r="I173" s="9"/>
      <c r="J173" s="7"/>
      <c r="K173" s="7"/>
      <c r="L173" s="7"/>
      <c r="M173" s="14">
        <v>550</v>
      </c>
      <c r="N173" s="14">
        <v>550</v>
      </c>
      <c r="O173" s="14">
        <v>550</v>
      </c>
      <c r="P173" s="7"/>
      <c r="Q173" s="7"/>
      <c r="R173" s="14">
        <v>550</v>
      </c>
      <c r="S173" s="7"/>
      <c r="T173" s="7"/>
      <c r="U173" s="7"/>
      <c r="V173" s="14">
        <v>550</v>
      </c>
      <c r="W173" s="14">
        <v>550</v>
      </c>
      <c r="X173" s="7"/>
      <c r="Y173" s="7"/>
      <c r="Z173" s="7"/>
      <c r="AA173" s="7"/>
      <c r="AC173" s="70" t="str">
        <f t="shared" si="5"/>
        <v/>
      </c>
      <c r="AD173" s="75" t="str">
        <f t="shared" si="6"/>
        <v/>
      </c>
    </row>
    <row r="174" spans="1:36" outlineLevel="7">
      <c r="A174" s="3500" t="s">
        <v>151</v>
      </c>
      <c r="B174" s="3500"/>
      <c r="C174" s="7"/>
      <c r="D174" s="7"/>
      <c r="E174" s="14">
        <v>550</v>
      </c>
      <c r="F174" s="7"/>
      <c r="G174" s="7"/>
      <c r="H174" s="8"/>
      <c r="I174" s="9"/>
      <c r="J174" s="7"/>
      <c r="K174" s="7"/>
      <c r="L174" s="7"/>
      <c r="M174" s="14">
        <v>550</v>
      </c>
      <c r="N174" s="14">
        <v>550</v>
      </c>
      <c r="O174" s="14">
        <v>550</v>
      </c>
      <c r="P174" s="7"/>
      <c r="Q174" s="7"/>
      <c r="R174" s="14">
        <v>550</v>
      </c>
      <c r="S174" s="7"/>
      <c r="T174" s="7"/>
      <c r="U174" s="7"/>
      <c r="V174" s="14">
        <v>550</v>
      </c>
      <c r="W174" s="14">
        <v>550</v>
      </c>
      <c r="X174" s="7"/>
      <c r="Y174" s="7"/>
      <c r="Z174" s="7"/>
      <c r="AA174" s="7"/>
      <c r="AC174" s="70" t="str">
        <f t="shared" si="5"/>
        <v/>
      </c>
      <c r="AD174" s="75" t="str">
        <f t="shared" si="6"/>
        <v/>
      </c>
      <c r="AH174" t="s">
        <v>3482</v>
      </c>
    </row>
    <row r="175" spans="1:36" outlineLevel="7">
      <c r="A175" s="3499" t="s">
        <v>1567</v>
      </c>
      <c r="B175" s="3499"/>
      <c r="C175" s="7"/>
      <c r="D175" s="7"/>
      <c r="E175" s="14">
        <v>550</v>
      </c>
      <c r="F175" s="7"/>
      <c r="G175" s="7"/>
      <c r="H175" s="8"/>
      <c r="I175" s="9"/>
      <c r="J175" s="7"/>
      <c r="K175" s="7"/>
      <c r="L175" s="7"/>
      <c r="M175" s="14">
        <v>550</v>
      </c>
      <c r="N175" s="14">
        <v>550</v>
      </c>
      <c r="O175" s="14">
        <v>550</v>
      </c>
      <c r="P175" s="7"/>
      <c r="Q175" s="7"/>
      <c r="R175" s="14">
        <v>550</v>
      </c>
      <c r="S175" s="7"/>
      <c r="T175" s="7"/>
      <c r="U175" s="7"/>
      <c r="V175" s="14">
        <v>550</v>
      </c>
      <c r="W175" s="14">
        <v>550</v>
      </c>
      <c r="X175" s="7"/>
      <c r="Y175" s="7"/>
      <c r="Z175" s="7"/>
      <c r="AA175" s="7"/>
      <c r="AC175" s="70">
        <f t="shared" si="5"/>
        <v>550</v>
      </c>
      <c r="AD175" s="75">
        <f t="shared" si="6"/>
        <v>1</v>
      </c>
    </row>
    <row r="176" spans="1:36" outlineLevel="6">
      <c r="A176" s="3501" t="s">
        <v>152</v>
      </c>
      <c r="B176" s="3501"/>
      <c r="C176" s="7"/>
      <c r="D176" s="7"/>
      <c r="E176" s="14">
        <v>550</v>
      </c>
      <c r="F176" s="7"/>
      <c r="G176" s="7"/>
      <c r="H176" s="8"/>
      <c r="I176" s="9"/>
      <c r="J176" s="7"/>
      <c r="K176" s="7"/>
      <c r="L176" s="7"/>
      <c r="M176" s="14">
        <v>550</v>
      </c>
      <c r="N176" s="14">
        <v>550</v>
      </c>
      <c r="O176" s="14">
        <v>550</v>
      </c>
      <c r="P176" s="7"/>
      <c r="Q176" s="7"/>
      <c r="R176" s="14">
        <v>550</v>
      </c>
      <c r="S176" s="7"/>
      <c r="T176" s="7"/>
      <c r="U176" s="7"/>
      <c r="V176" s="14">
        <v>550</v>
      </c>
      <c r="W176" s="14">
        <v>550</v>
      </c>
      <c r="X176" s="7"/>
      <c r="Y176" s="7"/>
      <c r="Z176" s="7"/>
      <c r="AA176" s="7"/>
      <c r="AC176" s="70" t="str">
        <f t="shared" si="5"/>
        <v/>
      </c>
      <c r="AD176" s="75" t="str">
        <f t="shared" si="6"/>
        <v/>
      </c>
    </row>
    <row r="177" spans="1:34" outlineLevel="7">
      <c r="A177" s="3500" t="s">
        <v>153</v>
      </c>
      <c r="B177" s="3500"/>
      <c r="C177" s="7"/>
      <c r="D177" s="7"/>
      <c r="E177" s="14">
        <v>550</v>
      </c>
      <c r="F177" s="7"/>
      <c r="G177" s="7"/>
      <c r="H177" s="8"/>
      <c r="I177" s="9"/>
      <c r="J177" s="7"/>
      <c r="K177" s="7"/>
      <c r="L177" s="7"/>
      <c r="M177" s="14">
        <v>550</v>
      </c>
      <c r="N177" s="14">
        <v>550</v>
      </c>
      <c r="O177" s="14">
        <v>550</v>
      </c>
      <c r="P177" s="7"/>
      <c r="Q177" s="7"/>
      <c r="R177" s="14">
        <v>550</v>
      </c>
      <c r="S177" s="7"/>
      <c r="T177" s="7"/>
      <c r="U177" s="7"/>
      <c r="V177" s="14">
        <v>550</v>
      </c>
      <c r="W177" s="14">
        <v>550</v>
      </c>
      <c r="X177" s="7"/>
      <c r="Y177" s="7"/>
      <c r="Z177" s="7"/>
      <c r="AA177" s="7"/>
      <c r="AC177" s="70" t="str">
        <f t="shared" si="5"/>
        <v/>
      </c>
      <c r="AD177" s="75" t="str">
        <f t="shared" si="6"/>
        <v/>
      </c>
      <c r="AH177" t="s">
        <v>3449</v>
      </c>
    </row>
    <row r="178" spans="1:34" outlineLevel="7">
      <c r="A178" s="3499" t="s">
        <v>1568</v>
      </c>
      <c r="B178" s="3499"/>
      <c r="C178" s="7"/>
      <c r="D178" s="7"/>
      <c r="E178" s="14">
        <v>550</v>
      </c>
      <c r="F178" s="7"/>
      <c r="G178" s="7"/>
      <c r="H178" s="8"/>
      <c r="I178" s="9"/>
      <c r="J178" s="7"/>
      <c r="K178" s="7"/>
      <c r="L178" s="7"/>
      <c r="M178" s="14">
        <v>550</v>
      </c>
      <c r="N178" s="14">
        <v>550</v>
      </c>
      <c r="O178" s="14">
        <v>550</v>
      </c>
      <c r="P178" s="7"/>
      <c r="Q178" s="7"/>
      <c r="R178" s="14">
        <v>550</v>
      </c>
      <c r="S178" s="7"/>
      <c r="T178" s="7"/>
      <c r="U178" s="7"/>
      <c r="V178" s="14">
        <v>550</v>
      </c>
      <c r="W178" s="14">
        <v>550</v>
      </c>
      <c r="X178" s="7"/>
      <c r="Y178" s="7"/>
      <c r="Z178" s="7"/>
      <c r="AA178" s="7"/>
      <c r="AC178" s="70">
        <f t="shared" si="5"/>
        <v>550</v>
      </c>
      <c r="AD178" s="75">
        <f t="shared" si="6"/>
        <v>1</v>
      </c>
    </row>
    <row r="179" spans="1:34" outlineLevel="6">
      <c r="A179" s="3501" t="s">
        <v>154</v>
      </c>
      <c r="B179" s="3501"/>
      <c r="C179" s="7"/>
      <c r="D179" s="7"/>
      <c r="E179" s="14">
        <v>550</v>
      </c>
      <c r="F179" s="7"/>
      <c r="G179" s="7"/>
      <c r="H179" s="8"/>
      <c r="I179" s="9"/>
      <c r="J179" s="7"/>
      <c r="K179" s="7"/>
      <c r="L179" s="7"/>
      <c r="M179" s="14">
        <v>550</v>
      </c>
      <c r="N179" s="14">
        <v>550</v>
      </c>
      <c r="O179" s="14">
        <v>550</v>
      </c>
      <c r="P179" s="7"/>
      <c r="Q179" s="7"/>
      <c r="R179" s="14">
        <v>550</v>
      </c>
      <c r="S179" s="7"/>
      <c r="T179" s="7"/>
      <c r="U179" s="7"/>
      <c r="V179" s="14">
        <v>550</v>
      </c>
      <c r="W179" s="14">
        <v>550</v>
      </c>
      <c r="X179" s="7"/>
      <c r="Y179" s="7"/>
      <c r="Z179" s="7"/>
      <c r="AA179" s="7"/>
      <c r="AC179" s="70" t="str">
        <f t="shared" si="5"/>
        <v/>
      </c>
      <c r="AD179" s="75" t="str">
        <f t="shared" si="6"/>
        <v/>
      </c>
    </row>
    <row r="180" spans="1:34" outlineLevel="7">
      <c r="A180" s="3500" t="s">
        <v>155</v>
      </c>
      <c r="B180" s="3500"/>
      <c r="C180" s="7"/>
      <c r="D180" s="7"/>
      <c r="E180" s="14">
        <v>550</v>
      </c>
      <c r="F180" s="7"/>
      <c r="G180" s="7"/>
      <c r="H180" s="8"/>
      <c r="I180" s="9"/>
      <c r="J180" s="7"/>
      <c r="K180" s="7"/>
      <c r="L180" s="7"/>
      <c r="M180" s="14">
        <v>550</v>
      </c>
      <c r="N180" s="14">
        <v>550</v>
      </c>
      <c r="O180" s="14">
        <v>550</v>
      </c>
      <c r="P180" s="7"/>
      <c r="Q180" s="7"/>
      <c r="R180" s="14">
        <v>550</v>
      </c>
      <c r="S180" s="7"/>
      <c r="T180" s="7"/>
      <c r="U180" s="7"/>
      <c r="V180" s="14">
        <v>550</v>
      </c>
      <c r="W180" s="14">
        <v>550</v>
      </c>
      <c r="X180" s="7"/>
      <c r="Y180" s="7"/>
      <c r="Z180" s="7"/>
      <c r="AA180" s="7"/>
      <c r="AC180" s="70" t="str">
        <f t="shared" si="5"/>
        <v/>
      </c>
      <c r="AD180" s="75" t="str">
        <f t="shared" si="6"/>
        <v/>
      </c>
      <c r="AH180" t="s">
        <v>3407</v>
      </c>
    </row>
    <row r="181" spans="1:34" outlineLevel="7">
      <c r="A181" s="3499" t="s">
        <v>1569</v>
      </c>
      <c r="B181" s="3499"/>
      <c r="C181" s="7"/>
      <c r="D181" s="7"/>
      <c r="E181" s="14">
        <v>550</v>
      </c>
      <c r="F181" s="7"/>
      <c r="G181" s="7"/>
      <c r="H181" s="8"/>
      <c r="I181" s="9"/>
      <c r="J181" s="7"/>
      <c r="K181" s="7"/>
      <c r="L181" s="7"/>
      <c r="M181" s="14">
        <v>550</v>
      </c>
      <c r="N181" s="14">
        <v>550</v>
      </c>
      <c r="O181" s="14">
        <v>550</v>
      </c>
      <c r="P181" s="7"/>
      <c r="Q181" s="7"/>
      <c r="R181" s="14">
        <v>550</v>
      </c>
      <c r="S181" s="7"/>
      <c r="T181" s="7"/>
      <c r="U181" s="7"/>
      <c r="V181" s="14">
        <v>550</v>
      </c>
      <c r="W181" s="14">
        <v>550</v>
      </c>
      <c r="X181" s="7"/>
      <c r="Y181" s="7"/>
      <c r="Z181" s="7"/>
      <c r="AA181" s="7"/>
      <c r="AC181" s="70">
        <f t="shared" si="5"/>
        <v>550</v>
      </c>
      <c r="AD181" s="75">
        <f t="shared" si="6"/>
        <v>1</v>
      </c>
    </row>
    <row r="182" spans="1:34" outlineLevel="6">
      <c r="A182" s="3501" t="s">
        <v>156</v>
      </c>
      <c r="B182" s="3501"/>
      <c r="C182" s="7"/>
      <c r="D182" s="7"/>
      <c r="E182" s="14">
        <v>550</v>
      </c>
      <c r="F182" s="7"/>
      <c r="G182" s="7"/>
      <c r="H182" s="8"/>
      <c r="I182" s="9"/>
      <c r="J182" s="7"/>
      <c r="K182" s="7"/>
      <c r="L182" s="7"/>
      <c r="M182" s="14">
        <v>550</v>
      </c>
      <c r="N182" s="14">
        <v>550</v>
      </c>
      <c r="O182" s="14">
        <v>550</v>
      </c>
      <c r="P182" s="7"/>
      <c r="Q182" s="7"/>
      <c r="R182" s="14">
        <v>550</v>
      </c>
      <c r="S182" s="7"/>
      <c r="T182" s="7"/>
      <c r="U182" s="7"/>
      <c r="V182" s="14">
        <v>550</v>
      </c>
      <c r="W182" s="14">
        <v>550</v>
      </c>
      <c r="X182" s="7"/>
      <c r="Y182" s="7"/>
      <c r="Z182" s="7"/>
      <c r="AA182" s="7"/>
      <c r="AC182" s="70" t="str">
        <f t="shared" si="5"/>
        <v/>
      </c>
      <c r="AD182" s="75" t="str">
        <f t="shared" si="6"/>
        <v/>
      </c>
    </row>
    <row r="183" spans="1:34" outlineLevel="7">
      <c r="A183" s="3500" t="s">
        <v>157</v>
      </c>
      <c r="B183" s="3500"/>
      <c r="C183" s="7"/>
      <c r="D183" s="7"/>
      <c r="E183" s="14">
        <v>550</v>
      </c>
      <c r="F183" s="7"/>
      <c r="G183" s="7"/>
      <c r="H183" s="8"/>
      <c r="I183" s="9"/>
      <c r="J183" s="7"/>
      <c r="K183" s="7"/>
      <c r="L183" s="7"/>
      <c r="M183" s="14">
        <v>550</v>
      </c>
      <c r="N183" s="14">
        <v>550</v>
      </c>
      <c r="O183" s="14">
        <v>550</v>
      </c>
      <c r="P183" s="7"/>
      <c r="Q183" s="7"/>
      <c r="R183" s="14">
        <v>550</v>
      </c>
      <c r="S183" s="7"/>
      <c r="T183" s="7"/>
      <c r="U183" s="7"/>
      <c r="V183" s="14">
        <v>550</v>
      </c>
      <c r="W183" s="14">
        <v>550</v>
      </c>
      <c r="X183" s="7"/>
      <c r="Y183" s="7"/>
      <c r="Z183" s="7"/>
      <c r="AA183" s="7"/>
      <c r="AC183" s="70" t="str">
        <f t="shared" si="5"/>
        <v/>
      </c>
      <c r="AD183" s="75" t="str">
        <f t="shared" si="6"/>
        <v/>
      </c>
      <c r="AH183" t="s">
        <v>157</v>
      </c>
    </row>
    <row r="184" spans="1:34" outlineLevel="7">
      <c r="A184" s="3499" t="s">
        <v>1570</v>
      </c>
      <c r="B184" s="3499"/>
      <c r="C184" s="7"/>
      <c r="D184" s="7"/>
      <c r="E184" s="14">
        <v>550</v>
      </c>
      <c r="F184" s="7"/>
      <c r="G184" s="7"/>
      <c r="H184" s="8"/>
      <c r="I184" s="9"/>
      <c r="J184" s="7"/>
      <c r="K184" s="7"/>
      <c r="L184" s="7"/>
      <c r="M184" s="14">
        <v>550</v>
      </c>
      <c r="N184" s="14">
        <v>550</v>
      </c>
      <c r="O184" s="14">
        <v>550</v>
      </c>
      <c r="P184" s="7"/>
      <c r="Q184" s="7"/>
      <c r="R184" s="14">
        <v>550</v>
      </c>
      <c r="S184" s="7"/>
      <c r="T184" s="7"/>
      <c r="U184" s="7"/>
      <c r="V184" s="14">
        <v>550</v>
      </c>
      <c r="W184" s="14">
        <v>550</v>
      </c>
      <c r="X184" s="7"/>
      <c r="Y184" s="7"/>
      <c r="Z184" s="7"/>
      <c r="AA184" s="7"/>
      <c r="AC184" s="70">
        <f t="shared" si="5"/>
        <v>550</v>
      </c>
      <c r="AD184" s="75">
        <f t="shared" si="6"/>
        <v>1</v>
      </c>
    </row>
    <row r="185" spans="1:34" outlineLevel="6">
      <c r="A185" s="3501" t="s">
        <v>158</v>
      </c>
      <c r="B185" s="3501"/>
      <c r="C185" s="7"/>
      <c r="D185" s="7"/>
      <c r="E185" s="14">
        <v>550</v>
      </c>
      <c r="F185" s="7"/>
      <c r="G185" s="7"/>
      <c r="H185" s="8"/>
      <c r="I185" s="9"/>
      <c r="J185" s="7"/>
      <c r="K185" s="7"/>
      <c r="L185" s="7"/>
      <c r="M185" s="14">
        <v>550</v>
      </c>
      <c r="N185" s="14">
        <v>550</v>
      </c>
      <c r="O185" s="14">
        <v>550</v>
      </c>
      <c r="P185" s="7"/>
      <c r="Q185" s="7"/>
      <c r="R185" s="14">
        <v>550</v>
      </c>
      <c r="S185" s="7"/>
      <c r="T185" s="7"/>
      <c r="U185" s="7"/>
      <c r="V185" s="14">
        <v>550</v>
      </c>
      <c r="W185" s="14">
        <v>550</v>
      </c>
      <c r="X185" s="7"/>
      <c r="Y185" s="7"/>
      <c r="Z185" s="7"/>
      <c r="AA185" s="7"/>
      <c r="AC185" s="70" t="str">
        <f t="shared" si="5"/>
        <v/>
      </c>
      <c r="AD185" s="75" t="str">
        <f t="shared" si="6"/>
        <v/>
      </c>
    </row>
    <row r="186" spans="1:34" outlineLevel="7">
      <c r="A186" s="3500" t="s">
        <v>159</v>
      </c>
      <c r="B186" s="3500"/>
      <c r="C186" s="7"/>
      <c r="D186" s="7"/>
      <c r="E186" s="14">
        <v>550</v>
      </c>
      <c r="F186" s="7"/>
      <c r="G186" s="7"/>
      <c r="H186" s="8"/>
      <c r="I186" s="9"/>
      <c r="J186" s="7"/>
      <c r="K186" s="7"/>
      <c r="L186" s="7"/>
      <c r="M186" s="14">
        <v>550</v>
      </c>
      <c r="N186" s="14">
        <v>550</v>
      </c>
      <c r="O186" s="14">
        <v>550</v>
      </c>
      <c r="P186" s="7"/>
      <c r="Q186" s="7"/>
      <c r="R186" s="14">
        <v>550</v>
      </c>
      <c r="S186" s="7"/>
      <c r="T186" s="7"/>
      <c r="U186" s="7"/>
      <c r="V186" s="14">
        <v>550</v>
      </c>
      <c r="W186" s="14">
        <v>550</v>
      </c>
      <c r="X186" s="7"/>
      <c r="Y186" s="7"/>
      <c r="Z186" s="7"/>
      <c r="AA186" s="7"/>
      <c r="AC186" s="70" t="str">
        <f t="shared" si="5"/>
        <v/>
      </c>
      <c r="AD186" s="75" t="str">
        <f t="shared" si="6"/>
        <v/>
      </c>
      <c r="AH186" t="s">
        <v>159</v>
      </c>
    </row>
    <row r="187" spans="1:34" outlineLevel="7">
      <c r="A187" s="3499" t="s">
        <v>1571</v>
      </c>
      <c r="B187" s="3499"/>
      <c r="C187" s="7"/>
      <c r="D187" s="7"/>
      <c r="E187" s="14">
        <v>550</v>
      </c>
      <c r="F187" s="7"/>
      <c r="G187" s="7"/>
      <c r="H187" s="8"/>
      <c r="I187" s="9"/>
      <c r="J187" s="7"/>
      <c r="K187" s="7"/>
      <c r="L187" s="7"/>
      <c r="M187" s="14">
        <v>550</v>
      </c>
      <c r="N187" s="14">
        <v>550</v>
      </c>
      <c r="O187" s="14">
        <v>550</v>
      </c>
      <c r="P187" s="7"/>
      <c r="Q187" s="7"/>
      <c r="R187" s="14">
        <v>550</v>
      </c>
      <c r="S187" s="7"/>
      <c r="T187" s="7"/>
      <c r="U187" s="7"/>
      <c r="V187" s="14">
        <v>550</v>
      </c>
      <c r="W187" s="14">
        <v>550</v>
      </c>
      <c r="X187" s="7"/>
      <c r="Y187" s="7"/>
      <c r="Z187" s="7"/>
      <c r="AA187" s="7"/>
      <c r="AC187" s="70">
        <f t="shared" si="5"/>
        <v>550</v>
      </c>
      <c r="AD187" s="75">
        <f t="shared" si="6"/>
        <v>1</v>
      </c>
    </row>
    <row r="188" spans="1:34" outlineLevel="6">
      <c r="A188" s="3501" t="s">
        <v>160</v>
      </c>
      <c r="B188" s="3501"/>
      <c r="C188" s="7"/>
      <c r="D188" s="7"/>
      <c r="E188" s="14">
        <v>550</v>
      </c>
      <c r="F188" s="7"/>
      <c r="G188" s="7"/>
      <c r="H188" s="8"/>
      <c r="I188" s="9"/>
      <c r="J188" s="7"/>
      <c r="K188" s="7"/>
      <c r="L188" s="7"/>
      <c r="M188" s="14">
        <v>550</v>
      </c>
      <c r="N188" s="14">
        <v>550</v>
      </c>
      <c r="O188" s="14">
        <v>550</v>
      </c>
      <c r="P188" s="7"/>
      <c r="Q188" s="7"/>
      <c r="R188" s="14">
        <v>550</v>
      </c>
      <c r="S188" s="7"/>
      <c r="T188" s="7"/>
      <c r="U188" s="7"/>
      <c r="V188" s="14">
        <v>550</v>
      </c>
      <c r="W188" s="14">
        <v>550</v>
      </c>
      <c r="X188" s="7"/>
      <c r="Y188" s="7"/>
      <c r="Z188" s="7"/>
      <c r="AA188" s="7"/>
      <c r="AC188" s="70" t="str">
        <f t="shared" si="5"/>
        <v/>
      </c>
      <c r="AD188" s="75" t="str">
        <f t="shared" si="6"/>
        <v/>
      </c>
    </row>
    <row r="189" spans="1:34" outlineLevel="7">
      <c r="A189" s="3500" t="s">
        <v>161</v>
      </c>
      <c r="B189" s="3500"/>
      <c r="C189" s="7"/>
      <c r="D189" s="7"/>
      <c r="E189" s="14">
        <v>550</v>
      </c>
      <c r="F189" s="7"/>
      <c r="G189" s="7"/>
      <c r="H189" s="8"/>
      <c r="I189" s="9"/>
      <c r="J189" s="7"/>
      <c r="K189" s="7"/>
      <c r="L189" s="7"/>
      <c r="M189" s="14">
        <v>550</v>
      </c>
      <c r="N189" s="14">
        <v>550</v>
      </c>
      <c r="O189" s="14">
        <v>550</v>
      </c>
      <c r="P189" s="7"/>
      <c r="Q189" s="7"/>
      <c r="R189" s="14">
        <v>550</v>
      </c>
      <c r="S189" s="7"/>
      <c r="T189" s="7"/>
      <c r="U189" s="7"/>
      <c r="V189" s="14">
        <v>550</v>
      </c>
      <c r="W189" s="14">
        <v>550</v>
      </c>
      <c r="X189" s="7"/>
      <c r="Y189" s="7"/>
      <c r="Z189" s="7"/>
      <c r="AA189" s="7"/>
      <c r="AC189" s="70" t="str">
        <f t="shared" si="5"/>
        <v/>
      </c>
      <c r="AD189" s="75" t="str">
        <f t="shared" si="6"/>
        <v/>
      </c>
      <c r="AH189" t="s">
        <v>3415</v>
      </c>
    </row>
    <row r="190" spans="1:34" outlineLevel="7">
      <c r="A190" s="3499" t="s">
        <v>1572</v>
      </c>
      <c r="B190" s="3499"/>
      <c r="C190" s="7"/>
      <c r="D190" s="7"/>
      <c r="E190" s="14">
        <v>550</v>
      </c>
      <c r="F190" s="7"/>
      <c r="G190" s="7"/>
      <c r="H190" s="8"/>
      <c r="I190" s="9"/>
      <c r="J190" s="7"/>
      <c r="K190" s="7"/>
      <c r="L190" s="7"/>
      <c r="M190" s="14">
        <v>550</v>
      </c>
      <c r="N190" s="14">
        <v>550</v>
      </c>
      <c r="O190" s="14">
        <v>550</v>
      </c>
      <c r="P190" s="7"/>
      <c r="Q190" s="7"/>
      <c r="R190" s="14">
        <v>550</v>
      </c>
      <c r="S190" s="7"/>
      <c r="T190" s="7"/>
      <c r="U190" s="7"/>
      <c r="V190" s="14">
        <v>550</v>
      </c>
      <c r="W190" s="14">
        <v>550</v>
      </c>
      <c r="X190" s="7"/>
      <c r="Y190" s="7"/>
      <c r="Z190" s="7"/>
      <c r="AA190" s="7"/>
      <c r="AC190" s="70">
        <f t="shared" si="5"/>
        <v>550</v>
      </c>
      <c r="AD190" s="75">
        <f t="shared" si="6"/>
        <v>1</v>
      </c>
    </row>
    <row r="191" spans="1:34" outlineLevel="6">
      <c r="A191" s="3501" t="s">
        <v>162</v>
      </c>
      <c r="B191" s="3501"/>
      <c r="C191" s="7"/>
      <c r="D191" s="7"/>
      <c r="E191" s="14">
        <v>550</v>
      </c>
      <c r="F191" s="7"/>
      <c r="G191" s="7"/>
      <c r="H191" s="8"/>
      <c r="I191" s="9"/>
      <c r="J191" s="7"/>
      <c r="K191" s="7"/>
      <c r="L191" s="7"/>
      <c r="M191" s="14">
        <v>550</v>
      </c>
      <c r="N191" s="14">
        <v>550</v>
      </c>
      <c r="O191" s="14">
        <v>550</v>
      </c>
      <c r="P191" s="7"/>
      <c r="Q191" s="7"/>
      <c r="R191" s="14">
        <v>550</v>
      </c>
      <c r="S191" s="7"/>
      <c r="T191" s="7"/>
      <c r="U191" s="7"/>
      <c r="V191" s="14">
        <v>550</v>
      </c>
      <c r="W191" s="14">
        <v>550</v>
      </c>
      <c r="X191" s="7"/>
      <c r="Y191" s="7"/>
      <c r="Z191" s="7"/>
      <c r="AA191" s="7"/>
      <c r="AC191" s="70" t="str">
        <f t="shared" si="5"/>
        <v/>
      </c>
      <c r="AD191" s="75" t="str">
        <f t="shared" si="6"/>
        <v/>
      </c>
    </row>
    <row r="192" spans="1:34" outlineLevel="7">
      <c r="A192" s="3500" t="s">
        <v>163</v>
      </c>
      <c r="B192" s="3500"/>
      <c r="C192" s="7"/>
      <c r="D192" s="7"/>
      <c r="E192" s="14">
        <v>550</v>
      </c>
      <c r="F192" s="7"/>
      <c r="G192" s="7"/>
      <c r="H192" s="8"/>
      <c r="I192" s="9"/>
      <c r="J192" s="7"/>
      <c r="K192" s="7"/>
      <c r="L192" s="7"/>
      <c r="M192" s="14">
        <v>550</v>
      </c>
      <c r="N192" s="14">
        <v>550</v>
      </c>
      <c r="O192" s="14">
        <v>550</v>
      </c>
      <c r="P192" s="7"/>
      <c r="Q192" s="7"/>
      <c r="R192" s="14">
        <v>550</v>
      </c>
      <c r="S192" s="7"/>
      <c r="T192" s="7"/>
      <c r="U192" s="7"/>
      <c r="V192" s="14">
        <v>550</v>
      </c>
      <c r="W192" s="14">
        <v>550</v>
      </c>
      <c r="X192" s="7"/>
      <c r="Y192" s="7"/>
      <c r="Z192" s="7"/>
      <c r="AA192" s="7"/>
      <c r="AC192" s="70" t="str">
        <f t="shared" si="5"/>
        <v/>
      </c>
      <c r="AD192" s="75" t="str">
        <f t="shared" si="6"/>
        <v/>
      </c>
      <c r="AH192" t="s">
        <v>3481</v>
      </c>
    </row>
    <row r="193" spans="1:36" outlineLevel="7">
      <c r="A193" s="3499" t="s">
        <v>1573</v>
      </c>
      <c r="B193" s="3499"/>
      <c r="C193" s="7"/>
      <c r="D193" s="7"/>
      <c r="E193" s="14">
        <v>550</v>
      </c>
      <c r="F193" s="7"/>
      <c r="G193" s="7"/>
      <c r="H193" s="8"/>
      <c r="I193" s="9"/>
      <c r="J193" s="7"/>
      <c r="K193" s="7"/>
      <c r="L193" s="7"/>
      <c r="M193" s="14">
        <v>550</v>
      </c>
      <c r="N193" s="14">
        <v>550</v>
      </c>
      <c r="O193" s="14">
        <v>550</v>
      </c>
      <c r="P193" s="7"/>
      <c r="Q193" s="7"/>
      <c r="R193" s="14">
        <v>550</v>
      </c>
      <c r="S193" s="7"/>
      <c r="T193" s="7"/>
      <c r="U193" s="7"/>
      <c r="V193" s="14">
        <v>550</v>
      </c>
      <c r="W193" s="14">
        <v>550</v>
      </c>
      <c r="X193" s="7"/>
      <c r="Y193" s="7"/>
      <c r="Z193" s="7"/>
      <c r="AA193" s="7"/>
      <c r="AC193" s="70">
        <f t="shared" si="5"/>
        <v>550</v>
      </c>
      <c r="AD193" s="75">
        <f t="shared" si="6"/>
        <v>1</v>
      </c>
    </row>
    <row r="194" spans="1:36" outlineLevel="6">
      <c r="A194" s="3501" t="s">
        <v>164</v>
      </c>
      <c r="B194" s="3501"/>
      <c r="C194" s="7"/>
      <c r="D194" s="7"/>
      <c r="E194" s="14">
        <v>550</v>
      </c>
      <c r="F194" s="7"/>
      <c r="G194" s="7"/>
      <c r="H194" s="8"/>
      <c r="I194" s="9"/>
      <c r="J194" s="7"/>
      <c r="K194" s="7"/>
      <c r="L194" s="7"/>
      <c r="M194" s="14">
        <v>550</v>
      </c>
      <c r="N194" s="14">
        <v>550</v>
      </c>
      <c r="O194" s="14">
        <v>550</v>
      </c>
      <c r="P194" s="7"/>
      <c r="Q194" s="7"/>
      <c r="R194" s="14">
        <v>550</v>
      </c>
      <c r="S194" s="7"/>
      <c r="T194" s="7"/>
      <c r="U194" s="7"/>
      <c r="V194" s="14">
        <v>550</v>
      </c>
      <c r="W194" s="14">
        <v>550</v>
      </c>
      <c r="X194" s="7"/>
      <c r="Y194" s="7"/>
      <c r="Z194" s="7"/>
      <c r="AA194" s="7"/>
      <c r="AC194" s="70" t="str">
        <f t="shared" si="5"/>
        <v/>
      </c>
      <c r="AD194" s="75" t="str">
        <f t="shared" si="6"/>
        <v/>
      </c>
    </row>
    <row r="195" spans="1:36" outlineLevel="7">
      <c r="A195" s="3500" t="s">
        <v>165</v>
      </c>
      <c r="B195" s="3500"/>
      <c r="C195" s="7"/>
      <c r="D195" s="7"/>
      <c r="E195" s="14">
        <v>550</v>
      </c>
      <c r="F195" s="7"/>
      <c r="G195" s="7"/>
      <c r="H195" s="8"/>
      <c r="I195" s="9"/>
      <c r="J195" s="7"/>
      <c r="K195" s="7"/>
      <c r="L195" s="7"/>
      <c r="M195" s="14">
        <v>550</v>
      </c>
      <c r="N195" s="14">
        <v>550</v>
      </c>
      <c r="O195" s="14">
        <v>550</v>
      </c>
      <c r="P195" s="7"/>
      <c r="Q195" s="7"/>
      <c r="R195" s="14">
        <v>550</v>
      </c>
      <c r="S195" s="7"/>
      <c r="T195" s="7"/>
      <c r="U195" s="7"/>
      <c r="V195" s="14">
        <v>550</v>
      </c>
      <c r="W195" s="14">
        <v>550</v>
      </c>
      <c r="X195" s="7"/>
      <c r="Y195" s="7"/>
      <c r="Z195" s="7"/>
      <c r="AA195" s="7"/>
      <c r="AC195" s="70" t="str">
        <f t="shared" si="5"/>
        <v/>
      </c>
      <c r="AD195" s="75" t="str">
        <f t="shared" si="6"/>
        <v/>
      </c>
      <c r="AH195" t="s">
        <v>165</v>
      </c>
    </row>
    <row r="196" spans="1:36" outlineLevel="7">
      <c r="A196" s="3499" t="s">
        <v>1574</v>
      </c>
      <c r="B196" s="3499"/>
      <c r="C196" s="7"/>
      <c r="D196" s="7"/>
      <c r="E196" s="14">
        <v>550</v>
      </c>
      <c r="F196" s="7"/>
      <c r="G196" s="7"/>
      <c r="H196" s="8"/>
      <c r="I196" s="9"/>
      <c r="J196" s="7"/>
      <c r="K196" s="7"/>
      <c r="L196" s="7"/>
      <c r="M196" s="14">
        <v>550</v>
      </c>
      <c r="N196" s="14">
        <v>550</v>
      </c>
      <c r="O196" s="14">
        <v>550</v>
      </c>
      <c r="P196" s="7"/>
      <c r="Q196" s="7"/>
      <c r="R196" s="14">
        <v>550</v>
      </c>
      <c r="S196" s="7"/>
      <c r="T196" s="7"/>
      <c r="U196" s="7"/>
      <c r="V196" s="14">
        <v>550</v>
      </c>
      <c r="W196" s="14">
        <v>550</v>
      </c>
      <c r="X196" s="7"/>
      <c r="Y196" s="7"/>
      <c r="Z196" s="7"/>
      <c r="AA196" s="7"/>
      <c r="AC196" s="70">
        <f t="shared" si="5"/>
        <v>550</v>
      </c>
      <c r="AD196" s="75">
        <f t="shared" si="6"/>
        <v>1</v>
      </c>
    </row>
    <row r="197" spans="1:36" outlineLevel="6">
      <c r="A197" s="3501" t="s">
        <v>166</v>
      </c>
      <c r="B197" s="3501"/>
      <c r="C197" s="7"/>
      <c r="D197" s="7"/>
      <c r="E197" s="14">
        <v>550</v>
      </c>
      <c r="F197" s="7"/>
      <c r="G197" s="7"/>
      <c r="H197" s="8"/>
      <c r="I197" s="9"/>
      <c r="J197" s="7"/>
      <c r="K197" s="7"/>
      <c r="L197" s="7"/>
      <c r="M197" s="14">
        <v>550</v>
      </c>
      <c r="N197" s="14">
        <v>550</v>
      </c>
      <c r="O197" s="14">
        <v>550</v>
      </c>
      <c r="P197" s="7"/>
      <c r="Q197" s="7"/>
      <c r="R197" s="14">
        <v>550</v>
      </c>
      <c r="S197" s="7"/>
      <c r="T197" s="7"/>
      <c r="U197" s="7"/>
      <c r="V197" s="14">
        <v>550</v>
      </c>
      <c r="W197" s="14">
        <v>550</v>
      </c>
      <c r="X197" s="7"/>
      <c r="Y197" s="7"/>
      <c r="Z197" s="7"/>
      <c r="AA197" s="7"/>
      <c r="AC197" s="70" t="str">
        <f t="shared" si="5"/>
        <v/>
      </c>
      <c r="AD197" s="75" t="str">
        <f t="shared" si="6"/>
        <v/>
      </c>
    </row>
    <row r="198" spans="1:36" outlineLevel="7">
      <c r="A198" s="3500" t="s">
        <v>167</v>
      </c>
      <c r="B198" s="3500"/>
      <c r="C198" s="7"/>
      <c r="D198" s="7"/>
      <c r="E198" s="14">
        <v>550</v>
      </c>
      <c r="F198" s="7"/>
      <c r="G198" s="7"/>
      <c r="H198" s="8"/>
      <c r="I198" s="9"/>
      <c r="J198" s="7"/>
      <c r="K198" s="7"/>
      <c r="L198" s="7"/>
      <c r="M198" s="14">
        <v>550</v>
      </c>
      <c r="N198" s="14">
        <v>550</v>
      </c>
      <c r="O198" s="14">
        <v>550</v>
      </c>
      <c r="P198" s="7"/>
      <c r="Q198" s="7"/>
      <c r="R198" s="14">
        <v>550</v>
      </c>
      <c r="S198" s="7"/>
      <c r="T198" s="7"/>
      <c r="U198" s="7"/>
      <c r="V198" s="14">
        <v>550</v>
      </c>
      <c r="W198" s="14">
        <v>550</v>
      </c>
      <c r="X198" s="7"/>
      <c r="Y198" s="7"/>
      <c r="Z198" s="7"/>
      <c r="AA198" s="7"/>
      <c r="AC198" s="70" t="str">
        <f t="shared" si="5"/>
        <v/>
      </c>
      <c r="AD198" s="75" t="str">
        <f t="shared" si="6"/>
        <v/>
      </c>
      <c r="AH198" t="s">
        <v>3408</v>
      </c>
    </row>
    <row r="199" spans="1:36" outlineLevel="7">
      <c r="A199" s="3499" t="s">
        <v>1575</v>
      </c>
      <c r="B199" s="3499"/>
      <c r="C199" s="7"/>
      <c r="D199" s="7"/>
      <c r="E199" s="14">
        <v>550</v>
      </c>
      <c r="F199" s="7"/>
      <c r="G199" s="7"/>
      <c r="H199" s="8"/>
      <c r="I199" s="9"/>
      <c r="J199" s="7"/>
      <c r="K199" s="7"/>
      <c r="L199" s="7"/>
      <c r="M199" s="14">
        <v>550</v>
      </c>
      <c r="N199" s="14">
        <v>550</v>
      </c>
      <c r="O199" s="14">
        <v>550</v>
      </c>
      <c r="P199" s="7"/>
      <c r="Q199" s="7"/>
      <c r="R199" s="14">
        <v>550</v>
      </c>
      <c r="S199" s="7"/>
      <c r="T199" s="7"/>
      <c r="U199" s="7"/>
      <c r="V199" s="14">
        <v>550</v>
      </c>
      <c r="W199" s="14">
        <v>550</v>
      </c>
      <c r="X199" s="7"/>
      <c r="Y199" s="7"/>
      <c r="Z199" s="7"/>
      <c r="AA199" s="7"/>
      <c r="AC199" s="70">
        <f t="shared" si="5"/>
        <v>550</v>
      </c>
      <c r="AD199" s="75">
        <f t="shared" si="6"/>
        <v>1</v>
      </c>
    </row>
    <row r="200" spans="1:36" outlineLevel="6">
      <c r="A200" s="3501" t="s">
        <v>168</v>
      </c>
      <c r="B200" s="3501"/>
      <c r="C200" s="7"/>
      <c r="D200" s="7"/>
      <c r="E200" s="14">
        <v>550</v>
      </c>
      <c r="F200" s="7"/>
      <c r="G200" s="7"/>
      <c r="H200" s="8"/>
      <c r="I200" s="9"/>
      <c r="J200" s="7"/>
      <c r="K200" s="7"/>
      <c r="L200" s="7"/>
      <c r="M200" s="14">
        <v>550</v>
      </c>
      <c r="N200" s="14">
        <v>550</v>
      </c>
      <c r="O200" s="14">
        <v>550</v>
      </c>
      <c r="P200" s="7"/>
      <c r="Q200" s="7"/>
      <c r="R200" s="14">
        <v>550</v>
      </c>
      <c r="S200" s="7"/>
      <c r="T200" s="7"/>
      <c r="U200" s="7"/>
      <c r="V200" s="14">
        <v>550</v>
      </c>
      <c r="W200" s="14">
        <v>550</v>
      </c>
      <c r="X200" s="7"/>
      <c r="Y200" s="7"/>
      <c r="Z200" s="7"/>
      <c r="AA200" s="7"/>
      <c r="AC200" s="70" t="str">
        <f t="shared" si="5"/>
        <v/>
      </c>
      <c r="AD200" s="75" t="str">
        <f t="shared" si="6"/>
        <v/>
      </c>
    </row>
    <row r="201" spans="1:36" outlineLevel="7">
      <c r="A201" s="3500" t="s">
        <v>169</v>
      </c>
      <c r="B201" s="3500"/>
      <c r="C201" s="7"/>
      <c r="D201" s="7"/>
      <c r="E201" s="14">
        <v>550</v>
      </c>
      <c r="F201" s="7"/>
      <c r="G201" s="7"/>
      <c r="H201" s="8"/>
      <c r="I201" s="9"/>
      <c r="J201" s="7"/>
      <c r="K201" s="7"/>
      <c r="L201" s="7"/>
      <c r="M201" s="14">
        <v>550</v>
      </c>
      <c r="N201" s="14">
        <v>550</v>
      </c>
      <c r="O201" s="14">
        <v>550</v>
      </c>
      <c r="P201" s="7"/>
      <c r="Q201" s="7"/>
      <c r="R201" s="14">
        <v>550</v>
      </c>
      <c r="S201" s="7"/>
      <c r="T201" s="7"/>
      <c r="U201" s="7"/>
      <c r="V201" s="14">
        <v>550</v>
      </c>
      <c r="W201" s="14">
        <v>550</v>
      </c>
      <c r="X201" s="7"/>
      <c r="Y201" s="7"/>
      <c r="Z201" s="7"/>
      <c r="AA201" s="7"/>
      <c r="AC201" s="70" t="str">
        <f t="shared" si="5"/>
        <v/>
      </c>
      <c r="AD201" s="75" t="str">
        <f t="shared" si="6"/>
        <v/>
      </c>
      <c r="AH201" t="s">
        <v>3479</v>
      </c>
    </row>
    <row r="202" spans="1:36" outlineLevel="7">
      <c r="A202" s="3499" t="s">
        <v>1576</v>
      </c>
      <c r="B202" s="3499"/>
      <c r="C202" s="7"/>
      <c r="D202" s="7"/>
      <c r="E202" s="14">
        <v>550</v>
      </c>
      <c r="F202" s="7"/>
      <c r="G202" s="7"/>
      <c r="H202" s="8"/>
      <c r="I202" s="9"/>
      <c r="J202" s="7"/>
      <c r="K202" s="7"/>
      <c r="L202" s="7"/>
      <c r="M202" s="14">
        <v>550</v>
      </c>
      <c r="N202" s="14">
        <v>550</v>
      </c>
      <c r="O202" s="14">
        <v>550</v>
      </c>
      <c r="P202" s="7"/>
      <c r="Q202" s="7"/>
      <c r="R202" s="14">
        <v>550</v>
      </c>
      <c r="S202" s="7"/>
      <c r="T202" s="7"/>
      <c r="U202" s="7"/>
      <c r="V202" s="14">
        <v>550</v>
      </c>
      <c r="W202" s="14">
        <v>550</v>
      </c>
      <c r="X202" s="7"/>
      <c r="Y202" s="7"/>
      <c r="Z202" s="7"/>
      <c r="AA202" s="7"/>
      <c r="AC202" s="70">
        <f t="shared" si="5"/>
        <v>550</v>
      </c>
      <c r="AD202" s="75">
        <f t="shared" si="6"/>
        <v>1</v>
      </c>
    </row>
    <row r="203" spans="1:36" outlineLevel="6">
      <c r="A203" s="3501" t="s">
        <v>170</v>
      </c>
      <c r="B203" s="3501"/>
      <c r="C203" s="7"/>
      <c r="D203" s="7"/>
      <c r="E203" s="14">
        <v>550</v>
      </c>
      <c r="F203" s="7"/>
      <c r="G203" s="7"/>
      <c r="H203" s="8"/>
      <c r="I203" s="9"/>
      <c r="J203" s="7"/>
      <c r="K203" s="7"/>
      <c r="L203" s="7"/>
      <c r="M203" s="14">
        <v>550</v>
      </c>
      <c r="N203" s="14">
        <v>550</v>
      </c>
      <c r="O203" s="14">
        <v>550</v>
      </c>
      <c r="P203" s="7"/>
      <c r="Q203" s="7"/>
      <c r="R203" s="14">
        <v>550</v>
      </c>
      <c r="S203" s="7"/>
      <c r="T203" s="7"/>
      <c r="U203" s="7"/>
      <c r="V203" s="14">
        <v>550</v>
      </c>
      <c r="W203" s="14">
        <v>550</v>
      </c>
      <c r="X203" s="7"/>
      <c r="Y203" s="7"/>
      <c r="Z203" s="7"/>
      <c r="AA203" s="7"/>
      <c r="AC203" s="70" t="str">
        <f t="shared" si="5"/>
        <v/>
      </c>
      <c r="AD203" s="75" t="str">
        <f t="shared" si="6"/>
        <v/>
      </c>
    </row>
    <row r="204" spans="1:36" outlineLevel="7">
      <c r="A204" s="3500" t="s">
        <v>171</v>
      </c>
      <c r="B204" s="3500"/>
      <c r="C204" s="7"/>
      <c r="D204" s="7"/>
      <c r="E204" s="14">
        <v>550</v>
      </c>
      <c r="F204" s="7"/>
      <c r="G204" s="7"/>
      <c r="H204" s="8"/>
      <c r="I204" s="9"/>
      <c r="J204" s="7"/>
      <c r="K204" s="7"/>
      <c r="L204" s="7"/>
      <c r="M204" s="14">
        <v>550</v>
      </c>
      <c r="N204" s="14">
        <v>550</v>
      </c>
      <c r="O204" s="14">
        <v>550</v>
      </c>
      <c r="P204" s="7"/>
      <c r="Q204" s="7"/>
      <c r="R204" s="14">
        <v>550</v>
      </c>
      <c r="S204" s="7"/>
      <c r="T204" s="7"/>
      <c r="U204" s="7"/>
      <c r="V204" s="14">
        <v>550</v>
      </c>
      <c r="W204" s="14">
        <v>550</v>
      </c>
      <c r="X204" s="7"/>
      <c r="Y204" s="7"/>
      <c r="Z204" s="7"/>
      <c r="AA204" s="7"/>
      <c r="AC204" s="70" t="str">
        <f t="shared" si="5"/>
        <v/>
      </c>
      <c r="AD204" s="75" t="str">
        <f t="shared" si="6"/>
        <v/>
      </c>
      <c r="AH204" t="s">
        <v>2717</v>
      </c>
    </row>
    <row r="205" spans="1:36" outlineLevel="7">
      <c r="A205" s="3499" t="s">
        <v>1577</v>
      </c>
      <c r="B205" s="3499"/>
      <c r="C205" s="7"/>
      <c r="D205" s="7"/>
      <c r="E205" s="14">
        <v>550</v>
      </c>
      <c r="F205" s="7"/>
      <c r="G205" s="7"/>
      <c r="H205" s="8"/>
      <c r="I205" s="9"/>
      <c r="J205" s="7"/>
      <c r="K205" s="7"/>
      <c r="L205" s="7"/>
      <c r="M205" s="14">
        <v>550</v>
      </c>
      <c r="N205" s="14">
        <v>550</v>
      </c>
      <c r="O205" s="14">
        <v>550</v>
      </c>
      <c r="P205" s="7"/>
      <c r="Q205" s="7"/>
      <c r="R205" s="14">
        <v>550</v>
      </c>
      <c r="S205" s="7"/>
      <c r="T205" s="7"/>
      <c r="U205" s="7"/>
      <c r="V205" s="14">
        <v>550</v>
      </c>
      <c r="W205" s="14">
        <v>550</v>
      </c>
      <c r="X205" s="7"/>
      <c r="Y205" s="7"/>
      <c r="Z205" s="7"/>
      <c r="AA205" s="7"/>
      <c r="AC205" s="70">
        <f t="shared" si="5"/>
        <v>550</v>
      </c>
      <c r="AD205" s="75">
        <f t="shared" si="6"/>
        <v>1</v>
      </c>
    </row>
    <row r="206" spans="1:36" outlineLevel="6">
      <c r="A206" s="3501" t="s">
        <v>172</v>
      </c>
      <c r="B206" s="3501"/>
      <c r="C206" s="7"/>
      <c r="D206" s="7"/>
      <c r="E206" s="13">
        <v>11691.84</v>
      </c>
      <c r="F206" s="7"/>
      <c r="G206" s="7"/>
      <c r="H206" s="8"/>
      <c r="I206" s="9"/>
      <c r="J206" s="7"/>
      <c r="K206" s="7"/>
      <c r="L206" s="7"/>
      <c r="M206" s="13">
        <v>11691.84</v>
      </c>
      <c r="N206" s="13">
        <v>11691.84</v>
      </c>
      <c r="O206" s="13">
        <v>11691.84</v>
      </c>
      <c r="P206" s="7"/>
      <c r="Q206" s="7"/>
      <c r="R206" s="13">
        <v>11691.84</v>
      </c>
      <c r="S206" s="7"/>
      <c r="T206" s="7"/>
      <c r="U206" s="7"/>
      <c r="V206" s="13">
        <v>11691.84</v>
      </c>
      <c r="W206" s="13">
        <v>11691.84</v>
      </c>
      <c r="X206" s="7"/>
      <c r="Y206" s="7"/>
      <c r="Z206" s="7"/>
      <c r="AA206" s="7"/>
      <c r="AC206" s="70" t="str">
        <f t="shared" si="5"/>
        <v/>
      </c>
      <c r="AD206" s="75" t="str">
        <f t="shared" si="6"/>
        <v/>
      </c>
    </row>
    <row r="207" spans="1:36" outlineLevel="7">
      <c r="A207" s="3500" t="s">
        <v>173</v>
      </c>
      <c r="B207" s="3500"/>
      <c r="C207" s="7"/>
      <c r="D207" s="7"/>
      <c r="E207" s="13">
        <v>11691.84</v>
      </c>
      <c r="F207" s="7"/>
      <c r="G207" s="7"/>
      <c r="H207" s="8"/>
      <c r="I207" s="9"/>
      <c r="J207" s="7"/>
      <c r="K207" s="7"/>
      <c r="L207" s="7"/>
      <c r="M207" s="13">
        <v>11691.84</v>
      </c>
      <c r="N207" s="13">
        <v>11691.84</v>
      </c>
      <c r="O207" s="13">
        <v>11691.84</v>
      </c>
      <c r="P207" s="7"/>
      <c r="Q207" s="7"/>
      <c r="R207" s="13">
        <v>11691.84</v>
      </c>
      <c r="S207" s="7"/>
      <c r="T207" s="7"/>
      <c r="U207" s="7"/>
      <c r="V207" s="13">
        <v>11691.84</v>
      </c>
      <c r="W207" s="13">
        <v>11691.84</v>
      </c>
      <c r="X207" s="7"/>
      <c r="Y207" s="7"/>
      <c r="Z207" s="7"/>
      <c r="AA207" s="7"/>
      <c r="AC207" s="70" t="str">
        <f t="shared" si="5"/>
        <v/>
      </c>
      <c r="AD207" s="75" t="str">
        <f t="shared" si="6"/>
        <v/>
      </c>
      <c r="AH207" s="1" t="s">
        <v>3613</v>
      </c>
      <c r="AJ207" s="1"/>
    </row>
    <row r="208" spans="1:36" outlineLevel="7">
      <c r="A208" s="3499" t="s">
        <v>1578</v>
      </c>
      <c r="B208" s="3499"/>
      <c r="C208" s="7"/>
      <c r="D208" s="7"/>
      <c r="E208" s="13">
        <v>11691.84</v>
      </c>
      <c r="F208" s="7"/>
      <c r="G208" s="7"/>
      <c r="H208" s="8"/>
      <c r="I208" s="9"/>
      <c r="J208" s="7"/>
      <c r="K208" s="7"/>
      <c r="L208" s="7"/>
      <c r="M208" s="13">
        <v>11691.84</v>
      </c>
      <c r="N208" s="13">
        <v>11691.84</v>
      </c>
      <c r="O208" s="13">
        <v>11691.84</v>
      </c>
      <c r="P208" s="7"/>
      <c r="Q208" s="7"/>
      <c r="R208" s="13">
        <v>11691.84</v>
      </c>
      <c r="S208" s="7"/>
      <c r="T208" s="7"/>
      <c r="U208" s="7"/>
      <c r="V208" s="13">
        <v>11691.84</v>
      </c>
      <c r="W208" s="13">
        <v>11691.84</v>
      </c>
      <c r="X208" s="7"/>
      <c r="Y208" s="7"/>
      <c r="Z208" s="7"/>
      <c r="AA208" s="7"/>
      <c r="AC208" s="70">
        <f t="shared" si="5"/>
        <v>11691.84</v>
      </c>
      <c r="AD208" s="75" t="str">
        <f t="shared" si="6"/>
        <v/>
      </c>
      <c r="AG208">
        <f>AC208</f>
        <v>11691.84</v>
      </c>
      <c r="AH208" s="27"/>
    </row>
    <row r="209" spans="1:34" outlineLevel="6">
      <c r="A209" s="3501" t="s">
        <v>174</v>
      </c>
      <c r="B209" s="3501"/>
      <c r="C209" s="7"/>
      <c r="D209" s="7"/>
      <c r="E209" s="14">
        <v>550</v>
      </c>
      <c r="F209" s="7"/>
      <c r="G209" s="7"/>
      <c r="H209" s="8"/>
      <c r="I209" s="9"/>
      <c r="J209" s="7"/>
      <c r="K209" s="7"/>
      <c r="L209" s="7"/>
      <c r="M209" s="14">
        <v>550</v>
      </c>
      <c r="N209" s="14">
        <v>550</v>
      </c>
      <c r="O209" s="14">
        <v>550</v>
      </c>
      <c r="P209" s="7"/>
      <c r="Q209" s="7"/>
      <c r="R209" s="14">
        <v>550</v>
      </c>
      <c r="S209" s="7"/>
      <c r="T209" s="7"/>
      <c r="U209" s="7"/>
      <c r="V209" s="14">
        <v>550</v>
      </c>
      <c r="W209" s="14">
        <v>550</v>
      </c>
      <c r="X209" s="7"/>
      <c r="Y209" s="7"/>
      <c r="Z209" s="7"/>
      <c r="AA209" s="7"/>
      <c r="AC209" s="70" t="str">
        <f t="shared" ref="AC209:AC272" si="7">IF(LEFT($A209,5)="Реали",$E209,"")</f>
        <v/>
      </c>
      <c r="AD209" s="75" t="str">
        <f t="shared" ref="AD209:AD272" si="8">IF(AC209=550,1,"")</f>
        <v/>
      </c>
    </row>
    <row r="210" spans="1:34" outlineLevel="7">
      <c r="A210" s="3500" t="s">
        <v>175</v>
      </c>
      <c r="B210" s="3500"/>
      <c r="C210" s="7"/>
      <c r="D210" s="7"/>
      <c r="E210" s="14">
        <v>550</v>
      </c>
      <c r="F210" s="7"/>
      <c r="G210" s="7"/>
      <c r="H210" s="8"/>
      <c r="I210" s="9"/>
      <c r="J210" s="7"/>
      <c r="K210" s="7"/>
      <c r="L210" s="7"/>
      <c r="M210" s="14">
        <v>550</v>
      </c>
      <c r="N210" s="14">
        <v>550</v>
      </c>
      <c r="O210" s="14">
        <v>550</v>
      </c>
      <c r="P210" s="7"/>
      <c r="Q210" s="7"/>
      <c r="R210" s="14">
        <v>550</v>
      </c>
      <c r="S210" s="7"/>
      <c r="T210" s="7"/>
      <c r="U210" s="7"/>
      <c r="V210" s="14">
        <v>550</v>
      </c>
      <c r="W210" s="14">
        <v>550</v>
      </c>
      <c r="X210" s="7"/>
      <c r="Y210" s="7"/>
      <c r="Z210" s="7"/>
      <c r="AA210" s="7"/>
      <c r="AC210" s="70" t="str">
        <f t="shared" si="7"/>
        <v/>
      </c>
      <c r="AD210" s="75" t="str">
        <f t="shared" si="8"/>
        <v/>
      </c>
      <c r="AH210" t="s">
        <v>3550</v>
      </c>
    </row>
    <row r="211" spans="1:34" outlineLevel="7">
      <c r="A211" s="3499" t="s">
        <v>1579</v>
      </c>
      <c r="B211" s="3499"/>
      <c r="C211" s="7"/>
      <c r="D211" s="7"/>
      <c r="E211" s="14">
        <v>550</v>
      </c>
      <c r="F211" s="7"/>
      <c r="G211" s="7"/>
      <c r="H211" s="8"/>
      <c r="I211" s="9"/>
      <c r="J211" s="7"/>
      <c r="K211" s="7"/>
      <c r="L211" s="7"/>
      <c r="M211" s="14">
        <v>550</v>
      </c>
      <c r="N211" s="14">
        <v>550</v>
      </c>
      <c r="O211" s="14">
        <v>550</v>
      </c>
      <c r="P211" s="7"/>
      <c r="Q211" s="7"/>
      <c r="R211" s="14">
        <v>550</v>
      </c>
      <c r="S211" s="7"/>
      <c r="T211" s="7"/>
      <c r="U211" s="7"/>
      <c r="V211" s="14">
        <v>550</v>
      </c>
      <c r="W211" s="14">
        <v>550</v>
      </c>
      <c r="X211" s="7"/>
      <c r="Y211" s="7"/>
      <c r="Z211" s="7"/>
      <c r="AA211" s="7"/>
      <c r="AC211" s="70">
        <f t="shared" si="7"/>
        <v>550</v>
      </c>
      <c r="AD211" s="75">
        <f t="shared" si="8"/>
        <v>1</v>
      </c>
    </row>
    <row r="212" spans="1:34" outlineLevel="6">
      <c r="A212" s="3501" t="s">
        <v>176</v>
      </c>
      <c r="B212" s="3501"/>
      <c r="C212" s="7"/>
      <c r="D212" s="7"/>
      <c r="E212" s="14">
        <v>550</v>
      </c>
      <c r="F212" s="7"/>
      <c r="G212" s="7"/>
      <c r="H212" s="8"/>
      <c r="I212" s="9"/>
      <c r="J212" s="7"/>
      <c r="K212" s="7"/>
      <c r="L212" s="7"/>
      <c r="M212" s="14">
        <v>550</v>
      </c>
      <c r="N212" s="14">
        <v>550</v>
      </c>
      <c r="O212" s="14">
        <v>550</v>
      </c>
      <c r="P212" s="7"/>
      <c r="Q212" s="7"/>
      <c r="R212" s="14">
        <v>550</v>
      </c>
      <c r="S212" s="7"/>
      <c r="T212" s="7"/>
      <c r="U212" s="7"/>
      <c r="V212" s="14">
        <v>550</v>
      </c>
      <c r="W212" s="14">
        <v>550</v>
      </c>
      <c r="X212" s="7"/>
      <c r="Y212" s="7"/>
      <c r="Z212" s="7"/>
      <c r="AA212" s="7"/>
      <c r="AC212" s="70" t="str">
        <f t="shared" si="7"/>
        <v/>
      </c>
      <c r="AD212" s="75" t="str">
        <f t="shared" si="8"/>
        <v/>
      </c>
    </row>
    <row r="213" spans="1:34" outlineLevel="7">
      <c r="A213" s="3500" t="s">
        <v>177</v>
      </c>
      <c r="B213" s="3500"/>
      <c r="C213" s="7"/>
      <c r="D213" s="7"/>
      <c r="E213" s="14">
        <v>550</v>
      </c>
      <c r="F213" s="7"/>
      <c r="G213" s="7"/>
      <c r="H213" s="8"/>
      <c r="I213" s="9"/>
      <c r="J213" s="7"/>
      <c r="K213" s="7"/>
      <c r="L213" s="7"/>
      <c r="M213" s="14">
        <v>550</v>
      </c>
      <c r="N213" s="14">
        <v>550</v>
      </c>
      <c r="O213" s="14">
        <v>550</v>
      </c>
      <c r="P213" s="7"/>
      <c r="Q213" s="7"/>
      <c r="R213" s="14">
        <v>550</v>
      </c>
      <c r="S213" s="7"/>
      <c r="T213" s="7"/>
      <c r="U213" s="7"/>
      <c r="V213" s="14">
        <v>550</v>
      </c>
      <c r="W213" s="14">
        <v>550</v>
      </c>
      <c r="X213" s="7"/>
      <c r="Y213" s="7"/>
      <c r="Z213" s="7"/>
      <c r="AA213" s="7"/>
      <c r="AC213" s="70" t="str">
        <f t="shared" si="7"/>
        <v/>
      </c>
      <c r="AD213" s="75" t="str">
        <f t="shared" si="8"/>
        <v/>
      </c>
      <c r="AH213" t="s">
        <v>3483</v>
      </c>
    </row>
    <row r="214" spans="1:34" outlineLevel="7">
      <c r="A214" s="3499" t="s">
        <v>1580</v>
      </c>
      <c r="B214" s="3499"/>
      <c r="C214" s="7"/>
      <c r="D214" s="7"/>
      <c r="E214" s="14">
        <v>550</v>
      </c>
      <c r="F214" s="7"/>
      <c r="G214" s="7"/>
      <c r="H214" s="8"/>
      <c r="I214" s="9"/>
      <c r="J214" s="7"/>
      <c r="K214" s="7"/>
      <c r="L214" s="7"/>
      <c r="M214" s="14">
        <v>550</v>
      </c>
      <c r="N214" s="14">
        <v>550</v>
      </c>
      <c r="O214" s="14">
        <v>550</v>
      </c>
      <c r="P214" s="7"/>
      <c r="Q214" s="7"/>
      <c r="R214" s="14">
        <v>550</v>
      </c>
      <c r="S214" s="7"/>
      <c r="T214" s="7"/>
      <c r="U214" s="7"/>
      <c r="V214" s="14">
        <v>550</v>
      </c>
      <c r="W214" s="14">
        <v>550</v>
      </c>
      <c r="X214" s="7"/>
      <c r="Y214" s="7"/>
      <c r="Z214" s="7"/>
      <c r="AA214" s="7"/>
      <c r="AC214" s="70">
        <f t="shared" si="7"/>
        <v>550</v>
      </c>
      <c r="AD214" s="75">
        <f t="shared" si="8"/>
        <v>1</v>
      </c>
    </row>
    <row r="215" spans="1:34" outlineLevel="6">
      <c r="A215" s="3501" t="s">
        <v>178</v>
      </c>
      <c r="B215" s="3501"/>
      <c r="C215" s="7"/>
      <c r="D215" s="7"/>
      <c r="E215" s="14">
        <v>550</v>
      </c>
      <c r="F215" s="7"/>
      <c r="G215" s="7"/>
      <c r="H215" s="8"/>
      <c r="I215" s="9"/>
      <c r="J215" s="7"/>
      <c r="K215" s="7"/>
      <c r="L215" s="7"/>
      <c r="M215" s="14">
        <v>550</v>
      </c>
      <c r="N215" s="14">
        <v>550</v>
      </c>
      <c r="O215" s="14">
        <v>550</v>
      </c>
      <c r="P215" s="7"/>
      <c r="Q215" s="7"/>
      <c r="R215" s="14">
        <v>550</v>
      </c>
      <c r="S215" s="7"/>
      <c r="T215" s="7"/>
      <c r="U215" s="7"/>
      <c r="V215" s="14">
        <v>550</v>
      </c>
      <c r="W215" s="14">
        <v>550</v>
      </c>
      <c r="X215" s="7"/>
      <c r="Y215" s="7"/>
      <c r="Z215" s="7"/>
      <c r="AA215" s="7"/>
      <c r="AC215" s="70" t="str">
        <f t="shared" si="7"/>
        <v/>
      </c>
      <c r="AD215" s="75" t="str">
        <f t="shared" si="8"/>
        <v/>
      </c>
    </row>
    <row r="216" spans="1:34" outlineLevel="7">
      <c r="A216" s="3500" t="s">
        <v>179</v>
      </c>
      <c r="B216" s="3500"/>
      <c r="C216" s="7"/>
      <c r="D216" s="7"/>
      <c r="E216" s="14">
        <v>550</v>
      </c>
      <c r="F216" s="7"/>
      <c r="G216" s="7"/>
      <c r="H216" s="8"/>
      <c r="I216" s="9"/>
      <c r="J216" s="7"/>
      <c r="K216" s="7"/>
      <c r="L216" s="7"/>
      <c r="M216" s="14">
        <v>550</v>
      </c>
      <c r="N216" s="14">
        <v>550</v>
      </c>
      <c r="O216" s="14">
        <v>550</v>
      </c>
      <c r="P216" s="7"/>
      <c r="Q216" s="7"/>
      <c r="R216" s="14">
        <v>550</v>
      </c>
      <c r="S216" s="7"/>
      <c r="T216" s="7"/>
      <c r="U216" s="7"/>
      <c r="V216" s="14">
        <v>550</v>
      </c>
      <c r="W216" s="14">
        <v>550</v>
      </c>
      <c r="X216" s="7"/>
      <c r="Y216" s="7"/>
      <c r="Z216" s="7"/>
      <c r="AA216" s="7"/>
      <c r="AC216" s="70" t="str">
        <f t="shared" si="7"/>
        <v/>
      </c>
      <c r="AD216" s="75" t="str">
        <f t="shared" si="8"/>
        <v/>
      </c>
      <c r="AH216" t="s">
        <v>3538</v>
      </c>
    </row>
    <row r="217" spans="1:34" outlineLevel="7">
      <c r="A217" s="3499" t="s">
        <v>1581</v>
      </c>
      <c r="B217" s="3499"/>
      <c r="C217" s="7"/>
      <c r="D217" s="7"/>
      <c r="E217" s="14">
        <v>550</v>
      </c>
      <c r="F217" s="7"/>
      <c r="G217" s="7"/>
      <c r="H217" s="8"/>
      <c r="I217" s="9"/>
      <c r="J217" s="7"/>
      <c r="K217" s="7"/>
      <c r="L217" s="7"/>
      <c r="M217" s="14">
        <v>550</v>
      </c>
      <c r="N217" s="14">
        <v>550</v>
      </c>
      <c r="O217" s="14">
        <v>550</v>
      </c>
      <c r="P217" s="7"/>
      <c r="Q217" s="7"/>
      <c r="R217" s="14">
        <v>550</v>
      </c>
      <c r="S217" s="7"/>
      <c r="T217" s="7"/>
      <c r="U217" s="7"/>
      <c r="V217" s="14">
        <v>550</v>
      </c>
      <c r="W217" s="14">
        <v>550</v>
      </c>
      <c r="X217" s="7"/>
      <c r="Y217" s="7"/>
      <c r="Z217" s="7"/>
      <c r="AA217" s="7"/>
      <c r="AC217" s="70">
        <f t="shared" si="7"/>
        <v>550</v>
      </c>
      <c r="AD217" s="75">
        <f t="shared" si="8"/>
        <v>1</v>
      </c>
    </row>
    <row r="218" spans="1:34" outlineLevel="6">
      <c r="A218" s="3501" t="s">
        <v>180</v>
      </c>
      <c r="B218" s="3501"/>
      <c r="C218" s="7"/>
      <c r="D218" s="7"/>
      <c r="E218" s="14">
        <v>550</v>
      </c>
      <c r="F218" s="7"/>
      <c r="G218" s="7"/>
      <c r="H218" s="8"/>
      <c r="I218" s="9"/>
      <c r="J218" s="7"/>
      <c r="K218" s="7"/>
      <c r="L218" s="7"/>
      <c r="M218" s="14">
        <v>550</v>
      </c>
      <c r="N218" s="14">
        <v>550</v>
      </c>
      <c r="O218" s="14">
        <v>550</v>
      </c>
      <c r="P218" s="7"/>
      <c r="Q218" s="7"/>
      <c r="R218" s="14">
        <v>550</v>
      </c>
      <c r="S218" s="7"/>
      <c r="T218" s="7"/>
      <c r="U218" s="7"/>
      <c r="V218" s="14">
        <v>550</v>
      </c>
      <c r="W218" s="14">
        <v>550</v>
      </c>
      <c r="X218" s="7"/>
      <c r="Y218" s="7"/>
      <c r="Z218" s="7"/>
      <c r="AA218" s="7"/>
      <c r="AC218" s="70" t="str">
        <f t="shared" si="7"/>
        <v/>
      </c>
      <c r="AD218" s="75" t="str">
        <f t="shared" si="8"/>
        <v/>
      </c>
    </row>
    <row r="219" spans="1:34" outlineLevel="7">
      <c r="A219" s="3500" t="s">
        <v>181</v>
      </c>
      <c r="B219" s="3500"/>
      <c r="C219" s="7"/>
      <c r="D219" s="7"/>
      <c r="E219" s="14">
        <v>550</v>
      </c>
      <c r="F219" s="7"/>
      <c r="G219" s="7"/>
      <c r="H219" s="8"/>
      <c r="I219" s="9"/>
      <c r="J219" s="7"/>
      <c r="K219" s="7"/>
      <c r="L219" s="7"/>
      <c r="M219" s="14">
        <v>550</v>
      </c>
      <c r="N219" s="14">
        <v>550</v>
      </c>
      <c r="O219" s="14">
        <v>550</v>
      </c>
      <c r="P219" s="7"/>
      <c r="Q219" s="7"/>
      <c r="R219" s="14">
        <v>550</v>
      </c>
      <c r="S219" s="7"/>
      <c r="T219" s="7"/>
      <c r="U219" s="7"/>
      <c r="V219" s="14">
        <v>550</v>
      </c>
      <c r="W219" s="14">
        <v>550</v>
      </c>
      <c r="X219" s="7"/>
      <c r="Y219" s="7"/>
      <c r="Z219" s="7"/>
      <c r="AA219" s="7"/>
      <c r="AC219" s="70" t="str">
        <f t="shared" si="7"/>
        <v/>
      </c>
      <c r="AD219" s="75" t="str">
        <f t="shared" si="8"/>
        <v/>
      </c>
      <c r="AH219" t="s">
        <v>3556</v>
      </c>
    </row>
    <row r="220" spans="1:34" outlineLevel="7">
      <c r="A220" s="3499" t="s">
        <v>1582</v>
      </c>
      <c r="B220" s="3499"/>
      <c r="C220" s="7"/>
      <c r="D220" s="7"/>
      <c r="E220" s="14">
        <v>550</v>
      </c>
      <c r="F220" s="7"/>
      <c r="G220" s="7"/>
      <c r="H220" s="8"/>
      <c r="I220" s="9"/>
      <c r="J220" s="7"/>
      <c r="K220" s="7"/>
      <c r="L220" s="7"/>
      <c r="M220" s="14">
        <v>550</v>
      </c>
      <c r="N220" s="14">
        <v>550</v>
      </c>
      <c r="O220" s="14">
        <v>550</v>
      </c>
      <c r="P220" s="7"/>
      <c r="Q220" s="7"/>
      <c r="R220" s="14">
        <v>550</v>
      </c>
      <c r="S220" s="7"/>
      <c r="T220" s="7"/>
      <c r="U220" s="7"/>
      <c r="V220" s="14">
        <v>550</v>
      </c>
      <c r="W220" s="14">
        <v>550</v>
      </c>
      <c r="X220" s="7"/>
      <c r="Y220" s="7"/>
      <c r="Z220" s="7"/>
      <c r="AA220" s="7"/>
      <c r="AC220" s="70">
        <f t="shared" si="7"/>
        <v>550</v>
      </c>
      <c r="AD220" s="75">
        <f t="shared" si="8"/>
        <v>1</v>
      </c>
    </row>
    <row r="221" spans="1:34" outlineLevel="6">
      <c r="A221" s="3501" t="s">
        <v>182</v>
      </c>
      <c r="B221" s="3501"/>
      <c r="C221" s="7"/>
      <c r="D221" s="7"/>
      <c r="E221" s="14">
        <v>550</v>
      </c>
      <c r="F221" s="7"/>
      <c r="G221" s="7"/>
      <c r="H221" s="8"/>
      <c r="I221" s="9"/>
      <c r="J221" s="7"/>
      <c r="K221" s="7"/>
      <c r="L221" s="7"/>
      <c r="M221" s="14">
        <v>550</v>
      </c>
      <c r="N221" s="14">
        <v>550</v>
      </c>
      <c r="O221" s="14">
        <v>550</v>
      </c>
      <c r="P221" s="7"/>
      <c r="Q221" s="7"/>
      <c r="R221" s="14">
        <v>550</v>
      </c>
      <c r="S221" s="7"/>
      <c r="T221" s="7"/>
      <c r="U221" s="7"/>
      <c r="V221" s="14">
        <v>550</v>
      </c>
      <c r="W221" s="14">
        <v>550</v>
      </c>
      <c r="X221" s="7"/>
      <c r="Y221" s="7"/>
      <c r="Z221" s="7"/>
      <c r="AA221" s="7"/>
      <c r="AC221" s="70" t="str">
        <f t="shared" si="7"/>
        <v/>
      </c>
      <c r="AD221" s="75" t="str">
        <f t="shared" si="8"/>
        <v/>
      </c>
    </row>
    <row r="222" spans="1:34" outlineLevel="7">
      <c r="A222" s="3500" t="s">
        <v>183</v>
      </c>
      <c r="B222" s="3500"/>
      <c r="C222" s="7"/>
      <c r="D222" s="7"/>
      <c r="E222" s="14">
        <v>550</v>
      </c>
      <c r="F222" s="7"/>
      <c r="G222" s="7"/>
      <c r="H222" s="8"/>
      <c r="I222" s="9"/>
      <c r="J222" s="7"/>
      <c r="K222" s="7"/>
      <c r="L222" s="7"/>
      <c r="M222" s="14">
        <v>550</v>
      </c>
      <c r="N222" s="14">
        <v>550</v>
      </c>
      <c r="O222" s="14">
        <v>550</v>
      </c>
      <c r="P222" s="7"/>
      <c r="Q222" s="7"/>
      <c r="R222" s="14">
        <v>550</v>
      </c>
      <c r="S222" s="7"/>
      <c r="T222" s="7"/>
      <c r="U222" s="7"/>
      <c r="V222" s="14">
        <v>550</v>
      </c>
      <c r="W222" s="14">
        <v>550</v>
      </c>
      <c r="X222" s="7"/>
      <c r="Y222" s="7"/>
      <c r="Z222" s="7"/>
      <c r="AA222" s="7"/>
      <c r="AC222" s="70" t="str">
        <f t="shared" si="7"/>
        <v/>
      </c>
      <c r="AD222" s="75" t="str">
        <f t="shared" si="8"/>
        <v/>
      </c>
      <c r="AH222" t="s">
        <v>3390</v>
      </c>
    </row>
    <row r="223" spans="1:34" outlineLevel="7">
      <c r="A223" s="3499" t="s">
        <v>1583</v>
      </c>
      <c r="B223" s="3499"/>
      <c r="C223" s="7"/>
      <c r="D223" s="7"/>
      <c r="E223" s="14">
        <v>550</v>
      </c>
      <c r="F223" s="7"/>
      <c r="G223" s="7"/>
      <c r="H223" s="8"/>
      <c r="I223" s="9"/>
      <c r="J223" s="7"/>
      <c r="K223" s="7"/>
      <c r="L223" s="7"/>
      <c r="M223" s="14">
        <v>550</v>
      </c>
      <c r="N223" s="14">
        <v>550</v>
      </c>
      <c r="O223" s="14">
        <v>550</v>
      </c>
      <c r="P223" s="7"/>
      <c r="Q223" s="7"/>
      <c r="R223" s="14">
        <v>550</v>
      </c>
      <c r="S223" s="7"/>
      <c r="T223" s="7"/>
      <c r="U223" s="7"/>
      <c r="V223" s="14">
        <v>550</v>
      </c>
      <c r="W223" s="14">
        <v>550</v>
      </c>
      <c r="X223" s="7"/>
      <c r="Y223" s="7"/>
      <c r="Z223" s="7"/>
      <c r="AA223" s="7"/>
      <c r="AC223" s="70">
        <f t="shared" si="7"/>
        <v>550</v>
      </c>
      <c r="AD223" s="75">
        <f t="shared" si="8"/>
        <v>1</v>
      </c>
    </row>
    <row r="224" spans="1:34" outlineLevel="6">
      <c r="A224" s="3501" t="s">
        <v>184</v>
      </c>
      <c r="B224" s="3501"/>
      <c r="C224" s="7"/>
      <c r="D224" s="7"/>
      <c r="E224" s="14">
        <v>550</v>
      </c>
      <c r="F224" s="7"/>
      <c r="G224" s="7"/>
      <c r="H224" s="8"/>
      <c r="I224" s="9"/>
      <c r="J224" s="7"/>
      <c r="K224" s="7"/>
      <c r="L224" s="7"/>
      <c r="M224" s="14">
        <v>550</v>
      </c>
      <c r="N224" s="14">
        <v>550</v>
      </c>
      <c r="O224" s="14">
        <v>550</v>
      </c>
      <c r="P224" s="7"/>
      <c r="Q224" s="7"/>
      <c r="R224" s="14">
        <v>550</v>
      </c>
      <c r="S224" s="7"/>
      <c r="T224" s="7"/>
      <c r="U224" s="7"/>
      <c r="V224" s="14">
        <v>550</v>
      </c>
      <c r="W224" s="14">
        <v>550</v>
      </c>
      <c r="X224" s="7"/>
      <c r="Y224" s="7"/>
      <c r="Z224" s="7"/>
      <c r="AA224" s="7"/>
      <c r="AC224" s="70" t="str">
        <f t="shared" si="7"/>
        <v/>
      </c>
      <c r="AD224" s="75" t="str">
        <f t="shared" si="8"/>
        <v/>
      </c>
    </row>
    <row r="225" spans="1:34" outlineLevel="7">
      <c r="A225" s="3500" t="s">
        <v>185</v>
      </c>
      <c r="B225" s="3500"/>
      <c r="C225" s="7"/>
      <c r="D225" s="7"/>
      <c r="E225" s="14">
        <v>550</v>
      </c>
      <c r="F225" s="7"/>
      <c r="G225" s="7"/>
      <c r="H225" s="8"/>
      <c r="I225" s="9"/>
      <c r="J225" s="7"/>
      <c r="K225" s="7"/>
      <c r="L225" s="7"/>
      <c r="M225" s="14">
        <v>550</v>
      </c>
      <c r="N225" s="14">
        <v>550</v>
      </c>
      <c r="O225" s="14">
        <v>550</v>
      </c>
      <c r="P225" s="7"/>
      <c r="Q225" s="7"/>
      <c r="R225" s="14">
        <v>550</v>
      </c>
      <c r="S225" s="7"/>
      <c r="T225" s="7"/>
      <c r="U225" s="7"/>
      <c r="V225" s="14">
        <v>550</v>
      </c>
      <c r="W225" s="14">
        <v>550</v>
      </c>
      <c r="X225" s="7"/>
      <c r="Y225" s="7"/>
      <c r="Z225" s="7"/>
      <c r="AA225" s="7"/>
      <c r="AC225" s="70" t="str">
        <f t="shared" si="7"/>
        <v/>
      </c>
      <c r="AD225" s="75" t="str">
        <f t="shared" si="8"/>
        <v/>
      </c>
      <c r="AH225" t="s">
        <v>3535</v>
      </c>
    </row>
    <row r="226" spans="1:34" outlineLevel="7">
      <c r="A226" s="3499" t="s">
        <v>1584</v>
      </c>
      <c r="B226" s="3499"/>
      <c r="C226" s="7"/>
      <c r="D226" s="7"/>
      <c r="E226" s="14">
        <v>550</v>
      </c>
      <c r="F226" s="7"/>
      <c r="G226" s="7"/>
      <c r="H226" s="8"/>
      <c r="I226" s="9"/>
      <c r="J226" s="7"/>
      <c r="K226" s="7"/>
      <c r="L226" s="7"/>
      <c r="M226" s="14">
        <v>550</v>
      </c>
      <c r="N226" s="14">
        <v>550</v>
      </c>
      <c r="O226" s="14">
        <v>550</v>
      </c>
      <c r="P226" s="7"/>
      <c r="Q226" s="7"/>
      <c r="R226" s="14">
        <v>550</v>
      </c>
      <c r="S226" s="7"/>
      <c r="T226" s="7"/>
      <c r="U226" s="7"/>
      <c r="V226" s="14">
        <v>550</v>
      </c>
      <c r="W226" s="14">
        <v>550</v>
      </c>
      <c r="X226" s="7"/>
      <c r="Y226" s="7"/>
      <c r="Z226" s="7"/>
      <c r="AA226" s="7"/>
      <c r="AC226" s="70">
        <f t="shared" si="7"/>
        <v>550</v>
      </c>
      <c r="AD226" s="75">
        <f t="shared" si="8"/>
        <v>1</v>
      </c>
    </row>
    <row r="227" spans="1:34" outlineLevel="6">
      <c r="A227" s="3501" t="s">
        <v>186</v>
      </c>
      <c r="B227" s="3501"/>
      <c r="C227" s="7"/>
      <c r="D227" s="7"/>
      <c r="E227" s="14">
        <v>550</v>
      </c>
      <c r="F227" s="7"/>
      <c r="G227" s="7"/>
      <c r="H227" s="8"/>
      <c r="I227" s="9"/>
      <c r="J227" s="7"/>
      <c r="K227" s="7"/>
      <c r="L227" s="7"/>
      <c r="M227" s="14">
        <v>550</v>
      </c>
      <c r="N227" s="14">
        <v>550</v>
      </c>
      <c r="O227" s="14">
        <v>550</v>
      </c>
      <c r="P227" s="7"/>
      <c r="Q227" s="7"/>
      <c r="R227" s="14">
        <v>550</v>
      </c>
      <c r="S227" s="7"/>
      <c r="T227" s="7"/>
      <c r="U227" s="7"/>
      <c r="V227" s="14">
        <v>550</v>
      </c>
      <c r="W227" s="14">
        <v>550</v>
      </c>
      <c r="X227" s="7"/>
      <c r="Y227" s="7"/>
      <c r="Z227" s="7"/>
      <c r="AA227" s="7"/>
      <c r="AC227" s="70" t="str">
        <f t="shared" si="7"/>
        <v/>
      </c>
      <c r="AD227" s="75" t="str">
        <f t="shared" si="8"/>
        <v/>
      </c>
    </row>
    <row r="228" spans="1:34" outlineLevel="7">
      <c r="A228" s="3500" t="s">
        <v>187</v>
      </c>
      <c r="B228" s="3500"/>
      <c r="C228" s="7"/>
      <c r="D228" s="7"/>
      <c r="E228" s="14">
        <v>550</v>
      </c>
      <c r="F228" s="7"/>
      <c r="G228" s="7"/>
      <c r="H228" s="8"/>
      <c r="I228" s="9"/>
      <c r="J228" s="7"/>
      <c r="K228" s="7"/>
      <c r="L228" s="7"/>
      <c r="M228" s="14">
        <v>550</v>
      </c>
      <c r="N228" s="14">
        <v>550</v>
      </c>
      <c r="O228" s="14">
        <v>550</v>
      </c>
      <c r="P228" s="7"/>
      <c r="Q228" s="7"/>
      <c r="R228" s="14">
        <v>550</v>
      </c>
      <c r="S228" s="7"/>
      <c r="T228" s="7"/>
      <c r="U228" s="7"/>
      <c r="V228" s="14">
        <v>550</v>
      </c>
      <c r="W228" s="14">
        <v>550</v>
      </c>
      <c r="X228" s="7"/>
      <c r="Y228" s="7"/>
      <c r="Z228" s="7"/>
      <c r="AA228" s="7"/>
      <c r="AC228" s="70" t="str">
        <f t="shared" si="7"/>
        <v/>
      </c>
      <c r="AD228" s="75" t="str">
        <f t="shared" si="8"/>
        <v/>
      </c>
      <c r="AH228" t="s">
        <v>3445</v>
      </c>
    </row>
    <row r="229" spans="1:34" outlineLevel="7">
      <c r="A229" s="3499" t="s">
        <v>1585</v>
      </c>
      <c r="B229" s="3499"/>
      <c r="C229" s="7"/>
      <c r="D229" s="7"/>
      <c r="E229" s="14">
        <v>550</v>
      </c>
      <c r="F229" s="7"/>
      <c r="G229" s="7"/>
      <c r="H229" s="8"/>
      <c r="I229" s="9"/>
      <c r="J229" s="7"/>
      <c r="K229" s="7"/>
      <c r="L229" s="7"/>
      <c r="M229" s="14">
        <v>550</v>
      </c>
      <c r="N229" s="14">
        <v>550</v>
      </c>
      <c r="O229" s="14">
        <v>550</v>
      </c>
      <c r="P229" s="7"/>
      <c r="Q229" s="7"/>
      <c r="R229" s="14">
        <v>550</v>
      </c>
      <c r="S229" s="7"/>
      <c r="T229" s="7"/>
      <c r="U229" s="7"/>
      <c r="V229" s="14">
        <v>550</v>
      </c>
      <c r="W229" s="14">
        <v>550</v>
      </c>
      <c r="X229" s="7"/>
      <c r="Y229" s="7"/>
      <c r="Z229" s="7"/>
      <c r="AA229" s="7"/>
      <c r="AC229" s="70">
        <f t="shared" si="7"/>
        <v>550</v>
      </c>
      <c r="AD229" s="75">
        <f t="shared" si="8"/>
        <v>1</v>
      </c>
    </row>
    <row r="230" spans="1:34" outlineLevel="6">
      <c r="A230" s="3501" t="s">
        <v>188</v>
      </c>
      <c r="B230" s="3501"/>
      <c r="C230" s="7"/>
      <c r="D230" s="7"/>
      <c r="E230" s="14">
        <v>550</v>
      </c>
      <c r="F230" s="7"/>
      <c r="G230" s="7"/>
      <c r="H230" s="8"/>
      <c r="I230" s="9"/>
      <c r="J230" s="7"/>
      <c r="K230" s="7"/>
      <c r="L230" s="7"/>
      <c r="M230" s="14">
        <v>550</v>
      </c>
      <c r="N230" s="14">
        <v>550</v>
      </c>
      <c r="O230" s="14">
        <v>550</v>
      </c>
      <c r="P230" s="7"/>
      <c r="Q230" s="7"/>
      <c r="R230" s="14">
        <v>550</v>
      </c>
      <c r="S230" s="7"/>
      <c r="T230" s="7"/>
      <c r="U230" s="7"/>
      <c r="V230" s="14">
        <v>550</v>
      </c>
      <c r="W230" s="14">
        <v>550</v>
      </c>
      <c r="X230" s="7"/>
      <c r="Y230" s="7"/>
      <c r="Z230" s="7"/>
      <c r="AA230" s="7"/>
      <c r="AC230" s="70" t="str">
        <f t="shared" si="7"/>
        <v/>
      </c>
      <c r="AD230" s="75" t="str">
        <f t="shared" si="8"/>
        <v/>
      </c>
    </row>
    <row r="231" spans="1:34" outlineLevel="7">
      <c r="A231" s="3500" t="s">
        <v>189</v>
      </c>
      <c r="B231" s="3500"/>
      <c r="C231" s="7"/>
      <c r="D231" s="7"/>
      <c r="E231" s="14">
        <v>550</v>
      </c>
      <c r="F231" s="7"/>
      <c r="G231" s="7"/>
      <c r="H231" s="8"/>
      <c r="I231" s="9"/>
      <c r="J231" s="7"/>
      <c r="K231" s="7"/>
      <c r="L231" s="7"/>
      <c r="M231" s="14">
        <v>550</v>
      </c>
      <c r="N231" s="14">
        <v>550</v>
      </c>
      <c r="O231" s="14">
        <v>550</v>
      </c>
      <c r="P231" s="7"/>
      <c r="Q231" s="7"/>
      <c r="R231" s="14">
        <v>550</v>
      </c>
      <c r="S231" s="7"/>
      <c r="T231" s="7"/>
      <c r="U231" s="7"/>
      <c r="V231" s="14">
        <v>550</v>
      </c>
      <c r="W231" s="14">
        <v>550</v>
      </c>
      <c r="X231" s="7"/>
      <c r="Y231" s="7"/>
      <c r="Z231" s="7"/>
      <c r="AA231" s="7"/>
      <c r="AC231" s="70" t="str">
        <f t="shared" si="7"/>
        <v/>
      </c>
      <c r="AD231" s="75" t="str">
        <f t="shared" si="8"/>
        <v/>
      </c>
      <c r="AH231" t="s">
        <v>3558</v>
      </c>
    </row>
    <row r="232" spans="1:34" outlineLevel="7">
      <c r="A232" s="3499" t="s">
        <v>1586</v>
      </c>
      <c r="B232" s="3499"/>
      <c r="C232" s="7"/>
      <c r="D232" s="7"/>
      <c r="E232" s="14">
        <v>550</v>
      </c>
      <c r="F232" s="7"/>
      <c r="G232" s="7"/>
      <c r="H232" s="8"/>
      <c r="I232" s="9"/>
      <c r="J232" s="7"/>
      <c r="K232" s="7"/>
      <c r="L232" s="7"/>
      <c r="M232" s="14">
        <v>550</v>
      </c>
      <c r="N232" s="14">
        <v>550</v>
      </c>
      <c r="O232" s="14">
        <v>550</v>
      </c>
      <c r="P232" s="7"/>
      <c r="Q232" s="7"/>
      <c r="R232" s="14">
        <v>550</v>
      </c>
      <c r="S232" s="7"/>
      <c r="T232" s="7"/>
      <c r="U232" s="7"/>
      <c r="V232" s="14">
        <v>550</v>
      </c>
      <c r="W232" s="14">
        <v>550</v>
      </c>
      <c r="X232" s="7"/>
      <c r="Y232" s="7"/>
      <c r="Z232" s="7"/>
      <c r="AA232" s="7"/>
      <c r="AC232" s="70">
        <f t="shared" si="7"/>
        <v>550</v>
      </c>
      <c r="AD232" s="75">
        <f t="shared" si="8"/>
        <v>1</v>
      </c>
    </row>
    <row r="233" spans="1:34" outlineLevel="6">
      <c r="A233" s="3501" t="s">
        <v>190</v>
      </c>
      <c r="B233" s="3501"/>
      <c r="C233" s="7"/>
      <c r="D233" s="7"/>
      <c r="E233" s="14">
        <v>550</v>
      </c>
      <c r="F233" s="7"/>
      <c r="G233" s="7"/>
      <c r="H233" s="8"/>
      <c r="I233" s="9"/>
      <c r="J233" s="7"/>
      <c r="K233" s="7"/>
      <c r="L233" s="7"/>
      <c r="M233" s="14">
        <v>550</v>
      </c>
      <c r="N233" s="14">
        <v>550</v>
      </c>
      <c r="O233" s="14">
        <v>550</v>
      </c>
      <c r="P233" s="7"/>
      <c r="Q233" s="7"/>
      <c r="R233" s="14">
        <v>550</v>
      </c>
      <c r="S233" s="7"/>
      <c r="T233" s="7"/>
      <c r="U233" s="7"/>
      <c r="V233" s="14">
        <v>550</v>
      </c>
      <c r="W233" s="14">
        <v>550</v>
      </c>
      <c r="X233" s="7"/>
      <c r="Y233" s="7"/>
      <c r="Z233" s="7"/>
      <c r="AA233" s="7"/>
      <c r="AC233" s="70" t="str">
        <f t="shared" si="7"/>
        <v/>
      </c>
      <c r="AD233" s="75" t="str">
        <f t="shared" si="8"/>
        <v/>
      </c>
    </row>
    <row r="234" spans="1:34" outlineLevel="7">
      <c r="A234" s="3500" t="s">
        <v>191</v>
      </c>
      <c r="B234" s="3500"/>
      <c r="C234" s="7"/>
      <c r="D234" s="7"/>
      <c r="E234" s="14">
        <v>550</v>
      </c>
      <c r="F234" s="7"/>
      <c r="G234" s="7"/>
      <c r="H234" s="8"/>
      <c r="I234" s="9"/>
      <c r="J234" s="7"/>
      <c r="K234" s="7"/>
      <c r="L234" s="7"/>
      <c r="M234" s="14">
        <v>550</v>
      </c>
      <c r="N234" s="14">
        <v>550</v>
      </c>
      <c r="O234" s="14">
        <v>550</v>
      </c>
      <c r="P234" s="7"/>
      <c r="Q234" s="7"/>
      <c r="R234" s="14">
        <v>550</v>
      </c>
      <c r="S234" s="7"/>
      <c r="T234" s="7"/>
      <c r="U234" s="7"/>
      <c r="V234" s="14">
        <v>550</v>
      </c>
      <c r="W234" s="14">
        <v>550</v>
      </c>
      <c r="X234" s="7"/>
      <c r="Y234" s="7"/>
      <c r="Z234" s="7"/>
      <c r="AA234" s="7"/>
      <c r="AC234" s="70" t="str">
        <f t="shared" si="7"/>
        <v/>
      </c>
      <c r="AD234" s="75" t="str">
        <f t="shared" si="8"/>
        <v/>
      </c>
      <c r="AH234" t="s">
        <v>2727</v>
      </c>
    </row>
    <row r="235" spans="1:34" outlineLevel="7">
      <c r="A235" s="3499" t="s">
        <v>1587</v>
      </c>
      <c r="B235" s="3499"/>
      <c r="C235" s="7"/>
      <c r="D235" s="7"/>
      <c r="E235" s="14">
        <v>550</v>
      </c>
      <c r="F235" s="7"/>
      <c r="G235" s="7"/>
      <c r="H235" s="8"/>
      <c r="I235" s="9"/>
      <c r="J235" s="7"/>
      <c r="K235" s="7"/>
      <c r="L235" s="7"/>
      <c r="M235" s="14">
        <v>550</v>
      </c>
      <c r="N235" s="14">
        <v>550</v>
      </c>
      <c r="O235" s="14">
        <v>550</v>
      </c>
      <c r="P235" s="7"/>
      <c r="Q235" s="7"/>
      <c r="R235" s="14">
        <v>550</v>
      </c>
      <c r="S235" s="7"/>
      <c r="T235" s="7"/>
      <c r="U235" s="7"/>
      <c r="V235" s="14">
        <v>550</v>
      </c>
      <c r="W235" s="14">
        <v>550</v>
      </c>
      <c r="X235" s="7"/>
      <c r="Y235" s="7"/>
      <c r="Z235" s="7"/>
      <c r="AA235" s="7"/>
      <c r="AC235" s="70">
        <f t="shared" si="7"/>
        <v>550</v>
      </c>
      <c r="AD235" s="75">
        <f t="shared" si="8"/>
        <v>1</v>
      </c>
    </row>
    <row r="236" spans="1:34" outlineLevel="6">
      <c r="A236" s="3501" t="s">
        <v>192</v>
      </c>
      <c r="B236" s="3501"/>
      <c r="C236" s="7"/>
      <c r="D236" s="7"/>
      <c r="E236" s="14">
        <v>550</v>
      </c>
      <c r="F236" s="7"/>
      <c r="G236" s="7"/>
      <c r="H236" s="8"/>
      <c r="I236" s="9"/>
      <c r="J236" s="7"/>
      <c r="K236" s="7"/>
      <c r="L236" s="7"/>
      <c r="M236" s="14">
        <v>550</v>
      </c>
      <c r="N236" s="14">
        <v>550</v>
      </c>
      <c r="O236" s="14">
        <v>550</v>
      </c>
      <c r="P236" s="7"/>
      <c r="Q236" s="7"/>
      <c r="R236" s="14">
        <v>550</v>
      </c>
      <c r="S236" s="7"/>
      <c r="T236" s="7"/>
      <c r="U236" s="7"/>
      <c r="V236" s="14">
        <v>550</v>
      </c>
      <c r="W236" s="14">
        <v>550</v>
      </c>
      <c r="X236" s="7"/>
      <c r="Y236" s="7"/>
      <c r="Z236" s="7"/>
      <c r="AA236" s="7"/>
      <c r="AC236" s="70" t="str">
        <f t="shared" si="7"/>
        <v/>
      </c>
      <c r="AD236" s="75" t="str">
        <f t="shared" si="8"/>
        <v/>
      </c>
    </row>
    <row r="237" spans="1:34" outlineLevel="7">
      <c r="A237" s="3500" t="s">
        <v>193</v>
      </c>
      <c r="B237" s="3500"/>
      <c r="C237" s="7"/>
      <c r="D237" s="7"/>
      <c r="E237" s="14">
        <v>550</v>
      </c>
      <c r="F237" s="7"/>
      <c r="G237" s="7"/>
      <c r="H237" s="8"/>
      <c r="I237" s="9"/>
      <c r="J237" s="7"/>
      <c r="K237" s="7"/>
      <c r="L237" s="7"/>
      <c r="M237" s="14">
        <v>550</v>
      </c>
      <c r="N237" s="14">
        <v>550</v>
      </c>
      <c r="O237" s="14">
        <v>550</v>
      </c>
      <c r="P237" s="7"/>
      <c r="Q237" s="7"/>
      <c r="R237" s="14">
        <v>550</v>
      </c>
      <c r="S237" s="7"/>
      <c r="T237" s="7"/>
      <c r="U237" s="7"/>
      <c r="V237" s="14">
        <v>550</v>
      </c>
      <c r="W237" s="14">
        <v>550</v>
      </c>
      <c r="X237" s="7"/>
      <c r="Y237" s="7"/>
      <c r="Z237" s="7"/>
      <c r="AA237" s="7"/>
      <c r="AC237" s="70" t="str">
        <f t="shared" si="7"/>
        <v/>
      </c>
      <c r="AD237" s="75" t="str">
        <f t="shared" si="8"/>
        <v/>
      </c>
      <c r="AH237" t="s">
        <v>2696</v>
      </c>
    </row>
    <row r="238" spans="1:34" outlineLevel="7">
      <c r="A238" s="3499" t="s">
        <v>1588</v>
      </c>
      <c r="B238" s="3499"/>
      <c r="C238" s="7"/>
      <c r="D238" s="7"/>
      <c r="E238" s="14">
        <v>550</v>
      </c>
      <c r="F238" s="7"/>
      <c r="G238" s="7"/>
      <c r="H238" s="8"/>
      <c r="I238" s="9"/>
      <c r="J238" s="7"/>
      <c r="K238" s="7"/>
      <c r="L238" s="7"/>
      <c r="M238" s="14">
        <v>550</v>
      </c>
      <c r="N238" s="14">
        <v>550</v>
      </c>
      <c r="O238" s="14">
        <v>550</v>
      </c>
      <c r="P238" s="7"/>
      <c r="Q238" s="7"/>
      <c r="R238" s="14">
        <v>550</v>
      </c>
      <c r="S238" s="7"/>
      <c r="T238" s="7"/>
      <c r="U238" s="7"/>
      <c r="V238" s="14">
        <v>550</v>
      </c>
      <c r="W238" s="14">
        <v>550</v>
      </c>
      <c r="X238" s="7"/>
      <c r="Y238" s="7"/>
      <c r="Z238" s="7"/>
      <c r="AA238" s="7"/>
      <c r="AC238" s="70">
        <f t="shared" si="7"/>
        <v>550</v>
      </c>
      <c r="AD238" s="75">
        <f t="shared" si="8"/>
        <v>1</v>
      </c>
    </row>
    <row r="239" spans="1:34" outlineLevel="6">
      <c r="A239" s="3501" t="s">
        <v>194</v>
      </c>
      <c r="B239" s="3501"/>
      <c r="C239" s="7"/>
      <c r="D239" s="7"/>
      <c r="E239" s="14">
        <v>550</v>
      </c>
      <c r="F239" s="7"/>
      <c r="G239" s="7"/>
      <c r="H239" s="8"/>
      <c r="I239" s="9"/>
      <c r="J239" s="7"/>
      <c r="K239" s="7"/>
      <c r="L239" s="7"/>
      <c r="M239" s="14">
        <v>550</v>
      </c>
      <c r="N239" s="14">
        <v>550</v>
      </c>
      <c r="O239" s="14">
        <v>550</v>
      </c>
      <c r="P239" s="7"/>
      <c r="Q239" s="7"/>
      <c r="R239" s="14">
        <v>550</v>
      </c>
      <c r="S239" s="7"/>
      <c r="T239" s="7"/>
      <c r="U239" s="7"/>
      <c r="V239" s="14">
        <v>550</v>
      </c>
      <c r="W239" s="14">
        <v>550</v>
      </c>
      <c r="X239" s="7"/>
      <c r="Y239" s="7"/>
      <c r="Z239" s="7"/>
      <c r="AA239" s="7"/>
      <c r="AC239" s="70" t="str">
        <f t="shared" si="7"/>
        <v/>
      </c>
      <c r="AD239" s="75" t="str">
        <f t="shared" si="8"/>
        <v/>
      </c>
    </row>
    <row r="240" spans="1:34" outlineLevel="7">
      <c r="A240" s="3500" t="s">
        <v>195</v>
      </c>
      <c r="B240" s="3500"/>
      <c r="C240" s="7"/>
      <c r="D240" s="7"/>
      <c r="E240" s="14">
        <v>550</v>
      </c>
      <c r="F240" s="7"/>
      <c r="G240" s="7"/>
      <c r="H240" s="8"/>
      <c r="I240" s="9"/>
      <c r="J240" s="7"/>
      <c r="K240" s="7"/>
      <c r="L240" s="7"/>
      <c r="M240" s="14">
        <v>550</v>
      </c>
      <c r="N240" s="14">
        <v>550</v>
      </c>
      <c r="O240" s="14">
        <v>550</v>
      </c>
      <c r="P240" s="7"/>
      <c r="Q240" s="7"/>
      <c r="R240" s="14">
        <v>550</v>
      </c>
      <c r="S240" s="7"/>
      <c r="T240" s="7"/>
      <c r="U240" s="7"/>
      <c r="V240" s="14">
        <v>550</v>
      </c>
      <c r="W240" s="14">
        <v>550</v>
      </c>
      <c r="X240" s="7"/>
      <c r="Y240" s="7"/>
      <c r="Z240" s="7"/>
      <c r="AA240" s="7"/>
      <c r="AC240" s="70" t="str">
        <f t="shared" si="7"/>
        <v/>
      </c>
      <c r="AD240" s="75" t="str">
        <f t="shared" si="8"/>
        <v/>
      </c>
      <c r="AH240" t="s">
        <v>3411</v>
      </c>
    </row>
    <row r="241" spans="1:34" outlineLevel="7">
      <c r="A241" s="3499" t="s">
        <v>1589</v>
      </c>
      <c r="B241" s="3499"/>
      <c r="C241" s="7"/>
      <c r="D241" s="7"/>
      <c r="E241" s="14">
        <v>550</v>
      </c>
      <c r="F241" s="7"/>
      <c r="G241" s="7"/>
      <c r="H241" s="8"/>
      <c r="I241" s="9"/>
      <c r="J241" s="7"/>
      <c r="K241" s="7"/>
      <c r="L241" s="7"/>
      <c r="M241" s="14">
        <v>550</v>
      </c>
      <c r="N241" s="14">
        <v>550</v>
      </c>
      <c r="O241" s="14">
        <v>550</v>
      </c>
      <c r="P241" s="7"/>
      <c r="Q241" s="7"/>
      <c r="R241" s="14">
        <v>550</v>
      </c>
      <c r="S241" s="7"/>
      <c r="T241" s="7"/>
      <c r="U241" s="7"/>
      <c r="V241" s="14">
        <v>550</v>
      </c>
      <c r="W241" s="14">
        <v>550</v>
      </c>
      <c r="X241" s="7"/>
      <c r="Y241" s="7"/>
      <c r="Z241" s="7"/>
      <c r="AA241" s="7"/>
      <c r="AC241" s="70">
        <f t="shared" si="7"/>
        <v>550</v>
      </c>
      <c r="AD241" s="75">
        <f t="shared" si="8"/>
        <v>1</v>
      </c>
    </row>
    <row r="242" spans="1:34" outlineLevel="6">
      <c r="A242" s="3501" t="s">
        <v>196</v>
      </c>
      <c r="B242" s="3501"/>
      <c r="C242" s="7"/>
      <c r="D242" s="7"/>
      <c r="E242" s="14">
        <v>550</v>
      </c>
      <c r="F242" s="7"/>
      <c r="G242" s="7"/>
      <c r="H242" s="8"/>
      <c r="I242" s="9"/>
      <c r="J242" s="7"/>
      <c r="K242" s="7"/>
      <c r="L242" s="7"/>
      <c r="M242" s="14">
        <v>550</v>
      </c>
      <c r="N242" s="14">
        <v>550</v>
      </c>
      <c r="O242" s="14">
        <v>550</v>
      </c>
      <c r="P242" s="7"/>
      <c r="Q242" s="7"/>
      <c r="R242" s="14">
        <v>550</v>
      </c>
      <c r="S242" s="7"/>
      <c r="T242" s="7"/>
      <c r="U242" s="7"/>
      <c r="V242" s="14">
        <v>550</v>
      </c>
      <c r="W242" s="14">
        <v>550</v>
      </c>
      <c r="X242" s="7"/>
      <c r="Y242" s="7"/>
      <c r="Z242" s="7"/>
      <c r="AA242" s="7"/>
      <c r="AC242" s="70" t="str">
        <f t="shared" si="7"/>
        <v/>
      </c>
      <c r="AD242" s="75" t="str">
        <f t="shared" si="8"/>
        <v/>
      </c>
    </row>
    <row r="243" spans="1:34" outlineLevel="7">
      <c r="A243" s="3500" t="s">
        <v>197</v>
      </c>
      <c r="B243" s="3500"/>
      <c r="C243" s="7"/>
      <c r="D243" s="7"/>
      <c r="E243" s="14">
        <v>550</v>
      </c>
      <c r="F243" s="7"/>
      <c r="G243" s="7"/>
      <c r="H243" s="8"/>
      <c r="I243" s="9"/>
      <c r="J243" s="7"/>
      <c r="K243" s="7"/>
      <c r="L243" s="7"/>
      <c r="M243" s="14">
        <v>550</v>
      </c>
      <c r="N243" s="14">
        <v>550</v>
      </c>
      <c r="O243" s="14">
        <v>550</v>
      </c>
      <c r="P243" s="7"/>
      <c r="Q243" s="7"/>
      <c r="R243" s="14">
        <v>550</v>
      </c>
      <c r="S243" s="7"/>
      <c r="T243" s="7"/>
      <c r="U243" s="7"/>
      <c r="V243" s="14">
        <v>550</v>
      </c>
      <c r="W243" s="14">
        <v>550</v>
      </c>
      <c r="X243" s="7"/>
      <c r="Y243" s="7"/>
      <c r="Z243" s="7"/>
      <c r="AA243" s="7"/>
      <c r="AC243" s="70" t="str">
        <f t="shared" si="7"/>
        <v/>
      </c>
      <c r="AD243" s="75" t="str">
        <f t="shared" si="8"/>
        <v/>
      </c>
      <c r="AH243" t="s">
        <v>2708</v>
      </c>
    </row>
    <row r="244" spans="1:34" outlineLevel="7">
      <c r="A244" s="3499" t="s">
        <v>1590</v>
      </c>
      <c r="B244" s="3499"/>
      <c r="C244" s="7"/>
      <c r="D244" s="7"/>
      <c r="E244" s="14">
        <v>550</v>
      </c>
      <c r="F244" s="7"/>
      <c r="G244" s="7"/>
      <c r="H244" s="8"/>
      <c r="I244" s="9"/>
      <c r="J244" s="7"/>
      <c r="K244" s="7"/>
      <c r="L244" s="7"/>
      <c r="M244" s="14">
        <v>550</v>
      </c>
      <c r="N244" s="14">
        <v>550</v>
      </c>
      <c r="O244" s="14">
        <v>550</v>
      </c>
      <c r="P244" s="7"/>
      <c r="Q244" s="7"/>
      <c r="R244" s="14">
        <v>550</v>
      </c>
      <c r="S244" s="7"/>
      <c r="T244" s="7"/>
      <c r="U244" s="7"/>
      <c r="V244" s="14">
        <v>550</v>
      </c>
      <c r="W244" s="14">
        <v>550</v>
      </c>
      <c r="X244" s="7"/>
      <c r="Y244" s="7"/>
      <c r="Z244" s="7"/>
      <c r="AA244" s="7"/>
      <c r="AC244" s="70">
        <f t="shared" si="7"/>
        <v>550</v>
      </c>
      <c r="AD244" s="75">
        <f t="shared" si="8"/>
        <v>1</v>
      </c>
    </row>
    <row r="245" spans="1:34" outlineLevel="6">
      <c r="A245" s="3501" t="s">
        <v>198</v>
      </c>
      <c r="B245" s="3501"/>
      <c r="C245" s="7"/>
      <c r="D245" s="7"/>
      <c r="E245" s="14">
        <v>550</v>
      </c>
      <c r="F245" s="7"/>
      <c r="G245" s="7"/>
      <c r="H245" s="8"/>
      <c r="I245" s="9"/>
      <c r="J245" s="7"/>
      <c r="K245" s="7"/>
      <c r="L245" s="7"/>
      <c r="M245" s="14">
        <v>550</v>
      </c>
      <c r="N245" s="14">
        <v>550</v>
      </c>
      <c r="O245" s="14">
        <v>550</v>
      </c>
      <c r="P245" s="7"/>
      <c r="Q245" s="7"/>
      <c r="R245" s="14">
        <v>550</v>
      </c>
      <c r="S245" s="7"/>
      <c r="T245" s="7"/>
      <c r="U245" s="7"/>
      <c r="V245" s="14">
        <v>550</v>
      </c>
      <c r="W245" s="14">
        <v>550</v>
      </c>
      <c r="X245" s="7"/>
      <c r="Y245" s="7"/>
      <c r="Z245" s="7"/>
      <c r="AA245" s="7"/>
      <c r="AC245" s="70" t="str">
        <f t="shared" si="7"/>
        <v/>
      </c>
      <c r="AD245" s="75" t="str">
        <f t="shared" si="8"/>
        <v/>
      </c>
    </row>
    <row r="246" spans="1:34" outlineLevel="7">
      <c r="A246" s="3500" t="s">
        <v>199</v>
      </c>
      <c r="B246" s="3500"/>
      <c r="C246" s="7"/>
      <c r="D246" s="7"/>
      <c r="E246" s="14">
        <v>550</v>
      </c>
      <c r="F246" s="7"/>
      <c r="G246" s="7"/>
      <c r="H246" s="8"/>
      <c r="I246" s="9"/>
      <c r="J246" s="7"/>
      <c r="K246" s="7"/>
      <c r="L246" s="7"/>
      <c r="M246" s="14">
        <v>550</v>
      </c>
      <c r="N246" s="14">
        <v>550</v>
      </c>
      <c r="O246" s="14">
        <v>550</v>
      </c>
      <c r="P246" s="7"/>
      <c r="Q246" s="7"/>
      <c r="R246" s="14">
        <v>550</v>
      </c>
      <c r="S246" s="7"/>
      <c r="T246" s="7"/>
      <c r="U246" s="7"/>
      <c r="V246" s="14">
        <v>550</v>
      </c>
      <c r="W246" s="14">
        <v>550</v>
      </c>
      <c r="X246" s="7"/>
      <c r="Y246" s="7"/>
      <c r="Z246" s="7"/>
      <c r="AA246" s="7"/>
      <c r="AC246" s="70" t="str">
        <f t="shared" si="7"/>
        <v/>
      </c>
      <c r="AD246" s="75" t="str">
        <f t="shared" si="8"/>
        <v/>
      </c>
      <c r="AH246" t="s">
        <v>3420</v>
      </c>
    </row>
    <row r="247" spans="1:34" outlineLevel="7">
      <c r="A247" s="3499" t="s">
        <v>1591</v>
      </c>
      <c r="B247" s="3499"/>
      <c r="C247" s="7"/>
      <c r="D247" s="7"/>
      <c r="E247" s="14">
        <v>550</v>
      </c>
      <c r="F247" s="7"/>
      <c r="G247" s="7"/>
      <c r="H247" s="8"/>
      <c r="I247" s="9"/>
      <c r="J247" s="7"/>
      <c r="K247" s="7"/>
      <c r="L247" s="7"/>
      <c r="M247" s="14">
        <v>550</v>
      </c>
      <c r="N247" s="14">
        <v>550</v>
      </c>
      <c r="O247" s="14">
        <v>550</v>
      </c>
      <c r="P247" s="7"/>
      <c r="Q247" s="7"/>
      <c r="R247" s="14">
        <v>550</v>
      </c>
      <c r="S247" s="7"/>
      <c r="T247" s="7"/>
      <c r="U247" s="7"/>
      <c r="V247" s="14">
        <v>550</v>
      </c>
      <c r="W247" s="14">
        <v>550</v>
      </c>
      <c r="X247" s="7"/>
      <c r="Y247" s="7"/>
      <c r="Z247" s="7"/>
      <c r="AA247" s="7"/>
      <c r="AC247" s="70">
        <f t="shared" si="7"/>
        <v>550</v>
      </c>
      <c r="AD247" s="75">
        <f t="shared" si="8"/>
        <v>1</v>
      </c>
    </row>
    <row r="248" spans="1:34" outlineLevel="6">
      <c r="A248" s="3501" t="s">
        <v>200</v>
      </c>
      <c r="B248" s="3501"/>
      <c r="C248" s="7"/>
      <c r="D248" s="7"/>
      <c r="E248" s="14">
        <v>550</v>
      </c>
      <c r="F248" s="7"/>
      <c r="G248" s="7"/>
      <c r="H248" s="8"/>
      <c r="I248" s="9"/>
      <c r="J248" s="7"/>
      <c r="K248" s="7"/>
      <c r="L248" s="7"/>
      <c r="M248" s="14">
        <v>550</v>
      </c>
      <c r="N248" s="14">
        <v>550</v>
      </c>
      <c r="O248" s="14">
        <v>550</v>
      </c>
      <c r="P248" s="7"/>
      <c r="Q248" s="7"/>
      <c r="R248" s="14">
        <v>550</v>
      </c>
      <c r="S248" s="7"/>
      <c r="T248" s="7"/>
      <c r="U248" s="7"/>
      <c r="V248" s="14">
        <v>550</v>
      </c>
      <c r="W248" s="14">
        <v>550</v>
      </c>
      <c r="X248" s="7"/>
      <c r="Y248" s="7"/>
      <c r="Z248" s="7"/>
      <c r="AA248" s="7"/>
      <c r="AC248" s="70" t="str">
        <f t="shared" si="7"/>
        <v/>
      </c>
      <c r="AD248" s="75" t="str">
        <f t="shared" si="8"/>
        <v/>
      </c>
    </row>
    <row r="249" spans="1:34" outlineLevel="7">
      <c r="A249" s="3500" t="s">
        <v>201</v>
      </c>
      <c r="B249" s="3500"/>
      <c r="C249" s="7"/>
      <c r="D249" s="7"/>
      <c r="E249" s="14">
        <v>550</v>
      </c>
      <c r="F249" s="7"/>
      <c r="G249" s="7"/>
      <c r="H249" s="8"/>
      <c r="I249" s="9"/>
      <c r="J249" s="7"/>
      <c r="K249" s="7"/>
      <c r="L249" s="7"/>
      <c r="M249" s="14">
        <v>550</v>
      </c>
      <c r="N249" s="14">
        <v>550</v>
      </c>
      <c r="O249" s="14">
        <v>550</v>
      </c>
      <c r="P249" s="7"/>
      <c r="Q249" s="7"/>
      <c r="R249" s="14">
        <v>550</v>
      </c>
      <c r="S249" s="7"/>
      <c r="T249" s="7"/>
      <c r="U249" s="7"/>
      <c r="V249" s="14">
        <v>550</v>
      </c>
      <c r="W249" s="14">
        <v>550</v>
      </c>
      <c r="X249" s="7"/>
      <c r="Y249" s="7"/>
      <c r="Z249" s="7"/>
      <c r="AA249" s="7"/>
      <c r="AC249" s="70" t="str">
        <f t="shared" si="7"/>
        <v/>
      </c>
      <c r="AD249" s="75" t="str">
        <f t="shared" si="8"/>
        <v/>
      </c>
      <c r="AH249" t="s">
        <v>3555</v>
      </c>
    </row>
    <row r="250" spans="1:34" outlineLevel="7">
      <c r="A250" s="3499" t="s">
        <v>1592</v>
      </c>
      <c r="B250" s="3499"/>
      <c r="C250" s="7"/>
      <c r="D250" s="7"/>
      <c r="E250" s="14">
        <v>550</v>
      </c>
      <c r="F250" s="7"/>
      <c r="G250" s="7"/>
      <c r="H250" s="8"/>
      <c r="I250" s="9"/>
      <c r="J250" s="7"/>
      <c r="K250" s="7"/>
      <c r="L250" s="7"/>
      <c r="M250" s="14">
        <v>550</v>
      </c>
      <c r="N250" s="14">
        <v>550</v>
      </c>
      <c r="O250" s="14">
        <v>550</v>
      </c>
      <c r="P250" s="7"/>
      <c r="Q250" s="7"/>
      <c r="R250" s="14">
        <v>550</v>
      </c>
      <c r="S250" s="7"/>
      <c r="T250" s="7"/>
      <c r="U250" s="7"/>
      <c r="V250" s="14">
        <v>550</v>
      </c>
      <c r="W250" s="14">
        <v>550</v>
      </c>
      <c r="X250" s="7"/>
      <c r="Y250" s="7"/>
      <c r="Z250" s="7"/>
      <c r="AA250" s="7"/>
      <c r="AC250" s="70">
        <f t="shared" si="7"/>
        <v>550</v>
      </c>
      <c r="AD250" s="75">
        <f t="shared" si="8"/>
        <v>1</v>
      </c>
    </row>
    <row r="251" spans="1:34" outlineLevel="6">
      <c r="A251" s="3501" t="s">
        <v>202</v>
      </c>
      <c r="B251" s="3501"/>
      <c r="C251" s="7"/>
      <c r="D251" s="7"/>
      <c r="E251" s="14">
        <v>550</v>
      </c>
      <c r="F251" s="7"/>
      <c r="G251" s="7"/>
      <c r="H251" s="8"/>
      <c r="I251" s="9"/>
      <c r="J251" s="7"/>
      <c r="K251" s="7"/>
      <c r="L251" s="7"/>
      <c r="M251" s="14">
        <v>550</v>
      </c>
      <c r="N251" s="14">
        <v>550</v>
      </c>
      <c r="O251" s="14">
        <v>550</v>
      </c>
      <c r="P251" s="7"/>
      <c r="Q251" s="7"/>
      <c r="R251" s="14">
        <v>550</v>
      </c>
      <c r="S251" s="7"/>
      <c r="T251" s="7"/>
      <c r="U251" s="7"/>
      <c r="V251" s="14">
        <v>550</v>
      </c>
      <c r="W251" s="14">
        <v>550</v>
      </c>
      <c r="X251" s="7"/>
      <c r="Y251" s="7"/>
      <c r="Z251" s="7"/>
      <c r="AA251" s="7"/>
      <c r="AC251" s="70" t="str">
        <f t="shared" si="7"/>
        <v/>
      </c>
      <c r="AD251" s="75" t="str">
        <f t="shared" si="8"/>
        <v/>
      </c>
    </row>
    <row r="252" spans="1:34" outlineLevel="7">
      <c r="A252" s="3500" t="s">
        <v>203</v>
      </c>
      <c r="B252" s="3500"/>
      <c r="C252" s="7"/>
      <c r="D252" s="7"/>
      <c r="E252" s="14">
        <v>550</v>
      </c>
      <c r="F252" s="7"/>
      <c r="G252" s="7"/>
      <c r="H252" s="8"/>
      <c r="I252" s="9"/>
      <c r="J252" s="7"/>
      <c r="K252" s="7"/>
      <c r="L252" s="7"/>
      <c r="M252" s="14">
        <v>550</v>
      </c>
      <c r="N252" s="14">
        <v>550</v>
      </c>
      <c r="O252" s="14">
        <v>550</v>
      </c>
      <c r="P252" s="7"/>
      <c r="Q252" s="7"/>
      <c r="R252" s="14">
        <v>550</v>
      </c>
      <c r="S252" s="7"/>
      <c r="T252" s="7"/>
      <c r="U252" s="7"/>
      <c r="V252" s="14">
        <v>550</v>
      </c>
      <c r="W252" s="14">
        <v>550</v>
      </c>
      <c r="X252" s="7"/>
      <c r="Y252" s="7"/>
      <c r="Z252" s="7"/>
      <c r="AA252" s="7"/>
      <c r="AC252" s="70" t="str">
        <f t="shared" si="7"/>
        <v/>
      </c>
      <c r="AD252" s="75" t="str">
        <f t="shared" si="8"/>
        <v/>
      </c>
      <c r="AH252" t="s">
        <v>3512</v>
      </c>
    </row>
    <row r="253" spans="1:34" outlineLevel="7">
      <c r="A253" s="3499" t="s">
        <v>1593</v>
      </c>
      <c r="B253" s="3499"/>
      <c r="C253" s="7"/>
      <c r="D253" s="7"/>
      <c r="E253" s="14">
        <v>550</v>
      </c>
      <c r="F253" s="7"/>
      <c r="G253" s="7"/>
      <c r="H253" s="8"/>
      <c r="I253" s="9"/>
      <c r="J253" s="7"/>
      <c r="K253" s="7"/>
      <c r="L253" s="7"/>
      <c r="M253" s="14">
        <v>550</v>
      </c>
      <c r="N253" s="14">
        <v>550</v>
      </c>
      <c r="O253" s="14">
        <v>550</v>
      </c>
      <c r="P253" s="7"/>
      <c r="Q253" s="7"/>
      <c r="R253" s="14">
        <v>550</v>
      </c>
      <c r="S253" s="7"/>
      <c r="T253" s="7"/>
      <c r="U253" s="7"/>
      <c r="V253" s="14">
        <v>550</v>
      </c>
      <c r="W253" s="14">
        <v>550</v>
      </c>
      <c r="X253" s="7"/>
      <c r="Y253" s="7"/>
      <c r="Z253" s="7"/>
      <c r="AA253" s="7"/>
      <c r="AC253" s="70">
        <f t="shared" si="7"/>
        <v>550</v>
      </c>
      <c r="AD253" s="75">
        <f t="shared" si="8"/>
        <v>1</v>
      </c>
    </row>
    <row r="254" spans="1:34" outlineLevel="6">
      <c r="A254" s="3501" t="s">
        <v>204</v>
      </c>
      <c r="B254" s="3501"/>
      <c r="C254" s="7"/>
      <c r="D254" s="7"/>
      <c r="E254" s="14">
        <v>550</v>
      </c>
      <c r="F254" s="7"/>
      <c r="G254" s="7"/>
      <c r="H254" s="8"/>
      <c r="I254" s="9"/>
      <c r="J254" s="7"/>
      <c r="K254" s="7"/>
      <c r="L254" s="7"/>
      <c r="M254" s="14">
        <v>550</v>
      </c>
      <c r="N254" s="14">
        <v>550</v>
      </c>
      <c r="O254" s="14">
        <v>550</v>
      </c>
      <c r="P254" s="7"/>
      <c r="Q254" s="7"/>
      <c r="R254" s="14">
        <v>550</v>
      </c>
      <c r="S254" s="7"/>
      <c r="T254" s="7"/>
      <c r="U254" s="7"/>
      <c r="V254" s="14">
        <v>550</v>
      </c>
      <c r="W254" s="14">
        <v>550</v>
      </c>
      <c r="X254" s="7"/>
      <c r="Y254" s="7"/>
      <c r="Z254" s="7"/>
      <c r="AA254" s="7"/>
      <c r="AC254" s="70" t="str">
        <f t="shared" si="7"/>
        <v/>
      </c>
      <c r="AD254" s="75" t="str">
        <f t="shared" si="8"/>
        <v/>
      </c>
    </row>
    <row r="255" spans="1:34" outlineLevel="7">
      <c r="A255" s="3500" t="s">
        <v>205</v>
      </c>
      <c r="B255" s="3500"/>
      <c r="C255" s="7"/>
      <c r="D255" s="7"/>
      <c r="E255" s="14">
        <v>550</v>
      </c>
      <c r="F255" s="7"/>
      <c r="G255" s="7"/>
      <c r="H255" s="8"/>
      <c r="I255" s="9"/>
      <c r="J255" s="7"/>
      <c r="K255" s="7"/>
      <c r="L255" s="7"/>
      <c r="M255" s="14">
        <v>550</v>
      </c>
      <c r="N255" s="14">
        <v>550</v>
      </c>
      <c r="O255" s="14">
        <v>550</v>
      </c>
      <c r="P255" s="7"/>
      <c r="Q255" s="7"/>
      <c r="R255" s="14">
        <v>550</v>
      </c>
      <c r="S255" s="7"/>
      <c r="T255" s="7"/>
      <c r="U255" s="7"/>
      <c r="V255" s="14">
        <v>550</v>
      </c>
      <c r="W255" s="14">
        <v>550</v>
      </c>
      <c r="X255" s="7"/>
      <c r="Y255" s="7"/>
      <c r="Z255" s="7"/>
      <c r="AA255" s="7"/>
      <c r="AC255" s="70" t="str">
        <f t="shared" si="7"/>
        <v/>
      </c>
      <c r="AD255" s="75" t="str">
        <f t="shared" si="8"/>
        <v/>
      </c>
      <c r="AH255" t="s">
        <v>3381</v>
      </c>
    </row>
    <row r="256" spans="1:34" outlineLevel="7">
      <c r="A256" s="3499" t="s">
        <v>1594</v>
      </c>
      <c r="B256" s="3499"/>
      <c r="C256" s="7"/>
      <c r="D256" s="7"/>
      <c r="E256" s="14">
        <v>550</v>
      </c>
      <c r="F256" s="7"/>
      <c r="G256" s="7"/>
      <c r="H256" s="8"/>
      <c r="I256" s="9"/>
      <c r="J256" s="7"/>
      <c r="K256" s="7"/>
      <c r="L256" s="7"/>
      <c r="M256" s="14">
        <v>550</v>
      </c>
      <c r="N256" s="14">
        <v>550</v>
      </c>
      <c r="O256" s="14">
        <v>550</v>
      </c>
      <c r="P256" s="7"/>
      <c r="Q256" s="7"/>
      <c r="R256" s="14">
        <v>550</v>
      </c>
      <c r="S256" s="7"/>
      <c r="T256" s="7"/>
      <c r="U256" s="7"/>
      <c r="V256" s="14">
        <v>550</v>
      </c>
      <c r="W256" s="14">
        <v>550</v>
      </c>
      <c r="X256" s="7"/>
      <c r="Y256" s="7"/>
      <c r="Z256" s="7"/>
      <c r="AA256" s="7"/>
      <c r="AC256" s="70">
        <f t="shared" si="7"/>
        <v>550</v>
      </c>
      <c r="AD256" s="75">
        <f t="shared" si="8"/>
        <v>1</v>
      </c>
    </row>
    <row r="257" spans="1:34" outlineLevel="6">
      <c r="A257" s="3501" t="s">
        <v>206</v>
      </c>
      <c r="B257" s="3501"/>
      <c r="C257" s="7"/>
      <c r="D257" s="7"/>
      <c r="E257" s="14">
        <v>550</v>
      </c>
      <c r="F257" s="7"/>
      <c r="G257" s="7"/>
      <c r="H257" s="8"/>
      <c r="I257" s="9"/>
      <c r="J257" s="7"/>
      <c r="K257" s="7"/>
      <c r="L257" s="7"/>
      <c r="M257" s="14">
        <v>550</v>
      </c>
      <c r="N257" s="14">
        <v>550</v>
      </c>
      <c r="O257" s="14">
        <v>550</v>
      </c>
      <c r="P257" s="7"/>
      <c r="Q257" s="7"/>
      <c r="R257" s="14">
        <v>550</v>
      </c>
      <c r="S257" s="7"/>
      <c r="T257" s="7"/>
      <c r="U257" s="7"/>
      <c r="V257" s="14">
        <v>550</v>
      </c>
      <c r="W257" s="14">
        <v>550</v>
      </c>
      <c r="X257" s="7"/>
      <c r="Y257" s="7"/>
      <c r="Z257" s="7"/>
      <c r="AA257" s="7"/>
      <c r="AC257" s="70" t="str">
        <f t="shared" si="7"/>
        <v/>
      </c>
      <c r="AD257" s="75" t="str">
        <f t="shared" si="8"/>
        <v/>
      </c>
    </row>
    <row r="258" spans="1:34" outlineLevel="7">
      <c r="A258" s="3500" t="s">
        <v>207</v>
      </c>
      <c r="B258" s="3500"/>
      <c r="C258" s="7"/>
      <c r="D258" s="7"/>
      <c r="E258" s="14">
        <v>550</v>
      </c>
      <c r="F258" s="7"/>
      <c r="G258" s="7"/>
      <c r="H258" s="8"/>
      <c r="I258" s="9"/>
      <c r="J258" s="7"/>
      <c r="K258" s="7"/>
      <c r="L258" s="7"/>
      <c r="M258" s="14">
        <v>550</v>
      </c>
      <c r="N258" s="14">
        <v>550</v>
      </c>
      <c r="O258" s="14">
        <v>550</v>
      </c>
      <c r="P258" s="7"/>
      <c r="Q258" s="7"/>
      <c r="R258" s="14">
        <v>550</v>
      </c>
      <c r="S258" s="7"/>
      <c r="T258" s="7"/>
      <c r="U258" s="7"/>
      <c r="V258" s="14">
        <v>550</v>
      </c>
      <c r="W258" s="14">
        <v>550</v>
      </c>
      <c r="X258" s="7"/>
      <c r="Y258" s="7"/>
      <c r="Z258" s="7"/>
      <c r="AA258" s="7"/>
      <c r="AC258" s="70" t="str">
        <f t="shared" si="7"/>
        <v/>
      </c>
      <c r="AD258" s="75" t="str">
        <f t="shared" si="8"/>
        <v/>
      </c>
      <c r="AH258" t="s">
        <v>3393</v>
      </c>
    </row>
    <row r="259" spans="1:34" outlineLevel="7">
      <c r="A259" s="3499" t="s">
        <v>1595</v>
      </c>
      <c r="B259" s="3499"/>
      <c r="C259" s="7"/>
      <c r="D259" s="7"/>
      <c r="E259" s="14">
        <v>550</v>
      </c>
      <c r="F259" s="7"/>
      <c r="G259" s="7"/>
      <c r="H259" s="8"/>
      <c r="I259" s="9"/>
      <c r="J259" s="7"/>
      <c r="K259" s="7"/>
      <c r="L259" s="7"/>
      <c r="M259" s="14">
        <v>550</v>
      </c>
      <c r="N259" s="14">
        <v>550</v>
      </c>
      <c r="O259" s="14">
        <v>550</v>
      </c>
      <c r="P259" s="7"/>
      <c r="Q259" s="7"/>
      <c r="R259" s="14">
        <v>550</v>
      </c>
      <c r="S259" s="7"/>
      <c r="T259" s="7"/>
      <c r="U259" s="7"/>
      <c r="V259" s="14">
        <v>550</v>
      </c>
      <c r="W259" s="14">
        <v>550</v>
      </c>
      <c r="X259" s="7"/>
      <c r="Y259" s="7"/>
      <c r="Z259" s="7"/>
      <c r="AA259" s="7"/>
      <c r="AC259" s="70">
        <f t="shared" si="7"/>
        <v>550</v>
      </c>
      <c r="AD259" s="75">
        <f t="shared" si="8"/>
        <v>1</v>
      </c>
    </row>
    <row r="260" spans="1:34" outlineLevel="6">
      <c r="A260" s="3501" t="s">
        <v>208</v>
      </c>
      <c r="B260" s="3501"/>
      <c r="C260" s="7"/>
      <c r="D260" s="7"/>
      <c r="E260" s="14">
        <v>550</v>
      </c>
      <c r="F260" s="7"/>
      <c r="G260" s="7"/>
      <c r="H260" s="8"/>
      <c r="I260" s="9"/>
      <c r="J260" s="7"/>
      <c r="K260" s="7"/>
      <c r="L260" s="7"/>
      <c r="M260" s="14">
        <v>550</v>
      </c>
      <c r="N260" s="14">
        <v>550</v>
      </c>
      <c r="O260" s="14">
        <v>550</v>
      </c>
      <c r="P260" s="7"/>
      <c r="Q260" s="7"/>
      <c r="R260" s="14">
        <v>550</v>
      </c>
      <c r="S260" s="7"/>
      <c r="T260" s="7"/>
      <c r="U260" s="7"/>
      <c r="V260" s="14">
        <v>550</v>
      </c>
      <c r="W260" s="14">
        <v>550</v>
      </c>
      <c r="X260" s="7"/>
      <c r="Y260" s="7"/>
      <c r="Z260" s="7"/>
      <c r="AA260" s="7"/>
      <c r="AC260" s="70" t="str">
        <f t="shared" si="7"/>
        <v/>
      </c>
      <c r="AD260" s="75" t="str">
        <f t="shared" si="8"/>
        <v/>
      </c>
    </row>
    <row r="261" spans="1:34" outlineLevel="7">
      <c r="A261" s="3500" t="s">
        <v>209</v>
      </c>
      <c r="B261" s="3500"/>
      <c r="C261" s="7"/>
      <c r="D261" s="7"/>
      <c r="E261" s="14">
        <v>550</v>
      </c>
      <c r="F261" s="7"/>
      <c r="G261" s="7"/>
      <c r="H261" s="8"/>
      <c r="I261" s="9"/>
      <c r="J261" s="7"/>
      <c r="K261" s="7"/>
      <c r="L261" s="7"/>
      <c r="M261" s="14">
        <v>550</v>
      </c>
      <c r="N261" s="14">
        <v>550</v>
      </c>
      <c r="O261" s="14">
        <v>550</v>
      </c>
      <c r="P261" s="7"/>
      <c r="Q261" s="7"/>
      <c r="R261" s="14">
        <v>550</v>
      </c>
      <c r="S261" s="7"/>
      <c r="T261" s="7"/>
      <c r="U261" s="7"/>
      <c r="V261" s="14">
        <v>550</v>
      </c>
      <c r="W261" s="14">
        <v>550</v>
      </c>
      <c r="X261" s="7"/>
      <c r="Y261" s="7"/>
      <c r="Z261" s="7"/>
      <c r="AA261" s="7"/>
      <c r="AC261" s="70" t="str">
        <f t="shared" si="7"/>
        <v/>
      </c>
      <c r="AD261" s="75" t="str">
        <f t="shared" si="8"/>
        <v/>
      </c>
      <c r="AH261" t="s">
        <v>3500</v>
      </c>
    </row>
    <row r="262" spans="1:34" outlineLevel="7">
      <c r="A262" s="3499" t="s">
        <v>1596</v>
      </c>
      <c r="B262" s="3499"/>
      <c r="C262" s="7"/>
      <c r="D262" s="7"/>
      <c r="E262" s="14">
        <v>550</v>
      </c>
      <c r="F262" s="7"/>
      <c r="G262" s="7"/>
      <c r="H262" s="8"/>
      <c r="I262" s="9"/>
      <c r="J262" s="7"/>
      <c r="K262" s="7"/>
      <c r="L262" s="7"/>
      <c r="M262" s="14">
        <v>550</v>
      </c>
      <c r="N262" s="14">
        <v>550</v>
      </c>
      <c r="O262" s="14">
        <v>550</v>
      </c>
      <c r="P262" s="7"/>
      <c r="Q262" s="7"/>
      <c r="R262" s="14">
        <v>550</v>
      </c>
      <c r="S262" s="7"/>
      <c r="T262" s="7"/>
      <c r="U262" s="7"/>
      <c r="V262" s="14">
        <v>550</v>
      </c>
      <c r="W262" s="14">
        <v>550</v>
      </c>
      <c r="X262" s="7"/>
      <c r="Y262" s="7"/>
      <c r="Z262" s="7"/>
      <c r="AA262" s="7"/>
      <c r="AC262" s="70">
        <f t="shared" si="7"/>
        <v>550</v>
      </c>
      <c r="AD262" s="75">
        <f t="shared" si="8"/>
        <v>1</v>
      </c>
    </row>
    <row r="263" spans="1:34" outlineLevel="6">
      <c r="A263" s="3501" t="s">
        <v>210</v>
      </c>
      <c r="B263" s="3501"/>
      <c r="C263" s="7"/>
      <c r="D263" s="7"/>
      <c r="E263" s="14">
        <v>550</v>
      </c>
      <c r="F263" s="7"/>
      <c r="G263" s="7"/>
      <c r="H263" s="8"/>
      <c r="I263" s="9"/>
      <c r="J263" s="7"/>
      <c r="K263" s="7"/>
      <c r="L263" s="7"/>
      <c r="M263" s="14">
        <v>550</v>
      </c>
      <c r="N263" s="14">
        <v>550</v>
      </c>
      <c r="O263" s="14">
        <v>550</v>
      </c>
      <c r="P263" s="7"/>
      <c r="Q263" s="7"/>
      <c r="R263" s="14">
        <v>550</v>
      </c>
      <c r="S263" s="7"/>
      <c r="T263" s="7"/>
      <c r="U263" s="7"/>
      <c r="V263" s="14">
        <v>550</v>
      </c>
      <c r="W263" s="14">
        <v>550</v>
      </c>
      <c r="X263" s="7"/>
      <c r="Y263" s="7"/>
      <c r="Z263" s="7"/>
      <c r="AA263" s="7"/>
      <c r="AC263" s="70" t="str">
        <f t="shared" si="7"/>
        <v/>
      </c>
      <c r="AD263" s="75" t="str">
        <f t="shared" si="8"/>
        <v/>
      </c>
    </row>
    <row r="264" spans="1:34" outlineLevel="7">
      <c r="A264" s="3500" t="s">
        <v>211</v>
      </c>
      <c r="B264" s="3500"/>
      <c r="C264" s="7"/>
      <c r="D264" s="7"/>
      <c r="E264" s="14">
        <v>550</v>
      </c>
      <c r="F264" s="7"/>
      <c r="G264" s="7"/>
      <c r="H264" s="8"/>
      <c r="I264" s="9"/>
      <c r="J264" s="7"/>
      <c r="K264" s="7"/>
      <c r="L264" s="7"/>
      <c r="M264" s="14">
        <v>550</v>
      </c>
      <c r="N264" s="14">
        <v>550</v>
      </c>
      <c r="O264" s="14">
        <v>550</v>
      </c>
      <c r="P264" s="7"/>
      <c r="Q264" s="7"/>
      <c r="R264" s="14">
        <v>550</v>
      </c>
      <c r="S264" s="7"/>
      <c r="T264" s="7"/>
      <c r="U264" s="7"/>
      <c r="V264" s="14">
        <v>550</v>
      </c>
      <c r="W264" s="14">
        <v>550</v>
      </c>
      <c r="X264" s="7"/>
      <c r="Y264" s="7"/>
      <c r="Z264" s="7"/>
      <c r="AA264" s="7"/>
      <c r="AC264" s="70" t="str">
        <f t="shared" si="7"/>
        <v/>
      </c>
      <c r="AD264" s="75" t="str">
        <f t="shared" si="8"/>
        <v/>
      </c>
      <c r="AH264" t="s">
        <v>3398</v>
      </c>
    </row>
    <row r="265" spans="1:34" outlineLevel="7">
      <c r="A265" s="3499" t="s">
        <v>1597</v>
      </c>
      <c r="B265" s="3499"/>
      <c r="C265" s="7"/>
      <c r="D265" s="7"/>
      <c r="E265" s="14">
        <v>550</v>
      </c>
      <c r="F265" s="7"/>
      <c r="G265" s="7"/>
      <c r="H265" s="8"/>
      <c r="I265" s="9"/>
      <c r="J265" s="7"/>
      <c r="K265" s="7"/>
      <c r="L265" s="7"/>
      <c r="M265" s="14">
        <v>550</v>
      </c>
      <c r="N265" s="14">
        <v>550</v>
      </c>
      <c r="O265" s="14">
        <v>550</v>
      </c>
      <c r="P265" s="7"/>
      <c r="Q265" s="7"/>
      <c r="R265" s="14">
        <v>550</v>
      </c>
      <c r="S265" s="7"/>
      <c r="T265" s="7"/>
      <c r="U265" s="7"/>
      <c r="V265" s="14">
        <v>550</v>
      </c>
      <c r="W265" s="14">
        <v>550</v>
      </c>
      <c r="X265" s="7"/>
      <c r="Y265" s="7"/>
      <c r="Z265" s="7"/>
      <c r="AA265" s="7"/>
      <c r="AC265" s="70">
        <f t="shared" si="7"/>
        <v>550</v>
      </c>
      <c r="AD265" s="75">
        <f t="shared" si="8"/>
        <v>1</v>
      </c>
    </row>
    <row r="266" spans="1:34" outlineLevel="6">
      <c r="A266" s="3501" t="s">
        <v>212</v>
      </c>
      <c r="B266" s="3501"/>
      <c r="C266" s="7"/>
      <c r="D266" s="7"/>
      <c r="E266" s="14">
        <v>550</v>
      </c>
      <c r="F266" s="7"/>
      <c r="G266" s="7"/>
      <c r="H266" s="8"/>
      <c r="I266" s="9"/>
      <c r="J266" s="7"/>
      <c r="K266" s="7"/>
      <c r="L266" s="7"/>
      <c r="M266" s="14">
        <v>550</v>
      </c>
      <c r="N266" s="14">
        <v>550</v>
      </c>
      <c r="O266" s="14">
        <v>550</v>
      </c>
      <c r="P266" s="7"/>
      <c r="Q266" s="7"/>
      <c r="R266" s="14">
        <v>550</v>
      </c>
      <c r="S266" s="7"/>
      <c r="T266" s="7"/>
      <c r="U266" s="7"/>
      <c r="V266" s="14">
        <v>550</v>
      </c>
      <c r="W266" s="14">
        <v>550</v>
      </c>
      <c r="X266" s="7"/>
      <c r="Y266" s="7"/>
      <c r="Z266" s="7"/>
      <c r="AA266" s="7"/>
      <c r="AC266" s="70" t="str">
        <f t="shared" si="7"/>
        <v/>
      </c>
      <c r="AD266" s="75" t="str">
        <f t="shared" si="8"/>
        <v/>
      </c>
    </row>
    <row r="267" spans="1:34" outlineLevel="7">
      <c r="A267" s="3500" t="s">
        <v>213</v>
      </c>
      <c r="B267" s="3500"/>
      <c r="C267" s="7"/>
      <c r="D267" s="7"/>
      <c r="E267" s="14">
        <v>550</v>
      </c>
      <c r="F267" s="7"/>
      <c r="G267" s="7"/>
      <c r="H267" s="8"/>
      <c r="I267" s="9"/>
      <c r="J267" s="7"/>
      <c r="K267" s="7"/>
      <c r="L267" s="7"/>
      <c r="M267" s="14">
        <v>550</v>
      </c>
      <c r="N267" s="14">
        <v>550</v>
      </c>
      <c r="O267" s="14">
        <v>550</v>
      </c>
      <c r="P267" s="7"/>
      <c r="Q267" s="7"/>
      <c r="R267" s="14">
        <v>550</v>
      </c>
      <c r="S267" s="7"/>
      <c r="T267" s="7"/>
      <c r="U267" s="7"/>
      <c r="V267" s="14">
        <v>550</v>
      </c>
      <c r="W267" s="14">
        <v>550</v>
      </c>
      <c r="X267" s="7"/>
      <c r="Y267" s="7"/>
      <c r="Z267" s="7"/>
      <c r="AA267" s="7"/>
      <c r="AC267" s="70" t="str">
        <f t="shared" si="7"/>
        <v/>
      </c>
      <c r="AD267" s="75" t="str">
        <f t="shared" si="8"/>
        <v/>
      </c>
      <c r="AH267" t="s">
        <v>3471</v>
      </c>
    </row>
    <row r="268" spans="1:34" outlineLevel="7">
      <c r="A268" s="3499" t="s">
        <v>1598</v>
      </c>
      <c r="B268" s="3499"/>
      <c r="C268" s="7"/>
      <c r="D268" s="7"/>
      <c r="E268" s="14">
        <v>550</v>
      </c>
      <c r="F268" s="7"/>
      <c r="G268" s="7"/>
      <c r="H268" s="8"/>
      <c r="I268" s="9"/>
      <c r="J268" s="7"/>
      <c r="K268" s="7"/>
      <c r="L268" s="7"/>
      <c r="M268" s="14">
        <v>550</v>
      </c>
      <c r="N268" s="14">
        <v>550</v>
      </c>
      <c r="O268" s="14">
        <v>550</v>
      </c>
      <c r="P268" s="7"/>
      <c r="Q268" s="7"/>
      <c r="R268" s="14">
        <v>550</v>
      </c>
      <c r="S268" s="7"/>
      <c r="T268" s="7"/>
      <c r="U268" s="7"/>
      <c r="V268" s="14">
        <v>550</v>
      </c>
      <c r="W268" s="14">
        <v>550</v>
      </c>
      <c r="X268" s="7"/>
      <c r="Y268" s="7"/>
      <c r="Z268" s="7"/>
      <c r="AA268" s="7"/>
      <c r="AC268" s="70">
        <f t="shared" si="7"/>
        <v>550</v>
      </c>
      <c r="AD268" s="75">
        <f t="shared" si="8"/>
        <v>1</v>
      </c>
    </row>
    <row r="269" spans="1:34" outlineLevel="6">
      <c r="A269" s="3501" t="s">
        <v>214</v>
      </c>
      <c r="B269" s="3501"/>
      <c r="C269" s="7"/>
      <c r="D269" s="7"/>
      <c r="E269" s="14">
        <v>550</v>
      </c>
      <c r="F269" s="7"/>
      <c r="G269" s="7"/>
      <c r="H269" s="8"/>
      <c r="I269" s="9"/>
      <c r="J269" s="7"/>
      <c r="K269" s="7"/>
      <c r="L269" s="7"/>
      <c r="M269" s="14">
        <v>550</v>
      </c>
      <c r="N269" s="14">
        <v>550</v>
      </c>
      <c r="O269" s="14">
        <v>550</v>
      </c>
      <c r="P269" s="7"/>
      <c r="Q269" s="7"/>
      <c r="R269" s="14">
        <v>550</v>
      </c>
      <c r="S269" s="7"/>
      <c r="T269" s="7"/>
      <c r="U269" s="7"/>
      <c r="V269" s="14">
        <v>550</v>
      </c>
      <c r="W269" s="14">
        <v>550</v>
      </c>
      <c r="X269" s="7"/>
      <c r="Y269" s="7"/>
      <c r="Z269" s="7"/>
      <c r="AA269" s="7"/>
      <c r="AC269" s="70" t="str">
        <f t="shared" si="7"/>
        <v/>
      </c>
      <c r="AD269" s="75" t="str">
        <f t="shared" si="8"/>
        <v/>
      </c>
    </row>
    <row r="270" spans="1:34" outlineLevel="7">
      <c r="A270" s="3500" t="s">
        <v>215</v>
      </c>
      <c r="B270" s="3500"/>
      <c r="C270" s="7"/>
      <c r="D270" s="7"/>
      <c r="E270" s="14">
        <v>550</v>
      </c>
      <c r="F270" s="7"/>
      <c r="G270" s="7"/>
      <c r="H270" s="8"/>
      <c r="I270" s="9"/>
      <c r="J270" s="7"/>
      <c r="K270" s="7"/>
      <c r="L270" s="7"/>
      <c r="M270" s="14">
        <v>550</v>
      </c>
      <c r="N270" s="14">
        <v>550</v>
      </c>
      <c r="O270" s="14">
        <v>550</v>
      </c>
      <c r="P270" s="7"/>
      <c r="Q270" s="7"/>
      <c r="R270" s="14">
        <v>550</v>
      </c>
      <c r="S270" s="7"/>
      <c r="T270" s="7"/>
      <c r="U270" s="7"/>
      <c r="V270" s="14">
        <v>550</v>
      </c>
      <c r="W270" s="14">
        <v>550</v>
      </c>
      <c r="X270" s="7"/>
      <c r="Y270" s="7"/>
      <c r="Z270" s="7"/>
      <c r="AA270" s="7"/>
      <c r="AC270" s="70" t="str">
        <f t="shared" si="7"/>
        <v/>
      </c>
      <c r="AD270" s="75" t="str">
        <f t="shared" si="8"/>
        <v/>
      </c>
      <c r="AH270" t="s">
        <v>3567</v>
      </c>
    </row>
    <row r="271" spans="1:34" outlineLevel="7">
      <c r="A271" s="3499" t="s">
        <v>1599</v>
      </c>
      <c r="B271" s="3499"/>
      <c r="C271" s="7"/>
      <c r="D271" s="7"/>
      <c r="E271" s="14">
        <v>550</v>
      </c>
      <c r="F271" s="7"/>
      <c r="G271" s="7"/>
      <c r="H271" s="8"/>
      <c r="I271" s="9"/>
      <c r="J271" s="7"/>
      <c r="K271" s="7"/>
      <c r="L271" s="7"/>
      <c r="M271" s="14">
        <v>550</v>
      </c>
      <c r="N271" s="14">
        <v>550</v>
      </c>
      <c r="O271" s="14">
        <v>550</v>
      </c>
      <c r="P271" s="7"/>
      <c r="Q271" s="7"/>
      <c r="R271" s="14">
        <v>550</v>
      </c>
      <c r="S271" s="7"/>
      <c r="T271" s="7"/>
      <c r="U271" s="7"/>
      <c r="V271" s="14">
        <v>550</v>
      </c>
      <c r="W271" s="14">
        <v>550</v>
      </c>
      <c r="X271" s="7"/>
      <c r="Y271" s="7"/>
      <c r="Z271" s="7"/>
      <c r="AA271" s="7"/>
      <c r="AC271" s="70">
        <f t="shared" si="7"/>
        <v>550</v>
      </c>
      <c r="AD271" s="75">
        <f t="shared" si="8"/>
        <v>1</v>
      </c>
    </row>
    <row r="272" spans="1:34" outlineLevel="6">
      <c r="A272" s="3501" t="s">
        <v>216</v>
      </c>
      <c r="B272" s="3501"/>
      <c r="C272" s="7"/>
      <c r="D272" s="7"/>
      <c r="E272" s="14">
        <v>550</v>
      </c>
      <c r="F272" s="7"/>
      <c r="G272" s="7"/>
      <c r="H272" s="8"/>
      <c r="I272" s="9"/>
      <c r="J272" s="7"/>
      <c r="K272" s="7"/>
      <c r="L272" s="7"/>
      <c r="M272" s="14">
        <v>550</v>
      </c>
      <c r="N272" s="14">
        <v>550</v>
      </c>
      <c r="O272" s="14">
        <v>550</v>
      </c>
      <c r="P272" s="7"/>
      <c r="Q272" s="7"/>
      <c r="R272" s="14">
        <v>550</v>
      </c>
      <c r="S272" s="7"/>
      <c r="T272" s="7"/>
      <c r="U272" s="7"/>
      <c r="V272" s="14">
        <v>550</v>
      </c>
      <c r="W272" s="14">
        <v>550</v>
      </c>
      <c r="X272" s="7"/>
      <c r="Y272" s="7"/>
      <c r="Z272" s="7"/>
      <c r="AA272" s="7"/>
      <c r="AC272" s="70" t="str">
        <f t="shared" si="7"/>
        <v/>
      </c>
      <c r="AD272" s="75" t="str">
        <f t="shared" si="8"/>
        <v/>
      </c>
    </row>
    <row r="273" spans="1:36" outlineLevel="7">
      <c r="A273" s="3500" t="s">
        <v>217</v>
      </c>
      <c r="B273" s="3500"/>
      <c r="C273" s="7"/>
      <c r="D273" s="7"/>
      <c r="E273" s="14">
        <v>550</v>
      </c>
      <c r="F273" s="7"/>
      <c r="G273" s="7"/>
      <c r="H273" s="8"/>
      <c r="I273" s="9"/>
      <c r="J273" s="7"/>
      <c r="K273" s="7"/>
      <c r="L273" s="7"/>
      <c r="M273" s="14">
        <v>550</v>
      </c>
      <c r="N273" s="14">
        <v>550</v>
      </c>
      <c r="O273" s="14">
        <v>550</v>
      </c>
      <c r="P273" s="7"/>
      <c r="Q273" s="7"/>
      <c r="R273" s="14">
        <v>550</v>
      </c>
      <c r="S273" s="7"/>
      <c r="T273" s="7"/>
      <c r="U273" s="7"/>
      <c r="V273" s="14">
        <v>550</v>
      </c>
      <c r="W273" s="14">
        <v>550</v>
      </c>
      <c r="X273" s="7"/>
      <c r="Y273" s="7"/>
      <c r="Z273" s="7"/>
      <c r="AA273" s="7"/>
      <c r="AC273" s="70" t="str">
        <f t="shared" ref="AC273:AC336" si="9">IF(LEFT($A273,5)="Реали",$E273,"")</f>
        <v/>
      </c>
      <c r="AD273" s="75" t="str">
        <f t="shared" ref="AD273:AD336" si="10">IF(AC273=550,1,"")</f>
        <v/>
      </c>
      <c r="AH273" t="s">
        <v>3364</v>
      </c>
    </row>
    <row r="274" spans="1:36" outlineLevel="7">
      <c r="A274" s="3499" t="s">
        <v>1600</v>
      </c>
      <c r="B274" s="3499"/>
      <c r="C274" s="7"/>
      <c r="D274" s="7"/>
      <c r="E274" s="14">
        <v>550</v>
      </c>
      <c r="F274" s="7"/>
      <c r="G274" s="7"/>
      <c r="H274" s="8"/>
      <c r="I274" s="9"/>
      <c r="J274" s="7"/>
      <c r="K274" s="7"/>
      <c r="L274" s="7"/>
      <c r="M274" s="14">
        <v>550</v>
      </c>
      <c r="N274" s="14">
        <v>550</v>
      </c>
      <c r="O274" s="14">
        <v>550</v>
      </c>
      <c r="P274" s="7"/>
      <c r="Q274" s="7"/>
      <c r="R274" s="14">
        <v>550</v>
      </c>
      <c r="S274" s="7"/>
      <c r="T274" s="7"/>
      <c r="U274" s="7"/>
      <c r="V274" s="14">
        <v>550</v>
      </c>
      <c r="W274" s="14">
        <v>550</v>
      </c>
      <c r="X274" s="7"/>
      <c r="Y274" s="7"/>
      <c r="Z274" s="7"/>
      <c r="AA274" s="7"/>
      <c r="AC274" s="70">
        <f t="shared" si="9"/>
        <v>550</v>
      </c>
      <c r="AD274" s="75">
        <f t="shared" si="10"/>
        <v>1</v>
      </c>
    </row>
    <row r="275" spans="1:36" outlineLevel="6">
      <c r="A275" s="3501" t="s">
        <v>218</v>
      </c>
      <c r="B275" s="3501"/>
      <c r="C275" s="7"/>
      <c r="D275" s="7"/>
      <c r="E275" s="14">
        <v>550</v>
      </c>
      <c r="F275" s="7"/>
      <c r="G275" s="7"/>
      <c r="H275" s="8"/>
      <c r="I275" s="9"/>
      <c r="J275" s="7"/>
      <c r="K275" s="7"/>
      <c r="L275" s="7"/>
      <c r="M275" s="14">
        <v>550</v>
      </c>
      <c r="N275" s="14">
        <v>550</v>
      </c>
      <c r="O275" s="14">
        <v>550</v>
      </c>
      <c r="P275" s="7"/>
      <c r="Q275" s="7"/>
      <c r="R275" s="14">
        <v>550</v>
      </c>
      <c r="S275" s="7"/>
      <c r="T275" s="7"/>
      <c r="U275" s="7"/>
      <c r="V275" s="14">
        <v>550</v>
      </c>
      <c r="W275" s="14">
        <v>550</v>
      </c>
      <c r="X275" s="7"/>
      <c r="Y275" s="7"/>
      <c r="Z275" s="7"/>
      <c r="AA275" s="7"/>
      <c r="AC275" s="70" t="str">
        <f t="shared" si="9"/>
        <v/>
      </c>
      <c r="AD275" s="75" t="str">
        <f t="shared" si="10"/>
        <v/>
      </c>
    </row>
    <row r="276" spans="1:36" outlineLevel="7">
      <c r="A276" s="3500" t="s">
        <v>219</v>
      </c>
      <c r="B276" s="3500"/>
      <c r="C276" s="7"/>
      <c r="D276" s="7"/>
      <c r="E276" s="14">
        <v>550</v>
      </c>
      <c r="F276" s="7"/>
      <c r="G276" s="7"/>
      <c r="H276" s="8"/>
      <c r="I276" s="9"/>
      <c r="J276" s="7"/>
      <c r="K276" s="7"/>
      <c r="L276" s="7"/>
      <c r="M276" s="14">
        <v>550</v>
      </c>
      <c r="N276" s="14">
        <v>550</v>
      </c>
      <c r="O276" s="14">
        <v>550</v>
      </c>
      <c r="P276" s="7"/>
      <c r="Q276" s="7"/>
      <c r="R276" s="14">
        <v>550</v>
      </c>
      <c r="S276" s="7"/>
      <c r="T276" s="7"/>
      <c r="U276" s="7"/>
      <c r="V276" s="14">
        <v>550</v>
      </c>
      <c r="W276" s="14">
        <v>550</v>
      </c>
      <c r="X276" s="7"/>
      <c r="Y276" s="7"/>
      <c r="Z276" s="7"/>
      <c r="AA276" s="7"/>
      <c r="AC276" s="70" t="str">
        <f t="shared" si="9"/>
        <v/>
      </c>
      <c r="AD276" s="75" t="str">
        <f t="shared" si="10"/>
        <v/>
      </c>
      <c r="AH276" t="s">
        <v>3372</v>
      </c>
    </row>
    <row r="277" spans="1:36" outlineLevel="7">
      <c r="A277" s="3499" t="s">
        <v>1601</v>
      </c>
      <c r="B277" s="3499"/>
      <c r="C277" s="7"/>
      <c r="D277" s="7"/>
      <c r="E277" s="14">
        <v>550</v>
      </c>
      <c r="F277" s="7"/>
      <c r="G277" s="7"/>
      <c r="H277" s="8"/>
      <c r="I277" s="9"/>
      <c r="J277" s="7"/>
      <c r="K277" s="7"/>
      <c r="L277" s="7"/>
      <c r="M277" s="14">
        <v>550</v>
      </c>
      <c r="N277" s="14">
        <v>550</v>
      </c>
      <c r="O277" s="14">
        <v>550</v>
      </c>
      <c r="P277" s="7"/>
      <c r="Q277" s="7"/>
      <c r="R277" s="14">
        <v>550</v>
      </c>
      <c r="S277" s="7"/>
      <c r="T277" s="7"/>
      <c r="U277" s="7"/>
      <c r="V277" s="14">
        <v>550</v>
      </c>
      <c r="W277" s="14">
        <v>550</v>
      </c>
      <c r="X277" s="7"/>
      <c r="Y277" s="7"/>
      <c r="Z277" s="7"/>
      <c r="AA277" s="7"/>
      <c r="AC277" s="70">
        <f t="shared" si="9"/>
        <v>550</v>
      </c>
      <c r="AD277" s="75">
        <f t="shared" si="10"/>
        <v>1</v>
      </c>
    </row>
    <row r="278" spans="1:36" outlineLevel="6">
      <c r="A278" s="3501" t="s">
        <v>220</v>
      </c>
      <c r="B278" s="3501"/>
      <c r="C278" s="7"/>
      <c r="D278" s="7"/>
      <c r="E278" s="13">
        <v>8004.41</v>
      </c>
      <c r="F278" s="7"/>
      <c r="G278" s="7"/>
      <c r="H278" s="8"/>
      <c r="I278" s="9"/>
      <c r="J278" s="7"/>
      <c r="K278" s="7"/>
      <c r="L278" s="7"/>
      <c r="M278" s="13">
        <v>8004.41</v>
      </c>
      <c r="N278" s="13">
        <v>8004.41</v>
      </c>
      <c r="O278" s="13">
        <v>8004.41</v>
      </c>
      <c r="P278" s="7"/>
      <c r="Q278" s="7"/>
      <c r="R278" s="13">
        <v>8004.41</v>
      </c>
      <c r="S278" s="7"/>
      <c r="T278" s="7"/>
      <c r="U278" s="13">
        <v>8004.41</v>
      </c>
      <c r="V278" s="7"/>
      <c r="W278" s="7"/>
      <c r="X278" s="7"/>
      <c r="Y278" s="7"/>
      <c r="Z278" s="7"/>
      <c r="AA278" s="7"/>
      <c r="AC278" s="70" t="str">
        <f t="shared" si="9"/>
        <v/>
      </c>
      <c r="AD278" s="75" t="str">
        <f t="shared" si="10"/>
        <v/>
      </c>
    </row>
    <row r="279" spans="1:36" outlineLevel="7">
      <c r="A279" s="3500" t="s">
        <v>221</v>
      </c>
      <c r="B279" s="3500"/>
      <c r="C279" s="7"/>
      <c r="D279" s="7"/>
      <c r="E279" s="13">
        <v>8004.41</v>
      </c>
      <c r="F279" s="7"/>
      <c r="G279" s="7"/>
      <c r="H279" s="8"/>
      <c r="I279" s="9"/>
      <c r="J279" s="7"/>
      <c r="K279" s="7"/>
      <c r="L279" s="7"/>
      <c r="M279" s="13">
        <v>8004.41</v>
      </c>
      <c r="N279" s="13">
        <v>8004.41</v>
      </c>
      <c r="O279" s="13">
        <v>8004.41</v>
      </c>
      <c r="P279" s="7"/>
      <c r="Q279" s="7"/>
      <c r="R279" s="13">
        <v>8004.41</v>
      </c>
      <c r="S279" s="7"/>
      <c r="T279" s="7"/>
      <c r="U279" s="13">
        <v>8004.41</v>
      </c>
      <c r="V279" s="7"/>
      <c r="W279" s="7"/>
      <c r="X279" s="7"/>
      <c r="Y279" s="7"/>
      <c r="Z279" s="7"/>
      <c r="AA279" s="7"/>
      <c r="AC279" s="70" t="str">
        <f t="shared" si="9"/>
        <v/>
      </c>
      <c r="AD279" s="75" t="str">
        <f t="shared" si="10"/>
        <v/>
      </c>
      <c r="AH279" s="1" t="s">
        <v>3617</v>
      </c>
      <c r="AJ279" s="1"/>
    </row>
    <row r="280" spans="1:36" outlineLevel="7">
      <c r="A280" s="3499" t="s">
        <v>1602</v>
      </c>
      <c r="B280" s="3499"/>
      <c r="C280" s="7"/>
      <c r="D280" s="7"/>
      <c r="E280" s="13">
        <v>8004.41</v>
      </c>
      <c r="F280" s="7"/>
      <c r="G280" s="7"/>
      <c r="H280" s="8"/>
      <c r="I280" s="9"/>
      <c r="J280" s="7"/>
      <c r="K280" s="7"/>
      <c r="L280" s="7"/>
      <c r="M280" s="13">
        <v>8004.41</v>
      </c>
      <c r="N280" s="13">
        <v>8004.41</v>
      </c>
      <c r="O280" s="13">
        <v>8004.41</v>
      </c>
      <c r="P280" s="7"/>
      <c r="Q280" s="7"/>
      <c r="R280" s="13">
        <v>8004.41</v>
      </c>
      <c r="S280" s="7"/>
      <c r="T280" s="7"/>
      <c r="U280" s="13">
        <v>8004.41</v>
      </c>
      <c r="V280" s="7"/>
      <c r="W280" s="7"/>
      <c r="X280" s="7"/>
      <c r="Y280" s="7"/>
      <c r="Z280" s="7"/>
      <c r="AA280" s="7"/>
      <c r="AC280" s="70">
        <f t="shared" si="9"/>
        <v>8004.41</v>
      </c>
      <c r="AD280" s="75" t="str">
        <f t="shared" si="10"/>
        <v/>
      </c>
      <c r="AG280">
        <f>AC280</f>
        <v>8004.41</v>
      </c>
      <c r="AH280" s="27"/>
    </row>
    <row r="281" spans="1:36" outlineLevel="6">
      <c r="A281" s="3501" t="s">
        <v>222</v>
      </c>
      <c r="B281" s="3501"/>
      <c r="C281" s="7"/>
      <c r="D281" s="7"/>
      <c r="E281" s="14">
        <v>550</v>
      </c>
      <c r="F281" s="7"/>
      <c r="G281" s="7"/>
      <c r="H281" s="8"/>
      <c r="I281" s="9"/>
      <c r="J281" s="7"/>
      <c r="K281" s="7"/>
      <c r="L281" s="7"/>
      <c r="M281" s="14">
        <v>550</v>
      </c>
      <c r="N281" s="14">
        <v>550</v>
      </c>
      <c r="O281" s="14">
        <v>550</v>
      </c>
      <c r="P281" s="7"/>
      <c r="Q281" s="7"/>
      <c r="R281" s="14">
        <v>550</v>
      </c>
      <c r="S281" s="7"/>
      <c r="T281" s="7"/>
      <c r="U281" s="7"/>
      <c r="V281" s="14">
        <v>550</v>
      </c>
      <c r="W281" s="14">
        <v>550</v>
      </c>
      <c r="X281" s="7"/>
      <c r="Y281" s="7"/>
      <c r="Z281" s="7"/>
      <c r="AA281" s="7"/>
      <c r="AC281" s="70" t="str">
        <f t="shared" si="9"/>
        <v/>
      </c>
      <c r="AD281" s="75" t="str">
        <f t="shared" si="10"/>
        <v/>
      </c>
    </row>
    <row r="282" spans="1:36" outlineLevel="7">
      <c r="A282" s="3500" t="s">
        <v>223</v>
      </c>
      <c r="B282" s="3500"/>
      <c r="C282" s="7"/>
      <c r="D282" s="7"/>
      <c r="E282" s="14">
        <v>550</v>
      </c>
      <c r="F282" s="7"/>
      <c r="G282" s="7"/>
      <c r="H282" s="8"/>
      <c r="I282" s="9"/>
      <c r="J282" s="7"/>
      <c r="K282" s="7"/>
      <c r="L282" s="7"/>
      <c r="M282" s="14">
        <v>550</v>
      </c>
      <c r="N282" s="14">
        <v>550</v>
      </c>
      <c r="O282" s="14">
        <v>550</v>
      </c>
      <c r="P282" s="7"/>
      <c r="Q282" s="7"/>
      <c r="R282" s="14">
        <v>550</v>
      </c>
      <c r="S282" s="7"/>
      <c r="T282" s="7"/>
      <c r="U282" s="7"/>
      <c r="V282" s="14">
        <v>550</v>
      </c>
      <c r="W282" s="14">
        <v>550</v>
      </c>
      <c r="X282" s="7"/>
      <c r="Y282" s="7"/>
      <c r="Z282" s="7"/>
      <c r="AA282" s="7"/>
      <c r="AC282" s="70" t="str">
        <f t="shared" si="9"/>
        <v/>
      </c>
      <c r="AD282" s="75" t="str">
        <f t="shared" si="10"/>
        <v/>
      </c>
      <c r="AH282" t="s">
        <v>3368</v>
      </c>
    </row>
    <row r="283" spans="1:36" outlineLevel="7">
      <c r="A283" s="3499" t="s">
        <v>1603</v>
      </c>
      <c r="B283" s="3499"/>
      <c r="C283" s="7"/>
      <c r="D283" s="7"/>
      <c r="E283" s="14">
        <v>550</v>
      </c>
      <c r="F283" s="7"/>
      <c r="G283" s="7"/>
      <c r="H283" s="8"/>
      <c r="I283" s="9"/>
      <c r="J283" s="7"/>
      <c r="K283" s="7"/>
      <c r="L283" s="7"/>
      <c r="M283" s="14">
        <v>550</v>
      </c>
      <c r="N283" s="14">
        <v>550</v>
      </c>
      <c r="O283" s="14">
        <v>550</v>
      </c>
      <c r="P283" s="7"/>
      <c r="Q283" s="7"/>
      <c r="R283" s="14">
        <v>550</v>
      </c>
      <c r="S283" s="7"/>
      <c r="T283" s="7"/>
      <c r="U283" s="7"/>
      <c r="V283" s="14">
        <v>550</v>
      </c>
      <c r="W283" s="14">
        <v>550</v>
      </c>
      <c r="X283" s="7"/>
      <c r="Y283" s="7"/>
      <c r="Z283" s="7"/>
      <c r="AA283" s="7"/>
      <c r="AC283" s="70">
        <f t="shared" si="9"/>
        <v>550</v>
      </c>
      <c r="AD283" s="75">
        <f t="shared" si="10"/>
        <v>1</v>
      </c>
    </row>
    <row r="284" spans="1:36" outlineLevel="6">
      <c r="A284" s="3501" t="s">
        <v>224</v>
      </c>
      <c r="B284" s="3501"/>
      <c r="C284" s="7"/>
      <c r="D284" s="7"/>
      <c r="E284" s="14">
        <v>550</v>
      </c>
      <c r="F284" s="7"/>
      <c r="G284" s="7"/>
      <c r="H284" s="8"/>
      <c r="I284" s="9"/>
      <c r="J284" s="7"/>
      <c r="K284" s="7"/>
      <c r="L284" s="7"/>
      <c r="M284" s="14">
        <v>550</v>
      </c>
      <c r="N284" s="14">
        <v>550</v>
      </c>
      <c r="O284" s="14">
        <v>550</v>
      </c>
      <c r="P284" s="7"/>
      <c r="Q284" s="7"/>
      <c r="R284" s="14">
        <v>550</v>
      </c>
      <c r="S284" s="7"/>
      <c r="T284" s="7"/>
      <c r="U284" s="7"/>
      <c r="V284" s="14">
        <v>550</v>
      </c>
      <c r="W284" s="14">
        <v>550</v>
      </c>
      <c r="X284" s="7"/>
      <c r="Y284" s="7"/>
      <c r="Z284" s="7"/>
      <c r="AA284" s="7"/>
      <c r="AC284" s="70" t="str">
        <f t="shared" si="9"/>
        <v/>
      </c>
      <c r="AD284" s="75" t="str">
        <f t="shared" si="10"/>
        <v/>
      </c>
    </row>
    <row r="285" spans="1:36" outlineLevel="7">
      <c r="A285" s="3500" t="s">
        <v>225</v>
      </c>
      <c r="B285" s="3500"/>
      <c r="C285" s="7"/>
      <c r="D285" s="7"/>
      <c r="E285" s="14">
        <v>550</v>
      </c>
      <c r="F285" s="7"/>
      <c r="G285" s="7"/>
      <c r="H285" s="8"/>
      <c r="I285" s="9"/>
      <c r="J285" s="7"/>
      <c r="K285" s="7"/>
      <c r="L285" s="7"/>
      <c r="M285" s="14">
        <v>550</v>
      </c>
      <c r="N285" s="14">
        <v>550</v>
      </c>
      <c r="O285" s="14">
        <v>550</v>
      </c>
      <c r="P285" s="7"/>
      <c r="Q285" s="7"/>
      <c r="R285" s="14">
        <v>550</v>
      </c>
      <c r="S285" s="7"/>
      <c r="T285" s="7"/>
      <c r="U285" s="7"/>
      <c r="V285" s="14">
        <v>550</v>
      </c>
      <c r="W285" s="14">
        <v>550</v>
      </c>
      <c r="X285" s="7"/>
      <c r="Y285" s="7"/>
      <c r="Z285" s="7"/>
      <c r="AA285" s="7"/>
      <c r="AC285" s="70" t="str">
        <f t="shared" si="9"/>
        <v/>
      </c>
      <c r="AD285" s="75" t="str">
        <f t="shared" si="10"/>
        <v/>
      </c>
      <c r="AH285" t="s">
        <v>3472</v>
      </c>
    </row>
    <row r="286" spans="1:36" outlineLevel="7">
      <c r="A286" s="3499" t="s">
        <v>1604</v>
      </c>
      <c r="B286" s="3499"/>
      <c r="C286" s="7"/>
      <c r="D286" s="7"/>
      <c r="E286" s="14">
        <v>550</v>
      </c>
      <c r="F286" s="7"/>
      <c r="G286" s="7"/>
      <c r="H286" s="8"/>
      <c r="I286" s="9"/>
      <c r="J286" s="7"/>
      <c r="K286" s="7"/>
      <c r="L286" s="7"/>
      <c r="M286" s="14">
        <v>550</v>
      </c>
      <c r="N286" s="14">
        <v>550</v>
      </c>
      <c r="O286" s="14">
        <v>550</v>
      </c>
      <c r="P286" s="7"/>
      <c r="Q286" s="7"/>
      <c r="R286" s="14">
        <v>550</v>
      </c>
      <c r="S286" s="7"/>
      <c r="T286" s="7"/>
      <c r="U286" s="7"/>
      <c r="V286" s="14">
        <v>550</v>
      </c>
      <c r="W286" s="14">
        <v>550</v>
      </c>
      <c r="X286" s="7"/>
      <c r="Y286" s="7"/>
      <c r="Z286" s="7"/>
      <c r="AA286" s="7"/>
      <c r="AC286" s="70">
        <f t="shared" si="9"/>
        <v>550</v>
      </c>
      <c r="AD286" s="75">
        <f t="shared" si="10"/>
        <v>1</v>
      </c>
    </row>
    <row r="287" spans="1:36" outlineLevel="6">
      <c r="A287" s="3501" t="s">
        <v>226</v>
      </c>
      <c r="B287" s="3501"/>
      <c r="C287" s="7"/>
      <c r="D287" s="7"/>
      <c r="E287" s="14">
        <v>550</v>
      </c>
      <c r="F287" s="7"/>
      <c r="G287" s="7"/>
      <c r="H287" s="8"/>
      <c r="I287" s="9"/>
      <c r="J287" s="7"/>
      <c r="K287" s="7"/>
      <c r="L287" s="7"/>
      <c r="M287" s="14">
        <v>550</v>
      </c>
      <c r="N287" s="14">
        <v>550</v>
      </c>
      <c r="O287" s="14">
        <v>550</v>
      </c>
      <c r="P287" s="7"/>
      <c r="Q287" s="7"/>
      <c r="R287" s="14">
        <v>550</v>
      </c>
      <c r="S287" s="7"/>
      <c r="T287" s="7"/>
      <c r="U287" s="7"/>
      <c r="V287" s="14">
        <v>550</v>
      </c>
      <c r="W287" s="14">
        <v>550</v>
      </c>
      <c r="X287" s="7"/>
      <c r="Y287" s="7"/>
      <c r="Z287" s="7"/>
      <c r="AA287" s="7"/>
      <c r="AC287" s="70" t="str">
        <f t="shared" si="9"/>
        <v/>
      </c>
      <c r="AD287" s="75" t="str">
        <f t="shared" si="10"/>
        <v/>
      </c>
    </row>
    <row r="288" spans="1:36" outlineLevel="7">
      <c r="A288" s="3500" t="s">
        <v>227</v>
      </c>
      <c r="B288" s="3500"/>
      <c r="C288" s="7"/>
      <c r="D288" s="7"/>
      <c r="E288" s="14">
        <v>550</v>
      </c>
      <c r="F288" s="7"/>
      <c r="G288" s="7"/>
      <c r="H288" s="8"/>
      <c r="I288" s="9"/>
      <c r="J288" s="7"/>
      <c r="K288" s="7"/>
      <c r="L288" s="7"/>
      <c r="M288" s="14">
        <v>550</v>
      </c>
      <c r="N288" s="14">
        <v>550</v>
      </c>
      <c r="O288" s="14">
        <v>550</v>
      </c>
      <c r="P288" s="7"/>
      <c r="Q288" s="7"/>
      <c r="R288" s="14">
        <v>550</v>
      </c>
      <c r="S288" s="7"/>
      <c r="T288" s="7"/>
      <c r="U288" s="7"/>
      <c r="V288" s="14">
        <v>550</v>
      </c>
      <c r="W288" s="14">
        <v>550</v>
      </c>
      <c r="X288" s="7"/>
      <c r="Y288" s="7"/>
      <c r="Z288" s="7"/>
      <c r="AA288" s="7"/>
      <c r="AC288" s="70" t="str">
        <f t="shared" si="9"/>
        <v/>
      </c>
      <c r="AD288" s="75" t="str">
        <f t="shared" si="10"/>
        <v/>
      </c>
      <c r="AH288" t="s">
        <v>3545</v>
      </c>
    </row>
    <row r="289" spans="1:34" outlineLevel="7">
      <c r="A289" s="3499" t="s">
        <v>1605</v>
      </c>
      <c r="B289" s="3499"/>
      <c r="C289" s="7"/>
      <c r="D289" s="7"/>
      <c r="E289" s="14">
        <v>550</v>
      </c>
      <c r="F289" s="7"/>
      <c r="G289" s="7"/>
      <c r="H289" s="8"/>
      <c r="I289" s="9"/>
      <c r="J289" s="7"/>
      <c r="K289" s="7"/>
      <c r="L289" s="7"/>
      <c r="M289" s="14">
        <v>550</v>
      </c>
      <c r="N289" s="14">
        <v>550</v>
      </c>
      <c r="O289" s="14">
        <v>550</v>
      </c>
      <c r="P289" s="7"/>
      <c r="Q289" s="7"/>
      <c r="R289" s="14">
        <v>550</v>
      </c>
      <c r="S289" s="7"/>
      <c r="T289" s="7"/>
      <c r="U289" s="7"/>
      <c r="V289" s="14">
        <v>550</v>
      </c>
      <c r="W289" s="14">
        <v>550</v>
      </c>
      <c r="X289" s="7"/>
      <c r="Y289" s="7"/>
      <c r="Z289" s="7"/>
      <c r="AA289" s="7"/>
      <c r="AC289" s="70">
        <f t="shared" si="9"/>
        <v>550</v>
      </c>
      <c r="AD289" s="75">
        <f t="shared" si="10"/>
        <v>1</v>
      </c>
    </row>
    <row r="290" spans="1:34" outlineLevel="6">
      <c r="A290" s="3501" t="s">
        <v>228</v>
      </c>
      <c r="B290" s="3501"/>
      <c r="C290" s="7"/>
      <c r="D290" s="7"/>
      <c r="E290" s="14">
        <v>550</v>
      </c>
      <c r="F290" s="7"/>
      <c r="G290" s="7"/>
      <c r="H290" s="8"/>
      <c r="I290" s="9"/>
      <c r="J290" s="7"/>
      <c r="K290" s="7"/>
      <c r="L290" s="7"/>
      <c r="M290" s="14">
        <v>550</v>
      </c>
      <c r="N290" s="14">
        <v>550</v>
      </c>
      <c r="O290" s="14">
        <v>550</v>
      </c>
      <c r="P290" s="7"/>
      <c r="Q290" s="7"/>
      <c r="R290" s="14">
        <v>550</v>
      </c>
      <c r="S290" s="7"/>
      <c r="T290" s="7"/>
      <c r="U290" s="7"/>
      <c r="V290" s="14">
        <v>550</v>
      </c>
      <c r="W290" s="14">
        <v>550</v>
      </c>
      <c r="X290" s="7"/>
      <c r="Y290" s="7"/>
      <c r="Z290" s="7"/>
      <c r="AA290" s="7"/>
      <c r="AC290" s="70" t="str">
        <f t="shared" si="9"/>
        <v/>
      </c>
      <c r="AD290" s="75" t="str">
        <f t="shared" si="10"/>
        <v/>
      </c>
    </row>
    <row r="291" spans="1:34" outlineLevel="7">
      <c r="A291" s="3500" t="s">
        <v>229</v>
      </c>
      <c r="B291" s="3500"/>
      <c r="C291" s="7"/>
      <c r="D291" s="7"/>
      <c r="E291" s="14">
        <v>550</v>
      </c>
      <c r="F291" s="7"/>
      <c r="G291" s="7"/>
      <c r="H291" s="8"/>
      <c r="I291" s="9"/>
      <c r="J291" s="7"/>
      <c r="K291" s="7"/>
      <c r="L291" s="7"/>
      <c r="M291" s="14">
        <v>550</v>
      </c>
      <c r="N291" s="14">
        <v>550</v>
      </c>
      <c r="O291" s="14">
        <v>550</v>
      </c>
      <c r="P291" s="7"/>
      <c r="Q291" s="7"/>
      <c r="R291" s="14">
        <v>550</v>
      </c>
      <c r="S291" s="7"/>
      <c r="T291" s="7"/>
      <c r="U291" s="7"/>
      <c r="V291" s="14">
        <v>550</v>
      </c>
      <c r="W291" s="14">
        <v>550</v>
      </c>
      <c r="X291" s="7"/>
      <c r="Y291" s="7"/>
      <c r="Z291" s="7"/>
      <c r="AA291" s="7"/>
      <c r="AC291" s="70" t="str">
        <f t="shared" si="9"/>
        <v/>
      </c>
      <c r="AD291" s="75" t="str">
        <f t="shared" si="10"/>
        <v/>
      </c>
      <c r="AH291" t="s">
        <v>3525</v>
      </c>
    </row>
    <row r="292" spans="1:34" outlineLevel="7">
      <c r="A292" s="3499" t="s">
        <v>1606</v>
      </c>
      <c r="B292" s="3499"/>
      <c r="C292" s="7"/>
      <c r="D292" s="7"/>
      <c r="E292" s="14">
        <v>550</v>
      </c>
      <c r="F292" s="7"/>
      <c r="G292" s="7"/>
      <c r="H292" s="8"/>
      <c r="I292" s="9"/>
      <c r="J292" s="7"/>
      <c r="K292" s="7"/>
      <c r="L292" s="7"/>
      <c r="M292" s="14">
        <v>550</v>
      </c>
      <c r="N292" s="14">
        <v>550</v>
      </c>
      <c r="O292" s="14">
        <v>550</v>
      </c>
      <c r="P292" s="7"/>
      <c r="Q292" s="7"/>
      <c r="R292" s="14">
        <v>550</v>
      </c>
      <c r="S292" s="7"/>
      <c r="T292" s="7"/>
      <c r="U292" s="7"/>
      <c r="V292" s="14">
        <v>550</v>
      </c>
      <c r="W292" s="14">
        <v>550</v>
      </c>
      <c r="X292" s="7"/>
      <c r="Y292" s="7"/>
      <c r="Z292" s="7"/>
      <c r="AA292" s="7"/>
      <c r="AC292" s="70">
        <f t="shared" si="9"/>
        <v>550</v>
      </c>
      <c r="AD292" s="75">
        <f t="shared" si="10"/>
        <v>1</v>
      </c>
    </row>
    <row r="293" spans="1:34" outlineLevel="6">
      <c r="A293" s="3509" t="s">
        <v>230</v>
      </c>
      <c r="B293" s="3509"/>
      <c r="C293" s="71"/>
      <c r="D293" s="71"/>
      <c r="E293" s="72">
        <v>550</v>
      </c>
      <c r="F293" s="71"/>
      <c r="G293" s="71"/>
      <c r="H293" s="73"/>
      <c r="I293" s="74"/>
      <c r="J293" s="71"/>
      <c r="K293" s="71"/>
      <c r="L293" s="71"/>
      <c r="M293" s="72">
        <v>550</v>
      </c>
      <c r="N293" s="72">
        <v>550</v>
      </c>
      <c r="O293" s="72">
        <v>550</v>
      </c>
      <c r="P293" s="71"/>
      <c r="Q293" s="71"/>
      <c r="R293" s="72">
        <v>550</v>
      </c>
      <c r="S293" s="7"/>
      <c r="T293" s="7"/>
      <c r="U293" s="7"/>
      <c r="V293" s="14">
        <v>550</v>
      </c>
      <c r="W293" s="14">
        <v>550</v>
      </c>
      <c r="X293" s="7"/>
      <c r="Y293" s="7"/>
      <c r="Z293" s="7"/>
      <c r="AA293" s="7"/>
      <c r="AC293" s="70" t="str">
        <f t="shared" si="9"/>
        <v/>
      </c>
      <c r="AD293" s="75" t="str">
        <f t="shared" si="10"/>
        <v/>
      </c>
    </row>
    <row r="294" spans="1:34" outlineLevel="7">
      <c r="A294" s="3507" t="s">
        <v>231</v>
      </c>
      <c r="B294" s="3507"/>
      <c r="C294" s="71"/>
      <c r="D294" s="71"/>
      <c r="E294" s="72">
        <v>550</v>
      </c>
      <c r="F294" s="71"/>
      <c r="G294" s="71"/>
      <c r="H294" s="73"/>
      <c r="I294" s="74"/>
      <c r="J294" s="71"/>
      <c r="K294" s="71"/>
      <c r="L294" s="71"/>
      <c r="M294" s="72">
        <v>550</v>
      </c>
      <c r="N294" s="72">
        <v>550</v>
      </c>
      <c r="O294" s="72">
        <v>550</v>
      </c>
      <c r="P294" s="71"/>
      <c r="Q294" s="71"/>
      <c r="R294" s="72">
        <v>550</v>
      </c>
      <c r="S294" s="7"/>
      <c r="T294" s="7"/>
      <c r="U294" s="7"/>
      <c r="V294" s="14">
        <v>550</v>
      </c>
      <c r="W294" s="14">
        <v>550</v>
      </c>
      <c r="X294" s="7"/>
      <c r="Y294" s="7"/>
      <c r="Z294" s="7"/>
      <c r="AA294" s="7"/>
      <c r="AC294" s="70" t="str">
        <f t="shared" si="9"/>
        <v/>
      </c>
      <c r="AD294" s="75" t="str">
        <f t="shared" si="10"/>
        <v/>
      </c>
      <c r="AH294" t="s">
        <v>3533</v>
      </c>
    </row>
    <row r="295" spans="1:34" outlineLevel="7">
      <c r="A295" s="3508" t="s">
        <v>1607</v>
      </c>
      <c r="B295" s="3508"/>
      <c r="C295" s="71"/>
      <c r="D295" s="71"/>
      <c r="E295" s="72">
        <v>550</v>
      </c>
      <c r="F295" s="71"/>
      <c r="G295" s="71"/>
      <c r="H295" s="73"/>
      <c r="I295" s="74"/>
      <c r="J295" s="71"/>
      <c r="K295" s="71"/>
      <c r="L295" s="71"/>
      <c r="M295" s="72">
        <v>550</v>
      </c>
      <c r="N295" s="72">
        <v>550</v>
      </c>
      <c r="O295" s="72">
        <v>550</v>
      </c>
      <c r="P295" s="71"/>
      <c r="Q295" s="71"/>
      <c r="R295" s="72">
        <v>550</v>
      </c>
      <c r="S295" s="7"/>
      <c r="T295" s="7"/>
      <c r="U295" s="7"/>
      <c r="V295" s="14">
        <v>550</v>
      </c>
      <c r="W295" s="14">
        <v>550</v>
      </c>
      <c r="X295" s="7"/>
      <c r="Y295" s="7"/>
      <c r="Z295" s="7"/>
      <c r="AA295" s="7"/>
      <c r="AC295" s="70">
        <f t="shared" si="9"/>
        <v>550</v>
      </c>
      <c r="AD295" s="75">
        <f t="shared" si="10"/>
        <v>1</v>
      </c>
    </row>
    <row r="296" spans="1:34" outlineLevel="6">
      <c r="A296" s="3501" t="s">
        <v>232</v>
      </c>
      <c r="B296" s="3501"/>
      <c r="C296" s="7"/>
      <c r="D296" s="7"/>
      <c r="E296" s="14">
        <v>550</v>
      </c>
      <c r="F296" s="7"/>
      <c r="G296" s="7"/>
      <c r="H296" s="8"/>
      <c r="I296" s="9"/>
      <c r="J296" s="7"/>
      <c r="K296" s="7"/>
      <c r="L296" s="7"/>
      <c r="M296" s="14">
        <v>550</v>
      </c>
      <c r="N296" s="14">
        <v>550</v>
      </c>
      <c r="O296" s="14">
        <v>550</v>
      </c>
      <c r="P296" s="7"/>
      <c r="Q296" s="7"/>
      <c r="R296" s="14">
        <v>550</v>
      </c>
      <c r="S296" s="7"/>
      <c r="T296" s="7"/>
      <c r="U296" s="14">
        <v>550</v>
      </c>
      <c r="V296" s="7"/>
      <c r="W296" s="7"/>
      <c r="X296" s="7"/>
      <c r="Y296" s="7"/>
      <c r="Z296" s="7"/>
      <c r="AA296" s="7"/>
      <c r="AC296" s="70" t="str">
        <f t="shared" si="9"/>
        <v/>
      </c>
      <c r="AD296" s="75" t="str">
        <f t="shared" si="10"/>
        <v/>
      </c>
    </row>
    <row r="297" spans="1:34" outlineLevel="7">
      <c r="A297" s="3500" t="s">
        <v>233</v>
      </c>
      <c r="B297" s="3500"/>
      <c r="C297" s="7"/>
      <c r="D297" s="7"/>
      <c r="E297" s="14">
        <v>550</v>
      </c>
      <c r="F297" s="7"/>
      <c r="G297" s="7"/>
      <c r="H297" s="8"/>
      <c r="I297" s="9"/>
      <c r="J297" s="7"/>
      <c r="K297" s="7"/>
      <c r="L297" s="7"/>
      <c r="M297" s="14">
        <v>550</v>
      </c>
      <c r="N297" s="14">
        <v>550</v>
      </c>
      <c r="O297" s="14">
        <v>550</v>
      </c>
      <c r="P297" s="7"/>
      <c r="Q297" s="7"/>
      <c r="R297" s="14">
        <v>550</v>
      </c>
      <c r="S297" s="7"/>
      <c r="T297" s="7"/>
      <c r="U297" s="14">
        <v>550</v>
      </c>
      <c r="V297" s="7"/>
      <c r="W297" s="7"/>
      <c r="X297" s="7"/>
      <c r="Y297" s="7"/>
      <c r="Z297" s="7"/>
      <c r="AA297" s="7"/>
      <c r="AC297" s="70" t="str">
        <f t="shared" si="9"/>
        <v/>
      </c>
      <c r="AD297" s="75" t="str">
        <f t="shared" si="10"/>
        <v/>
      </c>
      <c r="AH297" t="s">
        <v>3405</v>
      </c>
    </row>
    <row r="298" spans="1:34" outlineLevel="7">
      <c r="A298" s="3499" t="s">
        <v>1608</v>
      </c>
      <c r="B298" s="3499"/>
      <c r="C298" s="7"/>
      <c r="D298" s="7"/>
      <c r="E298" s="14">
        <v>550</v>
      </c>
      <c r="F298" s="7"/>
      <c r="G298" s="7"/>
      <c r="H298" s="8"/>
      <c r="I298" s="9"/>
      <c r="J298" s="7"/>
      <c r="K298" s="7"/>
      <c r="L298" s="7"/>
      <c r="M298" s="14">
        <v>550</v>
      </c>
      <c r="N298" s="14">
        <v>550</v>
      </c>
      <c r="O298" s="14">
        <v>550</v>
      </c>
      <c r="P298" s="7"/>
      <c r="Q298" s="7"/>
      <c r="R298" s="14">
        <v>550</v>
      </c>
      <c r="S298" s="7"/>
      <c r="T298" s="7"/>
      <c r="U298" s="14">
        <v>550</v>
      </c>
      <c r="V298" s="7"/>
      <c r="W298" s="7"/>
      <c r="X298" s="7"/>
      <c r="Y298" s="7"/>
      <c r="Z298" s="7"/>
      <c r="AA298" s="7"/>
      <c r="AC298" s="70">
        <f t="shared" si="9"/>
        <v>550</v>
      </c>
      <c r="AD298" s="75">
        <f t="shared" si="10"/>
        <v>1</v>
      </c>
    </row>
    <row r="299" spans="1:34" outlineLevel="6">
      <c r="A299" s="3501" t="s">
        <v>234</v>
      </c>
      <c r="B299" s="3501"/>
      <c r="C299" s="7"/>
      <c r="D299" s="7"/>
      <c r="E299" s="14">
        <v>550</v>
      </c>
      <c r="F299" s="7"/>
      <c r="G299" s="7"/>
      <c r="H299" s="8"/>
      <c r="I299" s="9"/>
      <c r="J299" s="7"/>
      <c r="K299" s="7"/>
      <c r="L299" s="7"/>
      <c r="M299" s="14">
        <v>550</v>
      </c>
      <c r="N299" s="14">
        <v>550</v>
      </c>
      <c r="O299" s="14">
        <v>550</v>
      </c>
      <c r="P299" s="7"/>
      <c r="Q299" s="7"/>
      <c r="R299" s="14">
        <v>550</v>
      </c>
      <c r="S299" s="7"/>
      <c r="T299" s="7"/>
      <c r="U299" s="7"/>
      <c r="V299" s="14">
        <v>550</v>
      </c>
      <c r="W299" s="14">
        <v>550</v>
      </c>
      <c r="X299" s="7"/>
      <c r="Y299" s="7"/>
      <c r="Z299" s="7"/>
      <c r="AA299" s="7"/>
      <c r="AC299" s="70" t="str">
        <f t="shared" si="9"/>
        <v/>
      </c>
      <c r="AD299" s="75" t="str">
        <f t="shared" si="10"/>
        <v/>
      </c>
    </row>
    <row r="300" spans="1:34" outlineLevel="7">
      <c r="A300" s="3500" t="s">
        <v>235</v>
      </c>
      <c r="B300" s="3500"/>
      <c r="C300" s="7"/>
      <c r="D300" s="7"/>
      <c r="E300" s="14">
        <v>550</v>
      </c>
      <c r="F300" s="7"/>
      <c r="G300" s="7"/>
      <c r="H300" s="8"/>
      <c r="I300" s="9"/>
      <c r="J300" s="7"/>
      <c r="K300" s="7"/>
      <c r="L300" s="7"/>
      <c r="M300" s="14">
        <v>550</v>
      </c>
      <c r="N300" s="14">
        <v>550</v>
      </c>
      <c r="O300" s="14">
        <v>550</v>
      </c>
      <c r="P300" s="7"/>
      <c r="Q300" s="7"/>
      <c r="R300" s="14">
        <v>550</v>
      </c>
      <c r="S300" s="7"/>
      <c r="T300" s="7"/>
      <c r="U300" s="7"/>
      <c r="V300" s="14">
        <v>550</v>
      </c>
      <c r="W300" s="14">
        <v>550</v>
      </c>
      <c r="X300" s="7"/>
      <c r="Y300" s="7"/>
      <c r="Z300" s="7"/>
      <c r="AA300" s="7"/>
      <c r="AC300" s="70" t="str">
        <f t="shared" si="9"/>
        <v/>
      </c>
      <c r="AD300" s="75" t="str">
        <f t="shared" si="10"/>
        <v/>
      </c>
      <c r="AH300" t="s">
        <v>3402</v>
      </c>
    </row>
    <row r="301" spans="1:34" outlineLevel="7">
      <c r="A301" s="3499" t="s">
        <v>1609</v>
      </c>
      <c r="B301" s="3499"/>
      <c r="C301" s="7"/>
      <c r="D301" s="7"/>
      <c r="E301" s="14">
        <v>550</v>
      </c>
      <c r="F301" s="7"/>
      <c r="G301" s="7"/>
      <c r="H301" s="8"/>
      <c r="I301" s="9"/>
      <c r="J301" s="7"/>
      <c r="K301" s="7"/>
      <c r="L301" s="7"/>
      <c r="M301" s="14">
        <v>550</v>
      </c>
      <c r="N301" s="14">
        <v>550</v>
      </c>
      <c r="O301" s="14">
        <v>550</v>
      </c>
      <c r="P301" s="7"/>
      <c r="Q301" s="7"/>
      <c r="R301" s="14">
        <v>550</v>
      </c>
      <c r="S301" s="7"/>
      <c r="T301" s="7"/>
      <c r="U301" s="7"/>
      <c r="V301" s="14">
        <v>550</v>
      </c>
      <c r="W301" s="14">
        <v>550</v>
      </c>
      <c r="X301" s="7"/>
      <c r="Y301" s="7"/>
      <c r="Z301" s="7"/>
      <c r="AA301" s="7"/>
      <c r="AC301" s="70">
        <f t="shared" si="9"/>
        <v>550</v>
      </c>
      <c r="AD301" s="75">
        <f t="shared" si="10"/>
        <v>1</v>
      </c>
    </row>
    <row r="302" spans="1:34" outlineLevel="6">
      <c r="A302" s="3501" t="s">
        <v>236</v>
      </c>
      <c r="B302" s="3501"/>
      <c r="C302" s="7"/>
      <c r="D302" s="7"/>
      <c r="E302" s="14">
        <v>550</v>
      </c>
      <c r="F302" s="7"/>
      <c r="G302" s="7"/>
      <c r="H302" s="8"/>
      <c r="I302" s="9"/>
      <c r="J302" s="7"/>
      <c r="K302" s="7"/>
      <c r="L302" s="7"/>
      <c r="M302" s="14">
        <v>550</v>
      </c>
      <c r="N302" s="14">
        <v>550</v>
      </c>
      <c r="O302" s="14">
        <v>550</v>
      </c>
      <c r="P302" s="7"/>
      <c r="Q302" s="7"/>
      <c r="R302" s="14">
        <v>550</v>
      </c>
      <c r="S302" s="7"/>
      <c r="T302" s="7"/>
      <c r="U302" s="7"/>
      <c r="V302" s="14">
        <v>550</v>
      </c>
      <c r="W302" s="14">
        <v>550</v>
      </c>
      <c r="X302" s="7"/>
      <c r="Y302" s="7"/>
      <c r="Z302" s="7"/>
      <c r="AA302" s="7"/>
      <c r="AC302" s="70" t="str">
        <f t="shared" si="9"/>
        <v/>
      </c>
      <c r="AD302" s="75" t="str">
        <f t="shared" si="10"/>
        <v/>
      </c>
    </row>
    <row r="303" spans="1:34" outlineLevel="7">
      <c r="A303" s="3500" t="s">
        <v>237</v>
      </c>
      <c r="B303" s="3500"/>
      <c r="C303" s="7"/>
      <c r="D303" s="7"/>
      <c r="E303" s="14">
        <v>550</v>
      </c>
      <c r="F303" s="7"/>
      <c r="G303" s="7"/>
      <c r="H303" s="8"/>
      <c r="I303" s="9"/>
      <c r="J303" s="7"/>
      <c r="K303" s="7"/>
      <c r="L303" s="7"/>
      <c r="M303" s="14">
        <v>550</v>
      </c>
      <c r="N303" s="14">
        <v>550</v>
      </c>
      <c r="O303" s="14">
        <v>550</v>
      </c>
      <c r="P303" s="7"/>
      <c r="Q303" s="7"/>
      <c r="R303" s="14">
        <v>550</v>
      </c>
      <c r="S303" s="7"/>
      <c r="T303" s="7"/>
      <c r="U303" s="7"/>
      <c r="V303" s="14">
        <v>550</v>
      </c>
      <c r="W303" s="14">
        <v>550</v>
      </c>
      <c r="X303" s="7"/>
      <c r="Y303" s="7"/>
      <c r="Z303" s="7"/>
      <c r="AA303" s="7"/>
      <c r="AC303" s="70" t="str">
        <f t="shared" si="9"/>
        <v/>
      </c>
      <c r="AD303" s="75" t="str">
        <f t="shared" si="10"/>
        <v/>
      </c>
      <c r="AH303" t="s">
        <v>3468</v>
      </c>
    </row>
    <row r="304" spans="1:34" outlineLevel="7">
      <c r="A304" s="3499" t="s">
        <v>1610</v>
      </c>
      <c r="B304" s="3499"/>
      <c r="C304" s="7"/>
      <c r="D304" s="7"/>
      <c r="E304" s="14">
        <v>550</v>
      </c>
      <c r="F304" s="7"/>
      <c r="G304" s="7"/>
      <c r="H304" s="8"/>
      <c r="I304" s="9"/>
      <c r="J304" s="7"/>
      <c r="K304" s="7"/>
      <c r="L304" s="7"/>
      <c r="M304" s="14">
        <v>550</v>
      </c>
      <c r="N304" s="14">
        <v>550</v>
      </c>
      <c r="O304" s="14">
        <v>550</v>
      </c>
      <c r="P304" s="7"/>
      <c r="Q304" s="7"/>
      <c r="R304" s="14">
        <v>550</v>
      </c>
      <c r="S304" s="7"/>
      <c r="T304" s="7"/>
      <c r="U304" s="7"/>
      <c r="V304" s="14">
        <v>550</v>
      </c>
      <c r="W304" s="14">
        <v>550</v>
      </c>
      <c r="X304" s="7"/>
      <c r="Y304" s="7"/>
      <c r="Z304" s="7"/>
      <c r="AA304" s="7"/>
      <c r="AC304" s="70">
        <f t="shared" si="9"/>
        <v>550</v>
      </c>
      <c r="AD304" s="75">
        <f t="shared" si="10"/>
        <v>1</v>
      </c>
    </row>
    <row r="305" spans="1:34" outlineLevel="6">
      <c r="A305" s="3501" t="s">
        <v>238</v>
      </c>
      <c r="B305" s="3501"/>
      <c r="C305" s="7"/>
      <c r="D305" s="7"/>
      <c r="E305" s="14">
        <v>550</v>
      </c>
      <c r="F305" s="7"/>
      <c r="G305" s="7"/>
      <c r="H305" s="8"/>
      <c r="I305" s="9"/>
      <c r="J305" s="7"/>
      <c r="K305" s="7"/>
      <c r="L305" s="7"/>
      <c r="M305" s="14">
        <v>550</v>
      </c>
      <c r="N305" s="14">
        <v>550</v>
      </c>
      <c r="O305" s="14">
        <v>550</v>
      </c>
      <c r="P305" s="7"/>
      <c r="Q305" s="7"/>
      <c r="R305" s="14">
        <v>550</v>
      </c>
      <c r="S305" s="7"/>
      <c r="T305" s="7"/>
      <c r="U305" s="7"/>
      <c r="V305" s="14">
        <v>550</v>
      </c>
      <c r="W305" s="14">
        <v>550</v>
      </c>
      <c r="X305" s="7"/>
      <c r="Y305" s="7"/>
      <c r="Z305" s="7"/>
      <c r="AA305" s="7"/>
      <c r="AC305" s="70" t="str">
        <f t="shared" si="9"/>
        <v/>
      </c>
      <c r="AD305" s="75" t="str">
        <f t="shared" si="10"/>
        <v/>
      </c>
    </row>
    <row r="306" spans="1:34" outlineLevel="7">
      <c r="A306" s="3500" t="s">
        <v>239</v>
      </c>
      <c r="B306" s="3500"/>
      <c r="C306" s="7"/>
      <c r="D306" s="7"/>
      <c r="E306" s="14">
        <v>550</v>
      </c>
      <c r="F306" s="7"/>
      <c r="G306" s="7"/>
      <c r="H306" s="8"/>
      <c r="I306" s="9"/>
      <c r="J306" s="7"/>
      <c r="K306" s="7"/>
      <c r="L306" s="7"/>
      <c r="M306" s="14">
        <v>550</v>
      </c>
      <c r="N306" s="14">
        <v>550</v>
      </c>
      <c r="O306" s="14">
        <v>550</v>
      </c>
      <c r="P306" s="7"/>
      <c r="Q306" s="7"/>
      <c r="R306" s="14">
        <v>550</v>
      </c>
      <c r="S306" s="7"/>
      <c r="T306" s="7"/>
      <c r="U306" s="7"/>
      <c r="V306" s="14">
        <v>550</v>
      </c>
      <c r="W306" s="14">
        <v>550</v>
      </c>
      <c r="X306" s="7"/>
      <c r="Y306" s="7"/>
      <c r="Z306" s="7"/>
      <c r="AA306" s="7"/>
      <c r="AC306" s="70" t="str">
        <f t="shared" si="9"/>
        <v/>
      </c>
      <c r="AD306" s="75" t="str">
        <f t="shared" si="10"/>
        <v/>
      </c>
      <c r="AH306" t="s">
        <v>3435</v>
      </c>
    </row>
    <row r="307" spans="1:34" outlineLevel="7">
      <c r="A307" s="3499" t="s">
        <v>1611</v>
      </c>
      <c r="B307" s="3499"/>
      <c r="C307" s="7"/>
      <c r="D307" s="7"/>
      <c r="E307" s="14">
        <v>550</v>
      </c>
      <c r="F307" s="7"/>
      <c r="G307" s="7"/>
      <c r="H307" s="8"/>
      <c r="I307" s="9"/>
      <c r="J307" s="7"/>
      <c r="K307" s="7"/>
      <c r="L307" s="7"/>
      <c r="M307" s="14">
        <v>550</v>
      </c>
      <c r="N307" s="14">
        <v>550</v>
      </c>
      <c r="O307" s="14">
        <v>550</v>
      </c>
      <c r="P307" s="7"/>
      <c r="Q307" s="7"/>
      <c r="R307" s="14">
        <v>550</v>
      </c>
      <c r="S307" s="7"/>
      <c r="T307" s="7"/>
      <c r="U307" s="7"/>
      <c r="V307" s="14">
        <v>550</v>
      </c>
      <c r="W307" s="14">
        <v>550</v>
      </c>
      <c r="X307" s="7"/>
      <c r="Y307" s="7"/>
      <c r="Z307" s="7"/>
      <c r="AA307" s="7"/>
      <c r="AC307" s="70">
        <f t="shared" si="9"/>
        <v>550</v>
      </c>
      <c r="AD307" s="75">
        <f t="shared" si="10"/>
        <v>1</v>
      </c>
    </row>
    <row r="308" spans="1:34" outlineLevel="6">
      <c r="A308" s="3501" t="s">
        <v>240</v>
      </c>
      <c r="B308" s="3501"/>
      <c r="C308" s="7"/>
      <c r="D308" s="7"/>
      <c r="E308" s="14">
        <v>550</v>
      </c>
      <c r="F308" s="7"/>
      <c r="G308" s="7"/>
      <c r="H308" s="8"/>
      <c r="I308" s="9"/>
      <c r="J308" s="7"/>
      <c r="K308" s="7"/>
      <c r="L308" s="7"/>
      <c r="M308" s="14">
        <v>550</v>
      </c>
      <c r="N308" s="14">
        <v>550</v>
      </c>
      <c r="O308" s="14">
        <v>550</v>
      </c>
      <c r="P308" s="7"/>
      <c r="Q308" s="7"/>
      <c r="R308" s="14">
        <v>550</v>
      </c>
      <c r="S308" s="7"/>
      <c r="T308" s="7"/>
      <c r="U308" s="7"/>
      <c r="V308" s="14">
        <v>550</v>
      </c>
      <c r="W308" s="14">
        <v>550</v>
      </c>
      <c r="X308" s="7"/>
      <c r="Y308" s="7"/>
      <c r="Z308" s="7"/>
      <c r="AA308" s="7"/>
      <c r="AC308" s="70" t="str">
        <f t="shared" si="9"/>
        <v/>
      </c>
      <c r="AD308" s="75" t="str">
        <f t="shared" si="10"/>
        <v/>
      </c>
    </row>
    <row r="309" spans="1:34" outlineLevel="7">
      <c r="A309" s="3500" t="s">
        <v>241</v>
      </c>
      <c r="B309" s="3500"/>
      <c r="C309" s="7"/>
      <c r="D309" s="7"/>
      <c r="E309" s="14">
        <v>550</v>
      </c>
      <c r="F309" s="7"/>
      <c r="G309" s="7"/>
      <c r="H309" s="8"/>
      <c r="I309" s="9"/>
      <c r="J309" s="7"/>
      <c r="K309" s="7"/>
      <c r="L309" s="7"/>
      <c r="M309" s="14">
        <v>550</v>
      </c>
      <c r="N309" s="14">
        <v>550</v>
      </c>
      <c r="O309" s="14">
        <v>550</v>
      </c>
      <c r="P309" s="7"/>
      <c r="Q309" s="7"/>
      <c r="R309" s="14">
        <v>550</v>
      </c>
      <c r="S309" s="7"/>
      <c r="T309" s="7"/>
      <c r="U309" s="7"/>
      <c r="V309" s="14">
        <v>550</v>
      </c>
      <c r="W309" s="14">
        <v>550</v>
      </c>
      <c r="X309" s="7"/>
      <c r="Y309" s="7"/>
      <c r="Z309" s="7"/>
      <c r="AA309" s="7"/>
      <c r="AC309" s="70" t="str">
        <f t="shared" si="9"/>
        <v/>
      </c>
      <c r="AD309" s="75" t="str">
        <f t="shared" si="10"/>
        <v/>
      </c>
      <c r="AH309" t="s">
        <v>2737</v>
      </c>
    </row>
    <row r="310" spans="1:34" outlineLevel="7">
      <c r="A310" s="3499" t="s">
        <v>1612</v>
      </c>
      <c r="B310" s="3499"/>
      <c r="C310" s="7"/>
      <c r="D310" s="7"/>
      <c r="E310" s="14">
        <v>550</v>
      </c>
      <c r="F310" s="7"/>
      <c r="G310" s="7"/>
      <c r="H310" s="8"/>
      <c r="I310" s="9"/>
      <c r="J310" s="7"/>
      <c r="K310" s="7"/>
      <c r="L310" s="7"/>
      <c r="M310" s="14">
        <v>550</v>
      </c>
      <c r="N310" s="14">
        <v>550</v>
      </c>
      <c r="O310" s="14">
        <v>550</v>
      </c>
      <c r="P310" s="7"/>
      <c r="Q310" s="7"/>
      <c r="R310" s="14">
        <v>550</v>
      </c>
      <c r="S310" s="7"/>
      <c r="T310" s="7"/>
      <c r="U310" s="7"/>
      <c r="V310" s="14">
        <v>550</v>
      </c>
      <c r="W310" s="14">
        <v>550</v>
      </c>
      <c r="X310" s="7"/>
      <c r="Y310" s="7"/>
      <c r="Z310" s="7"/>
      <c r="AA310" s="7"/>
      <c r="AC310" s="70">
        <f t="shared" si="9"/>
        <v>550</v>
      </c>
      <c r="AD310" s="75">
        <f t="shared" si="10"/>
        <v>1</v>
      </c>
    </row>
    <row r="311" spans="1:34" outlineLevel="6">
      <c r="A311" s="3501" t="s">
        <v>242</v>
      </c>
      <c r="B311" s="3501"/>
      <c r="C311" s="7"/>
      <c r="D311" s="7"/>
      <c r="E311" s="14">
        <v>550</v>
      </c>
      <c r="F311" s="7"/>
      <c r="G311" s="7"/>
      <c r="H311" s="8"/>
      <c r="I311" s="9"/>
      <c r="J311" s="7"/>
      <c r="K311" s="7"/>
      <c r="L311" s="7"/>
      <c r="M311" s="14">
        <v>550</v>
      </c>
      <c r="N311" s="14">
        <v>550</v>
      </c>
      <c r="O311" s="14">
        <v>550</v>
      </c>
      <c r="P311" s="7"/>
      <c r="Q311" s="7"/>
      <c r="R311" s="14">
        <v>550</v>
      </c>
      <c r="S311" s="7"/>
      <c r="T311" s="7"/>
      <c r="U311" s="7"/>
      <c r="V311" s="14">
        <v>550</v>
      </c>
      <c r="W311" s="14">
        <v>550</v>
      </c>
      <c r="X311" s="7"/>
      <c r="Y311" s="7"/>
      <c r="Z311" s="7"/>
      <c r="AA311" s="7"/>
      <c r="AC311" s="70" t="str">
        <f t="shared" si="9"/>
        <v/>
      </c>
      <c r="AD311" s="75" t="str">
        <f t="shared" si="10"/>
        <v/>
      </c>
    </row>
    <row r="312" spans="1:34" outlineLevel="7">
      <c r="A312" s="3500" t="s">
        <v>243</v>
      </c>
      <c r="B312" s="3500"/>
      <c r="C312" s="7"/>
      <c r="D312" s="7"/>
      <c r="E312" s="14">
        <v>550</v>
      </c>
      <c r="F312" s="7"/>
      <c r="G312" s="7"/>
      <c r="H312" s="8"/>
      <c r="I312" s="9"/>
      <c r="J312" s="7"/>
      <c r="K312" s="7"/>
      <c r="L312" s="7"/>
      <c r="M312" s="14">
        <v>550</v>
      </c>
      <c r="N312" s="14">
        <v>550</v>
      </c>
      <c r="O312" s="14">
        <v>550</v>
      </c>
      <c r="P312" s="7"/>
      <c r="Q312" s="7"/>
      <c r="R312" s="14">
        <v>550</v>
      </c>
      <c r="S312" s="7"/>
      <c r="T312" s="7"/>
      <c r="U312" s="7"/>
      <c r="V312" s="14">
        <v>550</v>
      </c>
      <c r="W312" s="14">
        <v>550</v>
      </c>
      <c r="X312" s="7"/>
      <c r="Y312" s="7"/>
      <c r="Z312" s="7"/>
      <c r="AA312" s="7"/>
      <c r="AC312" s="70" t="str">
        <f t="shared" si="9"/>
        <v/>
      </c>
      <c r="AD312" s="75" t="str">
        <f t="shared" si="10"/>
        <v/>
      </c>
      <c r="AH312" t="s">
        <v>3460</v>
      </c>
    </row>
    <row r="313" spans="1:34" outlineLevel="7">
      <c r="A313" s="3499" t="s">
        <v>1613</v>
      </c>
      <c r="B313" s="3499"/>
      <c r="C313" s="7"/>
      <c r="D313" s="7"/>
      <c r="E313" s="14">
        <v>550</v>
      </c>
      <c r="F313" s="7"/>
      <c r="G313" s="7"/>
      <c r="H313" s="8"/>
      <c r="I313" s="9"/>
      <c r="J313" s="7"/>
      <c r="K313" s="7"/>
      <c r="L313" s="7"/>
      <c r="M313" s="14">
        <v>550</v>
      </c>
      <c r="N313" s="14">
        <v>550</v>
      </c>
      <c r="O313" s="14">
        <v>550</v>
      </c>
      <c r="P313" s="7"/>
      <c r="Q313" s="7"/>
      <c r="R313" s="14">
        <v>550</v>
      </c>
      <c r="S313" s="7"/>
      <c r="T313" s="7"/>
      <c r="U313" s="7"/>
      <c r="V313" s="14">
        <v>550</v>
      </c>
      <c r="W313" s="14">
        <v>550</v>
      </c>
      <c r="X313" s="7"/>
      <c r="Y313" s="7"/>
      <c r="Z313" s="7"/>
      <c r="AA313" s="7"/>
      <c r="AC313" s="70">
        <f t="shared" si="9"/>
        <v>550</v>
      </c>
      <c r="AD313" s="75">
        <f t="shared" si="10"/>
        <v>1</v>
      </c>
    </row>
    <row r="314" spans="1:34" outlineLevel="6">
      <c r="A314" s="3501" t="s">
        <v>244</v>
      </c>
      <c r="B314" s="3501"/>
      <c r="C314" s="7"/>
      <c r="D314" s="7"/>
      <c r="E314" s="14">
        <v>550</v>
      </c>
      <c r="F314" s="7"/>
      <c r="G314" s="7"/>
      <c r="H314" s="8"/>
      <c r="I314" s="9"/>
      <c r="J314" s="7"/>
      <c r="K314" s="7"/>
      <c r="L314" s="7"/>
      <c r="M314" s="14">
        <v>550</v>
      </c>
      <c r="N314" s="14">
        <v>550</v>
      </c>
      <c r="O314" s="14">
        <v>550</v>
      </c>
      <c r="P314" s="7"/>
      <c r="Q314" s="7"/>
      <c r="R314" s="14">
        <v>550</v>
      </c>
      <c r="S314" s="7"/>
      <c r="T314" s="7"/>
      <c r="U314" s="7"/>
      <c r="V314" s="14">
        <v>550</v>
      </c>
      <c r="W314" s="14">
        <v>550</v>
      </c>
      <c r="X314" s="7"/>
      <c r="Y314" s="7"/>
      <c r="Z314" s="7"/>
      <c r="AA314" s="7"/>
      <c r="AC314" s="70" t="str">
        <f t="shared" si="9"/>
        <v/>
      </c>
      <c r="AD314" s="75" t="str">
        <f t="shared" si="10"/>
        <v/>
      </c>
    </row>
    <row r="315" spans="1:34" outlineLevel="7">
      <c r="A315" s="3500" t="s">
        <v>245</v>
      </c>
      <c r="B315" s="3500"/>
      <c r="C315" s="7"/>
      <c r="D315" s="7"/>
      <c r="E315" s="14">
        <v>550</v>
      </c>
      <c r="F315" s="7"/>
      <c r="G315" s="7"/>
      <c r="H315" s="8"/>
      <c r="I315" s="9"/>
      <c r="J315" s="7"/>
      <c r="K315" s="7"/>
      <c r="L315" s="7"/>
      <c r="M315" s="14">
        <v>550</v>
      </c>
      <c r="N315" s="14">
        <v>550</v>
      </c>
      <c r="O315" s="14">
        <v>550</v>
      </c>
      <c r="P315" s="7"/>
      <c r="Q315" s="7"/>
      <c r="R315" s="14">
        <v>550</v>
      </c>
      <c r="S315" s="7"/>
      <c r="T315" s="7"/>
      <c r="U315" s="7"/>
      <c r="V315" s="14">
        <v>550</v>
      </c>
      <c r="W315" s="14">
        <v>550</v>
      </c>
      <c r="X315" s="7"/>
      <c r="Y315" s="7"/>
      <c r="Z315" s="7"/>
      <c r="AA315" s="7"/>
      <c r="AC315" s="70" t="str">
        <f t="shared" si="9"/>
        <v/>
      </c>
      <c r="AD315" s="75" t="str">
        <f t="shared" si="10"/>
        <v/>
      </c>
      <c r="AH315" t="s">
        <v>3371</v>
      </c>
    </row>
    <row r="316" spans="1:34" outlineLevel="7">
      <c r="A316" s="3499" t="s">
        <v>1614</v>
      </c>
      <c r="B316" s="3499"/>
      <c r="C316" s="7"/>
      <c r="D316" s="7"/>
      <c r="E316" s="14">
        <v>550</v>
      </c>
      <c r="F316" s="7"/>
      <c r="G316" s="7"/>
      <c r="H316" s="8"/>
      <c r="I316" s="9"/>
      <c r="J316" s="7"/>
      <c r="K316" s="7"/>
      <c r="L316" s="7"/>
      <c r="M316" s="14">
        <v>550</v>
      </c>
      <c r="N316" s="14">
        <v>550</v>
      </c>
      <c r="O316" s="14">
        <v>550</v>
      </c>
      <c r="P316" s="7"/>
      <c r="Q316" s="7"/>
      <c r="R316" s="14">
        <v>550</v>
      </c>
      <c r="S316" s="7"/>
      <c r="T316" s="7"/>
      <c r="U316" s="7"/>
      <c r="V316" s="14">
        <v>550</v>
      </c>
      <c r="W316" s="14">
        <v>550</v>
      </c>
      <c r="X316" s="7"/>
      <c r="Y316" s="7"/>
      <c r="Z316" s="7"/>
      <c r="AA316" s="7"/>
      <c r="AC316" s="70">
        <f t="shared" si="9"/>
        <v>550</v>
      </c>
      <c r="AD316" s="75">
        <f t="shared" si="10"/>
        <v>1</v>
      </c>
    </row>
    <row r="317" spans="1:34" outlineLevel="6">
      <c r="A317" s="3501" t="s">
        <v>246</v>
      </c>
      <c r="B317" s="3501"/>
      <c r="C317" s="7"/>
      <c r="D317" s="7"/>
      <c r="E317" s="14">
        <v>550</v>
      </c>
      <c r="F317" s="7"/>
      <c r="G317" s="7"/>
      <c r="H317" s="8"/>
      <c r="I317" s="9"/>
      <c r="J317" s="7"/>
      <c r="K317" s="7"/>
      <c r="L317" s="7"/>
      <c r="M317" s="14">
        <v>550</v>
      </c>
      <c r="N317" s="14">
        <v>550</v>
      </c>
      <c r="O317" s="14">
        <v>550</v>
      </c>
      <c r="P317" s="7"/>
      <c r="Q317" s="7"/>
      <c r="R317" s="14">
        <v>550</v>
      </c>
      <c r="S317" s="7"/>
      <c r="T317" s="7"/>
      <c r="U317" s="7"/>
      <c r="V317" s="14">
        <v>550</v>
      </c>
      <c r="W317" s="14">
        <v>550</v>
      </c>
      <c r="X317" s="7"/>
      <c r="Y317" s="7"/>
      <c r="Z317" s="7"/>
      <c r="AA317" s="7"/>
      <c r="AC317" s="70" t="str">
        <f t="shared" si="9"/>
        <v/>
      </c>
      <c r="AD317" s="75" t="str">
        <f t="shared" si="10"/>
        <v/>
      </c>
    </row>
    <row r="318" spans="1:34" outlineLevel="7">
      <c r="A318" s="3500" t="s">
        <v>247</v>
      </c>
      <c r="B318" s="3500"/>
      <c r="C318" s="7"/>
      <c r="D318" s="7"/>
      <c r="E318" s="14">
        <v>550</v>
      </c>
      <c r="F318" s="7"/>
      <c r="G318" s="7"/>
      <c r="H318" s="8"/>
      <c r="I318" s="9"/>
      <c r="J318" s="7"/>
      <c r="K318" s="7"/>
      <c r="L318" s="7"/>
      <c r="M318" s="14">
        <v>550</v>
      </c>
      <c r="N318" s="14">
        <v>550</v>
      </c>
      <c r="O318" s="14">
        <v>550</v>
      </c>
      <c r="P318" s="7"/>
      <c r="Q318" s="7"/>
      <c r="R318" s="14">
        <v>550</v>
      </c>
      <c r="S318" s="7"/>
      <c r="T318" s="7"/>
      <c r="U318" s="7"/>
      <c r="V318" s="14">
        <v>550</v>
      </c>
      <c r="W318" s="14">
        <v>550</v>
      </c>
      <c r="X318" s="7"/>
      <c r="Y318" s="7"/>
      <c r="Z318" s="7"/>
      <c r="AA318" s="7"/>
      <c r="AC318" s="70" t="str">
        <f t="shared" si="9"/>
        <v/>
      </c>
      <c r="AD318" s="75" t="str">
        <f t="shared" si="10"/>
        <v/>
      </c>
      <c r="AH318" t="s">
        <v>2715</v>
      </c>
    </row>
    <row r="319" spans="1:34" outlineLevel="7">
      <c r="A319" s="3499" t="s">
        <v>1615</v>
      </c>
      <c r="B319" s="3499"/>
      <c r="C319" s="7"/>
      <c r="D319" s="7"/>
      <c r="E319" s="14">
        <v>550</v>
      </c>
      <c r="F319" s="7"/>
      <c r="G319" s="7"/>
      <c r="H319" s="8"/>
      <c r="I319" s="9"/>
      <c r="J319" s="7"/>
      <c r="K319" s="7"/>
      <c r="L319" s="7"/>
      <c r="M319" s="14">
        <v>550</v>
      </c>
      <c r="N319" s="14">
        <v>550</v>
      </c>
      <c r="O319" s="14">
        <v>550</v>
      </c>
      <c r="P319" s="7"/>
      <c r="Q319" s="7"/>
      <c r="R319" s="14">
        <v>550</v>
      </c>
      <c r="S319" s="7"/>
      <c r="T319" s="7"/>
      <c r="U319" s="7"/>
      <c r="V319" s="14">
        <v>550</v>
      </c>
      <c r="W319" s="14">
        <v>550</v>
      </c>
      <c r="X319" s="7"/>
      <c r="Y319" s="7"/>
      <c r="Z319" s="7"/>
      <c r="AA319" s="7"/>
      <c r="AC319" s="70">
        <f t="shared" si="9"/>
        <v>550</v>
      </c>
      <c r="AD319" s="75">
        <f t="shared" si="10"/>
        <v>1</v>
      </c>
    </row>
    <row r="320" spans="1:34" outlineLevel="6">
      <c r="A320" s="3501" t="s">
        <v>248</v>
      </c>
      <c r="B320" s="3501"/>
      <c r="C320" s="7"/>
      <c r="D320" s="7"/>
      <c r="E320" s="14">
        <v>550</v>
      </c>
      <c r="F320" s="7"/>
      <c r="G320" s="7"/>
      <c r="H320" s="8"/>
      <c r="I320" s="9"/>
      <c r="J320" s="7"/>
      <c r="K320" s="7"/>
      <c r="L320" s="7"/>
      <c r="M320" s="14">
        <v>550</v>
      </c>
      <c r="N320" s="14">
        <v>550</v>
      </c>
      <c r="O320" s="14">
        <v>550</v>
      </c>
      <c r="P320" s="7"/>
      <c r="Q320" s="7"/>
      <c r="R320" s="14">
        <v>550</v>
      </c>
      <c r="S320" s="7"/>
      <c r="T320" s="7"/>
      <c r="U320" s="7"/>
      <c r="V320" s="14">
        <v>550</v>
      </c>
      <c r="W320" s="14">
        <v>550</v>
      </c>
      <c r="X320" s="7"/>
      <c r="Y320" s="7"/>
      <c r="Z320" s="7"/>
      <c r="AA320" s="7"/>
      <c r="AC320" s="70" t="str">
        <f t="shared" si="9"/>
        <v/>
      </c>
      <c r="AD320" s="75" t="str">
        <f t="shared" si="10"/>
        <v/>
      </c>
    </row>
    <row r="321" spans="1:34" outlineLevel="7">
      <c r="A321" s="3500" t="s">
        <v>249</v>
      </c>
      <c r="B321" s="3500"/>
      <c r="C321" s="7"/>
      <c r="D321" s="7"/>
      <c r="E321" s="14">
        <v>550</v>
      </c>
      <c r="F321" s="7"/>
      <c r="G321" s="7"/>
      <c r="H321" s="8"/>
      <c r="I321" s="9"/>
      <c r="J321" s="7"/>
      <c r="K321" s="7"/>
      <c r="L321" s="7"/>
      <c r="M321" s="14">
        <v>550</v>
      </c>
      <c r="N321" s="14">
        <v>550</v>
      </c>
      <c r="O321" s="14">
        <v>550</v>
      </c>
      <c r="P321" s="7"/>
      <c r="Q321" s="7"/>
      <c r="R321" s="14">
        <v>550</v>
      </c>
      <c r="S321" s="7"/>
      <c r="T321" s="7"/>
      <c r="U321" s="7"/>
      <c r="V321" s="14">
        <v>550</v>
      </c>
      <c r="W321" s="14">
        <v>550</v>
      </c>
      <c r="X321" s="7"/>
      <c r="Y321" s="7"/>
      <c r="Z321" s="7"/>
      <c r="AA321" s="7"/>
      <c r="AC321" s="70" t="str">
        <f t="shared" si="9"/>
        <v/>
      </c>
      <c r="AD321" s="75" t="str">
        <f t="shared" si="10"/>
        <v/>
      </c>
      <c r="AH321" t="s">
        <v>249</v>
      </c>
    </row>
    <row r="322" spans="1:34" outlineLevel="7">
      <c r="A322" s="3499" t="s">
        <v>1616</v>
      </c>
      <c r="B322" s="3499"/>
      <c r="C322" s="7"/>
      <c r="D322" s="7"/>
      <c r="E322" s="14">
        <v>550</v>
      </c>
      <c r="F322" s="7"/>
      <c r="G322" s="7"/>
      <c r="H322" s="8"/>
      <c r="I322" s="9"/>
      <c r="J322" s="7"/>
      <c r="K322" s="7"/>
      <c r="L322" s="7"/>
      <c r="M322" s="14">
        <v>550</v>
      </c>
      <c r="N322" s="14">
        <v>550</v>
      </c>
      <c r="O322" s="14">
        <v>550</v>
      </c>
      <c r="P322" s="7"/>
      <c r="Q322" s="7"/>
      <c r="R322" s="14">
        <v>550</v>
      </c>
      <c r="S322" s="7"/>
      <c r="T322" s="7"/>
      <c r="U322" s="7"/>
      <c r="V322" s="14">
        <v>550</v>
      </c>
      <c r="W322" s="14">
        <v>550</v>
      </c>
      <c r="X322" s="7"/>
      <c r="Y322" s="7"/>
      <c r="Z322" s="7"/>
      <c r="AA322" s="7"/>
      <c r="AC322" s="70">
        <f t="shared" si="9"/>
        <v>550</v>
      </c>
      <c r="AD322" s="75">
        <f t="shared" si="10"/>
        <v>1</v>
      </c>
    </row>
    <row r="323" spans="1:34" outlineLevel="6">
      <c r="A323" s="3501" t="s">
        <v>250</v>
      </c>
      <c r="B323" s="3501"/>
      <c r="C323" s="7"/>
      <c r="D323" s="7"/>
      <c r="E323" s="14">
        <v>550</v>
      </c>
      <c r="F323" s="7"/>
      <c r="G323" s="7"/>
      <c r="H323" s="8"/>
      <c r="I323" s="9"/>
      <c r="J323" s="7"/>
      <c r="K323" s="7"/>
      <c r="L323" s="7"/>
      <c r="M323" s="14">
        <v>550</v>
      </c>
      <c r="N323" s="14">
        <v>550</v>
      </c>
      <c r="O323" s="14">
        <v>550</v>
      </c>
      <c r="P323" s="7"/>
      <c r="Q323" s="7"/>
      <c r="R323" s="14">
        <v>550</v>
      </c>
      <c r="S323" s="7"/>
      <c r="T323" s="7"/>
      <c r="U323" s="7"/>
      <c r="V323" s="14">
        <v>550</v>
      </c>
      <c r="W323" s="14">
        <v>550</v>
      </c>
      <c r="X323" s="7"/>
      <c r="Y323" s="7"/>
      <c r="Z323" s="7"/>
      <c r="AA323" s="7"/>
      <c r="AC323" s="70" t="str">
        <f t="shared" si="9"/>
        <v/>
      </c>
      <c r="AD323" s="75" t="str">
        <f t="shared" si="10"/>
        <v/>
      </c>
    </row>
    <row r="324" spans="1:34" outlineLevel="7">
      <c r="A324" s="3500" t="s">
        <v>251</v>
      </c>
      <c r="B324" s="3500"/>
      <c r="C324" s="7"/>
      <c r="D324" s="7"/>
      <c r="E324" s="14">
        <v>550</v>
      </c>
      <c r="F324" s="7"/>
      <c r="G324" s="7"/>
      <c r="H324" s="8"/>
      <c r="I324" s="9"/>
      <c r="J324" s="7"/>
      <c r="K324" s="7"/>
      <c r="L324" s="7"/>
      <c r="M324" s="14">
        <v>550</v>
      </c>
      <c r="N324" s="14">
        <v>550</v>
      </c>
      <c r="O324" s="14">
        <v>550</v>
      </c>
      <c r="P324" s="7"/>
      <c r="Q324" s="7"/>
      <c r="R324" s="14">
        <v>550</v>
      </c>
      <c r="S324" s="7"/>
      <c r="T324" s="7"/>
      <c r="U324" s="7"/>
      <c r="V324" s="14">
        <v>550</v>
      </c>
      <c r="W324" s="14">
        <v>550</v>
      </c>
      <c r="X324" s="7"/>
      <c r="Y324" s="7"/>
      <c r="Z324" s="7"/>
      <c r="AA324" s="7"/>
      <c r="AC324" s="70" t="str">
        <f t="shared" si="9"/>
        <v/>
      </c>
      <c r="AD324" s="75" t="str">
        <f t="shared" si="10"/>
        <v/>
      </c>
      <c r="AH324" t="s">
        <v>3432</v>
      </c>
    </row>
    <row r="325" spans="1:34" outlineLevel="7">
      <c r="A325" s="3499" t="s">
        <v>1617</v>
      </c>
      <c r="B325" s="3499"/>
      <c r="C325" s="7"/>
      <c r="D325" s="7"/>
      <c r="E325" s="14">
        <v>550</v>
      </c>
      <c r="F325" s="7"/>
      <c r="G325" s="7"/>
      <c r="H325" s="8"/>
      <c r="I325" s="9"/>
      <c r="J325" s="7"/>
      <c r="K325" s="7"/>
      <c r="L325" s="7"/>
      <c r="M325" s="14">
        <v>550</v>
      </c>
      <c r="N325" s="14">
        <v>550</v>
      </c>
      <c r="O325" s="14">
        <v>550</v>
      </c>
      <c r="P325" s="7"/>
      <c r="Q325" s="7"/>
      <c r="R325" s="14">
        <v>550</v>
      </c>
      <c r="S325" s="7"/>
      <c r="T325" s="7"/>
      <c r="U325" s="7"/>
      <c r="V325" s="14">
        <v>550</v>
      </c>
      <c r="W325" s="14">
        <v>550</v>
      </c>
      <c r="X325" s="7"/>
      <c r="Y325" s="7"/>
      <c r="Z325" s="7"/>
      <c r="AA325" s="7"/>
      <c r="AC325" s="70">
        <f t="shared" si="9"/>
        <v>550</v>
      </c>
      <c r="AD325" s="75">
        <f t="shared" si="10"/>
        <v>1</v>
      </c>
    </row>
    <row r="326" spans="1:34" outlineLevel="6">
      <c r="A326" s="3501" t="s">
        <v>252</v>
      </c>
      <c r="B326" s="3501"/>
      <c r="C326" s="7"/>
      <c r="D326" s="7"/>
      <c r="E326" s="14">
        <v>550</v>
      </c>
      <c r="F326" s="7"/>
      <c r="G326" s="7"/>
      <c r="H326" s="8"/>
      <c r="I326" s="9"/>
      <c r="J326" s="7"/>
      <c r="K326" s="7"/>
      <c r="L326" s="7"/>
      <c r="M326" s="14">
        <v>550</v>
      </c>
      <c r="N326" s="14">
        <v>550</v>
      </c>
      <c r="O326" s="14">
        <v>550</v>
      </c>
      <c r="P326" s="7"/>
      <c r="Q326" s="7"/>
      <c r="R326" s="14">
        <v>550</v>
      </c>
      <c r="S326" s="7"/>
      <c r="T326" s="7"/>
      <c r="U326" s="7"/>
      <c r="V326" s="14">
        <v>550</v>
      </c>
      <c r="W326" s="14">
        <v>550</v>
      </c>
      <c r="X326" s="7"/>
      <c r="Y326" s="7"/>
      <c r="Z326" s="7"/>
      <c r="AA326" s="7"/>
      <c r="AC326" s="70" t="str">
        <f t="shared" si="9"/>
        <v/>
      </c>
      <c r="AD326" s="75" t="str">
        <f t="shared" si="10"/>
        <v/>
      </c>
    </row>
    <row r="327" spans="1:34" outlineLevel="7">
      <c r="A327" s="3500" t="s">
        <v>253</v>
      </c>
      <c r="B327" s="3500"/>
      <c r="C327" s="7"/>
      <c r="D327" s="7"/>
      <c r="E327" s="14">
        <v>550</v>
      </c>
      <c r="F327" s="7"/>
      <c r="G327" s="7"/>
      <c r="H327" s="8"/>
      <c r="I327" s="9"/>
      <c r="J327" s="7"/>
      <c r="K327" s="7"/>
      <c r="L327" s="7"/>
      <c r="M327" s="14">
        <v>550</v>
      </c>
      <c r="N327" s="14">
        <v>550</v>
      </c>
      <c r="O327" s="14">
        <v>550</v>
      </c>
      <c r="P327" s="7"/>
      <c r="Q327" s="7"/>
      <c r="R327" s="14">
        <v>550</v>
      </c>
      <c r="S327" s="7"/>
      <c r="T327" s="7"/>
      <c r="U327" s="7"/>
      <c r="V327" s="14">
        <v>550</v>
      </c>
      <c r="W327" s="14">
        <v>550</v>
      </c>
      <c r="X327" s="7"/>
      <c r="Y327" s="7"/>
      <c r="Z327" s="7"/>
      <c r="AA327" s="7"/>
      <c r="AC327" s="70" t="str">
        <f t="shared" si="9"/>
        <v/>
      </c>
      <c r="AD327" s="75" t="str">
        <f t="shared" si="10"/>
        <v/>
      </c>
      <c r="AH327" t="s">
        <v>3290</v>
      </c>
    </row>
    <row r="328" spans="1:34" outlineLevel="7">
      <c r="A328" s="3499" t="s">
        <v>1618</v>
      </c>
      <c r="B328" s="3499"/>
      <c r="C328" s="7"/>
      <c r="D328" s="7"/>
      <c r="E328" s="14">
        <v>550</v>
      </c>
      <c r="F328" s="7"/>
      <c r="G328" s="7"/>
      <c r="H328" s="8"/>
      <c r="I328" s="9"/>
      <c r="J328" s="7"/>
      <c r="K328" s="7"/>
      <c r="L328" s="7"/>
      <c r="M328" s="14">
        <v>550</v>
      </c>
      <c r="N328" s="14">
        <v>550</v>
      </c>
      <c r="O328" s="14">
        <v>550</v>
      </c>
      <c r="P328" s="7"/>
      <c r="Q328" s="7"/>
      <c r="R328" s="14">
        <v>550</v>
      </c>
      <c r="S328" s="7"/>
      <c r="T328" s="7"/>
      <c r="U328" s="7"/>
      <c r="V328" s="14">
        <v>550</v>
      </c>
      <c r="W328" s="14">
        <v>550</v>
      </c>
      <c r="X328" s="7"/>
      <c r="Y328" s="7"/>
      <c r="Z328" s="7"/>
      <c r="AA328" s="7"/>
      <c r="AC328" s="70">
        <f t="shared" si="9"/>
        <v>550</v>
      </c>
      <c r="AD328" s="75">
        <f t="shared" si="10"/>
        <v>1</v>
      </c>
    </row>
    <row r="329" spans="1:34" outlineLevel="6">
      <c r="A329" s="3501" t="s">
        <v>254</v>
      </c>
      <c r="B329" s="3501"/>
      <c r="C329" s="7"/>
      <c r="D329" s="7"/>
      <c r="E329" s="14">
        <v>550</v>
      </c>
      <c r="F329" s="7"/>
      <c r="G329" s="7"/>
      <c r="H329" s="8"/>
      <c r="I329" s="9"/>
      <c r="J329" s="7"/>
      <c r="K329" s="7"/>
      <c r="L329" s="7"/>
      <c r="M329" s="14">
        <v>550</v>
      </c>
      <c r="N329" s="14">
        <v>550</v>
      </c>
      <c r="O329" s="14">
        <v>550</v>
      </c>
      <c r="P329" s="7"/>
      <c r="Q329" s="7"/>
      <c r="R329" s="14">
        <v>550</v>
      </c>
      <c r="S329" s="7"/>
      <c r="T329" s="7"/>
      <c r="U329" s="7"/>
      <c r="V329" s="14">
        <v>550</v>
      </c>
      <c r="W329" s="14">
        <v>550</v>
      </c>
      <c r="X329" s="7"/>
      <c r="Y329" s="7"/>
      <c r="Z329" s="7"/>
      <c r="AA329" s="7"/>
      <c r="AC329" s="70" t="str">
        <f t="shared" si="9"/>
        <v/>
      </c>
      <c r="AD329" s="75" t="str">
        <f t="shared" si="10"/>
        <v/>
      </c>
    </row>
    <row r="330" spans="1:34" outlineLevel="7">
      <c r="A330" s="3500" t="s">
        <v>255</v>
      </c>
      <c r="B330" s="3500"/>
      <c r="C330" s="7"/>
      <c r="D330" s="7"/>
      <c r="E330" s="14">
        <v>550</v>
      </c>
      <c r="F330" s="7"/>
      <c r="G330" s="7"/>
      <c r="H330" s="8"/>
      <c r="I330" s="9"/>
      <c r="J330" s="7"/>
      <c r="K330" s="7"/>
      <c r="L330" s="7"/>
      <c r="M330" s="14">
        <v>550</v>
      </c>
      <c r="N330" s="14">
        <v>550</v>
      </c>
      <c r="O330" s="14">
        <v>550</v>
      </c>
      <c r="P330" s="7"/>
      <c r="Q330" s="7"/>
      <c r="R330" s="14">
        <v>550</v>
      </c>
      <c r="S330" s="7"/>
      <c r="T330" s="7"/>
      <c r="U330" s="7"/>
      <c r="V330" s="14">
        <v>550</v>
      </c>
      <c r="W330" s="14">
        <v>550</v>
      </c>
      <c r="X330" s="7"/>
      <c r="Y330" s="7"/>
      <c r="Z330" s="7"/>
      <c r="AA330" s="7"/>
      <c r="AC330" s="70" t="str">
        <f t="shared" si="9"/>
        <v/>
      </c>
      <c r="AD330" s="75" t="str">
        <f t="shared" si="10"/>
        <v/>
      </c>
      <c r="AH330" t="s">
        <v>3462</v>
      </c>
    </row>
    <row r="331" spans="1:34" outlineLevel="7">
      <c r="A331" s="3499" t="s">
        <v>1619</v>
      </c>
      <c r="B331" s="3499"/>
      <c r="C331" s="7"/>
      <c r="D331" s="7"/>
      <c r="E331" s="14">
        <v>550</v>
      </c>
      <c r="F331" s="7"/>
      <c r="G331" s="7"/>
      <c r="H331" s="8"/>
      <c r="I331" s="9"/>
      <c r="J331" s="7"/>
      <c r="K331" s="7"/>
      <c r="L331" s="7"/>
      <c r="M331" s="14">
        <v>550</v>
      </c>
      <c r="N331" s="14">
        <v>550</v>
      </c>
      <c r="O331" s="14">
        <v>550</v>
      </c>
      <c r="P331" s="7"/>
      <c r="Q331" s="7"/>
      <c r="R331" s="14">
        <v>550</v>
      </c>
      <c r="S331" s="7"/>
      <c r="T331" s="7"/>
      <c r="U331" s="7"/>
      <c r="V331" s="14">
        <v>550</v>
      </c>
      <c r="W331" s="14">
        <v>550</v>
      </c>
      <c r="X331" s="7"/>
      <c r="Y331" s="7"/>
      <c r="Z331" s="7"/>
      <c r="AA331" s="7"/>
      <c r="AC331" s="70">
        <f t="shared" si="9"/>
        <v>550</v>
      </c>
      <c r="AD331" s="75">
        <f t="shared" si="10"/>
        <v>1</v>
      </c>
    </row>
    <row r="332" spans="1:34" outlineLevel="6">
      <c r="A332" s="3501" t="s">
        <v>256</v>
      </c>
      <c r="B332" s="3501"/>
      <c r="C332" s="7"/>
      <c r="D332" s="7"/>
      <c r="E332" s="14">
        <v>550</v>
      </c>
      <c r="F332" s="7"/>
      <c r="G332" s="7"/>
      <c r="H332" s="8"/>
      <c r="I332" s="9"/>
      <c r="J332" s="7"/>
      <c r="K332" s="7"/>
      <c r="L332" s="7"/>
      <c r="M332" s="14">
        <v>550</v>
      </c>
      <c r="N332" s="14">
        <v>550</v>
      </c>
      <c r="O332" s="14">
        <v>550</v>
      </c>
      <c r="P332" s="7"/>
      <c r="Q332" s="7"/>
      <c r="R332" s="14">
        <v>550</v>
      </c>
      <c r="S332" s="7"/>
      <c r="T332" s="7"/>
      <c r="U332" s="7"/>
      <c r="V332" s="14">
        <v>550</v>
      </c>
      <c r="W332" s="14">
        <v>550</v>
      </c>
      <c r="X332" s="7"/>
      <c r="Y332" s="7"/>
      <c r="Z332" s="7"/>
      <c r="AA332" s="7"/>
      <c r="AC332" s="70" t="str">
        <f t="shared" si="9"/>
        <v/>
      </c>
      <c r="AD332" s="75" t="str">
        <f t="shared" si="10"/>
        <v/>
      </c>
    </row>
    <row r="333" spans="1:34" outlineLevel="7">
      <c r="A333" s="3500" t="s">
        <v>257</v>
      </c>
      <c r="B333" s="3500"/>
      <c r="C333" s="7"/>
      <c r="D333" s="7"/>
      <c r="E333" s="14">
        <v>550</v>
      </c>
      <c r="F333" s="7"/>
      <c r="G333" s="7"/>
      <c r="H333" s="8"/>
      <c r="I333" s="9"/>
      <c r="J333" s="7"/>
      <c r="K333" s="7"/>
      <c r="L333" s="7"/>
      <c r="M333" s="14">
        <v>550</v>
      </c>
      <c r="N333" s="14">
        <v>550</v>
      </c>
      <c r="O333" s="14">
        <v>550</v>
      </c>
      <c r="P333" s="7"/>
      <c r="Q333" s="7"/>
      <c r="R333" s="14">
        <v>550</v>
      </c>
      <c r="S333" s="7"/>
      <c r="T333" s="7"/>
      <c r="U333" s="7"/>
      <c r="V333" s="14">
        <v>550</v>
      </c>
      <c r="W333" s="14">
        <v>550</v>
      </c>
      <c r="X333" s="7"/>
      <c r="Y333" s="7"/>
      <c r="Z333" s="7"/>
      <c r="AA333" s="7"/>
      <c r="AC333" s="70" t="str">
        <f t="shared" si="9"/>
        <v/>
      </c>
      <c r="AD333" s="75" t="str">
        <f t="shared" si="10"/>
        <v/>
      </c>
      <c r="AH333" t="s">
        <v>3377</v>
      </c>
    </row>
    <row r="334" spans="1:34" outlineLevel="7">
      <c r="A334" s="3499" t="s">
        <v>1620</v>
      </c>
      <c r="B334" s="3499"/>
      <c r="C334" s="7"/>
      <c r="D334" s="7"/>
      <c r="E334" s="14">
        <v>550</v>
      </c>
      <c r="F334" s="7"/>
      <c r="G334" s="7"/>
      <c r="H334" s="8"/>
      <c r="I334" s="9"/>
      <c r="J334" s="7"/>
      <c r="K334" s="7"/>
      <c r="L334" s="7"/>
      <c r="M334" s="14">
        <v>550</v>
      </c>
      <c r="N334" s="14">
        <v>550</v>
      </c>
      <c r="O334" s="14">
        <v>550</v>
      </c>
      <c r="P334" s="7"/>
      <c r="Q334" s="7"/>
      <c r="R334" s="14">
        <v>550</v>
      </c>
      <c r="S334" s="7"/>
      <c r="T334" s="7"/>
      <c r="U334" s="7"/>
      <c r="V334" s="14">
        <v>550</v>
      </c>
      <c r="W334" s="14">
        <v>550</v>
      </c>
      <c r="X334" s="7"/>
      <c r="Y334" s="7"/>
      <c r="Z334" s="7"/>
      <c r="AA334" s="7"/>
      <c r="AC334" s="70">
        <f t="shared" si="9"/>
        <v>550</v>
      </c>
      <c r="AD334" s="75">
        <f t="shared" si="10"/>
        <v>1</v>
      </c>
    </row>
    <row r="335" spans="1:34" outlineLevel="6">
      <c r="A335" s="3501" t="s">
        <v>258</v>
      </c>
      <c r="B335" s="3501"/>
      <c r="C335" s="7"/>
      <c r="D335" s="7"/>
      <c r="E335" s="14">
        <v>550</v>
      </c>
      <c r="F335" s="7"/>
      <c r="G335" s="7"/>
      <c r="H335" s="8"/>
      <c r="I335" s="9"/>
      <c r="J335" s="7"/>
      <c r="K335" s="7"/>
      <c r="L335" s="7"/>
      <c r="M335" s="14">
        <v>550</v>
      </c>
      <c r="N335" s="14">
        <v>550</v>
      </c>
      <c r="O335" s="14">
        <v>550</v>
      </c>
      <c r="P335" s="7"/>
      <c r="Q335" s="7"/>
      <c r="R335" s="14">
        <v>550</v>
      </c>
      <c r="S335" s="7"/>
      <c r="T335" s="7"/>
      <c r="U335" s="7"/>
      <c r="V335" s="14">
        <v>550</v>
      </c>
      <c r="W335" s="14">
        <v>550</v>
      </c>
      <c r="X335" s="7"/>
      <c r="Y335" s="7"/>
      <c r="Z335" s="7"/>
      <c r="AA335" s="7"/>
      <c r="AC335" s="70" t="str">
        <f t="shared" si="9"/>
        <v/>
      </c>
      <c r="AD335" s="75" t="str">
        <f t="shared" si="10"/>
        <v/>
      </c>
    </row>
    <row r="336" spans="1:34" outlineLevel="7">
      <c r="A336" s="3500" t="s">
        <v>259</v>
      </c>
      <c r="B336" s="3500"/>
      <c r="C336" s="7"/>
      <c r="D336" s="7"/>
      <c r="E336" s="14">
        <v>550</v>
      </c>
      <c r="F336" s="7"/>
      <c r="G336" s="7"/>
      <c r="H336" s="8"/>
      <c r="I336" s="9"/>
      <c r="J336" s="7"/>
      <c r="K336" s="7"/>
      <c r="L336" s="7"/>
      <c r="M336" s="14">
        <v>550</v>
      </c>
      <c r="N336" s="14">
        <v>550</v>
      </c>
      <c r="O336" s="14">
        <v>550</v>
      </c>
      <c r="P336" s="7"/>
      <c r="Q336" s="7"/>
      <c r="R336" s="14">
        <v>550</v>
      </c>
      <c r="S336" s="7"/>
      <c r="T336" s="7"/>
      <c r="U336" s="7"/>
      <c r="V336" s="14">
        <v>550</v>
      </c>
      <c r="W336" s="14">
        <v>550</v>
      </c>
      <c r="X336" s="7"/>
      <c r="Y336" s="7"/>
      <c r="Z336" s="7"/>
      <c r="AA336" s="7"/>
      <c r="AC336" s="70" t="str">
        <f t="shared" si="9"/>
        <v/>
      </c>
      <c r="AD336" s="75" t="str">
        <f t="shared" si="10"/>
        <v/>
      </c>
      <c r="AH336" t="s">
        <v>3425</v>
      </c>
    </row>
    <row r="337" spans="1:36" outlineLevel="7">
      <c r="A337" s="3499" t="s">
        <v>1621</v>
      </c>
      <c r="B337" s="3499"/>
      <c r="C337" s="7"/>
      <c r="D337" s="7"/>
      <c r="E337" s="14">
        <v>550</v>
      </c>
      <c r="F337" s="7"/>
      <c r="G337" s="7"/>
      <c r="H337" s="8"/>
      <c r="I337" s="9"/>
      <c r="J337" s="7"/>
      <c r="K337" s="7"/>
      <c r="L337" s="7"/>
      <c r="M337" s="14">
        <v>550</v>
      </c>
      <c r="N337" s="14">
        <v>550</v>
      </c>
      <c r="O337" s="14">
        <v>550</v>
      </c>
      <c r="P337" s="7"/>
      <c r="Q337" s="7"/>
      <c r="R337" s="14">
        <v>550</v>
      </c>
      <c r="S337" s="7"/>
      <c r="T337" s="7"/>
      <c r="U337" s="7"/>
      <c r="V337" s="14">
        <v>550</v>
      </c>
      <c r="W337" s="14">
        <v>550</v>
      </c>
      <c r="X337" s="7"/>
      <c r="Y337" s="7"/>
      <c r="Z337" s="7"/>
      <c r="AA337" s="7"/>
      <c r="AC337" s="70">
        <f t="shared" ref="AC337:AC400" si="11">IF(LEFT($A337,5)="Реали",$E337,"")</f>
        <v>550</v>
      </c>
      <c r="AD337" s="75">
        <f t="shared" ref="AD337:AD400" si="12">IF(AC337=550,1,"")</f>
        <v>1</v>
      </c>
    </row>
    <row r="338" spans="1:36" outlineLevel="6">
      <c r="A338" s="3501" t="s">
        <v>260</v>
      </c>
      <c r="B338" s="3501"/>
      <c r="C338" s="7"/>
      <c r="D338" s="7"/>
      <c r="E338" s="14">
        <v>550</v>
      </c>
      <c r="F338" s="7"/>
      <c r="G338" s="7"/>
      <c r="H338" s="8"/>
      <c r="I338" s="9"/>
      <c r="J338" s="7"/>
      <c r="K338" s="7"/>
      <c r="L338" s="7"/>
      <c r="M338" s="14">
        <v>550</v>
      </c>
      <c r="N338" s="14">
        <v>550</v>
      </c>
      <c r="O338" s="14">
        <v>550</v>
      </c>
      <c r="P338" s="7"/>
      <c r="Q338" s="7"/>
      <c r="R338" s="14">
        <v>550</v>
      </c>
      <c r="S338" s="7"/>
      <c r="T338" s="7"/>
      <c r="U338" s="7"/>
      <c r="V338" s="14">
        <v>550</v>
      </c>
      <c r="W338" s="14">
        <v>550</v>
      </c>
      <c r="X338" s="7"/>
      <c r="Y338" s="7"/>
      <c r="Z338" s="7"/>
      <c r="AA338" s="7"/>
      <c r="AC338" s="70" t="str">
        <f t="shared" si="11"/>
        <v/>
      </c>
      <c r="AD338" s="75" t="str">
        <f t="shared" si="12"/>
        <v/>
      </c>
    </row>
    <row r="339" spans="1:36" outlineLevel="7">
      <c r="A339" s="3500" t="s">
        <v>261</v>
      </c>
      <c r="B339" s="3500"/>
      <c r="C339" s="7"/>
      <c r="D339" s="7"/>
      <c r="E339" s="14">
        <v>550</v>
      </c>
      <c r="F339" s="7"/>
      <c r="G339" s="7"/>
      <c r="H339" s="8"/>
      <c r="I339" s="9"/>
      <c r="J339" s="7"/>
      <c r="K339" s="7"/>
      <c r="L339" s="7"/>
      <c r="M339" s="14">
        <v>550</v>
      </c>
      <c r="N339" s="14">
        <v>550</v>
      </c>
      <c r="O339" s="14">
        <v>550</v>
      </c>
      <c r="P339" s="7"/>
      <c r="Q339" s="7"/>
      <c r="R339" s="14">
        <v>550</v>
      </c>
      <c r="S339" s="7"/>
      <c r="T339" s="7"/>
      <c r="U339" s="7"/>
      <c r="V339" s="14">
        <v>550</v>
      </c>
      <c r="W339" s="14">
        <v>550</v>
      </c>
      <c r="X339" s="7"/>
      <c r="Y339" s="7"/>
      <c r="Z339" s="7"/>
      <c r="AA339" s="7"/>
      <c r="AC339" s="70" t="str">
        <f t="shared" si="11"/>
        <v/>
      </c>
      <c r="AD339" s="75" t="str">
        <f t="shared" si="12"/>
        <v/>
      </c>
      <c r="AH339" t="s">
        <v>3515</v>
      </c>
    </row>
    <row r="340" spans="1:36" outlineLevel="7">
      <c r="A340" s="3499" t="s">
        <v>1622</v>
      </c>
      <c r="B340" s="3499"/>
      <c r="C340" s="7"/>
      <c r="D340" s="7"/>
      <c r="E340" s="14">
        <v>550</v>
      </c>
      <c r="F340" s="7"/>
      <c r="G340" s="7"/>
      <c r="H340" s="8"/>
      <c r="I340" s="9"/>
      <c r="J340" s="7"/>
      <c r="K340" s="7"/>
      <c r="L340" s="7"/>
      <c r="M340" s="14">
        <v>550</v>
      </c>
      <c r="N340" s="14">
        <v>550</v>
      </c>
      <c r="O340" s="14">
        <v>550</v>
      </c>
      <c r="P340" s="7"/>
      <c r="Q340" s="7"/>
      <c r="R340" s="14">
        <v>550</v>
      </c>
      <c r="S340" s="7"/>
      <c r="T340" s="7"/>
      <c r="U340" s="7"/>
      <c r="V340" s="14">
        <v>550</v>
      </c>
      <c r="W340" s="14">
        <v>550</v>
      </c>
      <c r="X340" s="7"/>
      <c r="Y340" s="7"/>
      <c r="Z340" s="7"/>
      <c r="AA340" s="7"/>
      <c r="AC340" s="70">
        <f t="shared" si="11"/>
        <v>550</v>
      </c>
      <c r="AD340" s="75">
        <f t="shared" si="12"/>
        <v>1</v>
      </c>
    </row>
    <row r="341" spans="1:36" outlineLevel="6">
      <c r="A341" s="3501" t="s">
        <v>262</v>
      </c>
      <c r="B341" s="3501"/>
      <c r="C341" s="7"/>
      <c r="D341" s="7"/>
      <c r="E341" s="14">
        <v>550</v>
      </c>
      <c r="F341" s="7"/>
      <c r="G341" s="7"/>
      <c r="H341" s="8"/>
      <c r="I341" s="9"/>
      <c r="J341" s="7"/>
      <c r="K341" s="7"/>
      <c r="L341" s="7"/>
      <c r="M341" s="14">
        <v>550</v>
      </c>
      <c r="N341" s="14">
        <v>550</v>
      </c>
      <c r="O341" s="14">
        <v>550</v>
      </c>
      <c r="P341" s="7"/>
      <c r="Q341" s="7"/>
      <c r="R341" s="14">
        <v>550</v>
      </c>
      <c r="S341" s="7"/>
      <c r="T341" s="7"/>
      <c r="U341" s="7"/>
      <c r="V341" s="14">
        <v>550</v>
      </c>
      <c r="W341" s="14">
        <v>550</v>
      </c>
      <c r="X341" s="7"/>
      <c r="Y341" s="7"/>
      <c r="Z341" s="7"/>
      <c r="AA341" s="7"/>
      <c r="AC341" s="70" t="str">
        <f t="shared" si="11"/>
        <v/>
      </c>
      <c r="AD341" s="75" t="str">
        <f t="shared" si="12"/>
        <v/>
      </c>
    </row>
    <row r="342" spans="1:36" outlineLevel="7">
      <c r="A342" s="3500" t="s">
        <v>263</v>
      </c>
      <c r="B342" s="3500"/>
      <c r="C342" s="7"/>
      <c r="D342" s="7"/>
      <c r="E342" s="14">
        <v>550</v>
      </c>
      <c r="F342" s="7"/>
      <c r="G342" s="7"/>
      <c r="H342" s="8"/>
      <c r="I342" s="9"/>
      <c r="J342" s="7"/>
      <c r="K342" s="7"/>
      <c r="L342" s="7"/>
      <c r="M342" s="14">
        <v>550</v>
      </c>
      <c r="N342" s="14">
        <v>550</v>
      </c>
      <c r="O342" s="14">
        <v>550</v>
      </c>
      <c r="P342" s="7"/>
      <c r="Q342" s="7"/>
      <c r="R342" s="14">
        <v>550</v>
      </c>
      <c r="S342" s="7"/>
      <c r="T342" s="7"/>
      <c r="U342" s="7"/>
      <c r="V342" s="14">
        <v>550</v>
      </c>
      <c r="W342" s="14">
        <v>550</v>
      </c>
      <c r="X342" s="7"/>
      <c r="Y342" s="7"/>
      <c r="Z342" s="7"/>
      <c r="AA342" s="7"/>
      <c r="AC342" s="70" t="str">
        <f t="shared" si="11"/>
        <v/>
      </c>
      <c r="AD342" s="75" t="str">
        <f t="shared" si="12"/>
        <v/>
      </c>
      <c r="AH342" t="s">
        <v>263</v>
      </c>
    </row>
    <row r="343" spans="1:36" outlineLevel="7">
      <c r="A343" s="3499" t="s">
        <v>1623</v>
      </c>
      <c r="B343" s="3499"/>
      <c r="C343" s="7"/>
      <c r="D343" s="7"/>
      <c r="E343" s="14">
        <v>550</v>
      </c>
      <c r="F343" s="7"/>
      <c r="G343" s="7"/>
      <c r="H343" s="8"/>
      <c r="I343" s="9"/>
      <c r="J343" s="7"/>
      <c r="K343" s="7"/>
      <c r="L343" s="7"/>
      <c r="M343" s="14">
        <v>550</v>
      </c>
      <c r="N343" s="14">
        <v>550</v>
      </c>
      <c r="O343" s="14">
        <v>550</v>
      </c>
      <c r="P343" s="7"/>
      <c r="Q343" s="7"/>
      <c r="R343" s="14">
        <v>550</v>
      </c>
      <c r="S343" s="7"/>
      <c r="T343" s="7"/>
      <c r="U343" s="7"/>
      <c r="V343" s="14">
        <v>550</v>
      </c>
      <c r="W343" s="14">
        <v>550</v>
      </c>
      <c r="X343" s="7"/>
      <c r="Y343" s="7"/>
      <c r="Z343" s="7"/>
      <c r="AA343" s="7"/>
      <c r="AC343" s="70">
        <f t="shared" si="11"/>
        <v>550</v>
      </c>
      <c r="AD343" s="75">
        <f t="shared" si="12"/>
        <v>1</v>
      </c>
    </row>
    <row r="344" spans="1:36" outlineLevel="6">
      <c r="A344" s="3501" t="s">
        <v>264</v>
      </c>
      <c r="B344" s="3501"/>
      <c r="C344" s="7"/>
      <c r="D344" s="7"/>
      <c r="E344" s="14">
        <v>550</v>
      </c>
      <c r="F344" s="7"/>
      <c r="G344" s="7"/>
      <c r="H344" s="8"/>
      <c r="I344" s="9"/>
      <c r="J344" s="7"/>
      <c r="K344" s="7"/>
      <c r="L344" s="7"/>
      <c r="M344" s="14">
        <v>550</v>
      </c>
      <c r="N344" s="14">
        <v>550</v>
      </c>
      <c r="O344" s="14">
        <v>550</v>
      </c>
      <c r="P344" s="7"/>
      <c r="Q344" s="7"/>
      <c r="R344" s="14">
        <v>550</v>
      </c>
      <c r="S344" s="7"/>
      <c r="T344" s="7"/>
      <c r="U344" s="7"/>
      <c r="V344" s="14">
        <v>550</v>
      </c>
      <c r="W344" s="14">
        <v>550</v>
      </c>
      <c r="X344" s="7"/>
      <c r="Y344" s="7"/>
      <c r="Z344" s="7"/>
      <c r="AA344" s="7"/>
      <c r="AC344" s="70" t="str">
        <f t="shared" si="11"/>
        <v/>
      </c>
      <c r="AD344" s="75" t="str">
        <f t="shared" si="12"/>
        <v/>
      </c>
    </row>
    <row r="345" spans="1:36" outlineLevel="7">
      <c r="A345" s="3500" t="s">
        <v>265</v>
      </c>
      <c r="B345" s="3500"/>
      <c r="C345" s="7"/>
      <c r="D345" s="7"/>
      <c r="E345" s="14">
        <v>550</v>
      </c>
      <c r="F345" s="7"/>
      <c r="G345" s="7"/>
      <c r="H345" s="8"/>
      <c r="I345" s="9"/>
      <c r="J345" s="7"/>
      <c r="K345" s="7"/>
      <c r="L345" s="7"/>
      <c r="M345" s="14">
        <v>550</v>
      </c>
      <c r="N345" s="14">
        <v>550</v>
      </c>
      <c r="O345" s="14">
        <v>550</v>
      </c>
      <c r="P345" s="7"/>
      <c r="Q345" s="7"/>
      <c r="R345" s="14">
        <v>550</v>
      </c>
      <c r="S345" s="7"/>
      <c r="T345" s="7"/>
      <c r="U345" s="7"/>
      <c r="V345" s="14">
        <v>550</v>
      </c>
      <c r="W345" s="14">
        <v>550</v>
      </c>
      <c r="X345" s="7"/>
      <c r="Y345" s="7"/>
      <c r="Z345" s="7"/>
      <c r="AA345" s="7"/>
      <c r="AC345" s="70" t="str">
        <f t="shared" si="11"/>
        <v/>
      </c>
      <c r="AD345" s="75" t="str">
        <f t="shared" si="12"/>
        <v/>
      </c>
      <c r="AH345" t="s">
        <v>3410</v>
      </c>
    </row>
    <row r="346" spans="1:36" outlineLevel="7">
      <c r="A346" s="3499" t="s">
        <v>1624</v>
      </c>
      <c r="B346" s="3499"/>
      <c r="C346" s="7"/>
      <c r="D346" s="7"/>
      <c r="E346" s="14">
        <v>550</v>
      </c>
      <c r="F346" s="7"/>
      <c r="G346" s="7"/>
      <c r="H346" s="8"/>
      <c r="I346" s="9"/>
      <c r="J346" s="7"/>
      <c r="K346" s="7"/>
      <c r="L346" s="7"/>
      <c r="M346" s="14">
        <v>550</v>
      </c>
      <c r="N346" s="14">
        <v>550</v>
      </c>
      <c r="O346" s="14">
        <v>550</v>
      </c>
      <c r="P346" s="7"/>
      <c r="Q346" s="7"/>
      <c r="R346" s="14">
        <v>550</v>
      </c>
      <c r="S346" s="7"/>
      <c r="T346" s="7"/>
      <c r="U346" s="7"/>
      <c r="V346" s="14">
        <v>550</v>
      </c>
      <c r="W346" s="14">
        <v>550</v>
      </c>
      <c r="X346" s="7"/>
      <c r="Y346" s="7"/>
      <c r="Z346" s="7"/>
      <c r="AA346" s="7"/>
      <c r="AC346" s="70">
        <f t="shared" si="11"/>
        <v>550</v>
      </c>
      <c r="AD346" s="75">
        <f t="shared" si="12"/>
        <v>1</v>
      </c>
    </row>
    <row r="347" spans="1:36" outlineLevel="6">
      <c r="A347" s="3501" t="s">
        <v>266</v>
      </c>
      <c r="B347" s="3501"/>
      <c r="C347" s="7"/>
      <c r="D347" s="7"/>
      <c r="E347" s="14">
        <v>550</v>
      </c>
      <c r="F347" s="7"/>
      <c r="G347" s="7"/>
      <c r="H347" s="8"/>
      <c r="I347" s="9"/>
      <c r="J347" s="7"/>
      <c r="K347" s="7"/>
      <c r="L347" s="7"/>
      <c r="M347" s="14">
        <v>550</v>
      </c>
      <c r="N347" s="14">
        <v>550</v>
      </c>
      <c r="O347" s="14">
        <v>550</v>
      </c>
      <c r="P347" s="7"/>
      <c r="Q347" s="7"/>
      <c r="R347" s="14">
        <v>550</v>
      </c>
      <c r="S347" s="7"/>
      <c r="T347" s="7"/>
      <c r="U347" s="7"/>
      <c r="V347" s="14">
        <v>550</v>
      </c>
      <c r="W347" s="14">
        <v>550</v>
      </c>
      <c r="X347" s="7"/>
      <c r="Y347" s="7"/>
      <c r="Z347" s="7"/>
      <c r="AA347" s="7"/>
      <c r="AC347" s="70" t="str">
        <f t="shared" si="11"/>
        <v/>
      </c>
      <c r="AD347" s="75" t="str">
        <f t="shared" si="12"/>
        <v/>
      </c>
    </row>
    <row r="348" spans="1:36" outlineLevel="7">
      <c r="A348" s="3500" t="s">
        <v>267</v>
      </c>
      <c r="B348" s="3500"/>
      <c r="C348" s="7"/>
      <c r="D348" s="7"/>
      <c r="E348" s="14">
        <v>550</v>
      </c>
      <c r="F348" s="7"/>
      <c r="G348" s="7"/>
      <c r="H348" s="8"/>
      <c r="I348" s="9"/>
      <c r="J348" s="7"/>
      <c r="K348" s="7"/>
      <c r="L348" s="7"/>
      <c r="M348" s="14">
        <v>550</v>
      </c>
      <c r="N348" s="14">
        <v>550</v>
      </c>
      <c r="O348" s="14">
        <v>550</v>
      </c>
      <c r="P348" s="7"/>
      <c r="Q348" s="7"/>
      <c r="R348" s="14">
        <v>550</v>
      </c>
      <c r="S348" s="7"/>
      <c r="T348" s="7"/>
      <c r="U348" s="7"/>
      <c r="V348" s="14">
        <v>550</v>
      </c>
      <c r="W348" s="14">
        <v>550</v>
      </c>
      <c r="X348" s="7"/>
      <c r="Y348" s="7"/>
      <c r="Z348" s="7"/>
      <c r="AA348" s="7"/>
      <c r="AC348" s="70" t="str">
        <f t="shared" si="11"/>
        <v/>
      </c>
      <c r="AD348" s="75" t="str">
        <f t="shared" si="12"/>
        <v/>
      </c>
      <c r="AH348" t="s">
        <v>3551</v>
      </c>
    </row>
    <row r="349" spans="1:36" outlineLevel="7">
      <c r="A349" s="3499" t="s">
        <v>1625</v>
      </c>
      <c r="B349" s="3499"/>
      <c r="C349" s="7"/>
      <c r="D349" s="7"/>
      <c r="E349" s="14">
        <v>550</v>
      </c>
      <c r="F349" s="7"/>
      <c r="G349" s="7"/>
      <c r="H349" s="8"/>
      <c r="I349" s="9"/>
      <c r="J349" s="7"/>
      <c r="K349" s="7"/>
      <c r="L349" s="7"/>
      <c r="M349" s="14">
        <v>550</v>
      </c>
      <c r="N349" s="14">
        <v>550</v>
      </c>
      <c r="O349" s="14">
        <v>550</v>
      </c>
      <c r="P349" s="7"/>
      <c r="Q349" s="7"/>
      <c r="R349" s="14">
        <v>550</v>
      </c>
      <c r="S349" s="7"/>
      <c r="T349" s="7"/>
      <c r="U349" s="7"/>
      <c r="V349" s="14">
        <v>550</v>
      </c>
      <c r="W349" s="14">
        <v>550</v>
      </c>
      <c r="X349" s="7"/>
      <c r="Y349" s="7"/>
      <c r="Z349" s="7"/>
      <c r="AA349" s="7"/>
      <c r="AC349" s="70">
        <f t="shared" si="11"/>
        <v>550</v>
      </c>
      <c r="AD349" s="75">
        <f t="shared" si="12"/>
        <v>1</v>
      </c>
    </row>
    <row r="350" spans="1:36" outlineLevel="6">
      <c r="A350" s="3501" t="s">
        <v>268</v>
      </c>
      <c r="B350" s="3501"/>
      <c r="C350" s="7"/>
      <c r="D350" s="7"/>
      <c r="E350" s="13">
        <v>2563.21</v>
      </c>
      <c r="F350" s="7"/>
      <c r="G350" s="7"/>
      <c r="H350" s="8"/>
      <c r="I350" s="9"/>
      <c r="J350" s="7"/>
      <c r="K350" s="7"/>
      <c r="L350" s="7"/>
      <c r="M350" s="13">
        <v>2563.21</v>
      </c>
      <c r="N350" s="13">
        <v>2563.21</v>
      </c>
      <c r="O350" s="13">
        <v>2563.21</v>
      </c>
      <c r="P350" s="7"/>
      <c r="Q350" s="7"/>
      <c r="R350" s="13">
        <v>2563.21</v>
      </c>
      <c r="S350" s="7"/>
      <c r="T350" s="7"/>
      <c r="U350" s="7"/>
      <c r="V350" s="13">
        <v>2563.21</v>
      </c>
      <c r="W350" s="13">
        <v>2563.21</v>
      </c>
      <c r="X350" s="7"/>
      <c r="Y350" s="7"/>
      <c r="Z350" s="7"/>
      <c r="AA350" s="7"/>
      <c r="AC350" s="70" t="str">
        <f t="shared" si="11"/>
        <v/>
      </c>
      <c r="AD350" s="75" t="str">
        <f t="shared" si="12"/>
        <v/>
      </c>
    </row>
    <row r="351" spans="1:36" outlineLevel="7">
      <c r="A351" s="3500" t="s">
        <v>269</v>
      </c>
      <c r="B351" s="3500"/>
      <c r="C351" s="7"/>
      <c r="D351" s="7"/>
      <c r="E351" s="13">
        <v>2563.21</v>
      </c>
      <c r="F351" s="7"/>
      <c r="G351" s="7"/>
      <c r="H351" s="8"/>
      <c r="I351" s="9"/>
      <c r="J351" s="7"/>
      <c r="K351" s="7"/>
      <c r="L351" s="7"/>
      <c r="M351" s="13">
        <v>2563.21</v>
      </c>
      <c r="N351" s="13">
        <v>2563.21</v>
      </c>
      <c r="O351" s="13">
        <v>2563.21</v>
      </c>
      <c r="P351" s="7"/>
      <c r="Q351" s="7"/>
      <c r="R351" s="13">
        <v>2563.21</v>
      </c>
      <c r="S351" s="7"/>
      <c r="T351" s="7"/>
      <c r="U351" s="7"/>
      <c r="V351" s="13">
        <v>2563.21</v>
      </c>
      <c r="W351" s="13">
        <v>2563.21</v>
      </c>
      <c r="X351" s="7"/>
      <c r="Y351" s="7"/>
      <c r="Z351" s="7"/>
      <c r="AA351" s="7"/>
      <c r="AC351" s="70" t="str">
        <f t="shared" si="11"/>
        <v/>
      </c>
      <c r="AD351" s="75" t="str">
        <f t="shared" si="12"/>
        <v/>
      </c>
      <c r="AH351" s="1" t="s">
        <v>3596</v>
      </c>
      <c r="AJ351" s="1"/>
    </row>
    <row r="352" spans="1:36" outlineLevel="7">
      <c r="A352" s="3499" t="s">
        <v>1626</v>
      </c>
      <c r="B352" s="3499"/>
      <c r="C352" s="7"/>
      <c r="D352" s="7"/>
      <c r="E352" s="13">
        <v>2563.21</v>
      </c>
      <c r="F352" s="7"/>
      <c r="G352" s="7"/>
      <c r="H352" s="8"/>
      <c r="I352" s="9"/>
      <c r="J352" s="7"/>
      <c r="K352" s="7"/>
      <c r="L352" s="7"/>
      <c r="M352" s="13">
        <v>2563.21</v>
      </c>
      <c r="N352" s="13">
        <v>2563.21</v>
      </c>
      <c r="O352" s="13">
        <v>2563.21</v>
      </c>
      <c r="P352" s="7"/>
      <c r="Q352" s="7"/>
      <c r="R352" s="13">
        <v>2563.21</v>
      </c>
      <c r="S352" s="7"/>
      <c r="T352" s="7"/>
      <c r="U352" s="7"/>
      <c r="V352" s="13">
        <v>2563.21</v>
      </c>
      <c r="W352" s="13">
        <v>2563.21</v>
      </c>
      <c r="X352" s="7"/>
      <c r="Y352" s="7"/>
      <c r="Z352" s="7"/>
      <c r="AA352" s="7"/>
      <c r="AC352" s="70">
        <f t="shared" si="11"/>
        <v>2563.21</v>
      </c>
      <c r="AD352" s="75" t="str">
        <f t="shared" si="12"/>
        <v/>
      </c>
      <c r="AG352">
        <f>AC352</f>
        <v>2563.21</v>
      </c>
      <c r="AH352" s="27"/>
    </row>
    <row r="353" spans="1:36" outlineLevel="6">
      <c r="A353" s="3501" t="s">
        <v>270</v>
      </c>
      <c r="B353" s="3501"/>
      <c r="C353" s="7"/>
      <c r="D353" s="7"/>
      <c r="E353" s="13">
        <v>3327.68</v>
      </c>
      <c r="F353" s="7"/>
      <c r="G353" s="7"/>
      <c r="H353" s="8"/>
      <c r="I353" s="9"/>
      <c r="J353" s="7"/>
      <c r="K353" s="7"/>
      <c r="L353" s="7"/>
      <c r="M353" s="13">
        <v>3327.68</v>
      </c>
      <c r="N353" s="13">
        <v>3327.68</v>
      </c>
      <c r="O353" s="13">
        <v>3327.68</v>
      </c>
      <c r="P353" s="7"/>
      <c r="Q353" s="7"/>
      <c r="R353" s="13">
        <v>3327.68</v>
      </c>
      <c r="S353" s="7"/>
      <c r="T353" s="7"/>
      <c r="U353" s="7"/>
      <c r="V353" s="13">
        <v>3327.68</v>
      </c>
      <c r="W353" s="13">
        <v>3327.68</v>
      </c>
      <c r="X353" s="7"/>
      <c r="Y353" s="7"/>
      <c r="Z353" s="7"/>
      <c r="AA353" s="7"/>
      <c r="AC353" s="70" t="str">
        <f t="shared" si="11"/>
        <v/>
      </c>
      <c r="AD353" s="75" t="str">
        <f t="shared" si="12"/>
        <v/>
      </c>
    </row>
    <row r="354" spans="1:36" outlineLevel="7">
      <c r="A354" s="3500" t="s">
        <v>271</v>
      </c>
      <c r="B354" s="3500"/>
      <c r="C354" s="7"/>
      <c r="D354" s="7"/>
      <c r="E354" s="13">
        <v>3327.68</v>
      </c>
      <c r="F354" s="7"/>
      <c r="G354" s="7"/>
      <c r="H354" s="8"/>
      <c r="I354" s="9"/>
      <c r="J354" s="7"/>
      <c r="K354" s="7"/>
      <c r="L354" s="7"/>
      <c r="M354" s="13">
        <v>3327.68</v>
      </c>
      <c r="N354" s="13">
        <v>3327.68</v>
      </c>
      <c r="O354" s="13">
        <v>3327.68</v>
      </c>
      <c r="P354" s="7"/>
      <c r="Q354" s="7"/>
      <c r="R354" s="13">
        <v>3327.68</v>
      </c>
      <c r="S354" s="7"/>
      <c r="T354" s="7"/>
      <c r="U354" s="7"/>
      <c r="V354" s="13">
        <v>3327.68</v>
      </c>
      <c r="W354" s="13">
        <v>3327.68</v>
      </c>
      <c r="X354" s="7"/>
      <c r="Y354" s="7"/>
      <c r="Z354" s="7"/>
      <c r="AA354" s="7"/>
      <c r="AC354" s="70" t="str">
        <f t="shared" si="11"/>
        <v/>
      </c>
      <c r="AD354" s="75" t="str">
        <f t="shared" si="12"/>
        <v/>
      </c>
      <c r="AH354" s="1" t="s">
        <v>3602</v>
      </c>
      <c r="AJ354" s="1"/>
    </row>
    <row r="355" spans="1:36" outlineLevel="7">
      <c r="A355" s="3499" t="s">
        <v>1627</v>
      </c>
      <c r="B355" s="3499"/>
      <c r="C355" s="7"/>
      <c r="D355" s="7"/>
      <c r="E355" s="13">
        <v>3327.68</v>
      </c>
      <c r="F355" s="7"/>
      <c r="G355" s="7"/>
      <c r="H355" s="8"/>
      <c r="I355" s="9"/>
      <c r="J355" s="7"/>
      <c r="K355" s="7"/>
      <c r="L355" s="7"/>
      <c r="M355" s="13">
        <v>3327.68</v>
      </c>
      <c r="N355" s="13">
        <v>3327.68</v>
      </c>
      <c r="O355" s="13">
        <v>3327.68</v>
      </c>
      <c r="P355" s="7"/>
      <c r="Q355" s="7"/>
      <c r="R355" s="13">
        <v>3327.68</v>
      </c>
      <c r="S355" s="7"/>
      <c r="T355" s="7"/>
      <c r="U355" s="7"/>
      <c r="V355" s="13">
        <v>3327.68</v>
      </c>
      <c r="W355" s="13">
        <v>3327.68</v>
      </c>
      <c r="X355" s="7"/>
      <c r="Y355" s="7"/>
      <c r="Z355" s="7"/>
      <c r="AA355" s="7"/>
      <c r="AC355" s="70">
        <f t="shared" si="11"/>
        <v>3327.68</v>
      </c>
      <c r="AD355" s="75" t="str">
        <f t="shared" si="12"/>
        <v/>
      </c>
      <c r="AG355">
        <f>AC355</f>
        <v>3327.68</v>
      </c>
      <c r="AH355" s="27"/>
    </row>
    <row r="356" spans="1:36" outlineLevel="6">
      <c r="A356" s="3501" t="s">
        <v>272</v>
      </c>
      <c r="B356" s="3501"/>
      <c r="C356" s="7"/>
      <c r="D356" s="7"/>
      <c r="E356" s="14">
        <v>550</v>
      </c>
      <c r="F356" s="7"/>
      <c r="G356" s="7"/>
      <c r="H356" s="8"/>
      <c r="I356" s="9"/>
      <c r="J356" s="7"/>
      <c r="K356" s="7"/>
      <c r="L356" s="7"/>
      <c r="M356" s="14">
        <v>550</v>
      </c>
      <c r="N356" s="14">
        <v>550</v>
      </c>
      <c r="O356" s="14">
        <v>550</v>
      </c>
      <c r="P356" s="7"/>
      <c r="Q356" s="7"/>
      <c r="R356" s="14">
        <v>550</v>
      </c>
      <c r="S356" s="7"/>
      <c r="T356" s="7"/>
      <c r="U356" s="7"/>
      <c r="V356" s="14">
        <v>550</v>
      </c>
      <c r="W356" s="14">
        <v>550</v>
      </c>
      <c r="X356" s="7"/>
      <c r="Y356" s="7"/>
      <c r="Z356" s="7"/>
      <c r="AA356" s="7"/>
      <c r="AC356" s="70" t="str">
        <f t="shared" si="11"/>
        <v/>
      </c>
      <c r="AD356" s="75" t="str">
        <f t="shared" si="12"/>
        <v/>
      </c>
    </row>
    <row r="357" spans="1:36" outlineLevel="7">
      <c r="A357" s="3500" t="s">
        <v>273</v>
      </c>
      <c r="B357" s="3500"/>
      <c r="C357" s="7"/>
      <c r="D357" s="7"/>
      <c r="E357" s="14">
        <v>550</v>
      </c>
      <c r="F357" s="7"/>
      <c r="G357" s="7"/>
      <c r="H357" s="8"/>
      <c r="I357" s="9"/>
      <c r="J357" s="7"/>
      <c r="K357" s="7"/>
      <c r="L357" s="7"/>
      <c r="M357" s="14">
        <v>550</v>
      </c>
      <c r="N357" s="14">
        <v>550</v>
      </c>
      <c r="O357" s="14">
        <v>550</v>
      </c>
      <c r="P357" s="7"/>
      <c r="Q357" s="7"/>
      <c r="R357" s="14">
        <v>550</v>
      </c>
      <c r="S357" s="7"/>
      <c r="T357" s="7"/>
      <c r="U357" s="7"/>
      <c r="V357" s="14">
        <v>550</v>
      </c>
      <c r="W357" s="14">
        <v>550</v>
      </c>
      <c r="X357" s="7"/>
      <c r="Y357" s="7"/>
      <c r="Z357" s="7"/>
      <c r="AA357" s="7"/>
      <c r="AC357" s="70" t="str">
        <f t="shared" si="11"/>
        <v/>
      </c>
      <c r="AD357" s="75" t="str">
        <f t="shared" si="12"/>
        <v/>
      </c>
      <c r="AH357" t="s">
        <v>3532</v>
      </c>
    </row>
    <row r="358" spans="1:36" outlineLevel="7">
      <c r="A358" s="3499" t="s">
        <v>1628</v>
      </c>
      <c r="B358" s="3499"/>
      <c r="C358" s="7"/>
      <c r="D358" s="7"/>
      <c r="E358" s="14">
        <v>550</v>
      </c>
      <c r="F358" s="7"/>
      <c r="G358" s="7"/>
      <c r="H358" s="8"/>
      <c r="I358" s="9"/>
      <c r="J358" s="7"/>
      <c r="K358" s="7"/>
      <c r="L358" s="7"/>
      <c r="M358" s="14">
        <v>550</v>
      </c>
      <c r="N358" s="14">
        <v>550</v>
      </c>
      <c r="O358" s="14">
        <v>550</v>
      </c>
      <c r="P358" s="7"/>
      <c r="Q358" s="7"/>
      <c r="R358" s="14">
        <v>550</v>
      </c>
      <c r="S358" s="7"/>
      <c r="T358" s="7"/>
      <c r="U358" s="7"/>
      <c r="V358" s="14">
        <v>550</v>
      </c>
      <c r="W358" s="14">
        <v>550</v>
      </c>
      <c r="X358" s="7"/>
      <c r="Y358" s="7"/>
      <c r="Z358" s="7"/>
      <c r="AA358" s="7"/>
      <c r="AC358" s="70">
        <f t="shared" si="11"/>
        <v>550</v>
      </c>
      <c r="AD358" s="75">
        <f t="shared" si="12"/>
        <v>1</v>
      </c>
    </row>
    <row r="359" spans="1:36" outlineLevel="6">
      <c r="A359" s="3501" t="s">
        <v>274</v>
      </c>
      <c r="B359" s="3501"/>
      <c r="C359" s="7"/>
      <c r="D359" s="7"/>
      <c r="E359" s="14">
        <v>550</v>
      </c>
      <c r="F359" s="7"/>
      <c r="G359" s="7"/>
      <c r="H359" s="8"/>
      <c r="I359" s="9"/>
      <c r="J359" s="7"/>
      <c r="K359" s="7"/>
      <c r="L359" s="7"/>
      <c r="M359" s="14">
        <v>550</v>
      </c>
      <c r="N359" s="14">
        <v>550</v>
      </c>
      <c r="O359" s="14">
        <v>550</v>
      </c>
      <c r="P359" s="7"/>
      <c r="Q359" s="7"/>
      <c r="R359" s="14">
        <v>550</v>
      </c>
      <c r="S359" s="7"/>
      <c r="T359" s="7"/>
      <c r="U359" s="7"/>
      <c r="V359" s="14">
        <v>550</v>
      </c>
      <c r="W359" s="14">
        <v>550</v>
      </c>
      <c r="X359" s="7"/>
      <c r="Y359" s="7"/>
      <c r="Z359" s="7"/>
      <c r="AA359" s="7"/>
      <c r="AC359" s="70" t="str">
        <f t="shared" si="11"/>
        <v/>
      </c>
      <c r="AD359" s="75" t="str">
        <f t="shared" si="12"/>
        <v/>
      </c>
    </row>
    <row r="360" spans="1:36" outlineLevel="7">
      <c r="A360" s="3500" t="s">
        <v>275</v>
      </c>
      <c r="B360" s="3500"/>
      <c r="C360" s="7"/>
      <c r="D360" s="7"/>
      <c r="E360" s="14">
        <v>550</v>
      </c>
      <c r="F360" s="7"/>
      <c r="G360" s="7"/>
      <c r="H360" s="8"/>
      <c r="I360" s="9"/>
      <c r="J360" s="7"/>
      <c r="K360" s="7"/>
      <c r="L360" s="7"/>
      <c r="M360" s="14">
        <v>550</v>
      </c>
      <c r="N360" s="14">
        <v>550</v>
      </c>
      <c r="O360" s="14">
        <v>550</v>
      </c>
      <c r="P360" s="7"/>
      <c r="Q360" s="7"/>
      <c r="R360" s="14">
        <v>550</v>
      </c>
      <c r="S360" s="7"/>
      <c r="T360" s="7"/>
      <c r="U360" s="7"/>
      <c r="V360" s="14">
        <v>550</v>
      </c>
      <c r="W360" s="14">
        <v>550</v>
      </c>
      <c r="X360" s="7"/>
      <c r="Y360" s="7"/>
      <c r="Z360" s="7"/>
      <c r="AA360" s="7"/>
      <c r="AC360" s="70" t="str">
        <f t="shared" si="11"/>
        <v/>
      </c>
      <c r="AD360" s="75" t="str">
        <f t="shared" si="12"/>
        <v/>
      </c>
      <c r="AH360" t="s">
        <v>3444</v>
      </c>
    </row>
    <row r="361" spans="1:36" outlineLevel="7">
      <c r="A361" s="3499" t="s">
        <v>1629</v>
      </c>
      <c r="B361" s="3499"/>
      <c r="C361" s="7"/>
      <c r="D361" s="7"/>
      <c r="E361" s="14">
        <v>550</v>
      </c>
      <c r="F361" s="7"/>
      <c r="G361" s="7"/>
      <c r="H361" s="8"/>
      <c r="I361" s="9"/>
      <c r="J361" s="7"/>
      <c r="K361" s="7"/>
      <c r="L361" s="7"/>
      <c r="M361" s="14">
        <v>550</v>
      </c>
      <c r="N361" s="14">
        <v>550</v>
      </c>
      <c r="O361" s="14">
        <v>550</v>
      </c>
      <c r="P361" s="7"/>
      <c r="Q361" s="7"/>
      <c r="R361" s="14">
        <v>550</v>
      </c>
      <c r="S361" s="7"/>
      <c r="T361" s="7"/>
      <c r="U361" s="7"/>
      <c r="V361" s="14">
        <v>550</v>
      </c>
      <c r="W361" s="14">
        <v>550</v>
      </c>
      <c r="X361" s="7"/>
      <c r="Y361" s="7"/>
      <c r="Z361" s="7"/>
      <c r="AA361" s="7"/>
      <c r="AC361" s="70">
        <f t="shared" si="11"/>
        <v>550</v>
      </c>
      <c r="AD361" s="75">
        <f t="shared" si="12"/>
        <v>1</v>
      </c>
    </row>
    <row r="362" spans="1:36" outlineLevel="6">
      <c r="A362" s="3501" t="s">
        <v>276</v>
      </c>
      <c r="B362" s="3501"/>
      <c r="C362" s="7"/>
      <c r="D362" s="7"/>
      <c r="E362" s="13">
        <v>1100</v>
      </c>
      <c r="F362" s="7"/>
      <c r="G362" s="7"/>
      <c r="H362" s="8"/>
      <c r="I362" s="9"/>
      <c r="J362" s="7"/>
      <c r="K362" s="7"/>
      <c r="L362" s="7"/>
      <c r="M362" s="13">
        <v>1100</v>
      </c>
      <c r="N362" s="13">
        <v>1100</v>
      </c>
      <c r="O362" s="13">
        <v>1100</v>
      </c>
      <c r="P362" s="7"/>
      <c r="Q362" s="7"/>
      <c r="R362" s="13">
        <v>1100</v>
      </c>
      <c r="S362" s="7"/>
      <c r="T362" s="7"/>
      <c r="U362" s="7"/>
      <c r="V362" s="13">
        <v>1100</v>
      </c>
      <c r="W362" s="13">
        <v>1100</v>
      </c>
      <c r="X362" s="7"/>
      <c r="Y362" s="7"/>
      <c r="Z362" s="7"/>
      <c r="AA362" s="7"/>
      <c r="AC362" s="70" t="str">
        <f t="shared" si="11"/>
        <v/>
      </c>
      <c r="AD362" s="75" t="str">
        <f t="shared" si="12"/>
        <v/>
      </c>
    </row>
    <row r="363" spans="1:36" outlineLevel="7">
      <c r="A363" s="3500" t="s">
        <v>277</v>
      </c>
      <c r="B363" s="3500"/>
      <c r="C363" s="7"/>
      <c r="D363" s="7"/>
      <c r="E363" s="14">
        <v>550</v>
      </c>
      <c r="F363" s="7"/>
      <c r="G363" s="7"/>
      <c r="H363" s="8"/>
      <c r="I363" s="9"/>
      <c r="J363" s="7"/>
      <c r="K363" s="7"/>
      <c r="L363" s="7"/>
      <c r="M363" s="14">
        <v>550</v>
      </c>
      <c r="N363" s="14">
        <v>550</v>
      </c>
      <c r="O363" s="14">
        <v>550</v>
      </c>
      <c r="P363" s="7"/>
      <c r="Q363" s="7"/>
      <c r="R363" s="14">
        <v>550</v>
      </c>
      <c r="S363" s="7"/>
      <c r="T363" s="7"/>
      <c r="U363" s="7"/>
      <c r="V363" s="14">
        <v>550</v>
      </c>
      <c r="W363" s="14">
        <v>550</v>
      </c>
      <c r="X363" s="7"/>
      <c r="Y363" s="7"/>
      <c r="Z363" s="7"/>
      <c r="AA363" s="7"/>
      <c r="AC363" s="70" t="str">
        <f t="shared" si="11"/>
        <v/>
      </c>
      <c r="AD363" s="75" t="str">
        <f t="shared" si="12"/>
        <v/>
      </c>
      <c r="AH363" t="s">
        <v>3576</v>
      </c>
    </row>
    <row r="364" spans="1:36" outlineLevel="7">
      <c r="A364" s="3499" t="s">
        <v>1630</v>
      </c>
      <c r="B364" s="3499"/>
      <c r="C364" s="7"/>
      <c r="D364" s="7"/>
      <c r="E364" s="14">
        <v>550</v>
      </c>
      <c r="F364" s="7"/>
      <c r="G364" s="7"/>
      <c r="H364" s="8"/>
      <c r="I364" s="9"/>
      <c r="J364" s="7"/>
      <c r="K364" s="7"/>
      <c r="L364" s="7"/>
      <c r="M364" s="14">
        <v>550</v>
      </c>
      <c r="N364" s="14">
        <v>550</v>
      </c>
      <c r="O364" s="14">
        <v>550</v>
      </c>
      <c r="P364" s="7"/>
      <c r="Q364" s="7"/>
      <c r="R364" s="14">
        <v>550</v>
      </c>
      <c r="S364" s="7"/>
      <c r="T364" s="7"/>
      <c r="U364" s="7"/>
      <c r="V364" s="14">
        <v>550</v>
      </c>
      <c r="W364" s="14">
        <v>550</v>
      </c>
      <c r="X364" s="7"/>
      <c r="Y364" s="7"/>
      <c r="Z364" s="7"/>
      <c r="AA364" s="7"/>
      <c r="AC364" s="70">
        <f t="shared" si="11"/>
        <v>550</v>
      </c>
      <c r="AD364" s="75">
        <f t="shared" si="12"/>
        <v>1</v>
      </c>
    </row>
    <row r="365" spans="1:36" outlineLevel="7">
      <c r="A365" s="3500" t="s">
        <v>278</v>
      </c>
      <c r="B365" s="3500"/>
      <c r="C365" s="7"/>
      <c r="D365" s="7"/>
      <c r="E365" s="14">
        <v>550</v>
      </c>
      <c r="F365" s="7"/>
      <c r="G365" s="7"/>
      <c r="H365" s="8"/>
      <c r="I365" s="9"/>
      <c r="J365" s="7"/>
      <c r="K365" s="7"/>
      <c r="L365" s="7"/>
      <c r="M365" s="14">
        <v>550</v>
      </c>
      <c r="N365" s="14">
        <v>550</v>
      </c>
      <c r="O365" s="14">
        <v>550</v>
      </c>
      <c r="P365" s="7"/>
      <c r="Q365" s="7"/>
      <c r="R365" s="14">
        <v>550</v>
      </c>
      <c r="S365" s="7"/>
      <c r="T365" s="7"/>
      <c r="U365" s="7"/>
      <c r="V365" s="14">
        <v>550</v>
      </c>
      <c r="W365" s="14">
        <v>550</v>
      </c>
      <c r="X365" s="7"/>
      <c r="Y365" s="7"/>
      <c r="Z365" s="7"/>
      <c r="AA365" s="7"/>
      <c r="AC365" s="70" t="str">
        <f t="shared" si="11"/>
        <v/>
      </c>
      <c r="AD365" s="75" t="str">
        <f t="shared" si="12"/>
        <v/>
      </c>
      <c r="AH365" t="s">
        <v>3580</v>
      </c>
    </row>
    <row r="366" spans="1:36" outlineLevel="7">
      <c r="A366" s="3499" t="s">
        <v>1631</v>
      </c>
      <c r="B366" s="3499"/>
      <c r="C366" s="7"/>
      <c r="D366" s="7"/>
      <c r="E366" s="14">
        <v>550</v>
      </c>
      <c r="F366" s="7"/>
      <c r="G366" s="7"/>
      <c r="H366" s="8"/>
      <c r="I366" s="9"/>
      <c r="J366" s="7"/>
      <c r="K366" s="7"/>
      <c r="L366" s="7"/>
      <c r="M366" s="14">
        <v>550</v>
      </c>
      <c r="N366" s="14">
        <v>550</v>
      </c>
      <c r="O366" s="14">
        <v>550</v>
      </c>
      <c r="P366" s="7"/>
      <c r="Q366" s="7"/>
      <c r="R366" s="14">
        <v>550</v>
      </c>
      <c r="S366" s="7"/>
      <c r="T366" s="7"/>
      <c r="U366" s="7"/>
      <c r="V366" s="14">
        <v>550</v>
      </c>
      <c r="W366" s="14">
        <v>550</v>
      </c>
      <c r="X366" s="7"/>
      <c r="Y366" s="7"/>
      <c r="Z366" s="7"/>
      <c r="AA366" s="7"/>
      <c r="AC366" s="70">
        <f t="shared" si="11"/>
        <v>550</v>
      </c>
      <c r="AD366" s="75">
        <f t="shared" si="12"/>
        <v>1</v>
      </c>
    </row>
    <row r="367" spans="1:36" outlineLevel="6">
      <c r="A367" s="3501" t="s">
        <v>279</v>
      </c>
      <c r="B367" s="3501"/>
      <c r="C367" s="7"/>
      <c r="D367" s="7"/>
      <c r="E367" s="14">
        <v>550</v>
      </c>
      <c r="F367" s="7"/>
      <c r="G367" s="7"/>
      <c r="H367" s="8"/>
      <c r="I367" s="9"/>
      <c r="J367" s="7"/>
      <c r="K367" s="7"/>
      <c r="L367" s="7"/>
      <c r="M367" s="14">
        <v>550</v>
      </c>
      <c r="N367" s="14">
        <v>550</v>
      </c>
      <c r="O367" s="14">
        <v>550</v>
      </c>
      <c r="P367" s="7"/>
      <c r="Q367" s="7"/>
      <c r="R367" s="14">
        <v>550</v>
      </c>
      <c r="S367" s="7"/>
      <c r="T367" s="7"/>
      <c r="U367" s="14">
        <v>550</v>
      </c>
      <c r="V367" s="7"/>
      <c r="W367" s="7"/>
      <c r="X367" s="7"/>
      <c r="Y367" s="7"/>
      <c r="Z367" s="7"/>
      <c r="AA367" s="7"/>
      <c r="AC367" s="70" t="str">
        <f t="shared" si="11"/>
        <v/>
      </c>
      <c r="AD367" s="75" t="str">
        <f t="shared" si="12"/>
        <v/>
      </c>
    </row>
    <row r="368" spans="1:36" outlineLevel="7">
      <c r="A368" s="3500" t="s">
        <v>280</v>
      </c>
      <c r="B368" s="3500"/>
      <c r="C368" s="7"/>
      <c r="D368" s="7"/>
      <c r="E368" s="14">
        <v>550</v>
      </c>
      <c r="F368" s="7"/>
      <c r="G368" s="7"/>
      <c r="H368" s="8"/>
      <c r="I368" s="9"/>
      <c r="J368" s="7"/>
      <c r="K368" s="7"/>
      <c r="L368" s="7"/>
      <c r="M368" s="14">
        <v>550</v>
      </c>
      <c r="N368" s="14">
        <v>550</v>
      </c>
      <c r="O368" s="14">
        <v>550</v>
      </c>
      <c r="P368" s="7"/>
      <c r="Q368" s="7"/>
      <c r="R368" s="14">
        <v>550</v>
      </c>
      <c r="S368" s="7"/>
      <c r="T368" s="7"/>
      <c r="U368" s="14">
        <v>550</v>
      </c>
      <c r="V368" s="7"/>
      <c r="W368" s="7"/>
      <c r="X368" s="7"/>
      <c r="Y368" s="7"/>
      <c r="Z368" s="7"/>
      <c r="AA368" s="7"/>
      <c r="AC368" s="70" t="str">
        <f t="shared" si="11"/>
        <v/>
      </c>
      <c r="AD368" s="75" t="str">
        <f t="shared" si="12"/>
        <v/>
      </c>
      <c r="AH368" t="s">
        <v>3413</v>
      </c>
    </row>
    <row r="369" spans="1:34" outlineLevel="7">
      <c r="A369" s="3499" t="s">
        <v>1632</v>
      </c>
      <c r="B369" s="3499"/>
      <c r="C369" s="7"/>
      <c r="D369" s="7"/>
      <c r="E369" s="14">
        <v>550</v>
      </c>
      <c r="F369" s="7"/>
      <c r="G369" s="7"/>
      <c r="H369" s="8"/>
      <c r="I369" s="9"/>
      <c r="J369" s="7"/>
      <c r="K369" s="7"/>
      <c r="L369" s="7"/>
      <c r="M369" s="14">
        <v>550</v>
      </c>
      <c r="N369" s="14">
        <v>550</v>
      </c>
      <c r="O369" s="14">
        <v>550</v>
      </c>
      <c r="P369" s="7"/>
      <c r="Q369" s="7"/>
      <c r="R369" s="14">
        <v>550</v>
      </c>
      <c r="S369" s="7"/>
      <c r="T369" s="7"/>
      <c r="U369" s="14">
        <v>550</v>
      </c>
      <c r="V369" s="7"/>
      <c r="W369" s="7"/>
      <c r="X369" s="7"/>
      <c r="Y369" s="7"/>
      <c r="Z369" s="7"/>
      <c r="AA369" s="7"/>
      <c r="AC369" s="70">
        <f t="shared" si="11"/>
        <v>550</v>
      </c>
      <c r="AD369" s="75">
        <f t="shared" si="12"/>
        <v>1</v>
      </c>
    </row>
    <row r="370" spans="1:34" outlineLevel="6">
      <c r="A370" s="3501" t="s">
        <v>281</v>
      </c>
      <c r="B370" s="3501"/>
      <c r="C370" s="7"/>
      <c r="D370" s="7"/>
      <c r="E370" s="14">
        <v>550</v>
      </c>
      <c r="F370" s="7"/>
      <c r="G370" s="7"/>
      <c r="H370" s="8"/>
      <c r="I370" s="9"/>
      <c r="J370" s="7"/>
      <c r="K370" s="7"/>
      <c r="L370" s="7"/>
      <c r="M370" s="14">
        <v>550</v>
      </c>
      <c r="N370" s="14">
        <v>550</v>
      </c>
      <c r="O370" s="14">
        <v>550</v>
      </c>
      <c r="P370" s="7"/>
      <c r="Q370" s="7"/>
      <c r="R370" s="14">
        <v>550</v>
      </c>
      <c r="S370" s="7"/>
      <c r="T370" s="7"/>
      <c r="U370" s="7"/>
      <c r="V370" s="14">
        <v>550</v>
      </c>
      <c r="W370" s="14">
        <v>550</v>
      </c>
      <c r="X370" s="7"/>
      <c r="Y370" s="7"/>
      <c r="Z370" s="7"/>
      <c r="AA370" s="7"/>
      <c r="AC370" s="70" t="str">
        <f t="shared" si="11"/>
        <v/>
      </c>
      <c r="AD370" s="75" t="str">
        <f t="shared" si="12"/>
        <v/>
      </c>
    </row>
    <row r="371" spans="1:34" outlineLevel="7">
      <c r="A371" s="3500" t="s">
        <v>282</v>
      </c>
      <c r="B371" s="3500"/>
      <c r="C371" s="7"/>
      <c r="D371" s="7"/>
      <c r="E371" s="14">
        <v>550</v>
      </c>
      <c r="F371" s="7"/>
      <c r="G371" s="7"/>
      <c r="H371" s="8"/>
      <c r="I371" s="9"/>
      <c r="J371" s="7"/>
      <c r="K371" s="7"/>
      <c r="L371" s="7"/>
      <c r="M371" s="14">
        <v>550</v>
      </c>
      <c r="N371" s="14">
        <v>550</v>
      </c>
      <c r="O371" s="14">
        <v>550</v>
      </c>
      <c r="P371" s="7"/>
      <c r="Q371" s="7"/>
      <c r="R371" s="14">
        <v>550</v>
      </c>
      <c r="S371" s="7"/>
      <c r="T371" s="7"/>
      <c r="U371" s="7"/>
      <c r="V371" s="14">
        <v>550</v>
      </c>
      <c r="W371" s="14">
        <v>550</v>
      </c>
      <c r="X371" s="7"/>
      <c r="Y371" s="7"/>
      <c r="Z371" s="7"/>
      <c r="AA371" s="7"/>
      <c r="AC371" s="70" t="str">
        <f t="shared" si="11"/>
        <v/>
      </c>
      <c r="AD371" s="75" t="str">
        <f t="shared" si="12"/>
        <v/>
      </c>
      <c r="AH371" t="s">
        <v>3455</v>
      </c>
    </row>
    <row r="372" spans="1:34" outlineLevel="7">
      <c r="A372" s="3499" t="s">
        <v>1633</v>
      </c>
      <c r="B372" s="3499"/>
      <c r="C372" s="7"/>
      <c r="D372" s="7"/>
      <c r="E372" s="14">
        <v>550</v>
      </c>
      <c r="F372" s="7"/>
      <c r="G372" s="7"/>
      <c r="H372" s="8"/>
      <c r="I372" s="9"/>
      <c r="J372" s="7"/>
      <c r="K372" s="7"/>
      <c r="L372" s="7"/>
      <c r="M372" s="14">
        <v>550</v>
      </c>
      <c r="N372" s="14">
        <v>550</v>
      </c>
      <c r="O372" s="14">
        <v>550</v>
      </c>
      <c r="P372" s="7"/>
      <c r="Q372" s="7"/>
      <c r="R372" s="14">
        <v>550</v>
      </c>
      <c r="S372" s="7"/>
      <c r="T372" s="7"/>
      <c r="U372" s="7"/>
      <c r="V372" s="14">
        <v>550</v>
      </c>
      <c r="W372" s="14">
        <v>550</v>
      </c>
      <c r="X372" s="7"/>
      <c r="Y372" s="7"/>
      <c r="Z372" s="7"/>
      <c r="AA372" s="7"/>
      <c r="AC372" s="70">
        <f t="shared" si="11"/>
        <v>550</v>
      </c>
      <c r="AD372" s="75">
        <f t="shared" si="12"/>
        <v>1</v>
      </c>
    </row>
    <row r="373" spans="1:34" outlineLevel="6">
      <c r="A373" s="3501" t="s">
        <v>283</v>
      </c>
      <c r="B373" s="3501"/>
      <c r="C373" s="7"/>
      <c r="D373" s="7"/>
      <c r="E373" s="14">
        <v>550</v>
      </c>
      <c r="F373" s="7"/>
      <c r="G373" s="7"/>
      <c r="H373" s="8"/>
      <c r="I373" s="9"/>
      <c r="J373" s="7"/>
      <c r="K373" s="7"/>
      <c r="L373" s="7"/>
      <c r="M373" s="14">
        <v>550</v>
      </c>
      <c r="N373" s="14">
        <v>550</v>
      </c>
      <c r="O373" s="14">
        <v>550</v>
      </c>
      <c r="P373" s="7"/>
      <c r="Q373" s="7"/>
      <c r="R373" s="14">
        <v>550</v>
      </c>
      <c r="S373" s="7"/>
      <c r="T373" s="7"/>
      <c r="U373" s="7"/>
      <c r="V373" s="14">
        <v>550</v>
      </c>
      <c r="W373" s="14">
        <v>550</v>
      </c>
      <c r="X373" s="7"/>
      <c r="Y373" s="7"/>
      <c r="Z373" s="7"/>
      <c r="AA373" s="7"/>
      <c r="AC373" s="70" t="str">
        <f t="shared" si="11"/>
        <v/>
      </c>
      <c r="AD373" s="75" t="str">
        <f t="shared" si="12"/>
        <v/>
      </c>
    </row>
    <row r="374" spans="1:34" outlineLevel="7">
      <c r="A374" s="3500" t="s">
        <v>284</v>
      </c>
      <c r="B374" s="3500"/>
      <c r="C374" s="7"/>
      <c r="D374" s="7"/>
      <c r="E374" s="14">
        <v>550</v>
      </c>
      <c r="F374" s="7"/>
      <c r="G374" s="7"/>
      <c r="H374" s="8"/>
      <c r="I374" s="9"/>
      <c r="J374" s="7"/>
      <c r="K374" s="7"/>
      <c r="L374" s="7"/>
      <c r="M374" s="14">
        <v>550</v>
      </c>
      <c r="N374" s="14">
        <v>550</v>
      </c>
      <c r="O374" s="14">
        <v>550</v>
      </c>
      <c r="P374" s="7"/>
      <c r="Q374" s="7"/>
      <c r="R374" s="14">
        <v>550</v>
      </c>
      <c r="S374" s="7"/>
      <c r="T374" s="7"/>
      <c r="U374" s="7"/>
      <c r="V374" s="14">
        <v>550</v>
      </c>
      <c r="W374" s="14">
        <v>550</v>
      </c>
      <c r="X374" s="7"/>
      <c r="Y374" s="7"/>
      <c r="Z374" s="7"/>
      <c r="AA374" s="7"/>
      <c r="AC374" s="70" t="str">
        <f t="shared" si="11"/>
        <v/>
      </c>
      <c r="AD374" s="75" t="str">
        <f t="shared" si="12"/>
        <v/>
      </c>
      <c r="AH374" t="s">
        <v>2753</v>
      </c>
    </row>
    <row r="375" spans="1:34" outlineLevel="7">
      <c r="A375" s="3499" t="s">
        <v>1634</v>
      </c>
      <c r="B375" s="3499"/>
      <c r="C375" s="7"/>
      <c r="D375" s="7"/>
      <c r="E375" s="14">
        <v>550</v>
      </c>
      <c r="F375" s="7"/>
      <c r="G375" s="7"/>
      <c r="H375" s="8"/>
      <c r="I375" s="9"/>
      <c r="J375" s="7"/>
      <c r="K375" s="7"/>
      <c r="L375" s="7"/>
      <c r="M375" s="14">
        <v>550</v>
      </c>
      <c r="N375" s="14">
        <v>550</v>
      </c>
      <c r="O375" s="14">
        <v>550</v>
      </c>
      <c r="P375" s="7"/>
      <c r="Q375" s="7"/>
      <c r="R375" s="14">
        <v>550</v>
      </c>
      <c r="S375" s="7"/>
      <c r="T375" s="7"/>
      <c r="U375" s="7"/>
      <c r="V375" s="14">
        <v>550</v>
      </c>
      <c r="W375" s="14">
        <v>550</v>
      </c>
      <c r="X375" s="7"/>
      <c r="Y375" s="7"/>
      <c r="Z375" s="7"/>
      <c r="AA375" s="7"/>
      <c r="AC375" s="70">
        <f t="shared" si="11"/>
        <v>550</v>
      </c>
      <c r="AD375" s="75">
        <f t="shared" si="12"/>
        <v>1</v>
      </c>
    </row>
    <row r="376" spans="1:34" outlineLevel="6">
      <c r="A376" s="3501" t="s">
        <v>285</v>
      </c>
      <c r="B376" s="3501"/>
      <c r="C376" s="7"/>
      <c r="D376" s="7"/>
      <c r="E376" s="14">
        <v>550</v>
      </c>
      <c r="F376" s="7"/>
      <c r="G376" s="7"/>
      <c r="H376" s="8"/>
      <c r="I376" s="9"/>
      <c r="J376" s="7"/>
      <c r="K376" s="7"/>
      <c r="L376" s="7"/>
      <c r="M376" s="14">
        <v>550</v>
      </c>
      <c r="N376" s="14">
        <v>550</v>
      </c>
      <c r="O376" s="14">
        <v>550</v>
      </c>
      <c r="P376" s="7"/>
      <c r="Q376" s="7"/>
      <c r="R376" s="14">
        <v>550</v>
      </c>
      <c r="S376" s="7"/>
      <c r="T376" s="7"/>
      <c r="U376" s="7"/>
      <c r="V376" s="14">
        <v>550</v>
      </c>
      <c r="W376" s="14">
        <v>550</v>
      </c>
      <c r="X376" s="7"/>
      <c r="Y376" s="7"/>
      <c r="Z376" s="7"/>
      <c r="AA376" s="7"/>
      <c r="AC376" s="70" t="str">
        <f t="shared" si="11"/>
        <v/>
      </c>
      <c r="AD376" s="75" t="str">
        <f t="shared" si="12"/>
        <v/>
      </c>
    </row>
    <row r="377" spans="1:34" outlineLevel="7">
      <c r="A377" s="3500" t="s">
        <v>286</v>
      </c>
      <c r="B377" s="3500"/>
      <c r="C377" s="7"/>
      <c r="D377" s="7"/>
      <c r="E377" s="14">
        <v>550</v>
      </c>
      <c r="F377" s="7"/>
      <c r="G377" s="7"/>
      <c r="H377" s="8"/>
      <c r="I377" s="9"/>
      <c r="J377" s="7"/>
      <c r="K377" s="7"/>
      <c r="L377" s="7"/>
      <c r="M377" s="14">
        <v>550</v>
      </c>
      <c r="N377" s="14">
        <v>550</v>
      </c>
      <c r="O377" s="14">
        <v>550</v>
      </c>
      <c r="P377" s="7"/>
      <c r="Q377" s="7"/>
      <c r="R377" s="14">
        <v>550</v>
      </c>
      <c r="S377" s="7"/>
      <c r="T377" s="7"/>
      <c r="U377" s="7"/>
      <c r="V377" s="14">
        <v>550</v>
      </c>
      <c r="W377" s="14">
        <v>550</v>
      </c>
      <c r="X377" s="7"/>
      <c r="Y377" s="7"/>
      <c r="Z377" s="7"/>
      <c r="AA377" s="7"/>
      <c r="AC377" s="70" t="str">
        <f t="shared" si="11"/>
        <v/>
      </c>
      <c r="AD377" s="75" t="str">
        <f t="shared" si="12"/>
        <v/>
      </c>
      <c r="AH377" t="s">
        <v>3568</v>
      </c>
    </row>
    <row r="378" spans="1:34" outlineLevel="7">
      <c r="A378" s="3499" t="s">
        <v>1635</v>
      </c>
      <c r="B378" s="3499"/>
      <c r="C378" s="7"/>
      <c r="D378" s="7"/>
      <c r="E378" s="14">
        <v>550</v>
      </c>
      <c r="F378" s="7"/>
      <c r="G378" s="7"/>
      <c r="H378" s="8"/>
      <c r="I378" s="9"/>
      <c r="J378" s="7"/>
      <c r="K378" s="7"/>
      <c r="L378" s="7"/>
      <c r="M378" s="14">
        <v>550</v>
      </c>
      <c r="N378" s="14">
        <v>550</v>
      </c>
      <c r="O378" s="14">
        <v>550</v>
      </c>
      <c r="P378" s="7"/>
      <c r="Q378" s="7"/>
      <c r="R378" s="14">
        <v>550</v>
      </c>
      <c r="S378" s="7"/>
      <c r="T378" s="7"/>
      <c r="U378" s="7"/>
      <c r="V378" s="14">
        <v>550</v>
      </c>
      <c r="W378" s="14">
        <v>550</v>
      </c>
      <c r="X378" s="7"/>
      <c r="Y378" s="7"/>
      <c r="Z378" s="7"/>
      <c r="AA378" s="7"/>
      <c r="AC378" s="70">
        <f t="shared" si="11"/>
        <v>550</v>
      </c>
      <c r="AD378" s="75">
        <f t="shared" si="12"/>
        <v>1</v>
      </c>
    </row>
    <row r="379" spans="1:34" outlineLevel="6">
      <c r="A379" s="3501" t="s">
        <v>287</v>
      </c>
      <c r="B379" s="3501"/>
      <c r="C379" s="7"/>
      <c r="D379" s="7"/>
      <c r="E379" s="14">
        <v>550</v>
      </c>
      <c r="F379" s="7"/>
      <c r="G379" s="7"/>
      <c r="H379" s="8"/>
      <c r="I379" s="9"/>
      <c r="J379" s="7"/>
      <c r="K379" s="7"/>
      <c r="L379" s="7"/>
      <c r="M379" s="14">
        <v>550</v>
      </c>
      <c r="N379" s="14">
        <v>550</v>
      </c>
      <c r="O379" s="14">
        <v>550</v>
      </c>
      <c r="P379" s="7"/>
      <c r="Q379" s="7"/>
      <c r="R379" s="14">
        <v>550</v>
      </c>
      <c r="S379" s="7"/>
      <c r="T379" s="7"/>
      <c r="U379" s="7"/>
      <c r="V379" s="14">
        <v>550</v>
      </c>
      <c r="W379" s="14">
        <v>550</v>
      </c>
      <c r="X379" s="7"/>
      <c r="Y379" s="7"/>
      <c r="Z379" s="7"/>
      <c r="AA379" s="7"/>
      <c r="AC379" s="70" t="str">
        <f t="shared" si="11"/>
        <v/>
      </c>
      <c r="AD379" s="75" t="str">
        <f t="shared" si="12"/>
        <v/>
      </c>
    </row>
    <row r="380" spans="1:34" outlineLevel="7">
      <c r="A380" s="3500" t="s">
        <v>288</v>
      </c>
      <c r="B380" s="3500"/>
      <c r="C380" s="7"/>
      <c r="D380" s="7"/>
      <c r="E380" s="14">
        <v>550</v>
      </c>
      <c r="F380" s="7"/>
      <c r="G380" s="7"/>
      <c r="H380" s="8"/>
      <c r="I380" s="9"/>
      <c r="J380" s="7"/>
      <c r="K380" s="7"/>
      <c r="L380" s="7"/>
      <c r="M380" s="14">
        <v>550</v>
      </c>
      <c r="N380" s="14">
        <v>550</v>
      </c>
      <c r="O380" s="14">
        <v>550</v>
      </c>
      <c r="P380" s="7"/>
      <c r="Q380" s="7"/>
      <c r="R380" s="14">
        <v>550</v>
      </c>
      <c r="S380" s="7"/>
      <c r="T380" s="7"/>
      <c r="U380" s="7"/>
      <c r="V380" s="14">
        <v>550</v>
      </c>
      <c r="W380" s="14">
        <v>550</v>
      </c>
      <c r="X380" s="7"/>
      <c r="Y380" s="7"/>
      <c r="Z380" s="7"/>
      <c r="AA380" s="7"/>
      <c r="AC380" s="70" t="str">
        <f t="shared" si="11"/>
        <v/>
      </c>
      <c r="AD380" s="75" t="str">
        <f t="shared" si="12"/>
        <v/>
      </c>
      <c r="AH380" t="s">
        <v>3383</v>
      </c>
    </row>
    <row r="381" spans="1:34" outlineLevel="7">
      <c r="A381" s="3499" t="s">
        <v>1636</v>
      </c>
      <c r="B381" s="3499"/>
      <c r="C381" s="7"/>
      <c r="D381" s="7"/>
      <c r="E381" s="14">
        <v>550</v>
      </c>
      <c r="F381" s="7"/>
      <c r="G381" s="7"/>
      <c r="H381" s="8"/>
      <c r="I381" s="9"/>
      <c r="J381" s="7"/>
      <c r="K381" s="7"/>
      <c r="L381" s="7"/>
      <c r="M381" s="14">
        <v>550</v>
      </c>
      <c r="N381" s="14">
        <v>550</v>
      </c>
      <c r="O381" s="14">
        <v>550</v>
      </c>
      <c r="P381" s="7"/>
      <c r="Q381" s="7"/>
      <c r="R381" s="14">
        <v>550</v>
      </c>
      <c r="S381" s="7"/>
      <c r="T381" s="7"/>
      <c r="U381" s="7"/>
      <c r="V381" s="14">
        <v>550</v>
      </c>
      <c r="W381" s="14">
        <v>550</v>
      </c>
      <c r="X381" s="7"/>
      <c r="Y381" s="7"/>
      <c r="Z381" s="7"/>
      <c r="AA381" s="7"/>
      <c r="AC381" s="70">
        <f t="shared" si="11"/>
        <v>550</v>
      </c>
      <c r="AD381" s="75">
        <f t="shared" si="12"/>
        <v>1</v>
      </c>
    </row>
    <row r="382" spans="1:34" outlineLevel="6">
      <c r="A382" s="3501" t="s">
        <v>289</v>
      </c>
      <c r="B382" s="3501"/>
      <c r="C382" s="7"/>
      <c r="D382" s="7"/>
      <c r="E382" s="14">
        <v>550</v>
      </c>
      <c r="F382" s="7"/>
      <c r="G382" s="7"/>
      <c r="H382" s="8"/>
      <c r="I382" s="9"/>
      <c r="J382" s="7"/>
      <c r="K382" s="7"/>
      <c r="L382" s="7"/>
      <c r="M382" s="14">
        <v>550</v>
      </c>
      <c r="N382" s="14">
        <v>550</v>
      </c>
      <c r="O382" s="14">
        <v>550</v>
      </c>
      <c r="P382" s="7"/>
      <c r="Q382" s="7"/>
      <c r="R382" s="14">
        <v>550</v>
      </c>
      <c r="S382" s="7"/>
      <c r="T382" s="7"/>
      <c r="U382" s="7"/>
      <c r="V382" s="14">
        <v>550</v>
      </c>
      <c r="W382" s="14">
        <v>550</v>
      </c>
      <c r="X382" s="7"/>
      <c r="Y382" s="7"/>
      <c r="Z382" s="7"/>
      <c r="AA382" s="7"/>
      <c r="AC382" s="70" t="str">
        <f t="shared" si="11"/>
        <v/>
      </c>
      <c r="AD382" s="75" t="str">
        <f t="shared" si="12"/>
        <v/>
      </c>
    </row>
    <row r="383" spans="1:34" outlineLevel="7">
      <c r="A383" s="3500" t="s">
        <v>290</v>
      </c>
      <c r="B383" s="3500"/>
      <c r="C383" s="7"/>
      <c r="D383" s="7"/>
      <c r="E383" s="14">
        <v>550</v>
      </c>
      <c r="F383" s="7"/>
      <c r="G383" s="7"/>
      <c r="H383" s="8"/>
      <c r="I383" s="9"/>
      <c r="J383" s="7"/>
      <c r="K383" s="7"/>
      <c r="L383" s="7"/>
      <c r="M383" s="14">
        <v>550</v>
      </c>
      <c r="N383" s="14">
        <v>550</v>
      </c>
      <c r="O383" s="14">
        <v>550</v>
      </c>
      <c r="P383" s="7"/>
      <c r="Q383" s="7"/>
      <c r="R383" s="14">
        <v>550</v>
      </c>
      <c r="S383" s="7"/>
      <c r="T383" s="7"/>
      <c r="U383" s="7"/>
      <c r="V383" s="14">
        <v>550</v>
      </c>
      <c r="W383" s="14">
        <v>550</v>
      </c>
      <c r="X383" s="7"/>
      <c r="Y383" s="7"/>
      <c r="Z383" s="7"/>
      <c r="AA383" s="7"/>
      <c r="AC383" s="70" t="str">
        <f t="shared" si="11"/>
        <v/>
      </c>
      <c r="AD383" s="75" t="str">
        <f t="shared" si="12"/>
        <v/>
      </c>
      <c r="AH383" t="s">
        <v>3524</v>
      </c>
    </row>
    <row r="384" spans="1:34" outlineLevel="7">
      <c r="A384" s="3499" t="s">
        <v>1637</v>
      </c>
      <c r="B384" s="3499"/>
      <c r="C384" s="7"/>
      <c r="D384" s="7"/>
      <c r="E384" s="14">
        <v>550</v>
      </c>
      <c r="F384" s="7"/>
      <c r="G384" s="7"/>
      <c r="H384" s="8"/>
      <c r="I384" s="9"/>
      <c r="J384" s="7"/>
      <c r="K384" s="7"/>
      <c r="L384" s="7"/>
      <c r="M384" s="14">
        <v>550</v>
      </c>
      <c r="N384" s="14">
        <v>550</v>
      </c>
      <c r="O384" s="14">
        <v>550</v>
      </c>
      <c r="P384" s="7"/>
      <c r="Q384" s="7"/>
      <c r="R384" s="14">
        <v>550</v>
      </c>
      <c r="S384" s="7"/>
      <c r="T384" s="7"/>
      <c r="U384" s="7"/>
      <c r="V384" s="14">
        <v>550</v>
      </c>
      <c r="W384" s="14">
        <v>550</v>
      </c>
      <c r="X384" s="7"/>
      <c r="Y384" s="7"/>
      <c r="Z384" s="7"/>
      <c r="AA384" s="7"/>
      <c r="AC384" s="70">
        <f t="shared" si="11"/>
        <v>550</v>
      </c>
      <c r="AD384" s="75">
        <f t="shared" si="12"/>
        <v>1</v>
      </c>
    </row>
    <row r="385" spans="1:36" outlineLevel="6">
      <c r="A385" s="3501" t="s">
        <v>291</v>
      </c>
      <c r="B385" s="3501"/>
      <c r="C385" s="7"/>
      <c r="D385" s="7"/>
      <c r="E385" s="14">
        <v>550</v>
      </c>
      <c r="F385" s="7"/>
      <c r="G385" s="7"/>
      <c r="H385" s="8"/>
      <c r="I385" s="9"/>
      <c r="J385" s="7"/>
      <c r="K385" s="7"/>
      <c r="L385" s="7"/>
      <c r="M385" s="14">
        <v>550</v>
      </c>
      <c r="N385" s="14">
        <v>550</v>
      </c>
      <c r="O385" s="14">
        <v>550</v>
      </c>
      <c r="P385" s="7"/>
      <c r="Q385" s="7"/>
      <c r="R385" s="14">
        <v>550</v>
      </c>
      <c r="S385" s="7"/>
      <c r="T385" s="7"/>
      <c r="U385" s="7"/>
      <c r="V385" s="14">
        <v>550</v>
      </c>
      <c r="W385" s="14">
        <v>550</v>
      </c>
      <c r="X385" s="7"/>
      <c r="Y385" s="7"/>
      <c r="Z385" s="7"/>
      <c r="AA385" s="7"/>
      <c r="AC385" s="70" t="str">
        <f t="shared" si="11"/>
        <v/>
      </c>
      <c r="AD385" s="75" t="str">
        <f t="shared" si="12"/>
        <v/>
      </c>
    </row>
    <row r="386" spans="1:36" outlineLevel="7">
      <c r="A386" s="3500" t="s">
        <v>292</v>
      </c>
      <c r="B386" s="3500"/>
      <c r="C386" s="7"/>
      <c r="D386" s="7"/>
      <c r="E386" s="14">
        <v>550</v>
      </c>
      <c r="F386" s="7"/>
      <c r="G386" s="7"/>
      <c r="H386" s="8"/>
      <c r="I386" s="9"/>
      <c r="J386" s="7"/>
      <c r="K386" s="7"/>
      <c r="L386" s="7"/>
      <c r="M386" s="14">
        <v>550</v>
      </c>
      <c r="N386" s="14">
        <v>550</v>
      </c>
      <c r="O386" s="14">
        <v>550</v>
      </c>
      <c r="P386" s="7"/>
      <c r="Q386" s="7"/>
      <c r="R386" s="14">
        <v>550</v>
      </c>
      <c r="S386" s="7"/>
      <c r="T386" s="7"/>
      <c r="U386" s="7"/>
      <c r="V386" s="14">
        <v>550</v>
      </c>
      <c r="W386" s="14">
        <v>550</v>
      </c>
      <c r="X386" s="7"/>
      <c r="Y386" s="7"/>
      <c r="Z386" s="7"/>
      <c r="AA386" s="7"/>
      <c r="AC386" s="70" t="str">
        <f t="shared" si="11"/>
        <v/>
      </c>
      <c r="AD386" s="75" t="str">
        <f t="shared" si="12"/>
        <v/>
      </c>
      <c r="AH386" t="s">
        <v>3553</v>
      </c>
    </row>
    <row r="387" spans="1:36" outlineLevel="7">
      <c r="A387" s="3499" t="s">
        <v>1638</v>
      </c>
      <c r="B387" s="3499"/>
      <c r="C387" s="7"/>
      <c r="D387" s="7"/>
      <c r="E387" s="14">
        <v>550</v>
      </c>
      <c r="F387" s="7"/>
      <c r="G387" s="7"/>
      <c r="H387" s="8"/>
      <c r="I387" s="9"/>
      <c r="J387" s="7"/>
      <c r="K387" s="7"/>
      <c r="L387" s="7"/>
      <c r="M387" s="14">
        <v>550</v>
      </c>
      <c r="N387" s="14">
        <v>550</v>
      </c>
      <c r="O387" s="14">
        <v>550</v>
      </c>
      <c r="P387" s="7"/>
      <c r="Q387" s="7"/>
      <c r="R387" s="14">
        <v>550</v>
      </c>
      <c r="S387" s="7"/>
      <c r="T387" s="7"/>
      <c r="U387" s="7"/>
      <c r="V387" s="14">
        <v>550</v>
      </c>
      <c r="W387" s="14">
        <v>550</v>
      </c>
      <c r="X387" s="7"/>
      <c r="Y387" s="7"/>
      <c r="Z387" s="7"/>
      <c r="AA387" s="7"/>
      <c r="AC387" s="70">
        <f t="shared" si="11"/>
        <v>550</v>
      </c>
      <c r="AD387" s="75">
        <f t="shared" si="12"/>
        <v>1</v>
      </c>
    </row>
    <row r="388" spans="1:36" outlineLevel="6">
      <c r="A388" s="3501" t="s">
        <v>293</v>
      </c>
      <c r="B388" s="3501"/>
      <c r="C388" s="7"/>
      <c r="D388" s="7"/>
      <c r="E388" s="14">
        <v>550</v>
      </c>
      <c r="F388" s="7"/>
      <c r="G388" s="7"/>
      <c r="H388" s="8"/>
      <c r="I388" s="9"/>
      <c r="J388" s="7"/>
      <c r="K388" s="7"/>
      <c r="L388" s="7"/>
      <c r="M388" s="14">
        <v>550</v>
      </c>
      <c r="N388" s="14">
        <v>550</v>
      </c>
      <c r="O388" s="14">
        <v>550</v>
      </c>
      <c r="P388" s="7"/>
      <c r="Q388" s="7"/>
      <c r="R388" s="14">
        <v>550</v>
      </c>
      <c r="S388" s="7"/>
      <c r="T388" s="7"/>
      <c r="U388" s="7"/>
      <c r="V388" s="14">
        <v>550</v>
      </c>
      <c r="W388" s="14">
        <v>550</v>
      </c>
      <c r="X388" s="7"/>
      <c r="Y388" s="7"/>
      <c r="Z388" s="7"/>
      <c r="AA388" s="7"/>
      <c r="AC388" s="70" t="str">
        <f t="shared" si="11"/>
        <v/>
      </c>
      <c r="AD388" s="75" t="str">
        <f t="shared" si="12"/>
        <v/>
      </c>
    </row>
    <row r="389" spans="1:36" outlineLevel="7">
      <c r="A389" s="3500" t="s">
        <v>294</v>
      </c>
      <c r="B389" s="3500"/>
      <c r="C389" s="7"/>
      <c r="D389" s="7"/>
      <c r="E389" s="14">
        <v>550</v>
      </c>
      <c r="F389" s="7"/>
      <c r="G389" s="7"/>
      <c r="H389" s="8"/>
      <c r="I389" s="9"/>
      <c r="J389" s="7"/>
      <c r="K389" s="7"/>
      <c r="L389" s="7"/>
      <c r="M389" s="14">
        <v>550</v>
      </c>
      <c r="N389" s="14">
        <v>550</v>
      </c>
      <c r="O389" s="14">
        <v>550</v>
      </c>
      <c r="P389" s="7"/>
      <c r="Q389" s="7"/>
      <c r="R389" s="14">
        <v>550</v>
      </c>
      <c r="S389" s="7"/>
      <c r="T389" s="7"/>
      <c r="U389" s="7"/>
      <c r="V389" s="14">
        <v>550</v>
      </c>
      <c r="W389" s="14">
        <v>550</v>
      </c>
      <c r="X389" s="7"/>
      <c r="Y389" s="7"/>
      <c r="Z389" s="7"/>
      <c r="AA389" s="7"/>
      <c r="AC389" s="70" t="str">
        <f t="shared" si="11"/>
        <v/>
      </c>
      <c r="AD389" s="75" t="str">
        <f t="shared" si="12"/>
        <v/>
      </c>
      <c r="AH389" t="s">
        <v>2734</v>
      </c>
    </row>
    <row r="390" spans="1:36" outlineLevel="7">
      <c r="A390" s="3499" t="s">
        <v>1639</v>
      </c>
      <c r="B390" s="3499"/>
      <c r="C390" s="7"/>
      <c r="D390" s="7"/>
      <c r="E390" s="14">
        <v>550</v>
      </c>
      <c r="F390" s="7"/>
      <c r="G390" s="7"/>
      <c r="H390" s="8"/>
      <c r="I390" s="9"/>
      <c r="J390" s="7"/>
      <c r="K390" s="7"/>
      <c r="L390" s="7"/>
      <c r="M390" s="14">
        <v>550</v>
      </c>
      <c r="N390" s="14">
        <v>550</v>
      </c>
      <c r="O390" s="14">
        <v>550</v>
      </c>
      <c r="P390" s="7"/>
      <c r="Q390" s="7"/>
      <c r="R390" s="14">
        <v>550</v>
      </c>
      <c r="S390" s="7"/>
      <c r="T390" s="7"/>
      <c r="U390" s="7"/>
      <c r="V390" s="14">
        <v>550</v>
      </c>
      <c r="W390" s="14">
        <v>550</v>
      </c>
      <c r="X390" s="7"/>
      <c r="Y390" s="7"/>
      <c r="Z390" s="7"/>
      <c r="AA390" s="7"/>
      <c r="AC390" s="70">
        <f t="shared" si="11"/>
        <v>550</v>
      </c>
      <c r="AD390" s="75">
        <f t="shared" si="12"/>
        <v>1</v>
      </c>
    </row>
    <row r="391" spans="1:36" outlineLevel="6">
      <c r="A391" s="3501" t="s">
        <v>295</v>
      </c>
      <c r="B391" s="3501"/>
      <c r="C391" s="7"/>
      <c r="D391" s="7"/>
      <c r="E391" s="13">
        <v>1798.75</v>
      </c>
      <c r="F391" s="7"/>
      <c r="G391" s="7"/>
      <c r="H391" s="8"/>
      <c r="I391" s="9"/>
      <c r="J391" s="7"/>
      <c r="K391" s="7"/>
      <c r="L391" s="7"/>
      <c r="M391" s="13">
        <v>1798.75</v>
      </c>
      <c r="N391" s="13">
        <v>1798.75</v>
      </c>
      <c r="O391" s="13">
        <v>1798.75</v>
      </c>
      <c r="P391" s="7"/>
      <c r="Q391" s="7"/>
      <c r="R391" s="13">
        <v>1798.75</v>
      </c>
      <c r="S391" s="7"/>
      <c r="T391" s="7"/>
      <c r="U391" s="7"/>
      <c r="V391" s="13">
        <v>1798.75</v>
      </c>
      <c r="W391" s="13">
        <v>1798.75</v>
      </c>
      <c r="X391" s="7"/>
      <c r="Y391" s="7"/>
      <c r="Z391" s="7"/>
      <c r="AA391" s="7"/>
      <c r="AC391" s="70" t="str">
        <f t="shared" si="11"/>
        <v/>
      </c>
      <c r="AD391" s="75" t="str">
        <f t="shared" si="12"/>
        <v/>
      </c>
    </row>
    <row r="392" spans="1:36" outlineLevel="7">
      <c r="A392" s="3500" t="s">
        <v>296</v>
      </c>
      <c r="B392" s="3500"/>
      <c r="C392" s="7"/>
      <c r="D392" s="7"/>
      <c r="E392" s="13">
        <v>1798.75</v>
      </c>
      <c r="F392" s="7"/>
      <c r="G392" s="7"/>
      <c r="H392" s="8"/>
      <c r="I392" s="9"/>
      <c r="J392" s="7"/>
      <c r="K392" s="7"/>
      <c r="L392" s="7"/>
      <c r="M392" s="13">
        <v>1798.75</v>
      </c>
      <c r="N392" s="13">
        <v>1798.75</v>
      </c>
      <c r="O392" s="13">
        <v>1798.75</v>
      </c>
      <c r="P392" s="7"/>
      <c r="Q392" s="7"/>
      <c r="R392" s="13">
        <v>1798.75</v>
      </c>
      <c r="S392" s="7"/>
      <c r="T392" s="7"/>
      <c r="U392" s="7"/>
      <c r="V392" s="13">
        <v>1798.75</v>
      </c>
      <c r="W392" s="13">
        <v>1798.75</v>
      </c>
      <c r="X392" s="7"/>
      <c r="Y392" s="7"/>
      <c r="Z392" s="7"/>
      <c r="AA392" s="7"/>
      <c r="AC392" s="70" t="str">
        <f t="shared" si="11"/>
        <v/>
      </c>
      <c r="AD392" s="75" t="str">
        <f t="shared" si="12"/>
        <v/>
      </c>
      <c r="AH392" s="1" t="s">
        <v>3633</v>
      </c>
      <c r="AJ392" s="1"/>
    </row>
    <row r="393" spans="1:36" outlineLevel="7">
      <c r="A393" s="3499" t="s">
        <v>1640</v>
      </c>
      <c r="B393" s="3499"/>
      <c r="C393" s="7"/>
      <c r="D393" s="7"/>
      <c r="E393" s="13">
        <v>1798.75</v>
      </c>
      <c r="F393" s="7"/>
      <c r="G393" s="7"/>
      <c r="H393" s="8"/>
      <c r="I393" s="9"/>
      <c r="J393" s="7"/>
      <c r="K393" s="7"/>
      <c r="L393" s="7"/>
      <c r="M393" s="13">
        <v>1798.75</v>
      </c>
      <c r="N393" s="13">
        <v>1798.75</v>
      </c>
      <c r="O393" s="13">
        <v>1798.75</v>
      </c>
      <c r="P393" s="7"/>
      <c r="Q393" s="7"/>
      <c r="R393" s="13">
        <v>1798.75</v>
      </c>
      <c r="S393" s="7"/>
      <c r="T393" s="7"/>
      <c r="U393" s="7"/>
      <c r="V393" s="13">
        <v>1798.75</v>
      </c>
      <c r="W393" s="13">
        <v>1798.75</v>
      </c>
      <c r="X393" s="7"/>
      <c r="Y393" s="7"/>
      <c r="Z393" s="7"/>
      <c r="AA393" s="7"/>
      <c r="AC393" s="70">
        <f t="shared" si="11"/>
        <v>1798.75</v>
      </c>
      <c r="AD393" s="75" t="str">
        <f t="shared" si="12"/>
        <v/>
      </c>
      <c r="AG393">
        <f>AC393</f>
        <v>1798.75</v>
      </c>
      <c r="AH393" s="27"/>
    </row>
    <row r="394" spans="1:36" outlineLevel="6">
      <c r="A394" s="3501" t="s">
        <v>297</v>
      </c>
      <c r="B394" s="3501"/>
      <c r="C394" s="7"/>
      <c r="D394" s="7"/>
      <c r="E394" s="14">
        <v>550</v>
      </c>
      <c r="F394" s="7"/>
      <c r="G394" s="7"/>
      <c r="H394" s="8"/>
      <c r="I394" s="9"/>
      <c r="J394" s="7"/>
      <c r="K394" s="7"/>
      <c r="L394" s="7"/>
      <c r="M394" s="14">
        <v>550</v>
      </c>
      <c r="N394" s="14">
        <v>550</v>
      </c>
      <c r="O394" s="14">
        <v>550</v>
      </c>
      <c r="P394" s="7"/>
      <c r="Q394" s="7"/>
      <c r="R394" s="14">
        <v>550</v>
      </c>
      <c r="S394" s="7"/>
      <c r="T394" s="7"/>
      <c r="U394" s="7"/>
      <c r="V394" s="14">
        <v>550</v>
      </c>
      <c r="W394" s="14">
        <v>550</v>
      </c>
      <c r="X394" s="7"/>
      <c r="Y394" s="7"/>
      <c r="Z394" s="7"/>
      <c r="AA394" s="7"/>
      <c r="AC394" s="70" t="str">
        <f t="shared" si="11"/>
        <v/>
      </c>
      <c r="AD394" s="75" t="str">
        <f t="shared" si="12"/>
        <v/>
      </c>
    </row>
    <row r="395" spans="1:36" outlineLevel="7">
      <c r="A395" s="3500" t="s">
        <v>298</v>
      </c>
      <c r="B395" s="3500"/>
      <c r="C395" s="7"/>
      <c r="D395" s="7"/>
      <c r="E395" s="14">
        <v>550</v>
      </c>
      <c r="F395" s="7"/>
      <c r="G395" s="7"/>
      <c r="H395" s="8"/>
      <c r="I395" s="9"/>
      <c r="J395" s="7"/>
      <c r="K395" s="7"/>
      <c r="L395" s="7"/>
      <c r="M395" s="14">
        <v>550</v>
      </c>
      <c r="N395" s="14">
        <v>550</v>
      </c>
      <c r="O395" s="14">
        <v>550</v>
      </c>
      <c r="P395" s="7"/>
      <c r="Q395" s="7"/>
      <c r="R395" s="14">
        <v>550</v>
      </c>
      <c r="S395" s="7"/>
      <c r="T395" s="7"/>
      <c r="U395" s="7"/>
      <c r="V395" s="14">
        <v>550</v>
      </c>
      <c r="W395" s="14">
        <v>550</v>
      </c>
      <c r="X395" s="7"/>
      <c r="Y395" s="7"/>
      <c r="Z395" s="7"/>
      <c r="AA395" s="7"/>
      <c r="AC395" s="70" t="str">
        <f t="shared" si="11"/>
        <v/>
      </c>
      <c r="AD395" s="75" t="str">
        <f t="shared" si="12"/>
        <v/>
      </c>
      <c r="AH395" t="s">
        <v>2773</v>
      </c>
    </row>
    <row r="396" spans="1:36" outlineLevel="7">
      <c r="A396" s="3499" t="s">
        <v>1641</v>
      </c>
      <c r="B396" s="3499"/>
      <c r="C396" s="7"/>
      <c r="D396" s="7"/>
      <c r="E396" s="14">
        <v>550</v>
      </c>
      <c r="F396" s="7"/>
      <c r="G396" s="7"/>
      <c r="H396" s="8"/>
      <c r="I396" s="9"/>
      <c r="J396" s="7"/>
      <c r="K396" s="7"/>
      <c r="L396" s="7"/>
      <c r="M396" s="14">
        <v>550</v>
      </c>
      <c r="N396" s="14">
        <v>550</v>
      </c>
      <c r="O396" s="14">
        <v>550</v>
      </c>
      <c r="P396" s="7"/>
      <c r="Q396" s="7"/>
      <c r="R396" s="14">
        <v>550</v>
      </c>
      <c r="S396" s="7"/>
      <c r="T396" s="7"/>
      <c r="U396" s="7"/>
      <c r="V396" s="14">
        <v>550</v>
      </c>
      <c r="W396" s="14">
        <v>550</v>
      </c>
      <c r="X396" s="7"/>
      <c r="Y396" s="7"/>
      <c r="Z396" s="7"/>
      <c r="AA396" s="7"/>
      <c r="AC396" s="70">
        <f t="shared" si="11"/>
        <v>550</v>
      </c>
      <c r="AD396" s="75">
        <f t="shared" si="12"/>
        <v>1</v>
      </c>
    </row>
    <row r="397" spans="1:36" outlineLevel="6">
      <c r="A397" s="3501" t="s">
        <v>299</v>
      </c>
      <c r="B397" s="3501"/>
      <c r="C397" s="7"/>
      <c r="D397" s="7"/>
      <c r="E397" s="14">
        <v>550</v>
      </c>
      <c r="F397" s="7"/>
      <c r="G397" s="7"/>
      <c r="H397" s="8"/>
      <c r="I397" s="9"/>
      <c r="J397" s="7"/>
      <c r="K397" s="7"/>
      <c r="L397" s="7"/>
      <c r="M397" s="14">
        <v>550</v>
      </c>
      <c r="N397" s="14">
        <v>550</v>
      </c>
      <c r="O397" s="14">
        <v>550</v>
      </c>
      <c r="P397" s="7"/>
      <c r="Q397" s="7"/>
      <c r="R397" s="14">
        <v>550</v>
      </c>
      <c r="S397" s="7"/>
      <c r="T397" s="7"/>
      <c r="U397" s="14">
        <v>550</v>
      </c>
      <c r="V397" s="7"/>
      <c r="W397" s="7"/>
      <c r="X397" s="7"/>
      <c r="Y397" s="7"/>
      <c r="Z397" s="7"/>
      <c r="AA397" s="7"/>
      <c r="AC397" s="70" t="str">
        <f t="shared" si="11"/>
        <v/>
      </c>
      <c r="AD397" s="75" t="str">
        <f t="shared" si="12"/>
        <v/>
      </c>
    </row>
    <row r="398" spans="1:36" outlineLevel="7">
      <c r="A398" s="3500" t="s">
        <v>300</v>
      </c>
      <c r="B398" s="3500"/>
      <c r="C398" s="7"/>
      <c r="D398" s="7"/>
      <c r="E398" s="14">
        <v>550</v>
      </c>
      <c r="F398" s="7"/>
      <c r="G398" s="7"/>
      <c r="H398" s="8"/>
      <c r="I398" s="9"/>
      <c r="J398" s="7"/>
      <c r="K398" s="7"/>
      <c r="L398" s="7"/>
      <c r="M398" s="14">
        <v>550</v>
      </c>
      <c r="N398" s="14">
        <v>550</v>
      </c>
      <c r="O398" s="14">
        <v>550</v>
      </c>
      <c r="P398" s="7"/>
      <c r="Q398" s="7"/>
      <c r="R398" s="14">
        <v>550</v>
      </c>
      <c r="S398" s="7"/>
      <c r="T398" s="7"/>
      <c r="U398" s="14">
        <v>550</v>
      </c>
      <c r="V398" s="7"/>
      <c r="W398" s="7"/>
      <c r="X398" s="7"/>
      <c r="Y398" s="7"/>
      <c r="Z398" s="7"/>
      <c r="AA398" s="7"/>
      <c r="AC398" s="70" t="str">
        <f t="shared" si="11"/>
        <v/>
      </c>
      <c r="AD398" s="75" t="str">
        <f t="shared" si="12"/>
        <v/>
      </c>
      <c r="AH398" t="s">
        <v>3572</v>
      </c>
    </row>
    <row r="399" spans="1:36" outlineLevel="7">
      <c r="A399" s="3499" t="s">
        <v>1642</v>
      </c>
      <c r="B399" s="3499"/>
      <c r="C399" s="7"/>
      <c r="D399" s="7"/>
      <c r="E399" s="14">
        <v>550</v>
      </c>
      <c r="F399" s="7"/>
      <c r="G399" s="7"/>
      <c r="H399" s="8"/>
      <c r="I399" s="9"/>
      <c r="J399" s="7"/>
      <c r="K399" s="7"/>
      <c r="L399" s="7"/>
      <c r="M399" s="14">
        <v>550</v>
      </c>
      <c r="N399" s="14">
        <v>550</v>
      </c>
      <c r="O399" s="14">
        <v>550</v>
      </c>
      <c r="P399" s="7"/>
      <c r="Q399" s="7"/>
      <c r="R399" s="14">
        <v>550</v>
      </c>
      <c r="S399" s="7"/>
      <c r="T399" s="7"/>
      <c r="U399" s="14">
        <v>550</v>
      </c>
      <c r="V399" s="7"/>
      <c r="W399" s="7"/>
      <c r="X399" s="7"/>
      <c r="Y399" s="7"/>
      <c r="Z399" s="7"/>
      <c r="AA399" s="7"/>
      <c r="AC399" s="70">
        <f t="shared" si="11"/>
        <v>550</v>
      </c>
      <c r="AD399" s="75">
        <f t="shared" si="12"/>
        <v>1</v>
      </c>
    </row>
    <row r="400" spans="1:36" outlineLevel="6">
      <c r="A400" s="3501" t="s">
        <v>301</v>
      </c>
      <c r="B400" s="3501"/>
      <c r="C400" s="7"/>
      <c r="D400" s="7"/>
      <c r="E400" s="14">
        <v>550</v>
      </c>
      <c r="F400" s="7"/>
      <c r="G400" s="7"/>
      <c r="H400" s="8"/>
      <c r="I400" s="9"/>
      <c r="J400" s="7"/>
      <c r="K400" s="7"/>
      <c r="L400" s="7"/>
      <c r="M400" s="14">
        <v>550</v>
      </c>
      <c r="N400" s="14">
        <v>550</v>
      </c>
      <c r="O400" s="14">
        <v>550</v>
      </c>
      <c r="P400" s="7"/>
      <c r="Q400" s="7"/>
      <c r="R400" s="14">
        <v>550</v>
      </c>
      <c r="S400" s="7"/>
      <c r="T400" s="7"/>
      <c r="U400" s="7"/>
      <c r="V400" s="14">
        <v>550</v>
      </c>
      <c r="W400" s="14">
        <v>550</v>
      </c>
      <c r="X400" s="7"/>
      <c r="Y400" s="7"/>
      <c r="Z400" s="7"/>
      <c r="AA400" s="7"/>
      <c r="AC400" s="70" t="str">
        <f t="shared" si="11"/>
        <v/>
      </c>
      <c r="AD400" s="75" t="str">
        <f t="shared" si="12"/>
        <v/>
      </c>
    </row>
    <row r="401" spans="1:34" outlineLevel="7">
      <c r="A401" s="3500" t="s">
        <v>302</v>
      </c>
      <c r="B401" s="3500"/>
      <c r="C401" s="7"/>
      <c r="D401" s="7"/>
      <c r="E401" s="14">
        <v>550</v>
      </c>
      <c r="F401" s="7"/>
      <c r="G401" s="7"/>
      <c r="H401" s="8"/>
      <c r="I401" s="9"/>
      <c r="J401" s="7"/>
      <c r="K401" s="7"/>
      <c r="L401" s="7"/>
      <c r="M401" s="14">
        <v>550</v>
      </c>
      <c r="N401" s="14">
        <v>550</v>
      </c>
      <c r="O401" s="14">
        <v>550</v>
      </c>
      <c r="P401" s="7"/>
      <c r="Q401" s="7"/>
      <c r="R401" s="14">
        <v>550</v>
      </c>
      <c r="S401" s="7"/>
      <c r="T401" s="7"/>
      <c r="U401" s="7"/>
      <c r="V401" s="14">
        <v>550</v>
      </c>
      <c r="W401" s="14">
        <v>550</v>
      </c>
      <c r="X401" s="7"/>
      <c r="Y401" s="7"/>
      <c r="Z401" s="7"/>
      <c r="AA401" s="7"/>
      <c r="AC401" s="70" t="str">
        <f t="shared" ref="AC401:AC464" si="13">IF(LEFT($A401,5)="Реали",$E401,"")</f>
        <v/>
      </c>
      <c r="AD401" s="75" t="str">
        <f t="shared" ref="AD401:AD464" si="14">IF(AC401=550,1,"")</f>
        <v/>
      </c>
      <c r="AH401" t="s">
        <v>3557</v>
      </c>
    </row>
    <row r="402" spans="1:34" outlineLevel="7">
      <c r="A402" s="3499" t="s">
        <v>1643</v>
      </c>
      <c r="B402" s="3499"/>
      <c r="C402" s="7"/>
      <c r="D402" s="7"/>
      <c r="E402" s="14">
        <v>550</v>
      </c>
      <c r="F402" s="7"/>
      <c r="G402" s="7"/>
      <c r="H402" s="8"/>
      <c r="I402" s="9"/>
      <c r="J402" s="7"/>
      <c r="K402" s="7"/>
      <c r="L402" s="7"/>
      <c r="M402" s="14">
        <v>550</v>
      </c>
      <c r="N402" s="14">
        <v>550</v>
      </c>
      <c r="O402" s="14">
        <v>550</v>
      </c>
      <c r="P402" s="7"/>
      <c r="Q402" s="7"/>
      <c r="R402" s="14">
        <v>550</v>
      </c>
      <c r="S402" s="7"/>
      <c r="T402" s="7"/>
      <c r="U402" s="7"/>
      <c r="V402" s="14">
        <v>550</v>
      </c>
      <c r="W402" s="14">
        <v>550</v>
      </c>
      <c r="X402" s="7"/>
      <c r="Y402" s="7"/>
      <c r="Z402" s="7"/>
      <c r="AA402" s="7"/>
      <c r="AC402" s="70">
        <f t="shared" si="13"/>
        <v>550</v>
      </c>
      <c r="AD402" s="75">
        <f t="shared" si="14"/>
        <v>1</v>
      </c>
    </row>
    <row r="403" spans="1:34" outlineLevel="6">
      <c r="A403" s="3501" t="s">
        <v>303</v>
      </c>
      <c r="B403" s="3501"/>
      <c r="C403" s="7"/>
      <c r="D403" s="7"/>
      <c r="E403" s="14">
        <v>550</v>
      </c>
      <c r="F403" s="7"/>
      <c r="G403" s="7"/>
      <c r="H403" s="8"/>
      <c r="I403" s="9"/>
      <c r="J403" s="7"/>
      <c r="K403" s="7"/>
      <c r="L403" s="7"/>
      <c r="M403" s="14">
        <v>550</v>
      </c>
      <c r="N403" s="14">
        <v>550</v>
      </c>
      <c r="O403" s="14">
        <v>550</v>
      </c>
      <c r="P403" s="7"/>
      <c r="Q403" s="7"/>
      <c r="R403" s="14">
        <v>550</v>
      </c>
      <c r="S403" s="7"/>
      <c r="T403" s="7"/>
      <c r="U403" s="7"/>
      <c r="V403" s="14">
        <v>550</v>
      </c>
      <c r="W403" s="14">
        <v>550</v>
      </c>
      <c r="X403" s="7"/>
      <c r="Y403" s="7"/>
      <c r="Z403" s="7"/>
      <c r="AA403" s="7"/>
      <c r="AC403" s="70" t="str">
        <f t="shared" si="13"/>
        <v/>
      </c>
      <c r="AD403" s="75" t="str">
        <f t="shared" si="14"/>
        <v/>
      </c>
    </row>
    <row r="404" spans="1:34" outlineLevel="7">
      <c r="A404" s="3500" t="s">
        <v>304</v>
      </c>
      <c r="B404" s="3500"/>
      <c r="C404" s="7"/>
      <c r="D404" s="7"/>
      <c r="E404" s="14">
        <v>550</v>
      </c>
      <c r="F404" s="7"/>
      <c r="G404" s="7"/>
      <c r="H404" s="8"/>
      <c r="I404" s="9"/>
      <c r="J404" s="7"/>
      <c r="K404" s="7"/>
      <c r="L404" s="7"/>
      <c r="M404" s="14">
        <v>550</v>
      </c>
      <c r="N404" s="14">
        <v>550</v>
      </c>
      <c r="O404" s="14">
        <v>550</v>
      </c>
      <c r="P404" s="7"/>
      <c r="Q404" s="7"/>
      <c r="R404" s="14">
        <v>550</v>
      </c>
      <c r="S404" s="7"/>
      <c r="T404" s="7"/>
      <c r="U404" s="7"/>
      <c r="V404" s="14">
        <v>550</v>
      </c>
      <c r="W404" s="14">
        <v>550</v>
      </c>
      <c r="X404" s="7"/>
      <c r="Y404" s="7"/>
      <c r="Z404" s="7"/>
      <c r="AA404" s="7"/>
      <c r="AC404" s="70" t="str">
        <f t="shared" si="13"/>
        <v/>
      </c>
      <c r="AD404" s="75" t="str">
        <f t="shared" si="14"/>
        <v/>
      </c>
      <c r="AH404" t="s">
        <v>3579</v>
      </c>
    </row>
    <row r="405" spans="1:34" outlineLevel="7">
      <c r="A405" s="3499" t="s">
        <v>1644</v>
      </c>
      <c r="B405" s="3499"/>
      <c r="C405" s="7"/>
      <c r="D405" s="7"/>
      <c r="E405" s="14">
        <v>550</v>
      </c>
      <c r="F405" s="7"/>
      <c r="G405" s="7"/>
      <c r="H405" s="8"/>
      <c r="I405" s="9"/>
      <c r="J405" s="7"/>
      <c r="K405" s="7"/>
      <c r="L405" s="7"/>
      <c r="M405" s="14">
        <v>550</v>
      </c>
      <c r="N405" s="14">
        <v>550</v>
      </c>
      <c r="O405" s="14">
        <v>550</v>
      </c>
      <c r="P405" s="7"/>
      <c r="Q405" s="7"/>
      <c r="R405" s="14">
        <v>550</v>
      </c>
      <c r="S405" s="7"/>
      <c r="T405" s="7"/>
      <c r="U405" s="7"/>
      <c r="V405" s="14">
        <v>550</v>
      </c>
      <c r="W405" s="14">
        <v>550</v>
      </c>
      <c r="X405" s="7"/>
      <c r="Y405" s="7"/>
      <c r="Z405" s="7"/>
      <c r="AA405" s="7"/>
      <c r="AC405" s="70">
        <f t="shared" si="13"/>
        <v>550</v>
      </c>
      <c r="AD405" s="75">
        <f t="shared" si="14"/>
        <v>1</v>
      </c>
    </row>
    <row r="406" spans="1:34" outlineLevel="6">
      <c r="A406" s="3501" t="s">
        <v>305</v>
      </c>
      <c r="B406" s="3501"/>
      <c r="C406" s="7"/>
      <c r="D406" s="7"/>
      <c r="E406" s="14">
        <v>550</v>
      </c>
      <c r="F406" s="7"/>
      <c r="G406" s="7"/>
      <c r="H406" s="8"/>
      <c r="I406" s="9"/>
      <c r="J406" s="7"/>
      <c r="K406" s="7"/>
      <c r="L406" s="7"/>
      <c r="M406" s="14">
        <v>550</v>
      </c>
      <c r="N406" s="14">
        <v>550</v>
      </c>
      <c r="O406" s="14">
        <v>550</v>
      </c>
      <c r="P406" s="7"/>
      <c r="Q406" s="7"/>
      <c r="R406" s="14">
        <v>550</v>
      </c>
      <c r="S406" s="7"/>
      <c r="T406" s="7"/>
      <c r="U406" s="7"/>
      <c r="V406" s="14">
        <v>550</v>
      </c>
      <c r="W406" s="14">
        <v>550</v>
      </c>
      <c r="X406" s="7"/>
      <c r="Y406" s="7"/>
      <c r="Z406" s="7"/>
      <c r="AA406" s="7"/>
      <c r="AC406" s="70" t="str">
        <f t="shared" si="13"/>
        <v/>
      </c>
      <c r="AD406" s="75" t="str">
        <f t="shared" si="14"/>
        <v/>
      </c>
    </row>
    <row r="407" spans="1:34" outlineLevel="7">
      <c r="A407" s="3500" t="s">
        <v>306</v>
      </c>
      <c r="B407" s="3500"/>
      <c r="C407" s="7"/>
      <c r="D407" s="7"/>
      <c r="E407" s="14">
        <v>550</v>
      </c>
      <c r="F407" s="7"/>
      <c r="G407" s="7"/>
      <c r="H407" s="8"/>
      <c r="I407" s="9"/>
      <c r="J407" s="7"/>
      <c r="K407" s="7"/>
      <c r="L407" s="7"/>
      <c r="M407" s="14">
        <v>550</v>
      </c>
      <c r="N407" s="14">
        <v>550</v>
      </c>
      <c r="O407" s="14">
        <v>550</v>
      </c>
      <c r="P407" s="7"/>
      <c r="Q407" s="7"/>
      <c r="R407" s="14">
        <v>550</v>
      </c>
      <c r="S407" s="7"/>
      <c r="T407" s="7"/>
      <c r="U407" s="7"/>
      <c r="V407" s="14">
        <v>550</v>
      </c>
      <c r="W407" s="14">
        <v>550</v>
      </c>
      <c r="X407" s="7"/>
      <c r="Y407" s="7"/>
      <c r="Z407" s="7"/>
      <c r="AA407" s="7"/>
      <c r="AC407" s="70" t="str">
        <f t="shared" si="13"/>
        <v/>
      </c>
      <c r="AD407" s="75" t="str">
        <f t="shared" si="14"/>
        <v/>
      </c>
      <c r="AH407" t="s">
        <v>3369</v>
      </c>
    </row>
    <row r="408" spans="1:34" outlineLevel="7">
      <c r="A408" s="3499" t="s">
        <v>1645</v>
      </c>
      <c r="B408" s="3499"/>
      <c r="C408" s="7"/>
      <c r="D408" s="7"/>
      <c r="E408" s="14">
        <v>550</v>
      </c>
      <c r="F408" s="7"/>
      <c r="G408" s="7"/>
      <c r="H408" s="8"/>
      <c r="I408" s="9"/>
      <c r="J408" s="7"/>
      <c r="K408" s="7"/>
      <c r="L408" s="7"/>
      <c r="M408" s="14">
        <v>550</v>
      </c>
      <c r="N408" s="14">
        <v>550</v>
      </c>
      <c r="O408" s="14">
        <v>550</v>
      </c>
      <c r="P408" s="7"/>
      <c r="Q408" s="7"/>
      <c r="R408" s="14">
        <v>550</v>
      </c>
      <c r="S408" s="7"/>
      <c r="T408" s="7"/>
      <c r="U408" s="7"/>
      <c r="V408" s="14">
        <v>550</v>
      </c>
      <c r="W408" s="14">
        <v>550</v>
      </c>
      <c r="X408" s="7"/>
      <c r="Y408" s="7"/>
      <c r="Z408" s="7"/>
      <c r="AA408" s="7"/>
      <c r="AC408" s="70">
        <f t="shared" si="13"/>
        <v>550</v>
      </c>
      <c r="AD408" s="75">
        <f t="shared" si="14"/>
        <v>1</v>
      </c>
    </row>
    <row r="409" spans="1:34" outlineLevel="6">
      <c r="A409" s="3501" t="s">
        <v>307</v>
      </c>
      <c r="B409" s="3501"/>
      <c r="C409" s="7"/>
      <c r="D409" s="7"/>
      <c r="E409" s="14">
        <v>550</v>
      </c>
      <c r="F409" s="7"/>
      <c r="G409" s="7"/>
      <c r="H409" s="8"/>
      <c r="I409" s="9"/>
      <c r="J409" s="7"/>
      <c r="K409" s="7"/>
      <c r="L409" s="7"/>
      <c r="M409" s="14">
        <v>550</v>
      </c>
      <c r="N409" s="14">
        <v>550</v>
      </c>
      <c r="O409" s="14">
        <v>550</v>
      </c>
      <c r="P409" s="7"/>
      <c r="Q409" s="7"/>
      <c r="R409" s="14">
        <v>550</v>
      </c>
      <c r="S409" s="7"/>
      <c r="T409" s="7"/>
      <c r="U409" s="7"/>
      <c r="V409" s="14">
        <v>550</v>
      </c>
      <c r="W409" s="14">
        <v>550</v>
      </c>
      <c r="X409" s="7"/>
      <c r="Y409" s="7"/>
      <c r="Z409" s="7"/>
      <c r="AA409" s="7"/>
      <c r="AC409" s="70" t="str">
        <f t="shared" si="13"/>
        <v/>
      </c>
      <c r="AD409" s="75" t="str">
        <f t="shared" si="14"/>
        <v/>
      </c>
    </row>
    <row r="410" spans="1:34" outlineLevel="7">
      <c r="A410" s="3500" t="s">
        <v>308</v>
      </c>
      <c r="B410" s="3500"/>
      <c r="C410" s="7"/>
      <c r="D410" s="7"/>
      <c r="E410" s="14">
        <v>550</v>
      </c>
      <c r="F410" s="7"/>
      <c r="G410" s="7"/>
      <c r="H410" s="8"/>
      <c r="I410" s="9"/>
      <c r="J410" s="7"/>
      <c r="K410" s="7"/>
      <c r="L410" s="7"/>
      <c r="M410" s="14">
        <v>550</v>
      </c>
      <c r="N410" s="14">
        <v>550</v>
      </c>
      <c r="O410" s="14">
        <v>550</v>
      </c>
      <c r="P410" s="7"/>
      <c r="Q410" s="7"/>
      <c r="R410" s="14">
        <v>550</v>
      </c>
      <c r="S410" s="7"/>
      <c r="T410" s="7"/>
      <c r="U410" s="7"/>
      <c r="V410" s="14">
        <v>550</v>
      </c>
      <c r="W410" s="14">
        <v>550</v>
      </c>
      <c r="X410" s="7"/>
      <c r="Y410" s="7"/>
      <c r="Z410" s="7"/>
      <c r="AA410" s="7"/>
      <c r="AC410" s="70" t="str">
        <f t="shared" si="13"/>
        <v/>
      </c>
      <c r="AD410" s="75" t="str">
        <f t="shared" si="14"/>
        <v/>
      </c>
      <c r="AH410" t="s">
        <v>3485</v>
      </c>
    </row>
    <row r="411" spans="1:34" outlineLevel="7">
      <c r="A411" s="3499" t="s">
        <v>1646</v>
      </c>
      <c r="B411" s="3499"/>
      <c r="C411" s="7"/>
      <c r="D411" s="7"/>
      <c r="E411" s="14">
        <v>550</v>
      </c>
      <c r="F411" s="7"/>
      <c r="G411" s="7"/>
      <c r="H411" s="8"/>
      <c r="I411" s="9"/>
      <c r="J411" s="7"/>
      <c r="K411" s="7"/>
      <c r="L411" s="7"/>
      <c r="M411" s="14">
        <v>550</v>
      </c>
      <c r="N411" s="14">
        <v>550</v>
      </c>
      <c r="O411" s="14">
        <v>550</v>
      </c>
      <c r="P411" s="7"/>
      <c r="Q411" s="7"/>
      <c r="R411" s="14">
        <v>550</v>
      </c>
      <c r="S411" s="7"/>
      <c r="T411" s="7"/>
      <c r="U411" s="7"/>
      <c r="V411" s="14">
        <v>550</v>
      </c>
      <c r="W411" s="14">
        <v>550</v>
      </c>
      <c r="X411" s="7"/>
      <c r="Y411" s="7"/>
      <c r="Z411" s="7"/>
      <c r="AA411" s="7"/>
      <c r="AC411" s="70">
        <f t="shared" si="13"/>
        <v>550</v>
      </c>
      <c r="AD411" s="75">
        <f t="shared" si="14"/>
        <v>1</v>
      </c>
    </row>
    <row r="412" spans="1:34" outlineLevel="6">
      <c r="A412" s="3501" t="s">
        <v>309</v>
      </c>
      <c r="B412" s="3501"/>
      <c r="C412" s="7"/>
      <c r="D412" s="7"/>
      <c r="E412" s="14">
        <v>550</v>
      </c>
      <c r="F412" s="7"/>
      <c r="G412" s="7"/>
      <c r="H412" s="8"/>
      <c r="I412" s="9"/>
      <c r="J412" s="7"/>
      <c r="K412" s="7"/>
      <c r="L412" s="7"/>
      <c r="M412" s="14">
        <v>550</v>
      </c>
      <c r="N412" s="14">
        <v>550</v>
      </c>
      <c r="O412" s="14">
        <v>550</v>
      </c>
      <c r="P412" s="7"/>
      <c r="Q412" s="7"/>
      <c r="R412" s="14">
        <v>550</v>
      </c>
      <c r="S412" s="7"/>
      <c r="T412" s="7"/>
      <c r="U412" s="7"/>
      <c r="V412" s="14">
        <v>550</v>
      </c>
      <c r="W412" s="14">
        <v>550</v>
      </c>
      <c r="X412" s="7"/>
      <c r="Y412" s="7"/>
      <c r="Z412" s="7"/>
      <c r="AA412" s="7"/>
      <c r="AC412" s="70" t="str">
        <f t="shared" si="13"/>
        <v/>
      </c>
      <c r="AD412" s="75" t="str">
        <f t="shared" si="14"/>
        <v/>
      </c>
    </row>
    <row r="413" spans="1:34" outlineLevel="7">
      <c r="A413" s="3500" t="s">
        <v>310</v>
      </c>
      <c r="B413" s="3500"/>
      <c r="C413" s="7"/>
      <c r="D413" s="7"/>
      <c r="E413" s="14">
        <v>550</v>
      </c>
      <c r="F413" s="7"/>
      <c r="G413" s="7"/>
      <c r="H413" s="8"/>
      <c r="I413" s="9"/>
      <c r="J413" s="7"/>
      <c r="K413" s="7"/>
      <c r="L413" s="7"/>
      <c r="M413" s="14">
        <v>550</v>
      </c>
      <c r="N413" s="14">
        <v>550</v>
      </c>
      <c r="O413" s="14">
        <v>550</v>
      </c>
      <c r="P413" s="7"/>
      <c r="Q413" s="7"/>
      <c r="R413" s="14">
        <v>550</v>
      </c>
      <c r="S413" s="7"/>
      <c r="T413" s="7"/>
      <c r="U413" s="7"/>
      <c r="V413" s="14">
        <v>550</v>
      </c>
      <c r="W413" s="14">
        <v>550</v>
      </c>
      <c r="X413" s="7"/>
      <c r="Y413" s="7"/>
      <c r="Z413" s="7"/>
      <c r="AA413" s="7"/>
      <c r="AC413" s="70" t="str">
        <f t="shared" si="13"/>
        <v/>
      </c>
      <c r="AD413" s="75" t="str">
        <f t="shared" si="14"/>
        <v/>
      </c>
      <c r="AH413" t="s">
        <v>3375</v>
      </c>
    </row>
    <row r="414" spans="1:34" outlineLevel="7">
      <c r="A414" s="3499" t="s">
        <v>1647</v>
      </c>
      <c r="B414" s="3499"/>
      <c r="C414" s="7"/>
      <c r="D414" s="7"/>
      <c r="E414" s="14">
        <v>550</v>
      </c>
      <c r="F414" s="7"/>
      <c r="G414" s="7"/>
      <c r="H414" s="8"/>
      <c r="I414" s="9"/>
      <c r="J414" s="7"/>
      <c r="K414" s="7"/>
      <c r="L414" s="7"/>
      <c r="M414" s="14">
        <v>550</v>
      </c>
      <c r="N414" s="14">
        <v>550</v>
      </c>
      <c r="O414" s="14">
        <v>550</v>
      </c>
      <c r="P414" s="7"/>
      <c r="Q414" s="7"/>
      <c r="R414" s="14">
        <v>550</v>
      </c>
      <c r="S414" s="7"/>
      <c r="T414" s="7"/>
      <c r="U414" s="7"/>
      <c r="V414" s="14">
        <v>550</v>
      </c>
      <c r="W414" s="14">
        <v>550</v>
      </c>
      <c r="X414" s="7"/>
      <c r="Y414" s="7"/>
      <c r="Z414" s="7"/>
      <c r="AA414" s="7"/>
      <c r="AC414" s="70">
        <f t="shared" si="13"/>
        <v>550</v>
      </c>
      <c r="AD414" s="75">
        <f t="shared" si="14"/>
        <v>1</v>
      </c>
    </row>
    <row r="415" spans="1:34" outlineLevel="6">
      <c r="A415" s="3501" t="s">
        <v>311</v>
      </c>
      <c r="B415" s="3501"/>
      <c r="C415" s="7"/>
      <c r="D415" s="7"/>
      <c r="E415" s="14">
        <v>550</v>
      </c>
      <c r="F415" s="7"/>
      <c r="G415" s="7"/>
      <c r="H415" s="8"/>
      <c r="I415" s="9"/>
      <c r="J415" s="7"/>
      <c r="K415" s="7"/>
      <c r="L415" s="7"/>
      <c r="M415" s="14">
        <v>550</v>
      </c>
      <c r="N415" s="14">
        <v>550</v>
      </c>
      <c r="O415" s="14">
        <v>550</v>
      </c>
      <c r="P415" s="7"/>
      <c r="Q415" s="7"/>
      <c r="R415" s="14">
        <v>550</v>
      </c>
      <c r="S415" s="7"/>
      <c r="T415" s="7"/>
      <c r="U415" s="7"/>
      <c r="V415" s="14">
        <v>550</v>
      </c>
      <c r="W415" s="14">
        <v>550</v>
      </c>
      <c r="X415" s="7"/>
      <c r="Y415" s="7"/>
      <c r="Z415" s="7"/>
      <c r="AA415" s="7"/>
      <c r="AC415" s="70" t="str">
        <f t="shared" si="13"/>
        <v/>
      </c>
      <c r="AD415" s="75" t="str">
        <f t="shared" si="14"/>
        <v/>
      </c>
    </row>
    <row r="416" spans="1:34" outlineLevel="7">
      <c r="A416" s="3500" t="s">
        <v>312</v>
      </c>
      <c r="B416" s="3500"/>
      <c r="C416" s="7"/>
      <c r="D416" s="7"/>
      <c r="E416" s="14">
        <v>550</v>
      </c>
      <c r="F416" s="7"/>
      <c r="G416" s="7"/>
      <c r="H416" s="8"/>
      <c r="I416" s="9"/>
      <c r="J416" s="7"/>
      <c r="K416" s="7"/>
      <c r="L416" s="7"/>
      <c r="M416" s="14">
        <v>550</v>
      </c>
      <c r="N416" s="14">
        <v>550</v>
      </c>
      <c r="O416" s="14">
        <v>550</v>
      </c>
      <c r="P416" s="7"/>
      <c r="Q416" s="7"/>
      <c r="R416" s="14">
        <v>550</v>
      </c>
      <c r="S416" s="7"/>
      <c r="T416" s="7"/>
      <c r="U416" s="7"/>
      <c r="V416" s="14">
        <v>550</v>
      </c>
      <c r="W416" s="14">
        <v>550</v>
      </c>
      <c r="X416" s="7"/>
      <c r="Y416" s="7"/>
      <c r="Z416" s="7"/>
      <c r="AA416" s="7"/>
      <c r="AC416" s="70" t="str">
        <f t="shared" si="13"/>
        <v/>
      </c>
      <c r="AD416" s="75" t="str">
        <f t="shared" si="14"/>
        <v/>
      </c>
      <c r="AH416" t="s">
        <v>3634</v>
      </c>
    </row>
    <row r="417" spans="1:34" outlineLevel="7">
      <c r="A417" s="3499" t="s">
        <v>1648</v>
      </c>
      <c r="B417" s="3499"/>
      <c r="C417" s="7"/>
      <c r="D417" s="7"/>
      <c r="E417" s="14">
        <v>550</v>
      </c>
      <c r="F417" s="7"/>
      <c r="G417" s="7"/>
      <c r="H417" s="8"/>
      <c r="I417" s="9"/>
      <c r="J417" s="7"/>
      <c r="K417" s="7"/>
      <c r="L417" s="7"/>
      <c r="M417" s="14">
        <v>550</v>
      </c>
      <c r="N417" s="14">
        <v>550</v>
      </c>
      <c r="O417" s="14">
        <v>550</v>
      </c>
      <c r="P417" s="7"/>
      <c r="Q417" s="7"/>
      <c r="R417" s="14">
        <v>550</v>
      </c>
      <c r="S417" s="7"/>
      <c r="T417" s="7"/>
      <c r="U417" s="7"/>
      <c r="V417" s="14">
        <v>550</v>
      </c>
      <c r="W417" s="14">
        <v>550</v>
      </c>
      <c r="X417" s="7"/>
      <c r="Y417" s="7"/>
      <c r="Z417" s="7"/>
      <c r="AA417" s="7"/>
      <c r="AC417" s="70">
        <f t="shared" si="13"/>
        <v>550</v>
      </c>
      <c r="AD417" s="75">
        <f t="shared" si="14"/>
        <v>1</v>
      </c>
    </row>
    <row r="418" spans="1:34" outlineLevel="6">
      <c r="A418" s="3501" t="s">
        <v>313</v>
      </c>
      <c r="B418" s="3501"/>
      <c r="C418" s="7"/>
      <c r="D418" s="7"/>
      <c r="E418" s="14">
        <v>550</v>
      </c>
      <c r="F418" s="7"/>
      <c r="G418" s="7"/>
      <c r="H418" s="8"/>
      <c r="I418" s="9"/>
      <c r="J418" s="7"/>
      <c r="K418" s="7"/>
      <c r="L418" s="7"/>
      <c r="M418" s="14">
        <v>550</v>
      </c>
      <c r="N418" s="14">
        <v>550</v>
      </c>
      <c r="O418" s="14">
        <v>550</v>
      </c>
      <c r="P418" s="7"/>
      <c r="Q418" s="7"/>
      <c r="R418" s="14">
        <v>550</v>
      </c>
      <c r="S418" s="7"/>
      <c r="T418" s="7"/>
      <c r="U418" s="7"/>
      <c r="V418" s="14">
        <v>550</v>
      </c>
      <c r="W418" s="14">
        <v>550</v>
      </c>
      <c r="X418" s="7"/>
      <c r="Y418" s="7"/>
      <c r="Z418" s="7"/>
      <c r="AA418" s="7"/>
      <c r="AC418" s="70" t="str">
        <f t="shared" si="13"/>
        <v/>
      </c>
      <c r="AD418" s="75" t="str">
        <f t="shared" si="14"/>
        <v/>
      </c>
    </row>
    <row r="419" spans="1:34" outlineLevel="7">
      <c r="A419" s="3500" t="s">
        <v>314</v>
      </c>
      <c r="B419" s="3500"/>
      <c r="C419" s="7"/>
      <c r="D419" s="7"/>
      <c r="E419" s="14">
        <v>550</v>
      </c>
      <c r="F419" s="7"/>
      <c r="G419" s="7"/>
      <c r="H419" s="8"/>
      <c r="I419" s="9"/>
      <c r="J419" s="7"/>
      <c r="K419" s="7"/>
      <c r="L419" s="7"/>
      <c r="M419" s="14">
        <v>550</v>
      </c>
      <c r="N419" s="14">
        <v>550</v>
      </c>
      <c r="O419" s="14">
        <v>550</v>
      </c>
      <c r="P419" s="7"/>
      <c r="Q419" s="7"/>
      <c r="R419" s="14">
        <v>550</v>
      </c>
      <c r="S419" s="7"/>
      <c r="T419" s="7"/>
      <c r="U419" s="7"/>
      <c r="V419" s="14">
        <v>550</v>
      </c>
      <c r="W419" s="14">
        <v>550</v>
      </c>
      <c r="X419" s="7"/>
      <c r="Y419" s="7"/>
      <c r="Z419" s="7"/>
      <c r="AA419" s="7"/>
      <c r="AC419" s="70" t="str">
        <f t="shared" si="13"/>
        <v/>
      </c>
      <c r="AD419" s="75" t="str">
        <f t="shared" si="14"/>
        <v/>
      </c>
      <c r="AH419" t="s">
        <v>3447</v>
      </c>
    </row>
    <row r="420" spans="1:34" outlineLevel="7">
      <c r="A420" s="3499" t="s">
        <v>1649</v>
      </c>
      <c r="B420" s="3499"/>
      <c r="C420" s="7"/>
      <c r="D420" s="7"/>
      <c r="E420" s="14">
        <v>550</v>
      </c>
      <c r="F420" s="7"/>
      <c r="G420" s="7"/>
      <c r="H420" s="8"/>
      <c r="I420" s="9"/>
      <c r="J420" s="7"/>
      <c r="K420" s="7"/>
      <c r="L420" s="7"/>
      <c r="M420" s="14">
        <v>550</v>
      </c>
      <c r="N420" s="14">
        <v>550</v>
      </c>
      <c r="O420" s="14">
        <v>550</v>
      </c>
      <c r="P420" s="7"/>
      <c r="Q420" s="7"/>
      <c r="R420" s="14">
        <v>550</v>
      </c>
      <c r="S420" s="7"/>
      <c r="T420" s="7"/>
      <c r="U420" s="7"/>
      <c r="V420" s="14">
        <v>550</v>
      </c>
      <c r="W420" s="14">
        <v>550</v>
      </c>
      <c r="X420" s="7"/>
      <c r="Y420" s="7"/>
      <c r="Z420" s="7"/>
      <c r="AA420" s="7"/>
      <c r="AC420" s="70">
        <f t="shared" si="13"/>
        <v>550</v>
      </c>
      <c r="AD420" s="75">
        <f t="shared" si="14"/>
        <v>1</v>
      </c>
    </row>
    <row r="421" spans="1:34" outlineLevel="6">
      <c r="A421" s="3501" t="s">
        <v>315</v>
      </c>
      <c r="B421" s="3501"/>
      <c r="C421" s="7"/>
      <c r="D421" s="7"/>
      <c r="E421" s="14">
        <v>550</v>
      </c>
      <c r="F421" s="7"/>
      <c r="G421" s="7"/>
      <c r="H421" s="8"/>
      <c r="I421" s="9"/>
      <c r="J421" s="7"/>
      <c r="K421" s="7"/>
      <c r="L421" s="7"/>
      <c r="M421" s="14">
        <v>550</v>
      </c>
      <c r="N421" s="14">
        <v>550</v>
      </c>
      <c r="O421" s="14">
        <v>550</v>
      </c>
      <c r="P421" s="7"/>
      <c r="Q421" s="7"/>
      <c r="R421" s="14">
        <v>550</v>
      </c>
      <c r="S421" s="7"/>
      <c r="T421" s="7"/>
      <c r="U421" s="7"/>
      <c r="V421" s="14">
        <v>550</v>
      </c>
      <c r="W421" s="14">
        <v>550</v>
      </c>
      <c r="X421" s="7"/>
      <c r="Y421" s="7"/>
      <c r="Z421" s="7"/>
      <c r="AA421" s="7"/>
      <c r="AC421" s="70" t="str">
        <f t="shared" si="13"/>
        <v/>
      </c>
      <c r="AD421" s="75" t="str">
        <f t="shared" si="14"/>
        <v/>
      </c>
    </row>
    <row r="422" spans="1:34" outlineLevel="7">
      <c r="A422" s="3500" t="s">
        <v>316</v>
      </c>
      <c r="B422" s="3500"/>
      <c r="C422" s="7"/>
      <c r="D422" s="7"/>
      <c r="E422" s="14">
        <v>550</v>
      </c>
      <c r="F422" s="7"/>
      <c r="G422" s="7"/>
      <c r="H422" s="8"/>
      <c r="I422" s="9"/>
      <c r="J422" s="7"/>
      <c r="K422" s="7"/>
      <c r="L422" s="7"/>
      <c r="M422" s="14">
        <v>550</v>
      </c>
      <c r="N422" s="14">
        <v>550</v>
      </c>
      <c r="O422" s="14">
        <v>550</v>
      </c>
      <c r="P422" s="7"/>
      <c r="Q422" s="7"/>
      <c r="R422" s="14">
        <v>550</v>
      </c>
      <c r="S422" s="7"/>
      <c r="T422" s="7"/>
      <c r="U422" s="7"/>
      <c r="V422" s="14">
        <v>550</v>
      </c>
      <c r="W422" s="14">
        <v>550</v>
      </c>
      <c r="X422" s="7"/>
      <c r="Y422" s="7"/>
      <c r="Z422" s="7"/>
      <c r="AA422" s="7"/>
      <c r="AC422" s="70" t="str">
        <f t="shared" si="13"/>
        <v/>
      </c>
      <c r="AD422" s="75" t="str">
        <f t="shared" si="14"/>
        <v/>
      </c>
      <c r="AH422" t="s">
        <v>3507</v>
      </c>
    </row>
    <row r="423" spans="1:34" outlineLevel="7">
      <c r="A423" s="3499" t="s">
        <v>1650</v>
      </c>
      <c r="B423" s="3499"/>
      <c r="C423" s="7"/>
      <c r="D423" s="7"/>
      <c r="E423" s="14">
        <v>550</v>
      </c>
      <c r="F423" s="7"/>
      <c r="G423" s="7"/>
      <c r="H423" s="8"/>
      <c r="I423" s="9"/>
      <c r="J423" s="7"/>
      <c r="K423" s="7"/>
      <c r="L423" s="7"/>
      <c r="M423" s="14">
        <v>550</v>
      </c>
      <c r="N423" s="14">
        <v>550</v>
      </c>
      <c r="O423" s="14">
        <v>550</v>
      </c>
      <c r="P423" s="7"/>
      <c r="Q423" s="7"/>
      <c r="R423" s="14">
        <v>550</v>
      </c>
      <c r="S423" s="7"/>
      <c r="T423" s="7"/>
      <c r="U423" s="7"/>
      <c r="V423" s="14">
        <v>550</v>
      </c>
      <c r="W423" s="14">
        <v>550</v>
      </c>
      <c r="X423" s="7"/>
      <c r="Y423" s="7"/>
      <c r="Z423" s="7"/>
      <c r="AA423" s="7"/>
      <c r="AC423" s="70">
        <f t="shared" si="13"/>
        <v>550</v>
      </c>
      <c r="AD423" s="75">
        <f t="shared" si="14"/>
        <v>1</v>
      </c>
    </row>
    <row r="424" spans="1:34" outlineLevel="6">
      <c r="A424" s="3501" t="s">
        <v>317</v>
      </c>
      <c r="B424" s="3501"/>
      <c r="C424" s="7"/>
      <c r="D424" s="7"/>
      <c r="E424" s="14">
        <v>550</v>
      </c>
      <c r="F424" s="7"/>
      <c r="G424" s="7"/>
      <c r="H424" s="8"/>
      <c r="I424" s="9"/>
      <c r="J424" s="7"/>
      <c r="K424" s="7"/>
      <c r="L424" s="7"/>
      <c r="M424" s="14">
        <v>550</v>
      </c>
      <c r="N424" s="14">
        <v>550</v>
      </c>
      <c r="O424" s="14">
        <v>550</v>
      </c>
      <c r="P424" s="7"/>
      <c r="Q424" s="7"/>
      <c r="R424" s="14">
        <v>550</v>
      </c>
      <c r="S424" s="7"/>
      <c r="T424" s="7"/>
      <c r="U424" s="7"/>
      <c r="V424" s="14">
        <v>550</v>
      </c>
      <c r="W424" s="14">
        <v>550</v>
      </c>
      <c r="X424" s="7"/>
      <c r="Y424" s="7"/>
      <c r="Z424" s="7"/>
      <c r="AA424" s="7"/>
      <c r="AC424" s="70" t="str">
        <f t="shared" si="13"/>
        <v/>
      </c>
      <c r="AD424" s="75" t="str">
        <f t="shared" si="14"/>
        <v/>
      </c>
    </row>
    <row r="425" spans="1:34" outlineLevel="7">
      <c r="A425" s="3500" t="s">
        <v>318</v>
      </c>
      <c r="B425" s="3500"/>
      <c r="C425" s="7"/>
      <c r="D425" s="7"/>
      <c r="E425" s="14">
        <v>550</v>
      </c>
      <c r="F425" s="7"/>
      <c r="G425" s="7"/>
      <c r="H425" s="8"/>
      <c r="I425" s="9"/>
      <c r="J425" s="7"/>
      <c r="K425" s="7"/>
      <c r="L425" s="7"/>
      <c r="M425" s="14">
        <v>550</v>
      </c>
      <c r="N425" s="14">
        <v>550</v>
      </c>
      <c r="O425" s="14">
        <v>550</v>
      </c>
      <c r="P425" s="7"/>
      <c r="Q425" s="7"/>
      <c r="R425" s="14">
        <v>550</v>
      </c>
      <c r="S425" s="7"/>
      <c r="T425" s="7"/>
      <c r="U425" s="7"/>
      <c r="V425" s="14">
        <v>550</v>
      </c>
      <c r="W425" s="14">
        <v>550</v>
      </c>
      <c r="X425" s="7"/>
      <c r="Y425" s="7"/>
      <c r="Z425" s="7"/>
      <c r="AA425" s="7"/>
      <c r="AC425" s="70" t="str">
        <f t="shared" si="13"/>
        <v/>
      </c>
      <c r="AD425" s="75" t="str">
        <f t="shared" si="14"/>
        <v/>
      </c>
      <c r="AH425" t="s">
        <v>3451</v>
      </c>
    </row>
    <row r="426" spans="1:34" outlineLevel="7">
      <c r="A426" s="3499" t="s">
        <v>1651</v>
      </c>
      <c r="B426" s="3499"/>
      <c r="C426" s="7"/>
      <c r="D426" s="7"/>
      <c r="E426" s="14">
        <v>550</v>
      </c>
      <c r="F426" s="7"/>
      <c r="G426" s="7"/>
      <c r="H426" s="8"/>
      <c r="I426" s="9"/>
      <c r="J426" s="7"/>
      <c r="K426" s="7"/>
      <c r="L426" s="7"/>
      <c r="M426" s="14">
        <v>550</v>
      </c>
      <c r="N426" s="14">
        <v>550</v>
      </c>
      <c r="O426" s="14">
        <v>550</v>
      </c>
      <c r="P426" s="7"/>
      <c r="Q426" s="7"/>
      <c r="R426" s="14">
        <v>550</v>
      </c>
      <c r="S426" s="7"/>
      <c r="T426" s="7"/>
      <c r="U426" s="7"/>
      <c r="V426" s="14">
        <v>550</v>
      </c>
      <c r="W426" s="14">
        <v>550</v>
      </c>
      <c r="X426" s="7"/>
      <c r="Y426" s="7"/>
      <c r="Z426" s="7"/>
      <c r="AA426" s="7"/>
      <c r="AC426" s="70">
        <f t="shared" si="13"/>
        <v>550</v>
      </c>
      <c r="AD426" s="75">
        <f t="shared" si="14"/>
        <v>1</v>
      </c>
    </row>
    <row r="427" spans="1:34" outlineLevel="6">
      <c r="A427" s="3501" t="s">
        <v>319</v>
      </c>
      <c r="B427" s="3501"/>
      <c r="C427" s="7"/>
      <c r="D427" s="7"/>
      <c r="E427" s="14">
        <v>550</v>
      </c>
      <c r="F427" s="7"/>
      <c r="G427" s="7"/>
      <c r="H427" s="8"/>
      <c r="I427" s="9"/>
      <c r="J427" s="7"/>
      <c r="K427" s="7"/>
      <c r="L427" s="7"/>
      <c r="M427" s="14">
        <v>550</v>
      </c>
      <c r="N427" s="14">
        <v>550</v>
      </c>
      <c r="O427" s="14">
        <v>550</v>
      </c>
      <c r="P427" s="7"/>
      <c r="Q427" s="7"/>
      <c r="R427" s="14">
        <v>550</v>
      </c>
      <c r="S427" s="7"/>
      <c r="T427" s="7"/>
      <c r="U427" s="14">
        <v>550</v>
      </c>
      <c r="V427" s="7"/>
      <c r="W427" s="7"/>
      <c r="X427" s="7"/>
      <c r="Y427" s="7"/>
      <c r="Z427" s="7"/>
      <c r="AA427" s="7"/>
      <c r="AC427" s="70" t="str">
        <f t="shared" si="13"/>
        <v/>
      </c>
      <c r="AD427" s="75" t="str">
        <f t="shared" si="14"/>
        <v/>
      </c>
    </row>
    <row r="428" spans="1:34" outlineLevel="7">
      <c r="A428" s="3500" t="s">
        <v>320</v>
      </c>
      <c r="B428" s="3500"/>
      <c r="C428" s="7"/>
      <c r="D428" s="7"/>
      <c r="E428" s="14">
        <v>550</v>
      </c>
      <c r="F428" s="7"/>
      <c r="G428" s="7"/>
      <c r="H428" s="8"/>
      <c r="I428" s="9"/>
      <c r="J428" s="7"/>
      <c r="K428" s="7"/>
      <c r="L428" s="7"/>
      <c r="M428" s="14">
        <v>550</v>
      </c>
      <c r="N428" s="14">
        <v>550</v>
      </c>
      <c r="O428" s="14">
        <v>550</v>
      </c>
      <c r="P428" s="7"/>
      <c r="Q428" s="7"/>
      <c r="R428" s="14">
        <v>550</v>
      </c>
      <c r="S428" s="7"/>
      <c r="T428" s="7"/>
      <c r="U428" s="14">
        <v>550</v>
      </c>
      <c r="V428" s="7"/>
      <c r="W428" s="7"/>
      <c r="X428" s="7"/>
      <c r="Y428" s="7"/>
      <c r="Z428" s="7"/>
      <c r="AA428" s="7"/>
      <c r="AC428" s="70" t="str">
        <f t="shared" si="13"/>
        <v/>
      </c>
      <c r="AD428" s="75" t="str">
        <f t="shared" si="14"/>
        <v/>
      </c>
      <c r="AH428" t="s">
        <v>3503</v>
      </c>
    </row>
    <row r="429" spans="1:34" outlineLevel="7">
      <c r="A429" s="3499" t="s">
        <v>1652</v>
      </c>
      <c r="B429" s="3499"/>
      <c r="C429" s="7"/>
      <c r="D429" s="7"/>
      <c r="E429" s="14">
        <v>550</v>
      </c>
      <c r="F429" s="7"/>
      <c r="G429" s="7"/>
      <c r="H429" s="8"/>
      <c r="I429" s="9"/>
      <c r="J429" s="7"/>
      <c r="K429" s="7"/>
      <c r="L429" s="7"/>
      <c r="M429" s="14">
        <v>550</v>
      </c>
      <c r="N429" s="14">
        <v>550</v>
      </c>
      <c r="O429" s="14">
        <v>550</v>
      </c>
      <c r="P429" s="7"/>
      <c r="Q429" s="7"/>
      <c r="R429" s="14">
        <v>550</v>
      </c>
      <c r="S429" s="7"/>
      <c r="T429" s="7"/>
      <c r="U429" s="14">
        <v>550</v>
      </c>
      <c r="V429" s="7"/>
      <c r="W429" s="7"/>
      <c r="X429" s="7"/>
      <c r="Y429" s="7"/>
      <c r="Z429" s="7"/>
      <c r="AA429" s="7"/>
      <c r="AC429" s="70">
        <f t="shared" si="13"/>
        <v>550</v>
      </c>
      <c r="AD429" s="75">
        <f t="shared" si="14"/>
        <v>1</v>
      </c>
    </row>
    <row r="430" spans="1:34" outlineLevel="6">
      <c r="A430" s="3501" t="s">
        <v>321</v>
      </c>
      <c r="B430" s="3501"/>
      <c r="C430" s="7"/>
      <c r="D430" s="7"/>
      <c r="E430" s="14">
        <v>550</v>
      </c>
      <c r="F430" s="7"/>
      <c r="G430" s="7"/>
      <c r="H430" s="8"/>
      <c r="I430" s="9"/>
      <c r="J430" s="7"/>
      <c r="K430" s="7"/>
      <c r="L430" s="7"/>
      <c r="M430" s="14">
        <v>550</v>
      </c>
      <c r="N430" s="14">
        <v>550</v>
      </c>
      <c r="O430" s="14">
        <v>550</v>
      </c>
      <c r="P430" s="7"/>
      <c r="Q430" s="7"/>
      <c r="R430" s="14">
        <v>550</v>
      </c>
      <c r="S430" s="7"/>
      <c r="T430" s="7"/>
      <c r="U430" s="7"/>
      <c r="V430" s="14">
        <v>550</v>
      </c>
      <c r="W430" s="14">
        <v>550</v>
      </c>
      <c r="X430" s="7"/>
      <c r="Y430" s="7"/>
      <c r="Z430" s="7"/>
      <c r="AA430" s="7"/>
      <c r="AC430" s="70" t="str">
        <f t="shared" si="13"/>
        <v/>
      </c>
      <c r="AD430" s="75" t="str">
        <f t="shared" si="14"/>
        <v/>
      </c>
    </row>
    <row r="431" spans="1:34" outlineLevel="7">
      <c r="A431" s="3500" t="s">
        <v>322</v>
      </c>
      <c r="B431" s="3500"/>
      <c r="C431" s="7"/>
      <c r="D431" s="7"/>
      <c r="E431" s="14">
        <v>550</v>
      </c>
      <c r="F431" s="7"/>
      <c r="G431" s="7"/>
      <c r="H431" s="8"/>
      <c r="I431" s="9"/>
      <c r="J431" s="7"/>
      <c r="K431" s="7"/>
      <c r="L431" s="7"/>
      <c r="M431" s="14">
        <v>550</v>
      </c>
      <c r="N431" s="14">
        <v>550</v>
      </c>
      <c r="O431" s="14">
        <v>550</v>
      </c>
      <c r="P431" s="7"/>
      <c r="Q431" s="7"/>
      <c r="R431" s="14">
        <v>550</v>
      </c>
      <c r="S431" s="7"/>
      <c r="T431" s="7"/>
      <c r="U431" s="7"/>
      <c r="V431" s="14">
        <v>550</v>
      </c>
      <c r="W431" s="14">
        <v>550</v>
      </c>
      <c r="X431" s="7"/>
      <c r="Y431" s="7"/>
      <c r="Z431" s="7"/>
      <c r="AA431" s="7"/>
      <c r="AC431" s="70" t="str">
        <f t="shared" si="13"/>
        <v/>
      </c>
      <c r="AD431" s="75" t="str">
        <f t="shared" si="14"/>
        <v/>
      </c>
      <c r="AH431" t="s">
        <v>3504</v>
      </c>
    </row>
    <row r="432" spans="1:34" outlineLevel="7">
      <c r="A432" s="3499" t="s">
        <v>1653</v>
      </c>
      <c r="B432" s="3499"/>
      <c r="C432" s="7"/>
      <c r="D432" s="7"/>
      <c r="E432" s="14">
        <v>550</v>
      </c>
      <c r="F432" s="7"/>
      <c r="G432" s="7"/>
      <c r="H432" s="8"/>
      <c r="I432" s="9"/>
      <c r="J432" s="7"/>
      <c r="K432" s="7"/>
      <c r="L432" s="7"/>
      <c r="M432" s="14">
        <v>550</v>
      </c>
      <c r="N432" s="14">
        <v>550</v>
      </c>
      <c r="O432" s="14">
        <v>550</v>
      </c>
      <c r="P432" s="7"/>
      <c r="Q432" s="7"/>
      <c r="R432" s="14">
        <v>550</v>
      </c>
      <c r="S432" s="7"/>
      <c r="T432" s="7"/>
      <c r="U432" s="7"/>
      <c r="V432" s="14">
        <v>550</v>
      </c>
      <c r="W432" s="14">
        <v>550</v>
      </c>
      <c r="X432" s="7"/>
      <c r="Y432" s="7"/>
      <c r="Z432" s="7"/>
      <c r="AA432" s="7"/>
      <c r="AC432" s="70">
        <f t="shared" si="13"/>
        <v>550</v>
      </c>
      <c r="AD432" s="75">
        <f t="shared" si="14"/>
        <v>1</v>
      </c>
    </row>
    <row r="433" spans="1:34" outlineLevel="6">
      <c r="A433" s="3501" t="s">
        <v>323</v>
      </c>
      <c r="B433" s="3501"/>
      <c r="C433" s="7"/>
      <c r="D433" s="7"/>
      <c r="E433" s="14">
        <v>550</v>
      </c>
      <c r="F433" s="7"/>
      <c r="G433" s="7"/>
      <c r="H433" s="8"/>
      <c r="I433" s="9"/>
      <c r="J433" s="7"/>
      <c r="K433" s="7"/>
      <c r="L433" s="7"/>
      <c r="M433" s="14">
        <v>550</v>
      </c>
      <c r="N433" s="14">
        <v>550</v>
      </c>
      <c r="O433" s="14">
        <v>550</v>
      </c>
      <c r="P433" s="7"/>
      <c r="Q433" s="7"/>
      <c r="R433" s="14">
        <v>550</v>
      </c>
      <c r="S433" s="7"/>
      <c r="T433" s="7"/>
      <c r="U433" s="7"/>
      <c r="V433" s="14">
        <v>550</v>
      </c>
      <c r="W433" s="14">
        <v>550</v>
      </c>
      <c r="X433" s="7"/>
      <c r="Y433" s="7"/>
      <c r="Z433" s="7"/>
      <c r="AA433" s="7"/>
      <c r="AC433" s="70" t="str">
        <f t="shared" si="13"/>
        <v/>
      </c>
      <c r="AD433" s="75" t="str">
        <f t="shared" si="14"/>
        <v/>
      </c>
    </row>
    <row r="434" spans="1:34" outlineLevel="7">
      <c r="A434" s="3500" t="s">
        <v>324</v>
      </c>
      <c r="B434" s="3500"/>
      <c r="C434" s="7"/>
      <c r="D434" s="7"/>
      <c r="E434" s="14">
        <v>550</v>
      </c>
      <c r="F434" s="7"/>
      <c r="G434" s="7"/>
      <c r="H434" s="8"/>
      <c r="I434" s="9"/>
      <c r="J434" s="7"/>
      <c r="K434" s="7"/>
      <c r="L434" s="7"/>
      <c r="M434" s="14">
        <v>550</v>
      </c>
      <c r="N434" s="14">
        <v>550</v>
      </c>
      <c r="O434" s="14">
        <v>550</v>
      </c>
      <c r="P434" s="7"/>
      <c r="Q434" s="7"/>
      <c r="R434" s="14">
        <v>550</v>
      </c>
      <c r="S434" s="7"/>
      <c r="T434" s="7"/>
      <c r="U434" s="7"/>
      <c r="V434" s="14">
        <v>550</v>
      </c>
      <c r="W434" s="14">
        <v>550</v>
      </c>
      <c r="X434" s="7"/>
      <c r="Y434" s="7"/>
      <c r="Z434" s="7"/>
      <c r="AA434" s="7"/>
      <c r="AC434" s="70" t="str">
        <f t="shared" si="13"/>
        <v/>
      </c>
      <c r="AD434" s="75" t="str">
        <f t="shared" si="14"/>
        <v/>
      </c>
      <c r="AH434" t="s">
        <v>324</v>
      </c>
    </row>
    <row r="435" spans="1:34" outlineLevel="7">
      <c r="A435" s="3499" t="s">
        <v>1654</v>
      </c>
      <c r="B435" s="3499"/>
      <c r="C435" s="7"/>
      <c r="D435" s="7"/>
      <c r="E435" s="14">
        <v>550</v>
      </c>
      <c r="F435" s="7"/>
      <c r="G435" s="7"/>
      <c r="H435" s="8"/>
      <c r="I435" s="9"/>
      <c r="J435" s="7"/>
      <c r="K435" s="7"/>
      <c r="L435" s="7"/>
      <c r="M435" s="14">
        <v>550</v>
      </c>
      <c r="N435" s="14">
        <v>550</v>
      </c>
      <c r="O435" s="14">
        <v>550</v>
      </c>
      <c r="P435" s="7"/>
      <c r="Q435" s="7"/>
      <c r="R435" s="14">
        <v>550</v>
      </c>
      <c r="S435" s="7"/>
      <c r="T435" s="7"/>
      <c r="U435" s="7"/>
      <c r="V435" s="14">
        <v>550</v>
      </c>
      <c r="W435" s="14">
        <v>550</v>
      </c>
      <c r="X435" s="7"/>
      <c r="Y435" s="7"/>
      <c r="Z435" s="7"/>
      <c r="AA435" s="7"/>
      <c r="AC435" s="70">
        <f t="shared" si="13"/>
        <v>550</v>
      </c>
      <c r="AD435" s="75">
        <f t="shared" si="14"/>
        <v>1</v>
      </c>
    </row>
    <row r="436" spans="1:34" outlineLevel="6">
      <c r="A436" s="3501" t="s">
        <v>325</v>
      </c>
      <c r="B436" s="3501"/>
      <c r="C436" s="7"/>
      <c r="D436" s="7"/>
      <c r="E436" s="14">
        <v>550</v>
      </c>
      <c r="F436" s="7"/>
      <c r="G436" s="7"/>
      <c r="H436" s="8"/>
      <c r="I436" s="9"/>
      <c r="J436" s="7"/>
      <c r="K436" s="7"/>
      <c r="L436" s="7"/>
      <c r="M436" s="14">
        <v>550</v>
      </c>
      <c r="N436" s="14">
        <v>550</v>
      </c>
      <c r="O436" s="14">
        <v>550</v>
      </c>
      <c r="P436" s="7"/>
      <c r="Q436" s="7"/>
      <c r="R436" s="14">
        <v>550</v>
      </c>
      <c r="S436" s="7"/>
      <c r="T436" s="7"/>
      <c r="U436" s="7"/>
      <c r="V436" s="14">
        <v>550</v>
      </c>
      <c r="W436" s="14">
        <v>550</v>
      </c>
      <c r="X436" s="7"/>
      <c r="Y436" s="7"/>
      <c r="Z436" s="7"/>
      <c r="AA436" s="7"/>
      <c r="AC436" s="70" t="str">
        <f t="shared" si="13"/>
        <v/>
      </c>
      <c r="AD436" s="75" t="str">
        <f t="shared" si="14"/>
        <v/>
      </c>
    </row>
    <row r="437" spans="1:34" outlineLevel="7">
      <c r="A437" s="3500" t="s">
        <v>326</v>
      </c>
      <c r="B437" s="3500"/>
      <c r="C437" s="7"/>
      <c r="D437" s="7"/>
      <c r="E437" s="14">
        <v>550</v>
      </c>
      <c r="F437" s="7"/>
      <c r="G437" s="7"/>
      <c r="H437" s="8"/>
      <c r="I437" s="9"/>
      <c r="J437" s="7"/>
      <c r="K437" s="7"/>
      <c r="L437" s="7"/>
      <c r="M437" s="14">
        <v>550</v>
      </c>
      <c r="N437" s="14">
        <v>550</v>
      </c>
      <c r="O437" s="14">
        <v>550</v>
      </c>
      <c r="P437" s="7"/>
      <c r="Q437" s="7"/>
      <c r="R437" s="14">
        <v>550</v>
      </c>
      <c r="S437" s="7"/>
      <c r="T437" s="7"/>
      <c r="U437" s="7"/>
      <c r="V437" s="14">
        <v>550</v>
      </c>
      <c r="W437" s="14">
        <v>550</v>
      </c>
      <c r="X437" s="7"/>
      <c r="Y437" s="7"/>
      <c r="Z437" s="7"/>
      <c r="AA437" s="7"/>
      <c r="AC437" s="70" t="str">
        <f t="shared" si="13"/>
        <v/>
      </c>
      <c r="AD437" s="75" t="str">
        <f t="shared" si="14"/>
        <v/>
      </c>
      <c r="AH437" t="s">
        <v>3521</v>
      </c>
    </row>
    <row r="438" spans="1:34" outlineLevel="7">
      <c r="A438" s="3499" t="s">
        <v>1655</v>
      </c>
      <c r="B438" s="3499"/>
      <c r="C438" s="7"/>
      <c r="D438" s="7"/>
      <c r="E438" s="14">
        <v>550</v>
      </c>
      <c r="F438" s="7"/>
      <c r="G438" s="7"/>
      <c r="H438" s="8"/>
      <c r="I438" s="9"/>
      <c r="J438" s="7"/>
      <c r="K438" s="7"/>
      <c r="L438" s="7"/>
      <c r="M438" s="14">
        <v>550</v>
      </c>
      <c r="N438" s="14">
        <v>550</v>
      </c>
      <c r="O438" s="14">
        <v>550</v>
      </c>
      <c r="P438" s="7"/>
      <c r="Q438" s="7"/>
      <c r="R438" s="14">
        <v>550</v>
      </c>
      <c r="S438" s="7"/>
      <c r="T438" s="7"/>
      <c r="U438" s="7"/>
      <c r="V438" s="14">
        <v>550</v>
      </c>
      <c r="W438" s="14">
        <v>550</v>
      </c>
      <c r="X438" s="7"/>
      <c r="Y438" s="7"/>
      <c r="Z438" s="7"/>
      <c r="AA438" s="7"/>
      <c r="AC438" s="70">
        <f t="shared" si="13"/>
        <v>550</v>
      </c>
      <c r="AD438" s="75">
        <f t="shared" si="14"/>
        <v>1</v>
      </c>
    </row>
    <row r="439" spans="1:34" outlineLevel="6">
      <c r="A439" s="3501" t="s">
        <v>327</v>
      </c>
      <c r="B439" s="3501"/>
      <c r="C439" s="7"/>
      <c r="D439" s="7"/>
      <c r="E439" s="14">
        <v>550</v>
      </c>
      <c r="F439" s="7"/>
      <c r="G439" s="7"/>
      <c r="H439" s="8"/>
      <c r="I439" s="9"/>
      <c r="J439" s="7"/>
      <c r="K439" s="7"/>
      <c r="L439" s="7"/>
      <c r="M439" s="14">
        <v>550</v>
      </c>
      <c r="N439" s="14">
        <v>550</v>
      </c>
      <c r="O439" s="14">
        <v>550</v>
      </c>
      <c r="P439" s="7"/>
      <c r="Q439" s="7"/>
      <c r="R439" s="14">
        <v>550</v>
      </c>
      <c r="S439" s="7"/>
      <c r="T439" s="7"/>
      <c r="U439" s="7"/>
      <c r="V439" s="14">
        <v>550</v>
      </c>
      <c r="W439" s="14">
        <v>550</v>
      </c>
      <c r="X439" s="7"/>
      <c r="Y439" s="7"/>
      <c r="Z439" s="7"/>
      <c r="AA439" s="7"/>
      <c r="AC439" s="70" t="str">
        <f t="shared" si="13"/>
        <v/>
      </c>
      <c r="AD439" s="75" t="str">
        <f t="shared" si="14"/>
        <v/>
      </c>
    </row>
    <row r="440" spans="1:34" outlineLevel="7">
      <c r="A440" s="3500" t="s">
        <v>328</v>
      </c>
      <c r="B440" s="3500"/>
      <c r="C440" s="7"/>
      <c r="D440" s="7"/>
      <c r="E440" s="14">
        <v>550</v>
      </c>
      <c r="F440" s="7"/>
      <c r="G440" s="7"/>
      <c r="H440" s="8"/>
      <c r="I440" s="9"/>
      <c r="J440" s="7"/>
      <c r="K440" s="7"/>
      <c r="L440" s="7"/>
      <c r="M440" s="14">
        <v>550</v>
      </c>
      <c r="N440" s="14">
        <v>550</v>
      </c>
      <c r="O440" s="14">
        <v>550</v>
      </c>
      <c r="P440" s="7"/>
      <c r="Q440" s="7"/>
      <c r="R440" s="14">
        <v>550</v>
      </c>
      <c r="S440" s="7"/>
      <c r="T440" s="7"/>
      <c r="U440" s="7"/>
      <c r="V440" s="14">
        <v>550</v>
      </c>
      <c r="W440" s="14">
        <v>550</v>
      </c>
      <c r="X440" s="7"/>
      <c r="Y440" s="7"/>
      <c r="Z440" s="7"/>
      <c r="AA440" s="7"/>
      <c r="AC440" s="70" t="str">
        <f t="shared" si="13"/>
        <v/>
      </c>
      <c r="AD440" s="75" t="str">
        <f t="shared" si="14"/>
        <v/>
      </c>
      <c r="AH440" t="s">
        <v>2687</v>
      </c>
    </row>
    <row r="441" spans="1:34" outlineLevel="7">
      <c r="A441" s="3499" t="s">
        <v>1656</v>
      </c>
      <c r="B441" s="3499"/>
      <c r="C441" s="7"/>
      <c r="D441" s="7"/>
      <c r="E441" s="14">
        <v>550</v>
      </c>
      <c r="F441" s="7"/>
      <c r="G441" s="7"/>
      <c r="H441" s="8"/>
      <c r="I441" s="9"/>
      <c r="J441" s="7"/>
      <c r="K441" s="7"/>
      <c r="L441" s="7"/>
      <c r="M441" s="14">
        <v>550</v>
      </c>
      <c r="N441" s="14">
        <v>550</v>
      </c>
      <c r="O441" s="14">
        <v>550</v>
      </c>
      <c r="P441" s="7"/>
      <c r="Q441" s="7"/>
      <c r="R441" s="14">
        <v>550</v>
      </c>
      <c r="S441" s="7"/>
      <c r="T441" s="7"/>
      <c r="U441" s="7"/>
      <c r="V441" s="14">
        <v>550</v>
      </c>
      <c r="W441" s="14">
        <v>550</v>
      </c>
      <c r="X441" s="7"/>
      <c r="Y441" s="7"/>
      <c r="Z441" s="7"/>
      <c r="AA441" s="7"/>
      <c r="AC441" s="70">
        <f t="shared" si="13"/>
        <v>550</v>
      </c>
      <c r="AD441" s="75">
        <f t="shared" si="14"/>
        <v>1</v>
      </c>
    </row>
    <row r="442" spans="1:34" outlineLevel="6">
      <c r="A442" s="3501" t="s">
        <v>329</v>
      </c>
      <c r="B442" s="3501"/>
      <c r="C442" s="7"/>
      <c r="D442" s="7"/>
      <c r="E442" s="14">
        <v>550</v>
      </c>
      <c r="F442" s="7"/>
      <c r="G442" s="7"/>
      <c r="H442" s="8"/>
      <c r="I442" s="9"/>
      <c r="J442" s="7"/>
      <c r="K442" s="7"/>
      <c r="L442" s="7"/>
      <c r="M442" s="14">
        <v>550</v>
      </c>
      <c r="N442" s="14">
        <v>550</v>
      </c>
      <c r="O442" s="14">
        <v>550</v>
      </c>
      <c r="P442" s="7"/>
      <c r="Q442" s="7"/>
      <c r="R442" s="14">
        <v>550</v>
      </c>
      <c r="S442" s="7"/>
      <c r="T442" s="7"/>
      <c r="U442" s="7"/>
      <c r="V442" s="14">
        <v>550</v>
      </c>
      <c r="W442" s="14">
        <v>550</v>
      </c>
      <c r="X442" s="7"/>
      <c r="Y442" s="7"/>
      <c r="Z442" s="7"/>
      <c r="AA442" s="7"/>
      <c r="AC442" s="70" t="str">
        <f t="shared" si="13"/>
        <v/>
      </c>
      <c r="AD442" s="75" t="str">
        <f t="shared" si="14"/>
        <v/>
      </c>
    </row>
    <row r="443" spans="1:34" outlineLevel="7">
      <c r="A443" s="3500" t="s">
        <v>330</v>
      </c>
      <c r="B443" s="3500"/>
      <c r="C443" s="7"/>
      <c r="D443" s="7"/>
      <c r="E443" s="14">
        <v>550</v>
      </c>
      <c r="F443" s="7"/>
      <c r="G443" s="7"/>
      <c r="H443" s="8"/>
      <c r="I443" s="9"/>
      <c r="J443" s="7"/>
      <c r="K443" s="7"/>
      <c r="L443" s="7"/>
      <c r="M443" s="14">
        <v>550</v>
      </c>
      <c r="N443" s="14">
        <v>550</v>
      </c>
      <c r="O443" s="14">
        <v>550</v>
      </c>
      <c r="P443" s="7"/>
      <c r="Q443" s="7"/>
      <c r="R443" s="14">
        <v>550</v>
      </c>
      <c r="S443" s="7"/>
      <c r="T443" s="7"/>
      <c r="U443" s="7"/>
      <c r="V443" s="14">
        <v>550</v>
      </c>
      <c r="W443" s="14">
        <v>550</v>
      </c>
      <c r="X443" s="7"/>
      <c r="Y443" s="7"/>
      <c r="Z443" s="7"/>
      <c r="AA443" s="7"/>
      <c r="AC443" s="70" t="str">
        <f t="shared" si="13"/>
        <v/>
      </c>
      <c r="AD443" s="75" t="str">
        <f t="shared" si="14"/>
        <v/>
      </c>
      <c r="AH443" t="s">
        <v>2757</v>
      </c>
    </row>
    <row r="444" spans="1:34" outlineLevel="7">
      <c r="A444" s="3499" t="s">
        <v>1657</v>
      </c>
      <c r="B444" s="3499"/>
      <c r="C444" s="7"/>
      <c r="D444" s="7"/>
      <c r="E444" s="14">
        <v>550</v>
      </c>
      <c r="F444" s="7"/>
      <c r="G444" s="7"/>
      <c r="H444" s="8"/>
      <c r="I444" s="9"/>
      <c r="J444" s="7"/>
      <c r="K444" s="7"/>
      <c r="L444" s="7"/>
      <c r="M444" s="14">
        <v>550</v>
      </c>
      <c r="N444" s="14">
        <v>550</v>
      </c>
      <c r="O444" s="14">
        <v>550</v>
      </c>
      <c r="P444" s="7"/>
      <c r="Q444" s="7"/>
      <c r="R444" s="14">
        <v>550</v>
      </c>
      <c r="S444" s="7"/>
      <c r="T444" s="7"/>
      <c r="U444" s="7"/>
      <c r="V444" s="14">
        <v>550</v>
      </c>
      <c r="W444" s="14">
        <v>550</v>
      </c>
      <c r="X444" s="7"/>
      <c r="Y444" s="7"/>
      <c r="Z444" s="7"/>
      <c r="AA444" s="7"/>
      <c r="AC444" s="70">
        <f t="shared" si="13"/>
        <v>550</v>
      </c>
      <c r="AD444" s="75">
        <f t="shared" si="14"/>
        <v>1</v>
      </c>
    </row>
    <row r="445" spans="1:34" outlineLevel="6">
      <c r="A445" s="3501" t="s">
        <v>331</v>
      </c>
      <c r="B445" s="3501"/>
      <c r="C445" s="7"/>
      <c r="D445" s="7"/>
      <c r="E445" s="14">
        <v>550</v>
      </c>
      <c r="F445" s="7"/>
      <c r="G445" s="7"/>
      <c r="H445" s="8"/>
      <c r="I445" s="9"/>
      <c r="J445" s="7"/>
      <c r="K445" s="7"/>
      <c r="L445" s="7"/>
      <c r="M445" s="14">
        <v>550</v>
      </c>
      <c r="N445" s="14">
        <v>550</v>
      </c>
      <c r="O445" s="14">
        <v>550</v>
      </c>
      <c r="P445" s="7"/>
      <c r="Q445" s="7"/>
      <c r="R445" s="14">
        <v>550</v>
      </c>
      <c r="S445" s="7"/>
      <c r="T445" s="7"/>
      <c r="U445" s="14">
        <v>550</v>
      </c>
      <c r="V445" s="7"/>
      <c r="W445" s="7"/>
      <c r="X445" s="7"/>
      <c r="Y445" s="7"/>
      <c r="Z445" s="7"/>
      <c r="AA445" s="7"/>
      <c r="AC445" s="70" t="str">
        <f t="shared" si="13"/>
        <v/>
      </c>
      <c r="AD445" s="75" t="str">
        <f t="shared" si="14"/>
        <v/>
      </c>
    </row>
    <row r="446" spans="1:34" outlineLevel="7">
      <c r="A446" s="3500" t="s">
        <v>332</v>
      </c>
      <c r="B446" s="3500"/>
      <c r="C446" s="7"/>
      <c r="D446" s="7"/>
      <c r="E446" s="14">
        <v>550</v>
      </c>
      <c r="F446" s="7"/>
      <c r="G446" s="7"/>
      <c r="H446" s="8"/>
      <c r="I446" s="9"/>
      <c r="J446" s="7"/>
      <c r="K446" s="7"/>
      <c r="L446" s="7"/>
      <c r="M446" s="14">
        <v>550</v>
      </c>
      <c r="N446" s="14">
        <v>550</v>
      </c>
      <c r="O446" s="14">
        <v>550</v>
      </c>
      <c r="P446" s="7"/>
      <c r="Q446" s="7"/>
      <c r="R446" s="14">
        <v>550</v>
      </c>
      <c r="S446" s="7"/>
      <c r="T446" s="7"/>
      <c r="U446" s="14">
        <v>550</v>
      </c>
      <c r="V446" s="7"/>
      <c r="W446" s="7"/>
      <c r="X446" s="7"/>
      <c r="Y446" s="7"/>
      <c r="Z446" s="7"/>
      <c r="AA446" s="7"/>
      <c r="AC446" s="70" t="str">
        <f t="shared" si="13"/>
        <v/>
      </c>
      <c r="AD446" s="75" t="str">
        <f t="shared" si="14"/>
        <v/>
      </c>
      <c r="AH446" t="s">
        <v>3552</v>
      </c>
    </row>
    <row r="447" spans="1:34" outlineLevel="7">
      <c r="A447" s="3499" t="s">
        <v>1658</v>
      </c>
      <c r="B447" s="3499"/>
      <c r="C447" s="7"/>
      <c r="D447" s="7"/>
      <c r="E447" s="14">
        <v>550</v>
      </c>
      <c r="F447" s="7"/>
      <c r="G447" s="7"/>
      <c r="H447" s="8"/>
      <c r="I447" s="9"/>
      <c r="J447" s="7"/>
      <c r="K447" s="7"/>
      <c r="L447" s="7"/>
      <c r="M447" s="14">
        <v>550</v>
      </c>
      <c r="N447" s="14">
        <v>550</v>
      </c>
      <c r="O447" s="14">
        <v>550</v>
      </c>
      <c r="P447" s="7"/>
      <c r="Q447" s="7"/>
      <c r="R447" s="14">
        <v>550</v>
      </c>
      <c r="S447" s="7"/>
      <c r="T447" s="7"/>
      <c r="U447" s="14">
        <v>550</v>
      </c>
      <c r="V447" s="7"/>
      <c r="W447" s="7"/>
      <c r="X447" s="7"/>
      <c r="Y447" s="7"/>
      <c r="Z447" s="7"/>
      <c r="AA447" s="7"/>
      <c r="AC447" s="70">
        <f t="shared" si="13"/>
        <v>550</v>
      </c>
      <c r="AD447" s="75">
        <f t="shared" si="14"/>
        <v>1</v>
      </c>
    </row>
    <row r="448" spans="1:34" outlineLevel="6">
      <c r="A448" s="3501" t="s">
        <v>333</v>
      </c>
      <c r="B448" s="3501"/>
      <c r="C448" s="7"/>
      <c r="D448" s="7"/>
      <c r="E448" s="14">
        <v>550</v>
      </c>
      <c r="F448" s="7"/>
      <c r="G448" s="7"/>
      <c r="H448" s="8"/>
      <c r="I448" s="9"/>
      <c r="J448" s="7"/>
      <c r="K448" s="7"/>
      <c r="L448" s="7"/>
      <c r="M448" s="14">
        <v>550</v>
      </c>
      <c r="N448" s="14">
        <v>550</v>
      </c>
      <c r="O448" s="14">
        <v>550</v>
      </c>
      <c r="P448" s="7"/>
      <c r="Q448" s="7"/>
      <c r="R448" s="14">
        <v>550</v>
      </c>
      <c r="S448" s="7"/>
      <c r="T448" s="7"/>
      <c r="U448" s="7"/>
      <c r="V448" s="14">
        <v>550</v>
      </c>
      <c r="W448" s="14">
        <v>550</v>
      </c>
      <c r="X448" s="7"/>
      <c r="Y448" s="7"/>
      <c r="Z448" s="7"/>
      <c r="AA448" s="7"/>
      <c r="AC448" s="70" t="str">
        <f t="shared" si="13"/>
        <v/>
      </c>
      <c r="AD448" s="75" t="str">
        <f t="shared" si="14"/>
        <v/>
      </c>
    </row>
    <row r="449" spans="1:34" outlineLevel="7">
      <c r="A449" s="3500" t="s">
        <v>334</v>
      </c>
      <c r="B449" s="3500"/>
      <c r="C449" s="7"/>
      <c r="D449" s="7"/>
      <c r="E449" s="14">
        <v>550</v>
      </c>
      <c r="F449" s="7"/>
      <c r="G449" s="7"/>
      <c r="H449" s="8"/>
      <c r="I449" s="9"/>
      <c r="J449" s="7"/>
      <c r="K449" s="7"/>
      <c r="L449" s="7"/>
      <c r="M449" s="14">
        <v>550</v>
      </c>
      <c r="N449" s="14">
        <v>550</v>
      </c>
      <c r="O449" s="14">
        <v>550</v>
      </c>
      <c r="P449" s="7"/>
      <c r="Q449" s="7"/>
      <c r="R449" s="14">
        <v>550</v>
      </c>
      <c r="S449" s="7"/>
      <c r="T449" s="7"/>
      <c r="U449" s="7"/>
      <c r="V449" s="14">
        <v>550</v>
      </c>
      <c r="W449" s="14">
        <v>550</v>
      </c>
      <c r="X449" s="7"/>
      <c r="Y449" s="7"/>
      <c r="Z449" s="7"/>
      <c r="AA449" s="7"/>
      <c r="AC449" s="70" t="str">
        <f t="shared" si="13"/>
        <v/>
      </c>
      <c r="AD449" s="75" t="str">
        <f t="shared" si="14"/>
        <v/>
      </c>
      <c r="AH449" t="s">
        <v>3561</v>
      </c>
    </row>
    <row r="450" spans="1:34" outlineLevel="7">
      <c r="A450" s="3499" t="s">
        <v>1659</v>
      </c>
      <c r="B450" s="3499"/>
      <c r="C450" s="7"/>
      <c r="D450" s="7"/>
      <c r="E450" s="14">
        <v>550</v>
      </c>
      <c r="F450" s="7"/>
      <c r="G450" s="7"/>
      <c r="H450" s="8"/>
      <c r="I450" s="9"/>
      <c r="J450" s="7"/>
      <c r="K450" s="7"/>
      <c r="L450" s="7"/>
      <c r="M450" s="14">
        <v>550</v>
      </c>
      <c r="N450" s="14">
        <v>550</v>
      </c>
      <c r="O450" s="14">
        <v>550</v>
      </c>
      <c r="P450" s="7"/>
      <c r="Q450" s="7"/>
      <c r="R450" s="14">
        <v>550</v>
      </c>
      <c r="S450" s="7"/>
      <c r="T450" s="7"/>
      <c r="U450" s="7"/>
      <c r="V450" s="14">
        <v>550</v>
      </c>
      <c r="W450" s="14">
        <v>550</v>
      </c>
      <c r="X450" s="7"/>
      <c r="Y450" s="7"/>
      <c r="Z450" s="7"/>
      <c r="AA450" s="7"/>
      <c r="AC450" s="70">
        <f t="shared" si="13"/>
        <v>550</v>
      </c>
      <c r="AD450" s="75">
        <f t="shared" si="14"/>
        <v>1</v>
      </c>
    </row>
    <row r="451" spans="1:34" outlineLevel="6">
      <c r="A451" s="3501" t="s">
        <v>335</v>
      </c>
      <c r="B451" s="3501"/>
      <c r="C451" s="7"/>
      <c r="D451" s="7"/>
      <c r="E451" s="14">
        <v>550</v>
      </c>
      <c r="F451" s="7"/>
      <c r="G451" s="7"/>
      <c r="H451" s="8"/>
      <c r="I451" s="9"/>
      <c r="J451" s="7"/>
      <c r="K451" s="7"/>
      <c r="L451" s="7"/>
      <c r="M451" s="14">
        <v>550</v>
      </c>
      <c r="N451" s="14">
        <v>550</v>
      </c>
      <c r="O451" s="14">
        <v>550</v>
      </c>
      <c r="P451" s="7"/>
      <c r="Q451" s="7"/>
      <c r="R451" s="14">
        <v>550</v>
      </c>
      <c r="S451" s="7"/>
      <c r="T451" s="7"/>
      <c r="U451" s="7"/>
      <c r="V451" s="14">
        <v>550</v>
      </c>
      <c r="W451" s="14">
        <v>550</v>
      </c>
      <c r="X451" s="7"/>
      <c r="Y451" s="7"/>
      <c r="Z451" s="7"/>
      <c r="AA451" s="7"/>
      <c r="AC451" s="70" t="str">
        <f t="shared" si="13"/>
        <v/>
      </c>
      <c r="AD451" s="75" t="str">
        <f t="shared" si="14"/>
        <v/>
      </c>
    </row>
    <row r="452" spans="1:34" outlineLevel="7">
      <c r="A452" s="3500" t="s">
        <v>336</v>
      </c>
      <c r="B452" s="3500"/>
      <c r="C452" s="7"/>
      <c r="D452" s="7"/>
      <c r="E452" s="14">
        <v>550</v>
      </c>
      <c r="F452" s="7"/>
      <c r="G452" s="7"/>
      <c r="H452" s="8"/>
      <c r="I452" s="9"/>
      <c r="J452" s="7"/>
      <c r="K452" s="7"/>
      <c r="L452" s="7"/>
      <c r="M452" s="14">
        <v>550</v>
      </c>
      <c r="N452" s="14">
        <v>550</v>
      </c>
      <c r="O452" s="14">
        <v>550</v>
      </c>
      <c r="P452" s="7"/>
      <c r="Q452" s="7"/>
      <c r="R452" s="14">
        <v>550</v>
      </c>
      <c r="S452" s="7"/>
      <c r="T452" s="7"/>
      <c r="U452" s="7"/>
      <c r="V452" s="14">
        <v>550</v>
      </c>
      <c r="W452" s="14">
        <v>550</v>
      </c>
      <c r="X452" s="7"/>
      <c r="Y452" s="7"/>
      <c r="Z452" s="7"/>
      <c r="AA452" s="7"/>
      <c r="AC452" s="70" t="str">
        <f t="shared" si="13"/>
        <v/>
      </c>
      <c r="AD452" s="75" t="str">
        <f t="shared" si="14"/>
        <v/>
      </c>
      <c r="AH452" t="s">
        <v>3514</v>
      </c>
    </row>
    <row r="453" spans="1:34" outlineLevel="7">
      <c r="A453" s="3499" t="s">
        <v>1660</v>
      </c>
      <c r="B453" s="3499"/>
      <c r="C453" s="7"/>
      <c r="D453" s="7"/>
      <c r="E453" s="14">
        <v>550</v>
      </c>
      <c r="F453" s="7"/>
      <c r="G453" s="7"/>
      <c r="H453" s="8"/>
      <c r="I453" s="9"/>
      <c r="J453" s="7"/>
      <c r="K453" s="7"/>
      <c r="L453" s="7"/>
      <c r="M453" s="14">
        <v>550</v>
      </c>
      <c r="N453" s="14">
        <v>550</v>
      </c>
      <c r="O453" s="14">
        <v>550</v>
      </c>
      <c r="P453" s="7"/>
      <c r="Q453" s="7"/>
      <c r="R453" s="14">
        <v>550</v>
      </c>
      <c r="S453" s="7"/>
      <c r="T453" s="7"/>
      <c r="U453" s="7"/>
      <c r="V453" s="14">
        <v>550</v>
      </c>
      <c r="W453" s="14">
        <v>550</v>
      </c>
      <c r="X453" s="7"/>
      <c r="Y453" s="7"/>
      <c r="Z453" s="7"/>
      <c r="AA453" s="7"/>
      <c r="AC453" s="70">
        <f t="shared" si="13"/>
        <v>550</v>
      </c>
      <c r="AD453" s="75">
        <f t="shared" si="14"/>
        <v>1</v>
      </c>
    </row>
    <row r="454" spans="1:34" outlineLevel="6">
      <c r="A454" s="3501" t="s">
        <v>337</v>
      </c>
      <c r="B454" s="3501"/>
      <c r="C454" s="7"/>
      <c r="D454" s="7"/>
      <c r="E454" s="14">
        <v>550</v>
      </c>
      <c r="F454" s="7"/>
      <c r="G454" s="7"/>
      <c r="H454" s="8"/>
      <c r="I454" s="9"/>
      <c r="J454" s="7"/>
      <c r="K454" s="7"/>
      <c r="L454" s="7"/>
      <c r="M454" s="14">
        <v>550</v>
      </c>
      <c r="N454" s="14">
        <v>550</v>
      </c>
      <c r="O454" s="14">
        <v>550</v>
      </c>
      <c r="P454" s="7"/>
      <c r="Q454" s="7"/>
      <c r="R454" s="14">
        <v>550</v>
      </c>
      <c r="S454" s="7"/>
      <c r="T454" s="7"/>
      <c r="U454" s="7"/>
      <c r="V454" s="14">
        <v>550</v>
      </c>
      <c r="W454" s="14">
        <v>550</v>
      </c>
      <c r="X454" s="7"/>
      <c r="Y454" s="7"/>
      <c r="Z454" s="7"/>
      <c r="AA454" s="7"/>
      <c r="AC454" s="70" t="str">
        <f t="shared" si="13"/>
        <v/>
      </c>
      <c r="AD454" s="75" t="str">
        <f t="shared" si="14"/>
        <v/>
      </c>
    </row>
    <row r="455" spans="1:34" outlineLevel="7">
      <c r="A455" s="3500" t="s">
        <v>338</v>
      </c>
      <c r="B455" s="3500"/>
      <c r="C455" s="7"/>
      <c r="D455" s="7"/>
      <c r="E455" s="14">
        <v>550</v>
      </c>
      <c r="F455" s="7"/>
      <c r="G455" s="7"/>
      <c r="H455" s="8"/>
      <c r="I455" s="9"/>
      <c r="J455" s="7"/>
      <c r="K455" s="7"/>
      <c r="L455" s="7"/>
      <c r="M455" s="14">
        <v>550</v>
      </c>
      <c r="N455" s="14">
        <v>550</v>
      </c>
      <c r="O455" s="14">
        <v>550</v>
      </c>
      <c r="P455" s="7"/>
      <c r="Q455" s="7"/>
      <c r="R455" s="14">
        <v>550</v>
      </c>
      <c r="S455" s="7"/>
      <c r="T455" s="7"/>
      <c r="U455" s="7"/>
      <c r="V455" s="14">
        <v>550</v>
      </c>
      <c r="W455" s="14">
        <v>550</v>
      </c>
      <c r="X455" s="7"/>
      <c r="Y455" s="7"/>
      <c r="Z455" s="7"/>
      <c r="AA455" s="7"/>
      <c r="AC455" s="70" t="str">
        <f t="shared" si="13"/>
        <v/>
      </c>
      <c r="AD455" s="75" t="str">
        <f t="shared" si="14"/>
        <v/>
      </c>
      <c r="AH455" t="s">
        <v>3421</v>
      </c>
    </row>
    <row r="456" spans="1:34" outlineLevel="7">
      <c r="A456" s="3499" t="s">
        <v>1661</v>
      </c>
      <c r="B456" s="3499"/>
      <c r="C456" s="7"/>
      <c r="D456" s="7"/>
      <c r="E456" s="14">
        <v>550</v>
      </c>
      <c r="F456" s="7"/>
      <c r="G456" s="7"/>
      <c r="H456" s="8"/>
      <c r="I456" s="9"/>
      <c r="J456" s="7"/>
      <c r="K456" s="7"/>
      <c r="L456" s="7"/>
      <c r="M456" s="14">
        <v>550</v>
      </c>
      <c r="N456" s="14">
        <v>550</v>
      </c>
      <c r="O456" s="14">
        <v>550</v>
      </c>
      <c r="P456" s="7"/>
      <c r="Q456" s="7"/>
      <c r="R456" s="14">
        <v>550</v>
      </c>
      <c r="S456" s="7"/>
      <c r="T456" s="7"/>
      <c r="U456" s="7"/>
      <c r="V456" s="14">
        <v>550</v>
      </c>
      <c r="W456" s="14">
        <v>550</v>
      </c>
      <c r="X456" s="7"/>
      <c r="Y456" s="7"/>
      <c r="Z456" s="7"/>
      <c r="AA456" s="7"/>
      <c r="AC456" s="70">
        <f t="shared" si="13"/>
        <v>550</v>
      </c>
      <c r="AD456" s="75">
        <f t="shared" si="14"/>
        <v>1</v>
      </c>
    </row>
    <row r="457" spans="1:34" outlineLevel="6">
      <c r="A457" s="3501" t="s">
        <v>339</v>
      </c>
      <c r="B457" s="3501"/>
      <c r="C457" s="7"/>
      <c r="D457" s="7"/>
      <c r="E457" s="14">
        <v>550</v>
      </c>
      <c r="F457" s="7"/>
      <c r="G457" s="7"/>
      <c r="H457" s="8"/>
      <c r="I457" s="9"/>
      <c r="J457" s="7"/>
      <c r="K457" s="7"/>
      <c r="L457" s="7"/>
      <c r="M457" s="14">
        <v>550</v>
      </c>
      <c r="N457" s="14">
        <v>550</v>
      </c>
      <c r="O457" s="14">
        <v>550</v>
      </c>
      <c r="P457" s="7"/>
      <c r="Q457" s="7"/>
      <c r="R457" s="14">
        <v>550</v>
      </c>
      <c r="S457" s="7"/>
      <c r="T457" s="7"/>
      <c r="U457" s="14">
        <v>550</v>
      </c>
      <c r="V457" s="7"/>
      <c r="W457" s="7"/>
      <c r="X457" s="7"/>
      <c r="Y457" s="7"/>
      <c r="Z457" s="7"/>
      <c r="AA457" s="7"/>
      <c r="AC457" s="70" t="str">
        <f t="shared" si="13"/>
        <v/>
      </c>
      <c r="AD457" s="75" t="str">
        <f t="shared" si="14"/>
        <v/>
      </c>
    </row>
    <row r="458" spans="1:34" outlineLevel="7">
      <c r="A458" s="3500" t="s">
        <v>340</v>
      </c>
      <c r="B458" s="3500"/>
      <c r="C458" s="7"/>
      <c r="D458" s="7"/>
      <c r="E458" s="14">
        <v>550</v>
      </c>
      <c r="F458" s="7"/>
      <c r="G458" s="7"/>
      <c r="H458" s="8"/>
      <c r="I458" s="9"/>
      <c r="J458" s="7"/>
      <c r="K458" s="7"/>
      <c r="L458" s="7"/>
      <c r="M458" s="14">
        <v>550</v>
      </c>
      <c r="N458" s="14">
        <v>550</v>
      </c>
      <c r="O458" s="14">
        <v>550</v>
      </c>
      <c r="P458" s="7"/>
      <c r="Q458" s="7"/>
      <c r="R458" s="14">
        <v>550</v>
      </c>
      <c r="S458" s="7"/>
      <c r="T458" s="7"/>
      <c r="U458" s="14">
        <v>550</v>
      </c>
      <c r="V458" s="7"/>
      <c r="W458" s="7"/>
      <c r="X458" s="7"/>
      <c r="Y458" s="7"/>
      <c r="Z458" s="7"/>
      <c r="AA458" s="7"/>
      <c r="AC458" s="70" t="str">
        <f t="shared" si="13"/>
        <v/>
      </c>
      <c r="AD458" s="75" t="str">
        <f t="shared" si="14"/>
        <v/>
      </c>
      <c r="AH458" t="s">
        <v>3635</v>
      </c>
    </row>
    <row r="459" spans="1:34" outlineLevel="7">
      <c r="A459" s="3499" t="s">
        <v>1662</v>
      </c>
      <c r="B459" s="3499"/>
      <c r="C459" s="7"/>
      <c r="D459" s="7"/>
      <c r="E459" s="14">
        <v>550</v>
      </c>
      <c r="F459" s="7"/>
      <c r="G459" s="7"/>
      <c r="H459" s="8"/>
      <c r="I459" s="9"/>
      <c r="J459" s="7"/>
      <c r="K459" s="7"/>
      <c r="L459" s="7"/>
      <c r="M459" s="14">
        <v>550</v>
      </c>
      <c r="N459" s="14">
        <v>550</v>
      </c>
      <c r="O459" s="14">
        <v>550</v>
      </c>
      <c r="P459" s="7"/>
      <c r="Q459" s="7"/>
      <c r="R459" s="14">
        <v>550</v>
      </c>
      <c r="S459" s="7"/>
      <c r="T459" s="7"/>
      <c r="U459" s="14">
        <v>550</v>
      </c>
      <c r="V459" s="7"/>
      <c r="W459" s="7"/>
      <c r="X459" s="7"/>
      <c r="Y459" s="7"/>
      <c r="Z459" s="7"/>
      <c r="AA459" s="7"/>
      <c r="AC459" s="70">
        <f t="shared" si="13"/>
        <v>550</v>
      </c>
      <c r="AD459" s="75">
        <f t="shared" si="14"/>
        <v>1</v>
      </c>
    </row>
    <row r="460" spans="1:34" outlineLevel="6">
      <c r="A460" s="3501" t="s">
        <v>341</v>
      </c>
      <c r="B460" s="3501"/>
      <c r="C460" s="7"/>
      <c r="D460" s="7"/>
      <c r="E460" s="14">
        <v>550</v>
      </c>
      <c r="F460" s="7"/>
      <c r="G460" s="7"/>
      <c r="H460" s="8"/>
      <c r="I460" s="9"/>
      <c r="J460" s="7"/>
      <c r="K460" s="7"/>
      <c r="L460" s="7"/>
      <c r="M460" s="14">
        <v>550</v>
      </c>
      <c r="N460" s="14">
        <v>550</v>
      </c>
      <c r="O460" s="14">
        <v>550</v>
      </c>
      <c r="P460" s="7"/>
      <c r="Q460" s="7"/>
      <c r="R460" s="14">
        <v>550</v>
      </c>
      <c r="S460" s="7"/>
      <c r="T460" s="7"/>
      <c r="U460" s="7"/>
      <c r="V460" s="14">
        <v>550</v>
      </c>
      <c r="W460" s="14">
        <v>550</v>
      </c>
      <c r="X460" s="7"/>
      <c r="Y460" s="7"/>
      <c r="Z460" s="7"/>
      <c r="AA460" s="7"/>
      <c r="AC460" s="70" t="str">
        <f t="shared" si="13"/>
        <v/>
      </c>
      <c r="AD460" s="75" t="str">
        <f t="shared" si="14"/>
        <v/>
      </c>
    </row>
    <row r="461" spans="1:34" outlineLevel="7">
      <c r="A461" s="3500" t="s">
        <v>342</v>
      </c>
      <c r="B461" s="3500"/>
      <c r="C461" s="7"/>
      <c r="D461" s="7"/>
      <c r="E461" s="14">
        <v>550</v>
      </c>
      <c r="F461" s="7"/>
      <c r="G461" s="7"/>
      <c r="H461" s="8"/>
      <c r="I461" s="9"/>
      <c r="J461" s="7"/>
      <c r="K461" s="7"/>
      <c r="L461" s="7"/>
      <c r="M461" s="14">
        <v>550</v>
      </c>
      <c r="N461" s="14">
        <v>550</v>
      </c>
      <c r="O461" s="14">
        <v>550</v>
      </c>
      <c r="P461" s="7"/>
      <c r="Q461" s="7"/>
      <c r="R461" s="14">
        <v>550</v>
      </c>
      <c r="S461" s="7"/>
      <c r="T461" s="7"/>
      <c r="U461" s="7"/>
      <c r="V461" s="14">
        <v>550</v>
      </c>
      <c r="W461" s="14">
        <v>550</v>
      </c>
      <c r="X461" s="7"/>
      <c r="Y461" s="7"/>
      <c r="Z461" s="7"/>
      <c r="AA461" s="7"/>
      <c r="AC461" s="70" t="str">
        <f t="shared" si="13"/>
        <v/>
      </c>
      <c r="AD461" s="75" t="str">
        <f t="shared" si="14"/>
        <v/>
      </c>
      <c r="AH461" t="s">
        <v>342</v>
      </c>
    </row>
    <row r="462" spans="1:34" outlineLevel="7">
      <c r="A462" s="3499" t="s">
        <v>1663</v>
      </c>
      <c r="B462" s="3499"/>
      <c r="C462" s="7"/>
      <c r="D462" s="7"/>
      <c r="E462" s="14">
        <v>550</v>
      </c>
      <c r="F462" s="7"/>
      <c r="G462" s="7"/>
      <c r="H462" s="8"/>
      <c r="I462" s="9"/>
      <c r="J462" s="7"/>
      <c r="K462" s="7"/>
      <c r="L462" s="7"/>
      <c r="M462" s="14">
        <v>550</v>
      </c>
      <c r="N462" s="14">
        <v>550</v>
      </c>
      <c r="O462" s="14">
        <v>550</v>
      </c>
      <c r="P462" s="7"/>
      <c r="Q462" s="7"/>
      <c r="R462" s="14">
        <v>550</v>
      </c>
      <c r="S462" s="7"/>
      <c r="T462" s="7"/>
      <c r="U462" s="7"/>
      <c r="V462" s="14">
        <v>550</v>
      </c>
      <c r="W462" s="14">
        <v>550</v>
      </c>
      <c r="X462" s="7"/>
      <c r="Y462" s="7"/>
      <c r="Z462" s="7"/>
      <c r="AA462" s="7"/>
      <c r="AC462" s="70">
        <f t="shared" si="13"/>
        <v>550</v>
      </c>
      <c r="AD462" s="75">
        <f t="shared" si="14"/>
        <v>1</v>
      </c>
    </row>
    <row r="463" spans="1:34" outlineLevel="6">
      <c r="A463" s="3501" t="s">
        <v>343</v>
      </c>
      <c r="B463" s="3501"/>
      <c r="C463" s="7"/>
      <c r="D463" s="7"/>
      <c r="E463" s="14">
        <v>550</v>
      </c>
      <c r="F463" s="7"/>
      <c r="G463" s="7"/>
      <c r="H463" s="8"/>
      <c r="I463" s="9"/>
      <c r="J463" s="7"/>
      <c r="K463" s="7"/>
      <c r="L463" s="7"/>
      <c r="M463" s="14">
        <v>550</v>
      </c>
      <c r="N463" s="14">
        <v>550</v>
      </c>
      <c r="O463" s="14">
        <v>550</v>
      </c>
      <c r="P463" s="7"/>
      <c r="Q463" s="7"/>
      <c r="R463" s="14">
        <v>550</v>
      </c>
      <c r="S463" s="7"/>
      <c r="T463" s="7"/>
      <c r="U463" s="7"/>
      <c r="V463" s="14">
        <v>550</v>
      </c>
      <c r="W463" s="14">
        <v>550</v>
      </c>
      <c r="X463" s="7"/>
      <c r="Y463" s="7"/>
      <c r="Z463" s="7"/>
      <c r="AA463" s="7"/>
      <c r="AC463" s="70" t="str">
        <f t="shared" si="13"/>
        <v/>
      </c>
      <c r="AD463" s="75" t="str">
        <f t="shared" si="14"/>
        <v/>
      </c>
    </row>
    <row r="464" spans="1:34" outlineLevel="7">
      <c r="A464" s="3500" t="s">
        <v>344</v>
      </c>
      <c r="B464" s="3500"/>
      <c r="C464" s="7"/>
      <c r="D464" s="7"/>
      <c r="E464" s="14">
        <v>550</v>
      </c>
      <c r="F464" s="7"/>
      <c r="G464" s="7"/>
      <c r="H464" s="8"/>
      <c r="I464" s="9"/>
      <c r="J464" s="7"/>
      <c r="K464" s="7"/>
      <c r="L464" s="7"/>
      <c r="M464" s="14">
        <v>550</v>
      </c>
      <c r="N464" s="14">
        <v>550</v>
      </c>
      <c r="O464" s="14">
        <v>550</v>
      </c>
      <c r="P464" s="7"/>
      <c r="Q464" s="7"/>
      <c r="R464" s="14">
        <v>550</v>
      </c>
      <c r="S464" s="7"/>
      <c r="T464" s="7"/>
      <c r="U464" s="7"/>
      <c r="V464" s="14">
        <v>550</v>
      </c>
      <c r="W464" s="14">
        <v>550</v>
      </c>
      <c r="X464" s="7"/>
      <c r="Y464" s="7"/>
      <c r="Z464" s="7"/>
      <c r="AA464" s="7"/>
      <c r="AC464" s="70" t="str">
        <f t="shared" si="13"/>
        <v/>
      </c>
      <c r="AD464" s="75" t="str">
        <f t="shared" si="14"/>
        <v/>
      </c>
      <c r="AH464" t="s">
        <v>3417</v>
      </c>
    </row>
    <row r="465" spans="1:34" outlineLevel="7">
      <c r="A465" s="3499" t="s">
        <v>1664</v>
      </c>
      <c r="B465" s="3499"/>
      <c r="C465" s="7"/>
      <c r="D465" s="7"/>
      <c r="E465" s="14">
        <v>550</v>
      </c>
      <c r="F465" s="7"/>
      <c r="G465" s="7"/>
      <c r="H465" s="8"/>
      <c r="I465" s="9"/>
      <c r="J465" s="7"/>
      <c r="K465" s="7"/>
      <c r="L465" s="7"/>
      <c r="M465" s="14">
        <v>550</v>
      </c>
      <c r="N465" s="14">
        <v>550</v>
      </c>
      <c r="O465" s="14">
        <v>550</v>
      </c>
      <c r="P465" s="7"/>
      <c r="Q465" s="7"/>
      <c r="R465" s="14">
        <v>550</v>
      </c>
      <c r="S465" s="7"/>
      <c r="T465" s="7"/>
      <c r="U465" s="7"/>
      <c r="V465" s="14">
        <v>550</v>
      </c>
      <c r="W465" s="14">
        <v>550</v>
      </c>
      <c r="X465" s="7"/>
      <c r="Y465" s="7"/>
      <c r="Z465" s="7"/>
      <c r="AA465" s="7"/>
      <c r="AC465" s="70">
        <f t="shared" ref="AC465:AC528" si="15">IF(LEFT($A465,5)="Реали",$E465,"")</f>
        <v>550</v>
      </c>
      <c r="AD465" s="75">
        <f t="shared" ref="AD465:AD528" si="16">IF(AC465=550,1,"")</f>
        <v>1</v>
      </c>
    </row>
    <row r="466" spans="1:34" outlineLevel="6">
      <c r="A466" s="3501" t="s">
        <v>345</v>
      </c>
      <c r="B466" s="3501"/>
      <c r="C466" s="7"/>
      <c r="D466" s="7"/>
      <c r="E466" s="14">
        <v>550</v>
      </c>
      <c r="F466" s="7"/>
      <c r="G466" s="7"/>
      <c r="H466" s="8"/>
      <c r="I466" s="9"/>
      <c r="J466" s="7"/>
      <c r="K466" s="7"/>
      <c r="L466" s="7"/>
      <c r="M466" s="14">
        <v>550</v>
      </c>
      <c r="N466" s="14">
        <v>550</v>
      </c>
      <c r="O466" s="14">
        <v>550</v>
      </c>
      <c r="P466" s="7"/>
      <c r="Q466" s="7"/>
      <c r="R466" s="14">
        <v>550</v>
      </c>
      <c r="S466" s="7"/>
      <c r="T466" s="7"/>
      <c r="U466" s="7"/>
      <c r="V466" s="14">
        <v>550</v>
      </c>
      <c r="W466" s="14">
        <v>550</v>
      </c>
      <c r="X466" s="7"/>
      <c r="Y466" s="7"/>
      <c r="Z466" s="7"/>
      <c r="AA466" s="7"/>
      <c r="AC466" s="70" t="str">
        <f t="shared" si="15"/>
        <v/>
      </c>
      <c r="AD466" s="75" t="str">
        <f t="shared" si="16"/>
        <v/>
      </c>
    </row>
    <row r="467" spans="1:34" outlineLevel="7">
      <c r="A467" s="3500" t="s">
        <v>346</v>
      </c>
      <c r="B467" s="3500"/>
      <c r="C467" s="7"/>
      <c r="D467" s="7"/>
      <c r="E467" s="14">
        <v>550</v>
      </c>
      <c r="F467" s="7"/>
      <c r="G467" s="7"/>
      <c r="H467" s="8"/>
      <c r="I467" s="9"/>
      <c r="J467" s="7"/>
      <c r="K467" s="7"/>
      <c r="L467" s="7"/>
      <c r="M467" s="14">
        <v>550</v>
      </c>
      <c r="N467" s="14">
        <v>550</v>
      </c>
      <c r="O467" s="14">
        <v>550</v>
      </c>
      <c r="P467" s="7"/>
      <c r="Q467" s="7"/>
      <c r="R467" s="14">
        <v>550</v>
      </c>
      <c r="S467" s="7"/>
      <c r="T467" s="7"/>
      <c r="U467" s="7"/>
      <c r="V467" s="14">
        <v>550</v>
      </c>
      <c r="W467" s="14">
        <v>550</v>
      </c>
      <c r="X467" s="7"/>
      <c r="Y467" s="7"/>
      <c r="Z467" s="7"/>
      <c r="AA467" s="7"/>
      <c r="AC467" s="70" t="str">
        <f t="shared" si="15"/>
        <v/>
      </c>
      <c r="AD467" s="75" t="str">
        <f t="shared" si="16"/>
        <v/>
      </c>
      <c r="AH467" t="s">
        <v>2745</v>
      </c>
    </row>
    <row r="468" spans="1:34" outlineLevel="7">
      <c r="A468" s="3499" t="s">
        <v>1665</v>
      </c>
      <c r="B468" s="3499"/>
      <c r="C468" s="7"/>
      <c r="D468" s="7"/>
      <c r="E468" s="14">
        <v>550</v>
      </c>
      <c r="F468" s="7"/>
      <c r="G468" s="7"/>
      <c r="H468" s="8"/>
      <c r="I468" s="9"/>
      <c r="J468" s="7"/>
      <c r="K468" s="7"/>
      <c r="L468" s="7"/>
      <c r="M468" s="14">
        <v>550</v>
      </c>
      <c r="N468" s="14">
        <v>550</v>
      </c>
      <c r="O468" s="14">
        <v>550</v>
      </c>
      <c r="P468" s="7"/>
      <c r="Q468" s="7"/>
      <c r="R468" s="14">
        <v>550</v>
      </c>
      <c r="S468" s="7"/>
      <c r="T468" s="7"/>
      <c r="U468" s="7"/>
      <c r="V468" s="14">
        <v>550</v>
      </c>
      <c r="W468" s="14">
        <v>550</v>
      </c>
      <c r="X468" s="7"/>
      <c r="Y468" s="7"/>
      <c r="Z468" s="7"/>
      <c r="AA468" s="7"/>
      <c r="AC468" s="70">
        <f t="shared" si="15"/>
        <v>550</v>
      </c>
      <c r="AD468" s="75">
        <f t="shared" si="16"/>
        <v>1</v>
      </c>
    </row>
    <row r="469" spans="1:34" outlineLevel="6">
      <c r="A469" s="3501" t="s">
        <v>347</v>
      </c>
      <c r="B469" s="3501"/>
      <c r="C469" s="7"/>
      <c r="D469" s="7"/>
      <c r="E469" s="14">
        <v>550</v>
      </c>
      <c r="F469" s="7"/>
      <c r="G469" s="7"/>
      <c r="H469" s="8"/>
      <c r="I469" s="9"/>
      <c r="J469" s="7"/>
      <c r="K469" s="7"/>
      <c r="L469" s="7"/>
      <c r="M469" s="14">
        <v>550</v>
      </c>
      <c r="N469" s="14">
        <v>550</v>
      </c>
      <c r="O469" s="14">
        <v>550</v>
      </c>
      <c r="P469" s="7"/>
      <c r="Q469" s="7"/>
      <c r="R469" s="14">
        <v>550</v>
      </c>
      <c r="S469" s="7"/>
      <c r="T469" s="7"/>
      <c r="U469" s="7"/>
      <c r="V469" s="14">
        <v>550</v>
      </c>
      <c r="W469" s="14">
        <v>550</v>
      </c>
      <c r="X469" s="7"/>
      <c r="Y469" s="7"/>
      <c r="Z469" s="7"/>
      <c r="AA469" s="7"/>
      <c r="AC469" s="70" t="str">
        <f t="shared" si="15"/>
        <v/>
      </c>
      <c r="AD469" s="75" t="str">
        <f t="shared" si="16"/>
        <v/>
      </c>
    </row>
    <row r="470" spans="1:34" outlineLevel="7">
      <c r="A470" s="3500" t="s">
        <v>348</v>
      </c>
      <c r="B470" s="3500"/>
      <c r="C470" s="7"/>
      <c r="D470" s="7"/>
      <c r="E470" s="14">
        <v>550</v>
      </c>
      <c r="F470" s="7"/>
      <c r="G470" s="7"/>
      <c r="H470" s="8"/>
      <c r="I470" s="9"/>
      <c r="J470" s="7"/>
      <c r="K470" s="7"/>
      <c r="L470" s="7"/>
      <c r="M470" s="14">
        <v>550</v>
      </c>
      <c r="N470" s="14">
        <v>550</v>
      </c>
      <c r="O470" s="14">
        <v>550</v>
      </c>
      <c r="P470" s="7"/>
      <c r="Q470" s="7"/>
      <c r="R470" s="14">
        <v>550</v>
      </c>
      <c r="S470" s="7"/>
      <c r="T470" s="7"/>
      <c r="U470" s="7"/>
      <c r="V470" s="14">
        <v>550</v>
      </c>
      <c r="W470" s="14">
        <v>550</v>
      </c>
      <c r="X470" s="7"/>
      <c r="Y470" s="7"/>
      <c r="Z470" s="7"/>
      <c r="AA470" s="7"/>
      <c r="AC470" s="70" t="str">
        <f t="shared" si="15"/>
        <v/>
      </c>
      <c r="AD470" s="75" t="str">
        <f t="shared" si="16"/>
        <v/>
      </c>
      <c r="AH470" t="s">
        <v>3522</v>
      </c>
    </row>
    <row r="471" spans="1:34" outlineLevel="7">
      <c r="A471" s="3499" t="s">
        <v>1666</v>
      </c>
      <c r="B471" s="3499"/>
      <c r="C471" s="7"/>
      <c r="D471" s="7"/>
      <c r="E471" s="14">
        <v>550</v>
      </c>
      <c r="F471" s="7"/>
      <c r="G471" s="7"/>
      <c r="H471" s="8"/>
      <c r="I471" s="9"/>
      <c r="J471" s="7"/>
      <c r="K471" s="7"/>
      <c r="L471" s="7"/>
      <c r="M471" s="14">
        <v>550</v>
      </c>
      <c r="N471" s="14">
        <v>550</v>
      </c>
      <c r="O471" s="14">
        <v>550</v>
      </c>
      <c r="P471" s="7"/>
      <c r="Q471" s="7"/>
      <c r="R471" s="14">
        <v>550</v>
      </c>
      <c r="S471" s="7"/>
      <c r="T471" s="7"/>
      <c r="U471" s="7"/>
      <c r="V471" s="14">
        <v>550</v>
      </c>
      <c r="W471" s="14">
        <v>550</v>
      </c>
      <c r="X471" s="7"/>
      <c r="Y471" s="7"/>
      <c r="Z471" s="7"/>
      <c r="AA471" s="7"/>
      <c r="AC471" s="70">
        <f t="shared" si="15"/>
        <v>550</v>
      </c>
      <c r="AD471" s="75">
        <f t="shared" si="16"/>
        <v>1</v>
      </c>
    </row>
    <row r="472" spans="1:34" outlineLevel="6">
      <c r="A472" s="3501" t="s">
        <v>349</v>
      </c>
      <c r="B472" s="3501"/>
      <c r="C472" s="7"/>
      <c r="D472" s="7"/>
      <c r="E472" s="14">
        <v>550</v>
      </c>
      <c r="F472" s="7"/>
      <c r="G472" s="7"/>
      <c r="H472" s="8"/>
      <c r="I472" s="9"/>
      <c r="J472" s="7"/>
      <c r="K472" s="7"/>
      <c r="L472" s="7"/>
      <c r="M472" s="14">
        <v>550</v>
      </c>
      <c r="N472" s="14">
        <v>550</v>
      </c>
      <c r="O472" s="14">
        <v>550</v>
      </c>
      <c r="P472" s="7"/>
      <c r="Q472" s="7"/>
      <c r="R472" s="14">
        <v>550</v>
      </c>
      <c r="S472" s="7"/>
      <c r="T472" s="7"/>
      <c r="U472" s="7"/>
      <c r="V472" s="14">
        <v>550</v>
      </c>
      <c r="W472" s="14">
        <v>550</v>
      </c>
      <c r="X472" s="7"/>
      <c r="Y472" s="7"/>
      <c r="Z472" s="7"/>
      <c r="AA472" s="7"/>
      <c r="AC472" s="70" t="str">
        <f t="shared" si="15"/>
        <v/>
      </c>
      <c r="AD472" s="75" t="str">
        <f t="shared" si="16"/>
        <v/>
      </c>
    </row>
    <row r="473" spans="1:34" outlineLevel="7">
      <c r="A473" s="3500" t="s">
        <v>350</v>
      </c>
      <c r="B473" s="3500"/>
      <c r="C473" s="7"/>
      <c r="D473" s="7"/>
      <c r="E473" s="14">
        <v>550</v>
      </c>
      <c r="F473" s="7"/>
      <c r="G473" s="7"/>
      <c r="H473" s="8"/>
      <c r="I473" s="9"/>
      <c r="J473" s="7"/>
      <c r="K473" s="7"/>
      <c r="L473" s="7"/>
      <c r="M473" s="14">
        <v>550</v>
      </c>
      <c r="N473" s="14">
        <v>550</v>
      </c>
      <c r="O473" s="14">
        <v>550</v>
      </c>
      <c r="P473" s="7"/>
      <c r="Q473" s="7"/>
      <c r="R473" s="14">
        <v>550</v>
      </c>
      <c r="S473" s="7"/>
      <c r="T473" s="7"/>
      <c r="U473" s="7"/>
      <c r="V473" s="14">
        <v>550</v>
      </c>
      <c r="W473" s="14">
        <v>550</v>
      </c>
      <c r="X473" s="7"/>
      <c r="Y473" s="7"/>
      <c r="Z473" s="7"/>
      <c r="AA473" s="7"/>
      <c r="AC473" s="70" t="str">
        <f t="shared" si="15"/>
        <v/>
      </c>
      <c r="AD473" s="75" t="str">
        <f t="shared" si="16"/>
        <v/>
      </c>
      <c r="AH473" t="s">
        <v>3429</v>
      </c>
    </row>
    <row r="474" spans="1:34" outlineLevel="7">
      <c r="A474" s="3499" t="s">
        <v>1667</v>
      </c>
      <c r="B474" s="3499"/>
      <c r="C474" s="7"/>
      <c r="D474" s="7"/>
      <c r="E474" s="14">
        <v>550</v>
      </c>
      <c r="F474" s="7"/>
      <c r="G474" s="7"/>
      <c r="H474" s="8"/>
      <c r="I474" s="9"/>
      <c r="J474" s="7"/>
      <c r="K474" s="7"/>
      <c r="L474" s="7"/>
      <c r="M474" s="14">
        <v>550</v>
      </c>
      <c r="N474" s="14">
        <v>550</v>
      </c>
      <c r="O474" s="14">
        <v>550</v>
      </c>
      <c r="P474" s="7"/>
      <c r="Q474" s="7"/>
      <c r="R474" s="14">
        <v>550</v>
      </c>
      <c r="S474" s="7"/>
      <c r="T474" s="7"/>
      <c r="U474" s="7"/>
      <c r="V474" s="14">
        <v>550</v>
      </c>
      <c r="W474" s="14">
        <v>550</v>
      </c>
      <c r="X474" s="7"/>
      <c r="Y474" s="7"/>
      <c r="Z474" s="7"/>
      <c r="AA474" s="7"/>
      <c r="AC474" s="70">
        <f t="shared" si="15"/>
        <v>550</v>
      </c>
      <c r="AD474" s="75">
        <f t="shared" si="16"/>
        <v>1</v>
      </c>
    </row>
    <row r="475" spans="1:34" outlineLevel="6">
      <c r="A475" s="3501" t="s">
        <v>351</v>
      </c>
      <c r="B475" s="3501"/>
      <c r="C475" s="7"/>
      <c r="D475" s="7"/>
      <c r="E475" s="14">
        <v>550</v>
      </c>
      <c r="F475" s="7"/>
      <c r="G475" s="7"/>
      <c r="H475" s="8"/>
      <c r="I475" s="9"/>
      <c r="J475" s="7"/>
      <c r="K475" s="7"/>
      <c r="L475" s="7"/>
      <c r="M475" s="14">
        <v>550</v>
      </c>
      <c r="N475" s="14">
        <v>550</v>
      </c>
      <c r="O475" s="14">
        <v>550</v>
      </c>
      <c r="P475" s="7"/>
      <c r="Q475" s="7"/>
      <c r="R475" s="14">
        <v>550</v>
      </c>
      <c r="S475" s="7"/>
      <c r="T475" s="7"/>
      <c r="U475" s="7"/>
      <c r="V475" s="14">
        <v>550</v>
      </c>
      <c r="W475" s="14">
        <v>550</v>
      </c>
      <c r="X475" s="7"/>
      <c r="Y475" s="7"/>
      <c r="Z475" s="7"/>
      <c r="AA475" s="7"/>
      <c r="AC475" s="70" t="str">
        <f t="shared" si="15"/>
        <v/>
      </c>
      <c r="AD475" s="75" t="str">
        <f t="shared" si="16"/>
        <v/>
      </c>
    </row>
    <row r="476" spans="1:34" outlineLevel="7">
      <c r="A476" s="3500" t="s">
        <v>352</v>
      </c>
      <c r="B476" s="3500"/>
      <c r="C476" s="7"/>
      <c r="D476" s="7"/>
      <c r="E476" s="14">
        <v>550</v>
      </c>
      <c r="F476" s="7"/>
      <c r="G476" s="7"/>
      <c r="H476" s="8"/>
      <c r="I476" s="9"/>
      <c r="J476" s="7"/>
      <c r="K476" s="7"/>
      <c r="L476" s="7"/>
      <c r="M476" s="14">
        <v>550</v>
      </c>
      <c r="N476" s="14">
        <v>550</v>
      </c>
      <c r="O476" s="14">
        <v>550</v>
      </c>
      <c r="P476" s="7"/>
      <c r="Q476" s="7"/>
      <c r="R476" s="14">
        <v>550</v>
      </c>
      <c r="S476" s="7"/>
      <c r="T476" s="7"/>
      <c r="U476" s="7"/>
      <c r="V476" s="14">
        <v>550</v>
      </c>
      <c r="W476" s="14">
        <v>550</v>
      </c>
      <c r="X476" s="7"/>
      <c r="Y476" s="7"/>
      <c r="Z476" s="7"/>
      <c r="AA476" s="7"/>
      <c r="AC476" s="70" t="str">
        <f t="shared" si="15"/>
        <v/>
      </c>
      <c r="AD476" s="75" t="str">
        <f t="shared" si="16"/>
        <v/>
      </c>
      <c r="AH476" t="s">
        <v>3391</v>
      </c>
    </row>
    <row r="477" spans="1:34" outlineLevel="7">
      <c r="A477" s="3499" t="s">
        <v>1668</v>
      </c>
      <c r="B477" s="3499"/>
      <c r="C477" s="7"/>
      <c r="D477" s="7"/>
      <c r="E477" s="14">
        <v>550</v>
      </c>
      <c r="F477" s="7"/>
      <c r="G477" s="7"/>
      <c r="H477" s="8"/>
      <c r="I477" s="9"/>
      <c r="J477" s="7"/>
      <c r="K477" s="7"/>
      <c r="L477" s="7"/>
      <c r="M477" s="14">
        <v>550</v>
      </c>
      <c r="N477" s="14">
        <v>550</v>
      </c>
      <c r="O477" s="14">
        <v>550</v>
      </c>
      <c r="P477" s="7"/>
      <c r="Q477" s="7"/>
      <c r="R477" s="14">
        <v>550</v>
      </c>
      <c r="S477" s="7"/>
      <c r="T477" s="7"/>
      <c r="U477" s="7"/>
      <c r="V477" s="14">
        <v>550</v>
      </c>
      <c r="W477" s="14">
        <v>550</v>
      </c>
      <c r="X477" s="7"/>
      <c r="Y477" s="7"/>
      <c r="Z477" s="7"/>
      <c r="AA477" s="7"/>
      <c r="AC477" s="70">
        <f t="shared" si="15"/>
        <v>550</v>
      </c>
      <c r="AD477" s="75">
        <f t="shared" si="16"/>
        <v>1</v>
      </c>
    </row>
    <row r="478" spans="1:34" outlineLevel="6">
      <c r="A478" s="3501" t="s">
        <v>353</v>
      </c>
      <c r="B478" s="3501"/>
      <c r="C478" s="7"/>
      <c r="D478" s="7"/>
      <c r="E478" s="14">
        <v>550</v>
      </c>
      <c r="F478" s="7"/>
      <c r="G478" s="7"/>
      <c r="H478" s="8"/>
      <c r="I478" s="9"/>
      <c r="J478" s="7"/>
      <c r="K478" s="7"/>
      <c r="L478" s="7"/>
      <c r="M478" s="14">
        <v>550</v>
      </c>
      <c r="N478" s="14">
        <v>550</v>
      </c>
      <c r="O478" s="14">
        <v>550</v>
      </c>
      <c r="P478" s="7"/>
      <c r="Q478" s="7"/>
      <c r="R478" s="14">
        <v>550</v>
      </c>
      <c r="S478" s="7"/>
      <c r="T478" s="7"/>
      <c r="U478" s="7"/>
      <c r="V478" s="14">
        <v>550</v>
      </c>
      <c r="W478" s="14">
        <v>550</v>
      </c>
      <c r="X478" s="7"/>
      <c r="Y478" s="7"/>
      <c r="Z478" s="7"/>
      <c r="AA478" s="7"/>
      <c r="AC478" s="70" t="str">
        <f t="shared" si="15"/>
        <v/>
      </c>
      <c r="AD478" s="75" t="str">
        <f t="shared" si="16"/>
        <v/>
      </c>
    </row>
    <row r="479" spans="1:34" outlineLevel="7">
      <c r="A479" s="3500" t="s">
        <v>354</v>
      </c>
      <c r="B479" s="3500"/>
      <c r="C479" s="7"/>
      <c r="D479" s="7"/>
      <c r="E479" s="14">
        <v>550</v>
      </c>
      <c r="F479" s="7"/>
      <c r="G479" s="7"/>
      <c r="H479" s="8"/>
      <c r="I479" s="9"/>
      <c r="J479" s="7"/>
      <c r="K479" s="7"/>
      <c r="L479" s="7"/>
      <c r="M479" s="14">
        <v>550</v>
      </c>
      <c r="N479" s="14">
        <v>550</v>
      </c>
      <c r="O479" s="14">
        <v>550</v>
      </c>
      <c r="P479" s="7"/>
      <c r="Q479" s="7"/>
      <c r="R479" s="14">
        <v>550</v>
      </c>
      <c r="S479" s="7"/>
      <c r="T479" s="7"/>
      <c r="U479" s="7"/>
      <c r="V479" s="14">
        <v>550</v>
      </c>
      <c r="W479" s="14">
        <v>550</v>
      </c>
      <c r="X479" s="7"/>
      <c r="Y479" s="7"/>
      <c r="Z479" s="7"/>
      <c r="AA479" s="7"/>
      <c r="AC479" s="70" t="str">
        <f t="shared" si="15"/>
        <v/>
      </c>
      <c r="AD479" s="75" t="str">
        <f t="shared" si="16"/>
        <v/>
      </c>
      <c r="AH479" t="s">
        <v>3498</v>
      </c>
    </row>
    <row r="480" spans="1:34" outlineLevel="7">
      <c r="A480" s="3499" t="s">
        <v>1669</v>
      </c>
      <c r="B480" s="3499"/>
      <c r="C480" s="7"/>
      <c r="D480" s="7"/>
      <c r="E480" s="14">
        <v>550</v>
      </c>
      <c r="F480" s="7"/>
      <c r="G480" s="7"/>
      <c r="H480" s="8"/>
      <c r="I480" s="9"/>
      <c r="J480" s="7"/>
      <c r="K480" s="7"/>
      <c r="L480" s="7"/>
      <c r="M480" s="14">
        <v>550</v>
      </c>
      <c r="N480" s="14">
        <v>550</v>
      </c>
      <c r="O480" s="14">
        <v>550</v>
      </c>
      <c r="P480" s="7"/>
      <c r="Q480" s="7"/>
      <c r="R480" s="14">
        <v>550</v>
      </c>
      <c r="S480" s="7"/>
      <c r="T480" s="7"/>
      <c r="U480" s="7"/>
      <c r="V480" s="14">
        <v>550</v>
      </c>
      <c r="W480" s="14">
        <v>550</v>
      </c>
      <c r="X480" s="7"/>
      <c r="Y480" s="7"/>
      <c r="Z480" s="7"/>
      <c r="AA480" s="7"/>
      <c r="AC480" s="70">
        <f t="shared" si="15"/>
        <v>550</v>
      </c>
      <c r="AD480" s="75">
        <f t="shared" si="16"/>
        <v>1</v>
      </c>
    </row>
    <row r="481" spans="1:34" outlineLevel="6">
      <c r="A481" s="3501" t="s">
        <v>355</v>
      </c>
      <c r="B481" s="3501"/>
      <c r="C481" s="7"/>
      <c r="D481" s="7"/>
      <c r="E481" s="14">
        <v>550</v>
      </c>
      <c r="F481" s="7"/>
      <c r="G481" s="7"/>
      <c r="H481" s="8"/>
      <c r="I481" s="9"/>
      <c r="J481" s="7"/>
      <c r="K481" s="7"/>
      <c r="L481" s="7"/>
      <c r="M481" s="14">
        <v>550</v>
      </c>
      <c r="N481" s="14">
        <v>550</v>
      </c>
      <c r="O481" s="14">
        <v>550</v>
      </c>
      <c r="P481" s="7"/>
      <c r="Q481" s="7"/>
      <c r="R481" s="14">
        <v>550</v>
      </c>
      <c r="S481" s="7"/>
      <c r="T481" s="7"/>
      <c r="U481" s="7"/>
      <c r="V481" s="14">
        <v>550</v>
      </c>
      <c r="W481" s="14">
        <v>550</v>
      </c>
      <c r="X481" s="7"/>
      <c r="Y481" s="7"/>
      <c r="Z481" s="7"/>
      <c r="AA481" s="7"/>
      <c r="AC481" s="70" t="str">
        <f t="shared" si="15"/>
        <v/>
      </c>
      <c r="AD481" s="75" t="str">
        <f t="shared" si="16"/>
        <v/>
      </c>
    </row>
    <row r="482" spans="1:34" outlineLevel="7">
      <c r="A482" s="3500" t="s">
        <v>356</v>
      </c>
      <c r="B482" s="3500"/>
      <c r="C482" s="7"/>
      <c r="D482" s="7"/>
      <c r="E482" s="14">
        <v>550</v>
      </c>
      <c r="F482" s="7"/>
      <c r="G482" s="7"/>
      <c r="H482" s="8"/>
      <c r="I482" s="9"/>
      <c r="J482" s="7"/>
      <c r="K482" s="7"/>
      <c r="L482" s="7"/>
      <c r="M482" s="14">
        <v>550</v>
      </c>
      <c r="N482" s="14">
        <v>550</v>
      </c>
      <c r="O482" s="14">
        <v>550</v>
      </c>
      <c r="P482" s="7"/>
      <c r="Q482" s="7"/>
      <c r="R482" s="14">
        <v>550</v>
      </c>
      <c r="S482" s="7"/>
      <c r="T482" s="7"/>
      <c r="U482" s="7"/>
      <c r="V482" s="14">
        <v>550</v>
      </c>
      <c r="W482" s="14">
        <v>550</v>
      </c>
      <c r="X482" s="7"/>
      <c r="Y482" s="7"/>
      <c r="Z482" s="7"/>
      <c r="AA482" s="7"/>
      <c r="AC482" s="70" t="str">
        <f t="shared" si="15"/>
        <v/>
      </c>
      <c r="AD482" s="75" t="str">
        <f t="shared" si="16"/>
        <v/>
      </c>
      <c r="AH482" t="s">
        <v>3537</v>
      </c>
    </row>
    <row r="483" spans="1:34" outlineLevel="7">
      <c r="A483" s="3499" t="s">
        <v>1670</v>
      </c>
      <c r="B483" s="3499"/>
      <c r="C483" s="7"/>
      <c r="D483" s="7"/>
      <c r="E483" s="14">
        <v>550</v>
      </c>
      <c r="F483" s="7"/>
      <c r="G483" s="7"/>
      <c r="H483" s="8"/>
      <c r="I483" s="9"/>
      <c r="J483" s="7"/>
      <c r="K483" s="7"/>
      <c r="L483" s="7"/>
      <c r="M483" s="14">
        <v>550</v>
      </c>
      <c r="N483" s="14">
        <v>550</v>
      </c>
      <c r="O483" s="14">
        <v>550</v>
      </c>
      <c r="P483" s="7"/>
      <c r="Q483" s="7"/>
      <c r="R483" s="14">
        <v>550</v>
      </c>
      <c r="S483" s="7"/>
      <c r="T483" s="7"/>
      <c r="U483" s="7"/>
      <c r="V483" s="14">
        <v>550</v>
      </c>
      <c r="W483" s="14">
        <v>550</v>
      </c>
      <c r="X483" s="7"/>
      <c r="Y483" s="7"/>
      <c r="Z483" s="7"/>
      <c r="AA483" s="7"/>
      <c r="AC483" s="70">
        <f t="shared" si="15"/>
        <v>550</v>
      </c>
      <c r="AD483" s="75">
        <f t="shared" si="16"/>
        <v>1</v>
      </c>
    </row>
    <row r="484" spans="1:34" outlineLevel="6">
      <c r="A484" s="3501" t="s">
        <v>357</v>
      </c>
      <c r="B484" s="3501"/>
      <c r="C484" s="7"/>
      <c r="D484" s="7"/>
      <c r="E484" s="14">
        <v>550</v>
      </c>
      <c r="F484" s="7"/>
      <c r="G484" s="7"/>
      <c r="H484" s="8"/>
      <c r="I484" s="9"/>
      <c r="J484" s="7"/>
      <c r="K484" s="7"/>
      <c r="L484" s="7"/>
      <c r="M484" s="14">
        <v>550</v>
      </c>
      <c r="N484" s="14">
        <v>550</v>
      </c>
      <c r="O484" s="14">
        <v>550</v>
      </c>
      <c r="P484" s="7"/>
      <c r="Q484" s="7"/>
      <c r="R484" s="14">
        <v>550</v>
      </c>
      <c r="S484" s="7"/>
      <c r="T484" s="7"/>
      <c r="U484" s="7"/>
      <c r="V484" s="14">
        <v>550</v>
      </c>
      <c r="W484" s="14">
        <v>550</v>
      </c>
      <c r="X484" s="7"/>
      <c r="Y484" s="7"/>
      <c r="Z484" s="7"/>
      <c r="AA484" s="7"/>
      <c r="AC484" s="70" t="str">
        <f t="shared" si="15"/>
        <v/>
      </c>
      <c r="AD484" s="75" t="str">
        <f t="shared" si="16"/>
        <v/>
      </c>
    </row>
    <row r="485" spans="1:34" outlineLevel="7">
      <c r="A485" s="3500" t="s">
        <v>358</v>
      </c>
      <c r="B485" s="3500"/>
      <c r="C485" s="7"/>
      <c r="D485" s="7"/>
      <c r="E485" s="14">
        <v>550</v>
      </c>
      <c r="F485" s="7"/>
      <c r="G485" s="7"/>
      <c r="H485" s="8"/>
      <c r="I485" s="9"/>
      <c r="J485" s="7"/>
      <c r="K485" s="7"/>
      <c r="L485" s="7"/>
      <c r="M485" s="14">
        <v>550</v>
      </c>
      <c r="N485" s="14">
        <v>550</v>
      </c>
      <c r="O485" s="14">
        <v>550</v>
      </c>
      <c r="P485" s="7"/>
      <c r="Q485" s="7"/>
      <c r="R485" s="14">
        <v>550</v>
      </c>
      <c r="S485" s="7"/>
      <c r="T485" s="7"/>
      <c r="U485" s="7"/>
      <c r="V485" s="14">
        <v>550</v>
      </c>
      <c r="W485" s="14">
        <v>550</v>
      </c>
      <c r="X485" s="7"/>
      <c r="Y485" s="7"/>
      <c r="Z485" s="7"/>
      <c r="AA485" s="7"/>
      <c r="AC485" s="70" t="str">
        <f t="shared" si="15"/>
        <v/>
      </c>
      <c r="AD485" s="75" t="str">
        <f t="shared" si="16"/>
        <v/>
      </c>
      <c r="AH485" t="s">
        <v>3529</v>
      </c>
    </row>
    <row r="486" spans="1:34" outlineLevel="7">
      <c r="A486" s="3499" t="s">
        <v>1671</v>
      </c>
      <c r="B486" s="3499"/>
      <c r="C486" s="7"/>
      <c r="D486" s="7"/>
      <c r="E486" s="14">
        <v>550</v>
      </c>
      <c r="F486" s="7"/>
      <c r="G486" s="7"/>
      <c r="H486" s="8"/>
      <c r="I486" s="9"/>
      <c r="J486" s="7"/>
      <c r="K486" s="7"/>
      <c r="L486" s="7"/>
      <c r="M486" s="14">
        <v>550</v>
      </c>
      <c r="N486" s="14">
        <v>550</v>
      </c>
      <c r="O486" s="14">
        <v>550</v>
      </c>
      <c r="P486" s="7"/>
      <c r="Q486" s="7"/>
      <c r="R486" s="14">
        <v>550</v>
      </c>
      <c r="S486" s="7"/>
      <c r="T486" s="7"/>
      <c r="U486" s="7"/>
      <c r="V486" s="14">
        <v>550</v>
      </c>
      <c r="W486" s="14">
        <v>550</v>
      </c>
      <c r="X486" s="7"/>
      <c r="Y486" s="7"/>
      <c r="Z486" s="7"/>
      <c r="AA486" s="7"/>
      <c r="AC486" s="70">
        <f t="shared" si="15"/>
        <v>550</v>
      </c>
      <c r="AD486" s="75">
        <f t="shared" si="16"/>
        <v>1</v>
      </c>
    </row>
    <row r="487" spans="1:34" outlineLevel="6">
      <c r="A487" s="3501" t="s">
        <v>359</v>
      </c>
      <c r="B487" s="3501"/>
      <c r="C487" s="7"/>
      <c r="D487" s="7"/>
      <c r="E487" s="14">
        <v>550</v>
      </c>
      <c r="F487" s="7"/>
      <c r="G487" s="7"/>
      <c r="H487" s="8"/>
      <c r="I487" s="9"/>
      <c r="J487" s="7"/>
      <c r="K487" s="7"/>
      <c r="L487" s="7"/>
      <c r="M487" s="14">
        <v>550</v>
      </c>
      <c r="N487" s="14">
        <v>550</v>
      </c>
      <c r="O487" s="14">
        <v>550</v>
      </c>
      <c r="P487" s="7"/>
      <c r="Q487" s="7"/>
      <c r="R487" s="14">
        <v>550</v>
      </c>
      <c r="S487" s="7"/>
      <c r="T487" s="7"/>
      <c r="U487" s="7"/>
      <c r="V487" s="14">
        <v>550</v>
      </c>
      <c r="W487" s="14">
        <v>550</v>
      </c>
      <c r="X487" s="7"/>
      <c r="Y487" s="7"/>
      <c r="Z487" s="7"/>
      <c r="AA487" s="7"/>
      <c r="AC487" s="70" t="str">
        <f t="shared" si="15"/>
        <v/>
      </c>
      <c r="AD487" s="75" t="str">
        <f t="shared" si="16"/>
        <v/>
      </c>
    </row>
    <row r="488" spans="1:34" outlineLevel="7">
      <c r="A488" s="3500" t="s">
        <v>360</v>
      </c>
      <c r="B488" s="3500"/>
      <c r="C488" s="7"/>
      <c r="D488" s="7"/>
      <c r="E488" s="14">
        <v>550</v>
      </c>
      <c r="F488" s="7"/>
      <c r="G488" s="7"/>
      <c r="H488" s="8"/>
      <c r="I488" s="9"/>
      <c r="J488" s="7"/>
      <c r="K488" s="7"/>
      <c r="L488" s="7"/>
      <c r="M488" s="14">
        <v>550</v>
      </c>
      <c r="N488" s="14">
        <v>550</v>
      </c>
      <c r="O488" s="14">
        <v>550</v>
      </c>
      <c r="P488" s="7"/>
      <c r="Q488" s="7"/>
      <c r="R488" s="14">
        <v>550</v>
      </c>
      <c r="S488" s="7"/>
      <c r="T488" s="7"/>
      <c r="U488" s="7"/>
      <c r="V488" s="14">
        <v>550</v>
      </c>
      <c r="W488" s="14">
        <v>550</v>
      </c>
      <c r="X488" s="7"/>
      <c r="Y488" s="7"/>
      <c r="Z488" s="7"/>
      <c r="AA488" s="7"/>
      <c r="AC488" s="70" t="str">
        <f t="shared" si="15"/>
        <v/>
      </c>
      <c r="AD488" s="75" t="str">
        <f t="shared" si="16"/>
        <v/>
      </c>
      <c r="AH488" t="s">
        <v>3373</v>
      </c>
    </row>
    <row r="489" spans="1:34" outlineLevel="7">
      <c r="A489" s="3499" t="s">
        <v>1672</v>
      </c>
      <c r="B489" s="3499"/>
      <c r="C489" s="7"/>
      <c r="D489" s="7"/>
      <c r="E489" s="14">
        <v>550</v>
      </c>
      <c r="F489" s="7"/>
      <c r="G489" s="7"/>
      <c r="H489" s="8"/>
      <c r="I489" s="9"/>
      <c r="J489" s="7"/>
      <c r="K489" s="7"/>
      <c r="L489" s="7"/>
      <c r="M489" s="14">
        <v>550</v>
      </c>
      <c r="N489" s="14">
        <v>550</v>
      </c>
      <c r="O489" s="14">
        <v>550</v>
      </c>
      <c r="P489" s="7"/>
      <c r="Q489" s="7"/>
      <c r="R489" s="14">
        <v>550</v>
      </c>
      <c r="S489" s="7"/>
      <c r="T489" s="7"/>
      <c r="U489" s="7"/>
      <c r="V489" s="14">
        <v>550</v>
      </c>
      <c r="W489" s="14">
        <v>550</v>
      </c>
      <c r="X489" s="7"/>
      <c r="Y489" s="7"/>
      <c r="Z489" s="7"/>
      <c r="AA489" s="7"/>
      <c r="AC489" s="70">
        <f t="shared" si="15"/>
        <v>550</v>
      </c>
      <c r="AD489" s="75">
        <f t="shared" si="16"/>
        <v>1</v>
      </c>
    </row>
    <row r="490" spans="1:34" outlineLevel="6">
      <c r="A490" s="3501" t="s">
        <v>361</v>
      </c>
      <c r="B490" s="3501"/>
      <c r="C490" s="7"/>
      <c r="D490" s="7"/>
      <c r="E490" s="14">
        <v>550</v>
      </c>
      <c r="F490" s="7"/>
      <c r="G490" s="7"/>
      <c r="H490" s="8"/>
      <c r="I490" s="9"/>
      <c r="J490" s="7"/>
      <c r="K490" s="7"/>
      <c r="L490" s="7"/>
      <c r="M490" s="14">
        <v>550</v>
      </c>
      <c r="N490" s="14">
        <v>550</v>
      </c>
      <c r="O490" s="14">
        <v>550</v>
      </c>
      <c r="P490" s="7"/>
      <c r="Q490" s="7"/>
      <c r="R490" s="14">
        <v>550</v>
      </c>
      <c r="S490" s="7"/>
      <c r="T490" s="7"/>
      <c r="U490" s="7"/>
      <c r="V490" s="14">
        <v>550</v>
      </c>
      <c r="W490" s="14">
        <v>550</v>
      </c>
      <c r="X490" s="7"/>
      <c r="Y490" s="7"/>
      <c r="Z490" s="7"/>
      <c r="AA490" s="7"/>
      <c r="AC490" s="70" t="str">
        <f t="shared" si="15"/>
        <v/>
      </c>
      <c r="AD490" s="75" t="str">
        <f t="shared" si="16"/>
        <v/>
      </c>
    </row>
    <row r="491" spans="1:34" outlineLevel="7">
      <c r="A491" s="3500" t="s">
        <v>362</v>
      </c>
      <c r="B491" s="3500"/>
      <c r="C491" s="7"/>
      <c r="D491" s="7"/>
      <c r="E491" s="14">
        <v>550</v>
      </c>
      <c r="F491" s="7"/>
      <c r="G491" s="7"/>
      <c r="H491" s="8"/>
      <c r="I491" s="9"/>
      <c r="J491" s="7"/>
      <c r="K491" s="7"/>
      <c r="L491" s="7"/>
      <c r="M491" s="14">
        <v>550</v>
      </c>
      <c r="N491" s="14">
        <v>550</v>
      </c>
      <c r="O491" s="14">
        <v>550</v>
      </c>
      <c r="P491" s="7"/>
      <c r="Q491" s="7"/>
      <c r="R491" s="14">
        <v>550</v>
      </c>
      <c r="S491" s="7"/>
      <c r="T491" s="7"/>
      <c r="U491" s="7"/>
      <c r="V491" s="14">
        <v>550</v>
      </c>
      <c r="W491" s="14">
        <v>550</v>
      </c>
      <c r="X491" s="7"/>
      <c r="Y491" s="7"/>
      <c r="Z491" s="7"/>
      <c r="AA491" s="7"/>
      <c r="AC491" s="70" t="str">
        <f t="shared" si="15"/>
        <v/>
      </c>
      <c r="AD491" s="75" t="str">
        <f t="shared" si="16"/>
        <v/>
      </c>
      <c r="AH491" t="s">
        <v>3357</v>
      </c>
    </row>
    <row r="492" spans="1:34" outlineLevel="7">
      <c r="A492" s="3499" t="s">
        <v>1673</v>
      </c>
      <c r="B492" s="3499"/>
      <c r="C492" s="7"/>
      <c r="D492" s="7"/>
      <c r="E492" s="14">
        <v>550</v>
      </c>
      <c r="F492" s="7"/>
      <c r="G492" s="7"/>
      <c r="H492" s="8"/>
      <c r="I492" s="9"/>
      <c r="J492" s="7"/>
      <c r="K492" s="7"/>
      <c r="L492" s="7"/>
      <c r="M492" s="14">
        <v>550</v>
      </c>
      <c r="N492" s="14">
        <v>550</v>
      </c>
      <c r="O492" s="14">
        <v>550</v>
      </c>
      <c r="P492" s="7"/>
      <c r="Q492" s="7"/>
      <c r="R492" s="14">
        <v>550</v>
      </c>
      <c r="S492" s="7"/>
      <c r="T492" s="7"/>
      <c r="U492" s="7"/>
      <c r="V492" s="14">
        <v>550</v>
      </c>
      <c r="W492" s="14">
        <v>550</v>
      </c>
      <c r="X492" s="7"/>
      <c r="Y492" s="7"/>
      <c r="Z492" s="7"/>
      <c r="AA492" s="7"/>
      <c r="AC492" s="70">
        <f t="shared" si="15"/>
        <v>550</v>
      </c>
      <c r="AD492" s="75">
        <f t="shared" si="16"/>
        <v>1</v>
      </c>
    </row>
    <row r="493" spans="1:34" outlineLevel="6">
      <c r="A493" s="3501" t="s">
        <v>363</v>
      </c>
      <c r="B493" s="3501"/>
      <c r="C493" s="7"/>
      <c r="D493" s="7"/>
      <c r="E493" s="14">
        <v>550</v>
      </c>
      <c r="F493" s="7"/>
      <c r="G493" s="7"/>
      <c r="H493" s="8"/>
      <c r="I493" s="9"/>
      <c r="J493" s="7"/>
      <c r="K493" s="7"/>
      <c r="L493" s="7"/>
      <c r="M493" s="14">
        <v>550</v>
      </c>
      <c r="N493" s="14">
        <v>550</v>
      </c>
      <c r="O493" s="14">
        <v>550</v>
      </c>
      <c r="P493" s="7"/>
      <c r="Q493" s="7"/>
      <c r="R493" s="14">
        <v>550</v>
      </c>
      <c r="S493" s="7"/>
      <c r="T493" s="7"/>
      <c r="U493" s="7"/>
      <c r="V493" s="14">
        <v>550</v>
      </c>
      <c r="W493" s="14">
        <v>550</v>
      </c>
      <c r="X493" s="7"/>
      <c r="Y493" s="7"/>
      <c r="Z493" s="7"/>
      <c r="AA493" s="7"/>
      <c r="AC493" s="70" t="str">
        <f t="shared" si="15"/>
        <v/>
      </c>
      <c r="AD493" s="75" t="str">
        <f t="shared" si="16"/>
        <v/>
      </c>
    </row>
    <row r="494" spans="1:34" outlineLevel="7">
      <c r="A494" s="3500" t="s">
        <v>364</v>
      </c>
      <c r="B494" s="3500"/>
      <c r="C494" s="7"/>
      <c r="D494" s="7"/>
      <c r="E494" s="14">
        <v>550</v>
      </c>
      <c r="F494" s="7"/>
      <c r="G494" s="7"/>
      <c r="H494" s="8"/>
      <c r="I494" s="9"/>
      <c r="J494" s="7"/>
      <c r="K494" s="7"/>
      <c r="L494" s="7"/>
      <c r="M494" s="14">
        <v>550</v>
      </c>
      <c r="N494" s="14">
        <v>550</v>
      </c>
      <c r="O494" s="14">
        <v>550</v>
      </c>
      <c r="P494" s="7"/>
      <c r="Q494" s="7"/>
      <c r="R494" s="14">
        <v>550</v>
      </c>
      <c r="S494" s="7"/>
      <c r="T494" s="7"/>
      <c r="U494" s="7"/>
      <c r="V494" s="14">
        <v>550</v>
      </c>
      <c r="W494" s="14">
        <v>550</v>
      </c>
      <c r="X494" s="7"/>
      <c r="Y494" s="7"/>
      <c r="Z494" s="7"/>
      <c r="AA494" s="7"/>
      <c r="AC494" s="70" t="str">
        <f t="shared" si="15"/>
        <v/>
      </c>
      <c r="AD494" s="75" t="str">
        <f t="shared" si="16"/>
        <v/>
      </c>
      <c r="AH494" t="s">
        <v>364</v>
      </c>
    </row>
    <row r="495" spans="1:34" outlineLevel="7">
      <c r="A495" s="3499" t="s">
        <v>1674</v>
      </c>
      <c r="B495" s="3499"/>
      <c r="C495" s="7"/>
      <c r="D495" s="7"/>
      <c r="E495" s="14">
        <v>550</v>
      </c>
      <c r="F495" s="7"/>
      <c r="G495" s="7"/>
      <c r="H495" s="8"/>
      <c r="I495" s="9"/>
      <c r="J495" s="7"/>
      <c r="K495" s="7"/>
      <c r="L495" s="7"/>
      <c r="M495" s="14">
        <v>550</v>
      </c>
      <c r="N495" s="14">
        <v>550</v>
      </c>
      <c r="O495" s="14">
        <v>550</v>
      </c>
      <c r="P495" s="7"/>
      <c r="Q495" s="7"/>
      <c r="R495" s="14">
        <v>550</v>
      </c>
      <c r="S495" s="7"/>
      <c r="T495" s="7"/>
      <c r="U495" s="7"/>
      <c r="V495" s="14">
        <v>550</v>
      </c>
      <c r="W495" s="14">
        <v>550</v>
      </c>
      <c r="X495" s="7"/>
      <c r="Y495" s="7"/>
      <c r="Z495" s="7"/>
      <c r="AA495" s="7"/>
      <c r="AC495" s="70">
        <f t="shared" si="15"/>
        <v>550</v>
      </c>
      <c r="AD495" s="75">
        <f t="shared" si="16"/>
        <v>1</v>
      </c>
    </row>
    <row r="496" spans="1:34" outlineLevel="6">
      <c r="A496" s="3501" t="s">
        <v>365</v>
      </c>
      <c r="B496" s="3501"/>
      <c r="C496" s="7"/>
      <c r="D496" s="7"/>
      <c r="E496" s="14">
        <v>550</v>
      </c>
      <c r="F496" s="7"/>
      <c r="G496" s="7"/>
      <c r="H496" s="8"/>
      <c r="I496" s="9"/>
      <c r="J496" s="7"/>
      <c r="K496" s="7"/>
      <c r="L496" s="7"/>
      <c r="M496" s="14">
        <v>550</v>
      </c>
      <c r="N496" s="14">
        <v>550</v>
      </c>
      <c r="O496" s="14">
        <v>550</v>
      </c>
      <c r="P496" s="7"/>
      <c r="Q496" s="7"/>
      <c r="R496" s="14">
        <v>550</v>
      </c>
      <c r="S496" s="7"/>
      <c r="T496" s="7"/>
      <c r="U496" s="7"/>
      <c r="V496" s="14">
        <v>550</v>
      </c>
      <c r="W496" s="14">
        <v>550</v>
      </c>
      <c r="X496" s="7"/>
      <c r="Y496" s="7"/>
      <c r="Z496" s="7"/>
      <c r="AA496" s="7"/>
      <c r="AC496" s="70" t="str">
        <f t="shared" si="15"/>
        <v/>
      </c>
      <c r="AD496" s="75" t="str">
        <f t="shared" si="16"/>
        <v/>
      </c>
    </row>
    <row r="497" spans="1:36" outlineLevel="7">
      <c r="A497" s="3500" t="s">
        <v>366</v>
      </c>
      <c r="B497" s="3500"/>
      <c r="C497" s="7"/>
      <c r="D497" s="7"/>
      <c r="E497" s="14">
        <v>550</v>
      </c>
      <c r="F497" s="7"/>
      <c r="G497" s="7"/>
      <c r="H497" s="8"/>
      <c r="I497" s="9"/>
      <c r="J497" s="7"/>
      <c r="K497" s="7"/>
      <c r="L497" s="7"/>
      <c r="M497" s="14">
        <v>550</v>
      </c>
      <c r="N497" s="14">
        <v>550</v>
      </c>
      <c r="O497" s="14">
        <v>550</v>
      </c>
      <c r="P497" s="7"/>
      <c r="Q497" s="7"/>
      <c r="R497" s="14">
        <v>550</v>
      </c>
      <c r="S497" s="7"/>
      <c r="T497" s="7"/>
      <c r="U497" s="7"/>
      <c r="V497" s="14">
        <v>550</v>
      </c>
      <c r="W497" s="14">
        <v>550</v>
      </c>
      <c r="X497" s="7"/>
      <c r="Y497" s="7"/>
      <c r="Z497" s="7"/>
      <c r="AA497" s="7"/>
      <c r="AC497" s="70" t="str">
        <f t="shared" si="15"/>
        <v/>
      </c>
      <c r="AD497" s="75" t="str">
        <f t="shared" si="16"/>
        <v/>
      </c>
      <c r="AH497" t="s">
        <v>3457</v>
      </c>
    </row>
    <row r="498" spans="1:36" outlineLevel="7">
      <c r="A498" s="3499" t="s">
        <v>1675</v>
      </c>
      <c r="B498" s="3499"/>
      <c r="C498" s="7"/>
      <c r="D498" s="7"/>
      <c r="E498" s="14">
        <v>550</v>
      </c>
      <c r="F498" s="7"/>
      <c r="G498" s="7"/>
      <c r="H498" s="8"/>
      <c r="I498" s="9"/>
      <c r="J498" s="7"/>
      <c r="K498" s="7"/>
      <c r="L498" s="7"/>
      <c r="M498" s="14">
        <v>550</v>
      </c>
      <c r="N498" s="14">
        <v>550</v>
      </c>
      <c r="O498" s="14">
        <v>550</v>
      </c>
      <c r="P498" s="7"/>
      <c r="Q498" s="7"/>
      <c r="R498" s="14">
        <v>550</v>
      </c>
      <c r="S498" s="7"/>
      <c r="T498" s="7"/>
      <c r="U498" s="7"/>
      <c r="V498" s="14">
        <v>550</v>
      </c>
      <c r="W498" s="14">
        <v>550</v>
      </c>
      <c r="X498" s="7"/>
      <c r="Y498" s="7"/>
      <c r="Z498" s="7"/>
      <c r="AA498" s="7"/>
      <c r="AC498" s="70">
        <f t="shared" si="15"/>
        <v>550</v>
      </c>
      <c r="AD498" s="75">
        <f t="shared" si="16"/>
        <v>1</v>
      </c>
    </row>
    <row r="499" spans="1:36" outlineLevel="6">
      <c r="A499" s="3501" t="s">
        <v>367</v>
      </c>
      <c r="B499" s="3501"/>
      <c r="C499" s="7"/>
      <c r="D499" s="7"/>
      <c r="E499" s="14">
        <v>550</v>
      </c>
      <c r="F499" s="7"/>
      <c r="G499" s="7"/>
      <c r="H499" s="8"/>
      <c r="I499" s="9"/>
      <c r="J499" s="7"/>
      <c r="K499" s="7"/>
      <c r="L499" s="7"/>
      <c r="M499" s="14">
        <v>550</v>
      </c>
      <c r="N499" s="14">
        <v>550</v>
      </c>
      <c r="O499" s="14">
        <v>550</v>
      </c>
      <c r="P499" s="7"/>
      <c r="Q499" s="7"/>
      <c r="R499" s="14">
        <v>550</v>
      </c>
      <c r="S499" s="7"/>
      <c r="T499" s="7"/>
      <c r="U499" s="7"/>
      <c r="V499" s="14">
        <v>550</v>
      </c>
      <c r="W499" s="14">
        <v>550</v>
      </c>
      <c r="X499" s="7"/>
      <c r="Y499" s="7"/>
      <c r="Z499" s="7"/>
      <c r="AA499" s="7"/>
      <c r="AC499" s="70" t="str">
        <f t="shared" si="15"/>
        <v/>
      </c>
      <c r="AD499" s="75" t="str">
        <f t="shared" si="16"/>
        <v/>
      </c>
    </row>
    <row r="500" spans="1:36" outlineLevel="7">
      <c r="A500" s="3500" t="s">
        <v>368</v>
      </c>
      <c r="B500" s="3500"/>
      <c r="C500" s="7"/>
      <c r="D500" s="7"/>
      <c r="E500" s="14">
        <v>550</v>
      </c>
      <c r="F500" s="7"/>
      <c r="G500" s="7"/>
      <c r="H500" s="8"/>
      <c r="I500" s="9"/>
      <c r="J500" s="7"/>
      <c r="K500" s="7"/>
      <c r="L500" s="7"/>
      <c r="M500" s="14">
        <v>550</v>
      </c>
      <c r="N500" s="14">
        <v>550</v>
      </c>
      <c r="O500" s="14">
        <v>550</v>
      </c>
      <c r="P500" s="7"/>
      <c r="Q500" s="7"/>
      <c r="R500" s="14">
        <v>550</v>
      </c>
      <c r="S500" s="7"/>
      <c r="T500" s="7"/>
      <c r="U500" s="7"/>
      <c r="V500" s="14">
        <v>550</v>
      </c>
      <c r="W500" s="14">
        <v>550</v>
      </c>
      <c r="X500" s="7"/>
      <c r="Y500" s="7"/>
      <c r="Z500" s="7"/>
      <c r="AA500" s="7"/>
      <c r="AC500" s="70" t="str">
        <f t="shared" si="15"/>
        <v/>
      </c>
      <c r="AD500" s="75" t="str">
        <f t="shared" si="16"/>
        <v/>
      </c>
      <c r="AH500" t="s">
        <v>3542</v>
      </c>
    </row>
    <row r="501" spans="1:36" outlineLevel="7">
      <c r="A501" s="3499" t="s">
        <v>1676</v>
      </c>
      <c r="B501" s="3499"/>
      <c r="C501" s="7"/>
      <c r="D501" s="7"/>
      <c r="E501" s="14">
        <v>550</v>
      </c>
      <c r="F501" s="7"/>
      <c r="G501" s="7"/>
      <c r="H501" s="8"/>
      <c r="I501" s="9"/>
      <c r="J501" s="7"/>
      <c r="K501" s="7"/>
      <c r="L501" s="7"/>
      <c r="M501" s="14">
        <v>550</v>
      </c>
      <c r="N501" s="14">
        <v>550</v>
      </c>
      <c r="O501" s="14">
        <v>550</v>
      </c>
      <c r="P501" s="7"/>
      <c r="Q501" s="7"/>
      <c r="R501" s="14">
        <v>550</v>
      </c>
      <c r="S501" s="7"/>
      <c r="T501" s="7"/>
      <c r="U501" s="7"/>
      <c r="V501" s="14">
        <v>550</v>
      </c>
      <c r="W501" s="14">
        <v>550</v>
      </c>
      <c r="X501" s="7"/>
      <c r="Y501" s="7"/>
      <c r="Z501" s="7"/>
      <c r="AA501" s="7"/>
      <c r="AC501" s="70">
        <f t="shared" si="15"/>
        <v>550</v>
      </c>
      <c r="AD501" s="75">
        <f t="shared" si="16"/>
        <v>1</v>
      </c>
    </row>
    <row r="502" spans="1:36" outlineLevel="6">
      <c r="A502" s="3501" t="s">
        <v>369</v>
      </c>
      <c r="B502" s="3501"/>
      <c r="C502" s="7"/>
      <c r="D502" s="7"/>
      <c r="E502" s="14">
        <v>550</v>
      </c>
      <c r="F502" s="7"/>
      <c r="G502" s="7"/>
      <c r="H502" s="8"/>
      <c r="I502" s="9"/>
      <c r="J502" s="7"/>
      <c r="K502" s="7"/>
      <c r="L502" s="7"/>
      <c r="M502" s="14">
        <v>550</v>
      </c>
      <c r="N502" s="14">
        <v>550</v>
      </c>
      <c r="O502" s="14">
        <v>550</v>
      </c>
      <c r="P502" s="7"/>
      <c r="Q502" s="7"/>
      <c r="R502" s="14">
        <v>550</v>
      </c>
      <c r="S502" s="7"/>
      <c r="T502" s="7"/>
      <c r="U502" s="7"/>
      <c r="V502" s="14">
        <v>550</v>
      </c>
      <c r="W502" s="14">
        <v>550</v>
      </c>
      <c r="X502" s="7"/>
      <c r="Y502" s="7"/>
      <c r="Z502" s="7"/>
      <c r="AA502" s="7"/>
      <c r="AC502" s="70" t="str">
        <f t="shared" si="15"/>
        <v/>
      </c>
      <c r="AD502" s="75" t="str">
        <f t="shared" si="16"/>
        <v/>
      </c>
    </row>
    <row r="503" spans="1:36" outlineLevel="7">
      <c r="A503" s="3500" t="s">
        <v>370</v>
      </c>
      <c r="B503" s="3500"/>
      <c r="C503" s="7"/>
      <c r="D503" s="7"/>
      <c r="E503" s="14">
        <v>550</v>
      </c>
      <c r="F503" s="7"/>
      <c r="G503" s="7"/>
      <c r="H503" s="8"/>
      <c r="I503" s="9"/>
      <c r="J503" s="7"/>
      <c r="K503" s="7"/>
      <c r="L503" s="7"/>
      <c r="M503" s="14">
        <v>550</v>
      </c>
      <c r="N503" s="14">
        <v>550</v>
      </c>
      <c r="O503" s="14">
        <v>550</v>
      </c>
      <c r="P503" s="7"/>
      <c r="Q503" s="7"/>
      <c r="R503" s="14">
        <v>550</v>
      </c>
      <c r="S503" s="7"/>
      <c r="T503" s="7"/>
      <c r="U503" s="7"/>
      <c r="V503" s="14">
        <v>550</v>
      </c>
      <c r="W503" s="14">
        <v>550</v>
      </c>
      <c r="X503" s="7"/>
      <c r="Y503" s="7"/>
      <c r="Z503" s="7"/>
      <c r="AA503" s="7"/>
      <c r="AC503" s="70" t="str">
        <f t="shared" si="15"/>
        <v/>
      </c>
      <c r="AD503" s="75" t="str">
        <f t="shared" si="16"/>
        <v/>
      </c>
      <c r="AH503" t="s">
        <v>370</v>
      </c>
    </row>
    <row r="504" spans="1:36" outlineLevel="7">
      <c r="A504" s="3499" t="s">
        <v>1677</v>
      </c>
      <c r="B504" s="3499"/>
      <c r="C504" s="7"/>
      <c r="D504" s="7"/>
      <c r="E504" s="14">
        <v>550</v>
      </c>
      <c r="F504" s="7"/>
      <c r="G504" s="7"/>
      <c r="H504" s="8"/>
      <c r="I504" s="9"/>
      <c r="J504" s="7"/>
      <c r="K504" s="7"/>
      <c r="L504" s="7"/>
      <c r="M504" s="14">
        <v>550</v>
      </c>
      <c r="N504" s="14">
        <v>550</v>
      </c>
      <c r="O504" s="14">
        <v>550</v>
      </c>
      <c r="P504" s="7"/>
      <c r="Q504" s="7"/>
      <c r="R504" s="14">
        <v>550</v>
      </c>
      <c r="S504" s="7"/>
      <c r="T504" s="7"/>
      <c r="U504" s="7"/>
      <c r="V504" s="14">
        <v>550</v>
      </c>
      <c r="W504" s="14">
        <v>550</v>
      </c>
      <c r="X504" s="7"/>
      <c r="Y504" s="7"/>
      <c r="Z504" s="7"/>
      <c r="AA504" s="7"/>
      <c r="AC504" s="70">
        <f t="shared" si="15"/>
        <v>550</v>
      </c>
      <c r="AD504" s="75">
        <f t="shared" si="16"/>
        <v>1</v>
      </c>
    </row>
    <row r="505" spans="1:36" outlineLevel="6">
      <c r="A505" s="3501" t="s">
        <v>371</v>
      </c>
      <c r="B505" s="3501"/>
      <c r="C505" s="7"/>
      <c r="D505" s="7"/>
      <c r="E505" s="14">
        <v>550</v>
      </c>
      <c r="F505" s="7"/>
      <c r="G505" s="7"/>
      <c r="H505" s="8"/>
      <c r="I505" s="9"/>
      <c r="J505" s="7"/>
      <c r="K505" s="7"/>
      <c r="L505" s="7"/>
      <c r="M505" s="14">
        <v>550</v>
      </c>
      <c r="N505" s="14">
        <v>550</v>
      </c>
      <c r="O505" s="14">
        <v>550</v>
      </c>
      <c r="P505" s="7"/>
      <c r="Q505" s="7"/>
      <c r="R505" s="14">
        <v>550</v>
      </c>
      <c r="S505" s="7"/>
      <c r="T505" s="7"/>
      <c r="U505" s="7"/>
      <c r="V505" s="14">
        <v>550</v>
      </c>
      <c r="W505" s="14">
        <v>550</v>
      </c>
      <c r="X505" s="7"/>
      <c r="Y505" s="7"/>
      <c r="Z505" s="7"/>
      <c r="AA505" s="7"/>
      <c r="AC505" s="70" t="str">
        <f t="shared" si="15"/>
        <v/>
      </c>
      <c r="AD505" s="75" t="str">
        <f t="shared" si="16"/>
        <v/>
      </c>
    </row>
    <row r="506" spans="1:36" outlineLevel="7">
      <c r="A506" s="3500" t="s">
        <v>372</v>
      </c>
      <c r="B506" s="3500"/>
      <c r="C506" s="7"/>
      <c r="D506" s="7"/>
      <c r="E506" s="14">
        <v>550</v>
      </c>
      <c r="F506" s="7"/>
      <c r="G506" s="7"/>
      <c r="H506" s="8"/>
      <c r="I506" s="9"/>
      <c r="J506" s="7"/>
      <c r="K506" s="7"/>
      <c r="L506" s="7"/>
      <c r="M506" s="14">
        <v>550</v>
      </c>
      <c r="N506" s="14">
        <v>550</v>
      </c>
      <c r="O506" s="14">
        <v>550</v>
      </c>
      <c r="P506" s="7"/>
      <c r="Q506" s="7"/>
      <c r="R506" s="14">
        <v>550</v>
      </c>
      <c r="S506" s="7"/>
      <c r="T506" s="7"/>
      <c r="U506" s="7"/>
      <c r="V506" s="14">
        <v>550</v>
      </c>
      <c r="W506" s="14">
        <v>550</v>
      </c>
      <c r="X506" s="7"/>
      <c r="Y506" s="7"/>
      <c r="Z506" s="7"/>
      <c r="AA506" s="7"/>
      <c r="AC506" s="70" t="str">
        <f t="shared" si="15"/>
        <v/>
      </c>
      <c r="AD506" s="75" t="str">
        <f t="shared" si="16"/>
        <v/>
      </c>
      <c r="AH506" t="s">
        <v>3636</v>
      </c>
    </row>
    <row r="507" spans="1:36" outlineLevel="7">
      <c r="A507" s="3499" t="s">
        <v>1678</v>
      </c>
      <c r="B507" s="3499"/>
      <c r="C507" s="7"/>
      <c r="D507" s="7"/>
      <c r="E507" s="14">
        <v>550</v>
      </c>
      <c r="F507" s="7"/>
      <c r="G507" s="7"/>
      <c r="H507" s="8"/>
      <c r="I507" s="9"/>
      <c r="J507" s="7"/>
      <c r="K507" s="7"/>
      <c r="L507" s="7"/>
      <c r="M507" s="14">
        <v>550</v>
      </c>
      <c r="N507" s="14">
        <v>550</v>
      </c>
      <c r="O507" s="14">
        <v>550</v>
      </c>
      <c r="P507" s="7"/>
      <c r="Q507" s="7"/>
      <c r="R507" s="14">
        <v>550</v>
      </c>
      <c r="S507" s="7"/>
      <c r="T507" s="7"/>
      <c r="U507" s="7"/>
      <c r="V507" s="14">
        <v>550</v>
      </c>
      <c r="W507" s="14">
        <v>550</v>
      </c>
      <c r="X507" s="7"/>
      <c r="Y507" s="7"/>
      <c r="Z507" s="7"/>
      <c r="AA507" s="7"/>
      <c r="AC507" s="70">
        <f t="shared" si="15"/>
        <v>550</v>
      </c>
      <c r="AD507" s="75">
        <f t="shared" si="16"/>
        <v>1</v>
      </c>
    </row>
    <row r="508" spans="1:36" outlineLevel="6">
      <c r="A508" s="3501" t="s">
        <v>373</v>
      </c>
      <c r="B508" s="3501"/>
      <c r="C508" s="7"/>
      <c r="D508" s="7"/>
      <c r="E508" s="13">
        <v>8993.7199999999993</v>
      </c>
      <c r="F508" s="7"/>
      <c r="G508" s="7"/>
      <c r="H508" s="8"/>
      <c r="I508" s="9"/>
      <c r="J508" s="7"/>
      <c r="K508" s="7"/>
      <c r="L508" s="7"/>
      <c r="M508" s="13">
        <v>8993.7199999999993</v>
      </c>
      <c r="N508" s="13">
        <v>8993.7199999999993</v>
      </c>
      <c r="O508" s="13">
        <v>8993.7199999999993</v>
      </c>
      <c r="P508" s="7"/>
      <c r="Q508" s="7"/>
      <c r="R508" s="13">
        <v>8993.7199999999993</v>
      </c>
      <c r="S508" s="7"/>
      <c r="T508" s="7"/>
      <c r="U508" s="13">
        <v>8993.7199999999993</v>
      </c>
      <c r="V508" s="7"/>
      <c r="W508" s="7"/>
      <c r="X508" s="7"/>
      <c r="Y508" s="7"/>
      <c r="Z508" s="7"/>
      <c r="AA508" s="7"/>
      <c r="AC508" s="70" t="str">
        <f t="shared" si="15"/>
        <v/>
      </c>
      <c r="AD508" s="75" t="str">
        <f t="shared" si="16"/>
        <v/>
      </c>
    </row>
    <row r="509" spans="1:36" outlineLevel="7">
      <c r="A509" s="3500" t="s">
        <v>374</v>
      </c>
      <c r="B509" s="3500"/>
      <c r="C509" s="7"/>
      <c r="D509" s="7"/>
      <c r="E509" s="13">
        <v>8993.7199999999993</v>
      </c>
      <c r="F509" s="7"/>
      <c r="G509" s="7"/>
      <c r="H509" s="8"/>
      <c r="I509" s="9"/>
      <c r="J509" s="7"/>
      <c r="K509" s="7"/>
      <c r="L509" s="7"/>
      <c r="M509" s="13">
        <v>8993.7199999999993</v>
      </c>
      <c r="N509" s="13">
        <v>8993.7199999999993</v>
      </c>
      <c r="O509" s="13">
        <v>8993.7199999999993</v>
      </c>
      <c r="P509" s="7"/>
      <c r="Q509" s="7"/>
      <c r="R509" s="13">
        <v>8993.7199999999993</v>
      </c>
      <c r="S509" s="7"/>
      <c r="T509" s="7"/>
      <c r="U509" s="13">
        <v>8993.7199999999993</v>
      </c>
      <c r="V509" s="7"/>
      <c r="W509" s="7"/>
      <c r="X509" s="7"/>
      <c r="Y509" s="7"/>
      <c r="Z509" s="7"/>
      <c r="AA509" s="7"/>
      <c r="AC509" s="70" t="str">
        <f t="shared" si="15"/>
        <v/>
      </c>
      <c r="AD509" s="75" t="str">
        <f t="shared" si="16"/>
        <v/>
      </c>
      <c r="AH509" s="1" t="s">
        <v>3623</v>
      </c>
      <c r="AJ509" s="1"/>
    </row>
    <row r="510" spans="1:36" outlineLevel="7">
      <c r="A510" s="3499" t="s">
        <v>1679</v>
      </c>
      <c r="B510" s="3499"/>
      <c r="C510" s="7"/>
      <c r="D510" s="7"/>
      <c r="E510" s="13">
        <v>8993.7199999999993</v>
      </c>
      <c r="F510" s="7"/>
      <c r="G510" s="7"/>
      <c r="H510" s="8"/>
      <c r="I510" s="9"/>
      <c r="J510" s="7"/>
      <c r="K510" s="7"/>
      <c r="L510" s="7"/>
      <c r="M510" s="13">
        <v>8993.7199999999993</v>
      </c>
      <c r="N510" s="13">
        <v>8993.7199999999993</v>
      </c>
      <c r="O510" s="13">
        <v>8993.7199999999993</v>
      </c>
      <c r="P510" s="7"/>
      <c r="Q510" s="7"/>
      <c r="R510" s="13">
        <v>8993.7199999999993</v>
      </c>
      <c r="S510" s="7"/>
      <c r="T510" s="7"/>
      <c r="U510" s="13">
        <v>8993.7199999999993</v>
      </c>
      <c r="V510" s="7"/>
      <c r="W510" s="7"/>
      <c r="X510" s="7"/>
      <c r="Y510" s="7"/>
      <c r="Z510" s="7"/>
      <c r="AA510" s="7"/>
      <c r="AC510" s="70">
        <f t="shared" si="15"/>
        <v>8993.7199999999993</v>
      </c>
      <c r="AD510" s="75" t="str">
        <f t="shared" si="16"/>
        <v/>
      </c>
      <c r="AG510">
        <f>AC510</f>
        <v>8993.7199999999993</v>
      </c>
      <c r="AH510" s="27"/>
    </row>
    <row r="511" spans="1:36" outlineLevel="6">
      <c r="A511" s="3501" t="s">
        <v>375</v>
      </c>
      <c r="B511" s="3501"/>
      <c r="C511" s="7"/>
      <c r="D511" s="7"/>
      <c r="E511" s="14">
        <v>550</v>
      </c>
      <c r="F511" s="7"/>
      <c r="G511" s="7"/>
      <c r="H511" s="8"/>
      <c r="I511" s="9"/>
      <c r="J511" s="7"/>
      <c r="K511" s="7"/>
      <c r="L511" s="7"/>
      <c r="M511" s="14">
        <v>550</v>
      </c>
      <c r="N511" s="14">
        <v>550</v>
      </c>
      <c r="O511" s="14">
        <v>550</v>
      </c>
      <c r="P511" s="7"/>
      <c r="Q511" s="7"/>
      <c r="R511" s="14">
        <v>550</v>
      </c>
      <c r="S511" s="7"/>
      <c r="T511" s="7"/>
      <c r="U511" s="7"/>
      <c r="V511" s="14">
        <v>550</v>
      </c>
      <c r="W511" s="14">
        <v>550</v>
      </c>
      <c r="X511" s="7"/>
      <c r="Y511" s="7"/>
      <c r="Z511" s="7"/>
      <c r="AA511" s="7"/>
      <c r="AC511" s="70" t="str">
        <f t="shared" si="15"/>
        <v/>
      </c>
      <c r="AD511" s="75" t="str">
        <f t="shared" si="16"/>
        <v/>
      </c>
    </row>
    <row r="512" spans="1:36" outlineLevel="7">
      <c r="A512" s="3500" t="s">
        <v>376</v>
      </c>
      <c r="B512" s="3500"/>
      <c r="C512" s="7"/>
      <c r="D512" s="7"/>
      <c r="E512" s="14">
        <v>550</v>
      </c>
      <c r="F512" s="7"/>
      <c r="G512" s="7"/>
      <c r="H512" s="8"/>
      <c r="I512" s="9"/>
      <c r="J512" s="7"/>
      <c r="K512" s="7"/>
      <c r="L512" s="7"/>
      <c r="M512" s="14">
        <v>550</v>
      </c>
      <c r="N512" s="14">
        <v>550</v>
      </c>
      <c r="O512" s="14">
        <v>550</v>
      </c>
      <c r="P512" s="7"/>
      <c r="Q512" s="7"/>
      <c r="R512" s="14">
        <v>550</v>
      </c>
      <c r="S512" s="7"/>
      <c r="T512" s="7"/>
      <c r="U512" s="7"/>
      <c r="V512" s="14">
        <v>550</v>
      </c>
      <c r="W512" s="14">
        <v>550</v>
      </c>
      <c r="X512" s="7"/>
      <c r="Y512" s="7"/>
      <c r="Z512" s="7"/>
      <c r="AA512" s="7"/>
      <c r="AC512" s="70" t="str">
        <f t="shared" si="15"/>
        <v/>
      </c>
      <c r="AD512" s="75" t="str">
        <f t="shared" si="16"/>
        <v/>
      </c>
      <c r="AH512" t="s">
        <v>3518</v>
      </c>
    </row>
    <row r="513" spans="1:34" outlineLevel="7">
      <c r="A513" s="3499" t="s">
        <v>1680</v>
      </c>
      <c r="B513" s="3499"/>
      <c r="C513" s="7"/>
      <c r="D513" s="7"/>
      <c r="E513" s="14">
        <v>550</v>
      </c>
      <c r="F513" s="7"/>
      <c r="G513" s="7"/>
      <c r="H513" s="8"/>
      <c r="I513" s="9"/>
      <c r="J513" s="7"/>
      <c r="K513" s="7"/>
      <c r="L513" s="7"/>
      <c r="M513" s="14">
        <v>550</v>
      </c>
      <c r="N513" s="14">
        <v>550</v>
      </c>
      <c r="O513" s="14">
        <v>550</v>
      </c>
      <c r="P513" s="7"/>
      <c r="Q513" s="7"/>
      <c r="R513" s="14">
        <v>550</v>
      </c>
      <c r="S513" s="7"/>
      <c r="T513" s="7"/>
      <c r="U513" s="7"/>
      <c r="V513" s="14">
        <v>550</v>
      </c>
      <c r="W513" s="14">
        <v>550</v>
      </c>
      <c r="X513" s="7"/>
      <c r="Y513" s="7"/>
      <c r="Z513" s="7"/>
      <c r="AA513" s="7"/>
      <c r="AC513" s="70">
        <f t="shared" si="15"/>
        <v>550</v>
      </c>
      <c r="AD513" s="75">
        <f t="shared" si="16"/>
        <v>1</v>
      </c>
    </row>
    <row r="514" spans="1:34" outlineLevel="6">
      <c r="A514" s="3501" t="s">
        <v>377</v>
      </c>
      <c r="B514" s="3501"/>
      <c r="C514" s="7"/>
      <c r="D514" s="7"/>
      <c r="E514" s="14">
        <v>550</v>
      </c>
      <c r="F514" s="7"/>
      <c r="G514" s="7"/>
      <c r="H514" s="8"/>
      <c r="I514" s="9"/>
      <c r="J514" s="7"/>
      <c r="K514" s="7"/>
      <c r="L514" s="7"/>
      <c r="M514" s="14">
        <v>550</v>
      </c>
      <c r="N514" s="14">
        <v>550</v>
      </c>
      <c r="O514" s="14">
        <v>550</v>
      </c>
      <c r="P514" s="7"/>
      <c r="Q514" s="7"/>
      <c r="R514" s="14">
        <v>550</v>
      </c>
      <c r="S514" s="7"/>
      <c r="T514" s="7"/>
      <c r="U514" s="7"/>
      <c r="V514" s="14">
        <v>550</v>
      </c>
      <c r="W514" s="14">
        <v>550</v>
      </c>
      <c r="X514" s="7"/>
      <c r="Y514" s="7"/>
      <c r="Z514" s="7"/>
      <c r="AA514" s="7"/>
      <c r="AC514" s="70" t="str">
        <f t="shared" si="15"/>
        <v/>
      </c>
      <c r="AD514" s="75" t="str">
        <f t="shared" si="16"/>
        <v/>
      </c>
    </row>
    <row r="515" spans="1:34" outlineLevel="7">
      <c r="A515" s="3500" t="s">
        <v>378</v>
      </c>
      <c r="B515" s="3500"/>
      <c r="C515" s="7"/>
      <c r="D515" s="7"/>
      <c r="E515" s="14">
        <v>550</v>
      </c>
      <c r="F515" s="7"/>
      <c r="G515" s="7"/>
      <c r="H515" s="8"/>
      <c r="I515" s="9"/>
      <c r="J515" s="7"/>
      <c r="K515" s="7"/>
      <c r="L515" s="7"/>
      <c r="M515" s="14">
        <v>550</v>
      </c>
      <c r="N515" s="14">
        <v>550</v>
      </c>
      <c r="O515" s="14">
        <v>550</v>
      </c>
      <c r="P515" s="7"/>
      <c r="Q515" s="7"/>
      <c r="R515" s="14">
        <v>550</v>
      </c>
      <c r="S515" s="7"/>
      <c r="T515" s="7"/>
      <c r="U515" s="7"/>
      <c r="V515" s="14">
        <v>550</v>
      </c>
      <c r="W515" s="14">
        <v>550</v>
      </c>
      <c r="X515" s="7"/>
      <c r="Y515" s="7"/>
      <c r="Z515" s="7"/>
      <c r="AA515" s="7"/>
      <c r="AC515" s="70" t="str">
        <f t="shared" si="15"/>
        <v/>
      </c>
      <c r="AD515" s="75" t="str">
        <f t="shared" si="16"/>
        <v/>
      </c>
      <c r="AH515" t="s">
        <v>3370</v>
      </c>
    </row>
    <row r="516" spans="1:34" outlineLevel="7">
      <c r="A516" s="3499" t="s">
        <v>1681</v>
      </c>
      <c r="B516" s="3499"/>
      <c r="C516" s="7"/>
      <c r="D516" s="7"/>
      <c r="E516" s="14">
        <v>550</v>
      </c>
      <c r="F516" s="7"/>
      <c r="G516" s="7"/>
      <c r="H516" s="8"/>
      <c r="I516" s="9"/>
      <c r="J516" s="7"/>
      <c r="K516" s="7"/>
      <c r="L516" s="7"/>
      <c r="M516" s="14">
        <v>550</v>
      </c>
      <c r="N516" s="14">
        <v>550</v>
      </c>
      <c r="O516" s="14">
        <v>550</v>
      </c>
      <c r="P516" s="7"/>
      <c r="Q516" s="7"/>
      <c r="R516" s="14">
        <v>550</v>
      </c>
      <c r="S516" s="7"/>
      <c r="T516" s="7"/>
      <c r="U516" s="7"/>
      <c r="V516" s="14">
        <v>550</v>
      </c>
      <c r="W516" s="14">
        <v>550</v>
      </c>
      <c r="X516" s="7"/>
      <c r="Y516" s="7"/>
      <c r="Z516" s="7"/>
      <c r="AA516" s="7"/>
      <c r="AC516" s="70">
        <f t="shared" si="15"/>
        <v>550</v>
      </c>
      <c r="AD516" s="75">
        <f t="shared" si="16"/>
        <v>1</v>
      </c>
    </row>
    <row r="517" spans="1:34" outlineLevel="6">
      <c r="A517" s="3501" t="s">
        <v>379</v>
      </c>
      <c r="B517" s="3501"/>
      <c r="C517" s="7"/>
      <c r="D517" s="7"/>
      <c r="E517" s="14">
        <v>550</v>
      </c>
      <c r="F517" s="7"/>
      <c r="G517" s="7"/>
      <c r="H517" s="8"/>
      <c r="I517" s="9"/>
      <c r="J517" s="7"/>
      <c r="K517" s="7"/>
      <c r="L517" s="7"/>
      <c r="M517" s="14">
        <v>550</v>
      </c>
      <c r="N517" s="14">
        <v>550</v>
      </c>
      <c r="O517" s="14">
        <v>550</v>
      </c>
      <c r="P517" s="7"/>
      <c r="Q517" s="7"/>
      <c r="R517" s="14">
        <v>550</v>
      </c>
      <c r="S517" s="7"/>
      <c r="T517" s="7"/>
      <c r="U517" s="7"/>
      <c r="V517" s="14">
        <v>550</v>
      </c>
      <c r="W517" s="14">
        <v>550</v>
      </c>
      <c r="X517" s="7"/>
      <c r="Y517" s="7"/>
      <c r="Z517" s="7"/>
      <c r="AA517" s="7"/>
      <c r="AC517" s="70" t="str">
        <f t="shared" si="15"/>
        <v/>
      </c>
      <c r="AD517" s="75" t="str">
        <f t="shared" si="16"/>
        <v/>
      </c>
    </row>
    <row r="518" spans="1:34" outlineLevel="7">
      <c r="A518" s="3500" t="s">
        <v>380</v>
      </c>
      <c r="B518" s="3500"/>
      <c r="C518" s="7"/>
      <c r="D518" s="7"/>
      <c r="E518" s="14">
        <v>550</v>
      </c>
      <c r="F518" s="7"/>
      <c r="G518" s="7"/>
      <c r="H518" s="8"/>
      <c r="I518" s="9"/>
      <c r="J518" s="7"/>
      <c r="K518" s="7"/>
      <c r="L518" s="7"/>
      <c r="M518" s="14">
        <v>550</v>
      </c>
      <c r="N518" s="14">
        <v>550</v>
      </c>
      <c r="O518" s="14">
        <v>550</v>
      </c>
      <c r="P518" s="7"/>
      <c r="Q518" s="7"/>
      <c r="R518" s="14">
        <v>550</v>
      </c>
      <c r="S518" s="7"/>
      <c r="T518" s="7"/>
      <c r="U518" s="7"/>
      <c r="V518" s="14">
        <v>550</v>
      </c>
      <c r="W518" s="14">
        <v>550</v>
      </c>
      <c r="X518" s="7"/>
      <c r="Y518" s="7"/>
      <c r="Z518" s="7"/>
      <c r="AA518" s="7"/>
      <c r="AC518" s="70" t="str">
        <f t="shared" si="15"/>
        <v/>
      </c>
      <c r="AD518" s="75" t="str">
        <f t="shared" si="16"/>
        <v/>
      </c>
      <c r="AH518" t="s">
        <v>3412</v>
      </c>
    </row>
    <row r="519" spans="1:34" outlineLevel="7">
      <c r="A519" s="3499" t="s">
        <v>1682</v>
      </c>
      <c r="B519" s="3499"/>
      <c r="C519" s="7"/>
      <c r="D519" s="7"/>
      <c r="E519" s="14">
        <v>550</v>
      </c>
      <c r="F519" s="7"/>
      <c r="G519" s="7"/>
      <c r="H519" s="8"/>
      <c r="I519" s="9"/>
      <c r="J519" s="7"/>
      <c r="K519" s="7"/>
      <c r="L519" s="7"/>
      <c r="M519" s="14">
        <v>550</v>
      </c>
      <c r="N519" s="14">
        <v>550</v>
      </c>
      <c r="O519" s="14">
        <v>550</v>
      </c>
      <c r="P519" s="7"/>
      <c r="Q519" s="7"/>
      <c r="R519" s="14">
        <v>550</v>
      </c>
      <c r="S519" s="7"/>
      <c r="T519" s="7"/>
      <c r="U519" s="7"/>
      <c r="V519" s="14">
        <v>550</v>
      </c>
      <c r="W519" s="14">
        <v>550</v>
      </c>
      <c r="X519" s="7"/>
      <c r="Y519" s="7"/>
      <c r="Z519" s="7"/>
      <c r="AA519" s="7"/>
      <c r="AC519" s="70">
        <f t="shared" si="15"/>
        <v>550</v>
      </c>
      <c r="AD519" s="75">
        <f t="shared" si="16"/>
        <v>1</v>
      </c>
    </row>
    <row r="520" spans="1:34" outlineLevel="6">
      <c r="A520" s="3501" t="s">
        <v>381</v>
      </c>
      <c r="B520" s="3501"/>
      <c r="C520" s="7"/>
      <c r="D520" s="7"/>
      <c r="E520" s="14">
        <v>550</v>
      </c>
      <c r="F520" s="7"/>
      <c r="G520" s="7"/>
      <c r="H520" s="8"/>
      <c r="I520" s="9"/>
      <c r="J520" s="7"/>
      <c r="K520" s="7"/>
      <c r="L520" s="7"/>
      <c r="M520" s="14">
        <v>550</v>
      </c>
      <c r="N520" s="14">
        <v>550</v>
      </c>
      <c r="O520" s="14">
        <v>550</v>
      </c>
      <c r="P520" s="7"/>
      <c r="Q520" s="7"/>
      <c r="R520" s="14">
        <v>550</v>
      </c>
      <c r="S520" s="7"/>
      <c r="T520" s="7"/>
      <c r="U520" s="7"/>
      <c r="V520" s="14">
        <v>550</v>
      </c>
      <c r="W520" s="14">
        <v>550</v>
      </c>
      <c r="X520" s="7"/>
      <c r="Y520" s="7"/>
      <c r="Z520" s="7"/>
      <c r="AA520" s="7"/>
      <c r="AC520" s="70" t="str">
        <f t="shared" si="15"/>
        <v/>
      </c>
      <c r="AD520" s="75" t="str">
        <f t="shared" si="16"/>
        <v/>
      </c>
    </row>
    <row r="521" spans="1:34" outlineLevel="7">
      <c r="A521" s="3500" t="s">
        <v>382</v>
      </c>
      <c r="B521" s="3500"/>
      <c r="C521" s="7"/>
      <c r="D521" s="7"/>
      <c r="E521" s="14">
        <v>550</v>
      </c>
      <c r="F521" s="7"/>
      <c r="G521" s="7"/>
      <c r="H521" s="8"/>
      <c r="I521" s="9"/>
      <c r="J521" s="7"/>
      <c r="K521" s="7"/>
      <c r="L521" s="7"/>
      <c r="M521" s="14">
        <v>550</v>
      </c>
      <c r="N521" s="14">
        <v>550</v>
      </c>
      <c r="O521" s="14">
        <v>550</v>
      </c>
      <c r="P521" s="7"/>
      <c r="Q521" s="7"/>
      <c r="R521" s="14">
        <v>550</v>
      </c>
      <c r="S521" s="7"/>
      <c r="T521" s="7"/>
      <c r="U521" s="7"/>
      <c r="V521" s="14">
        <v>550</v>
      </c>
      <c r="W521" s="14">
        <v>550</v>
      </c>
      <c r="X521" s="7"/>
      <c r="Y521" s="7"/>
      <c r="Z521" s="7"/>
      <c r="AA521" s="7"/>
      <c r="AC521" s="70" t="str">
        <f t="shared" si="15"/>
        <v/>
      </c>
      <c r="AD521" s="75" t="str">
        <f t="shared" si="16"/>
        <v/>
      </c>
      <c r="AH521" t="s">
        <v>382</v>
      </c>
    </row>
    <row r="522" spans="1:34" outlineLevel="7">
      <c r="A522" s="3499" t="s">
        <v>1683</v>
      </c>
      <c r="B522" s="3499"/>
      <c r="C522" s="7"/>
      <c r="D522" s="7"/>
      <c r="E522" s="14">
        <v>550</v>
      </c>
      <c r="F522" s="7"/>
      <c r="G522" s="7"/>
      <c r="H522" s="8"/>
      <c r="I522" s="9"/>
      <c r="J522" s="7"/>
      <c r="K522" s="7"/>
      <c r="L522" s="7"/>
      <c r="M522" s="14">
        <v>550</v>
      </c>
      <c r="N522" s="14">
        <v>550</v>
      </c>
      <c r="O522" s="14">
        <v>550</v>
      </c>
      <c r="P522" s="7"/>
      <c r="Q522" s="7"/>
      <c r="R522" s="14">
        <v>550</v>
      </c>
      <c r="S522" s="7"/>
      <c r="T522" s="7"/>
      <c r="U522" s="7"/>
      <c r="V522" s="14">
        <v>550</v>
      </c>
      <c r="W522" s="14">
        <v>550</v>
      </c>
      <c r="X522" s="7"/>
      <c r="Y522" s="7"/>
      <c r="Z522" s="7"/>
      <c r="AA522" s="7"/>
      <c r="AC522" s="70">
        <f t="shared" si="15"/>
        <v>550</v>
      </c>
      <c r="AD522" s="75">
        <f t="shared" si="16"/>
        <v>1</v>
      </c>
    </row>
    <row r="523" spans="1:34" outlineLevel="6">
      <c r="A523" s="3501" t="s">
        <v>383</v>
      </c>
      <c r="B523" s="3501"/>
      <c r="C523" s="7"/>
      <c r="D523" s="7"/>
      <c r="E523" s="14">
        <v>550</v>
      </c>
      <c r="F523" s="7"/>
      <c r="G523" s="7"/>
      <c r="H523" s="8"/>
      <c r="I523" s="9"/>
      <c r="J523" s="7"/>
      <c r="K523" s="7"/>
      <c r="L523" s="7"/>
      <c r="M523" s="14">
        <v>550</v>
      </c>
      <c r="N523" s="14">
        <v>550</v>
      </c>
      <c r="O523" s="14">
        <v>550</v>
      </c>
      <c r="P523" s="7"/>
      <c r="Q523" s="7"/>
      <c r="R523" s="14">
        <v>550</v>
      </c>
      <c r="S523" s="7"/>
      <c r="T523" s="7"/>
      <c r="U523" s="7"/>
      <c r="V523" s="14">
        <v>550</v>
      </c>
      <c r="W523" s="14">
        <v>550</v>
      </c>
      <c r="X523" s="7"/>
      <c r="Y523" s="7"/>
      <c r="Z523" s="7"/>
      <c r="AA523" s="7"/>
      <c r="AC523" s="70" t="str">
        <f t="shared" si="15"/>
        <v/>
      </c>
      <c r="AD523" s="75" t="str">
        <f t="shared" si="16"/>
        <v/>
      </c>
    </row>
    <row r="524" spans="1:34" outlineLevel="7">
      <c r="A524" s="3500" t="s">
        <v>384</v>
      </c>
      <c r="B524" s="3500"/>
      <c r="C524" s="7"/>
      <c r="D524" s="7"/>
      <c r="E524" s="14">
        <v>550</v>
      </c>
      <c r="F524" s="7"/>
      <c r="G524" s="7"/>
      <c r="H524" s="8"/>
      <c r="I524" s="9"/>
      <c r="J524" s="7"/>
      <c r="K524" s="7"/>
      <c r="L524" s="7"/>
      <c r="M524" s="14">
        <v>550</v>
      </c>
      <c r="N524" s="14">
        <v>550</v>
      </c>
      <c r="O524" s="14">
        <v>550</v>
      </c>
      <c r="P524" s="7"/>
      <c r="Q524" s="7"/>
      <c r="R524" s="14">
        <v>550</v>
      </c>
      <c r="S524" s="7"/>
      <c r="T524" s="7"/>
      <c r="U524" s="7"/>
      <c r="V524" s="14">
        <v>550</v>
      </c>
      <c r="W524" s="14">
        <v>550</v>
      </c>
      <c r="X524" s="7"/>
      <c r="Y524" s="7"/>
      <c r="Z524" s="7"/>
      <c r="AA524" s="7"/>
      <c r="AC524" s="70" t="str">
        <f t="shared" si="15"/>
        <v/>
      </c>
      <c r="AD524" s="75" t="str">
        <f t="shared" si="16"/>
        <v/>
      </c>
      <c r="AH524" t="s">
        <v>3399</v>
      </c>
    </row>
    <row r="525" spans="1:34" outlineLevel="7">
      <c r="A525" s="3499" t="s">
        <v>1684</v>
      </c>
      <c r="B525" s="3499"/>
      <c r="C525" s="7"/>
      <c r="D525" s="7"/>
      <c r="E525" s="14">
        <v>550</v>
      </c>
      <c r="F525" s="7"/>
      <c r="G525" s="7"/>
      <c r="H525" s="8"/>
      <c r="I525" s="9"/>
      <c r="J525" s="7"/>
      <c r="K525" s="7"/>
      <c r="L525" s="7"/>
      <c r="M525" s="14">
        <v>550</v>
      </c>
      <c r="N525" s="14">
        <v>550</v>
      </c>
      <c r="O525" s="14">
        <v>550</v>
      </c>
      <c r="P525" s="7"/>
      <c r="Q525" s="7"/>
      <c r="R525" s="14">
        <v>550</v>
      </c>
      <c r="S525" s="7"/>
      <c r="T525" s="7"/>
      <c r="U525" s="7"/>
      <c r="V525" s="14">
        <v>550</v>
      </c>
      <c r="W525" s="14">
        <v>550</v>
      </c>
      <c r="X525" s="7"/>
      <c r="Y525" s="7"/>
      <c r="Z525" s="7"/>
      <c r="AA525" s="7"/>
      <c r="AC525" s="70">
        <f t="shared" si="15"/>
        <v>550</v>
      </c>
      <c r="AD525" s="75">
        <f t="shared" si="16"/>
        <v>1</v>
      </c>
    </row>
    <row r="526" spans="1:34" outlineLevel="6">
      <c r="A526" s="3501" t="s">
        <v>385</v>
      </c>
      <c r="B526" s="3501"/>
      <c r="C526" s="7"/>
      <c r="D526" s="7"/>
      <c r="E526" s="14">
        <v>550</v>
      </c>
      <c r="F526" s="7"/>
      <c r="G526" s="7"/>
      <c r="H526" s="8"/>
      <c r="I526" s="9"/>
      <c r="J526" s="7"/>
      <c r="K526" s="7"/>
      <c r="L526" s="7"/>
      <c r="M526" s="14">
        <v>550</v>
      </c>
      <c r="N526" s="14">
        <v>550</v>
      </c>
      <c r="O526" s="14">
        <v>550</v>
      </c>
      <c r="P526" s="7"/>
      <c r="Q526" s="7"/>
      <c r="R526" s="14">
        <v>550</v>
      </c>
      <c r="S526" s="7"/>
      <c r="T526" s="7"/>
      <c r="U526" s="7"/>
      <c r="V526" s="14">
        <v>550</v>
      </c>
      <c r="W526" s="14">
        <v>550</v>
      </c>
      <c r="X526" s="7"/>
      <c r="Y526" s="7"/>
      <c r="Z526" s="7"/>
      <c r="AA526" s="7"/>
      <c r="AC526" s="70" t="str">
        <f t="shared" si="15"/>
        <v/>
      </c>
      <c r="AD526" s="75" t="str">
        <f t="shared" si="16"/>
        <v/>
      </c>
    </row>
    <row r="527" spans="1:34" outlineLevel="7">
      <c r="A527" s="3500" t="s">
        <v>386</v>
      </c>
      <c r="B527" s="3500"/>
      <c r="C527" s="7"/>
      <c r="D527" s="7"/>
      <c r="E527" s="14">
        <v>550</v>
      </c>
      <c r="F527" s="7"/>
      <c r="G527" s="7"/>
      <c r="H527" s="8"/>
      <c r="I527" s="9"/>
      <c r="J527" s="7"/>
      <c r="K527" s="7"/>
      <c r="L527" s="7"/>
      <c r="M527" s="14">
        <v>550</v>
      </c>
      <c r="N527" s="14">
        <v>550</v>
      </c>
      <c r="O527" s="14">
        <v>550</v>
      </c>
      <c r="P527" s="7"/>
      <c r="Q527" s="7"/>
      <c r="R527" s="14">
        <v>550</v>
      </c>
      <c r="S527" s="7"/>
      <c r="T527" s="7"/>
      <c r="U527" s="7"/>
      <c r="V527" s="14">
        <v>550</v>
      </c>
      <c r="W527" s="14">
        <v>550</v>
      </c>
      <c r="X527" s="7"/>
      <c r="Y527" s="7"/>
      <c r="Z527" s="7"/>
      <c r="AA527" s="7"/>
      <c r="AC527" s="70" t="str">
        <f t="shared" si="15"/>
        <v/>
      </c>
      <c r="AD527" s="75" t="str">
        <f t="shared" si="16"/>
        <v/>
      </c>
      <c r="AH527" t="s">
        <v>3637</v>
      </c>
    </row>
    <row r="528" spans="1:34" outlineLevel="7">
      <c r="A528" s="3499" t="s">
        <v>1685</v>
      </c>
      <c r="B528" s="3499"/>
      <c r="C528" s="7"/>
      <c r="D528" s="7"/>
      <c r="E528" s="14">
        <v>550</v>
      </c>
      <c r="F528" s="7"/>
      <c r="G528" s="7"/>
      <c r="H528" s="8"/>
      <c r="I528" s="9"/>
      <c r="J528" s="7"/>
      <c r="K528" s="7"/>
      <c r="L528" s="7"/>
      <c r="M528" s="14">
        <v>550</v>
      </c>
      <c r="N528" s="14">
        <v>550</v>
      </c>
      <c r="O528" s="14">
        <v>550</v>
      </c>
      <c r="P528" s="7"/>
      <c r="Q528" s="7"/>
      <c r="R528" s="14">
        <v>550</v>
      </c>
      <c r="S528" s="7"/>
      <c r="T528" s="7"/>
      <c r="U528" s="7"/>
      <c r="V528" s="14">
        <v>550</v>
      </c>
      <c r="W528" s="14">
        <v>550</v>
      </c>
      <c r="X528" s="7"/>
      <c r="Y528" s="7"/>
      <c r="Z528" s="7"/>
      <c r="AA528" s="7"/>
      <c r="AC528" s="70">
        <f t="shared" si="15"/>
        <v>550</v>
      </c>
      <c r="AD528" s="75">
        <f t="shared" si="16"/>
        <v>1</v>
      </c>
    </row>
    <row r="529" spans="1:34" outlineLevel="6">
      <c r="A529" s="3501" t="s">
        <v>387</v>
      </c>
      <c r="B529" s="3501"/>
      <c r="C529" s="7"/>
      <c r="D529" s="7"/>
      <c r="E529" s="14">
        <v>550</v>
      </c>
      <c r="F529" s="7"/>
      <c r="G529" s="7"/>
      <c r="H529" s="8"/>
      <c r="I529" s="9"/>
      <c r="J529" s="7"/>
      <c r="K529" s="7"/>
      <c r="L529" s="7"/>
      <c r="M529" s="14">
        <v>550</v>
      </c>
      <c r="N529" s="14">
        <v>550</v>
      </c>
      <c r="O529" s="14">
        <v>550</v>
      </c>
      <c r="P529" s="7"/>
      <c r="Q529" s="7"/>
      <c r="R529" s="14">
        <v>550</v>
      </c>
      <c r="S529" s="7"/>
      <c r="T529" s="7"/>
      <c r="U529" s="7"/>
      <c r="V529" s="14">
        <v>550</v>
      </c>
      <c r="W529" s="14">
        <v>550</v>
      </c>
      <c r="X529" s="7"/>
      <c r="Y529" s="7"/>
      <c r="Z529" s="7"/>
      <c r="AA529" s="7"/>
      <c r="AC529" s="70" t="str">
        <f t="shared" ref="AC529:AC592" si="17">IF(LEFT($A529,5)="Реали",$E529,"")</f>
        <v/>
      </c>
      <c r="AD529" s="75" t="str">
        <f t="shared" ref="AD529:AD592" si="18">IF(AC529=550,1,"")</f>
        <v/>
      </c>
    </row>
    <row r="530" spans="1:34" outlineLevel="7">
      <c r="A530" s="3500" t="s">
        <v>388</v>
      </c>
      <c r="B530" s="3500"/>
      <c r="C530" s="7"/>
      <c r="D530" s="7"/>
      <c r="E530" s="14">
        <v>550</v>
      </c>
      <c r="F530" s="7"/>
      <c r="G530" s="7"/>
      <c r="H530" s="8"/>
      <c r="I530" s="9"/>
      <c r="J530" s="7"/>
      <c r="K530" s="7"/>
      <c r="L530" s="7"/>
      <c r="M530" s="14">
        <v>550</v>
      </c>
      <c r="N530" s="14">
        <v>550</v>
      </c>
      <c r="O530" s="14">
        <v>550</v>
      </c>
      <c r="P530" s="7"/>
      <c r="Q530" s="7"/>
      <c r="R530" s="14">
        <v>550</v>
      </c>
      <c r="S530" s="7"/>
      <c r="T530" s="7"/>
      <c r="U530" s="7"/>
      <c r="V530" s="14">
        <v>550</v>
      </c>
      <c r="W530" s="14">
        <v>550</v>
      </c>
      <c r="X530" s="7"/>
      <c r="Y530" s="7"/>
      <c r="Z530" s="7"/>
      <c r="AA530" s="7"/>
      <c r="AC530" s="70" t="str">
        <f t="shared" si="17"/>
        <v/>
      </c>
      <c r="AD530" s="75" t="str">
        <f t="shared" si="18"/>
        <v/>
      </c>
      <c r="AH530" t="s">
        <v>3638</v>
      </c>
    </row>
    <row r="531" spans="1:34" outlineLevel="7">
      <c r="A531" s="3499" t="s">
        <v>1686</v>
      </c>
      <c r="B531" s="3499"/>
      <c r="C531" s="7"/>
      <c r="D531" s="7"/>
      <c r="E531" s="14">
        <v>550</v>
      </c>
      <c r="F531" s="7"/>
      <c r="G531" s="7"/>
      <c r="H531" s="8"/>
      <c r="I531" s="9"/>
      <c r="J531" s="7"/>
      <c r="K531" s="7"/>
      <c r="L531" s="7"/>
      <c r="M531" s="14">
        <v>550</v>
      </c>
      <c r="N531" s="14">
        <v>550</v>
      </c>
      <c r="O531" s="14">
        <v>550</v>
      </c>
      <c r="P531" s="7"/>
      <c r="Q531" s="7"/>
      <c r="R531" s="14">
        <v>550</v>
      </c>
      <c r="S531" s="7"/>
      <c r="T531" s="7"/>
      <c r="U531" s="7"/>
      <c r="V531" s="14">
        <v>550</v>
      </c>
      <c r="W531" s="14">
        <v>550</v>
      </c>
      <c r="X531" s="7"/>
      <c r="Y531" s="7"/>
      <c r="Z531" s="7"/>
      <c r="AA531" s="7"/>
      <c r="AC531" s="70">
        <f t="shared" si="17"/>
        <v>550</v>
      </c>
      <c r="AD531" s="75">
        <f t="shared" si="18"/>
        <v>1</v>
      </c>
    </row>
    <row r="532" spans="1:34" outlineLevel="6">
      <c r="A532" s="3501" t="s">
        <v>389</v>
      </c>
      <c r="B532" s="3501"/>
      <c r="C532" s="7"/>
      <c r="D532" s="7"/>
      <c r="E532" s="14">
        <v>550</v>
      </c>
      <c r="F532" s="7"/>
      <c r="G532" s="7"/>
      <c r="H532" s="8"/>
      <c r="I532" s="9"/>
      <c r="J532" s="7"/>
      <c r="K532" s="7"/>
      <c r="L532" s="7"/>
      <c r="M532" s="14">
        <v>550</v>
      </c>
      <c r="N532" s="14">
        <v>550</v>
      </c>
      <c r="O532" s="14">
        <v>550</v>
      </c>
      <c r="P532" s="7"/>
      <c r="Q532" s="7"/>
      <c r="R532" s="14">
        <v>550</v>
      </c>
      <c r="S532" s="7"/>
      <c r="T532" s="7"/>
      <c r="U532" s="7"/>
      <c r="V532" s="14">
        <v>550</v>
      </c>
      <c r="W532" s="14">
        <v>550</v>
      </c>
      <c r="X532" s="7"/>
      <c r="Y532" s="7"/>
      <c r="Z532" s="7"/>
      <c r="AA532" s="7"/>
      <c r="AC532" s="70" t="str">
        <f t="shared" si="17"/>
        <v/>
      </c>
      <c r="AD532" s="75" t="str">
        <f t="shared" si="18"/>
        <v/>
      </c>
    </row>
    <row r="533" spans="1:34" outlineLevel="7">
      <c r="A533" s="3500" t="s">
        <v>390</v>
      </c>
      <c r="B533" s="3500"/>
      <c r="C533" s="7"/>
      <c r="D533" s="7"/>
      <c r="E533" s="14">
        <v>550</v>
      </c>
      <c r="F533" s="7"/>
      <c r="G533" s="7"/>
      <c r="H533" s="8"/>
      <c r="I533" s="9"/>
      <c r="J533" s="7"/>
      <c r="K533" s="7"/>
      <c r="L533" s="7"/>
      <c r="M533" s="14">
        <v>550</v>
      </c>
      <c r="N533" s="14">
        <v>550</v>
      </c>
      <c r="O533" s="14">
        <v>550</v>
      </c>
      <c r="P533" s="7"/>
      <c r="Q533" s="7"/>
      <c r="R533" s="14">
        <v>550</v>
      </c>
      <c r="S533" s="7"/>
      <c r="T533" s="7"/>
      <c r="U533" s="7"/>
      <c r="V533" s="14">
        <v>550</v>
      </c>
      <c r="W533" s="14">
        <v>550</v>
      </c>
      <c r="X533" s="7"/>
      <c r="Y533" s="7"/>
      <c r="Z533" s="7"/>
      <c r="AA533" s="7"/>
      <c r="AC533" s="70" t="str">
        <f t="shared" si="17"/>
        <v/>
      </c>
      <c r="AD533" s="75" t="str">
        <f t="shared" si="18"/>
        <v/>
      </c>
      <c r="AH533" t="s">
        <v>3419</v>
      </c>
    </row>
    <row r="534" spans="1:34" outlineLevel="7">
      <c r="A534" s="3499" t="s">
        <v>1687</v>
      </c>
      <c r="B534" s="3499"/>
      <c r="C534" s="7"/>
      <c r="D534" s="7"/>
      <c r="E534" s="14">
        <v>550</v>
      </c>
      <c r="F534" s="7"/>
      <c r="G534" s="7"/>
      <c r="H534" s="8"/>
      <c r="I534" s="9"/>
      <c r="J534" s="7"/>
      <c r="K534" s="7"/>
      <c r="L534" s="7"/>
      <c r="M534" s="14">
        <v>550</v>
      </c>
      <c r="N534" s="14">
        <v>550</v>
      </c>
      <c r="O534" s="14">
        <v>550</v>
      </c>
      <c r="P534" s="7"/>
      <c r="Q534" s="7"/>
      <c r="R534" s="14">
        <v>550</v>
      </c>
      <c r="S534" s="7"/>
      <c r="T534" s="7"/>
      <c r="U534" s="7"/>
      <c r="V534" s="14">
        <v>550</v>
      </c>
      <c r="W534" s="14">
        <v>550</v>
      </c>
      <c r="X534" s="7"/>
      <c r="Y534" s="7"/>
      <c r="Z534" s="7"/>
      <c r="AA534" s="7"/>
      <c r="AC534" s="70">
        <f t="shared" si="17"/>
        <v>550</v>
      </c>
      <c r="AD534" s="75">
        <f t="shared" si="18"/>
        <v>1</v>
      </c>
    </row>
    <row r="535" spans="1:34" outlineLevel="6">
      <c r="A535" s="3501" t="s">
        <v>391</v>
      </c>
      <c r="B535" s="3501"/>
      <c r="C535" s="7"/>
      <c r="D535" s="7"/>
      <c r="E535" s="14">
        <v>550</v>
      </c>
      <c r="F535" s="7"/>
      <c r="G535" s="7"/>
      <c r="H535" s="8"/>
      <c r="I535" s="9"/>
      <c r="J535" s="7"/>
      <c r="K535" s="7"/>
      <c r="L535" s="7"/>
      <c r="M535" s="14">
        <v>550</v>
      </c>
      <c r="N535" s="14">
        <v>550</v>
      </c>
      <c r="O535" s="14">
        <v>550</v>
      </c>
      <c r="P535" s="7"/>
      <c r="Q535" s="7"/>
      <c r="R535" s="14">
        <v>550</v>
      </c>
      <c r="S535" s="7"/>
      <c r="T535" s="7"/>
      <c r="U535" s="7"/>
      <c r="V535" s="14">
        <v>550</v>
      </c>
      <c r="W535" s="14">
        <v>550</v>
      </c>
      <c r="X535" s="7"/>
      <c r="Y535" s="7"/>
      <c r="Z535" s="7"/>
      <c r="AA535" s="7"/>
      <c r="AC535" s="70" t="str">
        <f t="shared" si="17"/>
        <v/>
      </c>
      <c r="AD535" s="75" t="str">
        <f t="shared" si="18"/>
        <v/>
      </c>
    </row>
    <row r="536" spans="1:34" outlineLevel="7">
      <c r="A536" s="3500" t="s">
        <v>392</v>
      </c>
      <c r="B536" s="3500"/>
      <c r="C536" s="7"/>
      <c r="D536" s="7"/>
      <c r="E536" s="14">
        <v>550</v>
      </c>
      <c r="F536" s="7"/>
      <c r="G536" s="7"/>
      <c r="H536" s="8"/>
      <c r="I536" s="9"/>
      <c r="J536" s="7"/>
      <c r="K536" s="7"/>
      <c r="L536" s="7"/>
      <c r="M536" s="14">
        <v>550</v>
      </c>
      <c r="N536" s="14">
        <v>550</v>
      </c>
      <c r="O536" s="14">
        <v>550</v>
      </c>
      <c r="P536" s="7"/>
      <c r="Q536" s="7"/>
      <c r="R536" s="14">
        <v>550</v>
      </c>
      <c r="S536" s="7"/>
      <c r="T536" s="7"/>
      <c r="U536" s="7"/>
      <c r="V536" s="14">
        <v>550</v>
      </c>
      <c r="W536" s="14">
        <v>550</v>
      </c>
      <c r="X536" s="7"/>
      <c r="Y536" s="7"/>
      <c r="Z536" s="7"/>
      <c r="AA536" s="7"/>
      <c r="AC536" s="70" t="str">
        <f t="shared" si="17"/>
        <v/>
      </c>
      <c r="AD536" s="75" t="str">
        <f t="shared" si="18"/>
        <v/>
      </c>
      <c r="AH536" t="s">
        <v>3446</v>
      </c>
    </row>
    <row r="537" spans="1:34" outlineLevel="7">
      <c r="A537" s="3499" t="s">
        <v>1688</v>
      </c>
      <c r="B537" s="3499"/>
      <c r="C537" s="7"/>
      <c r="D537" s="7"/>
      <c r="E537" s="14">
        <v>550</v>
      </c>
      <c r="F537" s="7"/>
      <c r="G537" s="7"/>
      <c r="H537" s="8"/>
      <c r="I537" s="9"/>
      <c r="J537" s="7"/>
      <c r="K537" s="7"/>
      <c r="L537" s="7"/>
      <c r="M537" s="14">
        <v>550</v>
      </c>
      <c r="N537" s="14">
        <v>550</v>
      </c>
      <c r="O537" s="14">
        <v>550</v>
      </c>
      <c r="P537" s="7"/>
      <c r="Q537" s="7"/>
      <c r="R537" s="14">
        <v>550</v>
      </c>
      <c r="S537" s="7"/>
      <c r="T537" s="7"/>
      <c r="U537" s="7"/>
      <c r="V537" s="14">
        <v>550</v>
      </c>
      <c r="W537" s="14">
        <v>550</v>
      </c>
      <c r="X537" s="7"/>
      <c r="Y537" s="7"/>
      <c r="Z537" s="7"/>
      <c r="AA537" s="7"/>
      <c r="AC537" s="70">
        <f t="shared" si="17"/>
        <v>550</v>
      </c>
      <c r="AD537" s="75">
        <f t="shared" si="18"/>
        <v>1</v>
      </c>
    </row>
    <row r="538" spans="1:34" outlineLevel="6">
      <c r="A538" s="3501" t="s">
        <v>393</v>
      </c>
      <c r="B538" s="3501"/>
      <c r="C538" s="7"/>
      <c r="D538" s="7"/>
      <c r="E538" s="14">
        <v>550</v>
      </c>
      <c r="F538" s="7"/>
      <c r="G538" s="7"/>
      <c r="H538" s="8"/>
      <c r="I538" s="9"/>
      <c r="J538" s="7"/>
      <c r="K538" s="7"/>
      <c r="L538" s="7"/>
      <c r="M538" s="14">
        <v>550</v>
      </c>
      <c r="N538" s="14">
        <v>550</v>
      </c>
      <c r="O538" s="14">
        <v>550</v>
      </c>
      <c r="P538" s="7"/>
      <c r="Q538" s="7"/>
      <c r="R538" s="14">
        <v>550</v>
      </c>
      <c r="S538" s="7"/>
      <c r="T538" s="7"/>
      <c r="U538" s="7"/>
      <c r="V538" s="14">
        <v>550</v>
      </c>
      <c r="W538" s="14">
        <v>550</v>
      </c>
      <c r="X538" s="7"/>
      <c r="Y538" s="7"/>
      <c r="Z538" s="7"/>
      <c r="AA538" s="7"/>
      <c r="AC538" s="70" t="str">
        <f t="shared" si="17"/>
        <v/>
      </c>
      <c r="AD538" s="75" t="str">
        <f t="shared" si="18"/>
        <v/>
      </c>
    </row>
    <row r="539" spans="1:34" outlineLevel="7">
      <c r="A539" s="3500" t="s">
        <v>394</v>
      </c>
      <c r="B539" s="3500"/>
      <c r="C539" s="7"/>
      <c r="D539" s="7"/>
      <c r="E539" s="14">
        <v>550</v>
      </c>
      <c r="F539" s="7"/>
      <c r="G539" s="7"/>
      <c r="H539" s="8"/>
      <c r="I539" s="9"/>
      <c r="J539" s="7"/>
      <c r="K539" s="7"/>
      <c r="L539" s="7"/>
      <c r="M539" s="14">
        <v>550</v>
      </c>
      <c r="N539" s="14">
        <v>550</v>
      </c>
      <c r="O539" s="14">
        <v>550</v>
      </c>
      <c r="P539" s="7"/>
      <c r="Q539" s="7"/>
      <c r="R539" s="14">
        <v>550</v>
      </c>
      <c r="S539" s="7"/>
      <c r="T539" s="7"/>
      <c r="U539" s="7"/>
      <c r="V539" s="14">
        <v>550</v>
      </c>
      <c r="W539" s="14">
        <v>550</v>
      </c>
      <c r="X539" s="7"/>
      <c r="Y539" s="7"/>
      <c r="Z539" s="7"/>
      <c r="AA539" s="7"/>
      <c r="AC539" s="70" t="str">
        <f t="shared" si="17"/>
        <v/>
      </c>
      <c r="AD539" s="75" t="str">
        <f t="shared" si="18"/>
        <v/>
      </c>
      <c r="AH539" t="s">
        <v>3409</v>
      </c>
    </row>
    <row r="540" spans="1:34" outlineLevel="7">
      <c r="A540" s="3499" t="s">
        <v>1689</v>
      </c>
      <c r="B540" s="3499"/>
      <c r="C540" s="7"/>
      <c r="D540" s="7"/>
      <c r="E540" s="14">
        <v>550</v>
      </c>
      <c r="F540" s="7"/>
      <c r="G540" s="7"/>
      <c r="H540" s="8"/>
      <c r="I540" s="9"/>
      <c r="J540" s="7"/>
      <c r="K540" s="7"/>
      <c r="L540" s="7"/>
      <c r="M540" s="14">
        <v>550</v>
      </c>
      <c r="N540" s="14">
        <v>550</v>
      </c>
      <c r="O540" s="14">
        <v>550</v>
      </c>
      <c r="P540" s="7"/>
      <c r="Q540" s="7"/>
      <c r="R540" s="14">
        <v>550</v>
      </c>
      <c r="S540" s="7"/>
      <c r="T540" s="7"/>
      <c r="U540" s="7"/>
      <c r="V540" s="14">
        <v>550</v>
      </c>
      <c r="W540" s="14">
        <v>550</v>
      </c>
      <c r="X540" s="7"/>
      <c r="Y540" s="7"/>
      <c r="Z540" s="7"/>
      <c r="AA540" s="7"/>
      <c r="AC540" s="70">
        <f t="shared" si="17"/>
        <v>550</v>
      </c>
      <c r="AD540" s="75">
        <f t="shared" si="18"/>
        <v>1</v>
      </c>
    </row>
    <row r="541" spans="1:34" outlineLevel="6">
      <c r="A541" s="3501" t="s">
        <v>395</v>
      </c>
      <c r="B541" s="3501"/>
      <c r="C541" s="7"/>
      <c r="D541" s="7"/>
      <c r="E541" s="14">
        <v>550</v>
      </c>
      <c r="F541" s="7"/>
      <c r="G541" s="7"/>
      <c r="H541" s="8"/>
      <c r="I541" s="9"/>
      <c r="J541" s="7"/>
      <c r="K541" s="7"/>
      <c r="L541" s="7"/>
      <c r="M541" s="14">
        <v>550</v>
      </c>
      <c r="N541" s="14">
        <v>550</v>
      </c>
      <c r="O541" s="14">
        <v>550</v>
      </c>
      <c r="P541" s="7"/>
      <c r="Q541" s="7"/>
      <c r="R541" s="14">
        <v>550</v>
      </c>
      <c r="S541" s="7"/>
      <c r="T541" s="7"/>
      <c r="U541" s="7"/>
      <c r="V541" s="14">
        <v>550</v>
      </c>
      <c r="W541" s="14">
        <v>550</v>
      </c>
      <c r="X541" s="7"/>
      <c r="Y541" s="7"/>
      <c r="Z541" s="7"/>
      <c r="AA541" s="7"/>
      <c r="AC541" s="70" t="str">
        <f t="shared" si="17"/>
        <v/>
      </c>
      <c r="AD541" s="75" t="str">
        <f t="shared" si="18"/>
        <v/>
      </c>
    </row>
    <row r="542" spans="1:34" outlineLevel="7">
      <c r="A542" s="3500" t="s">
        <v>396</v>
      </c>
      <c r="B542" s="3500"/>
      <c r="C542" s="7"/>
      <c r="D542" s="7"/>
      <c r="E542" s="14">
        <v>550</v>
      </c>
      <c r="F542" s="7"/>
      <c r="G542" s="7"/>
      <c r="H542" s="8"/>
      <c r="I542" s="9"/>
      <c r="J542" s="7"/>
      <c r="K542" s="7"/>
      <c r="L542" s="7"/>
      <c r="M542" s="14">
        <v>550</v>
      </c>
      <c r="N542" s="14">
        <v>550</v>
      </c>
      <c r="O542" s="14">
        <v>550</v>
      </c>
      <c r="P542" s="7"/>
      <c r="Q542" s="7"/>
      <c r="R542" s="14">
        <v>550</v>
      </c>
      <c r="S542" s="7"/>
      <c r="T542" s="7"/>
      <c r="U542" s="7"/>
      <c r="V542" s="14">
        <v>550</v>
      </c>
      <c r="W542" s="14">
        <v>550</v>
      </c>
      <c r="X542" s="7"/>
      <c r="Y542" s="7"/>
      <c r="Z542" s="7"/>
      <c r="AA542" s="7"/>
      <c r="AC542" s="70" t="str">
        <f t="shared" si="17"/>
        <v/>
      </c>
      <c r="AD542" s="75" t="str">
        <f t="shared" si="18"/>
        <v/>
      </c>
      <c r="AH542" t="s">
        <v>3639</v>
      </c>
    </row>
    <row r="543" spans="1:34" outlineLevel="7">
      <c r="A543" s="3499" t="s">
        <v>1690</v>
      </c>
      <c r="B543" s="3499"/>
      <c r="C543" s="7"/>
      <c r="D543" s="7"/>
      <c r="E543" s="14">
        <v>550</v>
      </c>
      <c r="F543" s="7"/>
      <c r="G543" s="7"/>
      <c r="H543" s="8"/>
      <c r="I543" s="9"/>
      <c r="J543" s="7"/>
      <c r="K543" s="7"/>
      <c r="L543" s="7"/>
      <c r="M543" s="14">
        <v>550</v>
      </c>
      <c r="N543" s="14">
        <v>550</v>
      </c>
      <c r="O543" s="14">
        <v>550</v>
      </c>
      <c r="P543" s="7"/>
      <c r="Q543" s="7"/>
      <c r="R543" s="14">
        <v>550</v>
      </c>
      <c r="S543" s="7"/>
      <c r="T543" s="7"/>
      <c r="U543" s="7"/>
      <c r="V543" s="14">
        <v>550</v>
      </c>
      <c r="W543" s="14">
        <v>550</v>
      </c>
      <c r="X543" s="7"/>
      <c r="Y543" s="7"/>
      <c r="Z543" s="7"/>
      <c r="AA543" s="7"/>
      <c r="AC543" s="70">
        <f t="shared" si="17"/>
        <v>550</v>
      </c>
      <c r="AD543" s="75">
        <f t="shared" si="18"/>
        <v>1</v>
      </c>
    </row>
    <row r="544" spans="1:34" outlineLevel="6">
      <c r="A544" s="3501" t="s">
        <v>397</v>
      </c>
      <c r="B544" s="3501"/>
      <c r="C544" s="7"/>
      <c r="D544" s="7"/>
      <c r="E544" s="14">
        <v>550</v>
      </c>
      <c r="F544" s="7"/>
      <c r="G544" s="7"/>
      <c r="H544" s="8"/>
      <c r="I544" s="9"/>
      <c r="J544" s="7"/>
      <c r="K544" s="7"/>
      <c r="L544" s="7"/>
      <c r="M544" s="14">
        <v>550</v>
      </c>
      <c r="N544" s="14">
        <v>550</v>
      </c>
      <c r="O544" s="14">
        <v>550</v>
      </c>
      <c r="P544" s="7"/>
      <c r="Q544" s="7"/>
      <c r="R544" s="14">
        <v>550</v>
      </c>
      <c r="S544" s="7"/>
      <c r="T544" s="7"/>
      <c r="U544" s="7"/>
      <c r="V544" s="14">
        <v>550</v>
      </c>
      <c r="W544" s="14">
        <v>550</v>
      </c>
      <c r="X544" s="7"/>
      <c r="Y544" s="7"/>
      <c r="Z544" s="7"/>
      <c r="AA544" s="7"/>
      <c r="AC544" s="70" t="str">
        <f t="shared" si="17"/>
        <v/>
      </c>
      <c r="AD544" s="75" t="str">
        <f t="shared" si="18"/>
        <v/>
      </c>
    </row>
    <row r="545" spans="1:34" outlineLevel="7">
      <c r="A545" s="3500" t="s">
        <v>398</v>
      </c>
      <c r="B545" s="3500"/>
      <c r="C545" s="7"/>
      <c r="D545" s="7"/>
      <c r="E545" s="14">
        <v>550</v>
      </c>
      <c r="F545" s="7"/>
      <c r="G545" s="7"/>
      <c r="H545" s="8"/>
      <c r="I545" s="9"/>
      <c r="J545" s="7"/>
      <c r="K545" s="7"/>
      <c r="L545" s="7"/>
      <c r="M545" s="14">
        <v>550</v>
      </c>
      <c r="N545" s="14">
        <v>550</v>
      </c>
      <c r="O545" s="14">
        <v>550</v>
      </c>
      <c r="P545" s="7"/>
      <c r="Q545" s="7"/>
      <c r="R545" s="14">
        <v>550</v>
      </c>
      <c r="S545" s="7"/>
      <c r="T545" s="7"/>
      <c r="U545" s="7"/>
      <c r="V545" s="14">
        <v>550</v>
      </c>
      <c r="W545" s="14">
        <v>550</v>
      </c>
      <c r="X545" s="7"/>
      <c r="Y545" s="7"/>
      <c r="Z545" s="7"/>
      <c r="AA545" s="7"/>
      <c r="AC545" s="70" t="str">
        <f t="shared" si="17"/>
        <v/>
      </c>
      <c r="AD545" s="75" t="str">
        <f t="shared" si="18"/>
        <v/>
      </c>
      <c r="AH545" t="s">
        <v>3554</v>
      </c>
    </row>
    <row r="546" spans="1:34" outlineLevel="7">
      <c r="A546" s="3499" t="s">
        <v>1691</v>
      </c>
      <c r="B546" s="3499"/>
      <c r="C546" s="7"/>
      <c r="D546" s="7"/>
      <c r="E546" s="14">
        <v>550</v>
      </c>
      <c r="F546" s="7"/>
      <c r="G546" s="7"/>
      <c r="H546" s="8"/>
      <c r="I546" s="9"/>
      <c r="J546" s="7"/>
      <c r="K546" s="7"/>
      <c r="L546" s="7"/>
      <c r="M546" s="14">
        <v>550</v>
      </c>
      <c r="N546" s="14">
        <v>550</v>
      </c>
      <c r="O546" s="14">
        <v>550</v>
      </c>
      <c r="P546" s="7"/>
      <c r="Q546" s="7"/>
      <c r="R546" s="14">
        <v>550</v>
      </c>
      <c r="S546" s="7"/>
      <c r="T546" s="7"/>
      <c r="U546" s="7"/>
      <c r="V546" s="14">
        <v>550</v>
      </c>
      <c r="W546" s="14">
        <v>550</v>
      </c>
      <c r="X546" s="7"/>
      <c r="Y546" s="7"/>
      <c r="Z546" s="7"/>
      <c r="AA546" s="7"/>
      <c r="AC546" s="70">
        <f t="shared" si="17"/>
        <v>550</v>
      </c>
      <c r="AD546" s="75">
        <f t="shared" si="18"/>
        <v>1</v>
      </c>
    </row>
    <row r="547" spans="1:34" outlineLevel="6">
      <c r="A547" s="3501" t="s">
        <v>399</v>
      </c>
      <c r="B547" s="3501"/>
      <c r="C547" s="7"/>
      <c r="D547" s="7"/>
      <c r="E547" s="14">
        <v>550</v>
      </c>
      <c r="F547" s="7"/>
      <c r="G547" s="7"/>
      <c r="H547" s="8"/>
      <c r="I547" s="9"/>
      <c r="J547" s="7"/>
      <c r="K547" s="7"/>
      <c r="L547" s="7"/>
      <c r="M547" s="14">
        <v>550</v>
      </c>
      <c r="N547" s="14">
        <v>550</v>
      </c>
      <c r="O547" s="14">
        <v>550</v>
      </c>
      <c r="P547" s="7"/>
      <c r="Q547" s="7"/>
      <c r="R547" s="14">
        <v>550</v>
      </c>
      <c r="S547" s="7"/>
      <c r="T547" s="7"/>
      <c r="U547" s="7"/>
      <c r="V547" s="14">
        <v>550</v>
      </c>
      <c r="W547" s="14">
        <v>550</v>
      </c>
      <c r="X547" s="7"/>
      <c r="Y547" s="7"/>
      <c r="Z547" s="7"/>
      <c r="AA547" s="7"/>
      <c r="AC547" s="70" t="str">
        <f t="shared" si="17"/>
        <v/>
      </c>
      <c r="AD547" s="75" t="str">
        <f t="shared" si="18"/>
        <v/>
      </c>
    </row>
    <row r="548" spans="1:34" outlineLevel="7">
      <c r="A548" s="3500" t="s">
        <v>400</v>
      </c>
      <c r="B548" s="3500"/>
      <c r="C548" s="7"/>
      <c r="D548" s="7"/>
      <c r="E548" s="14">
        <v>550</v>
      </c>
      <c r="F548" s="7"/>
      <c r="G548" s="7"/>
      <c r="H548" s="8"/>
      <c r="I548" s="9"/>
      <c r="J548" s="7"/>
      <c r="K548" s="7"/>
      <c r="L548" s="7"/>
      <c r="M548" s="14">
        <v>550</v>
      </c>
      <c r="N548" s="14">
        <v>550</v>
      </c>
      <c r="O548" s="14">
        <v>550</v>
      </c>
      <c r="P548" s="7"/>
      <c r="Q548" s="7"/>
      <c r="R548" s="14">
        <v>550</v>
      </c>
      <c r="S548" s="7"/>
      <c r="T548" s="7"/>
      <c r="U548" s="7"/>
      <c r="V548" s="14">
        <v>550</v>
      </c>
      <c r="W548" s="14">
        <v>550</v>
      </c>
      <c r="X548" s="7"/>
      <c r="Y548" s="7"/>
      <c r="Z548" s="7"/>
      <c r="AA548" s="7"/>
      <c r="AC548" s="70" t="str">
        <f t="shared" si="17"/>
        <v/>
      </c>
      <c r="AD548" s="75" t="str">
        <f t="shared" si="18"/>
        <v/>
      </c>
      <c r="AH548" t="s">
        <v>3422</v>
      </c>
    </row>
    <row r="549" spans="1:34" outlineLevel="7">
      <c r="A549" s="3499" t="s">
        <v>1692</v>
      </c>
      <c r="B549" s="3499"/>
      <c r="C549" s="7"/>
      <c r="D549" s="7"/>
      <c r="E549" s="14">
        <v>550</v>
      </c>
      <c r="F549" s="7"/>
      <c r="G549" s="7"/>
      <c r="H549" s="8"/>
      <c r="I549" s="9"/>
      <c r="J549" s="7"/>
      <c r="K549" s="7"/>
      <c r="L549" s="7"/>
      <c r="M549" s="14">
        <v>550</v>
      </c>
      <c r="N549" s="14">
        <v>550</v>
      </c>
      <c r="O549" s="14">
        <v>550</v>
      </c>
      <c r="P549" s="7"/>
      <c r="Q549" s="7"/>
      <c r="R549" s="14">
        <v>550</v>
      </c>
      <c r="S549" s="7"/>
      <c r="T549" s="7"/>
      <c r="U549" s="7"/>
      <c r="V549" s="14">
        <v>550</v>
      </c>
      <c r="W549" s="14">
        <v>550</v>
      </c>
      <c r="X549" s="7"/>
      <c r="Y549" s="7"/>
      <c r="Z549" s="7"/>
      <c r="AA549" s="7"/>
      <c r="AC549" s="70">
        <f t="shared" si="17"/>
        <v>550</v>
      </c>
      <c r="AD549" s="75">
        <f t="shared" si="18"/>
        <v>1</v>
      </c>
    </row>
    <row r="550" spans="1:34" outlineLevel="6">
      <c r="A550" s="3501" t="s">
        <v>401</v>
      </c>
      <c r="B550" s="3501"/>
      <c r="C550" s="7"/>
      <c r="D550" s="7"/>
      <c r="E550" s="14">
        <v>550</v>
      </c>
      <c r="F550" s="7"/>
      <c r="G550" s="7"/>
      <c r="H550" s="8"/>
      <c r="I550" s="9"/>
      <c r="J550" s="7"/>
      <c r="K550" s="7"/>
      <c r="L550" s="7"/>
      <c r="M550" s="14">
        <v>550</v>
      </c>
      <c r="N550" s="14">
        <v>550</v>
      </c>
      <c r="O550" s="14">
        <v>550</v>
      </c>
      <c r="P550" s="7"/>
      <c r="Q550" s="7"/>
      <c r="R550" s="14">
        <v>550</v>
      </c>
      <c r="S550" s="7"/>
      <c r="T550" s="7"/>
      <c r="U550" s="7"/>
      <c r="V550" s="14">
        <v>550</v>
      </c>
      <c r="W550" s="14">
        <v>550</v>
      </c>
      <c r="X550" s="7"/>
      <c r="Y550" s="7"/>
      <c r="Z550" s="7"/>
      <c r="AA550" s="7"/>
      <c r="AC550" s="70" t="str">
        <f t="shared" si="17"/>
        <v/>
      </c>
      <c r="AD550" s="75" t="str">
        <f t="shared" si="18"/>
        <v/>
      </c>
    </row>
    <row r="551" spans="1:34" outlineLevel="7">
      <c r="A551" s="3500" t="s">
        <v>402</v>
      </c>
      <c r="B551" s="3500"/>
      <c r="C551" s="7"/>
      <c r="D551" s="7"/>
      <c r="E551" s="14">
        <v>550</v>
      </c>
      <c r="F551" s="7"/>
      <c r="G551" s="7"/>
      <c r="H551" s="8"/>
      <c r="I551" s="9"/>
      <c r="J551" s="7"/>
      <c r="K551" s="7"/>
      <c r="L551" s="7"/>
      <c r="M551" s="14">
        <v>550</v>
      </c>
      <c r="N551" s="14">
        <v>550</v>
      </c>
      <c r="O551" s="14">
        <v>550</v>
      </c>
      <c r="P551" s="7"/>
      <c r="Q551" s="7"/>
      <c r="R551" s="14">
        <v>550</v>
      </c>
      <c r="S551" s="7"/>
      <c r="T551" s="7"/>
      <c r="U551" s="7"/>
      <c r="V551" s="14">
        <v>550</v>
      </c>
      <c r="W551" s="14">
        <v>550</v>
      </c>
      <c r="X551" s="7"/>
      <c r="Y551" s="7"/>
      <c r="Z551" s="7"/>
      <c r="AA551" s="7"/>
      <c r="AC551" s="70" t="str">
        <f t="shared" si="17"/>
        <v/>
      </c>
      <c r="AD551" s="75" t="str">
        <f t="shared" si="18"/>
        <v/>
      </c>
      <c r="AH551" t="s">
        <v>3401</v>
      </c>
    </row>
    <row r="552" spans="1:34" outlineLevel="7">
      <c r="A552" s="3499" t="s">
        <v>1693</v>
      </c>
      <c r="B552" s="3499"/>
      <c r="C552" s="7"/>
      <c r="D552" s="7"/>
      <c r="E552" s="14">
        <v>550</v>
      </c>
      <c r="F552" s="7"/>
      <c r="G552" s="7"/>
      <c r="H552" s="8"/>
      <c r="I552" s="9"/>
      <c r="J552" s="7"/>
      <c r="K552" s="7"/>
      <c r="L552" s="7"/>
      <c r="M552" s="14">
        <v>550</v>
      </c>
      <c r="N552" s="14">
        <v>550</v>
      </c>
      <c r="O552" s="14">
        <v>550</v>
      </c>
      <c r="P552" s="7"/>
      <c r="Q552" s="7"/>
      <c r="R552" s="14">
        <v>550</v>
      </c>
      <c r="S552" s="7"/>
      <c r="T552" s="7"/>
      <c r="U552" s="7"/>
      <c r="V552" s="14">
        <v>550</v>
      </c>
      <c r="W552" s="14">
        <v>550</v>
      </c>
      <c r="X552" s="7"/>
      <c r="Y552" s="7"/>
      <c r="Z552" s="7"/>
      <c r="AA552" s="7"/>
      <c r="AC552" s="70">
        <f t="shared" si="17"/>
        <v>550</v>
      </c>
      <c r="AD552" s="75">
        <f t="shared" si="18"/>
        <v>1</v>
      </c>
    </row>
    <row r="553" spans="1:34" outlineLevel="6">
      <c r="A553" s="3501" t="s">
        <v>403</v>
      </c>
      <c r="B553" s="3501"/>
      <c r="C553" s="7"/>
      <c r="D553" s="7"/>
      <c r="E553" s="14">
        <v>550</v>
      </c>
      <c r="F553" s="7"/>
      <c r="G553" s="7"/>
      <c r="H553" s="8"/>
      <c r="I553" s="9"/>
      <c r="J553" s="7"/>
      <c r="K553" s="7"/>
      <c r="L553" s="7"/>
      <c r="M553" s="14">
        <v>550</v>
      </c>
      <c r="N553" s="14">
        <v>550</v>
      </c>
      <c r="O553" s="14">
        <v>550</v>
      </c>
      <c r="P553" s="7"/>
      <c r="Q553" s="7"/>
      <c r="R553" s="14">
        <v>550</v>
      </c>
      <c r="S553" s="7"/>
      <c r="T553" s="7"/>
      <c r="U553" s="7"/>
      <c r="V553" s="14">
        <v>550</v>
      </c>
      <c r="W553" s="14">
        <v>550</v>
      </c>
      <c r="X553" s="7"/>
      <c r="Y553" s="7"/>
      <c r="Z553" s="7"/>
      <c r="AA553" s="7"/>
      <c r="AC553" s="70" t="str">
        <f t="shared" si="17"/>
        <v/>
      </c>
      <c r="AD553" s="75" t="str">
        <f t="shared" si="18"/>
        <v/>
      </c>
    </row>
    <row r="554" spans="1:34" outlineLevel="7">
      <c r="A554" s="3500" t="s">
        <v>404</v>
      </c>
      <c r="B554" s="3500"/>
      <c r="C554" s="7"/>
      <c r="D554" s="7"/>
      <c r="E554" s="14">
        <v>550</v>
      </c>
      <c r="F554" s="7"/>
      <c r="G554" s="7"/>
      <c r="H554" s="8"/>
      <c r="I554" s="9"/>
      <c r="J554" s="7"/>
      <c r="K554" s="7"/>
      <c r="L554" s="7"/>
      <c r="M554" s="14">
        <v>550</v>
      </c>
      <c r="N554" s="14">
        <v>550</v>
      </c>
      <c r="O554" s="14">
        <v>550</v>
      </c>
      <c r="P554" s="7"/>
      <c r="Q554" s="7"/>
      <c r="R554" s="14">
        <v>550</v>
      </c>
      <c r="S554" s="7"/>
      <c r="T554" s="7"/>
      <c r="U554" s="7"/>
      <c r="V554" s="14">
        <v>550</v>
      </c>
      <c r="W554" s="14">
        <v>550</v>
      </c>
      <c r="X554" s="7"/>
      <c r="Y554" s="7"/>
      <c r="Z554" s="7"/>
      <c r="AA554" s="7"/>
      <c r="AC554" s="70" t="str">
        <f t="shared" si="17"/>
        <v/>
      </c>
      <c r="AD554" s="75" t="str">
        <f t="shared" si="18"/>
        <v/>
      </c>
      <c r="AH554" t="s">
        <v>3380</v>
      </c>
    </row>
    <row r="555" spans="1:34" outlineLevel="7">
      <c r="A555" s="3499" t="s">
        <v>1694</v>
      </c>
      <c r="B555" s="3499"/>
      <c r="C555" s="7"/>
      <c r="D555" s="7"/>
      <c r="E555" s="14">
        <v>550</v>
      </c>
      <c r="F555" s="7"/>
      <c r="G555" s="7"/>
      <c r="H555" s="8"/>
      <c r="I555" s="9"/>
      <c r="J555" s="7"/>
      <c r="K555" s="7"/>
      <c r="L555" s="7"/>
      <c r="M555" s="14">
        <v>550</v>
      </c>
      <c r="N555" s="14">
        <v>550</v>
      </c>
      <c r="O555" s="14">
        <v>550</v>
      </c>
      <c r="P555" s="7"/>
      <c r="Q555" s="7"/>
      <c r="R555" s="14">
        <v>550</v>
      </c>
      <c r="S555" s="7"/>
      <c r="T555" s="7"/>
      <c r="U555" s="7"/>
      <c r="V555" s="14">
        <v>550</v>
      </c>
      <c r="W555" s="14">
        <v>550</v>
      </c>
      <c r="X555" s="7"/>
      <c r="Y555" s="7"/>
      <c r="Z555" s="7"/>
      <c r="AA555" s="7"/>
      <c r="AC555" s="70">
        <f t="shared" si="17"/>
        <v>550</v>
      </c>
      <c r="AD555" s="75">
        <f t="shared" si="18"/>
        <v>1</v>
      </c>
    </row>
    <row r="556" spans="1:34" outlineLevel="6">
      <c r="A556" s="3501" t="s">
        <v>405</v>
      </c>
      <c r="B556" s="3501"/>
      <c r="C556" s="7"/>
      <c r="D556" s="7"/>
      <c r="E556" s="14">
        <v>550</v>
      </c>
      <c r="F556" s="7"/>
      <c r="G556" s="7"/>
      <c r="H556" s="8"/>
      <c r="I556" s="9"/>
      <c r="J556" s="7"/>
      <c r="K556" s="7"/>
      <c r="L556" s="7"/>
      <c r="M556" s="14">
        <v>550</v>
      </c>
      <c r="N556" s="14">
        <v>550</v>
      </c>
      <c r="O556" s="14">
        <v>550</v>
      </c>
      <c r="P556" s="7"/>
      <c r="Q556" s="7"/>
      <c r="R556" s="14">
        <v>550</v>
      </c>
      <c r="S556" s="7"/>
      <c r="T556" s="7"/>
      <c r="U556" s="7"/>
      <c r="V556" s="14">
        <v>550</v>
      </c>
      <c r="W556" s="14">
        <v>550</v>
      </c>
      <c r="X556" s="7"/>
      <c r="Y556" s="7"/>
      <c r="Z556" s="7"/>
      <c r="AA556" s="7"/>
      <c r="AC556" s="70" t="str">
        <f t="shared" si="17"/>
        <v/>
      </c>
      <c r="AD556" s="75" t="str">
        <f t="shared" si="18"/>
        <v/>
      </c>
    </row>
    <row r="557" spans="1:34" outlineLevel="7">
      <c r="A557" s="3500" t="s">
        <v>406</v>
      </c>
      <c r="B557" s="3500"/>
      <c r="C557" s="7"/>
      <c r="D557" s="7"/>
      <c r="E557" s="14">
        <v>550</v>
      </c>
      <c r="F557" s="7"/>
      <c r="G557" s="7"/>
      <c r="H557" s="8"/>
      <c r="I557" s="9"/>
      <c r="J557" s="7"/>
      <c r="K557" s="7"/>
      <c r="L557" s="7"/>
      <c r="M557" s="14">
        <v>550</v>
      </c>
      <c r="N557" s="14">
        <v>550</v>
      </c>
      <c r="O557" s="14">
        <v>550</v>
      </c>
      <c r="P557" s="7"/>
      <c r="Q557" s="7"/>
      <c r="R557" s="14">
        <v>550</v>
      </c>
      <c r="S557" s="7"/>
      <c r="T557" s="7"/>
      <c r="U557" s="7"/>
      <c r="V557" s="14">
        <v>550</v>
      </c>
      <c r="W557" s="14">
        <v>550</v>
      </c>
      <c r="X557" s="7"/>
      <c r="Y557" s="7"/>
      <c r="Z557" s="7"/>
      <c r="AA557" s="7"/>
      <c r="AC557" s="70" t="str">
        <f t="shared" si="17"/>
        <v/>
      </c>
      <c r="AD557" s="75" t="str">
        <f t="shared" si="18"/>
        <v/>
      </c>
      <c r="AH557" t="s">
        <v>3386</v>
      </c>
    </row>
    <row r="558" spans="1:34" outlineLevel="7">
      <c r="A558" s="3499" t="s">
        <v>1695</v>
      </c>
      <c r="B558" s="3499"/>
      <c r="C558" s="7"/>
      <c r="D558" s="7"/>
      <c r="E558" s="14">
        <v>550</v>
      </c>
      <c r="F558" s="7"/>
      <c r="G558" s="7"/>
      <c r="H558" s="8"/>
      <c r="I558" s="9"/>
      <c r="J558" s="7"/>
      <c r="K558" s="7"/>
      <c r="L558" s="7"/>
      <c r="M558" s="14">
        <v>550</v>
      </c>
      <c r="N558" s="14">
        <v>550</v>
      </c>
      <c r="O558" s="14">
        <v>550</v>
      </c>
      <c r="P558" s="7"/>
      <c r="Q558" s="7"/>
      <c r="R558" s="14">
        <v>550</v>
      </c>
      <c r="S558" s="7"/>
      <c r="T558" s="7"/>
      <c r="U558" s="7"/>
      <c r="V558" s="14">
        <v>550</v>
      </c>
      <c r="W558" s="14">
        <v>550</v>
      </c>
      <c r="X558" s="7"/>
      <c r="Y558" s="7"/>
      <c r="Z558" s="7"/>
      <c r="AA558" s="7"/>
      <c r="AC558" s="70">
        <f t="shared" si="17"/>
        <v>550</v>
      </c>
      <c r="AD558" s="75">
        <f t="shared" si="18"/>
        <v>1</v>
      </c>
    </row>
    <row r="559" spans="1:34" outlineLevel="6">
      <c r="A559" s="3501" t="s">
        <v>407</v>
      </c>
      <c r="B559" s="3501"/>
      <c r="C559" s="7"/>
      <c r="D559" s="7"/>
      <c r="E559" s="14">
        <v>550</v>
      </c>
      <c r="F559" s="7"/>
      <c r="G559" s="7"/>
      <c r="H559" s="8"/>
      <c r="I559" s="9"/>
      <c r="J559" s="7"/>
      <c r="K559" s="7"/>
      <c r="L559" s="7"/>
      <c r="M559" s="14">
        <v>550</v>
      </c>
      <c r="N559" s="14">
        <v>550</v>
      </c>
      <c r="O559" s="14">
        <v>550</v>
      </c>
      <c r="P559" s="7"/>
      <c r="Q559" s="7"/>
      <c r="R559" s="14">
        <v>550</v>
      </c>
      <c r="S559" s="7"/>
      <c r="T559" s="7"/>
      <c r="U559" s="7"/>
      <c r="V559" s="14">
        <v>550</v>
      </c>
      <c r="W559" s="14">
        <v>550</v>
      </c>
      <c r="X559" s="7"/>
      <c r="Y559" s="7"/>
      <c r="Z559" s="7"/>
      <c r="AA559" s="7"/>
      <c r="AC559" s="70" t="str">
        <f t="shared" si="17"/>
        <v/>
      </c>
      <c r="AD559" s="75" t="str">
        <f t="shared" si="18"/>
        <v/>
      </c>
    </row>
    <row r="560" spans="1:34" outlineLevel="7">
      <c r="A560" s="3500" t="s">
        <v>408</v>
      </c>
      <c r="B560" s="3500"/>
      <c r="C560" s="7"/>
      <c r="D560" s="7"/>
      <c r="E560" s="14">
        <v>550</v>
      </c>
      <c r="F560" s="7"/>
      <c r="G560" s="7"/>
      <c r="H560" s="8"/>
      <c r="I560" s="9"/>
      <c r="J560" s="7"/>
      <c r="K560" s="7"/>
      <c r="L560" s="7"/>
      <c r="M560" s="14">
        <v>550</v>
      </c>
      <c r="N560" s="14">
        <v>550</v>
      </c>
      <c r="O560" s="14">
        <v>550</v>
      </c>
      <c r="P560" s="7"/>
      <c r="Q560" s="7"/>
      <c r="R560" s="14">
        <v>550</v>
      </c>
      <c r="S560" s="7"/>
      <c r="T560" s="7"/>
      <c r="U560" s="7"/>
      <c r="V560" s="14">
        <v>550</v>
      </c>
      <c r="W560" s="14">
        <v>550</v>
      </c>
      <c r="X560" s="7"/>
      <c r="Y560" s="7"/>
      <c r="Z560" s="7"/>
      <c r="AA560" s="7"/>
      <c r="AC560" s="70" t="str">
        <f t="shared" si="17"/>
        <v/>
      </c>
      <c r="AD560" s="75" t="str">
        <f t="shared" si="18"/>
        <v/>
      </c>
      <c r="AH560" t="s">
        <v>3640</v>
      </c>
    </row>
    <row r="561" spans="1:34" outlineLevel="7">
      <c r="A561" s="3499" t="s">
        <v>1696</v>
      </c>
      <c r="B561" s="3499"/>
      <c r="C561" s="7"/>
      <c r="D561" s="7"/>
      <c r="E561" s="14">
        <v>550</v>
      </c>
      <c r="F561" s="7"/>
      <c r="G561" s="7"/>
      <c r="H561" s="8"/>
      <c r="I561" s="9"/>
      <c r="J561" s="7"/>
      <c r="K561" s="7"/>
      <c r="L561" s="7"/>
      <c r="M561" s="14">
        <v>550</v>
      </c>
      <c r="N561" s="14">
        <v>550</v>
      </c>
      <c r="O561" s="14">
        <v>550</v>
      </c>
      <c r="P561" s="7"/>
      <c r="Q561" s="7"/>
      <c r="R561" s="14">
        <v>550</v>
      </c>
      <c r="S561" s="7"/>
      <c r="T561" s="7"/>
      <c r="U561" s="7"/>
      <c r="V561" s="14">
        <v>550</v>
      </c>
      <c r="W561" s="14">
        <v>550</v>
      </c>
      <c r="X561" s="7"/>
      <c r="Y561" s="7"/>
      <c r="Z561" s="7"/>
      <c r="AA561" s="7"/>
      <c r="AC561" s="70">
        <f t="shared" si="17"/>
        <v>550</v>
      </c>
      <c r="AD561" s="75">
        <f t="shared" si="18"/>
        <v>1</v>
      </c>
    </row>
    <row r="562" spans="1:34" outlineLevel="6">
      <c r="A562" s="3501" t="s">
        <v>409</v>
      </c>
      <c r="B562" s="3501"/>
      <c r="C562" s="7"/>
      <c r="D562" s="7"/>
      <c r="E562" s="14">
        <v>550</v>
      </c>
      <c r="F562" s="7"/>
      <c r="G562" s="7"/>
      <c r="H562" s="8"/>
      <c r="I562" s="9"/>
      <c r="J562" s="7"/>
      <c r="K562" s="7"/>
      <c r="L562" s="7"/>
      <c r="M562" s="14">
        <v>550</v>
      </c>
      <c r="N562" s="14">
        <v>550</v>
      </c>
      <c r="O562" s="14">
        <v>550</v>
      </c>
      <c r="P562" s="7"/>
      <c r="Q562" s="7"/>
      <c r="R562" s="14">
        <v>550</v>
      </c>
      <c r="S562" s="7"/>
      <c r="T562" s="7"/>
      <c r="U562" s="7"/>
      <c r="V562" s="14">
        <v>550</v>
      </c>
      <c r="W562" s="14">
        <v>550</v>
      </c>
      <c r="X562" s="7"/>
      <c r="Y562" s="7"/>
      <c r="Z562" s="7"/>
      <c r="AA562" s="7"/>
      <c r="AC562" s="70" t="str">
        <f t="shared" si="17"/>
        <v/>
      </c>
      <c r="AD562" s="75" t="str">
        <f t="shared" si="18"/>
        <v/>
      </c>
    </row>
    <row r="563" spans="1:34" outlineLevel="7">
      <c r="A563" s="3500" t="s">
        <v>410</v>
      </c>
      <c r="B563" s="3500"/>
      <c r="C563" s="7"/>
      <c r="D563" s="7"/>
      <c r="E563" s="14">
        <v>550</v>
      </c>
      <c r="F563" s="7"/>
      <c r="G563" s="7"/>
      <c r="H563" s="8"/>
      <c r="I563" s="9"/>
      <c r="J563" s="7"/>
      <c r="K563" s="7"/>
      <c r="L563" s="7"/>
      <c r="M563" s="14">
        <v>550</v>
      </c>
      <c r="N563" s="14">
        <v>550</v>
      </c>
      <c r="O563" s="14">
        <v>550</v>
      </c>
      <c r="P563" s="7"/>
      <c r="Q563" s="7"/>
      <c r="R563" s="14">
        <v>550</v>
      </c>
      <c r="S563" s="7"/>
      <c r="T563" s="7"/>
      <c r="U563" s="7"/>
      <c r="V563" s="14">
        <v>550</v>
      </c>
      <c r="W563" s="14">
        <v>550</v>
      </c>
      <c r="X563" s="7"/>
      <c r="Y563" s="7"/>
      <c r="Z563" s="7"/>
      <c r="AA563" s="7"/>
      <c r="AC563" s="70" t="str">
        <f t="shared" si="17"/>
        <v/>
      </c>
      <c r="AD563" s="75" t="str">
        <f t="shared" si="18"/>
        <v/>
      </c>
      <c r="AH563" t="s">
        <v>3466</v>
      </c>
    </row>
    <row r="564" spans="1:34" outlineLevel="7">
      <c r="A564" s="3499" t="s">
        <v>1697</v>
      </c>
      <c r="B564" s="3499"/>
      <c r="C564" s="7"/>
      <c r="D564" s="7"/>
      <c r="E564" s="14">
        <v>550</v>
      </c>
      <c r="F564" s="7"/>
      <c r="G564" s="7"/>
      <c r="H564" s="8"/>
      <c r="I564" s="9"/>
      <c r="J564" s="7"/>
      <c r="K564" s="7"/>
      <c r="L564" s="7"/>
      <c r="M564" s="14">
        <v>550</v>
      </c>
      <c r="N564" s="14">
        <v>550</v>
      </c>
      <c r="O564" s="14">
        <v>550</v>
      </c>
      <c r="P564" s="7"/>
      <c r="Q564" s="7"/>
      <c r="R564" s="14">
        <v>550</v>
      </c>
      <c r="S564" s="7"/>
      <c r="T564" s="7"/>
      <c r="U564" s="7"/>
      <c r="V564" s="14">
        <v>550</v>
      </c>
      <c r="W564" s="14">
        <v>550</v>
      </c>
      <c r="X564" s="7"/>
      <c r="Y564" s="7"/>
      <c r="Z564" s="7"/>
      <c r="AA564" s="7"/>
      <c r="AC564" s="70">
        <f t="shared" si="17"/>
        <v>550</v>
      </c>
      <c r="AD564" s="75">
        <f t="shared" si="18"/>
        <v>1</v>
      </c>
    </row>
    <row r="565" spans="1:34" outlineLevel="6">
      <c r="A565" s="3501" t="s">
        <v>411</v>
      </c>
      <c r="B565" s="3501"/>
      <c r="C565" s="7"/>
      <c r="D565" s="7"/>
      <c r="E565" s="14">
        <v>550</v>
      </c>
      <c r="F565" s="7"/>
      <c r="G565" s="7"/>
      <c r="H565" s="8"/>
      <c r="I565" s="9"/>
      <c r="J565" s="7"/>
      <c r="K565" s="7"/>
      <c r="L565" s="7"/>
      <c r="M565" s="14">
        <v>550</v>
      </c>
      <c r="N565" s="14">
        <v>550</v>
      </c>
      <c r="O565" s="14">
        <v>550</v>
      </c>
      <c r="P565" s="7"/>
      <c r="Q565" s="7"/>
      <c r="R565" s="14">
        <v>550</v>
      </c>
      <c r="S565" s="7"/>
      <c r="T565" s="7"/>
      <c r="U565" s="7"/>
      <c r="V565" s="14">
        <v>550</v>
      </c>
      <c r="W565" s="14">
        <v>550</v>
      </c>
      <c r="X565" s="7"/>
      <c r="Y565" s="7"/>
      <c r="Z565" s="7"/>
      <c r="AA565" s="7"/>
      <c r="AC565" s="70" t="str">
        <f t="shared" si="17"/>
        <v/>
      </c>
      <c r="AD565" s="75" t="str">
        <f t="shared" si="18"/>
        <v/>
      </c>
    </row>
    <row r="566" spans="1:34" outlineLevel="7">
      <c r="A566" s="3500" t="s">
        <v>412</v>
      </c>
      <c r="B566" s="3500"/>
      <c r="C566" s="7"/>
      <c r="D566" s="7"/>
      <c r="E566" s="14">
        <v>550</v>
      </c>
      <c r="F566" s="7"/>
      <c r="G566" s="7"/>
      <c r="H566" s="8"/>
      <c r="I566" s="9"/>
      <c r="J566" s="7"/>
      <c r="K566" s="7"/>
      <c r="L566" s="7"/>
      <c r="M566" s="14">
        <v>550</v>
      </c>
      <c r="N566" s="14">
        <v>550</v>
      </c>
      <c r="O566" s="14">
        <v>550</v>
      </c>
      <c r="P566" s="7"/>
      <c r="Q566" s="7"/>
      <c r="R566" s="14">
        <v>550</v>
      </c>
      <c r="S566" s="7"/>
      <c r="T566" s="7"/>
      <c r="U566" s="7"/>
      <c r="V566" s="14">
        <v>550</v>
      </c>
      <c r="W566" s="14">
        <v>550</v>
      </c>
      <c r="X566" s="7"/>
      <c r="Y566" s="7"/>
      <c r="Z566" s="7"/>
      <c r="AA566" s="7"/>
      <c r="AC566" s="70" t="str">
        <f t="shared" si="17"/>
        <v/>
      </c>
      <c r="AD566" s="75" t="str">
        <f t="shared" si="18"/>
        <v/>
      </c>
      <c r="AH566" t="s">
        <v>3480</v>
      </c>
    </row>
    <row r="567" spans="1:34" outlineLevel="7">
      <c r="A567" s="3499" t="s">
        <v>1698</v>
      </c>
      <c r="B567" s="3499"/>
      <c r="C567" s="7"/>
      <c r="D567" s="7"/>
      <c r="E567" s="14">
        <v>550</v>
      </c>
      <c r="F567" s="7"/>
      <c r="G567" s="7"/>
      <c r="H567" s="8"/>
      <c r="I567" s="9"/>
      <c r="J567" s="7"/>
      <c r="K567" s="7"/>
      <c r="L567" s="7"/>
      <c r="M567" s="14">
        <v>550</v>
      </c>
      <c r="N567" s="14">
        <v>550</v>
      </c>
      <c r="O567" s="14">
        <v>550</v>
      </c>
      <c r="P567" s="7"/>
      <c r="Q567" s="7"/>
      <c r="R567" s="14">
        <v>550</v>
      </c>
      <c r="S567" s="7"/>
      <c r="T567" s="7"/>
      <c r="U567" s="7"/>
      <c r="V567" s="14">
        <v>550</v>
      </c>
      <c r="W567" s="14">
        <v>550</v>
      </c>
      <c r="X567" s="7"/>
      <c r="Y567" s="7"/>
      <c r="Z567" s="7"/>
      <c r="AA567" s="7"/>
      <c r="AC567" s="70">
        <f t="shared" si="17"/>
        <v>550</v>
      </c>
      <c r="AD567" s="75">
        <f t="shared" si="18"/>
        <v>1</v>
      </c>
    </row>
    <row r="568" spans="1:34" outlineLevel="6">
      <c r="A568" s="3501" t="s">
        <v>413</v>
      </c>
      <c r="B568" s="3501"/>
      <c r="C568" s="7"/>
      <c r="D568" s="7"/>
      <c r="E568" s="14">
        <v>550</v>
      </c>
      <c r="F568" s="7"/>
      <c r="G568" s="7"/>
      <c r="H568" s="8"/>
      <c r="I568" s="9"/>
      <c r="J568" s="7"/>
      <c r="K568" s="7"/>
      <c r="L568" s="7"/>
      <c r="M568" s="14">
        <v>550</v>
      </c>
      <c r="N568" s="14">
        <v>550</v>
      </c>
      <c r="O568" s="14">
        <v>550</v>
      </c>
      <c r="P568" s="7"/>
      <c r="Q568" s="7"/>
      <c r="R568" s="14">
        <v>550</v>
      </c>
      <c r="S568" s="7"/>
      <c r="T568" s="7"/>
      <c r="U568" s="7"/>
      <c r="V568" s="14">
        <v>550</v>
      </c>
      <c r="W568" s="14">
        <v>550</v>
      </c>
      <c r="X568" s="7"/>
      <c r="Y568" s="7"/>
      <c r="Z568" s="7"/>
      <c r="AA568" s="7"/>
      <c r="AC568" s="70" t="str">
        <f t="shared" si="17"/>
        <v/>
      </c>
      <c r="AD568" s="75" t="str">
        <f t="shared" si="18"/>
        <v/>
      </c>
    </row>
    <row r="569" spans="1:34" outlineLevel="7">
      <c r="A569" s="3500" t="s">
        <v>414</v>
      </c>
      <c r="B569" s="3500"/>
      <c r="C569" s="7"/>
      <c r="D569" s="7"/>
      <c r="E569" s="14">
        <v>550</v>
      </c>
      <c r="F569" s="7"/>
      <c r="G569" s="7"/>
      <c r="H569" s="8"/>
      <c r="I569" s="9"/>
      <c r="J569" s="7"/>
      <c r="K569" s="7"/>
      <c r="L569" s="7"/>
      <c r="M569" s="14">
        <v>550</v>
      </c>
      <c r="N569" s="14">
        <v>550</v>
      </c>
      <c r="O569" s="14">
        <v>550</v>
      </c>
      <c r="P569" s="7"/>
      <c r="Q569" s="7"/>
      <c r="R569" s="14">
        <v>550</v>
      </c>
      <c r="S569" s="7"/>
      <c r="T569" s="7"/>
      <c r="U569" s="7"/>
      <c r="V569" s="14">
        <v>550</v>
      </c>
      <c r="W569" s="14">
        <v>550</v>
      </c>
      <c r="X569" s="7"/>
      <c r="Y569" s="7"/>
      <c r="Z569" s="7"/>
      <c r="AA569" s="7"/>
      <c r="AC569" s="70" t="str">
        <f t="shared" si="17"/>
        <v/>
      </c>
      <c r="AD569" s="75" t="str">
        <f t="shared" si="18"/>
        <v/>
      </c>
      <c r="AH569" t="s">
        <v>3641</v>
      </c>
    </row>
    <row r="570" spans="1:34" outlineLevel="7">
      <c r="A570" s="3499" t="s">
        <v>1699</v>
      </c>
      <c r="B570" s="3499"/>
      <c r="C570" s="7"/>
      <c r="D570" s="7"/>
      <c r="E570" s="14">
        <v>550</v>
      </c>
      <c r="F570" s="7"/>
      <c r="G570" s="7"/>
      <c r="H570" s="8"/>
      <c r="I570" s="9"/>
      <c r="J570" s="7"/>
      <c r="K570" s="7"/>
      <c r="L570" s="7"/>
      <c r="M570" s="14">
        <v>550</v>
      </c>
      <c r="N570" s="14">
        <v>550</v>
      </c>
      <c r="O570" s="14">
        <v>550</v>
      </c>
      <c r="P570" s="7"/>
      <c r="Q570" s="7"/>
      <c r="R570" s="14">
        <v>550</v>
      </c>
      <c r="S570" s="7"/>
      <c r="T570" s="7"/>
      <c r="U570" s="7"/>
      <c r="V570" s="14">
        <v>550</v>
      </c>
      <c r="W570" s="14">
        <v>550</v>
      </c>
      <c r="X570" s="7"/>
      <c r="Y570" s="7"/>
      <c r="Z570" s="7"/>
      <c r="AA570" s="7"/>
      <c r="AC570" s="70">
        <f t="shared" si="17"/>
        <v>550</v>
      </c>
      <c r="AD570" s="75">
        <f t="shared" si="18"/>
        <v>1</v>
      </c>
    </row>
    <row r="571" spans="1:34" outlineLevel="6">
      <c r="A571" s="3501" t="s">
        <v>415</v>
      </c>
      <c r="B571" s="3501"/>
      <c r="C571" s="7"/>
      <c r="D571" s="7"/>
      <c r="E571" s="14">
        <v>550</v>
      </c>
      <c r="F571" s="7"/>
      <c r="G571" s="7"/>
      <c r="H571" s="8"/>
      <c r="I571" s="9"/>
      <c r="J571" s="7"/>
      <c r="K571" s="7"/>
      <c r="L571" s="7"/>
      <c r="M571" s="14">
        <v>550</v>
      </c>
      <c r="N571" s="14">
        <v>550</v>
      </c>
      <c r="O571" s="14">
        <v>550</v>
      </c>
      <c r="P571" s="7"/>
      <c r="Q571" s="7"/>
      <c r="R571" s="14">
        <v>550</v>
      </c>
      <c r="S571" s="7"/>
      <c r="T571" s="7"/>
      <c r="U571" s="7"/>
      <c r="V571" s="14">
        <v>550</v>
      </c>
      <c r="W571" s="14">
        <v>550</v>
      </c>
      <c r="X571" s="7"/>
      <c r="Y571" s="7"/>
      <c r="Z571" s="7"/>
      <c r="AA571" s="7"/>
      <c r="AC571" s="70" t="str">
        <f t="shared" si="17"/>
        <v/>
      </c>
      <c r="AD571" s="75" t="str">
        <f t="shared" si="18"/>
        <v/>
      </c>
    </row>
    <row r="572" spans="1:34" outlineLevel="7">
      <c r="A572" s="3500" t="s">
        <v>416</v>
      </c>
      <c r="B572" s="3500"/>
      <c r="C572" s="7"/>
      <c r="D572" s="7"/>
      <c r="E572" s="14">
        <v>550</v>
      </c>
      <c r="F572" s="7"/>
      <c r="G572" s="7"/>
      <c r="H572" s="8"/>
      <c r="I572" s="9"/>
      <c r="J572" s="7"/>
      <c r="K572" s="7"/>
      <c r="L572" s="7"/>
      <c r="M572" s="14">
        <v>550</v>
      </c>
      <c r="N572" s="14">
        <v>550</v>
      </c>
      <c r="O572" s="14">
        <v>550</v>
      </c>
      <c r="P572" s="7"/>
      <c r="Q572" s="7"/>
      <c r="R572" s="14">
        <v>550</v>
      </c>
      <c r="S572" s="7"/>
      <c r="T572" s="7"/>
      <c r="U572" s="7"/>
      <c r="V572" s="14">
        <v>550</v>
      </c>
      <c r="W572" s="14">
        <v>550</v>
      </c>
      <c r="X572" s="7"/>
      <c r="Y572" s="7"/>
      <c r="Z572" s="7"/>
      <c r="AA572" s="7"/>
      <c r="AC572" s="70" t="str">
        <f t="shared" si="17"/>
        <v/>
      </c>
      <c r="AD572" s="75" t="str">
        <f t="shared" si="18"/>
        <v/>
      </c>
      <c r="AH572" t="s">
        <v>3571</v>
      </c>
    </row>
    <row r="573" spans="1:34" outlineLevel="7">
      <c r="A573" s="3499" t="s">
        <v>1700</v>
      </c>
      <c r="B573" s="3499"/>
      <c r="C573" s="7"/>
      <c r="D573" s="7"/>
      <c r="E573" s="14">
        <v>550</v>
      </c>
      <c r="F573" s="7"/>
      <c r="G573" s="7"/>
      <c r="H573" s="8"/>
      <c r="I573" s="9"/>
      <c r="J573" s="7"/>
      <c r="K573" s="7"/>
      <c r="L573" s="7"/>
      <c r="M573" s="14">
        <v>550</v>
      </c>
      <c r="N573" s="14">
        <v>550</v>
      </c>
      <c r="O573" s="14">
        <v>550</v>
      </c>
      <c r="P573" s="7"/>
      <c r="Q573" s="7"/>
      <c r="R573" s="14">
        <v>550</v>
      </c>
      <c r="S573" s="7"/>
      <c r="T573" s="7"/>
      <c r="U573" s="7"/>
      <c r="V573" s="14">
        <v>550</v>
      </c>
      <c r="W573" s="14">
        <v>550</v>
      </c>
      <c r="X573" s="7"/>
      <c r="Y573" s="7"/>
      <c r="Z573" s="7"/>
      <c r="AA573" s="7"/>
      <c r="AC573" s="70">
        <f t="shared" si="17"/>
        <v>550</v>
      </c>
      <c r="AD573" s="75">
        <f t="shared" si="18"/>
        <v>1</v>
      </c>
    </row>
    <row r="574" spans="1:34" outlineLevel="6">
      <c r="A574" s="3501" t="s">
        <v>417</v>
      </c>
      <c r="B574" s="3501"/>
      <c r="C574" s="7"/>
      <c r="D574" s="7"/>
      <c r="E574" s="14">
        <v>550</v>
      </c>
      <c r="F574" s="7"/>
      <c r="G574" s="7"/>
      <c r="H574" s="8"/>
      <c r="I574" s="9"/>
      <c r="J574" s="7"/>
      <c r="K574" s="7"/>
      <c r="L574" s="7"/>
      <c r="M574" s="14">
        <v>550</v>
      </c>
      <c r="N574" s="14">
        <v>550</v>
      </c>
      <c r="O574" s="14">
        <v>550</v>
      </c>
      <c r="P574" s="7"/>
      <c r="Q574" s="7"/>
      <c r="R574" s="14">
        <v>550</v>
      </c>
      <c r="S574" s="7"/>
      <c r="T574" s="7"/>
      <c r="U574" s="7"/>
      <c r="V574" s="14">
        <v>550</v>
      </c>
      <c r="W574" s="14">
        <v>550</v>
      </c>
      <c r="X574" s="7"/>
      <c r="Y574" s="7"/>
      <c r="Z574" s="7"/>
      <c r="AA574" s="7"/>
      <c r="AC574" s="70" t="str">
        <f t="shared" si="17"/>
        <v/>
      </c>
      <c r="AD574" s="75" t="str">
        <f t="shared" si="18"/>
        <v/>
      </c>
    </row>
    <row r="575" spans="1:34" outlineLevel="7">
      <c r="A575" s="3500" t="s">
        <v>418</v>
      </c>
      <c r="B575" s="3500"/>
      <c r="C575" s="7"/>
      <c r="D575" s="7"/>
      <c r="E575" s="14">
        <v>550</v>
      </c>
      <c r="F575" s="7"/>
      <c r="G575" s="7"/>
      <c r="H575" s="8"/>
      <c r="I575" s="9"/>
      <c r="J575" s="7"/>
      <c r="K575" s="7"/>
      <c r="L575" s="7"/>
      <c r="M575" s="14">
        <v>550</v>
      </c>
      <c r="N575" s="14">
        <v>550</v>
      </c>
      <c r="O575" s="14">
        <v>550</v>
      </c>
      <c r="P575" s="7"/>
      <c r="Q575" s="7"/>
      <c r="R575" s="14">
        <v>550</v>
      </c>
      <c r="S575" s="7"/>
      <c r="T575" s="7"/>
      <c r="U575" s="7"/>
      <c r="V575" s="14">
        <v>550</v>
      </c>
      <c r="W575" s="14">
        <v>550</v>
      </c>
      <c r="X575" s="7"/>
      <c r="Y575" s="7"/>
      <c r="Z575" s="7"/>
      <c r="AA575" s="7"/>
      <c r="AC575" s="70" t="str">
        <f t="shared" si="17"/>
        <v/>
      </c>
      <c r="AD575" s="75" t="str">
        <f t="shared" si="18"/>
        <v/>
      </c>
      <c r="AH575" t="s">
        <v>3428</v>
      </c>
    </row>
    <row r="576" spans="1:34" outlineLevel="7">
      <c r="A576" s="3499" t="s">
        <v>1701</v>
      </c>
      <c r="B576" s="3499"/>
      <c r="C576" s="7"/>
      <c r="D576" s="7"/>
      <c r="E576" s="14">
        <v>550</v>
      </c>
      <c r="F576" s="7"/>
      <c r="G576" s="7"/>
      <c r="H576" s="8"/>
      <c r="I576" s="9"/>
      <c r="J576" s="7"/>
      <c r="K576" s="7"/>
      <c r="L576" s="7"/>
      <c r="M576" s="14">
        <v>550</v>
      </c>
      <c r="N576" s="14">
        <v>550</v>
      </c>
      <c r="O576" s="14">
        <v>550</v>
      </c>
      <c r="P576" s="7"/>
      <c r="Q576" s="7"/>
      <c r="R576" s="14">
        <v>550</v>
      </c>
      <c r="S576" s="7"/>
      <c r="T576" s="7"/>
      <c r="U576" s="7"/>
      <c r="V576" s="14">
        <v>550</v>
      </c>
      <c r="W576" s="14">
        <v>550</v>
      </c>
      <c r="X576" s="7"/>
      <c r="Y576" s="7"/>
      <c r="Z576" s="7"/>
      <c r="AA576" s="7"/>
      <c r="AC576" s="70">
        <f t="shared" si="17"/>
        <v>550</v>
      </c>
      <c r="AD576" s="75">
        <f t="shared" si="18"/>
        <v>1</v>
      </c>
    </row>
    <row r="577" spans="1:34" outlineLevel="6">
      <c r="A577" s="3501" t="s">
        <v>419</v>
      </c>
      <c r="B577" s="3501"/>
      <c r="C577" s="7"/>
      <c r="D577" s="7"/>
      <c r="E577" s="14">
        <v>550</v>
      </c>
      <c r="F577" s="7"/>
      <c r="G577" s="7"/>
      <c r="H577" s="8"/>
      <c r="I577" s="9"/>
      <c r="J577" s="7"/>
      <c r="K577" s="7"/>
      <c r="L577" s="7"/>
      <c r="M577" s="14">
        <v>550</v>
      </c>
      <c r="N577" s="14">
        <v>550</v>
      </c>
      <c r="O577" s="14">
        <v>550</v>
      </c>
      <c r="P577" s="7"/>
      <c r="Q577" s="7"/>
      <c r="R577" s="14">
        <v>550</v>
      </c>
      <c r="S577" s="7"/>
      <c r="T577" s="7"/>
      <c r="U577" s="7"/>
      <c r="V577" s="14">
        <v>550</v>
      </c>
      <c r="W577" s="14">
        <v>550</v>
      </c>
      <c r="X577" s="7"/>
      <c r="Y577" s="7"/>
      <c r="Z577" s="7"/>
      <c r="AA577" s="7"/>
      <c r="AC577" s="70" t="str">
        <f t="shared" si="17"/>
        <v/>
      </c>
      <c r="AD577" s="75" t="str">
        <f t="shared" si="18"/>
        <v/>
      </c>
    </row>
    <row r="578" spans="1:34" outlineLevel="7">
      <c r="A578" s="3500" t="s">
        <v>420</v>
      </c>
      <c r="B578" s="3500"/>
      <c r="C578" s="7"/>
      <c r="D578" s="7"/>
      <c r="E578" s="14">
        <v>550</v>
      </c>
      <c r="F578" s="7"/>
      <c r="G578" s="7"/>
      <c r="H578" s="8"/>
      <c r="I578" s="9"/>
      <c r="J578" s="7"/>
      <c r="K578" s="7"/>
      <c r="L578" s="7"/>
      <c r="M578" s="14">
        <v>550</v>
      </c>
      <c r="N578" s="14">
        <v>550</v>
      </c>
      <c r="O578" s="14">
        <v>550</v>
      </c>
      <c r="P578" s="7"/>
      <c r="Q578" s="7"/>
      <c r="R578" s="14">
        <v>550</v>
      </c>
      <c r="S578" s="7"/>
      <c r="T578" s="7"/>
      <c r="U578" s="7"/>
      <c r="V578" s="14">
        <v>550</v>
      </c>
      <c r="W578" s="14">
        <v>550</v>
      </c>
      <c r="X578" s="7"/>
      <c r="Y578" s="7"/>
      <c r="Z578" s="7"/>
      <c r="AA578" s="7"/>
      <c r="AC578" s="70" t="str">
        <f t="shared" si="17"/>
        <v/>
      </c>
      <c r="AD578" s="75" t="str">
        <f t="shared" si="18"/>
        <v/>
      </c>
      <c r="AH578" t="s">
        <v>3470</v>
      </c>
    </row>
    <row r="579" spans="1:34" outlineLevel="7">
      <c r="A579" s="3499" t="s">
        <v>1702</v>
      </c>
      <c r="B579" s="3499"/>
      <c r="C579" s="7"/>
      <c r="D579" s="7"/>
      <c r="E579" s="14">
        <v>550</v>
      </c>
      <c r="F579" s="7"/>
      <c r="G579" s="7"/>
      <c r="H579" s="8"/>
      <c r="I579" s="9"/>
      <c r="J579" s="7"/>
      <c r="K579" s="7"/>
      <c r="L579" s="7"/>
      <c r="M579" s="14">
        <v>550</v>
      </c>
      <c r="N579" s="14">
        <v>550</v>
      </c>
      <c r="O579" s="14">
        <v>550</v>
      </c>
      <c r="P579" s="7"/>
      <c r="Q579" s="7"/>
      <c r="R579" s="14">
        <v>550</v>
      </c>
      <c r="S579" s="7"/>
      <c r="T579" s="7"/>
      <c r="U579" s="7"/>
      <c r="V579" s="14">
        <v>550</v>
      </c>
      <c r="W579" s="14">
        <v>550</v>
      </c>
      <c r="X579" s="7"/>
      <c r="Y579" s="7"/>
      <c r="Z579" s="7"/>
      <c r="AA579" s="7"/>
      <c r="AC579" s="70">
        <f t="shared" si="17"/>
        <v>550</v>
      </c>
      <c r="AD579" s="75">
        <f t="shared" si="18"/>
        <v>1</v>
      </c>
    </row>
    <row r="580" spans="1:34" outlineLevel="6">
      <c r="A580" s="3501" t="s">
        <v>421</v>
      </c>
      <c r="B580" s="3501"/>
      <c r="C580" s="7"/>
      <c r="D580" s="7"/>
      <c r="E580" s="14">
        <v>550</v>
      </c>
      <c r="F580" s="7"/>
      <c r="G580" s="7"/>
      <c r="H580" s="8"/>
      <c r="I580" s="9"/>
      <c r="J580" s="7"/>
      <c r="K580" s="7"/>
      <c r="L580" s="7"/>
      <c r="M580" s="14">
        <v>550</v>
      </c>
      <c r="N580" s="14">
        <v>550</v>
      </c>
      <c r="O580" s="14">
        <v>550</v>
      </c>
      <c r="P580" s="7"/>
      <c r="Q580" s="7"/>
      <c r="R580" s="14">
        <v>550</v>
      </c>
      <c r="S580" s="7"/>
      <c r="T580" s="7"/>
      <c r="U580" s="7"/>
      <c r="V580" s="14">
        <v>550</v>
      </c>
      <c r="W580" s="14">
        <v>550</v>
      </c>
      <c r="X580" s="7"/>
      <c r="Y580" s="7"/>
      <c r="Z580" s="7"/>
      <c r="AA580" s="7"/>
      <c r="AC580" s="70" t="str">
        <f t="shared" si="17"/>
        <v/>
      </c>
      <c r="AD580" s="75" t="str">
        <f t="shared" si="18"/>
        <v/>
      </c>
    </row>
    <row r="581" spans="1:34" outlineLevel="7">
      <c r="A581" s="3500" t="s">
        <v>422</v>
      </c>
      <c r="B581" s="3500"/>
      <c r="C581" s="7"/>
      <c r="D581" s="7"/>
      <c r="E581" s="14">
        <v>550</v>
      </c>
      <c r="F581" s="7"/>
      <c r="G581" s="7"/>
      <c r="H581" s="8"/>
      <c r="I581" s="9"/>
      <c r="J581" s="7"/>
      <c r="K581" s="7"/>
      <c r="L581" s="7"/>
      <c r="M581" s="14">
        <v>550</v>
      </c>
      <c r="N581" s="14">
        <v>550</v>
      </c>
      <c r="O581" s="14">
        <v>550</v>
      </c>
      <c r="P581" s="7"/>
      <c r="Q581" s="7"/>
      <c r="R581" s="14">
        <v>550</v>
      </c>
      <c r="S581" s="7"/>
      <c r="T581" s="7"/>
      <c r="U581" s="7"/>
      <c r="V581" s="14">
        <v>550</v>
      </c>
      <c r="W581" s="14">
        <v>550</v>
      </c>
      <c r="X581" s="7"/>
      <c r="Y581" s="7"/>
      <c r="Z581" s="7"/>
      <c r="AA581" s="7"/>
      <c r="AC581" s="70" t="str">
        <f t="shared" si="17"/>
        <v/>
      </c>
      <c r="AD581" s="75" t="str">
        <f t="shared" si="18"/>
        <v/>
      </c>
      <c r="AH581" t="s">
        <v>3430</v>
      </c>
    </row>
    <row r="582" spans="1:34" outlineLevel="7">
      <c r="A582" s="3499" t="s">
        <v>1703</v>
      </c>
      <c r="B582" s="3499"/>
      <c r="C582" s="7"/>
      <c r="D582" s="7"/>
      <c r="E582" s="14">
        <v>550</v>
      </c>
      <c r="F582" s="7"/>
      <c r="G582" s="7"/>
      <c r="H582" s="8"/>
      <c r="I582" s="9"/>
      <c r="J582" s="7"/>
      <c r="K582" s="7"/>
      <c r="L582" s="7"/>
      <c r="M582" s="14">
        <v>550</v>
      </c>
      <c r="N582" s="14">
        <v>550</v>
      </c>
      <c r="O582" s="14">
        <v>550</v>
      </c>
      <c r="P582" s="7"/>
      <c r="Q582" s="7"/>
      <c r="R582" s="14">
        <v>550</v>
      </c>
      <c r="S582" s="7"/>
      <c r="T582" s="7"/>
      <c r="U582" s="7"/>
      <c r="V582" s="14">
        <v>550</v>
      </c>
      <c r="W582" s="14">
        <v>550</v>
      </c>
      <c r="X582" s="7"/>
      <c r="Y582" s="7"/>
      <c r="Z582" s="7"/>
      <c r="AA582" s="7"/>
      <c r="AC582" s="70">
        <f t="shared" si="17"/>
        <v>550</v>
      </c>
      <c r="AD582" s="75">
        <f t="shared" si="18"/>
        <v>1</v>
      </c>
    </row>
    <row r="583" spans="1:34" outlineLevel="6">
      <c r="A583" s="3501" t="s">
        <v>423</v>
      </c>
      <c r="B583" s="3501"/>
      <c r="C583" s="7"/>
      <c r="D583" s="7"/>
      <c r="E583" s="14">
        <v>550</v>
      </c>
      <c r="F583" s="7"/>
      <c r="G583" s="7"/>
      <c r="H583" s="8"/>
      <c r="I583" s="9"/>
      <c r="J583" s="7"/>
      <c r="K583" s="7"/>
      <c r="L583" s="7"/>
      <c r="M583" s="14">
        <v>550</v>
      </c>
      <c r="N583" s="14">
        <v>550</v>
      </c>
      <c r="O583" s="14">
        <v>550</v>
      </c>
      <c r="P583" s="7"/>
      <c r="Q583" s="7"/>
      <c r="R583" s="14">
        <v>550</v>
      </c>
      <c r="S583" s="7"/>
      <c r="T583" s="7"/>
      <c r="U583" s="7"/>
      <c r="V583" s="14">
        <v>550</v>
      </c>
      <c r="W583" s="14">
        <v>550</v>
      </c>
      <c r="X583" s="7"/>
      <c r="Y583" s="7"/>
      <c r="Z583" s="7"/>
      <c r="AA583" s="7"/>
      <c r="AC583" s="70" t="str">
        <f t="shared" si="17"/>
        <v/>
      </c>
      <c r="AD583" s="75" t="str">
        <f t="shared" si="18"/>
        <v/>
      </c>
    </row>
    <row r="584" spans="1:34" outlineLevel="7">
      <c r="A584" s="3500" t="s">
        <v>424</v>
      </c>
      <c r="B584" s="3500"/>
      <c r="C584" s="7"/>
      <c r="D584" s="7"/>
      <c r="E584" s="14">
        <v>550</v>
      </c>
      <c r="F584" s="7"/>
      <c r="G584" s="7"/>
      <c r="H584" s="8"/>
      <c r="I584" s="9"/>
      <c r="J584" s="7"/>
      <c r="K584" s="7"/>
      <c r="L584" s="7"/>
      <c r="M584" s="14">
        <v>550</v>
      </c>
      <c r="N584" s="14">
        <v>550</v>
      </c>
      <c r="O584" s="14">
        <v>550</v>
      </c>
      <c r="P584" s="7"/>
      <c r="Q584" s="7"/>
      <c r="R584" s="14">
        <v>550</v>
      </c>
      <c r="S584" s="7"/>
      <c r="T584" s="7"/>
      <c r="U584" s="7"/>
      <c r="V584" s="14">
        <v>550</v>
      </c>
      <c r="W584" s="14">
        <v>550</v>
      </c>
      <c r="X584" s="7"/>
      <c r="Y584" s="7"/>
      <c r="Z584" s="7"/>
      <c r="AA584" s="7"/>
      <c r="AC584" s="70" t="str">
        <f t="shared" si="17"/>
        <v/>
      </c>
      <c r="AD584" s="75" t="str">
        <f t="shared" si="18"/>
        <v/>
      </c>
      <c r="AH584" t="s">
        <v>424</v>
      </c>
    </row>
    <row r="585" spans="1:34" outlineLevel="7">
      <c r="A585" s="3499" t="s">
        <v>1704</v>
      </c>
      <c r="B585" s="3499"/>
      <c r="C585" s="7"/>
      <c r="D585" s="7"/>
      <c r="E585" s="14">
        <v>550</v>
      </c>
      <c r="F585" s="7"/>
      <c r="G585" s="7"/>
      <c r="H585" s="8"/>
      <c r="I585" s="9"/>
      <c r="J585" s="7"/>
      <c r="K585" s="7"/>
      <c r="L585" s="7"/>
      <c r="M585" s="14">
        <v>550</v>
      </c>
      <c r="N585" s="14">
        <v>550</v>
      </c>
      <c r="O585" s="14">
        <v>550</v>
      </c>
      <c r="P585" s="7"/>
      <c r="Q585" s="7"/>
      <c r="R585" s="14">
        <v>550</v>
      </c>
      <c r="S585" s="7"/>
      <c r="T585" s="7"/>
      <c r="U585" s="7"/>
      <c r="V585" s="14">
        <v>550</v>
      </c>
      <c r="W585" s="14">
        <v>550</v>
      </c>
      <c r="X585" s="7"/>
      <c r="Y585" s="7"/>
      <c r="Z585" s="7"/>
      <c r="AA585" s="7"/>
      <c r="AC585" s="70">
        <f t="shared" si="17"/>
        <v>550</v>
      </c>
      <c r="AD585" s="75">
        <f t="shared" si="18"/>
        <v>1</v>
      </c>
    </row>
    <row r="586" spans="1:34" outlineLevel="6">
      <c r="A586" s="3501" t="s">
        <v>425</v>
      </c>
      <c r="B586" s="3501"/>
      <c r="C586" s="7"/>
      <c r="D586" s="7"/>
      <c r="E586" s="14">
        <v>550</v>
      </c>
      <c r="F586" s="7"/>
      <c r="G586" s="7"/>
      <c r="H586" s="8"/>
      <c r="I586" s="9"/>
      <c r="J586" s="7"/>
      <c r="K586" s="7"/>
      <c r="L586" s="7"/>
      <c r="M586" s="14">
        <v>550</v>
      </c>
      <c r="N586" s="14">
        <v>550</v>
      </c>
      <c r="O586" s="14">
        <v>550</v>
      </c>
      <c r="P586" s="7"/>
      <c r="Q586" s="7"/>
      <c r="R586" s="14">
        <v>550</v>
      </c>
      <c r="S586" s="7"/>
      <c r="T586" s="7"/>
      <c r="U586" s="7"/>
      <c r="V586" s="14">
        <v>550</v>
      </c>
      <c r="W586" s="14">
        <v>550</v>
      </c>
      <c r="X586" s="7"/>
      <c r="Y586" s="7"/>
      <c r="Z586" s="7"/>
      <c r="AA586" s="7"/>
      <c r="AC586" s="70" t="str">
        <f t="shared" si="17"/>
        <v/>
      </c>
      <c r="AD586" s="75" t="str">
        <f t="shared" si="18"/>
        <v/>
      </c>
    </row>
    <row r="587" spans="1:34" outlineLevel="7">
      <c r="A587" s="3500" t="s">
        <v>426</v>
      </c>
      <c r="B587" s="3500"/>
      <c r="C587" s="7"/>
      <c r="D587" s="7"/>
      <c r="E587" s="14">
        <v>550</v>
      </c>
      <c r="F587" s="7"/>
      <c r="G587" s="7"/>
      <c r="H587" s="8"/>
      <c r="I587" s="9"/>
      <c r="J587" s="7"/>
      <c r="K587" s="7"/>
      <c r="L587" s="7"/>
      <c r="M587" s="14">
        <v>550</v>
      </c>
      <c r="N587" s="14">
        <v>550</v>
      </c>
      <c r="O587" s="14">
        <v>550</v>
      </c>
      <c r="P587" s="7"/>
      <c r="Q587" s="7"/>
      <c r="R587" s="14">
        <v>550</v>
      </c>
      <c r="S587" s="7"/>
      <c r="T587" s="7"/>
      <c r="U587" s="7"/>
      <c r="V587" s="14">
        <v>550</v>
      </c>
      <c r="W587" s="14">
        <v>550</v>
      </c>
      <c r="X587" s="7"/>
      <c r="Y587" s="7"/>
      <c r="Z587" s="7"/>
      <c r="AA587" s="7"/>
      <c r="AC587" s="70" t="str">
        <f t="shared" si="17"/>
        <v/>
      </c>
      <c r="AD587" s="75" t="str">
        <f t="shared" si="18"/>
        <v/>
      </c>
      <c r="AH587" t="s">
        <v>3501</v>
      </c>
    </row>
    <row r="588" spans="1:34" outlineLevel="7">
      <c r="A588" s="3499" t="s">
        <v>1705</v>
      </c>
      <c r="B588" s="3499"/>
      <c r="C588" s="7"/>
      <c r="D588" s="7"/>
      <c r="E588" s="14">
        <v>550</v>
      </c>
      <c r="F588" s="7"/>
      <c r="G588" s="7"/>
      <c r="H588" s="8"/>
      <c r="I588" s="9"/>
      <c r="J588" s="7"/>
      <c r="K588" s="7"/>
      <c r="L588" s="7"/>
      <c r="M588" s="14">
        <v>550</v>
      </c>
      <c r="N588" s="14">
        <v>550</v>
      </c>
      <c r="O588" s="14">
        <v>550</v>
      </c>
      <c r="P588" s="7"/>
      <c r="Q588" s="7"/>
      <c r="R588" s="14">
        <v>550</v>
      </c>
      <c r="S588" s="7"/>
      <c r="T588" s="7"/>
      <c r="U588" s="7"/>
      <c r="V588" s="14">
        <v>550</v>
      </c>
      <c r="W588" s="14">
        <v>550</v>
      </c>
      <c r="X588" s="7"/>
      <c r="Y588" s="7"/>
      <c r="Z588" s="7"/>
      <c r="AA588" s="7"/>
      <c r="AC588" s="70">
        <f t="shared" si="17"/>
        <v>550</v>
      </c>
      <c r="AD588" s="75">
        <f t="shared" si="18"/>
        <v>1</v>
      </c>
    </row>
    <row r="589" spans="1:34" outlineLevel="6">
      <c r="A589" s="3501" t="s">
        <v>427</v>
      </c>
      <c r="B589" s="3501"/>
      <c r="C589" s="7"/>
      <c r="D589" s="7"/>
      <c r="E589" s="14">
        <v>550</v>
      </c>
      <c r="F589" s="7"/>
      <c r="G589" s="7"/>
      <c r="H589" s="8"/>
      <c r="I589" s="9"/>
      <c r="J589" s="7"/>
      <c r="K589" s="7"/>
      <c r="L589" s="7"/>
      <c r="M589" s="14">
        <v>550</v>
      </c>
      <c r="N589" s="14">
        <v>550</v>
      </c>
      <c r="O589" s="14">
        <v>550</v>
      </c>
      <c r="P589" s="7"/>
      <c r="Q589" s="7"/>
      <c r="R589" s="14">
        <v>550</v>
      </c>
      <c r="S589" s="7"/>
      <c r="T589" s="7"/>
      <c r="U589" s="7"/>
      <c r="V589" s="14">
        <v>550</v>
      </c>
      <c r="W589" s="14">
        <v>550</v>
      </c>
      <c r="X589" s="7"/>
      <c r="Y589" s="7"/>
      <c r="Z589" s="7"/>
      <c r="AA589" s="7"/>
      <c r="AC589" s="70" t="str">
        <f t="shared" si="17"/>
        <v/>
      </c>
      <c r="AD589" s="75" t="str">
        <f t="shared" si="18"/>
        <v/>
      </c>
    </row>
    <row r="590" spans="1:34" outlineLevel="7">
      <c r="A590" s="3500" t="s">
        <v>428</v>
      </c>
      <c r="B590" s="3500"/>
      <c r="C590" s="7"/>
      <c r="D590" s="7"/>
      <c r="E590" s="14">
        <v>550</v>
      </c>
      <c r="F590" s="7"/>
      <c r="G590" s="7"/>
      <c r="H590" s="8"/>
      <c r="I590" s="9"/>
      <c r="J590" s="7"/>
      <c r="K590" s="7"/>
      <c r="L590" s="7"/>
      <c r="M590" s="14">
        <v>550</v>
      </c>
      <c r="N590" s="14">
        <v>550</v>
      </c>
      <c r="O590" s="14">
        <v>550</v>
      </c>
      <c r="P590" s="7"/>
      <c r="Q590" s="7"/>
      <c r="R590" s="14">
        <v>550</v>
      </c>
      <c r="S590" s="7"/>
      <c r="T590" s="7"/>
      <c r="U590" s="7"/>
      <c r="V590" s="14">
        <v>550</v>
      </c>
      <c r="W590" s="14">
        <v>550</v>
      </c>
      <c r="X590" s="7"/>
      <c r="Y590" s="7"/>
      <c r="Z590" s="7"/>
      <c r="AA590" s="7"/>
      <c r="AC590" s="70" t="str">
        <f t="shared" si="17"/>
        <v/>
      </c>
      <c r="AD590" s="75" t="str">
        <f t="shared" si="18"/>
        <v/>
      </c>
      <c r="AH590" t="s">
        <v>3403</v>
      </c>
    </row>
    <row r="591" spans="1:34" outlineLevel="7">
      <c r="A591" s="3499" t="s">
        <v>1706</v>
      </c>
      <c r="B591" s="3499"/>
      <c r="C591" s="7"/>
      <c r="D591" s="7"/>
      <c r="E591" s="14">
        <v>550</v>
      </c>
      <c r="F591" s="7"/>
      <c r="G591" s="7"/>
      <c r="H591" s="8"/>
      <c r="I591" s="9"/>
      <c r="J591" s="7"/>
      <c r="K591" s="7"/>
      <c r="L591" s="7"/>
      <c r="M591" s="14">
        <v>550</v>
      </c>
      <c r="N591" s="14">
        <v>550</v>
      </c>
      <c r="O591" s="14">
        <v>550</v>
      </c>
      <c r="P591" s="7"/>
      <c r="Q591" s="7"/>
      <c r="R591" s="14">
        <v>550</v>
      </c>
      <c r="S591" s="7"/>
      <c r="T591" s="7"/>
      <c r="U591" s="7"/>
      <c r="V591" s="14">
        <v>550</v>
      </c>
      <c r="W591" s="14">
        <v>550</v>
      </c>
      <c r="X591" s="7"/>
      <c r="Y591" s="7"/>
      <c r="Z591" s="7"/>
      <c r="AA591" s="7"/>
      <c r="AC591" s="70">
        <f t="shared" si="17"/>
        <v>550</v>
      </c>
      <c r="AD591" s="75">
        <f t="shared" si="18"/>
        <v>1</v>
      </c>
    </row>
    <row r="592" spans="1:34" outlineLevel="6">
      <c r="A592" s="3501" t="s">
        <v>429</v>
      </c>
      <c r="B592" s="3501"/>
      <c r="C592" s="7"/>
      <c r="D592" s="7"/>
      <c r="E592" s="14">
        <v>550</v>
      </c>
      <c r="F592" s="7"/>
      <c r="G592" s="7"/>
      <c r="H592" s="8"/>
      <c r="I592" s="9"/>
      <c r="J592" s="7"/>
      <c r="K592" s="7"/>
      <c r="L592" s="7"/>
      <c r="M592" s="14">
        <v>550</v>
      </c>
      <c r="N592" s="14">
        <v>550</v>
      </c>
      <c r="O592" s="14">
        <v>550</v>
      </c>
      <c r="P592" s="7"/>
      <c r="Q592" s="7"/>
      <c r="R592" s="14">
        <v>550</v>
      </c>
      <c r="S592" s="7"/>
      <c r="T592" s="7"/>
      <c r="U592" s="14">
        <v>550</v>
      </c>
      <c r="V592" s="7"/>
      <c r="W592" s="7"/>
      <c r="X592" s="7"/>
      <c r="Y592" s="7"/>
      <c r="Z592" s="7"/>
      <c r="AA592" s="7"/>
      <c r="AC592" s="70" t="str">
        <f t="shared" si="17"/>
        <v/>
      </c>
      <c r="AD592" s="75" t="str">
        <f t="shared" si="18"/>
        <v/>
      </c>
    </row>
    <row r="593" spans="1:34" outlineLevel="7">
      <c r="A593" s="3500" t="s">
        <v>430</v>
      </c>
      <c r="B593" s="3500"/>
      <c r="C593" s="7"/>
      <c r="D593" s="7"/>
      <c r="E593" s="14">
        <v>550</v>
      </c>
      <c r="F593" s="7"/>
      <c r="G593" s="7"/>
      <c r="H593" s="8"/>
      <c r="I593" s="9"/>
      <c r="J593" s="7"/>
      <c r="K593" s="7"/>
      <c r="L593" s="7"/>
      <c r="M593" s="14">
        <v>550</v>
      </c>
      <c r="N593" s="14">
        <v>550</v>
      </c>
      <c r="O593" s="14">
        <v>550</v>
      </c>
      <c r="P593" s="7"/>
      <c r="Q593" s="7"/>
      <c r="R593" s="14">
        <v>550</v>
      </c>
      <c r="S593" s="7"/>
      <c r="T593" s="7"/>
      <c r="U593" s="14">
        <v>550</v>
      </c>
      <c r="V593" s="7"/>
      <c r="W593" s="7"/>
      <c r="X593" s="7"/>
      <c r="Y593" s="7"/>
      <c r="Z593" s="7"/>
      <c r="AA593" s="7"/>
      <c r="AC593" s="70" t="str">
        <f t="shared" ref="AC593:AC656" si="19">IF(LEFT($A593,5)="Реали",$E593,"")</f>
        <v/>
      </c>
      <c r="AD593" s="75" t="str">
        <f t="shared" ref="AD593:AD656" si="20">IF(AC593=550,1,"")</f>
        <v/>
      </c>
      <c r="AH593" t="s">
        <v>3404</v>
      </c>
    </row>
    <row r="594" spans="1:34" outlineLevel="7">
      <c r="A594" s="3499" t="s">
        <v>1707</v>
      </c>
      <c r="B594" s="3499"/>
      <c r="C594" s="7"/>
      <c r="D594" s="7"/>
      <c r="E594" s="14">
        <v>550</v>
      </c>
      <c r="F594" s="7"/>
      <c r="G594" s="7"/>
      <c r="H594" s="8"/>
      <c r="I594" s="9"/>
      <c r="J594" s="7"/>
      <c r="K594" s="7"/>
      <c r="L594" s="7"/>
      <c r="M594" s="14">
        <v>550</v>
      </c>
      <c r="N594" s="14">
        <v>550</v>
      </c>
      <c r="O594" s="14">
        <v>550</v>
      </c>
      <c r="P594" s="7"/>
      <c r="Q594" s="7"/>
      <c r="R594" s="14">
        <v>550</v>
      </c>
      <c r="S594" s="7"/>
      <c r="T594" s="7"/>
      <c r="U594" s="14">
        <v>550</v>
      </c>
      <c r="V594" s="7"/>
      <c r="W594" s="7"/>
      <c r="X594" s="7"/>
      <c r="Y594" s="7"/>
      <c r="Z594" s="7"/>
      <c r="AA594" s="7"/>
      <c r="AC594" s="70">
        <f t="shared" si="19"/>
        <v>550</v>
      </c>
      <c r="AD594" s="75">
        <f t="shared" si="20"/>
        <v>1</v>
      </c>
    </row>
    <row r="595" spans="1:34" outlineLevel="6">
      <c r="A595" s="3501" t="s">
        <v>431</v>
      </c>
      <c r="B595" s="3501"/>
      <c r="C595" s="7"/>
      <c r="D595" s="7"/>
      <c r="E595" s="14">
        <v>550</v>
      </c>
      <c r="F595" s="7"/>
      <c r="G595" s="7"/>
      <c r="H595" s="8"/>
      <c r="I595" s="9"/>
      <c r="J595" s="7"/>
      <c r="K595" s="7"/>
      <c r="L595" s="7"/>
      <c r="M595" s="14">
        <v>550</v>
      </c>
      <c r="N595" s="14">
        <v>550</v>
      </c>
      <c r="O595" s="14">
        <v>550</v>
      </c>
      <c r="P595" s="7"/>
      <c r="Q595" s="7"/>
      <c r="R595" s="14">
        <v>550</v>
      </c>
      <c r="S595" s="7"/>
      <c r="T595" s="7"/>
      <c r="U595" s="7"/>
      <c r="V595" s="14">
        <v>550</v>
      </c>
      <c r="W595" s="14">
        <v>550</v>
      </c>
      <c r="X595" s="7"/>
      <c r="Y595" s="7"/>
      <c r="Z595" s="7"/>
      <c r="AA595" s="7"/>
      <c r="AC595" s="70" t="str">
        <f t="shared" si="19"/>
        <v/>
      </c>
      <c r="AD595" s="75" t="str">
        <f t="shared" si="20"/>
        <v/>
      </c>
    </row>
    <row r="596" spans="1:34" outlineLevel="7">
      <c r="A596" s="3500" t="s">
        <v>432</v>
      </c>
      <c r="B596" s="3500"/>
      <c r="C596" s="7"/>
      <c r="D596" s="7"/>
      <c r="E596" s="14">
        <v>550</v>
      </c>
      <c r="F596" s="7"/>
      <c r="G596" s="7"/>
      <c r="H596" s="8"/>
      <c r="I596" s="9"/>
      <c r="J596" s="7"/>
      <c r="K596" s="7"/>
      <c r="L596" s="7"/>
      <c r="M596" s="14">
        <v>550</v>
      </c>
      <c r="N596" s="14">
        <v>550</v>
      </c>
      <c r="O596" s="14">
        <v>550</v>
      </c>
      <c r="P596" s="7"/>
      <c r="Q596" s="7"/>
      <c r="R596" s="14">
        <v>550</v>
      </c>
      <c r="S596" s="7"/>
      <c r="T596" s="7"/>
      <c r="U596" s="7"/>
      <c r="V596" s="14">
        <v>550</v>
      </c>
      <c r="W596" s="14">
        <v>550</v>
      </c>
      <c r="X596" s="7"/>
      <c r="Y596" s="7"/>
      <c r="Z596" s="7"/>
      <c r="AA596" s="7"/>
      <c r="AC596" s="70" t="str">
        <f t="shared" si="19"/>
        <v/>
      </c>
      <c r="AD596" s="75" t="str">
        <f t="shared" si="20"/>
        <v/>
      </c>
      <c r="AH596" t="s">
        <v>3434</v>
      </c>
    </row>
    <row r="597" spans="1:34" outlineLevel="7">
      <c r="A597" s="3499" t="s">
        <v>1708</v>
      </c>
      <c r="B597" s="3499"/>
      <c r="C597" s="7"/>
      <c r="D597" s="7"/>
      <c r="E597" s="14">
        <v>550</v>
      </c>
      <c r="F597" s="7"/>
      <c r="G597" s="7"/>
      <c r="H597" s="8"/>
      <c r="I597" s="9"/>
      <c r="J597" s="7"/>
      <c r="K597" s="7"/>
      <c r="L597" s="7"/>
      <c r="M597" s="14">
        <v>550</v>
      </c>
      <c r="N597" s="14">
        <v>550</v>
      </c>
      <c r="O597" s="14">
        <v>550</v>
      </c>
      <c r="P597" s="7"/>
      <c r="Q597" s="7"/>
      <c r="R597" s="14">
        <v>550</v>
      </c>
      <c r="S597" s="7"/>
      <c r="T597" s="7"/>
      <c r="U597" s="7"/>
      <c r="V597" s="14">
        <v>550</v>
      </c>
      <c r="W597" s="14">
        <v>550</v>
      </c>
      <c r="X597" s="7"/>
      <c r="Y597" s="7"/>
      <c r="Z597" s="7"/>
      <c r="AA597" s="7"/>
      <c r="AC597" s="70">
        <f t="shared" si="19"/>
        <v>550</v>
      </c>
      <c r="AD597" s="75">
        <f t="shared" si="20"/>
        <v>1</v>
      </c>
    </row>
    <row r="598" spans="1:34" outlineLevel="6">
      <c r="A598" s="3501" t="s">
        <v>433</v>
      </c>
      <c r="B598" s="3501"/>
      <c r="C598" s="7"/>
      <c r="D598" s="7"/>
      <c r="E598" s="14">
        <v>550</v>
      </c>
      <c r="F598" s="7"/>
      <c r="G598" s="7"/>
      <c r="H598" s="8"/>
      <c r="I598" s="9"/>
      <c r="J598" s="7"/>
      <c r="K598" s="7"/>
      <c r="L598" s="7"/>
      <c r="M598" s="14">
        <v>550</v>
      </c>
      <c r="N598" s="14">
        <v>550</v>
      </c>
      <c r="O598" s="14">
        <v>550</v>
      </c>
      <c r="P598" s="7"/>
      <c r="Q598" s="7"/>
      <c r="R598" s="14">
        <v>550</v>
      </c>
      <c r="S598" s="7"/>
      <c r="T598" s="7"/>
      <c r="U598" s="7"/>
      <c r="V598" s="14">
        <v>550</v>
      </c>
      <c r="W598" s="14">
        <v>550</v>
      </c>
      <c r="X598" s="7"/>
      <c r="Y598" s="7"/>
      <c r="Z598" s="7"/>
      <c r="AA598" s="7"/>
      <c r="AC598" s="70" t="str">
        <f t="shared" si="19"/>
        <v/>
      </c>
      <c r="AD598" s="75" t="str">
        <f t="shared" si="20"/>
        <v/>
      </c>
    </row>
    <row r="599" spans="1:34" outlineLevel="7">
      <c r="A599" s="3500" t="s">
        <v>434</v>
      </c>
      <c r="B599" s="3500"/>
      <c r="C599" s="7"/>
      <c r="D599" s="7"/>
      <c r="E599" s="14">
        <v>550</v>
      </c>
      <c r="F599" s="7"/>
      <c r="G599" s="7"/>
      <c r="H599" s="8"/>
      <c r="I599" s="9"/>
      <c r="J599" s="7"/>
      <c r="K599" s="7"/>
      <c r="L599" s="7"/>
      <c r="M599" s="14">
        <v>550</v>
      </c>
      <c r="N599" s="14">
        <v>550</v>
      </c>
      <c r="O599" s="14">
        <v>550</v>
      </c>
      <c r="P599" s="7"/>
      <c r="Q599" s="7"/>
      <c r="R599" s="14">
        <v>550</v>
      </c>
      <c r="S599" s="7"/>
      <c r="T599" s="7"/>
      <c r="U599" s="7"/>
      <c r="V599" s="14">
        <v>550</v>
      </c>
      <c r="W599" s="14">
        <v>550</v>
      </c>
      <c r="X599" s="7"/>
      <c r="Y599" s="7"/>
      <c r="Z599" s="7"/>
      <c r="AA599" s="7"/>
      <c r="AC599" s="70" t="str">
        <f t="shared" si="19"/>
        <v/>
      </c>
      <c r="AD599" s="75" t="str">
        <f t="shared" si="20"/>
        <v/>
      </c>
      <c r="AH599" t="s">
        <v>3559</v>
      </c>
    </row>
    <row r="600" spans="1:34" outlineLevel="7">
      <c r="A600" s="3499" t="s">
        <v>1709</v>
      </c>
      <c r="B600" s="3499"/>
      <c r="C600" s="7"/>
      <c r="D600" s="7"/>
      <c r="E600" s="14">
        <v>550</v>
      </c>
      <c r="F600" s="7"/>
      <c r="G600" s="7"/>
      <c r="H600" s="8"/>
      <c r="I600" s="9"/>
      <c r="J600" s="7"/>
      <c r="K600" s="7"/>
      <c r="L600" s="7"/>
      <c r="M600" s="14">
        <v>550</v>
      </c>
      <c r="N600" s="14">
        <v>550</v>
      </c>
      <c r="O600" s="14">
        <v>550</v>
      </c>
      <c r="P600" s="7"/>
      <c r="Q600" s="7"/>
      <c r="R600" s="14">
        <v>550</v>
      </c>
      <c r="S600" s="7"/>
      <c r="T600" s="7"/>
      <c r="U600" s="7"/>
      <c r="V600" s="14">
        <v>550</v>
      </c>
      <c r="W600" s="14">
        <v>550</v>
      </c>
      <c r="X600" s="7"/>
      <c r="Y600" s="7"/>
      <c r="Z600" s="7"/>
      <c r="AA600" s="7"/>
      <c r="AC600" s="70">
        <f t="shared" si="19"/>
        <v>550</v>
      </c>
      <c r="AD600" s="75">
        <f t="shared" si="20"/>
        <v>1</v>
      </c>
    </row>
    <row r="601" spans="1:34" outlineLevel="6">
      <c r="A601" s="3501" t="s">
        <v>435</v>
      </c>
      <c r="B601" s="3501"/>
      <c r="C601" s="7"/>
      <c r="D601" s="7"/>
      <c r="E601" s="14">
        <v>550</v>
      </c>
      <c r="F601" s="7"/>
      <c r="G601" s="7"/>
      <c r="H601" s="8"/>
      <c r="I601" s="9"/>
      <c r="J601" s="7"/>
      <c r="K601" s="7"/>
      <c r="L601" s="7"/>
      <c r="M601" s="14">
        <v>550</v>
      </c>
      <c r="N601" s="14">
        <v>550</v>
      </c>
      <c r="O601" s="14">
        <v>550</v>
      </c>
      <c r="P601" s="7"/>
      <c r="Q601" s="7"/>
      <c r="R601" s="14">
        <v>550</v>
      </c>
      <c r="S601" s="7"/>
      <c r="T601" s="7"/>
      <c r="U601" s="7"/>
      <c r="V601" s="14">
        <v>550</v>
      </c>
      <c r="W601" s="14">
        <v>550</v>
      </c>
      <c r="X601" s="7"/>
      <c r="Y601" s="7"/>
      <c r="Z601" s="7"/>
      <c r="AA601" s="7"/>
      <c r="AC601" s="70" t="str">
        <f t="shared" si="19"/>
        <v/>
      </c>
      <c r="AD601" s="75" t="str">
        <f t="shared" si="20"/>
        <v/>
      </c>
    </row>
    <row r="602" spans="1:34" outlineLevel="7">
      <c r="A602" s="3500" t="s">
        <v>436</v>
      </c>
      <c r="B602" s="3500"/>
      <c r="C602" s="7"/>
      <c r="D602" s="7"/>
      <c r="E602" s="14">
        <v>550</v>
      </c>
      <c r="F602" s="7"/>
      <c r="G602" s="7"/>
      <c r="H602" s="8"/>
      <c r="I602" s="9"/>
      <c r="J602" s="7"/>
      <c r="K602" s="7"/>
      <c r="L602" s="7"/>
      <c r="M602" s="14">
        <v>550</v>
      </c>
      <c r="N602" s="14">
        <v>550</v>
      </c>
      <c r="O602" s="14">
        <v>550</v>
      </c>
      <c r="P602" s="7"/>
      <c r="Q602" s="7"/>
      <c r="R602" s="14">
        <v>550</v>
      </c>
      <c r="S602" s="7"/>
      <c r="T602" s="7"/>
      <c r="U602" s="7"/>
      <c r="V602" s="14">
        <v>550</v>
      </c>
      <c r="W602" s="14">
        <v>550</v>
      </c>
      <c r="X602" s="7"/>
      <c r="Y602" s="7"/>
      <c r="Z602" s="7"/>
      <c r="AA602" s="7"/>
      <c r="AC602" s="70" t="str">
        <f t="shared" si="19"/>
        <v/>
      </c>
      <c r="AD602" s="75" t="str">
        <f t="shared" si="20"/>
        <v/>
      </c>
      <c r="AH602" t="s">
        <v>3414</v>
      </c>
    </row>
    <row r="603" spans="1:34" outlineLevel="7">
      <c r="A603" s="3499" t="s">
        <v>1710</v>
      </c>
      <c r="B603" s="3499"/>
      <c r="C603" s="7"/>
      <c r="D603" s="7"/>
      <c r="E603" s="14">
        <v>550</v>
      </c>
      <c r="F603" s="7"/>
      <c r="G603" s="7"/>
      <c r="H603" s="8"/>
      <c r="I603" s="9"/>
      <c r="J603" s="7"/>
      <c r="K603" s="7"/>
      <c r="L603" s="7"/>
      <c r="M603" s="14">
        <v>550</v>
      </c>
      <c r="N603" s="14">
        <v>550</v>
      </c>
      <c r="O603" s="14">
        <v>550</v>
      </c>
      <c r="P603" s="7"/>
      <c r="Q603" s="7"/>
      <c r="R603" s="14">
        <v>550</v>
      </c>
      <c r="S603" s="7"/>
      <c r="T603" s="7"/>
      <c r="U603" s="7"/>
      <c r="V603" s="14">
        <v>550</v>
      </c>
      <c r="W603" s="14">
        <v>550</v>
      </c>
      <c r="X603" s="7"/>
      <c r="Y603" s="7"/>
      <c r="Z603" s="7"/>
      <c r="AA603" s="7"/>
      <c r="AC603" s="70">
        <f t="shared" si="19"/>
        <v>550</v>
      </c>
      <c r="AD603" s="75">
        <f t="shared" si="20"/>
        <v>1</v>
      </c>
    </row>
    <row r="604" spans="1:34" outlineLevel="6">
      <c r="A604" s="3501" t="s">
        <v>437</v>
      </c>
      <c r="B604" s="3501"/>
      <c r="C604" s="7"/>
      <c r="D604" s="7"/>
      <c r="E604" s="14">
        <v>550</v>
      </c>
      <c r="F604" s="7"/>
      <c r="G604" s="7"/>
      <c r="H604" s="8"/>
      <c r="I604" s="9"/>
      <c r="J604" s="7"/>
      <c r="K604" s="7"/>
      <c r="L604" s="7"/>
      <c r="M604" s="14">
        <v>550</v>
      </c>
      <c r="N604" s="14">
        <v>550</v>
      </c>
      <c r="O604" s="14">
        <v>550</v>
      </c>
      <c r="P604" s="7"/>
      <c r="Q604" s="7"/>
      <c r="R604" s="14">
        <v>550</v>
      </c>
      <c r="S604" s="7"/>
      <c r="T604" s="7"/>
      <c r="U604" s="7"/>
      <c r="V604" s="14">
        <v>550</v>
      </c>
      <c r="W604" s="14">
        <v>550</v>
      </c>
      <c r="X604" s="7"/>
      <c r="Y604" s="7"/>
      <c r="Z604" s="7"/>
      <c r="AA604" s="7"/>
      <c r="AC604" s="70" t="str">
        <f t="shared" si="19"/>
        <v/>
      </c>
      <c r="AD604" s="75" t="str">
        <f t="shared" si="20"/>
        <v/>
      </c>
    </row>
    <row r="605" spans="1:34" outlineLevel="7">
      <c r="A605" s="3500" t="s">
        <v>438</v>
      </c>
      <c r="B605" s="3500"/>
      <c r="C605" s="7"/>
      <c r="D605" s="7"/>
      <c r="E605" s="14">
        <v>550</v>
      </c>
      <c r="F605" s="7"/>
      <c r="G605" s="7"/>
      <c r="H605" s="8"/>
      <c r="I605" s="9"/>
      <c r="J605" s="7"/>
      <c r="K605" s="7"/>
      <c r="L605" s="7"/>
      <c r="M605" s="14">
        <v>550</v>
      </c>
      <c r="N605" s="14">
        <v>550</v>
      </c>
      <c r="O605" s="14">
        <v>550</v>
      </c>
      <c r="P605" s="7"/>
      <c r="Q605" s="7"/>
      <c r="R605" s="14">
        <v>550</v>
      </c>
      <c r="S605" s="7"/>
      <c r="T605" s="7"/>
      <c r="U605" s="7"/>
      <c r="V605" s="14">
        <v>550</v>
      </c>
      <c r="W605" s="14">
        <v>550</v>
      </c>
      <c r="X605" s="7"/>
      <c r="Y605" s="7"/>
      <c r="Z605" s="7"/>
      <c r="AA605" s="7"/>
      <c r="AC605" s="70" t="str">
        <f t="shared" si="19"/>
        <v/>
      </c>
      <c r="AD605" s="75" t="str">
        <f t="shared" si="20"/>
        <v/>
      </c>
      <c r="AH605" t="s">
        <v>3431</v>
      </c>
    </row>
    <row r="606" spans="1:34" outlineLevel="7">
      <c r="A606" s="3499" t="s">
        <v>1711</v>
      </c>
      <c r="B606" s="3499"/>
      <c r="C606" s="7"/>
      <c r="D606" s="7"/>
      <c r="E606" s="14">
        <v>550</v>
      </c>
      <c r="F606" s="7"/>
      <c r="G606" s="7"/>
      <c r="H606" s="8"/>
      <c r="I606" s="9"/>
      <c r="J606" s="7"/>
      <c r="K606" s="7"/>
      <c r="L606" s="7"/>
      <c r="M606" s="14">
        <v>550</v>
      </c>
      <c r="N606" s="14">
        <v>550</v>
      </c>
      <c r="O606" s="14">
        <v>550</v>
      </c>
      <c r="P606" s="7"/>
      <c r="Q606" s="7"/>
      <c r="R606" s="14">
        <v>550</v>
      </c>
      <c r="S606" s="7"/>
      <c r="T606" s="7"/>
      <c r="U606" s="7"/>
      <c r="V606" s="14">
        <v>550</v>
      </c>
      <c r="W606" s="14">
        <v>550</v>
      </c>
      <c r="X606" s="7"/>
      <c r="Y606" s="7"/>
      <c r="Z606" s="7"/>
      <c r="AA606" s="7"/>
      <c r="AC606" s="70">
        <f t="shared" si="19"/>
        <v>550</v>
      </c>
      <c r="AD606" s="75">
        <f t="shared" si="20"/>
        <v>1</v>
      </c>
    </row>
    <row r="607" spans="1:34" outlineLevel="6">
      <c r="A607" s="3501" t="s">
        <v>439</v>
      </c>
      <c r="B607" s="3501"/>
      <c r="C607" s="7"/>
      <c r="D607" s="7"/>
      <c r="E607" s="14">
        <v>550</v>
      </c>
      <c r="F607" s="7"/>
      <c r="G607" s="7"/>
      <c r="H607" s="8"/>
      <c r="I607" s="9"/>
      <c r="J607" s="7"/>
      <c r="K607" s="7"/>
      <c r="L607" s="7"/>
      <c r="M607" s="14">
        <v>550</v>
      </c>
      <c r="N607" s="14">
        <v>550</v>
      </c>
      <c r="O607" s="14">
        <v>550</v>
      </c>
      <c r="P607" s="7"/>
      <c r="Q607" s="7"/>
      <c r="R607" s="14">
        <v>550</v>
      </c>
      <c r="S607" s="7"/>
      <c r="T607" s="7"/>
      <c r="U607" s="7"/>
      <c r="V607" s="14">
        <v>550</v>
      </c>
      <c r="W607" s="14">
        <v>550</v>
      </c>
      <c r="X607" s="7"/>
      <c r="Y607" s="7"/>
      <c r="Z607" s="7"/>
      <c r="AA607" s="7"/>
      <c r="AC607" s="70" t="str">
        <f t="shared" si="19"/>
        <v/>
      </c>
      <c r="AD607" s="75" t="str">
        <f t="shared" si="20"/>
        <v/>
      </c>
    </row>
    <row r="608" spans="1:34" outlineLevel="7">
      <c r="A608" s="3500" t="s">
        <v>440</v>
      </c>
      <c r="B608" s="3500"/>
      <c r="C608" s="7"/>
      <c r="D608" s="7"/>
      <c r="E608" s="14">
        <v>550</v>
      </c>
      <c r="F608" s="7"/>
      <c r="G608" s="7"/>
      <c r="H608" s="8"/>
      <c r="I608" s="9"/>
      <c r="J608" s="7"/>
      <c r="K608" s="7"/>
      <c r="L608" s="7"/>
      <c r="M608" s="14">
        <v>550</v>
      </c>
      <c r="N608" s="14">
        <v>550</v>
      </c>
      <c r="O608" s="14">
        <v>550</v>
      </c>
      <c r="P608" s="7"/>
      <c r="Q608" s="7"/>
      <c r="R608" s="14">
        <v>550</v>
      </c>
      <c r="S608" s="7"/>
      <c r="T608" s="7"/>
      <c r="U608" s="7"/>
      <c r="V608" s="14">
        <v>550</v>
      </c>
      <c r="W608" s="14">
        <v>550</v>
      </c>
      <c r="X608" s="7"/>
      <c r="Y608" s="7"/>
      <c r="Z608" s="7"/>
      <c r="AA608" s="7"/>
      <c r="AC608" s="70" t="str">
        <f t="shared" si="19"/>
        <v/>
      </c>
      <c r="AD608" s="75" t="str">
        <f t="shared" si="20"/>
        <v/>
      </c>
      <c r="AH608" t="s">
        <v>3536</v>
      </c>
    </row>
    <row r="609" spans="1:34" outlineLevel="7">
      <c r="A609" s="3499" t="s">
        <v>1712</v>
      </c>
      <c r="B609" s="3499"/>
      <c r="C609" s="7"/>
      <c r="D609" s="7"/>
      <c r="E609" s="14">
        <v>550</v>
      </c>
      <c r="F609" s="7"/>
      <c r="G609" s="7"/>
      <c r="H609" s="8"/>
      <c r="I609" s="9"/>
      <c r="J609" s="7"/>
      <c r="K609" s="7"/>
      <c r="L609" s="7"/>
      <c r="M609" s="14">
        <v>550</v>
      </c>
      <c r="N609" s="14">
        <v>550</v>
      </c>
      <c r="O609" s="14">
        <v>550</v>
      </c>
      <c r="P609" s="7"/>
      <c r="Q609" s="7"/>
      <c r="R609" s="14">
        <v>550</v>
      </c>
      <c r="S609" s="7"/>
      <c r="T609" s="7"/>
      <c r="U609" s="7"/>
      <c r="V609" s="14">
        <v>550</v>
      </c>
      <c r="W609" s="14">
        <v>550</v>
      </c>
      <c r="X609" s="7"/>
      <c r="Y609" s="7"/>
      <c r="Z609" s="7"/>
      <c r="AA609" s="7"/>
      <c r="AC609" s="70">
        <f t="shared" si="19"/>
        <v>550</v>
      </c>
      <c r="AD609" s="75">
        <f t="shared" si="20"/>
        <v>1</v>
      </c>
    </row>
    <row r="610" spans="1:34" outlineLevel="6">
      <c r="A610" s="3501" t="s">
        <v>441</v>
      </c>
      <c r="B610" s="3501"/>
      <c r="C610" s="7"/>
      <c r="D610" s="7"/>
      <c r="E610" s="14">
        <v>550</v>
      </c>
      <c r="F610" s="7"/>
      <c r="G610" s="7"/>
      <c r="H610" s="8"/>
      <c r="I610" s="9"/>
      <c r="J610" s="7"/>
      <c r="K610" s="7"/>
      <c r="L610" s="7"/>
      <c r="M610" s="14">
        <v>550</v>
      </c>
      <c r="N610" s="14">
        <v>550</v>
      </c>
      <c r="O610" s="14">
        <v>550</v>
      </c>
      <c r="P610" s="7"/>
      <c r="Q610" s="7"/>
      <c r="R610" s="14">
        <v>550</v>
      </c>
      <c r="S610" s="7"/>
      <c r="T610" s="7"/>
      <c r="U610" s="7"/>
      <c r="V610" s="14">
        <v>550</v>
      </c>
      <c r="W610" s="14">
        <v>550</v>
      </c>
      <c r="X610" s="7"/>
      <c r="Y610" s="7"/>
      <c r="Z610" s="7"/>
      <c r="AA610" s="7"/>
      <c r="AC610" s="70" t="str">
        <f t="shared" si="19"/>
        <v/>
      </c>
      <c r="AD610" s="75" t="str">
        <f t="shared" si="20"/>
        <v/>
      </c>
    </row>
    <row r="611" spans="1:34" outlineLevel="7">
      <c r="A611" s="3500" t="s">
        <v>442</v>
      </c>
      <c r="B611" s="3500"/>
      <c r="C611" s="7"/>
      <c r="D611" s="7"/>
      <c r="E611" s="14">
        <v>550</v>
      </c>
      <c r="F611" s="7"/>
      <c r="G611" s="7"/>
      <c r="H611" s="8"/>
      <c r="I611" s="9"/>
      <c r="J611" s="7"/>
      <c r="K611" s="7"/>
      <c r="L611" s="7"/>
      <c r="M611" s="14">
        <v>550</v>
      </c>
      <c r="N611" s="14">
        <v>550</v>
      </c>
      <c r="O611" s="14">
        <v>550</v>
      </c>
      <c r="P611" s="7"/>
      <c r="Q611" s="7"/>
      <c r="R611" s="14">
        <v>550</v>
      </c>
      <c r="S611" s="7"/>
      <c r="T611" s="7"/>
      <c r="U611" s="7"/>
      <c r="V611" s="14">
        <v>550</v>
      </c>
      <c r="W611" s="14">
        <v>550</v>
      </c>
      <c r="X611" s="7"/>
      <c r="Y611" s="7"/>
      <c r="Z611" s="7"/>
      <c r="AA611" s="7"/>
      <c r="AC611" s="70" t="str">
        <f t="shared" si="19"/>
        <v/>
      </c>
      <c r="AD611" s="75" t="str">
        <f t="shared" si="20"/>
        <v/>
      </c>
      <c r="AH611" t="s">
        <v>3456</v>
      </c>
    </row>
    <row r="612" spans="1:34" outlineLevel="7">
      <c r="A612" s="3499" t="s">
        <v>1713</v>
      </c>
      <c r="B612" s="3499"/>
      <c r="C612" s="7"/>
      <c r="D612" s="7"/>
      <c r="E612" s="14">
        <v>550</v>
      </c>
      <c r="F612" s="7"/>
      <c r="G612" s="7"/>
      <c r="H612" s="8"/>
      <c r="I612" s="9"/>
      <c r="J612" s="7"/>
      <c r="K612" s="7"/>
      <c r="L612" s="7"/>
      <c r="M612" s="14">
        <v>550</v>
      </c>
      <c r="N612" s="14">
        <v>550</v>
      </c>
      <c r="O612" s="14">
        <v>550</v>
      </c>
      <c r="P612" s="7"/>
      <c r="Q612" s="7"/>
      <c r="R612" s="14">
        <v>550</v>
      </c>
      <c r="S612" s="7"/>
      <c r="T612" s="7"/>
      <c r="U612" s="7"/>
      <c r="V612" s="14">
        <v>550</v>
      </c>
      <c r="W612" s="14">
        <v>550</v>
      </c>
      <c r="X612" s="7"/>
      <c r="Y612" s="7"/>
      <c r="Z612" s="7"/>
      <c r="AA612" s="7"/>
      <c r="AC612" s="70">
        <f t="shared" si="19"/>
        <v>550</v>
      </c>
      <c r="AD612" s="75">
        <f t="shared" si="20"/>
        <v>1</v>
      </c>
    </row>
    <row r="613" spans="1:34" outlineLevel="6">
      <c r="A613" s="3501" t="s">
        <v>443</v>
      </c>
      <c r="B613" s="3501"/>
      <c r="C613" s="7"/>
      <c r="D613" s="7"/>
      <c r="E613" s="14">
        <v>550</v>
      </c>
      <c r="F613" s="7"/>
      <c r="G613" s="7"/>
      <c r="H613" s="8"/>
      <c r="I613" s="9"/>
      <c r="J613" s="7"/>
      <c r="K613" s="7"/>
      <c r="L613" s="7"/>
      <c r="M613" s="14">
        <v>550</v>
      </c>
      <c r="N613" s="14">
        <v>550</v>
      </c>
      <c r="O613" s="14">
        <v>550</v>
      </c>
      <c r="P613" s="7"/>
      <c r="Q613" s="7"/>
      <c r="R613" s="14">
        <v>550</v>
      </c>
      <c r="S613" s="7"/>
      <c r="T613" s="7"/>
      <c r="U613" s="7"/>
      <c r="V613" s="14">
        <v>550</v>
      </c>
      <c r="W613" s="14">
        <v>550</v>
      </c>
      <c r="X613" s="7"/>
      <c r="Y613" s="7"/>
      <c r="Z613" s="7"/>
      <c r="AA613" s="7"/>
      <c r="AC613" s="70" t="str">
        <f t="shared" si="19"/>
        <v/>
      </c>
      <c r="AD613" s="75" t="str">
        <f t="shared" si="20"/>
        <v/>
      </c>
    </row>
    <row r="614" spans="1:34" outlineLevel="7">
      <c r="A614" s="3500" t="s">
        <v>444</v>
      </c>
      <c r="B614" s="3500"/>
      <c r="C614" s="7"/>
      <c r="D614" s="7"/>
      <c r="E614" s="14">
        <v>550</v>
      </c>
      <c r="F614" s="7"/>
      <c r="G614" s="7"/>
      <c r="H614" s="8"/>
      <c r="I614" s="9"/>
      <c r="J614" s="7"/>
      <c r="K614" s="7"/>
      <c r="L614" s="7"/>
      <c r="M614" s="14">
        <v>550</v>
      </c>
      <c r="N614" s="14">
        <v>550</v>
      </c>
      <c r="O614" s="14">
        <v>550</v>
      </c>
      <c r="P614" s="7"/>
      <c r="Q614" s="7"/>
      <c r="R614" s="14">
        <v>550</v>
      </c>
      <c r="S614" s="7"/>
      <c r="T614" s="7"/>
      <c r="U614" s="7"/>
      <c r="V614" s="14">
        <v>550</v>
      </c>
      <c r="W614" s="14">
        <v>550</v>
      </c>
      <c r="X614" s="7"/>
      <c r="Y614" s="7"/>
      <c r="Z614" s="7"/>
      <c r="AA614" s="7"/>
      <c r="AC614" s="70" t="str">
        <f t="shared" si="19"/>
        <v/>
      </c>
      <c r="AD614" s="75" t="str">
        <f t="shared" si="20"/>
        <v/>
      </c>
      <c r="AH614" t="s">
        <v>444</v>
      </c>
    </row>
    <row r="615" spans="1:34" outlineLevel="7">
      <c r="A615" s="3499" t="s">
        <v>1714</v>
      </c>
      <c r="B615" s="3499"/>
      <c r="C615" s="7"/>
      <c r="D615" s="7"/>
      <c r="E615" s="14">
        <v>550</v>
      </c>
      <c r="F615" s="7"/>
      <c r="G615" s="7"/>
      <c r="H615" s="8"/>
      <c r="I615" s="9"/>
      <c r="J615" s="7"/>
      <c r="K615" s="7"/>
      <c r="L615" s="7"/>
      <c r="M615" s="14">
        <v>550</v>
      </c>
      <c r="N615" s="14">
        <v>550</v>
      </c>
      <c r="O615" s="14">
        <v>550</v>
      </c>
      <c r="P615" s="7"/>
      <c r="Q615" s="7"/>
      <c r="R615" s="14">
        <v>550</v>
      </c>
      <c r="S615" s="7"/>
      <c r="T615" s="7"/>
      <c r="U615" s="7"/>
      <c r="V615" s="14">
        <v>550</v>
      </c>
      <c r="W615" s="14">
        <v>550</v>
      </c>
      <c r="X615" s="7"/>
      <c r="Y615" s="7"/>
      <c r="Z615" s="7"/>
      <c r="AA615" s="7"/>
      <c r="AC615" s="70">
        <f t="shared" si="19"/>
        <v>550</v>
      </c>
      <c r="AD615" s="75">
        <f t="shared" si="20"/>
        <v>1</v>
      </c>
    </row>
    <row r="616" spans="1:34" outlineLevel="6">
      <c r="A616" s="3501" t="s">
        <v>445</v>
      </c>
      <c r="B616" s="3501"/>
      <c r="C616" s="7"/>
      <c r="D616" s="7"/>
      <c r="E616" s="14">
        <v>550</v>
      </c>
      <c r="F616" s="7"/>
      <c r="G616" s="7"/>
      <c r="H616" s="8"/>
      <c r="I616" s="9"/>
      <c r="J616" s="7"/>
      <c r="K616" s="7"/>
      <c r="L616" s="7"/>
      <c r="M616" s="14">
        <v>550</v>
      </c>
      <c r="N616" s="14">
        <v>550</v>
      </c>
      <c r="O616" s="14">
        <v>550</v>
      </c>
      <c r="P616" s="7"/>
      <c r="Q616" s="7"/>
      <c r="R616" s="14">
        <v>550</v>
      </c>
      <c r="S616" s="7"/>
      <c r="T616" s="7"/>
      <c r="U616" s="7"/>
      <c r="V616" s="14">
        <v>550</v>
      </c>
      <c r="W616" s="14">
        <v>550</v>
      </c>
      <c r="X616" s="7"/>
      <c r="Y616" s="7"/>
      <c r="Z616" s="7"/>
      <c r="AA616" s="7"/>
      <c r="AC616" s="70" t="str">
        <f t="shared" si="19"/>
        <v/>
      </c>
      <c r="AD616" s="75" t="str">
        <f t="shared" si="20"/>
        <v/>
      </c>
    </row>
    <row r="617" spans="1:34" outlineLevel="7">
      <c r="A617" s="3500" t="s">
        <v>446</v>
      </c>
      <c r="B617" s="3500"/>
      <c r="C617" s="7"/>
      <c r="D617" s="7"/>
      <c r="E617" s="14">
        <v>550</v>
      </c>
      <c r="F617" s="7"/>
      <c r="G617" s="7"/>
      <c r="H617" s="8"/>
      <c r="I617" s="9"/>
      <c r="J617" s="7"/>
      <c r="K617" s="7"/>
      <c r="L617" s="7"/>
      <c r="M617" s="14">
        <v>550</v>
      </c>
      <c r="N617" s="14">
        <v>550</v>
      </c>
      <c r="O617" s="14">
        <v>550</v>
      </c>
      <c r="P617" s="7"/>
      <c r="Q617" s="7"/>
      <c r="R617" s="14">
        <v>550</v>
      </c>
      <c r="S617" s="7"/>
      <c r="T617" s="7"/>
      <c r="U617" s="7"/>
      <c r="V617" s="14">
        <v>550</v>
      </c>
      <c r="W617" s="14">
        <v>550</v>
      </c>
      <c r="X617" s="7"/>
      <c r="Y617" s="7"/>
      <c r="Z617" s="7"/>
      <c r="AA617" s="7"/>
      <c r="AC617" s="70" t="str">
        <f t="shared" si="19"/>
        <v/>
      </c>
      <c r="AD617" s="75" t="str">
        <f t="shared" si="20"/>
        <v/>
      </c>
      <c r="AH617" t="s">
        <v>446</v>
      </c>
    </row>
    <row r="618" spans="1:34" outlineLevel="7">
      <c r="A618" s="3499" t="s">
        <v>1715</v>
      </c>
      <c r="B618" s="3499"/>
      <c r="C618" s="7"/>
      <c r="D618" s="7"/>
      <c r="E618" s="14">
        <v>550</v>
      </c>
      <c r="F618" s="7"/>
      <c r="G618" s="7"/>
      <c r="H618" s="8"/>
      <c r="I618" s="9"/>
      <c r="J618" s="7"/>
      <c r="K618" s="7"/>
      <c r="L618" s="7"/>
      <c r="M618" s="14">
        <v>550</v>
      </c>
      <c r="N618" s="14">
        <v>550</v>
      </c>
      <c r="O618" s="14">
        <v>550</v>
      </c>
      <c r="P618" s="7"/>
      <c r="Q618" s="7"/>
      <c r="R618" s="14">
        <v>550</v>
      </c>
      <c r="S618" s="7"/>
      <c r="T618" s="7"/>
      <c r="U618" s="7"/>
      <c r="V618" s="14">
        <v>550</v>
      </c>
      <c r="W618" s="14">
        <v>550</v>
      </c>
      <c r="X618" s="7"/>
      <c r="Y618" s="7"/>
      <c r="Z618" s="7"/>
      <c r="AA618" s="7"/>
      <c r="AC618" s="70">
        <f t="shared" si="19"/>
        <v>550</v>
      </c>
      <c r="AD618" s="75">
        <f t="shared" si="20"/>
        <v>1</v>
      </c>
    </row>
    <row r="619" spans="1:34" outlineLevel="6">
      <c r="A619" s="3501" t="s">
        <v>447</v>
      </c>
      <c r="B619" s="3501"/>
      <c r="C619" s="7"/>
      <c r="D619" s="7"/>
      <c r="E619" s="14">
        <v>550</v>
      </c>
      <c r="F619" s="7"/>
      <c r="G619" s="7"/>
      <c r="H619" s="8"/>
      <c r="I619" s="9"/>
      <c r="J619" s="7"/>
      <c r="K619" s="7"/>
      <c r="L619" s="7"/>
      <c r="M619" s="14">
        <v>550</v>
      </c>
      <c r="N619" s="14">
        <v>550</v>
      </c>
      <c r="O619" s="14">
        <v>550</v>
      </c>
      <c r="P619" s="7"/>
      <c r="Q619" s="7"/>
      <c r="R619" s="14">
        <v>550</v>
      </c>
      <c r="S619" s="7"/>
      <c r="T619" s="7"/>
      <c r="U619" s="7"/>
      <c r="V619" s="14">
        <v>550</v>
      </c>
      <c r="W619" s="14">
        <v>550</v>
      </c>
      <c r="X619" s="7"/>
      <c r="Y619" s="7"/>
      <c r="Z619" s="7"/>
      <c r="AA619" s="7"/>
      <c r="AC619" s="70" t="str">
        <f t="shared" si="19"/>
        <v/>
      </c>
      <c r="AD619" s="75" t="str">
        <f t="shared" si="20"/>
        <v/>
      </c>
    </row>
    <row r="620" spans="1:34" outlineLevel="7">
      <c r="A620" s="3500" t="s">
        <v>448</v>
      </c>
      <c r="B620" s="3500"/>
      <c r="C620" s="7"/>
      <c r="D620" s="7"/>
      <c r="E620" s="14">
        <v>550</v>
      </c>
      <c r="F620" s="7"/>
      <c r="G620" s="7"/>
      <c r="H620" s="8"/>
      <c r="I620" s="9"/>
      <c r="J620" s="7"/>
      <c r="K620" s="7"/>
      <c r="L620" s="7"/>
      <c r="M620" s="14">
        <v>550</v>
      </c>
      <c r="N620" s="14">
        <v>550</v>
      </c>
      <c r="O620" s="14">
        <v>550</v>
      </c>
      <c r="P620" s="7"/>
      <c r="Q620" s="7"/>
      <c r="R620" s="14">
        <v>550</v>
      </c>
      <c r="S620" s="7"/>
      <c r="T620" s="7"/>
      <c r="U620" s="7"/>
      <c r="V620" s="14">
        <v>550</v>
      </c>
      <c r="W620" s="14">
        <v>550</v>
      </c>
      <c r="X620" s="7"/>
      <c r="Y620" s="7"/>
      <c r="Z620" s="7"/>
      <c r="AA620" s="7"/>
      <c r="AC620" s="70" t="str">
        <f t="shared" si="19"/>
        <v/>
      </c>
      <c r="AD620" s="75" t="str">
        <f t="shared" si="20"/>
        <v/>
      </c>
      <c r="AH620" t="s">
        <v>448</v>
      </c>
    </row>
    <row r="621" spans="1:34" outlineLevel="7">
      <c r="A621" s="3499" t="s">
        <v>1716</v>
      </c>
      <c r="B621" s="3499"/>
      <c r="C621" s="7"/>
      <c r="D621" s="7"/>
      <c r="E621" s="14">
        <v>550</v>
      </c>
      <c r="F621" s="7"/>
      <c r="G621" s="7"/>
      <c r="H621" s="8"/>
      <c r="I621" s="9"/>
      <c r="J621" s="7"/>
      <c r="K621" s="7"/>
      <c r="L621" s="7"/>
      <c r="M621" s="14">
        <v>550</v>
      </c>
      <c r="N621" s="14">
        <v>550</v>
      </c>
      <c r="O621" s="14">
        <v>550</v>
      </c>
      <c r="P621" s="7"/>
      <c r="Q621" s="7"/>
      <c r="R621" s="14">
        <v>550</v>
      </c>
      <c r="S621" s="7"/>
      <c r="T621" s="7"/>
      <c r="U621" s="7"/>
      <c r="V621" s="14">
        <v>550</v>
      </c>
      <c r="W621" s="14">
        <v>550</v>
      </c>
      <c r="X621" s="7"/>
      <c r="Y621" s="7"/>
      <c r="Z621" s="7"/>
      <c r="AA621" s="7"/>
      <c r="AC621" s="70">
        <f t="shared" si="19"/>
        <v>550</v>
      </c>
      <c r="AD621" s="75">
        <f t="shared" si="20"/>
        <v>1</v>
      </c>
    </row>
    <row r="622" spans="1:34" outlineLevel="6">
      <c r="A622" s="3501" t="s">
        <v>449</v>
      </c>
      <c r="B622" s="3501"/>
      <c r="C622" s="7"/>
      <c r="D622" s="7"/>
      <c r="E622" s="14">
        <v>550</v>
      </c>
      <c r="F622" s="7"/>
      <c r="G622" s="7"/>
      <c r="H622" s="8"/>
      <c r="I622" s="9"/>
      <c r="J622" s="7"/>
      <c r="K622" s="7"/>
      <c r="L622" s="7"/>
      <c r="M622" s="14">
        <v>550</v>
      </c>
      <c r="N622" s="14">
        <v>550</v>
      </c>
      <c r="O622" s="14">
        <v>550</v>
      </c>
      <c r="P622" s="7"/>
      <c r="Q622" s="7"/>
      <c r="R622" s="14">
        <v>550</v>
      </c>
      <c r="S622" s="7"/>
      <c r="T622" s="7"/>
      <c r="U622" s="7"/>
      <c r="V622" s="14">
        <v>550</v>
      </c>
      <c r="W622" s="14">
        <v>550</v>
      </c>
      <c r="X622" s="7"/>
      <c r="Y622" s="7"/>
      <c r="Z622" s="7"/>
      <c r="AA622" s="7"/>
      <c r="AC622" s="70" t="str">
        <f t="shared" si="19"/>
        <v/>
      </c>
      <c r="AD622" s="75" t="str">
        <f t="shared" si="20"/>
        <v/>
      </c>
    </row>
    <row r="623" spans="1:34" outlineLevel="7">
      <c r="A623" s="3500" t="s">
        <v>450</v>
      </c>
      <c r="B623" s="3500"/>
      <c r="C623" s="7"/>
      <c r="D623" s="7"/>
      <c r="E623" s="14">
        <v>550</v>
      </c>
      <c r="F623" s="7"/>
      <c r="G623" s="7"/>
      <c r="H623" s="8"/>
      <c r="I623" s="9"/>
      <c r="J623" s="7"/>
      <c r="K623" s="7"/>
      <c r="L623" s="7"/>
      <c r="M623" s="14">
        <v>550</v>
      </c>
      <c r="N623" s="14">
        <v>550</v>
      </c>
      <c r="O623" s="14">
        <v>550</v>
      </c>
      <c r="P623" s="7"/>
      <c r="Q623" s="7"/>
      <c r="R623" s="14">
        <v>550</v>
      </c>
      <c r="S623" s="7"/>
      <c r="T623" s="7"/>
      <c r="U623" s="7"/>
      <c r="V623" s="14">
        <v>550</v>
      </c>
      <c r="W623" s="14">
        <v>550</v>
      </c>
      <c r="X623" s="7"/>
      <c r="Y623" s="7"/>
      <c r="Z623" s="7"/>
      <c r="AA623" s="7"/>
      <c r="AC623" s="70" t="str">
        <f t="shared" si="19"/>
        <v/>
      </c>
      <c r="AD623" s="75" t="str">
        <f t="shared" si="20"/>
        <v/>
      </c>
      <c r="AH623" t="s">
        <v>3488</v>
      </c>
    </row>
    <row r="624" spans="1:34" outlineLevel="7">
      <c r="A624" s="3499" t="s">
        <v>1717</v>
      </c>
      <c r="B624" s="3499"/>
      <c r="C624" s="7"/>
      <c r="D624" s="7"/>
      <c r="E624" s="14">
        <v>550</v>
      </c>
      <c r="F624" s="7"/>
      <c r="G624" s="7"/>
      <c r="H624" s="8"/>
      <c r="I624" s="9"/>
      <c r="J624" s="7"/>
      <c r="K624" s="7"/>
      <c r="L624" s="7"/>
      <c r="M624" s="14">
        <v>550</v>
      </c>
      <c r="N624" s="14">
        <v>550</v>
      </c>
      <c r="O624" s="14">
        <v>550</v>
      </c>
      <c r="P624" s="7"/>
      <c r="Q624" s="7"/>
      <c r="R624" s="14">
        <v>550</v>
      </c>
      <c r="S624" s="7"/>
      <c r="T624" s="7"/>
      <c r="U624" s="7"/>
      <c r="V624" s="14">
        <v>550</v>
      </c>
      <c r="W624" s="14">
        <v>550</v>
      </c>
      <c r="X624" s="7"/>
      <c r="Y624" s="7"/>
      <c r="Z624" s="7"/>
      <c r="AA624" s="7"/>
      <c r="AC624" s="70">
        <f t="shared" si="19"/>
        <v>550</v>
      </c>
      <c r="AD624" s="75">
        <f t="shared" si="20"/>
        <v>1</v>
      </c>
    </row>
    <row r="625" spans="1:34" outlineLevel="6">
      <c r="A625" s="3501" t="s">
        <v>451</v>
      </c>
      <c r="B625" s="3501"/>
      <c r="C625" s="7"/>
      <c r="D625" s="7"/>
      <c r="E625" s="14">
        <v>550</v>
      </c>
      <c r="F625" s="7"/>
      <c r="G625" s="7"/>
      <c r="H625" s="8"/>
      <c r="I625" s="9"/>
      <c r="J625" s="7"/>
      <c r="K625" s="7"/>
      <c r="L625" s="7"/>
      <c r="M625" s="14">
        <v>550</v>
      </c>
      <c r="N625" s="14">
        <v>550</v>
      </c>
      <c r="O625" s="14">
        <v>550</v>
      </c>
      <c r="P625" s="7"/>
      <c r="Q625" s="7"/>
      <c r="R625" s="14">
        <v>550</v>
      </c>
      <c r="S625" s="7"/>
      <c r="T625" s="7"/>
      <c r="U625" s="7"/>
      <c r="V625" s="14">
        <v>550</v>
      </c>
      <c r="W625" s="14">
        <v>550</v>
      </c>
      <c r="X625" s="7"/>
      <c r="Y625" s="7"/>
      <c r="Z625" s="7"/>
      <c r="AA625" s="7"/>
      <c r="AC625" s="70" t="str">
        <f t="shared" si="19"/>
        <v/>
      </c>
      <c r="AD625" s="75" t="str">
        <f t="shared" si="20"/>
        <v/>
      </c>
    </row>
    <row r="626" spans="1:34" outlineLevel="7">
      <c r="A626" s="3500" t="s">
        <v>452</v>
      </c>
      <c r="B626" s="3500"/>
      <c r="C626" s="7"/>
      <c r="D626" s="7"/>
      <c r="E626" s="14">
        <v>550</v>
      </c>
      <c r="F626" s="7"/>
      <c r="G626" s="7"/>
      <c r="H626" s="8"/>
      <c r="I626" s="9"/>
      <c r="J626" s="7"/>
      <c r="K626" s="7"/>
      <c r="L626" s="7"/>
      <c r="M626" s="14">
        <v>550</v>
      </c>
      <c r="N626" s="14">
        <v>550</v>
      </c>
      <c r="O626" s="14">
        <v>550</v>
      </c>
      <c r="P626" s="7"/>
      <c r="Q626" s="7"/>
      <c r="R626" s="14">
        <v>550</v>
      </c>
      <c r="S626" s="7"/>
      <c r="T626" s="7"/>
      <c r="U626" s="7"/>
      <c r="V626" s="14">
        <v>550</v>
      </c>
      <c r="W626" s="14">
        <v>550</v>
      </c>
      <c r="X626" s="7"/>
      <c r="Y626" s="7"/>
      <c r="Z626" s="7"/>
      <c r="AA626" s="7"/>
      <c r="AC626" s="70" t="str">
        <f t="shared" si="19"/>
        <v/>
      </c>
      <c r="AD626" s="75" t="str">
        <f t="shared" si="20"/>
        <v/>
      </c>
      <c r="AH626" t="s">
        <v>452</v>
      </c>
    </row>
    <row r="627" spans="1:34" outlineLevel="7">
      <c r="A627" s="3499" t="s">
        <v>1718</v>
      </c>
      <c r="B627" s="3499"/>
      <c r="C627" s="7"/>
      <c r="D627" s="7"/>
      <c r="E627" s="14">
        <v>550</v>
      </c>
      <c r="F627" s="7"/>
      <c r="G627" s="7"/>
      <c r="H627" s="8"/>
      <c r="I627" s="9"/>
      <c r="J627" s="7"/>
      <c r="K627" s="7"/>
      <c r="L627" s="7"/>
      <c r="M627" s="14">
        <v>550</v>
      </c>
      <c r="N627" s="14">
        <v>550</v>
      </c>
      <c r="O627" s="14">
        <v>550</v>
      </c>
      <c r="P627" s="7"/>
      <c r="Q627" s="7"/>
      <c r="R627" s="14">
        <v>550</v>
      </c>
      <c r="S627" s="7"/>
      <c r="T627" s="7"/>
      <c r="U627" s="7"/>
      <c r="V627" s="14">
        <v>550</v>
      </c>
      <c r="W627" s="14">
        <v>550</v>
      </c>
      <c r="X627" s="7"/>
      <c r="Y627" s="7"/>
      <c r="Z627" s="7"/>
      <c r="AA627" s="7"/>
      <c r="AC627" s="70">
        <f t="shared" si="19"/>
        <v>550</v>
      </c>
      <c r="AD627" s="75">
        <f t="shared" si="20"/>
        <v>1</v>
      </c>
    </row>
    <row r="628" spans="1:34" outlineLevel="6">
      <c r="A628" s="3501" t="s">
        <v>453</v>
      </c>
      <c r="B628" s="3501"/>
      <c r="C628" s="7"/>
      <c r="D628" s="7"/>
      <c r="E628" s="14">
        <v>550</v>
      </c>
      <c r="F628" s="7"/>
      <c r="G628" s="7"/>
      <c r="H628" s="8"/>
      <c r="I628" s="9"/>
      <c r="J628" s="7"/>
      <c r="K628" s="7"/>
      <c r="L628" s="7"/>
      <c r="M628" s="14">
        <v>550</v>
      </c>
      <c r="N628" s="14">
        <v>550</v>
      </c>
      <c r="O628" s="14">
        <v>550</v>
      </c>
      <c r="P628" s="7"/>
      <c r="Q628" s="7"/>
      <c r="R628" s="14">
        <v>550</v>
      </c>
      <c r="S628" s="7"/>
      <c r="T628" s="7"/>
      <c r="U628" s="7"/>
      <c r="V628" s="14">
        <v>550</v>
      </c>
      <c r="W628" s="14">
        <v>550</v>
      </c>
      <c r="X628" s="7"/>
      <c r="Y628" s="7"/>
      <c r="Z628" s="7"/>
      <c r="AA628" s="7"/>
      <c r="AC628" s="70" t="str">
        <f t="shared" si="19"/>
        <v/>
      </c>
      <c r="AD628" s="75" t="str">
        <f t="shared" si="20"/>
        <v/>
      </c>
    </row>
    <row r="629" spans="1:34" outlineLevel="7">
      <c r="A629" s="3500" t="s">
        <v>454</v>
      </c>
      <c r="B629" s="3500"/>
      <c r="C629" s="7"/>
      <c r="D629" s="7"/>
      <c r="E629" s="14">
        <v>550</v>
      </c>
      <c r="F629" s="7"/>
      <c r="G629" s="7"/>
      <c r="H629" s="8"/>
      <c r="I629" s="9"/>
      <c r="J629" s="7"/>
      <c r="K629" s="7"/>
      <c r="L629" s="7"/>
      <c r="M629" s="14">
        <v>550</v>
      </c>
      <c r="N629" s="14">
        <v>550</v>
      </c>
      <c r="O629" s="14">
        <v>550</v>
      </c>
      <c r="P629" s="7"/>
      <c r="Q629" s="7"/>
      <c r="R629" s="14">
        <v>550</v>
      </c>
      <c r="S629" s="7"/>
      <c r="T629" s="7"/>
      <c r="U629" s="7"/>
      <c r="V629" s="14">
        <v>550</v>
      </c>
      <c r="W629" s="14">
        <v>550</v>
      </c>
      <c r="X629" s="7"/>
      <c r="Y629" s="7"/>
      <c r="Z629" s="7"/>
      <c r="AA629" s="7"/>
      <c r="AC629" s="70" t="str">
        <f t="shared" si="19"/>
        <v/>
      </c>
      <c r="AD629" s="75" t="str">
        <f t="shared" si="20"/>
        <v/>
      </c>
      <c r="AH629" t="s">
        <v>3433</v>
      </c>
    </row>
    <row r="630" spans="1:34" outlineLevel="7">
      <c r="A630" s="3499" t="s">
        <v>1719</v>
      </c>
      <c r="B630" s="3499"/>
      <c r="C630" s="7"/>
      <c r="D630" s="7"/>
      <c r="E630" s="14">
        <v>550</v>
      </c>
      <c r="F630" s="7"/>
      <c r="G630" s="7"/>
      <c r="H630" s="8"/>
      <c r="I630" s="9"/>
      <c r="J630" s="7"/>
      <c r="K630" s="7"/>
      <c r="L630" s="7"/>
      <c r="M630" s="14">
        <v>550</v>
      </c>
      <c r="N630" s="14">
        <v>550</v>
      </c>
      <c r="O630" s="14">
        <v>550</v>
      </c>
      <c r="P630" s="7"/>
      <c r="Q630" s="7"/>
      <c r="R630" s="14">
        <v>550</v>
      </c>
      <c r="S630" s="7"/>
      <c r="T630" s="7"/>
      <c r="U630" s="7"/>
      <c r="V630" s="14">
        <v>550</v>
      </c>
      <c r="W630" s="14">
        <v>550</v>
      </c>
      <c r="X630" s="7"/>
      <c r="Y630" s="7"/>
      <c r="Z630" s="7"/>
      <c r="AA630" s="7"/>
      <c r="AC630" s="70">
        <f t="shared" si="19"/>
        <v>550</v>
      </c>
      <c r="AD630" s="75">
        <f t="shared" si="20"/>
        <v>1</v>
      </c>
    </row>
    <row r="631" spans="1:34" outlineLevel="6">
      <c r="A631" s="3501" t="s">
        <v>455</v>
      </c>
      <c r="B631" s="3501"/>
      <c r="C631" s="7"/>
      <c r="D631" s="7"/>
      <c r="E631" s="14">
        <v>550</v>
      </c>
      <c r="F631" s="7"/>
      <c r="G631" s="7"/>
      <c r="H631" s="8"/>
      <c r="I631" s="9"/>
      <c r="J631" s="7"/>
      <c r="K631" s="7"/>
      <c r="L631" s="7"/>
      <c r="M631" s="14">
        <v>550</v>
      </c>
      <c r="N631" s="14">
        <v>550</v>
      </c>
      <c r="O631" s="14">
        <v>550</v>
      </c>
      <c r="P631" s="7"/>
      <c r="Q631" s="7"/>
      <c r="R631" s="14">
        <v>550</v>
      </c>
      <c r="S631" s="7"/>
      <c r="T631" s="7"/>
      <c r="U631" s="7"/>
      <c r="V631" s="14">
        <v>550</v>
      </c>
      <c r="W631" s="14">
        <v>550</v>
      </c>
      <c r="X631" s="7"/>
      <c r="Y631" s="7"/>
      <c r="Z631" s="7"/>
      <c r="AA631" s="7"/>
      <c r="AC631" s="70" t="str">
        <f t="shared" si="19"/>
        <v/>
      </c>
      <c r="AD631" s="75" t="str">
        <f t="shared" si="20"/>
        <v/>
      </c>
    </row>
    <row r="632" spans="1:34" outlineLevel="7">
      <c r="A632" s="3500" t="s">
        <v>456</v>
      </c>
      <c r="B632" s="3500"/>
      <c r="C632" s="7"/>
      <c r="D632" s="7"/>
      <c r="E632" s="14">
        <v>550</v>
      </c>
      <c r="F632" s="7"/>
      <c r="G632" s="7"/>
      <c r="H632" s="8"/>
      <c r="I632" s="9"/>
      <c r="J632" s="7"/>
      <c r="K632" s="7"/>
      <c r="L632" s="7"/>
      <c r="M632" s="14">
        <v>550</v>
      </c>
      <c r="N632" s="14">
        <v>550</v>
      </c>
      <c r="O632" s="14">
        <v>550</v>
      </c>
      <c r="P632" s="7"/>
      <c r="Q632" s="7"/>
      <c r="R632" s="14">
        <v>550</v>
      </c>
      <c r="S632" s="7"/>
      <c r="T632" s="7"/>
      <c r="U632" s="7"/>
      <c r="V632" s="14">
        <v>550</v>
      </c>
      <c r="W632" s="14">
        <v>550</v>
      </c>
      <c r="X632" s="7"/>
      <c r="Y632" s="7"/>
      <c r="Z632" s="7"/>
      <c r="AA632" s="7"/>
      <c r="AC632" s="70" t="str">
        <f t="shared" si="19"/>
        <v/>
      </c>
      <c r="AD632" s="75" t="str">
        <f t="shared" si="20"/>
        <v/>
      </c>
      <c r="AH632" t="s">
        <v>3360</v>
      </c>
    </row>
    <row r="633" spans="1:34" outlineLevel="7">
      <c r="A633" s="3499" t="s">
        <v>1720</v>
      </c>
      <c r="B633" s="3499"/>
      <c r="C633" s="7"/>
      <c r="D633" s="7"/>
      <c r="E633" s="14">
        <v>550</v>
      </c>
      <c r="F633" s="7"/>
      <c r="G633" s="7"/>
      <c r="H633" s="8"/>
      <c r="I633" s="9"/>
      <c r="J633" s="7"/>
      <c r="K633" s="7"/>
      <c r="L633" s="7"/>
      <c r="M633" s="14">
        <v>550</v>
      </c>
      <c r="N633" s="14">
        <v>550</v>
      </c>
      <c r="O633" s="14">
        <v>550</v>
      </c>
      <c r="P633" s="7"/>
      <c r="Q633" s="7"/>
      <c r="R633" s="14">
        <v>550</v>
      </c>
      <c r="S633" s="7"/>
      <c r="T633" s="7"/>
      <c r="U633" s="7"/>
      <c r="V633" s="14">
        <v>550</v>
      </c>
      <c r="W633" s="14">
        <v>550</v>
      </c>
      <c r="X633" s="7"/>
      <c r="Y633" s="7"/>
      <c r="Z633" s="7"/>
      <c r="AA633" s="7"/>
      <c r="AC633" s="70">
        <f t="shared" si="19"/>
        <v>550</v>
      </c>
      <c r="AD633" s="75">
        <f t="shared" si="20"/>
        <v>1</v>
      </c>
    </row>
    <row r="634" spans="1:34" outlineLevel="6">
      <c r="A634" s="3501" t="s">
        <v>457</v>
      </c>
      <c r="B634" s="3501"/>
      <c r="C634" s="7"/>
      <c r="D634" s="7"/>
      <c r="E634" s="14">
        <v>550</v>
      </c>
      <c r="F634" s="7"/>
      <c r="G634" s="7"/>
      <c r="H634" s="8"/>
      <c r="I634" s="9"/>
      <c r="J634" s="7"/>
      <c r="K634" s="7"/>
      <c r="L634" s="7"/>
      <c r="M634" s="14">
        <v>550</v>
      </c>
      <c r="N634" s="14">
        <v>550</v>
      </c>
      <c r="O634" s="14">
        <v>550</v>
      </c>
      <c r="P634" s="7"/>
      <c r="Q634" s="7"/>
      <c r="R634" s="14">
        <v>550</v>
      </c>
      <c r="S634" s="7"/>
      <c r="T634" s="7"/>
      <c r="U634" s="7"/>
      <c r="V634" s="14">
        <v>550</v>
      </c>
      <c r="W634" s="14">
        <v>550</v>
      </c>
      <c r="X634" s="7"/>
      <c r="Y634" s="7"/>
      <c r="Z634" s="7"/>
      <c r="AA634" s="7"/>
      <c r="AC634" s="70" t="str">
        <f t="shared" si="19"/>
        <v/>
      </c>
      <c r="AD634" s="75" t="str">
        <f t="shared" si="20"/>
        <v/>
      </c>
    </row>
    <row r="635" spans="1:34" outlineLevel="7">
      <c r="A635" s="3500" t="s">
        <v>458</v>
      </c>
      <c r="B635" s="3500"/>
      <c r="C635" s="7"/>
      <c r="D635" s="7"/>
      <c r="E635" s="14">
        <v>550</v>
      </c>
      <c r="F635" s="7"/>
      <c r="G635" s="7"/>
      <c r="H635" s="8"/>
      <c r="I635" s="9"/>
      <c r="J635" s="7"/>
      <c r="K635" s="7"/>
      <c r="L635" s="7"/>
      <c r="M635" s="14">
        <v>550</v>
      </c>
      <c r="N635" s="14">
        <v>550</v>
      </c>
      <c r="O635" s="14">
        <v>550</v>
      </c>
      <c r="P635" s="7"/>
      <c r="Q635" s="7"/>
      <c r="R635" s="14">
        <v>550</v>
      </c>
      <c r="S635" s="7"/>
      <c r="T635" s="7"/>
      <c r="U635" s="7"/>
      <c r="V635" s="14">
        <v>550</v>
      </c>
      <c r="W635" s="14">
        <v>550</v>
      </c>
      <c r="X635" s="7"/>
      <c r="Y635" s="7"/>
      <c r="Z635" s="7"/>
      <c r="AA635" s="7"/>
      <c r="AC635" s="70" t="str">
        <f t="shared" si="19"/>
        <v/>
      </c>
      <c r="AD635" s="75" t="str">
        <f t="shared" si="20"/>
        <v/>
      </c>
      <c r="AH635" t="s">
        <v>3502</v>
      </c>
    </row>
    <row r="636" spans="1:34" outlineLevel="7">
      <c r="A636" s="3499" t="s">
        <v>1721</v>
      </c>
      <c r="B636" s="3499"/>
      <c r="C636" s="7"/>
      <c r="D636" s="7"/>
      <c r="E636" s="14">
        <v>550</v>
      </c>
      <c r="F636" s="7"/>
      <c r="G636" s="7"/>
      <c r="H636" s="8"/>
      <c r="I636" s="9"/>
      <c r="J636" s="7"/>
      <c r="K636" s="7"/>
      <c r="L636" s="7"/>
      <c r="M636" s="14">
        <v>550</v>
      </c>
      <c r="N636" s="14">
        <v>550</v>
      </c>
      <c r="O636" s="14">
        <v>550</v>
      </c>
      <c r="P636" s="7"/>
      <c r="Q636" s="7"/>
      <c r="R636" s="14">
        <v>550</v>
      </c>
      <c r="S636" s="7"/>
      <c r="T636" s="7"/>
      <c r="U636" s="7"/>
      <c r="V636" s="14">
        <v>550</v>
      </c>
      <c r="W636" s="14">
        <v>550</v>
      </c>
      <c r="X636" s="7"/>
      <c r="Y636" s="7"/>
      <c r="Z636" s="7"/>
      <c r="AA636" s="7"/>
      <c r="AC636" s="70">
        <f t="shared" si="19"/>
        <v>550</v>
      </c>
      <c r="AD636" s="75">
        <f t="shared" si="20"/>
        <v>1</v>
      </c>
    </row>
    <row r="637" spans="1:34" outlineLevel="6">
      <c r="A637" s="3501" t="s">
        <v>459</v>
      </c>
      <c r="B637" s="3501"/>
      <c r="C637" s="7"/>
      <c r="D637" s="7"/>
      <c r="E637" s="14">
        <v>550</v>
      </c>
      <c r="F637" s="7"/>
      <c r="G637" s="7"/>
      <c r="H637" s="8"/>
      <c r="I637" s="9"/>
      <c r="J637" s="7"/>
      <c r="K637" s="7"/>
      <c r="L637" s="7"/>
      <c r="M637" s="14">
        <v>550</v>
      </c>
      <c r="N637" s="14">
        <v>550</v>
      </c>
      <c r="O637" s="14">
        <v>550</v>
      </c>
      <c r="P637" s="7"/>
      <c r="Q637" s="7"/>
      <c r="R637" s="14">
        <v>550</v>
      </c>
      <c r="S637" s="7"/>
      <c r="T637" s="7"/>
      <c r="U637" s="7"/>
      <c r="V637" s="14">
        <v>550</v>
      </c>
      <c r="W637" s="14">
        <v>550</v>
      </c>
      <c r="X637" s="7"/>
      <c r="Y637" s="7"/>
      <c r="Z637" s="7"/>
      <c r="AA637" s="7"/>
      <c r="AC637" s="70" t="str">
        <f t="shared" si="19"/>
        <v/>
      </c>
      <c r="AD637" s="75" t="str">
        <f t="shared" si="20"/>
        <v/>
      </c>
    </row>
    <row r="638" spans="1:34" outlineLevel="7">
      <c r="A638" s="3500" t="s">
        <v>460</v>
      </c>
      <c r="B638" s="3500"/>
      <c r="C638" s="7"/>
      <c r="D638" s="7"/>
      <c r="E638" s="14">
        <v>550</v>
      </c>
      <c r="F638" s="7"/>
      <c r="G638" s="7"/>
      <c r="H638" s="8"/>
      <c r="I638" s="9"/>
      <c r="J638" s="7"/>
      <c r="K638" s="7"/>
      <c r="L638" s="7"/>
      <c r="M638" s="14">
        <v>550</v>
      </c>
      <c r="N638" s="14">
        <v>550</v>
      </c>
      <c r="O638" s="14">
        <v>550</v>
      </c>
      <c r="P638" s="7"/>
      <c r="Q638" s="7"/>
      <c r="R638" s="14">
        <v>550</v>
      </c>
      <c r="S638" s="7"/>
      <c r="T638" s="7"/>
      <c r="U638" s="7"/>
      <c r="V638" s="14">
        <v>550</v>
      </c>
      <c r="W638" s="14">
        <v>550</v>
      </c>
      <c r="X638" s="7"/>
      <c r="Y638" s="7"/>
      <c r="Z638" s="7"/>
      <c r="AA638" s="7"/>
      <c r="AC638" s="70" t="str">
        <f t="shared" si="19"/>
        <v/>
      </c>
      <c r="AD638" s="75" t="str">
        <f t="shared" si="20"/>
        <v/>
      </c>
      <c r="AH638" t="s">
        <v>3475</v>
      </c>
    </row>
    <row r="639" spans="1:34" outlineLevel="7">
      <c r="A639" s="3499" t="s">
        <v>1722</v>
      </c>
      <c r="B639" s="3499"/>
      <c r="C639" s="7"/>
      <c r="D639" s="7"/>
      <c r="E639" s="14">
        <v>550</v>
      </c>
      <c r="F639" s="7"/>
      <c r="G639" s="7"/>
      <c r="H639" s="8"/>
      <c r="I639" s="9"/>
      <c r="J639" s="7"/>
      <c r="K639" s="7"/>
      <c r="L639" s="7"/>
      <c r="M639" s="14">
        <v>550</v>
      </c>
      <c r="N639" s="14">
        <v>550</v>
      </c>
      <c r="O639" s="14">
        <v>550</v>
      </c>
      <c r="P639" s="7"/>
      <c r="Q639" s="7"/>
      <c r="R639" s="14">
        <v>550</v>
      </c>
      <c r="S639" s="7"/>
      <c r="T639" s="7"/>
      <c r="U639" s="7"/>
      <c r="V639" s="14">
        <v>550</v>
      </c>
      <c r="W639" s="14">
        <v>550</v>
      </c>
      <c r="X639" s="7"/>
      <c r="Y639" s="7"/>
      <c r="Z639" s="7"/>
      <c r="AA639" s="7"/>
      <c r="AC639" s="70">
        <f t="shared" si="19"/>
        <v>550</v>
      </c>
      <c r="AD639" s="75">
        <f t="shared" si="20"/>
        <v>1</v>
      </c>
    </row>
    <row r="640" spans="1:34" outlineLevel="6">
      <c r="A640" s="3501" t="s">
        <v>461</v>
      </c>
      <c r="B640" s="3501"/>
      <c r="C640" s="7"/>
      <c r="D640" s="7"/>
      <c r="E640" s="14">
        <v>550</v>
      </c>
      <c r="F640" s="7"/>
      <c r="G640" s="7"/>
      <c r="H640" s="8"/>
      <c r="I640" s="9"/>
      <c r="J640" s="7"/>
      <c r="K640" s="7"/>
      <c r="L640" s="7"/>
      <c r="M640" s="14">
        <v>550</v>
      </c>
      <c r="N640" s="14">
        <v>550</v>
      </c>
      <c r="O640" s="14">
        <v>550</v>
      </c>
      <c r="P640" s="7"/>
      <c r="Q640" s="7"/>
      <c r="R640" s="14">
        <v>550</v>
      </c>
      <c r="S640" s="7"/>
      <c r="T640" s="7"/>
      <c r="U640" s="14">
        <v>550</v>
      </c>
      <c r="V640" s="7"/>
      <c r="W640" s="7"/>
      <c r="X640" s="7"/>
      <c r="Y640" s="7"/>
      <c r="Z640" s="7"/>
      <c r="AA640" s="7"/>
      <c r="AC640" s="70" t="str">
        <f t="shared" si="19"/>
        <v/>
      </c>
      <c r="AD640" s="75" t="str">
        <f t="shared" si="20"/>
        <v/>
      </c>
    </row>
    <row r="641" spans="1:34" outlineLevel="7">
      <c r="A641" s="3500" t="s">
        <v>462</v>
      </c>
      <c r="B641" s="3500"/>
      <c r="C641" s="7"/>
      <c r="D641" s="7"/>
      <c r="E641" s="14">
        <v>550</v>
      </c>
      <c r="F641" s="7"/>
      <c r="G641" s="7"/>
      <c r="H641" s="8"/>
      <c r="I641" s="9"/>
      <c r="J641" s="7"/>
      <c r="K641" s="7"/>
      <c r="L641" s="7"/>
      <c r="M641" s="14">
        <v>550</v>
      </c>
      <c r="N641" s="14">
        <v>550</v>
      </c>
      <c r="O641" s="14">
        <v>550</v>
      </c>
      <c r="P641" s="7"/>
      <c r="Q641" s="7"/>
      <c r="R641" s="14">
        <v>550</v>
      </c>
      <c r="S641" s="7"/>
      <c r="T641" s="7"/>
      <c r="U641" s="14">
        <v>550</v>
      </c>
      <c r="V641" s="7"/>
      <c r="W641" s="7"/>
      <c r="X641" s="7"/>
      <c r="Y641" s="7"/>
      <c r="Z641" s="7"/>
      <c r="AA641" s="7"/>
      <c r="AC641" s="70" t="str">
        <f t="shared" si="19"/>
        <v/>
      </c>
      <c r="AD641" s="75" t="str">
        <f t="shared" si="20"/>
        <v/>
      </c>
      <c r="AH641" t="s">
        <v>3389</v>
      </c>
    </row>
    <row r="642" spans="1:34" outlineLevel="7">
      <c r="A642" s="3499" t="s">
        <v>1723</v>
      </c>
      <c r="B642" s="3499"/>
      <c r="C642" s="7"/>
      <c r="D642" s="7"/>
      <c r="E642" s="14">
        <v>550</v>
      </c>
      <c r="F642" s="7"/>
      <c r="G642" s="7"/>
      <c r="H642" s="8"/>
      <c r="I642" s="9"/>
      <c r="J642" s="7"/>
      <c r="K642" s="7"/>
      <c r="L642" s="7"/>
      <c r="M642" s="14">
        <v>550</v>
      </c>
      <c r="N642" s="14">
        <v>550</v>
      </c>
      <c r="O642" s="14">
        <v>550</v>
      </c>
      <c r="P642" s="7"/>
      <c r="Q642" s="7"/>
      <c r="R642" s="14">
        <v>550</v>
      </c>
      <c r="S642" s="7"/>
      <c r="T642" s="7"/>
      <c r="U642" s="14">
        <v>550</v>
      </c>
      <c r="V642" s="7"/>
      <c r="W642" s="7"/>
      <c r="X642" s="7"/>
      <c r="Y642" s="7"/>
      <c r="Z642" s="7"/>
      <c r="AA642" s="7"/>
      <c r="AC642" s="70">
        <f t="shared" si="19"/>
        <v>550</v>
      </c>
      <c r="AD642" s="75">
        <f t="shared" si="20"/>
        <v>1</v>
      </c>
    </row>
    <row r="643" spans="1:34" outlineLevel="6">
      <c r="A643" s="3501" t="s">
        <v>463</v>
      </c>
      <c r="B643" s="3501"/>
      <c r="C643" s="7"/>
      <c r="D643" s="7"/>
      <c r="E643" s="14">
        <v>550</v>
      </c>
      <c r="F643" s="7"/>
      <c r="G643" s="7"/>
      <c r="H643" s="8"/>
      <c r="I643" s="9"/>
      <c r="J643" s="7"/>
      <c r="K643" s="7"/>
      <c r="L643" s="7"/>
      <c r="M643" s="14">
        <v>550</v>
      </c>
      <c r="N643" s="14">
        <v>550</v>
      </c>
      <c r="O643" s="14">
        <v>550</v>
      </c>
      <c r="P643" s="7"/>
      <c r="Q643" s="7"/>
      <c r="R643" s="14">
        <v>550</v>
      </c>
      <c r="S643" s="7"/>
      <c r="T643" s="7"/>
      <c r="U643" s="7"/>
      <c r="V643" s="14">
        <v>550</v>
      </c>
      <c r="W643" s="14">
        <v>550</v>
      </c>
      <c r="X643" s="7"/>
      <c r="Y643" s="7"/>
      <c r="Z643" s="7"/>
      <c r="AA643" s="7"/>
      <c r="AC643" s="70" t="str">
        <f t="shared" si="19"/>
        <v/>
      </c>
      <c r="AD643" s="75" t="str">
        <f t="shared" si="20"/>
        <v/>
      </c>
    </row>
    <row r="644" spans="1:34" outlineLevel="7">
      <c r="A644" s="3500" t="s">
        <v>464</v>
      </c>
      <c r="B644" s="3500"/>
      <c r="C644" s="7"/>
      <c r="D644" s="7"/>
      <c r="E644" s="14">
        <v>550</v>
      </c>
      <c r="F644" s="7"/>
      <c r="G644" s="7"/>
      <c r="H644" s="8"/>
      <c r="I644" s="9"/>
      <c r="J644" s="7"/>
      <c r="K644" s="7"/>
      <c r="L644" s="7"/>
      <c r="M644" s="14">
        <v>550</v>
      </c>
      <c r="N644" s="14">
        <v>550</v>
      </c>
      <c r="O644" s="14">
        <v>550</v>
      </c>
      <c r="P644" s="7"/>
      <c r="Q644" s="7"/>
      <c r="R644" s="14">
        <v>550</v>
      </c>
      <c r="S644" s="7"/>
      <c r="T644" s="7"/>
      <c r="U644" s="7"/>
      <c r="V644" s="14">
        <v>550</v>
      </c>
      <c r="W644" s="14">
        <v>550</v>
      </c>
      <c r="X644" s="7"/>
      <c r="Y644" s="7"/>
      <c r="Z644" s="7"/>
      <c r="AA644" s="7"/>
      <c r="AC644" s="70" t="str">
        <f t="shared" si="19"/>
        <v/>
      </c>
      <c r="AD644" s="75" t="str">
        <f t="shared" si="20"/>
        <v/>
      </c>
      <c r="AH644" t="s">
        <v>2680</v>
      </c>
    </row>
    <row r="645" spans="1:34" outlineLevel="7">
      <c r="A645" s="3499" t="s">
        <v>1724</v>
      </c>
      <c r="B645" s="3499"/>
      <c r="C645" s="7"/>
      <c r="D645" s="7"/>
      <c r="E645" s="14">
        <v>550</v>
      </c>
      <c r="F645" s="7"/>
      <c r="G645" s="7"/>
      <c r="H645" s="8"/>
      <c r="I645" s="9"/>
      <c r="J645" s="7"/>
      <c r="K645" s="7"/>
      <c r="L645" s="7"/>
      <c r="M645" s="14">
        <v>550</v>
      </c>
      <c r="N645" s="14">
        <v>550</v>
      </c>
      <c r="O645" s="14">
        <v>550</v>
      </c>
      <c r="P645" s="7"/>
      <c r="Q645" s="7"/>
      <c r="R645" s="14">
        <v>550</v>
      </c>
      <c r="S645" s="7"/>
      <c r="T645" s="7"/>
      <c r="U645" s="7"/>
      <c r="V645" s="14">
        <v>550</v>
      </c>
      <c r="W645" s="14">
        <v>550</v>
      </c>
      <c r="X645" s="7"/>
      <c r="Y645" s="7"/>
      <c r="Z645" s="7"/>
      <c r="AA645" s="7"/>
      <c r="AC645" s="70">
        <f t="shared" si="19"/>
        <v>550</v>
      </c>
      <c r="AD645" s="75">
        <f t="shared" si="20"/>
        <v>1</v>
      </c>
    </row>
    <row r="646" spans="1:34" outlineLevel="6">
      <c r="A646" s="3501" t="s">
        <v>465</v>
      </c>
      <c r="B646" s="3501"/>
      <c r="C646" s="7"/>
      <c r="D646" s="7"/>
      <c r="E646" s="14">
        <v>550</v>
      </c>
      <c r="F646" s="7"/>
      <c r="G646" s="7"/>
      <c r="H646" s="8"/>
      <c r="I646" s="9"/>
      <c r="J646" s="7"/>
      <c r="K646" s="7"/>
      <c r="L646" s="7"/>
      <c r="M646" s="14">
        <v>550</v>
      </c>
      <c r="N646" s="14">
        <v>550</v>
      </c>
      <c r="O646" s="14">
        <v>550</v>
      </c>
      <c r="P646" s="7"/>
      <c r="Q646" s="7"/>
      <c r="R646" s="14">
        <v>550</v>
      </c>
      <c r="S646" s="7"/>
      <c r="T646" s="7"/>
      <c r="U646" s="7"/>
      <c r="V646" s="14">
        <v>550</v>
      </c>
      <c r="W646" s="14">
        <v>550</v>
      </c>
      <c r="X646" s="7"/>
      <c r="Y646" s="7"/>
      <c r="Z646" s="7"/>
      <c r="AA646" s="7"/>
      <c r="AC646" s="70" t="str">
        <f t="shared" si="19"/>
        <v/>
      </c>
      <c r="AD646" s="75" t="str">
        <f t="shared" si="20"/>
        <v/>
      </c>
    </row>
    <row r="647" spans="1:34" outlineLevel="7">
      <c r="A647" s="3500" t="s">
        <v>466</v>
      </c>
      <c r="B647" s="3500"/>
      <c r="C647" s="7"/>
      <c r="D647" s="7"/>
      <c r="E647" s="14">
        <v>550</v>
      </c>
      <c r="F647" s="7"/>
      <c r="G647" s="7"/>
      <c r="H647" s="8"/>
      <c r="I647" s="9"/>
      <c r="J647" s="7"/>
      <c r="K647" s="7"/>
      <c r="L647" s="7"/>
      <c r="M647" s="14">
        <v>550</v>
      </c>
      <c r="N647" s="14">
        <v>550</v>
      </c>
      <c r="O647" s="14">
        <v>550</v>
      </c>
      <c r="P647" s="7"/>
      <c r="Q647" s="7"/>
      <c r="R647" s="14">
        <v>550</v>
      </c>
      <c r="S647" s="7"/>
      <c r="T647" s="7"/>
      <c r="U647" s="7"/>
      <c r="V647" s="14">
        <v>550</v>
      </c>
      <c r="W647" s="14">
        <v>550</v>
      </c>
      <c r="X647" s="7"/>
      <c r="Y647" s="7"/>
      <c r="Z647" s="7"/>
      <c r="AA647" s="7"/>
      <c r="AC647" s="70" t="str">
        <f t="shared" si="19"/>
        <v/>
      </c>
      <c r="AD647" s="75" t="str">
        <f t="shared" si="20"/>
        <v/>
      </c>
      <c r="AH647" t="s">
        <v>466</v>
      </c>
    </row>
    <row r="648" spans="1:34" outlineLevel="7">
      <c r="A648" s="3499" t="s">
        <v>1725</v>
      </c>
      <c r="B648" s="3499"/>
      <c r="C648" s="7"/>
      <c r="D648" s="7"/>
      <c r="E648" s="14">
        <v>550</v>
      </c>
      <c r="F648" s="7"/>
      <c r="G648" s="7"/>
      <c r="H648" s="8"/>
      <c r="I648" s="9"/>
      <c r="J648" s="7"/>
      <c r="K648" s="7"/>
      <c r="L648" s="7"/>
      <c r="M648" s="14">
        <v>550</v>
      </c>
      <c r="N648" s="14">
        <v>550</v>
      </c>
      <c r="O648" s="14">
        <v>550</v>
      </c>
      <c r="P648" s="7"/>
      <c r="Q648" s="7"/>
      <c r="R648" s="14">
        <v>550</v>
      </c>
      <c r="S648" s="7"/>
      <c r="T648" s="7"/>
      <c r="U648" s="7"/>
      <c r="V648" s="14">
        <v>550</v>
      </c>
      <c r="W648" s="14">
        <v>550</v>
      </c>
      <c r="X648" s="7"/>
      <c r="Y648" s="7"/>
      <c r="Z648" s="7"/>
      <c r="AA648" s="7"/>
      <c r="AC648" s="70">
        <f t="shared" si="19"/>
        <v>550</v>
      </c>
      <c r="AD648" s="75">
        <f t="shared" si="20"/>
        <v>1</v>
      </c>
    </row>
    <row r="649" spans="1:34" outlineLevel="6">
      <c r="A649" s="3501" t="s">
        <v>467</v>
      </c>
      <c r="B649" s="3501"/>
      <c r="C649" s="7"/>
      <c r="D649" s="7"/>
      <c r="E649" s="14">
        <v>550</v>
      </c>
      <c r="F649" s="7"/>
      <c r="G649" s="7"/>
      <c r="H649" s="8"/>
      <c r="I649" s="9"/>
      <c r="J649" s="7"/>
      <c r="K649" s="7"/>
      <c r="L649" s="7"/>
      <c r="M649" s="14">
        <v>550</v>
      </c>
      <c r="N649" s="14">
        <v>550</v>
      </c>
      <c r="O649" s="14">
        <v>550</v>
      </c>
      <c r="P649" s="7"/>
      <c r="Q649" s="7"/>
      <c r="R649" s="14">
        <v>550</v>
      </c>
      <c r="S649" s="7"/>
      <c r="T649" s="7"/>
      <c r="U649" s="7"/>
      <c r="V649" s="14">
        <v>550</v>
      </c>
      <c r="W649" s="14">
        <v>550</v>
      </c>
      <c r="X649" s="7"/>
      <c r="Y649" s="7"/>
      <c r="Z649" s="7"/>
      <c r="AA649" s="7"/>
      <c r="AC649" s="70" t="str">
        <f t="shared" si="19"/>
        <v/>
      </c>
      <c r="AD649" s="75" t="str">
        <f t="shared" si="20"/>
        <v/>
      </c>
    </row>
    <row r="650" spans="1:34" outlineLevel="7">
      <c r="A650" s="3500" t="s">
        <v>468</v>
      </c>
      <c r="B650" s="3500"/>
      <c r="C650" s="7"/>
      <c r="D650" s="7"/>
      <c r="E650" s="14">
        <v>550</v>
      </c>
      <c r="F650" s="7"/>
      <c r="G650" s="7"/>
      <c r="H650" s="8"/>
      <c r="I650" s="9"/>
      <c r="J650" s="7"/>
      <c r="K650" s="7"/>
      <c r="L650" s="7"/>
      <c r="M650" s="14">
        <v>550</v>
      </c>
      <c r="N650" s="14">
        <v>550</v>
      </c>
      <c r="O650" s="14">
        <v>550</v>
      </c>
      <c r="P650" s="7"/>
      <c r="Q650" s="7"/>
      <c r="R650" s="14">
        <v>550</v>
      </c>
      <c r="S650" s="7"/>
      <c r="T650" s="7"/>
      <c r="U650" s="7"/>
      <c r="V650" s="14">
        <v>550</v>
      </c>
      <c r="W650" s="14">
        <v>550</v>
      </c>
      <c r="X650" s="7"/>
      <c r="Y650" s="7"/>
      <c r="Z650" s="7"/>
      <c r="AA650" s="7"/>
      <c r="AC650" s="70" t="str">
        <f t="shared" si="19"/>
        <v/>
      </c>
      <c r="AD650" s="75" t="str">
        <f t="shared" si="20"/>
        <v/>
      </c>
      <c r="AH650" t="s">
        <v>3358</v>
      </c>
    </row>
    <row r="651" spans="1:34" outlineLevel="7">
      <c r="A651" s="3499" t="s">
        <v>1726</v>
      </c>
      <c r="B651" s="3499"/>
      <c r="C651" s="7"/>
      <c r="D651" s="7"/>
      <c r="E651" s="14">
        <v>550</v>
      </c>
      <c r="F651" s="7"/>
      <c r="G651" s="7"/>
      <c r="H651" s="8"/>
      <c r="I651" s="9"/>
      <c r="J651" s="7"/>
      <c r="K651" s="7"/>
      <c r="L651" s="7"/>
      <c r="M651" s="14">
        <v>550</v>
      </c>
      <c r="N651" s="14">
        <v>550</v>
      </c>
      <c r="O651" s="14">
        <v>550</v>
      </c>
      <c r="P651" s="7"/>
      <c r="Q651" s="7"/>
      <c r="R651" s="14">
        <v>550</v>
      </c>
      <c r="S651" s="7"/>
      <c r="T651" s="7"/>
      <c r="U651" s="7"/>
      <c r="V651" s="14">
        <v>550</v>
      </c>
      <c r="W651" s="14">
        <v>550</v>
      </c>
      <c r="X651" s="7"/>
      <c r="Y651" s="7"/>
      <c r="Z651" s="7"/>
      <c r="AA651" s="7"/>
      <c r="AC651" s="70">
        <f t="shared" si="19"/>
        <v>550</v>
      </c>
      <c r="AD651" s="75">
        <f t="shared" si="20"/>
        <v>1</v>
      </c>
    </row>
    <row r="652" spans="1:34" outlineLevel="6">
      <c r="A652" s="3501" t="s">
        <v>469</v>
      </c>
      <c r="B652" s="3501"/>
      <c r="C652" s="7"/>
      <c r="D652" s="7"/>
      <c r="E652" s="14">
        <v>550</v>
      </c>
      <c r="F652" s="7"/>
      <c r="G652" s="7"/>
      <c r="H652" s="8"/>
      <c r="I652" s="9"/>
      <c r="J652" s="7"/>
      <c r="K652" s="7"/>
      <c r="L652" s="7"/>
      <c r="M652" s="14">
        <v>550</v>
      </c>
      <c r="N652" s="14">
        <v>550</v>
      </c>
      <c r="O652" s="14">
        <v>550</v>
      </c>
      <c r="P652" s="7"/>
      <c r="Q652" s="7"/>
      <c r="R652" s="14">
        <v>550</v>
      </c>
      <c r="S652" s="7"/>
      <c r="T652" s="7"/>
      <c r="U652" s="7"/>
      <c r="V652" s="14">
        <v>550</v>
      </c>
      <c r="W652" s="14">
        <v>550</v>
      </c>
      <c r="X652" s="7"/>
      <c r="Y652" s="7"/>
      <c r="Z652" s="7"/>
      <c r="AA652" s="7"/>
      <c r="AC652" s="70" t="str">
        <f t="shared" si="19"/>
        <v/>
      </c>
      <c r="AD652" s="75" t="str">
        <f t="shared" si="20"/>
        <v/>
      </c>
    </row>
    <row r="653" spans="1:34" outlineLevel="7">
      <c r="A653" s="3500" t="s">
        <v>470</v>
      </c>
      <c r="B653" s="3500"/>
      <c r="C653" s="7"/>
      <c r="D653" s="7"/>
      <c r="E653" s="14">
        <v>550</v>
      </c>
      <c r="F653" s="7"/>
      <c r="G653" s="7"/>
      <c r="H653" s="8"/>
      <c r="I653" s="9"/>
      <c r="J653" s="7"/>
      <c r="K653" s="7"/>
      <c r="L653" s="7"/>
      <c r="M653" s="14">
        <v>550</v>
      </c>
      <c r="N653" s="14">
        <v>550</v>
      </c>
      <c r="O653" s="14">
        <v>550</v>
      </c>
      <c r="P653" s="7"/>
      <c r="Q653" s="7"/>
      <c r="R653" s="14">
        <v>550</v>
      </c>
      <c r="S653" s="7"/>
      <c r="T653" s="7"/>
      <c r="U653" s="7"/>
      <c r="V653" s="14">
        <v>550</v>
      </c>
      <c r="W653" s="14">
        <v>550</v>
      </c>
      <c r="X653" s="7"/>
      <c r="Y653" s="7"/>
      <c r="Z653" s="7"/>
      <c r="AA653" s="7"/>
      <c r="AC653" s="70" t="str">
        <f t="shared" si="19"/>
        <v/>
      </c>
      <c r="AD653" s="75" t="str">
        <f t="shared" si="20"/>
        <v/>
      </c>
      <c r="AH653" t="s">
        <v>3463</v>
      </c>
    </row>
    <row r="654" spans="1:34" outlineLevel="7">
      <c r="A654" s="3499" t="s">
        <v>1727</v>
      </c>
      <c r="B654" s="3499"/>
      <c r="C654" s="7"/>
      <c r="D654" s="7"/>
      <c r="E654" s="14">
        <v>550</v>
      </c>
      <c r="F654" s="7"/>
      <c r="G654" s="7"/>
      <c r="H654" s="8"/>
      <c r="I654" s="9"/>
      <c r="J654" s="7"/>
      <c r="K654" s="7"/>
      <c r="L654" s="7"/>
      <c r="M654" s="14">
        <v>550</v>
      </c>
      <c r="N654" s="14">
        <v>550</v>
      </c>
      <c r="O654" s="14">
        <v>550</v>
      </c>
      <c r="P654" s="7"/>
      <c r="Q654" s="7"/>
      <c r="R654" s="14">
        <v>550</v>
      </c>
      <c r="S654" s="7"/>
      <c r="T654" s="7"/>
      <c r="U654" s="7"/>
      <c r="V654" s="14">
        <v>550</v>
      </c>
      <c r="W654" s="14">
        <v>550</v>
      </c>
      <c r="X654" s="7"/>
      <c r="Y654" s="7"/>
      <c r="Z654" s="7"/>
      <c r="AA654" s="7"/>
      <c r="AC654" s="70">
        <f t="shared" si="19"/>
        <v>550</v>
      </c>
      <c r="AD654" s="75">
        <f t="shared" si="20"/>
        <v>1</v>
      </c>
    </row>
    <row r="655" spans="1:34" outlineLevel="6">
      <c r="A655" s="3501" t="s">
        <v>471</v>
      </c>
      <c r="B655" s="3501"/>
      <c r="C655" s="7"/>
      <c r="D655" s="7"/>
      <c r="E655" s="14">
        <v>550</v>
      </c>
      <c r="F655" s="7"/>
      <c r="G655" s="7"/>
      <c r="H655" s="8"/>
      <c r="I655" s="9"/>
      <c r="J655" s="7"/>
      <c r="K655" s="7"/>
      <c r="L655" s="7"/>
      <c r="M655" s="14">
        <v>550</v>
      </c>
      <c r="N655" s="14">
        <v>550</v>
      </c>
      <c r="O655" s="14">
        <v>550</v>
      </c>
      <c r="P655" s="7"/>
      <c r="Q655" s="7"/>
      <c r="R655" s="14">
        <v>550</v>
      </c>
      <c r="S655" s="7"/>
      <c r="T655" s="7"/>
      <c r="U655" s="7"/>
      <c r="V655" s="14">
        <v>550</v>
      </c>
      <c r="W655" s="14">
        <v>550</v>
      </c>
      <c r="X655" s="7"/>
      <c r="Y655" s="7"/>
      <c r="Z655" s="7"/>
      <c r="AA655" s="7"/>
      <c r="AC655" s="70" t="str">
        <f t="shared" si="19"/>
        <v/>
      </c>
      <c r="AD655" s="75" t="str">
        <f t="shared" si="20"/>
        <v/>
      </c>
    </row>
    <row r="656" spans="1:34" outlineLevel="7">
      <c r="A656" s="3500" t="s">
        <v>472</v>
      </c>
      <c r="B656" s="3500"/>
      <c r="C656" s="7"/>
      <c r="D656" s="7"/>
      <c r="E656" s="14">
        <v>550</v>
      </c>
      <c r="F656" s="7"/>
      <c r="G656" s="7"/>
      <c r="H656" s="8"/>
      <c r="I656" s="9"/>
      <c r="J656" s="7"/>
      <c r="K656" s="7"/>
      <c r="L656" s="7"/>
      <c r="M656" s="14">
        <v>550</v>
      </c>
      <c r="N656" s="14">
        <v>550</v>
      </c>
      <c r="O656" s="14">
        <v>550</v>
      </c>
      <c r="P656" s="7"/>
      <c r="Q656" s="7"/>
      <c r="R656" s="14">
        <v>550</v>
      </c>
      <c r="S656" s="7"/>
      <c r="T656" s="7"/>
      <c r="U656" s="7"/>
      <c r="V656" s="14">
        <v>550</v>
      </c>
      <c r="W656" s="14">
        <v>550</v>
      </c>
      <c r="X656" s="7"/>
      <c r="Y656" s="7"/>
      <c r="Z656" s="7"/>
      <c r="AA656" s="7"/>
      <c r="AC656" s="70" t="str">
        <f t="shared" si="19"/>
        <v/>
      </c>
      <c r="AD656" s="75" t="str">
        <f t="shared" si="20"/>
        <v/>
      </c>
      <c r="AH656" t="s">
        <v>3453</v>
      </c>
    </row>
    <row r="657" spans="1:34" outlineLevel="7">
      <c r="A657" s="3499" t="s">
        <v>1728</v>
      </c>
      <c r="B657" s="3499"/>
      <c r="C657" s="7"/>
      <c r="D657" s="7"/>
      <c r="E657" s="14">
        <v>550</v>
      </c>
      <c r="F657" s="7"/>
      <c r="G657" s="7"/>
      <c r="H657" s="8"/>
      <c r="I657" s="9"/>
      <c r="J657" s="7"/>
      <c r="K657" s="7"/>
      <c r="L657" s="7"/>
      <c r="M657" s="14">
        <v>550</v>
      </c>
      <c r="N657" s="14">
        <v>550</v>
      </c>
      <c r="O657" s="14">
        <v>550</v>
      </c>
      <c r="P657" s="7"/>
      <c r="Q657" s="7"/>
      <c r="R657" s="14">
        <v>550</v>
      </c>
      <c r="S657" s="7"/>
      <c r="T657" s="7"/>
      <c r="U657" s="7"/>
      <c r="V657" s="14">
        <v>550</v>
      </c>
      <c r="W657" s="14">
        <v>550</v>
      </c>
      <c r="X657" s="7"/>
      <c r="Y657" s="7"/>
      <c r="Z657" s="7"/>
      <c r="AA657" s="7"/>
      <c r="AC657" s="70">
        <f t="shared" ref="AC657:AC720" si="21">IF(LEFT($A657,5)="Реали",$E657,"")</f>
        <v>550</v>
      </c>
      <c r="AD657" s="75">
        <f t="shared" ref="AD657:AD720" si="22">IF(AC657=550,1,"")</f>
        <v>1</v>
      </c>
    </row>
    <row r="658" spans="1:34" outlineLevel="6">
      <c r="A658" s="3501" t="s">
        <v>473</v>
      </c>
      <c r="B658" s="3501"/>
      <c r="C658" s="7"/>
      <c r="D658" s="7"/>
      <c r="E658" s="14">
        <v>550</v>
      </c>
      <c r="F658" s="7"/>
      <c r="G658" s="7"/>
      <c r="H658" s="8"/>
      <c r="I658" s="9"/>
      <c r="J658" s="7"/>
      <c r="K658" s="7"/>
      <c r="L658" s="7"/>
      <c r="M658" s="14">
        <v>550</v>
      </c>
      <c r="N658" s="14">
        <v>550</v>
      </c>
      <c r="O658" s="14">
        <v>550</v>
      </c>
      <c r="P658" s="7"/>
      <c r="Q658" s="7"/>
      <c r="R658" s="14">
        <v>550</v>
      </c>
      <c r="S658" s="7"/>
      <c r="T658" s="7"/>
      <c r="U658" s="7"/>
      <c r="V658" s="14">
        <v>550</v>
      </c>
      <c r="W658" s="14">
        <v>550</v>
      </c>
      <c r="X658" s="7"/>
      <c r="Y658" s="7"/>
      <c r="Z658" s="7"/>
      <c r="AA658" s="7"/>
      <c r="AC658" s="70" t="str">
        <f t="shared" si="21"/>
        <v/>
      </c>
      <c r="AD658" s="75" t="str">
        <f t="shared" si="22"/>
        <v/>
      </c>
    </row>
    <row r="659" spans="1:34" outlineLevel="7">
      <c r="A659" s="3500" t="s">
        <v>474</v>
      </c>
      <c r="B659" s="3500"/>
      <c r="C659" s="7"/>
      <c r="D659" s="7"/>
      <c r="E659" s="14">
        <v>550</v>
      </c>
      <c r="F659" s="7"/>
      <c r="G659" s="7"/>
      <c r="H659" s="8"/>
      <c r="I659" s="9"/>
      <c r="J659" s="7"/>
      <c r="K659" s="7"/>
      <c r="L659" s="7"/>
      <c r="M659" s="14">
        <v>550</v>
      </c>
      <c r="N659" s="14">
        <v>550</v>
      </c>
      <c r="O659" s="14">
        <v>550</v>
      </c>
      <c r="P659" s="7"/>
      <c r="Q659" s="7"/>
      <c r="R659" s="14">
        <v>550</v>
      </c>
      <c r="S659" s="7"/>
      <c r="T659" s="7"/>
      <c r="U659" s="7"/>
      <c r="V659" s="14">
        <v>550</v>
      </c>
      <c r="W659" s="14">
        <v>550</v>
      </c>
      <c r="X659" s="7"/>
      <c r="Y659" s="7"/>
      <c r="Z659" s="7"/>
      <c r="AA659" s="7"/>
      <c r="AC659" s="70" t="str">
        <f t="shared" si="21"/>
        <v/>
      </c>
      <c r="AD659" s="75" t="str">
        <f t="shared" si="22"/>
        <v/>
      </c>
      <c r="AH659" t="s">
        <v>3469</v>
      </c>
    </row>
    <row r="660" spans="1:34" outlineLevel="7">
      <c r="A660" s="3499" t="s">
        <v>1729</v>
      </c>
      <c r="B660" s="3499"/>
      <c r="C660" s="7"/>
      <c r="D660" s="7"/>
      <c r="E660" s="14">
        <v>550</v>
      </c>
      <c r="F660" s="7"/>
      <c r="G660" s="7"/>
      <c r="H660" s="8"/>
      <c r="I660" s="9"/>
      <c r="J660" s="7"/>
      <c r="K660" s="7"/>
      <c r="L660" s="7"/>
      <c r="M660" s="14">
        <v>550</v>
      </c>
      <c r="N660" s="14">
        <v>550</v>
      </c>
      <c r="O660" s="14">
        <v>550</v>
      </c>
      <c r="P660" s="7"/>
      <c r="Q660" s="7"/>
      <c r="R660" s="14">
        <v>550</v>
      </c>
      <c r="S660" s="7"/>
      <c r="T660" s="7"/>
      <c r="U660" s="7"/>
      <c r="V660" s="14">
        <v>550</v>
      </c>
      <c r="W660" s="14">
        <v>550</v>
      </c>
      <c r="X660" s="7"/>
      <c r="Y660" s="7"/>
      <c r="Z660" s="7"/>
      <c r="AA660" s="7"/>
      <c r="AC660" s="70">
        <f t="shared" si="21"/>
        <v>550</v>
      </c>
      <c r="AD660" s="75">
        <f t="shared" si="22"/>
        <v>1</v>
      </c>
    </row>
    <row r="661" spans="1:34" outlineLevel="6">
      <c r="A661" s="3501" t="s">
        <v>475</v>
      </c>
      <c r="B661" s="3501"/>
      <c r="C661" s="7"/>
      <c r="D661" s="7"/>
      <c r="E661" s="14">
        <v>550</v>
      </c>
      <c r="F661" s="7"/>
      <c r="G661" s="7"/>
      <c r="H661" s="8"/>
      <c r="I661" s="9"/>
      <c r="J661" s="7"/>
      <c r="K661" s="7"/>
      <c r="L661" s="7"/>
      <c r="M661" s="14">
        <v>550</v>
      </c>
      <c r="N661" s="14">
        <v>550</v>
      </c>
      <c r="O661" s="14">
        <v>550</v>
      </c>
      <c r="P661" s="7"/>
      <c r="Q661" s="7"/>
      <c r="R661" s="14">
        <v>550</v>
      </c>
      <c r="S661" s="7"/>
      <c r="T661" s="7"/>
      <c r="U661" s="7"/>
      <c r="V661" s="14">
        <v>550</v>
      </c>
      <c r="W661" s="14">
        <v>550</v>
      </c>
      <c r="X661" s="7"/>
      <c r="Y661" s="7"/>
      <c r="Z661" s="7"/>
      <c r="AA661" s="7"/>
      <c r="AC661" s="70" t="str">
        <f t="shared" si="21"/>
        <v/>
      </c>
      <c r="AD661" s="75" t="str">
        <f t="shared" si="22"/>
        <v/>
      </c>
    </row>
    <row r="662" spans="1:34" outlineLevel="7">
      <c r="A662" s="3500" t="s">
        <v>476</v>
      </c>
      <c r="B662" s="3500"/>
      <c r="C662" s="7"/>
      <c r="D662" s="7"/>
      <c r="E662" s="14">
        <v>550</v>
      </c>
      <c r="F662" s="7"/>
      <c r="G662" s="7"/>
      <c r="H662" s="8"/>
      <c r="I662" s="9"/>
      <c r="J662" s="7"/>
      <c r="K662" s="7"/>
      <c r="L662" s="7"/>
      <c r="M662" s="14">
        <v>550</v>
      </c>
      <c r="N662" s="14">
        <v>550</v>
      </c>
      <c r="O662" s="14">
        <v>550</v>
      </c>
      <c r="P662" s="7"/>
      <c r="Q662" s="7"/>
      <c r="R662" s="14">
        <v>550</v>
      </c>
      <c r="S662" s="7"/>
      <c r="T662" s="7"/>
      <c r="U662" s="7"/>
      <c r="V662" s="14">
        <v>550</v>
      </c>
      <c r="W662" s="14">
        <v>550</v>
      </c>
      <c r="X662" s="7"/>
      <c r="Y662" s="7"/>
      <c r="Z662" s="7"/>
      <c r="AA662" s="7"/>
      <c r="AC662" s="70" t="str">
        <f t="shared" si="21"/>
        <v/>
      </c>
      <c r="AD662" s="75" t="str">
        <f t="shared" si="22"/>
        <v/>
      </c>
      <c r="AH662" t="s">
        <v>3516</v>
      </c>
    </row>
    <row r="663" spans="1:34" outlineLevel="7">
      <c r="A663" s="3499" t="s">
        <v>1730</v>
      </c>
      <c r="B663" s="3499"/>
      <c r="C663" s="7"/>
      <c r="D663" s="7"/>
      <c r="E663" s="14">
        <v>550</v>
      </c>
      <c r="F663" s="7"/>
      <c r="G663" s="7"/>
      <c r="H663" s="8"/>
      <c r="I663" s="9"/>
      <c r="J663" s="7"/>
      <c r="K663" s="7"/>
      <c r="L663" s="7"/>
      <c r="M663" s="14">
        <v>550</v>
      </c>
      <c r="N663" s="14">
        <v>550</v>
      </c>
      <c r="O663" s="14">
        <v>550</v>
      </c>
      <c r="P663" s="7"/>
      <c r="Q663" s="7"/>
      <c r="R663" s="14">
        <v>550</v>
      </c>
      <c r="S663" s="7"/>
      <c r="T663" s="7"/>
      <c r="U663" s="7"/>
      <c r="V663" s="14">
        <v>550</v>
      </c>
      <c r="W663" s="14">
        <v>550</v>
      </c>
      <c r="X663" s="7"/>
      <c r="Y663" s="7"/>
      <c r="Z663" s="7"/>
      <c r="AA663" s="7"/>
      <c r="AC663" s="70">
        <f t="shared" si="21"/>
        <v>550</v>
      </c>
      <c r="AD663" s="75">
        <f t="shared" si="22"/>
        <v>1</v>
      </c>
    </row>
    <row r="664" spans="1:34" outlineLevel="6">
      <c r="A664" s="3501" t="s">
        <v>477</v>
      </c>
      <c r="B664" s="3501"/>
      <c r="C664" s="7"/>
      <c r="D664" s="7"/>
      <c r="E664" s="14">
        <v>550</v>
      </c>
      <c r="F664" s="7"/>
      <c r="G664" s="7"/>
      <c r="H664" s="8"/>
      <c r="I664" s="9"/>
      <c r="J664" s="7"/>
      <c r="K664" s="7"/>
      <c r="L664" s="7"/>
      <c r="M664" s="14">
        <v>550</v>
      </c>
      <c r="N664" s="14">
        <v>550</v>
      </c>
      <c r="O664" s="14">
        <v>550</v>
      </c>
      <c r="P664" s="7"/>
      <c r="Q664" s="7"/>
      <c r="R664" s="14">
        <v>550</v>
      </c>
      <c r="S664" s="7"/>
      <c r="T664" s="7"/>
      <c r="U664" s="7"/>
      <c r="V664" s="14">
        <v>550</v>
      </c>
      <c r="W664" s="14">
        <v>550</v>
      </c>
      <c r="X664" s="7"/>
      <c r="Y664" s="7"/>
      <c r="Z664" s="7"/>
      <c r="AA664" s="7"/>
      <c r="AC664" s="70" t="str">
        <f t="shared" si="21"/>
        <v/>
      </c>
      <c r="AD664" s="75" t="str">
        <f t="shared" si="22"/>
        <v/>
      </c>
    </row>
    <row r="665" spans="1:34" outlineLevel="7">
      <c r="A665" s="3500" t="s">
        <v>478</v>
      </c>
      <c r="B665" s="3500"/>
      <c r="C665" s="7"/>
      <c r="D665" s="7"/>
      <c r="E665" s="14">
        <v>550</v>
      </c>
      <c r="F665" s="7"/>
      <c r="G665" s="7"/>
      <c r="H665" s="8"/>
      <c r="I665" s="9"/>
      <c r="J665" s="7"/>
      <c r="K665" s="7"/>
      <c r="L665" s="7"/>
      <c r="M665" s="14">
        <v>550</v>
      </c>
      <c r="N665" s="14">
        <v>550</v>
      </c>
      <c r="O665" s="14">
        <v>550</v>
      </c>
      <c r="P665" s="7"/>
      <c r="Q665" s="7"/>
      <c r="R665" s="14">
        <v>550</v>
      </c>
      <c r="S665" s="7"/>
      <c r="T665" s="7"/>
      <c r="U665" s="7"/>
      <c r="V665" s="14">
        <v>550</v>
      </c>
      <c r="W665" s="14">
        <v>550</v>
      </c>
      <c r="X665" s="7"/>
      <c r="Y665" s="7"/>
      <c r="Z665" s="7"/>
      <c r="AA665" s="7"/>
      <c r="AC665" s="70" t="str">
        <f t="shared" si="21"/>
        <v/>
      </c>
      <c r="AD665" s="75" t="str">
        <f t="shared" si="22"/>
        <v/>
      </c>
      <c r="AH665" t="s">
        <v>3476</v>
      </c>
    </row>
    <row r="666" spans="1:34" outlineLevel="7">
      <c r="A666" s="3499" t="s">
        <v>1731</v>
      </c>
      <c r="B666" s="3499"/>
      <c r="C666" s="7"/>
      <c r="D666" s="7"/>
      <c r="E666" s="14">
        <v>550</v>
      </c>
      <c r="F666" s="7"/>
      <c r="G666" s="7"/>
      <c r="H666" s="8"/>
      <c r="I666" s="9"/>
      <c r="J666" s="7"/>
      <c r="K666" s="7"/>
      <c r="L666" s="7"/>
      <c r="M666" s="14">
        <v>550</v>
      </c>
      <c r="N666" s="14">
        <v>550</v>
      </c>
      <c r="O666" s="14">
        <v>550</v>
      </c>
      <c r="P666" s="7"/>
      <c r="Q666" s="7"/>
      <c r="R666" s="14">
        <v>550</v>
      </c>
      <c r="S666" s="7"/>
      <c r="T666" s="7"/>
      <c r="U666" s="7"/>
      <c r="V666" s="14">
        <v>550</v>
      </c>
      <c r="W666" s="14">
        <v>550</v>
      </c>
      <c r="X666" s="7"/>
      <c r="Y666" s="7"/>
      <c r="Z666" s="7"/>
      <c r="AA666" s="7"/>
      <c r="AC666" s="70">
        <f t="shared" si="21"/>
        <v>550</v>
      </c>
      <c r="AD666" s="75">
        <f t="shared" si="22"/>
        <v>1</v>
      </c>
    </row>
    <row r="667" spans="1:34" outlineLevel="6">
      <c r="A667" s="3501" t="s">
        <v>479</v>
      </c>
      <c r="B667" s="3501"/>
      <c r="C667" s="7"/>
      <c r="D667" s="7"/>
      <c r="E667" s="14">
        <v>550</v>
      </c>
      <c r="F667" s="7"/>
      <c r="G667" s="7"/>
      <c r="H667" s="8"/>
      <c r="I667" s="9"/>
      <c r="J667" s="7"/>
      <c r="K667" s="7"/>
      <c r="L667" s="7"/>
      <c r="M667" s="14">
        <v>550</v>
      </c>
      <c r="N667" s="14">
        <v>550</v>
      </c>
      <c r="O667" s="14">
        <v>550</v>
      </c>
      <c r="P667" s="7"/>
      <c r="Q667" s="7"/>
      <c r="R667" s="14">
        <v>550</v>
      </c>
      <c r="S667" s="7"/>
      <c r="T667" s="7"/>
      <c r="U667" s="7"/>
      <c r="V667" s="14">
        <v>550</v>
      </c>
      <c r="W667" s="14">
        <v>550</v>
      </c>
      <c r="X667" s="7"/>
      <c r="Y667" s="7"/>
      <c r="Z667" s="7"/>
      <c r="AA667" s="7"/>
      <c r="AC667" s="70" t="str">
        <f t="shared" si="21"/>
        <v/>
      </c>
      <c r="AD667" s="75" t="str">
        <f t="shared" si="22"/>
        <v/>
      </c>
    </row>
    <row r="668" spans="1:34" outlineLevel="7">
      <c r="A668" s="3500" t="s">
        <v>480</v>
      </c>
      <c r="B668" s="3500"/>
      <c r="C668" s="7"/>
      <c r="D668" s="7"/>
      <c r="E668" s="14">
        <v>550</v>
      </c>
      <c r="F668" s="7"/>
      <c r="G668" s="7"/>
      <c r="H668" s="8"/>
      <c r="I668" s="9"/>
      <c r="J668" s="7"/>
      <c r="K668" s="7"/>
      <c r="L668" s="7"/>
      <c r="M668" s="14">
        <v>550</v>
      </c>
      <c r="N668" s="14">
        <v>550</v>
      </c>
      <c r="O668" s="14">
        <v>550</v>
      </c>
      <c r="P668" s="7"/>
      <c r="Q668" s="7"/>
      <c r="R668" s="14">
        <v>550</v>
      </c>
      <c r="S668" s="7"/>
      <c r="T668" s="7"/>
      <c r="U668" s="7"/>
      <c r="V668" s="14">
        <v>550</v>
      </c>
      <c r="W668" s="14">
        <v>550</v>
      </c>
      <c r="X668" s="7"/>
      <c r="Y668" s="7"/>
      <c r="Z668" s="7"/>
      <c r="AA668" s="7"/>
      <c r="AC668" s="70" t="str">
        <f t="shared" si="21"/>
        <v/>
      </c>
      <c r="AD668" s="75" t="str">
        <f t="shared" si="22"/>
        <v/>
      </c>
      <c r="AH668" t="s">
        <v>3508</v>
      </c>
    </row>
    <row r="669" spans="1:34" outlineLevel="7">
      <c r="A669" s="3499" t="s">
        <v>1732</v>
      </c>
      <c r="B669" s="3499"/>
      <c r="C669" s="7"/>
      <c r="D669" s="7"/>
      <c r="E669" s="14">
        <v>550</v>
      </c>
      <c r="F669" s="7"/>
      <c r="G669" s="7"/>
      <c r="H669" s="8"/>
      <c r="I669" s="9"/>
      <c r="J669" s="7"/>
      <c r="K669" s="7"/>
      <c r="L669" s="7"/>
      <c r="M669" s="14">
        <v>550</v>
      </c>
      <c r="N669" s="14">
        <v>550</v>
      </c>
      <c r="O669" s="14">
        <v>550</v>
      </c>
      <c r="P669" s="7"/>
      <c r="Q669" s="7"/>
      <c r="R669" s="14">
        <v>550</v>
      </c>
      <c r="S669" s="7"/>
      <c r="T669" s="7"/>
      <c r="U669" s="7"/>
      <c r="V669" s="14">
        <v>550</v>
      </c>
      <c r="W669" s="14">
        <v>550</v>
      </c>
      <c r="X669" s="7"/>
      <c r="Y669" s="7"/>
      <c r="Z669" s="7"/>
      <c r="AA669" s="7"/>
      <c r="AC669" s="70">
        <f t="shared" si="21"/>
        <v>550</v>
      </c>
      <c r="AD669" s="75">
        <f t="shared" si="22"/>
        <v>1</v>
      </c>
    </row>
    <row r="670" spans="1:34" outlineLevel="6">
      <c r="A670" s="3501" t="s">
        <v>481</v>
      </c>
      <c r="B670" s="3501"/>
      <c r="C670" s="7"/>
      <c r="D670" s="7"/>
      <c r="E670" s="14">
        <v>550</v>
      </c>
      <c r="F670" s="7"/>
      <c r="G670" s="7"/>
      <c r="H670" s="8"/>
      <c r="I670" s="9"/>
      <c r="J670" s="7"/>
      <c r="K670" s="7"/>
      <c r="L670" s="7"/>
      <c r="M670" s="14">
        <v>550</v>
      </c>
      <c r="N670" s="14">
        <v>550</v>
      </c>
      <c r="O670" s="14">
        <v>550</v>
      </c>
      <c r="P670" s="7"/>
      <c r="Q670" s="7"/>
      <c r="R670" s="14">
        <v>550</v>
      </c>
      <c r="S670" s="7"/>
      <c r="T670" s="7"/>
      <c r="U670" s="7"/>
      <c r="V670" s="14">
        <v>550</v>
      </c>
      <c r="W670" s="14">
        <v>550</v>
      </c>
      <c r="X670" s="7"/>
      <c r="Y670" s="7"/>
      <c r="Z670" s="7"/>
      <c r="AA670" s="7"/>
      <c r="AC670" s="70" t="str">
        <f t="shared" si="21"/>
        <v/>
      </c>
      <c r="AD670" s="75" t="str">
        <f t="shared" si="22"/>
        <v/>
      </c>
    </row>
    <row r="671" spans="1:34" outlineLevel="7">
      <c r="A671" s="3500" t="s">
        <v>482</v>
      </c>
      <c r="B671" s="3500"/>
      <c r="C671" s="7"/>
      <c r="D671" s="7"/>
      <c r="E671" s="14">
        <v>550</v>
      </c>
      <c r="F671" s="7"/>
      <c r="G671" s="7"/>
      <c r="H671" s="8"/>
      <c r="I671" s="9"/>
      <c r="J671" s="7"/>
      <c r="K671" s="7"/>
      <c r="L671" s="7"/>
      <c r="M671" s="14">
        <v>550</v>
      </c>
      <c r="N671" s="14">
        <v>550</v>
      </c>
      <c r="O671" s="14">
        <v>550</v>
      </c>
      <c r="P671" s="7"/>
      <c r="Q671" s="7"/>
      <c r="R671" s="14">
        <v>550</v>
      </c>
      <c r="S671" s="7"/>
      <c r="T671" s="7"/>
      <c r="U671" s="7"/>
      <c r="V671" s="14">
        <v>550</v>
      </c>
      <c r="W671" s="14">
        <v>550</v>
      </c>
      <c r="X671" s="7"/>
      <c r="Y671" s="7"/>
      <c r="Z671" s="7"/>
      <c r="AA671" s="7"/>
      <c r="AC671" s="70" t="str">
        <f t="shared" si="21"/>
        <v/>
      </c>
      <c r="AD671" s="75" t="str">
        <f t="shared" si="22"/>
        <v/>
      </c>
      <c r="AH671" t="s">
        <v>482</v>
      </c>
    </row>
    <row r="672" spans="1:34" outlineLevel="7">
      <c r="A672" s="3499" t="s">
        <v>1733</v>
      </c>
      <c r="B672" s="3499"/>
      <c r="C672" s="7"/>
      <c r="D672" s="7"/>
      <c r="E672" s="14">
        <v>550</v>
      </c>
      <c r="F672" s="7"/>
      <c r="G672" s="7"/>
      <c r="H672" s="8"/>
      <c r="I672" s="9"/>
      <c r="J672" s="7"/>
      <c r="K672" s="7"/>
      <c r="L672" s="7"/>
      <c r="M672" s="14">
        <v>550</v>
      </c>
      <c r="N672" s="14">
        <v>550</v>
      </c>
      <c r="O672" s="14">
        <v>550</v>
      </c>
      <c r="P672" s="7"/>
      <c r="Q672" s="7"/>
      <c r="R672" s="14">
        <v>550</v>
      </c>
      <c r="S672" s="7"/>
      <c r="T672" s="7"/>
      <c r="U672" s="7"/>
      <c r="V672" s="14">
        <v>550</v>
      </c>
      <c r="W672" s="14">
        <v>550</v>
      </c>
      <c r="X672" s="7"/>
      <c r="Y672" s="7"/>
      <c r="Z672" s="7"/>
      <c r="AA672" s="7"/>
      <c r="AC672" s="70">
        <f t="shared" si="21"/>
        <v>550</v>
      </c>
      <c r="AD672" s="75">
        <f t="shared" si="22"/>
        <v>1</v>
      </c>
    </row>
    <row r="673" spans="1:34" outlineLevel="6">
      <c r="A673" s="3501" t="s">
        <v>483</v>
      </c>
      <c r="B673" s="3501"/>
      <c r="C673" s="7"/>
      <c r="D673" s="7"/>
      <c r="E673" s="14">
        <v>550</v>
      </c>
      <c r="F673" s="7"/>
      <c r="G673" s="7"/>
      <c r="H673" s="8"/>
      <c r="I673" s="9"/>
      <c r="J673" s="7"/>
      <c r="K673" s="7"/>
      <c r="L673" s="7"/>
      <c r="M673" s="14">
        <v>550</v>
      </c>
      <c r="N673" s="14">
        <v>550</v>
      </c>
      <c r="O673" s="14">
        <v>550</v>
      </c>
      <c r="P673" s="7"/>
      <c r="Q673" s="7"/>
      <c r="R673" s="14">
        <v>550</v>
      </c>
      <c r="S673" s="7"/>
      <c r="T673" s="7"/>
      <c r="U673" s="7"/>
      <c r="V673" s="14">
        <v>550</v>
      </c>
      <c r="W673" s="14">
        <v>550</v>
      </c>
      <c r="X673" s="7"/>
      <c r="Y673" s="7"/>
      <c r="Z673" s="7"/>
      <c r="AA673" s="7"/>
      <c r="AC673" s="70" t="str">
        <f t="shared" si="21"/>
        <v/>
      </c>
      <c r="AD673" s="75" t="str">
        <f t="shared" si="22"/>
        <v/>
      </c>
    </row>
    <row r="674" spans="1:34" outlineLevel="7">
      <c r="A674" s="3500" t="s">
        <v>484</v>
      </c>
      <c r="B674" s="3500"/>
      <c r="C674" s="7"/>
      <c r="D674" s="7"/>
      <c r="E674" s="14">
        <v>550</v>
      </c>
      <c r="F674" s="7"/>
      <c r="G674" s="7"/>
      <c r="H674" s="8"/>
      <c r="I674" s="9"/>
      <c r="J674" s="7"/>
      <c r="K674" s="7"/>
      <c r="L674" s="7"/>
      <c r="M674" s="14">
        <v>550</v>
      </c>
      <c r="N674" s="14">
        <v>550</v>
      </c>
      <c r="O674" s="14">
        <v>550</v>
      </c>
      <c r="P674" s="7"/>
      <c r="Q674" s="7"/>
      <c r="R674" s="14">
        <v>550</v>
      </c>
      <c r="S674" s="7"/>
      <c r="T674" s="7"/>
      <c r="U674" s="7"/>
      <c r="V674" s="14">
        <v>550</v>
      </c>
      <c r="W674" s="14">
        <v>550</v>
      </c>
      <c r="X674" s="7"/>
      <c r="Y674" s="7"/>
      <c r="Z674" s="7"/>
      <c r="AA674" s="7"/>
      <c r="AC674" s="70" t="str">
        <f t="shared" si="21"/>
        <v/>
      </c>
      <c r="AD674" s="75" t="str">
        <f t="shared" si="22"/>
        <v/>
      </c>
      <c r="AH674" t="s">
        <v>484</v>
      </c>
    </row>
    <row r="675" spans="1:34" outlineLevel="7">
      <c r="A675" s="3499" t="s">
        <v>1734</v>
      </c>
      <c r="B675" s="3499"/>
      <c r="C675" s="7"/>
      <c r="D675" s="7"/>
      <c r="E675" s="14">
        <v>550</v>
      </c>
      <c r="F675" s="7"/>
      <c r="G675" s="7"/>
      <c r="H675" s="8"/>
      <c r="I675" s="9"/>
      <c r="J675" s="7"/>
      <c r="K675" s="7"/>
      <c r="L675" s="7"/>
      <c r="M675" s="14">
        <v>550</v>
      </c>
      <c r="N675" s="14">
        <v>550</v>
      </c>
      <c r="O675" s="14">
        <v>550</v>
      </c>
      <c r="P675" s="7"/>
      <c r="Q675" s="7"/>
      <c r="R675" s="14">
        <v>550</v>
      </c>
      <c r="S675" s="7"/>
      <c r="T675" s="7"/>
      <c r="U675" s="7"/>
      <c r="V675" s="14">
        <v>550</v>
      </c>
      <c r="W675" s="14">
        <v>550</v>
      </c>
      <c r="X675" s="7"/>
      <c r="Y675" s="7"/>
      <c r="Z675" s="7"/>
      <c r="AA675" s="7"/>
      <c r="AC675" s="70">
        <f t="shared" si="21"/>
        <v>550</v>
      </c>
      <c r="AD675" s="75">
        <f t="shared" si="22"/>
        <v>1</v>
      </c>
    </row>
    <row r="676" spans="1:34" outlineLevel="6">
      <c r="A676" s="3501" t="s">
        <v>485</v>
      </c>
      <c r="B676" s="3501"/>
      <c r="C676" s="7"/>
      <c r="D676" s="7"/>
      <c r="E676" s="14">
        <v>550</v>
      </c>
      <c r="F676" s="7"/>
      <c r="G676" s="7"/>
      <c r="H676" s="8"/>
      <c r="I676" s="9"/>
      <c r="J676" s="7"/>
      <c r="K676" s="7"/>
      <c r="L676" s="7"/>
      <c r="M676" s="14">
        <v>550</v>
      </c>
      <c r="N676" s="14">
        <v>550</v>
      </c>
      <c r="O676" s="14">
        <v>550</v>
      </c>
      <c r="P676" s="7"/>
      <c r="Q676" s="7"/>
      <c r="R676" s="14">
        <v>550</v>
      </c>
      <c r="S676" s="7"/>
      <c r="T676" s="7"/>
      <c r="U676" s="14">
        <v>550</v>
      </c>
      <c r="V676" s="7"/>
      <c r="W676" s="7"/>
      <c r="X676" s="7"/>
      <c r="Y676" s="7"/>
      <c r="Z676" s="7"/>
      <c r="AA676" s="7"/>
      <c r="AC676" s="70" t="str">
        <f t="shared" si="21"/>
        <v/>
      </c>
      <c r="AD676" s="75" t="str">
        <f t="shared" si="22"/>
        <v/>
      </c>
    </row>
    <row r="677" spans="1:34" outlineLevel="7">
      <c r="A677" s="3500" t="s">
        <v>486</v>
      </c>
      <c r="B677" s="3500"/>
      <c r="C677" s="7"/>
      <c r="D677" s="7"/>
      <c r="E677" s="14">
        <v>550</v>
      </c>
      <c r="F677" s="7"/>
      <c r="G677" s="7"/>
      <c r="H677" s="8"/>
      <c r="I677" s="9"/>
      <c r="J677" s="7"/>
      <c r="K677" s="7"/>
      <c r="L677" s="7"/>
      <c r="M677" s="14">
        <v>550</v>
      </c>
      <c r="N677" s="14">
        <v>550</v>
      </c>
      <c r="O677" s="14">
        <v>550</v>
      </c>
      <c r="P677" s="7"/>
      <c r="Q677" s="7"/>
      <c r="R677" s="14">
        <v>550</v>
      </c>
      <c r="S677" s="7"/>
      <c r="T677" s="7"/>
      <c r="U677" s="14">
        <v>550</v>
      </c>
      <c r="V677" s="7"/>
      <c r="W677" s="7"/>
      <c r="X677" s="7"/>
      <c r="Y677" s="7"/>
      <c r="Z677" s="7"/>
      <c r="AA677" s="7"/>
      <c r="AC677" s="70" t="str">
        <f t="shared" si="21"/>
        <v/>
      </c>
      <c r="AD677" s="75" t="str">
        <f t="shared" si="22"/>
        <v/>
      </c>
      <c r="AH677" t="s">
        <v>3506</v>
      </c>
    </row>
    <row r="678" spans="1:34" outlineLevel="7">
      <c r="A678" s="3499" t="s">
        <v>1735</v>
      </c>
      <c r="B678" s="3499"/>
      <c r="C678" s="7"/>
      <c r="D678" s="7"/>
      <c r="E678" s="14">
        <v>550</v>
      </c>
      <c r="F678" s="7"/>
      <c r="G678" s="7"/>
      <c r="H678" s="8"/>
      <c r="I678" s="9"/>
      <c r="J678" s="7"/>
      <c r="K678" s="7"/>
      <c r="L678" s="7"/>
      <c r="M678" s="14">
        <v>550</v>
      </c>
      <c r="N678" s="14">
        <v>550</v>
      </c>
      <c r="O678" s="14">
        <v>550</v>
      </c>
      <c r="P678" s="7"/>
      <c r="Q678" s="7"/>
      <c r="R678" s="14">
        <v>550</v>
      </c>
      <c r="S678" s="7"/>
      <c r="T678" s="7"/>
      <c r="U678" s="14">
        <v>550</v>
      </c>
      <c r="V678" s="7"/>
      <c r="W678" s="7"/>
      <c r="X678" s="7"/>
      <c r="Y678" s="7"/>
      <c r="Z678" s="7"/>
      <c r="AA678" s="7"/>
      <c r="AC678" s="70">
        <f t="shared" si="21"/>
        <v>550</v>
      </c>
      <c r="AD678" s="75">
        <f t="shared" si="22"/>
        <v>1</v>
      </c>
    </row>
    <row r="679" spans="1:34" outlineLevel="6">
      <c r="A679" s="3501" t="s">
        <v>487</v>
      </c>
      <c r="B679" s="3501"/>
      <c r="C679" s="7"/>
      <c r="D679" s="7"/>
      <c r="E679" s="14">
        <v>550</v>
      </c>
      <c r="F679" s="7"/>
      <c r="G679" s="7"/>
      <c r="H679" s="8"/>
      <c r="I679" s="9"/>
      <c r="J679" s="7"/>
      <c r="K679" s="7"/>
      <c r="L679" s="7"/>
      <c r="M679" s="14">
        <v>550</v>
      </c>
      <c r="N679" s="14">
        <v>550</v>
      </c>
      <c r="O679" s="14">
        <v>550</v>
      </c>
      <c r="P679" s="7"/>
      <c r="Q679" s="7"/>
      <c r="R679" s="14">
        <v>550</v>
      </c>
      <c r="S679" s="7"/>
      <c r="T679" s="7"/>
      <c r="U679" s="7"/>
      <c r="V679" s="14">
        <v>550</v>
      </c>
      <c r="W679" s="14">
        <v>550</v>
      </c>
      <c r="X679" s="7"/>
      <c r="Y679" s="7"/>
      <c r="Z679" s="7"/>
      <c r="AA679" s="7"/>
      <c r="AC679" s="70" t="str">
        <f t="shared" si="21"/>
        <v/>
      </c>
      <c r="AD679" s="75" t="str">
        <f t="shared" si="22"/>
        <v/>
      </c>
    </row>
    <row r="680" spans="1:34" outlineLevel="7">
      <c r="A680" s="3500" t="s">
        <v>488</v>
      </c>
      <c r="B680" s="3500"/>
      <c r="C680" s="7"/>
      <c r="D680" s="7"/>
      <c r="E680" s="14">
        <v>550</v>
      </c>
      <c r="F680" s="7"/>
      <c r="G680" s="7"/>
      <c r="H680" s="8"/>
      <c r="I680" s="9"/>
      <c r="J680" s="7"/>
      <c r="K680" s="7"/>
      <c r="L680" s="7"/>
      <c r="M680" s="14">
        <v>550</v>
      </c>
      <c r="N680" s="14">
        <v>550</v>
      </c>
      <c r="O680" s="14">
        <v>550</v>
      </c>
      <c r="P680" s="7"/>
      <c r="Q680" s="7"/>
      <c r="R680" s="14">
        <v>550</v>
      </c>
      <c r="S680" s="7"/>
      <c r="T680" s="7"/>
      <c r="U680" s="7"/>
      <c r="V680" s="14">
        <v>550</v>
      </c>
      <c r="W680" s="14">
        <v>550</v>
      </c>
      <c r="X680" s="7"/>
      <c r="Y680" s="7"/>
      <c r="Z680" s="7"/>
      <c r="AA680" s="7"/>
      <c r="AC680" s="70" t="str">
        <f t="shared" si="21"/>
        <v/>
      </c>
      <c r="AD680" s="75" t="str">
        <f t="shared" si="22"/>
        <v/>
      </c>
      <c r="AH680" t="s">
        <v>3497</v>
      </c>
    </row>
    <row r="681" spans="1:34" outlineLevel="7">
      <c r="A681" s="3499" t="s">
        <v>1736</v>
      </c>
      <c r="B681" s="3499"/>
      <c r="C681" s="7"/>
      <c r="D681" s="7"/>
      <c r="E681" s="14">
        <v>550</v>
      </c>
      <c r="F681" s="7"/>
      <c r="G681" s="7"/>
      <c r="H681" s="8"/>
      <c r="I681" s="9"/>
      <c r="J681" s="7"/>
      <c r="K681" s="7"/>
      <c r="L681" s="7"/>
      <c r="M681" s="14">
        <v>550</v>
      </c>
      <c r="N681" s="14">
        <v>550</v>
      </c>
      <c r="O681" s="14">
        <v>550</v>
      </c>
      <c r="P681" s="7"/>
      <c r="Q681" s="7"/>
      <c r="R681" s="14">
        <v>550</v>
      </c>
      <c r="S681" s="7"/>
      <c r="T681" s="7"/>
      <c r="U681" s="7"/>
      <c r="V681" s="14">
        <v>550</v>
      </c>
      <c r="W681" s="14">
        <v>550</v>
      </c>
      <c r="X681" s="7"/>
      <c r="Y681" s="7"/>
      <c r="Z681" s="7"/>
      <c r="AA681" s="7"/>
      <c r="AC681" s="70">
        <f t="shared" si="21"/>
        <v>550</v>
      </c>
      <c r="AD681" s="75">
        <f t="shared" si="22"/>
        <v>1</v>
      </c>
    </row>
    <row r="682" spans="1:34" outlineLevel="6">
      <c r="A682" s="3501" t="s">
        <v>489</v>
      </c>
      <c r="B682" s="3501"/>
      <c r="C682" s="7"/>
      <c r="D682" s="7"/>
      <c r="E682" s="14">
        <v>550</v>
      </c>
      <c r="F682" s="7"/>
      <c r="G682" s="7"/>
      <c r="H682" s="8"/>
      <c r="I682" s="9"/>
      <c r="J682" s="7"/>
      <c r="K682" s="7"/>
      <c r="L682" s="7"/>
      <c r="M682" s="14">
        <v>550</v>
      </c>
      <c r="N682" s="14">
        <v>550</v>
      </c>
      <c r="O682" s="14">
        <v>550</v>
      </c>
      <c r="P682" s="7"/>
      <c r="Q682" s="7"/>
      <c r="R682" s="14">
        <v>550</v>
      </c>
      <c r="S682" s="7"/>
      <c r="T682" s="7"/>
      <c r="U682" s="7"/>
      <c r="V682" s="14">
        <v>550</v>
      </c>
      <c r="W682" s="14">
        <v>550</v>
      </c>
      <c r="X682" s="7"/>
      <c r="Y682" s="7"/>
      <c r="Z682" s="7"/>
      <c r="AA682" s="7"/>
      <c r="AC682" s="70" t="str">
        <f t="shared" si="21"/>
        <v/>
      </c>
      <c r="AD682" s="75" t="str">
        <f t="shared" si="22"/>
        <v/>
      </c>
    </row>
    <row r="683" spans="1:34" outlineLevel="7">
      <c r="A683" s="3500" t="s">
        <v>490</v>
      </c>
      <c r="B683" s="3500"/>
      <c r="C683" s="7"/>
      <c r="D683" s="7"/>
      <c r="E683" s="14">
        <v>550</v>
      </c>
      <c r="F683" s="7"/>
      <c r="G683" s="7"/>
      <c r="H683" s="8"/>
      <c r="I683" s="9"/>
      <c r="J683" s="7"/>
      <c r="K683" s="7"/>
      <c r="L683" s="7"/>
      <c r="M683" s="14">
        <v>550</v>
      </c>
      <c r="N683" s="14">
        <v>550</v>
      </c>
      <c r="O683" s="14">
        <v>550</v>
      </c>
      <c r="P683" s="7"/>
      <c r="Q683" s="7"/>
      <c r="R683" s="14">
        <v>550</v>
      </c>
      <c r="S683" s="7"/>
      <c r="T683" s="7"/>
      <c r="U683" s="7"/>
      <c r="V683" s="14">
        <v>550</v>
      </c>
      <c r="W683" s="14">
        <v>550</v>
      </c>
      <c r="X683" s="7"/>
      <c r="Y683" s="7"/>
      <c r="Z683" s="7"/>
      <c r="AA683" s="7"/>
      <c r="AC683" s="70" t="str">
        <f t="shared" si="21"/>
        <v/>
      </c>
      <c r="AD683" s="75" t="str">
        <f t="shared" si="22"/>
        <v/>
      </c>
      <c r="AH683" t="s">
        <v>3642</v>
      </c>
    </row>
    <row r="684" spans="1:34" outlineLevel="7">
      <c r="A684" s="3499" t="s">
        <v>1737</v>
      </c>
      <c r="B684" s="3499"/>
      <c r="C684" s="7"/>
      <c r="D684" s="7"/>
      <c r="E684" s="14">
        <v>550</v>
      </c>
      <c r="F684" s="7"/>
      <c r="G684" s="7"/>
      <c r="H684" s="8"/>
      <c r="I684" s="9"/>
      <c r="J684" s="7"/>
      <c r="K684" s="7"/>
      <c r="L684" s="7"/>
      <c r="M684" s="14">
        <v>550</v>
      </c>
      <c r="N684" s="14">
        <v>550</v>
      </c>
      <c r="O684" s="14">
        <v>550</v>
      </c>
      <c r="P684" s="7"/>
      <c r="Q684" s="7"/>
      <c r="R684" s="14">
        <v>550</v>
      </c>
      <c r="S684" s="7"/>
      <c r="T684" s="7"/>
      <c r="U684" s="7"/>
      <c r="V684" s="14">
        <v>550</v>
      </c>
      <c r="W684" s="14">
        <v>550</v>
      </c>
      <c r="X684" s="7"/>
      <c r="Y684" s="7"/>
      <c r="Z684" s="7"/>
      <c r="AA684" s="7"/>
      <c r="AC684" s="70">
        <f t="shared" si="21"/>
        <v>550</v>
      </c>
      <c r="AD684" s="75">
        <f t="shared" si="22"/>
        <v>1</v>
      </c>
    </row>
    <row r="685" spans="1:34" outlineLevel="6">
      <c r="A685" s="3501" t="s">
        <v>491</v>
      </c>
      <c r="B685" s="3501"/>
      <c r="C685" s="7"/>
      <c r="D685" s="7"/>
      <c r="E685" s="14">
        <v>550</v>
      </c>
      <c r="F685" s="7"/>
      <c r="G685" s="7"/>
      <c r="H685" s="8"/>
      <c r="I685" s="9"/>
      <c r="J685" s="7"/>
      <c r="K685" s="7"/>
      <c r="L685" s="7"/>
      <c r="M685" s="14">
        <v>550</v>
      </c>
      <c r="N685" s="14">
        <v>550</v>
      </c>
      <c r="O685" s="14">
        <v>550</v>
      </c>
      <c r="P685" s="7"/>
      <c r="Q685" s="7"/>
      <c r="R685" s="14">
        <v>550</v>
      </c>
      <c r="S685" s="7"/>
      <c r="T685" s="7"/>
      <c r="U685" s="7"/>
      <c r="V685" s="14">
        <v>550</v>
      </c>
      <c r="W685" s="14">
        <v>550</v>
      </c>
      <c r="X685" s="7"/>
      <c r="Y685" s="7"/>
      <c r="Z685" s="7"/>
      <c r="AA685" s="7"/>
      <c r="AC685" s="70" t="str">
        <f t="shared" si="21"/>
        <v/>
      </c>
      <c r="AD685" s="75" t="str">
        <f t="shared" si="22"/>
        <v/>
      </c>
    </row>
    <row r="686" spans="1:34" outlineLevel="7">
      <c r="A686" s="3500" t="s">
        <v>492</v>
      </c>
      <c r="B686" s="3500"/>
      <c r="C686" s="7"/>
      <c r="D686" s="7"/>
      <c r="E686" s="14">
        <v>550</v>
      </c>
      <c r="F686" s="7"/>
      <c r="G686" s="7"/>
      <c r="H686" s="8"/>
      <c r="I686" s="9"/>
      <c r="J686" s="7"/>
      <c r="K686" s="7"/>
      <c r="L686" s="7"/>
      <c r="M686" s="14">
        <v>550</v>
      </c>
      <c r="N686" s="14">
        <v>550</v>
      </c>
      <c r="O686" s="14">
        <v>550</v>
      </c>
      <c r="P686" s="7"/>
      <c r="Q686" s="7"/>
      <c r="R686" s="14">
        <v>550</v>
      </c>
      <c r="S686" s="7"/>
      <c r="T686" s="7"/>
      <c r="U686" s="7"/>
      <c r="V686" s="14">
        <v>550</v>
      </c>
      <c r="W686" s="14">
        <v>550</v>
      </c>
      <c r="X686" s="7"/>
      <c r="Y686" s="7"/>
      <c r="Z686" s="7"/>
      <c r="AA686" s="7"/>
      <c r="AC686" s="70" t="str">
        <f t="shared" si="21"/>
        <v/>
      </c>
      <c r="AD686" s="75" t="str">
        <f t="shared" si="22"/>
        <v/>
      </c>
      <c r="AH686" t="s">
        <v>3489</v>
      </c>
    </row>
    <row r="687" spans="1:34" outlineLevel="7">
      <c r="A687" s="3499" t="s">
        <v>1738</v>
      </c>
      <c r="B687" s="3499"/>
      <c r="C687" s="7"/>
      <c r="D687" s="7"/>
      <c r="E687" s="14">
        <v>550</v>
      </c>
      <c r="F687" s="7"/>
      <c r="G687" s="7"/>
      <c r="H687" s="8"/>
      <c r="I687" s="9"/>
      <c r="J687" s="7"/>
      <c r="K687" s="7"/>
      <c r="L687" s="7"/>
      <c r="M687" s="14">
        <v>550</v>
      </c>
      <c r="N687" s="14">
        <v>550</v>
      </c>
      <c r="O687" s="14">
        <v>550</v>
      </c>
      <c r="P687" s="7"/>
      <c r="Q687" s="7"/>
      <c r="R687" s="14">
        <v>550</v>
      </c>
      <c r="S687" s="7"/>
      <c r="T687" s="7"/>
      <c r="U687" s="7"/>
      <c r="V687" s="14">
        <v>550</v>
      </c>
      <c r="W687" s="14">
        <v>550</v>
      </c>
      <c r="X687" s="7"/>
      <c r="Y687" s="7"/>
      <c r="Z687" s="7"/>
      <c r="AA687" s="7"/>
      <c r="AC687" s="70">
        <f t="shared" si="21"/>
        <v>550</v>
      </c>
      <c r="AD687" s="75">
        <f t="shared" si="22"/>
        <v>1</v>
      </c>
    </row>
    <row r="688" spans="1:34" outlineLevel="6">
      <c r="A688" s="3501" t="s">
        <v>493</v>
      </c>
      <c r="B688" s="3501"/>
      <c r="C688" s="7"/>
      <c r="D688" s="7"/>
      <c r="E688" s="13">
        <v>4496.8599999999997</v>
      </c>
      <c r="F688" s="7"/>
      <c r="G688" s="7"/>
      <c r="H688" s="8"/>
      <c r="I688" s="9"/>
      <c r="J688" s="7"/>
      <c r="K688" s="7"/>
      <c r="L688" s="7"/>
      <c r="M688" s="13">
        <v>4496.8599999999997</v>
      </c>
      <c r="N688" s="13">
        <v>4496.8599999999997</v>
      </c>
      <c r="O688" s="13">
        <v>4496.8599999999997</v>
      </c>
      <c r="P688" s="7"/>
      <c r="Q688" s="7"/>
      <c r="R688" s="13">
        <v>4496.8599999999997</v>
      </c>
      <c r="S688" s="7"/>
      <c r="T688" s="7"/>
      <c r="U688" s="7"/>
      <c r="V688" s="13">
        <v>4496.8599999999997</v>
      </c>
      <c r="W688" s="13">
        <v>4496.8599999999997</v>
      </c>
      <c r="X688" s="7"/>
      <c r="Y688" s="7"/>
      <c r="Z688" s="7"/>
      <c r="AA688" s="7"/>
      <c r="AC688" s="70" t="str">
        <f t="shared" si="21"/>
        <v/>
      </c>
      <c r="AD688" s="75" t="str">
        <f t="shared" si="22"/>
        <v/>
      </c>
    </row>
    <row r="689" spans="1:36" outlineLevel="7">
      <c r="A689" s="3500" t="s">
        <v>494</v>
      </c>
      <c r="B689" s="3500"/>
      <c r="C689" s="7"/>
      <c r="D689" s="7"/>
      <c r="E689" s="13">
        <v>4496.8599999999997</v>
      </c>
      <c r="F689" s="7"/>
      <c r="G689" s="7"/>
      <c r="H689" s="8"/>
      <c r="I689" s="9"/>
      <c r="J689" s="7"/>
      <c r="K689" s="7"/>
      <c r="L689" s="7"/>
      <c r="M689" s="13">
        <v>4496.8599999999997</v>
      </c>
      <c r="N689" s="13">
        <v>4496.8599999999997</v>
      </c>
      <c r="O689" s="13">
        <v>4496.8599999999997</v>
      </c>
      <c r="P689" s="7"/>
      <c r="Q689" s="7"/>
      <c r="R689" s="13">
        <v>4496.8599999999997</v>
      </c>
      <c r="S689" s="7"/>
      <c r="T689" s="7"/>
      <c r="U689" s="7"/>
      <c r="V689" s="13">
        <v>4496.8599999999997</v>
      </c>
      <c r="W689" s="13">
        <v>4496.8599999999997</v>
      </c>
      <c r="X689" s="7"/>
      <c r="Y689" s="7"/>
      <c r="Z689" s="7"/>
      <c r="AA689" s="7"/>
      <c r="AC689" s="70" t="str">
        <f t="shared" si="21"/>
        <v/>
      </c>
      <c r="AD689" s="75" t="str">
        <f t="shared" si="22"/>
        <v/>
      </c>
      <c r="AH689" s="1" t="s">
        <v>3609</v>
      </c>
      <c r="AJ689" s="1"/>
    </row>
    <row r="690" spans="1:36" outlineLevel="7">
      <c r="A690" s="3499" t="s">
        <v>1739</v>
      </c>
      <c r="B690" s="3499"/>
      <c r="C690" s="7"/>
      <c r="D690" s="7"/>
      <c r="E690" s="13">
        <v>4496.8599999999997</v>
      </c>
      <c r="F690" s="7"/>
      <c r="G690" s="7"/>
      <c r="H690" s="8"/>
      <c r="I690" s="9"/>
      <c r="J690" s="7"/>
      <c r="K690" s="7"/>
      <c r="L690" s="7"/>
      <c r="M690" s="13">
        <v>4496.8599999999997</v>
      </c>
      <c r="N690" s="13">
        <v>4496.8599999999997</v>
      </c>
      <c r="O690" s="13">
        <v>4496.8599999999997</v>
      </c>
      <c r="P690" s="7"/>
      <c r="Q690" s="7"/>
      <c r="R690" s="13">
        <v>4496.8599999999997</v>
      </c>
      <c r="S690" s="7"/>
      <c r="T690" s="7"/>
      <c r="U690" s="7"/>
      <c r="V690" s="13">
        <v>4496.8599999999997</v>
      </c>
      <c r="W690" s="13">
        <v>4496.8599999999997</v>
      </c>
      <c r="X690" s="7"/>
      <c r="Y690" s="7"/>
      <c r="Z690" s="7"/>
      <c r="AA690" s="7"/>
      <c r="AC690" s="70">
        <f t="shared" si="21"/>
        <v>4496.8599999999997</v>
      </c>
      <c r="AD690" s="75" t="str">
        <f t="shared" si="22"/>
        <v/>
      </c>
      <c r="AG690">
        <f>AC690</f>
        <v>4496.8599999999997</v>
      </c>
      <c r="AH690" s="27"/>
    </row>
    <row r="691" spans="1:36" outlineLevel="6">
      <c r="A691" s="3501" t="s">
        <v>495</v>
      </c>
      <c r="B691" s="3501"/>
      <c r="C691" s="7"/>
      <c r="D691" s="7"/>
      <c r="E691" s="14">
        <v>550</v>
      </c>
      <c r="F691" s="7"/>
      <c r="G691" s="7"/>
      <c r="H691" s="8"/>
      <c r="I691" s="9"/>
      <c r="J691" s="7"/>
      <c r="K691" s="7"/>
      <c r="L691" s="7"/>
      <c r="M691" s="14">
        <v>550</v>
      </c>
      <c r="N691" s="14">
        <v>550</v>
      </c>
      <c r="O691" s="14">
        <v>550</v>
      </c>
      <c r="P691" s="7"/>
      <c r="Q691" s="7"/>
      <c r="R691" s="14">
        <v>550</v>
      </c>
      <c r="S691" s="7"/>
      <c r="T691" s="7"/>
      <c r="U691" s="7"/>
      <c r="V691" s="14">
        <v>550</v>
      </c>
      <c r="W691" s="14">
        <v>550</v>
      </c>
      <c r="X691" s="7"/>
      <c r="Y691" s="7"/>
      <c r="Z691" s="7"/>
      <c r="AA691" s="7"/>
      <c r="AC691" s="70" t="str">
        <f t="shared" si="21"/>
        <v/>
      </c>
      <c r="AD691" s="75" t="str">
        <f t="shared" si="22"/>
        <v/>
      </c>
    </row>
    <row r="692" spans="1:36" outlineLevel="7">
      <c r="A692" s="3500" t="s">
        <v>496</v>
      </c>
      <c r="B692" s="3500"/>
      <c r="C692" s="7"/>
      <c r="D692" s="7"/>
      <c r="E692" s="14">
        <v>550</v>
      </c>
      <c r="F692" s="7"/>
      <c r="G692" s="7"/>
      <c r="H692" s="8"/>
      <c r="I692" s="9"/>
      <c r="J692" s="7"/>
      <c r="K692" s="7"/>
      <c r="L692" s="7"/>
      <c r="M692" s="14">
        <v>550</v>
      </c>
      <c r="N692" s="14">
        <v>550</v>
      </c>
      <c r="O692" s="14">
        <v>550</v>
      </c>
      <c r="P692" s="7"/>
      <c r="Q692" s="7"/>
      <c r="R692" s="14">
        <v>550</v>
      </c>
      <c r="S692" s="7"/>
      <c r="T692" s="7"/>
      <c r="U692" s="7"/>
      <c r="V692" s="14">
        <v>550</v>
      </c>
      <c r="W692" s="14">
        <v>550</v>
      </c>
      <c r="X692" s="7"/>
      <c r="Y692" s="7"/>
      <c r="Z692" s="7"/>
      <c r="AA692" s="7"/>
      <c r="AC692" s="70" t="str">
        <f t="shared" si="21"/>
        <v/>
      </c>
      <c r="AD692" s="75" t="str">
        <f t="shared" si="22"/>
        <v/>
      </c>
      <c r="AH692" t="s">
        <v>2721</v>
      </c>
    </row>
    <row r="693" spans="1:36" outlineLevel="7">
      <c r="A693" s="3499" t="s">
        <v>1740</v>
      </c>
      <c r="B693" s="3499"/>
      <c r="C693" s="7"/>
      <c r="D693" s="7"/>
      <c r="E693" s="14">
        <v>550</v>
      </c>
      <c r="F693" s="7"/>
      <c r="G693" s="7"/>
      <c r="H693" s="8"/>
      <c r="I693" s="9"/>
      <c r="J693" s="7"/>
      <c r="K693" s="7"/>
      <c r="L693" s="7"/>
      <c r="M693" s="14">
        <v>550</v>
      </c>
      <c r="N693" s="14">
        <v>550</v>
      </c>
      <c r="O693" s="14">
        <v>550</v>
      </c>
      <c r="P693" s="7"/>
      <c r="Q693" s="7"/>
      <c r="R693" s="14">
        <v>550</v>
      </c>
      <c r="S693" s="7"/>
      <c r="T693" s="7"/>
      <c r="U693" s="7"/>
      <c r="V693" s="14">
        <v>550</v>
      </c>
      <c r="W693" s="14">
        <v>550</v>
      </c>
      <c r="X693" s="7"/>
      <c r="Y693" s="7"/>
      <c r="Z693" s="7"/>
      <c r="AA693" s="7"/>
      <c r="AC693" s="70">
        <f t="shared" si="21"/>
        <v>550</v>
      </c>
      <c r="AD693" s="75">
        <f t="shared" si="22"/>
        <v>1</v>
      </c>
    </row>
    <row r="694" spans="1:36" outlineLevel="6">
      <c r="A694" s="3501" t="s">
        <v>497</v>
      </c>
      <c r="B694" s="3501"/>
      <c r="C694" s="7"/>
      <c r="D694" s="7"/>
      <c r="E694" s="14">
        <v>550</v>
      </c>
      <c r="F694" s="7"/>
      <c r="G694" s="7"/>
      <c r="H694" s="8"/>
      <c r="I694" s="9"/>
      <c r="J694" s="7"/>
      <c r="K694" s="7"/>
      <c r="L694" s="7"/>
      <c r="M694" s="14">
        <v>550</v>
      </c>
      <c r="N694" s="14">
        <v>550</v>
      </c>
      <c r="O694" s="14">
        <v>550</v>
      </c>
      <c r="P694" s="7"/>
      <c r="Q694" s="7"/>
      <c r="R694" s="14">
        <v>550</v>
      </c>
      <c r="S694" s="7"/>
      <c r="T694" s="7"/>
      <c r="U694" s="7"/>
      <c r="V694" s="14">
        <v>550</v>
      </c>
      <c r="W694" s="14">
        <v>550</v>
      </c>
      <c r="X694" s="7"/>
      <c r="Y694" s="7"/>
      <c r="Z694" s="7"/>
      <c r="AA694" s="7"/>
      <c r="AC694" s="70" t="str">
        <f t="shared" si="21"/>
        <v/>
      </c>
      <c r="AD694" s="75" t="str">
        <f t="shared" si="22"/>
        <v/>
      </c>
    </row>
    <row r="695" spans="1:36" outlineLevel="7">
      <c r="A695" s="3500" t="s">
        <v>498</v>
      </c>
      <c r="B695" s="3500"/>
      <c r="C695" s="7"/>
      <c r="D695" s="7"/>
      <c r="E695" s="14">
        <v>550</v>
      </c>
      <c r="F695" s="7"/>
      <c r="G695" s="7"/>
      <c r="H695" s="8"/>
      <c r="I695" s="9"/>
      <c r="J695" s="7"/>
      <c r="K695" s="7"/>
      <c r="L695" s="7"/>
      <c r="M695" s="14">
        <v>550</v>
      </c>
      <c r="N695" s="14">
        <v>550</v>
      </c>
      <c r="O695" s="14">
        <v>550</v>
      </c>
      <c r="P695" s="7"/>
      <c r="Q695" s="7"/>
      <c r="R695" s="14">
        <v>550</v>
      </c>
      <c r="S695" s="7"/>
      <c r="T695" s="7"/>
      <c r="U695" s="7"/>
      <c r="V695" s="14">
        <v>550</v>
      </c>
      <c r="W695" s="14">
        <v>550</v>
      </c>
      <c r="X695" s="7"/>
      <c r="Y695" s="7"/>
      <c r="Z695" s="7"/>
      <c r="AA695" s="7"/>
      <c r="AC695" s="70" t="str">
        <f t="shared" si="21"/>
        <v/>
      </c>
      <c r="AD695" s="75" t="str">
        <f t="shared" si="22"/>
        <v/>
      </c>
      <c r="AH695" t="s">
        <v>3416</v>
      </c>
    </row>
    <row r="696" spans="1:36" outlineLevel="7">
      <c r="A696" s="3499" t="s">
        <v>1741</v>
      </c>
      <c r="B696" s="3499"/>
      <c r="C696" s="7"/>
      <c r="D696" s="7"/>
      <c r="E696" s="14">
        <v>550</v>
      </c>
      <c r="F696" s="7"/>
      <c r="G696" s="7"/>
      <c r="H696" s="8"/>
      <c r="I696" s="9"/>
      <c r="J696" s="7"/>
      <c r="K696" s="7"/>
      <c r="L696" s="7"/>
      <c r="M696" s="14">
        <v>550</v>
      </c>
      <c r="N696" s="14">
        <v>550</v>
      </c>
      <c r="O696" s="14">
        <v>550</v>
      </c>
      <c r="P696" s="7"/>
      <c r="Q696" s="7"/>
      <c r="R696" s="14">
        <v>550</v>
      </c>
      <c r="S696" s="7"/>
      <c r="T696" s="7"/>
      <c r="U696" s="7"/>
      <c r="V696" s="14">
        <v>550</v>
      </c>
      <c r="W696" s="14">
        <v>550</v>
      </c>
      <c r="X696" s="7"/>
      <c r="Y696" s="7"/>
      <c r="Z696" s="7"/>
      <c r="AA696" s="7"/>
      <c r="AC696" s="70">
        <f t="shared" si="21"/>
        <v>550</v>
      </c>
      <c r="AD696" s="75">
        <f t="shared" si="22"/>
        <v>1</v>
      </c>
    </row>
    <row r="697" spans="1:36" outlineLevel="6">
      <c r="A697" s="3501" t="s">
        <v>499</v>
      </c>
      <c r="B697" s="3501"/>
      <c r="C697" s="7"/>
      <c r="D697" s="7"/>
      <c r="E697" s="14">
        <v>550</v>
      </c>
      <c r="F697" s="7"/>
      <c r="G697" s="7"/>
      <c r="H697" s="8"/>
      <c r="I697" s="9"/>
      <c r="J697" s="7"/>
      <c r="K697" s="7"/>
      <c r="L697" s="7"/>
      <c r="M697" s="14">
        <v>550</v>
      </c>
      <c r="N697" s="14">
        <v>550</v>
      </c>
      <c r="O697" s="14">
        <v>550</v>
      </c>
      <c r="P697" s="7"/>
      <c r="Q697" s="7"/>
      <c r="R697" s="14">
        <v>550</v>
      </c>
      <c r="S697" s="7"/>
      <c r="T697" s="7"/>
      <c r="U697" s="7"/>
      <c r="V697" s="14">
        <v>550</v>
      </c>
      <c r="W697" s="14">
        <v>550</v>
      </c>
      <c r="X697" s="7"/>
      <c r="Y697" s="7"/>
      <c r="Z697" s="7"/>
      <c r="AA697" s="7"/>
      <c r="AC697" s="70" t="str">
        <f t="shared" si="21"/>
        <v/>
      </c>
      <c r="AD697" s="75" t="str">
        <f t="shared" si="22"/>
        <v/>
      </c>
    </row>
    <row r="698" spans="1:36" outlineLevel="7">
      <c r="A698" s="3500" t="s">
        <v>500</v>
      </c>
      <c r="B698" s="3500"/>
      <c r="C698" s="7"/>
      <c r="D698" s="7"/>
      <c r="E698" s="14">
        <v>550</v>
      </c>
      <c r="F698" s="7"/>
      <c r="G698" s="7"/>
      <c r="H698" s="8"/>
      <c r="I698" s="9"/>
      <c r="J698" s="7"/>
      <c r="K698" s="7"/>
      <c r="L698" s="7"/>
      <c r="M698" s="14">
        <v>550</v>
      </c>
      <c r="N698" s="14">
        <v>550</v>
      </c>
      <c r="O698" s="14">
        <v>550</v>
      </c>
      <c r="P698" s="7"/>
      <c r="Q698" s="7"/>
      <c r="R698" s="14">
        <v>550</v>
      </c>
      <c r="S698" s="7"/>
      <c r="T698" s="7"/>
      <c r="U698" s="7"/>
      <c r="V698" s="14">
        <v>550</v>
      </c>
      <c r="W698" s="14">
        <v>550</v>
      </c>
      <c r="X698" s="7"/>
      <c r="Y698" s="7"/>
      <c r="Z698" s="7"/>
      <c r="AA698" s="7"/>
      <c r="AC698" s="70" t="str">
        <f t="shared" si="21"/>
        <v/>
      </c>
      <c r="AD698" s="75" t="str">
        <f t="shared" si="22"/>
        <v/>
      </c>
      <c r="AH698" t="s">
        <v>2674</v>
      </c>
    </row>
    <row r="699" spans="1:36" outlineLevel="7">
      <c r="A699" s="3499" t="s">
        <v>1742</v>
      </c>
      <c r="B699" s="3499"/>
      <c r="C699" s="7"/>
      <c r="D699" s="7"/>
      <c r="E699" s="14">
        <v>550</v>
      </c>
      <c r="F699" s="7"/>
      <c r="G699" s="7"/>
      <c r="H699" s="8"/>
      <c r="I699" s="9"/>
      <c r="J699" s="7"/>
      <c r="K699" s="7"/>
      <c r="L699" s="7"/>
      <c r="M699" s="14">
        <v>550</v>
      </c>
      <c r="N699" s="14">
        <v>550</v>
      </c>
      <c r="O699" s="14">
        <v>550</v>
      </c>
      <c r="P699" s="7"/>
      <c r="Q699" s="7"/>
      <c r="R699" s="14">
        <v>550</v>
      </c>
      <c r="S699" s="7"/>
      <c r="T699" s="7"/>
      <c r="U699" s="7"/>
      <c r="V699" s="14">
        <v>550</v>
      </c>
      <c r="W699" s="14">
        <v>550</v>
      </c>
      <c r="X699" s="7"/>
      <c r="Y699" s="7"/>
      <c r="Z699" s="7"/>
      <c r="AA699" s="7"/>
      <c r="AC699" s="70">
        <f t="shared" si="21"/>
        <v>550</v>
      </c>
      <c r="AD699" s="75">
        <f t="shared" si="22"/>
        <v>1</v>
      </c>
    </row>
    <row r="700" spans="1:36" outlineLevel="6">
      <c r="A700" s="3501" t="s">
        <v>501</v>
      </c>
      <c r="B700" s="3501"/>
      <c r="C700" s="7"/>
      <c r="D700" s="7"/>
      <c r="E700" s="14">
        <v>550</v>
      </c>
      <c r="F700" s="7"/>
      <c r="G700" s="7"/>
      <c r="H700" s="8"/>
      <c r="I700" s="9"/>
      <c r="J700" s="7"/>
      <c r="K700" s="7"/>
      <c r="L700" s="7"/>
      <c r="M700" s="14">
        <v>550</v>
      </c>
      <c r="N700" s="14">
        <v>550</v>
      </c>
      <c r="O700" s="14">
        <v>550</v>
      </c>
      <c r="P700" s="7"/>
      <c r="Q700" s="7"/>
      <c r="R700" s="14">
        <v>550</v>
      </c>
      <c r="S700" s="7"/>
      <c r="T700" s="7"/>
      <c r="U700" s="7"/>
      <c r="V700" s="14">
        <v>550</v>
      </c>
      <c r="W700" s="14">
        <v>550</v>
      </c>
      <c r="X700" s="7"/>
      <c r="Y700" s="7"/>
      <c r="Z700" s="7"/>
      <c r="AA700" s="7"/>
      <c r="AC700" s="70" t="str">
        <f t="shared" si="21"/>
        <v/>
      </c>
      <c r="AD700" s="75" t="str">
        <f t="shared" si="22"/>
        <v/>
      </c>
    </row>
    <row r="701" spans="1:36" outlineLevel="7">
      <c r="A701" s="3500" t="s">
        <v>502</v>
      </c>
      <c r="B701" s="3500"/>
      <c r="C701" s="7"/>
      <c r="D701" s="7"/>
      <c r="E701" s="14">
        <v>550</v>
      </c>
      <c r="F701" s="7"/>
      <c r="G701" s="7"/>
      <c r="H701" s="8"/>
      <c r="I701" s="9"/>
      <c r="J701" s="7"/>
      <c r="K701" s="7"/>
      <c r="L701" s="7"/>
      <c r="M701" s="14">
        <v>550</v>
      </c>
      <c r="N701" s="14">
        <v>550</v>
      </c>
      <c r="O701" s="14">
        <v>550</v>
      </c>
      <c r="P701" s="7"/>
      <c r="Q701" s="7"/>
      <c r="R701" s="14">
        <v>550</v>
      </c>
      <c r="S701" s="7"/>
      <c r="T701" s="7"/>
      <c r="U701" s="7"/>
      <c r="V701" s="14">
        <v>550</v>
      </c>
      <c r="W701" s="14">
        <v>550</v>
      </c>
      <c r="X701" s="7"/>
      <c r="Y701" s="7"/>
      <c r="Z701" s="7"/>
      <c r="AA701" s="7"/>
      <c r="AC701" s="70" t="str">
        <f t="shared" si="21"/>
        <v/>
      </c>
      <c r="AD701" s="75" t="str">
        <f t="shared" si="22"/>
        <v/>
      </c>
      <c r="AH701" t="s">
        <v>3406</v>
      </c>
    </row>
    <row r="702" spans="1:36" outlineLevel="7">
      <c r="A702" s="3499" t="s">
        <v>1743</v>
      </c>
      <c r="B702" s="3499"/>
      <c r="C702" s="7"/>
      <c r="D702" s="7"/>
      <c r="E702" s="14">
        <v>550</v>
      </c>
      <c r="F702" s="7"/>
      <c r="G702" s="7"/>
      <c r="H702" s="8"/>
      <c r="I702" s="9"/>
      <c r="J702" s="7"/>
      <c r="K702" s="7"/>
      <c r="L702" s="7"/>
      <c r="M702" s="14">
        <v>550</v>
      </c>
      <c r="N702" s="14">
        <v>550</v>
      </c>
      <c r="O702" s="14">
        <v>550</v>
      </c>
      <c r="P702" s="7"/>
      <c r="Q702" s="7"/>
      <c r="R702" s="14">
        <v>550</v>
      </c>
      <c r="S702" s="7"/>
      <c r="T702" s="7"/>
      <c r="U702" s="7"/>
      <c r="V702" s="14">
        <v>550</v>
      </c>
      <c r="W702" s="14">
        <v>550</v>
      </c>
      <c r="X702" s="7"/>
      <c r="Y702" s="7"/>
      <c r="Z702" s="7"/>
      <c r="AA702" s="7"/>
      <c r="AC702" s="70">
        <f t="shared" si="21"/>
        <v>550</v>
      </c>
      <c r="AD702" s="75">
        <f t="shared" si="22"/>
        <v>1</v>
      </c>
    </row>
    <row r="703" spans="1:36" outlineLevel="6">
      <c r="A703" s="3501" t="s">
        <v>503</v>
      </c>
      <c r="B703" s="3501"/>
      <c r="C703" s="7"/>
      <c r="D703" s="7"/>
      <c r="E703" s="14">
        <v>550</v>
      </c>
      <c r="F703" s="7"/>
      <c r="G703" s="7"/>
      <c r="H703" s="8"/>
      <c r="I703" s="9"/>
      <c r="J703" s="7"/>
      <c r="K703" s="7"/>
      <c r="L703" s="7"/>
      <c r="M703" s="14">
        <v>550</v>
      </c>
      <c r="N703" s="14">
        <v>550</v>
      </c>
      <c r="O703" s="14">
        <v>550</v>
      </c>
      <c r="P703" s="7"/>
      <c r="Q703" s="7"/>
      <c r="R703" s="14">
        <v>550</v>
      </c>
      <c r="S703" s="7"/>
      <c r="T703" s="7"/>
      <c r="U703" s="7"/>
      <c r="V703" s="14">
        <v>550</v>
      </c>
      <c r="W703" s="14">
        <v>550</v>
      </c>
      <c r="X703" s="7"/>
      <c r="Y703" s="7"/>
      <c r="Z703" s="7"/>
      <c r="AA703" s="7"/>
      <c r="AC703" s="70" t="str">
        <f t="shared" si="21"/>
        <v/>
      </c>
      <c r="AD703" s="75" t="str">
        <f t="shared" si="22"/>
        <v/>
      </c>
    </row>
    <row r="704" spans="1:36" outlineLevel="7">
      <c r="A704" s="3500" t="s">
        <v>504</v>
      </c>
      <c r="B704" s="3500"/>
      <c r="C704" s="7"/>
      <c r="D704" s="7"/>
      <c r="E704" s="14">
        <v>550</v>
      </c>
      <c r="F704" s="7"/>
      <c r="G704" s="7"/>
      <c r="H704" s="8"/>
      <c r="I704" s="9"/>
      <c r="J704" s="7"/>
      <c r="K704" s="7"/>
      <c r="L704" s="7"/>
      <c r="M704" s="14">
        <v>550</v>
      </c>
      <c r="N704" s="14">
        <v>550</v>
      </c>
      <c r="O704" s="14">
        <v>550</v>
      </c>
      <c r="P704" s="7"/>
      <c r="Q704" s="7"/>
      <c r="R704" s="14">
        <v>550</v>
      </c>
      <c r="S704" s="7"/>
      <c r="T704" s="7"/>
      <c r="U704" s="7"/>
      <c r="V704" s="14">
        <v>550</v>
      </c>
      <c r="W704" s="14">
        <v>550</v>
      </c>
      <c r="X704" s="7"/>
      <c r="Y704" s="7"/>
      <c r="Z704" s="7"/>
      <c r="AA704" s="7"/>
      <c r="AC704" s="70" t="str">
        <f t="shared" si="21"/>
        <v/>
      </c>
      <c r="AD704" s="75" t="str">
        <f t="shared" si="22"/>
        <v/>
      </c>
      <c r="AH704" t="s">
        <v>2724</v>
      </c>
    </row>
    <row r="705" spans="1:34" outlineLevel="7">
      <c r="A705" s="3499" t="s">
        <v>1744</v>
      </c>
      <c r="B705" s="3499"/>
      <c r="C705" s="7"/>
      <c r="D705" s="7"/>
      <c r="E705" s="14">
        <v>550</v>
      </c>
      <c r="F705" s="7"/>
      <c r="G705" s="7"/>
      <c r="H705" s="8"/>
      <c r="I705" s="9"/>
      <c r="J705" s="7"/>
      <c r="K705" s="7"/>
      <c r="L705" s="7"/>
      <c r="M705" s="14">
        <v>550</v>
      </c>
      <c r="N705" s="14">
        <v>550</v>
      </c>
      <c r="O705" s="14">
        <v>550</v>
      </c>
      <c r="P705" s="7"/>
      <c r="Q705" s="7"/>
      <c r="R705" s="14">
        <v>550</v>
      </c>
      <c r="S705" s="7"/>
      <c r="T705" s="7"/>
      <c r="U705" s="7"/>
      <c r="V705" s="14">
        <v>550</v>
      </c>
      <c r="W705" s="14">
        <v>550</v>
      </c>
      <c r="X705" s="7"/>
      <c r="Y705" s="7"/>
      <c r="Z705" s="7"/>
      <c r="AA705" s="7"/>
      <c r="AC705" s="70">
        <f t="shared" si="21"/>
        <v>550</v>
      </c>
      <c r="AD705" s="75">
        <f t="shared" si="22"/>
        <v>1</v>
      </c>
    </row>
    <row r="706" spans="1:34" outlineLevel="6">
      <c r="A706" s="3501" t="s">
        <v>505</v>
      </c>
      <c r="B706" s="3501"/>
      <c r="C706" s="7"/>
      <c r="D706" s="7"/>
      <c r="E706" s="14">
        <v>550</v>
      </c>
      <c r="F706" s="7"/>
      <c r="G706" s="7"/>
      <c r="H706" s="8"/>
      <c r="I706" s="9"/>
      <c r="J706" s="7"/>
      <c r="K706" s="7"/>
      <c r="L706" s="7"/>
      <c r="M706" s="14">
        <v>550</v>
      </c>
      <c r="N706" s="14">
        <v>550</v>
      </c>
      <c r="O706" s="14">
        <v>550</v>
      </c>
      <c r="P706" s="7"/>
      <c r="Q706" s="7"/>
      <c r="R706" s="14">
        <v>550</v>
      </c>
      <c r="S706" s="7"/>
      <c r="T706" s="7"/>
      <c r="U706" s="7"/>
      <c r="V706" s="14">
        <v>550</v>
      </c>
      <c r="W706" s="14">
        <v>550</v>
      </c>
      <c r="X706" s="7"/>
      <c r="Y706" s="7"/>
      <c r="Z706" s="7"/>
      <c r="AA706" s="7"/>
      <c r="AC706" s="70" t="str">
        <f t="shared" si="21"/>
        <v/>
      </c>
      <c r="AD706" s="75" t="str">
        <f t="shared" si="22"/>
        <v/>
      </c>
    </row>
    <row r="707" spans="1:34" outlineLevel="7">
      <c r="A707" s="3500" t="s">
        <v>506</v>
      </c>
      <c r="B707" s="3500"/>
      <c r="C707" s="7"/>
      <c r="D707" s="7"/>
      <c r="E707" s="14">
        <v>550</v>
      </c>
      <c r="F707" s="7"/>
      <c r="G707" s="7"/>
      <c r="H707" s="8"/>
      <c r="I707" s="9"/>
      <c r="J707" s="7"/>
      <c r="K707" s="7"/>
      <c r="L707" s="7"/>
      <c r="M707" s="14">
        <v>550</v>
      </c>
      <c r="N707" s="14">
        <v>550</v>
      </c>
      <c r="O707" s="14">
        <v>550</v>
      </c>
      <c r="P707" s="7"/>
      <c r="Q707" s="7"/>
      <c r="R707" s="14">
        <v>550</v>
      </c>
      <c r="S707" s="7"/>
      <c r="T707" s="7"/>
      <c r="U707" s="7"/>
      <c r="V707" s="14">
        <v>550</v>
      </c>
      <c r="W707" s="14">
        <v>550</v>
      </c>
      <c r="X707" s="7"/>
      <c r="Y707" s="7"/>
      <c r="Z707" s="7"/>
      <c r="AA707" s="7"/>
      <c r="AC707" s="70" t="str">
        <f t="shared" si="21"/>
        <v/>
      </c>
      <c r="AD707" s="75" t="str">
        <f t="shared" si="22"/>
        <v/>
      </c>
      <c r="AH707" t="s">
        <v>3517</v>
      </c>
    </row>
    <row r="708" spans="1:34" outlineLevel="7">
      <c r="A708" s="3499" t="s">
        <v>1745</v>
      </c>
      <c r="B708" s="3499"/>
      <c r="C708" s="7"/>
      <c r="D708" s="7"/>
      <c r="E708" s="14">
        <v>550</v>
      </c>
      <c r="F708" s="7"/>
      <c r="G708" s="7"/>
      <c r="H708" s="8"/>
      <c r="I708" s="9"/>
      <c r="J708" s="7"/>
      <c r="K708" s="7"/>
      <c r="L708" s="7"/>
      <c r="M708" s="14">
        <v>550</v>
      </c>
      <c r="N708" s="14">
        <v>550</v>
      </c>
      <c r="O708" s="14">
        <v>550</v>
      </c>
      <c r="P708" s="7"/>
      <c r="Q708" s="7"/>
      <c r="R708" s="14">
        <v>550</v>
      </c>
      <c r="S708" s="7"/>
      <c r="T708" s="7"/>
      <c r="U708" s="7"/>
      <c r="V708" s="14">
        <v>550</v>
      </c>
      <c r="W708" s="14">
        <v>550</v>
      </c>
      <c r="X708" s="7"/>
      <c r="Y708" s="7"/>
      <c r="Z708" s="7"/>
      <c r="AA708" s="7"/>
      <c r="AC708" s="70">
        <f t="shared" si="21"/>
        <v>550</v>
      </c>
      <c r="AD708" s="75">
        <f t="shared" si="22"/>
        <v>1</v>
      </c>
    </row>
    <row r="709" spans="1:34" outlineLevel="6">
      <c r="A709" s="3501" t="s">
        <v>507</v>
      </c>
      <c r="B709" s="3501"/>
      <c r="C709" s="7"/>
      <c r="D709" s="7"/>
      <c r="E709" s="14">
        <v>550</v>
      </c>
      <c r="F709" s="7"/>
      <c r="G709" s="7"/>
      <c r="H709" s="8"/>
      <c r="I709" s="9"/>
      <c r="J709" s="7"/>
      <c r="K709" s="7"/>
      <c r="L709" s="7"/>
      <c r="M709" s="14">
        <v>550</v>
      </c>
      <c r="N709" s="14">
        <v>550</v>
      </c>
      <c r="O709" s="14">
        <v>550</v>
      </c>
      <c r="P709" s="7"/>
      <c r="Q709" s="7"/>
      <c r="R709" s="14">
        <v>550</v>
      </c>
      <c r="S709" s="7"/>
      <c r="T709" s="7"/>
      <c r="U709" s="7"/>
      <c r="V709" s="14">
        <v>550</v>
      </c>
      <c r="W709" s="14">
        <v>550</v>
      </c>
      <c r="X709" s="7"/>
      <c r="Y709" s="7"/>
      <c r="Z709" s="7"/>
      <c r="AA709" s="7"/>
      <c r="AC709" s="70" t="str">
        <f t="shared" si="21"/>
        <v/>
      </c>
      <c r="AD709" s="75" t="str">
        <f t="shared" si="22"/>
        <v/>
      </c>
    </row>
    <row r="710" spans="1:34" outlineLevel="7">
      <c r="A710" s="3500" t="s">
        <v>508</v>
      </c>
      <c r="B710" s="3500"/>
      <c r="C710" s="7"/>
      <c r="D710" s="7"/>
      <c r="E710" s="14">
        <v>550</v>
      </c>
      <c r="F710" s="7"/>
      <c r="G710" s="7"/>
      <c r="H710" s="8"/>
      <c r="I710" s="9"/>
      <c r="J710" s="7"/>
      <c r="K710" s="7"/>
      <c r="L710" s="7"/>
      <c r="M710" s="14">
        <v>550</v>
      </c>
      <c r="N710" s="14">
        <v>550</v>
      </c>
      <c r="O710" s="14">
        <v>550</v>
      </c>
      <c r="P710" s="7"/>
      <c r="Q710" s="7"/>
      <c r="R710" s="14">
        <v>550</v>
      </c>
      <c r="S710" s="7"/>
      <c r="T710" s="7"/>
      <c r="U710" s="7"/>
      <c r="V710" s="14">
        <v>550</v>
      </c>
      <c r="W710" s="14">
        <v>550</v>
      </c>
      <c r="X710" s="7"/>
      <c r="Y710" s="7"/>
      <c r="Z710" s="7"/>
      <c r="AA710" s="7"/>
      <c r="AC710" s="70" t="str">
        <f t="shared" si="21"/>
        <v/>
      </c>
      <c r="AD710" s="75" t="str">
        <f t="shared" si="22"/>
        <v/>
      </c>
      <c r="AH710" t="s">
        <v>3450</v>
      </c>
    </row>
    <row r="711" spans="1:34" outlineLevel="7">
      <c r="A711" s="3499" t="s">
        <v>1746</v>
      </c>
      <c r="B711" s="3499"/>
      <c r="C711" s="7"/>
      <c r="D711" s="7"/>
      <c r="E711" s="14">
        <v>550</v>
      </c>
      <c r="F711" s="7"/>
      <c r="G711" s="7"/>
      <c r="H711" s="8"/>
      <c r="I711" s="9"/>
      <c r="J711" s="7"/>
      <c r="K711" s="7"/>
      <c r="L711" s="7"/>
      <c r="M711" s="14">
        <v>550</v>
      </c>
      <c r="N711" s="14">
        <v>550</v>
      </c>
      <c r="O711" s="14">
        <v>550</v>
      </c>
      <c r="P711" s="7"/>
      <c r="Q711" s="7"/>
      <c r="R711" s="14">
        <v>550</v>
      </c>
      <c r="S711" s="7"/>
      <c r="T711" s="7"/>
      <c r="U711" s="7"/>
      <c r="V711" s="14">
        <v>550</v>
      </c>
      <c r="W711" s="14">
        <v>550</v>
      </c>
      <c r="X711" s="7"/>
      <c r="Y711" s="7"/>
      <c r="Z711" s="7"/>
      <c r="AA711" s="7"/>
      <c r="AC711" s="70">
        <f t="shared" si="21"/>
        <v>550</v>
      </c>
      <c r="AD711" s="75">
        <f t="shared" si="22"/>
        <v>1</v>
      </c>
    </row>
    <row r="712" spans="1:34" outlineLevel="6">
      <c r="A712" s="3501" t="s">
        <v>509</v>
      </c>
      <c r="B712" s="3501"/>
      <c r="C712" s="7"/>
      <c r="D712" s="7"/>
      <c r="E712" s="14">
        <v>550</v>
      </c>
      <c r="F712" s="7"/>
      <c r="G712" s="7"/>
      <c r="H712" s="8"/>
      <c r="I712" s="9"/>
      <c r="J712" s="7"/>
      <c r="K712" s="7"/>
      <c r="L712" s="7"/>
      <c r="M712" s="14">
        <v>550</v>
      </c>
      <c r="N712" s="14">
        <v>550</v>
      </c>
      <c r="O712" s="14">
        <v>550</v>
      </c>
      <c r="P712" s="7"/>
      <c r="Q712" s="7"/>
      <c r="R712" s="14">
        <v>550</v>
      </c>
      <c r="S712" s="7"/>
      <c r="T712" s="7"/>
      <c r="U712" s="7"/>
      <c r="V712" s="14">
        <v>550</v>
      </c>
      <c r="W712" s="14">
        <v>550</v>
      </c>
      <c r="X712" s="7"/>
      <c r="Y712" s="7"/>
      <c r="Z712" s="7"/>
      <c r="AA712" s="7"/>
      <c r="AC712" s="70" t="str">
        <f t="shared" si="21"/>
        <v/>
      </c>
      <c r="AD712" s="75" t="str">
        <f t="shared" si="22"/>
        <v/>
      </c>
    </row>
    <row r="713" spans="1:34" outlineLevel="7">
      <c r="A713" s="3500" t="s">
        <v>510</v>
      </c>
      <c r="B713" s="3500"/>
      <c r="C713" s="7"/>
      <c r="D713" s="7"/>
      <c r="E713" s="14">
        <v>550</v>
      </c>
      <c r="F713" s="7"/>
      <c r="G713" s="7"/>
      <c r="H713" s="8"/>
      <c r="I713" s="9"/>
      <c r="J713" s="7"/>
      <c r="K713" s="7"/>
      <c r="L713" s="7"/>
      <c r="M713" s="14">
        <v>550</v>
      </c>
      <c r="N713" s="14">
        <v>550</v>
      </c>
      <c r="O713" s="14">
        <v>550</v>
      </c>
      <c r="P713" s="7"/>
      <c r="Q713" s="7"/>
      <c r="R713" s="14">
        <v>550</v>
      </c>
      <c r="S713" s="7"/>
      <c r="T713" s="7"/>
      <c r="U713" s="7"/>
      <c r="V713" s="14">
        <v>550</v>
      </c>
      <c r="W713" s="14">
        <v>550</v>
      </c>
      <c r="X713" s="7"/>
      <c r="Y713" s="7"/>
      <c r="Z713" s="7"/>
      <c r="AA713" s="7"/>
      <c r="AC713" s="70" t="str">
        <f t="shared" si="21"/>
        <v/>
      </c>
      <c r="AD713" s="75" t="str">
        <f t="shared" si="22"/>
        <v/>
      </c>
      <c r="AH713" t="s">
        <v>3511</v>
      </c>
    </row>
    <row r="714" spans="1:34" outlineLevel="7">
      <c r="A714" s="3499" t="s">
        <v>1747</v>
      </c>
      <c r="B714" s="3499"/>
      <c r="C714" s="7"/>
      <c r="D714" s="7"/>
      <c r="E714" s="14">
        <v>550</v>
      </c>
      <c r="F714" s="7"/>
      <c r="G714" s="7"/>
      <c r="H714" s="8"/>
      <c r="I714" s="9"/>
      <c r="J714" s="7"/>
      <c r="K714" s="7"/>
      <c r="L714" s="7"/>
      <c r="M714" s="14">
        <v>550</v>
      </c>
      <c r="N714" s="14">
        <v>550</v>
      </c>
      <c r="O714" s="14">
        <v>550</v>
      </c>
      <c r="P714" s="7"/>
      <c r="Q714" s="7"/>
      <c r="R714" s="14">
        <v>550</v>
      </c>
      <c r="S714" s="7"/>
      <c r="T714" s="7"/>
      <c r="U714" s="7"/>
      <c r="V714" s="14">
        <v>550</v>
      </c>
      <c r="W714" s="14">
        <v>550</v>
      </c>
      <c r="X714" s="7"/>
      <c r="Y714" s="7"/>
      <c r="Z714" s="7"/>
      <c r="AA714" s="7"/>
      <c r="AC714" s="70">
        <f t="shared" si="21"/>
        <v>550</v>
      </c>
      <c r="AD714" s="75">
        <f t="shared" si="22"/>
        <v>1</v>
      </c>
    </row>
    <row r="715" spans="1:34" outlineLevel="6">
      <c r="A715" s="3501" t="s">
        <v>511</v>
      </c>
      <c r="B715" s="3501"/>
      <c r="C715" s="7"/>
      <c r="D715" s="7"/>
      <c r="E715" s="14">
        <v>550</v>
      </c>
      <c r="F715" s="7"/>
      <c r="G715" s="7"/>
      <c r="H715" s="8"/>
      <c r="I715" s="9"/>
      <c r="J715" s="7"/>
      <c r="K715" s="7"/>
      <c r="L715" s="7"/>
      <c r="M715" s="14">
        <v>550</v>
      </c>
      <c r="N715" s="14">
        <v>550</v>
      </c>
      <c r="O715" s="14">
        <v>550</v>
      </c>
      <c r="P715" s="7"/>
      <c r="Q715" s="7"/>
      <c r="R715" s="14">
        <v>550</v>
      </c>
      <c r="S715" s="7"/>
      <c r="T715" s="7"/>
      <c r="U715" s="7"/>
      <c r="V715" s="14">
        <v>550</v>
      </c>
      <c r="W715" s="14">
        <v>550</v>
      </c>
      <c r="X715" s="7"/>
      <c r="Y715" s="7"/>
      <c r="Z715" s="7"/>
      <c r="AA715" s="7"/>
      <c r="AC715" s="70" t="str">
        <f t="shared" si="21"/>
        <v/>
      </c>
      <c r="AD715" s="75" t="str">
        <f t="shared" si="22"/>
        <v/>
      </c>
    </row>
    <row r="716" spans="1:34" outlineLevel="7">
      <c r="A716" s="3500" t="s">
        <v>512</v>
      </c>
      <c r="B716" s="3500"/>
      <c r="C716" s="7"/>
      <c r="D716" s="7"/>
      <c r="E716" s="14">
        <v>550</v>
      </c>
      <c r="F716" s="7"/>
      <c r="G716" s="7"/>
      <c r="H716" s="8"/>
      <c r="I716" s="9"/>
      <c r="J716" s="7"/>
      <c r="K716" s="7"/>
      <c r="L716" s="7"/>
      <c r="M716" s="14">
        <v>550</v>
      </c>
      <c r="N716" s="14">
        <v>550</v>
      </c>
      <c r="O716" s="14">
        <v>550</v>
      </c>
      <c r="P716" s="7"/>
      <c r="Q716" s="7"/>
      <c r="R716" s="14">
        <v>550</v>
      </c>
      <c r="S716" s="7"/>
      <c r="T716" s="7"/>
      <c r="U716" s="7"/>
      <c r="V716" s="14">
        <v>550</v>
      </c>
      <c r="W716" s="14">
        <v>550</v>
      </c>
      <c r="X716" s="7"/>
      <c r="Y716" s="7"/>
      <c r="Z716" s="7"/>
      <c r="AA716" s="7"/>
      <c r="AC716" s="70" t="str">
        <f t="shared" si="21"/>
        <v/>
      </c>
      <c r="AD716" s="75" t="str">
        <f t="shared" si="22"/>
        <v/>
      </c>
      <c r="AH716" t="s">
        <v>3366</v>
      </c>
    </row>
    <row r="717" spans="1:34" outlineLevel="7">
      <c r="A717" s="3499" t="s">
        <v>1748</v>
      </c>
      <c r="B717" s="3499"/>
      <c r="C717" s="7"/>
      <c r="D717" s="7"/>
      <c r="E717" s="14">
        <v>550</v>
      </c>
      <c r="F717" s="7"/>
      <c r="G717" s="7"/>
      <c r="H717" s="8"/>
      <c r="I717" s="9"/>
      <c r="J717" s="7"/>
      <c r="K717" s="7"/>
      <c r="L717" s="7"/>
      <c r="M717" s="14">
        <v>550</v>
      </c>
      <c r="N717" s="14">
        <v>550</v>
      </c>
      <c r="O717" s="14">
        <v>550</v>
      </c>
      <c r="P717" s="7"/>
      <c r="Q717" s="7"/>
      <c r="R717" s="14">
        <v>550</v>
      </c>
      <c r="S717" s="7"/>
      <c r="T717" s="7"/>
      <c r="U717" s="7"/>
      <c r="V717" s="14">
        <v>550</v>
      </c>
      <c r="W717" s="14">
        <v>550</v>
      </c>
      <c r="X717" s="7"/>
      <c r="Y717" s="7"/>
      <c r="Z717" s="7"/>
      <c r="AA717" s="7"/>
      <c r="AC717" s="70">
        <f t="shared" si="21"/>
        <v>550</v>
      </c>
      <c r="AD717" s="75">
        <f t="shared" si="22"/>
        <v>1</v>
      </c>
    </row>
    <row r="718" spans="1:34" outlineLevel="6">
      <c r="A718" s="3501" t="s">
        <v>513</v>
      </c>
      <c r="B718" s="3501"/>
      <c r="C718" s="7"/>
      <c r="D718" s="7"/>
      <c r="E718" s="14">
        <v>550</v>
      </c>
      <c r="F718" s="7"/>
      <c r="G718" s="7"/>
      <c r="H718" s="8"/>
      <c r="I718" s="9"/>
      <c r="J718" s="7"/>
      <c r="K718" s="7"/>
      <c r="L718" s="7"/>
      <c r="M718" s="14">
        <v>550</v>
      </c>
      <c r="N718" s="14">
        <v>550</v>
      </c>
      <c r="O718" s="14">
        <v>550</v>
      </c>
      <c r="P718" s="7"/>
      <c r="Q718" s="7"/>
      <c r="R718" s="14">
        <v>550</v>
      </c>
      <c r="S718" s="7"/>
      <c r="T718" s="7"/>
      <c r="U718" s="7"/>
      <c r="V718" s="14">
        <v>550</v>
      </c>
      <c r="W718" s="14">
        <v>550</v>
      </c>
      <c r="X718" s="7"/>
      <c r="Y718" s="7"/>
      <c r="Z718" s="7"/>
      <c r="AA718" s="7"/>
      <c r="AC718" s="70" t="str">
        <f t="shared" si="21"/>
        <v/>
      </c>
      <c r="AD718" s="75" t="str">
        <f t="shared" si="22"/>
        <v/>
      </c>
    </row>
    <row r="719" spans="1:34" outlineLevel="7">
      <c r="A719" s="3500" t="s">
        <v>514</v>
      </c>
      <c r="B719" s="3500"/>
      <c r="C719" s="7"/>
      <c r="D719" s="7"/>
      <c r="E719" s="14">
        <v>550</v>
      </c>
      <c r="F719" s="7"/>
      <c r="G719" s="7"/>
      <c r="H719" s="8"/>
      <c r="I719" s="9"/>
      <c r="J719" s="7"/>
      <c r="K719" s="7"/>
      <c r="L719" s="7"/>
      <c r="M719" s="14">
        <v>550</v>
      </c>
      <c r="N719" s="14">
        <v>550</v>
      </c>
      <c r="O719" s="14">
        <v>550</v>
      </c>
      <c r="P719" s="7"/>
      <c r="Q719" s="7"/>
      <c r="R719" s="14">
        <v>550</v>
      </c>
      <c r="S719" s="7"/>
      <c r="T719" s="7"/>
      <c r="U719" s="7"/>
      <c r="V719" s="14">
        <v>550</v>
      </c>
      <c r="W719" s="14">
        <v>550</v>
      </c>
      <c r="X719" s="7"/>
      <c r="Y719" s="7"/>
      <c r="Z719" s="7"/>
      <c r="AA719" s="7"/>
      <c r="AC719" s="70" t="str">
        <f t="shared" si="21"/>
        <v/>
      </c>
      <c r="AD719" s="75" t="str">
        <f t="shared" si="22"/>
        <v/>
      </c>
      <c r="AH719" t="s">
        <v>3439</v>
      </c>
    </row>
    <row r="720" spans="1:34" outlineLevel="7">
      <c r="A720" s="3499" t="s">
        <v>1749</v>
      </c>
      <c r="B720" s="3499"/>
      <c r="C720" s="7"/>
      <c r="D720" s="7"/>
      <c r="E720" s="14">
        <v>550</v>
      </c>
      <c r="F720" s="7"/>
      <c r="G720" s="7"/>
      <c r="H720" s="8"/>
      <c r="I720" s="9"/>
      <c r="J720" s="7"/>
      <c r="K720" s="7"/>
      <c r="L720" s="7"/>
      <c r="M720" s="14">
        <v>550</v>
      </c>
      <c r="N720" s="14">
        <v>550</v>
      </c>
      <c r="O720" s="14">
        <v>550</v>
      </c>
      <c r="P720" s="7"/>
      <c r="Q720" s="7"/>
      <c r="R720" s="14">
        <v>550</v>
      </c>
      <c r="S720" s="7"/>
      <c r="T720" s="7"/>
      <c r="U720" s="7"/>
      <c r="V720" s="14">
        <v>550</v>
      </c>
      <c r="W720" s="14">
        <v>550</v>
      </c>
      <c r="X720" s="7"/>
      <c r="Y720" s="7"/>
      <c r="Z720" s="7"/>
      <c r="AA720" s="7"/>
      <c r="AC720" s="70">
        <f t="shared" si="21"/>
        <v>550</v>
      </c>
      <c r="AD720" s="75">
        <f t="shared" si="22"/>
        <v>1</v>
      </c>
    </row>
    <row r="721" spans="1:34" outlineLevel="6">
      <c r="A721" s="3501" t="s">
        <v>515</v>
      </c>
      <c r="B721" s="3501"/>
      <c r="C721" s="7"/>
      <c r="D721" s="7"/>
      <c r="E721" s="14">
        <v>550</v>
      </c>
      <c r="F721" s="7"/>
      <c r="G721" s="7"/>
      <c r="H721" s="8"/>
      <c r="I721" s="9"/>
      <c r="J721" s="7"/>
      <c r="K721" s="7"/>
      <c r="L721" s="7"/>
      <c r="M721" s="14">
        <v>550</v>
      </c>
      <c r="N721" s="14">
        <v>550</v>
      </c>
      <c r="O721" s="14">
        <v>550</v>
      </c>
      <c r="P721" s="7"/>
      <c r="Q721" s="7"/>
      <c r="R721" s="14">
        <v>550</v>
      </c>
      <c r="S721" s="7"/>
      <c r="T721" s="7"/>
      <c r="U721" s="7"/>
      <c r="V721" s="14">
        <v>550</v>
      </c>
      <c r="W721" s="14">
        <v>550</v>
      </c>
      <c r="X721" s="7"/>
      <c r="Y721" s="7"/>
      <c r="Z721" s="7"/>
      <c r="AA721" s="7"/>
      <c r="AC721" s="70" t="str">
        <f t="shared" ref="AC721:AC784" si="23">IF(LEFT($A721,5)="Реали",$E721,"")</f>
        <v/>
      </c>
      <c r="AD721" s="75" t="str">
        <f t="shared" ref="AD721:AD784" si="24">IF(AC721=550,1,"")</f>
        <v/>
      </c>
    </row>
    <row r="722" spans="1:34" outlineLevel="7">
      <c r="A722" s="3500" t="s">
        <v>516</v>
      </c>
      <c r="B722" s="3500"/>
      <c r="C722" s="7"/>
      <c r="D722" s="7"/>
      <c r="E722" s="14">
        <v>550</v>
      </c>
      <c r="F722" s="7"/>
      <c r="G722" s="7"/>
      <c r="H722" s="8"/>
      <c r="I722" s="9"/>
      <c r="J722" s="7"/>
      <c r="K722" s="7"/>
      <c r="L722" s="7"/>
      <c r="M722" s="14">
        <v>550</v>
      </c>
      <c r="N722" s="14">
        <v>550</v>
      </c>
      <c r="O722" s="14">
        <v>550</v>
      </c>
      <c r="P722" s="7"/>
      <c r="Q722" s="7"/>
      <c r="R722" s="14">
        <v>550</v>
      </c>
      <c r="S722" s="7"/>
      <c r="T722" s="7"/>
      <c r="U722" s="7"/>
      <c r="V722" s="14">
        <v>550</v>
      </c>
      <c r="W722" s="14">
        <v>550</v>
      </c>
      <c r="X722" s="7"/>
      <c r="Y722" s="7"/>
      <c r="Z722" s="7"/>
      <c r="AA722" s="7"/>
      <c r="AC722" s="70" t="str">
        <f t="shared" si="23"/>
        <v/>
      </c>
      <c r="AD722" s="75" t="str">
        <f t="shared" si="24"/>
        <v/>
      </c>
      <c r="AH722" t="s">
        <v>3385</v>
      </c>
    </row>
    <row r="723" spans="1:34" outlineLevel="7">
      <c r="A723" s="3499" t="s">
        <v>1750</v>
      </c>
      <c r="B723" s="3499"/>
      <c r="C723" s="7"/>
      <c r="D723" s="7"/>
      <c r="E723" s="14">
        <v>550</v>
      </c>
      <c r="F723" s="7"/>
      <c r="G723" s="7"/>
      <c r="H723" s="8"/>
      <c r="I723" s="9"/>
      <c r="J723" s="7"/>
      <c r="K723" s="7"/>
      <c r="L723" s="7"/>
      <c r="M723" s="14">
        <v>550</v>
      </c>
      <c r="N723" s="14">
        <v>550</v>
      </c>
      <c r="O723" s="14">
        <v>550</v>
      </c>
      <c r="P723" s="7"/>
      <c r="Q723" s="7"/>
      <c r="R723" s="14">
        <v>550</v>
      </c>
      <c r="S723" s="7"/>
      <c r="T723" s="7"/>
      <c r="U723" s="7"/>
      <c r="V723" s="14">
        <v>550</v>
      </c>
      <c r="W723" s="14">
        <v>550</v>
      </c>
      <c r="X723" s="7"/>
      <c r="Y723" s="7"/>
      <c r="Z723" s="7"/>
      <c r="AA723" s="7"/>
      <c r="AC723" s="70">
        <f t="shared" si="23"/>
        <v>550</v>
      </c>
      <c r="AD723" s="75">
        <f t="shared" si="24"/>
        <v>1</v>
      </c>
    </row>
    <row r="724" spans="1:34" outlineLevel="6">
      <c r="A724" s="3501" t="s">
        <v>517</v>
      </c>
      <c r="B724" s="3501"/>
      <c r="C724" s="7"/>
      <c r="D724" s="7"/>
      <c r="E724" s="14">
        <v>550</v>
      </c>
      <c r="F724" s="7"/>
      <c r="G724" s="7"/>
      <c r="H724" s="8"/>
      <c r="I724" s="9"/>
      <c r="J724" s="7"/>
      <c r="K724" s="7"/>
      <c r="L724" s="7"/>
      <c r="M724" s="14">
        <v>550</v>
      </c>
      <c r="N724" s="14">
        <v>550</v>
      </c>
      <c r="O724" s="14">
        <v>550</v>
      </c>
      <c r="P724" s="7"/>
      <c r="Q724" s="7"/>
      <c r="R724" s="14">
        <v>550</v>
      </c>
      <c r="S724" s="7"/>
      <c r="T724" s="7"/>
      <c r="U724" s="7"/>
      <c r="V724" s="14">
        <v>550</v>
      </c>
      <c r="W724" s="14">
        <v>550</v>
      </c>
      <c r="X724" s="7"/>
      <c r="Y724" s="7"/>
      <c r="Z724" s="7"/>
      <c r="AA724" s="7"/>
      <c r="AC724" s="70" t="str">
        <f t="shared" si="23"/>
        <v/>
      </c>
      <c r="AD724" s="75" t="str">
        <f t="shared" si="24"/>
        <v/>
      </c>
    </row>
    <row r="725" spans="1:34" outlineLevel="7">
      <c r="A725" s="3500" t="s">
        <v>518</v>
      </c>
      <c r="B725" s="3500"/>
      <c r="C725" s="7"/>
      <c r="D725" s="7"/>
      <c r="E725" s="14">
        <v>550</v>
      </c>
      <c r="F725" s="7"/>
      <c r="G725" s="7"/>
      <c r="H725" s="8"/>
      <c r="I725" s="9"/>
      <c r="J725" s="7"/>
      <c r="K725" s="7"/>
      <c r="L725" s="7"/>
      <c r="M725" s="14">
        <v>550</v>
      </c>
      <c r="N725" s="14">
        <v>550</v>
      </c>
      <c r="O725" s="14">
        <v>550</v>
      </c>
      <c r="P725" s="7"/>
      <c r="Q725" s="7"/>
      <c r="R725" s="14">
        <v>550</v>
      </c>
      <c r="S725" s="7"/>
      <c r="T725" s="7"/>
      <c r="U725" s="7"/>
      <c r="V725" s="14">
        <v>550</v>
      </c>
      <c r="W725" s="14">
        <v>550</v>
      </c>
      <c r="X725" s="7"/>
      <c r="Y725" s="7"/>
      <c r="Z725" s="7"/>
      <c r="AA725" s="7"/>
      <c r="AC725" s="70" t="str">
        <f t="shared" si="23"/>
        <v/>
      </c>
      <c r="AD725" s="75" t="str">
        <f t="shared" si="24"/>
        <v/>
      </c>
      <c r="AH725" t="s">
        <v>3465</v>
      </c>
    </row>
    <row r="726" spans="1:34" outlineLevel="7">
      <c r="A726" s="3499" t="s">
        <v>1751</v>
      </c>
      <c r="B726" s="3499"/>
      <c r="C726" s="7"/>
      <c r="D726" s="7"/>
      <c r="E726" s="14">
        <v>550</v>
      </c>
      <c r="F726" s="7"/>
      <c r="G726" s="7"/>
      <c r="H726" s="8"/>
      <c r="I726" s="9"/>
      <c r="J726" s="7"/>
      <c r="K726" s="7"/>
      <c r="L726" s="7"/>
      <c r="M726" s="14">
        <v>550</v>
      </c>
      <c r="N726" s="14">
        <v>550</v>
      </c>
      <c r="O726" s="14">
        <v>550</v>
      </c>
      <c r="P726" s="7"/>
      <c r="Q726" s="7"/>
      <c r="R726" s="14">
        <v>550</v>
      </c>
      <c r="S726" s="7"/>
      <c r="T726" s="7"/>
      <c r="U726" s="7"/>
      <c r="V726" s="14">
        <v>550</v>
      </c>
      <c r="W726" s="14">
        <v>550</v>
      </c>
      <c r="X726" s="7"/>
      <c r="Y726" s="7"/>
      <c r="Z726" s="7"/>
      <c r="AA726" s="7"/>
      <c r="AC726" s="70">
        <f t="shared" si="23"/>
        <v>550</v>
      </c>
      <c r="AD726" s="75">
        <f t="shared" si="24"/>
        <v>1</v>
      </c>
    </row>
    <row r="727" spans="1:34" outlineLevel="6">
      <c r="A727" s="3501" t="s">
        <v>519</v>
      </c>
      <c r="B727" s="3501"/>
      <c r="C727" s="7"/>
      <c r="D727" s="7"/>
      <c r="E727" s="14">
        <v>550</v>
      </c>
      <c r="F727" s="7"/>
      <c r="G727" s="7"/>
      <c r="H727" s="8"/>
      <c r="I727" s="9"/>
      <c r="J727" s="7"/>
      <c r="K727" s="7"/>
      <c r="L727" s="7"/>
      <c r="M727" s="14">
        <v>550</v>
      </c>
      <c r="N727" s="14">
        <v>550</v>
      </c>
      <c r="O727" s="14">
        <v>550</v>
      </c>
      <c r="P727" s="7"/>
      <c r="Q727" s="7"/>
      <c r="R727" s="14">
        <v>550</v>
      </c>
      <c r="S727" s="7"/>
      <c r="T727" s="7"/>
      <c r="U727" s="7"/>
      <c r="V727" s="14">
        <v>550</v>
      </c>
      <c r="W727" s="14">
        <v>550</v>
      </c>
      <c r="X727" s="7"/>
      <c r="Y727" s="7"/>
      <c r="Z727" s="7"/>
      <c r="AA727" s="7"/>
      <c r="AC727" s="70" t="str">
        <f t="shared" si="23"/>
        <v/>
      </c>
      <c r="AD727" s="75" t="str">
        <f t="shared" si="24"/>
        <v/>
      </c>
    </row>
    <row r="728" spans="1:34" outlineLevel="7">
      <c r="A728" s="3500" t="s">
        <v>520</v>
      </c>
      <c r="B728" s="3500"/>
      <c r="C728" s="7"/>
      <c r="D728" s="7"/>
      <c r="E728" s="14">
        <v>550</v>
      </c>
      <c r="F728" s="7"/>
      <c r="G728" s="7"/>
      <c r="H728" s="8"/>
      <c r="I728" s="9"/>
      <c r="J728" s="7"/>
      <c r="K728" s="7"/>
      <c r="L728" s="7"/>
      <c r="M728" s="14">
        <v>550</v>
      </c>
      <c r="N728" s="14">
        <v>550</v>
      </c>
      <c r="O728" s="14">
        <v>550</v>
      </c>
      <c r="P728" s="7"/>
      <c r="Q728" s="7"/>
      <c r="R728" s="14">
        <v>550</v>
      </c>
      <c r="S728" s="7"/>
      <c r="T728" s="7"/>
      <c r="U728" s="7"/>
      <c r="V728" s="14">
        <v>550</v>
      </c>
      <c r="W728" s="14">
        <v>550</v>
      </c>
      <c r="X728" s="7"/>
      <c r="Y728" s="7"/>
      <c r="Z728" s="7"/>
      <c r="AA728" s="7"/>
      <c r="AC728" s="70" t="str">
        <f t="shared" si="23"/>
        <v/>
      </c>
      <c r="AD728" s="75" t="str">
        <f t="shared" si="24"/>
        <v/>
      </c>
      <c r="AH728" t="s">
        <v>3643</v>
      </c>
    </row>
    <row r="729" spans="1:34" outlineLevel="7">
      <c r="A729" s="3499" t="s">
        <v>1752</v>
      </c>
      <c r="B729" s="3499"/>
      <c r="C729" s="7"/>
      <c r="D729" s="7"/>
      <c r="E729" s="14">
        <v>550</v>
      </c>
      <c r="F729" s="7"/>
      <c r="G729" s="7"/>
      <c r="H729" s="8"/>
      <c r="I729" s="9"/>
      <c r="J729" s="7"/>
      <c r="K729" s="7"/>
      <c r="L729" s="7"/>
      <c r="M729" s="14">
        <v>550</v>
      </c>
      <c r="N729" s="14">
        <v>550</v>
      </c>
      <c r="O729" s="14">
        <v>550</v>
      </c>
      <c r="P729" s="7"/>
      <c r="Q729" s="7"/>
      <c r="R729" s="14">
        <v>550</v>
      </c>
      <c r="S729" s="7"/>
      <c r="T729" s="7"/>
      <c r="U729" s="7"/>
      <c r="V729" s="14">
        <v>550</v>
      </c>
      <c r="W729" s="14">
        <v>550</v>
      </c>
      <c r="X729" s="7"/>
      <c r="Y729" s="7"/>
      <c r="Z729" s="7"/>
      <c r="AA729" s="7"/>
      <c r="AC729" s="70">
        <f t="shared" si="23"/>
        <v>550</v>
      </c>
      <c r="AD729" s="75">
        <f t="shared" si="24"/>
        <v>1</v>
      </c>
    </row>
    <row r="730" spans="1:34" outlineLevel="6">
      <c r="A730" s="3501" t="s">
        <v>521</v>
      </c>
      <c r="B730" s="3501"/>
      <c r="C730" s="7"/>
      <c r="D730" s="7"/>
      <c r="E730" s="14">
        <v>550</v>
      </c>
      <c r="F730" s="7"/>
      <c r="G730" s="7"/>
      <c r="H730" s="8"/>
      <c r="I730" s="9"/>
      <c r="J730" s="7"/>
      <c r="K730" s="7"/>
      <c r="L730" s="7"/>
      <c r="M730" s="14">
        <v>550</v>
      </c>
      <c r="N730" s="14">
        <v>550</v>
      </c>
      <c r="O730" s="14">
        <v>550</v>
      </c>
      <c r="P730" s="7"/>
      <c r="Q730" s="7"/>
      <c r="R730" s="14">
        <v>550</v>
      </c>
      <c r="S730" s="7"/>
      <c r="T730" s="7"/>
      <c r="U730" s="7"/>
      <c r="V730" s="14">
        <v>550</v>
      </c>
      <c r="W730" s="14">
        <v>550</v>
      </c>
      <c r="X730" s="7"/>
      <c r="Y730" s="7"/>
      <c r="Z730" s="7"/>
      <c r="AA730" s="7"/>
      <c r="AC730" s="70" t="str">
        <f t="shared" si="23"/>
        <v/>
      </c>
      <c r="AD730" s="75" t="str">
        <f t="shared" si="24"/>
        <v/>
      </c>
    </row>
    <row r="731" spans="1:34" outlineLevel="7">
      <c r="A731" s="3500" t="s">
        <v>522</v>
      </c>
      <c r="B731" s="3500"/>
      <c r="C731" s="7"/>
      <c r="D731" s="7"/>
      <c r="E731" s="14">
        <v>550</v>
      </c>
      <c r="F731" s="7"/>
      <c r="G731" s="7"/>
      <c r="H731" s="8"/>
      <c r="I731" s="9"/>
      <c r="J731" s="7"/>
      <c r="K731" s="7"/>
      <c r="L731" s="7"/>
      <c r="M731" s="14">
        <v>550</v>
      </c>
      <c r="N731" s="14">
        <v>550</v>
      </c>
      <c r="O731" s="14">
        <v>550</v>
      </c>
      <c r="P731" s="7"/>
      <c r="Q731" s="7"/>
      <c r="R731" s="14">
        <v>550</v>
      </c>
      <c r="S731" s="7"/>
      <c r="T731" s="7"/>
      <c r="U731" s="7"/>
      <c r="V731" s="14">
        <v>550</v>
      </c>
      <c r="W731" s="14">
        <v>550</v>
      </c>
      <c r="X731" s="7"/>
      <c r="Y731" s="7"/>
      <c r="Z731" s="7"/>
      <c r="AA731" s="7"/>
      <c r="AC731" s="70" t="str">
        <f t="shared" si="23"/>
        <v/>
      </c>
      <c r="AD731" s="75" t="str">
        <f t="shared" si="24"/>
        <v/>
      </c>
      <c r="AH731" t="s">
        <v>3492</v>
      </c>
    </row>
    <row r="732" spans="1:34" outlineLevel="7">
      <c r="A732" s="3499" t="s">
        <v>1753</v>
      </c>
      <c r="B732" s="3499"/>
      <c r="C732" s="7"/>
      <c r="D732" s="7"/>
      <c r="E732" s="14">
        <v>550</v>
      </c>
      <c r="F732" s="7"/>
      <c r="G732" s="7"/>
      <c r="H732" s="8"/>
      <c r="I732" s="9"/>
      <c r="J732" s="7"/>
      <c r="K732" s="7"/>
      <c r="L732" s="7"/>
      <c r="M732" s="14">
        <v>550</v>
      </c>
      <c r="N732" s="14">
        <v>550</v>
      </c>
      <c r="O732" s="14">
        <v>550</v>
      </c>
      <c r="P732" s="7"/>
      <c r="Q732" s="7"/>
      <c r="R732" s="14">
        <v>550</v>
      </c>
      <c r="S732" s="7"/>
      <c r="T732" s="7"/>
      <c r="U732" s="7"/>
      <c r="V732" s="14">
        <v>550</v>
      </c>
      <c r="W732" s="14">
        <v>550</v>
      </c>
      <c r="X732" s="7"/>
      <c r="Y732" s="7"/>
      <c r="Z732" s="7"/>
      <c r="AA732" s="7"/>
      <c r="AC732" s="70">
        <f t="shared" si="23"/>
        <v>550</v>
      </c>
      <c r="AD732" s="75">
        <f t="shared" si="24"/>
        <v>1</v>
      </c>
    </row>
    <row r="733" spans="1:34" outlineLevel="6">
      <c r="A733" s="3501" t="s">
        <v>523</v>
      </c>
      <c r="B733" s="3501"/>
      <c r="C733" s="7"/>
      <c r="D733" s="7"/>
      <c r="E733" s="14">
        <v>550</v>
      </c>
      <c r="F733" s="7"/>
      <c r="G733" s="7"/>
      <c r="H733" s="8"/>
      <c r="I733" s="9"/>
      <c r="J733" s="7"/>
      <c r="K733" s="7"/>
      <c r="L733" s="7"/>
      <c r="M733" s="14">
        <v>550</v>
      </c>
      <c r="N733" s="14">
        <v>550</v>
      </c>
      <c r="O733" s="14">
        <v>550</v>
      </c>
      <c r="P733" s="7"/>
      <c r="Q733" s="7"/>
      <c r="R733" s="14">
        <v>550</v>
      </c>
      <c r="S733" s="7"/>
      <c r="T733" s="7"/>
      <c r="U733" s="7"/>
      <c r="V733" s="14">
        <v>550</v>
      </c>
      <c r="W733" s="14">
        <v>550</v>
      </c>
      <c r="X733" s="7"/>
      <c r="Y733" s="7"/>
      <c r="Z733" s="7"/>
      <c r="AA733" s="7"/>
      <c r="AC733" s="70" t="str">
        <f t="shared" si="23"/>
        <v/>
      </c>
      <c r="AD733" s="75" t="str">
        <f t="shared" si="24"/>
        <v/>
      </c>
    </row>
    <row r="734" spans="1:34" outlineLevel="7">
      <c r="A734" s="3500" t="s">
        <v>524</v>
      </c>
      <c r="B734" s="3500"/>
      <c r="C734" s="7"/>
      <c r="D734" s="7"/>
      <c r="E734" s="14">
        <v>550</v>
      </c>
      <c r="F734" s="7"/>
      <c r="G734" s="7"/>
      <c r="H734" s="8"/>
      <c r="I734" s="9"/>
      <c r="J734" s="7"/>
      <c r="K734" s="7"/>
      <c r="L734" s="7"/>
      <c r="M734" s="14">
        <v>550</v>
      </c>
      <c r="N734" s="14">
        <v>550</v>
      </c>
      <c r="O734" s="14">
        <v>550</v>
      </c>
      <c r="P734" s="7"/>
      <c r="Q734" s="7"/>
      <c r="R734" s="14">
        <v>550</v>
      </c>
      <c r="S734" s="7"/>
      <c r="T734" s="7"/>
      <c r="U734" s="7"/>
      <c r="V734" s="14">
        <v>550</v>
      </c>
      <c r="W734" s="14">
        <v>550</v>
      </c>
      <c r="X734" s="7"/>
      <c r="Y734" s="7"/>
      <c r="Z734" s="7"/>
      <c r="AA734" s="7"/>
      <c r="AC734" s="70" t="str">
        <f t="shared" si="23"/>
        <v/>
      </c>
      <c r="AD734" s="75" t="str">
        <f t="shared" si="24"/>
        <v/>
      </c>
      <c r="AH734" t="s">
        <v>3534</v>
      </c>
    </row>
    <row r="735" spans="1:34" outlineLevel="7">
      <c r="A735" s="3499" t="s">
        <v>1754</v>
      </c>
      <c r="B735" s="3499"/>
      <c r="C735" s="7"/>
      <c r="D735" s="7"/>
      <c r="E735" s="14">
        <v>550</v>
      </c>
      <c r="F735" s="7"/>
      <c r="G735" s="7"/>
      <c r="H735" s="8"/>
      <c r="I735" s="9"/>
      <c r="J735" s="7"/>
      <c r="K735" s="7"/>
      <c r="L735" s="7"/>
      <c r="M735" s="14">
        <v>550</v>
      </c>
      <c r="N735" s="14">
        <v>550</v>
      </c>
      <c r="O735" s="14">
        <v>550</v>
      </c>
      <c r="P735" s="7"/>
      <c r="Q735" s="7"/>
      <c r="R735" s="14">
        <v>550</v>
      </c>
      <c r="S735" s="7"/>
      <c r="T735" s="7"/>
      <c r="U735" s="7"/>
      <c r="V735" s="14">
        <v>550</v>
      </c>
      <c r="W735" s="14">
        <v>550</v>
      </c>
      <c r="X735" s="7"/>
      <c r="Y735" s="7"/>
      <c r="Z735" s="7"/>
      <c r="AA735" s="7"/>
      <c r="AC735" s="70">
        <f t="shared" si="23"/>
        <v>550</v>
      </c>
      <c r="AD735" s="75">
        <f t="shared" si="24"/>
        <v>1</v>
      </c>
    </row>
    <row r="736" spans="1:34" outlineLevel="6">
      <c r="A736" s="3501" t="s">
        <v>525</v>
      </c>
      <c r="B736" s="3501"/>
      <c r="C736" s="7"/>
      <c r="D736" s="7"/>
      <c r="E736" s="14">
        <v>550</v>
      </c>
      <c r="F736" s="7"/>
      <c r="G736" s="7"/>
      <c r="H736" s="8"/>
      <c r="I736" s="9"/>
      <c r="J736" s="7"/>
      <c r="K736" s="7"/>
      <c r="L736" s="7"/>
      <c r="M736" s="14">
        <v>550</v>
      </c>
      <c r="N736" s="14">
        <v>550</v>
      </c>
      <c r="O736" s="14">
        <v>550</v>
      </c>
      <c r="P736" s="7"/>
      <c r="Q736" s="7"/>
      <c r="R736" s="14">
        <v>550</v>
      </c>
      <c r="S736" s="7"/>
      <c r="T736" s="7"/>
      <c r="U736" s="7"/>
      <c r="V736" s="14">
        <v>550</v>
      </c>
      <c r="W736" s="14">
        <v>550</v>
      </c>
      <c r="X736" s="7"/>
      <c r="Y736" s="7"/>
      <c r="Z736" s="7"/>
      <c r="AA736" s="7"/>
      <c r="AC736" s="70" t="str">
        <f t="shared" si="23"/>
        <v/>
      </c>
      <c r="AD736" s="75" t="str">
        <f t="shared" si="24"/>
        <v/>
      </c>
    </row>
    <row r="737" spans="1:34" outlineLevel="7">
      <c r="A737" s="3500" t="s">
        <v>526</v>
      </c>
      <c r="B737" s="3500"/>
      <c r="C737" s="7"/>
      <c r="D737" s="7"/>
      <c r="E737" s="14">
        <v>550</v>
      </c>
      <c r="F737" s="7"/>
      <c r="G737" s="7"/>
      <c r="H737" s="8"/>
      <c r="I737" s="9"/>
      <c r="J737" s="7"/>
      <c r="K737" s="7"/>
      <c r="L737" s="7"/>
      <c r="M737" s="14">
        <v>550</v>
      </c>
      <c r="N737" s="14">
        <v>550</v>
      </c>
      <c r="O737" s="14">
        <v>550</v>
      </c>
      <c r="P737" s="7"/>
      <c r="Q737" s="7"/>
      <c r="R737" s="14">
        <v>550</v>
      </c>
      <c r="S737" s="7"/>
      <c r="T737" s="7"/>
      <c r="U737" s="7"/>
      <c r="V737" s="14">
        <v>550</v>
      </c>
      <c r="W737" s="14">
        <v>550</v>
      </c>
      <c r="X737" s="7"/>
      <c r="Y737" s="7"/>
      <c r="Z737" s="7"/>
      <c r="AA737" s="7"/>
      <c r="AC737" s="70" t="str">
        <f t="shared" si="23"/>
        <v/>
      </c>
      <c r="AD737" s="75" t="str">
        <f t="shared" si="24"/>
        <v/>
      </c>
      <c r="AH737" t="s">
        <v>3509</v>
      </c>
    </row>
    <row r="738" spans="1:34" outlineLevel="7">
      <c r="A738" s="3499" t="s">
        <v>1755</v>
      </c>
      <c r="B738" s="3499"/>
      <c r="C738" s="7"/>
      <c r="D738" s="7"/>
      <c r="E738" s="14">
        <v>550</v>
      </c>
      <c r="F738" s="7"/>
      <c r="G738" s="7"/>
      <c r="H738" s="8"/>
      <c r="I738" s="9"/>
      <c r="J738" s="7"/>
      <c r="K738" s="7"/>
      <c r="L738" s="7"/>
      <c r="M738" s="14">
        <v>550</v>
      </c>
      <c r="N738" s="14">
        <v>550</v>
      </c>
      <c r="O738" s="14">
        <v>550</v>
      </c>
      <c r="P738" s="7"/>
      <c r="Q738" s="7"/>
      <c r="R738" s="14">
        <v>550</v>
      </c>
      <c r="S738" s="7"/>
      <c r="T738" s="7"/>
      <c r="U738" s="7"/>
      <c r="V738" s="14">
        <v>550</v>
      </c>
      <c r="W738" s="14">
        <v>550</v>
      </c>
      <c r="X738" s="7"/>
      <c r="Y738" s="7"/>
      <c r="Z738" s="7"/>
      <c r="AA738" s="7"/>
      <c r="AC738" s="70">
        <f t="shared" si="23"/>
        <v>550</v>
      </c>
      <c r="AD738" s="75">
        <f t="shared" si="24"/>
        <v>1</v>
      </c>
    </row>
    <row r="739" spans="1:34" outlineLevel="6">
      <c r="A739" s="3501" t="s">
        <v>527</v>
      </c>
      <c r="B739" s="3501"/>
      <c r="C739" s="7"/>
      <c r="D739" s="7"/>
      <c r="E739" s="14">
        <v>550</v>
      </c>
      <c r="F739" s="7"/>
      <c r="G739" s="7"/>
      <c r="H739" s="8"/>
      <c r="I739" s="9"/>
      <c r="J739" s="7"/>
      <c r="K739" s="7"/>
      <c r="L739" s="7"/>
      <c r="M739" s="14">
        <v>550</v>
      </c>
      <c r="N739" s="14">
        <v>550</v>
      </c>
      <c r="O739" s="14">
        <v>550</v>
      </c>
      <c r="P739" s="7"/>
      <c r="Q739" s="7"/>
      <c r="R739" s="14">
        <v>550</v>
      </c>
      <c r="S739" s="7"/>
      <c r="T739" s="7"/>
      <c r="U739" s="7"/>
      <c r="V739" s="14">
        <v>550</v>
      </c>
      <c r="W739" s="14">
        <v>550</v>
      </c>
      <c r="X739" s="7"/>
      <c r="Y739" s="7"/>
      <c r="Z739" s="7"/>
      <c r="AA739" s="7"/>
      <c r="AC739" s="70" t="str">
        <f t="shared" si="23"/>
        <v/>
      </c>
      <c r="AD739" s="75" t="str">
        <f t="shared" si="24"/>
        <v/>
      </c>
    </row>
    <row r="740" spans="1:34" outlineLevel="7">
      <c r="A740" s="3500" t="s">
        <v>528</v>
      </c>
      <c r="B740" s="3500"/>
      <c r="C740" s="7"/>
      <c r="D740" s="7"/>
      <c r="E740" s="14">
        <v>550</v>
      </c>
      <c r="F740" s="7"/>
      <c r="G740" s="7"/>
      <c r="H740" s="8"/>
      <c r="I740" s="9"/>
      <c r="J740" s="7"/>
      <c r="K740" s="7"/>
      <c r="L740" s="7"/>
      <c r="M740" s="14">
        <v>550</v>
      </c>
      <c r="N740" s="14">
        <v>550</v>
      </c>
      <c r="O740" s="14">
        <v>550</v>
      </c>
      <c r="P740" s="7"/>
      <c r="Q740" s="7"/>
      <c r="R740" s="14">
        <v>550</v>
      </c>
      <c r="S740" s="7"/>
      <c r="T740" s="7"/>
      <c r="U740" s="7"/>
      <c r="V740" s="14">
        <v>550</v>
      </c>
      <c r="W740" s="14">
        <v>550</v>
      </c>
      <c r="X740" s="7"/>
      <c r="Y740" s="7"/>
      <c r="Z740" s="7"/>
      <c r="AA740" s="7"/>
      <c r="AC740" s="70" t="str">
        <f t="shared" si="23"/>
        <v/>
      </c>
      <c r="AD740" s="75" t="str">
        <f t="shared" si="24"/>
        <v/>
      </c>
      <c r="AH740" t="s">
        <v>528</v>
      </c>
    </row>
    <row r="741" spans="1:34" outlineLevel="7">
      <c r="A741" s="3499" t="s">
        <v>1756</v>
      </c>
      <c r="B741" s="3499"/>
      <c r="C741" s="7"/>
      <c r="D741" s="7"/>
      <c r="E741" s="14">
        <v>550</v>
      </c>
      <c r="F741" s="7"/>
      <c r="G741" s="7"/>
      <c r="H741" s="8"/>
      <c r="I741" s="9"/>
      <c r="J741" s="7"/>
      <c r="K741" s="7"/>
      <c r="L741" s="7"/>
      <c r="M741" s="14">
        <v>550</v>
      </c>
      <c r="N741" s="14">
        <v>550</v>
      </c>
      <c r="O741" s="14">
        <v>550</v>
      </c>
      <c r="P741" s="7"/>
      <c r="Q741" s="7"/>
      <c r="R741" s="14">
        <v>550</v>
      </c>
      <c r="S741" s="7"/>
      <c r="T741" s="7"/>
      <c r="U741" s="7"/>
      <c r="V741" s="14">
        <v>550</v>
      </c>
      <c r="W741" s="14">
        <v>550</v>
      </c>
      <c r="X741" s="7"/>
      <c r="Y741" s="7"/>
      <c r="Z741" s="7"/>
      <c r="AA741" s="7"/>
      <c r="AC741" s="70">
        <f t="shared" si="23"/>
        <v>550</v>
      </c>
      <c r="AD741" s="75">
        <f t="shared" si="24"/>
        <v>1</v>
      </c>
    </row>
    <row r="742" spans="1:34" outlineLevel="6">
      <c r="A742" s="3501" t="s">
        <v>529</v>
      </c>
      <c r="B742" s="3501"/>
      <c r="C742" s="7"/>
      <c r="D742" s="7"/>
      <c r="E742" s="14">
        <v>550</v>
      </c>
      <c r="F742" s="7"/>
      <c r="G742" s="7"/>
      <c r="H742" s="8"/>
      <c r="I742" s="9"/>
      <c r="J742" s="7"/>
      <c r="K742" s="7"/>
      <c r="L742" s="7"/>
      <c r="M742" s="14">
        <v>550</v>
      </c>
      <c r="N742" s="14">
        <v>550</v>
      </c>
      <c r="O742" s="14">
        <v>550</v>
      </c>
      <c r="P742" s="7"/>
      <c r="Q742" s="7"/>
      <c r="R742" s="14">
        <v>550</v>
      </c>
      <c r="S742" s="7"/>
      <c r="T742" s="7"/>
      <c r="U742" s="7"/>
      <c r="V742" s="14">
        <v>550</v>
      </c>
      <c r="W742" s="14">
        <v>550</v>
      </c>
      <c r="X742" s="7"/>
      <c r="Y742" s="7"/>
      <c r="Z742" s="7"/>
      <c r="AA742" s="7"/>
      <c r="AC742" s="70" t="str">
        <f t="shared" si="23"/>
        <v/>
      </c>
      <c r="AD742" s="75" t="str">
        <f t="shared" si="24"/>
        <v/>
      </c>
    </row>
    <row r="743" spans="1:34" outlineLevel="7">
      <c r="A743" s="3500" t="s">
        <v>530</v>
      </c>
      <c r="B743" s="3500"/>
      <c r="C743" s="7"/>
      <c r="D743" s="7"/>
      <c r="E743" s="14">
        <v>550</v>
      </c>
      <c r="F743" s="7"/>
      <c r="G743" s="7"/>
      <c r="H743" s="8"/>
      <c r="I743" s="9"/>
      <c r="J743" s="7"/>
      <c r="K743" s="7"/>
      <c r="L743" s="7"/>
      <c r="M743" s="14">
        <v>550</v>
      </c>
      <c r="N743" s="14">
        <v>550</v>
      </c>
      <c r="O743" s="14">
        <v>550</v>
      </c>
      <c r="P743" s="7"/>
      <c r="Q743" s="7"/>
      <c r="R743" s="14">
        <v>550</v>
      </c>
      <c r="S743" s="7"/>
      <c r="T743" s="7"/>
      <c r="U743" s="7"/>
      <c r="V743" s="14">
        <v>550</v>
      </c>
      <c r="W743" s="14">
        <v>550</v>
      </c>
      <c r="X743" s="7"/>
      <c r="Y743" s="7"/>
      <c r="Z743" s="7"/>
      <c r="AA743" s="7"/>
      <c r="AC743" s="70" t="str">
        <f t="shared" si="23"/>
        <v/>
      </c>
      <c r="AD743" s="75" t="str">
        <f t="shared" si="24"/>
        <v/>
      </c>
      <c r="AH743" t="s">
        <v>3505</v>
      </c>
    </row>
    <row r="744" spans="1:34" outlineLevel="7">
      <c r="A744" s="3499" t="s">
        <v>1757</v>
      </c>
      <c r="B744" s="3499"/>
      <c r="C744" s="7"/>
      <c r="D744" s="7"/>
      <c r="E744" s="14">
        <v>550</v>
      </c>
      <c r="F744" s="7"/>
      <c r="G744" s="7"/>
      <c r="H744" s="8"/>
      <c r="I744" s="9"/>
      <c r="J744" s="7"/>
      <c r="K744" s="7"/>
      <c r="L744" s="7"/>
      <c r="M744" s="14">
        <v>550</v>
      </c>
      <c r="N744" s="14">
        <v>550</v>
      </c>
      <c r="O744" s="14">
        <v>550</v>
      </c>
      <c r="P744" s="7"/>
      <c r="Q744" s="7"/>
      <c r="R744" s="14">
        <v>550</v>
      </c>
      <c r="S744" s="7"/>
      <c r="T744" s="7"/>
      <c r="U744" s="7"/>
      <c r="V744" s="14">
        <v>550</v>
      </c>
      <c r="W744" s="14">
        <v>550</v>
      </c>
      <c r="X744" s="7"/>
      <c r="Y744" s="7"/>
      <c r="Z744" s="7"/>
      <c r="AA744" s="7"/>
      <c r="AC744" s="70">
        <f t="shared" si="23"/>
        <v>550</v>
      </c>
      <c r="AD744" s="75">
        <f t="shared" si="24"/>
        <v>1</v>
      </c>
    </row>
    <row r="745" spans="1:34" outlineLevel="6">
      <c r="A745" s="3501" t="s">
        <v>531</v>
      </c>
      <c r="B745" s="3501"/>
      <c r="C745" s="7"/>
      <c r="D745" s="7"/>
      <c r="E745" s="14">
        <v>550</v>
      </c>
      <c r="F745" s="7"/>
      <c r="G745" s="7"/>
      <c r="H745" s="8"/>
      <c r="I745" s="9"/>
      <c r="J745" s="7"/>
      <c r="K745" s="7"/>
      <c r="L745" s="7"/>
      <c r="M745" s="14">
        <v>550</v>
      </c>
      <c r="N745" s="14">
        <v>550</v>
      </c>
      <c r="O745" s="14">
        <v>550</v>
      </c>
      <c r="P745" s="7"/>
      <c r="Q745" s="7"/>
      <c r="R745" s="14">
        <v>550</v>
      </c>
      <c r="S745" s="7"/>
      <c r="T745" s="7"/>
      <c r="U745" s="7"/>
      <c r="V745" s="14">
        <v>550</v>
      </c>
      <c r="W745" s="14">
        <v>550</v>
      </c>
      <c r="X745" s="7"/>
      <c r="Y745" s="7"/>
      <c r="Z745" s="7"/>
      <c r="AA745" s="7"/>
      <c r="AC745" s="70" t="str">
        <f t="shared" si="23"/>
        <v/>
      </c>
      <c r="AD745" s="75" t="str">
        <f t="shared" si="24"/>
        <v/>
      </c>
    </row>
    <row r="746" spans="1:34" outlineLevel="7">
      <c r="A746" s="3500" t="s">
        <v>532</v>
      </c>
      <c r="B746" s="3500"/>
      <c r="C746" s="7"/>
      <c r="D746" s="7"/>
      <c r="E746" s="14">
        <v>550</v>
      </c>
      <c r="F746" s="7"/>
      <c r="G746" s="7"/>
      <c r="H746" s="8"/>
      <c r="I746" s="9"/>
      <c r="J746" s="7"/>
      <c r="K746" s="7"/>
      <c r="L746" s="7"/>
      <c r="M746" s="14">
        <v>550</v>
      </c>
      <c r="N746" s="14">
        <v>550</v>
      </c>
      <c r="O746" s="14">
        <v>550</v>
      </c>
      <c r="P746" s="7"/>
      <c r="Q746" s="7"/>
      <c r="R746" s="14">
        <v>550</v>
      </c>
      <c r="S746" s="7"/>
      <c r="T746" s="7"/>
      <c r="U746" s="7"/>
      <c r="V746" s="14">
        <v>550</v>
      </c>
      <c r="W746" s="14">
        <v>550</v>
      </c>
      <c r="X746" s="7"/>
      <c r="Y746" s="7"/>
      <c r="Z746" s="7"/>
      <c r="AA746" s="7"/>
      <c r="AC746" s="70" t="str">
        <f t="shared" si="23"/>
        <v/>
      </c>
      <c r="AD746" s="75" t="str">
        <f t="shared" si="24"/>
        <v/>
      </c>
      <c r="AH746" t="s">
        <v>3565</v>
      </c>
    </row>
    <row r="747" spans="1:34" outlineLevel="7">
      <c r="A747" s="3499" t="s">
        <v>1758</v>
      </c>
      <c r="B747" s="3499"/>
      <c r="C747" s="7"/>
      <c r="D747" s="7"/>
      <c r="E747" s="14">
        <v>550</v>
      </c>
      <c r="F747" s="7"/>
      <c r="G747" s="7"/>
      <c r="H747" s="8"/>
      <c r="I747" s="9"/>
      <c r="J747" s="7"/>
      <c r="K747" s="7"/>
      <c r="L747" s="7"/>
      <c r="M747" s="14">
        <v>550</v>
      </c>
      <c r="N747" s="14">
        <v>550</v>
      </c>
      <c r="O747" s="14">
        <v>550</v>
      </c>
      <c r="P747" s="7"/>
      <c r="Q747" s="7"/>
      <c r="R747" s="14">
        <v>550</v>
      </c>
      <c r="S747" s="7"/>
      <c r="T747" s="7"/>
      <c r="U747" s="7"/>
      <c r="V747" s="14">
        <v>550</v>
      </c>
      <c r="W747" s="14">
        <v>550</v>
      </c>
      <c r="X747" s="7"/>
      <c r="Y747" s="7"/>
      <c r="Z747" s="7"/>
      <c r="AA747" s="7"/>
      <c r="AC747" s="70">
        <f t="shared" si="23"/>
        <v>550</v>
      </c>
      <c r="AD747" s="75">
        <f t="shared" si="24"/>
        <v>1</v>
      </c>
    </row>
    <row r="748" spans="1:34" outlineLevel="6">
      <c r="A748" s="3501" t="s">
        <v>533</v>
      </c>
      <c r="B748" s="3501"/>
      <c r="C748" s="7"/>
      <c r="D748" s="7"/>
      <c r="E748" s="14">
        <v>550</v>
      </c>
      <c r="F748" s="7"/>
      <c r="G748" s="7"/>
      <c r="H748" s="8"/>
      <c r="I748" s="9"/>
      <c r="J748" s="7"/>
      <c r="K748" s="7"/>
      <c r="L748" s="7"/>
      <c r="M748" s="14">
        <v>550</v>
      </c>
      <c r="N748" s="14">
        <v>550</v>
      </c>
      <c r="O748" s="14">
        <v>550</v>
      </c>
      <c r="P748" s="7"/>
      <c r="Q748" s="7"/>
      <c r="R748" s="14">
        <v>550</v>
      </c>
      <c r="S748" s="7"/>
      <c r="T748" s="7"/>
      <c r="U748" s="7"/>
      <c r="V748" s="14">
        <v>550</v>
      </c>
      <c r="W748" s="14">
        <v>550</v>
      </c>
      <c r="X748" s="7"/>
      <c r="Y748" s="7"/>
      <c r="Z748" s="7"/>
      <c r="AA748" s="7"/>
      <c r="AC748" s="70" t="str">
        <f t="shared" si="23"/>
        <v/>
      </c>
      <c r="AD748" s="75" t="str">
        <f t="shared" si="24"/>
        <v/>
      </c>
    </row>
    <row r="749" spans="1:34" outlineLevel="7">
      <c r="A749" s="3500" t="s">
        <v>534</v>
      </c>
      <c r="B749" s="3500"/>
      <c r="C749" s="7"/>
      <c r="D749" s="7"/>
      <c r="E749" s="14">
        <v>550</v>
      </c>
      <c r="F749" s="7"/>
      <c r="G749" s="7"/>
      <c r="H749" s="8"/>
      <c r="I749" s="9"/>
      <c r="J749" s="7"/>
      <c r="K749" s="7"/>
      <c r="L749" s="7"/>
      <c r="M749" s="14">
        <v>550</v>
      </c>
      <c r="N749" s="14">
        <v>550</v>
      </c>
      <c r="O749" s="14">
        <v>550</v>
      </c>
      <c r="P749" s="7"/>
      <c r="Q749" s="7"/>
      <c r="R749" s="14">
        <v>550</v>
      </c>
      <c r="S749" s="7"/>
      <c r="T749" s="7"/>
      <c r="U749" s="7"/>
      <c r="V749" s="14">
        <v>550</v>
      </c>
      <c r="W749" s="14">
        <v>550</v>
      </c>
      <c r="X749" s="7"/>
      <c r="Y749" s="7"/>
      <c r="Z749" s="7"/>
      <c r="AA749" s="7"/>
      <c r="AC749" s="70" t="str">
        <f t="shared" si="23"/>
        <v/>
      </c>
      <c r="AD749" s="75" t="str">
        <f t="shared" si="24"/>
        <v/>
      </c>
      <c r="AH749" t="s">
        <v>534</v>
      </c>
    </row>
    <row r="750" spans="1:34" outlineLevel="7">
      <c r="A750" s="3499" t="s">
        <v>1759</v>
      </c>
      <c r="B750" s="3499"/>
      <c r="C750" s="7"/>
      <c r="D750" s="7"/>
      <c r="E750" s="14">
        <v>550</v>
      </c>
      <c r="F750" s="7"/>
      <c r="G750" s="7"/>
      <c r="H750" s="8"/>
      <c r="I750" s="9"/>
      <c r="J750" s="7"/>
      <c r="K750" s="7"/>
      <c r="L750" s="7"/>
      <c r="M750" s="14">
        <v>550</v>
      </c>
      <c r="N750" s="14">
        <v>550</v>
      </c>
      <c r="O750" s="14">
        <v>550</v>
      </c>
      <c r="P750" s="7"/>
      <c r="Q750" s="7"/>
      <c r="R750" s="14">
        <v>550</v>
      </c>
      <c r="S750" s="7"/>
      <c r="T750" s="7"/>
      <c r="U750" s="7"/>
      <c r="V750" s="14">
        <v>550</v>
      </c>
      <c r="W750" s="14">
        <v>550</v>
      </c>
      <c r="X750" s="7"/>
      <c r="Y750" s="7"/>
      <c r="Z750" s="7"/>
      <c r="AA750" s="7"/>
      <c r="AC750" s="70">
        <f t="shared" si="23"/>
        <v>550</v>
      </c>
      <c r="AD750" s="75">
        <f t="shared" si="24"/>
        <v>1</v>
      </c>
    </row>
    <row r="751" spans="1:34" outlineLevel="6">
      <c r="A751" s="3501" t="s">
        <v>535</v>
      </c>
      <c r="B751" s="3501"/>
      <c r="C751" s="7"/>
      <c r="D751" s="7"/>
      <c r="E751" s="14">
        <v>550</v>
      </c>
      <c r="F751" s="7"/>
      <c r="G751" s="7"/>
      <c r="H751" s="8"/>
      <c r="I751" s="9"/>
      <c r="J751" s="7"/>
      <c r="K751" s="7"/>
      <c r="L751" s="7"/>
      <c r="M751" s="14">
        <v>550</v>
      </c>
      <c r="N751" s="14">
        <v>550</v>
      </c>
      <c r="O751" s="14">
        <v>550</v>
      </c>
      <c r="P751" s="7"/>
      <c r="Q751" s="7"/>
      <c r="R751" s="14">
        <v>550</v>
      </c>
      <c r="S751" s="7"/>
      <c r="T751" s="7"/>
      <c r="U751" s="7"/>
      <c r="V751" s="14">
        <v>550</v>
      </c>
      <c r="W751" s="14">
        <v>550</v>
      </c>
      <c r="X751" s="7"/>
      <c r="Y751" s="7"/>
      <c r="Z751" s="7"/>
      <c r="AA751" s="7"/>
      <c r="AC751" s="70" t="str">
        <f t="shared" si="23"/>
        <v/>
      </c>
      <c r="AD751" s="75" t="str">
        <f t="shared" si="24"/>
        <v/>
      </c>
    </row>
    <row r="752" spans="1:34" outlineLevel="7">
      <c r="A752" s="3500" t="s">
        <v>536</v>
      </c>
      <c r="B752" s="3500"/>
      <c r="C752" s="7"/>
      <c r="D752" s="7"/>
      <c r="E752" s="14">
        <v>550</v>
      </c>
      <c r="F752" s="7"/>
      <c r="G752" s="7"/>
      <c r="H752" s="8"/>
      <c r="I752" s="9"/>
      <c r="J752" s="7"/>
      <c r="K752" s="7"/>
      <c r="L752" s="7"/>
      <c r="M752" s="14">
        <v>550</v>
      </c>
      <c r="N752" s="14">
        <v>550</v>
      </c>
      <c r="O752" s="14">
        <v>550</v>
      </c>
      <c r="P752" s="7"/>
      <c r="Q752" s="7"/>
      <c r="R752" s="14">
        <v>550</v>
      </c>
      <c r="S752" s="7"/>
      <c r="T752" s="7"/>
      <c r="U752" s="7"/>
      <c r="V752" s="14">
        <v>550</v>
      </c>
      <c r="W752" s="14">
        <v>550</v>
      </c>
      <c r="X752" s="7"/>
      <c r="Y752" s="7"/>
      <c r="Z752" s="7"/>
      <c r="AA752" s="7"/>
      <c r="AC752" s="70" t="str">
        <f t="shared" si="23"/>
        <v/>
      </c>
      <c r="AD752" s="75" t="str">
        <f t="shared" si="24"/>
        <v/>
      </c>
      <c r="AH752" t="s">
        <v>3359</v>
      </c>
    </row>
    <row r="753" spans="1:36" outlineLevel="7">
      <c r="A753" s="3499" t="s">
        <v>1760</v>
      </c>
      <c r="B753" s="3499"/>
      <c r="C753" s="7"/>
      <c r="D753" s="7"/>
      <c r="E753" s="14">
        <v>550</v>
      </c>
      <c r="F753" s="7"/>
      <c r="G753" s="7"/>
      <c r="H753" s="8"/>
      <c r="I753" s="9"/>
      <c r="J753" s="7"/>
      <c r="K753" s="7"/>
      <c r="L753" s="7"/>
      <c r="M753" s="14">
        <v>550</v>
      </c>
      <c r="N753" s="14">
        <v>550</v>
      </c>
      <c r="O753" s="14">
        <v>550</v>
      </c>
      <c r="P753" s="7"/>
      <c r="Q753" s="7"/>
      <c r="R753" s="14">
        <v>550</v>
      </c>
      <c r="S753" s="7"/>
      <c r="T753" s="7"/>
      <c r="U753" s="7"/>
      <c r="V753" s="14">
        <v>550</v>
      </c>
      <c r="W753" s="14">
        <v>550</v>
      </c>
      <c r="X753" s="7"/>
      <c r="Y753" s="7"/>
      <c r="Z753" s="7"/>
      <c r="AA753" s="7"/>
      <c r="AC753" s="70">
        <f t="shared" si="23"/>
        <v>550</v>
      </c>
      <c r="AD753" s="75">
        <f t="shared" si="24"/>
        <v>1</v>
      </c>
    </row>
    <row r="754" spans="1:36" outlineLevel="6">
      <c r="A754" s="3501" t="s">
        <v>537</v>
      </c>
      <c r="B754" s="3501"/>
      <c r="C754" s="7"/>
      <c r="D754" s="7"/>
      <c r="E754" s="14">
        <v>550</v>
      </c>
      <c r="F754" s="7"/>
      <c r="G754" s="7"/>
      <c r="H754" s="8"/>
      <c r="I754" s="9"/>
      <c r="J754" s="7"/>
      <c r="K754" s="7"/>
      <c r="L754" s="7"/>
      <c r="M754" s="14">
        <v>550</v>
      </c>
      <c r="N754" s="14">
        <v>550</v>
      </c>
      <c r="O754" s="14">
        <v>550</v>
      </c>
      <c r="P754" s="7"/>
      <c r="Q754" s="7"/>
      <c r="R754" s="14">
        <v>550</v>
      </c>
      <c r="S754" s="7"/>
      <c r="T754" s="7"/>
      <c r="U754" s="7"/>
      <c r="V754" s="14">
        <v>550</v>
      </c>
      <c r="W754" s="14">
        <v>550</v>
      </c>
      <c r="X754" s="7"/>
      <c r="Y754" s="7"/>
      <c r="Z754" s="7"/>
      <c r="AA754" s="7"/>
      <c r="AC754" s="70" t="str">
        <f t="shared" si="23"/>
        <v/>
      </c>
      <c r="AD754" s="75" t="str">
        <f t="shared" si="24"/>
        <v/>
      </c>
    </row>
    <row r="755" spans="1:36" outlineLevel="7">
      <c r="A755" s="3500" t="s">
        <v>538</v>
      </c>
      <c r="B755" s="3500"/>
      <c r="C755" s="7"/>
      <c r="D755" s="7"/>
      <c r="E755" s="14">
        <v>550</v>
      </c>
      <c r="F755" s="7"/>
      <c r="G755" s="7"/>
      <c r="H755" s="8"/>
      <c r="I755" s="9"/>
      <c r="J755" s="7"/>
      <c r="K755" s="7"/>
      <c r="L755" s="7"/>
      <c r="M755" s="14">
        <v>550</v>
      </c>
      <c r="N755" s="14">
        <v>550</v>
      </c>
      <c r="O755" s="14">
        <v>550</v>
      </c>
      <c r="P755" s="7"/>
      <c r="Q755" s="7"/>
      <c r="R755" s="14">
        <v>550</v>
      </c>
      <c r="S755" s="7"/>
      <c r="T755" s="7"/>
      <c r="U755" s="7"/>
      <c r="V755" s="14">
        <v>550</v>
      </c>
      <c r="W755" s="14">
        <v>550</v>
      </c>
      <c r="X755" s="7"/>
      <c r="Y755" s="7"/>
      <c r="Z755" s="7"/>
      <c r="AA755" s="7"/>
      <c r="AC755" s="70" t="str">
        <f t="shared" si="23"/>
        <v/>
      </c>
      <c r="AD755" s="75" t="str">
        <f t="shared" si="24"/>
        <v/>
      </c>
      <c r="AH755" t="s">
        <v>3577</v>
      </c>
    </row>
    <row r="756" spans="1:36" outlineLevel="7">
      <c r="A756" s="3499" t="s">
        <v>1761</v>
      </c>
      <c r="B756" s="3499"/>
      <c r="C756" s="7"/>
      <c r="D756" s="7"/>
      <c r="E756" s="14">
        <v>550</v>
      </c>
      <c r="F756" s="7"/>
      <c r="G756" s="7"/>
      <c r="H756" s="8"/>
      <c r="I756" s="9"/>
      <c r="J756" s="7"/>
      <c r="K756" s="7"/>
      <c r="L756" s="7"/>
      <c r="M756" s="14">
        <v>550</v>
      </c>
      <c r="N756" s="14">
        <v>550</v>
      </c>
      <c r="O756" s="14">
        <v>550</v>
      </c>
      <c r="P756" s="7"/>
      <c r="Q756" s="7"/>
      <c r="R756" s="14">
        <v>550</v>
      </c>
      <c r="S756" s="7"/>
      <c r="T756" s="7"/>
      <c r="U756" s="7"/>
      <c r="V756" s="14">
        <v>550</v>
      </c>
      <c r="W756" s="14">
        <v>550</v>
      </c>
      <c r="X756" s="7"/>
      <c r="Y756" s="7"/>
      <c r="Z756" s="7"/>
      <c r="AA756" s="7"/>
      <c r="AC756" s="70">
        <f t="shared" si="23"/>
        <v>550</v>
      </c>
      <c r="AD756" s="75">
        <f t="shared" si="24"/>
        <v>1</v>
      </c>
    </row>
    <row r="757" spans="1:36" outlineLevel="6">
      <c r="A757" s="3501" t="s">
        <v>539</v>
      </c>
      <c r="B757" s="3501"/>
      <c r="C757" s="7"/>
      <c r="D757" s="7"/>
      <c r="E757" s="13">
        <v>5046.8599999999997</v>
      </c>
      <c r="F757" s="7"/>
      <c r="G757" s="7"/>
      <c r="H757" s="8"/>
      <c r="I757" s="9"/>
      <c r="J757" s="7"/>
      <c r="K757" s="7"/>
      <c r="L757" s="7"/>
      <c r="M757" s="13">
        <v>5046.8599999999997</v>
      </c>
      <c r="N757" s="13">
        <v>5046.8599999999997</v>
      </c>
      <c r="O757" s="13">
        <v>5046.8599999999997</v>
      </c>
      <c r="P757" s="7"/>
      <c r="Q757" s="7"/>
      <c r="R757" s="13">
        <v>5046.8599999999997</v>
      </c>
      <c r="S757" s="7"/>
      <c r="T757" s="7"/>
      <c r="U757" s="7"/>
      <c r="V757" s="13">
        <v>5046.8599999999997</v>
      </c>
      <c r="W757" s="13">
        <v>5046.8599999999997</v>
      </c>
      <c r="X757" s="7"/>
      <c r="Y757" s="7"/>
      <c r="Z757" s="7"/>
      <c r="AA757" s="7"/>
      <c r="AC757" s="70" t="str">
        <f t="shared" si="23"/>
        <v/>
      </c>
      <c r="AD757" s="75" t="str">
        <f t="shared" si="24"/>
        <v/>
      </c>
    </row>
    <row r="758" spans="1:36" outlineLevel="7">
      <c r="A758" s="3500" t="s">
        <v>540</v>
      </c>
      <c r="B758" s="3500"/>
      <c r="C758" s="7"/>
      <c r="D758" s="7"/>
      <c r="E758" s="14">
        <v>550</v>
      </c>
      <c r="F758" s="7"/>
      <c r="G758" s="7"/>
      <c r="H758" s="8"/>
      <c r="I758" s="9"/>
      <c r="J758" s="7"/>
      <c r="K758" s="7"/>
      <c r="L758" s="7"/>
      <c r="M758" s="14">
        <v>550</v>
      </c>
      <c r="N758" s="14">
        <v>550</v>
      </c>
      <c r="O758" s="14">
        <v>550</v>
      </c>
      <c r="P758" s="7"/>
      <c r="Q758" s="7"/>
      <c r="R758" s="14">
        <v>550</v>
      </c>
      <c r="S758" s="7"/>
      <c r="T758" s="7"/>
      <c r="U758" s="7"/>
      <c r="V758" s="14">
        <v>550</v>
      </c>
      <c r="W758" s="14">
        <v>550</v>
      </c>
      <c r="X758" s="7"/>
      <c r="Y758" s="7"/>
      <c r="Z758" s="7"/>
      <c r="AA758" s="7"/>
      <c r="AC758" s="70" t="str">
        <f t="shared" si="23"/>
        <v/>
      </c>
      <c r="AD758" s="75" t="str">
        <f t="shared" si="24"/>
        <v/>
      </c>
      <c r="AH758" t="s">
        <v>3382</v>
      </c>
    </row>
    <row r="759" spans="1:36" outlineLevel="7">
      <c r="A759" s="3499" t="s">
        <v>1762</v>
      </c>
      <c r="B759" s="3499"/>
      <c r="C759" s="7"/>
      <c r="D759" s="7"/>
      <c r="E759" s="14">
        <v>550</v>
      </c>
      <c r="F759" s="7"/>
      <c r="G759" s="7"/>
      <c r="H759" s="8"/>
      <c r="I759" s="9"/>
      <c r="J759" s="7"/>
      <c r="K759" s="7"/>
      <c r="L759" s="7"/>
      <c r="M759" s="14">
        <v>550</v>
      </c>
      <c r="N759" s="14">
        <v>550</v>
      </c>
      <c r="O759" s="14">
        <v>550</v>
      </c>
      <c r="P759" s="7"/>
      <c r="Q759" s="7"/>
      <c r="R759" s="14">
        <v>550</v>
      </c>
      <c r="S759" s="7"/>
      <c r="T759" s="7"/>
      <c r="U759" s="7"/>
      <c r="V759" s="14">
        <v>550</v>
      </c>
      <c r="W759" s="14">
        <v>550</v>
      </c>
      <c r="X759" s="7"/>
      <c r="Y759" s="7"/>
      <c r="Z759" s="7"/>
      <c r="AA759" s="7"/>
      <c r="AC759" s="70">
        <f t="shared" si="23"/>
        <v>550</v>
      </c>
      <c r="AD759" s="75">
        <f t="shared" si="24"/>
        <v>1</v>
      </c>
    </row>
    <row r="760" spans="1:36" outlineLevel="7">
      <c r="A760" s="3500" t="s">
        <v>541</v>
      </c>
      <c r="B760" s="3500"/>
      <c r="C760" s="7"/>
      <c r="D760" s="7"/>
      <c r="E760" s="13">
        <v>4496.8599999999997</v>
      </c>
      <c r="F760" s="7"/>
      <c r="G760" s="7"/>
      <c r="H760" s="8"/>
      <c r="I760" s="9"/>
      <c r="J760" s="7"/>
      <c r="K760" s="7"/>
      <c r="L760" s="7"/>
      <c r="M760" s="13">
        <v>4496.8599999999997</v>
      </c>
      <c r="N760" s="13">
        <v>4496.8599999999997</v>
      </c>
      <c r="O760" s="13">
        <v>4496.8599999999997</v>
      </c>
      <c r="P760" s="7"/>
      <c r="Q760" s="7"/>
      <c r="R760" s="13">
        <v>4496.8599999999997</v>
      </c>
      <c r="S760" s="7"/>
      <c r="T760" s="7"/>
      <c r="U760" s="7"/>
      <c r="V760" s="13">
        <v>4496.8599999999997</v>
      </c>
      <c r="W760" s="13">
        <v>4496.8599999999997</v>
      </c>
      <c r="X760" s="7"/>
      <c r="Y760" s="7"/>
      <c r="Z760" s="7"/>
      <c r="AA760" s="7"/>
      <c r="AC760" s="70" t="str">
        <f t="shared" si="23"/>
        <v/>
      </c>
      <c r="AD760" s="75" t="str">
        <f t="shared" si="24"/>
        <v/>
      </c>
      <c r="AH760" s="1" t="s">
        <v>3597</v>
      </c>
      <c r="AJ760" s="1"/>
    </row>
    <row r="761" spans="1:36" outlineLevel="7">
      <c r="A761" s="3499" t="s">
        <v>1763</v>
      </c>
      <c r="B761" s="3499"/>
      <c r="C761" s="7"/>
      <c r="D761" s="7"/>
      <c r="E761" s="13">
        <v>4496.8599999999997</v>
      </c>
      <c r="F761" s="7"/>
      <c r="G761" s="7"/>
      <c r="H761" s="8"/>
      <c r="I761" s="9"/>
      <c r="J761" s="7"/>
      <c r="K761" s="7"/>
      <c r="L761" s="7"/>
      <c r="M761" s="13">
        <v>4496.8599999999997</v>
      </c>
      <c r="N761" s="13">
        <v>4496.8599999999997</v>
      </c>
      <c r="O761" s="13">
        <v>4496.8599999999997</v>
      </c>
      <c r="P761" s="7"/>
      <c r="Q761" s="7"/>
      <c r="R761" s="13">
        <v>4496.8599999999997</v>
      </c>
      <c r="S761" s="7"/>
      <c r="T761" s="7"/>
      <c r="U761" s="7"/>
      <c r="V761" s="13">
        <v>4496.8599999999997</v>
      </c>
      <c r="W761" s="13">
        <v>4496.8599999999997</v>
      </c>
      <c r="X761" s="7"/>
      <c r="Y761" s="7"/>
      <c r="Z761" s="7"/>
      <c r="AA761" s="7"/>
      <c r="AC761" s="70">
        <f t="shared" si="23"/>
        <v>4496.8599999999997</v>
      </c>
      <c r="AD761" s="75" t="str">
        <f t="shared" si="24"/>
        <v/>
      </c>
      <c r="AG761">
        <f>AC761</f>
        <v>4496.8599999999997</v>
      </c>
      <c r="AH761" s="27"/>
    </row>
    <row r="762" spans="1:36" outlineLevel="6">
      <c r="A762" s="3501" t="s">
        <v>542</v>
      </c>
      <c r="B762" s="3501"/>
      <c r="C762" s="7"/>
      <c r="D762" s="7"/>
      <c r="E762" s="14">
        <v>550</v>
      </c>
      <c r="F762" s="7"/>
      <c r="G762" s="7"/>
      <c r="H762" s="8"/>
      <c r="I762" s="9"/>
      <c r="J762" s="7"/>
      <c r="K762" s="7"/>
      <c r="L762" s="7"/>
      <c r="M762" s="14">
        <v>550</v>
      </c>
      <c r="N762" s="14">
        <v>550</v>
      </c>
      <c r="O762" s="14">
        <v>550</v>
      </c>
      <c r="P762" s="7"/>
      <c r="Q762" s="7"/>
      <c r="R762" s="14">
        <v>550</v>
      </c>
      <c r="S762" s="7"/>
      <c r="T762" s="7"/>
      <c r="U762" s="7"/>
      <c r="V762" s="14">
        <v>550</v>
      </c>
      <c r="W762" s="14">
        <v>550</v>
      </c>
      <c r="X762" s="7"/>
      <c r="Y762" s="7"/>
      <c r="Z762" s="7"/>
      <c r="AA762" s="7"/>
      <c r="AC762" s="70" t="str">
        <f t="shared" si="23"/>
        <v/>
      </c>
      <c r="AD762" s="75" t="str">
        <f t="shared" si="24"/>
        <v/>
      </c>
    </row>
    <row r="763" spans="1:36" outlineLevel="7">
      <c r="A763" s="3500" t="s">
        <v>543</v>
      </c>
      <c r="B763" s="3500"/>
      <c r="C763" s="7"/>
      <c r="D763" s="7"/>
      <c r="E763" s="14">
        <v>550</v>
      </c>
      <c r="F763" s="7"/>
      <c r="G763" s="7"/>
      <c r="H763" s="8"/>
      <c r="I763" s="9"/>
      <c r="J763" s="7"/>
      <c r="K763" s="7"/>
      <c r="L763" s="7"/>
      <c r="M763" s="14">
        <v>550</v>
      </c>
      <c r="N763" s="14">
        <v>550</v>
      </c>
      <c r="O763" s="14">
        <v>550</v>
      </c>
      <c r="P763" s="7"/>
      <c r="Q763" s="7"/>
      <c r="R763" s="14">
        <v>550</v>
      </c>
      <c r="S763" s="7"/>
      <c r="T763" s="7"/>
      <c r="U763" s="7"/>
      <c r="V763" s="14">
        <v>550</v>
      </c>
      <c r="W763" s="14">
        <v>550</v>
      </c>
      <c r="X763" s="7"/>
      <c r="Y763" s="7"/>
      <c r="Z763" s="7"/>
      <c r="AA763" s="7"/>
      <c r="AC763" s="70" t="str">
        <f t="shared" si="23"/>
        <v/>
      </c>
      <c r="AD763" s="75" t="str">
        <f t="shared" si="24"/>
        <v/>
      </c>
      <c r="AH763" t="s">
        <v>543</v>
      </c>
    </row>
    <row r="764" spans="1:36" outlineLevel="7">
      <c r="A764" s="3499" t="s">
        <v>1764</v>
      </c>
      <c r="B764" s="3499"/>
      <c r="C764" s="7"/>
      <c r="D764" s="7"/>
      <c r="E764" s="14">
        <v>550</v>
      </c>
      <c r="F764" s="7"/>
      <c r="G764" s="7"/>
      <c r="H764" s="8"/>
      <c r="I764" s="9"/>
      <c r="J764" s="7"/>
      <c r="K764" s="7"/>
      <c r="L764" s="7"/>
      <c r="M764" s="14">
        <v>550</v>
      </c>
      <c r="N764" s="14">
        <v>550</v>
      </c>
      <c r="O764" s="14">
        <v>550</v>
      </c>
      <c r="P764" s="7"/>
      <c r="Q764" s="7"/>
      <c r="R764" s="14">
        <v>550</v>
      </c>
      <c r="S764" s="7"/>
      <c r="T764" s="7"/>
      <c r="U764" s="7"/>
      <c r="V764" s="14">
        <v>550</v>
      </c>
      <c r="W764" s="14">
        <v>550</v>
      </c>
      <c r="X764" s="7"/>
      <c r="Y764" s="7"/>
      <c r="Z764" s="7"/>
      <c r="AA764" s="7"/>
      <c r="AC764" s="70">
        <f t="shared" si="23"/>
        <v>550</v>
      </c>
      <c r="AD764" s="75">
        <f t="shared" si="24"/>
        <v>1</v>
      </c>
    </row>
    <row r="765" spans="1:36" outlineLevel="6">
      <c r="A765" s="3501" t="s">
        <v>544</v>
      </c>
      <c r="B765" s="3501"/>
      <c r="C765" s="7"/>
      <c r="D765" s="7"/>
      <c r="E765" s="14">
        <v>550</v>
      </c>
      <c r="F765" s="7"/>
      <c r="G765" s="7"/>
      <c r="H765" s="8"/>
      <c r="I765" s="9"/>
      <c r="J765" s="7"/>
      <c r="K765" s="7"/>
      <c r="L765" s="7"/>
      <c r="M765" s="14">
        <v>550</v>
      </c>
      <c r="N765" s="14">
        <v>550</v>
      </c>
      <c r="O765" s="14">
        <v>550</v>
      </c>
      <c r="P765" s="7"/>
      <c r="Q765" s="7"/>
      <c r="R765" s="14">
        <v>550</v>
      </c>
      <c r="S765" s="7"/>
      <c r="T765" s="7"/>
      <c r="U765" s="7"/>
      <c r="V765" s="14">
        <v>550</v>
      </c>
      <c r="W765" s="14">
        <v>550</v>
      </c>
      <c r="X765" s="7"/>
      <c r="Y765" s="7"/>
      <c r="Z765" s="7"/>
      <c r="AA765" s="7"/>
      <c r="AC765" s="70" t="str">
        <f t="shared" si="23"/>
        <v/>
      </c>
      <c r="AD765" s="75" t="str">
        <f t="shared" si="24"/>
        <v/>
      </c>
    </row>
    <row r="766" spans="1:36" outlineLevel="7">
      <c r="A766" s="3500" t="s">
        <v>545</v>
      </c>
      <c r="B766" s="3500"/>
      <c r="C766" s="7"/>
      <c r="D766" s="7"/>
      <c r="E766" s="14">
        <v>550</v>
      </c>
      <c r="F766" s="7"/>
      <c r="G766" s="7"/>
      <c r="H766" s="8"/>
      <c r="I766" s="9"/>
      <c r="J766" s="7"/>
      <c r="K766" s="7"/>
      <c r="L766" s="7"/>
      <c r="M766" s="14">
        <v>550</v>
      </c>
      <c r="N766" s="14">
        <v>550</v>
      </c>
      <c r="O766" s="14">
        <v>550</v>
      </c>
      <c r="P766" s="7"/>
      <c r="Q766" s="7"/>
      <c r="R766" s="14">
        <v>550</v>
      </c>
      <c r="S766" s="7"/>
      <c r="T766" s="7"/>
      <c r="U766" s="7"/>
      <c r="V766" s="14">
        <v>550</v>
      </c>
      <c r="W766" s="14">
        <v>550</v>
      </c>
      <c r="X766" s="7"/>
      <c r="Y766" s="7"/>
      <c r="Z766" s="7"/>
      <c r="AA766" s="7"/>
      <c r="AC766" s="70" t="str">
        <f t="shared" si="23"/>
        <v/>
      </c>
      <c r="AD766" s="75" t="str">
        <f t="shared" si="24"/>
        <v/>
      </c>
      <c r="AH766" t="s">
        <v>3459</v>
      </c>
    </row>
    <row r="767" spans="1:36" outlineLevel="7">
      <c r="A767" s="3499" t="s">
        <v>1765</v>
      </c>
      <c r="B767" s="3499"/>
      <c r="C767" s="7"/>
      <c r="D767" s="7"/>
      <c r="E767" s="14">
        <v>550</v>
      </c>
      <c r="F767" s="7"/>
      <c r="G767" s="7"/>
      <c r="H767" s="8"/>
      <c r="I767" s="9"/>
      <c r="J767" s="7"/>
      <c r="K767" s="7"/>
      <c r="L767" s="7"/>
      <c r="M767" s="14">
        <v>550</v>
      </c>
      <c r="N767" s="14">
        <v>550</v>
      </c>
      <c r="O767" s="14">
        <v>550</v>
      </c>
      <c r="P767" s="7"/>
      <c r="Q767" s="7"/>
      <c r="R767" s="14">
        <v>550</v>
      </c>
      <c r="S767" s="7"/>
      <c r="T767" s="7"/>
      <c r="U767" s="7"/>
      <c r="V767" s="14">
        <v>550</v>
      </c>
      <c r="W767" s="14">
        <v>550</v>
      </c>
      <c r="X767" s="7"/>
      <c r="Y767" s="7"/>
      <c r="Z767" s="7"/>
      <c r="AA767" s="7"/>
      <c r="AC767" s="70">
        <f t="shared" si="23"/>
        <v>550</v>
      </c>
      <c r="AD767" s="75">
        <f t="shared" si="24"/>
        <v>1</v>
      </c>
    </row>
    <row r="768" spans="1:36" outlineLevel="6">
      <c r="A768" s="3501" t="s">
        <v>546</v>
      </c>
      <c r="B768" s="3501"/>
      <c r="C768" s="7"/>
      <c r="D768" s="7"/>
      <c r="E768" s="14">
        <v>550</v>
      </c>
      <c r="F768" s="7"/>
      <c r="G768" s="7"/>
      <c r="H768" s="8"/>
      <c r="I768" s="9"/>
      <c r="J768" s="7"/>
      <c r="K768" s="7"/>
      <c r="L768" s="7"/>
      <c r="M768" s="14">
        <v>550</v>
      </c>
      <c r="N768" s="14">
        <v>550</v>
      </c>
      <c r="O768" s="14">
        <v>550</v>
      </c>
      <c r="P768" s="7"/>
      <c r="Q768" s="7"/>
      <c r="R768" s="14">
        <v>550</v>
      </c>
      <c r="S768" s="7"/>
      <c r="T768" s="7"/>
      <c r="U768" s="7"/>
      <c r="V768" s="14">
        <v>550</v>
      </c>
      <c r="W768" s="14">
        <v>550</v>
      </c>
      <c r="X768" s="7"/>
      <c r="Y768" s="7"/>
      <c r="Z768" s="7"/>
      <c r="AA768" s="7"/>
      <c r="AC768" s="70" t="str">
        <f t="shared" si="23"/>
        <v/>
      </c>
      <c r="AD768" s="75" t="str">
        <f t="shared" si="24"/>
        <v/>
      </c>
    </row>
    <row r="769" spans="1:36" outlineLevel="7">
      <c r="A769" s="3500" t="s">
        <v>547</v>
      </c>
      <c r="B769" s="3500"/>
      <c r="C769" s="7"/>
      <c r="D769" s="7"/>
      <c r="E769" s="14">
        <v>550</v>
      </c>
      <c r="F769" s="7"/>
      <c r="G769" s="7"/>
      <c r="H769" s="8"/>
      <c r="I769" s="9"/>
      <c r="J769" s="7"/>
      <c r="K769" s="7"/>
      <c r="L769" s="7"/>
      <c r="M769" s="14">
        <v>550</v>
      </c>
      <c r="N769" s="14">
        <v>550</v>
      </c>
      <c r="O769" s="14">
        <v>550</v>
      </c>
      <c r="P769" s="7"/>
      <c r="Q769" s="7"/>
      <c r="R769" s="14">
        <v>550</v>
      </c>
      <c r="S769" s="7"/>
      <c r="T769" s="7"/>
      <c r="U769" s="7"/>
      <c r="V769" s="14">
        <v>550</v>
      </c>
      <c r="W769" s="14">
        <v>550</v>
      </c>
      <c r="X769" s="7"/>
      <c r="Y769" s="7"/>
      <c r="Z769" s="7"/>
      <c r="AA769" s="7"/>
      <c r="AC769" s="70" t="str">
        <f t="shared" si="23"/>
        <v/>
      </c>
      <c r="AD769" s="75" t="str">
        <f t="shared" si="24"/>
        <v/>
      </c>
      <c r="AH769" t="s">
        <v>3563</v>
      </c>
    </row>
    <row r="770" spans="1:36" outlineLevel="7">
      <c r="A770" s="3499" t="s">
        <v>1766</v>
      </c>
      <c r="B770" s="3499"/>
      <c r="C770" s="7"/>
      <c r="D770" s="7"/>
      <c r="E770" s="14">
        <v>550</v>
      </c>
      <c r="F770" s="7"/>
      <c r="G770" s="7"/>
      <c r="H770" s="8"/>
      <c r="I770" s="9"/>
      <c r="J770" s="7"/>
      <c r="K770" s="7"/>
      <c r="L770" s="7"/>
      <c r="M770" s="14">
        <v>550</v>
      </c>
      <c r="N770" s="14">
        <v>550</v>
      </c>
      <c r="O770" s="14">
        <v>550</v>
      </c>
      <c r="P770" s="7"/>
      <c r="Q770" s="7"/>
      <c r="R770" s="14">
        <v>550</v>
      </c>
      <c r="S770" s="7"/>
      <c r="T770" s="7"/>
      <c r="U770" s="7"/>
      <c r="V770" s="14">
        <v>550</v>
      </c>
      <c r="W770" s="14">
        <v>550</v>
      </c>
      <c r="X770" s="7"/>
      <c r="Y770" s="7"/>
      <c r="Z770" s="7"/>
      <c r="AA770" s="7"/>
      <c r="AC770" s="70">
        <f t="shared" si="23"/>
        <v>550</v>
      </c>
      <c r="AD770" s="75">
        <f t="shared" si="24"/>
        <v>1</v>
      </c>
    </row>
    <row r="771" spans="1:36" outlineLevel="6">
      <c r="A771" s="3501" t="s">
        <v>548</v>
      </c>
      <c r="B771" s="3501"/>
      <c r="C771" s="7"/>
      <c r="D771" s="7"/>
      <c r="E771" s="14">
        <v>550</v>
      </c>
      <c r="F771" s="7"/>
      <c r="G771" s="7"/>
      <c r="H771" s="8"/>
      <c r="I771" s="9"/>
      <c r="J771" s="7"/>
      <c r="K771" s="7"/>
      <c r="L771" s="7"/>
      <c r="M771" s="14">
        <v>550</v>
      </c>
      <c r="N771" s="14">
        <v>550</v>
      </c>
      <c r="O771" s="14">
        <v>550</v>
      </c>
      <c r="P771" s="7"/>
      <c r="Q771" s="7"/>
      <c r="R771" s="14">
        <v>550</v>
      </c>
      <c r="S771" s="7"/>
      <c r="T771" s="7"/>
      <c r="U771" s="7"/>
      <c r="V771" s="14">
        <v>550</v>
      </c>
      <c r="W771" s="14">
        <v>550</v>
      </c>
      <c r="X771" s="7"/>
      <c r="Y771" s="7"/>
      <c r="Z771" s="7"/>
      <c r="AA771" s="7"/>
      <c r="AC771" s="70" t="str">
        <f t="shared" si="23"/>
        <v/>
      </c>
      <c r="AD771" s="75" t="str">
        <f t="shared" si="24"/>
        <v/>
      </c>
    </row>
    <row r="772" spans="1:36" outlineLevel="7">
      <c r="A772" s="3500" t="s">
        <v>549</v>
      </c>
      <c r="B772" s="3500"/>
      <c r="C772" s="7"/>
      <c r="D772" s="7"/>
      <c r="E772" s="14">
        <v>550</v>
      </c>
      <c r="F772" s="7"/>
      <c r="G772" s="7"/>
      <c r="H772" s="8"/>
      <c r="I772" s="9"/>
      <c r="J772" s="7"/>
      <c r="K772" s="7"/>
      <c r="L772" s="7"/>
      <c r="M772" s="14">
        <v>550</v>
      </c>
      <c r="N772" s="14">
        <v>550</v>
      </c>
      <c r="O772" s="14">
        <v>550</v>
      </c>
      <c r="P772" s="7"/>
      <c r="Q772" s="7"/>
      <c r="R772" s="14">
        <v>550</v>
      </c>
      <c r="S772" s="7"/>
      <c r="T772" s="7"/>
      <c r="U772" s="7"/>
      <c r="V772" s="14">
        <v>550</v>
      </c>
      <c r="W772" s="14">
        <v>550</v>
      </c>
      <c r="X772" s="7"/>
      <c r="Y772" s="7"/>
      <c r="Z772" s="7"/>
      <c r="AA772" s="7"/>
      <c r="AC772" s="70" t="str">
        <f t="shared" si="23"/>
        <v/>
      </c>
      <c r="AD772" s="75" t="str">
        <f t="shared" si="24"/>
        <v/>
      </c>
      <c r="AH772" t="s">
        <v>549</v>
      </c>
    </row>
    <row r="773" spans="1:36" outlineLevel="7">
      <c r="A773" s="3499" t="s">
        <v>1767</v>
      </c>
      <c r="B773" s="3499"/>
      <c r="C773" s="7"/>
      <c r="D773" s="7"/>
      <c r="E773" s="14">
        <v>550</v>
      </c>
      <c r="F773" s="7"/>
      <c r="G773" s="7"/>
      <c r="H773" s="8"/>
      <c r="I773" s="9"/>
      <c r="J773" s="7"/>
      <c r="K773" s="7"/>
      <c r="L773" s="7"/>
      <c r="M773" s="14">
        <v>550</v>
      </c>
      <c r="N773" s="14">
        <v>550</v>
      </c>
      <c r="O773" s="14">
        <v>550</v>
      </c>
      <c r="P773" s="7"/>
      <c r="Q773" s="7"/>
      <c r="R773" s="14">
        <v>550</v>
      </c>
      <c r="S773" s="7"/>
      <c r="T773" s="7"/>
      <c r="U773" s="7"/>
      <c r="V773" s="14">
        <v>550</v>
      </c>
      <c r="W773" s="14">
        <v>550</v>
      </c>
      <c r="X773" s="7"/>
      <c r="Y773" s="7"/>
      <c r="Z773" s="7"/>
      <c r="AA773" s="7"/>
      <c r="AC773" s="70">
        <f t="shared" si="23"/>
        <v>550</v>
      </c>
      <c r="AD773" s="75">
        <f t="shared" si="24"/>
        <v>1</v>
      </c>
    </row>
    <row r="774" spans="1:36" outlineLevel="6">
      <c r="A774" s="3501" t="s">
        <v>550</v>
      </c>
      <c r="B774" s="3501"/>
      <c r="C774" s="7"/>
      <c r="D774" s="7"/>
      <c r="E774" s="13">
        <v>4295.79</v>
      </c>
      <c r="F774" s="7"/>
      <c r="G774" s="7"/>
      <c r="H774" s="8"/>
      <c r="I774" s="9"/>
      <c r="J774" s="7"/>
      <c r="K774" s="7"/>
      <c r="L774" s="7"/>
      <c r="M774" s="13">
        <v>4295.79</v>
      </c>
      <c r="N774" s="13">
        <v>4295.79</v>
      </c>
      <c r="O774" s="13">
        <v>4295.79</v>
      </c>
      <c r="P774" s="7"/>
      <c r="Q774" s="7"/>
      <c r="R774" s="13">
        <v>4295.79</v>
      </c>
      <c r="S774" s="7"/>
      <c r="T774" s="7"/>
      <c r="U774" s="7"/>
      <c r="V774" s="13">
        <v>4295.79</v>
      </c>
      <c r="W774" s="13">
        <v>4295.79</v>
      </c>
      <c r="X774" s="7"/>
      <c r="Y774" s="7"/>
      <c r="Z774" s="7"/>
      <c r="AA774" s="7"/>
      <c r="AC774" s="70" t="str">
        <f t="shared" si="23"/>
        <v/>
      </c>
      <c r="AD774" s="75" t="str">
        <f t="shared" si="24"/>
        <v/>
      </c>
    </row>
    <row r="775" spans="1:36" outlineLevel="7">
      <c r="A775" s="3500" t="s">
        <v>551</v>
      </c>
      <c r="B775" s="3500"/>
      <c r="C775" s="7"/>
      <c r="D775" s="7"/>
      <c r="E775" s="13">
        <v>4295.79</v>
      </c>
      <c r="F775" s="7"/>
      <c r="G775" s="7"/>
      <c r="H775" s="8"/>
      <c r="I775" s="9"/>
      <c r="J775" s="7"/>
      <c r="K775" s="7"/>
      <c r="L775" s="7"/>
      <c r="M775" s="13">
        <v>4295.79</v>
      </c>
      <c r="N775" s="13">
        <v>4295.79</v>
      </c>
      <c r="O775" s="13">
        <v>4295.79</v>
      </c>
      <c r="P775" s="7"/>
      <c r="Q775" s="7"/>
      <c r="R775" s="13">
        <v>4295.79</v>
      </c>
      <c r="S775" s="7"/>
      <c r="T775" s="7"/>
      <c r="U775" s="7"/>
      <c r="V775" s="13">
        <v>4295.79</v>
      </c>
      <c r="W775" s="13">
        <v>4295.79</v>
      </c>
      <c r="X775" s="7"/>
      <c r="Y775" s="7"/>
      <c r="Z775" s="7"/>
      <c r="AA775" s="7"/>
      <c r="AC775" s="70" t="str">
        <f t="shared" si="23"/>
        <v/>
      </c>
      <c r="AD775" s="75" t="str">
        <f t="shared" si="24"/>
        <v/>
      </c>
      <c r="AH775" s="1" t="s">
        <v>3595</v>
      </c>
      <c r="AJ775" s="1"/>
    </row>
    <row r="776" spans="1:36" outlineLevel="7">
      <c r="A776" s="3499" t="s">
        <v>1768</v>
      </c>
      <c r="B776" s="3499"/>
      <c r="C776" s="7"/>
      <c r="D776" s="7"/>
      <c r="E776" s="13">
        <v>4295.79</v>
      </c>
      <c r="F776" s="7"/>
      <c r="G776" s="7"/>
      <c r="H776" s="8"/>
      <c r="I776" s="9"/>
      <c r="J776" s="7"/>
      <c r="K776" s="7"/>
      <c r="L776" s="7"/>
      <c r="M776" s="13">
        <v>4295.79</v>
      </c>
      <c r="N776" s="13">
        <v>4295.79</v>
      </c>
      <c r="O776" s="13">
        <v>4295.79</v>
      </c>
      <c r="P776" s="7"/>
      <c r="Q776" s="7"/>
      <c r="R776" s="13">
        <v>4295.79</v>
      </c>
      <c r="S776" s="7"/>
      <c r="T776" s="7"/>
      <c r="U776" s="7"/>
      <c r="V776" s="13">
        <v>4295.79</v>
      </c>
      <c r="W776" s="13">
        <v>4295.79</v>
      </c>
      <c r="X776" s="7"/>
      <c r="Y776" s="7"/>
      <c r="Z776" s="7"/>
      <c r="AA776" s="7"/>
      <c r="AC776" s="70">
        <f t="shared" si="23"/>
        <v>4295.79</v>
      </c>
      <c r="AD776" s="75" t="str">
        <f t="shared" si="24"/>
        <v/>
      </c>
      <c r="AG776">
        <f>AC776</f>
        <v>4295.79</v>
      </c>
    </row>
    <row r="777" spans="1:36" outlineLevel="6">
      <c r="A777" s="3501" t="s">
        <v>552</v>
      </c>
      <c r="B777" s="3501"/>
      <c r="C777" s="7"/>
      <c r="D777" s="7"/>
      <c r="E777" s="14">
        <v>550</v>
      </c>
      <c r="F777" s="7"/>
      <c r="G777" s="7"/>
      <c r="H777" s="8"/>
      <c r="I777" s="9"/>
      <c r="J777" s="7"/>
      <c r="K777" s="7"/>
      <c r="L777" s="7"/>
      <c r="M777" s="14">
        <v>550</v>
      </c>
      <c r="N777" s="14">
        <v>550</v>
      </c>
      <c r="O777" s="14">
        <v>550</v>
      </c>
      <c r="P777" s="7"/>
      <c r="Q777" s="7"/>
      <c r="R777" s="14">
        <v>550</v>
      </c>
      <c r="S777" s="7"/>
      <c r="T777" s="7"/>
      <c r="U777" s="7"/>
      <c r="V777" s="14">
        <v>550</v>
      </c>
      <c r="W777" s="14">
        <v>550</v>
      </c>
      <c r="X777" s="7"/>
      <c r="Y777" s="7"/>
      <c r="Z777" s="7"/>
      <c r="AA777" s="7"/>
      <c r="AC777" s="70" t="str">
        <f t="shared" si="23"/>
        <v/>
      </c>
      <c r="AD777" s="75" t="str">
        <f t="shared" si="24"/>
        <v/>
      </c>
    </row>
    <row r="778" spans="1:36" outlineLevel="7">
      <c r="A778" s="3500" t="s">
        <v>553</v>
      </c>
      <c r="B778" s="3500"/>
      <c r="C778" s="7"/>
      <c r="D778" s="7"/>
      <c r="E778" s="14">
        <v>550</v>
      </c>
      <c r="F778" s="7"/>
      <c r="G778" s="7"/>
      <c r="H778" s="8"/>
      <c r="I778" s="9"/>
      <c r="J778" s="7"/>
      <c r="K778" s="7"/>
      <c r="L778" s="7"/>
      <c r="M778" s="14">
        <v>550</v>
      </c>
      <c r="N778" s="14">
        <v>550</v>
      </c>
      <c r="O778" s="14">
        <v>550</v>
      </c>
      <c r="P778" s="7"/>
      <c r="Q778" s="7"/>
      <c r="R778" s="14">
        <v>550</v>
      </c>
      <c r="S778" s="7"/>
      <c r="T778" s="7"/>
      <c r="U778" s="7"/>
      <c r="V778" s="14">
        <v>550</v>
      </c>
      <c r="W778" s="14">
        <v>550</v>
      </c>
      <c r="X778" s="7"/>
      <c r="Y778" s="7"/>
      <c r="Z778" s="7"/>
      <c r="AA778" s="7"/>
      <c r="AC778" s="70" t="str">
        <f t="shared" si="23"/>
        <v/>
      </c>
      <c r="AD778" s="75" t="str">
        <f t="shared" si="24"/>
        <v/>
      </c>
      <c r="AH778" t="s">
        <v>553</v>
      </c>
    </row>
    <row r="779" spans="1:36" outlineLevel="7">
      <c r="A779" s="3499" t="s">
        <v>1769</v>
      </c>
      <c r="B779" s="3499"/>
      <c r="C779" s="7"/>
      <c r="D779" s="7"/>
      <c r="E779" s="14">
        <v>550</v>
      </c>
      <c r="F779" s="7"/>
      <c r="G779" s="7"/>
      <c r="H779" s="8"/>
      <c r="I779" s="9"/>
      <c r="J779" s="7"/>
      <c r="K779" s="7"/>
      <c r="L779" s="7"/>
      <c r="M779" s="14">
        <v>550</v>
      </c>
      <c r="N779" s="14">
        <v>550</v>
      </c>
      <c r="O779" s="14">
        <v>550</v>
      </c>
      <c r="P779" s="7"/>
      <c r="Q779" s="7"/>
      <c r="R779" s="14">
        <v>550</v>
      </c>
      <c r="S779" s="7"/>
      <c r="T779" s="7"/>
      <c r="U779" s="7"/>
      <c r="V779" s="14">
        <v>550</v>
      </c>
      <c r="W779" s="14">
        <v>550</v>
      </c>
      <c r="X779" s="7"/>
      <c r="Y779" s="7"/>
      <c r="Z779" s="7"/>
      <c r="AA779" s="7"/>
      <c r="AC779" s="70">
        <f t="shared" si="23"/>
        <v>550</v>
      </c>
      <c r="AD779" s="75">
        <f t="shared" si="24"/>
        <v>1</v>
      </c>
    </row>
    <row r="780" spans="1:36" outlineLevel="6">
      <c r="A780" s="3501" t="s">
        <v>554</v>
      </c>
      <c r="B780" s="3501"/>
      <c r="C780" s="7"/>
      <c r="D780" s="7"/>
      <c r="E780" s="14">
        <v>550</v>
      </c>
      <c r="F780" s="7"/>
      <c r="G780" s="7"/>
      <c r="H780" s="8"/>
      <c r="I780" s="9"/>
      <c r="J780" s="7"/>
      <c r="K780" s="7"/>
      <c r="L780" s="7"/>
      <c r="M780" s="14">
        <v>550</v>
      </c>
      <c r="N780" s="14">
        <v>550</v>
      </c>
      <c r="O780" s="14">
        <v>550</v>
      </c>
      <c r="P780" s="7"/>
      <c r="Q780" s="7"/>
      <c r="R780" s="14">
        <v>550</v>
      </c>
      <c r="S780" s="7"/>
      <c r="T780" s="7"/>
      <c r="U780" s="7"/>
      <c r="V780" s="14">
        <v>550</v>
      </c>
      <c r="W780" s="14">
        <v>550</v>
      </c>
      <c r="X780" s="7"/>
      <c r="Y780" s="7"/>
      <c r="Z780" s="7"/>
      <c r="AA780" s="7"/>
      <c r="AC780" s="70" t="str">
        <f t="shared" si="23"/>
        <v/>
      </c>
      <c r="AD780" s="75" t="str">
        <f t="shared" si="24"/>
        <v/>
      </c>
    </row>
    <row r="781" spans="1:36" outlineLevel="7">
      <c r="A781" s="3500" t="s">
        <v>555</v>
      </c>
      <c r="B781" s="3500"/>
      <c r="C781" s="7"/>
      <c r="D781" s="7"/>
      <c r="E781" s="14">
        <v>550</v>
      </c>
      <c r="F781" s="7"/>
      <c r="G781" s="7"/>
      <c r="H781" s="8"/>
      <c r="I781" s="9"/>
      <c r="J781" s="7"/>
      <c r="K781" s="7"/>
      <c r="L781" s="7"/>
      <c r="M781" s="14">
        <v>550</v>
      </c>
      <c r="N781" s="14">
        <v>550</v>
      </c>
      <c r="O781" s="14">
        <v>550</v>
      </c>
      <c r="P781" s="7"/>
      <c r="Q781" s="7"/>
      <c r="R781" s="14">
        <v>550</v>
      </c>
      <c r="S781" s="7"/>
      <c r="T781" s="7"/>
      <c r="U781" s="7"/>
      <c r="V781" s="14">
        <v>550</v>
      </c>
      <c r="W781" s="14">
        <v>550</v>
      </c>
      <c r="X781" s="7"/>
      <c r="Y781" s="7"/>
      <c r="Z781" s="7"/>
      <c r="AA781" s="7"/>
      <c r="AC781" s="70" t="str">
        <f t="shared" si="23"/>
        <v/>
      </c>
      <c r="AD781" s="75" t="str">
        <f t="shared" si="24"/>
        <v/>
      </c>
      <c r="AH781" t="s">
        <v>3272</v>
      </c>
    </row>
    <row r="782" spans="1:36" outlineLevel="7">
      <c r="A782" s="3499" t="s">
        <v>1770</v>
      </c>
      <c r="B782" s="3499"/>
      <c r="C782" s="7"/>
      <c r="D782" s="7"/>
      <c r="E782" s="14">
        <v>550</v>
      </c>
      <c r="F782" s="7"/>
      <c r="G782" s="7"/>
      <c r="H782" s="8"/>
      <c r="I782" s="9"/>
      <c r="J782" s="7"/>
      <c r="K782" s="7"/>
      <c r="L782" s="7"/>
      <c r="M782" s="14">
        <v>550</v>
      </c>
      <c r="N782" s="14">
        <v>550</v>
      </c>
      <c r="O782" s="14">
        <v>550</v>
      </c>
      <c r="P782" s="7"/>
      <c r="Q782" s="7"/>
      <c r="R782" s="14">
        <v>550</v>
      </c>
      <c r="S782" s="7"/>
      <c r="T782" s="7"/>
      <c r="U782" s="7"/>
      <c r="V782" s="14">
        <v>550</v>
      </c>
      <c r="W782" s="14">
        <v>550</v>
      </c>
      <c r="X782" s="7"/>
      <c r="Y782" s="7"/>
      <c r="Z782" s="7"/>
      <c r="AA782" s="7"/>
      <c r="AC782" s="70">
        <f t="shared" si="23"/>
        <v>550</v>
      </c>
      <c r="AD782" s="75">
        <f t="shared" si="24"/>
        <v>1</v>
      </c>
    </row>
    <row r="783" spans="1:36" outlineLevel="6">
      <c r="A783" s="3501" t="s">
        <v>556</v>
      </c>
      <c r="B783" s="3501"/>
      <c r="C783" s="7"/>
      <c r="D783" s="7"/>
      <c r="E783" s="14">
        <v>550</v>
      </c>
      <c r="F783" s="7"/>
      <c r="G783" s="7"/>
      <c r="H783" s="8"/>
      <c r="I783" s="9"/>
      <c r="J783" s="7"/>
      <c r="K783" s="7"/>
      <c r="L783" s="7"/>
      <c r="M783" s="14">
        <v>550</v>
      </c>
      <c r="N783" s="14">
        <v>550</v>
      </c>
      <c r="O783" s="14">
        <v>550</v>
      </c>
      <c r="P783" s="7"/>
      <c r="Q783" s="7"/>
      <c r="R783" s="14">
        <v>550</v>
      </c>
      <c r="S783" s="7"/>
      <c r="T783" s="7"/>
      <c r="U783" s="14">
        <v>550</v>
      </c>
      <c r="V783" s="7"/>
      <c r="W783" s="7"/>
      <c r="X783" s="7"/>
      <c r="Y783" s="7"/>
      <c r="Z783" s="7"/>
      <c r="AA783" s="7"/>
      <c r="AC783" s="70" t="str">
        <f t="shared" si="23"/>
        <v/>
      </c>
      <c r="AD783" s="75" t="str">
        <f t="shared" si="24"/>
        <v/>
      </c>
    </row>
    <row r="784" spans="1:36" outlineLevel="7">
      <c r="A784" s="3500" t="s">
        <v>557</v>
      </c>
      <c r="B784" s="3500"/>
      <c r="C784" s="7"/>
      <c r="D784" s="7"/>
      <c r="E784" s="14">
        <v>550</v>
      </c>
      <c r="F784" s="7"/>
      <c r="G784" s="7"/>
      <c r="H784" s="8"/>
      <c r="I784" s="9"/>
      <c r="J784" s="7"/>
      <c r="K784" s="7"/>
      <c r="L784" s="7"/>
      <c r="M784" s="14">
        <v>550</v>
      </c>
      <c r="N784" s="14">
        <v>550</v>
      </c>
      <c r="O784" s="14">
        <v>550</v>
      </c>
      <c r="P784" s="7"/>
      <c r="Q784" s="7"/>
      <c r="R784" s="14">
        <v>550</v>
      </c>
      <c r="S784" s="7"/>
      <c r="T784" s="7"/>
      <c r="U784" s="14">
        <v>550</v>
      </c>
      <c r="V784" s="7"/>
      <c r="W784" s="7"/>
      <c r="X784" s="7"/>
      <c r="Y784" s="7"/>
      <c r="Z784" s="7"/>
      <c r="AA784" s="7"/>
      <c r="AC784" s="70" t="str">
        <f t="shared" si="23"/>
        <v/>
      </c>
      <c r="AD784" s="75" t="str">
        <f t="shared" si="24"/>
        <v/>
      </c>
      <c r="AH784" t="s">
        <v>3496</v>
      </c>
    </row>
    <row r="785" spans="1:34" outlineLevel="7">
      <c r="A785" s="3499" t="s">
        <v>1771</v>
      </c>
      <c r="B785" s="3499"/>
      <c r="C785" s="7"/>
      <c r="D785" s="7"/>
      <c r="E785" s="14">
        <v>550</v>
      </c>
      <c r="F785" s="7"/>
      <c r="G785" s="7"/>
      <c r="H785" s="8"/>
      <c r="I785" s="9"/>
      <c r="J785" s="7"/>
      <c r="K785" s="7"/>
      <c r="L785" s="7"/>
      <c r="M785" s="14">
        <v>550</v>
      </c>
      <c r="N785" s="14">
        <v>550</v>
      </c>
      <c r="O785" s="14">
        <v>550</v>
      </c>
      <c r="P785" s="7"/>
      <c r="Q785" s="7"/>
      <c r="R785" s="14">
        <v>550</v>
      </c>
      <c r="S785" s="7"/>
      <c r="T785" s="7"/>
      <c r="U785" s="14">
        <v>550</v>
      </c>
      <c r="V785" s="7"/>
      <c r="W785" s="7"/>
      <c r="X785" s="7"/>
      <c r="Y785" s="7"/>
      <c r="Z785" s="7"/>
      <c r="AA785" s="7"/>
      <c r="AC785" s="70">
        <f t="shared" ref="AC785:AC848" si="25">IF(LEFT($A785,5)="Реали",$E785,"")</f>
        <v>550</v>
      </c>
      <c r="AD785" s="75">
        <f t="shared" ref="AD785:AD848" si="26">IF(AC785=550,1,"")</f>
        <v>1</v>
      </c>
    </row>
    <row r="786" spans="1:34" outlineLevel="6">
      <c r="A786" s="3501" t="s">
        <v>558</v>
      </c>
      <c r="B786" s="3501"/>
      <c r="C786" s="7"/>
      <c r="D786" s="7"/>
      <c r="E786" s="14">
        <v>550</v>
      </c>
      <c r="F786" s="7"/>
      <c r="G786" s="7"/>
      <c r="H786" s="8"/>
      <c r="I786" s="9"/>
      <c r="J786" s="7"/>
      <c r="K786" s="7"/>
      <c r="L786" s="7"/>
      <c r="M786" s="14">
        <v>550</v>
      </c>
      <c r="N786" s="14">
        <v>550</v>
      </c>
      <c r="O786" s="14">
        <v>550</v>
      </c>
      <c r="P786" s="7"/>
      <c r="Q786" s="7"/>
      <c r="R786" s="14">
        <v>550</v>
      </c>
      <c r="S786" s="7"/>
      <c r="T786" s="7"/>
      <c r="U786" s="7"/>
      <c r="V786" s="14">
        <v>550</v>
      </c>
      <c r="W786" s="14">
        <v>550</v>
      </c>
      <c r="X786" s="7"/>
      <c r="Y786" s="7"/>
      <c r="Z786" s="7"/>
      <c r="AA786" s="7"/>
      <c r="AC786" s="70" t="str">
        <f t="shared" si="25"/>
        <v/>
      </c>
      <c r="AD786" s="75" t="str">
        <f t="shared" si="26"/>
        <v/>
      </c>
    </row>
    <row r="787" spans="1:34" outlineLevel="7">
      <c r="A787" s="3500" t="s">
        <v>559</v>
      </c>
      <c r="B787" s="3500"/>
      <c r="C787" s="7"/>
      <c r="D787" s="7"/>
      <c r="E787" s="14">
        <v>550</v>
      </c>
      <c r="F787" s="7"/>
      <c r="G787" s="7"/>
      <c r="H787" s="8"/>
      <c r="I787" s="9"/>
      <c r="J787" s="7"/>
      <c r="K787" s="7"/>
      <c r="L787" s="7"/>
      <c r="M787" s="14">
        <v>550</v>
      </c>
      <c r="N787" s="14">
        <v>550</v>
      </c>
      <c r="O787" s="14">
        <v>550</v>
      </c>
      <c r="P787" s="7"/>
      <c r="Q787" s="7"/>
      <c r="R787" s="14">
        <v>550</v>
      </c>
      <c r="S787" s="7"/>
      <c r="T787" s="7"/>
      <c r="U787" s="7"/>
      <c r="V787" s="14">
        <v>550</v>
      </c>
      <c r="W787" s="14">
        <v>550</v>
      </c>
      <c r="X787" s="7"/>
      <c r="Y787" s="7"/>
      <c r="Z787" s="7"/>
      <c r="AA787" s="7"/>
      <c r="AC787" s="70" t="str">
        <f t="shared" si="25"/>
        <v/>
      </c>
      <c r="AD787" s="75" t="str">
        <f t="shared" si="26"/>
        <v/>
      </c>
      <c r="AH787" t="s">
        <v>559</v>
      </c>
    </row>
    <row r="788" spans="1:34" outlineLevel="7">
      <c r="A788" s="3499" t="s">
        <v>1772</v>
      </c>
      <c r="B788" s="3499"/>
      <c r="C788" s="7"/>
      <c r="D788" s="7"/>
      <c r="E788" s="14">
        <v>550</v>
      </c>
      <c r="F788" s="7"/>
      <c r="G788" s="7"/>
      <c r="H788" s="8"/>
      <c r="I788" s="9"/>
      <c r="J788" s="7"/>
      <c r="K788" s="7"/>
      <c r="L788" s="7"/>
      <c r="M788" s="14">
        <v>550</v>
      </c>
      <c r="N788" s="14">
        <v>550</v>
      </c>
      <c r="O788" s="14">
        <v>550</v>
      </c>
      <c r="P788" s="7"/>
      <c r="Q788" s="7"/>
      <c r="R788" s="14">
        <v>550</v>
      </c>
      <c r="S788" s="7"/>
      <c r="T788" s="7"/>
      <c r="U788" s="7"/>
      <c r="V788" s="14">
        <v>550</v>
      </c>
      <c r="W788" s="14">
        <v>550</v>
      </c>
      <c r="X788" s="7"/>
      <c r="Y788" s="7"/>
      <c r="Z788" s="7"/>
      <c r="AA788" s="7"/>
      <c r="AC788" s="70">
        <f t="shared" si="25"/>
        <v>550</v>
      </c>
      <c r="AD788" s="75">
        <f t="shared" si="26"/>
        <v>1</v>
      </c>
    </row>
    <row r="789" spans="1:34" outlineLevel="6">
      <c r="A789" s="3501" t="s">
        <v>560</v>
      </c>
      <c r="B789" s="3501"/>
      <c r="C789" s="7"/>
      <c r="D789" s="7"/>
      <c r="E789" s="14">
        <v>550</v>
      </c>
      <c r="F789" s="7"/>
      <c r="G789" s="7"/>
      <c r="H789" s="8"/>
      <c r="I789" s="9"/>
      <c r="J789" s="7"/>
      <c r="K789" s="7"/>
      <c r="L789" s="7"/>
      <c r="M789" s="14">
        <v>550</v>
      </c>
      <c r="N789" s="14">
        <v>550</v>
      </c>
      <c r="O789" s="14">
        <v>550</v>
      </c>
      <c r="P789" s="7"/>
      <c r="Q789" s="7"/>
      <c r="R789" s="14">
        <v>550</v>
      </c>
      <c r="S789" s="7"/>
      <c r="T789" s="7"/>
      <c r="U789" s="7"/>
      <c r="V789" s="14">
        <v>550</v>
      </c>
      <c r="W789" s="14">
        <v>550</v>
      </c>
      <c r="X789" s="7"/>
      <c r="Y789" s="7"/>
      <c r="Z789" s="7"/>
      <c r="AA789" s="7"/>
      <c r="AC789" s="70" t="str">
        <f t="shared" si="25"/>
        <v/>
      </c>
      <c r="AD789" s="75" t="str">
        <f t="shared" si="26"/>
        <v/>
      </c>
    </row>
    <row r="790" spans="1:34" outlineLevel="7">
      <c r="A790" s="3500" t="s">
        <v>561</v>
      </c>
      <c r="B790" s="3500"/>
      <c r="C790" s="7"/>
      <c r="D790" s="7"/>
      <c r="E790" s="14">
        <v>550</v>
      </c>
      <c r="F790" s="7"/>
      <c r="G790" s="7"/>
      <c r="H790" s="8"/>
      <c r="I790" s="9"/>
      <c r="J790" s="7"/>
      <c r="K790" s="7"/>
      <c r="L790" s="7"/>
      <c r="M790" s="14">
        <v>550</v>
      </c>
      <c r="N790" s="14">
        <v>550</v>
      </c>
      <c r="O790" s="14">
        <v>550</v>
      </c>
      <c r="P790" s="7"/>
      <c r="Q790" s="7"/>
      <c r="R790" s="14">
        <v>550</v>
      </c>
      <c r="S790" s="7"/>
      <c r="T790" s="7"/>
      <c r="U790" s="7"/>
      <c r="V790" s="14">
        <v>550</v>
      </c>
      <c r="W790" s="14">
        <v>550</v>
      </c>
      <c r="X790" s="7"/>
      <c r="Y790" s="7"/>
      <c r="Z790" s="7"/>
      <c r="AA790" s="7"/>
      <c r="AC790" s="70" t="str">
        <f t="shared" si="25"/>
        <v/>
      </c>
      <c r="AD790" s="75" t="str">
        <f t="shared" si="26"/>
        <v/>
      </c>
      <c r="AH790" t="s">
        <v>3523</v>
      </c>
    </row>
    <row r="791" spans="1:34" outlineLevel="7">
      <c r="A791" s="3499" t="s">
        <v>1773</v>
      </c>
      <c r="B791" s="3499"/>
      <c r="C791" s="7"/>
      <c r="D791" s="7"/>
      <c r="E791" s="14">
        <v>550</v>
      </c>
      <c r="F791" s="7"/>
      <c r="G791" s="7"/>
      <c r="H791" s="8"/>
      <c r="I791" s="9"/>
      <c r="J791" s="7"/>
      <c r="K791" s="7"/>
      <c r="L791" s="7"/>
      <c r="M791" s="14">
        <v>550</v>
      </c>
      <c r="N791" s="14">
        <v>550</v>
      </c>
      <c r="O791" s="14">
        <v>550</v>
      </c>
      <c r="P791" s="7"/>
      <c r="Q791" s="7"/>
      <c r="R791" s="14">
        <v>550</v>
      </c>
      <c r="S791" s="7"/>
      <c r="T791" s="7"/>
      <c r="U791" s="7"/>
      <c r="V791" s="14">
        <v>550</v>
      </c>
      <c r="W791" s="14">
        <v>550</v>
      </c>
      <c r="X791" s="7"/>
      <c r="Y791" s="7"/>
      <c r="Z791" s="7"/>
      <c r="AA791" s="7"/>
      <c r="AC791" s="70">
        <f t="shared" si="25"/>
        <v>550</v>
      </c>
      <c r="AD791" s="75">
        <f t="shared" si="26"/>
        <v>1</v>
      </c>
    </row>
    <row r="792" spans="1:34" outlineLevel="6">
      <c r="A792" s="3501" t="s">
        <v>562</v>
      </c>
      <c r="B792" s="3501"/>
      <c r="C792" s="7"/>
      <c r="D792" s="7"/>
      <c r="E792" s="14">
        <v>550</v>
      </c>
      <c r="F792" s="7"/>
      <c r="G792" s="7"/>
      <c r="H792" s="8"/>
      <c r="I792" s="9"/>
      <c r="J792" s="7"/>
      <c r="K792" s="7"/>
      <c r="L792" s="7"/>
      <c r="M792" s="14">
        <v>550</v>
      </c>
      <c r="N792" s="14">
        <v>550</v>
      </c>
      <c r="O792" s="14">
        <v>550</v>
      </c>
      <c r="P792" s="7"/>
      <c r="Q792" s="7"/>
      <c r="R792" s="14">
        <v>550</v>
      </c>
      <c r="S792" s="7"/>
      <c r="T792" s="7"/>
      <c r="U792" s="7"/>
      <c r="V792" s="14">
        <v>550</v>
      </c>
      <c r="W792" s="14">
        <v>550</v>
      </c>
      <c r="X792" s="7"/>
      <c r="Y792" s="7"/>
      <c r="Z792" s="7"/>
      <c r="AA792" s="7"/>
      <c r="AC792" s="70" t="str">
        <f t="shared" si="25"/>
        <v/>
      </c>
      <c r="AD792" s="75" t="str">
        <f t="shared" si="26"/>
        <v/>
      </c>
    </row>
    <row r="793" spans="1:34" outlineLevel="7">
      <c r="A793" s="3500" t="s">
        <v>563</v>
      </c>
      <c r="B793" s="3500"/>
      <c r="C793" s="7"/>
      <c r="D793" s="7"/>
      <c r="E793" s="14">
        <v>550</v>
      </c>
      <c r="F793" s="7"/>
      <c r="G793" s="7"/>
      <c r="H793" s="8"/>
      <c r="I793" s="9"/>
      <c r="J793" s="7"/>
      <c r="K793" s="7"/>
      <c r="L793" s="7"/>
      <c r="M793" s="14">
        <v>550</v>
      </c>
      <c r="N793" s="14">
        <v>550</v>
      </c>
      <c r="O793" s="14">
        <v>550</v>
      </c>
      <c r="P793" s="7"/>
      <c r="Q793" s="7"/>
      <c r="R793" s="14">
        <v>550</v>
      </c>
      <c r="S793" s="7"/>
      <c r="T793" s="7"/>
      <c r="U793" s="7"/>
      <c r="V793" s="14">
        <v>550</v>
      </c>
      <c r="W793" s="14">
        <v>550</v>
      </c>
      <c r="X793" s="7"/>
      <c r="Y793" s="7"/>
      <c r="Z793" s="7"/>
      <c r="AA793" s="7"/>
      <c r="AC793" s="70" t="str">
        <f t="shared" si="25"/>
        <v/>
      </c>
      <c r="AD793" s="75" t="str">
        <f t="shared" si="26"/>
        <v/>
      </c>
      <c r="AH793" t="s">
        <v>3566</v>
      </c>
    </row>
    <row r="794" spans="1:34" outlineLevel="7">
      <c r="A794" s="3499" t="s">
        <v>1774</v>
      </c>
      <c r="B794" s="3499"/>
      <c r="C794" s="7"/>
      <c r="D794" s="7"/>
      <c r="E794" s="14">
        <v>550</v>
      </c>
      <c r="F794" s="7"/>
      <c r="G794" s="7"/>
      <c r="H794" s="8"/>
      <c r="I794" s="9"/>
      <c r="J794" s="7"/>
      <c r="K794" s="7"/>
      <c r="L794" s="7"/>
      <c r="M794" s="14">
        <v>550</v>
      </c>
      <c r="N794" s="14">
        <v>550</v>
      </c>
      <c r="O794" s="14">
        <v>550</v>
      </c>
      <c r="P794" s="7"/>
      <c r="Q794" s="7"/>
      <c r="R794" s="14">
        <v>550</v>
      </c>
      <c r="S794" s="7"/>
      <c r="T794" s="7"/>
      <c r="U794" s="7"/>
      <c r="V794" s="14">
        <v>550</v>
      </c>
      <c r="W794" s="14">
        <v>550</v>
      </c>
      <c r="X794" s="7"/>
      <c r="Y794" s="7"/>
      <c r="Z794" s="7"/>
      <c r="AA794" s="7"/>
      <c r="AC794" s="70">
        <f t="shared" si="25"/>
        <v>550</v>
      </c>
      <c r="AD794" s="75">
        <f t="shared" si="26"/>
        <v>1</v>
      </c>
    </row>
    <row r="795" spans="1:34" outlineLevel="6">
      <c r="A795" s="3501" t="s">
        <v>564</v>
      </c>
      <c r="B795" s="3501"/>
      <c r="C795" s="7"/>
      <c r="D795" s="7"/>
      <c r="E795" s="14">
        <v>550</v>
      </c>
      <c r="F795" s="7"/>
      <c r="G795" s="7"/>
      <c r="H795" s="8"/>
      <c r="I795" s="9"/>
      <c r="J795" s="7"/>
      <c r="K795" s="7"/>
      <c r="L795" s="7"/>
      <c r="M795" s="14">
        <v>550</v>
      </c>
      <c r="N795" s="14">
        <v>550</v>
      </c>
      <c r="O795" s="14">
        <v>550</v>
      </c>
      <c r="P795" s="7"/>
      <c r="Q795" s="7"/>
      <c r="R795" s="14">
        <v>550</v>
      </c>
      <c r="S795" s="7"/>
      <c r="T795" s="7"/>
      <c r="U795" s="7"/>
      <c r="V795" s="14">
        <v>550</v>
      </c>
      <c r="W795" s="14">
        <v>550</v>
      </c>
      <c r="X795" s="7"/>
      <c r="Y795" s="7"/>
      <c r="Z795" s="7"/>
      <c r="AA795" s="7"/>
      <c r="AC795" s="70" t="str">
        <f t="shared" si="25"/>
        <v/>
      </c>
      <c r="AD795" s="75" t="str">
        <f t="shared" si="26"/>
        <v/>
      </c>
    </row>
    <row r="796" spans="1:34" outlineLevel="7">
      <c r="A796" s="3500" t="s">
        <v>565</v>
      </c>
      <c r="B796" s="3500"/>
      <c r="C796" s="7"/>
      <c r="D796" s="7"/>
      <c r="E796" s="14">
        <v>550</v>
      </c>
      <c r="F796" s="7"/>
      <c r="G796" s="7"/>
      <c r="H796" s="8"/>
      <c r="I796" s="9"/>
      <c r="J796" s="7"/>
      <c r="K796" s="7"/>
      <c r="L796" s="7"/>
      <c r="M796" s="14">
        <v>550</v>
      </c>
      <c r="N796" s="14">
        <v>550</v>
      </c>
      <c r="O796" s="14">
        <v>550</v>
      </c>
      <c r="P796" s="7"/>
      <c r="Q796" s="7"/>
      <c r="R796" s="14">
        <v>550</v>
      </c>
      <c r="S796" s="7"/>
      <c r="T796" s="7"/>
      <c r="U796" s="7"/>
      <c r="V796" s="14">
        <v>550</v>
      </c>
      <c r="W796" s="14">
        <v>550</v>
      </c>
      <c r="X796" s="7"/>
      <c r="Y796" s="7"/>
      <c r="Z796" s="7"/>
      <c r="AA796" s="7"/>
      <c r="AC796" s="70" t="str">
        <f t="shared" si="25"/>
        <v/>
      </c>
      <c r="AD796" s="75" t="str">
        <f t="shared" si="26"/>
        <v/>
      </c>
      <c r="AH796" t="s">
        <v>565</v>
      </c>
    </row>
    <row r="797" spans="1:34" outlineLevel="7">
      <c r="A797" s="3499" t="s">
        <v>1775</v>
      </c>
      <c r="B797" s="3499"/>
      <c r="C797" s="7"/>
      <c r="D797" s="7"/>
      <c r="E797" s="14">
        <v>550</v>
      </c>
      <c r="F797" s="7"/>
      <c r="G797" s="7"/>
      <c r="H797" s="8"/>
      <c r="I797" s="9"/>
      <c r="J797" s="7"/>
      <c r="K797" s="7"/>
      <c r="L797" s="7"/>
      <c r="M797" s="14">
        <v>550</v>
      </c>
      <c r="N797" s="14">
        <v>550</v>
      </c>
      <c r="O797" s="14">
        <v>550</v>
      </c>
      <c r="P797" s="7"/>
      <c r="Q797" s="7"/>
      <c r="R797" s="14">
        <v>550</v>
      </c>
      <c r="S797" s="7"/>
      <c r="T797" s="7"/>
      <c r="U797" s="7"/>
      <c r="V797" s="14">
        <v>550</v>
      </c>
      <c r="W797" s="14">
        <v>550</v>
      </c>
      <c r="X797" s="7"/>
      <c r="Y797" s="7"/>
      <c r="Z797" s="7"/>
      <c r="AA797" s="7"/>
      <c r="AC797" s="70">
        <f t="shared" si="25"/>
        <v>550</v>
      </c>
      <c r="AD797" s="75">
        <f t="shared" si="26"/>
        <v>1</v>
      </c>
    </row>
    <row r="798" spans="1:34" outlineLevel="6">
      <c r="A798" s="3501" t="s">
        <v>566</v>
      </c>
      <c r="B798" s="3501"/>
      <c r="C798" s="7"/>
      <c r="D798" s="7"/>
      <c r="E798" s="14">
        <v>550</v>
      </c>
      <c r="F798" s="7"/>
      <c r="G798" s="7"/>
      <c r="H798" s="8"/>
      <c r="I798" s="9"/>
      <c r="J798" s="7"/>
      <c r="K798" s="7"/>
      <c r="L798" s="7"/>
      <c r="M798" s="14">
        <v>550</v>
      </c>
      <c r="N798" s="14">
        <v>550</v>
      </c>
      <c r="O798" s="14">
        <v>550</v>
      </c>
      <c r="P798" s="7"/>
      <c r="Q798" s="7"/>
      <c r="R798" s="14">
        <v>550</v>
      </c>
      <c r="S798" s="7"/>
      <c r="T798" s="7"/>
      <c r="U798" s="7"/>
      <c r="V798" s="14">
        <v>550</v>
      </c>
      <c r="W798" s="14">
        <v>550</v>
      </c>
      <c r="X798" s="7"/>
      <c r="Y798" s="7"/>
      <c r="Z798" s="7"/>
      <c r="AA798" s="7"/>
      <c r="AC798" s="70" t="str">
        <f t="shared" si="25"/>
        <v/>
      </c>
      <c r="AD798" s="75" t="str">
        <f t="shared" si="26"/>
        <v/>
      </c>
    </row>
    <row r="799" spans="1:34" outlineLevel="7">
      <c r="A799" s="3500" t="s">
        <v>567</v>
      </c>
      <c r="B799" s="3500"/>
      <c r="C799" s="7"/>
      <c r="D799" s="7"/>
      <c r="E799" s="14">
        <v>550</v>
      </c>
      <c r="F799" s="7"/>
      <c r="G799" s="7"/>
      <c r="H799" s="8"/>
      <c r="I799" s="9"/>
      <c r="J799" s="7"/>
      <c r="K799" s="7"/>
      <c r="L799" s="7"/>
      <c r="M799" s="14">
        <v>550</v>
      </c>
      <c r="N799" s="14">
        <v>550</v>
      </c>
      <c r="O799" s="14">
        <v>550</v>
      </c>
      <c r="P799" s="7"/>
      <c r="Q799" s="7"/>
      <c r="R799" s="14">
        <v>550</v>
      </c>
      <c r="S799" s="7"/>
      <c r="T799" s="7"/>
      <c r="U799" s="7"/>
      <c r="V799" s="14">
        <v>550</v>
      </c>
      <c r="W799" s="14">
        <v>550</v>
      </c>
      <c r="X799" s="7"/>
      <c r="Y799" s="7"/>
      <c r="Z799" s="7"/>
      <c r="AA799" s="7"/>
      <c r="AC799" s="70" t="str">
        <f t="shared" si="25"/>
        <v/>
      </c>
      <c r="AD799" s="75" t="str">
        <f t="shared" si="26"/>
        <v/>
      </c>
      <c r="AH799" t="s">
        <v>3473</v>
      </c>
    </row>
    <row r="800" spans="1:34" outlineLevel="7">
      <c r="A800" s="3499" t="s">
        <v>1776</v>
      </c>
      <c r="B800" s="3499"/>
      <c r="C800" s="7"/>
      <c r="D800" s="7"/>
      <c r="E800" s="14">
        <v>550</v>
      </c>
      <c r="F800" s="7"/>
      <c r="G800" s="7"/>
      <c r="H800" s="8"/>
      <c r="I800" s="9"/>
      <c r="J800" s="7"/>
      <c r="K800" s="7"/>
      <c r="L800" s="7"/>
      <c r="M800" s="14">
        <v>550</v>
      </c>
      <c r="N800" s="14">
        <v>550</v>
      </c>
      <c r="O800" s="14">
        <v>550</v>
      </c>
      <c r="P800" s="7"/>
      <c r="Q800" s="7"/>
      <c r="R800" s="14">
        <v>550</v>
      </c>
      <c r="S800" s="7"/>
      <c r="T800" s="7"/>
      <c r="U800" s="7"/>
      <c r="V800" s="14">
        <v>550</v>
      </c>
      <c r="W800" s="14">
        <v>550</v>
      </c>
      <c r="X800" s="7"/>
      <c r="Y800" s="7"/>
      <c r="Z800" s="7"/>
      <c r="AA800" s="7"/>
      <c r="AC800" s="70">
        <f t="shared" si="25"/>
        <v>550</v>
      </c>
      <c r="AD800" s="75">
        <f t="shared" si="26"/>
        <v>1</v>
      </c>
    </row>
    <row r="801" spans="1:34" outlineLevel="6">
      <c r="A801" s="3501" t="s">
        <v>568</v>
      </c>
      <c r="B801" s="3501"/>
      <c r="C801" s="7"/>
      <c r="D801" s="7"/>
      <c r="E801" s="14">
        <v>550</v>
      </c>
      <c r="F801" s="7"/>
      <c r="G801" s="7"/>
      <c r="H801" s="8"/>
      <c r="I801" s="9"/>
      <c r="J801" s="7"/>
      <c r="K801" s="7"/>
      <c r="L801" s="7"/>
      <c r="M801" s="14">
        <v>550</v>
      </c>
      <c r="N801" s="14">
        <v>550</v>
      </c>
      <c r="O801" s="14">
        <v>550</v>
      </c>
      <c r="P801" s="7"/>
      <c r="Q801" s="7"/>
      <c r="R801" s="14">
        <v>550</v>
      </c>
      <c r="S801" s="7"/>
      <c r="T801" s="7"/>
      <c r="U801" s="7"/>
      <c r="V801" s="14">
        <v>550</v>
      </c>
      <c r="W801" s="14">
        <v>550</v>
      </c>
      <c r="X801" s="7"/>
      <c r="Y801" s="7"/>
      <c r="Z801" s="7"/>
      <c r="AA801" s="7"/>
      <c r="AC801" s="70" t="str">
        <f t="shared" si="25"/>
        <v/>
      </c>
      <c r="AD801" s="75" t="str">
        <f t="shared" si="26"/>
        <v/>
      </c>
    </row>
    <row r="802" spans="1:34" outlineLevel="7">
      <c r="A802" s="3500" t="s">
        <v>569</v>
      </c>
      <c r="B802" s="3500"/>
      <c r="C802" s="7"/>
      <c r="D802" s="7"/>
      <c r="E802" s="14">
        <v>550</v>
      </c>
      <c r="F802" s="7"/>
      <c r="G802" s="7"/>
      <c r="H802" s="8"/>
      <c r="I802" s="9"/>
      <c r="J802" s="7"/>
      <c r="K802" s="7"/>
      <c r="L802" s="7"/>
      <c r="M802" s="14">
        <v>550</v>
      </c>
      <c r="N802" s="14">
        <v>550</v>
      </c>
      <c r="O802" s="14">
        <v>550</v>
      </c>
      <c r="P802" s="7"/>
      <c r="Q802" s="7"/>
      <c r="R802" s="14">
        <v>550</v>
      </c>
      <c r="S802" s="7"/>
      <c r="T802" s="7"/>
      <c r="U802" s="7"/>
      <c r="V802" s="14">
        <v>550</v>
      </c>
      <c r="W802" s="14">
        <v>550</v>
      </c>
      <c r="X802" s="7"/>
      <c r="Y802" s="7"/>
      <c r="Z802" s="7"/>
      <c r="AA802" s="7"/>
      <c r="AC802" s="70" t="str">
        <f t="shared" si="25"/>
        <v/>
      </c>
      <c r="AD802" s="75" t="str">
        <f t="shared" si="26"/>
        <v/>
      </c>
      <c r="AH802" t="s">
        <v>569</v>
      </c>
    </row>
    <row r="803" spans="1:34" outlineLevel="7">
      <c r="A803" s="3499" t="s">
        <v>1777</v>
      </c>
      <c r="B803" s="3499"/>
      <c r="C803" s="7"/>
      <c r="D803" s="7"/>
      <c r="E803" s="14">
        <v>550</v>
      </c>
      <c r="F803" s="7"/>
      <c r="G803" s="7"/>
      <c r="H803" s="8"/>
      <c r="I803" s="9"/>
      <c r="J803" s="7"/>
      <c r="K803" s="7"/>
      <c r="L803" s="7"/>
      <c r="M803" s="14">
        <v>550</v>
      </c>
      <c r="N803" s="14">
        <v>550</v>
      </c>
      <c r="O803" s="14">
        <v>550</v>
      </c>
      <c r="P803" s="7"/>
      <c r="Q803" s="7"/>
      <c r="R803" s="14">
        <v>550</v>
      </c>
      <c r="S803" s="7"/>
      <c r="T803" s="7"/>
      <c r="U803" s="7"/>
      <c r="V803" s="14">
        <v>550</v>
      </c>
      <c r="W803" s="14">
        <v>550</v>
      </c>
      <c r="X803" s="7"/>
      <c r="Y803" s="7"/>
      <c r="Z803" s="7"/>
      <c r="AA803" s="7"/>
      <c r="AC803" s="70">
        <f t="shared" si="25"/>
        <v>550</v>
      </c>
      <c r="AD803" s="75">
        <f t="shared" si="26"/>
        <v>1</v>
      </c>
    </row>
    <row r="804" spans="1:34" outlineLevel="6">
      <c r="A804" s="3501" t="s">
        <v>570</v>
      </c>
      <c r="B804" s="3501"/>
      <c r="C804" s="7"/>
      <c r="D804" s="7"/>
      <c r="E804" s="14">
        <v>550</v>
      </c>
      <c r="F804" s="7"/>
      <c r="G804" s="7"/>
      <c r="H804" s="8"/>
      <c r="I804" s="9"/>
      <c r="J804" s="7"/>
      <c r="K804" s="7"/>
      <c r="L804" s="7"/>
      <c r="M804" s="14">
        <v>550</v>
      </c>
      <c r="N804" s="14">
        <v>550</v>
      </c>
      <c r="O804" s="14">
        <v>550</v>
      </c>
      <c r="P804" s="7"/>
      <c r="Q804" s="7"/>
      <c r="R804" s="14">
        <v>550</v>
      </c>
      <c r="S804" s="7"/>
      <c r="T804" s="7"/>
      <c r="U804" s="7"/>
      <c r="V804" s="14">
        <v>550</v>
      </c>
      <c r="W804" s="14">
        <v>550</v>
      </c>
      <c r="X804" s="7"/>
      <c r="Y804" s="7"/>
      <c r="Z804" s="7"/>
      <c r="AA804" s="7"/>
      <c r="AC804" s="70" t="str">
        <f t="shared" si="25"/>
        <v/>
      </c>
      <c r="AD804" s="75" t="str">
        <f t="shared" si="26"/>
        <v/>
      </c>
    </row>
    <row r="805" spans="1:34" outlineLevel="7">
      <c r="A805" s="3500" t="s">
        <v>571</v>
      </c>
      <c r="B805" s="3500"/>
      <c r="C805" s="7"/>
      <c r="D805" s="7"/>
      <c r="E805" s="14">
        <v>550</v>
      </c>
      <c r="F805" s="7"/>
      <c r="G805" s="7"/>
      <c r="H805" s="8"/>
      <c r="I805" s="9"/>
      <c r="J805" s="7"/>
      <c r="K805" s="7"/>
      <c r="L805" s="7"/>
      <c r="M805" s="14">
        <v>550</v>
      </c>
      <c r="N805" s="14">
        <v>550</v>
      </c>
      <c r="O805" s="14">
        <v>550</v>
      </c>
      <c r="P805" s="7"/>
      <c r="Q805" s="7"/>
      <c r="R805" s="14">
        <v>550</v>
      </c>
      <c r="S805" s="7"/>
      <c r="T805" s="7"/>
      <c r="U805" s="7"/>
      <c r="V805" s="14">
        <v>550</v>
      </c>
      <c r="W805" s="14">
        <v>550</v>
      </c>
      <c r="X805" s="7"/>
      <c r="Y805" s="7"/>
      <c r="Z805" s="7"/>
      <c r="AA805" s="7"/>
      <c r="AC805" s="70" t="str">
        <f t="shared" si="25"/>
        <v/>
      </c>
      <c r="AD805" s="75" t="str">
        <f t="shared" si="26"/>
        <v/>
      </c>
      <c r="AH805" t="s">
        <v>571</v>
      </c>
    </row>
    <row r="806" spans="1:34" outlineLevel="7">
      <c r="A806" s="3499" t="s">
        <v>1778</v>
      </c>
      <c r="B806" s="3499"/>
      <c r="C806" s="7"/>
      <c r="D806" s="7"/>
      <c r="E806" s="14">
        <v>550</v>
      </c>
      <c r="F806" s="7"/>
      <c r="G806" s="7"/>
      <c r="H806" s="8"/>
      <c r="I806" s="9"/>
      <c r="J806" s="7"/>
      <c r="K806" s="7"/>
      <c r="L806" s="7"/>
      <c r="M806" s="14">
        <v>550</v>
      </c>
      <c r="N806" s="14">
        <v>550</v>
      </c>
      <c r="O806" s="14">
        <v>550</v>
      </c>
      <c r="P806" s="7"/>
      <c r="Q806" s="7"/>
      <c r="R806" s="14">
        <v>550</v>
      </c>
      <c r="S806" s="7"/>
      <c r="T806" s="7"/>
      <c r="U806" s="7"/>
      <c r="V806" s="14">
        <v>550</v>
      </c>
      <c r="W806" s="14">
        <v>550</v>
      </c>
      <c r="X806" s="7"/>
      <c r="Y806" s="7"/>
      <c r="Z806" s="7"/>
      <c r="AA806" s="7"/>
      <c r="AC806" s="70">
        <f t="shared" si="25"/>
        <v>550</v>
      </c>
      <c r="AD806" s="75">
        <f t="shared" si="26"/>
        <v>1</v>
      </c>
    </row>
    <row r="807" spans="1:34" outlineLevel="6">
      <c r="A807" s="3501" t="s">
        <v>572</v>
      </c>
      <c r="B807" s="3501"/>
      <c r="C807" s="7"/>
      <c r="D807" s="7"/>
      <c r="E807" s="14">
        <v>550</v>
      </c>
      <c r="F807" s="7"/>
      <c r="G807" s="7"/>
      <c r="H807" s="8"/>
      <c r="I807" s="9"/>
      <c r="J807" s="7"/>
      <c r="K807" s="7"/>
      <c r="L807" s="7"/>
      <c r="M807" s="14">
        <v>550</v>
      </c>
      <c r="N807" s="14">
        <v>550</v>
      </c>
      <c r="O807" s="14">
        <v>550</v>
      </c>
      <c r="P807" s="7"/>
      <c r="Q807" s="7"/>
      <c r="R807" s="14">
        <v>550</v>
      </c>
      <c r="S807" s="7"/>
      <c r="T807" s="7"/>
      <c r="U807" s="7"/>
      <c r="V807" s="14">
        <v>550</v>
      </c>
      <c r="W807" s="14">
        <v>550</v>
      </c>
      <c r="X807" s="7"/>
      <c r="Y807" s="7"/>
      <c r="Z807" s="7"/>
      <c r="AA807" s="7"/>
      <c r="AC807" s="70" t="str">
        <f t="shared" si="25"/>
        <v/>
      </c>
      <c r="AD807" s="75" t="str">
        <f t="shared" si="26"/>
        <v/>
      </c>
    </row>
    <row r="808" spans="1:34" outlineLevel="7">
      <c r="A808" s="3500" t="s">
        <v>573</v>
      </c>
      <c r="B808" s="3500"/>
      <c r="C808" s="7"/>
      <c r="D808" s="7"/>
      <c r="E808" s="14">
        <v>550</v>
      </c>
      <c r="F808" s="7"/>
      <c r="G808" s="7"/>
      <c r="H808" s="8"/>
      <c r="I808" s="9"/>
      <c r="J808" s="7"/>
      <c r="K808" s="7"/>
      <c r="L808" s="7"/>
      <c r="M808" s="14">
        <v>550</v>
      </c>
      <c r="N808" s="14">
        <v>550</v>
      </c>
      <c r="O808" s="14">
        <v>550</v>
      </c>
      <c r="P808" s="7"/>
      <c r="Q808" s="7"/>
      <c r="R808" s="14">
        <v>550</v>
      </c>
      <c r="S808" s="7"/>
      <c r="T808" s="7"/>
      <c r="U808" s="7"/>
      <c r="V808" s="14">
        <v>550</v>
      </c>
      <c r="W808" s="14">
        <v>550</v>
      </c>
      <c r="X808" s="7"/>
      <c r="Y808" s="7"/>
      <c r="Z808" s="7"/>
      <c r="AA808" s="7"/>
      <c r="AC808" s="70" t="str">
        <f t="shared" si="25"/>
        <v/>
      </c>
      <c r="AD808" s="75" t="str">
        <f t="shared" si="26"/>
        <v/>
      </c>
      <c r="AH808" t="s">
        <v>3478</v>
      </c>
    </row>
    <row r="809" spans="1:34" outlineLevel="7">
      <c r="A809" s="3499" t="s">
        <v>1779</v>
      </c>
      <c r="B809" s="3499"/>
      <c r="C809" s="7"/>
      <c r="D809" s="7"/>
      <c r="E809" s="14">
        <v>550</v>
      </c>
      <c r="F809" s="7"/>
      <c r="G809" s="7"/>
      <c r="H809" s="8"/>
      <c r="I809" s="9"/>
      <c r="J809" s="7"/>
      <c r="K809" s="7"/>
      <c r="L809" s="7"/>
      <c r="M809" s="14">
        <v>550</v>
      </c>
      <c r="N809" s="14">
        <v>550</v>
      </c>
      <c r="O809" s="14">
        <v>550</v>
      </c>
      <c r="P809" s="7"/>
      <c r="Q809" s="7"/>
      <c r="R809" s="14">
        <v>550</v>
      </c>
      <c r="S809" s="7"/>
      <c r="T809" s="7"/>
      <c r="U809" s="7"/>
      <c r="V809" s="14">
        <v>550</v>
      </c>
      <c r="W809" s="14">
        <v>550</v>
      </c>
      <c r="X809" s="7"/>
      <c r="Y809" s="7"/>
      <c r="Z809" s="7"/>
      <c r="AA809" s="7"/>
      <c r="AC809" s="70">
        <f t="shared" si="25"/>
        <v>550</v>
      </c>
      <c r="AD809" s="75">
        <f t="shared" si="26"/>
        <v>1</v>
      </c>
    </row>
    <row r="810" spans="1:34" outlineLevel="6">
      <c r="A810" s="3501" t="s">
        <v>574</v>
      </c>
      <c r="B810" s="3501"/>
      <c r="C810" s="7"/>
      <c r="D810" s="7"/>
      <c r="E810" s="14">
        <v>550</v>
      </c>
      <c r="F810" s="7"/>
      <c r="G810" s="7"/>
      <c r="H810" s="8"/>
      <c r="I810" s="9"/>
      <c r="J810" s="7"/>
      <c r="K810" s="7"/>
      <c r="L810" s="7"/>
      <c r="M810" s="14">
        <v>550</v>
      </c>
      <c r="N810" s="14">
        <v>550</v>
      </c>
      <c r="O810" s="14">
        <v>550</v>
      </c>
      <c r="P810" s="7"/>
      <c r="Q810" s="7"/>
      <c r="R810" s="14">
        <v>550</v>
      </c>
      <c r="S810" s="7"/>
      <c r="T810" s="7"/>
      <c r="U810" s="7"/>
      <c r="V810" s="14">
        <v>550</v>
      </c>
      <c r="W810" s="14">
        <v>550</v>
      </c>
      <c r="X810" s="7"/>
      <c r="Y810" s="7"/>
      <c r="Z810" s="7"/>
      <c r="AA810" s="7"/>
      <c r="AC810" s="70" t="str">
        <f t="shared" si="25"/>
        <v/>
      </c>
      <c r="AD810" s="75" t="str">
        <f t="shared" si="26"/>
        <v/>
      </c>
    </row>
    <row r="811" spans="1:34" outlineLevel="7">
      <c r="A811" s="3500" t="s">
        <v>575</v>
      </c>
      <c r="B811" s="3500"/>
      <c r="C811" s="7"/>
      <c r="D811" s="7"/>
      <c r="E811" s="14">
        <v>550</v>
      </c>
      <c r="F811" s="7"/>
      <c r="G811" s="7"/>
      <c r="H811" s="8"/>
      <c r="I811" s="9"/>
      <c r="J811" s="7"/>
      <c r="K811" s="7"/>
      <c r="L811" s="7"/>
      <c r="M811" s="14">
        <v>550</v>
      </c>
      <c r="N811" s="14">
        <v>550</v>
      </c>
      <c r="O811" s="14">
        <v>550</v>
      </c>
      <c r="P811" s="7"/>
      <c r="Q811" s="7"/>
      <c r="R811" s="14">
        <v>550</v>
      </c>
      <c r="S811" s="7"/>
      <c r="T811" s="7"/>
      <c r="U811" s="7"/>
      <c r="V811" s="14">
        <v>550</v>
      </c>
      <c r="W811" s="14">
        <v>550</v>
      </c>
      <c r="X811" s="7"/>
      <c r="Y811" s="7"/>
      <c r="Z811" s="7"/>
      <c r="AA811" s="7"/>
      <c r="AC811" s="70" t="str">
        <f t="shared" si="25"/>
        <v/>
      </c>
      <c r="AD811" s="75" t="str">
        <f t="shared" si="26"/>
        <v/>
      </c>
      <c r="AH811" t="s">
        <v>3384</v>
      </c>
    </row>
    <row r="812" spans="1:34" outlineLevel="7">
      <c r="A812" s="3499" t="s">
        <v>1780</v>
      </c>
      <c r="B812" s="3499"/>
      <c r="C812" s="7"/>
      <c r="D812" s="7"/>
      <c r="E812" s="14">
        <v>550</v>
      </c>
      <c r="F812" s="7"/>
      <c r="G812" s="7"/>
      <c r="H812" s="8"/>
      <c r="I812" s="9"/>
      <c r="J812" s="7"/>
      <c r="K812" s="7"/>
      <c r="L812" s="7"/>
      <c r="M812" s="14">
        <v>550</v>
      </c>
      <c r="N812" s="14">
        <v>550</v>
      </c>
      <c r="O812" s="14">
        <v>550</v>
      </c>
      <c r="P812" s="7"/>
      <c r="Q812" s="7"/>
      <c r="R812" s="14">
        <v>550</v>
      </c>
      <c r="S812" s="7"/>
      <c r="T812" s="7"/>
      <c r="U812" s="7"/>
      <c r="V812" s="14">
        <v>550</v>
      </c>
      <c r="W812" s="14">
        <v>550</v>
      </c>
      <c r="X812" s="7"/>
      <c r="Y812" s="7"/>
      <c r="Z812" s="7"/>
      <c r="AA812" s="7"/>
      <c r="AC812" s="70">
        <f t="shared" si="25"/>
        <v>550</v>
      </c>
      <c r="AD812" s="75">
        <f t="shared" si="26"/>
        <v>1</v>
      </c>
    </row>
    <row r="813" spans="1:34" outlineLevel="6">
      <c r="A813" s="3501" t="s">
        <v>576</v>
      </c>
      <c r="B813" s="3501"/>
      <c r="C813" s="7"/>
      <c r="D813" s="7"/>
      <c r="E813" s="14">
        <v>550</v>
      </c>
      <c r="F813" s="7"/>
      <c r="G813" s="7"/>
      <c r="H813" s="8"/>
      <c r="I813" s="9"/>
      <c r="J813" s="7"/>
      <c r="K813" s="7"/>
      <c r="L813" s="7"/>
      <c r="M813" s="14">
        <v>550</v>
      </c>
      <c r="N813" s="14">
        <v>550</v>
      </c>
      <c r="O813" s="14">
        <v>550</v>
      </c>
      <c r="P813" s="7"/>
      <c r="Q813" s="7"/>
      <c r="R813" s="14">
        <v>550</v>
      </c>
      <c r="S813" s="7"/>
      <c r="T813" s="7"/>
      <c r="U813" s="7"/>
      <c r="V813" s="14">
        <v>550</v>
      </c>
      <c r="W813" s="14">
        <v>550</v>
      </c>
      <c r="X813" s="7"/>
      <c r="Y813" s="7"/>
      <c r="Z813" s="7"/>
      <c r="AA813" s="7"/>
      <c r="AC813" s="70" t="str">
        <f t="shared" si="25"/>
        <v/>
      </c>
      <c r="AD813" s="75" t="str">
        <f t="shared" si="26"/>
        <v/>
      </c>
    </row>
    <row r="814" spans="1:34" outlineLevel="7">
      <c r="A814" s="3500" t="s">
        <v>577</v>
      </c>
      <c r="B814" s="3500"/>
      <c r="C814" s="7"/>
      <c r="D814" s="7"/>
      <c r="E814" s="14">
        <v>550</v>
      </c>
      <c r="F814" s="7"/>
      <c r="G814" s="7"/>
      <c r="H814" s="8"/>
      <c r="I814" s="9"/>
      <c r="J814" s="7"/>
      <c r="K814" s="7"/>
      <c r="L814" s="7"/>
      <c r="M814" s="14">
        <v>550</v>
      </c>
      <c r="N814" s="14">
        <v>550</v>
      </c>
      <c r="O814" s="14">
        <v>550</v>
      </c>
      <c r="P814" s="7"/>
      <c r="Q814" s="7"/>
      <c r="R814" s="14">
        <v>550</v>
      </c>
      <c r="S814" s="7"/>
      <c r="T814" s="7"/>
      <c r="U814" s="7"/>
      <c r="V814" s="14">
        <v>550</v>
      </c>
      <c r="W814" s="14">
        <v>550</v>
      </c>
      <c r="X814" s="7"/>
      <c r="Y814" s="7"/>
      <c r="Z814" s="7"/>
      <c r="AA814" s="7"/>
      <c r="AC814" s="70" t="str">
        <f t="shared" si="25"/>
        <v/>
      </c>
      <c r="AD814" s="75" t="str">
        <f t="shared" si="26"/>
        <v/>
      </c>
      <c r="AH814" t="s">
        <v>3392</v>
      </c>
    </row>
    <row r="815" spans="1:34" outlineLevel="7">
      <c r="A815" s="3499" t="s">
        <v>1781</v>
      </c>
      <c r="B815" s="3499"/>
      <c r="C815" s="7"/>
      <c r="D815" s="7"/>
      <c r="E815" s="14">
        <v>550</v>
      </c>
      <c r="F815" s="7"/>
      <c r="G815" s="7"/>
      <c r="H815" s="8"/>
      <c r="I815" s="9"/>
      <c r="J815" s="7"/>
      <c r="K815" s="7"/>
      <c r="L815" s="7"/>
      <c r="M815" s="14">
        <v>550</v>
      </c>
      <c r="N815" s="14">
        <v>550</v>
      </c>
      <c r="O815" s="14">
        <v>550</v>
      </c>
      <c r="P815" s="7"/>
      <c r="Q815" s="7"/>
      <c r="R815" s="14">
        <v>550</v>
      </c>
      <c r="S815" s="7"/>
      <c r="T815" s="7"/>
      <c r="U815" s="7"/>
      <c r="V815" s="14">
        <v>550</v>
      </c>
      <c r="W815" s="14">
        <v>550</v>
      </c>
      <c r="X815" s="7"/>
      <c r="Y815" s="7"/>
      <c r="Z815" s="7"/>
      <c r="AA815" s="7"/>
      <c r="AC815" s="70">
        <f t="shared" si="25"/>
        <v>550</v>
      </c>
      <c r="AD815" s="75">
        <f t="shared" si="26"/>
        <v>1</v>
      </c>
    </row>
    <row r="816" spans="1:34" outlineLevel="6">
      <c r="A816" s="3501" t="s">
        <v>578</v>
      </c>
      <c r="B816" s="3501"/>
      <c r="C816" s="7"/>
      <c r="D816" s="7"/>
      <c r="E816" s="14">
        <v>550</v>
      </c>
      <c r="F816" s="7"/>
      <c r="G816" s="7"/>
      <c r="H816" s="8"/>
      <c r="I816" s="9"/>
      <c r="J816" s="7"/>
      <c r="K816" s="7"/>
      <c r="L816" s="7"/>
      <c r="M816" s="14">
        <v>550</v>
      </c>
      <c r="N816" s="14">
        <v>550</v>
      </c>
      <c r="O816" s="14">
        <v>550</v>
      </c>
      <c r="P816" s="7"/>
      <c r="Q816" s="7"/>
      <c r="R816" s="14">
        <v>550</v>
      </c>
      <c r="S816" s="7"/>
      <c r="T816" s="7"/>
      <c r="U816" s="7"/>
      <c r="V816" s="14">
        <v>550</v>
      </c>
      <c r="W816" s="14">
        <v>550</v>
      </c>
      <c r="X816" s="7"/>
      <c r="Y816" s="7"/>
      <c r="Z816" s="7"/>
      <c r="AA816" s="7"/>
      <c r="AC816" s="70" t="str">
        <f t="shared" si="25"/>
        <v/>
      </c>
      <c r="AD816" s="75" t="str">
        <f t="shared" si="26"/>
        <v/>
      </c>
    </row>
    <row r="817" spans="1:36" outlineLevel="7">
      <c r="A817" s="3500" t="s">
        <v>579</v>
      </c>
      <c r="B817" s="3500"/>
      <c r="C817" s="7"/>
      <c r="D817" s="7"/>
      <c r="E817" s="14">
        <v>550</v>
      </c>
      <c r="F817" s="7"/>
      <c r="G817" s="7"/>
      <c r="H817" s="8"/>
      <c r="I817" s="9"/>
      <c r="J817" s="7"/>
      <c r="K817" s="7"/>
      <c r="L817" s="7"/>
      <c r="M817" s="14">
        <v>550</v>
      </c>
      <c r="N817" s="14">
        <v>550</v>
      </c>
      <c r="O817" s="14">
        <v>550</v>
      </c>
      <c r="P817" s="7"/>
      <c r="Q817" s="7"/>
      <c r="R817" s="14">
        <v>550</v>
      </c>
      <c r="S817" s="7"/>
      <c r="T817" s="7"/>
      <c r="U817" s="7"/>
      <c r="V817" s="14">
        <v>550</v>
      </c>
      <c r="W817" s="14">
        <v>550</v>
      </c>
      <c r="X817" s="7"/>
      <c r="Y817" s="7"/>
      <c r="Z817" s="7"/>
      <c r="AA817" s="7"/>
      <c r="AC817" s="70" t="str">
        <f t="shared" si="25"/>
        <v/>
      </c>
      <c r="AD817" s="75" t="str">
        <f t="shared" si="26"/>
        <v/>
      </c>
      <c r="AH817" t="s">
        <v>2693</v>
      </c>
    </row>
    <row r="818" spans="1:36" outlineLevel="7">
      <c r="A818" s="3499" t="s">
        <v>1782</v>
      </c>
      <c r="B818" s="3499"/>
      <c r="C818" s="7"/>
      <c r="D818" s="7"/>
      <c r="E818" s="14">
        <v>550</v>
      </c>
      <c r="F818" s="7"/>
      <c r="G818" s="7"/>
      <c r="H818" s="8"/>
      <c r="I818" s="9"/>
      <c r="J818" s="7"/>
      <c r="K818" s="7"/>
      <c r="L818" s="7"/>
      <c r="M818" s="14">
        <v>550</v>
      </c>
      <c r="N818" s="14">
        <v>550</v>
      </c>
      <c r="O818" s="14">
        <v>550</v>
      </c>
      <c r="P818" s="7"/>
      <c r="Q818" s="7"/>
      <c r="R818" s="14">
        <v>550</v>
      </c>
      <c r="S818" s="7"/>
      <c r="T818" s="7"/>
      <c r="U818" s="7"/>
      <c r="V818" s="14">
        <v>550</v>
      </c>
      <c r="W818" s="14">
        <v>550</v>
      </c>
      <c r="X818" s="7"/>
      <c r="Y818" s="7"/>
      <c r="Z818" s="7"/>
      <c r="AA818" s="7"/>
      <c r="AC818" s="70">
        <f t="shared" si="25"/>
        <v>550</v>
      </c>
      <c r="AD818" s="75">
        <f t="shared" si="26"/>
        <v>1</v>
      </c>
    </row>
    <row r="819" spans="1:36" outlineLevel="6">
      <c r="A819" s="3501" t="s">
        <v>580</v>
      </c>
      <c r="B819" s="3501"/>
      <c r="C819" s="7"/>
      <c r="D819" s="7"/>
      <c r="E819" s="14">
        <v>550</v>
      </c>
      <c r="F819" s="7"/>
      <c r="G819" s="7"/>
      <c r="H819" s="8"/>
      <c r="I819" s="9"/>
      <c r="J819" s="7"/>
      <c r="K819" s="7"/>
      <c r="L819" s="7"/>
      <c r="M819" s="14">
        <v>550</v>
      </c>
      <c r="N819" s="14">
        <v>550</v>
      </c>
      <c r="O819" s="14">
        <v>550</v>
      </c>
      <c r="P819" s="7"/>
      <c r="Q819" s="7"/>
      <c r="R819" s="14">
        <v>550</v>
      </c>
      <c r="S819" s="7"/>
      <c r="T819" s="7"/>
      <c r="U819" s="7"/>
      <c r="V819" s="14">
        <v>550</v>
      </c>
      <c r="W819" s="14">
        <v>550</v>
      </c>
      <c r="X819" s="7"/>
      <c r="Y819" s="7"/>
      <c r="Z819" s="7"/>
      <c r="AA819" s="7"/>
      <c r="AC819" s="70" t="str">
        <f t="shared" si="25"/>
        <v/>
      </c>
      <c r="AD819" s="75" t="str">
        <f t="shared" si="26"/>
        <v/>
      </c>
    </row>
    <row r="820" spans="1:36" outlineLevel="7">
      <c r="A820" s="3500" t="s">
        <v>581</v>
      </c>
      <c r="B820" s="3500"/>
      <c r="C820" s="7"/>
      <c r="D820" s="7"/>
      <c r="E820" s="14">
        <v>550</v>
      </c>
      <c r="F820" s="7"/>
      <c r="G820" s="7"/>
      <c r="H820" s="8"/>
      <c r="I820" s="9"/>
      <c r="J820" s="7"/>
      <c r="K820" s="7"/>
      <c r="L820" s="7"/>
      <c r="M820" s="14">
        <v>550</v>
      </c>
      <c r="N820" s="14">
        <v>550</v>
      </c>
      <c r="O820" s="14">
        <v>550</v>
      </c>
      <c r="P820" s="7"/>
      <c r="Q820" s="7"/>
      <c r="R820" s="14">
        <v>550</v>
      </c>
      <c r="S820" s="7"/>
      <c r="T820" s="7"/>
      <c r="U820" s="7"/>
      <c r="V820" s="14">
        <v>550</v>
      </c>
      <c r="W820" s="14">
        <v>550</v>
      </c>
      <c r="X820" s="7"/>
      <c r="Y820" s="7"/>
      <c r="Z820" s="7"/>
      <c r="AA820" s="7"/>
      <c r="AC820" s="70" t="str">
        <f t="shared" si="25"/>
        <v/>
      </c>
      <c r="AD820" s="75" t="str">
        <f t="shared" si="26"/>
        <v/>
      </c>
      <c r="AH820" t="s">
        <v>3493</v>
      </c>
    </row>
    <row r="821" spans="1:36" outlineLevel="7">
      <c r="A821" s="3499" t="s">
        <v>1783</v>
      </c>
      <c r="B821" s="3499"/>
      <c r="C821" s="7"/>
      <c r="D821" s="7"/>
      <c r="E821" s="14">
        <v>550</v>
      </c>
      <c r="F821" s="7"/>
      <c r="G821" s="7"/>
      <c r="H821" s="8"/>
      <c r="I821" s="9"/>
      <c r="J821" s="7"/>
      <c r="K821" s="7"/>
      <c r="L821" s="7"/>
      <c r="M821" s="14">
        <v>550</v>
      </c>
      <c r="N821" s="14">
        <v>550</v>
      </c>
      <c r="O821" s="14">
        <v>550</v>
      </c>
      <c r="P821" s="7"/>
      <c r="Q821" s="7"/>
      <c r="R821" s="14">
        <v>550</v>
      </c>
      <c r="S821" s="7"/>
      <c r="T821" s="7"/>
      <c r="U821" s="7"/>
      <c r="V821" s="14">
        <v>550</v>
      </c>
      <c r="W821" s="14">
        <v>550</v>
      </c>
      <c r="X821" s="7"/>
      <c r="Y821" s="7"/>
      <c r="Z821" s="7"/>
      <c r="AA821" s="7"/>
      <c r="AC821" s="70">
        <f t="shared" si="25"/>
        <v>550</v>
      </c>
      <c r="AD821" s="75">
        <f t="shared" si="26"/>
        <v>1</v>
      </c>
    </row>
    <row r="822" spans="1:36" outlineLevel="6">
      <c r="A822" s="3501" t="s">
        <v>582</v>
      </c>
      <c r="B822" s="3501"/>
      <c r="C822" s="7"/>
      <c r="D822" s="7"/>
      <c r="E822" s="14">
        <v>550</v>
      </c>
      <c r="F822" s="7"/>
      <c r="G822" s="7"/>
      <c r="H822" s="8"/>
      <c r="I822" s="9"/>
      <c r="J822" s="7"/>
      <c r="K822" s="7"/>
      <c r="L822" s="7"/>
      <c r="M822" s="14">
        <v>550</v>
      </c>
      <c r="N822" s="14">
        <v>550</v>
      </c>
      <c r="O822" s="14">
        <v>550</v>
      </c>
      <c r="P822" s="7"/>
      <c r="Q822" s="7"/>
      <c r="R822" s="14">
        <v>550</v>
      </c>
      <c r="S822" s="7"/>
      <c r="T822" s="7"/>
      <c r="U822" s="7"/>
      <c r="V822" s="14">
        <v>550</v>
      </c>
      <c r="W822" s="14">
        <v>550</v>
      </c>
      <c r="X822" s="7"/>
      <c r="Y822" s="7"/>
      <c r="Z822" s="7"/>
      <c r="AA822" s="7"/>
      <c r="AC822" s="70" t="str">
        <f t="shared" si="25"/>
        <v/>
      </c>
      <c r="AD822" s="75" t="str">
        <f t="shared" si="26"/>
        <v/>
      </c>
    </row>
    <row r="823" spans="1:36" outlineLevel="7">
      <c r="A823" s="3500" t="s">
        <v>583</v>
      </c>
      <c r="B823" s="3500"/>
      <c r="C823" s="7"/>
      <c r="D823" s="7"/>
      <c r="E823" s="14">
        <v>550</v>
      </c>
      <c r="F823" s="7"/>
      <c r="G823" s="7"/>
      <c r="H823" s="8"/>
      <c r="I823" s="9"/>
      <c r="J823" s="7"/>
      <c r="K823" s="7"/>
      <c r="L823" s="7"/>
      <c r="M823" s="14">
        <v>550</v>
      </c>
      <c r="N823" s="14">
        <v>550</v>
      </c>
      <c r="O823" s="14">
        <v>550</v>
      </c>
      <c r="P823" s="7"/>
      <c r="Q823" s="7"/>
      <c r="R823" s="14">
        <v>550</v>
      </c>
      <c r="S823" s="7"/>
      <c r="T823" s="7"/>
      <c r="U823" s="7"/>
      <c r="V823" s="14">
        <v>550</v>
      </c>
      <c r="W823" s="14">
        <v>550</v>
      </c>
      <c r="X823" s="7"/>
      <c r="Y823" s="7"/>
      <c r="Z823" s="7"/>
      <c r="AA823" s="7"/>
      <c r="AC823" s="70" t="str">
        <f t="shared" si="25"/>
        <v/>
      </c>
      <c r="AD823" s="75" t="str">
        <f t="shared" si="26"/>
        <v/>
      </c>
      <c r="AH823" t="s">
        <v>3531</v>
      </c>
    </row>
    <row r="824" spans="1:36" outlineLevel="7">
      <c r="A824" s="3499" t="s">
        <v>1784</v>
      </c>
      <c r="B824" s="3499"/>
      <c r="C824" s="7"/>
      <c r="D824" s="7"/>
      <c r="E824" s="14">
        <v>550</v>
      </c>
      <c r="F824" s="7"/>
      <c r="G824" s="7"/>
      <c r="H824" s="8"/>
      <c r="I824" s="9"/>
      <c r="J824" s="7"/>
      <c r="K824" s="7"/>
      <c r="L824" s="7"/>
      <c r="M824" s="14">
        <v>550</v>
      </c>
      <c r="N824" s="14">
        <v>550</v>
      </c>
      <c r="O824" s="14">
        <v>550</v>
      </c>
      <c r="P824" s="7"/>
      <c r="Q824" s="7"/>
      <c r="R824" s="14">
        <v>550</v>
      </c>
      <c r="S824" s="7"/>
      <c r="T824" s="7"/>
      <c r="U824" s="7"/>
      <c r="V824" s="14">
        <v>550</v>
      </c>
      <c r="W824" s="14">
        <v>550</v>
      </c>
      <c r="X824" s="7"/>
      <c r="Y824" s="7"/>
      <c r="Z824" s="7"/>
      <c r="AA824" s="7"/>
      <c r="AC824" s="70">
        <f t="shared" si="25"/>
        <v>550</v>
      </c>
      <c r="AD824" s="75">
        <f t="shared" si="26"/>
        <v>1</v>
      </c>
    </row>
    <row r="825" spans="1:36" outlineLevel="6">
      <c r="A825" s="3501" t="s">
        <v>584</v>
      </c>
      <c r="B825" s="3501"/>
      <c r="C825" s="7"/>
      <c r="D825" s="7"/>
      <c r="E825" s="13">
        <v>18537.48</v>
      </c>
      <c r="F825" s="7"/>
      <c r="G825" s="7"/>
      <c r="H825" s="8"/>
      <c r="I825" s="9"/>
      <c r="J825" s="7"/>
      <c r="K825" s="7"/>
      <c r="L825" s="7"/>
      <c r="M825" s="13">
        <v>18537.48</v>
      </c>
      <c r="N825" s="13">
        <v>18537.48</v>
      </c>
      <c r="O825" s="13">
        <v>18537.48</v>
      </c>
      <c r="P825" s="7"/>
      <c r="Q825" s="7"/>
      <c r="R825" s="13">
        <v>18537.48</v>
      </c>
      <c r="S825" s="7"/>
      <c r="T825" s="7"/>
      <c r="U825" s="7"/>
      <c r="V825" s="13">
        <v>18537.48</v>
      </c>
      <c r="W825" s="13">
        <v>18537.48</v>
      </c>
      <c r="X825" s="7"/>
      <c r="Y825" s="7"/>
      <c r="Z825" s="7"/>
      <c r="AA825" s="7"/>
      <c r="AC825" s="70" t="str">
        <f t="shared" si="25"/>
        <v/>
      </c>
      <c r="AD825" s="75" t="str">
        <f t="shared" si="26"/>
        <v/>
      </c>
    </row>
    <row r="826" spans="1:36" outlineLevel="7">
      <c r="A826" s="3500" t="s">
        <v>585</v>
      </c>
      <c r="B826" s="3500"/>
      <c r="C826" s="7"/>
      <c r="D826" s="7"/>
      <c r="E826" s="14">
        <v>550</v>
      </c>
      <c r="F826" s="7"/>
      <c r="G826" s="7"/>
      <c r="H826" s="8"/>
      <c r="I826" s="9"/>
      <c r="J826" s="7"/>
      <c r="K826" s="7"/>
      <c r="L826" s="7"/>
      <c r="M826" s="14">
        <v>550</v>
      </c>
      <c r="N826" s="14">
        <v>550</v>
      </c>
      <c r="O826" s="14">
        <v>550</v>
      </c>
      <c r="P826" s="7"/>
      <c r="Q826" s="7"/>
      <c r="R826" s="14">
        <v>550</v>
      </c>
      <c r="S826" s="7"/>
      <c r="T826" s="7"/>
      <c r="U826" s="7"/>
      <c r="V826" s="14">
        <v>550</v>
      </c>
      <c r="W826" s="14">
        <v>550</v>
      </c>
      <c r="X826" s="7"/>
      <c r="Y826" s="7"/>
      <c r="Z826" s="7"/>
      <c r="AA826" s="7"/>
      <c r="AC826" s="70" t="str">
        <f t="shared" si="25"/>
        <v/>
      </c>
      <c r="AD826" s="75" t="str">
        <f t="shared" si="26"/>
        <v/>
      </c>
      <c r="AH826" t="s">
        <v>3519</v>
      </c>
    </row>
    <row r="827" spans="1:36" outlineLevel="7">
      <c r="A827" s="3499" t="s">
        <v>1785</v>
      </c>
      <c r="B827" s="3499"/>
      <c r="C827" s="7"/>
      <c r="D827" s="7"/>
      <c r="E827" s="14">
        <v>550</v>
      </c>
      <c r="F827" s="7"/>
      <c r="G827" s="7"/>
      <c r="H827" s="8"/>
      <c r="I827" s="9"/>
      <c r="J827" s="7"/>
      <c r="K827" s="7"/>
      <c r="L827" s="7"/>
      <c r="M827" s="14">
        <v>550</v>
      </c>
      <c r="N827" s="14">
        <v>550</v>
      </c>
      <c r="O827" s="14">
        <v>550</v>
      </c>
      <c r="P827" s="7"/>
      <c r="Q827" s="7"/>
      <c r="R827" s="14">
        <v>550</v>
      </c>
      <c r="S827" s="7"/>
      <c r="T827" s="7"/>
      <c r="U827" s="7"/>
      <c r="V827" s="14">
        <v>550</v>
      </c>
      <c r="W827" s="14">
        <v>550</v>
      </c>
      <c r="X827" s="7"/>
      <c r="Y827" s="7"/>
      <c r="Z827" s="7"/>
      <c r="AA827" s="7"/>
      <c r="AC827" s="70">
        <f t="shared" si="25"/>
        <v>550</v>
      </c>
      <c r="AD827" s="75">
        <f t="shared" si="26"/>
        <v>1</v>
      </c>
    </row>
    <row r="828" spans="1:36" outlineLevel="7">
      <c r="A828" s="3500" t="s">
        <v>586</v>
      </c>
      <c r="B828" s="3500"/>
      <c r="C828" s="7"/>
      <c r="D828" s="7"/>
      <c r="E828" s="13">
        <v>4496.8599999999997</v>
      </c>
      <c r="F828" s="7"/>
      <c r="G828" s="7"/>
      <c r="H828" s="8"/>
      <c r="I828" s="9"/>
      <c r="J828" s="7"/>
      <c r="K828" s="7"/>
      <c r="L828" s="7"/>
      <c r="M828" s="13">
        <v>4496.8599999999997</v>
      </c>
      <c r="N828" s="13">
        <v>4496.8599999999997</v>
      </c>
      <c r="O828" s="13">
        <v>4496.8599999999997</v>
      </c>
      <c r="P828" s="7"/>
      <c r="Q828" s="7"/>
      <c r="R828" s="13">
        <v>4496.8599999999997</v>
      </c>
      <c r="S828" s="7"/>
      <c r="T828" s="7"/>
      <c r="U828" s="7"/>
      <c r="V828" s="13">
        <v>4496.8599999999997</v>
      </c>
      <c r="W828" s="13">
        <v>4496.8599999999997</v>
      </c>
      <c r="X828" s="7"/>
      <c r="Y828" s="7"/>
      <c r="Z828" s="7"/>
      <c r="AA828" s="7"/>
      <c r="AC828" s="70" t="str">
        <f t="shared" si="25"/>
        <v/>
      </c>
      <c r="AD828" s="75" t="str">
        <f t="shared" si="26"/>
        <v/>
      </c>
      <c r="AH828" s="1" t="s">
        <v>3606</v>
      </c>
      <c r="AJ828" s="1"/>
    </row>
    <row r="829" spans="1:36" outlineLevel="7">
      <c r="A829" s="3499" t="s">
        <v>1786</v>
      </c>
      <c r="B829" s="3499"/>
      <c r="C829" s="7"/>
      <c r="D829" s="7"/>
      <c r="E829" s="13">
        <v>4496.8599999999997</v>
      </c>
      <c r="F829" s="7"/>
      <c r="G829" s="7"/>
      <c r="H829" s="8"/>
      <c r="I829" s="9"/>
      <c r="J829" s="7"/>
      <c r="K829" s="7"/>
      <c r="L829" s="7"/>
      <c r="M829" s="13">
        <v>4496.8599999999997</v>
      </c>
      <c r="N829" s="13">
        <v>4496.8599999999997</v>
      </c>
      <c r="O829" s="13">
        <v>4496.8599999999997</v>
      </c>
      <c r="P829" s="7"/>
      <c r="Q829" s="7"/>
      <c r="R829" s="13">
        <v>4496.8599999999997</v>
      </c>
      <c r="S829" s="7"/>
      <c r="T829" s="7"/>
      <c r="U829" s="7"/>
      <c r="V829" s="13">
        <v>4496.8599999999997</v>
      </c>
      <c r="W829" s="13">
        <v>4496.8599999999997</v>
      </c>
      <c r="X829" s="7"/>
      <c r="Y829" s="7"/>
      <c r="Z829" s="7"/>
      <c r="AA829" s="7"/>
      <c r="AC829" s="70">
        <f t="shared" si="25"/>
        <v>4496.8599999999997</v>
      </c>
      <c r="AD829" s="75" t="str">
        <f t="shared" si="26"/>
        <v/>
      </c>
      <c r="AG829">
        <f>AC829</f>
        <v>4496.8599999999997</v>
      </c>
    </row>
    <row r="830" spans="1:36" outlineLevel="7">
      <c r="A830" s="3500" t="s">
        <v>587</v>
      </c>
      <c r="B830" s="3500"/>
      <c r="C830" s="7"/>
      <c r="D830" s="7"/>
      <c r="E830" s="13">
        <v>4496.8599999999997</v>
      </c>
      <c r="F830" s="7"/>
      <c r="G830" s="7"/>
      <c r="H830" s="8"/>
      <c r="I830" s="9"/>
      <c r="J830" s="7"/>
      <c r="K830" s="7"/>
      <c r="L830" s="7"/>
      <c r="M830" s="13">
        <v>4496.8599999999997</v>
      </c>
      <c r="N830" s="13">
        <v>4496.8599999999997</v>
      </c>
      <c r="O830" s="13">
        <v>4496.8599999999997</v>
      </c>
      <c r="P830" s="7"/>
      <c r="Q830" s="7"/>
      <c r="R830" s="13">
        <v>4496.8599999999997</v>
      </c>
      <c r="S830" s="7"/>
      <c r="T830" s="7"/>
      <c r="U830" s="7"/>
      <c r="V830" s="13">
        <v>4496.8599999999997</v>
      </c>
      <c r="W830" s="13">
        <v>4496.8599999999997</v>
      </c>
      <c r="X830" s="7"/>
      <c r="Y830" s="7"/>
      <c r="Z830" s="7"/>
      <c r="AA830" s="7"/>
      <c r="AC830" s="70" t="str">
        <f t="shared" si="25"/>
        <v/>
      </c>
      <c r="AD830" s="75" t="str">
        <f t="shared" si="26"/>
        <v/>
      </c>
      <c r="AH830" s="1" t="s">
        <v>3600</v>
      </c>
      <c r="AJ830" s="1"/>
    </row>
    <row r="831" spans="1:36" outlineLevel="7">
      <c r="A831" s="3499" t="s">
        <v>1787</v>
      </c>
      <c r="B831" s="3499"/>
      <c r="C831" s="7"/>
      <c r="D831" s="7"/>
      <c r="E831" s="13">
        <v>4496.8599999999997</v>
      </c>
      <c r="F831" s="7"/>
      <c r="G831" s="7"/>
      <c r="H831" s="8"/>
      <c r="I831" s="9"/>
      <c r="J831" s="7"/>
      <c r="K831" s="7"/>
      <c r="L831" s="7"/>
      <c r="M831" s="13">
        <v>4496.8599999999997</v>
      </c>
      <c r="N831" s="13">
        <v>4496.8599999999997</v>
      </c>
      <c r="O831" s="13">
        <v>4496.8599999999997</v>
      </c>
      <c r="P831" s="7"/>
      <c r="Q831" s="7"/>
      <c r="R831" s="13">
        <v>4496.8599999999997</v>
      </c>
      <c r="S831" s="7"/>
      <c r="T831" s="7"/>
      <c r="U831" s="7"/>
      <c r="V831" s="13">
        <v>4496.8599999999997</v>
      </c>
      <c r="W831" s="13">
        <v>4496.8599999999997</v>
      </c>
      <c r="X831" s="7"/>
      <c r="Y831" s="7"/>
      <c r="Z831" s="7"/>
      <c r="AA831" s="7"/>
      <c r="AC831" s="70">
        <f t="shared" si="25"/>
        <v>4496.8599999999997</v>
      </c>
      <c r="AD831" s="75" t="str">
        <f t="shared" si="26"/>
        <v/>
      </c>
      <c r="AG831">
        <f>AC831</f>
        <v>4496.8599999999997</v>
      </c>
    </row>
    <row r="832" spans="1:36" outlineLevel="7">
      <c r="A832" s="3500" t="s">
        <v>588</v>
      </c>
      <c r="B832" s="3500"/>
      <c r="C832" s="7"/>
      <c r="D832" s="7"/>
      <c r="E832" s="13">
        <v>4496.88</v>
      </c>
      <c r="F832" s="7"/>
      <c r="G832" s="7"/>
      <c r="H832" s="8"/>
      <c r="I832" s="9"/>
      <c r="J832" s="7"/>
      <c r="K832" s="7"/>
      <c r="L832" s="7"/>
      <c r="M832" s="13">
        <v>4496.88</v>
      </c>
      <c r="N832" s="13">
        <v>4496.88</v>
      </c>
      <c r="O832" s="13">
        <v>4496.88</v>
      </c>
      <c r="P832" s="7"/>
      <c r="Q832" s="7"/>
      <c r="R832" s="13">
        <v>4496.88</v>
      </c>
      <c r="S832" s="7"/>
      <c r="T832" s="7"/>
      <c r="U832" s="7"/>
      <c r="V832" s="13">
        <v>4496.88</v>
      </c>
      <c r="W832" s="13">
        <v>4496.88</v>
      </c>
      <c r="X832" s="7"/>
      <c r="Y832" s="7"/>
      <c r="Z832" s="7"/>
      <c r="AA832" s="7"/>
      <c r="AC832" s="70" t="str">
        <f t="shared" si="25"/>
        <v/>
      </c>
      <c r="AD832" s="75" t="str">
        <f t="shared" si="26"/>
        <v/>
      </c>
      <c r="AH832" s="1" t="s">
        <v>3605</v>
      </c>
      <c r="AJ832" s="1"/>
    </row>
    <row r="833" spans="1:36" outlineLevel="7">
      <c r="A833" s="3499" t="s">
        <v>1788</v>
      </c>
      <c r="B833" s="3499"/>
      <c r="C833" s="7"/>
      <c r="D833" s="7"/>
      <c r="E833" s="13">
        <v>4496.88</v>
      </c>
      <c r="F833" s="7"/>
      <c r="G833" s="7"/>
      <c r="H833" s="8"/>
      <c r="I833" s="9"/>
      <c r="J833" s="7"/>
      <c r="K833" s="7"/>
      <c r="L833" s="7"/>
      <c r="M833" s="13">
        <v>4496.88</v>
      </c>
      <c r="N833" s="13">
        <v>4496.88</v>
      </c>
      <c r="O833" s="13">
        <v>4496.88</v>
      </c>
      <c r="P833" s="7"/>
      <c r="Q833" s="7"/>
      <c r="R833" s="13">
        <v>4496.88</v>
      </c>
      <c r="S833" s="7"/>
      <c r="T833" s="7"/>
      <c r="U833" s="7"/>
      <c r="V833" s="13">
        <v>4496.88</v>
      </c>
      <c r="W833" s="13">
        <v>4496.88</v>
      </c>
      <c r="X833" s="7"/>
      <c r="Y833" s="7"/>
      <c r="Z833" s="7"/>
      <c r="AA833" s="7"/>
      <c r="AC833" s="70">
        <f t="shared" si="25"/>
        <v>4496.88</v>
      </c>
      <c r="AD833" s="75" t="str">
        <f t="shared" si="26"/>
        <v/>
      </c>
      <c r="AG833">
        <f>AC833</f>
        <v>4496.88</v>
      </c>
    </row>
    <row r="834" spans="1:36" outlineLevel="7">
      <c r="A834" s="3500" t="s">
        <v>589</v>
      </c>
      <c r="B834" s="3500"/>
      <c r="C834" s="7"/>
      <c r="D834" s="7"/>
      <c r="E834" s="13">
        <v>4496.88</v>
      </c>
      <c r="F834" s="7"/>
      <c r="G834" s="7"/>
      <c r="H834" s="8"/>
      <c r="I834" s="9"/>
      <c r="J834" s="7"/>
      <c r="K834" s="7"/>
      <c r="L834" s="7"/>
      <c r="M834" s="13">
        <v>4496.88</v>
      </c>
      <c r="N834" s="13">
        <v>4496.88</v>
      </c>
      <c r="O834" s="13">
        <v>4496.88</v>
      </c>
      <c r="P834" s="7"/>
      <c r="Q834" s="7"/>
      <c r="R834" s="13">
        <v>4496.88</v>
      </c>
      <c r="S834" s="7"/>
      <c r="T834" s="7"/>
      <c r="U834" s="7"/>
      <c r="V834" s="13">
        <v>4496.88</v>
      </c>
      <c r="W834" s="13">
        <v>4496.88</v>
      </c>
      <c r="X834" s="7"/>
      <c r="Y834" s="7"/>
      <c r="Z834" s="7"/>
      <c r="AA834" s="7"/>
      <c r="AC834" s="70" t="str">
        <f t="shared" si="25"/>
        <v/>
      </c>
      <c r="AD834" s="75" t="str">
        <f t="shared" si="26"/>
        <v/>
      </c>
      <c r="AH834" s="1" t="s">
        <v>3611</v>
      </c>
      <c r="AJ834" s="1"/>
    </row>
    <row r="835" spans="1:36" outlineLevel="7">
      <c r="A835" s="3499" t="s">
        <v>1789</v>
      </c>
      <c r="B835" s="3499"/>
      <c r="C835" s="7"/>
      <c r="D835" s="7"/>
      <c r="E835" s="13">
        <v>4496.88</v>
      </c>
      <c r="F835" s="7"/>
      <c r="G835" s="7"/>
      <c r="H835" s="8"/>
      <c r="I835" s="9"/>
      <c r="J835" s="7"/>
      <c r="K835" s="7"/>
      <c r="L835" s="7"/>
      <c r="M835" s="13">
        <v>4496.88</v>
      </c>
      <c r="N835" s="13">
        <v>4496.88</v>
      </c>
      <c r="O835" s="13">
        <v>4496.88</v>
      </c>
      <c r="P835" s="7"/>
      <c r="Q835" s="7"/>
      <c r="R835" s="13">
        <v>4496.88</v>
      </c>
      <c r="S835" s="7"/>
      <c r="T835" s="7"/>
      <c r="U835" s="7"/>
      <c r="V835" s="13">
        <v>4496.88</v>
      </c>
      <c r="W835" s="13">
        <v>4496.88</v>
      </c>
      <c r="X835" s="7"/>
      <c r="Y835" s="7"/>
      <c r="Z835" s="7"/>
      <c r="AA835" s="7"/>
      <c r="AC835" s="70">
        <f t="shared" si="25"/>
        <v>4496.88</v>
      </c>
      <c r="AD835" s="75" t="str">
        <f t="shared" si="26"/>
        <v/>
      </c>
      <c r="AG835">
        <f>AC835</f>
        <v>4496.88</v>
      </c>
    </row>
    <row r="836" spans="1:36" outlineLevel="6">
      <c r="A836" s="3501" t="s">
        <v>590</v>
      </c>
      <c r="B836" s="3501"/>
      <c r="C836" s="7"/>
      <c r="D836" s="7"/>
      <c r="E836" s="14">
        <v>550</v>
      </c>
      <c r="F836" s="7"/>
      <c r="G836" s="7"/>
      <c r="H836" s="8"/>
      <c r="I836" s="9"/>
      <c r="J836" s="7"/>
      <c r="K836" s="7"/>
      <c r="L836" s="7"/>
      <c r="M836" s="14">
        <v>550</v>
      </c>
      <c r="N836" s="14">
        <v>550</v>
      </c>
      <c r="O836" s="14">
        <v>550</v>
      </c>
      <c r="P836" s="7"/>
      <c r="Q836" s="7"/>
      <c r="R836" s="14">
        <v>550</v>
      </c>
      <c r="S836" s="7"/>
      <c r="T836" s="7"/>
      <c r="U836" s="7"/>
      <c r="V836" s="14">
        <v>550</v>
      </c>
      <c r="W836" s="14">
        <v>550</v>
      </c>
      <c r="X836" s="7"/>
      <c r="Y836" s="7"/>
      <c r="Z836" s="7"/>
      <c r="AA836" s="7"/>
      <c r="AC836" s="70" t="str">
        <f t="shared" si="25"/>
        <v/>
      </c>
      <c r="AD836" s="75" t="str">
        <f t="shared" si="26"/>
        <v/>
      </c>
    </row>
    <row r="837" spans="1:36" outlineLevel="7">
      <c r="A837" s="3500" t="s">
        <v>591</v>
      </c>
      <c r="B837" s="3500"/>
      <c r="C837" s="7"/>
      <c r="D837" s="7"/>
      <c r="E837" s="14">
        <v>550</v>
      </c>
      <c r="F837" s="7"/>
      <c r="G837" s="7"/>
      <c r="H837" s="8"/>
      <c r="I837" s="9"/>
      <c r="J837" s="7"/>
      <c r="K837" s="7"/>
      <c r="L837" s="7"/>
      <c r="M837" s="14">
        <v>550</v>
      </c>
      <c r="N837" s="14">
        <v>550</v>
      </c>
      <c r="O837" s="14">
        <v>550</v>
      </c>
      <c r="P837" s="7"/>
      <c r="Q837" s="7"/>
      <c r="R837" s="14">
        <v>550</v>
      </c>
      <c r="S837" s="7"/>
      <c r="T837" s="7"/>
      <c r="U837" s="7"/>
      <c r="V837" s="14">
        <v>550</v>
      </c>
      <c r="W837" s="14">
        <v>550</v>
      </c>
      <c r="X837" s="7"/>
      <c r="Y837" s="7"/>
      <c r="Z837" s="7"/>
      <c r="AA837" s="7"/>
      <c r="AC837" s="70" t="str">
        <f t="shared" si="25"/>
        <v/>
      </c>
      <c r="AD837" s="75" t="str">
        <f t="shared" si="26"/>
        <v/>
      </c>
      <c r="AH837" t="s">
        <v>2741</v>
      </c>
    </row>
    <row r="838" spans="1:36" outlineLevel="7">
      <c r="A838" s="3499" t="s">
        <v>1790</v>
      </c>
      <c r="B838" s="3499"/>
      <c r="C838" s="7"/>
      <c r="D838" s="7"/>
      <c r="E838" s="14">
        <v>550</v>
      </c>
      <c r="F838" s="7"/>
      <c r="G838" s="7"/>
      <c r="H838" s="8"/>
      <c r="I838" s="9"/>
      <c r="J838" s="7"/>
      <c r="K838" s="7"/>
      <c r="L838" s="7"/>
      <c r="M838" s="14">
        <v>550</v>
      </c>
      <c r="N838" s="14">
        <v>550</v>
      </c>
      <c r="O838" s="14">
        <v>550</v>
      </c>
      <c r="P838" s="7"/>
      <c r="Q838" s="7"/>
      <c r="R838" s="14">
        <v>550</v>
      </c>
      <c r="S838" s="7"/>
      <c r="T838" s="7"/>
      <c r="U838" s="7"/>
      <c r="V838" s="14">
        <v>550</v>
      </c>
      <c r="W838" s="14">
        <v>550</v>
      </c>
      <c r="X838" s="7"/>
      <c r="Y838" s="7"/>
      <c r="Z838" s="7"/>
      <c r="AA838" s="7"/>
      <c r="AC838" s="70">
        <f t="shared" si="25"/>
        <v>550</v>
      </c>
      <c r="AD838" s="75">
        <f t="shared" si="26"/>
        <v>1</v>
      </c>
    </row>
    <row r="839" spans="1:36" outlineLevel="6">
      <c r="A839" s="3501" t="s">
        <v>592</v>
      </c>
      <c r="B839" s="3501"/>
      <c r="C839" s="7"/>
      <c r="D839" s="7"/>
      <c r="E839" s="14">
        <v>550</v>
      </c>
      <c r="F839" s="7"/>
      <c r="G839" s="7"/>
      <c r="H839" s="8"/>
      <c r="I839" s="9"/>
      <c r="J839" s="7"/>
      <c r="K839" s="7"/>
      <c r="L839" s="7"/>
      <c r="M839" s="14">
        <v>550</v>
      </c>
      <c r="N839" s="14">
        <v>550</v>
      </c>
      <c r="O839" s="14">
        <v>550</v>
      </c>
      <c r="P839" s="7"/>
      <c r="Q839" s="7"/>
      <c r="R839" s="14">
        <v>550</v>
      </c>
      <c r="S839" s="7"/>
      <c r="T839" s="7"/>
      <c r="U839" s="7"/>
      <c r="V839" s="14">
        <v>550</v>
      </c>
      <c r="W839" s="14">
        <v>550</v>
      </c>
      <c r="X839" s="7"/>
      <c r="Y839" s="7"/>
      <c r="Z839" s="7"/>
      <c r="AA839" s="7"/>
      <c r="AC839" s="70" t="str">
        <f t="shared" si="25"/>
        <v/>
      </c>
      <c r="AD839" s="75" t="str">
        <f t="shared" si="26"/>
        <v/>
      </c>
    </row>
    <row r="840" spans="1:36" outlineLevel="7">
      <c r="A840" s="3500" t="s">
        <v>593</v>
      </c>
      <c r="B840" s="3500"/>
      <c r="C840" s="7"/>
      <c r="D840" s="7"/>
      <c r="E840" s="14">
        <v>550</v>
      </c>
      <c r="F840" s="7"/>
      <c r="G840" s="7"/>
      <c r="H840" s="8"/>
      <c r="I840" s="9"/>
      <c r="J840" s="7"/>
      <c r="K840" s="7"/>
      <c r="L840" s="7"/>
      <c r="M840" s="14">
        <v>550</v>
      </c>
      <c r="N840" s="14">
        <v>550</v>
      </c>
      <c r="O840" s="14">
        <v>550</v>
      </c>
      <c r="P840" s="7"/>
      <c r="Q840" s="7"/>
      <c r="R840" s="14">
        <v>550</v>
      </c>
      <c r="S840" s="7"/>
      <c r="T840" s="7"/>
      <c r="U840" s="7"/>
      <c r="V840" s="14">
        <v>550</v>
      </c>
      <c r="W840" s="14">
        <v>550</v>
      </c>
      <c r="X840" s="7"/>
      <c r="Y840" s="7"/>
      <c r="Z840" s="7"/>
      <c r="AA840" s="7"/>
      <c r="AC840" s="70" t="str">
        <f t="shared" si="25"/>
        <v/>
      </c>
      <c r="AD840" s="75" t="str">
        <f t="shared" si="26"/>
        <v/>
      </c>
      <c r="AH840" t="s">
        <v>3427</v>
      </c>
    </row>
    <row r="841" spans="1:36" outlineLevel="7">
      <c r="A841" s="3499" t="s">
        <v>1791</v>
      </c>
      <c r="B841" s="3499"/>
      <c r="C841" s="7"/>
      <c r="D841" s="7"/>
      <c r="E841" s="14">
        <v>550</v>
      </c>
      <c r="F841" s="7"/>
      <c r="G841" s="7"/>
      <c r="H841" s="8"/>
      <c r="I841" s="9"/>
      <c r="J841" s="7"/>
      <c r="K841" s="7"/>
      <c r="L841" s="7"/>
      <c r="M841" s="14">
        <v>550</v>
      </c>
      <c r="N841" s="14">
        <v>550</v>
      </c>
      <c r="O841" s="14">
        <v>550</v>
      </c>
      <c r="P841" s="7"/>
      <c r="Q841" s="7"/>
      <c r="R841" s="14">
        <v>550</v>
      </c>
      <c r="S841" s="7"/>
      <c r="T841" s="7"/>
      <c r="U841" s="7"/>
      <c r="V841" s="14">
        <v>550</v>
      </c>
      <c r="W841" s="14">
        <v>550</v>
      </c>
      <c r="X841" s="7"/>
      <c r="Y841" s="7"/>
      <c r="Z841" s="7"/>
      <c r="AA841" s="7"/>
      <c r="AC841" s="70">
        <f t="shared" si="25"/>
        <v>550</v>
      </c>
      <c r="AD841" s="75">
        <f t="shared" si="26"/>
        <v>1</v>
      </c>
    </row>
    <row r="842" spans="1:36" outlineLevel="6">
      <c r="A842" s="3501" t="s">
        <v>594</v>
      </c>
      <c r="B842" s="3501"/>
      <c r="C842" s="7"/>
      <c r="D842" s="7"/>
      <c r="E842" s="14">
        <v>550</v>
      </c>
      <c r="F842" s="7"/>
      <c r="G842" s="7"/>
      <c r="H842" s="8"/>
      <c r="I842" s="9"/>
      <c r="J842" s="7"/>
      <c r="K842" s="7"/>
      <c r="L842" s="7"/>
      <c r="M842" s="14">
        <v>550</v>
      </c>
      <c r="N842" s="14">
        <v>550</v>
      </c>
      <c r="O842" s="14">
        <v>550</v>
      </c>
      <c r="P842" s="7"/>
      <c r="Q842" s="7"/>
      <c r="R842" s="14">
        <v>550</v>
      </c>
      <c r="S842" s="7"/>
      <c r="T842" s="7"/>
      <c r="U842" s="7"/>
      <c r="V842" s="14">
        <v>550</v>
      </c>
      <c r="W842" s="14">
        <v>550</v>
      </c>
      <c r="X842" s="7"/>
      <c r="Y842" s="7"/>
      <c r="Z842" s="7"/>
      <c r="AA842" s="7"/>
      <c r="AC842" s="70" t="str">
        <f t="shared" si="25"/>
        <v/>
      </c>
      <c r="AD842" s="75" t="str">
        <f t="shared" si="26"/>
        <v/>
      </c>
    </row>
    <row r="843" spans="1:36" outlineLevel="7">
      <c r="A843" s="3500" t="s">
        <v>595</v>
      </c>
      <c r="B843" s="3500"/>
      <c r="C843" s="7"/>
      <c r="D843" s="7"/>
      <c r="E843" s="14">
        <v>550</v>
      </c>
      <c r="F843" s="7"/>
      <c r="G843" s="7"/>
      <c r="H843" s="8"/>
      <c r="I843" s="9"/>
      <c r="J843" s="7"/>
      <c r="K843" s="7"/>
      <c r="L843" s="7"/>
      <c r="M843" s="14">
        <v>550</v>
      </c>
      <c r="N843" s="14">
        <v>550</v>
      </c>
      <c r="O843" s="14">
        <v>550</v>
      </c>
      <c r="P843" s="7"/>
      <c r="Q843" s="7"/>
      <c r="R843" s="14">
        <v>550</v>
      </c>
      <c r="S843" s="7"/>
      <c r="T843" s="7"/>
      <c r="U843" s="7"/>
      <c r="V843" s="14">
        <v>550</v>
      </c>
      <c r="W843" s="14">
        <v>550</v>
      </c>
      <c r="X843" s="7"/>
      <c r="Y843" s="7"/>
      <c r="Z843" s="7"/>
      <c r="AA843" s="7"/>
      <c r="AC843" s="70" t="str">
        <f t="shared" si="25"/>
        <v/>
      </c>
      <c r="AD843" s="75" t="str">
        <f t="shared" si="26"/>
        <v/>
      </c>
      <c r="AH843" t="s">
        <v>3365</v>
      </c>
    </row>
    <row r="844" spans="1:36" outlineLevel="7">
      <c r="A844" s="3499" t="s">
        <v>1792</v>
      </c>
      <c r="B844" s="3499"/>
      <c r="C844" s="7"/>
      <c r="D844" s="7"/>
      <c r="E844" s="14">
        <v>550</v>
      </c>
      <c r="F844" s="7"/>
      <c r="G844" s="7"/>
      <c r="H844" s="8"/>
      <c r="I844" s="9"/>
      <c r="J844" s="7"/>
      <c r="K844" s="7"/>
      <c r="L844" s="7"/>
      <c r="M844" s="14">
        <v>550</v>
      </c>
      <c r="N844" s="14">
        <v>550</v>
      </c>
      <c r="O844" s="14">
        <v>550</v>
      </c>
      <c r="P844" s="7"/>
      <c r="Q844" s="7"/>
      <c r="R844" s="14">
        <v>550</v>
      </c>
      <c r="S844" s="7"/>
      <c r="T844" s="7"/>
      <c r="U844" s="7"/>
      <c r="V844" s="14">
        <v>550</v>
      </c>
      <c r="W844" s="14">
        <v>550</v>
      </c>
      <c r="X844" s="7"/>
      <c r="Y844" s="7"/>
      <c r="Z844" s="7"/>
      <c r="AA844" s="7"/>
      <c r="AC844" s="70">
        <f t="shared" si="25"/>
        <v>550</v>
      </c>
      <c r="AD844" s="75">
        <f t="shared" si="26"/>
        <v>1</v>
      </c>
    </row>
    <row r="845" spans="1:36" outlineLevel="6">
      <c r="A845" s="3501" t="s">
        <v>596</v>
      </c>
      <c r="B845" s="3501"/>
      <c r="C845" s="7"/>
      <c r="D845" s="7"/>
      <c r="E845" s="13">
        <v>6845.61</v>
      </c>
      <c r="F845" s="7"/>
      <c r="G845" s="7"/>
      <c r="H845" s="8"/>
      <c r="I845" s="9"/>
      <c r="J845" s="7"/>
      <c r="K845" s="7"/>
      <c r="L845" s="7"/>
      <c r="M845" s="13">
        <v>6845.61</v>
      </c>
      <c r="N845" s="13">
        <v>6845.61</v>
      </c>
      <c r="O845" s="13">
        <v>6845.61</v>
      </c>
      <c r="P845" s="7"/>
      <c r="Q845" s="7"/>
      <c r="R845" s="13">
        <v>6845.61</v>
      </c>
      <c r="S845" s="7"/>
      <c r="T845" s="7"/>
      <c r="U845" s="7"/>
      <c r="V845" s="13">
        <v>6845.61</v>
      </c>
      <c r="W845" s="13">
        <v>6845.61</v>
      </c>
      <c r="X845" s="7"/>
      <c r="Y845" s="7"/>
      <c r="Z845" s="7"/>
      <c r="AA845" s="7"/>
      <c r="AC845" s="70" t="str">
        <f t="shared" si="25"/>
        <v/>
      </c>
      <c r="AD845" s="75" t="str">
        <f t="shared" si="26"/>
        <v/>
      </c>
    </row>
    <row r="846" spans="1:36" outlineLevel="7">
      <c r="A846" s="3500" t="s">
        <v>597</v>
      </c>
      <c r="B846" s="3500"/>
      <c r="C846" s="7"/>
      <c r="D846" s="7"/>
      <c r="E846" s="14">
        <v>550</v>
      </c>
      <c r="F846" s="7"/>
      <c r="G846" s="7"/>
      <c r="H846" s="8"/>
      <c r="I846" s="9"/>
      <c r="J846" s="7"/>
      <c r="K846" s="7"/>
      <c r="L846" s="7"/>
      <c r="M846" s="14">
        <v>550</v>
      </c>
      <c r="N846" s="14">
        <v>550</v>
      </c>
      <c r="O846" s="14">
        <v>550</v>
      </c>
      <c r="P846" s="7"/>
      <c r="Q846" s="7"/>
      <c r="R846" s="14">
        <v>550</v>
      </c>
      <c r="S846" s="7"/>
      <c r="T846" s="7"/>
      <c r="U846" s="7"/>
      <c r="V846" s="14">
        <v>550</v>
      </c>
      <c r="W846" s="14">
        <v>550</v>
      </c>
      <c r="X846" s="7"/>
      <c r="Y846" s="7"/>
      <c r="Z846" s="7"/>
      <c r="AA846" s="7"/>
      <c r="AC846" s="70" t="str">
        <f t="shared" si="25"/>
        <v/>
      </c>
      <c r="AD846" s="75" t="str">
        <f t="shared" si="26"/>
        <v/>
      </c>
      <c r="AH846" t="s">
        <v>3520</v>
      </c>
    </row>
    <row r="847" spans="1:36" outlineLevel="7">
      <c r="A847" s="3499" t="s">
        <v>1793</v>
      </c>
      <c r="B847" s="3499"/>
      <c r="C847" s="7"/>
      <c r="D847" s="7"/>
      <c r="E847" s="14">
        <v>550</v>
      </c>
      <c r="F847" s="7"/>
      <c r="G847" s="7"/>
      <c r="H847" s="8"/>
      <c r="I847" s="9"/>
      <c r="J847" s="7"/>
      <c r="K847" s="7"/>
      <c r="L847" s="7"/>
      <c r="M847" s="14">
        <v>550</v>
      </c>
      <c r="N847" s="14">
        <v>550</v>
      </c>
      <c r="O847" s="14">
        <v>550</v>
      </c>
      <c r="P847" s="7"/>
      <c r="Q847" s="7"/>
      <c r="R847" s="14">
        <v>550</v>
      </c>
      <c r="S847" s="7"/>
      <c r="T847" s="7"/>
      <c r="U847" s="7"/>
      <c r="V847" s="14">
        <v>550</v>
      </c>
      <c r="W847" s="14">
        <v>550</v>
      </c>
      <c r="X847" s="7"/>
      <c r="Y847" s="7"/>
      <c r="Z847" s="7"/>
      <c r="AA847" s="7"/>
      <c r="AC847" s="70">
        <f t="shared" si="25"/>
        <v>550</v>
      </c>
      <c r="AD847" s="75">
        <f t="shared" si="26"/>
        <v>1</v>
      </c>
    </row>
    <row r="848" spans="1:36" outlineLevel="7">
      <c r="A848" s="3500" t="s">
        <v>598</v>
      </c>
      <c r="B848" s="3500"/>
      <c r="C848" s="7"/>
      <c r="D848" s="7"/>
      <c r="E848" s="13">
        <v>6295.61</v>
      </c>
      <c r="F848" s="7"/>
      <c r="G848" s="7"/>
      <c r="H848" s="8"/>
      <c r="I848" s="9"/>
      <c r="J848" s="7"/>
      <c r="K848" s="7"/>
      <c r="L848" s="7"/>
      <c r="M848" s="13">
        <v>6295.61</v>
      </c>
      <c r="N848" s="13">
        <v>6295.61</v>
      </c>
      <c r="O848" s="13">
        <v>6295.61</v>
      </c>
      <c r="P848" s="7"/>
      <c r="Q848" s="7"/>
      <c r="R848" s="13">
        <v>6295.61</v>
      </c>
      <c r="S848" s="7"/>
      <c r="T848" s="7"/>
      <c r="U848" s="7"/>
      <c r="V848" s="13">
        <v>6295.61</v>
      </c>
      <c r="W848" s="13">
        <v>6295.61</v>
      </c>
      <c r="X848" s="7"/>
      <c r="Y848" s="7"/>
      <c r="Z848" s="7"/>
      <c r="AA848" s="7"/>
      <c r="AC848" s="70" t="str">
        <f t="shared" si="25"/>
        <v/>
      </c>
      <c r="AD848" s="75" t="str">
        <f t="shared" si="26"/>
        <v/>
      </c>
      <c r="AH848" s="1" t="s">
        <v>3601</v>
      </c>
      <c r="AJ848" s="1"/>
    </row>
    <row r="849" spans="1:34" outlineLevel="7">
      <c r="A849" s="3499" t="s">
        <v>1794</v>
      </c>
      <c r="B849" s="3499"/>
      <c r="C849" s="7"/>
      <c r="D849" s="7"/>
      <c r="E849" s="13">
        <v>6295.61</v>
      </c>
      <c r="F849" s="7"/>
      <c r="G849" s="7"/>
      <c r="H849" s="8"/>
      <c r="I849" s="9"/>
      <c r="J849" s="7"/>
      <c r="K849" s="7"/>
      <c r="L849" s="7"/>
      <c r="M849" s="13">
        <v>6295.61</v>
      </c>
      <c r="N849" s="13">
        <v>6295.61</v>
      </c>
      <c r="O849" s="13">
        <v>6295.61</v>
      </c>
      <c r="P849" s="7"/>
      <c r="Q849" s="7"/>
      <c r="R849" s="13">
        <v>6295.61</v>
      </c>
      <c r="S849" s="7"/>
      <c r="T849" s="7"/>
      <c r="U849" s="7"/>
      <c r="V849" s="13">
        <v>6295.61</v>
      </c>
      <c r="W849" s="13">
        <v>6295.61</v>
      </c>
      <c r="X849" s="7"/>
      <c r="Y849" s="7"/>
      <c r="Z849" s="7"/>
      <c r="AA849" s="7"/>
      <c r="AC849" s="70">
        <f t="shared" ref="AC849:AC912" si="27">IF(LEFT($A849,5)="Реали",$E849,"")</f>
        <v>6295.61</v>
      </c>
      <c r="AD849" s="75" t="str">
        <f t="shared" ref="AD849:AD912" si="28">IF(AC849=550,1,"")</f>
        <v/>
      </c>
      <c r="AG849">
        <f>AC849</f>
        <v>6295.61</v>
      </c>
    </row>
    <row r="850" spans="1:34" outlineLevel="6">
      <c r="A850" s="3501" t="s">
        <v>599</v>
      </c>
      <c r="B850" s="3501"/>
      <c r="C850" s="7"/>
      <c r="D850" s="7"/>
      <c r="E850" s="14">
        <v>550</v>
      </c>
      <c r="F850" s="7"/>
      <c r="G850" s="7"/>
      <c r="H850" s="8"/>
      <c r="I850" s="9"/>
      <c r="J850" s="7"/>
      <c r="K850" s="7"/>
      <c r="L850" s="7"/>
      <c r="M850" s="14">
        <v>550</v>
      </c>
      <c r="N850" s="14">
        <v>550</v>
      </c>
      <c r="O850" s="14">
        <v>550</v>
      </c>
      <c r="P850" s="7"/>
      <c r="Q850" s="7"/>
      <c r="R850" s="14">
        <v>550</v>
      </c>
      <c r="S850" s="7"/>
      <c r="T850" s="7"/>
      <c r="U850" s="7"/>
      <c r="V850" s="14">
        <v>550</v>
      </c>
      <c r="W850" s="14">
        <v>550</v>
      </c>
      <c r="X850" s="7"/>
      <c r="Y850" s="7"/>
      <c r="Z850" s="7"/>
      <c r="AA850" s="7"/>
      <c r="AC850" s="70" t="str">
        <f t="shared" si="27"/>
        <v/>
      </c>
      <c r="AD850" s="75" t="str">
        <f t="shared" si="28"/>
        <v/>
      </c>
    </row>
    <row r="851" spans="1:34" outlineLevel="7">
      <c r="A851" s="3500" t="s">
        <v>600</v>
      </c>
      <c r="B851" s="3500"/>
      <c r="C851" s="7"/>
      <c r="D851" s="7"/>
      <c r="E851" s="14">
        <v>550</v>
      </c>
      <c r="F851" s="7"/>
      <c r="G851" s="7"/>
      <c r="H851" s="8"/>
      <c r="I851" s="9"/>
      <c r="J851" s="7"/>
      <c r="K851" s="7"/>
      <c r="L851" s="7"/>
      <c r="M851" s="14">
        <v>550</v>
      </c>
      <c r="N851" s="14">
        <v>550</v>
      </c>
      <c r="O851" s="14">
        <v>550</v>
      </c>
      <c r="P851" s="7"/>
      <c r="Q851" s="7"/>
      <c r="R851" s="14">
        <v>550</v>
      </c>
      <c r="S851" s="7"/>
      <c r="T851" s="7"/>
      <c r="U851" s="7"/>
      <c r="V851" s="14">
        <v>550</v>
      </c>
      <c r="W851" s="14">
        <v>550</v>
      </c>
      <c r="X851" s="7"/>
      <c r="Y851" s="7"/>
      <c r="Z851" s="7"/>
      <c r="AA851" s="7"/>
      <c r="AC851" s="70" t="str">
        <f t="shared" si="27"/>
        <v/>
      </c>
      <c r="AD851" s="75" t="str">
        <f t="shared" si="28"/>
        <v/>
      </c>
      <c r="AH851" t="s">
        <v>3397</v>
      </c>
    </row>
    <row r="852" spans="1:34" outlineLevel="7">
      <c r="A852" s="3499" t="s">
        <v>1795</v>
      </c>
      <c r="B852" s="3499"/>
      <c r="C852" s="7"/>
      <c r="D852" s="7"/>
      <c r="E852" s="14">
        <v>550</v>
      </c>
      <c r="F852" s="7"/>
      <c r="G852" s="7"/>
      <c r="H852" s="8"/>
      <c r="I852" s="9"/>
      <c r="J852" s="7"/>
      <c r="K852" s="7"/>
      <c r="L852" s="7"/>
      <c r="M852" s="14">
        <v>550</v>
      </c>
      <c r="N852" s="14">
        <v>550</v>
      </c>
      <c r="O852" s="14">
        <v>550</v>
      </c>
      <c r="P852" s="7"/>
      <c r="Q852" s="7"/>
      <c r="R852" s="14">
        <v>550</v>
      </c>
      <c r="S852" s="7"/>
      <c r="T852" s="7"/>
      <c r="U852" s="7"/>
      <c r="V852" s="14">
        <v>550</v>
      </c>
      <c r="W852" s="14">
        <v>550</v>
      </c>
      <c r="X852" s="7"/>
      <c r="Y852" s="7"/>
      <c r="Z852" s="7"/>
      <c r="AA852" s="7"/>
      <c r="AC852" s="70">
        <f t="shared" si="27"/>
        <v>550</v>
      </c>
      <c r="AD852" s="75">
        <f t="shared" si="28"/>
        <v>1</v>
      </c>
    </row>
    <row r="853" spans="1:34" outlineLevel="6">
      <c r="A853" s="3501" t="s">
        <v>601</v>
      </c>
      <c r="B853" s="3501"/>
      <c r="C853" s="7"/>
      <c r="D853" s="7"/>
      <c r="E853" s="14">
        <v>550</v>
      </c>
      <c r="F853" s="7"/>
      <c r="G853" s="7"/>
      <c r="H853" s="8"/>
      <c r="I853" s="9"/>
      <c r="J853" s="7"/>
      <c r="K853" s="7"/>
      <c r="L853" s="7"/>
      <c r="M853" s="14">
        <v>550</v>
      </c>
      <c r="N853" s="14">
        <v>550</v>
      </c>
      <c r="O853" s="14">
        <v>550</v>
      </c>
      <c r="P853" s="7"/>
      <c r="Q853" s="7"/>
      <c r="R853" s="14">
        <v>550</v>
      </c>
      <c r="S853" s="7"/>
      <c r="T853" s="7"/>
      <c r="U853" s="7"/>
      <c r="V853" s="14">
        <v>550</v>
      </c>
      <c r="W853" s="14">
        <v>550</v>
      </c>
      <c r="X853" s="7"/>
      <c r="Y853" s="7"/>
      <c r="Z853" s="7"/>
      <c r="AA853" s="7"/>
      <c r="AC853" s="70" t="str">
        <f t="shared" si="27"/>
        <v/>
      </c>
      <c r="AD853" s="75" t="str">
        <f t="shared" si="28"/>
        <v/>
      </c>
    </row>
    <row r="854" spans="1:34" outlineLevel="7">
      <c r="A854" s="3500" t="s">
        <v>602</v>
      </c>
      <c r="B854" s="3500"/>
      <c r="C854" s="7"/>
      <c r="D854" s="7"/>
      <c r="E854" s="14">
        <v>550</v>
      </c>
      <c r="F854" s="7"/>
      <c r="G854" s="7"/>
      <c r="H854" s="8"/>
      <c r="I854" s="9"/>
      <c r="J854" s="7"/>
      <c r="K854" s="7"/>
      <c r="L854" s="7"/>
      <c r="M854" s="14">
        <v>550</v>
      </c>
      <c r="N854" s="14">
        <v>550</v>
      </c>
      <c r="O854" s="14">
        <v>550</v>
      </c>
      <c r="P854" s="7"/>
      <c r="Q854" s="7"/>
      <c r="R854" s="14">
        <v>550</v>
      </c>
      <c r="S854" s="7"/>
      <c r="T854" s="7"/>
      <c r="U854" s="7"/>
      <c r="V854" s="14">
        <v>550</v>
      </c>
      <c r="W854" s="14">
        <v>550</v>
      </c>
      <c r="X854" s="7"/>
      <c r="Y854" s="7"/>
      <c r="Z854" s="7"/>
      <c r="AA854" s="7"/>
      <c r="AC854" s="70" t="str">
        <f t="shared" si="27"/>
        <v/>
      </c>
      <c r="AD854" s="75" t="str">
        <f t="shared" si="28"/>
        <v/>
      </c>
      <c r="AH854" t="s">
        <v>3418</v>
      </c>
    </row>
    <row r="855" spans="1:34" outlineLevel="7">
      <c r="A855" s="3499" t="s">
        <v>1796</v>
      </c>
      <c r="B855" s="3499"/>
      <c r="C855" s="7"/>
      <c r="D855" s="7"/>
      <c r="E855" s="14">
        <v>550</v>
      </c>
      <c r="F855" s="7"/>
      <c r="G855" s="7"/>
      <c r="H855" s="8"/>
      <c r="I855" s="9"/>
      <c r="J855" s="7"/>
      <c r="K855" s="7"/>
      <c r="L855" s="7"/>
      <c r="M855" s="14">
        <v>550</v>
      </c>
      <c r="N855" s="14">
        <v>550</v>
      </c>
      <c r="O855" s="14">
        <v>550</v>
      </c>
      <c r="P855" s="7"/>
      <c r="Q855" s="7"/>
      <c r="R855" s="14">
        <v>550</v>
      </c>
      <c r="S855" s="7"/>
      <c r="T855" s="7"/>
      <c r="U855" s="7"/>
      <c r="V855" s="14">
        <v>550</v>
      </c>
      <c r="W855" s="14">
        <v>550</v>
      </c>
      <c r="X855" s="7"/>
      <c r="Y855" s="7"/>
      <c r="Z855" s="7"/>
      <c r="AA855" s="7"/>
      <c r="AC855" s="70">
        <f t="shared" si="27"/>
        <v>550</v>
      </c>
      <c r="AD855" s="75">
        <f t="shared" si="28"/>
        <v>1</v>
      </c>
    </row>
    <row r="856" spans="1:34" outlineLevel="6">
      <c r="A856" s="3501" t="s">
        <v>603</v>
      </c>
      <c r="B856" s="3501"/>
      <c r="C856" s="7"/>
      <c r="D856" s="7"/>
      <c r="E856" s="14">
        <v>550</v>
      </c>
      <c r="F856" s="7"/>
      <c r="G856" s="7"/>
      <c r="H856" s="8"/>
      <c r="I856" s="9"/>
      <c r="J856" s="7"/>
      <c r="K856" s="7"/>
      <c r="L856" s="7"/>
      <c r="M856" s="14">
        <v>550</v>
      </c>
      <c r="N856" s="14">
        <v>550</v>
      </c>
      <c r="O856" s="14">
        <v>550</v>
      </c>
      <c r="P856" s="7"/>
      <c r="Q856" s="7"/>
      <c r="R856" s="14">
        <v>550</v>
      </c>
      <c r="S856" s="7"/>
      <c r="T856" s="7"/>
      <c r="U856" s="7"/>
      <c r="V856" s="14">
        <v>550</v>
      </c>
      <c r="W856" s="14">
        <v>550</v>
      </c>
      <c r="X856" s="7"/>
      <c r="Y856" s="7"/>
      <c r="Z856" s="7"/>
      <c r="AA856" s="7"/>
      <c r="AC856" s="70" t="str">
        <f t="shared" si="27"/>
        <v/>
      </c>
      <c r="AD856" s="75" t="str">
        <f t="shared" si="28"/>
        <v/>
      </c>
    </row>
    <row r="857" spans="1:34" outlineLevel="7">
      <c r="A857" s="3500" t="s">
        <v>604</v>
      </c>
      <c r="B857" s="3500"/>
      <c r="C857" s="7"/>
      <c r="D857" s="7"/>
      <c r="E857" s="14">
        <v>550</v>
      </c>
      <c r="F857" s="7"/>
      <c r="G857" s="7"/>
      <c r="H857" s="8"/>
      <c r="I857" s="9"/>
      <c r="J857" s="7"/>
      <c r="K857" s="7"/>
      <c r="L857" s="7"/>
      <c r="M857" s="14">
        <v>550</v>
      </c>
      <c r="N857" s="14">
        <v>550</v>
      </c>
      <c r="O857" s="14">
        <v>550</v>
      </c>
      <c r="P857" s="7"/>
      <c r="Q857" s="7"/>
      <c r="R857" s="14">
        <v>550</v>
      </c>
      <c r="S857" s="7"/>
      <c r="T857" s="7"/>
      <c r="U857" s="7"/>
      <c r="V857" s="14">
        <v>550</v>
      </c>
      <c r="W857" s="14">
        <v>550</v>
      </c>
      <c r="X857" s="7"/>
      <c r="Y857" s="7"/>
      <c r="Z857" s="7"/>
      <c r="AA857" s="7"/>
      <c r="AC857" s="70" t="str">
        <f t="shared" si="27"/>
        <v/>
      </c>
      <c r="AD857" s="75" t="str">
        <f t="shared" si="28"/>
        <v/>
      </c>
      <c r="AH857" t="s">
        <v>2677</v>
      </c>
    </row>
    <row r="858" spans="1:34" outlineLevel="7">
      <c r="A858" s="3499" t="s">
        <v>1797</v>
      </c>
      <c r="B858" s="3499"/>
      <c r="C858" s="7"/>
      <c r="D858" s="7"/>
      <c r="E858" s="14">
        <v>550</v>
      </c>
      <c r="F858" s="7"/>
      <c r="G858" s="7"/>
      <c r="H858" s="8"/>
      <c r="I858" s="9"/>
      <c r="J858" s="7"/>
      <c r="K858" s="7"/>
      <c r="L858" s="7"/>
      <c r="M858" s="14">
        <v>550</v>
      </c>
      <c r="N858" s="14">
        <v>550</v>
      </c>
      <c r="O858" s="14">
        <v>550</v>
      </c>
      <c r="P858" s="7"/>
      <c r="Q858" s="7"/>
      <c r="R858" s="14">
        <v>550</v>
      </c>
      <c r="S858" s="7"/>
      <c r="T858" s="7"/>
      <c r="U858" s="7"/>
      <c r="V858" s="14">
        <v>550</v>
      </c>
      <c r="W858" s="14">
        <v>550</v>
      </c>
      <c r="X858" s="7"/>
      <c r="Y858" s="7"/>
      <c r="Z858" s="7"/>
      <c r="AA858" s="7"/>
      <c r="AC858" s="70">
        <f t="shared" si="27"/>
        <v>550</v>
      </c>
      <c r="AD858" s="75">
        <f t="shared" si="28"/>
        <v>1</v>
      </c>
    </row>
    <row r="859" spans="1:34" outlineLevel="6">
      <c r="A859" s="3501" t="s">
        <v>605</v>
      </c>
      <c r="B859" s="3501"/>
      <c r="C859" s="7"/>
      <c r="D859" s="7"/>
      <c r="E859" s="14">
        <v>550</v>
      </c>
      <c r="F859" s="7"/>
      <c r="G859" s="7"/>
      <c r="H859" s="8"/>
      <c r="I859" s="9"/>
      <c r="J859" s="7"/>
      <c r="K859" s="7"/>
      <c r="L859" s="7"/>
      <c r="M859" s="14">
        <v>550</v>
      </c>
      <c r="N859" s="14">
        <v>550</v>
      </c>
      <c r="O859" s="14">
        <v>550</v>
      </c>
      <c r="P859" s="7"/>
      <c r="Q859" s="7"/>
      <c r="R859" s="14">
        <v>550</v>
      </c>
      <c r="S859" s="7"/>
      <c r="T859" s="7"/>
      <c r="U859" s="7"/>
      <c r="V859" s="14">
        <v>550</v>
      </c>
      <c r="W859" s="14">
        <v>550</v>
      </c>
      <c r="X859" s="7"/>
      <c r="Y859" s="7"/>
      <c r="Z859" s="7"/>
      <c r="AA859" s="7"/>
      <c r="AC859" s="70" t="str">
        <f t="shared" si="27"/>
        <v/>
      </c>
      <c r="AD859" s="75" t="str">
        <f t="shared" si="28"/>
        <v/>
      </c>
    </row>
    <row r="860" spans="1:34" outlineLevel="7">
      <c r="A860" s="3500" t="s">
        <v>606</v>
      </c>
      <c r="B860" s="3500"/>
      <c r="C860" s="7"/>
      <c r="D860" s="7"/>
      <c r="E860" s="14">
        <v>550</v>
      </c>
      <c r="F860" s="7"/>
      <c r="G860" s="7"/>
      <c r="H860" s="8"/>
      <c r="I860" s="9"/>
      <c r="J860" s="7"/>
      <c r="K860" s="7"/>
      <c r="L860" s="7"/>
      <c r="M860" s="14">
        <v>550</v>
      </c>
      <c r="N860" s="14">
        <v>550</v>
      </c>
      <c r="O860" s="14">
        <v>550</v>
      </c>
      <c r="P860" s="7"/>
      <c r="Q860" s="7"/>
      <c r="R860" s="14">
        <v>550</v>
      </c>
      <c r="S860" s="7"/>
      <c r="T860" s="7"/>
      <c r="U860" s="7"/>
      <c r="V860" s="14">
        <v>550</v>
      </c>
      <c r="W860" s="14">
        <v>550</v>
      </c>
      <c r="X860" s="7"/>
      <c r="Y860" s="7"/>
      <c r="Z860" s="7"/>
      <c r="AA860" s="7"/>
      <c r="AC860" s="70" t="str">
        <f t="shared" si="27"/>
        <v/>
      </c>
      <c r="AD860" s="75" t="str">
        <f t="shared" si="28"/>
        <v/>
      </c>
      <c r="AH860" t="s">
        <v>3546</v>
      </c>
    </row>
    <row r="861" spans="1:34" outlineLevel="7">
      <c r="A861" s="3499" t="s">
        <v>1798</v>
      </c>
      <c r="B861" s="3499"/>
      <c r="C861" s="7"/>
      <c r="D861" s="7"/>
      <c r="E861" s="14">
        <v>550</v>
      </c>
      <c r="F861" s="7"/>
      <c r="G861" s="7"/>
      <c r="H861" s="8"/>
      <c r="I861" s="9"/>
      <c r="J861" s="7"/>
      <c r="K861" s="7"/>
      <c r="L861" s="7"/>
      <c r="M861" s="14">
        <v>550</v>
      </c>
      <c r="N861" s="14">
        <v>550</v>
      </c>
      <c r="O861" s="14">
        <v>550</v>
      </c>
      <c r="P861" s="7"/>
      <c r="Q861" s="7"/>
      <c r="R861" s="14">
        <v>550</v>
      </c>
      <c r="S861" s="7"/>
      <c r="T861" s="7"/>
      <c r="U861" s="7"/>
      <c r="V861" s="14">
        <v>550</v>
      </c>
      <c r="W861" s="14">
        <v>550</v>
      </c>
      <c r="X861" s="7"/>
      <c r="Y861" s="7"/>
      <c r="Z861" s="7"/>
      <c r="AA861" s="7"/>
      <c r="AC861" s="70">
        <f t="shared" si="27"/>
        <v>550</v>
      </c>
      <c r="AD861" s="75">
        <f t="shared" si="28"/>
        <v>1</v>
      </c>
    </row>
    <row r="862" spans="1:34" outlineLevel="6">
      <c r="A862" s="3501" t="s">
        <v>607</v>
      </c>
      <c r="B862" s="3501"/>
      <c r="C862" s="7"/>
      <c r="D862" s="7"/>
      <c r="E862" s="14">
        <v>550</v>
      </c>
      <c r="F862" s="7"/>
      <c r="G862" s="7"/>
      <c r="H862" s="8"/>
      <c r="I862" s="9"/>
      <c r="J862" s="7"/>
      <c r="K862" s="7"/>
      <c r="L862" s="7"/>
      <c r="M862" s="14">
        <v>550</v>
      </c>
      <c r="N862" s="14">
        <v>550</v>
      </c>
      <c r="O862" s="14">
        <v>550</v>
      </c>
      <c r="P862" s="7"/>
      <c r="Q862" s="7"/>
      <c r="R862" s="14">
        <v>550</v>
      </c>
      <c r="S862" s="7"/>
      <c r="T862" s="7"/>
      <c r="U862" s="7"/>
      <c r="V862" s="14">
        <v>550</v>
      </c>
      <c r="W862" s="14">
        <v>550</v>
      </c>
      <c r="X862" s="7"/>
      <c r="Y862" s="7"/>
      <c r="Z862" s="7"/>
      <c r="AA862" s="7"/>
      <c r="AC862" s="70" t="str">
        <f t="shared" si="27"/>
        <v/>
      </c>
      <c r="AD862" s="75" t="str">
        <f t="shared" si="28"/>
        <v/>
      </c>
    </row>
    <row r="863" spans="1:34" outlineLevel="7">
      <c r="A863" s="3500" t="s">
        <v>608</v>
      </c>
      <c r="B863" s="3500"/>
      <c r="C863" s="7"/>
      <c r="D863" s="7"/>
      <c r="E863" s="14">
        <v>550</v>
      </c>
      <c r="F863" s="7"/>
      <c r="G863" s="7"/>
      <c r="H863" s="8"/>
      <c r="I863" s="9"/>
      <c r="J863" s="7"/>
      <c r="K863" s="7"/>
      <c r="L863" s="7"/>
      <c r="M863" s="14">
        <v>550</v>
      </c>
      <c r="N863" s="14">
        <v>550</v>
      </c>
      <c r="O863" s="14">
        <v>550</v>
      </c>
      <c r="P863" s="7"/>
      <c r="Q863" s="7"/>
      <c r="R863" s="14">
        <v>550</v>
      </c>
      <c r="S863" s="7"/>
      <c r="T863" s="7"/>
      <c r="U863" s="7"/>
      <c r="V863" s="14">
        <v>550</v>
      </c>
      <c r="W863" s="14">
        <v>550</v>
      </c>
      <c r="X863" s="7"/>
      <c r="Y863" s="7"/>
      <c r="Z863" s="7"/>
      <c r="AA863" s="7"/>
      <c r="AC863" s="70" t="str">
        <f t="shared" si="27"/>
        <v/>
      </c>
      <c r="AD863" s="75" t="str">
        <f t="shared" si="28"/>
        <v/>
      </c>
      <c r="AH863" t="s">
        <v>2673</v>
      </c>
    </row>
    <row r="864" spans="1:34" outlineLevel="7">
      <c r="A864" s="3499" t="s">
        <v>1799</v>
      </c>
      <c r="B864" s="3499"/>
      <c r="C864" s="7"/>
      <c r="D864" s="7"/>
      <c r="E864" s="14">
        <v>550</v>
      </c>
      <c r="F864" s="7"/>
      <c r="G864" s="7"/>
      <c r="H864" s="8"/>
      <c r="I864" s="9"/>
      <c r="J864" s="7"/>
      <c r="K864" s="7"/>
      <c r="L864" s="7"/>
      <c r="M864" s="14">
        <v>550</v>
      </c>
      <c r="N864" s="14">
        <v>550</v>
      </c>
      <c r="O864" s="14">
        <v>550</v>
      </c>
      <c r="P864" s="7"/>
      <c r="Q864" s="7"/>
      <c r="R864" s="14">
        <v>550</v>
      </c>
      <c r="S864" s="7"/>
      <c r="T864" s="7"/>
      <c r="U864" s="7"/>
      <c r="V864" s="14">
        <v>550</v>
      </c>
      <c r="W864" s="14">
        <v>550</v>
      </c>
      <c r="X864" s="7"/>
      <c r="Y864" s="7"/>
      <c r="Z864" s="7"/>
      <c r="AA864" s="7"/>
      <c r="AC864" s="70">
        <f t="shared" si="27"/>
        <v>550</v>
      </c>
      <c r="AD864" s="75">
        <f t="shared" si="28"/>
        <v>1</v>
      </c>
    </row>
    <row r="865" spans="1:34" outlineLevel="6">
      <c r="A865" s="3501" t="s">
        <v>609</v>
      </c>
      <c r="B865" s="3501"/>
      <c r="C865" s="7"/>
      <c r="D865" s="7"/>
      <c r="E865" s="14">
        <v>550</v>
      </c>
      <c r="F865" s="7"/>
      <c r="G865" s="7"/>
      <c r="H865" s="8"/>
      <c r="I865" s="9"/>
      <c r="J865" s="7"/>
      <c r="K865" s="7"/>
      <c r="L865" s="7"/>
      <c r="M865" s="14">
        <v>550</v>
      </c>
      <c r="N865" s="14">
        <v>550</v>
      </c>
      <c r="O865" s="14">
        <v>550</v>
      </c>
      <c r="P865" s="7"/>
      <c r="Q865" s="7"/>
      <c r="R865" s="14">
        <v>550</v>
      </c>
      <c r="S865" s="7"/>
      <c r="T865" s="7"/>
      <c r="U865" s="7"/>
      <c r="V865" s="14">
        <v>550</v>
      </c>
      <c r="W865" s="14">
        <v>550</v>
      </c>
      <c r="X865" s="7"/>
      <c r="Y865" s="7"/>
      <c r="Z865" s="7"/>
      <c r="AA865" s="7"/>
      <c r="AC865" s="70" t="str">
        <f t="shared" si="27"/>
        <v/>
      </c>
      <c r="AD865" s="75" t="str">
        <f t="shared" si="28"/>
        <v/>
      </c>
    </row>
    <row r="866" spans="1:34" outlineLevel="7">
      <c r="A866" s="3500" t="s">
        <v>610</v>
      </c>
      <c r="B866" s="3500"/>
      <c r="C866" s="7"/>
      <c r="D866" s="7"/>
      <c r="E866" s="14">
        <v>550</v>
      </c>
      <c r="F866" s="7"/>
      <c r="G866" s="7"/>
      <c r="H866" s="8"/>
      <c r="I866" s="9"/>
      <c r="J866" s="7"/>
      <c r="K866" s="7"/>
      <c r="L866" s="7"/>
      <c r="M866" s="14">
        <v>550</v>
      </c>
      <c r="N866" s="14">
        <v>550</v>
      </c>
      <c r="O866" s="14">
        <v>550</v>
      </c>
      <c r="P866" s="7"/>
      <c r="Q866" s="7"/>
      <c r="R866" s="14">
        <v>550</v>
      </c>
      <c r="S866" s="7"/>
      <c r="T866" s="7"/>
      <c r="U866" s="7"/>
      <c r="V866" s="14">
        <v>550</v>
      </c>
      <c r="W866" s="14">
        <v>550</v>
      </c>
      <c r="X866" s="7"/>
      <c r="Y866" s="7"/>
      <c r="Z866" s="7"/>
      <c r="AA866" s="7"/>
      <c r="AC866" s="70" t="str">
        <f t="shared" si="27"/>
        <v/>
      </c>
      <c r="AD866" s="75" t="str">
        <f t="shared" si="28"/>
        <v/>
      </c>
      <c r="AH866" t="s">
        <v>2764</v>
      </c>
    </row>
    <row r="867" spans="1:34" outlineLevel="7">
      <c r="A867" s="3499" t="s">
        <v>1800</v>
      </c>
      <c r="B867" s="3499"/>
      <c r="C867" s="7"/>
      <c r="D867" s="7"/>
      <c r="E867" s="14">
        <v>550</v>
      </c>
      <c r="F867" s="7"/>
      <c r="G867" s="7"/>
      <c r="H867" s="8"/>
      <c r="I867" s="9"/>
      <c r="J867" s="7"/>
      <c r="K867" s="7"/>
      <c r="L867" s="7"/>
      <c r="M867" s="14">
        <v>550</v>
      </c>
      <c r="N867" s="14">
        <v>550</v>
      </c>
      <c r="O867" s="14">
        <v>550</v>
      </c>
      <c r="P867" s="7"/>
      <c r="Q867" s="7"/>
      <c r="R867" s="14">
        <v>550</v>
      </c>
      <c r="S867" s="7"/>
      <c r="T867" s="7"/>
      <c r="U867" s="7"/>
      <c r="V867" s="14">
        <v>550</v>
      </c>
      <c r="W867" s="14">
        <v>550</v>
      </c>
      <c r="X867" s="7"/>
      <c r="Y867" s="7"/>
      <c r="Z867" s="7"/>
      <c r="AA867" s="7"/>
      <c r="AC867" s="70">
        <f t="shared" si="27"/>
        <v>550</v>
      </c>
      <c r="AD867" s="75">
        <f t="shared" si="28"/>
        <v>1</v>
      </c>
    </row>
    <row r="868" spans="1:34" outlineLevel="6">
      <c r="A868" s="3501" t="s">
        <v>611</v>
      </c>
      <c r="B868" s="3501"/>
      <c r="C868" s="7"/>
      <c r="D868" s="7"/>
      <c r="E868" s="14">
        <v>550</v>
      </c>
      <c r="F868" s="7"/>
      <c r="G868" s="7"/>
      <c r="H868" s="8"/>
      <c r="I868" s="9"/>
      <c r="J868" s="7"/>
      <c r="K868" s="7"/>
      <c r="L868" s="7"/>
      <c r="M868" s="14">
        <v>550</v>
      </c>
      <c r="N868" s="14">
        <v>550</v>
      </c>
      <c r="O868" s="14">
        <v>550</v>
      </c>
      <c r="P868" s="7"/>
      <c r="Q868" s="7"/>
      <c r="R868" s="14">
        <v>550</v>
      </c>
      <c r="S868" s="7"/>
      <c r="T868" s="7"/>
      <c r="U868" s="7"/>
      <c r="V868" s="14">
        <v>550</v>
      </c>
      <c r="W868" s="14">
        <v>550</v>
      </c>
      <c r="X868" s="7"/>
      <c r="Y868" s="7"/>
      <c r="Z868" s="7"/>
      <c r="AA868" s="7"/>
      <c r="AC868" s="70" t="str">
        <f t="shared" si="27"/>
        <v/>
      </c>
      <c r="AD868" s="75" t="str">
        <f t="shared" si="28"/>
        <v/>
      </c>
    </row>
    <row r="869" spans="1:34" outlineLevel="7">
      <c r="A869" s="3500" t="s">
        <v>612</v>
      </c>
      <c r="B869" s="3500"/>
      <c r="C869" s="7"/>
      <c r="D869" s="7"/>
      <c r="E869" s="14">
        <v>550</v>
      </c>
      <c r="F869" s="7"/>
      <c r="G869" s="7"/>
      <c r="H869" s="8"/>
      <c r="I869" s="9"/>
      <c r="J869" s="7"/>
      <c r="K869" s="7"/>
      <c r="L869" s="7"/>
      <c r="M869" s="14">
        <v>550</v>
      </c>
      <c r="N869" s="14">
        <v>550</v>
      </c>
      <c r="O869" s="14">
        <v>550</v>
      </c>
      <c r="P869" s="7"/>
      <c r="Q869" s="7"/>
      <c r="R869" s="14">
        <v>550</v>
      </c>
      <c r="S869" s="7"/>
      <c r="T869" s="7"/>
      <c r="U869" s="7"/>
      <c r="V869" s="14">
        <v>550</v>
      </c>
      <c r="W869" s="14">
        <v>550</v>
      </c>
      <c r="X869" s="7"/>
      <c r="Y869" s="7"/>
      <c r="Z869" s="7"/>
      <c r="AA869" s="7"/>
      <c r="AC869" s="70" t="str">
        <f t="shared" si="27"/>
        <v/>
      </c>
      <c r="AD869" s="75" t="str">
        <f t="shared" si="28"/>
        <v/>
      </c>
      <c r="AH869" t="s">
        <v>3474</v>
      </c>
    </row>
    <row r="870" spans="1:34" outlineLevel="7">
      <c r="A870" s="3499" t="s">
        <v>1801</v>
      </c>
      <c r="B870" s="3499"/>
      <c r="C870" s="7"/>
      <c r="D870" s="7"/>
      <c r="E870" s="14">
        <v>550</v>
      </c>
      <c r="F870" s="7"/>
      <c r="G870" s="7"/>
      <c r="H870" s="8"/>
      <c r="I870" s="9"/>
      <c r="J870" s="7"/>
      <c r="K870" s="7"/>
      <c r="L870" s="7"/>
      <c r="M870" s="14">
        <v>550</v>
      </c>
      <c r="N870" s="14">
        <v>550</v>
      </c>
      <c r="O870" s="14">
        <v>550</v>
      </c>
      <c r="P870" s="7"/>
      <c r="Q870" s="7"/>
      <c r="R870" s="14">
        <v>550</v>
      </c>
      <c r="S870" s="7"/>
      <c r="T870" s="7"/>
      <c r="U870" s="7"/>
      <c r="V870" s="14">
        <v>550</v>
      </c>
      <c r="W870" s="14">
        <v>550</v>
      </c>
      <c r="X870" s="7"/>
      <c r="Y870" s="7"/>
      <c r="Z870" s="7"/>
      <c r="AA870" s="7"/>
      <c r="AC870" s="70">
        <f t="shared" si="27"/>
        <v>550</v>
      </c>
      <c r="AD870" s="75">
        <f t="shared" si="28"/>
        <v>1</v>
      </c>
    </row>
    <row r="871" spans="1:34" outlineLevel="6">
      <c r="A871" s="3501" t="s">
        <v>613</v>
      </c>
      <c r="B871" s="3501"/>
      <c r="C871" s="7"/>
      <c r="D871" s="7"/>
      <c r="E871" s="14">
        <v>550</v>
      </c>
      <c r="F871" s="7"/>
      <c r="G871" s="7"/>
      <c r="H871" s="8"/>
      <c r="I871" s="9"/>
      <c r="J871" s="7"/>
      <c r="K871" s="7"/>
      <c r="L871" s="7"/>
      <c r="M871" s="14">
        <v>550</v>
      </c>
      <c r="N871" s="14">
        <v>550</v>
      </c>
      <c r="O871" s="14">
        <v>550</v>
      </c>
      <c r="P871" s="7"/>
      <c r="Q871" s="7"/>
      <c r="R871" s="14">
        <v>550</v>
      </c>
      <c r="S871" s="7"/>
      <c r="T871" s="7"/>
      <c r="U871" s="7"/>
      <c r="V871" s="14">
        <v>550</v>
      </c>
      <c r="W871" s="14">
        <v>550</v>
      </c>
      <c r="X871" s="7"/>
      <c r="Y871" s="7"/>
      <c r="Z871" s="7"/>
      <c r="AA871" s="7"/>
      <c r="AC871" s="70" t="str">
        <f t="shared" si="27"/>
        <v/>
      </c>
      <c r="AD871" s="75" t="str">
        <f t="shared" si="28"/>
        <v/>
      </c>
    </row>
    <row r="872" spans="1:34" outlineLevel="7">
      <c r="A872" s="3500" t="s">
        <v>614</v>
      </c>
      <c r="B872" s="3500"/>
      <c r="C872" s="7"/>
      <c r="D872" s="7"/>
      <c r="E872" s="14">
        <v>550</v>
      </c>
      <c r="F872" s="7"/>
      <c r="G872" s="7"/>
      <c r="H872" s="8"/>
      <c r="I872" s="9"/>
      <c r="J872" s="7"/>
      <c r="K872" s="7"/>
      <c r="L872" s="7"/>
      <c r="M872" s="14">
        <v>550</v>
      </c>
      <c r="N872" s="14">
        <v>550</v>
      </c>
      <c r="O872" s="14">
        <v>550</v>
      </c>
      <c r="P872" s="7"/>
      <c r="Q872" s="7"/>
      <c r="R872" s="14">
        <v>550</v>
      </c>
      <c r="S872" s="7"/>
      <c r="T872" s="7"/>
      <c r="U872" s="7"/>
      <c r="V872" s="14">
        <v>550</v>
      </c>
      <c r="W872" s="14">
        <v>550</v>
      </c>
      <c r="X872" s="7"/>
      <c r="Y872" s="7"/>
      <c r="Z872" s="7"/>
      <c r="AA872" s="7"/>
      <c r="AC872" s="70" t="str">
        <f t="shared" si="27"/>
        <v/>
      </c>
      <c r="AD872" s="75" t="str">
        <f t="shared" si="28"/>
        <v/>
      </c>
      <c r="AH872" t="s">
        <v>3540</v>
      </c>
    </row>
    <row r="873" spans="1:34" outlineLevel="7">
      <c r="A873" s="3499" t="s">
        <v>1802</v>
      </c>
      <c r="B873" s="3499"/>
      <c r="C873" s="7"/>
      <c r="D873" s="7"/>
      <c r="E873" s="14">
        <v>550</v>
      </c>
      <c r="F873" s="7"/>
      <c r="G873" s="7"/>
      <c r="H873" s="8"/>
      <c r="I873" s="9"/>
      <c r="J873" s="7"/>
      <c r="K873" s="7"/>
      <c r="L873" s="7"/>
      <c r="M873" s="14">
        <v>550</v>
      </c>
      <c r="N873" s="14">
        <v>550</v>
      </c>
      <c r="O873" s="14">
        <v>550</v>
      </c>
      <c r="P873" s="7"/>
      <c r="Q873" s="7"/>
      <c r="R873" s="14">
        <v>550</v>
      </c>
      <c r="S873" s="7"/>
      <c r="T873" s="7"/>
      <c r="U873" s="7"/>
      <c r="V873" s="14">
        <v>550</v>
      </c>
      <c r="W873" s="14">
        <v>550</v>
      </c>
      <c r="X873" s="7"/>
      <c r="Y873" s="7"/>
      <c r="Z873" s="7"/>
      <c r="AA873" s="7"/>
      <c r="AC873" s="70">
        <f t="shared" si="27"/>
        <v>550</v>
      </c>
      <c r="AD873" s="75">
        <f t="shared" si="28"/>
        <v>1</v>
      </c>
    </row>
    <row r="874" spans="1:34" outlineLevel="6">
      <c r="A874" s="3501" t="s">
        <v>615</v>
      </c>
      <c r="B874" s="3501"/>
      <c r="C874" s="7"/>
      <c r="D874" s="7"/>
      <c r="E874" s="14">
        <v>550</v>
      </c>
      <c r="F874" s="7"/>
      <c r="G874" s="7"/>
      <c r="H874" s="8"/>
      <c r="I874" s="9"/>
      <c r="J874" s="7"/>
      <c r="K874" s="7"/>
      <c r="L874" s="7"/>
      <c r="M874" s="14">
        <v>550</v>
      </c>
      <c r="N874" s="14">
        <v>550</v>
      </c>
      <c r="O874" s="14">
        <v>550</v>
      </c>
      <c r="P874" s="7"/>
      <c r="Q874" s="7"/>
      <c r="R874" s="14">
        <v>550</v>
      </c>
      <c r="S874" s="7"/>
      <c r="T874" s="7"/>
      <c r="U874" s="7"/>
      <c r="V874" s="14">
        <v>550</v>
      </c>
      <c r="W874" s="14">
        <v>550</v>
      </c>
      <c r="X874" s="7"/>
      <c r="Y874" s="7"/>
      <c r="Z874" s="7"/>
      <c r="AA874" s="7"/>
      <c r="AC874" s="70" t="str">
        <f t="shared" si="27"/>
        <v/>
      </c>
      <c r="AD874" s="75" t="str">
        <f t="shared" si="28"/>
        <v/>
      </c>
    </row>
    <row r="875" spans="1:34" outlineLevel="7">
      <c r="A875" s="3500" t="s">
        <v>616</v>
      </c>
      <c r="B875" s="3500"/>
      <c r="C875" s="7"/>
      <c r="D875" s="7"/>
      <c r="E875" s="14">
        <v>550</v>
      </c>
      <c r="F875" s="7"/>
      <c r="G875" s="7"/>
      <c r="H875" s="8"/>
      <c r="I875" s="9"/>
      <c r="J875" s="7"/>
      <c r="K875" s="7"/>
      <c r="L875" s="7"/>
      <c r="M875" s="14">
        <v>550</v>
      </c>
      <c r="N875" s="14">
        <v>550</v>
      </c>
      <c r="O875" s="14">
        <v>550</v>
      </c>
      <c r="P875" s="7"/>
      <c r="Q875" s="7"/>
      <c r="R875" s="14">
        <v>550</v>
      </c>
      <c r="S875" s="7"/>
      <c r="T875" s="7"/>
      <c r="U875" s="7"/>
      <c r="V875" s="14">
        <v>550</v>
      </c>
      <c r="W875" s="14">
        <v>550</v>
      </c>
      <c r="X875" s="7"/>
      <c r="Y875" s="7"/>
      <c r="Z875" s="7"/>
      <c r="AA875" s="7"/>
      <c r="AC875" s="70" t="str">
        <f t="shared" si="27"/>
        <v/>
      </c>
      <c r="AD875" s="75" t="str">
        <f t="shared" si="28"/>
        <v/>
      </c>
      <c r="AH875" t="s">
        <v>3499</v>
      </c>
    </row>
    <row r="876" spans="1:34" outlineLevel="7">
      <c r="A876" s="3499" t="s">
        <v>1803</v>
      </c>
      <c r="B876" s="3499"/>
      <c r="C876" s="7"/>
      <c r="D876" s="7"/>
      <c r="E876" s="14">
        <v>550</v>
      </c>
      <c r="F876" s="7"/>
      <c r="G876" s="7"/>
      <c r="H876" s="8"/>
      <c r="I876" s="9"/>
      <c r="J876" s="7"/>
      <c r="K876" s="7"/>
      <c r="L876" s="7"/>
      <c r="M876" s="14">
        <v>550</v>
      </c>
      <c r="N876" s="14">
        <v>550</v>
      </c>
      <c r="O876" s="14">
        <v>550</v>
      </c>
      <c r="P876" s="7"/>
      <c r="Q876" s="7"/>
      <c r="R876" s="14">
        <v>550</v>
      </c>
      <c r="S876" s="7"/>
      <c r="T876" s="7"/>
      <c r="U876" s="7"/>
      <c r="V876" s="14">
        <v>550</v>
      </c>
      <c r="W876" s="14">
        <v>550</v>
      </c>
      <c r="X876" s="7"/>
      <c r="Y876" s="7"/>
      <c r="Z876" s="7"/>
      <c r="AA876" s="7"/>
      <c r="AC876" s="70">
        <f t="shared" si="27"/>
        <v>550</v>
      </c>
      <c r="AD876" s="75">
        <f t="shared" si="28"/>
        <v>1</v>
      </c>
    </row>
    <row r="877" spans="1:34" outlineLevel="6">
      <c r="A877" s="3501" t="s">
        <v>617</v>
      </c>
      <c r="B877" s="3501"/>
      <c r="C877" s="7"/>
      <c r="D877" s="7"/>
      <c r="E877" s="14">
        <v>550</v>
      </c>
      <c r="F877" s="7"/>
      <c r="G877" s="7"/>
      <c r="H877" s="8"/>
      <c r="I877" s="9"/>
      <c r="J877" s="7"/>
      <c r="K877" s="7"/>
      <c r="L877" s="7"/>
      <c r="M877" s="14">
        <v>550</v>
      </c>
      <c r="N877" s="14">
        <v>550</v>
      </c>
      <c r="O877" s="14">
        <v>550</v>
      </c>
      <c r="P877" s="7"/>
      <c r="Q877" s="7"/>
      <c r="R877" s="14">
        <v>550</v>
      </c>
      <c r="S877" s="7"/>
      <c r="T877" s="7"/>
      <c r="U877" s="7"/>
      <c r="V877" s="14">
        <v>550</v>
      </c>
      <c r="W877" s="14">
        <v>550</v>
      </c>
      <c r="X877" s="7"/>
      <c r="Y877" s="7"/>
      <c r="Z877" s="7"/>
      <c r="AA877" s="7"/>
      <c r="AC877" s="70" t="str">
        <f t="shared" si="27"/>
        <v/>
      </c>
      <c r="AD877" s="75" t="str">
        <f t="shared" si="28"/>
        <v/>
      </c>
    </row>
    <row r="878" spans="1:34" outlineLevel="7">
      <c r="A878" s="3500" t="s">
        <v>618</v>
      </c>
      <c r="B878" s="3500"/>
      <c r="C878" s="7"/>
      <c r="D878" s="7"/>
      <c r="E878" s="14">
        <v>550</v>
      </c>
      <c r="F878" s="7"/>
      <c r="G878" s="7"/>
      <c r="H878" s="8"/>
      <c r="I878" s="9"/>
      <c r="J878" s="7"/>
      <c r="K878" s="7"/>
      <c r="L878" s="7"/>
      <c r="M878" s="14">
        <v>550</v>
      </c>
      <c r="N878" s="14">
        <v>550</v>
      </c>
      <c r="O878" s="14">
        <v>550</v>
      </c>
      <c r="P878" s="7"/>
      <c r="Q878" s="7"/>
      <c r="R878" s="14">
        <v>550</v>
      </c>
      <c r="S878" s="7"/>
      <c r="T878" s="7"/>
      <c r="U878" s="7"/>
      <c r="V878" s="14">
        <v>550</v>
      </c>
      <c r="W878" s="14">
        <v>550</v>
      </c>
      <c r="X878" s="7"/>
      <c r="Y878" s="7"/>
      <c r="Z878" s="7"/>
      <c r="AA878" s="7"/>
      <c r="AC878" s="70" t="str">
        <f t="shared" si="27"/>
        <v/>
      </c>
      <c r="AD878" s="75" t="str">
        <f t="shared" si="28"/>
        <v/>
      </c>
      <c r="AH878" t="s">
        <v>3443</v>
      </c>
    </row>
    <row r="879" spans="1:34" outlineLevel="7">
      <c r="A879" s="3499" t="s">
        <v>1804</v>
      </c>
      <c r="B879" s="3499"/>
      <c r="C879" s="7"/>
      <c r="D879" s="7"/>
      <c r="E879" s="14">
        <v>550</v>
      </c>
      <c r="F879" s="7"/>
      <c r="G879" s="7"/>
      <c r="H879" s="8"/>
      <c r="I879" s="9"/>
      <c r="J879" s="7"/>
      <c r="K879" s="7"/>
      <c r="L879" s="7"/>
      <c r="M879" s="14">
        <v>550</v>
      </c>
      <c r="N879" s="14">
        <v>550</v>
      </c>
      <c r="O879" s="14">
        <v>550</v>
      </c>
      <c r="P879" s="7"/>
      <c r="Q879" s="7"/>
      <c r="R879" s="14">
        <v>550</v>
      </c>
      <c r="S879" s="7"/>
      <c r="T879" s="7"/>
      <c r="U879" s="7"/>
      <c r="V879" s="14">
        <v>550</v>
      </c>
      <c r="W879" s="14">
        <v>550</v>
      </c>
      <c r="X879" s="7"/>
      <c r="Y879" s="7"/>
      <c r="Z879" s="7"/>
      <c r="AA879" s="7"/>
      <c r="AC879" s="70">
        <f t="shared" si="27"/>
        <v>550</v>
      </c>
      <c r="AD879" s="75">
        <f t="shared" si="28"/>
        <v>1</v>
      </c>
    </row>
    <row r="880" spans="1:34" outlineLevel="6">
      <c r="A880" s="3501" t="s">
        <v>619</v>
      </c>
      <c r="B880" s="3501"/>
      <c r="C880" s="7"/>
      <c r="D880" s="7"/>
      <c r="E880" s="14">
        <v>550</v>
      </c>
      <c r="F880" s="7"/>
      <c r="G880" s="7"/>
      <c r="H880" s="8"/>
      <c r="I880" s="9"/>
      <c r="J880" s="7"/>
      <c r="K880" s="7"/>
      <c r="L880" s="7"/>
      <c r="M880" s="14">
        <v>550</v>
      </c>
      <c r="N880" s="14">
        <v>550</v>
      </c>
      <c r="O880" s="14">
        <v>550</v>
      </c>
      <c r="P880" s="7"/>
      <c r="Q880" s="7"/>
      <c r="R880" s="14">
        <v>550</v>
      </c>
      <c r="S880" s="7"/>
      <c r="T880" s="7"/>
      <c r="U880" s="7"/>
      <c r="V880" s="14">
        <v>550</v>
      </c>
      <c r="W880" s="14">
        <v>550</v>
      </c>
      <c r="X880" s="7"/>
      <c r="Y880" s="7"/>
      <c r="Z880" s="7"/>
      <c r="AA880" s="7"/>
      <c r="AC880" s="70" t="str">
        <f t="shared" si="27"/>
        <v/>
      </c>
      <c r="AD880" s="75" t="str">
        <f t="shared" si="28"/>
        <v/>
      </c>
    </row>
    <row r="881" spans="1:34" outlineLevel="7">
      <c r="A881" s="3500" t="s">
        <v>620</v>
      </c>
      <c r="B881" s="3500"/>
      <c r="C881" s="7"/>
      <c r="D881" s="7"/>
      <c r="E881" s="14">
        <v>550</v>
      </c>
      <c r="F881" s="7"/>
      <c r="G881" s="7"/>
      <c r="H881" s="8"/>
      <c r="I881" s="9"/>
      <c r="J881" s="7"/>
      <c r="K881" s="7"/>
      <c r="L881" s="7"/>
      <c r="M881" s="14">
        <v>550</v>
      </c>
      <c r="N881" s="14">
        <v>550</v>
      </c>
      <c r="O881" s="14">
        <v>550</v>
      </c>
      <c r="P881" s="7"/>
      <c r="Q881" s="7"/>
      <c r="R881" s="14">
        <v>550</v>
      </c>
      <c r="S881" s="7"/>
      <c r="T881" s="7"/>
      <c r="U881" s="7"/>
      <c r="V881" s="14">
        <v>550</v>
      </c>
      <c r="W881" s="14">
        <v>550</v>
      </c>
      <c r="X881" s="7"/>
      <c r="Y881" s="7"/>
      <c r="Z881" s="7"/>
      <c r="AA881" s="7"/>
      <c r="AC881" s="70" t="str">
        <f t="shared" si="27"/>
        <v/>
      </c>
      <c r="AD881" s="75" t="str">
        <f t="shared" si="28"/>
        <v/>
      </c>
      <c r="AH881" t="s">
        <v>3494</v>
      </c>
    </row>
    <row r="882" spans="1:34" outlineLevel="7">
      <c r="A882" s="3499" t="s">
        <v>1805</v>
      </c>
      <c r="B882" s="3499"/>
      <c r="C882" s="7"/>
      <c r="D882" s="7"/>
      <c r="E882" s="14">
        <v>550</v>
      </c>
      <c r="F882" s="7"/>
      <c r="G882" s="7"/>
      <c r="H882" s="8"/>
      <c r="I882" s="9"/>
      <c r="J882" s="7"/>
      <c r="K882" s="7"/>
      <c r="L882" s="7"/>
      <c r="M882" s="14">
        <v>550</v>
      </c>
      <c r="N882" s="14">
        <v>550</v>
      </c>
      <c r="O882" s="14">
        <v>550</v>
      </c>
      <c r="P882" s="7"/>
      <c r="Q882" s="7"/>
      <c r="R882" s="14">
        <v>550</v>
      </c>
      <c r="S882" s="7"/>
      <c r="T882" s="7"/>
      <c r="U882" s="7"/>
      <c r="V882" s="14">
        <v>550</v>
      </c>
      <c r="W882" s="14">
        <v>550</v>
      </c>
      <c r="X882" s="7"/>
      <c r="Y882" s="7"/>
      <c r="Z882" s="7"/>
      <c r="AA882" s="7"/>
      <c r="AC882" s="70">
        <f t="shared" si="27"/>
        <v>550</v>
      </c>
      <c r="AD882" s="75">
        <f t="shared" si="28"/>
        <v>1</v>
      </c>
    </row>
    <row r="883" spans="1:34" outlineLevel="6">
      <c r="A883" s="3501" t="s">
        <v>621</v>
      </c>
      <c r="B883" s="3501"/>
      <c r="C883" s="7"/>
      <c r="D883" s="7"/>
      <c r="E883" s="14">
        <v>550</v>
      </c>
      <c r="F883" s="7"/>
      <c r="G883" s="7"/>
      <c r="H883" s="8"/>
      <c r="I883" s="9"/>
      <c r="J883" s="7"/>
      <c r="K883" s="7"/>
      <c r="L883" s="7"/>
      <c r="M883" s="14">
        <v>550</v>
      </c>
      <c r="N883" s="14">
        <v>550</v>
      </c>
      <c r="O883" s="14">
        <v>550</v>
      </c>
      <c r="P883" s="7"/>
      <c r="Q883" s="7"/>
      <c r="R883" s="14">
        <v>550</v>
      </c>
      <c r="S883" s="7"/>
      <c r="T883" s="7"/>
      <c r="U883" s="7"/>
      <c r="V883" s="14">
        <v>550</v>
      </c>
      <c r="W883" s="14">
        <v>550</v>
      </c>
      <c r="X883" s="7"/>
      <c r="Y883" s="7"/>
      <c r="Z883" s="7"/>
      <c r="AA883" s="7"/>
      <c r="AC883" s="70" t="str">
        <f t="shared" si="27"/>
        <v/>
      </c>
      <c r="AD883" s="75" t="str">
        <f t="shared" si="28"/>
        <v/>
      </c>
    </row>
    <row r="884" spans="1:34" outlineLevel="7">
      <c r="A884" s="3500" t="s">
        <v>622</v>
      </c>
      <c r="B884" s="3500"/>
      <c r="C884" s="7"/>
      <c r="D884" s="7"/>
      <c r="E884" s="14">
        <v>550</v>
      </c>
      <c r="F884" s="7"/>
      <c r="G884" s="7"/>
      <c r="H884" s="8"/>
      <c r="I884" s="9"/>
      <c r="J884" s="7"/>
      <c r="K884" s="7"/>
      <c r="L884" s="7"/>
      <c r="M884" s="14">
        <v>550</v>
      </c>
      <c r="N884" s="14">
        <v>550</v>
      </c>
      <c r="O884" s="14">
        <v>550</v>
      </c>
      <c r="P884" s="7"/>
      <c r="Q884" s="7"/>
      <c r="R884" s="14">
        <v>550</v>
      </c>
      <c r="S884" s="7"/>
      <c r="T884" s="7"/>
      <c r="U884" s="7"/>
      <c r="V884" s="14">
        <v>550</v>
      </c>
      <c r="W884" s="14">
        <v>550</v>
      </c>
      <c r="X884" s="7"/>
      <c r="Y884" s="7"/>
      <c r="Z884" s="7"/>
      <c r="AA884" s="7"/>
      <c r="AC884" s="70" t="str">
        <f t="shared" si="27"/>
        <v/>
      </c>
      <c r="AD884" s="75" t="str">
        <f t="shared" si="28"/>
        <v/>
      </c>
      <c r="AH884" t="s">
        <v>622</v>
      </c>
    </row>
    <row r="885" spans="1:34" outlineLevel="7">
      <c r="A885" s="3499" t="s">
        <v>1806</v>
      </c>
      <c r="B885" s="3499"/>
      <c r="C885" s="7"/>
      <c r="D885" s="7"/>
      <c r="E885" s="14">
        <v>550</v>
      </c>
      <c r="F885" s="7"/>
      <c r="G885" s="7"/>
      <c r="H885" s="8"/>
      <c r="I885" s="9"/>
      <c r="J885" s="7"/>
      <c r="K885" s="7"/>
      <c r="L885" s="7"/>
      <c r="M885" s="14">
        <v>550</v>
      </c>
      <c r="N885" s="14">
        <v>550</v>
      </c>
      <c r="O885" s="14">
        <v>550</v>
      </c>
      <c r="P885" s="7"/>
      <c r="Q885" s="7"/>
      <c r="R885" s="14">
        <v>550</v>
      </c>
      <c r="S885" s="7"/>
      <c r="T885" s="7"/>
      <c r="U885" s="7"/>
      <c r="V885" s="14">
        <v>550</v>
      </c>
      <c r="W885" s="14">
        <v>550</v>
      </c>
      <c r="X885" s="7"/>
      <c r="Y885" s="7"/>
      <c r="Z885" s="7"/>
      <c r="AA885" s="7"/>
      <c r="AC885" s="70">
        <f t="shared" si="27"/>
        <v>550</v>
      </c>
      <c r="AD885" s="75">
        <f t="shared" si="28"/>
        <v>1</v>
      </c>
    </row>
    <row r="886" spans="1:34" outlineLevel="6">
      <c r="A886" s="3501" t="s">
        <v>623</v>
      </c>
      <c r="B886" s="3501"/>
      <c r="C886" s="7"/>
      <c r="D886" s="7"/>
      <c r="E886" s="14">
        <v>550</v>
      </c>
      <c r="F886" s="7"/>
      <c r="G886" s="7"/>
      <c r="H886" s="8"/>
      <c r="I886" s="9"/>
      <c r="J886" s="7"/>
      <c r="K886" s="7"/>
      <c r="L886" s="7"/>
      <c r="M886" s="14">
        <v>550</v>
      </c>
      <c r="N886" s="14">
        <v>550</v>
      </c>
      <c r="O886" s="14">
        <v>550</v>
      </c>
      <c r="P886" s="7"/>
      <c r="Q886" s="7"/>
      <c r="R886" s="14">
        <v>550</v>
      </c>
      <c r="S886" s="7"/>
      <c r="T886" s="7"/>
      <c r="U886" s="7"/>
      <c r="V886" s="14">
        <v>550</v>
      </c>
      <c r="W886" s="14">
        <v>550</v>
      </c>
      <c r="X886" s="7"/>
      <c r="Y886" s="7"/>
      <c r="Z886" s="7"/>
      <c r="AA886" s="7"/>
      <c r="AC886" s="70" t="str">
        <f t="shared" si="27"/>
        <v/>
      </c>
      <c r="AD886" s="75" t="str">
        <f t="shared" si="28"/>
        <v/>
      </c>
    </row>
    <row r="887" spans="1:34" outlineLevel="7">
      <c r="A887" s="3500" t="s">
        <v>624</v>
      </c>
      <c r="B887" s="3500"/>
      <c r="C887" s="7"/>
      <c r="D887" s="7"/>
      <c r="E887" s="14">
        <v>550</v>
      </c>
      <c r="F887" s="7"/>
      <c r="G887" s="7"/>
      <c r="H887" s="8"/>
      <c r="I887" s="9"/>
      <c r="J887" s="7"/>
      <c r="K887" s="7"/>
      <c r="L887" s="7"/>
      <c r="M887" s="14">
        <v>550</v>
      </c>
      <c r="N887" s="14">
        <v>550</v>
      </c>
      <c r="O887" s="14">
        <v>550</v>
      </c>
      <c r="P887" s="7"/>
      <c r="Q887" s="7"/>
      <c r="R887" s="14">
        <v>550</v>
      </c>
      <c r="S887" s="7"/>
      <c r="T887" s="7"/>
      <c r="U887" s="7"/>
      <c r="V887" s="14">
        <v>550</v>
      </c>
      <c r="W887" s="14">
        <v>550</v>
      </c>
      <c r="X887" s="7"/>
      <c r="Y887" s="7"/>
      <c r="Z887" s="7"/>
      <c r="AA887" s="7"/>
      <c r="AC887" s="70" t="str">
        <f t="shared" si="27"/>
        <v/>
      </c>
      <c r="AD887" s="75" t="str">
        <f t="shared" si="28"/>
        <v/>
      </c>
      <c r="AH887" t="s">
        <v>3454</v>
      </c>
    </row>
    <row r="888" spans="1:34" outlineLevel="7">
      <c r="A888" s="3499" t="s">
        <v>1807</v>
      </c>
      <c r="B888" s="3499"/>
      <c r="C888" s="7"/>
      <c r="D888" s="7"/>
      <c r="E888" s="14">
        <v>550</v>
      </c>
      <c r="F888" s="7"/>
      <c r="G888" s="7"/>
      <c r="H888" s="8"/>
      <c r="I888" s="9"/>
      <c r="J888" s="7"/>
      <c r="K888" s="7"/>
      <c r="L888" s="7"/>
      <c r="M888" s="14">
        <v>550</v>
      </c>
      <c r="N888" s="14">
        <v>550</v>
      </c>
      <c r="O888" s="14">
        <v>550</v>
      </c>
      <c r="P888" s="7"/>
      <c r="Q888" s="7"/>
      <c r="R888" s="14">
        <v>550</v>
      </c>
      <c r="S888" s="7"/>
      <c r="T888" s="7"/>
      <c r="U888" s="7"/>
      <c r="V888" s="14">
        <v>550</v>
      </c>
      <c r="W888" s="14">
        <v>550</v>
      </c>
      <c r="X888" s="7"/>
      <c r="Y888" s="7"/>
      <c r="Z888" s="7"/>
      <c r="AA888" s="7"/>
      <c r="AC888" s="70">
        <f t="shared" si="27"/>
        <v>550</v>
      </c>
      <c r="AD888" s="75">
        <f t="shared" si="28"/>
        <v>1</v>
      </c>
    </row>
    <row r="889" spans="1:34" outlineLevel="6">
      <c r="A889" s="3501" t="s">
        <v>625</v>
      </c>
      <c r="B889" s="3501"/>
      <c r="C889" s="7"/>
      <c r="D889" s="7"/>
      <c r="E889" s="14">
        <v>550</v>
      </c>
      <c r="F889" s="7"/>
      <c r="G889" s="7"/>
      <c r="H889" s="8"/>
      <c r="I889" s="9"/>
      <c r="J889" s="7"/>
      <c r="K889" s="7"/>
      <c r="L889" s="7"/>
      <c r="M889" s="14">
        <v>550</v>
      </c>
      <c r="N889" s="14">
        <v>550</v>
      </c>
      <c r="O889" s="14">
        <v>550</v>
      </c>
      <c r="P889" s="7"/>
      <c r="Q889" s="7"/>
      <c r="R889" s="14">
        <v>550</v>
      </c>
      <c r="S889" s="7"/>
      <c r="T889" s="7"/>
      <c r="U889" s="7"/>
      <c r="V889" s="14">
        <v>550</v>
      </c>
      <c r="W889" s="14">
        <v>550</v>
      </c>
      <c r="X889" s="7"/>
      <c r="Y889" s="7"/>
      <c r="Z889" s="7"/>
      <c r="AA889" s="7"/>
      <c r="AC889" s="70" t="str">
        <f t="shared" si="27"/>
        <v/>
      </c>
      <c r="AD889" s="75" t="str">
        <f t="shared" si="28"/>
        <v/>
      </c>
    </row>
    <row r="890" spans="1:34" outlineLevel="7">
      <c r="A890" s="3500" t="s">
        <v>626</v>
      </c>
      <c r="B890" s="3500"/>
      <c r="C890" s="7"/>
      <c r="D890" s="7"/>
      <c r="E890" s="14">
        <v>550</v>
      </c>
      <c r="F890" s="7"/>
      <c r="G890" s="7"/>
      <c r="H890" s="8"/>
      <c r="I890" s="9"/>
      <c r="J890" s="7"/>
      <c r="K890" s="7"/>
      <c r="L890" s="7"/>
      <c r="M890" s="14">
        <v>550</v>
      </c>
      <c r="N890" s="14">
        <v>550</v>
      </c>
      <c r="O890" s="14">
        <v>550</v>
      </c>
      <c r="P890" s="7"/>
      <c r="Q890" s="7"/>
      <c r="R890" s="14">
        <v>550</v>
      </c>
      <c r="S890" s="7"/>
      <c r="T890" s="7"/>
      <c r="U890" s="7"/>
      <c r="V890" s="14">
        <v>550</v>
      </c>
      <c r="W890" s="14">
        <v>550</v>
      </c>
      <c r="X890" s="7"/>
      <c r="Y890" s="7"/>
      <c r="Z890" s="7"/>
      <c r="AA890" s="7"/>
      <c r="AC890" s="70" t="str">
        <f t="shared" si="27"/>
        <v/>
      </c>
      <c r="AD890" s="75" t="str">
        <f t="shared" si="28"/>
        <v/>
      </c>
      <c r="AH890" t="s">
        <v>3530</v>
      </c>
    </row>
    <row r="891" spans="1:34" outlineLevel="7">
      <c r="A891" s="3499" t="s">
        <v>1808</v>
      </c>
      <c r="B891" s="3499"/>
      <c r="C891" s="7"/>
      <c r="D891" s="7"/>
      <c r="E891" s="14">
        <v>550</v>
      </c>
      <c r="F891" s="7"/>
      <c r="G891" s="7"/>
      <c r="H891" s="8"/>
      <c r="I891" s="9"/>
      <c r="J891" s="7"/>
      <c r="K891" s="7"/>
      <c r="L891" s="7"/>
      <c r="M891" s="14">
        <v>550</v>
      </c>
      <c r="N891" s="14">
        <v>550</v>
      </c>
      <c r="O891" s="14">
        <v>550</v>
      </c>
      <c r="P891" s="7"/>
      <c r="Q891" s="7"/>
      <c r="R891" s="14">
        <v>550</v>
      </c>
      <c r="S891" s="7"/>
      <c r="T891" s="7"/>
      <c r="U891" s="7"/>
      <c r="V891" s="14">
        <v>550</v>
      </c>
      <c r="W891" s="14">
        <v>550</v>
      </c>
      <c r="X891" s="7"/>
      <c r="Y891" s="7"/>
      <c r="Z891" s="7"/>
      <c r="AA891" s="7"/>
      <c r="AC891" s="70">
        <f t="shared" si="27"/>
        <v>550</v>
      </c>
      <c r="AD891" s="75">
        <f t="shared" si="28"/>
        <v>1</v>
      </c>
    </row>
    <row r="892" spans="1:34" outlineLevel="6">
      <c r="A892" s="3501" t="s">
        <v>627</v>
      </c>
      <c r="B892" s="3501"/>
      <c r="C892" s="7"/>
      <c r="D892" s="7"/>
      <c r="E892" s="14">
        <v>550</v>
      </c>
      <c r="F892" s="7"/>
      <c r="G892" s="7"/>
      <c r="H892" s="8"/>
      <c r="I892" s="9"/>
      <c r="J892" s="7"/>
      <c r="K892" s="7"/>
      <c r="L892" s="7"/>
      <c r="M892" s="14">
        <v>550</v>
      </c>
      <c r="N892" s="14">
        <v>550</v>
      </c>
      <c r="O892" s="14">
        <v>550</v>
      </c>
      <c r="P892" s="7"/>
      <c r="Q892" s="7"/>
      <c r="R892" s="14">
        <v>550</v>
      </c>
      <c r="S892" s="7"/>
      <c r="T892" s="7"/>
      <c r="U892" s="7"/>
      <c r="V892" s="14">
        <v>550</v>
      </c>
      <c r="W892" s="14">
        <v>550</v>
      </c>
      <c r="X892" s="7"/>
      <c r="Y892" s="7"/>
      <c r="Z892" s="7"/>
      <c r="AA892" s="7"/>
      <c r="AC892" s="70" t="str">
        <f t="shared" si="27"/>
        <v/>
      </c>
      <c r="AD892" s="75" t="str">
        <f t="shared" si="28"/>
        <v/>
      </c>
    </row>
    <row r="893" spans="1:34" outlineLevel="7">
      <c r="A893" s="3500" t="s">
        <v>628</v>
      </c>
      <c r="B893" s="3500"/>
      <c r="C893" s="7"/>
      <c r="D893" s="7"/>
      <c r="E893" s="14">
        <v>550</v>
      </c>
      <c r="F893" s="7"/>
      <c r="G893" s="7"/>
      <c r="H893" s="8"/>
      <c r="I893" s="9"/>
      <c r="J893" s="7"/>
      <c r="K893" s="7"/>
      <c r="L893" s="7"/>
      <c r="M893" s="14">
        <v>550</v>
      </c>
      <c r="N893" s="14">
        <v>550</v>
      </c>
      <c r="O893" s="14">
        <v>550</v>
      </c>
      <c r="P893" s="7"/>
      <c r="Q893" s="7"/>
      <c r="R893" s="14">
        <v>550</v>
      </c>
      <c r="S893" s="7"/>
      <c r="T893" s="7"/>
      <c r="U893" s="7"/>
      <c r="V893" s="14">
        <v>550</v>
      </c>
      <c r="W893" s="14">
        <v>550</v>
      </c>
      <c r="X893" s="7"/>
      <c r="Y893" s="7"/>
      <c r="Z893" s="7"/>
      <c r="AA893" s="7"/>
      <c r="AC893" s="70" t="str">
        <f t="shared" si="27"/>
        <v/>
      </c>
      <c r="AD893" s="75" t="str">
        <f t="shared" si="28"/>
        <v/>
      </c>
      <c r="AH893" t="s">
        <v>3458</v>
      </c>
    </row>
    <row r="894" spans="1:34" outlineLevel="7">
      <c r="A894" s="3499" t="s">
        <v>1809</v>
      </c>
      <c r="B894" s="3499"/>
      <c r="C894" s="7"/>
      <c r="D894" s="7"/>
      <c r="E894" s="14">
        <v>550</v>
      </c>
      <c r="F894" s="7"/>
      <c r="G894" s="7"/>
      <c r="H894" s="8"/>
      <c r="I894" s="9"/>
      <c r="J894" s="7"/>
      <c r="K894" s="7"/>
      <c r="L894" s="7"/>
      <c r="M894" s="14">
        <v>550</v>
      </c>
      <c r="N894" s="14">
        <v>550</v>
      </c>
      <c r="O894" s="14">
        <v>550</v>
      </c>
      <c r="P894" s="7"/>
      <c r="Q894" s="7"/>
      <c r="R894" s="14">
        <v>550</v>
      </c>
      <c r="S894" s="7"/>
      <c r="T894" s="7"/>
      <c r="U894" s="7"/>
      <c r="V894" s="14">
        <v>550</v>
      </c>
      <c r="W894" s="14">
        <v>550</v>
      </c>
      <c r="X894" s="7"/>
      <c r="Y894" s="7"/>
      <c r="Z894" s="7"/>
      <c r="AA894" s="7"/>
      <c r="AC894" s="70">
        <f t="shared" si="27"/>
        <v>550</v>
      </c>
      <c r="AD894" s="75">
        <f t="shared" si="28"/>
        <v>1</v>
      </c>
    </row>
    <row r="895" spans="1:34" outlineLevel="6">
      <c r="A895" s="3501" t="s">
        <v>629</v>
      </c>
      <c r="B895" s="3501"/>
      <c r="C895" s="7"/>
      <c r="D895" s="7"/>
      <c r="E895" s="14">
        <v>550</v>
      </c>
      <c r="F895" s="7"/>
      <c r="G895" s="7"/>
      <c r="H895" s="8"/>
      <c r="I895" s="9"/>
      <c r="J895" s="7"/>
      <c r="K895" s="7"/>
      <c r="L895" s="7"/>
      <c r="M895" s="14">
        <v>550</v>
      </c>
      <c r="N895" s="14">
        <v>550</v>
      </c>
      <c r="O895" s="14">
        <v>550</v>
      </c>
      <c r="P895" s="7"/>
      <c r="Q895" s="7"/>
      <c r="R895" s="14">
        <v>550</v>
      </c>
      <c r="S895" s="7"/>
      <c r="T895" s="7"/>
      <c r="U895" s="7"/>
      <c r="V895" s="14">
        <v>550</v>
      </c>
      <c r="W895" s="14">
        <v>550</v>
      </c>
      <c r="X895" s="7"/>
      <c r="Y895" s="7"/>
      <c r="Z895" s="7"/>
      <c r="AA895" s="7"/>
      <c r="AC895" s="70" t="str">
        <f t="shared" si="27"/>
        <v/>
      </c>
      <c r="AD895" s="75" t="str">
        <f t="shared" si="28"/>
        <v/>
      </c>
    </row>
    <row r="896" spans="1:34" outlineLevel="7">
      <c r="A896" s="3500" t="s">
        <v>630</v>
      </c>
      <c r="B896" s="3500"/>
      <c r="C896" s="7"/>
      <c r="D896" s="7"/>
      <c r="E896" s="14">
        <v>550</v>
      </c>
      <c r="F896" s="7"/>
      <c r="G896" s="7"/>
      <c r="H896" s="8"/>
      <c r="I896" s="9"/>
      <c r="J896" s="7"/>
      <c r="K896" s="7"/>
      <c r="L896" s="7"/>
      <c r="M896" s="14">
        <v>550</v>
      </c>
      <c r="N896" s="14">
        <v>550</v>
      </c>
      <c r="O896" s="14">
        <v>550</v>
      </c>
      <c r="P896" s="7"/>
      <c r="Q896" s="7"/>
      <c r="R896" s="14">
        <v>550</v>
      </c>
      <c r="S896" s="7"/>
      <c r="T896" s="7"/>
      <c r="U896" s="7"/>
      <c r="V896" s="14">
        <v>550</v>
      </c>
      <c r="W896" s="14">
        <v>550</v>
      </c>
      <c r="X896" s="7"/>
      <c r="Y896" s="7"/>
      <c r="Z896" s="7"/>
      <c r="AA896" s="7"/>
      <c r="AC896" s="70" t="str">
        <f t="shared" si="27"/>
        <v/>
      </c>
      <c r="AD896" s="75" t="str">
        <f t="shared" si="28"/>
        <v/>
      </c>
      <c r="AH896" t="s">
        <v>3644</v>
      </c>
    </row>
    <row r="897" spans="1:34" outlineLevel="7">
      <c r="A897" s="3499" t="s">
        <v>1810</v>
      </c>
      <c r="B897" s="3499"/>
      <c r="C897" s="7"/>
      <c r="D897" s="7"/>
      <c r="E897" s="14">
        <v>550</v>
      </c>
      <c r="F897" s="7"/>
      <c r="G897" s="7"/>
      <c r="H897" s="8"/>
      <c r="I897" s="9"/>
      <c r="J897" s="7"/>
      <c r="K897" s="7"/>
      <c r="L897" s="7"/>
      <c r="M897" s="14">
        <v>550</v>
      </c>
      <c r="N897" s="14">
        <v>550</v>
      </c>
      <c r="O897" s="14">
        <v>550</v>
      </c>
      <c r="P897" s="7"/>
      <c r="Q897" s="7"/>
      <c r="R897" s="14">
        <v>550</v>
      </c>
      <c r="S897" s="7"/>
      <c r="T897" s="7"/>
      <c r="U897" s="7"/>
      <c r="V897" s="14">
        <v>550</v>
      </c>
      <c r="W897" s="14">
        <v>550</v>
      </c>
      <c r="X897" s="7"/>
      <c r="Y897" s="7"/>
      <c r="Z897" s="7"/>
      <c r="AA897" s="7"/>
      <c r="AC897" s="70">
        <f t="shared" si="27"/>
        <v>550</v>
      </c>
      <c r="AD897" s="75">
        <f t="shared" si="28"/>
        <v>1</v>
      </c>
    </row>
    <row r="898" spans="1:34" outlineLevel="6">
      <c r="A898" s="3501" t="s">
        <v>631</v>
      </c>
      <c r="B898" s="3501"/>
      <c r="C898" s="7"/>
      <c r="D898" s="7"/>
      <c r="E898" s="14">
        <v>550</v>
      </c>
      <c r="F898" s="7"/>
      <c r="G898" s="7"/>
      <c r="H898" s="8"/>
      <c r="I898" s="9"/>
      <c r="J898" s="7"/>
      <c r="K898" s="7"/>
      <c r="L898" s="7"/>
      <c r="M898" s="14">
        <v>550</v>
      </c>
      <c r="N898" s="14">
        <v>550</v>
      </c>
      <c r="O898" s="14">
        <v>550</v>
      </c>
      <c r="P898" s="7"/>
      <c r="Q898" s="7"/>
      <c r="R898" s="14">
        <v>550</v>
      </c>
      <c r="S898" s="7"/>
      <c r="T898" s="7"/>
      <c r="U898" s="14">
        <v>550</v>
      </c>
      <c r="V898" s="7"/>
      <c r="W898" s="7"/>
      <c r="X898" s="7"/>
      <c r="Y898" s="7"/>
      <c r="Z898" s="7"/>
      <c r="AA898" s="7"/>
      <c r="AC898" s="70" t="str">
        <f t="shared" si="27"/>
        <v/>
      </c>
      <c r="AD898" s="75" t="str">
        <f t="shared" si="28"/>
        <v/>
      </c>
    </row>
    <row r="899" spans="1:34" outlineLevel="7">
      <c r="A899" s="3500" t="s">
        <v>632</v>
      </c>
      <c r="B899" s="3500"/>
      <c r="C899" s="7"/>
      <c r="D899" s="7"/>
      <c r="E899" s="14">
        <v>550</v>
      </c>
      <c r="F899" s="7"/>
      <c r="G899" s="7"/>
      <c r="H899" s="8"/>
      <c r="I899" s="9"/>
      <c r="J899" s="7"/>
      <c r="K899" s="7"/>
      <c r="L899" s="7"/>
      <c r="M899" s="14">
        <v>550</v>
      </c>
      <c r="N899" s="14">
        <v>550</v>
      </c>
      <c r="O899" s="14">
        <v>550</v>
      </c>
      <c r="P899" s="7"/>
      <c r="Q899" s="7"/>
      <c r="R899" s="14">
        <v>550</v>
      </c>
      <c r="S899" s="7"/>
      <c r="T899" s="7"/>
      <c r="U899" s="14">
        <v>550</v>
      </c>
      <c r="V899" s="7"/>
      <c r="W899" s="7"/>
      <c r="X899" s="7"/>
      <c r="Y899" s="7"/>
      <c r="Z899" s="7"/>
      <c r="AA899" s="7"/>
      <c r="AC899" s="70" t="str">
        <f t="shared" si="27"/>
        <v/>
      </c>
      <c r="AD899" s="75" t="str">
        <f t="shared" si="28"/>
        <v/>
      </c>
      <c r="AH899" t="s">
        <v>3278</v>
      </c>
    </row>
    <row r="900" spans="1:34" outlineLevel="7">
      <c r="A900" s="3499" t="s">
        <v>1811</v>
      </c>
      <c r="B900" s="3499"/>
      <c r="C900" s="7"/>
      <c r="D900" s="7"/>
      <c r="E900" s="14">
        <v>550</v>
      </c>
      <c r="F900" s="7"/>
      <c r="G900" s="7"/>
      <c r="H900" s="8"/>
      <c r="I900" s="9"/>
      <c r="J900" s="7"/>
      <c r="K900" s="7"/>
      <c r="L900" s="7"/>
      <c r="M900" s="14">
        <v>550</v>
      </c>
      <c r="N900" s="14">
        <v>550</v>
      </c>
      <c r="O900" s="14">
        <v>550</v>
      </c>
      <c r="P900" s="7"/>
      <c r="Q900" s="7"/>
      <c r="R900" s="14">
        <v>550</v>
      </c>
      <c r="S900" s="7"/>
      <c r="T900" s="7"/>
      <c r="U900" s="14">
        <v>550</v>
      </c>
      <c r="V900" s="7"/>
      <c r="W900" s="7"/>
      <c r="X900" s="7"/>
      <c r="Y900" s="7"/>
      <c r="Z900" s="7"/>
      <c r="AA900" s="7"/>
      <c r="AC900" s="70">
        <f t="shared" si="27"/>
        <v>550</v>
      </c>
      <c r="AD900" s="75">
        <f t="shared" si="28"/>
        <v>1</v>
      </c>
    </row>
    <row r="901" spans="1:34" outlineLevel="6">
      <c r="A901" s="3501" t="s">
        <v>633</v>
      </c>
      <c r="B901" s="3501"/>
      <c r="C901" s="7"/>
      <c r="D901" s="7"/>
      <c r="E901" s="14">
        <v>550</v>
      </c>
      <c r="F901" s="7"/>
      <c r="G901" s="7"/>
      <c r="H901" s="8"/>
      <c r="I901" s="9"/>
      <c r="J901" s="7"/>
      <c r="K901" s="7"/>
      <c r="L901" s="7"/>
      <c r="M901" s="14">
        <v>550</v>
      </c>
      <c r="N901" s="14">
        <v>550</v>
      </c>
      <c r="O901" s="14">
        <v>550</v>
      </c>
      <c r="P901" s="7"/>
      <c r="Q901" s="7"/>
      <c r="R901" s="14">
        <v>550</v>
      </c>
      <c r="S901" s="7"/>
      <c r="T901" s="7"/>
      <c r="U901" s="7"/>
      <c r="V901" s="14">
        <v>550</v>
      </c>
      <c r="W901" s="14">
        <v>550</v>
      </c>
      <c r="X901" s="7"/>
      <c r="Y901" s="7"/>
      <c r="Z901" s="7"/>
      <c r="AA901" s="7"/>
      <c r="AC901" s="70" t="str">
        <f t="shared" si="27"/>
        <v/>
      </c>
      <c r="AD901" s="75" t="str">
        <f t="shared" si="28"/>
        <v/>
      </c>
    </row>
    <row r="902" spans="1:34" outlineLevel="7">
      <c r="A902" s="3500" t="s">
        <v>634</v>
      </c>
      <c r="B902" s="3500"/>
      <c r="C902" s="7"/>
      <c r="D902" s="7"/>
      <c r="E902" s="14">
        <v>550</v>
      </c>
      <c r="F902" s="7"/>
      <c r="G902" s="7"/>
      <c r="H902" s="8"/>
      <c r="I902" s="9"/>
      <c r="J902" s="7"/>
      <c r="K902" s="7"/>
      <c r="L902" s="7"/>
      <c r="M902" s="14">
        <v>550</v>
      </c>
      <c r="N902" s="14">
        <v>550</v>
      </c>
      <c r="O902" s="14">
        <v>550</v>
      </c>
      <c r="P902" s="7"/>
      <c r="Q902" s="7"/>
      <c r="R902" s="14">
        <v>550</v>
      </c>
      <c r="S902" s="7"/>
      <c r="T902" s="7"/>
      <c r="U902" s="7"/>
      <c r="V902" s="14">
        <v>550</v>
      </c>
      <c r="W902" s="14">
        <v>550</v>
      </c>
      <c r="X902" s="7"/>
      <c r="Y902" s="7"/>
      <c r="Z902" s="7"/>
      <c r="AA902" s="7"/>
      <c r="AC902" s="70" t="str">
        <f t="shared" si="27"/>
        <v/>
      </c>
      <c r="AD902" s="75" t="str">
        <f t="shared" si="28"/>
        <v/>
      </c>
      <c r="AH902" t="s">
        <v>3487</v>
      </c>
    </row>
    <row r="903" spans="1:34" outlineLevel="7">
      <c r="A903" s="3499" t="s">
        <v>1812</v>
      </c>
      <c r="B903" s="3499"/>
      <c r="C903" s="7"/>
      <c r="D903" s="7"/>
      <c r="E903" s="14">
        <v>550</v>
      </c>
      <c r="F903" s="7"/>
      <c r="G903" s="7"/>
      <c r="H903" s="8"/>
      <c r="I903" s="9"/>
      <c r="J903" s="7"/>
      <c r="K903" s="7"/>
      <c r="L903" s="7"/>
      <c r="M903" s="14">
        <v>550</v>
      </c>
      <c r="N903" s="14">
        <v>550</v>
      </c>
      <c r="O903" s="14">
        <v>550</v>
      </c>
      <c r="P903" s="7"/>
      <c r="Q903" s="7"/>
      <c r="R903" s="14">
        <v>550</v>
      </c>
      <c r="S903" s="7"/>
      <c r="T903" s="7"/>
      <c r="U903" s="7"/>
      <c r="V903" s="14">
        <v>550</v>
      </c>
      <c r="W903" s="14">
        <v>550</v>
      </c>
      <c r="X903" s="7"/>
      <c r="Y903" s="7"/>
      <c r="Z903" s="7"/>
      <c r="AA903" s="7"/>
      <c r="AC903" s="70">
        <f t="shared" si="27"/>
        <v>550</v>
      </c>
      <c r="AD903" s="75">
        <f t="shared" si="28"/>
        <v>1</v>
      </c>
    </row>
    <row r="904" spans="1:34" outlineLevel="6">
      <c r="A904" s="3501" t="s">
        <v>635</v>
      </c>
      <c r="B904" s="3501"/>
      <c r="C904" s="7"/>
      <c r="D904" s="7"/>
      <c r="E904" s="14">
        <v>550</v>
      </c>
      <c r="F904" s="7"/>
      <c r="G904" s="7"/>
      <c r="H904" s="8"/>
      <c r="I904" s="9"/>
      <c r="J904" s="7"/>
      <c r="K904" s="7"/>
      <c r="L904" s="7"/>
      <c r="M904" s="14">
        <v>550</v>
      </c>
      <c r="N904" s="14">
        <v>550</v>
      </c>
      <c r="O904" s="14">
        <v>550</v>
      </c>
      <c r="P904" s="7"/>
      <c r="Q904" s="7"/>
      <c r="R904" s="14">
        <v>550</v>
      </c>
      <c r="S904" s="7"/>
      <c r="T904" s="7"/>
      <c r="U904" s="14">
        <v>550</v>
      </c>
      <c r="V904" s="7"/>
      <c r="W904" s="7"/>
      <c r="X904" s="7"/>
      <c r="Y904" s="7"/>
      <c r="Z904" s="7"/>
      <c r="AA904" s="7"/>
      <c r="AC904" s="70" t="str">
        <f t="shared" si="27"/>
        <v/>
      </c>
      <c r="AD904" s="75" t="str">
        <f t="shared" si="28"/>
        <v/>
      </c>
    </row>
    <row r="905" spans="1:34" outlineLevel="7">
      <c r="A905" s="3500" t="s">
        <v>636</v>
      </c>
      <c r="B905" s="3500"/>
      <c r="C905" s="7"/>
      <c r="D905" s="7"/>
      <c r="E905" s="14">
        <v>550</v>
      </c>
      <c r="F905" s="7"/>
      <c r="G905" s="7"/>
      <c r="H905" s="8"/>
      <c r="I905" s="9"/>
      <c r="J905" s="7"/>
      <c r="K905" s="7"/>
      <c r="L905" s="7"/>
      <c r="M905" s="14">
        <v>550</v>
      </c>
      <c r="N905" s="14">
        <v>550</v>
      </c>
      <c r="O905" s="14">
        <v>550</v>
      </c>
      <c r="P905" s="7"/>
      <c r="Q905" s="7"/>
      <c r="R905" s="14">
        <v>550</v>
      </c>
      <c r="S905" s="7"/>
      <c r="T905" s="7"/>
      <c r="U905" s="14">
        <v>550</v>
      </c>
      <c r="V905" s="7"/>
      <c r="W905" s="7"/>
      <c r="X905" s="7"/>
      <c r="Y905" s="7"/>
      <c r="Z905" s="7"/>
      <c r="AA905" s="7"/>
      <c r="AC905" s="70" t="str">
        <f t="shared" si="27"/>
        <v/>
      </c>
      <c r="AD905" s="75" t="str">
        <f t="shared" si="28"/>
        <v/>
      </c>
      <c r="AH905" t="s">
        <v>3645</v>
      </c>
    </row>
    <row r="906" spans="1:34" outlineLevel="7">
      <c r="A906" s="3499" t="s">
        <v>1813</v>
      </c>
      <c r="B906" s="3499"/>
      <c r="C906" s="7"/>
      <c r="D906" s="7"/>
      <c r="E906" s="14">
        <v>550</v>
      </c>
      <c r="F906" s="7"/>
      <c r="G906" s="7"/>
      <c r="H906" s="8"/>
      <c r="I906" s="9"/>
      <c r="J906" s="7"/>
      <c r="K906" s="7"/>
      <c r="L906" s="7"/>
      <c r="M906" s="14">
        <v>550</v>
      </c>
      <c r="N906" s="14">
        <v>550</v>
      </c>
      <c r="O906" s="14">
        <v>550</v>
      </c>
      <c r="P906" s="7"/>
      <c r="Q906" s="7"/>
      <c r="R906" s="14">
        <v>550</v>
      </c>
      <c r="S906" s="7"/>
      <c r="T906" s="7"/>
      <c r="U906" s="14">
        <v>550</v>
      </c>
      <c r="V906" s="7"/>
      <c r="W906" s="7"/>
      <c r="X906" s="7"/>
      <c r="Y906" s="7"/>
      <c r="Z906" s="7"/>
      <c r="AA906" s="7"/>
      <c r="AC906" s="70">
        <f t="shared" si="27"/>
        <v>550</v>
      </c>
      <c r="AD906" s="75">
        <f t="shared" si="28"/>
        <v>1</v>
      </c>
    </row>
    <row r="907" spans="1:34" outlineLevel="6">
      <c r="A907" s="3501" t="s">
        <v>637</v>
      </c>
      <c r="B907" s="3501"/>
      <c r="C907" s="7"/>
      <c r="D907" s="7"/>
      <c r="E907" s="14">
        <v>550</v>
      </c>
      <c r="F907" s="7"/>
      <c r="G907" s="7"/>
      <c r="H907" s="8"/>
      <c r="I907" s="9"/>
      <c r="J907" s="7"/>
      <c r="K907" s="7"/>
      <c r="L907" s="7"/>
      <c r="M907" s="14">
        <v>550</v>
      </c>
      <c r="N907" s="14">
        <v>550</v>
      </c>
      <c r="O907" s="14">
        <v>550</v>
      </c>
      <c r="P907" s="7"/>
      <c r="Q907" s="7"/>
      <c r="R907" s="14">
        <v>550</v>
      </c>
      <c r="S907" s="7"/>
      <c r="T907" s="7"/>
      <c r="U907" s="7"/>
      <c r="V907" s="14">
        <v>550</v>
      </c>
      <c r="W907" s="14">
        <v>550</v>
      </c>
      <c r="X907" s="7"/>
      <c r="Y907" s="7"/>
      <c r="Z907" s="7"/>
      <c r="AA907" s="7"/>
      <c r="AC907" s="70" t="str">
        <f t="shared" si="27"/>
        <v/>
      </c>
      <c r="AD907" s="75" t="str">
        <f t="shared" si="28"/>
        <v/>
      </c>
    </row>
    <row r="908" spans="1:34" outlineLevel="7">
      <c r="A908" s="3500" t="s">
        <v>638</v>
      </c>
      <c r="B908" s="3500"/>
      <c r="C908" s="7"/>
      <c r="D908" s="7"/>
      <c r="E908" s="14">
        <v>550</v>
      </c>
      <c r="F908" s="7"/>
      <c r="G908" s="7"/>
      <c r="H908" s="8"/>
      <c r="I908" s="9"/>
      <c r="J908" s="7"/>
      <c r="K908" s="7"/>
      <c r="L908" s="7"/>
      <c r="M908" s="14">
        <v>550</v>
      </c>
      <c r="N908" s="14">
        <v>550</v>
      </c>
      <c r="O908" s="14">
        <v>550</v>
      </c>
      <c r="P908" s="7"/>
      <c r="Q908" s="7"/>
      <c r="R908" s="14">
        <v>550</v>
      </c>
      <c r="S908" s="7"/>
      <c r="T908" s="7"/>
      <c r="U908" s="7"/>
      <c r="V908" s="14">
        <v>550</v>
      </c>
      <c r="W908" s="14">
        <v>550</v>
      </c>
      <c r="X908" s="7"/>
      <c r="Y908" s="7"/>
      <c r="Z908" s="7"/>
      <c r="AA908" s="7"/>
      <c r="AC908" s="70" t="str">
        <f t="shared" si="27"/>
        <v/>
      </c>
      <c r="AD908" s="75" t="str">
        <f t="shared" si="28"/>
        <v/>
      </c>
      <c r="AH908" t="s">
        <v>3400</v>
      </c>
    </row>
    <row r="909" spans="1:34" outlineLevel="7">
      <c r="A909" s="3499" t="s">
        <v>1814</v>
      </c>
      <c r="B909" s="3499"/>
      <c r="C909" s="7"/>
      <c r="D909" s="7"/>
      <c r="E909" s="14">
        <v>550</v>
      </c>
      <c r="F909" s="7"/>
      <c r="G909" s="7"/>
      <c r="H909" s="8"/>
      <c r="I909" s="9"/>
      <c r="J909" s="7"/>
      <c r="K909" s="7"/>
      <c r="L909" s="7"/>
      <c r="M909" s="14">
        <v>550</v>
      </c>
      <c r="N909" s="14">
        <v>550</v>
      </c>
      <c r="O909" s="14">
        <v>550</v>
      </c>
      <c r="P909" s="7"/>
      <c r="Q909" s="7"/>
      <c r="R909" s="14">
        <v>550</v>
      </c>
      <c r="S909" s="7"/>
      <c r="T909" s="7"/>
      <c r="U909" s="7"/>
      <c r="V909" s="14">
        <v>550</v>
      </c>
      <c r="W909" s="14">
        <v>550</v>
      </c>
      <c r="X909" s="7"/>
      <c r="Y909" s="7"/>
      <c r="Z909" s="7"/>
      <c r="AA909" s="7"/>
      <c r="AC909" s="70">
        <f t="shared" si="27"/>
        <v>550</v>
      </c>
      <c r="AD909" s="75">
        <f t="shared" si="28"/>
        <v>1</v>
      </c>
    </row>
    <row r="910" spans="1:34" outlineLevel="6">
      <c r="A910" s="3501" t="s">
        <v>639</v>
      </c>
      <c r="B910" s="3501"/>
      <c r="C910" s="7"/>
      <c r="D910" s="7"/>
      <c r="E910" s="14">
        <v>550</v>
      </c>
      <c r="F910" s="7"/>
      <c r="G910" s="7"/>
      <c r="H910" s="8"/>
      <c r="I910" s="9"/>
      <c r="J910" s="7"/>
      <c r="K910" s="7"/>
      <c r="L910" s="7"/>
      <c r="M910" s="14">
        <v>550</v>
      </c>
      <c r="N910" s="14">
        <v>550</v>
      </c>
      <c r="O910" s="14">
        <v>550</v>
      </c>
      <c r="P910" s="7"/>
      <c r="Q910" s="7"/>
      <c r="R910" s="14">
        <v>550</v>
      </c>
      <c r="S910" s="7"/>
      <c r="T910" s="7"/>
      <c r="U910" s="14">
        <v>550</v>
      </c>
      <c r="V910" s="7"/>
      <c r="W910" s="7"/>
      <c r="X910" s="7"/>
      <c r="Y910" s="7"/>
      <c r="Z910" s="7"/>
      <c r="AA910" s="7"/>
      <c r="AC910" s="70" t="str">
        <f t="shared" si="27"/>
        <v/>
      </c>
      <c r="AD910" s="75" t="str">
        <f t="shared" si="28"/>
        <v/>
      </c>
    </row>
    <row r="911" spans="1:34" outlineLevel="7">
      <c r="A911" s="3500" t="s">
        <v>640</v>
      </c>
      <c r="B911" s="3500"/>
      <c r="C911" s="7"/>
      <c r="D911" s="7"/>
      <c r="E911" s="14">
        <v>550</v>
      </c>
      <c r="F911" s="7"/>
      <c r="G911" s="7"/>
      <c r="H911" s="8"/>
      <c r="I911" s="9"/>
      <c r="J911" s="7"/>
      <c r="K911" s="7"/>
      <c r="L911" s="7"/>
      <c r="M911" s="14">
        <v>550</v>
      </c>
      <c r="N911" s="14">
        <v>550</v>
      </c>
      <c r="O911" s="14">
        <v>550</v>
      </c>
      <c r="P911" s="7"/>
      <c r="Q911" s="7"/>
      <c r="R911" s="14">
        <v>550</v>
      </c>
      <c r="S911" s="7"/>
      <c r="T911" s="7"/>
      <c r="U911" s="14">
        <v>550</v>
      </c>
      <c r="V911" s="7"/>
      <c r="W911" s="7"/>
      <c r="X911" s="7"/>
      <c r="Y911" s="7"/>
      <c r="Z911" s="7"/>
      <c r="AA911" s="7"/>
      <c r="AC911" s="70" t="str">
        <f t="shared" si="27"/>
        <v/>
      </c>
      <c r="AD911" s="75" t="str">
        <f t="shared" si="28"/>
        <v/>
      </c>
      <c r="AH911" t="s">
        <v>3423</v>
      </c>
    </row>
    <row r="912" spans="1:34" outlineLevel="7">
      <c r="A912" s="3499" t="s">
        <v>1815</v>
      </c>
      <c r="B912" s="3499"/>
      <c r="C912" s="7"/>
      <c r="D912" s="7"/>
      <c r="E912" s="14">
        <v>550</v>
      </c>
      <c r="F912" s="7"/>
      <c r="G912" s="7"/>
      <c r="H912" s="8"/>
      <c r="I912" s="9"/>
      <c r="J912" s="7"/>
      <c r="K912" s="7"/>
      <c r="L912" s="7"/>
      <c r="M912" s="14">
        <v>550</v>
      </c>
      <c r="N912" s="14">
        <v>550</v>
      </c>
      <c r="O912" s="14">
        <v>550</v>
      </c>
      <c r="P912" s="7"/>
      <c r="Q912" s="7"/>
      <c r="R912" s="14">
        <v>550</v>
      </c>
      <c r="S912" s="7"/>
      <c r="T912" s="7"/>
      <c r="U912" s="14">
        <v>550</v>
      </c>
      <c r="V912" s="7"/>
      <c r="W912" s="7"/>
      <c r="X912" s="7"/>
      <c r="Y912" s="7"/>
      <c r="Z912" s="7"/>
      <c r="AA912" s="7"/>
      <c r="AC912" s="70">
        <f t="shared" si="27"/>
        <v>550</v>
      </c>
      <c r="AD912" s="75">
        <f t="shared" si="28"/>
        <v>1</v>
      </c>
    </row>
    <row r="913" spans="1:34" outlineLevel="6">
      <c r="A913" s="3501" t="s">
        <v>641</v>
      </c>
      <c r="B913" s="3501"/>
      <c r="C913" s="7"/>
      <c r="D913" s="7"/>
      <c r="E913" s="14">
        <v>550</v>
      </c>
      <c r="F913" s="7"/>
      <c r="G913" s="7"/>
      <c r="H913" s="8"/>
      <c r="I913" s="9"/>
      <c r="J913" s="7"/>
      <c r="K913" s="7"/>
      <c r="L913" s="7"/>
      <c r="M913" s="14">
        <v>550</v>
      </c>
      <c r="N913" s="14">
        <v>550</v>
      </c>
      <c r="O913" s="14">
        <v>550</v>
      </c>
      <c r="P913" s="7"/>
      <c r="Q913" s="7"/>
      <c r="R913" s="14">
        <v>550</v>
      </c>
      <c r="S913" s="7"/>
      <c r="T913" s="7"/>
      <c r="U913" s="14">
        <v>550</v>
      </c>
      <c r="V913" s="7"/>
      <c r="W913" s="7"/>
      <c r="X913" s="7"/>
      <c r="Y913" s="7"/>
      <c r="Z913" s="7"/>
      <c r="AA913" s="7"/>
      <c r="AC913" s="70" t="str">
        <f t="shared" ref="AC913:AC976" si="29">IF(LEFT($A913,5)="Реали",$E913,"")</f>
        <v/>
      </c>
      <c r="AD913" s="75" t="str">
        <f t="shared" ref="AD913:AD976" si="30">IF(AC913=550,1,"")</f>
        <v/>
      </c>
    </row>
    <row r="914" spans="1:34" outlineLevel="7">
      <c r="A914" s="3500" t="s">
        <v>642</v>
      </c>
      <c r="B914" s="3500"/>
      <c r="C914" s="7"/>
      <c r="D914" s="7"/>
      <c r="E914" s="14">
        <v>550</v>
      </c>
      <c r="F914" s="7"/>
      <c r="G914" s="7"/>
      <c r="H914" s="8"/>
      <c r="I914" s="9"/>
      <c r="J914" s="7"/>
      <c r="K914" s="7"/>
      <c r="L914" s="7"/>
      <c r="M914" s="14">
        <v>550</v>
      </c>
      <c r="N914" s="14">
        <v>550</v>
      </c>
      <c r="O914" s="14">
        <v>550</v>
      </c>
      <c r="P914" s="7"/>
      <c r="Q914" s="7"/>
      <c r="R914" s="14">
        <v>550</v>
      </c>
      <c r="S914" s="7"/>
      <c r="T914" s="7"/>
      <c r="U914" s="14">
        <v>550</v>
      </c>
      <c r="V914" s="7"/>
      <c r="W914" s="7"/>
      <c r="X914" s="7"/>
      <c r="Y914" s="7"/>
      <c r="Z914" s="7"/>
      <c r="AA914" s="7"/>
      <c r="AC914" s="70" t="str">
        <f t="shared" si="29"/>
        <v/>
      </c>
      <c r="AD914" s="75" t="str">
        <f t="shared" si="30"/>
        <v/>
      </c>
      <c r="AH914" t="s">
        <v>3495</v>
      </c>
    </row>
    <row r="915" spans="1:34" outlineLevel="7">
      <c r="A915" s="3499" t="s">
        <v>1816</v>
      </c>
      <c r="B915" s="3499"/>
      <c r="C915" s="7"/>
      <c r="D915" s="7"/>
      <c r="E915" s="14">
        <v>550</v>
      </c>
      <c r="F915" s="7"/>
      <c r="G915" s="7"/>
      <c r="H915" s="8"/>
      <c r="I915" s="9"/>
      <c r="J915" s="7"/>
      <c r="K915" s="7"/>
      <c r="L915" s="7"/>
      <c r="M915" s="14">
        <v>550</v>
      </c>
      <c r="N915" s="14">
        <v>550</v>
      </c>
      <c r="O915" s="14">
        <v>550</v>
      </c>
      <c r="P915" s="7"/>
      <c r="Q915" s="7"/>
      <c r="R915" s="14">
        <v>550</v>
      </c>
      <c r="S915" s="7"/>
      <c r="T915" s="7"/>
      <c r="U915" s="14">
        <v>550</v>
      </c>
      <c r="V915" s="7"/>
      <c r="W915" s="7"/>
      <c r="X915" s="7"/>
      <c r="Y915" s="7"/>
      <c r="Z915" s="7"/>
      <c r="AA915" s="7"/>
      <c r="AC915" s="70">
        <f t="shared" si="29"/>
        <v>550</v>
      </c>
      <c r="AD915" s="75">
        <f t="shared" si="30"/>
        <v>1</v>
      </c>
    </row>
    <row r="916" spans="1:34" outlineLevel="6">
      <c r="A916" s="3501" t="s">
        <v>643</v>
      </c>
      <c r="B916" s="3501"/>
      <c r="C916" s="7"/>
      <c r="D916" s="7"/>
      <c r="E916" s="14">
        <v>550</v>
      </c>
      <c r="F916" s="7"/>
      <c r="G916" s="7"/>
      <c r="H916" s="8"/>
      <c r="I916" s="9"/>
      <c r="J916" s="7"/>
      <c r="K916" s="7"/>
      <c r="L916" s="7"/>
      <c r="M916" s="14">
        <v>550</v>
      </c>
      <c r="N916" s="14">
        <v>550</v>
      </c>
      <c r="O916" s="14">
        <v>550</v>
      </c>
      <c r="P916" s="7"/>
      <c r="Q916" s="7"/>
      <c r="R916" s="14">
        <v>550</v>
      </c>
      <c r="S916" s="7"/>
      <c r="T916" s="7"/>
      <c r="U916" s="7"/>
      <c r="V916" s="14">
        <v>550</v>
      </c>
      <c r="W916" s="14">
        <v>550</v>
      </c>
      <c r="X916" s="7"/>
      <c r="Y916" s="7"/>
      <c r="Z916" s="7"/>
      <c r="AA916" s="7"/>
      <c r="AC916" s="70" t="str">
        <f t="shared" si="29"/>
        <v/>
      </c>
      <c r="AD916" s="75" t="str">
        <f t="shared" si="30"/>
        <v/>
      </c>
    </row>
    <row r="917" spans="1:34" outlineLevel="7">
      <c r="A917" s="3500" t="s">
        <v>644</v>
      </c>
      <c r="B917" s="3500"/>
      <c r="C917" s="7"/>
      <c r="D917" s="7"/>
      <c r="E917" s="14">
        <v>550</v>
      </c>
      <c r="F917" s="7"/>
      <c r="G917" s="7"/>
      <c r="H917" s="8"/>
      <c r="I917" s="9"/>
      <c r="J917" s="7"/>
      <c r="K917" s="7"/>
      <c r="L917" s="7"/>
      <c r="M917" s="14">
        <v>550</v>
      </c>
      <c r="N917" s="14">
        <v>550</v>
      </c>
      <c r="O917" s="14">
        <v>550</v>
      </c>
      <c r="P917" s="7"/>
      <c r="Q917" s="7"/>
      <c r="R917" s="14">
        <v>550</v>
      </c>
      <c r="S917" s="7"/>
      <c r="T917" s="7"/>
      <c r="U917" s="7"/>
      <c r="V917" s="14">
        <v>550</v>
      </c>
      <c r="W917" s="14">
        <v>550</v>
      </c>
      <c r="X917" s="7"/>
      <c r="Y917" s="7"/>
      <c r="Z917" s="7"/>
      <c r="AA917" s="7"/>
      <c r="AC917" s="70" t="str">
        <f t="shared" si="29"/>
        <v/>
      </c>
      <c r="AD917" s="75" t="str">
        <f t="shared" si="30"/>
        <v/>
      </c>
      <c r="AH917" t="s">
        <v>3539</v>
      </c>
    </row>
    <row r="918" spans="1:34" outlineLevel="7">
      <c r="A918" s="3499" t="s">
        <v>1817</v>
      </c>
      <c r="B918" s="3499"/>
      <c r="C918" s="7"/>
      <c r="D918" s="7"/>
      <c r="E918" s="14">
        <v>550</v>
      </c>
      <c r="F918" s="7"/>
      <c r="G918" s="7"/>
      <c r="H918" s="8"/>
      <c r="I918" s="9"/>
      <c r="J918" s="7"/>
      <c r="K918" s="7"/>
      <c r="L918" s="7"/>
      <c r="M918" s="14">
        <v>550</v>
      </c>
      <c r="N918" s="14">
        <v>550</v>
      </c>
      <c r="O918" s="14">
        <v>550</v>
      </c>
      <c r="P918" s="7"/>
      <c r="Q918" s="7"/>
      <c r="R918" s="14">
        <v>550</v>
      </c>
      <c r="S918" s="7"/>
      <c r="T918" s="7"/>
      <c r="U918" s="7"/>
      <c r="V918" s="14">
        <v>550</v>
      </c>
      <c r="W918" s="14">
        <v>550</v>
      </c>
      <c r="X918" s="7"/>
      <c r="Y918" s="7"/>
      <c r="Z918" s="7"/>
      <c r="AA918" s="7"/>
      <c r="AC918" s="70">
        <f t="shared" si="29"/>
        <v>550</v>
      </c>
      <c r="AD918" s="75">
        <f t="shared" si="30"/>
        <v>1</v>
      </c>
    </row>
    <row r="919" spans="1:34" outlineLevel="6">
      <c r="A919" s="3501" t="s">
        <v>645</v>
      </c>
      <c r="B919" s="3501"/>
      <c r="C919" s="7"/>
      <c r="D919" s="7"/>
      <c r="E919" s="14">
        <v>550</v>
      </c>
      <c r="F919" s="7"/>
      <c r="G919" s="7"/>
      <c r="H919" s="8"/>
      <c r="I919" s="9"/>
      <c r="J919" s="7"/>
      <c r="K919" s="7"/>
      <c r="L919" s="7"/>
      <c r="M919" s="14">
        <v>550</v>
      </c>
      <c r="N919" s="14">
        <v>550</v>
      </c>
      <c r="O919" s="14">
        <v>550</v>
      </c>
      <c r="P919" s="7"/>
      <c r="Q919" s="7"/>
      <c r="R919" s="14">
        <v>550</v>
      </c>
      <c r="S919" s="7"/>
      <c r="T919" s="7"/>
      <c r="U919" s="7"/>
      <c r="V919" s="14">
        <v>550</v>
      </c>
      <c r="W919" s="14">
        <v>550</v>
      </c>
      <c r="X919" s="7"/>
      <c r="Y919" s="7"/>
      <c r="Z919" s="7"/>
      <c r="AA919" s="7"/>
      <c r="AC919" s="70" t="str">
        <f t="shared" si="29"/>
        <v/>
      </c>
      <c r="AD919" s="75" t="str">
        <f t="shared" si="30"/>
        <v/>
      </c>
    </row>
    <row r="920" spans="1:34" outlineLevel="7">
      <c r="A920" s="3500" t="s">
        <v>646</v>
      </c>
      <c r="B920" s="3500"/>
      <c r="C920" s="7"/>
      <c r="D920" s="7"/>
      <c r="E920" s="14">
        <v>550</v>
      </c>
      <c r="F920" s="7"/>
      <c r="G920" s="7"/>
      <c r="H920" s="8"/>
      <c r="I920" s="9"/>
      <c r="J920" s="7"/>
      <c r="K920" s="7"/>
      <c r="L920" s="7"/>
      <c r="M920" s="14">
        <v>550</v>
      </c>
      <c r="N920" s="14">
        <v>550</v>
      </c>
      <c r="O920" s="14">
        <v>550</v>
      </c>
      <c r="P920" s="7"/>
      <c r="Q920" s="7"/>
      <c r="R920" s="14">
        <v>550</v>
      </c>
      <c r="S920" s="7"/>
      <c r="T920" s="7"/>
      <c r="U920" s="7"/>
      <c r="V920" s="14">
        <v>550</v>
      </c>
      <c r="W920" s="14">
        <v>550</v>
      </c>
      <c r="X920" s="7"/>
      <c r="Y920" s="7"/>
      <c r="Z920" s="7"/>
      <c r="AA920" s="7"/>
      <c r="AC920" s="70" t="str">
        <f t="shared" si="29"/>
        <v/>
      </c>
      <c r="AD920" s="75" t="str">
        <f t="shared" si="30"/>
        <v/>
      </c>
      <c r="AH920" t="s">
        <v>3442</v>
      </c>
    </row>
    <row r="921" spans="1:34" outlineLevel="7">
      <c r="A921" s="3499" t="s">
        <v>1818</v>
      </c>
      <c r="B921" s="3499"/>
      <c r="C921" s="7"/>
      <c r="D921" s="7"/>
      <c r="E921" s="14">
        <v>550</v>
      </c>
      <c r="F921" s="7"/>
      <c r="G921" s="7"/>
      <c r="H921" s="8"/>
      <c r="I921" s="9"/>
      <c r="J921" s="7"/>
      <c r="K921" s="7"/>
      <c r="L921" s="7"/>
      <c r="M921" s="14">
        <v>550</v>
      </c>
      <c r="N921" s="14">
        <v>550</v>
      </c>
      <c r="O921" s="14">
        <v>550</v>
      </c>
      <c r="P921" s="7"/>
      <c r="Q921" s="7"/>
      <c r="R921" s="14">
        <v>550</v>
      </c>
      <c r="S921" s="7"/>
      <c r="T921" s="7"/>
      <c r="U921" s="7"/>
      <c r="V921" s="14">
        <v>550</v>
      </c>
      <c r="W921" s="14">
        <v>550</v>
      </c>
      <c r="X921" s="7"/>
      <c r="Y921" s="7"/>
      <c r="Z921" s="7"/>
      <c r="AA921" s="7"/>
      <c r="AC921" s="70">
        <f t="shared" si="29"/>
        <v>550</v>
      </c>
      <c r="AD921" s="75">
        <f t="shared" si="30"/>
        <v>1</v>
      </c>
    </row>
    <row r="922" spans="1:34" outlineLevel="6">
      <c r="A922" s="3501" t="s">
        <v>647</v>
      </c>
      <c r="B922" s="3501"/>
      <c r="C922" s="7"/>
      <c r="D922" s="7"/>
      <c r="E922" s="14">
        <v>550</v>
      </c>
      <c r="F922" s="7"/>
      <c r="G922" s="7"/>
      <c r="H922" s="8"/>
      <c r="I922" s="9"/>
      <c r="J922" s="7"/>
      <c r="K922" s="7"/>
      <c r="L922" s="7"/>
      <c r="M922" s="14">
        <v>550</v>
      </c>
      <c r="N922" s="14">
        <v>550</v>
      </c>
      <c r="O922" s="14">
        <v>550</v>
      </c>
      <c r="P922" s="7"/>
      <c r="Q922" s="7"/>
      <c r="R922" s="14">
        <v>550</v>
      </c>
      <c r="S922" s="7"/>
      <c r="T922" s="7"/>
      <c r="U922" s="7"/>
      <c r="V922" s="14">
        <v>550</v>
      </c>
      <c r="W922" s="14">
        <v>550</v>
      </c>
      <c r="X922" s="7"/>
      <c r="Y922" s="7"/>
      <c r="Z922" s="7"/>
      <c r="AA922" s="7"/>
      <c r="AC922" s="70" t="str">
        <f t="shared" si="29"/>
        <v/>
      </c>
      <c r="AD922" s="75" t="str">
        <f t="shared" si="30"/>
        <v/>
      </c>
    </row>
    <row r="923" spans="1:34" outlineLevel="7">
      <c r="A923" s="3500" t="s">
        <v>648</v>
      </c>
      <c r="B923" s="3500"/>
      <c r="C923" s="7"/>
      <c r="D923" s="7"/>
      <c r="E923" s="14">
        <v>550</v>
      </c>
      <c r="F923" s="7"/>
      <c r="G923" s="7"/>
      <c r="H923" s="8"/>
      <c r="I923" s="9"/>
      <c r="J923" s="7"/>
      <c r="K923" s="7"/>
      <c r="L923" s="7"/>
      <c r="M923" s="14">
        <v>550</v>
      </c>
      <c r="N923" s="14">
        <v>550</v>
      </c>
      <c r="O923" s="14">
        <v>550</v>
      </c>
      <c r="P923" s="7"/>
      <c r="Q923" s="7"/>
      <c r="R923" s="14">
        <v>550</v>
      </c>
      <c r="S923" s="7"/>
      <c r="T923" s="7"/>
      <c r="U923" s="7"/>
      <c r="V923" s="14">
        <v>550</v>
      </c>
      <c r="W923" s="14">
        <v>550</v>
      </c>
      <c r="X923" s="7"/>
      <c r="Y923" s="7"/>
      <c r="Z923" s="7"/>
      <c r="AA923" s="7"/>
      <c r="AC923" s="70" t="str">
        <f t="shared" si="29"/>
        <v/>
      </c>
      <c r="AD923" s="75" t="str">
        <f t="shared" si="30"/>
        <v/>
      </c>
    </row>
    <row r="924" spans="1:34" outlineLevel="7">
      <c r="A924" s="3499" t="s">
        <v>1819</v>
      </c>
      <c r="B924" s="3499"/>
      <c r="C924" s="7"/>
      <c r="D924" s="7"/>
      <c r="E924" s="14">
        <v>550</v>
      </c>
      <c r="F924" s="7"/>
      <c r="G924" s="7"/>
      <c r="H924" s="8"/>
      <c r="I924" s="9"/>
      <c r="J924" s="7"/>
      <c r="K924" s="7"/>
      <c r="L924" s="7"/>
      <c r="M924" s="14">
        <v>550</v>
      </c>
      <c r="N924" s="14">
        <v>550</v>
      </c>
      <c r="O924" s="14">
        <v>550</v>
      </c>
      <c r="P924" s="7"/>
      <c r="Q924" s="7"/>
      <c r="R924" s="14">
        <v>550</v>
      </c>
      <c r="S924" s="7"/>
      <c r="T924" s="7"/>
      <c r="U924" s="7"/>
      <c r="V924" s="14">
        <v>550</v>
      </c>
      <c r="W924" s="14">
        <v>550</v>
      </c>
      <c r="X924" s="7"/>
      <c r="Y924" s="7"/>
      <c r="Z924" s="7"/>
      <c r="AA924" s="7"/>
      <c r="AC924" s="70">
        <f t="shared" si="29"/>
        <v>550</v>
      </c>
      <c r="AD924" s="75">
        <f t="shared" si="30"/>
        <v>1</v>
      </c>
    </row>
    <row r="925" spans="1:34" outlineLevel="5">
      <c r="A925" s="3504" t="s">
        <v>649</v>
      </c>
      <c r="B925" s="3504"/>
      <c r="C925" s="48"/>
      <c r="D925" s="48"/>
      <c r="E925" s="49">
        <v>290763.08</v>
      </c>
      <c r="F925" s="48"/>
      <c r="G925" s="48"/>
      <c r="H925" s="50"/>
      <c r="I925" s="51"/>
      <c r="J925" s="48"/>
      <c r="K925" s="48"/>
      <c r="L925" s="48"/>
      <c r="M925" s="49">
        <v>290763.08</v>
      </c>
      <c r="N925" s="49">
        <v>290763.08</v>
      </c>
      <c r="O925" s="49">
        <v>290763.08</v>
      </c>
      <c r="P925" s="48"/>
      <c r="Q925" s="48"/>
      <c r="R925" s="49">
        <v>290763.08</v>
      </c>
      <c r="S925" s="48"/>
      <c r="T925" s="48"/>
      <c r="U925" s="49">
        <v>20119.650000000001</v>
      </c>
      <c r="V925" s="49">
        <v>270643.42</v>
      </c>
      <c r="W925" s="49">
        <v>270643.42</v>
      </c>
      <c r="X925" s="52">
        <v>0.01</v>
      </c>
      <c r="Y925" s="52">
        <v>0.01</v>
      </c>
      <c r="Z925" s="48"/>
      <c r="AA925" s="48"/>
      <c r="AC925" s="70" t="str">
        <f t="shared" si="29"/>
        <v/>
      </c>
      <c r="AD925" s="75" t="str">
        <f t="shared" si="30"/>
        <v/>
      </c>
    </row>
    <row r="926" spans="1:34" outlineLevel="6">
      <c r="A926" s="3501" t="s">
        <v>650</v>
      </c>
      <c r="B926" s="3501"/>
      <c r="C926" s="7"/>
      <c r="D926" s="7"/>
      <c r="E926" s="13">
        <v>1100</v>
      </c>
      <c r="F926" s="7"/>
      <c r="G926" s="7"/>
      <c r="H926" s="8"/>
      <c r="I926" s="9"/>
      <c r="J926" s="7"/>
      <c r="K926" s="7"/>
      <c r="L926" s="7"/>
      <c r="M926" s="13">
        <v>1100</v>
      </c>
      <c r="N926" s="13">
        <v>1100</v>
      </c>
      <c r="O926" s="13">
        <v>1100</v>
      </c>
      <c r="P926" s="7"/>
      <c r="Q926" s="7"/>
      <c r="R926" s="13">
        <v>1100</v>
      </c>
      <c r="S926" s="7"/>
      <c r="T926" s="7"/>
      <c r="U926" s="7"/>
      <c r="V926" s="13">
        <v>1100</v>
      </c>
      <c r="W926" s="13">
        <v>1100</v>
      </c>
      <c r="X926" s="7"/>
      <c r="Y926" s="7"/>
      <c r="Z926" s="7"/>
      <c r="AA926" s="7"/>
      <c r="AC926" s="70" t="str">
        <f t="shared" si="29"/>
        <v/>
      </c>
      <c r="AD926" s="75" t="str">
        <f t="shared" si="30"/>
        <v/>
      </c>
    </row>
    <row r="927" spans="1:34" outlineLevel="7">
      <c r="A927" s="3500" t="s">
        <v>651</v>
      </c>
      <c r="B927" s="3500"/>
      <c r="C927" s="7"/>
      <c r="D927" s="7"/>
      <c r="E927" s="14">
        <v>550</v>
      </c>
      <c r="F927" s="7"/>
      <c r="G927" s="7"/>
      <c r="H927" s="8"/>
      <c r="I927" s="9"/>
      <c r="J927" s="7"/>
      <c r="K927" s="7"/>
      <c r="L927" s="7"/>
      <c r="M927" s="14">
        <v>550</v>
      </c>
      <c r="N927" s="14">
        <v>550</v>
      </c>
      <c r="O927" s="14">
        <v>550</v>
      </c>
      <c r="P927" s="7"/>
      <c r="Q927" s="7"/>
      <c r="R927" s="14">
        <v>550</v>
      </c>
      <c r="S927" s="7"/>
      <c r="T927" s="7"/>
      <c r="U927" s="7"/>
      <c r="V927" s="14">
        <v>550</v>
      </c>
      <c r="W927" s="14">
        <v>550</v>
      </c>
      <c r="X927" s="7"/>
      <c r="Y927" s="7"/>
      <c r="Z927" s="7"/>
      <c r="AA927" s="7"/>
      <c r="AC927" s="70" t="str">
        <f t="shared" si="29"/>
        <v/>
      </c>
      <c r="AD927" s="75" t="str">
        <f t="shared" si="30"/>
        <v/>
      </c>
      <c r="AH927" t="s">
        <v>3374</v>
      </c>
    </row>
    <row r="928" spans="1:34" outlineLevel="7">
      <c r="A928" s="3499" t="s">
        <v>1820</v>
      </c>
      <c r="B928" s="3499"/>
      <c r="C928" s="7"/>
      <c r="D928" s="7"/>
      <c r="E928" s="14">
        <v>550</v>
      </c>
      <c r="F928" s="7"/>
      <c r="G928" s="7"/>
      <c r="H928" s="8"/>
      <c r="I928" s="9"/>
      <c r="J928" s="7"/>
      <c r="K928" s="7"/>
      <c r="L928" s="7"/>
      <c r="M928" s="14">
        <v>550</v>
      </c>
      <c r="N928" s="14">
        <v>550</v>
      </c>
      <c r="O928" s="14">
        <v>550</v>
      </c>
      <c r="P928" s="7"/>
      <c r="Q928" s="7"/>
      <c r="R928" s="14">
        <v>550</v>
      </c>
      <c r="S928" s="7"/>
      <c r="T928" s="7"/>
      <c r="U928" s="7"/>
      <c r="V928" s="14">
        <v>550</v>
      </c>
      <c r="W928" s="14">
        <v>550</v>
      </c>
      <c r="X928" s="7"/>
      <c r="Y928" s="7"/>
      <c r="Z928" s="7"/>
      <c r="AA928" s="7"/>
      <c r="AC928" s="70">
        <f t="shared" si="29"/>
        <v>550</v>
      </c>
      <c r="AD928" s="75">
        <f t="shared" si="30"/>
        <v>1</v>
      </c>
    </row>
    <row r="929" spans="1:36" outlineLevel="7">
      <c r="A929" s="3500" t="s">
        <v>652</v>
      </c>
      <c r="B929" s="3500"/>
      <c r="C929" s="7"/>
      <c r="D929" s="7"/>
      <c r="E929" s="14">
        <v>550</v>
      </c>
      <c r="F929" s="7"/>
      <c r="G929" s="7"/>
      <c r="H929" s="8"/>
      <c r="I929" s="9"/>
      <c r="J929" s="7"/>
      <c r="K929" s="7"/>
      <c r="L929" s="7"/>
      <c r="M929" s="14">
        <v>550</v>
      </c>
      <c r="N929" s="14">
        <v>550</v>
      </c>
      <c r="O929" s="14">
        <v>550</v>
      </c>
      <c r="P929" s="7"/>
      <c r="Q929" s="7"/>
      <c r="R929" s="14">
        <v>550</v>
      </c>
      <c r="S929" s="7"/>
      <c r="T929" s="7"/>
      <c r="U929" s="7"/>
      <c r="V929" s="14">
        <v>550</v>
      </c>
      <c r="W929" s="14">
        <v>550</v>
      </c>
      <c r="X929" s="7"/>
      <c r="Y929" s="7"/>
      <c r="Z929" s="7"/>
      <c r="AA929" s="7"/>
      <c r="AC929" s="70" t="str">
        <f t="shared" si="29"/>
        <v/>
      </c>
      <c r="AD929" s="75" t="str">
        <f t="shared" si="30"/>
        <v/>
      </c>
      <c r="AH929" t="s">
        <v>3570</v>
      </c>
    </row>
    <row r="930" spans="1:36" outlineLevel="7">
      <c r="A930" s="3499" t="s">
        <v>1821</v>
      </c>
      <c r="B930" s="3499"/>
      <c r="C930" s="7"/>
      <c r="D930" s="7"/>
      <c r="E930" s="14">
        <v>550</v>
      </c>
      <c r="F930" s="7"/>
      <c r="G930" s="7"/>
      <c r="H930" s="8"/>
      <c r="I930" s="9"/>
      <c r="J930" s="7"/>
      <c r="K930" s="7"/>
      <c r="L930" s="7"/>
      <c r="M930" s="14">
        <v>550</v>
      </c>
      <c r="N930" s="14">
        <v>550</v>
      </c>
      <c r="O930" s="14">
        <v>550</v>
      </c>
      <c r="P930" s="7"/>
      <c r="Q930" s="7"/>
      <c r="R930" s="14">
        <v>550</v>
      </c>
      <c r="S930" s="7"/>
      <c r="T930" s="7"/>
      <c r="U930" s="7"/>
      <c r="V930" s="14">
        <v>550</v>
      </c>
      <c r="W930" s="14">
        <v>550</v>
      </c>
      <c r="X930" s="7"/>
      <c r="Y930" s="7"/>
      <c r="Z930" s="7"/>
      <c r="AA930" s="7"/>
      <c r="AC930" s="70">
        <f t="shared" si="29"/>
        <v>550</v>
      </c>
      <c r="AD930" s="75">
        <f t="shared" si="30"/>
        <v>1</v>
      </c>
    </row>
    <row r="931" spans="1:36" outlineLevel="6">
      <c r="A931" s="3501" t="s">
        <v>653</v>
      </c>
      <c r="B931" s="3501"/>
      <c r="C931" s="7"/>
      <c r="D931" s="7"/>
      <c r="E931" s="14">
        <v>550</v>
      </c>
      <c r="F931" s="7"/>
      <c r="G931" s="7"/>
      <c r="H931" s="8"/>
      <c r="I931" s="9"/>
      <c r="J931" s="7"/>
      <c r="K931" s="7"/>
      <c r="L931" s="7"/>
      <c r="M931" s="14">
        <v>550</v>
      </c>
      <c r="N931" s="14">
        <v>550</v>
      </c>
      <c r="O931" s="14">
        <v>550</v>
      </c>
      <c r="P931" s="7"/>
      <c r="Q931" s="7"/>
      <c r="R931" s="14">
        <v>550</v>
      </c>
      <c r="S931" s="7"/>
      <c r="T931" s="7"/>
      <c r="U931" s="7"/>
      <c r="V931" s="14">
        <v>550</v>
      </c>
      <c r="W931" s="14">
        <v>550</v>
      </c>
      <c r="X931" s="7"/>
      <c r="Y931" s="7"/>
      <c r="Z931" s="7"/>
      <c r="AA931" s="7"/>
      <c r="AC931" s="70" t="str">
        <f t="shared" si="29"/>
        <v/>
      </c>
      <c r="AD931" s="75" t="str">
        <f t="shared" si="30"/>
        <v/>
      </c>
    </row>
    <row r="932" spans="1:36" outlineLevel="7">
      <c r="A932" s="3500" t="s">
        <v>654</v>
      </c>
      <c r="B932" s="3500"/>
      <c r="C932" s="7"/>
      <c r="D932" s="7"/>
      <c r="E932" s="14">
        <v>550</v>
      </c>
      <c r="F932" s="7"/>
      <c r="G932" s="7"/>
      <c r="H932" s="8"/>
      <c r="I932" s="9"/>
      <c r="J932" s="7"/>
      <c r="K932" s="7"/>
      <c r="L932" s="7"/>
      <c r="M932" s="14">
        <v>550</v>
      </c>
      <c r="N932" s="14">
        <v>550</v>
      </c>
      <c r="O932" s="14">
        <v>550</v>
      </c>
      <c r="P932" s="7"/>
      <c r="Q932" s="7"/>
      <c r="R932" s="14">
        <v>550</v>
      </c>
      <c r="S932" s="7"/>
      <c r="T932" s="7"/>
      <c r="U932" s="7"/>
      <c r="V932" s="14">
        <v>550</v>
      </c>
      <c r="W932" s="14">
        <v>550</v>
      </c>
      <c r="X932" s="7"/>
      <c r="Y932" s="7"/>
      <c r="Z932" s="7"/>
      <c r="AA932" s="7"/>
      <c r="AC932" s="70" t="str">
        <f t="shared" si="29"/>
        <v/>
      </c>
      <c r="AD932" s="75" t="str">
        <f t="shared" si="30"/>
        <v/>
      </c>
      <c r="AH932" t="s">
        <v>3441</v>
      </c>
    </row>
    <row r="933" spans="1:36" outlineLevel="7">
      <c r="A933" s="3499" t="s">
        <v>1822</v>
      </c>
      <c r="B933" s="3499"/>
      <c r="C933" s="7"/>
      <c r="D933" s="7"/>
      <c r="E933" s="14">
        <v>550</v>
      </c>
      <c r="F933" s="7"/>
      <c r="G933" s="7"/>
      <c r="H933" s="8"/>
      <c r="I933" s="9"/>
      <c r="J933" s="7"/>
      <c r="K933" s="7"/>
      <c r="L933" s="7"/>
      <c r="M933" s="14">
        <v>550</v>
      </c>
      <c r="N933" s="14">
        <v>550</v>
      </c>
      <c r="O933" s="14">
        <v>550</v>
      </c>
      <c r="P933" s="7"/>
      <c r="Q933" s="7"/>
      <c r="R933" s="14">
        <v>550</v>
      </c>
      <c r="S933" s="7"/>
      <c r="T933" s="7"/>
      <c r="U933" s="7"/>
      <c r="V933" s="14">
        <v>550</v>
      </c>
      <c r="W933" s="14">
        <v>550</v>
      </c>
      <c r="X933" s="7"/>
      <c r="Y933" s="7"/>
      <c r="Z933" s="7"/>
      <c r="AA933" s="7"/>
      <c r="AC933" s="70">
        <f t="shared" si="29"/>
        <v>550</v>
      </c>
      <c r="AD933" s="75">
        <f t="shared" si="30"/>
        <v>1</v>
      </c>
    </row>
    <row r="934" spans="1:36" outlineLevel="6">
      <c r="A934" s="3501" t="s">
        <v>655</v>
      </c>
      <c r="B934" s="3501"/>
      <c r="C934" s="7"/>
      <c r="D934" s="7"/>
      <c r="E934" s="14">
        <v>550</v>
      </c>
      <c r="F934" s="7"/>
      <c r="G934" s="7"/>
      <c r="H934" s="8"/>
      <c r="I934" s="9"/>
      <c r="J934" s="7"/>
      <c r="K934" s="7"/>
      <c r="L934" s="7"/>
      <c r="M934" s="14">
        <v>550</v>
      </c>
      <c r="N934" s="14">
        <v>550</v>
      </c>
      <c r="O934" s="14">
        <v>550</v>
      </c>
      <c r="P934" s="7"/>
      <c r="Q934" s="7"/>
      <c r="R934" s="14">
        <v>550</v>
      </c>
      <c r="S934" s="7"/>
      <c r="T934" s="7"/>
      <c r="U934" s="7"/>
      <c r="V934" s="14">
        <v>550</v>
      </c>
      <c r="W934" s="14">
        <v>550</v>
      </c>
      <c r="X934" s="7"/>
      <c r="Y934" s="7"/>
      <c r="Z934" s="7"/>
      <c r="AA934" s="7"/>
      <c r="AC934" s="70" t="str">
        <f t="shared" si="29"/>
        <v/>
      </c>
      <c r="AD934" s="75" t="str">
        <f t="shared" si="30"/>
        <v/>
      </c>
    </row>
    <row r="935" spans="1:36" outlineLevel="7">
      <c r="A935" s="3500" t="s">
        <v>656</v>
      </c>
      <c r="B935" s="3500"/>
      <c r="C935" s="7"/>
      <c r="D935" s="7"/>
      <c r="E935" s="14">
        <v>550</v>
      </c>
      <c r="F935" s="7"/>
      <c r="G935" s="7"/>
      <c r="H935" s="8"/>
      <c r="I935" s="9"/>
      <c r="J935" s="7"/>
      <c r="K935" s="7"/>
      <c r="L935" s="7"/>
      <c r="M935" s="14">
        <v>550</v>
      </c>
      <c r="N935" s="14">
        <v>550</v>
      </c>
      <c r="O935" s="14">
        <v>550</v>
      </c>
      <c r="P935" s="7"/>
      <c r="Q935" s="7"/>
      <c r="R935" s="14">
        <v>550</v>
      </c>
      <c r="S935" s="7"/>
      <c r="T935" s="7"/>
      <c r="U935" s="7"/>
      <c r="V935" s="14">
        <v>550</v>
      </c>
      <c r="W935" s="14">
        <v>550</v>
      </c>
      <c r="X935" s="7"/>
      <c r="Y935" s="7"/>
      <c r="Z935" s="7"/>
      <c r="AA935" s="7"/>
      <c r="AC935" s="70" t="str">
        <f t="shared" si="29"/>
        <v/>
      </c>
      <c r="AD935" s="75" t="str">
        <f t="shared" si="30"/>
        <v/>
      </c>
      <c r="AH935" t="s">
        <v>2684</v>
      </c>
    </row>
    <row r="936" spans="1:36" outlineLevel="7">
      <c r="A936" s="3499" t="s">
        <v>1823</v>
      </c>
      <c r="B936" s="3499"/>
      <c r="C936" s="7"/>
      <c r="D936" s="7"/>
      <c r="E936" s="14">
        <v>550</v>
      </c>
      <c r="F936" s="7"/>
      <c r="G936" s="7"/>
      <c r="H936" s="8"/>
      <c r="I936" s="9"/>
      <c r="J936" s="7"/>
      <c r="K936" s="7"/>
      <c r="L936" s="7"/>
      <c r="M936" s="14">
        <v>550</v>
      </c>
      <c r="N936" s="14">
        <v>550</v>
      </c>
      <c r="O936" s="14">
        <v>550</v>
      </c>
      <c r="P936" s="7"/>
      <c r="Q936" s="7"/>
      <c r="R936" s="14">
        <v>550</v>
      </c>
      <c r="S936" s="7"/>
      <c r="T936" s="7"/>
      <c r="U936" s="7"/>
      <c r="V936" s="14">
        <v>550</v>
      </c>
      <c r="W936" s="14">
        <v>550</v>
      </c>
      <c r="X936" s="7"/>
      <c r="Y936" s="7"/>
      <c r="Z936" s="7"/>
      <c r="AA936" s="7"/>
      <c r="AC936" s="70">
        <f t="shared" si="29"/>
        <v>550</v>
      </c>
      <c r="AD936" s="75">
        <f t="shared" si="30"/>
        <v>1</v>
      </c>
    </row>
    <row r="937" spans="1:36" outlineLevel="6">
      <c r="A937" s="3501" t="s">
        <v>657</v>
      </c>
      <c r="B937" s="3501"/>
      <c r="C937" s="7"/>
      <c r="D937" s="7"/>
      <c r="E937" s="14">
        <v>550</v>
      </c>
      <c r="F937" s="7"/>
      <c r="G937" s="7"/>
      <c r="H937" s="8"/>
      <c r="I937" s="9"/>
      <c r="J937" s="7"/>
      <c r="K937" s="7"/>
      <c r="L937" s="7"/>
      <c r="M937" s="14">
        <v>550</v>
      </c>
      <c r="N937" s="14">
        <v>550</v>
      </c>
      <c r="O937" s="14">
        <v>550</v>
      </c>
      <c r="P937" s="7"/>
      <c r="Q937" s="7"/>
      <c r="R937" s="14">
        <v>550</v>
      </c>
      <c r="S937" s="7"/>
      <c r="T937" s="7"/>
      <c r="U937" s="7"/>
      <c r="V937" s="14">
        <v>550</v>
      </c>
      <c r="W937" s="14">
        <v>550</v>
      </c>
      <c r="X937" s="7"/>
      <c r="Y937" s="7"/>
      <c r="Z937" s="7"/>
      <c r="AA937" s="7"/>
      <c r="AC937" s="70" t="str">
        <f t="shared" si="29"/>
        <v/>
      </c>
      <c r="AD937" s="75" t="str">
        <f t="shared" si="30"/>
        <v/>
      </c>
    </row>
    <row r="938" spans="1:36" outlineLevel="7">
      <c r="A938" s="3500" t="s">
        <v>658</v>
      </c>
      <c r="B938" s="3500"/>
      <c r="C938" s="7"/>
      <c r="D938" s="7"/>
      <c r="E938" s="14">
        <v>550</v>
      </c>
      <c r="F938" s="7"/>
      <c r="G938" s="7"/>
      <c r="H938" s="8"/>
      <c r="I938" s="9"/>
      <c r="J938" s="7"/>
      <c r="K938" s="7"/>
      <c r="L938" s="7"/>
      <c r="M938" s="14">
        <v>550</v>
      </c>
      <c r="N938" s="14">
        <v>550</v>
      </c>
      <c r="O938" s="14">
        <v>550</v>
      </c>
      <c r="P938" s="7"/>
      <c r="Q938" s="7"/>
      <c r="R938" s="14">
        <v>550</v>
      </c>
      <c r="S938" s="7"/>
      <c r="T938" s="7"/>
      <c r="U938" s="7"/>
      <c r="V938" s="14">
        <v>550</v>
      </c>
      <c r="W938" s="14">
        <v>550</v>
      </c>
      <c r="X938" s="7"/>
      <c r="Y938" s="7"/>
      <c r="Z938" s="7"/>
      <c r="AA938" s="7"/>
      <c r="AC938" s="70" t="str">
        <f t="shared" si="29"/>
        <v/>
      </c>
      <c r="AD938" s="75" t="str">
        <f t="shared" si="30"/>
        <v/>
      </c>
      <c r="AH938" t="s">
        <v>3367</v>
      </c>
    </row>
    <row r="939" spans="1:36" outlineLevel="7">
      <c r="A939" s="3499" t="s">
        <v>1824</v>
      </c>
      <c r="B939" s="3499"/>
      <c r="C939" s="7"/>
      <c r="D939" s="7"/>
      <c r="E939" s="14">
        <v>550</v>
      </c>
      <c r="F939" s="7"/>
      <c r="G939" s="7"/>
      <c r="H939" s="8"/>
      <c r="I939" s="9"/>
      <c r="J939" s="7"/>
      <c r="K939" s="7"/>
      <c r="L939" s="7"/>
      <c r="M939" s="14">
        <v>550</v>
      </c>
      <c r="N939" s="14">
        <v>550</v>
      </c>
      <c r="O939" s="14">
        <v>550</v>
      </c>
      <c r="P939" s="7"/>
      <c r="Q939" s="7"/>
      <c r="R939" s="14">
        <v>550</v>
      </c>
      <c r="S939" s="7"/>
      <c r="T939" s="7"/>
      <c r="U939" s="7"/>
      <c r="V939" s="14">
        <v>550</v>
      </c>
      <c r="W939" s="14">
        <v>550</v>
      </c>
      <c r="X939" s="7"/>
      <c r="Y939" s="7"/>
      <c r="Z939" s="7"/>
      <c r="AA939" s="7"/>
      <c r="AC939" s="70">
        <f t="shared" si="29"/>
        <v>550</v>
      </c>
      <c r="AD939" s="75">
        <f t="shared" si="30"/>
        <v>1</v>
      </c>
    </row>
    <row r="940" spans="1:36" outlineLevel="6">
      <c r="A940" s="3501" t="s">
        <v>659</v>
      </c>
      <c r="B940" s="3501"/>
      <c r="C940" s="7"/>
      <c r="D940" s="7"/>
      <c r="E940" s="13">
        <v>5046.8599999999997</v>
      </c>
      <c r="F940" s="7"/>
      <c r="G940" s="7"/>
      <c r="H940" s="8"/>
      <c r="I940" s="9"/>
      <c r="J940" s="7"/>
      <c r="K940" s="7"/>
      <c r="L940" s="7"/>
      <c r="M940" s="13">
        <v>5046.8599999999997</v>
      </c>
      <c r="N940" s="13">
        <v>5046.8599999999997</v>
      </c>
      <c r="O940" s="13">
        <v>5046.8599999999997</v>
      </c>
      <c r="P940" s="7"/>
      <c r="Q940" s="7"/>
      <c r="R940" s="13">
        <v>5046.8599999999997</v>
      </c>
      <c r="S940" s="7"/>
      <c r="T940" s="7"/>
      <c r="U940" s="13">
        <v>4496.8599999999997</v>
      </c>
      <c r="V940" s="14">
        <v>550</v>
      </c>
      <c r="W940" s="14">
        <v>550</v>
      </c>
      <c r="X940" s="7"/>
      <c r="Y940" s="7"/>
      <c r="Z940" s="7"/>
      <c r="AA940" s="7"/>
      <c r="AC940" s="70" t="str">
        <f t="shared" si="29"/>
        <v/>
      </c>
      <c r="AD940" s="75" t="str">
        <f t="shared" si="30"/>
        <v/>
      </c>
    </row>
    <row r="941" spans="1:36" outlineLevel="7">
      <c r="A941" s="3500" t="s">
        <v>660</v>
      </c>
      <c r="B941" s="3500"/>
      <c r="C941" s="7"/>
      <c r="D941" s="7"/>
      <c r="E941" s="14">
        <v>550</v>
      </c>
      <c r="F941" s="7"/>
      <c r="G941" s="7"/>
      <c r="H941" s="8"/>
      <c r="I941" s="9"/>
      <c r="J941" s="7"/>
      <c r="K941" s="7"/>
      <c r="L941" s="7"/>
      <c r="M941" s="14">
        <v>550</v>
      </c>
      <c r="N941" s="14">
        <v>550</v>
      </c>
      <c r="O941" s="14">
        <v>550</v>
      </c>
      <c r="P941" s="7"/>
      <c r="Q941" s="7"/>
      <c r="R941" s="14">
        <v>550</v>
      </c>
      <c r="S941" s="7"/>
      <c r="T941" s="7"/>
      <c r="U941" s="7"/>
      <c r="V941" s="14">
        <v>550</v>
      </c>
      <c r="W941" s="14">
        <v>550</v>
      </c>
      <c r="X941" s="7"/>
      <c r="Y941" s="7"/>
      <c r="Z941" s="7"/>
      <c r="AA941" s="7"/>
      <c r="AC941" s="70" t="str">
        <f t="shared" si="29"/>
        <v/>
      </c>
      <c r="AD941" s="75" t="str">
        <f t="shared" si="30"/>
        <v/>
      </c>
      <c r="AH941" t="s">
        <v>3396</v>
      </c>
    </row>
    <row r="942" spans="1:36" outlineLevel="7">
      <c r="A942" s="3499" t="s">
        <v>1825</v>
      </c>
      <c r="B942" s="3499"/>
      <c r="C942" s="7"/>
      <c r="D942" s="7"/>
      <c r="E942" s="14">
        <v>550</v>
      </c>
      <c r="F942" s="7"/>
      <c r="G942" s="7"/>
      <c r="H942" s="8"/>
      <c r="I942" s="9"/>
      <c r="J942" s="7"/>
      <c r="K942" s="7"/>
      <c r="L942" s="7"/>
      <c r="M942" s="14">
        <v>550</v>
      </c>
      <c r="N942" s="14">
        <v>550</v>
      </c>
      <c r="O942" s="14">
        <v>550</v>
      </c>
      <c r="P942" s="7"/>
      <c r="Q942" s="7"/>
      <c r="R942" s="14">
        <v>550</v>
      </c>
      <c r="S942" s="7"/>
      <c r="T942" s="7"/>
      <c r="U942" s="7"/>
      <c r="V942" s="14">
        <v>550</v>
      </c>
      <c r="W942" s="14">
        <v>550</v>
      </c>
      <c r="X942" s="7"/>
      <c r="Y942" s="7"/>
      <c r="Z942" s="7"/>
      <c r="AA942" s="7"/>
      <c r="AC942" s="70">
        <f t="shared" si="29"/>
        <v>550</v>
      </c>
      <c r="AD942" s="75">
        <f t="shared" si="30"/>
        <v>1</v>
      </c>
    </row>
    <row r="943" spans="1:36" outlineLevel="7">
      <c r="A943" s="3500" t="s">
        <v>661</v>
      </c>
      <c r="B943" s="3500"/>
      <c r="C943" s="7"/>
      <c r="D943" s="7"/>
      <c r="E943" s="13">
        <v>4496.8599999999997</v>
      </c>
      <c r="F943" s="7"/>
      <c r="G943" s="7"/>
      <c r="H943" s="8"/>
      <c r="I943" s="9"/>
      <c r="J943" s="7"/>
      <c r="K943" s="7"/>
      <c r="L943" s="7"/>
      <c r="M943" s="13">
        <v>4496.8599999999997</v>
      </c>
      <c r="N943" s="13">
        <v>4496.8599999999997</v>
      </c>
      <c r="O943" s="13">
        <v>4496.8599999999997</v>
      </c>
      <c r="P943" s="7"/>
      <c r="Q943" s="7"/>
      <c r="R943" s="13">
        <v>4496.8599999999997</v>
      </c>
      <c r="S943" s="7"/>
      <c r="T943" s="7"/>
      <c r="U943" s="13">
        <v>4496.8599999999997</v>
      </c>
      <c r="V943" s="7"/>
      <c r="W943" s="7"/>
      <c r="X943" s="7"/>
      <c r="Y943" s="7"/>
      <c r="Z943" s="7"/>
      <c r="AA943" s="7"/>
      <c r="AC943" s="70" t="str">
        <f t="shared" si="29"/>
        <v/>
      </c>
      <c r="AD943" s="75" t="str">
        <f t="shared" si="30"/>
        <v/>
      </c>
      <c r="AH943" s="1" t="s">
        <v>3592</v>
      </c>
      <c r="AJ943" s="1"/>
    </row>
    <row r="944" spans="1:36" outlineLevel="7">
      <c r="A944" s="3499" t="s">
        <v>1826</v>
      </c>
      <c r="B944" s="3499"/>
      <c r="C944" s="7"/>
      <c r="D944" s="7"/>
      <c r="E944" s="13">
        <v>4496.8599999999997</v>
      </c>
      <c r="F944" s="7"/>
      <c r="G944" s="7"/>
      <c r="H944" s="8"/>
      <c r="I944" s="9"/>
      <c r="J944" s="7"/>
      <c r="K944" s="7"/>
      <c r="L944" s="7"/>
      <c r="M944" s="13">
        <v>4496.8599999999997</v>
      </c>
      <c r="N944" s="13">
        <v>4496.8599999999997</v>
      </c>
      <c r="O944" s="13">
        <v>4496.8599999999997</v>
      </c>
      <c r="P944" s="7"/>
      <c r="Q944" s="7"/>
      <c r="R944" s="13">
        <v>4496.8599999999997</v>
      </c>
      <c r="S944" s="7"/>
      <c r="T944" s="7"/>
      <c r="U944" s="13">
        <v>4496.8599999999997</v>
      </c>
      <c r="V944" s="7"/>
      <c r="W944" s="7"/>
      <c r="X944" s="7"/>
      <c r="Y944" s="7"/>
      <c r="Z944" s="7"/>
      <c r="AA944" s="7"/>
      <c r="AC944" s="70">
        <f t="shared" si="29"/>
        <v>4496.8599999999997</v>
      </c>
      <c r="AD944" s="75" t="str">
        <f t="shared" si="30"/>
        <v/>
      </c>
      <c r="AG944">
        <f>AC944</f>
        <v>4496.8599999999997</v>
      </c>
    </row>
    <row r="945" spans="1:36" outlineLevel="6">
      <c r="A945" s="3501" t="s">
        <v>662</v>
      </c>
      <c r="B945" s="3501"/>
      <c r="C945" s="7"/>
      <c r="D945" s="7"/>
      <c r="E945" s="14">
        <v>550</v>
      </c>
      <c r="F945" s="7"/>
      <c r="G945" s="7"/>
      <c r="H945" s="8"/>
      <c r="I945" s="9"/>
      <c r="J945" s="7"/>
      <c r="K945" s="7"/>
      <c r="L945" s="7"/>
      <c r="M945" s="14">
        <v>550</v>
      </c>
      <c r="N945" s="14">
        <v>550</v>
      </c>
      <c r="O945" s="14">
        <v>550</v>
      </c>
      <c r="P945" s="7"/>
      <c r="Q945" s="7"/>
      <c r="R945" s="14">
        <v>550</v>
      </c>
      <c r="S945" s="7"/>
      <c r="T945" s="7"/>
      <c r="U945" s="7"/>
      <c r="V945" s="14">
        <v>550</v>
      </c>
      <c r="W945" s="14">
        <v>550</v>
      </c>
      <c r="X945" s="7"/>
      <c r="Y945" s="7"/>
      <c r="Z945" s="7"/>
      <c r="AA945" s="7"/>
      <c r="AC945" s="70" t="str">
        <f t="shared" si="29"/>
        <v/>
      </c>
      <c r="AD945" s="75" t="str">
        <f t="shared" si="30"/>
        <v/>
      </c>
    </row>
    <row r="946" spans="1:36" outlineLevel="7">
      <c r="A946" s="3500" t="s">
        <v>663</v>
      </c>
      <c r="B946" s="3500"/>
      <c r="C946" s="7"/>
      <c r="D946" s="7"/>
      <c r="E946" s="14">
        <v>550</v>
      </c>
      <c r="F946" s="7"/>
      <c r="G946" s="7"/>
      <c r="H946" s="8"/>
      <c r="I946" s="9"/>
      <c r="J946" s="7"/>
      <c r="K946" s="7"/>
      <c r="L946" s="7"/>
      <c r="M946" s="14">
        <v>550</v>
      </c>
      <c r="N946" s="14">
        <v>550</v>
      </c>
      <c r="O946" s="14">
        <v>550</v>
      </c>
      <c r="P946" s="7"/>
      <c r="Q946" s="7"/>
      <c r="R946" s="14">
        <v>550</v>
      </c>
      <c r="S946" s="7"/>
      <c r="T946" s="7"/>
      <c r="U946" s="7"/>
      <c r="V946" s="14">
        <v>550</v>
      </c>
      <c r="W946" s="14">
        <v>550</v>
      </c>
      <c r="X946" s="7"/>
      <c r="Y946" s="7"/>
      <c r="Z946" s="7"/>
      <c r="AA946" s="7"/>
      <c r="AC946" s="70" t="str">
        <f t="shared" si="29"/>
        <v/>
      </c>
      <c r="AD946" s="75" t="str">
        <f t="shared" si="30"/>
        <v/>
      </c>
      <c r="AH946" t="s">
        <v>3575</v>
      </c>
    </row>
    <row r="947" spans="1:36" outlineLevel="7">
      <c r="A947" s="3499" t="s">
        <v>1827</v>
      </c>
      <c r="B947" s="3499"/>
      <c r="C947" s="7"/>
      <c r="D947" s="7"/>
      <c r="E947" s="14">
        <v>550</v>
      </c>
      <c r="F947" s="7"/>
      <c r="G947" s="7"/>
      <c r="H947" s="8"/>
      <c r="I947" s="9"/>
      <c r="J947" s="7"/>
      <c r="K947" s="7"/>
      <c r="L947" s="7"/>
      <c r="M947" s="14">
        <v>550</v>
      </c>
      <c r="N947" s="14">
        <v>550</v>
      </c>
      <c r="O947" s="14">
        <v>550</v>
      </c>
      <c r="P947" s="7"/>
      <c r="Q947" s="7"/>
      <c r="R947" s="14">
        <v>550</v>
      </c>
      <c r="S947" s="7"/>
      <c r="T947" s="7"/>
      <c r="U947" s="7"/>
      <c r="V947" s="14">
        <v>550</v>
      </c>
      <c r="W947" s="14">
        <v>550</v>
      </c>
      <c r="X947" s="7"/>
      <c r="Y947" s="7"/>
      <c r="Z947" s="7"/>
      <c r="AA947" s="7"/>
      <c r="AC947" s="70">
        <f t="shared" si="29"/>
        <v>550</v>
      </c>
      <c r="AD947" s="75">
        <f t="shared" si="30"/>
        <v>1</v>
      </c>
    </row>
    <row r="948" spans="1:36" outlineLevel="6">
      <c r="A948" s="3501" t="s">
        <v>664</v>
      </c>
      <c r="B948" s="3501"/>
      <c r="C948" s="7"/>
      <c r="D948" s="7"/>
      <c r="E948" s="14">
        <v>550</v>
      </c>
      <c r="F948" s="7"/>
      <c r="G948" s="7"/>
      <c r="H948" s="8"/>
      <c r="I948" s="9"/>
      <c r="J948" s="7"/>
      <c r="K948" s="7"/>
      <c r="L948" s="7"/>
      <c r="M948" s="14">
        <v>550</v>
      </c>
      <c r="N948" s="14">
        <v>550</v>
      </c>
      <c r="O948" s="14">
        <v>550</v>
      </c>
      <c r="P948" s="7"/>
      <c r="Q948" s="7"/>
      <c r="R948" s="14">
        <v>550</v>
      </c>
      <c r="S948" s="7"/>
      <c r="T948" s="7"/>
      <c r="U948" s="14">
        <v>550</v>
      </c>
      <c r="V948" s="7"/>
      <c r="W948" s="7"/>
      <c r="X948" s="7"/>
      <c r="Y948" s="7"/>
      <c r="Z948" s="7"/>
      <c r="AA948" s="7"/>
      <c r="AC948" s="70" t="str">
        <f t="shared" si="29"/>
        <v/>
      </c>
      <c r="AD948" s="75" t="str">
        <f t="shared" si="30"/>
        <v/>
      </c>
    </row>
    <row r="949" spans="1:36" outlineLevel="7">
      <c r="A949" s="3500" t="s">
        <v>665</v>
      </c>
      <c r="B949" s="3500"/>
      <c r="C949" s="7"/>
      <c r="D949" s="7"/>
      <c r="E949" s="14">
        <v>550</v>
      </c>
      <c r="F949" s="7"/>
      <c r="G949" s="7"/>
      <c r="H949" s="8"/>
      <c r="I949" s="9"/>
      <c r="J949" s="7"/>
      <c r="K949" s="7"/>
      <c r="L949" s="7"/>
      <c r="M949" s="14">
        <v>550</v>
      </c>
      <c r="N949" s="14">
        <v>550</v>
      </c>
      <c r="O949" s="14">
        <v>550</v>
      </c>
      <c r="P949" s="7"/>
      <c r="Q949" s="7"/>
      <c r="R949" s="14">
        <v>550</v>
      </c>
      <c r="S949" s="7"/>
      <c r="T949" s="7"/>
      <c r="U949" s="14">
        <v>550</v>
      </c>
      <c r="V949" s="7"/>
      <c r="W949" s="7"/>
      <c r="X949" s="7"/>
      <c r="Y949" s="7"/>
      <c r="Z949" s="7"/>
      <c r="AA949" s="7"/>
      <c r="AC949" s="70" t="str">
        <f t="shared" si="29"/>
        <v/>
      </c>
      <c r="AD949" s="75" t="str">
        <f t="shared" si="30"/>
        <v/>
      </c>
      <c r="AH949" t="s">
        <v>3578</v>
      </c>
    </row>
    <row r="950" spans="1:36" outlineLevel="7">
      <c r="A950" s="3499" t="s">
        <v>1828</v>
      </c>
      <c r="B950" s="3499"/>
      <c r="C950" s="7"/>
      <c r="D950" s="7"/>
      <c r="E950" s="14">
        <v>550</v>
      </c>
      <c r="F950" s="7"/>
      <c r="G950" s="7"/>
      <c r="H950" s="8"/>
      <c r="I950" s="9"/>
      <c r="J950" s="7"/>
      <c r="K950" s="7"/>
      <c r="L950" s="7"/>
      <c r="M950" s="14">
        <v>550</v>
      </c>
      <c r="N950" s="14">
        <v>550</v>
      </c>
      <c r="O950" s="14">
        <v>550</v>
      </c>
      <c r="P950" s="7"/>
      <c r="Q950" s="7"/>
      <c r="R950" s="14">
        <v>550</v>
      </c>
      <c r="S950" s="7"/>
      <c r="T950" s="7"/>
      <c r="U950" s="14">
        <v>550</v>
      </c>
      <c r="V950" s="7"/>
      <c r="W950" s="7"/>
      <c r="X950" s="7"/>
      <c r="Y950" s="7"/>
      <c r="Z950" s="7"/>
      <c r="AA950" s="7"/>
      <c r="AC950" s="70">
        <f t="shared" si="29"/>
        <v>550</v>
      </c>
      <c r="AD950" s="75">
        <f t="shared" si="30"/>
        <v>1</v>
      </c>
    </row>
    <row r="951" spans="1:36" outlineLevel="6">
      <c r="A951" s="3501" t="s">
        <v>666</v>
      </c>
      <c r="B951" s="3501"/>
      <c r="C951" s="7"/>
      <c r="D951" s="7"/>
      <c r="E951" s="13">
        <v>29771.75</v>
      </c>
      <c r="F951" s="7"/>
      <c r="G951" s="7"/>
      <c r="H951" s="8"/>
      <c r="I951" s="9"/>
      <c r="J951" s="7"/>
      <c r="K951" s="7"/>
      <c r="L951" s="7"/>
      <c r="M951" s="13">
        <v>29771.75</v>
      </c>
      <c r="N951" s="13">
        <v>29771.75</v>
      </c>
      <c r="O951" s="13">
        <v>29771.75</v>
      </c>
      <c r="P951" s="7"/>
      <c r="Q951" s="7"/>
      <c r="R951" s="13">
        <v>29771.75</v>
      </c>
      <c r="S951" s="7"/>
      <c r="T951" s="7"/>
      <c r="U951" s="7"/>
      <c r="V951" s="13">
        <v>29771.75</v>
      </c>
      <c r="W951" s="13">
        <v>29771.75</v>
      </c>
      <c r="X951" s="7"/>
      <c r="Y951" s="7"/>
      <c r="Z951" s="7"/>
      <c r="AA951" s="7"/>
      <c r="AC951" s="70" t="str">
        <f t="shared" si="29"/>
        <v/>
      </c>
      <c r="AD951" s="75" t="str">
        <f t="shared" si="30"/>
        <v/>
      </c>
    </row>
    <row r="952" spans="1:36" outlineLevel="7">
      <c r="A952" s="3500" t="s">
        <v>667</v>
      </c>
      <c r="B952" s="3500"/>
      <c r="C952" s="7"/>
      <c r="D952" s="7"/>
      <c r="E952" s="13">
        <v>4295.79</v>
      </c>
      <c r="F952" s="7"/>
      <c r="G952" s="7"/>
      <c r="H952" s="8"/>
      <c r="I952" s="9"/>
      <c r="J952" s="7"/>
      <c r="K952" s="7"/>
      <c r="L952" s="7"/>
      <c r="M952" s="13">
        <v>4295.79</v>
      </c>
      <c r="N952" s="13">
        <v>4295.79</v>
      </c>
      <c r="O952" s="13">
        <v>4295.79</v>
      </c>
      <c r="P952" s="7"/>
      <c r="Q952" s="7"/>
      <c r="R952" s="13">
        <v>4295.79</v>
      </c>
      <c r="S952" s="7"/>
      <c r="T952" s="7"/>
      <c r="U952" s="7"/>
      <c r="V952" s="13">
        <v>4295.79</v>
      </c>
      <c r="W952" s="13">
        <v>4295.79</v>
      </c>
      <c r="X952" s="7"/>
      <c r="Y952" s="7"/>
      <c r="Z952" s="7"/>
      <c r="AA952" s="7"/>
      <c r="AC952" s="70" t="str">
        <f t="shared" si="29"/>
        <v/>
      </c>
      <c r="AD952" s="75" t="str">
        <f t="shared" si="30"/>
        <v/>
      </c>
      <c r="AH952" s="1" t="s">
        <v>3590</v>
      </c>
      <c r="AJ952" s="1"/>
    </row>
    <row r="953" spans="1:36" outlineLevel="7">
      <c r="A953" s="3499" t="s">
        <v>1829</v>
      </c>
      <c r="B953" s="3499"/>
      <c r="C953" s="7"/>
      <c r="D953" s="7"/>
      <c r="E953" s="13">
        <v>4295.79</v>
      </c>
      <c r="F953" s="7"/>
      <c r="G953" s="7"/>
      <c r="H953" s="8"/>
      <c r="I953" s="9"/>
      <c r="J953" s="7"/>
      <c r="K953" s="7"/>
      <c r="L953" s="7"/>
      <c r="M953" s="13">
        <v>4295.79</v>
      </c>
      <c r="N953" s="13">
        <v>4295.79</v>
      </c>
      <c r="O953" s="13">
        <v>4295.79</v>
      </c>
      <c r="P953" s="7"/>
      <c r="Q953" s="7"/>
      <c r="R953" s="13">
        <v>4295.79</v>
      </c>
      <c r="S953" s="7"/>
      <c r="T953" s="7"/>
      <c r="U953" s="7"/>
      <c r="V953" s="13">
        <v>4295.79</v>
      </c>
      <c r="W953" s="13">
        <v>4295.79</v>
      </c>
      <c r="X953" s="7"/>
      <c r="Y953" s="7"/>
      <c r="Z953" s="7"/>
      <c r="AA953" s="7"/>
      <c r="AC953" s="70">
        <f t="shared" si="29"/>
        <v>4295.79</v>
      </c>
      <c r="AD953" s="75" t="str">
        <f t="shared" si="30"/>
        <v/>
      </c>
      <c r="AG953">
        <f>AC953</f>
        <v>4295.79</v>
      </c>
    </row>
    <row r="954" spans="1:36" outlineLevel="7">
      <c r="A954" s="3500" t="s">
        <v>668</v>
      </c>
      <c r="B954" s="3500"/>
      <c r="C954" s="7"/>
      <c r="D954" s="7"/>
      <c r="E954" s="13">
        <v>15170</v>
      </c>
      <c r="F954" s="7"/>
      <c r="G954" s="7"/>
      <c r="H954" s="8"/>
      <c r="I954" s="9"/>
      <c r="J954" s="7"/>
      <c r="K954" s="7"/>
      <c r="L954" s="7"/>
      <c r="M954" s="13">
        <v>15170</v>
      </c>
      <c r="N954" s="13">
        <v>15170</v>
      </c>
      <c r="O954" s="13">
        <v>15170</v>
      </c>
      <c r="P954" s="7"/>
      <c r="Q954" s="7"/>
      <c r="R954" s="13">
        <v>15170</v>
      </c>
      <c r="S954" s="7"/>
      <c r="T954" s="7"/>
      <c r="U954" s="7"/>
      <c r="V954" s="13">
        <v>15170</v>
      </c>
      <c r="W954" s="13">
        <v>15170</v>
      </c>
      <c r="X954" s="7"/>
      <c r="Y954" s="7"/>
      <c r="Z954" s="7"/>
      <c r="AA954" s="7"/>
      <c r="AC954" s="70" t="str">
        <f t="shared" si="29"/>
        <v/>
      </c>
      <c r="AD954" s="75" t="str">
        <f t="shared" si="30"/>
        <v/>
      </c>
      <c r="AH954" s="1" t="s">
        <v>2778</v>
      </c>
      <c r="AJ954" s="1"/>
    </row>
    <row r="955" spans="1:36" outlineLevel="7">
      <c r="A955" s="3499" t="s">
        <v>1830</v>
      </c>
      <c r="B955" s="3499"/>
      <c r="C955" s="7"/>
      <c r="D955" s="7"/>
      <c r="E955" s="13">
        <v>15170</v>
      </c>
      <c r="F955" s="7"/>
      <c r="G955" s="7"/>
      <c r="H955" s="8"/>
      <c r="I955" s="9"/>
      <c r="J955" s="7"/>
      <c r="K955" s="7"/>
      <c r="L955" s="7"/>
      <c r="M955" s="13">
        <v>15170</v>
      </c>
      <c r="N955" s="13">
        <v>15170</v>
      </c>
      <c r="O955" s="13">
        <v>15170</v>
      </c>
      <c r="P955" s="7"/>
      <c r="Q955" s="7"/>
      <c r="R955" s="13">
        <v>15170</v>
      </c>
      <c r="S955" s="7"/>
      <c r="T955" s="7"/>
      <c r="U955" s="7"/>
      <c r="V955" s="13">
        <v>15170</v>
      </c>
      <c r="W955" s="13">
        <v>15170</v>
      </c>
      <c r="X955" s="7"/>
      <c r="Y955" s="7"/>
      <c r="Z955" s="7"/>
      <c r="AA955" s="7"/>
      <c r="AC955" s="70">
        <f t="shared" si="29"/>
        <v>15170</v>
      </c>
      <c r="AD955" s="75" t="str">
        <f t="shared" si="30"/>
        <v/>
      </c>
      <c r="AG955">
        <f>AC955</f>
        <v>15170</v>
      </c>
    </row>
    <row r="956" spans="1:36" outlineLevel="7">
      <c r="A956" s="3500" t="s">
        <v>669</v>
      </c>
      <c r="B956" s="3500"/>
      <c r="C956" s="7"/>
      <c r="D956" s="7"/>
      <c r="E956" s="13">
        <v>8956.9</v>
      </c>
      <c r="F956" s="7"/>
      <c r="G956" s="7"/>
      <c r="H956" s="8"/>
      <c r="I956" s="9"/>
      <c r="J956" s="7"/>
      <c r="K956" s="7"/>
      <c r="L956" s="7"/>
      <c r="M956" s="13">
        <v>8956.9</v>
      </c>
      <c r="N956" s="13">
        <v>8956.9</v>
      </c>
      <c r="O956" s="13">
        <v>8956.9</v>
      </c>
      <c r="P956" s="7"/>
      <c r="Q956" s="7"/>
      <c r="R956" s="13">
        <v>8956.9</v>
      </c>
      <c r="S956" s="7"/>
      <c r="T956" s="7"/>
      <c r="U956" s="7"/>
      <c r="V956" s="13">
        <v>8956.9</v>
      </c>
      <c r="W956" s="13">
        <v>8956.9</v>
      </c>
      <c r="X956" s="7"/>
      <c r="Y956" s="7"/>
      <c r="Z956" s="7"/>
      <c r="AA956" s="7"/>
      <c r="AC956" s="70" t="str">
        <f t="shared" si="29"/>
        <v/>
      </c>
      <c r="AD956" s="75" t="str">
        <f t="shared" si="30"/>
        <v/>
      </c>
      <c r="AH956" s="1" t="s">
        <v>2776</v>
      </c>
      <c r="AJ956" s="1"/>
    </row>
    <row r="957" spans="1:36" outlineLevel="7">
      <c r="A957" s="3499" t="s">
        <v>1831</v>
      </c>
      <c r="B957" s="3499"/>
      <c r="C957" s="7"/>
      <c r="D957" s="7"/>
      <c r="E957" s="13">
        <v>8956.9</v>
      </c>
      <c r="F957" s="7"/>
      <c r="G957" s="7"/>
      <c r="H957" s="8"/>
      <c r="I957" s="9"/>
      <c r="J957" s="7"/>
      <c r="K957" s="7"/>
      <c r="L957" s="7"/>
      <c r="M957" s="13">
        <v>8956.9</v>
      </c>
      <c r="N957" s="13">
        <v>8956.9</v>
      </c>
      <c r="O957" s="13">
        <v>8956.9</v>
      </c>
      <c r="P957" s="7"/>
      <c r="Q957" s="7"/>
      <c r="R957" s="13">
        <v>8956.9</v>
      </c>
      <c r="S957" s="7"/>
      <c r="T957" s="7"/>
      <c r="U957" s="7"/>
      <c r="V957" s="13">
        <v>8956.9</v>
      </c>
      <c r="W957" s="13">
        <v>8956.9</v>
      </c>
      <c r="X957" s="7"/>
      <c r="Y957" s="7"/>
      <c r="Z957" s="7"/>
      <c r="AA957" s="7"/>
      <c r="AC957" s="70">
        <f t="shared" si="29"/>
        <v>8956.9</v>
      </c>
      <c r="AD957" s="75" t="str">
        <f t="shared" si="30"/>
        <v/>
      </c>
      <c r="AG957">
        <f>AC957</f>
        <v>8956.9</v>
      </c>
    </row>
    <row r="958" spans="1:36" outlineLevel="7">
      <c r="A958" s="3500" t="s">
        <v>670</v>
      </c>
      <c r="B958" s="3500"/>
      <c r="C958" s="7"/>
      <c r="D958" s="7"/>
      <c r="E958" s="13">
        <v>1349.06</v>
      </c>
      <c r="F958" s="7"/>
      <c r="G958" s="7"/>
      <c r="H958" s="8"/>
      <c r="I958" s="9"/>
      <c r="J958" s="7"/>
      <c r="K958" s="7"/>
      <c r="L958" s="7"/>
      <c r="M958" s="13">
        <v>1349.06</v>
      </c>
      <c r="N958" s="13">
        <v>1349.06</v>
      </c>
      <c r="O958" s="13">
        <v>1349.06</v>
      </c>
      <c r="P958" s="7"/>
      <c r="Q958" s="7"/>
      <c r="R958" s="13">
        <v>1349.06</v>
      </c>
      <c r="S958" s="7"/>
      <c r="T958" s="7"/>
      <c r="U958" s="7"/>
      <c r="V958" s="13">
        <v>1349.06</v>
      </c>
      <c r="W958" s="13">
        <v>1349.06</v>
      </c>
      <c r="X958" s="7"/>
      <c r="Y958" s="7"/>
      <c r="Z958" s="7"/>
      <c r="AA958" s="7"/>
      <c r="AC958" s="70" t="str">
        <f t="shared" si="29"/>
        <v/>
      </c>
      <c r="AD958" s="75" t="str">
        <f t="shared" si="30"/>
        <v/>
      </c>
      <c r="AH958" s="1" t="s">
        <v>3612</v>
      </c>
    </row>
    <row r="959" spans="1:36" outlineLevel="7">
      <c r="A959" s="3499" t="s">
        <v>1832</v>
      </c>
      <c r="B959" s="3499"/>
      <c r="C959" s="7"/>
      <c r="D959" s="7"/>
      <c r="E959" s="13">
        <v>1349.06</v>
      </c>
      <c r="F959" s="7"/>
      <c r="G959" s="7"/>
      <c r="H959" s="8"/>
      <c r="I959" s="9"/>
      <c r="J959" s="7"/>
      <c r="K959" s="7"/>
      <c r="L959" s="7"/>
      <c r="M959" s="13">
        <v>1349.06</v>
      </c>
      <c r="N959" s="13">
        <v>1349.06</v>
      </c>
      <c r="O959" s="13">
        <v>1349.06</v>
      </c>
      <c r="P959" s="7"/>
      <c r="Q959" s="7"/>
      <c r="R959" s="13">
        <v>1349.06</v>
      </c>
      <c r="S959" s="7"/>
      <c r="T959" s="7"/>
      <c r="U959" s="7"/>
      <c r="V959" s="13">
        <v>1349.06</v>
      </c>
      <c r="W959" s="13">
        <v>1349.06</v>
      </c>
      <c r="X959" s="7"/>
      <c r="Y959" s="7"/>
      <c r="Z959" s="7"/>
      <c r="AA959" s="7"/>
      <c r="AC959" s="70">
        <f t="shared" si="29"/>
        <v>1349.06</v>
      </c>
      <c r="AD959" s="75" t="str">
        <f t="shared" si="30"/>
        <v/>
      </c>
      <c r="AG959">
        <f>AC959</f>
        <v>1349.06</v>
      </c>
      <c r="AJ959" s="1"/>
    </row>
    <row r="960" spans="1:36" outlineLevel="6">
      <c r="A960" s="3501" t="s">
        <v>671</v>
      </c>
      <c r="B960" s="3501"/>
      <c r="C960" s="7"/>
      <c r="D960" s="7"/>
      <c r="E960" s="14">
        <v>550</v>
      </c>
      <c r="F960" s="7"/>
      <c r="G960" s="7"/>
      <c r="H960" s="8"/>
      <c r="I960" s="9"/>
      <c r="J960" s="7"/>
      <c r="K960" s="7"/>
      <c r="L960" s="7"/>
      <c r="M960" s="14">
        <v>550</v>
      </c>
      <c r="N960" s="14">
        <v>550</v>
      </c>
      <c r="O960" s="14">
        <v>550</v>
      </c>
      <c r="P960" s="7"/>
      <c r="Q960" s="7"/>
      <c r="R960" s="14">
        <v>550</v>
      </c>
      <c r="S960" s="7"/>
      <c r="T960" s="7"/>
      <c r="U960" s="7"/>
      <c r="V960" s="14">
        <v>550</v>
      </c>
      <c r="W960" s="14">
        <v>550</v>
      </c>
      <c r="X960" s="7"/>
      <c r="Y960" s="7"/>
      <c r="Z960" s="7"/>
      <c r="AA960" s="7"/>
      <c r="AC960" s="70" t="str">
        <f t="shared" si="29"/>
        <v/>
      </c>
      <c r="AD960" s="75" t="str">
        <f t="shared" si="30"/>
        <v/>
      </c>
    </row>
    <row r="961" spans="1:36" outlineLevel="7">
      <c r="A961" s="3500" t="s">
        <v>672</v>
      </c>
      <c r="B961" s="3500"/>
      <c r="C961" s="7"/>
      <c r="D961" s="7"/>
      <c r="E961" s="14">
        <v>550</v>
      </c>
      <c r="F961" s="7"/>
      <c r="G961" s="7"/>
      <c r="H961" s="8"/>
      <c r="I961" s="9"/>
      <c r="J961" s="7"/>
      <c r="K961" s="7"/>
      <c r="L961" s="7"/>
      <c r="M961" s="14">
        <v>550</v>
      </c>
      <c r="N961" s="14">
        <v>550</v>
      </c>
      <c r="O961" s="14">
        <v>550</v>
      </c>
      <c r="P961" s="7"/>
      <c r="Q961" s="7"/>
      <c r="R961" s="14">
        <v>550</v>
      </c>
      <c r="S961" s="7"/>
      <c r="T961" s="7"/>
      <c r="U961" s="7"/>
      <c r="V961" s="14">
        <v>550</v>
      </c>
      <c r="W961" s="14">
        <v>550</v>
      </c>
      <c r="X961" s="7"/>
      <c r="Y961" s="7"/>
      <c r="Z961" s="7"/>
      <c r="AA961" s="7"/>
      <c r="AC961" s="70" t="str">
        <f t="shared" si="29"/>
        <v/>
      </c>
      <c r="AD961" s="75" t="str">
        <f t="shared" si="30"/>
        <v/>
      </c>
      <c r="AH961" t="s">
        <v>3436</v>
      </c>
    </row>
    <row r="962" spans="1:36" outlineLevel="7">
      <c r="A962" s="3499" t="s">
        <v>1833</v>
      </c>
      <c r="B962" s="3499"/>
      <c r="C962" s="7"/>
      <c r="D962" s="7"/>
      <c r="E962" s="14">
        <v>550</v>
      </c>
      <c r="F962" s="7"/>
      <c r="G962" s="7"/>
      <c r="H962" s="8"/>
      <c r="I962" s="9"/>
      <c r="J962" s="7"/>
      <c r="K962" s="7"/>
      <c r="L962" s="7"/>
      <c r="M962" s="14">
        <v>550</v>
      </c>
      <c r="N962" s="14">
        <v>550</v>
      </c>
      <c r="O962" s="14">
        <v>550</v>
      </c>
      <c r="P962" s="7"/>
      <c r="Q962" s="7"/>
      <c r="R962" s="14">
        <v>550</v>
      </c>
      <c r="S962" s="7"/>
      <c r="T962" s="7"/>
      <c r="U962" s="7"/>
      <c r="V962" s="14">
        <v>550</v>
      </c>
      <c r="W962" s="14">
        <v>550</v>
      </c>
      <c r="X962" s="7"/>
      <c r="Y962" s="7"/>
      <c r="Z962" s="7"/>
      <c r="AA962" s="7"/>
      <c r="AC962" s="70">
        <f t="shared" si="29"/>
        <v>550</v>
      </c>
      <c r="AD962" s="75">
        <f t="shared" si="30"/>
        <v>1</v>
      </c>
    </row>
    <row r="963" spans="1:36" outlineLevel="6">
      <c r="A963" s="3501" t="s">
        <v>673</v>
      </c>
      <c r="B963" s="3501"/>
      <c r="C963" s="7"/>
      <c r="D963" s="7"/>
      <c r="E963" s="14">
        <v>550</v>
      </c>
      <c r="F963" s="7"/>
      <c r="G963" s="7"/>
      <c r="H963" s="8"/>
      <c r="I963" s="9"/>
      <c r="J963" s="7"/>
      <c r="K963" s="7"/>
      <c r="L963" s="7"/>
      <c r="M963" s="14">
        <v>550</v>
      </c>
      <c r="N963" s="14">
        <v>550</v>
      </c>
      <c r="O963" s="14">
        <v>550</v>
      </c>
      <c r="P963" s="7"/>
      <c r="Q963" s="7"/>
      <c r="R963" s="14">
        <v>550</v>
      </c>
      <c r="S963" s="7"/>
      <c r="T963" s="7"/>
      <c r="U963" s="7"/>
      <c r="V963" s="14">
        <v>550</v>
      </c>
      <c r="W963" s="14">
        <v>550</v>
      </c>
      <c r="X963" s="7"/>
      <c r="Y963" s="7"/>
      <c r="Z963" s="7"/>
      <c r="AA963" s="7"/>
      <c r="AC963" s="70" t="str">
        <f t="shared" si="29"/>
        <v/>
      </c>
      <c r="AD963" s="75" t="str">
        <f t="shared" si="30"/>
        <v/>
      </c>
    </row>
    <row r="964" spans="1:36" outlineLevel="7">
      <c r="A964" s="3500" t="s">
        <v>674</v>
      </c>
      <c r="B964" s="3500"/>
      <c r="C964" s="7"/>
      <c r="D964" s="7"/>
      <c r="E964" s="14">
        <v>550</v>
      </c>
      <c r="F964" s="7"/>
      <c r="G964" s="7"/>
      <c r="H964" s="8"/>
      <c r="I964" s="9"/>
      <c r="J964" s="7"/>
      <c r="K964" s="7"/>
      <c r="L964" s="7"/>
      <c r="M964" s="14">
        <v>550</v>
      </c>
      <c r="N964" s="14">
        <v>550</v>
      </c>
      <c r="O964" s="14">
        <v>550</v>
      </c>
      <c r="P964" s="7"/>
      <c r="Q964" s="7"/>
      <c r="R964" s="14">
        <v>550</v>
      </c>
      <c r="S964" s="7"/>
      <c r="T964" s="7"/>
      <c r="U964" s="7"/>
      <c r="V964" s="14">
        <v>550</v>
      </c>
      <c r="W964" s="14">
        <v>550</v>
      </c>
      <c r="X964" s="7"/>
      <c r="Y964" s="7"/>
      <c r="Z964" s="7"/>
      <c r="AA964" s="7"/>
      <c r="AC964" s="70" t="str">
        <f t="shared" si="29"/>
        <v/>
      </c>
      <c r="AD964" s="75" t="str">
        <f t="shared" si="30"/>
        <v/>
      </c>
      <c r="AH964" t="s">
        <v>3376</v>
      </c>
    </row>
    <row r="965" spans="1:36" outlineLevel="7">
      <c r="A965" s="3499" t="s">
        <v>1834</v>
      </c>
      <c r="B965" s="3499"/>
      <c r="C965" s="7"/>
      <c r="D965" s="7"/>
      <c r="E965" s="14">
        <v>550</v>
      </c>
      <c r="F965" s="7"/>
      <c r="G965" s="7"/>
      <c r="H965" s="8"/>
      <c r="I965" s="9"/>
      <c r="J965" s="7"/>
      <c r="K965" s="7"/>
      <c r="L965" s="7"/>
      <c r="M965" s="14">
        <v>550</v>
      </c>
      <c r="N965" s="14">
        <v>550</v>
      </c>
      <c r="O965" s="14">
        <v>550</v>
      </c>
      <c r="P965" s="7"/>
      <c r="Q965" s="7"/>
      <c r="R965" s="14">
        <v>550</v>
      </c>
      <c r="S965" s="7"/>
      <c r="T965" s="7"/>
      <c r="U965" s="7"/>
      <c r="V965" s="14">
        <v>550</v>
      </c>
      <c r="W965" s="14">
        <v>550</v>
      </c>
      <c r="X965" s="7"/>
      <c r="Y965" s="7"/>
      <c r="Z965" s="7"/>
      <c r="AA965" s="7"/>
      <c r="AC965" s="70">
        <f t="shared" si="29"/>
        <v>550</v>
      </c>
      <c r="AD965" s="75">
        <f t="shared" si="30"/>
        <v>1</v>
      </c>
    </row>
    <row r="966" spans="1:36" outlineLevel="6">
      <c r="A966" s="3501" t="s">
        <v>675</v>
      </c>
      <c r="B966" s="3501"/>
      <c r="C966" s="7"/>
      <c r="D966" s="7"/>
      <c r="E966" s="14">
        <v>550</v>
      </c>
      <c r="F966" s="7"/>
      <c r="G966" s="7"/>
      <c r="H966" s="8"/>
      <c r="I966" s="9"/>
      <c r="J966" s="7"/>
      <c r="K966" s="7"/>
      <c r="L966" s="7"/>
      <c r="M966" s="14">
        <v>550</v>
      </c>
      <c r="N966" s="14">
        <v>550</v>
      </c>
      <c r="O966" s="14">
        <v>550</v>
      </c>
      <c r="P966" s="7"/>
      <c r="Q966" s="7"/>
      <c r="R966" s="14">
        <v>550</v>
      </c>
      <c r="S966" s="7"/>
      <c r="T966" s="7"/>
      <c r="U966" s="7"/>
      <c r="V966" s="14">
        <v>550</v>
      </c>
      <c r="W966" s="14">
        <v>550</v>
      </c>
      <c r="X966" s="7"/>
      <c r="Y966" s="7"/>
      <c r="Z966" s="7"/>
      <c r="AA966" s="7"/>
      <c r="AC966" s="70" t="str">
        <f t="shared" si="29"/>
        <v/>
      </c>
      <c r="AD966" s="75" t="str">
        <f t="shared" si="30"/>
        <v/>
      </c>
    </row>
    <row r="967" spans="1:36" outlineLevel="7">
      <c r="A967" s="3500" t="s">
        <v>676</v>
      </c>
      <c r="B967" s="3500"/>
      <c r="C967" s="7"/>
      <c r="D967" s="7"/>
      <c r="E967" s="14">
        <v>550</v>
      </c>
      <c r="F967" s="7"/>
      <c r="G967" s="7"/>
      <c r="H967" s="8"/>
      <c r="I967" s="9"/>
      <c r="J967" s="7"/>
      <c r="K967" s="7"/>
      <c r="L967" s="7"/>
      <c r="M967" s="14">
        <v>550</v>
      </c>
      <c r="N967" s="14">
        <v>550</v>
      </c>
      <c r="O967" s="14">
        <v>550</v>
      </c>
      <c r="P967" s="7"/>
      <c r="Q967" s="7"/>
      <c r="R967" s="14">
        <v>550</v>
      </c>
      <c r="S967" s="7"/>
      <c r="T967" s="7"/>
      <c r="U967" s="7"/>
      <c r="V967" s="14">
        <v>550</v>
      </c>
      <c r="W967" s="14">
        <v>550</v>
      </c>
      <c r="X967" s="7"/>
      <c r="Y967" s="7"/>
      <c r="Z967" s="7"/>
      <c r="AA967" s="7"/>
      <c r="AC967" s="70" t="str">
        <f t="shared" si="29"/>
        <v/>
      </c>
      <c r="AD967" s="75" t="str">
        <f t="shared" si="30"/>
        <v/>
      </c>
      <c r="AH967" t="s">
        <v>3646</v>
      </c>
    </row>
    <row r="968" spans="1:36" outlineLevel="7">
      <c r="A968" s="3499" t="s">
        <v>1835</v>
      </c>
      <c r="B968" s="3499"/>
      <c r="C968" s="7"/>
      <c r="D968" s="7"/>
      <c r="E968" s="14">
        <v>550</v>
      </c>
      <c r="F968" s="7"/>
      <c r="G968" s="7"/>
      <c r="H968" s="8"/>
      <c r="I968" s="9"/>
      <c r="J968" s="7"/>
      <c r="K968" s="7"/>
      <c r="L968" s="7"/>
      <c r="M968" s="14">
        <v>550</v>
      </c>
      <c r="N968" s="14">
        <v>550</v>
      </c>
      <c r="O968" s="14">
        <v>550</v>
      </c>
      <c r="P968" s="7"/>
      <c r="Q968" s="7"/>
      <c r="R968" s="14">
        <v>550</v>
      </c>
      <c r="S968" s="7"/>
      <c r="T968" s="7"/>
      <c r="U968" s="7"/>
      <c r="V968" s="14">
        <v>550</v>
      </c>
      <c r="W968" s="14">
        <v>550</v>
      </c>
      <c r="X968" s="7"/>
      <c r="Y968" s="7"/>
      <c r="Z968" s="7"/>
      <c r="AA968" s="7"/>
      <c r="AC968" s="70">
        <f t="shared" si="29"/>
        <v>550</v>
      </c>
      <c r="AD968" s="75">
        <f t="shared" si="30"/>
        <v>1</v>
      </c>
    </row>
    <row r="969" spans="1:36" outlineLevel="6">
      <c r="A969" s="3501" t="s">
        <v>677</v>
      </c>
      <c r="B969" s="3501"/>
      <c r="C969" s="7"/>
      <c r="D969" s="7"/>
      <c r="E969" s="13">
        <v>200787.19</v>
      </c>
      <c r="F969" s="7"/>
      <c r="G969" s="7"/>
      <c r="H969" s="8"/>
      <c r="I969" s="9"/>
      <c r="J969" s="7"/>
      <c r="K969" s="7"/>
      <c r="L969" s="7"/>
      <c r="M969" s="13">
        <v>200787.19</v>
      </c>
      <c r="N969" s="13">
        <v>200787.19</v>
      </c>
      <c r="O969" s="13">
        <v>200787.19</v>
      </c>
      <c r="P969" s="7"/>
      <c r="Q969" s="7"/>
      <c r="R969" s="13">
        <v>200787.19</v>
      </c>
      <c r="S969" s="7"/>
      <c r="T969" s="7"/>
      <c r="U969" s="7"/>
      <c r="V969" s="13">
        <v>200787.18</v>
      </c>
      <c r="W969" s="13">
        <v>200787.18</v>
      </c>
      <c r="X969" s="14">
        <v>0.01</v>
      </c>
      <c r="Y969" s="14">
        <v>0.01</v>
      </c>
      <c r="Z969" s="7"/>
      <c r="AA969" s="7"/>
      <c r="AC969" s="70" t="str">
        <f t="shared" si="29"/>
        <v/>
      </c>
      <c r="AD969" s="75" t="str">
        <f t="shared" si="30"/>
        <v/>
      </c>
    </row>
    <row r="970" spans="1:36" outlineLevel="7">
      <c r="A970" s="3500" t="s">
        <v>678</v>
      </c>
      <c r="B970" s="3500"/>
      <c r="C970" s="7"/>
      <c r="D970" s="7"/>
      <c r="E970" s="13">
        <v>73321.66</v>
      </c>
      <c r="F970" s="7"/>
      <c r="G970" s="7"/>
      <c r="H970" s="8"/>
      <c r="I970" s="9"/>
      <c r="J970" s="7"/>
      <c r="K970" s="7"/>
      <c r="L970" s="7"/>
      <c r="M970" s="13">
        <v>73321.66</v>
      </c>
      <c r="N970" s="13">
        <v>73321.66</v>
      </c>
      <c r="O970" s="13">
        <v>73321.66</v>
      </c>
      <c r="P970" s="7"/>
      <c r="Q970" s="7"/>
      <c r="R970" s="13">
        <v>73321.66</v>
      </c>
      <c r="S970" s="7"/>
      <c r="T970" s="7"/>
      <c r="U970" s="7"/>
      <c r="V970" s="13">
        <v>73321.649999999994</v>
      </c>
      <c r="W970" s="13">
        <v>73321.649999999994</v>
      </c>
      <c r="X970" s="14">
        <v>0.01</v>
      </c>
      <c r="Y970" s="14">
        <v>0.01</v>
      </c>
      <c r="Z970" s="7"/>
      <c r="AA970" s="7"/>
      <c r="AC970" s="70" t="str">
        <f t="shared" si="29"/>
        <v/>
      </c>
      <c r="AD970" s="75" t="str">
        <f t="shared" si="30"/>
        <v/>
      </c>
      <c r="AF970">
        <f>E969/1.18</f>
        <v>170158.63559322036</v>
      </c>
      <c r="AH970" s="1" t="s">
        <v>2788</v>
      </c>
      <c r="AJ970" s="1"/>
    </row>
    <row r="971" spans="1:36" outlineLevel="7">
      <c r="A971" s="3499" t="s">
        <v>1836</v>
      </c>
      <c r="B971" s="3499"/>
      <c r="C971" s="7"/>
      <c r="D971" s="7"/>
      <c r="E971" s="13">
        <v>73321.66</v>
      </c>
      <c r="F971" s="7"/>
      <c r="G971" s="7"/>
      <c r="H971" s="8"/>
      <c r="I971" s="9"/>
      <c r="J971" s="7"/>
      <c r="K971" s="7"/>
      <c r="L971" s="7"/>
      <c r="M971" s="13">
        <v>73321.66</v>
      </c>
      <c r="N971" s="13">
        <v>73321.66</v>
      </c>
      <c r="O971" s="13">
        <v>73321.66</v>
      </c>
      <c r="P971" s="7"/>
      <c r="Q971" s="7"/>
      <c r="R971" s="13">
        <v>73321.66</v>
      </c>
      <c r="S971" s="7"/>
      <c r="T971" s="7"/>
      <c r="U971" s="7"/>
      <c r="V971" s="13">
        <v>73321.649999999994</v>
      </c>
      <c r="W971" s="13">
        <v>73321.649999999994</v>
      </c>
      <c r="X971" s="14">
        <v>0.01</v>
      </c>
      <c r="Y971" s="14">
        <v>0.01</v>
      </c>
      <c r="Z971" s="7"/>
      <c r="AA971" s="7"/>
      <c r="AC971" s="70">
        <f t="shared" si="29"/>
        <v>73321.66</v>
      </c>
      <c r="AD971" s="75" t="str">
        <f t="shared" si="30"/>
        <v/>
      </c>
      <c r="AG971">
        <f>AC971</f>
        <v>73321.66</v>
      </c>
    </row>
    <row r="972" spans="1:36" outlineLevel="7">
      <c r="A972" s="3500" t="s">
        <v>679</v>
      </c>
      <c r="B972" s="3500"/>
      <c r="C972" s="7"/>
      <c r="D972" s="7"/>
      <c r="E972" s="13">
        <v>40453.33</v>
      </c>
      <c r="F972" s="7"/>
      <c r="G972" s="7"/>
      <c r="H972" s="8"/>
      <c r="I972" s="9"/>
      <c r="J972" s="7"/>
      <c r="K972" s="7"/>
      <c r="L972" s="7"/>
      <c r="M972" s="13">
        <v>40453.33</v>
      </c>
      <c r="N972" s="13">
        <v>40453.33</v>
      </c>
      <c r="O972" s="13">
        <v>40453.33</v>
      </c>
      <c r="P972" s="7"/>
      <c r="Q972" s="7"/>
      <c r="R972" s="13">
        <v>40453.33</v>
      </c>
      <c r="S972" s="7"/>
      <c r="T972" s="7"/>
      <c r="U972" s="7"/>
      <c r="V972" s="13">
        <v>40453.33</v>
      </c>
      <c r="W972" s="13">
        <v>40453.33</v>
      </c>
      <c r="X972" s="7"/>
      <c r="Y972" s="7"/>
      <c r="Z972" s="7"/>
      <c r="AA972" s="7"/>
      <c r="AC972" s="70" t="str">
        <f t="shared" si="29"/>
        <v/>
      </c>
      <c r="AD972" s="75" t="str">
        <f t="shared" si="30"/>
        <v/>
      </c>
      <c r="AH972" s="1" t="s">
        <v>3584</v>
      </c>
      <c r="AJ972" s="1"/>
    </row>
    <row r="973" spans="1:36" outlineLevel="7">
      <c r="A973" s="3499" t="s">
        <v>1837</v>
      </c>
      <c r="B973" s="3499"/>
      <c r="C973" s="7"/>
      <c r="D973" s="7"/>
      <c r="E973" s="13">
        <v>40453.33</v>
      </c>
      <c r="F973" s="7"/>
      <c r="G973" s="7"/>
      <c r="H973" s="8"/>
      <c r="I973" s="9"/>
      <c r="J973" s="7"/>
      <c r="K973" s="7"/>
      <c r="L973" s="7"/>
      <c r="M973" s="13">
        <v>40453.33</v>
      </c>
      <c r="N973" s="13">
        <v>40453.33</v>
      </c>
      <c r="O973" s="13">
        <v>40453.33</v>
      </c>
      <c r="P973" s="7"/>
      <c r="Q973" s="7"/>
      <c r="R973" s="13">
        <v>40453.33</v>
      </c>
      <c r="S973" s="7"/>
      <c r="T973" s="7"/>
      <c r="U973" s="7"/>
      <c r="V973" s="13">
        <v>40453.33</v>
      </c>
      <c r="W973" s="13">
        <v>40453.33</v>
      </c>
      <c r="X973" s="7"/>
      <c r="Y973" s="7"/>
      <c r="Z973" s="7"/>
      <c r="AA973" s="7"/>
      <c r="AC973" s="70">
        <f t="shared" si="29"/>
        <v>40453.33</v>
      </c>
      <c r="AD973" s="75" t="str">
        <f t="shared" si="30"/>
        <v/>
      </c>
      <c r="AG973">
        <f>AC973</f>
        <v>40453.33</v>
      </c>
    </row>
    <row r="974" spans="1:36" outlineLevel="7">
      <c r="A974" s="3500" t="s">
        <v>680</v>
      </c>
      <c r="B974" s="3500"/>
      <c r="C974" s="7"/>
      <c r="D974" s="7"/>
      <c r="E974" s="13">
        <v>87012.2</v>
      </c>
      <c r="F974" s="7"/>
      <c r="G974" s="7"/>
      <c r="H974" s="8"/>
      <c r="I974" s="9"/>
      <c r="J974" s="7"/>
      <c r="K974" s="7"/>
      <c r="L974" s="7"/>
      <c r="M974" s="13">
        <v>87012.2</v>
      </c>
      <c r="N974" s="13">
        <v>87012.2</v>
      </c>
      <c r="O974" s="13">
        <v>87012.2</v>
      </c>
      <c r="P974" s="7"/>
      <c r="Q974" s="7"/>
      <c r="R974" s="13">
        <v>87012.2</v>
      </c>
      <c r="S974" s="7"/>
      <c r="T974" s="7"/>
      <c r="U974" s="7"/>
      <c r="V974" s="13">
        <v>87012.2</v>
      </c>
      <c r="W974" s="13">
        <v>87012.2</v>
      </c>
      <c r="X974" s="7"/>
      <c r="Y974" s="7"/>
      <c r="Z974" s="7"/>
      <c r="AA974" s="7"/>
      <c r="AC974" s="70" t="str">
        <f t="shared" si="29"/>
        <v/>
      </c>
      <c r="AD974" s="75" t="str">
        <f t="shared" si="30"/>
        <v/>
      </c>
      <c r="AH974" s="1" t="s">
        <v>2785</v>
      </c>
      <c r="AJ974" s="1"/>
    </row>
    <row r="975" spans="1:36" outlineLevel="7">
      <c r="A975" s="3499" t="s">
        <v>1838</v>
      </c>
      <c r="B975" s="3499"/>
      <c r="C975" s="7"/>
      <c r="D975" s="7"/>
      <c r="E975" s="13">
        <v>87012.2</v>
      </c>
      <c r="F975" s="7"/>
      <c r="G975" s="7"/>
      <c r="H975" s="8"/>
      <c r="I975" s="9"/>
      <c r="J975" s="7"/>
      <c r="K975" s="7"/>
      <c r="L975" s="7"/>
      <c r="M975" s="13">
        <v>87012.2</v>
      </c>
      <c r="N975" s="13">
        <v>87012.2</v>
      </c>
      <c r="O975" s="13">
        <v>87012.2</v>
      </c>
      <c r="P975" s="7"/>
      <c r="Q975" s="7"/>
      <c r="R975" s="13">
        <v>87012.2</v>
      </c>
      <c r="S975" s="7"/>
      <c r="T975" s="7"/>
      <c r="U975" s="7"/>
      <c r="V975" s="13">
        <v>87012.2</v>
      </c>
      <c r="W975" s="13">
        <v>87012.2</v>
      </c>
      <c r="X975" s="7"/>
      <c r="Y975" s="7"/>
      <c r="Z975" s="7"/>
      <c r="AA975" s="7"/>
      <c r="AC975" s="70">
        <f t="shared" si="29"/>
        <v>87012.2</v>
      </c>
      <c r="AD975" s="75" t="str">
        <f t="shared" si="30"/>
        <v/>
      </c>
      <c r="AG975">
        <f>AC975</f>
        <v>87012.2</v>
      </c>
    </row>
    <row r="976" spans="1:36" outlineLevel="6">
      <c r="A976" s="3501" t="s">
        <v>681</v>
      </c>
      <c r="B976" s="3501"/>
      <c r="C976" s="7"/>
      <c r="D976" s="7"/>
      <c r="E976" s="14">
        <v>550</v>
      </c>
      <c r="F976" s="7"/>
      <c r="G976" s="7"/>
      <c r="H976" s="8"/>
      <c r="I976" s="9"/>
      <c r="J976" s="7"/>
      <c r="K976" s="7"/>
      <c r="L976" s="7"/>
      <c r="M976" s="14">
        <v>550</v>
      </c>
      <c r="N976" s="14">
        <v>550</v>
      </c>
      <c r="O976" s="14">
        <v>550</v>
      </c>
      <c r="P976" s="7"/>
      <c r="Q976" s="7"/>
      <c r="R976" s="14">
        <v>550</v>
      </c>
      <c r="S976" s="7"/>
      <c r="T976" s="7"/>
      <c r="U976" s="7"/>
      <c r="V976" s="14">
        <v>550</v>
      </c>
      <c r="W976" s="14">
        <v>550</v>
      </c>
      <c r="X976" s="7"/>
      <c r="Y976" s="7"/>
      <c r="Z976" s="7"/>
      <c r="AA976" s="7"/>
      <c r="AC976" s="70" t="str">
        <f t="shared" si="29"/>
        <v/>
      </c>
      <c r="AD976" s="75" t="str">
        <f t="shared" si="30"/>
        <v/>
      </c>
    </row>
    <row r="977" spans="1:36" outlineLevel="7">
      <c r="A977" s="3500" t="s">
        <v>682</v>
      </c>
      <c r="B977" s="3500"/>
      <c r="C977" s="7"/>
      <c r="D977" s="7"/>
      <c r="E977" s="14">
        <v>550</v>
      </c>
      <c r="F977" s="7"/>
      <c r="G977" s="7"/>
      <c r="H977" s="8"/>
      <c r="I977" s="9"/>
      <c r="J977" s="7"/>
      <c r="K977" s="7"/>
      <c r="L977" s="7"/>
      <c r="M977" s="14">
        <v>550</v>
      </c>
      <c r="N977" s="14">
        <v>550</v>
      </c>
      <c r="O977" s="14">
        <v>550</v>
      </c>
      <c r="P977" s="7"/>
      <c r="Q977" s="7"/>
      <c r="R977" s="14">
        <v>550</v>
      </c>
      <c r="S977" s="7"/>
      <c r="T977" s="7"/>
      <c r="U977" s="7"/>
      <c r="V977" s="14">
        <v>550</v>
      </c>
      <c r="W977" s="14">
        <v>550</v>
      </c>
      <c r="X977" s="7"/>
      <c r="Y977" s="7"/>
      <c r="Z977" s="7"/>
      <c r="AA977" s="7"/>
      <c r="AC977" s="70" t="str">
        <f t="shared" ref="AC977:AC1040" si="31">IF(LEFT($A977,5)="Реали",$E977,"")</f>
        <v/>
      </c>
      <c r="AD977" s="75" t="str">
        <f t="shared" ref="AD977:AD1033" si="32">IF(AC977=550,1,"")</f>
        <v/>
      </c>
      <c r="AH977" t="s">
        <v>2760</v>
      </c>
    </row>
    <row r="978" spans="1:36" outlineLevel="7">
      <c r="A978" s="3499" t="s">
        <v>1839</v>
      </c>
      <c r="B978" s="3499"/>
      <c r="C978" s="7"/>
      <c r="D978" s="7"/>
      <c r="E978" s="14">
        <v>550</v>
      </c>
      <c r="F978" s="7"/>
      <c r="G978" s="7"/>
      <c r="H978" s="8"/>
      <c r="I978" s="9"/>
      <c r="J978" s="7"/>
      <c r="K978" s="7"/>
      <c r="L978" s="7"/>
      <c r="M978" s="14">
        <v>550</v>
      </c>
      <c r="N978" s="14">
        <v>550</v>
      </c>
      <c r="O978" s="14">
        <v>550</v>
      </c>
      <c r="P978" s="7"/>
      <c r="Q978" s="7"/>
      <c r="R978" s="14">
        <v>550</v>
      </c>
      <c r="S978" s="7"/>
      <c r="T978" s="7"/>
      <c r="U978" s="7"/>
      <c r="V978" s="14">
        <v>550</v>
      </c>
      <c r="W978" s="14">
        <v>550</v>
      </c>
      <c r="X978" s="7"/>
      <c r="Y978" s="7"/>
      <c r="Z978" s="7"/>
      <c r="AA978" s="7"/>
      <c r="AC978" s="70">
        <f t="shared" si="31"/>
        <v>550</v>
      </c>
      <c r="AD978" s="75">
        <f t="shared" si="32"/>
        <v>1</v>
      </c>
    </row>
    <row r="979" spans="1:36" outlineLevel="6">
      <c r="A979" s="3501" t="s">
        <v>683</v>
      </c>
      <c r="B979" s="3501"/>
      <c r="C979" s="7"/>
      <c r="D979" s="7"/>
      <c r="E979" s="14">
        <v>550</v>
      </c>
      <c r="F979" s="7"/>
      <c r="G979" s="7"/>
      <c r="H979" s="8"/>
      <c r="I979" s="9"/>
      <c r="J979" s="7"/>
      <c r="K979" s="7"/>
      <c r="L979" s="7"/>
      <c r="M979" s="14">
        <v>550</v>
      </c>
      <c r="N979" s="14">
        <v>550</v>
      </c>
      <c r="O979" s="14">
        <v>550</v>
      </c>
      <c r="P979" s="7"/>
      <c r="Q979" s="7"/>
      <c r="R979" s="14">
        <v>550</v>
      </c>
      <c r="S979" s="7"/>
      <c r="T979" s="7"/>
      <c r="U979" s="7"/>
      <c r="V979" s="14">
        <v>550</v>
      </c>
      <c r="W979" s="14">
        <v>550</v>
      </c>
      <c r="X979" s="7"/>
      <c r="Y979" s="7"/>
      <c r="Z979" s="7"/>
      <c r="AA979" s="7"/>
      <c r="AC979" s="70" t="str">
        <f t="shared" si="31"/>
        <v/>
      </c>
      <c r="AD979" s="75" t="str">
        <f t="shared" si="32"/>
        <v/>
      </c>
    </row>
    <row r="980" spans="1:36" outlineLevel="7">
      <c r="A980" s="3500" t="s">
        <v>684</v>
      </c>
      <c r="B980" s="3500"/>
      <c r="C980" s="7"/>
      <c r="D980" s="7"/>
      <c r="E980" s="14">
        <v>550</v>
      </c>
      <c r="F980" s="7"/>
      <c r="G980" s="7"/>
      <c r="H980" s="8"/>
      <c r="I980" s="9"/>
      <c r="J980" s="7"/>
      <c r="K980" s="7"/>
      <c r="L980" s="7"/>
      <c r="M980" s="14">
        <v>550</v>
      </c>
      <c r="N980" s="14">
        <v>550</v>
      </c>
      <c r="O980" s="14">
        <v>550</v>
      </c>
      <c r="P980" s="7"/>
      <c r="Q980" s="7"/>
      <c r="R980" s="14">
        <v>550</v>
      </c>
      <c r="S980" s="7"/>
      <c r="T980" s="7"/>
      <c r="U980" s="7"/>
      <c r="V980" s="14">
        <v>550</v>
      </c>
      <c r="W980" s="14">
        <v>550</v>
      </c>
      <c r="X980" s="7"/>
      <c r="Y980" s="7"/>
      <c r="Z980" s="7"/>
      <c r="AA980" s="7"/>
      <c r="AC980" s="70" t="str">
        <f t="shared" si="31"/>
        <v/>
      </c>
      <c r="AD980" s="75" t="str">
        <f t="shared" si="32"/>
        <v/>
      </c>
      <c r="AH980" t="s">
        <v>3574</v>
      </c>
    </row>
    <row r="981" spans="1:36" outlineLevel="7">
      <c r="A981" s="3499" t="s">
        <v>1840</v>
      </c>
      <c r="B981" s="3499"/>
      <c r="C981" s="7"/>
      <c r="D981" s="7"/>
      <c r="E981" s="14">
        <v>550</v>
      </c>
      <c r="F981" s="7"/>
      <c r="G981" s="7"/>
      <c r="H981" s="8"/>
      <c r="I981" s="9"/>
      <c r="J981" s="7"/>
      <c r="K981" s="7"/>
      <c r="L981" s="7"/>
      <c r="M981" s="14">
        <v>550</v>
      </c>
      <c r="N981" s="14">
        <v>550</v>
      </c>
      <c r="O981" s="14">
        <v>550</v>
      </c>
      <c r="P981" s="7"/>
      <c r="Q981" s="7"/>
      <c r="R981" s="14">
        <v>550</v>
      </c>
      <c r="S981" s="7"/>
      <c r="T981" s="7"/>
      <c r="U981" s="7"/>
      <c r="V981" s="14">
        <v>550</v>
      </c>
      <c r="W981" s="14">
        <v>550</v>
      </c>
      <c r="X981" s="7"/>
      <c r="Y981" s="7"/>
      <c r="Z981" s="7"/>
      <c r="AA981" s="7"/>
      <c r="AC981" s="70">
        <f t="shared" si="31"/>
        <v>550</v>
      </c>
      <c r="AD981" s="75">
        <f t="shared" si="32"/>
        <v>1</v>
      </c>
    </row>
    <row r="982" spans="1:36" outlineLevel="6">
      <c r="A982" s="3501" t="s">
        <v>685</v>
      </c>
      <c r="B982" s="3501"/>
      <c r="C982" s="7"/>
      <c r="D982" s="7"/>
      <c r="E982" s="14">
        <v>550</v>
      </c>
      <c r="F982" s="7"/>
      <c r="G982" s="7"/>
      <c r="H982" s="8"/>
      <c r="I982" s="9"/>
      <c r="J982" s="7"/>
      <c r="K982" s="7"/>
      <c r="L982" s="7"/>
      <c r="M982" s="14">
        <v>550</v>
      </c>
      <c r="N982" s="14">
        <v>550</v>
      </c>
      <c r="O982" s="14">
        <v>550</v>
      </c>
      <c r="P982" s="7"/>
      <c r="Q982" s="7"/>
      <c r="R982" s="14">
        <v>550</v>
      </c>
      <c r="S982" s="7"/>
      <c r="T982" s="7"/>
      <c r="U982" s="14">
        <v>550</v>
      </c>
      <c r="V982" s="7"/>
      <c r="W982" s="7"/>
      <c r="X982" s="7"/>
      <c r="Y982" s="7"/>
      <c r="Z982" s="7"/>
      <c r="AA982" s="7"/>
      <c r="AC982" s="70" t="str">
        <f t="shared" si="31"/>
        <v/>
      </c>
      <c r="AD982" s="75" t="str">
        <f t="shared" si="32"/>
        <v/>
      </c>
    </row>
    <row r="983" spans="1:36" outlineLevel="7">
      <c r="A983" s="3500" t="s">
        <v>686</v>
      </c>
      <c r="B983" s="3500"/>
      <c r="C983" s="7"/>
      <c r="D983" s="7"/>
      <c r="E983" s="14">
        <v>550</v>
      </c>
      <c r="F983" s="7"/>
      <c r="G983" s="7"/>
      <c r="H983" s="8"/>
      <c r="I983" s="9"/>
      <c r="J983" s="7"/>
      <c r="K983" s="7"/>
      <c r="L983" s="7"/>
      <c r="M983" s="14">
        <v>550</v>
      </c>
      <c r="N983" s="14">
        <v>550</v>
      </c>
      <c r="O983" s="14">
        <v>550</v>
      </c>
      <c r="P983" s="7"/>
      <c r="Q983" s="7"/>
      <c r="R983" s="14">
        <v>550</v>
      </c>
      <c r="S983" s="7"/>
      <c r="T983" s="7"/>
      <c r="U983" s="14">
        <v>550</v>
      </c>
      <c r="V983" s="7"/>
      <c r="W983" s="7"/>
      <c r="X983" s="7"/>
      <c r="Y983" s="7"/>
      <c r="Z983" s="7"/>
      <c r="AA983" s="7"/>
      <c r="AC983" s="70" t="str">
        <f t="shared" si="31"/>
        <v/>
      </c>
      <c r="AD983" s="75" t="str">
        <f t="shared" si="32"/>
        <v/>
      </c>
      <c r="AH983" t="s">
        <v>3426</v>
      </c>
    </row>
    <row r="984" spans="1:36" outlineLevel="7">
      <c r="A984" s="3499" t="s">
        <v>1841</v>
      </c>
      <c r="B984" s="3499"/>
      <c r="C984" s="7"/>
      <c r="D984" s="7"/>
      <c r="E984" s="14">
        <v>550</v>
      </c>
      <c r="F984" s="7"/>
      <c r="G984" s="7"/>
      <c r="H984" s="8"/>
      <c r="I984" s="9"/>
      <c r="J984" s="7"/>
      <c r="K984" s="7"/>
      <c r="L984" s="7"/>
      <c r="M984" s="14">
        <v>550</v>
      </c>
      <c r="N984" s="14">
        <v>550</v>
      </c>
      <c r="O984" s="14">
        <v>550</v>
      </c>
      <c r="P984" s="7"/>
      <c r="Q984" s="7"/>
      <c r="R984" s="14">
        <v>550</v>
      </c>
      <c r="S984" s="7"/>
      <c r="T984" s="7"/>
      <c r="U984" s="14">
        <v>550</v>
      </c>
      <c r="V984" s="7"/>
      <c r="W984" s="7"/>
      <c r="X984" s="7"/>
      <c r="Y984" s="7"/>
      <c r="Z984" s="7"/>
      <c r="AA984" s="7"/>
      <c r="AC984" s="70">
        <f t="shared" si="31"/>
        <v>550</v>
      </c>
      <c r="AD984" s="75">
        <f t="shared" si="32"/>
        <v>1</v>
      </c>
    </row>
    <row r="985" spans="1:36" outlineLevel="6">
      <c r="A985" s="3501" t="s">
        <v>687</v>
      </c>
      <c r="B985" s="3501"/>
      <c r="C985" s="7"/>
      <c r="D985" s="7"/>
      <c r="E985" s="13">
        <v>10873.41</v>
      </c>
      <c r="F985" s="7"/>
      <c r="G985" s="7"/>
      <c r="H985" s="8"/>
      <c r="I985" s="9"/>
      <c r="J985" s="7"/>
      <c r="K985" s="7"/>
      <c r="L985" s="7"/>
      <c r="M985" s="13">
        <v>10873.41</v>
      </c>
      <c r="N985" s="13">
        <v>10873.41</v>
      </c>
      <c r="O985" s="13">
        <v>10873.41</v>
      </c>
      <c r="P985" s="7"/>
      <c r="Q985" s="7"/>
      <c r="R985" s="13">
        <v>10873.41</v>
      </c>
      <c r="S985" s="7"/>
      <c r="T985" s="7"/>
      <c r="U985" s="7"/>
      <c r="V985" s="13">
        <v>10873.41</v>
      </c>
      <c r="W985" s="13">
        <v>10873.41</v>
      </c>
      <c r="X985" s="7"/>
      <c r="Y985" s="7"/>
      <c r="Z985" s="7"/>
      <c r="AA985" s="7"/>
      <c r="AC985" s="70" t="str">
        <f t="shared" si="31"/>
        <v/>
      </c>
      <c r="AD985" s="75" t="str">
        <f t="shared" si="32"/>
        <v/>
      </c>
    </row>
    <row r="986" spans="1:36" outlineLevel="7">
      <c r="A986" s="3500" t="s">
        <v>688</v>
      </c>
      <c r="B986" s="3500"/>
      <c r="C986" s="7"/>
      <c r="D986" s="7"/>
      <c r="E986" s="13">
        <v>10873.41</v>
      </c>
      <c r="F986" s="7"/>
      <c r="G986" s="7"/>
      <c r="H986" s="8"/>
      <c r="I986" s="9"/>
      <c r="J986" s="7"/>
      <c r="K986" s="7"/>
      <c r="L986" s="7"/>
      <c r="M986" s="13">
        <v>10873.41</v>
      </c>
      <c r="N986" s="13">
        <v>10873.41</v>
      </c>
      <c r="O986" s="13">
        <v>10873.41</v>
      </c>
      <c r="P986" s="7"/>
      <c r="Q986" s="7"/>
      <c r="R986" s="13">
        <v>10873.41</v>
      </c>
      <c r="S986" s="7"/>
      <c r="T986" s="7"/>
      <c r="U986" s="7"/>
      <c r="V986" s="13">
        <v>10873.41</v>
      </c>
      <c r="W986" s="13">
        <v>10873.41</v>
      </c>
      <c r="X986" s="7"/>
      <c r="Y986" s="7"/>
      <c r="Z986" s="7"/>
      <c r="AA986" s="7"/>
      <c r="AC986" s="70" t="str">
        <f t="shared" si="31"/>
        <v/>
      </c>
      <c r="AD986" s="75" t="str">
        <f t="shared" si="32"/>
        <v/>
      </c>
      <c r="AH986" s="1" t="s">
        <v>3620</v>
      </c>
      <c r="AJ986" s="1"/>
    </row>
    <row r="987" spans="1:36" outlineLevel="7">
      <c r="A987" s="3499" t="s">
        <v>1842</v>
      </c>
      <c r="B987" s="3499"/>
      <c r="C987" s="7"/>
      <c r="D987" s="7"/>
      <c r="E987" s="13">
        <v>10873.41</v>
      </c>
      <c r="F987" s="7"/>
      <c r="G987" s="7"/>
      <c r="H987" s="8"/>
      <c r="I987" s="9"/>
      <c r="J987" s="7"/>
      <c r="K987" s="7"/>
      <c r="L987" s="7"/>
      <c r="M987" s="13">
        <v>10873.41</v>
      </c>
      <c r="N987" s="13">
        <v>10873.41</v>
      </c>
      <c r="O987" s="13">
        <v>10873.41</v>
      </c>
      <c r="P987" s="7"/>
      <c r="Q987" s="7"/>
      <c r="R987" s="13">
        <v>10873.41</v>
      </c>
      <c r="S987" s="7"/>
      <c r="T987" s="7"/>
      <c r="U987" s="7"/>
      <c r="V987" s="13">
        <v>10873.41</v>
      </c>
      <c r="W987" s="13">
        <v>10873.41</v>
      </c>
      <c r="X987" s="7"/>
      <c r="Y987" s="7"/>
      <c r="Z987" s="7"/>
      <c r="AA987" s="7"/>
      <c r="AC987" s="70">
        <f t="shared" si="31"/>
        <v>10873.41</v>
      </c>
      <c r="AD987" s="75" t="str">
        <f t="shared" si="32"/>
        <v/>
      </c>
      <c r="AG987">
        <f>AC987</f>
        <v>10873.41</v>
      </c>
    </row>
    <row r="988" spans="1:36" outlineLevel="6">
      <c r="A988" s="3501" t="s">
        <v>689</v>
      </c>
      <c r="B988" s="3501"/>
      <c r="C988" s="7"/>
      <c r="D988" s="7"/>
      <c r="E988" s="13">
        <v>6386.93</v>
      </c>
      <c r="F988" s="7"/>
      <c r="G988" s="7"/>
      <c r="H988" s="8"/>
      <c r="I988" s="9"/>
      <c r="J988" s="7"/>
      <c r="K988" s="7"/>
      <c r="L988" s="7"/>
      <c r="M988" s="13">
        <v>6386.93</v>
      </c>
      <c r="N988" s="13">
        <v>6386.93</v>
      </c>
      <c r="O988" s="13">
        <v>6386.93</v>
      </c>
      <c r="P988" s="7"/>
      <c r="Q988" s="7"/>
      <c r="R988" s="13">
        <v>6386.93</v>
      </c>
      <c r="S988" s="7"/>
      <c r="T988" s="7"/>
      <c r="U988" s="13">
        <v>6386.93</v>
      </c>
      <c r="V988" s="7"/>
      <c r="W988" s="7"/>
      <c r="X988" s="7"/>
      <c r="Y988" s="7"/>
      <c r="Z988" s="7"/>
      <c r="AA988" s="7"/>
      <c r="AC988" s="70" t="str">
        <f t="shared" si="31"/>
        <v/>
      </c>
      <c r="AD988" s="75" t="str">
        <f t="shared" si="32"/>
        <v/>
      </c>
    </row>
    <row r="989" spans="1:36" outlineLevel="7">
      <c r="A989" s="3500" t="s">
        <v>690</v>
      </c>
      <c r="B989" s="3500"/>
      <c r="C989" s="7"/>
      <c r="D989" s="7"/>
      <c r="E989" s="14">
        <v>550</v>
      </c>
      <c r="F989" s="7"/>
      <c r="G989" s="7"/>
      <c r="H989" s="8"/>
      <c r="I989" s="9"/>
      <c r="J989" s="7"/>
      <c r="K989" s="7"/>
      <c r="L989" s="7"/>
      <c r="M989" s="14">
        <v>550</v>
      </c>
      <c r="N989" s="14">
        <v>550</v>
      </c>
      <c r="O989" s="14">
        <v>550</v>
      </c>
      <c r="P989" s="7"/>
      <c r="Q989" s="7"/>
      <c r="R989" s="14">
        <v>550</v>
      </c>
      <c r="S989" s="7"/>
      <c r="T989" s="7"/>
      <c r="U989" s="14">
        <v>550</v>
      </c>
      <c r="V989" s="7"/>
      <c r="W989" s="7"/>
      <c r="X989" s="7"/>
      <c r="Y989" s="7"/>
      <c r="Z989" s="7"/>
      <c r="AA989" s="7"/>
      <c r="AC989" s="70" t="str">
        <f t="shared" si="31"/>
        <v/>
      </c>
      <c r="AD989" s="75" t="str">
        <f t="shared" si="32"/>
        <v/>
      </c>
      <c r="AH989" t="s">
        <v>3562</v>
      </c>
    </row>
    <row r="990" spans="1:36" outlineLevel="7">
      <c r="A990" s="3499" t="s">
        <v>1843</v>
      </c>
      <c r="B990" s="3499"/>
      <c r="C990" s="7"/>
      <c r="D990" s="7"/>
      <c r="E990" s="14">
        <v>550</v>
      </c>
      <c r="F990" s="7"/>
      <c r="G990" s="7"/>
      <c r="H990" s="8"/>
      <c r="I990" s="9"/>
      <c r="J990" s="7"/>
      <c r="K990" s="7"/>
      <c r="L990" s="7"/>
      <c r="M990" s="14">
        <v>550</v>
      </c>
      <c r="N990" s="14">
        <v>550</v>
      </c>
      <c r="O990" s="14">
        <v>550</v>
      </c>
      <c r="P990" s="7"/>
      <c r="Q990" s="7"/>
      <c r="R990" s="14">
        <v>550</v>
      </c>
      <c r="S990" s="7"/>
      <c r="T990" s="7"/>
      <c r="U990" s="14">
        <v>550</v>
      </c>
      <c r="V990" s="7"/>
      <c r="W990" s="7"/>
      <c r="X990" s="7"/>
      <c r="Y990" s="7"/>
      <c r="Z990" s="7"/>
      <c r="AA990" s="7"/>
      <c r="AC990" s="70">
        <f t="shared" si="31"/>
        <v>550</v>
      </c>
      <c r="AD990" s="75">
        <f t="shared" si="32"/>
        <v>1</v>
      </c>
    </row>
    <row r="991" spans="1:36" outlineLevel="7">
      <c r="A991" s="3500" t="s">
        <v>691</v>
      </c>
      <c r="B991" s="3500"/>
      <c r="C991" s="7"/>
      <c r="D991" s="7"/>
      <c r="E991" s="13">
        <v>3408.62</v>
      </c>
      <c r="F991" s="7"/>
      <c r="G991" s="7"/>
      <c r="H991" s="8"/>
      <c r="I991" s="9"/>
      <c r="J991" s="7"/>
      <c r="K991" s="7"/>
      <c r="L991" s="7"/>
      <c r="M991" s="13">
        <v>3408.62</v>
      </c>
      <c r="N991" s="13">
        <v>3408.62</v>
      </c>
      <c r="O991" s="13">
        <v>3408.62</v>
      </c>
      <c r="P991" s="7"/>
      <c r="Q991" s="7"/>
      <c r="R991" s="13">
        <v>3408.62</v>
      </c>
      <c r="S991" s="7"/>
      <c r="T991" s="7"/>
      <c r="U991" s="13">
        <v>3408.62</v>
      </c>
      <c r="V991" s="7"/>
      <c r="W991" s="7"/>
      <c r="X991" s="7"/>
      <c r="Y991" s="7"/>
      <c r="Z991" s="7"/>
      <c r="AA991" s="7"/>
      <c r="AC991" s="70" t="str">
        <f t="shared" si="31"/>
        <v/>
      </c>
      <c r="AD991" s="75" t="str">
        <f t="shared" si="32"/>
        <v/>
      </c>
      <c r="AH991" s="1" t="s">
        <v>3628</v>
      </c>
      <c r="AJ991" s="1"/>
    </row>
    <row r="992" spans="1:36" outlineLevel="7">
      <c r="A992" s="3499" t="s">
        <v>1844</v>
      </c>
      <c r="B992" s="3499"/>
      <c r="C992" s="7"/>
      <c r="D992" s="7"/>
      <c r="E992" s="13">
        <v>3408.62</v>
      </c>
      <c r="F992" s="7"/>
      <c r="G992" s="7"/>
      <c r="H992" s="8"/>
      <c r="I992" s="9"/>
      <c r="J992" s="7"/>
      <c r="K992" s="7"/>
      <c r="L992" s="7"/>
      <c r="M992" s="13">
        <v>3408.62</v>
      </c>
      <c r="N992" s="13">
        <v>3408.62</v>
      </c>
      <c r="O992" s="13">
        <v>3408.62</v>
      </c>
      <c r="P992" s="7"/>
      <c r="Q992" s="7"/>
      <c r="R992" s="13">
        <v>3408.62</v>
      </c>
      <c r="S992" s="7"/>
      <c r="T992" s="7"/>
      <c r="U992" s="13">
        <v>3408.62</v>
      </c>
      <c r="V992" s="7"/>
      <c r="W992" s="7"/>
      <c r="X992" s="7"/>
      <c r="Y992" s="7"/>
      <c r="Z992" s="7"/>
      <c r="AA992" s="7"/>
      <c r="AC992" s="70">
        <f t="shared" si="31"/>
        <v>3408.62</v>
      </c>
      <c r="AD992" s="75" t="str">
        <f t="shared" si="32"/>
        <v/>
      </c>
      <c r="AG992">
        <f>AC992</f>
        <v>3408.62</v>
      </c>
    </row>
    <row r="993" spans="1:36" outlineLevel="7">
      <c r="A993" s="3500" t="s">
        <v>692</v>
      </c>
      <c r="B993" s="3500"/>
      <c r="C993" s="7"/>
      <c r="D993" s="7"/>
      <c r="E993" s="13">
        <v>2428.31</v>
      </c>
      <c r="F993" s="7"/>
      <c r="G993" s="7"/>
      <c r="H993" s="8"/>
      <c r="I993" s="9"/>
      <c r="J993" s="7"/>
      <c r="K993" s="7"/>
      <c r="L993" s="7"/>
      <c r="M993" s="13">
        <v>2428.31</v>
      </c>
      <c r="N993" s="13">
        <v>2428.31</v>
      </c>
      <c r="O993" s="13">
        <v>2428.31</v>
      </c>
      <c r="P993" s="7"/>
      <c r="Q993" s="7"/>
      <c r="R993" s="13">
        <v>2428.31</v>
      </c>
      <c r="S993" s="7"/>
      <c r="T993" s="7"/>
      <c r="U993" s="13">
        <v>2428.31</v>
      </c>
      <c r="V993" s="7"/>
      <c r="W993" s="7"/>
      <c r="X993" s="7"/>
      <c r="Y993" s="7"/>
      <c r="Z993" s="7"/>
      <c r="AA993" s="7"/>
      <c r="AC993" s="70" t="str">
        <f t="shared" si="31"/>
        <v/>
      </c>
      <c r="AD993" s="75" t="str">
        <f t="shared" si="32"/>
        <v/>
      </c>
      <c r="AH993" s="1" t="s">
        <v>3624</v>
      </c>
      <c r="AJ993" s="1"/>
    </row>
    <row r="994" spans="1:36" outlineLevel="7">
      <c r="A994" s="3499" t="s">
        <v>1845</v>
      </c>
      <c r="B994" s="3499"/>
      <c r="C994" s="7"/>
      <c r="D994" s="7"/>
      <c r="E994" s="13">
        <v>2428.31</v>
      </c>
      <c r="F994" s="7"/>
      <c r="G994" s="7"/>
      <c r="H994" s="8"/>
      <c r="I994" s="9"/>
      <c r="J994" s="7"/>
      <c r="K994" s="7"/>
      <c r="L994" s="7"/>
      <c r="M994" s="13">
        <v>2428.31</v>
      </c>
      <c r="N994" s="13">
        <v>2428.31</v>
      </c>
      <c r="O994" s="13">
        <v>2428.31</v>
      </c>
      <c r="P994" s="7"/>
      <c r="Q994" s="7"/>
      <c r="R994" s="13">
        <v>2428.31</v>
      </c>
      <c r="S994" s="7"/>
      <c r="T994" s="7"/>
      <c r="U994" s="13">
        <v>2428.31</v>
      </c>
      <c r="V994" s="7"/>
      <c r="W994" s="7"/>
      <c r="X994" s="7"/>
      <c r="Y994" s="7"/>
      <c r="Z994" s="7"/>
      <c r="AA994" s="7"/>
      <c r="AC994" s="70">
        <f t="shared" si="31"/>
        <v>2428.31</v>
      </c>
      <c r="AD994" s="75" t="str">
        <f t="shared" si="32"/>
        <v/>
      </c>
      <c r="AG994">
        <f>AC994</f>
        <v>2428.31</v>
      </c>
    </row>
    <row r="995" spans="1:36" outlineLevel="6">
      <c r="A995" s="3501" t="s">
        <v>693</v>
      </c>
      <c r="B995" s="3501"/>
      <c r="C995" s="7"/>
      <c r="D995" s="7"/>
      <c r="E995" s="14">
        <v>550</v>
      </c>
      <c r="F995" s="7"/>
      <c r="G995" s="7"/>
      <c r="H995" s="8"/>
      <c r="I995" s="9"/>
      <c r="J995" s="7"/>
      <c r="K995" s="7"/>
      <c r="L995" s="7"/>
      <c r="M995" s="14">
        <v>550</v>
      </c>
      <c r="N995" s="14">
        <v>550</v>
      </c>
      <c r="O995" s="14">
        <v>550</v>
      </c>
      <c r="P995" s="7"/>
      <c r="Q995" s="7"/>
      <c r="R995" s="14">
        <v>550</v>
      </c>
      <c r="S995" s="7"/>
      <c r="T995" s="7"/>
      <c r="U995" s="7"/>
      <c r="V995" s="14">
        <v>550</v>
      </c>
      <c r="W995" s="14">
        <v>550</v>
      </c>
      <c r="X995" s="7"/>
      <c r="Y995" s="7"/>
      <c r="Z995" s="7"/>
      <c r="AA995" s="7"/>
      <c r="AC995" s="70" t="str">
        <f t="shared" si="31"/>
        <v/>
      </c>
      <c r="AD995" s="75" t="str">
        <f t="shared" si="32"/>
        <v/>
      </c>
    </row>
    <row r="996" spans="1:36" outlineLevel="7">
      <c r="A996" s="3500" t="s">
        <v>694</v>
      </c>
      <c r="B996" s="3500"/>
      <c r="C996" s="7"/>
      <c r="D996" s="7"/>
      <c r="E996" s="14">
        <v>550</v>
      </c>
      <c r="F996" s="7"/>
      <c r="G996" s="7"/>
      <c r="H996" s="8"/>
      <c r="I996" s="9"/>
      <c r="J996" s="7"/>
      <c r="K996" s="7"/>
      <c r="L996" s="7"/>
      <c r="M996" s="14">
        <v>550</v>
      </c>
      <c r="N996" s="14">
        <v>550</v>
      </c>
      <c r="O996" s="14">
        <v>550</v>
      </c>
      <c r="P996" s="7"/>
      <c r="Q996" s="7"/>
      <c r="R996" s="14">
        <v>550</v>
      </c>
      <c r="S996" s="7"/>
      <c r="T996" s="7"/>
      <c r="U996" s="7"/>
      <c r="V996" s="14">
        <v>550</v>
      </c>
      <c r="W996" s="14">
        <v>550</v>
      </c>
      <c r="X996" s="7"/>
      <c r="Y996" s="7"/>
      <c r="Z996" s="7"/>
      <c r="AA996" s="7"/>
      <c r="AC996" s="70" t="str">
        <f t="shared" si="31"/>
        <v/>
      </c>
      <c r="AD996" s="75" t="str">
        <f t="shared" si="32"/>
        <v/>
      </c>
      <c r="AH996" t="s">
        <v>3560</v>
      </c>
    </row>
    <row r="997" spans="1:36" outlineLevel="7">
      <c r="A997" s="3499" t="s">
        <v>1846</v>
      </c>
      <c r="B997" s="3499"/>
      <c r="C997" s="7"/>
      <c r="D997" s="7"/>
      <c r="E997" s="14">
        <v>550</v>
      </c>
      <c r="F997" s="7"/>
      <c r="G997" s="7"/>
      <c r="H997" s="8"/>
      <c r="I997" s="9"/>
      <c r="J997" s="7"/>
      <c r="K997" s="7"/>
      <c r="L997" s="7"/>
      <c r="M997" s="14">
        <v>550</v>
      </c>
      <c r="N997" s="14">
        <v>550</v>
      </c>
      <c r="O997" s="14">
        <v>550</v>
      </c>
      <c r="P997" s="7"/>
      <c r="Q997" s="7"/>
      <c r="R997" s="14">
        <v>550</v>
      </c>
      <c r="S997" s="7"/>
      <c r="T997" s="7"/>
      <c r="U997" s="7"/>
      <c r="V997" s="14">
        <v>550</v>
      </c>
      <c r="W997" s="14">
        <v>550</v>
      </c>
      <c r="X997" s="7"/>
      <c r="Y997" s="7"/>
      <c r="Z997" s="7"/>
      <c r="AA997" s="7"/>
      <c r="AC997" s="70">
        <f t="shared" si="31"/>
        <v>550</v>
      </c>
      <c r="AD997" s="75">
        <f t="shared" si="32"/>
        <v>1</v>
      </c>
    </row>
    <row r="998" spans="1:36" outlineLevel="6">
      <c r="A998" s="3510" t="s">
        <v>695</v>
      </c>
      <c r="B998" s="3510"/>
      <c r="C998" s="7"/>
      <c r="D998" s="7"/>
      <c r="E998" s="13">
        <v>15606.35</v>
      </c>
      <c r="F998" s="7"/>
      <c r="G998" s="7"/>
      <c r="H998" s="8"/>
      <c r="I998" s="9"/>
      <c r="J998" s="7"/>
      <c r="K998" s="7"/>
      <c r="L998" s="7"/>
      <c r="M998" s="13">
        <v>15606.35</v>
      </c>
      <c r="N998" s="13">
        <v>15606.35</v>
      </c>
      <c r="O998" s="13">
        <v>15606.35</v>
      </c>
      <c r="P998" s="7"/>
      <c r="Q998" s="7"/>
      <c r="R998" s="13">
        <v>15606.35</v>
      </c>
      <c r="S998" s="7"/>
      <c r="T998" s="7"/>
      <c r="U998" s="13">
        <v>8135.86</v>
      </c>
      <c r="V998" s="13">
        <v>7470.49</v>
      </c>
      <c r="W998" s="13">
        <v>7470.49</v>
      </c>
      <c r="X998" s="7"/>
      <c r="Y998" s="7"/>
      <c r="Z998" s="7"/>
      <c r="AA998" s="7"/>
      <c r="AC998" s="70" t="str">
        <f t="shared" si="31"/>
        <v/>
      </c>
      <c r="AD998" s="75" t="str">
        <f t="shared" si="32"/>
        <v/>
      </c>
    </row>
    <row r="999" spans="1:36" outlineLevel="7">
      <c r="A999" s="3511" t="s">
        <v>696</v>
      </c>
      <c r="B999" s="3511"/>
      <c r="C999" s="7"/>
      <c r="D999" s="7"/>
      <c r="E999" s="14">
        <v>17.97</v>
      </c>
      <c r="F999" s="7"/>
      <c r="G999" s="7"/>
      <c r="H999" s="8"/>
      <c r="I999" s="9"/>
      <c r="J999" s="7"/>
      <c r="K999" s="7"/>
      <c r="L999" s="7"/>
      <c r="M999" s="14">
        <v>17.97</v>
      </c>
      <c r="N999" s="14">
        <v>17.97</v>
      </c>
      <c r="O999" s="14">
        <v>17.97</v>
      </c>
      <c r="P999" s="7"/>
      <c r="Q999" s="7"/>
      <c r="R999" s="14">
        <v>17.97</v>
      </c>
      <c r="S999" s="7"/>
      <c r="T999" s="7"/>
      <c r="U999" s="7"/>
      <c r="V999" s="14">
        <v>17.97</v>
      </c>
      <c r="W999" s="14">
        <v>17.97</v>
      </c>
      <c r="X999" s="7"/>
      <c r="Y999" s="7"/>
      <c r="Z999" s="7"/>
      <c r="AA999" s="7"/>
      <c r="AC999" s="70" t="str">
        <f t="shared" si="31"/>
        <v/>
      </c>
      <c r="AD999" s="75" t="str">
        <f t="shared" si="32"/>
        <v/>
      </c>
      <c r="AG999" s="1415"/>
      <c r="AH999" s="1416" t="s">
        <v>3647</v>
      </c>
    </row>
    <row r="1000" spans="1:36" outlineLevel="7">
      <c r="A1000" s="3512" t="s">
        <v>1847</v>
      </c>
      <c r="B1000" s="3512"/>
      <c r="C1000" s="7"/>
      <c r="D1000" s="7"/>
      <c r="E1000" s="14">
        <v>17.97</v>
      </c>
      <c r="F1000" s="7"/>
      <c r="G1000" s="7"/>
      <c r="H1000" s="8"/>
      <c r="I1000" s="9"/>
      <c r="J1000" s="7"/>
      <c r="K1000" s="7"/>
      <c r="L1000" s="7"/>
      <c r="M1000" s="14">
        <v>17.97</v>
      </c>
      <c r="N1000" s="14">
        <v>17.97</v>
      </c>
      <c r="O1000" s="14">
        <v>17.97</v>
      </c>
      <c r="P1000" s="7"/>
      <c r="Q1000" s="7"/>
      <c r="R1000" s="14">
        <v>17.97</v>
      </c>
      <c r="S1000" s="7"/>
      <c r="T1000" s="7"/>
      <c r="U1000" s="7"/>
      <c r="V1000" s="14">
        <v>17.97</v>
      </c>
      <c r="W1000" s="14">
        <v>17.97</v>
      </c>
      <c r="X1000" s="7"/>
      <c r="Y1000" s="7"/>
      <c r="Z1000" s="7"/>
      <c r="AA1000" s="7"/>
      <c r="AC1000" s="70">
        <f t="shared" si="31"/>
        <v>17.97</v>
      </c>
      <c r="AD1000" s="75" t="str">
        <f t="shared" si="32"/>
        <v/>
      </c>
      <c r="AG1000" s="1415"/>
      <c r="AH1000" s="1415"/>
    </row>
    <row r="1001" spans="1:36" outlineLevel="7">
      <c r="A1001" s="3500" t="s">
        <v>697</v>
      </c>
      <c r="B1001" s="3500"/>
      <c r="C1001" s="7"/>
      <c r="D1001" s="7"/>
      <c r="E1001" s="14">
        <v>550</v>
      </c>
      <c r="F1001" s="7"/>
      <c r="G1001" s="7"/>
      <c r="H1001" s="8"/>
      <c r="I1001" s="9"/>
      <c r="J1001" s="7"/>
      <c r="K1001" s="7"/>
      <c r="L1001" s="7"/>
      <c r="M1001" s="14">
        <v>550</v>
      </c>
      <c r="N1001" s="14">
        <v>550</v>
      </c>
      <c r="O1001" s="14">
        <v>550</v>
      </c>
      <c r="P1001" s="7"/>
      <c r="Q1001" s="7"/>
      <c r="R1001" s="14">
        <v>550</v>
      </c>
      <c r="S1001" s="7"/>
      <c r="T1001" s="7"/>
      <c r="U1001" s="14">
        <v>550</v>
      </c>
      <c r="V1001" s="7"/>
      <c r="W1001" s="7"/>
      <c r="X1001" s="7"/>
      <c r="Y1001" s="7"/>
      <c r="Z1001" s="7"/>
      <c r="AA1001" s="7"/>
      <c r="AC1001" s="70" t="str">
        <f t="shared" si="31"/>
        <v/>
      </c>
      <c r="AD1001" s="75" t="str">
        <f t="shared" si="32"/>
        <v/>
      </c>
      <c r="AH1001" t="s">
        <v>3361</v>
      </c>
    </row>
    <row r="1002" spans="1:36" outlineLevel="7">
      <c r="A1002" s="3499" t="s">
        <v>1848</v>
      </c>
      <c r="B1002" s="3499"/>
      <c r="C1002" s="7"/>
      <c r="D1002" s="7"/>
      <c r="E1002" s="14">
        <v>550</v>
      </c>
      <c r="F1002" s="7"/>
      <c r="G1002" s="7"/>
      <c r="H1002" s="8"/>
      <c r="I1002" s="9"/>
      <c r="J1002" s="7"/>
      <c r="K1002" s="7"/>
      <c r="L1002" s="7"/>
      <c r="M1002" s="14">
        <v>550</v>
      </c>
      <c r="N1002" s="14">
        <v>550</v>
      </c>
      <c r="O1002" s="14">
        <v>550</v>
      </c>
      <c r="P1002" s="7"/>
      <c r="Q1002" s="7"/>
      <c r="R1002" s="14">
        <v>550</v>
      </c>
      <c r="S1002" s="7"/>
      <c r="T1002" s="7"/>
      <c r="U1002" s="14">
        <v>550</v>
      </c>
      <c r="V1002" s="7"/>
      <c r="W1002" s="7"/>
      <c r="X1002" s="7"/>
      <c r="Y1002" s="7"/>
      <c r="Z1002" s="7"/>
      <c r="AA1002" s="7"/>
      <c r="AC1002" s="70">
        <f t="shared" si="31"/>
        <v>550</v>
      </c>
      <c r="AD1002" s="75">
        <f t="shared" si="32"/>
        <v>1</v>
      </c>
    </row>
    <row r="1003" spans="1:36" outlineLevel="7">
      <c r="A1003" s="3500" t="s">
        <v>698</v>
      </c>
      <c r="B1003" s="3500"/>
      <c r="C1003" s="7"/>
      <c r="D1003" s="7"/>
      <c r="E1003" s="14">
        <v>550</v>
      </c>
      <c r="F1003" s="7"/>
      <c r="G1003" s="7"/>
      <c r="H1003" s="8"/>
      <c r="I1003" s="9"/>
      <c r="J1003" s="7"/>
      <c r="K1003" s="7"/>
      <c r="L1003" s="7"/>
      <c r="M1003" s="14">
        <v>550</v>
      </c>
      <c r="N1003" s="14">
        <v>550</v>
      </c>
      <c r="O1003" s="14">
        <v>550</v>
      </c>
      <c r="P1003" s="7"/>
      <c r="Q1003" s="7"/>
      <c r="R1003" s="14">
        <v>550</v>
      </c>
      <c r="S1003" s="7"/>
      <c r="T1003" s="7"/>
      <c r="U1003" s="14">
        <v>550</v>
      </c>
      <c r="V1003" s="7"/>
      <c r="W1003" s="7"/>
      <c r="X1003" s="7"/>
      <c r="Y1003" s="7"/>
      <c r="Z1003" s="7"/>
      <c r="AA1003" s="7"/>
      <c r="AC1003" s="70" t="str">
        <f t="shared" si="31"/>
        <v/>
      </c>
      <c r="AD1003" s="75" t="str">
        <f t="shared" si="32"/>
        <v/>
      </c>
      <c r="AH1003" t="s">
        <v>3362</v>
      </c>
    </row>
    <row r="1004" spans="1:36" outlineLevel="7">
      <c r="A1004" s="3499" t="s">
        <v>1849</v>
      </c>
      <c r="B1004" s="3499"/>
      <c r="C1004" s="7"/>
      <c r="D1004" s="7"/>
      <c r="E1004" s="14">
        <v>550</v>
      </c>
      <c r="F1004" s="7"/>
      <c r="G1004" s="7"/>
      <c r="H1004" s="8"/>
      <c r="I1004" s="9"/>
      <c r="J1004" s="7"/>
      <c r="K1004" s="7"/>
      <c r="L1004" s="7"/>
      <c r="M1004" s="14">
        <v>550</v>
      </c>
      <c r="N1004" s="14">
        <v>550</v>
      </c>
      <c r="O1004" s="14">
        <v>550</v>
      </c>
      <c r="P1004" s="7"/>
      <c r="Q1004" s="7"/>
      <c r="R1004" s="14">
        <v>550</v>
      </c>
      <c r="S1004" s="7"/>
      <c r="T1004" s="7"/>
      <c r="U1004" s="14">
        <v>550</v>
      </c>
      <c r="V1004" s="7"/>
      <c r="W1004" s="7"/>
      <c r="X1004" s="7"/>
      <c r="Y1004" s="7"/>
      <c r="Z1004" s="7"/>
      <c r="AA1004" s="7"/>
      <c r="AC1004" s="70">
        <f t="shared" si="31"/>
        <v>550</v>
      </c>
      <c r="AD1004" s="75">
        <f t="shared" si="32"/>
        <v>1</v>
      </c>
    </row>
    <row r="1005" spans="1:36" outlineLevel="7">
      <c r="A1005" s="3500" t="s">
        <v>699</v>
      </c>
      <c r="B1005" s="3500"/>
      <c r="C1005" s="7"/>
      <c r="D1005" s="7"/>
      <c r="E1005" s="13">
        <v>1030.99</v>
      </c>
      <c r="F1005" s="7"/>
      <c r="G1005" s="7"/>
      <c r="H1005" s="8"/>
      <c r="I1005" s="9"/>
      <c r="J1005" s="7"/>
      <c r="K1005" s="7"/>
      <c r="L1005" s="7"/>
      <c r="M1005" s="13">
        <v>1030.99</v>
      </c>
      <c r="N1005" s="13">
        <v>1030.99</v>
      </c>
      <c r="O1005" s="13">
        <v>1030.99</v>
      </c>
      <c r="P1005" s="7"/>
      <c r="Q1005" s="7"/>
      <c r="R1005" s="13">
        <v>1030.99</v>
      </c>
      <c r="S1005" s="7"/>
      <c r="T1005" s="7"/>
      <c r="U1005" s="7"/>
      <c r="V1005" s="13">
        <v>1030.99</v>
      </c>
      <c r="W1005" s="13">
        <v>1030.99</v>
      </c>
      <c r="X1005" s="7"/>
      <c r="Y1005" s="7"/>
      <c r="Z1005" s="7"/>
      <c r="AA1005" s="7"/>
      <c r="AC1005" s="70" t="str">
        <f t="shared" si="31"/>
        <v/>
      </c>
      <c r="AD1005" s="75" t="str">
        <f t="shared" si="32"/>
        <v/>
      </c>
      <c r="AH1005" t="s">
        <v>3588</v>
      </c>
    </row>
    <row r="1006" spans="1:36" outlineLevel="7">
      <c r="A1006" s="3499" t="s">
        <v>1850</v>
      </c>
      <c r="B1006" s="3499"/>
      <c r="C1006" s="7"/>
      <c r="D1006" s="7"/>
      <c r="E1006" s="13">
        <v>1030.99</v>
      </c>
      <c r="F1006" s="7"/>
      <c r="G1006" s="7"/>
      <c r="H1006" s="8"/>
      <c r="I1006" s="9"/>
      <c r="J1006" s="7"/>
      <c r="K1006" s="7"/>
      <c r="L1006" s="7"/>
      <c r="M1006" s="13">
        <v>1030.99</v>
      </c>
      <c r="N1006" s="13">
        <v>1030.99</v>
      </c>
      <c r="O1006" s="13">
        <v>1030.99</v>
      </c>
      <c r="P1006" s="7"/>
      <c r="Q1006" s="7"/>
      <c r="R1006" s="13">
        <v>1030.99</v>
      </c>
      <c r="S1006" s="7"/>
      <c r="T1006" s="7"/>
      <c r="U1006" s="7"/>
      <c r="V1006" s="13">
        <v>1030.99</v>
      </c>
      <c r="W1006" s="13">
        <v>1030.99</v>
      </c>
      <c r="X1006" s="7"/>
      <c r="Y1006" s="7"/>
      <c r="Z1006" s="7"/>
      <c r="AA1006" s="7"/>
      <c r="AC1006" s="70">
        <f t="shared" si="31"/>
        <v>1030.99</v>
      </c>
      <c r="AD1006" s="75" t="str">
        <f t="shared" si="32"/>
        <v/>
      </c>
      <c r="AG1006">
        <f>AC1006</f>
        <v>1030.99</v>
      </c>
    </row>
    <row r="1007" spans="1:36" outlineLevel="7">
      <c r="A1007" s="3500" t="s">
        <v>700</v>
      </c>
      <c r="B1007" s="3500"/>
      <c r="C1007" s="7"/>
      <c r="D1007" s="7"/>
      <c r="E1007" s="13">
        <v>2140.5100000000002</v>
      </c>
      <c r="F1007" s="7"/>
      <c r="G1007" s="7"/>
      <c r="H1007" s="8"/>
      <c r="I1007" s="9"/>
      <c r="J1007" s="7"/>
      <c r="K1007" s="7"/>
      <c r="L1007" s="7"/>
      <c r="M1007" s="13">
        <v>2140.5100000000002</v>
      </c>
      <c r="N1007" s="13">
        <v>2140.5100000000002</v>
      </c>
      <c r="O1007" s="13">
        <v>2140.5100000000002</v>
      </c>
      <c r="P1007" s="7"/>
      <c r="Q1007" s="7"/>
      <c r="R1007" s="13">
        <v>2140.5100000000002</v>
      </c>
      <c r="S1007" s="7"/>
      <c r="T1007" s="7"/>
      <c r="U1007" s="7"/>
      <c r="V1007" s="13">
        <v>2140.5100000000002</v>
      </c>
      <c r="W1007" s="13">
        <v>2140.5100000000002</v>
      </c>
      <c r="X1007" s="7"/>
      <c r="Y1007" s="7"/>
      <c r="Z1007" s="7"/>
      <c r="AA1007" s="7"/>
      <c r="AC1007" s="70" t="str">
        <f t="shared" si="31"/>
        <v/>
      </c>
      <c r="AD1007" s="75" t="str">
        <f t="shared" si="32"/>
        <v/>
      </c>
      <c r="AH1007" t="s">
        <v>3593</v>
      </c>
    </row>
    <row r="1008" spans="1:36" outlineLevel="7">
      <c r="A1008" s="3499" t="s">
        <v>1851</v>
      </c>
      <c r="B1008" s="3499"/>
      <c r="C1008" s="7"/>
      <c r="D1008" s="7"/>
      <c r="E1008" s="13">
        <v>2140.5100000000002</v>
      </c>
      <c r="F1008" s="7"/>
      <c r="G1008" s="7"/>
      <c r="H1008" s="8"/>
      <c r="I1008" s="9"/>
      <c r="J1008" s="7"/>
      <c r="K1008" s="7"/>
      <c r="L1008" s="7"/>
      <c r="M1008" s="13">
        <v>2140.5100000000002</v>
      </c>
      <c r="N1008" s="13">
        <v>2140.5100000000002</v>
      </c>
      <c r="O1008" s="13">
        <v>2140.5100000000002</v>
      </c>
      <c r="P1008" s="7"/>
      <c r="Q1008" s="7"/>
      <c r="R1008" s="13">
        <v>2140.5100000000002</v>
      </c>
      <c r="S1008" s="7"/>
      <c r="T1008" s="7"/>
      <c r="U1008" s="7"/>
      <c r="V1008" s="13">
        <v>2140.5100000000002</v>
      </c>
      <c r="W1008" s="13">
        <v>2140.5100000000002</v>
      </c>
      <c r="X1008" s="7"/>
      <c r="Y1008" s="7"/>
      <c r="Z1008" s="7"/>
      <c r="AA1008" s="7"/>
      <c r="AC1008" s="70">
        <f t="shared" si="31"/>
        <v>2140.5100000000002</v>
      </c>
      <c r="AD1008" s="75" t="str">
        <f t="shared" si="32"/>
        <v/>
      </c>
      <c r="AG1008">
        <f>AC1008</f>
        <v>2140.5100000000002</v>
      </c>
    </row>
    <row r="1009" spans="1:34" outlineLevel="7">
      <c r="A1009" s="3500" t="s">
        <v>701</v>
      </c>
      <c r="B1009" s="3500"/>
      <c r="C1009" s="7"/>
      <c r="D1009" s="7"/>
      <c r="E1009" s="13">
        <v>2140.5100000000002</v>
      </c>
      <c r="F1009" s="7"/>
      <c r="G1009" s="7"/>
      <c r="H1009" s="8"/>
      <c r="I1009" s="9"/>
      <c r="J1009" s="7"/>
      <c r="K1009" s="7"/>
      <c r="L1009" s="7"/>
      <c r="M1009" s="13">
        <v>2140.5100000000002</v>
      </c>
      <c r="N1009" s="13">
        <v>2140.5100000000002</v>
      </c>
      <c r="O1009" s="13">
        <v>2140.5100000000002</v>
      </c>
      <c r="P1009" s="7"/>
      <c r="Q1009" s="7"/>
      <c r="R1009" s="13">
        <v>2140.5100000000002</v>
      </c>
      <c r="S1009" s="7"/>
      <c r="T1009" s="7"/>
      <c r="U1009" s="7"/>
      <c r="V1009" s="13">
        <v>2140.5100000000002</v>
      </c>
      <c r="W1009" s="13">
        <v>2140.5100000000002</v>
      </c>
      <c r="X1009" s="7"/>
      <c r="Y1009" s="7"/>
      <c r="Z1009" s="7"/>
      <c r="AA1009" s="7"/>
      <c r="AC1009" s="70" t="str">
        <f t="shared" si="31"/>
        <v/>
      </c>
      <c r="AD1009" s="75" t="str">
        <f t="shared" si="32"/>
        <v/>
      </c>
      <c r="AH1009" t="s">
        <v>3591</v>
      </c>
    </row>
    <row r="1010" spans="1:34" outlineLevel="7">
      <c r="A1010" s="3499" t="s">
        <v>1852</v>
      </c>
      <c r="B1010" s="3499"/>
      <c r="C1010" s="7"/>
      <c r="D1010" s="7"/>
      <c r="E1010" s="13">
        <v>2140.5100000000002</v>
      </c>
      <c r="F1010" s="7"/>
      <c r="G1010" s="7"/>
      <c r="H1010" s="8"/>
      <c r="I1010" s="9"/>
      <c r="J1010" s="7"/>
      <c r="K1010" s="7"/>
      <c r="L1010" s="7"/>
      <c r="M1010" s="13">
        <v>2140.5100000000002</v>
      </c>
      <c r="N1010" s="13">
        <v>2140.5100000000002</v>
      </c>
      <c r="O1010" s="13">
        <v>2140.5100000000002</v>
      </c>
      <c r="P1010" s="7"/>
      <c r="Q1010" s="7"/>
      <c r="R1010" s="13">
        <v>2140.5100000000002</v>
      </c>
      <c r="S1010" s="7"/>
      <c r="T1010" s="7"/>
      <c r="U1010" s="7"/>
      <c r="V1010" s="13">
        <v>2140.5100000000002</v>
      </c>
      <c r="W1010" s="13">
        <v>2140.5100000000002</v>
      </c>
      <c r="X1010" s="7"/>
      <c r="Y1010" s="7"/>
      <c r="Z1010" s="7"/>
      <c r="AA1010" s="7"/>
      <c r="AC1010" s="70">
        <f t="shared" si="31"/>
        <v>2140.5100000000002</v>
      </c>
      <c r="AD1010" s="75" t="str">
        <f t="shared" si="32"/>
        <v/>
      </c>
      <c r="AG1010">
        <f>AC1010</f>
        <v>2140.5100000000002</v>
      </c>
    </row>
    <row r="1011" spans="1:34" outlineLevel="7">
      <c r="A1011" s="3500" t="s">
        <v>702</v>
      </c>
      <c r="B1011" s="3500"/>
      <c r="C1011" s="7"/>
      <c r="D1011" s="7"/>
      <c r="E1011" s="13">
        <v>2140.5100000000002</v>
      </c>
      <c r="F1011" s="7"/>
      <c r="G1011" s="7"/>
      <c r="H1011" s="8"/>
      <c r="I1011" s="9"/>
      <c r="J1011" s="7"/>
      <c r="K1011" s="7"/>
      <c r="L1011" s="7"/>
      <c r="M1011" s="13">
        <v>2140.5100000000002</v>
      </c>
      <c r="N1011" s="13">
        <v>2140.5100000000002</v>
      </c>
      <c r="O1011" s="13">
        <v>2140.5100000000002</v>
      </c>
      <c r="P1011" s="7"/>
      <c r="Q1011" s="7"/>
      <c r="R1011" s="13">
        <v>2140.5100000000002</v>
      </c>
      <c r="S1011" s="7"/>
      <c r="T1011" s="7"/>
      <c r="U1011" s="7"/>
      <c r="V1011" s="13">
        <v>2140.5100000000002</v>
      </c>
      <c r="W1011" s="13">
        <v>2140.5100000000002</v>
      </c>
      <c r="X1011" s="7"/>
      <c r="Y1011" s="7"/>
      <c r="Z1011" s="7"/>
      <c r="AA1011" s="7"/>
      <c r="AC1011" s="70" t="str">
        <f t="shared" si="31"/>
        <v/>
      </c>
      <c r="AD1011" s="75" t="str">
        <f t="shared" si="32"/>
        <v/>
      </c>
      <c r="AH1011" t="s">
        <v>3598</v>
      </c>
    </row>
    <row r="1012" spans="1:34" outlineLevel="7">
      <c r="A1012" s="3499" t="s">
        <v>1853</v>
      </c>
      <c r="B1012" s="3499"/>
      <c r="C1012" s="7"/>
      <c r="D1012" s="7"/>
      <c r="E1012" s="13">
        <v>2140.5100000000002</v>
      </c>
      <c r="F1012" s="7"/>
      <c r="G1012" s="7"/>
      <c r="H1012" s="8"/>
      <c r="I1012" s="9"/>
      <c r="J1012" s="7"/>
      <c r="K1012" s="7"/>
      <c r="L1012" s="7"/>
      <c r="M1012" s="13">
        <v>2140.5100000000002</v>
      </c>
      <c r="N1012" s="13">
        <v>2140.5100000000002</v>
      </c>
      <c r="O1012" s="13">
        <v>2140.5100000000002</v>
      </c>
      <c r="P1012" s="7"/>
      <c r="Q1012" s="7"/>
      <c r="R1012" s="13">
        <v>2140.5100000000002</v>
      </c>
      <c r="S1012" s="7"/>
      <c r="T1012" s="7"/>
      <c r="U1012" s="7"/>
      <c r="V1012" s="13">
        <v>2140.5100000000002</v>
      </c>
      <c r="W1012" s="13">
        <v>2140.5100000000002</v>
      </c>
      <c r="X1012" s="7"/>
      <c r="Y1012" s="7"/>
      <c r="Z1012" s="7"/>
      <c r="AA1012" s="7"/>
      <c r="AC1012" s="70">
        <f t="shared" si="31"/>
        <v>2140.5100000000002</v>
      </c>
      <c r="AD1012" s="75" t="str">
        <f t="shared" si="32"/>
        <v/>
      </c>
      <c r="AG1012">
        <f>AC1012</f>
        <v>2140.5100000000002</v>
      </c>
    </row>
    <row r="1013" spans="1:34" outlineLevel="7">
      <c r="A1013" s="3500" t="s">
        <v>703</v>
      </c>
      <c r="B1013" s="3500"/>
      <c r="C1013" s="7"/>
      <c r="D1013" s="7"/>
      <c r="E1013" s="14">
        <v>550</v>
      </c>
      <c r="F1013" s="7"/>
      <c r="G1013" s="7"/>
      <c r="H1013" s="8"/>
      <c r="I1013" s="9"/>
      <c r="J1013" s="7"/>
      <c r="K1013" s="7"/>
      <c r="L1013" s="7"/>
      <c r="M1013" s="14">
        <v>550</v>
      </c>
      <c r="N1013" s="14">
        <v>550</v>
      </c>
      <c r="O1013" s="14">
        <v>550</v>
      </c>
      <c r="P1013" s="7"/>
      <c r="Q1013" s="7"/>
      <c r="R1013" s="14">
        <v>550</v>
      </c>
      <c r="S1013" s="7"/>
      <c r="T1013" s="7"/>
      <c r="U1013" s="14">
        <v>550</v>
      </c>
      <c r="V1013" s="7"/>
      <c r="W1013" s="7"/>
      <c r="X1013" s="7"/>
      <c r="Y1013" s="7"/>
      <c r="Z1013" s="7"/>
      <c r="AA1013" s="7"/>
      <c r="AC1013" s="70" t="str">
        <f t="shared" si="31"/>
        <v/>
      </c>
      <c r="AD1013" s="75" t="str">
        <f t="shared" si="32"/>
        <v/>
      </c>
      <c r="AH1013" t="s">
        <v>3477</v>
      </c>
    </row>
    <row r="1014" spans="1:34" outlineLevel="7">
      <c r="A1014" s="3499" t="s">
        <v>1854</v>
      </c>
      <c r="B1014" s="3499"/>
      <c r="C1014" s="7"/>
      <c r="D1014" s="7"/>
      <c r="E1014" s="14">
        <v>550</v>
      </c>
      <c r="F1014" s="7"/>
      <c r="G1014" s="7"/>
      <c r="H1014" s="8"/>
      <c r="I1014" s="9"/>
      <c r="J1014" s="7"/>
      <c r="K1014" s="7"/>
      <c r="L1014" s="7"/>
      <c r="M1014" s="14">
        <v>550</v>
      </c>
      <c r="N1014" s="14">
        <v>550</v>
      </c>
      <c r="O1014" s="14">
        <v>550</v>
      </c>
      <c r="P1014" s="7"/>
      <c r="Q1014" s="7"/>
      <c r="R1014" s="14">
        <v>550</v>
      </c>
      <c r="S1014" s="7"/>
      <c r="T1014" s="7"/>
      <c r="U1014" s="14">
        <v>550</v>
      </c>
      <c r="V1014" s="7"/>
      <c r="W1014" s="7"/>
      <c r="X1014" s="7"/>
      <c r="Y1014" s="7"/>
      <c r="Z1014" s="7"/>
      <c r="AA1014" s="7"/>
      <c r="AC1014" s="70">
        <f t="shared" si="31"/>
        <v>550</v>
      </c>
      <c r="AD1014" s="75">
        <f t="shared" si="32"/>
        <v>1</v>
      </c>
    </row>
    <row r="1015" spans="1:34" outlineLevel="7">
      <c r="A1015" s="3500" t="s">
        <v>704</v>
      </c>
      <c r="B1015" s="3500"/>
      <c r="C1015" s="7"/>
      <c r="D1015" s="7"/>
      <c r="E1015" s="13">
        <v>1978.62</v>
      </c>
      <c r="F1015" s="7"/>
      <c r="G1015" s="7"/>
      <c r="H1015" s="8"/>
      <c r="I1015" s="9"/>
      <c r="J1015" s="7"/>
      <c r="K1015" s="7"/>
      <c r="L1015" s="7"/>
      <c r="M1015" s="13">
        <v>1978.62</v>
      </c>
      <c r="N1015" s="13">
        <v>1978.62</v>
      </c>
      <c r="O1015" s="13">
        <v>1978.62</v>
      </c>
      <c r="P1015" s="7"/>
      <c r="Q1015" s="7"/>
      <c r="R1015" s="13">
        <v>1978.62</v>
      </c>
      <c r="S1015" s="7"/>
      <c r="T1015" s="7"/>
      <c r="U1015" s="13">
        <v>1978.62</v>
      </c>
      <c r="V1015" s="7"/>
      <c r="W1015" s="7"/>
      <c r="X1015" s="7"/>
      <c r="Y1015" s="7"/>
      <c r="Z1015" s="7"/>
      <c r="AA1015" s="7"/>
      <c r="AC1015" s="70" t="str">
        <f t="shared" si="31"/>
        <v/>
      </c>
      <c r="AD1015" s="75" t="str">
        <f t="shared" si="32"/>
        <v/>
      </c>
      <c r="AH1015" t="s">
        <v>3622</v>
      </c>
    </row>
    <row r="1016" spans="1:34" outlineLevel="7">
      <c r="A1016" s="3499" t="s">
        <v>1855</v>
      </c>
      <c r="B1016" s="3499"/>
      <c r="C1016" s="7"/>
      <c r="D1016" s="7"/>
      <c r="E1016" s="13">
        <v>1978.62</v>
      </c>
      <c r="F1016" s="7"/>
      <c r="G1016" s="7"/>
      <c r="H1016" s="8"/>
      <c r="I1016" s="9"/>
      <c r="J1016" s="7"/>
      <c r="K1016" s="7"/>
      <c r="L1016" s="7"/>
      <c r="M1016" s="13">
        <v>1978.62</v>
      </c>
      <c r="N1016" s="13">
        <v>1978.62</v>
      </c>
      <c r="O1016" s="13">
        <v>1978.62</v>
      </c>
      <c r="P1016" s="7"/>
      <c r="Q1016" s="7"/>
      <c r="R1016" s="13">
        <v>1978.62</v>
      </c>
      <c r="S1016" s="7"/>
      <c r="T1016" s="7"/>
      <c r="U1016" s="13">
        <v>1978.62</v>
      </c>
      <c r="V1016" s="7"/>
      <c r="W1016" s="7"/>
      <c r="X1016" s="7"/>
      <c r="Y1016" s="7"/>
      <c r="Z1016" s="7"/>
      <c r="AA1016" s="7"/>
      <c r="AC1016" s="70">
        <f t="shared" si="31"/>
        <v>1978.62</v>
      </c>
      <c r="AD1016" s="75" t="str">
        <f t="shared" si="32"/>
        <v/>
      </c>
      <c r="AG1016">
        <f>AC1016</f>
        <v>1978.62</v>
      </c>
    </row>
    <row r="1017" spans="1:34" outlineLevel="7">
      <c r="A1017" s="3500" t="s">
        <v>705</v>
      </c>
      <c r="B1017" s="3500"/>
      <c r="C1017" s="7"/>
      <c r="D1017" s="7"/>
      <c r="E1017" s="13">
        <v>1978.62</v>
      </c>
      <c r="F1017" s="7"/>
      <c r="G1017" s="7"/>
      <c r="H1017" s="8"/>
      <c r="I1017" s="9"/>
      <c r="J1017" s="7"/>
      <c r="K1017" s="7"/>
      <c r="L1017" s="7"/>
      <c r="M1017" s="13">
        <v>1978.62</v>
      </c>
      <c r="N1017" s="13">
        <v>1978.62</v>
      </c>
      <c r="O1017" s="13">
        <v>1978.62</v>
      </c>
      <c r="P1017" s="7"/>
      <c r="Q1017" s="7"/>
      <c r="R1017" s="13">
        <v>1978.62</v>
      </c>
      <c r="S1017" s="7"/>
      <c r="T1017" s="7"/>
      <c r="U1017" s="13">
        <v>1978.62</v>
      </c>
      <c r="V1017" s="7"/>
      <c r="W1017" s="7"/>
      <c r="X1017" s="7"/>
      <c r="Y1017" s="7"/>
      <c r="Z1017" s="7"/>
      <c r="AA1017" s="7"/>
      <c r="AC1017" s="70" t="str">
        <f t="shared" si="31"/>
        <v/>
      </c>
      <c r="AD1017" s="75" t="str">
        <f t="shared" si="32"/>
        <v/>
      </c>
      <c r="AH1017" t="s">
        <v>3625</v>
      </c>
    </row>
    <row r="1018" spans="1:34" outlineLevel="7">
      <c r="A1018" s="3499" t="s">
        <v>1856</v>
      </c>
      <c r="B1018" s="3499"/>
      <c r="C1018" s="7"/>
      <c r="D1018" s="7"/>
      <c r="E1018" s="13">
        <v>1978.62</v>
      </c>
      <c r="F1018" s="7"/>
      <c r="G1018" s="7"/>
      <c r="H1018" s="8"/>
      <c r="I1018" s="9"/>
      <c r="J1018" s="7"/>
      <c r="K1018" s="7"/>
      <c r="L1018" s="7"/>
      <c r="M1018" s="13">
        <v>1978.62</v>
      </c>
      <c r="N1018" s="13">
        <v>1978.62</v>
      </c>
      <c r="O1018" s="13">
        <v>1978.62</v>
      </c>
      <c r="P1018" s="7"/>
      <c r="Q1018" s="7"/>
      <c r="R1018" s="13">
        <v>1978.62</v>
      </c>
      <c r="S1018" s="7"/>
      <c r="T1018" s="7"/>
      <c r="U1018" s="13">
        <v>1978.62</v>
      </c>
      <c r="V1018" s="7"/>
      <c r="W1018" s="7"/>
      <c r="X1018" s="7"/>
      <c r="Y1018" s="7"/>
      <c r="Z1018" s="7"/>
      <c r="AA1018" s="7"/>
      <c r="AC1018" s="70">
        <f t="shared" si="31"/>
        <v>1978.62</v>
      </c>
      <c r="AD1018" s="75" t="str">
        <f t="shared" si="32"/>
        <v/>
      </c>
      <c r="AG1018">
        <f>AC1018</f>
        <v>1978.62</v>
      </c>
    </row>
    <row r="1019" spans="1:34" outlineLevel="7">
      <c r="A1019" s="3500" t="s">
        <v>706</v>
      </c>
      <c r="B1019" s="3500"/>
      <c r="C1019" s="7"/>
      <c r="D1019" s="7"/>
      <c r="E1019" s="13">
        <v>1978.62</v>
      </c>
      <c r="F1019" s="7"/>
      <c r="G1019" s="7"/>
      <c r="H1019" s="8"/>
      <c r="I1019" s="9"/>
      <c r="J1019" s="7"/>
      <c r="K1019" s="7"/>
      <c r="L1019" s="7"/>
      <c r="M1019" s="13">
        <v>1978.62</v>
      </c>
      <c r="N1019" s="13">
        <v>1978.62</v>
      </c>
      <c r="O1019" s="13">
        <v>1978.62</v>
      </c>
      <c r="P1019" s="7"/>
      <c r="Q1019" s="7"/>
      <c r="R1019" s="13">
        <v>1978.62</v>
      </c>
      <c r="S1019" s="7"/>
      <c r="T1019" s="7"/>
      <c r="U1019" s="13">
        <v>1978.62</v>
      </c>
      <c r="V1019" s="7"/>
      <c r="W1019" s="7"/>
      <c r="X1019" s="7"/>
      <c r="Y1019" s="7"/>
      <c r="Z1019" s="7"/>
      <c r="AA1019" s="7"/>
      <c r="AC1019" s="70" t="str">
        <f t="shared" si="31"/>
        <v/>
      </c>
      <c r="AD1019" s="75" t="str">
        <f t="shared" si="32"/>
        <v/>
      </c>
      <c r="AH1019" t="s">
        <v>3626</v>
      </c>
    </row>
    <row r="1020" spans="1:34" outlineLevel="7">
      <c r="A1020" s="3499" t="s">
        <v>1857</v>
      </c>
      <c r="B1020" s="3499"/>
      <c r="C1020" s="7"/>
      <c r="D1020" s="7"/>
      <c r="E1020" s="13">
        <v>1978.62</v>
      </c>
      <c r="F1020" s="7"/>
      <c r="G1020" s="7"/>
      <c r="H1020" s="8"/>
      <c r="I1020" s="9"/>
      <c r="J1020" s="7"/>
      <c r="K1020" s="7"/>
      <c r="L1020" s="7"/>
      <c r="M1020" s="13">
        <v>1978.62</v>
      </c>
      <c r="N1020" s="13">
        <v>1978.62</v>
      </c>
      <c r="O1020" s="13">
        <v>1978.62</v>
      </c>
      <c r="P1020" s="7"/>
      <c r="Q1020" s="7"/>
      <c r="R1020" s="13">
        <v>1978.62</v>
      </c>
      <c r="S1020" s="7"/>
      <c r="T1020" s="7"/>
      <c r="U1020" s="13">
        <v>1978.62</v>
      </c>
      <c r="V1020" s="7"/>
      <c r="W1020" s="7"/>
      <c r="X1020" s="7"/>
      <c r="Y1020" s="7"/>
      <c r="Z1020" s="7"/>
      <c r="AA1020" s="7"/>
      <c r="AC1020" s="70">
        <f t="shared" si="31"/>
        <v>1978.62</v>
      </c>
      <c r="AD1020" s="75" t="str">
        <f t="shared" si="32"/>
        <v/>
      </c>
      <c r="AG1020">
        <f>AC1020</f>
        <v>1978.62</v>
      </c>
    </row>
    <row r="1021" spans="1:34" outlineLevel="7">
      <c r="A1021" s="3500" t="s">
        <v>707</v>
      </c>
      <c r="B1021" s="3500"/>
      <c r="C1021" s="7"/>
      <c r="D1021" s="7"/>
      <c r="E1021" s="14">
        <v>550</v>
      </c>
      <c r="F1021" s="7"/>
      <c r="G1021" s="7"/>
      <c r="H1021" s="8"/>
      <c r="I1021" s="9"/>
      <c r="J1021" s="7"/>
      <c r="K1021" s="7"/>
      <c r="L1021" s="7"/>
      <c r="M1021" s="14">
        <v>550</v>
      </c>
      <c r="N1021" s="14">
        <v>550</v>
      </c>
      <c r="O1021" s="14">
        <v>550</v>
      </c>
      <c r="P1021" s="7"/>
      <c r="Q1021" s="7"/>
      <c r="R1021" s="14">
        <v>550</v>
      </c>
      <c r="S1021" s="7"/>
      <c r="T1021" s="7"/>
      <c r="U1021" s="14">
        <v>550</v>
      </c>
      <c r="V1021" s="7"/>
      <c r="W1021" s="7"/>
      <c r="X1021" s="7"/>
      <c r="Y1021" s="7"/>
      <c r="Z1021" s="7"/>
      <c r="AA1021" s="7"/>
      <c r="AC1021" s="70" t="str">
        <f t="shared" si="31"/>
        <v/>
      </c>
      <c r="AD1021" s="75" t="str">
        <f t="shared" si="32"/>
        <v/>
      </c>
      <c r="AH1021" t="s">
        <v>3564</v>
      </c>
    </row>
    <row r="1022" spans="1:34" outlineLevel="7">
      <c r="A1022" s="3499" t="s">
        <v>1858</v>
      </c>
      <c r="B1022" s="3499"/>
      <c r="C1022" s="7"/>
      <c r="D1022" s="7"/>
      <c r="E1022" s="14">
        <v>550</v>
      </c>
      <c r="F1022" s="7"/>
      <c r="G1022" s="7"/>
      <c r="H1022" s="8"/>
      <c r="I1022" s="9"/>
      <c r="J1022" s="7"/>
      <c r="K1022" s="7"/>
      <c r="L1022" s="7"/>
      <c r="M1022" s="14">
        <v>550</v>
      </c>
      <c r="N1022" s="14">
        <v>550</v>
      </c>
      <c r="O1022" s="14">
        <v>550</v>
      </c>
      <c r="P1022" s="7"/>
      <c r="Q1022" s="7"/>
      <c r="R1022" s="14">
        <v>550</v>
      </c>
      <c r="S1022" s="7"/>
      <c r="T1022" s="7"/>
      <c r="U1022" s="14">
        <v>550</v>
      </c>
      <c r="V1022" s="7"/>
      <c r="W1022" s="7"/>
      <c r="X1022" s="7"/>
      <c r="Y1022" s="7"/>
      <c r="Z1022" s="7"/>
      <c r="AA1022" s="7"/>
      <c r="AC1022" s="70">
        <f t="shared" si="31"/>
        <v>550</v>
      </c>
      <c r="AD1022" s="75">
        <f t="shared" si="32"/>
        <v>1</v>
      </c>
    </row>
    <row r="1023" spans="1:34" outlineLevel="6">
      <c r="A1023" s="3501" t="s">
        <v>708</v>
      </c>
      <c r="B1023" s="3501"/>
      <c r="C1023" s="7"/>
      <c r="D1023" s="7"/>
      <c r="E1023" s="14">
        <v>550</v>
      </c>
      <c r="F1023" s="7"/>
      <c r="G1023" s="7"/>
      <c r="H1023" s="8"/>
      <c r="I1023" s="9"/>
      <c r="J1023" s="7"/>
      <c r="K1023" s="7"/>
      <c r="L1023" s="7"/>
      <c r="M1023" s="14">
        <v>550</v>
      </c>
      <c r="N1023" s="14">
        <v>550</v>
      </c>
      <c r="O1023" s="14">
        <v>550</v>
      </c>
      <c r="P1023" s="7"/>
      <c r="Q1023" s="7"/>
      <c r="R1023" s="14">
        <v>550</v>
      </c>
      <c r="S1023" s="7"/>
      <c r="T1023" s="7"/>
      <c r="U1023" s="7"/>
      <c r="V1023" s="14">
        <v>550</v>
      </c>
      <c r="W1023" s="14">
        <v>550</v>
      </c>
      <c r="X1023" s="7"/>
      <c r="Y1023" s="7"/>
      <c r="Z1023" s="7"/>
      <c r="AA1023" s="7"/>
      <c r="AC1023" s="70" t="str">
        <f t="shared" si="31"/>
        <v/>
      </c>
      <c r="AD1023" s="75" t="str">
        <f t="shared" si="32"/>
        <v/>
      </c>
    </row>
    <row r="1024" spans="1:34" outlineLevel="7">
      <c r="A1024" s="3500" t="s">
        <v>709</v>
      </c>
      <c r="B1024" s="3500"/>
      <c r="C1024" s="7"/>
      <c r="D1024" s="7"/>
      <c r="E1024" s="14">
        <v>550</v>
      </c>
      <c r="F1024" s="7"/>
      <c r="G1024" s="7"/>
      <c r="H1024" s="8"/>
      <c r="I1024" s="9"/>
      <c r="J1024" s="7"/>
      <c r="K1024" s="7"/>
      <c r="L1024" s="7"/>
      <c r="M1024" s="14">
        <v>550</v>
      </c>
      <c r="N1024" s="14">
        <v>550</v>
      </c>
      <c r="O1024" s="14">
        <v>550</v>
      </c>
      <c r="P1024" s="7"/>
      <c r="Q1024" s="7"/>
      <c r="R1024" s="14">
        <v>550</v>
      </c>
      <c r="S1024" s="7"/>
      <c r="T1024" s="7"/>
      <c r="U1024" s="7"/>
      <c r="V1024" s="14">
        <v>550</v>
      </c>
      <c r="W1024" s="14">
        <v>550</v>
      </c>
      <c r="X1024" s="7"/>
      <c r="Y1024" s="7"/>
      <c r="Z1024" s="7"/>
      <c r="AA1024" s="7"/>
      <c r="AC1024" s="70" t="str">
        <f t="shared" si="31"/>
        <v/>
      </c>
      <c r="AD1024" s="75" t="str">
        <f t="shared" si="32"/>
        <v/>
      </c>
      <c r="AH1024" t="s">
        <v>3378</v>
      </c>
    </row>
    <row r="1025" spans="1:34" outlineLevel="7">
      <c r="A1025" s="3499" t="s">
        <v>1859</v>
      </c>
      <c r="B1025" s="3499"/>
      <c r="C1025" s="7"/>
      <c r="D1025" s="7"/>
      <c r="E1025" s="14">
        <v>550</v>
      </c>
      <c r="F1025" s="7"/>
      <c r="G1025" s="7"/>
      <c r="H1025" s="8"/>
      <c r="I1025" s="9"/>
      <c r="J1025" s="7"/>
      <c r="K1025" s="7"/>
      <c r="L1025" s="7"/>
      <c r="M1025" s="14">
        <v>550</v>
      </c>
      <c r="N1025" s="14">
        <v>550</v>
      </c>
      <c r="O1025" s="14">
        <v>550</v>
      </c>
      <c r="P1025" s="7"/>
      <c r="Q1025" s="7"/>
      <c r="R1025" s="14">
        <v>550</v>
      </c>
      <c r="S1025" s="7"/>
      <c r="T1025" s="7"/>
      <c r="U1025" s="7"/>
      <c r="V1025" s="14">
        <v>550</v>
      </c>
      <c r="W1025" s="14">
        <v>550</v>
      </c>
      <c r="X1025" s="7"/>
      <c r="Y1025" s="7"/>
      <c r="Z1025" s="7"/>
      <c r="AA1025" s="7"/>
      <c r="AC1025" s="70">
        <f t="shared" si="31"/>
        <v>550</v>
      </c>
      <c r="AD1025" s="75">
        <f>IF(AC1025=550,1,"")</f>
        <v>1</v>
      </c>
    </row>
    <row r="1026" spans="1:34" outlineLevel="6">
      <c r="A1026" s="3501" t="s">
        <v>710</v>
      </c>
      <c r="B1026" s="3501"/>
      <c r="C1026" s="7"/>
      <c r="D1026" s="7"/>
      <c r="E1026" s="14">
        <v>550</v>
      </c>
      <c r="F1026" s="7"/>
      <c r="G1026" s="7"/>
      <c r="H1026" s="8"/>
      <c r="I1026" s="9"/>
      <c r="J1026" s="7"/>
      <c r="K1026" s="7"/>
      <c r="L1026" s="7"/>
      <c r="M1026" s="14">
        <v>550</v>
      </c>
      <c r="N1026" s="14">
        <v>550</v>
      </c>
      <c r="O1026" s="14">
        <v>550</v>
      </c>
      <c r="P1026" s="7"/>
      <c r="Q1026" s="7"/>
      <c r="R1026" s="14">
        <v>550</v>
      </c>
      <c r="S1026" s="7"/>
      <c r="T1026" s="7"/>
      <c r="U1026" s="7"/>
      <c r="V1026" s="14">
        <v>550</v>
      </c>
      <c r="W1026" s="14">
        <v>550</v>
      </c>
      <c r="X1026" s="7"/>
      <c r="Y1026" s="7"/>
      <c r="Z1026" s="7"/>
      <c r="AA1026" s="7"/>
      <c r="AC1026" s="70" t="str">
        <f t="shared" si="31"/>
        <v/>
      </c>
      <c r="AD1026" s="75" t="str">
        <f t="shared" si="32"/>
        <v/>
      </c>
    </row>
    <row r="1027" spans="1:34" outlineLevel="7">
      <c r="A1027" s="3500" t="s">
        <v>711</v>
      </c>
      <c r="B1027" s="3500"/>
      <c r="C1027" s="7"/>
      <c r="D1027" s="7"/>
      <c r="E1027" s="14">
        <v>550</v>
      </c>
      <c r="F1027" s="7"/>
      <c r="G1027" s="7"/>
      <c r="H1027" s="8"/>
      <c r="I1027" s="9"/>
      <c r="J1027" s="7"/>
      <c r="K1027" s="7"/>
      <c r="L1027" s="7"/>
      <c r="M1027" s="14">
        <v>550</v>
      </c>
      <c r="N1027" s="14">
        <v>550</v>
      </c>
      <c r="O1027" s="14">
        <v>550</v>
      </c>
      <c r="P1027" s="7"/>
      <c r="Q1027" s="7"/>
      <c r="R1027" s="14">
        <v>550</v>
      </c>
      <c r="S1027" s="7"/>
      <c r="T1027" s="7"/>
      <c r="U1027" s="7"/>
      <c r="V1027" s="14">
        <v>550</v>
      </c>
      <c r="W1027" s="14">
        <v>550</v>
      </c>
      <c r="X1027" s="7"/>
      <c r="Y1027" s="7"/>
      <c r="Z1027" s="7"/>
      <c r="AA1027" s="7"/>
      <c r="AC1027" s="70" t="str">
        <f t="shared" si="31"/>
        <v/>
      </c>
      <c r="AD1027" s="75" t="str">
        <f t="shared" si="32"/>
        <v/>
      </c>
      <c r="AH1027" t="s">
        <v>3648</v>
      </c>
    </row>
    <row r="1028" spans="1:34" outlineLevel="7">
      <c r="A1028" s="3499" t="s">
        <v>1860</v>
      </c>
      <c r="B1028" s="3499"/>
      <c r="C1028" s="7"/>
      <c r="D1028" s="7"/>
      <c r="E1028" s="14">
        <v>550</v>
      </c>
      <c r="F1028" s="7"/>
      <c r="G1028" s="7"/>
      <c r="H1028" s="8"/>
      <c r="I1028" s="9"/>
      <c r="J1028" s="7"/>
      <c r="K1028" s="7"/>
      <c r="L1028" s="7"/>
      <c r="M1028" s="14">
        <v>550</v>
      </c>
      <c r="N1028" s="14">
        <v>550</v>
      </c>
      <c r="O1028" s="14">
        <v>550</v>
      </c>
      <c r="P1028" s="7"/>
      <c r="Q1028" s="7"/>
      <c r="R1028" s="14">
        <v>550</v>
      </c>
      <c r="S1028" s="7"/>
      <c r="T1028" s="7"/>
      <c r="U1028" s="7"/>
      <c r="V1028" s="14">
        <v>550</v>
      </c>
      <c r="W1028" s="14">
        <v>550</v>
      </c>
      <c r="X1028" s="7"/>
      <c r="Y1028" s="7"/>
      <c r="Z1028" s="7"/>
      <c r="AA1028" s="7"/>
      <c r="AC1028" s="70">
        <f t="shared" si="31"/>
        <v>550</v>
      </c>
      <c r="AD1028" s="75">
        <f t="shared" si="32"/>
        <v>1</v>
      </c>
    </row>
    <row r="1029" spans="1:34" outlineLevel="6">
      <c r="A1029" s="3501" t="s">
        <v>712</v>
      </c>
      <c r="B1029" s="3501"/>
      <c r="C1029" s="7"/>
      <c r="D1029" s="7"/>
      <c r="E1029" s="13">
        <v>13490.59</v>
      </c>
      <c r="F1029" s="7"/>
      <c r="G1029" s="7"/>
      <c r="H1029" s="8"/>
      <c r="I1029" s="9"/>
      <c r="J1029" s="7"/>
      <c r="K1029" s="7"/>
      <c r="L1029" s="7"/>
      <c r="M1029" s="13">
        <v>13490.59</v>
      </c>
      <c r="N1029" s="13">
        <v>13490.59</v>
      </c>
      <c r="O1029" s="13">
        <v>13490.59</v>
      </c>
      <c r="P1029" s="7"/>
      <c r="Q1029" s="7"/>
      <c r="R1029" s="13">
        <v>13490.59</v>
      </c>
      <c r="S1029" s="7"/>
      <c r="T1029" s="7"/>
      <c r="U1029" s="7"/>
      <c r="V1029" s="13">
        <v>13490.59</v>
      </c>
      <c r="W1029" s="13">
        <v>13490.59</v>
      </c>
      <c r="X1029" s="7"/>
      <c r="Y1029" s="7"/>
      <c r="Z1029" s="7"/>
      <c r="AA1029" s="7"/>
      <c r="AC1029" s="70" t="str">
        <f t="shared" si="31"/>
        <v/>
      </c>
      <c r="AD1029" s="75" t="str">
        <f t="shared" si="32"/>
        <v/>
      </c>
    </row>
    <row r="1030" spans="1:34" outlineLevel="7">
      <c r="A1030" s="3500" t="s">
        <v>713</v>
      </c>
      <c r="B1030" s="3500"/>
      <c r="C1030" s="7"/>
      <c r="D1030" s="7"/>
      <c r="E1030" s="13">
        <v>4496.8599999999997</v>
      </c>
      <c r="F1030" s="7"/>
      <c r="G1030" s="7"/>
      <c r="H1030" s="8"/>
      <c r="I1030" s="9"/>
      <c r="J1030" s="7"/>
      <c r="K1030" s="7"/>
      <c r="L1030" s="7"/>
      <c r="M1030" s="13">
        <v>4496.8599999999997</v>
      </c>
      <c r="N1030" s="13">
        <v>4496.8599999999997</v>
      </c>
      <c r="O1030" s="13">
        <v>4496.8599999999997</v>
      </c>
      <c r="P1030" s="7"/>
      <c r="Q1030" s="7"/>
      <c r="R1030" s="13">
        <v>4496.8599999999997</v>
      </c>
      <c r="S1030" s="7"/>
      <c r="T1030" s="7"/>
      <c r="U1030" s="7"/>
      <c r="V1030" s="13">
        <v>4496.8599999999997</v>
      </c>
      <c r="W1030" s="13">
        <v>4496.8599999999997</v>
      </c>
      <c r="X1030" s="7"/>
      <c r="Y1030" s="7"/>
      <c r="Z1030" s="7"/>
      <c r="AA1030" s="7"/>
      <c r="AC1030" s="70" t="str">
        <f t="shared" si="31"/>
        <v/>
      </c>
      <c r="AD1030" s="75" t="str">
        <f t="shared" si="32"/>
        <v/>
      </c>
      <c r="AH1030" t="s">
        <v>3603</v>
      </c>
    </row>
    <row r="1031" spans="1:34" outlineLevel="7">
      <c r="A1031" s="3499" t="s">
        <v>1861</v>
      </c>
      <c r="B1031" s="3499"/>
      <c r="C1031" s="7"/>
      <c r="D1031" s="7"/>
      <c r="E1031" s="13">
        <v>4496.8599999999997</v>
      </c>
      <c r="F1031" s="7"/>
      <c r="G1031" s="7"/>
      <c r="H1031" s="8"/>
      <c r="I1031" s="9"/>
      <c r="J1031" s="7"/>
      <c r="K1031" s="7"/>
      <c r="L1031" s="7"/>
      <c r="M1031" s="13">
        <v>4496.8599999999997</v>
      </c>
      <c r="N1031" s="13">
        <v>4496.8599999999997</v>
      </c>
      <c r="O1031" s="13">
        <v>4496.8599999999997</v>
      </c>
      <c r="P1031" s="7"/>
      <c r="Q1031" s="7"/>
      <c r="R1031" s="13">
        <v>4496.8599999999997</v>
      </c>
      <c r="S1031" s="7"/>
      <c r="T1031" s="7"/>
      <c r="U1031" s="7"/>
      <c r="V1031" s="13">
        <v>4496.8599999999997</v>
      </c>
      <c r="W1031" s="13">
        <v>4496.8599999999997</v>
      </c>
      <c r="X1031" s="7"/>
      <c r="Y1031" s="7"/>
      <c r="Z1031" s="7"/>
      <c r="AA1031" s="7"/>
      <c r="AC1031" s="70">
        <f t="shared" si="31"/>
        <v>4496.8599999999997</v>
      </c>
      <c r="AD1031" s="75" t="str">
        <f t="shared" si="32"/>
        <v/>
      </c>
      <c r="AG1031">
        <f>AC1031</f>
        <v>4496.8599999999997</v>
      </c>
    </row>
    <row r="1032" spans="1:34" outlineLevel="7">
      <c r="A1032" s="3500" t="s">
        <v>714</v>
      </c>
      <c r="B1032" s="3500"/>
      <c r="C1032" s="7"/>
      <c r="D1032" s="7"/>
      <c r="E1032" s="13">
        <v>8993.73</v>
      </c>
      <c r="F1032" s="7"/>
      <c r="G1032" s="7"/>
      <c r="H1032" s="8"/>
      <c r="I1032" s="9"/>
      <c r="J1032" s="7"/>
      <c r="K1032" s="7"/>
      <c r="L1032" s="7"/>
      <c r="M1032" s="13">
        <v>8993.73</v>
      </c>
      <c r="N1032" s="13">
        <v>8993.73</v>
      </c>
      <c r="O1032" s="13">
        <v>8993.73</v>
      </c>
      <c r="P1032" s="7"/>
      <c r="Q1032" s="7"/>
      <c r="R1032" s="13">
        <v>8993.73</v>
      </c>
      <c r="S1032" s="7"/>
      <c r="T1032" s="7"/>
      <c r="U1032" s="7"/>
      <c r="V1032" s="13">
        <v>8993.73</v>
      </c>
      <c r="W1032" s="13">
        <v>8993.73</v>
      </c>
      <c r="X1032" s="7"/>
      <c r="Y1032" s="7"/>
      <c r="Z1032" s="7"/>
      <c r="AA1032" s="7"/>
      <c r="AC1032" s="70" t="str">
        <f t="shared" si="31"/>
        <v/>
      </c>
      <c r="AD1032" s="75" t="str">
        <f t="shared" si="32"/>
        <v/>
      </c>
      <c r="AH1032" t="s">
        <v>3589</v>
      </c>
    </row>
    <row r="1033" spans="1:34" outlineLevel="7">
      <c r="A1033" s="3499" t="s">
        <v>1862</v>
      </c>
      <c r="B1033" s="3499"/>
      <c r="C1033" s="7"/>
      <c r="D1033" s="7"/>
      <c r="E1033" s="13">
        <v>8993.73</v>
      </c>
      <c r="F1033" s="7"/>
      <c r="G1033" s="7"/>
      <c r="H1033" s="8"/>
      <c r="I1033" s="9"/>
      <c r="J1033" s="7"/>
      <c r="K1033" s="7"/>
      <c r="L1033" s="7"/>
      <c r="M1033" s="13">
        <v>8993.73</v>
      </c>
      <c r="N1033" s="13">
        <v>8993.73</v>
      </c>
      <c r="O1033" s="13">
        <v>8993.73</v>
      </c>
      <c r="P1033" s="7"/>
      <c r="Q1033" s="7"/>
      <c r="R1033" s="13">
        <v>8993.73</v>
      </c>
      <c r="S1033" s="7"/>
      <c r="T1033" s="7"/>
      <c r="U1033" s="7"/>
      <c r="V1033" s="13">
        <v>8993.73</v>
      </c>
      <c r="W1033" s="13">
        <v>8993.73</v>
      </c>
      <c r="X1033" s="7"/>
      <c r="Y1033" s="7"/>
      <c r="Z1033" s="7"/>
      <c r="AA1033" s="7"/>
      <c r="AC1033" s="70">
        <f t="shared" si="31"/>
        <v>8993.73</v>
      </c>
      <c r="AD1033" s="75" t="str">
        <f t="shared" si="32"/>
        <v/>
      </c>
      <c r="AG1033">
        <f>AC1033</f>
        <v>8993.73</v>
      </c>
    </row>
    <row r="1034" spans="1:34" ht="12.75" customHeight="1" outlineLevel="4">
      <c r="A1034" s="3503" t="s">
        <v>715</v>
      </c>
      <c r="B1034" s="3503"/>
      <c r="C1034" s="58">
        <v>81266.55</v>
      </c>
      <c r="D1034" s="58"/>
      <c r="E1034" s="59">
        <v>715066.32</v>
      </c>
      <c r="F1034" s="58"/>
      <c r="G1034" s="58"/>
      <c r="H1034" s="60"/>
      <c r="I1034" s="61"/>
      <c r="J1034" s="58"/>
      <c r="K1034" s="58"/>
      <c r="L1034" s="58"/>
      <c r="M1034" s="59">
        <v>715066.32</v>
      </c>
      <c r="N1034" s="59">
        <v>715066.32</v>
      </c>
      <c r="O1034" s="59">
        <v>715066.32</v>
      </c>
      <c r="P1034" s="58"/>
      <c r="Q1034" s="58"/>
      <c r="R1034" s="59">
        <v>489651.23</v>
      </c>
      <c r="S1034" s="58">
        <v>12847.96</v>
      </c>
      <c r="T1034" s="58">
        <v>12847.96</v>
      </c>
      <c r="U1034" s="59">
        <v>108463.74</v>
      </c>
      <c r="V1034" s="59">
        <v>368339.53</v>
      </c>
      <c r="W1034" s="59">
        <v>368339.53</v>
      </c>
      <c r="X1034" s="62"/>
      <c r="Y1034" s="62"/>
      <c r="Z1034" s="58">
        <v>306681.64</v>
      </c>
      <c r="AA1034" s="58"/>
      <c r="AC1034" s="70" t="str">
        <f t="shared" si="31"/>
        <v/>
      </c>
      <c r="AD1034" s="75" t="str">
        <f t="shared" ref="AD1034:AD1039" si="33">IF(AC1034=550,1,"")</f>
        <v/>
      </c>
    </row>
    <row r="1035" spans="1:34" outlineLevel="5">
      <c r="A1035" s="3504" t="s">
        <v>47</v>
      </c>
      <c r="B1035" s="3504"/>
      <c r="C1035" s="49">
        <v>54744.31</v>
      </c>
      <c r="D1035" s="53"/>
      <c r="E1035" s="53"/>
      <c r="F1035" s="48"/>
      <c r="G1035" s="48"/>
      <c r="H1035" s="50"/>
      <c r="I1035" s="51"/>
      <c r="J1035" s="48"/>
      <c r="K1035" s="48"/>
      <c r="L1035" s="48"/>
      <c r="M1035" s="48"/>
      <c r="N1035" s="48"/>
      <c r="O1035" s="48"/>
      <c r="P1035" s="48"/>
      <c r="Q1035" s="48"/>
      <c r="R1035" s="49">
        <v>43949.03</v>
      </c>
      <c r="S1035" s="49">
        <v>12847.96</v>
      </c>
      <c r="T1035" s="49">
        <v>12847.96</v>
      </c>
      <c r="U1035" s="49">
        <v>31101.07</v>
      </c>
      <c r="V1035" s="48"/>
      <c r="W1035" s="48"/>
      <c r="X1035" s="48"/>
      <c r="Y1035" s="48"/>
      <c r="Z1035" s="49">
        <v>10795.28</v>
      </c>
      <c r="AA1035" s="53"/>
      <c r="AC1035" s="70" t="str">
        <f t="shared" si="31"/>
        <v/>
      </c>
      <c r="AD1035" s="75" t="str">
        <f t="shared" si="33"/>
        <v/>
      </c>
    </row>
    <row r="1036" spans="1:34" outlineLevel="6">
      <c r="A1036" s="3501" t="s">
        <v>716</v>
      </c>
      <c r="B1036" s="3501"/>
      <c r="C1036" s="13">
        <v>22193.89</v>
      </c>
      <c r="D1036" s="12"/>
      <c r="E1036" s="12"/>
      <c r="F1036" s="7"/>
      <c r="G1036" s="7"/>
      <c r="H1036" s="8"/>
      <c r="I1036" s="9"/>
      <c r="J1036" s="7"/>
      <c r="K1036" s="7"/>
      <c r="L1036" s="7"/>
      <c r="M1036" s="7"/>
      <c r="N1036" s="7"/>
      <c r="O1036" s="7"/>
      <c r="P1036" s="7"/>
      <c r="Q1036" s="7"/>
      <c r="R1036" s="13">
        <v>22193.89</v>
      </c>
      <c r="S1036" s="13">
        <v>7397.96</v>
      </c>
      <c r="T1036" s="13">
        <v>7397.96</v>
      </c>
      <c r="U1036" s="13">
        <v>14795.93</v>
      </c>
      <c r="V1036" s="7"/>
      <c r="W1036" s="7"/>
      <c r="X1036" s="7"/>
      <c r="Y1036" s="7"/>
      <c r="Z1036" s="12"/>
      <c r="AA1036" s="12"/>
      <c r="AC1036" s="70" t="str">
        <f t="shared" si="31"/>
        <v/>
      </c>
      <c r="AD1036" s="75" t="str">
        <f t="shared" si="33"/>
        <v/>
      </c>
    </row>
    <row r="1037" spans="1:34" outlineLevel="7">
      <c r="A1037" s="3500" t="s">
        <v>717</v>
      </c>
      <c r="B1037" s="3500"/>
      <c r="C1037" s="13">
        <v>22193.89</v>
      </c>
      <c r="D1037" s="12"/>
      <c r="E1037" s="12"/>
      <c r="F1037" s="7"/>
      <c r="G1037" s="7"/>
      <c r="H1037" s="8"/>
      <c r="I1037" s="9"/>
      <c r="J1037" s="7"/>
      <c r="K1037" s="7"/>
      <c r="L1037" s="7"/>
      <c r="M1037" s="7"/>
      <c r="N1037" s="7"/>
      <c r="O1037" s="7"/>
      <c r="P1037" s="7"/>
      <c r="Q1037" s="7"/>
      <c r="R1037" s="13">
        <v>22193.89</v>
      </c>
      <c r="S1037" s="13">
        <v>7397.96</v>
      </c>
      <c r="T1037" s="13">
        <v>7397.96</v>
      </c>
      <c r="U1037" s="13">
        <v>14795.93</v>
      </c>
      <c r="V1037" s="7"/>
      <c r="W1037" s="7"/>
      <c r="X1037" s="7"/>
      <c r="Y1037" s="7"/>
      <c r="Z1037" s="12"/>
      <c r="AA1037" s="12"/>
      <c r="AC1037" s="70" t="str">
        <f t="shared" si="31"/>
        <v/>
      </c>
      <c r="AD1037" s="75" t="str">
        <f t="shared" si="33"/>
        <v/>
      </c>
    </row>
    <row r="1038" spans="1:34" outlineLevel="7">
      <c r="A1038" s="3499" t="s">
        <v>1863</v>
      </c>
      <c r="B1038" s="3499"/>
      <c r="C1038" s="13">
        <v>22193.89</v>
      </c>
      <c r="D1038" s="12"/>
      <c r="E1038" s="12"/>
      <c r="F1038" s="7"/>
      <c r="G1038" s="7"/>
      <c r="H1038" s="8"/>
      <c r="I1038" s="9"/>
      <c r="J1038" s="7"/>
      <c r="K1038" s="7"/>
      <c r="L1038" s="7"/>
      <c r="M1038" s="7"/>
      <c r="N1038" s="7"/>
      <c r="O1038" s="7"/>
      <c r="P1038" s="7"/>
      <c r="Q1038" s="7"/>
      <c r="R1038" s="13">
        <v>22193.89</v>
      </c>
      <c r="S1038" s="13">
        <v>7397.96</v>
      </c>
      <c r="T1038" s="13">
        <v>7397.96</v>
      </c>
      <c r="U1038" s="13">
        <v>14795.93</v>
      </c>
      <c r="V1038" s="7"/>
      <c r="W1038" s="7"/>
      <c r="X1038" s="7"/>
      <c r="Y1038" s="7"/>
      <c r="Z1038" s="12"/>
      <c r="AA1038" s="12"/>
      <c r="AC1038" s="70">
        <f t="shared" si="31"/>
        <v>0</v>
      </c>
      <c r="AD1038" s="75" t="str">
        <f t="shared" si="33"/>
        <v/>
      </c>
    </row>
    <row r="1039" spans="1:34" outlineLevel="6">
      <c r="A1039" s="3501" t="s">
        <v>718</v>
      </c>
      <c r="B1039" s="3501"/>
      <c r="C1039" s="13">
        <v>32550.42</v>
      </c>
      <c r="D1039" s="12"/>
      <c r="E1039" s="12"/>
      <c r="F1039" s="7"/>
      <c r="G1039" s="7"/>
      <c r="H1039" s="8"/>
      <c r="I1039" s="9"/>
      <c r="J1039" s="7"/>
      <c r="K1039" s="7"/>
      <c r="L1039" s="7"/>
      <c r="M1039" s="7"/>
      <c r="N1039" s="7"/>
      <c r="O1039" s="7"/>
      <c r="P1039" s="7"/>
      <c r="Q1039" s="7"/>
      <c r="R1039" s="13">
        <v>21755.14</v>
      </c>
      <c r="S1039" s="13">
        <v>5450</v>
      </c>
      <c r="T1039" s="13">
        <v>5450</v>
      </c>
      <c r="U1039" s="13">
        <v>16305.14</v>
      </c>
      <c r="V1039" s="7"/>
      <c r="W1039" s="7"/>
      <c r="X1039" s="7"/>
      <c r="Y1039" s="7"/>
      <c r="Z1039" s="13">
        <v>10795.28</v>
      </c>
      <c r="AA1039" s="12"/>
      <c r="AC1039" s="70" t="str">
        <f t="shared" si="31"/>
        <v/>
      </c>
      <c r="AD1039" s="75" t="str">
        <f t="shared" si="33"/>
        <v/>
      </c>
    </row>
    <row r="1040" spans="1:34" outlineLevel="7">
      <c r="A1040" s="3500" t="s">
        <v>719</v>
      </c>
      <c r="B1040" s="3500"/>
      <c r="C1040" s="13">
        <v>32550.42</v>
      </c>
      <c r="D1040" s="12"/>
      <c r="E1040" s="12"/>
      <c r="F1040" s="7"/>
      <c r="G1040" s="7"/>
      <c r="H1040" s="8"/>
      <c r="I1040" s="9"/>
      <c r="J1040" s="7"/>
      <c r="K1040" s="7"/>
      <c r="L1040" s="7"/>
      <c r="M1040" s="7"/>
      <c r="N1040" s="7"/>
      <c r="O1040" s="7"/>
      <c r="P1040" s="7"/>
      <c r="Q1040" s="7"/>
      <c r="R1040" s="13">
        <v>21755.14</v>
      </c>
      <c r="S1040" s="13">
        <v>5450</v>
      </c>
      <c r="T1040" s="13">
        <v>5450</v>
      </c>
      <c r="U1040" s="13">
        <v>16305.14</v>
      </c>
      <c r="V1040" s="7"/>
      <c r="W1040" s="7"/>
      <c r="X1040" s="7"/>
      <c r="Y1040" s="7"/>
      <c r="Z1040" s="13">
        <v>10795.28</v>
      </c>
      <c r="AA1040" s="12"/>
      <c r="AC1040" s="70" t="str">
        <f t="shared" si="31"/>
        <v/>
      </c>
      <c r="AD1040" s="75" t="str">
        <f t="shared" ref="AD1040:AD1081" si="34">IF(AC1040=550,1,"")</f>
        <v/>
      </c>
    </row>
    <row r="1041" spans="1:34" outlineLevel="7">
      <c r="A1041" s="3499" t="s">
        <v>1864</v>
      </c>
      <c r="B1041" s="3499"/>
      <c r="C1041" s="13">
        <v>32550.42</v>
      </c>
      <c r="D1041" s="12"/>
      <c r="E1041" s="12"/>
      <c r="F1041" s="7"/>
      <c r="G1041" s="7"/>
      <c r="H1041" s="8"/>
      <c r="I1041" s="9"/>
      <c r="J1041" s="7"/>
      <c r="K1041" s="7"/>
      <c r="L1041" s="7"/>
      <c r="M1041" s="7"/>
      <c r="N1041" s="7"/>
      <c r="O1041" s="7"/>
      <c r="P1041" s="7"/>
      <c r="Q1041" s="7"/>
      <c r="R1041" s="13">
        <v>21755.14</v>
      </c>
      <c r="S1041" s="13">
        <v>5450</v>
      </c>
      <c r="T1041" s="13">
        <v>5450</v>
      </c>
      <c r="U1041" s="13">
        <v>16305.14</v>
      </c>
      <c r="V1041" s="7"/>
      <c r="W1041" s="7"/>
      <c r="X1041" s="7"/>
      <c r="Y1041" s="7"/>
      <c r="Z1041" s="13">
        <v>10795.28</v>
      </c>
      <c r="AA1041" s="12"/>
      <c r="AC1041" s="70">
        <f t="shared" ref="AC1041:AC1081" si="35">IF(LEFT($A1041,5)="Реали",$E1041,"")</f>
        <v>0</v>
      </c>
      <c r="AD1041" s="75" t="str">
        <f t="shared" si="34"/>
        <v/>
      </c>
    </row>
    <row r="1042" spans="1:34" outlineLevel="5">
      <c r="A1042" s="3504" t="s">
        <v>63</v>
      </c>
      <c r="B1042" s="3504"/>
      <c r="C1042" s="48"/>
      <c r="D1042" s="48"/>
      <c r="E1042" s="49">
        <v>92438.42</v>
      </c>
      <c r="F1042" s="48"/>
      <c r="G1042" s="48"/>
      <c r="H1042" s="50"/>
      <c r="I1042" s="51"/>
      <c r="J1042" s="48"/>
      <c r="K1042" s="48"/>
      <c r="L1042" s="48"/>
      <c r="M1042" s="49">
        <v>92438.42</v>
      </c>
      <c r="N1042" s="49">
        <v>92438.42</v>
      </c>
      <c r="O1042" s="49">
        <v>92438.42</v>
      </c>
      <c r="P1042" s="48"/>
      <c r="Q1042" s="48"/>
      <c r="R1042" s="49">
        <v>92438.42</v>
      </c>
      <c r="S1042" s="48"/>
      <c r="T1042" s="48"/>
      <c r="U1042" s="49">
        <v>29128.86</v>
      </c>
      <c r="V1042" s="49">
        <v>63309.56</v>
      </c>
      <c r="W1042" s="49">
        <v>63309.56</v>
      </c>
      <c r="X1042" s="48"/>
      <c r="Y1042" s="48"/>
      <c r="Z1042" s="48"/>
      <c r="AA1042" s="48"/>
      <c r="AC1042" s="70" t="str">
        <f t="shared" si="35"/>
        <v/>
      </c>
      <c r="AD1042" s="75" t="str">
        <f t="shared" si="34"/>
        <v/>
      </c>
    </row>
    <row r="1043" spans="1:34" outlineLevel="6">
      <c r="A1043" s="3501" t="s">
        <v>720</v>
      </c>
      <c r="B1043" s="3501"/>
      <c r="C1043" s="7"/>
      <c r="D1043" s="7"/>
      <c r="E1043" s="13">
        <v>52961.55</v>
      </c>
      <c r="F1043" s="7"/>
      <c r="G1043" s="7"/>
      <c r="H1043" s="8"/>
      <c r="I1043" s="9"/>
      <c r="J1043" s="7"/>
      <c r="K1043" s="7"/>
      <c r="L1043" s="7"/>
      <c r="M1043" s="13">
        <v>52961.55</v>
      </c>
      <c r="N1043" s="13">
        <v>52961.55</v>
      </c>
      <c r="O1043" s="13">
        <v>52961.55</v>
      </c>
      <c r="P1043" s="7"/>
      <c r="Q1043" s="7"/>
      <c r="R1043" s="13">
        <v>52961.55</v>
      </c>
      <c r="S1043" s="7"/>
      <c r="T1043" s="7"/>
      <c r="U1043" s="13">
        <v>29128.86</v>
      </c>
      <c r="V1043" s="13">
        <v>23832.69</v>
      </c>
      <c r="W1043" s="13">
        <v>23832.69</v>
      </c>
      <c r="X1043" s="7"/>
      <c r="Y1043" s="7"/>
      <c r="Z1043" s="7"/>
      <c r="AA1043" s="7"/>
      <c r="AC1043" s="70" t="str">
        <f t="shared" si="35"/>
        <v/>
      </c>
      <c r="AD1043" s="75" t="str">
        <f t="shared" si="34"/>
        <v/>
      </c>
    </row>
    <row r="1044" spans="1:34" outlineLevel="7">
      <c r="A1044" s="3500" t="s">
        <v>721</v>
      </c>
      <c r="B1044" s="3500"/>
      <c r="C1044" s="7"/>
      <c r="D1044" s="7"/>
      <c r="E1044" s="13">
        <v>52961.55</v>
      </c>
      <c r="F1044" s="7"/>
      <c r="G1044" s="7"/>
      <c r="H1044" s="8"/>
      <c r="I1044" s="9"/>
      <c r="J1044" s="7"/>
      <c r="K1044" s="7"/>
      <c r="L1044" s="7"/>
      <c r="M1044" s="13">
        <v>52961.55</v>
      </c>
      <c r="N1044" s="13">
        <v>52961.55</v>
      </c>
      <c r="O1044" s="13">
        <v>52961.55</v>
      </c>
      <c r="P1044" s="7"/>
      <c r="Q1044" s="7"/>
      <c r="R1044" s="13">
        <v>52961.55</v>
      </c>
      <c r="S1044" s="7"/>
      <c r="T1044" s="7"/>
      <c r="U1044" s="13">
        <v>29128.86</v>
      </c>
      <c r="V1044" s="13">
        <v>23832.69</v>
      </c>
      <c r="W1044" s="13">
        <v>23832.69</v>
      </c>
      <c r="X1044" s="7"/>
      <c r="Y1044" s="7"/>
      <c r="Z1044" s="7"/>
      <c r="AA1044" s="7"/>
      <c r="AC1044" s="70" t="str">
        <f t="shared" si="35"/>
        <v/>
      </c>
      <c r="AD1044" s="75" t="str">
        <f t="shared" si="34"/>
        <v/>
      </c>
      <c r="AH1044" t="s">
        <v>2790</v>
      </c>
    </row>
    <row r="1045" spans="1:34" outlineLevel="7">
      <c r="A1045" s="3499" t="s">
        <v>1865</v>
      </c>
      <c r="B1045" s="3499"/>
      <c r="C1045" s="7"/>
      <c r="D1045" s="7"/>
      <c r="E1045" s="13">
        <v>52961.55</v>
      </c>
      <c r="F1045" s="7"/>
      <c r="G1045" s="7"/>
      <c r="H1045" s="8"/>
      <c r="I1045" s="9"/>
      <c r="J1045" s="7"/>
      <c r="K1045" s="7"/>
      <c r="L1045" s="7"/>
      <c r="M1045" s="13">
        <v>52961.55</v>
      </c>
      <c r="N1045" s="13">
        <v>52961.55</v>
      </c>
      <c r="O1045" s="13">
        <v>52961.55</v>
      </c>
      <c r="P1045" s="7"/>
      <c r="Q1045" s="7"/>
      <c r="R1045" s="13">
        <v>52961.55</v>
      </c>
      <c r="S1045" s="7"/>
      <c r="T1045" s="7"/>
      <c r="U1045" s="13">
        <v>29128.86</v>
      </c>
      <c r="V1045" s="13">
        <v>23832.69</v>
      </c>
      <c r="W1045" s="13">
        <v>23832.69</v>
      </c>
      <c r="X1045" s="7"/>
      <c r="Y1045" s="7"/>
      <c r="Z1045" s="7"/>
      <c r="AA1045" s="7"/>
      <c r="AC1045" s="70">
        <f t="shared" si="35"/>
        <v>52961.55</v>
      </c>
      <c r="AD1045" s="75" t="str">
        <f t="shared" si="34"/>
        <v/>
      </c>
    </row>
    <row r="1046" spans="1:34" outlineLevel="6">
      <c r="A1046" s="3501" t="s">
        <v>722</v>
      </c>
      <c r="B1046" s="3501"/>
      <c r="C1046" s="7"/>
      <c r="D1046" s="7"/>
      <c r="E1046" s="13">
        <v>24057.72</v>
      </c>
      <c r="F1046" s="7"/>
      <c r="G1046" s="7"/>
      <c r="H1046" s="8"/>
      <c r="I1046" s="9"/>
      <c r="J1046" s="7"/>
      <c r="K1046" s="7"/>
      <c r="L1046" s="7"/>
      <c r="M1046" s="13">
        <v>24057.72</v>
      </c>
      <c r="N1046" s="13">
        <v>24057.72</v>
      </c>
      <c r="O1046" s="13">
        <v>24057.72</v>
      </c>
      <c r="P1046" s="7"/>
      <c r="Q1046" s="7"/>
      <c r="R1046" s="13">
        <v>24057.72</v>
      </c>
      <c r="S1046" s="7"/>
      <c r="T1046" s="7"/>
      <c r="U1046" s="7"/>
      <c r="V1046" s="13">
        <v>24057.72</v>
      </c>
      <c r="W1046" s="13">
        <v>24057.72</v>
      </c>
      <c r="X1046" s="7"/>
      <c r="Y1046" s="7"/>
      <c r="Z1046" s="7"/>
      <c r="AA1046" s="7"/>
      <c r="AC1046" s="70" t="str">
        <f t="shared" si="35"/>
        <v/>
      </c>
      <c r="AD1046" s="75" t="str">
        <f t="shared" si="34"/>
        <v/>
      </c>
    </row>
    <row r="1047" spans="1:34" outlineLevel="7">
      <c r="A1047" s="3500" t="s">
        <v>723</v>
      </c>
      <c r="B1047" s="3500"/>
      <c r="C1047" s="7"/>
      <c r="D1047" s="7"/>
      <c r="E1047" s="13">
        <v>24057.72</v>
      </c>
      <c r="F1047" s="7"/>
      <c r="G1047" s="7"/>
      <c r="H1047" s="8"/>
      <c r="I1047" s="9"/>
      <c r="J1047" s="7"/>
      <c r="K1047" s="7"/>
      <c r="L1047" s="7"/>
      <c r="M1047" s="13">
        <v>24057.72</v>
      </c>
      <c r="N1047" s="13">
        <v>24057.72</v>
      </c>
      <c r="O1047" s="13">
        <v>24057.72</v>
      </c>
      <c r="P1047" s="7"/>
      <c r="Q1047" s="7"/>
      <c r="R1047" s="13">
        <v>24057.72</v>
      </c>
      <c r="S1047" s="7"/>
      <c r="T1047" s="7"/>
      <c r="U1047" s="7"/>
      <c r="V1047" s="13">
        <v>24057.72</v>
      </c>
      <c r="W1047" s="13">
        <v>24057.72</v>
      </c>
      <c r="X1047" s="7"/>
      <c r="Y1047" s="7"/>
      <c r="Z1047" s="7"/>
      <c r="AA1047" s="7"/>
      <c r="AC1047" s="70" t="str">
        <f t="shared" si="35"/>
        <v/>
      </c>
      <c r="AD1047" s="75" t="str">
        <f t="shared" si="34"/>
        <v/>
      </c>
      <c r="AH1047" t="s">
        <v>3594</v>
      </c>
    </row>
    <row r="1048" spans="1:34" outlineLevel="7">
      <c r="A1048" s="3499" t="s">
        <v>1866</v>
      </c>
      <c r="B1048" s="3499"/>
      <c r="C1048" s="7"/>
      <c r="D1048" s="7"/>
      <c r="E1048" s="13">
        <v>24057.72</v>
      </c>
      <c r="F1048" s="7"/>
      <c r="G1048" s="7"/>
      <c r="H1048" s="8"/>
      <c r="I1048" s="9"/>
      <c r="J1048" s="7"/>
      <c r="K1048" s="7"/>
      <c r="L1048" s="7"/>
      <c r="M1048" s="13">
        <v>24057.72</v>
      </c>
      <c r="N1048" s="13">
        <v>24057.72</v>
      </c>
      <c r="O1048" s="13">
        <v>24057.72</v>
      </c>
      <c r="P1048" s="7"/>
      <c r="Q1048" s="7"/>
      <c r="R1048" s="13">
        <v>24057.72</v>
      </c>
      <c r="S1048" s="7"/>
      <c r="T1048" s="7"/>
      <c r="U1048" s="7"/>
      <c r="V1048" s="13">
        <v>24057.72</v>
      </c>
      <c r="W1048" s="13">
        <v>24057.72</v>
      </c>
      <c r="X1048" s="7"/>
      <c r="Y1048" s="7"/>
      <c r="Z1048" s="7"/>
      <c r="AA1048" s="7"/>
      <c r="AC1048" s="70">
        <f t="shared" si="35"/>
        <v>24057.72</v>
      </c>
      <c r="AD1048" s="75" t="str">
        <f t="shared" si="34"/>
        <v/>
      </c>
    </row>
    <row r="1049" spans="1:34" outlineLevel="6">
      <c r="A1049" s="3501" t="s">
        <v>724</v>
      </c>
      <c r="B1049" s="3501"/>
      <c r="C1049" s="7"/>
      <c r="D1049" s="7"/>
      <c r="E1049" s="13">
        <v>15419.15</v>
      </c>
      <c r="F1049" s="7"/>
      <c r="G1049" s="7"/>
      <c r="H1049" s="8"/>
      <c r="I1049" s="9"/>
      <c r="J1049" s="7"/>
      <c r="K1049" s="7"/>
      <c r="L1049" s="7"/>
      <c r="M1049" s="13">
        <v>15419.15</v>
      </c>
      <c r="N1049" s="13">
        <v>15419.15</v>
      </c>
      <c r="O1049" s="13">
        <v>15419.15</v>
      </c>
      <c r="P1049" s="7"/>
      <c r="Q1049" s="7"/>
      <c r="R1049" s="13">
        <v>15419.15</v>
      </c>
      <c r="S1049" s="7"/>
      <c r="T1049" s="7"/>
      <c r="U1049" s="7"/>
      <c r="V1049" s="13">
        <v>15419.15</v>
      </c>
      <c r="W1049" s="13">
        <v>15419.15</v>
      </c>
      <c r="X1049" s="7"/>
      <c r="Y1049" s="7"/>
      <c r="Z1049" s="7"/>
      <c r="AA1049" s="7"/>
      <c r="AC1049" s="70" t="str">
        <f t="shared" si="35"/>
        <v/>
      </c>
      <c r="AD1049" s="75" t="str">
        <f t="shared" si="34"/>
        <v/>
      </c>
    </row>
    <row r="1050" spans="1:34" outlineLevel="7">
      <c r="A1050" s="3500" t="s">
        <v>725</v>
      </c>
      <c r="B1050" s="3500"/>
      <c r="C1050" s="7"/>
      <c r="D1050" s="7"/>
      <c r="E1050" s="13">
        <v>15419.15</v>
      </c>
      <c r="F1050" s="7"/>
      <c r="G1050" s="7"/>
      <c r="H1050" s="8"/>
      <c r="I1050" s="9"/>
      <c r="J1050" s="7"/>
      <c r="K1050" s="7"/>
      <c r="L1050" s="7"/>
      <c r="M1050" s="13">
        <v>15419.15</v>
      </c>
      <c r="N1050" s="13">
        <v>15419.15</v>
      </c>
      <c r="O1050" s="13">
        <v>15419.15</v>
      </c>
      <c r="P1050" s="7"/>
      <c r="Q1050" s="7"/>
      <c r="R1050" s="13">
        <v>15419.15</v>
      </c>
      <c r="S1050" s="7"/>
      <c r="T1050" s="7"/>
      <c r="U1050" s="7"/>
      <c r="V1050" s="13">
        <v>15419.15</v>
      </c>
      <c r="W1050" s="13">
        <v>15419.15</v>
      </c>
      <c r="X1050" s="7"/>
      <c r="Y1050" s="7"/>
      <c r="Z1050" s="7"/>
      <c r="AA1050" s="7"/>
      <c r="AC1050" s="70" t="str">
        <f t="shared" si="35"/>
        <v/>
      </c>
      <c r="AD1050" s="75" t="str">
        <f t="shared" si="34"/>
        <v/>
      </c>
      <c r="AH1050" t="s">
        <v>3619</v>
      </c>
    </row>
    <row r="1051" spans="1:34" outlineLevel="7">
      <c r="A1051" s="3499" t="s">
        <v>1867</v>
      </c>
      <c r="B1051" s="3499"/>
      <c r="C1051" s="7"/>
      <c r="D1051" s="7"/>
      <c r="E1051" s="13">
        <v>15419.15</v>
      </c>
      <c r="F1051" s="7"/>
      <c r="G1051" s="7"/>
      <c r="H1051" s="8"/>
      <c r="I1051" s="9"/>
      <c r="J1051" s="7"/>
      <c r="K1051" s="7"/>
      <c r="L1051" s="7"/>
      <c r="M1051" s="13">
        <v>15419.15</v>
      </c>
      <c r="N1051" s="13">
        <v>15419.15</v>
      </c>
      <c r="O1051" s="13">
        <v>15419.15</v>
      </c>
      <c r="P1051" s="7"/>
      <c r="Q1051" s="7"/>
      <c r="R1051" s="13">
        <v>15419.15</v>
      </c>
      <c r="S1051" s="7"/>
      <c r="T1051" s="7"/>
      <c r="U1051" s="7"/>
      <c r="V1051" s="13">
        <v>15419.15</v>
      </c>
      <c r="W1051" s="13">
        <v>15419.15</v>
      </c>
      <c r="X1051" s="7"/>
      <c r="Y1051" s="7"/>
      <c r="Z1051" s="7"/>
      <c r="AA1051" s="7"/>
      <c r="AC1051" s="70">
        <f t="shared" si="35"/>
        <v>15419.15</v>
      </c>
      <c r="AD1051" s="75" t="str">
        <f t="shared" si="34"/>
        <v/>
      </c>
    </row>
    <row r="1052" spans="1:34" outlineLevel="5">
      <c r="A1052" s="3504" t="s">
        <v>649</v>
      </c>
      <c r="B1052" s="3504"/>
      <c r="C1052" s="49">
        <v>26522.240000000002</v>
      </c>
      <c r="D1052" s="53"/>
      <c r="E1052" s="49">
        <v>622627.9</v>
      </c>
      <c r="F1052" s="48"/>
      <c r="G1052" s="48"/>
      <c r="H1052" s="50"/>
      <c r="I1052" s="51"/>
      <c r="J1052" s="48"/>
      <c r="K1052" s="48"/>
      <c r="L1052" s="48"/>
      <c r="M1052" s="49">
        <v>622627.9</v>
      </c>
      <c r="N1052" s="49">
        <v>622627.9</v>
      </c>
      <c r="O1052" s="49">
        <v>622627.9</v>
      </c>
      <c r="P1052" s="48"/>
      <c r="Q1052" s="48"/>
      <c r="R1052" s="49">
        <v>353263.78</v>
      </c>
      <c r="S1052" s="48"/>
      <c r="T1052" s="48"/>
      <c r="U1052" s="49">
        <v>48233.81</v>
      </c>
      <c r="V1052" s="49">
        <v>305029.96999999997</v>
      </c>
      <c r="W1052" s="49">
        <v>305029.96999999997</v>
      </c>
      <c r="X1052" s="48"/>
      <c r="Y1052" s="48"/>
      <c r="Z1052" s="49">
        <v>295886.36</v>
      </c>
      <c r="AA1052" s="53"/>
      <c r="AC1052" s="70" t="str">
        <f t="shared" si="35"/>
        <v/>
      </c>
      <c r="AD1052" s="75" t="str">
        <f t="shared" si="34"/>
        <v/>
      </c>
    </row>
    <row r="1053" spans="1:34" outlineLevel="6">
      <c r="A1053" s="3501" t="s">
        <v>726</v>
      </c>
      <c r="B1053" s="3501"/>
      <c r="C1053" s="13">
        <v>26522.240000000002</v>
      </c>
      <c r="D1053" s="12"/>
      <c r="E1053" s="12"/>
      <c r="F1053" s="7"/>
      <c r="G1053" s="7"/>
      <c r="H1053" s="8"/>
      <c r="I1053" s="9"/>
      <c r="J1053" s="7"/>
      <c r="K1053" s="7"/>
      <c r="L1053" s="7"/>
      <c r="M1053" s="7"/>
      <c r="N1053" s="7"/>
      <c r="O1053" s="7"/>
      <c r="P1053" s="7"/>
      <c r="Q1053" s="7"/>
      <c r="R1053" s="13">
        <v>26522.240000000002</v>
      </c>
      <c r="S1053" s="7"/>
      <c r="T1053" s="7"/>
      <c r="U1053" s="13">
        <v>26522.240000000002</v>
      </c>
      <c r="V1053" s="7"/>
      <c r="W1053" s="7"/>
      <c r="X1053" s="7"/>
      <c r="Y1053" s="7"/>
      <c r="Z1053" s="12"/>
      <c r="AA1053" s="12"/>
      <c r="AC1053" s="70" t="str">
        <f t="shared" si="35"/>
        <v/>
      </c>
      <c r="AD1053" s="75" t="str">
        <f t="shared" si="34"/>
        <v/>
      </c>
    </row>
    <row r="1054" spans="1:34" outlineLevel="7">
      <c r="A1054" s="3500" t="s">
        <v>727</v>
      </c>
      <c r="B1054" s="3500"/>
      <c r="C1054" s="13">
        <v>26522.240000000002</v>
      </c>
      <c r="D1054" s="12"/>
      <c r="E1054" s="12"/>
      <c r="F1054" s="7"/>
      <c r="G1054" s="7"/>
      <c r="H1054" s="8"/>
      <c r="I1054" s="9"/>
      <c r="J1054" s="7"/>
      <c r="K1054" s="7"/>
      <c r="L1054" s="7"/>
      <c r="M1054" s="7"/>
      <c r="N1054" s="7"/>
      <c r="O1054" s="7"/>
      <c r="P1054" s="7"/>
      <c r="Q1054" s="7"/>
      <c r="R1054" s="13">
        <v>26522.240000000002</v>
      </c>
      <c r="S1054" s="7"/>
      <c r="T1054" s="7"/>
      <c r="U1054" s="13">
        <v>26522.240000000002</v>
      </c>
      <c r="V1054" s="7"/>
      <c r="W1054" s="7"/>
      <c r="X1054" s="7"/>
      <c r="Y1054" s="7"/>
      <c r="Z1054" s="12"/>
      <c r="AA1054" s="12"/>
      <c r="AC1054" s="70" t="str">
        <f t="shared" si="35"/>
        <v/>
      </c>
      <c r="AD1054" s="75" t="str">
        <f t="shared" si="34"/>
        <v/>
      </c>
      <c r="AH1054" t="s">
        <v>3649</v>
      </c>
    </row>
    <row r="1055" spans="1:34" outlineLevel="7">
      <c r="A1055" s="3499" t="s">
        <v>1868</v>
      </c>
      <c r="B1055" s="3499"/>
      <c r="C1055" s="13">
        <v>26522.240000000002</v>
      </c>
      <c r="D1055" s="12"/>
      <c r="E1055" s="12"/>
      <c r="F1055" s="7"/>
      <c r="G1055" s="7"/>
      <c r="H1055" s="8"/>
      <c r="I1055" s="9"/>
      <c r="J1055" s="7"/>
      <c r="K1055" s="7"/>
      <c r="L1055" s="7"/>
      <c r="M1055" s="7"/>
      <c r="N1055" s="7"/>
      <c r="O1055" s="7"/>
      <c r="P1055" s="7"/>
      <c r="Q1055" s="7"/>
      <c r="R1055" s="13">
        <v>26522.240000000002</v>
      </c>
      <c r="S1055" s="7"/>
      <c r="T1055" s="7"/>
      <c r="U1055" s="13">
        <v>26522.240000000002</v>
      </c>
      <c r="V1055" s="7"/>
      <c r="W1055" s="7"/>
      <c r="X1055" s="7"/>
      <c r="Y1055" s="7"/>
      <c r="Z1055" s="12"/>
      <c r="AA1055" s="12"/>
      <c r="AC1055" s="70">
        <f t="shared" si="35"/>
        <v>0</v>
      </c>
      <c r="AD1055" s="75" t="str">
        <f t="shared" si="34"/>
        <v/>
      </c>
    </row>
    <row r="1056" spans="1:34" outlineLevel="6">
      <c r="A1056" s="3501" t="s">
        <v>728</v>
      </c>
      <c r="B1056" s="3501"/>
      <c r="C1056" s="7"/>
      <c r="D1056" s="7"/>
      <c r="E1056" s="13">
        <v>12669.66</v>
      </c>
      <c r="F1056" s="7"/>
      <c r="G1056" s="7"/>
      <c r="H1056" s="8"/>
      <c r="I1056" s="9"/>
      <c r="J1056" s="7"/>
      <c r="K1056" s="7"/>
      <c r="L1056" s="7"/>
      <c r="M1056" s="13">
        <v>12669.66</v>
      </c>
      <c r="N1056" s="13">
        <v>12669.66</v>
      </c>
      <c r="O1056" s="13">
        <v>12669.66</v>
      </c>
      <c r="P1056" s="7"/>
      <c r="Q1056" s="7"/>
      <c r="R1056" s="13">
        <v>12669.66</v>
      </c>
      <c r="S1056" s="7"/>
      <c r="T1056" s="7"/>
      <c r="U1056" s="7"/>
      <c r="V1056" s="13">
        <v>12669.66</v>
      </c>
      <c r="W1056" s="13">
        <v>12669.66</v>
      </c>
      <c r="X1056" s="7"/>
      <c r="Y1056" s="7"/>
      <c r="Z1056" s="7"/>
      <c r="AA1056" s="7"/>
      <c r="AC1056" s="70" t="str">
        <f t="shared" si="35"/>
        <v/>
      </c>
      <c r="AD1056" s="75" t="str">
        <f t="shared" si="34"/>
        <v/>
      </c>
    </row>
    <row r="1057" spans="1:34" outlineLevel="7">
      <c r="A1057" s="3500" t="s">
        <v>729</v>
      </c>
      <c r="B1057" s="3500"/>
      <c r="C1057" s="7"/>
      <c r="D1057" s="7"/>
      <c r="E1057" s="13">
        <v>12669.66</v>
      </c>
      <c r="F1057" s="7"/>
      <c r="G1057" s="7"/>
      <c r="H1057" s="8"/>
      <c r="I1057" s="9"/>
      <c r="J1057" s="7"/>
      <c r="K1057" s="7"/>
      <c r="L1057" s="7"/>
      <c r="M1057" s="13">
        <v>12669.66</v>
      </c>
      <c r="N1057" s="13">
        <v>12669.66</v>
      </c>
      <c r="O1057" s="13">
        <v>12669.66</v>
      </c>
      <c r="P1057" s="7"/>
      <c r="Q1057" s="7"/>
      <c r="R1057" s="13">
        <v>12669.66</v>
      </c>
      <c r="S1057" s="7"/>
      <c r="T1057" s="7"/>
      <c r="U1057" s="7"/>
      <c r="V1057" s="13">
        <v>12669.66</v>
      </c>
      <c r="W1057" s="13">
        <v>12669.66</v>
      </c>
      <c r="X1057" s="7"/>
      <c r="Y1057" s="7"/>
      <c r="Z1057" s="7"/>
      <c r="AA1057" s="7"/>
      <c r="AC1057" s="70" t="str">
        <f t="shared" si="35"/>
        <v/>
      </c>
      <c r="AD1057" s="75" t="str">
        <f t="shared" si="34"/>
        <v/>
      </c>
      <c r="AH1057" t="s">
        <v>3585</v>
      </c>
    </row>
    <row r="1058" spans="1:34" outlineLevel="7">
      <c r="A1058" s="3499" t="s">
        <v>1869</v>
      </c>
      <c r="B1058" s="3499"/>
      <c r="C1058" s="7"/>
      <c r="D1058" s="7"/>
      <c r="E1058" s="13">
        <v>12669.66</v>
      </c>
      <c r="F1058" s="7"/>
      <c r="G1058" s="7"/>
      <c r="H1058" s="8"/>
      <c r="I1058" s="9"/>
      <c r="J1058" s="7"/>
      <c r="K1058" s="7"/>
      <c r="L1058" s="7"/>
      <c r="M1058" s="13">
        <v>12669.66</v>
      </c>
      <c r="N1058" s="13">
        <v>12669.66</v>
      </c>
      <c r="O1058" s="13">
        <v>12669.66</v>
      </c>
      <c r="P1058" s="7"/>
      <c r="Q1058" s="7"/>
      <c r="R1058" s="13">
        <v>12669.66</v>
      </c>
      <c r="S1058" s="7"/>
      <c r="T1058" s="7"/>
      <c r="U1058" s="7"/>
      <c r="V1058" s="13">
        <v>12669.66</v>
      </c>
      <c r="W1058" s="13">
        <v>12669.66</v>
      </c>
      <c r="X1058" s="7"/>
      <c r="Y1058" s="7"/>
      <c r="Z1058" s="7"/>
      <c r="AA1058" s="7"/>
      <c r="AC1058" s="70">
        <f t="shared" si="35"/>
        <v>12669.66</v>
      </c>
      <c r="AD1058" s="75" t="str">
        <f t="shared" si="34"/>
        <v/>
      </c>
    </row>
    <row r="1059" spans="1:34" outlineLevel="6">
      <c r="A1059" s="3501" t="s">
        <v>664</v>
      </c>
      <c r="B1059" s="3501"/>
      <c r="C1059" s="12"/>
      <c r="D1059" s="12"/>
      <c r="E1059" s="13">
        <v>537975.19999999995</v>
      </c>
      <c r="F1059" s="7"/>
      <c r="G1059" s="7"/>
      <c r="H1059" s="8"/>
      <c r="I1059" s="9"/>
      <c r="J1059" s="7"/>
      <c r="K1059" s="7"/>
      <c r="L1059" s="7"/>
      <c r="M1059" s="13">
        <v>537975.19999999995</v>
      </c>
      <c r="N1059" s="13">
        <v>537975.19999999995</v>
      </c>
      <c r="O1059" s="13">
        <v>537975.19999999995</v>
      </c>
      <c r="P1059" s="7"/>
      <c r="Q1059" s="7"/>
      <c r="R1059" s="13">
        <v>242088.84</v>
      </c>
      <c r="S1059" s="7"/>
      <c r="T1059" s="7"/>
      <c r="U1059" s="7"/>
      <c r="V1059" s="13">
        <v>242088.84</v>
      </c>
      <c r="W1059" s="13">
        <v>242088.84</v>
      </c>
      <c r="X1059" s="7"/>
      <c r="Y1059" s="7"/>
      <c r="Z1059" s="13">
        <v>295886.36</v>
      </c>
      <c r="AA1059" s="12"/>
      <c r="AC1059" s="70" t="str">
        <f t="shared" si="35"/>
        <v/>
      </c>
      <c r="AD1059" s="75" t="str">
        <f t="shared" si="34"/>
        <v/>
      </c>
    </row>
    <row r="1060" spans="1:34" outlineLevel="7">
      <c r="A1060" s="3500" t="s">
        <v>730</v>
      </c>
      <c r="B1060" s="3500"/>
      <c r="C1060" s="12"/>
      <c r="D1060" s="12"/>
      <c r="E1060" s="13">
        <v>537975.19999999995</v>
      </c>
      <c r="F1060" s="7"/>
      <c r="G1060" s="7"/>
      <c r="H1060" s="8"/>
      <c r="I1060" s="9"/>
      <c r="J1060" s="7"/>
      <c r="K1060" s="7"/>
      <c r="L1060" s="7"/>
      <c r="M1060" s="13">
        <v>537975.19999999995</v>
      </c>
      <c r="N1060" s="13">
        <v>537975.19999999995</v>
      </c>
      <c r="O1060" s="13">
        <v>537975.19999999995</v>
      </c>
      <c r="P1060" s="7"/>
      <c r="Q1060" s="7"/>
      <c r="R1060" s="13">
        <v>242088.84</v>
      </c>
      <c r="S1060" s="7"/>
      <c r="T1060" s="7"/>
      <c r="U1060" s="7"/>
      <c r="V1060" s="13">
        <v>242088.84</v>
      </c>
      <c r="W1060" s="13">
        <v>242088.84</v>
      </c>
      <c r="X1060" s="7"/>
      <c r="Y1060" s="7"/>
      <c r="Z1060" s="13">
        <v>295886.36</v>
      </c>
      <c r="AA1060" s="12"/>
      <c r="AC1060" s="70" t="str">
        <f t="shared" si="35"/>
        <v/>
      </c>
      <c r="AD1060" s="75" t="str">
        <f t="shared" si="34"/>
        <v/>
      </c>
      <c r="AH1060" t="s">
        <v>3583</v>
      </c>
    </row>
    <row r="1061" spans="1:34" outlineLevel="7">
      <c r="A1061" s="3499" t="s">
        <v>1870</v>
      </c>
      <c r="B1061" s="3499"/>
      <c r="C1061" s="12"/>
      <c r="D1061" s="12"/>
      <c r="E1061" s="13">
        <v>537975.19999999995</v>
      </c>
      <c r="F1061" s="7"/>
      <c r="G1061" s="7"/>
      <c r="H1061" s="8"/>
      <c r="I1061" s="9"/>
      <c r="J1061" s="7"/>
      <c r="K1061" s="7"/>
      <c r="L1061" s="7"/>
      <c r="M1061" s="13">
        <v>537975.19999999995</v>
      </c>
      <c r="N1061" s="13">
        <v>537975.19999999995</v>
      </c>
      <c r="O1061" s="13">
        <v>537975.19999999995</v>
      </c>
      <c r="P1061" s="7"/>
      <c r="Q1061" s="7"/>
      <c r="R1061" s="13">
        <v>242088.84</v>
      </c>
      <c r="S1061" s="7"/>
      <c r="T1061" s="7"/>
      <c r="U1061" s="7"/>
      <c r="V1061" s="13">
        <v>242088.84</v>
      </c>
      <c r="W1061" s="13">
        <v>242088.84</v>
      </c>
      <c r="X1061" s="7"/>
      <c r="Y1061" s="7"/>
      <c r="Z1061" s="13">
        <v>295886.36</v>
      </c>
      <c r="AA1061" s="12"/>
      <c r="AC1061" s="70">
        <f t="shared" si="35"/>
        <v>537975.19999999995</v>
      </c>
      <c r="AD1061" s="75" t="str">
        <f t="shared" si="34"/>
        <v/>
      </c>
    </row>
    <row r="1062" spans="1:34" outlineLevel="6">
      <c r="A1062" s="3501" t="s">
        <v>731</v>
      </c>
      <c r="B1062" s="3501"/>
      <c r="C1062" s="7"/>
      <c r="D1062" s="7"/>
      <c r="E1062" s="13">
        <v>21711.57</v>
      </c>
      <c r="F1062" s="7"/>
      <c r="G1062" s="7"/>
      <c r="H1062" s="8"/>
      <c r="I1062" s="9"/>
      <c r="J1062" s="7"/>
      <c r="K1062" s="7"/>
      <c r="L1062" s="7"/>
      <c r="M1062" s="13">
        <v>21711.57</v>
      </c>
      <c r="N1062" s="13">
        <v>21711.57</v>
      </c>
      <c r="O1062" s="13">
        <v>21711.57</v>
      </c>
      <c r="P1062" s="7"/>
      <c r="Q1062" s="7"/>
      <c r="R1062" s="13">
        <v>21711.57</v>
      </c>
      <c r="S1062" s="7"/>
      <c r="T1062" s="7"/>
      <c r="U1062" s="13">
        <v>21711.57</v>
      </c>
      <c r="V1062" s="7"/>
      <c r="W1062" s="7"/>
      <c r="X1062" s="7"/>
      <c r="Y1062" s="7"/>
      <c r="Z1062" s="7"/>
      <c r="AA1062" s="7"/>
      <c r="AC1062" s="70" t="str">
        <f t="shared" si="35"/>
        <v/>
      </c>
      <c r="AD1062" s="75" t="str">
        <f t="shared" si="34"/>
        <v/>
      </c>
    </row>
    <row r="1063" spans="1:34" outlineLevel="7">
      <c r="A1063" s="3500" t="s">
        <v>732</v>
      </c>
      <c r="B1063" s="3500"/>
      <c r="C1063" s="7"/>
      <c r="D1063" s="7"/>
      <c r="E1063" s="13">
        <v>21711.57</v>
      </c>
      <c r="F1063" s="7"/>
      <c r="G1063" s="7"/>
      <c r="H1063" s="8"/>
      <c r="I1063" s="9"/>
      <c r="J1063" s="7"/>
      <c r="K1063" s="7"/>
      <c r="L1063" s="7"/>
      <c r="M1063" s="13">
        <v>21711.57</v>
      </c>
      <c r="N1063" s="13">
        <v>21711.57</v>
      </c>
      <c r="O1063" s="13">
        <v>21711.57</v>
      </c>
      <c r="P1063" s="7"/>
      <c r="Q1063" s="7"/>
      <c r="R1063" s="13">
        <v>21711.57</v>
      </c>
      <c r="S1063" s="7"/>
      <c r="T1063" s="7"/>
      <c r="U1063" s="13">
        <v>21711.57</v>
      </c>
      <c r="V1063" s="7"/>
      <c r="W1063" s="7"/>
      <c r="X1063" s="7"/>
      <c r="Y1063" s="7"/>
      <c r="Z1063" s="7"/>
      <c r="AA1063" s="7"/>
      <c r="AC1063" s="70" t="str">
        <f t="shared" si="35"/>
        <v/>
      </c>
      <c r="AD1063" s="75" t="str">
        <f t="shared" si="34"/>
        <v/>
      </c>
      <c r="AH1063" t="s">
        <v>3650</v>
      </c>
    </row>
    <row r="1064" spans="1:34" outlineLevel="7">
      <c r="A1064" s="3499" t="s">
        <v>1871</v>
      </c>
      <c r="B1064" s="3499"/>
      <c r="C1064" s="7"/>
      <c r="D1064" s="7"/>
      <c r="E1064" s="13">
        <v>21711.57</v>
      </c>
      <c r="F1064" s="7"/>
      <c r="G1064" s="7"/>
      <c r="H1064" s="8"/>
      <c r="I1064" s="9"/>
      <c r="J1064" s="7"/>
      <c r="K1064" s="7"/>
      <c r="L1064" s="7"/>
      <c r="M1064" s="13">
        <v>21711.57</v>
      </c>
      <c r="N1064" s="13">
        <v>21711.57</v>
      </c>
      <c r="O1064" s="13">
        <v>21711.57</v>
      </c>
      <c r="P1064" s="7"/>
      <c r="Q1064" s="7"/>
      <c r="R1064" s="13">
        <v>21711.57</v>
      </c>
      <c r="S1064" s="7"/>
      <c r="T1064" s="7"/>
      <c r="U1064" s="13">
        <v>21711.57</v>
      </c>
      <c r="V1064" s="7"/>
      <c r="W1064" s="7"/>
      <c r="X1064" s="7"/>
      <c r="Y1064" s="7"/>
      <c r="Z1064" s="7"/>
      <c r="AA1064" s="7"/>
      <c r="AC1064" s="70">
        <f t="shared" si="35"/>
        <v>21711.57</v>
      </c>
      <c r="AD1064" s="75" t="str">
        <f t="shared" si="34"/>
        <v/>
      </c>
    </row>
    <row r="1065" spans="1:34" outlineLevel="6">
      <c r="A1065" s="3501" t="s">
        <v>733</v>
      </c>
      <c r="B1065" s="3501"/>
      <c r="C1065" s="7"/>
      <c r="D1065" s="7"/>
      <c r="E1065" s="13">
        <v>37110.269999999997</v>
      </c>
      <c r="F1065" s="7"/>
      <c r="G1065" s="7"/>
      <c r="H1065" s="8"/>
      <c r="I1065" s="9"/>
      <c r="J1065" s="7"/>
      <c r="K1065" s="7"/>
      <c r="L1065" s="7"/>
      <c r="M1065" s="13">
        <v>37110.269999999997</v>
      </c>
      <c r="N1065" s="13">
        <v>37110.269999999997</v>
      </c>
      <c r="O1065" s="13">
        <v>37110.269999999997</v>
      </c>
      <c r="P1065" s="7"/>
      <c r="Q1065" s="7"/>
      <c r="R1065" s="13">
        <v>37110.269999999997</v>
      </c>
      <c r="S1065" s="7"/>
      <c r="T1065" s="7"/>
      <c r="U1065" s="7"/>
      <c r="V1065" s="13">
        <v>37110.269999999997</v>
      </c>
      <c r="W1065" s="13">
        <v>37110.269999999997</v>
      </c>
      <c r="X1065" s="7"/>
      <c r="Y1065" s="7"/>
      <c r="Z1065" s="7"/>
      <c r="AA1065" s="7"/>
      <c r="AC1065" s="70" t="str">
        <f t="shared" si="35"/>
        <v/>
      </c>
      <c r="AD1065" s="75" t="str">
        <f t="shared" si="34"/>
        <v/>
      </c>
    </row>
    <row r="1066" spans="1:34" outlineLevel="7">
      <c r="A1066" s="3500" t="s">
        <v>734</v>
      </c>
      <c r="B1066" s="3500"/>
      <c r="C1066" s="7"/>
      <c r="D1066" s="7"/>
      <c r="E1066" s="13">
        <v>37110.269999999997</v>
      </c>
      <c r="F1066" s="7"/>
      <c r="G1066" s="7"/>
      <c r="H1066" s="8"/>
      <c r="I1066" s="9"/>
      <c r="J1066" s="7"/>
      <c r="K1066" s="7"/>
      <c r="L1066" s="7"/>
      <c r="M1066" s="13">
        <v>37110.269999999997</v>
      </c>
      <c r="N1066" s="13">
        <v>37110.269999999997</v>
      </c>
      <c r="O1066" s="13">
        <v>37110.269999999997</v>
      </c>
      <c r="P1066" s="7"/>
      <c r="Q1066" s="7"/>
      <c r="R1066" s="13">
        <v>37110.269999999997</v>
      </c>
      <c r="S1066" s="7"/>
      <c r="T1066" s="7"/>
      <c r="U1066" s="7"/>
      <c r="V1066" s="13">
        <v>37110.269999999997</v>
      </c>
      <c r="W1066" s="13">
        <v>37110.269999999997</v>
      </c>
      <c r="X1066" s="7"/>
      <c r="Y1066" s="7"/>
      <c r="Z1066" s="7"/>
      <c r="AA1066" s="7"/>
      <c r="AC1066" s="70" t="str">
        <f t="shared" si="35"/>
        <v/>
      </c>
      <c r="AD1066" s="75" t="str">
        <f t="shared" si="34"/>
        <v/>
      </c>
      <c r="AH1066" t="s">
        <v>3587</v>
      </c>
    </row>
    <row r="1067" spans="1:34" outlineLevel="7">
      <c r="A1067" s="3499" t="s">
        <v>1872</v>
      </c>
      <c r="B1067" s="3499"/>
      <c r="C1067" s="7"/>
      <c r="D1067" s="7"/>
      <c r="E1067" s="13">
        <v>37110.269999999997</v>
      </c>
      <c r="F1067" s="7"/>
      <c r="G1067" s="7"/>
      <c r="H1067" s="8"/>
      <c r="I1067" s="9"/>
      <c r="J1067" s="7"/>
      <c r="K1067" s="7"/>
      <c r="L1067" s="7"/>
      <c r="M1067" s="13">
        <v>37110.269999999997</v>
      </c>
      <c r="N1067" s="13">
        <v>37110.269999999997</v>
      </c>
      <c r="O1067" s="13">
        <v>37110.269999999997</v>
      </c>
      <c r="P1067" s="7"/>
      <c r="Q1067" s="7"/>
      <c r="R1067" s="13">
        <v>37110.269999999997</v>
      </c>
      <c r="S1067" s="7"/>
      <c r="T1067" s="7"/>
      <c r="U1067" s="7"/>
      <c r="V1067" s="13">
        <v>37110.269999999997</v>
      </c>
      <c r="W1067" s="13">
        <v>37110.269999999997</v>
      </c>
      <c r="X1067" s="7"/>
      <c r="Y1067" s="7"/>
      <c r="Z1067" s="7"/>
      <c r="AA1067" s="7"/>
      <c r="AC1067" s="70">
        <f t="shared" si="35"/>
        <v>37110.269999999997</v>
      </c>
      <c r="AD1067" s="75" t="str">
        <f t="shared" si="34"/>
        <v/>
      </c>
    </row>
    <row r="1068" spans="1:34" outlineLevel="6">
      <c r="A1068" s="3513" t="s">
        <v>708</v>
      </c>
      <c r="B1068" s="3513"/>
      <c r="C1068" s="1390"/>
      <c r="D1068" s="1390"/>
      <c r="E1068" s="1391">
        <v>3701.19</v>
      </c>
      <c r="F1068" s="1390"/>
      <c r="G1068" s="1390"/>
      <c r="H1068" s="1392"/>
      <c r="I1068" s="1393"/>
      <c r="J1068" s="1390"/>
      <c r="K1068" s="1390"/>
      <c r="L1068" s="1390"/>
      <c r="M1068" s="1391">
        <v>3701.19</v>
      </c>
      <c r="N1068" s="1391">
        <v>3701.19</v>
      </c>
      <c r="O1068" s="1391">
        <v>3701.19</v>
      </c>
      <c r="P1068" s="1390"/>
      <c r="Q1068" s="1390"/>
      <c r="R1068" s="1391">
        <v>3701.19</v>
      </c>
      <c r="S1068" s="7"/>
      <c r="T1068" s="7"/>
      <c r="U1068" s="7"/>
      <c r="V1068" s="13">
        <v>3701.19</v>
      </c>
      <c r="W1068" s="13">
        <v>3701.19</v>
      </c>
      <c r="X1068" s="7"/>
      <c r="Y1068" s="7"/>
      <c r="Z1068" s="7"/>
      <c r="AA1068" s="7"/>
      <c r="AC1068" s="70" t="str">
        <f t="shared" si="35"/>
        <v/>
      </c>
      <c r="AD1068" s="75" t="str">
        <f t="shared" si="34"/>
        <v/>
      </c>
    </row>
    <row r="1069" spans="1:34" outlineLevel="7">
      <c r="A1069" s="3514" t="s">
        <v>735</v>
      </c>
      <c r="B1069" s="3514"/>
      <c r="C1069" s="1390"/>
      <c r="D1069" s="1390"/>
      <c r="E1069" s="1391">
        <v>3701.19</v>
      </c>
      <c r="F1069" s="1390"/>
      <c r="G1069" s="1390"/>
      <c r="H1069" s="1392"/>
      <c r="I1069" s="1393"/>
      <c r="J1069" s="1390"/>
      <c r="K1069" s="1390"/>
      <c r="L1069" s="1390"/>
      <c r="M1069" s="1391">
        <v>3701.19</v>
      </c>
      <c r="N1069" s="1391">
        <v>3701.19</v>
      </c>
      <c r="O1069" s="1391">
        <v>3701.19</v>
      </c>
      <c r="P1069" s="1390"/>
      <c r="Q1069" s="1390"/>
      <c r="R1069" s="1391">
        <v>3701.19</v>
      </c>
      <c r="S1069" s="7"/>
      <c r="T1069" s="7"/>
      <c r="U1069" s="7"/>
      <c r="V1069" s="13">
        <v>3701.19</v>
      </c>
      <c r="W1069" s="13">
        <v>3701.19</v>
      </c>
      <c r="X1069" s="7"/>
      <c r="Y1069" s="7"/>
      <c r="Z1069" s="7"/>
      <c r="AA1069" s="7"/>
      <c r="AC1069" s="70" t="str">
        <f t="shared" si="35"/>
        <v/>
      </c>
      <c r="AD1069" s="75" t="str">
        <f t="shared" si="34"/>
        <v/>
      </c>
      <c r="AH1069" t="s">
        <v>3610</v>
      </c>
    </row>
    <row r="1070" spans="1:34" outlineLevel="7">
      <c r="A1070" s="3515" t="s">
        <v>1873</v>
      </c>
      <c r="B1070" s="3515"/>
      <c r="C1070" s="1390"/>
      <c r="D1070" s="1390"/>
      <c r="E1070" s="1391">
        <v>3701.19</v>
      </c>
      <c r="F1070" s="1390"/>
      <c r="G1070" s="1390"/>
      <c r="H1070" s="1392"/>
      <c r="I1070" s="1393"/>
      <c r="J1070" s="1390"/>
      <c r="K1070" s="1390"/>
      <c r="L1070" s="1390"/>
      <c r="M1070" s="1391">
        <v>3701.19</v>
      </c>
      <c r="N1070" s="1391">
        <v>3701.19</v>
      </c>
      <c r="O1070" s="1391">
        <v>3701.19</v>
      </c>
      <c r="P1070" s="1390"/>
      <c r="Q1070" s="1390"/>
      <c r="R1070" s="1391">
        <v>3701.19</v>
      </c>
      <c r="S1070" s="7"/>
      <c r="T1070" s="7"/>
      <c r="U1070" s="7"/>
      <c r="V1070" s="13">
        <v>3701.19</v>
      </c>
      <c r="W1070" s="13">
        <v>3701.19</v>
      </c>
      <c r="X1070" s="7"/>
      <c r="Y1070" s="7"/>
      <c r="Z1070" s="7"/>
      <c r="AA1070" s="7"/>
      <c r="AC1070" s="70">
        <f t="shared" si="35"/>
        <v>3701.19</v>
      </c>
      <c r="AD1070" s="75" t="str">
        <f t="shared" si="34"/>
        <v/>
      </c>
    </row>
    <row r="1071" spans="1:34" outlineLevel="6">
      <c r="A1071" s="3501" t="s">
        <v>736</v>
      </c>
      <c r="B1071" s="3501"/>
      <c r="C1071" s="7"/>
      <c r="D1071" s="7"/>
      <c r="E1071" s="13">
        <v>9460.01</v>
      </c>
      <c r="F1071" s="7"/>
      <c r="G1071" s="7"/>
      <c r="H1071" s="8"/>
      <c r="I1071" s="9"/>
      <c r="J1071" s="7"/>
      <c r="K1071" s="7"/>
      <c r="L1071" s="7"/>
      <c r="M1071" s="13">
        <v>9460.01</v>
      </c>
      <c r="N1071" s="13">
        <v>9460.01</v>
      </c>
      <c r="O1071" s="13">
        <v>9460.01</v>
      </c>
      <c r="P1071" s="7"/>
      <c r="Q1071" s="7"/>
      <c r="R1071" s="13">
        <v>9460.01</v>
      </c>
      <c r="S1071" s="7"/>
      <c r="T1071" s="7"/>
      <c r="U1071" s="7"/>
      <c r="V1071" s="13">
        <v>9460.01</v>
      </c>
      <c r="W1071" s="13">
        <v>9460.01</v>
      </c>
      <c r="X1071" s="7"/>
      <c r="Y1071" s="7"/>
      <c r="Z1071" s="7"/>
      <c r="AA1071" s="7"/>
      <c r="AC1071" s="70" t="str">
        <f t="shared" si="35"/>
        <v/>
      </c>
      <c r="AD1071" s="75" t="str">
        <f t="shared" si="34"/>
        <v/>
      </c>
    </row>
    <row r="1072" spans="1:34" outlineLevel="7">
      <c r="A1072" s="3500" t="s">
        <v>737</v>
      </c>
      <c r="B1072" s="3500"/>
      <c r="C1072" s="7"/>
      <c r="D1072" s="7"/>
      <c r="E1072" s="13">
        <v>9460.01</v>
      </c>
      <c r="F1072" s="7"/>
      <c r="G1072" s="7"/>
      <c r="H1072" s="8"/>
      <c r="I1072" s="9"/>
      <c r="J1072" s="7"/>
      <c r="K1072" s="7"/>
      <c r="L1072" s="7"/>
      <c r="M1072" s="13">
        <v>9460.01</v>
      </c>
      <c r="N1072" s="13">
        <v>9460.01</v>
      </c>
      <c r="O1072" s="13">
        <v>9460.01</v>
      </c>
      <c r="P1072" s="7"/>
      <c r="Q1072" s="7"/>
      <c r="R1072" s="13">
        <v>9460.01</v>
      </c>
      <c r="S1072" s="7"/>
      <c r="T1072" s="7"/>
      <c r="U1072" s="7"/>
      <c r="V1072" s="13">
        <v>9460.01</v>
      </c>
      <c r="W1072" s="13">
        <v>9460.01</v>
      </c>
      <c r="X1072" s="7"/>
      <c r="Y1072" s="7"/>
      <c r="Z1072" s="7"/>
      <c r="AA1072" s="7"/>
      <c r="AC1072" s="70" t="str">
        <f t="shared" si="35"/>
        <v/>
      </c>
      <c r="AD1072" s="75" t="str">
        <f t="shared" si="34"/>
        <v/>
      </c>
      <c r="AH1072" t="s">
        <v>3651</v>
      </c>
    </row>
    <row r="1073" spans="1:34" outlineLevel="7">
      <c r="A1073" s="3499" t="s">
        <v>1874</v>
      </c>
      <c r="B1073" s="3499"/>
      <c r="C1073" s="7"/>
      <c r="D1073" s="7"/>
      <c r="E1073" s="13">
        <v>9460.01</v>
      </c>
      <c r="F1073" s="7"/>
      <c r="G1073" s="7"/>
      <c r="H1073" s="8"/>
      <c r="I1073" s="9"/>
      <c r="J1073" s="7"/>
      <c r="K1073" s="7"/>
      <c r="L1073" s="7"/>
      <c r="M1073" s="13">
        <v>9460.01</v>
      </c>
      <c r="N1073" s="13">
        <v>9460.01</v>
      </c>
      <c r="O1073" s="13">
        <v>9460.01</v>
      </c>
      <c r="P1073" s="7"/>
      <c r="Q1073" s="7"/>
      <c r="R1073" s="13">
        <v>9460.01</v>
      </c>
      <c r="S1073" s="7"/>
      <c r="T1073" s="7"/>
      <c r="U1073" s="7"/>
      <c r="V1073" s="13">
        <v>9460.01</v>
      </c>
      <c r="W1073" s="13">
        <v>9460.01</v>
      </c>
      <c r="X1073" s="7"/>
      <c r="Y1073" s="7"/>
      <c r="Z1073" s="7"/>
      <c r="AA1073" s="7"/>
      <c r="AC1073" s="70">
        <f t="shared" si="35"/>
        <v>9460.01</v>
      </c>
      <c r="AD1073" s="75" t="str">
        <f t="shared" si="34"/>
        <v/>
      </c>
    </row>
    <row r="1074" spans="1:34" ht="12.75" customHeight="1" outlineLevel="4">
      <c r="A1074" s="3503" t="s">
        <v>738</v>
      </c>
      <c r="B1074" s="3503"/>
      <c r="C1074" s="58"/>
      <c r="D1074" s="58"/>
      <c r="E1074" s="59">
        <v>34508.93</v>
      </c>
      <c r="F1074" s="58"/>
      <c r="G1074" s="58"/>
      <c r="H1074" s="60"/>
      <c r="I1074" s="61"/>
      <c r="J1074" s="58"/>
      <c r="K1074" s="58"/>
      <c r="L1074" s="58"/>
      <c r="M1074" s="59">
        <v>34508.93</v>
      </c>
      <c r="N1074" s="59">
        <v>34508.93</v>
      </c>
      <c r="O1074" s="59">
        <v>34508.93</v>
      </c>
      <c r="P1074" s="58"/>
      <c r="Q1074" s="58"/>
      <c r="R1074" s="59">
        <v>34508.93</v>
      </c>
      <c r="S1074" s="58"/>
      <c r="T1074" s="58"/>
      <c r="U1074" s="59">
        <v>8652.77</v>
      </c>
      <c r="V1074" s="59">
        <v>25856.16</v>
      </c>
      <c r="W1074" s="59">
        <v>25856.16</v>
      </c>
      <c r="X1074" s="62"/>
      <c r="Y1074" s="62"/>
      <c r="Z1074" s="58"/>
      <c r="AA1074" s="58"/>
      <c r="AC1074" s="70" t="str">
        <f t="shared" si="35"/>
        <v/>
      </c>
      <c r="AD1074" s="75" t="str">
        <f t="shared" si="34"/>
        <v/>
      </c>
    </row>
    <row r="1075" spans="1:34" outlineLevel="5">
      <c r="A1075" s="3504" t="s">
        <v>649</v>
      </c>
      <c r="B1075" s="3504"/>
      <c r="C1075" s="48"/>
      <c r="D1075" s="48"/>
      <c r="E1075" s="49">
        <v>34508.93</v>
      </c>
      <c r="F1075" s="48"/>
      <c r="G1075" s="48"/>
      <c r="H1075" s="50"/>
      <c r="I1075" s="51"/>
      <c r="J1075" s="48"/>
      <c r="K1075" s="48"/>
      <c r="L1075" s="48"/>
      <c r="M1075" s="49">
        <v>34508.93</v>
      </c>
      <c r="N1075" s="49">
        <v>34508.93</v>
      </c>
      <c r="O1075" s="49">
        <v>34508.93</v>
      </c>
      <c r="P1075" s="48"/>
      <c r="Q1075" s="48"/>
      <c r="R1075" s="49">
        <v>34508.93</v>
      </c>
      <c r="S1075" s="48"/>
      <c r="T1075" s="48"/>
      <c r="U1075" s="49">
        <v>8652.77</v>
      </c>
      <c r="V1075" s="49">
        <v>25856.16</v>
      </c>
      <c r="W1075" s="49">
        <v>25856.16</v>
      </c>
      <c r="X1075" s="48"/>
      <c r="Y1075" s="48"/>
      <c r="Z1075" s="48"/>
      <c r="AA1075" s="48"/>
      <c r="AC1075" s="70" t="str">
        <f t="shared" si="35"/>
        <v/>
      </c>
      <c r="AD1075" s="75" t="str">
        <f t="shared" si="34"/>
        <v/>
      </c>
    </row>
    <row r="1076" spans="1:34" outlineLevel="6">
      <c r="A1076" s="3501" t="s">
        <v>739</v>
      </c>
      <c r="B1076" s="3501"/>
      <c r="C1076" s="7"/>
      <c r="D1076" s="7"/>
      <c r="E1076" s="13">
        <v>25856.16</v>
      </c>
      <c r="F1076" s="7"/>
      <c r="G1076" s="7"/>
      <c r="H1076" s="8"/>
      <c r="I1076" s="9"/>
      <c r="J1076" s="7"/>
      <c r="K1076" s="7"/>
      <c r="L1076" s="7"/>
      <c r="M1076" s="13">
        <v>25856.16</v>
      </c>
      <c r="N1076" s="13">
        <v>25856.16</v>
      </c>
      <c r="O1076" s="13">
        <v>25856.16</v>
      </c>
      <c r="P1076" s="7"/>
      <c r="Q1076" s="7"/>
      <c r="R1076" s="13">
        <v>25856.16</v>
      </c>
      <c r="S1076" s="7"/>
      <c r="T1076" s="7"/>
      <c r="U1076" s="7"/>
      <c r="V1076" s="13">
        <v>25856.16</v>
      </c>
      <c r="W1076" s="13">
        <v>25856.16</v>
      </c>
      <c r="X1076" s="7"/>
      <c r="Y1076" s="7"/>
      <c r="Z1076" s="7"/>
      <c r="AA1076" s="7"/>
      <c r="AC1076" s="70" t="str">
        <f t="shared" si="35"/>
        <v/>
      </c>
      <c r="AD1076" s="75" t="str">
        <f t="shared" si="34"/>
        <v/>
      </c>
    </row>
    <row r="1077" spans="1:34" outlineLevel="7">
      <c r="A1077" s="3500" t="s">
        <v>740</v>
      </c>
      <c r="B1077" s="3500"/>
      <c r="C1077" s="7"/>
      <c r="D1077" s="7"/>
      <c r="E1077" s="13">
        <v>25856.16</v>
      </c>
      <c r="F1077" s="7"/>
      <c r="G1077" s="7"/>
      <c r="H1077" s="8"/>
      <c r="I1077" s="9"/>
      <c r="J1077" s="7"/>
      <c r="K1077" s="7"/>
      <c r="L1077" s="7"/>
      <c r="M1077" s="13">
        <v>25856.16</v>
      </c>
      <c r="N1077" s="13">
        <v>25856.16</v>
      </c>
      <c r="O1077" s="13">
        <v>25856.16</v>
      </c>
      <c r="P1077" s="7"/>
      <c r="Q1077" s="7"/>
      <c r="R1077" s="13">
        <v>25856.16</v>
      </c>
      <c r="S1077" s="7"/>
      <c r="T1077" s="7"/>
      <c r="U1077" s="7"/>
      <c r="V1077" s="13">
        <v>25856.16</v>
      </c>
      <c r="W1077" s="13">
        <v>25856.16</v>
      </c>
      <c r="X1077" s="7"/>
      <c r="Y1077" s="7"/>
      <c r="Z1077" s="7"/>
      <c r="AA1077" s="7"/>
      <c r="AC1077" s="70" t="str">
        <f t="shared" si="35"/>
        <v/>
      </c>
      <c r="AD1077" s="75" t="str">
        <f t="shared" si="34"/>
        <v/>
      </c>
      <c r="AH1077" t="s">
        <v>3652</v>
      </c>
    </row>
    <row r="1078" spans="1:34" outlineLevel="7">
      <c r="A1078" s="3499" t="s">
        <v>1875</v>
      </c>
      <c r="B1078" s="3499"/>
      <c r="C1078" s="7"/>
      <c r="D1078" s="7"/>
      <c r="E1078" s="13">
        <v>25856.16</v>
      </c>
      <c r="F1078" s="7"/>
      <c r="G1078" s="7"/>
      <c r="H1078" s="8"/>
      <c r="I1078" s="9"/>
      <c r="J1078" s="7"/>
      <c r="K1078" s="7"/>
      <c r="L1078" s="7"/>
      <c r="M1078" s="13">
        <v>25856.16</v>
      </c>
      <c r="N1078" s="13">
        <v>25856.16</v>
      </c>
      <c r="O1078" s="13">
        <v>25856.16</v>
      </c>
      <c r="P1078" s="7"/>
      <c r="Q1078" s="7"/>
      <c r="R1078" s="13">
        <v>25856.16</v>
      </c>
      <c r="S1078" s="7"/>
      <c r="T1078" s="7"/>
      <c r="U1078" s="7"/>
      <c r="V1078" s="13">
        <v>25856.16</v>
      </c>
      <c r="W1078" s="13">
        <v>25856.16</v>
      </c>
      <c r="X1078" s="7"/>
      <c r="Y1078" s="7"/>
      <c r="Z1078" s="7"/>
      <c r="AA1078" s="7"/>
      <c r="AC1078" s="70">
        <f t="shared" si="35"/>
        <v>25856.16</v>
      </c>
      <c r="AD1078" s="75" t="str">
        <f t="shared" si="34"/>
        <v/>
      </c>
    </row>
    <row r="1079" spans="1:34" outlineLevel="6">
      <c r="A1079" s="3501" t="s">
        <v>741</v>
      </c>
      <c r="B1079" s="3501"/>
      <c r="C1079" s="7"/>
      <c r="D1079" s="7"/>
      <c r="E1079" s="13">
        <v>8652.77</v>
      </c>
      <c r="F1079" s="7"/>
      <c r="G1079" s="7"/>
      <c r="H1079" s="8"/>
      <c r="I1079" s="9"/>
      <c r="J1079" s="7"/>
      <c r="K1079" s="7"/>
      <c r="L1079" s="7"/>
      <c r="M1079" s="13">
        <v>8652.77</v>
      </c>
      <c r="N1079" s="13">
        <v>8652.77</v>
      </c>
      <c r="O1079" s="13">
        <v>8652.77</v>
      </c>
      <c r="P1079" s="7"/>
      <c r="Q1079" s="7"/>
      <c r="R1079" s="13">
        <v>8652.77</v>
      </c>
      <c r="S1079" s="7"/>
      <c r="T1079" s="7"/>
      <c r="U1079" s="13">
        <v>8652.77</v>
      </c>
      <c r="V1079" s="7"/>
      <c r="W1079" s="7"/>
      <c r="X1079" s="7"/>
      <c r="Y1079" s="7"/>
      <c r="Z1079" s="7"/>
      <c r="AA1079" s="7"/>
      <c r="AC1079" s="70" t="str">
        <f t="shared" si="35"/>
        <v/>
      </c>
      <c r="AD1079" s="75" t="str">
        <f t="shared" si="34"/>
        <v/>
      </c>
    </row>
    <row r="1080" spans="1:34" outlineLevel="7">
      <c r="A1080" s="3500" t="s">
        <v>742</v>
      </c>
      <c r="B1080" s="3500"/>
      <c r="C1080" s="7"/>
      <c r="D1080" s="7"/>
      <c r="E1080" s="13">
        <v>8652.77</v>
      </c>
      <c r="F1080" s="7"/>
      <c r="G1080" s="7"/>
      <c r="H1080" s="8"/>
      <c r="I1080" s="9"/>
      <c r="J1080" s="7"/>
      <c r="K1080" s="7"/>
      <c r="L1080" s="7"/>
      <c r="M1080" s="13">
        <v>8652.77</v>
      </c>
      <c r="N1080" s="13">
        <v>8652.77</v>
      </c>
      <c r="O1080" s="13">
        <v>8652.77</v>
      </c>
      <c r="P1080" s="7"/>
      <c r="Q1080" s="7"/>
      <c r="R1080" s="13">
        <v>8652.77</v>
      </c>
      <c r="S1080" s="7"/>
      <c r="T1080" s="7"/>
      <c r="U1080" s="13">
        <v>8652.77</v>
      </c>
      <c r="V1080" s="7"/>
      <c r="W1080" s="7"/>
      <c r="X1080" s="7"/>
      <c r="Y1080" s="7"/>
      <c r="Z1080" s="7"/>
      <c r="AA1080" s="7"/>
      <c r="AC1080" s="70" t="str">
        <f t="shared" si="35"/>
        <v/>
      </c>
      <c r="AD1080" s="75" t="str">
        <f t="shared" si="34"/>
        <v/>
      </c>
      <c r="AH1080" t="s">
        <v>3653</v>
      </c>
    </row>
    <row r="1081" spans="1:34" outlineLevel="7">
      <c r="A1081" s="3518" t="s">
        <v>1876</v>
      </c>
      <c r="B1081" s="3518"/>
      <c r="C1081" s="63"/>
      <c r="D1081" s="63"/>
      <c r="E1081" s="64">
        <v>8652.77</v>
      </c>
      <c r="F1081" s="63"/>
      <c r="G1081" s="63"/>
      <c r="H1081" s="65"/>
      <c r="I1081" s="66"/>
      <c r="J1081" s="63"/>
      <c r="K1081" s="63"/>
      <c r="L1081" s="63"/>
      <c r="M1081" s="64">
        <v>8652.77</v>
      </c>
      <c r="N1081" s="64">
        <v>8652.77</v>
      </c>
      <c r="O1081" s="64">
        <v>8652.77</v>
      </c>
      <c r="P1081" s="63"/>
      <c r="Q1081" s="63"/>
      <c r="R1081" s="64">
        <v>8652.77</v>
      </c>
      <c r="S1081" s="63"/>
      <c r="T1081" s="63"/>
      <c r="U1081" s="64">
        <v>8652.77</v>
      </c>
      <c r="V1081" s="63"/>
      <c r="W1081" s="63"/>
      <c r="X1081" s="63"/>
      <c r="Y1081" s="63"/>
      <c r="Z1081" s="63"/>
      <c r="AA1081" s="63"/>
      <c r="AC1081" s="70">
        <f t="shared" si="35"/>
        <v>8652.77</v>
      </c>
      <c r="AD1081" s="75" t="str">
        <f t="shared" si="34"/>
        <v/>
      </c>
    </row>
    <row r="1082" spans="1:34" outlineLevel="1">
      <c r="A1082" s="3519" t="s">
        <v>743</v>
      </c>
      <c r="B1082" s="3519"/>
      <c r="C1082" s="524"/>
      <c r="D1082" s="525">
        <v>6058702.8300000001</v>
      </c>
      <c r="E1082" s="525">
        <v>1469117.29</v>
      </c>
      <c r="F1082" s="525">
        <v>533973.66</v>
      </c>
      <c r="G1082" s="525">
        <v>924249.42</v>
      </c>
      <c r="H1082" s="3520">
        <v>922900.36</v>
      </c>
      <c r="I1082" s="3520"/>
      <c r="J1082" s="525">
        <v>1349.06</v>
      </c>
      <c r="K1082" s="525">
        <v>10890.22</v>
      </c>
      <c r="L1082" s="525">
        <v>10890.22</v>
      </c>
      <c r="M1082" s="526"/>
      <c r="N1082" s="526"/>
      <c r="O1082" s="526"/>
      <c r="P1082" s="527">
        <v>3.99</v>
      </c>
      <c r="Q1082" s="527">
        <v>3.99</v>
      </c>
      <c r="R1082" s="525">
        <v>2055121.16</v>
      </c>
      <c r="S1082" s="21"/>
      <c r="T1082" s="21"/>
      <c r="U1082" s="18">
        <v>2053772.1</v>
      </c>
      <c r="V1082" s="18">
        <v>1349.06</v>
      </c>
      <c r="W1082" s="18">
        <v>1349.06</v>
      </c>
      <c r="X1082" s="21"/>
      <c r="Y1082" s="21"/>
      <c r="Z1082" s="20"/>
      <c r="AA1082" s="18">
        <v>6644706.7000000002</v>
      </c>
    </row>
    <row r="1083" spans="1:34" outlineLevel="2">
      <c r="A1083" s="3521" t="s">
        <v>1511</v>
      </c>
      <c r="B1083" s="3521"/>
      <c r="C1083" s="528"/>
      <c r="D1083" s="529">
        <v>6058702.8300000001</v>
      </c>
      <c r="E1083" s="529">
        <v>1469117.29</v>
      </c>
      <c r="F1083" s="529">
        <v>533973.66</v>
      </c>
      <c r="G1083" s="529">
        <v>924249.42</v>
      </c>
      <c r="H1083" s="3517">
        <v>922900.36</v>
      </c>
      <c r="I1083" s="3517"/>
      <c r="J1083" s="529">
        <v>1349.06</v>
      </c>
      <c r="K1083" s="529">
        <v>10890.22</v>
      </c>
      <c r="L1083" s="529">
        <v>10890.22</v>
      </c>
      <c r="M1083" s="530"/>
      <c r="N1083" s="530"/>
      <c r="O1083" s="530"/>
      <c r="P1083" s="531">
        <v>3.99</v>
      </c>
      <c r="Q1083" s="531">
        <v>3.99</v>
      </c>
      <c r="R1083" s="529">
        <v>2055121.16</v>
      </c>
      <c r="S1083" s="56"/>
      <c r="T1083" s="56"/>
      <c r="U1083" s="54">
        <v>2053772.1</v>
      </c>
      <c r="V1083" s="54">
        <v>1349.06</v>
      </c>
      <c r="W1083" s="54">
        <v>1349.06</v>
      </c>
      <c r="X1083" s="56"/>
      <c r="Y1083" s="56"/>
      <c r="Z1083" s="55"/>
      <c r="AA1083" s="54">
        <v>6644706.7000000002</v>
      </c>
    </row>
    <row r="1084" spans="1:34" outlineLevel="3">
      <c r="A1084" s="3516" t="s">
        <v>1512</v>
      </c>
      <c r="B1084" s="3516"/>
      <c r="C1084" s="528"/>
      <c r="D1084" s="529">
        <v>6058702.8300000001</v>
      </c>
      <c r="E1084" s="529">
        <v>1469117.29</v>
      </c>
      <c r="F1084" s="529">
        <v>533973.66</v>
      </c>
      <c r="G1084" s="529">
        <v>924249.42</v>
      </c>
      <c r="H1084" s="3517">
        <v>922900.36</v>
      </c>
      <c r="I1084" s="3517"/>
      <c r="J1084" s="529">
        <v>1349.06</v>
      </c>
      <c r="K1084" s="529">
        <v>10890.22</v>
      </c>
      <c r="L1084" s="529">
        <v>10890.22</v>
      </c>
      <c r="M1084" s="530"/>
      <c r="N1084" s="530"/>
      <c r="O1084" s="530"/>
      <c r="P1084" s="531">
        <v>3.99</v>
      </c>
      <c r="Q1084" s="531">
        <v>3.99</v>
      </c>
      <c r="R1084" s="529">
        <v>2055121.16</v>
      </c>
      <c r="S1084" s="56"/>
      <c r="T1084" s="56"/>
      <c r="U1084" s="54">
        <v>2053772.1</v>
      </c>
      <c r="V1084" s="54">
        <v>1349.06</v>
      </c>
      <c r="W1084" s="54">
        <v>1349.06</v>
      </c>
      <c r="X1084" s="56"/>
      <c r="Y1084" s="56"/>
      <c r="Z1084" s="55"/>
      <c r="AA1084" s="54">
        <v>6644706.7000000002</v>
      </c>
    </row>
    <row r="1085" spans="1:34" ht="12.75" customHeight="1" outlineLevel="4">
      <c r="A1085" s="3503" t="s">
        <v>46</v>
      </c>
      <c r="B1085" s="3503"/>
      <c r="C1085" s="58"/>
      <c r="D1085" s="58">
        <v>2715656.04</v>
      </c>
      <c r="E1085" s="59">
        <v>615315.86</v>
      </c>
      <c r="F1085" s="58">
        <v>74368.77</v>
      </c>
      <c r="G1085" s="58">
        <v>530053.73</v>
      </c>
      <c r="H1085" s="60">
        <v>528704.67000000004</v>
      </c>
      <c r="I1085" s="61"/>
      <c r="J1085" s="58">
        <v>1349.06</v>
      </c>
      <c r="K1085" s="58">
        <v>10890.22</v>
      </c>
      <c r="L1085" s="58">
        <v>10890.22</v>
      </c>
      <c r="M1085" s="59"/>
      <c r="N1085" s="59"/>
      <c r="O1085" s="59"/>
      <c r="P1085" s="58">
        <v>3.14</v>
      </c>
      <c r="Q1085" s="58">
        <v>3.14</v>
      </c>
      <c r="R1085" s="59">
        <v>835483.07</v>
      </c>
      <c r="S1085" s="58"/>
      <c r="T1085" s="58"/>
      <c r="U1085" s="59">
        <v>834134.01</v>
      </c>
      <c r="V1085" s="59">
        <v>1349.06</v>
      </c>
      <c r="W1085" s="59">
        <v>1349.06</v>
      </c>
      <c r="X1085" s="62"/>
      <c r="Y1085" s="62"/>
      <c r="Z1085" s="58"/>
      <c r="AA1085" s="58">
        <v>2935823.25</v>
      </c>
    </row>
    <row r="1086" spans="1:34" outlineLevel="5">
      <c r="A1086" s="3504" t="s">
        <v>744</v>
      </c>
      <c r="B1086" s="3504"/>
      <c r="C1086" s="53"/>
      <c r="D1086" s="49">
        <v>2750</v>
      </c>
      <c r="E1086" s="49">
        <v>2200</v>
      </c>
      <c r="F1086" s="48"/>
      <c r="G1086" s="48"/>
      <c r="H1086" s="50"/>
      <c r="I1086" s="51"/>
      <c r="J1086" s="48"/>
      <c r="K1086" s="49">
        <v>2200</v>
      </c>
      <c r="L1086" s="49">
        <v>2200</v>
      </c>
      <c r="M1086" s="48"/>
      <c r="N1086" s="48"/>
      <c r="O1086" s="48"/>
      <c r="P1086" s="48"/>
      <c r="Q1086" s="48"/>
      <c r="R1086" s="53"/>
      <c r="S1086" s="48"/>
      <c r="T1086" s="48"/>
      <c r="U1086" s="48"/>
      <c r="V1086" s="48"/>
      <c r="W1086" s="48"/>
      <c r="X1086" s="48"/>
      <c r="Y1086" s="48"/>
      <c r="Z1086" s="53"/>
      <c r="AA1086" s="52">
        <v>550</v>
      </c>
    </row>
    <row r="1087" spans="1:34" outlineLevel="6">
      <c r="A1087" s="3501" t="s">
        <v>745</v>
      </c>
      <c r="B1087" s="3501"/>
      <c r="C1087" s="12"/>
      <c r="D1087" s="14">
        <v>550</v>
      </c>
      <c r="E1087" s="7"/>
      <c r="F1087" s="7"/>
      <c r="G1087" s="7"/>
      <c r="H1087" s="8"/>
      <c r="I1087" s="9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12"/>
      <c r="AA1087" s="14">
        <v>550</v>
      </c>
    </row>
    <row r="1088" spans="1:34" outlineLevel="7">
      <c r="A1088" s="3500" t="s">
        <v>746</v>
      </c>
      <c r="B1088" s="3500"/>
      <c r="C1088" s="12"/>
      <c r="D1088" s="14">
        <v>550</v>
      </c>
      <c r="E1088" s="7"/>
      <c r="F1088" s="7"/>
      <c r="G1088" s="7"/>
      <c r="H1088" s="8"/>
      <c r="I1088" s="9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12"/>
      <c r="AA1088" s="14">
        <v>550</v>
      </c>
    </row>
    <row r="1089" spans="1:27" outlineLevel="7">
      <c r="A1089" s="3499" t="s">
        <v>1877</v>
      </c>
      <c r="B1089" s="3499"/>
      <c r="C1089" s="12"/>
      <c r="D1089" s="14">
        <v>550</v>
      </c>
      <c r="E1089" s="7"/>
      <c r="F1089" s="7"/>
      <c r="G1089" s="7"/>
      <c r="H1089" s="8"/>
      <c r="I1089" s="9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12"/>
      <c r="AA1089" s="14">
        <v>550</v>
      </c>
    </row>
    <row r="1090" spans="1:27" outlineLevel="6">
      <c r="A1090" s="3501" t="s">
        <v>747</v>
      </c>
      <c r="B1090" s="3501"/>
      <c r="C1090" s="12"/>
      <c r="D1090" s="13">
        <v>1650</v>
      </c>
      <c r="E1090" s="13">
        <v>1650</v>
      </c>
      <c r="F1090" s="7"/>
      <c r="G1090" s="7"/>
      <c r="H1090" s="8"/>
      <c r="I1090" s="9"/>
      <c r="J1090" s="7"/>
      <c r="K1090" s="13">
        <v>1650</v>
      </c>
      <c r="L1090" s="13">
        <v>1650</v>
      </c>
      <c r="M1090" s="7"/>
      <c r="N1090" s="7"/>
      <c r="O1090" s="7"/>
      <c r="P1090" s="7"/>
      <c r="Q1090" s="7"/>
      <c r="R1090" s="12"/>
      <c r="S1090" s="7"/>
      <c r="T1090" s="7"/>
      <c r="U1090" s="7"/>
      <c r="V1090" s="7"/>
      <c r="W1090" s="7"/>
      <c r="X1090" s="7"/>
      <c r="Y1090" s="7"/>
      <c r="Z1090" s="12"/>
      <c r="AA1090" s="12"/>
    </row>
    <row r="1091" spans="1:27" outlineLevel="7">
      <c r="A1091" s="3500" t="s">
        <v>748</v>
      </c>
      <c r="B1091" s="3500"/>
      <c r="C1091" s="12"/>
      <c r="D1091" s="14">
        <v>550</v>
      </c>
      <c r="E1091" s="14">
        <v>550</v>
      </c>
      <c r="F1091" s="7"/>
      <c r="G1091" s="7"/>
      <c r="H1091" s="8"/>
      <c r="I1091" s="9"/>
      <c r="J1091" s="7"/>
      <c r="K1091" s="14">
        <v>550</v>
      </c>
      <c r="L1091" s="14">
        <v>550</v>
      </c>
      <c r="M1091" s="7"/>
      <c r="N1091" s="7"/>
      <c r="O1091" s="7"/>
      <c r="P1091" s="7"/>
      <c r="Q1091" s="7"/>
      <c r="R1091" s="12"/>
      <c r="S1091" s="7"/>
      <c r="T1091" s="7"/>
      <c r="U1091" s="7"/>
      <c r="V1091" s="7"/>
      <c r="W1091" s="7"/>
      <c r="X1091" s="7"/>
      <c r="Y1091" s="7"/>
      <c r="Z1091" s="12"/>
      <c r="AA1091" s="12"/>
    </row>
    <row r="1092" spans="1:27" outlineLevel="7">
      <c r="A1092" s="3499" t="s">
        <v>1878</v>
      </c>
      <c r="B1092" s="3499"/>
      <c r="C1092" s="12"/>
      <c r="D1092" s="14">
        <v>550</v>
      </c>
      <c r="E1092" s="14">
        <v>550</v>
      </c>
      <c r="F1092" s="7"/>
      <c r="G1092" s="7"/>
      <c r="H1092" s="8"/>
      <c r="I1092" s="9"/>
      <c r="J1092" s="7"/>
      <c r="K1092" s="14">
        <v>550</v>
      </c>
      <c r="L1092" s="14">
        <v>550</v>
      </c>
      <c r="M1092" s="7"/>
      <c r="N1092" s="7"/>
      <c r="O1092" s="7"/>
      <c r="P1092" s="7"/>
      <c r="Q1092" s="7"/>
      <c r="R1092" s="12"/>
      <c r="S1092" s="7"/>
      <c r="T1092" s="7"/>
      <c r="U1092" s="7"/>
      <c r="V1092" s="7"/>
      <c r="W1092" s="7"/>
      <c r="X1092" s="7"/>
      <c r="Y1092" s="7"/>
      <c r="Z1092" s="12"/>
      <c r="AA1092" s="12"/>
    </row>
    <row r="1093" spans="1:27" outlineLevel="7">
      <c r="A1093" s="3500" t="s">
        <v>749</v>
      </c>
      <c r="B1093" s="3500"/>
      <c r="C1093" s="12"/>
      <c r="D1093" s="14">
        <v>550</v>
      </c>
      <c r="E1093" s="14">
        <v>550</v>
      </c>
      <c r="F1093" s="7"/>
      <c r="G1093" s="7"/>
      <c r="H1093" s="8"/>
      <c r="I1093" s="9"/>
      <c r="J1093" s="7"/>
      <c r="K1093" s="14">
        <v>550</v>
      </c>
      <c r="L1093" s="14">
        <v>550</v>
      </c>
      <c r="M1093" s="7"/>
      <c r="N1093" s="7"/>
      <c r="O1093" s="7"/>
      <c r="P1093" s="7"/>
      <c r="Q1093" s="7"/>
      <c r="R1093" s="12"/>
      <c r="S1093" s="7"/>
      <c r="T1093" s="7"/>
      <c r="U1093" s="7"/>
      <c r="V1093" s="7"/>
      <c r="W1093" s="7"/>
      <c r="X1093" s="7"/>
      <c r="Y1093" s="7"/>
      <c r="Z1093" s="12"/>
      <c r="AA1093" s="12"/>
    </row>
    <row r="1094" spans="1:27" outlineLevel="7">
      <c r="A1094" s="3499" t="s">
        <v>1879</v>
      </c>
      <c r="B1094" s="3499"/>
      <c r="C1094" s="12"/>
      <c r="D1094" s="14">
        <v>550</v>
      </c>
      <c r="E1094" s="14">
        <v>550</v>
      </c>
      <c r="F1094" s="7"/>
      <c r="G1094" s="7"/>
      <c r="H1094" s="8"/>
      <c r="I1094" s="9"/>
      <c r="J1094" s="7"/>
      <c r="K1094" s="14">
        <v>550</v>
      </c>
      <c r="L1094" s="14">
        <v>550</v>
      </c>
      <c r="M1094" s="7"/>
      <c r="N1094" s="7"/>
      <c r="O1094" s="7"/>
      <c r="P1094" s="7"/>
      <c r="Q1094" s="7"/>
      <c r="R1094" s="12"/>
      <c r="S1094" s="7"/>
      <c r="T1094" s="7"/>
      <c r="U1094" s="7"/>
      <c r="V1094" s="7"/>
      <c r="W1094" s="7"/>
      <c r="X1094" s="7"/>
      <c r="Y1094" s="7"/>
      <c r="Z1094" s="12"/>
      <c r="AA1094" s="12"/>
    </row>
    <row r="1095" spans="1:27" outlineLevel="7">
      <c r="A1095" s="3500" t="s">
        <v>750</v>
      </c>
      <c r="B1095" s="3500"/>
      <c r="C1095" s="12"/>
      <c r="D1095" s="14">
        <v>550</v>
      </c>
      <c r="E1095" s="14">
        <v>550</v>
      </c>
      <c r="F1095" s="7"/>
      <c r="G1095" s="7"/>
      <c r="H1095" s="8"/>
      <c r="I1095" s="9"/>
      <c r="J1095" s="7"/>
      <c r="K1095" s="14">
        <v>550</v>
      </c>
      <c r="L1095" s="14">
        <v>550</v>
      </c>
      <c r="M1095" s="7"/>
      <c r="N1095" s="7"/>
      <c r="O1095" s="7"/>
      <c r="P1095" s="7"/>
      <c r="Q1095" s="7"/>
      <c r="R1095" s="12"/>
      <c r="S1095" s="7"/>
      <c r="T1095" s="7"/>
      <c r="U1095" s="7"/>
      <c r="V1095" s="7"/>
      <c r="W1095" s="7"/>
      <c r="X1095" s="7"/>
      <c r="Y1095" s="7"/>
      <c r="Z1095" s="12"/>
      <c r="AA1095" s="12"/>
    </row>
    <row r="1096" spans="1:27" outlineLevel="7">
      <c r="A1096" s="3499" t="s">
        <v>1880</v>
      </c>
      <c r="B1096" s="3499"/>
      <c r="C1096" s="12"/>
      <c r="D1096" s="14">
        <v>550</v>
      </c>
      <c r="E1096" s="14">
        <v>550</v>
      </c>
      <c r="F1096" s="7"/>
      <c r="G1096" s="7"/>
      <c r="H1096" s="8"/>
      <c r="I1096" s="9"/>
      <c r="J1096" s="7"/>
      <c r="K1096" s="14">
        <v>550</v>
      </c>
      <c r="L1096" s="14">
        <v>550</v>
      </c>
      <c r="M1096" s="7"/>
      <c r="N1096" s="7"/>
      <c r="O1096" s="7"/>
      <c r="P1096" s="7"/>
      <c r="Q1096" s="7"/>
      <c r="R1096" s="12"/>
      <c r="S1096" s="7"/>
      <c r="T1096" s="7"/>
      <c r="U1096" s="7"/>
      <c r="V1096" s="7"/>
      <c r="W1096" s="7"/>
      <c r="X1096" s="7"/>
      <c r="Y1096" s="7"/>
      <c r="Z1096" s="12"/>
      <c r="AA1096" s="12"/>
    </row>
    <row r="1097" spans="1:27" outlineLevel="6">
      <c r="A1097" s="3501" t="s">
        <v>751</v>
      </c>
      <c r="B1097" s="3501"/>
      <c r="C1097" s="12"/>
      <c r="D1097" s="14">
        <v>550</v>
      </c>
      <c r="E1097" s="14">
        <v>550</v>
      </c>
      <c r="F1097" s="7"/>
      <c r="G1097" s="7"/>
      <c r="H1097" s="8"/>
      <c r="I1097" s="9"/>
      <c r="J1097" s="7"/>
      <c r="K1097" s="14">
        <v>550</v>
      </c>
      <c r="L1097" s="14">
        <v>550</v>
      </c>
      <c r="M1097" s="7"/>
      <c r="N1097" s="7"/>
      <c r="O1097" s="7"/>
      <c r="P1097" s="7"/>
      <c r="Q1097" s="7"/>
      <c r="R1097" s="12"/>
      <c r="S1097" s="7"/>
      <c r="T1097" s="7"/>
      <c r="U1097" s="7"/>
      <c r="V1097" s="7"/>
      <c r="W1097" s="7"/>
      <c r="X1097" s="7"/>
      <c r="Y1097" s="7"/>
      <c r="Z1097" s="12"/>
      <c r="AA1097" s="12"/>
    </row>
    <row r="1098" spans="1:27" outlineLevel="7">
      <c r="A1098" s="3500" t="s">
        <v>752</v>
      </c>
      <c r="B1098" s="3500"/>
      <c r="C1098" s="12"/>
      <c r="D1098" s="14">
        <v>550</v>
      </c>
      <c r="E1098" s="14">
        <v>550</v>
      </c>
      <c r="F1098" s="7"/>
      <c r="G1098" s="7"/>
      <c r="H1098" s="8"/>
      <c r="I1098" s="9"/>
      <c r="J1098" s="7"/>
      <c r="K1098" s="14">
        <v>550</v>
      </c>
      <c r="L1098" s="14">
        <v>550</v>
      </c>
      <c r="M1098" s="7"/>
      <c r="N1098" s="7"/>
      <c r="O1098" s="7"/>
      <c r="P1098" s="7"/>
      <c r="Q1098" s="7"/>
      <c r="R1098" s="12"/>
      <c r="S1098" s="7"/>
      <c r="T1098" s="7"/>
      <c r="U1098" s="7"/>
      <c r="V1098" s="7"/>
      <c r="W1098" s="7"/>
      <c r="X1098" s="7"/>
      <c r="Y1098" s="7"/>
      <c r="Z1098" s="12"/>
      <c r="AA1098" s="12"/>
    </row>
    <row r="1099" spans="1:27" outlineLevel="7">
      <c r="A1099" s="3499" t="s">
        <v>1881</v>
      </c>
      <c r="B1099" s="3499"/>
      <c r="C1099" s="12"/>
      <c r="D1099" s="14">
        <v>550</v>
      </c>
      <c r="E1099" s="14">
        <v>550</v>
      </c>
      <c r="F1099" s="7"/>
      <c r="G1099" s="7"/>
      <c r="H1099" s="8"/>
      <c r="I1099" s="9"/>
      <c r="J1099" s="7"/>
      <c r="K1099" s="14">
        <v>550</v>
      </c>
      <c r="L1099" s="14">
        <v>550</v>
      </c>
      <c r="M1099" s="7"/>
      <c r="N1099" s="7"/>
      <c r="O1099" s="7"/>
      <c r="P1099" s="7"/>
      <c r="Q1099" s="7"/>
      <c r="R1099" s="12"/>
      <c r="S1099" s="7"/>
      <c r="T1099" s="7"/>
      <c r="U1099" s="7"/>
      <c r="V1099" s="7"/>
      <c r="W1099" s="7"/>
      <c r="X1099" s="7"/>
      <c r="Y1099" s="7"/>
      <c r="Z1099" s="12"/>
      <c r="AA1099" s="12"/>
    </row>
    <row r="1100" spans="1:27" outlineLevel="5">
      <c r="A1100" s="3504" t="s">
        <v>47</v>
      </c>
      <c r="B1100" s="3504"/>
      <c r="C1100" s="53"/>
      <c r="D1100" s="49">
        <v>2750</v>
      </c>
      <c r="E1100" s="49">
        <v>11992.78</v>
      </c>
      <c r="F1100" s="48"/>
      <c r="G1100" s="49">
        <v>11992.78</v>
      </c>
      <c r="H1100" s="3522">
        <v>11992.78</v>
      </c>
      <c r="I1100" s="3522"/>
      <c r="J1100" s="48"/>
      <c r="K1100" s="48"/>
      <c r="L1100" s="48"/>
      <c r="M1100" s="48"/>
      <c r="N1100" s="48"/>
      <c r="O1100" s="48"/>
      <c r="P1100" s="48"/>
      <c r="Q1100" s="48"/>
      <c r="R1100" s="49">
        <v>11442.78</v>
      </c>
      <c r="S1100" s="48"/>
      <c r="T1100" s="48"/>
      <c r="U1100" s="49">
        <v>11442.78</v>
      </c>
      <c r="V1100" s="48"/>
      <c r="W1100" s="48"/>
      <c r="X1100" s="48"/>
      <c r="Y1100" s="48"/>
      <c r="Z1100" s="53"/>
      <c r="AA1100" s="49">
        <v>2200</v>
      </c>
    </row>
    <row r="1101" spans="1:27" outlineLevel="6">
      <c r="A1101" s="3501" t="s">
        <v>753</v>
      </c>
      <c r="B1101" s="3501"/>
      <c r="C1101" s="12"/>
      <c r="D1101" s="14">
        <v>550</v>
      </c>
      <c r="E1101" s="7"/>
      <c r="F1101" s="7"/>
      <c r="G1101" s="7"/>
      <c r="H1101" s="8"/>
      <c r="I1101" s="9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12"/>
      <c r="AA1101" s="14">
        <v>550</v>
      </c>
    </row>
    <row r="1102" spans="1:27" outlineLevel="7">
      <c r="A1102" s="3500" t="s">
        <v>754</v>
      </c>
      <c r="B1102" s="3500"/>
      <c r="C1102" s="12"/>
      <c r="D1102" s="14">
        <v>550</v>
      </c>
      <c r="E1102" s="7"/>
      <c r="F1102" s="7"/>
      <c r="G1102" s="7"/>
      <c r="H1102" s="8"/>
      <c r="I1102" s="9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12"/>
      <c r="AA1102" s="14">
        <v>550</v>
      </c>
    </row>
    <row r="1103" spans="1:27" outlineLevel="7">
      <c r="A1103" s="3499" t="s">
        <v>1882</v>
      </c>
      <c r="B1103" s="3499"/>
      <c r="C1103" s="12"/>
      <c r="D1103" s="14">
        <v>550</v>
      </c>
      <c r="E1103" s="7"/>
      <c r="F1103" s="7"/>
      <c r="G1103" s="7"/>
      <c r="H1103" s="8"/>
      <c r="I1103" s="9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12"/>
      <c r="AA1103" s="14">
        <v>550</v>
      </c>
    </row>
    <row r="1104" spans="1:27" outlineLevel="6">
      <c r="A1104" s="3501" t="s">
        <v>755</v>
      </c>
      <c r="B1104" s="3501"/>
      <c r="C1104" s="12"/>
      <c r="D1104" s="14">
        <v>550</v>
      </c>
      <c r="E1104" s="7"/>
      <c r="F1104" s="7"/>
      <c r="G1104" s="7"/>
      <c r="H1104" s="8"/>
      <c r="I1104" s="9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12"/>
      <c r="AA1104" s="14">
        <v>550</v>
      </c>
    </row>
    <row r="1105" spans="1:27" outlineLevel="7">
      <c r="A1105" s="3500" t="s">
        <v>756</v>
      </c>
      <c r="B1105" s="3500"/>
      <c r="C1105" s="12"/>
      <c r="D1105" s="14">
        <v>550</v>
      </c>
      <c r="E1105" s="7"/>
      <c r="F1105" s="7"/>
      <c r="G1105" s="7"/>
      <c r="H1105" s="8"/>
      <c r="I1105" s="9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12"/>
      <c r="AA1105" s="14">
        <v>550</v>
      </c>
    </row>
    <row r="1106" spans="1:27" outlineLevel="7">
      <c r="A1106" s="3499" t="s">
        <v>1883</v>
      </c>
      <c r="B1106" s="3499"/>
      <c r="C1106" s="12"/>
      <c r="D1106" s="14">
        <v>550</v>
      </c>
      <c r="E1106" s="7"/>
      <c r="F1106" s="7"/>
      <c r="G1106" s="7"/>
      <c r="H1106" s="8"/>
      <c r="I1106" s="9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12"/>
      <c r="AA1106" s="14">
        <v>550</v>
      </c>
    </row>
    <row r="1107" spans="1:27" outlineLevel="6">
      <c r="A1107" s="3501" t="s">
        <v>48</v>
      </c>
      <c r="B1107" s="3501"/>
      <c r="C1107" s="12"/>
      <c r="D1107" s="14">
        <v>550</v>
      </c>
      <c r="E1107" s="14">
        <v>550</v>
      </c>
      <c r="F1107" s="7"/>
      <c r="G1107" s="14">
        <v>550</v>
      </c>
      <c r="H1107" s="3523">
        <v>550</v>
      </c>
      <c r="I1107" s="3523"/>
      <c r="J1107" s="7"/>
      <c r="K1107" s="7"/>
      <c r="L1107" s="7"/>
      <c r="M1107" s="7"/>
      <c r="N1107" s="7"/>
      <c r="O1107" s="7"/>
      <c r="P1107" s="7"/>
      <c r="Q1107" s="7"/>
      <c r="R1107" s="12"/>
      <c r="S1107" s="7"/>
      <c r="T1107" s="7"/>
      <c r="U1107" s="7"/>
      <c r="V1107" s="7"/>
      <c r="W1107" s="7"/>
      <c r="X1107" s="7"/>
      <c r="Y1107" s="7"/>
      <c r="Z1107" s="12"/>
      <c r="AA1107" s="12"/>
    </row>
    <row r="1108" spans="1:27" outlineLevel="7">
      <c r="A1108" s="3500" t="s">
        <v>49</v>
      </c>
      <c r="B1108" s="3500"/>
      <c r="C1108" s="12"/>
      <c r="D1108" s="14">
        <v>550</v>
      </c>
      <c r="E1108" s="14">
        <v>550</v>
      </c>
      <c r="F1108" s="7"/>
      <c r="G1108" s="14">
        <v>550</v>
      </c>
      <c r="H1108" s="3523">
        <v>550</v>
      </c>
      <c r="I1108" s="3523"/>
      <c r="J1108" s="7"/>
      <c r="K1108" s="7"/>
      <c r="L1108" s="7"/>
      <c r="M1108" s="7"/>
      <c r="N1108" s="7"/>
      <c r="O1108" s="7"/>
      <c r="P1108" s="7"/>
      <c r="Q1108" s="7"/>
      <c r="R1108" s="12"/>
      <c r="S1108" s="7"/>
      <c r="T1108" s="7"/>
      <c r="U1108" s="7"/>
      <c r="V1108" s="7"/>
      <c r="W1108" s="7"/>
      <c r="X1108" s="7"/>
      <c r="Y1108" s="7"/>
      <c r="Z1108" s="12"/>
      <c r="AA1108" s="12"/>
    </row>
    <row r="1109" spans="1:27" outlineLevel="7">
      <c r="A1109" s="3499" t="s">
        <v>1884</v>
      </c>
      <c r="B1109" s="3499"/>
      <c r="C1109" s="12"/>
      <c r="D1109" s="14">
        <v>550</v>
      </c>
      <c r="E1109" s="14">
        <v>550</v>
      </c>
      <c r="F1109" s="7"/>
      <c r="G1109" s="14">
        <v>550</v>
      </c>
      <c r="H1109" s="3523">
        <v>550</v>
      </c>
      <c r="I1109" s="3523"/>
      <c r="J1109" s="7"/>
      <c r="K1109" s="7"/>
      <c r="L1109" s="7"/>
      <c r="M1109" s="7"/>
      <c r="N1109" s="7"/>
      <c r="O1109" s="7"/>
      <c r="P1109" s="7"/>
      <c r="Q1109" s="7"/>
      <c r="R1109" s="12"/>
      <c r="S1109" s="7"/>
      <c r="T1109" s="7"/>
      <c r="U1109" s="7"/>
      <c r="V1109" s="7"/>
      <c r="W1109" s="7"/>
      <c r="X1109" s="7"/>
      <c r="Y1109" s="7"/>
      <c r="Z1109" s="12"/>
      <c r="AA1109" s="12"/>
    </row>
    <row r="1110" spans="1:27" outlineLevel="6">
      <c r="A1110" s="3501" t="s">
        <v>757</v>
      </c>
      <c r="B1110" s="3501"/>
      <c r="C1110" s="12"/>
      <c r="D1110" s="14">
        <v>550</v>
      </c>
      <c r="E1110" s="7"/>
      <c r="F1110" s="7"/>
      <c r="G1110" s="7"/>
      <c r="H1110" s="8"/>
      <c r="I1110" s="9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12"/>
      <c r="AA1110" s="14">
        <v>550</v>
      </c>
    </row>
    <row r="1111" spans="1:27" outlineLevel="7">
      <c r="A1111" s="3500" t="s">
        <v>758</v>
      </c>
      <c r="B1111" s="3500"/>
      <c r="C1111" s="12"/>
      <c r="D1111" s="14">
        <v>550</v>
      </c>
      <c r="E1111" s="7"/>
      <c r="F1111" s="7"/>
      <c r="G1111" s="7"/>
      <c r="H1111" s="8"/>
      <c r="I1111" s="9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12"/>
      <c r="AA1111" s="14">
        <v>550</v>
      </c>
    </row>
    <row r="1112" spans="1:27" outlineLevel="7">
      <c r="A1112" s="3499" t="s">
        <v>1885</v>
      </c>
      <c r="B1112" s="3499"/>
      <c r="C1112" s="12"/>
      <c r="D1112" s="14">
        <v>550</v>
      </c>
      <c r="E1112" s="7"/>
      <c r="F1112" s="7"/>
      <c r="G1112" s="7"/>
      <c r="H1112" s="8"/>
      <c r="I1112" s="9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12"/>
      <c r="AA1112" s="14">
        <v>550</v>
      </c>
    </row>
    <row r="1113" spans="1:27" outlineLevel="6">
      <c r="A1113" s="3501" t="s">
        <v>50</v>
      </c>
      <c r="B1113" s="3501"/>
      <c r="C1113" s="7"/>
      <c r="D1113" s="7"/>
      <c r="E1113" s="13">
        <v>9543.7199999999993</v>
      </c>
      <c r="F1113" s="7"/>
      <c r="G1113" s="13">
        <v>9543.7199999999993</v>
      </c>
      <c r="H1113" s="3524">
        <v>9543.7199999999993</v>
      </c>
      <c r="I1113" s="3524"/>
      <c r="J1113" s="7"/>
      <c r="K1113" s="7"/>
      <c r="L1113" s="7"/>
      <c r="M1113" s="7"/>
      <c r="N1113" s="7"/>
      <c r="O1113" s="7"/>
      <c r="P1113" s="7"/>
      <c r="Q1113" s="7"/>
      <c r="R1113" s="13">
        <v>9543.7199999999993</v>
      </c>
      <c r="S1113" s="7"/>
      <c r="T1113" s="7"/>
      <c r="U1113" s="13">
        <v>9543.7199999999993</v>
      </c>
      <c r="V1113" s="7"/>
      <c r="W1113" s="7"/>
      <c r="X1113" s="7"/>
      <c r="Y1113" s="7"/>
      <c r="Z1113" s="7"/>
      <c r="AA1113" s="7"/>
    </row>
    <row r="1114" spans="1:27" outlineLevel="7">
      <c r="A1114" s="3500" t="s">
        <v>52</v>
      </c>
      <c r="B1114" s="3500"/>
      <c r="C1114" s="7"/>
      <c r="D1114" s="7"/>
      <c r="E1114" s="14">
        <v>550</v>
      </c>
      <c r="F1114" s="7"/>
      <c r="G1114" s="14">
        <v>550</v>
      </c>
      <c r="H1114" s="3523">
        <v>550</v>
      </c>
      <c r="I1114" s="3523"/>
      <c r="J1114" s="7"/>
      <c r="K1114" s="7"/>
      <c r="L1114" s="7"/>
      <c r="M1114" s="7"/>
      <c r="N1114" s="7"/>
      <c r="O1114" s="7"/>
      <c r="P1114" s="7"/>
      <c r="Q1114" s="7"/>
      <c r="R1114" s="14">
        <v>550</v>
      </c>
      <c r="S1114" s="7"/>
      <c r="T1114" s="7"/>
      <c r="U1114" s="14">
        <v>550</v>
      </c>
      <c r="V1114" s="7"/>
      <c r="W1114" s="7"/>
      <c r="X1114" s="7"/>
      <c r="Y1114" s="7"/>
      <c r="Z1114" s="7"/>
      <c r="AA1114" s="7"/>
    </row>
    <row r="1115" spans="1:27" outlineLevel="7">
      <c r="A1115" s="3499" t="s">
        <v>1886</v>
      </c>
      <c r="B1115" s="3499"/>
      <c r="C1115" s="7"/>
      <c r="D1115" s="7"/>
      <c r="E1115" s="14">
        <v>550</v>
      </c>
      <c r="F1115" s="7"/>
      <c r="G1115" s="14">
        <v>550</v>
      </c>
      <c r="H1115" s="3523">
        <v>550</v>
      </c>
      <c r="I1115" s="3523"/>
      <c r="J1115" s="7"/>
      <c r="K1115" s="7"/>
      <c r="L1115" s="7"/>
      <c r="M1115" s="7"/>
      <c r="N1115" s="7"/>
      <c r="O1115" s="7"/>
      <c r="P1115" s="7"/>
      <c r="Q1115" s="7"/>
      <c r="R1115" s="14">
        <v>550</v>
      </c>
      <c r="S1115" s="7"/>
      <c r="T1115" s="7"/>
      <c r="U1115" s="14">
        <v>550</v>
      </c>
      <c r="V1115" s="7"/>
      <c r="W1115" s="7"/>
      <c r="X1115" s="7"/>
      <c r="Y1115" s="7"/>
      <c r="Z1115" s="7"/>
      <c r="AA1115" s="7"/>
    </row>
    <row r="1116" spans="1:27" outlineLevel="7">
      <c r="A1116" s="3500" t="s">
        <v>53</v>
      </c>
      <c r="B1116" s="3500"/>
      <c r="C1116" s="7"/>
      <c r="D1116" s="7"/>
      <c r="E1116" s="13">
        <v>8993.7199999999993</v>
      </c>
      <c r="F1116" s="7"/>
      <c r="G1116" s="13">
        <v>8993.7199999999993</v>
      </c>
      <c r="H1116" s="3524">
        <v>8993.7199999999993</v>
      </c>
      <c r="I1116" s="3524"/>
      <c r="J1116" s="7"/>
      <c r="K1116" s="7"/>
      <c r="L1116" s="7"/>
      <c r="M1116" s="7"/>
      <c r="N1116" s="7"/>
      <c r="O1116" s="7"/>
      <c r="P1116" s="7"/>
      <c r="Q1116" s="7"/>
      <c r="R1116" s="13">
        <v>8993.7199999999993</v>
      </c>
      <c r="S1116" s="7"/>
      <c r="T1116" s="7"/>
      <c r="U1116" s="13">
        <v>8993.7199999999993</v>
      </c>
      <c r="V1116" s="7"/>
      <c r="W1116" s="7"/>
      <c r="X1116" s="7"/>
      <c r="Y1116" s="7"/>
      <c r="Z1116" s="7"/>
      <c r="AA1116" s="7"/>
    </row>
    <row r="1117" spans="1:27" outlineLevel="7">
      <c r="A1117" s="3499" t="s">
        <v>1887</v>
      </c>
      <c r="B1117" s="3499"/>
      <c r="C1117" s="7"/>
      <c r="D1117" s="7"/>
      <c r="E1117" s="13">
        <v>8993.7199999999993</v>
      </c>
      <c r="F1117" s="7"/>
      <c r="G1117" s="13">
        <v>8993.7199999999993</v>
      </c>
      <c r="H1117" s="3524">
        <v>8993.7199999999993</v>
      </c>
      <c r="I1117" s="3524"/>
      <c r="J1117" s="7"/>
      <c r="K1117" s="7"/>
      <c r="L1117" s="7"/>
      <c r="M1117" s="7"/>
      <c r="N1117" s="7"/>
      <c r="O1117" s="7"/>
      <c r="P1117" s="7"/>
      <c r="Q1117" s="7"/>
      <c r="R1117" s="13">
        <v>8993.7199999999993</v>
      </c>
      <c r="S1117" s="7"/>
      <c r="T1117" s="7"/>
      <c r="U1117" s="13">
        <v>8993.7199999999993</v>
      </c>
      <c r="V1117" s="7"/>
      <c r="W1117" s="7"/>
      <c r="X1117" s="7"/>
      <c r="Y1117" s="7"/>
      <c r="Z1117" s="7"/>
      <c r="AA1117" s="7"/>
    </row>
    <row r="1118" spans="1:27" outlineLevel="6">
      <c r="A1118" s="3501" t="s">
        <v>759</v>
      </c>
      <c r="B1118" s="3501"/>
      <c r="C1118" s="12"/>
      <c r="D1118" s="14">
        <v>550</v>
      </c>
      <c r="E1118" s="7"/>
      <c r="F1118" s="7"/>
      <c r="G1118" s="7"/>
      <c r="H1118" s="8"/>
      <c r="I1118" s="9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12"/>
      <c r="AA1118" s="14">
        <v>550</v>
      </c>
    </row>
    <row r="1119" spans="1:27" outlineLevel="7">
      <c r="A1119" s="3500" t="s">
        <v>754</v>
      </c>
      <c r="B1119" s="3500"/>
      <c r="C1119" s="12"/>
      <c r="D1119" s="14">
        <v>550</v>
      </c>
      <c r="E1119" s="7"/>
      <c r="F1119" s="7"/>
      <c r="G1119" s="7"/>
      <c r="H1119" s="8"/>
      <c r="I1119" s="9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12"/>
      <c r="AA1119" s="14">
        <v>550</v>
      </c>
    </row>
    <row r="1120" spans="1:27" outlineLevel="7">
      <c r="A1120" s="3499" t="s">
        <v>1888</v>
      </c>
      <c r="B1120" s="3499"/>
      <c r="C1120" s="12"/>
      <c r="D1120" s="14">
        <v>550</v>
      </c>
      <c r="E1120" s="7"/>
      <c r="F1120" s="7"/>
      <c r="G1120" s="7"/>
      <c r="H1120" s="8"/>
      <c r="I1120" s="9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12"/>
      <c r="AA1120" s="14">
        <v>550</v>
      </c>
    </row>
    <row r="1121" spans="1:27" outlineLevel="6">
      <c r="A1121" s="3501" t="s">
        <v>54</v>
      </c>
      <c r="B1121" s="3501"/>
      <c r="C1121" s="7"/>
      <c r="D1121" s="7"/>
      <c r="E1121" s="13">
        <v>1349.06</v>
      </c>
      <c r="F1121" s="7"/>
      <c r="G1121" s="13">
        <v>1349.06</v>
      </c>
      <c r="H1121" s="3524">
        <v>1349.06</v>
      </c>
      <c r="I1121" s="3524"/>
      <c r="J1121" s="7"/>
      <c r="K1121" s="7"/>
      <c r="L1121" s="7"/>
      <c r="M1121" s="7"/>
      <c r="N1121" s="7"/>
      <c r="O1121" s="7"/>
      <c r="P1121" s="7"/>
      <c r="Q1121" s="7"/>
      <c r="R1121" s="13">
        <v>1349.06</v>
      </c>
      <c r="S1121" s="7"/>
      <c r="T1121" s="7"/>
      <c r="U1121" s="13">
        <v>1349.06</v>
      </c>
      <c r="V1121" s="7"/>
      <c r="W1121" s="7"/>
      <c r="X1121" s="7"/>
      <c r="Y1121" s="7"/>
      <c r="Z1121" s="7"/>
      <c r="AA1121" s="7"/>
    </row>
    <row r="1122" spans="1:27" outlineLevel="7">
      <c r="A1122" s="3500" t="s">
        <v>55</v>
      </c>
      <c r="B1122" s="3500"/>
      <c r="C1122" s="7"/>
      <c r="D1122" s="7"/>
      <c r="E1122" s="13">
        <v>1349.06</v>
      </c>
      <c r="F1122" s="7"/>
      <c r="G1122" s="13">
        <v>1349.06</v>
      </c>
      <c r="H1122" s="3524">
        <v>1349.06</v>
      </c>
      <c r="I1122" s="3524"/>
      <c r="J1122" s="7"/>
      <c r="K1122" s="7"/>
      <c r="L1122" s="7"/>
      <c r="M1122" s="7"/>
      <c r="N1122" s="7"/>
      <c r="O1122" s="7"/>
      <c r="P1122" s="7"/>
      <c r="Q1122" s="7"/>
      <c r="R1122" s="13">
        <v>1349.06</v>
      </c>
      <c r="S1122" s="7"/>
      <c r="T1122" s="7"/>
      <c r="U1122" s="13">
        <v>1349.06</v>
      </c>
      <c r="V1122" s="7"/>
      <c r="W1122" s="7"/>
      <c r="X1122" s="7"/>
      <c r="Y1122" s="7"/>
      <c r="Z1122" s="7"/>
      <c r="AA1122" s="7"/>
    </row>
    <row r="1123" spans="1:27" outlineLevel="7">
      <c r="A1123" s="3499" t="s">
        <v>1889</v>
      </c>
      <c r="B1123" s="3499"/>
      <c r="C1123" s="7"/>
      <c r="D1123" s="7"/>
      <c r="E1123" s="13">
        <v>1349.06</v>
      </c>
      <c r="F1123" s="7"/>
      <c r="G1123" s="13">
        <v>1349.06</v>
      </c>
      <c r="H1123" s="3524">
        <v>1349.06</v>
      </c>
      <c r="I1123" s="3524"/>
      <c r="J1123" s="7"/>
      <c r="K1123" s="7"/>
      <c r="L1123" s="7"/>
      <c r="M1123" s="7"/>
      <c r="N1123" s="7"/>
      <c r="O1123" s="7"/>
      <c r="P1123" s="7"/>
      <c r="Q1123" s="7"/>
      <c r="R1123" s="13">
        <v>1349.06</v>
      </c>
      <c r="S1123" s="7"/>
      <c r="T1123" s="7"/>
      <c r="U1123" s="13">
        <v>1349.06</v>
      </c>
      <c r="V1123" s="7"/>
      <c r="W1123" s="7"/>
      <c r="X1123" s="7"/>
      <c r="Y1123" s="7"/>
      <c r="Z1123" s="7"/>
      <c r="AA1123" s="7"/>
    </row>
    <row r="1124" spans="1:27" outlineLevel="6">
      <c r="A1124" s="3501" t="s">
        <v>56</v>
      </c>
      <c r="B1124" s="3501"/>
      <c r="C1124" s="7"/>
      <c r="D1124" s="7"/>
      <c r="E1124" s="14">
        <v>550</v>
      </c>
      <c r="F1124" s="7"/>
      <c r="G1124" s="14">
        <v>550</v>
      </c>
      <c r="H1124" s="3523">
        <v>550</v>
      </c>
      <c r="I1124" s="3523"/>
      <c r="J1124" s="7"/>
      <c r="K1124" s="7"/>
      <c r="L1124" s="7"/>
      <c r="M1124" s="7"/>
      <c r="N1124" s="7"/>
      <c r="O1124" s="7"/>
      <c r="P1124" s="7"/>
      <c r="Q1124" s="7"/>
      <c r="R1124" s="14">
        <v>550</v>
      </c>
      <c r="S1124" s="7"/>
      <c r="T1124" s="7"/>
      <c r="U1124" s="14">
        <v>550</v>
      </c>
      <c r="V1124" s="7"/>
      <c r="W1124" s="7"/>
      <c r="X1124" s="7"/>
      <c r="Y1124" s="7"/>
      <c r="Z1124" s="7"/>
      <c r="AA1124" s="7"/>
    </row>
    <row r="1125" spans="1:27" outlineLevel="7">
      <c r="A1125" s="3500" t="s">
        <v>57</v>
      </c>
      <c r="B1125" s="3500"/>
      <c r="C1125" s="7"/>
      <c r="D1125" s="7"/>
      <c r="E1125" s="14">
        <v>550</v>
      </c>
      <c r="F1125" s="7"/>
      <c r="G1125" s="14">
        <v>550</v>
      </c>
      <c r="H1125" s="3523">
        <v>550</v>
      </c>
      <c r="I1125" s="3523"/>
      <c r="J1125" s="7"/>
      <c r="K1125" s="7"/>
      <c r="L1125" s="7"/>
      <c r="M1125" s="7"/>
      <c r="N1125" s="7"/>
      <c r="O1125" s="7"/>
      <c r="P1125" s="7"/>
      <c r="Q1125" s="7"/>
      <c r="R1125" s="14">
        <v>550</v>
      </c>
      <c r="S1125" s="7"/>
      <c r="T1125" s="7"/>
      <c r="U1125" s="14">
        <v>550</v>
      </c>
      <c r="V1125" s="7"/>
      <c r="W1125" s="7"/>
      <c r="X1125" s="7"/>
      <c r="Y1125" s="7"/>
      <c r="Z1125" s="7"/>
      <c r="AA1125" s="7"/>
    </row>
    <row r="1126" spans="1:27" outlineLevel="7">
      <c r="A1126" s="3499" t="s">
        <v>1890</v>
      </c>
      <c r="B1126" s="3499"/>
      <c r="C1126" s="7"/>
      <c r="D1126" s="7"/>
      <c r="E1126" s="14">
        <v>550</v>
      </c>
      <c r="F1126" s="7"/>
      <c r="G1126" s="14">
        <v>550</v>
      </c>
      <c r="H1126" s="3523">
        <v>550</v>
      </c>
      <c r="I1126" s="3523"/>
      <c r="J1126" s="7"/>
      <c r="K1126" s="7"/>
      <c r="L1126" s="7"/>
      <c r="M1126" s="7"/>
      <c r="N1126" s="7"/>
      <c r="O1126" s="7"/>
      <c r="P1126" s="7"/>
      <c r="Q1126" s="7"/>
      <c r="R1126" s="14">
        <v>550</v>
      </c>
      <c r="S1126" s="7"/>
      <c r="T1126" s="7"/>
      <c r="U1126" s="14">
        <v>550</v>
      </c>
      <c r="V1126" s="7"/>
      <c r="W1126" s="7"/>
      <c r="X1126" s="7"/>
      <c r="Y1126" s="7"/>
      <c r="Z1126" s="7"/>
      <c r="AA1126" s="7"/>
    </row>
    <row r="1127" spans="1:27" outlineLevel="5">
      <c r="A1127" s="3504" t="s">
        <v>760</v>
      </c>
      <c r="B1127" s="3504"/>
      <c r="C1127" s="53"/>
      <c r="D1127" s="49">
        <v>2750</v>
      </c>
      <c r="E1127" s="49">
        <v>1100</v>
      </c>
      <c r="F1127" s="48"/>
      <c r="G1127" s="48"/>
      <c r="H1127" s="50"/>
      <c r="I1127" s="51"/>
      <c r="J1127" s="48"/>
      <c r="K1127" s="49">
        <v>1100</v>
      </c>
      <c r="L1127" s="49">
        <v>1100</v>
      </c>
      <c r="M1127" s="48"/>
      <c r="N1127" s="48"/>
      <c r="O1127" s="48"/>
      <c r="P1127" s="48"/>
      <c r="Q1127" s="48"/>
      <c r="R1127" s="53"/>
      <c r="S1127" s="48"/>
      <c r="T1127" s="48"/>
      <c r="U1127" s="48"/>
      <c r="V1127" s="48"/>
      <c r="W1127" s="48"/>
      <c r="X1127" s="48"/>
      <c r="Y1127" s="48"/>
      <c r="Z1127" s="53"/>
      <c r="AA1127" s="49">
        <v>1650</v>
      </c>
    </row>
    <row r="1128" spans="1:27" outlineLevel="6">
      <c r="A1128" s="3501" t="s">
        <v>761</v>
      </c>
      <c r="B1128" s="3501"/>
      <c r="C1128" s="53"/>
      <c r="D1128" s="49">
        <v>1650</v>
      </c>
      <c r="E1128" s="48"/>
      <c r="F1128" s="48"/>
      <c r="G1128" s="48"/>
      <c r="H1128" s="50"/>
      <c r="I1128" s="51"/>
      <c r="J1128" s="48"/>
      <c r="K1128" s="48"/>
      <c r="L1128" s="48"/>
      <c r="M1128" s="48"/>
      <c r="N1128" s="48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53"/>
      <c r="AA1128" s="49">
        <v>1650</v>
      </c>
    </row>
    <row r="1129" spans="1:27" outlineLevel="7">
      <c r="A1129" s="3500" t="s">
        <v>762</v>
      </c>
      <c r="B1129" s="3500"/>
      <c r="C1129" s="12"/>
      <c r="D1129" s="14">
        <v>550</v>
      </c>
      <c r="E1129" s="7"/>
      <c r="F1129" s="7"/>
      <c r="G1129" s="7"/>
      <c r="H1129" s="8"/>
      <c r="I1129" s="9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12"/>
      <c r="AA1129" s="14">
        <v>550</v>
      </c>
    </row>
    <row r="1130" spans="1:27" outlineLevel="7">
      <c r="A1130" s="3499" t="s">
        <v>754</v>
      </c>
      <c r="B1130" s="3499"/>
      <c r="C1130" s="12"/>
      <c r="D1130" s="14">
        <v>550</v>
      </c>
      <c r="E1130" s="7"/>
      <c r="F1130" s="7"/>
      <c r="G1130" s="7"/>
      <c r="H1130" s="8"/>
      <c r="I1130" s="9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12"/>
      <c r="AA1130" s="14">
        <v>550</v>
      </c>
    </row>
    <row r="1131" spans="1:27" outlineLevel="7">
      <c r="A1131" s="3525" t="s">
        <v>1891</v>
      </c>
      <c r="B1131" s="3525"/>
      <c r="C1131" s="12"/>
      <c r="D1131" s="14">
        <v>550</v>
      </c>
      <c r="E1131" s="7"/>
      <c r="F1131" s="7"/>
      <c r="G1131" s="7"/>
      <c r="H1131" s="8"/>
      <c r="I1131" s="9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12"/>
      <c r="AA1131" s="14">
        <v>550</v>
      </c>
    </row>
    <row r="1132" spans="1:27" outlineLevel="7">
      <c r="A1132" s="3500" t="s">
        <v>763</v>
      </c>
      <c r="B1132" s="3500"/>
      <c r="C1132" s="12"/>
      <c r="D1132" s="14">
        <v>550</v>
      </c>
      <c r="E1132" s="7"/>
      <c r="F1132" s="7"/>
      <c r="G1132" s="7"/>
      <c r="H1132" s="8"/>
      <c r="I1132" s="9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12"/>
      <c r="AA1132" s="14">
        <v>550</v>
      </c>
    </row>
    <row r="1133" spans="1:27" outlineLevel="7">
      <c r="A1133" s="3499" t="s">
        <v>754</v>
      </c>
      <c r="B1133" s="3499"/>
      <c r="C1133" s="12"/>
      <c r="D1133" s="14">
        <v>550</v>
      </c>
      <c r="E1133" s="7"/>
      <c r="F1133" s="7"/>
      <c r="G1133" s="7"/>
      <c r="H1133" s="8"/>
      <c r="I1133" s="9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12"/>
      <c r="AA1133" s="14">
        <v>550</v>
      </c>
    </row>
    <row r="1134" spans="1:27" outlineLevel="7">
      <c r="A1134" s="3525" t="s">
        <v>1892</v>
      </c>
      <c r="B1134" s="3525"/>
      <c r="C1134" s="12"/>
      <c r="D1134" s="14">
        <v>550</v>
      </c>
      <c r="E1134" s="7"/>
      <c r="F1134" s="7"/>
      <c r="G1134" s="7"/>
      <c r="H1134" s="8"/>
      <c r="I1134" s="9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12"/>
      <c r="AA1134" s="14">
        <v>550</v>
      </c>
    </row>
    <row r="1135" spans="1:27" outlineLevel="7">
      <c r="A1135" s="3500" t="s">
        <v>764</v>
      </c>
      <c r="B1135" s="3500"/>
      <c r="C1135" s="12"/>
      <c r="D1135" s="14">
        <v>550</v>
      </c>
      <c r="E1135" s="7"/>
      <c r="F1135" s="7"/>
      <c r="G1135" s="7"/>
      <c r="H1135" s="8"/>
      <c r="I1135" s="9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12"/>
      <c r="AA1135" s="14">
        <v>550</v>
      </c>
    </row>
    <row r="1136" spans="1:27" outlineLevel="7">
      <c r="A1136" s="3499" t="s">
        <v>754</v>
      </c>
      <c r="B1136" s="3499"/>
      <c r="C1136" s="12"/>
      <c r="D1136" s="14">
        <v>550</v>
      </c>
      <c r="E1136" s="7"/>
      <c r="F1136" s="7"/>
      <c r="G1136" s="7"/>
      <c r="H1136" s="8"/>
      <c r="I1136" s="9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12"/>
      <c r="AA1136" s="14">
        <v>550</v>
      </c>
    </row>
    <row r="1137" spans="1:27" outlineLevel="7">
      <c r="A1137" s="3525" t="s">
        <v>1893</v>
      </c>
      <c r="B1137" s="3525"/>
      <c r="C1137" s="12"/>
      <c r="D1137" s="14">
        <v>550</v>
      </c>
      <c r="E1137" s="7"/>
      <c r="F1137" s="7"/>
      <c r="G1137" s="7"/>
      <c r="H1137" s="8"/>
      <c r="I1137" s="9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12"/>
      <c r="AA1137" s="14">
        <v>550</v>
      </c>
    </row>
    <row r="1138" spans="1:27" outlineLevel="6">
      <c r="A1138" s="3501" t="s">
        <v>765</v>
      </c>
      <c r="B1138" s="3501"/>
      <c r="C1138" s="12"/>
      <c r="D1138" s="13">
        <v>1100</v>
      </c>
      <c r="E1138" s="13">
        <v>1100</v>
      </c>
      <c r="F1138" s="7"/>
      <c r="G1138" s="7"/>
      <c r="H1138" s="8"/>
      <c r="I1138" s="9"/>
      <c r="J1138" s="7"/>
      <c r="K1138" s="13">
        <v>1100</v>
      </c>
      <c r="L1138" s="13">
        <v>1100</v>
      </c>
      <c r="M1138" s="7"/>
      <c r="N1138" s="7"/>
      <c r="O1138" s="7"/>
      <c r="P1138" s="7"/>
      <c r="Q1138" s="7"/>
      <c r="R1138" s="12"/>
      <c r="S1138" s="7"/>
      <c r="T1138" s="7"/>
      <c r="U1138" s="7"/>
      <c r="V1138" s="7"/>
      <c r="W1138" s="7"/>
      <c r="X1138" s="7"/>
      <c r="Y1138" s="7"/>
      <c r="Z1138" s="12"/>
      <c r="AA1138" s="12"/>
    </row>
    <row r="1139" spans="1:27" outlineLevel="7">
      <c r="A1139" s="3500" t="s">
        <v>766</v>
      </c>
      <c r="B1139" s="3500"/>
      <c r="C1139" s="12"/>
      <c r="D1139" s="14">
        <v>550</v>
      </c>
      <c r="E1139" s="14">
        <v>550</v>
      </c>
      <c r="F1139" s="7"/>
      <c r="G1139" s="7"/>
      <c r="H1139" s="8"/>
      <c r="I1139" s="9"/>
      <c r="J1139" s="7"/>
      <c r="K1139" s="14">
        <v>550</v>
      </c>
      <c r="L1139" s="14">
        <v>550</v>
      </c>
      <c r="M1139" s="7"/>
      <c r="N1139" s="7"/>
      <c r="O1139" s="7"/>
      <c r="P1139" s="7"/>
      <c r="Q1139" s="7"/>
      <c r="R1139" s="12"/>
      <c r="S1139" s="7"/>
      <c r="T1139" s="7"/>
      <c r="U1139" s="7"/>
      <c r="V1139" s="7"/>
      <c r="W1139" s="7"/>
      <c r="X1139" s="7"/>
      <c r="Y1139" s="7"/>
      <c r="Z1139" s="12"/>
      <c r="AA1139" s="12"/>
    </row>
    <row r="1140" spans="1:27" outlineLevel="7">
      <c r="A1140" s="3499" t="s">
        <v>1894</v>
      </c>
      <c r="B1140" s="3499"/>
      <c r="C1140" s="12"/>
      <c r="D1140" s="14">
        <v>550</v>
      </c>
      <c r="E1140" s="14">
        <v>550</v>
      </c>
      <c r="F1140" s="7"/>
      <c r="G1140" s="7"/>
      <c r="H1140" s="8"/>
      <c r="I1140" s="9"/>
      <c r="J1140" s="7"/>
      <c r="K1140" s="14">
        <v>550</v>
      </c>
      <c r="L1140" s="14">
        <v>550</v>
      </c>
      <c r="M1140" s="7"/>
      <c r="N1140" s="7"/>
      <c r="O1140" s="7"/>
      <c r="P1140" s="7"/>
      <c r="Q1140" s="7"/>
      <c r="R1140" s="12"/>
      <c r="S1140" s="7"/>
      <c r="T1140" s="7"/>
      <c r="U1140" s="7"/>
      <c r="V1140" s="7"/>
      <c r="W1140" s="7"/>
      <c r="X1140" s="7"/>
      <c r="Y1140" s="7"/>
      <c r="Z1140" s="12"/>
      <c r="AA1140" s="12"/>
    </row>
    <row r="1141" spans="1:27" outlineLevel="7">
      <c r="A1141" s="3500" t="s">
        <v>767</v>
      </c>
      <c r="B1141" s="3500"/>
      <c r="C1141" s="12"/>
      <c r="D1141" s="14">
        <v>550</v>
      </c>
      <c r="E1141" s="14">
        <v>550</v>
      </c>
      <c r="F1141" s="7"/>
      <c r="G1141" s="7"/>
      <c r="H1141" s="8"/>
      <c r="I1141" s="9"/>
      <c r="J1141" s="7"/>
      <c r="K1141" s="14">
        <v>550</v>
      </c>
      <c r="L1141" s="14">
        <v>550</v>
      </c>
      <c r="M1141" s="7"/>
      <c r="N1141" s="7"/>
      <c r="O1141" s="7"/>
      <c r="P1141" s="7"/>
      <c r="Q1141" s="7"/>
      <c r="R1141" s="12"/>
      <c r="S1141" s="7"/>
      <c r="T1141" s="7"/>
      <c r="U1141" s="7"/>
      <c r="V1141" s="7"/>
      <c r="W1141" s="7"/>
      <c r="X1141" s="7"/>
      <c r="Y1141" s="7"/>
      <c r="Z1141" s="12"/>
      <c r="AA1141" s="12"/>
    </row>
    <row r="1142" spans="1:27" outlineLevel="7">
      <c r="A1142" s="3499" t="s">
        <v>1895</v>
      </c>
      <c r="B1142" s="3499"/>
      <c r="C1142" s="12"/>
      <c r="D1142" s="14">
        <v>550</v>
      </c>
      <c r="E1142" s="14">
        <v>550</v>
      </c>
      <c r="F1142" s="7"/>
      <c r="G1142" s="7"/>
      <c r="H1142" s="8"/>
      <c r="I1142" s="9"/>
      <c r="J1142" s="7"/>
      <c r="K1142" s="14">
        <v>550</v>
      </c>
      <c r="L1142" s="14">
        <v>550</v>
      </c>
      <c r="M1142" s="7"/>
      <c r="N1142" s="7"/>
      <c r="O1142" s="7"/>
      <c r="P1142" s="7"/>
      <c r="Q1142" s="7"/>
      <c r="R1142" s="12"/>
      <c r="S1142" s="7"/>
      <c r="T1142" s="7"/>
      <c r="U1142" s="7"/>
      <c r="V1142" s="7"/>
      <c r="W1142" s="7"/>
      <c r="X1142" s="7"/>
      <c r="Y1142" s="7"/>
      <c r="Z1142" s="12"/>
      <c r="AA1142" s="12"/>
    </row>
    <row r="1143" spans="1:27" outlineLevel="5">
      <c r="A1143" s="3504" t="s">
        <v>58</v>
      </c>
      <c r="B1143" s="3504"/>
      <c r="C1143" s="53"/>
      <c r="D1143" s="52">
        <v>550</v>
      </c>
      <c r="E1143" s="49">
        <v>5046.8599999999997</v>
      </c>
      <c r="F1143" s="48"/>
      <c r="G1143" s="49">
        <v>5046.8599999999997</v>
      </c>
      <c r="H1143" s="3522">
        <v>5046.8599999999997</v>
      </c>
      <c r="I1143" s="3522"/>
      <c r="J1143" s="48"/>
      <c r="K1143" s="48"/>
      <c r="L1143" s="48"/>
      <c r="M1143" s="48"/>
      <c r="N1143" s="48"/>
      <c r="O1143" s="48"/>
      <c r="P1143" s="48"/>
      <c r="Q1143" s="48"/>
      <c r="R1143" s="49">
        <v>6146.86</v>
      </c>
      <c r="S1143" s="48"/>
      <c r="T1143" s="48"/>
      <c r="U1143" s="49">
        <v>6146.86</v>
      </c>
      <c r="V1143" s="48"/>
      <c r="W1143" s="48"/>
      <c r="X1143" s="48"/>
      <c r="Y1143" s="48"/>
      <c r="Z1143" s="53"/>
      <c r="AA1143" s="49">
        <v>1650</v>
      </c>
    </row>
    <row r="1144" spans="1:27" outlineLevel="6">
      <c r="A1144" s="3501" t="s">
        <v>768</v>
      </c>
      <c r="B1144" s="3501"/>
      <c r="C1144" s="12"/>
      <c r="D1144" s="12"/>
      <c r="E1144" s="12"/>
      <c r="F1144" s="7"/>
      <c r="G1144" s="7"/>
      <c r="H1144" s="8"/>
      <c r="I1144" s="9"/>
      <c r="J1144" s="7"/>
      <c r="K1144" s="7"/>
      <c r="L1144" s="7"/>
      <c r="M1144" s="7"/>
      <c r="N1144" s="7"/>
      <c r="O1144" s="7"/>
      <c r="P1144" s="7"/>
      <c r="Q1144" s="7"/>
      <c r="R1144" s="14">
        <v>550</v>
      </c>
      <c r="S1144" s="7"/>
      <c r="T1144" s="7"/>
      <c r="U1144" s="14">
        <v>550</v>
      </c>
      <c r="V1144" s="7"/>
      <c r="W1144" s="7"/>
      <c r="X1144" s="7"/>
      <c r="Y1144" s="7"/>
      <c r="Z1144" s="12"/>
      <c r="AA1144" s="14">
        <v>550</v>
      </c>
    </row>
    <row r="1145" spans="1:27" outlineLevel="7">
      <c r="A1145" s="3500" t="s">
        <v>769</v>
      </c>
      <c r="B1145" s="3500"/>
      <c r="C1145" s="12"/>
      <c r="D1145" s="12"/>
      <c r="E1145" s="12"/>
      <c r="F1145" s="7"/>
      <c r="G1145" s="7"/>
      <c r="H1145" s="8"/>
      <c r="I1145" s="9"/>
      <c r="J1145" s="7"/>
      <c r="K1145" s="7"/>
      <c r="L1145" s="7"/>
      <c r="M1145" s="7"/>
      <c r="N1145" s="7"/>
      <c r="O1145" s="7"/>
      <c r="P1145" s="7"/>
      <c r="Q1145" s="7"/>
      <c r="R1145" s="14">
        <v>550</v>
      </c>
      <c r="S1145" s="7"/>
      <c r="T1145" s="7"/>
      <c r="U1145" s="14">
        <v>550</v>
      </c>
      <c r="V1145" s="7"/>
      <c r="W1145" s="7"/>
      <c r="X1145" s="7"/>
      <c r="Y1145" s="7"/>
      <c r="Z1145" s="12"/>
      <c r="AA1145" s="14">
        <v>550</v>
      </c>
    </row>
    <row r="1146" spans="1:27" outlineLevel="7">
      <c r="A1146" s="3499" t="s">
        <v>1896</v>
      </c>
      <c r="B1146" s="3499"/>
      <c r="C1146" s="12"/>
      <c r="D1146" s="12"/>
      <c r="E1146" s="12"/>
      <c r="F1146" s="7"/>
      <c r="G1146" s="7"/>
      <c r="H1146" s="8"/>
      <c r="I1146" s="9"/>
      <c r="J1146" s="7"/>
      <c r="K1146" s="7"/>
      <c r="L1146" s="7"/>
      <c r="M1146" s="7"/>
      <c r="N1146" s="7"/>
      <c r="O1146" s="7"/>
      <c r="P1146" s="7"/>
      <c r="Q1146" s="7"/>
      <c r="R1146" s="14">
        <v>550</v>
      </c>
      <c r="S1146" s="7"/>
      <c r="T1146" s="7"/>
      <c r="U1146" s="14">
        <v>550</v>
      </c>
      <c r="V1146" s="7"/>
      <c r="W1146" s="7"/>
      <c r="X1146" s="7"/>
      <c r="Y1146" s="7"/>
      <c r="Z1146" s="12"/>
      <c r="AA1146" s="14">
        <v>550</v>
      </c>
    </row>
    <row r="1147" spans="1:27" outlineLevel="6">
      <c r="A1147" s="3501" t="s">
        <v>770</v>
      </c>
      <c r="B1147" s="3501"/>
      <c r="C1147" s="12"/>
      <c r="D1147" s="14">
        <v>550</v>
      </c>
      <c r="E1147" s="7"/>
      <c r="F1147" s="7"/>
      <c r="G1147" s="7"/>
      <c r="H1147" s="8"/>
      <c r="I1147" s="9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12"/>
      <c r="AA1147" s="14">
        <v>550</v>
      </c>
    </row>
    <row r="1148" spans="1:27" outlineLevel="7">
      <c r="A1148" s="3500" t="s">
        <v>771</v>
      </c>
      <c r="B1148" s="3500"/>
      <c r="C1148" s="12"/>
      <c r="D1148" s="14">
        <v>550</v>
      </c>
      <c r="E1148" s="7"/>
      <c r="F1148" s="7"/>
      <c r="G1148" s="7"/>
      <c r="H1148" s="8"/>
      <c r="I1148" s="9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12"/>
      <c r="AA1148" s="14">
        <v>550</v>
      </c>
    </row>
    <row r="1149" spans="1:27" outlineLevel="7">
      <c r="A1149" s="3499" t="s">
        <v>1897</v>
      </c>
      <c r="B1149" s="3499"/>
      <c r="C1149" s="12"/>
      <c r="D1149" s="14">
        <v>550</v>
      </c>
      <c r="E1149" s="7"/>
      <c r="F1149" s="7"/>
      <c r="G1149" s="7"/>
      <c r="H1149" s="8"/>
      <c r="I1149" s="9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12"/>
      <c r="AA1149" s="14">
        <v>550</v>
      </c>
    </row>
    <row r="1150" spans="1:27" outlineLevel="6">
      <c r="A1150" s="3501" t="s">
        <v>59</v>
      </c>
      <c r="B1150" s="3501"/>
      <c r="C1150" s="7"/>
      <c r="D1150" s="7"/>
      <c r="E1150" s="13">
        <v>4496.8599999999997</v>
      </c>
      <c r="F1150" s="7"/>
      <c r="G1150" s="13">
        <v>4496.8599999999997</v>
      </c>
      <c r="H1150" s="3524">
        <v>4496.8599999999997</v>
      </c>
      <c r="I1150" s="3524"/>
      <c r="J1150" s="7"/>
      <c r="K1150" s="7"/>
      <c r="L1150" s="7"/>
      <c r="M1150" s="7"/>
      <c r="N1150" s="7"/>
      <c r="O1150" s="7"/>
      <c r="P1150" s="7"/>
      <c r="Q1150" s="7"/>
      <c r="R1150" s="13">
        <v>4496.8599999999997</v>
      </c>
      <c r="S1150" s="7"/>
      <c r="T1150" s="7"/>
      <c r="U1150" s="13">
        <v>4496.8599999999997</v>
      </c>
      <c r="V1150" s="7"/>
      <c r="W1150" s="7"/>
      <c r="X1150" s="7"/>
      <c r="Y1150" s="7"/>
      <c r="Z1150" s="7"/>
      <c r="AA1150" s="7"/>
    </row>
    <row r="1151" spans="1:27" outlineLevel="7">
      <c r="A1151" s="3500" t="s">
        <v>60</v>
      </c>
      <c r="B1151" s="3500"/>
      <c r="C1151" s="7"/>
      <c r="D1151" s="7"/>
      <c r="E1151" s="13">
        <v>4496.8599999999997</v>
      </c>
      <c r="F1151" s="7"/>
      <c r="G1151" s="13">
        <v>4496.8599999999997</v>
      </c>
      <c r="H1151" s="3524">
        <v>4496.8599999999997</v>
      </c>
      <c r="I1151" s="3524"/>
      <c r="J1151" s="7"/>
      <c r="K1151" s="7"/>
      <c r="L1151" s="7"/>
      <c r="M1151" s="7"/>
      <c r="N1151" s="7"/>
      <c r="O1151" s="7"/>
      <c r="P1151" s="7"/>
      <c r="Q1151" s="7"/>
      <c r="R1151" s="13">
        <v>4496.8599999999997</v>
      </c>
      <c r="S1151" s="7"/>
      <c r="T1151" s="7"/>
      <c r="U1151" s="13">
        <v>4496.8599999999997</v>
      </c>
      <c r="V1151" s="7"/>
      <c r="W1151" s="7"/>
      <c r="X1151" s="7"/>
      <c r="Y1151" s="7"/>
      <c r="Z1151" s="7"/>
      <c r="AA1151" s="7"/>
    </row>
    <row r="1152" spans="1:27" outlineLevel="7">
      <c r="A1152" s="3499" t="s">
        <v>1898</v>
      </c>
      <c r="B1152" s="3499"/>
      <c r="C1152" s="7"/>
      <c r="D1152" s="7"/>
      <c r="E1152" s="13">
        <v>4496.8599999999997</v>
      </c>
      <c r="F1152" s="7"/>
      <c r="G1152" s="13">
        <v>4496.8599999999997</v>
      </c>
      <c r="H1152" s="3524">
        <v>4496.8599999999997</v>
      </c>
      <c r="I1152" s="3524"/>
      <c r="J1152" s="7"/>
      <c r="K1152" s="7"/>
      <c r="L1152" s="7"/>
      <c r="M1152" s="7"/>
      <c r="N1152" s="7"/>
      <c r="O1152" s="7"/>
      <c r="P1152" s="7"/>
      <c r="Q1152" s="7"/>
      <c r="R1152" s="13">
        <v>4496.8599999999997</v>
      </c>
      <c r="S1152" s="7"/>
      <c r="T1152" s="7"/>
      <c r="U1152" s="13">
        <v>4496.8599999999997</v>
      </c>
      <c r="V1152" s="7"/>
      <c r="W1152" s="7"/>
      <c r="X1152" s="7"/>
      <c r="Y1152" s="7"/>
      <c r="Z1152" s="7"/>
      <c r="AA1152" s="7"/>
    </row>
    <row r="1153" spans="1:27" outlineLevel="6">
      <c r="A1153" s="3501" t="s">
        <v>61</v>
      </c>
      <c r="B1153" s="3501"/>
      <c r="C1153" s="7"/>
      <c r="D1153" s="7"/>
      <c r="E1153" s="14">
        <v>550</v>
      </c>
      <c r="F1153" s="7"/>
      <c r="G1153" s="14">
        <v>550</v>
      </c>
      <c r="H1153" s="3523">
        <v>550</v>
      </c>
      <c r="I1153" s="3523"/>
      <c r="J1153" s="7"/>
      <c r="K1153" s="7"/>
      <c r="L1153" s="7"/>
      <c r="M1153" s="7"/>
      <c r="N1153" s="7"/>
      <c r="O1153" s="7"/>
      <c r="P1153" s="7"/>
      <c r="Q1153" s="7"/>
      <c r="R1153" s="14">
        <v>550</v>
      </c>
      <c r="S1153" s="7"/>
      <c r="T1153" s="7"/>
      <c r="U1153" s="14">
        <v>550</v>
      </c>
      <c r="V1153" s="7"/>
      <c r="W1153" s="7"/>
      <c r="X1153" s="7"/>
      <c r="Y1153" s="7"/>
      <c r="Z1153" s="7"/>
      <c r="AA1153" s="7"/>
    </row>
    <row r="1154" spans="1:27" outlineLevel="7">
      <c r="A1154" s="3500" t="s">
        <v>62</v>
      </c>
      <c r="B1154" s="3500"/>
      <c r="C1154" s="7"/>
      <c r="D1154" s="7"/>
      <c r="E1154" s="14">
        <v>550</v>
      </c>
      <c r="F1154" s="7"/>
      <c r="G1154" s="14">
        <v>550</v>
      </c>
      <c r="H1154" s="3523">
        <v>550</v>
      </c>
      <c r="I1154" s="3523"/>
      <c r="J1154" s="7"/>
      <c r="K1154" s="7"/>
      <c r="L1154" s="7"/>
      <c r="M1154" s="7"/>
      <c r="N1154" s="7"/>
      <c r="O1154" s="7"/>
      <c r="P1154" s="7"/>
      <c r="Q1154" s="7"/>
      <c r="R1154" s="14">
        <v>550</v>
      </c>
      <c r="S1154" s="7"/>
      <c r="T1154" s="7"/>
      <c r="U1154" s="14">
        <v>550</v>
      </c>
      <c r="V1154" s="7"/>
      <c r="W1154" s="7"/>
      <c r="X1154" s="7"/>
      <c r="Y1154" s="7"/>
      <c r="Z1154" s="7"/>
      <c r="AA1154" s="7"/>
    </row>
    <row r="1155" spans="1:27" outlineLevel="7">
      <c r="A1155" s="3499" t="s">
        <v>1899</v>
      </c>
      <c r="B1155" s="3499"/>
      <c r="C1155" s="7"/>
      <c r="D1155" s="7"/>
      <c r="E1155" s="14">
        <v>550</v>
      </c>
      <c r="F1155" s="7"/>
      <c r="G1155" s="14">
        <v>550</v>
      </c>
      <c r="H1155" s="3523">
        <v>550</v>
      </c>
      <c r="I1155" s="3523"/>
      <c r="J1155" s="7"/>
      <c r="K1155" s="7"/>
      <c r="L1155" s="7"/>
      <c r="M1155" s="7"/>
      <c r="N1155" s="7"/>
      <c r="O1155" s="7"/>
      <c r="P1155" s="7"/>
      <c r="Q1155" s="7"/>
      <c r="R1155" s="14">
        <v>550</v>
      </c>
      <c r="S1155" s="7"/>
      <c r="T1155" s="7"/>
      <c r="U1155" s="14">
        <v>550</v>
      </c>
      <c r="V1155" s="7"/>
      <c r="W1155" s="7"/>
      <c r="X1155" s="7"/>
      <c r="Y1155" s="7"/>
      <c r="Z1155" s="7"/>
      <c r="AA1155" s="7"/>
    </row>
    <row r="1156" spans="1:27" outlineLevel="6">
      <c r="A1156" s="3501" t="s">
        <v>772</v>
      </c>
      <c r="B1156" s="3501"/>
      <c r="C1156" s="12"/>
      <c r="D1156" s="12"/>
      <c r="E1156" s="12"/>
      <c r="F1156" s="7"/>
      <c r="G1156" s="7"/>
      <c r="H1156" s="8"/>
      <c r="I1156" s="9"/>
      <c r="J1156" s="7"/>
      <c r="K1156" s="7"/>
      <c r="L1156" s="7"/>
      <c r="M1156" s="7"/>
      <c r="N1156" s="7"/>
      <c r="O1156" s="7"/>
      <c r="P1156" s="7"/>
      <c r="Q1156" s="7"/>
      <c r="R1156" s="14">
        <v>550</v>
      </c>
      <c r="S1156" s="7"/>
      <c r="T1156" s="7"/>
      <c r="U1156" s="14">
        <v>550</v>
      </c>
      <c r="V1156" s="7"/>
      <c r="W1156" s="7"/>
      <c r="X1156" s="7"/>
      <c r="Y1156" s="7"/>
      <c r="Z1156" s="12"/>
      <c r="AA1156" s="14">
        <v>550</v>
      </c>
    </row>
    <row r="1157" spans="1:27" outlineLevel="7">
      <c r="A1157" s="3500" t="s">
        <v>773</v>
      </c>
      <c r="B1157" s="3500"/>
      <c r="C1157" s="12"/>
      <c r="D1157" s="12"/>
      <c r="E1157" s="12"/>
      <c r="F1157" s="7"/>
      <c r="G1157" s="7"/>
      <c r="H1157" s="8"/>
      <c r="I1157" s="9"/>
      <c r="J1157" s="7"/>
      <c r="K1157" s="7"/>
      <c r="L1157" s="7"/>
      <c r="M1157" s="7"/>
      <c r="N1157" s="7"/>
      <c r="O1157" s="7"/>
      <c r="P1157" s="7"/>
      <c r="Q1157" s="7"/>
      <c r="R1157" s="14">
        <v>550</v>
      </c>
      <c r="S1157" s="7"/>
      <c r="T1157" s="7"/>
      <c r="U1157" s="14">
        <v>550</v>
      </c>
      <c r="V1157" s="7"/>
      <c r="W1157" s="7"/>
      <c r="X1157" s="7"/>
      <c r="Y1157" s="7"/>
      <c r="Z1157" s="12"/>
      <c r="AA1157" s="14">
        <v>550</v>
      </c>
    </row>
    <row r="1158" spans="1:27" outlineLevel="7">
      <c r="A1158" s="3499" t="s">
        <v>1900</v>
      </c>
      <c r="B1158" s="3499"/>
      <c r="C1158" s="12"/>
      <c r="D1158" s="12"/>
      <c r="E1158" s="12"/>
      <c r="F1158" s="7"/>
      <c r="G1158" s="7"/>
      <c r="H1158" s="8"/>
      <c r="I1158" s="9"/>
      <c r="J1158" s="7"/>
      <c r="K1158" s="7"/>
      <c r="L1158" s="7"/>
      <c r="M1158" s="7"/>
      <c r="N1158" s="7"/>
      <c r="O1158" s="7"/>
      <c r="P1158" s="7"/>
      <c r="Q1158" s="7"/>
      <c r="R1158" s="14">
        <v>550</v>
      </c>
      <c r="S1158" s="7"/>
      <c r="T1158" s="7"/>
      <c r="U1158" s="14">
        <v>550</v>
      </c>
      <c r="V1158" s="7"/>
      <c r="W1158" s="7"/>
      <c r="X1158" s="7"/>
      <c r="Y1158" s="7"/>
      <c r="Z1158" s="12"/>
      <c r="AA1158" s="14">
        <v>550</v>
      </c>
    </row>
    <row r="1159" spans="1:27" outlineLevel="5">
      <c r="A1159" s="3504" t="s">
        <v>63</v>
      </c>
      <c r="B1159" s="3504"/>
      <c r="C1159" s="53"/>
      <c r="D1159" s="49">
        <v>333698.53999999998</v>
      </c>
      <c r="E1159" s="49">
        <v>322983.74</v>
      </c>
      <c r="F1159" s="49">
        <v>74368.77</v>
      </c>
      <c r="G1159" s="49">
        <v>241021.61</v>
      </c>
      <c r="H1159" s="3522">
        <v>241021.61</v>
      </c>
      <c r="I1159" s="3522"/>
      <c r="J1159" s="48"/>
      <c r="K1159" s="49">
        <v>7590.22</v>
      </c>
      <c r="L1159" s="49">
        <v>7590.22</v>
      </c>
      <c r="M1159" s="48"/>
      <c r="N1159" s="48"/>
      <c r="O1159" s="48"/>
      <c r="P1159" s="52">
        <v>3.14</v>
      </c>
      <c r="Q1159" s="52">
        <v>3.14</v>
      </c>
      <c r="R1159" s="49">
        <v>459072.32</v>
      </c>
      <c r="S1159" s="48"/>
      <c r="T1159" s="48"/>
      <c r="U1159" s="49">
        <v>459072.32</v>
      </c>
      <c r="V1159" s="48"/>
      <c r="W1159" s="48"/>
      <c r="X1159" s="48"/>
      <c r="Y1159" s="48"/>
      <c r="Z1159" s="53"/>
      <c r="AA1159" s="49">
        <v>469787.12</v>
      </c>
    </row>
    <row r="1160" spans="1:27" outlineLevel="6">
      <c r="A1160" s="3501" t="s">
        <v>66</v>
      </c>
      <c r="B1160" s="3501"/>
      <c r="C1160" s="12"/>
      <c r="D1160" s="12"/>
      <c r="E1160" s="14">
        <v>550</v>
      </c>
      <c r="F1160" s="7"/>
      <c r="G1160" s="14">
        <v>550</v>
      </c>
      <c r="H1160" s="3523">
        <v>550</v>
      </c>
      <c r="I1160" s="3523"/>
      <c r="J1160" s="7"/>
      <c r="K1160" s="7"/>
      <c r="L1160" s="7"/>
      <c r="M1160" s="7"/>
      <c r="N1160" s="7"/>
      <c r="O1160" s="7"/>
      <c r="P1160" s="7"/>
      <c r="Q1160" s="7"/>
      <c r="R1160" s="13">
        <v>1100</v>
      </c>
      <c r="S1160" s="7"/>
      <c r="T1160" s="7"/>
      <c r="U1160" s="13">
        <v>1100</v>
      </c>
      <c r="V1160" s="7"/>
      <c r="W1160" s="7"/>
      <c r="X1160" s="7"/>
      <c r="Y1160" s="7"/>
      <c r="Z1160" s="12"/>
      <c r="AA1160" s="14">
        <v>550</v>
      </c>
    </row>
    <row r="1161" spans="1:27" outlineLevel="7">
      <c r="A1161" s="3500" t="s">
        <v>67</v>
      </c>
      <c r="B1161" s="3500"/>
      <c r="C1161" s="12"/>
      <c r="D1161" s="12"/>
      <c r="E1161" s="14">
        <v>550</v>
      </c>
      <c r="F1161" s="7"/>
      <c r="G1161" s="14">
        <v>550</v>
      </c>
      <c r="H1161" s="3523">
        <v>550</v>
      </c>
      <c r="I1161" s="3523"/>
      <c r="J1161" s="7"/>
      <c r="K1161" s="7"/>
      <c r="L1161" s="7"/>
      <c r="M1161" s="7"/>
      <c r="N1161" s="7"/>
      <c r="O1161" s="7"/>
      <c r="P1161" s="7"/>
      <c r="Q1161" s="7"/>
      <c r="R1161" s="13">
        <v>1100</v>
      </c>
      <c r="S1161" s="7"/>
      <c r="T1161" s="7"/>
      <c r="U1161" s="13">
        <v>1100</v>
      </c>
      <c r="V1161" s="7"/>
      <c r="W1161" s="7"/>
      <c r="X1161" s="7"/>
      <c r="Y1161" s="7"/>
      <c r="Z1161" s="12"/>
      <c r="AA1161" s="14">
        <v>550</v>
      </c>
    </row>
    <row r="1162" spans="1:27" outlineLevel="7">
      <c r="A1162" s="3499" t="s">
        <v>1901</v>
      </c>
      <c r="B1162" s="3499"/>
      <c r="C1162" s="7"/>
      <c r="D1162" s="7"/>
      <c r="E1162" s="14">
        <v>550</v>
      </c>
      <c r="F1162" s="7"/>
      <c r="G1162" s="14">
        <v>550</v>
      </c>
      <c r="H1162" s="3523">
        <v>550</v>
      </c>
      <c r="I1162" s="3523"/>
      <c r="J1162" s="7"/>
      <c r="K1162" s="7"/>
      <c r="L1162" s="7"/>
      <c r="M1162" s="7"/>
      <c r="N1162" s="7"/>
      <c r="O1162" s="7"/>
      <c r="P1162" s="7"/>
      <c r="Q1162" s="7"/>
      <c r="R1162" s="14">
        <v>550</v>
      </c>
      <c r="S1162" s="7"/>
      <c r="T1162" s="7"/>
      <c r="U1162" s="14">
        <v>550</v>
      </c>
      <c r="V1162" s="7"/>
      <c r="W1162" s="7"/>
      <c r="X1162" s="7"/>
      <c r="Y1162" s="7"/>
      <c r="Z1162" s="7"/>
      <c r="AA1162" s="7"/>
    </row>
    <row r="1163" spans="1:27" outlineLevel="7">
      <c r="A1163" s="3499" t="s">
        <v>1902</v>
      </c>
      <c r="B1163" s="3499"/>
      <c r="C1163" s="12"/>
      <c r="D1163" s="12"/>
      <c r="E1163" s="12"/>
      <c r="F1163" s="7"/>
      <c r="G1163" s="7"/>
      <c r="H1163" s="8"/>
      <c r="I1163" s="9"/>
      <c r="J1163" s="7"/>
      <c r="K1163" s="7"/>
      <c r="L1163" s="7"/>
      <c r="M1163" s="7"/>
      <c r="N1163" s="7"/>
      <c r="O1163" s="7"/>
      <c r="P1163" s="7"/>
      <c r="Q1163" s="7"/>
      <c r="R1163" s="14">
        <v>550</v>
      </c>
      <c r="S1163" s="7"/>
      <c r="T1163" s="7"/>
      <c r="U1163" s="14">
        <v>550</v>
      </c>
      <c r="V1163" s="7"/>
      <c r="W1163" s="7"/>
      <c r="X1163" s="7"/>
      <c r="Y1163" s="7"/>
      <c r="Z1163" s="12"/>
      <c r="AA1163" s="14">
        <v>550</v>
      </c>
    </row>
    <row r="1164" spans="1:27" outlineLevel="6">
      <c r="A1164" s="3501" t="s">
        <v>774</v>
      </c>
      <c r="B1164" s="3501"/>
      <c r="C1164" s="12"/>
      <c r="D1164" s="12"/>
      <c r="E1164" s="12"/>
      <c r="F1164" s="7"/>
      <c r="G1164" s="7"/>
      <c r="H1164" s="8"/>
      <c r="I1164" s="9"/>
      <c r="J1164" s="7"/>
      <c r="K1164" s="7"/>
      <c r="L1164" s="7"/>
      <c r="M1164" s="7"/>
      <c r="N1164" s="7"/>
      <c r="O1164" s="7"/>
      <c r="P1164" s="7"/>
      <c r="Q1164" s="7"/>
      <c r="R1164" s="14">
        <v>550</v>
      </c>
      <c r="S1164" s="7"/>
      <c r="T1164" s="7"/>
      <c r="U1164" s="14">
        <v>550</v>
      </c>
      <c r="V1164" s="7"/>
      <c r="W1164" s="7"/>
      <c r="X1164" s="7"/>
      <c r="Y1164" s="7"/>
      <c r="Z1164" s="12"/>
      <c r="AA1164" s="14">
        <v>550</v>
      </c>
    </row>
    <row r="1165" spans="1:27" outlineLevel="7">
      <c r="A1165" s="3500" t="s">
        <v>775</v>
      </c>
      <c r="B1165" s="3500"/>
      <c r="C1165" s="12"/>
      <c r="D1165" s="12"/>
      <c r="E1165" s="12"/>
      <c r="F1165" s="7"/>
      <c r="G1165" s="7"/>
      <c r="H1165" s="8"/>
      <c r="I1165" s="9"/>
      <c r="J1165" s="7"/>
      <c r="K1165" s="7"/>
      <c r="L1165" s="7"/>
      <c r="M1165" s="7"/>
      <c r="N1165" s="7"/>
      <c r="O1165" s="7"/>
      <c r="P1165" s="7"/>
      <c r="Q1165" s="7"/>
      <c r="R1165" s="14">
        <v>550</v>
      </c>
      <c r="S1165" s="7"/>
      <c r="T1165" s="7"/>
      <c r="U1165" s="14">
        <v>550</v>
      </c>
      <c r="V1165" s="7"/>
      <c r="W1165" s="7"/>
      <c r="X1165" s="7"/>
      <c r="Y1165" s="7"/>
      <c r="Z1165" s="12"/>
      <c r="AA1165" s="14">
        <v>550</v>
      </c>
    </row>
    <row r="1166" spans="1:27" outlineLevel="7">
      <c r="A1166" s="3499" t="s">
        <v>1903</v>
      </c>
      <c r="B1166" s="3499"/>
      <c r="C1166" s="12"/>
      <c r="D1166" s="12"/>
      <c r="E1166" s="12"/>
      <c r="F1166" s="7"/>
      <c r="G1166" s="7"/>
      <c r="H1166" s="8"/>
      <c r="I1166" s="9"/>
      <c r="J1166" s="7"/>
      <c r="K1166" s="7"/>
      <c r="L1166" s="7"/>
      <c r="M1166" s="7"/>
      <c r="N1166" s="7"/>
      <c r="O1166" s="7"/>
      <c r="P1166" s="7"/>
      <c r="Q1166" s="7"/>
      <c r="R1166" s="14">
        <v>550</v>
      </c>
      <c r="S1166" s="7"/>
      <c r="T1166" s="7"/>
      <c r="U1166" s="14">
        <v>550</v>
      </c>
      <c r="V1166" s="7"/>
      <c r="W1166" s="7"/>
      <c r="X1166" s="7"/>
      <c r="Y1166" s="7"/>
      <c r="Z1166" s="12"/>
      <c r="AA1166" s="14">
        <v>550</v>
      </c>
    </row>
    <row r="1167" spans="1:27" outlineLevel="6">
      <c r="A1167" s="3501" t="s">
        <v>69</v>
      </c>
      <c r="B1167" s="3501"/>
      <c r="C1167" s="12"/>
      <c r="D1167" s="14">
        <v>550</v>
      </c>
      <c r="E1167" s="14">
        <v>550</v>
      </c>
      <c r="F1167" s="7"/>
      <c r="G1167" s="14">
        <v>550</v>
      </c>
      <c r="H1167" s="3523">
        <v>550</v>
      </c>
      <c r="I1167" s="3523"/>
      <c r="J1167" s="7"/>
      <c r="K1167" s="7"/>
      <c r="L1167" s="7"/>
      <c r="M1167" s="7"/>
      <c r="N1167" s="7"/>
      <c r="O1167" s="7"/>
      <c r="P1167" s="7"/>
      <c r="Q1167" s="7"/>
      <c r="R1167" s="12"/>
      <c r="S1167" s="7"/>
      <c r="T1167" s="7"/>
      <c r="U1167" s="7"/>
      <c r="V1167" s="7"/>
      <c r="W1167" s="7"/>
      <c r="X1167" s="7"/>
      <c r="Y1167" s="7"/>
      <c r="Z1167" s="12"/>
      <c r="AA1167" s="12"/>
    </row>
    <row r="1168" spans="1:27" outlineLevel="7">
      <c r="A1168" s="3500" t="s">
        <v>70</v>
      </c>
      <c r="B1168" s="3500"/>
      <c r="C1168" s="12"/>
      <c r="D1168" s="14">
        <v>550</v>
      </c>
      <c r="E1168" s="14">
        <v>550</v>
      </c>
      <c r="F1168" s="7"/>
      <c r="G1168" s="14">
        <v>550</v>
      </c>
      <c r="H1168" s="3523">
        <v>550</v>
      </c>
      <c r="I1168" s="3523"/>
      <c r="J1168" s="7"/>
      <c r="K1168" s="7"/>
      <c r="L1168" s="7"/>
      <c r="M1168" s="7"/>
      <c r="N1168" s="7"/>
      <c r="O1168" s="7"/>
      <c r="P1168" s="7"/>
      <c r="Q1168" s="7"/>
      <c r="R1168" s="12"/>
      <c r="S1168" s="7"/>
      <c r="T1168" s="7"/>
      <c r="U1168" s="7"/>
      <c r="V1168" s="7"/>
      <c r="W1168" s="7"/>
      <c r="X1168" s="7"/>
      <c r="Y1168" s="7"/>
      <c r="Z1168" s="12"/>
      <c r="AA1168" s="12"/>
    </row>
    <row r="1169" spans="1:27" outlineLevel="7">
      <c r="A1169" s="3499" t="s">
        <v>1904</v>
      </c>
      <c r="B1169" s="3499"/>
      <c r="C1169" s="12"/>
      <c r="D1169" s="14">
        <v>550</v>
      </c>
      <c r="E1169" s="14">
        <v>550</v>
      </c>
      <c r="F1169" s="7"/>
      <c r="G1169" s="14">
        <v>550</v>
      </c>
      <c r="H1169" s="3523">
        <v>550</v>
      </c>
      <c r="I1169" s="3523"/>
      <c r="J1169" s="7"/>
      <c r="K1169" s="7"/>
      <c r="L1169" s="7"/>
      <c r="M1169" s="7"/>
      <c r="N1169" s="7"/>
      <c r="O1169" s="7"/>
      <c r="P1169" s="7"/>
      <c r="Q1169" s="7"/>
      <c r="R1169" s="12"/>
      <c r="S1169" s="7"/>
      <c r="T1169" s="7"/>
      <c r="U1169" s="7"/>
      <c r="V1169" s="7"/>
      <c r="W1169" s="7"/>
      <c r="X1169" s="7"/>
      <c r="Y1169" s="7"/>
      <c r="Z1169" s="12"/>
      <c r="AA1169" s="12"/>
    </row>
    <row r="1170" spans="1:27" outlineLevel="6">
      <c r="A1170" s="3501" t="s">
        <v>776</v>
      </c>
      <c r="B1170" s="3501"/>
      <c r="C1170" s="12"/>
      <c r="D1170" s="13">
        <v>2268.3200000000002</v>
      </c>
      <c r="E1170" s="7"/>
      <c r="F1170" s="7"/>
      <c r="G1170" s="7"/>
      <c r="H1170" s="8"/>
      <c r="I1170" s="9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12"/>
      <c r="AA1170" s="13">
        <v>2268.3200000000002</v>
      </c>
    </row>
    <row r="1171" spans="1:27" outlineLevel="7">
      <c r="A1171" s="3500" t="s">
        <v>777</v>
      </c>
      <c r="B1171" s="3500"/>
      <c r="C1171" s="12"/>
      <c r="D1171" s="14">
        <v>550</v>
      </c>
      <c r="E1171" s="7"/>
      <c r="F1171" s="7"/>
      <c r="G1171" s="7"/>
      <c r="H1171" s="8"/>
      <c r="I1171" s="9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12"/>
      <c r="AA1171" s="14">
        <v>550</v>
      </c>
    </row>
    <row r="1172" spans="1:27" outlineLevel="7">
      <c r="A1172" s="3499" t="s">
        <v>1905</v>
      </c>
      <c r="B1172" s="3499"/>
      <c r="C1172" s="12"/>
      <c r="D1172" s="14">
        <v>550</v>
      </c>
      <c r="E1172" s="7"/>
      <c r="F1172" s="7"/>
      <c r="G1172" s="7"/>
      <c r="H1172" s="8"/>
      <c r="I1172" s="9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12"/>
      <c r="AA1172" s="14">
        <v>550</v>
      </c>
    </row>
    <row r="1173" spans="1:27" outlineLevel="7">
      <c r="A1173" s="3500" t="s">
        <v>778</v>
      </c>
      <c r="B1173" s="3500"/>
      <c r="C1173" s="12"/>
      <c r="D1173" s="13">
        <v>1718.32</v>
      </c>
      <c r="E1173" s="7"/>
      <c r="F1173" s="7"/>
      <c r="G1173" s="7"/>
      <c r="H1173" s="8"/>
      <c r="I1173" s="9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12"/>
      <c r="AA1173" s="13">
        <v>1718.32</v>
      </c>
    </row>
    <row r="1174" spans="1:27" outlineLevel="7">
      <c r="A1174" s="3499" t="s">
        <v>1906</v>
      </c>
      <c r="B1174" s="3499"/>
      <c r="C1174" s="12"/>
      <c r="D1174" s="13">
        <v>1718.32</v>
      </c>
      <c r="E1174" s="7"/>
      <c r="F1174" s="7"/>
      <c r="G1174" s="7"/>
      <c r="H1174" s="8"/>
      <c r="I1174" s="9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12"/>
      <c r="AA1174" s="13">
        <v>1718.32</v>
      </c>
    </row>
    <row r="1175" spans="1:27" outlineLevel="6">
      <c r="A1175" s="3501" t="s">
        <v>71</v>
      </c>
      <c r="B1175" s="3501"/>
      <c r="C1175" s="7"/>
      <c r="D1175" s="7"/>
      <c r="E1175" s="14">
        <v>550</v>
      </c>
      <c r="F1175" s="7"/>
      <c r="G1175" s="14">
        <v>550</v>
      </c>
      <c r="H1175" s="3523">
        <v>550</v>
      </c>
      <c r="I1175" s="3523"/>
      <c r="J1175" s="7"/>
      <c r="K1175" s="7"/>
      <c r="L1175" s="7"/>
      <c r="M1175" s="7"/>
      <c r="N1175" s="7"/>
      <c r="O1175" s="7"/>
      <c r="P1175" s="7"/>
      <c r="Q1175" s="7"/>
      <c r="R1175" s="14">
        <v>550</v>
      </c>
      <c r="S1175" s="7"/>
      <c r="T1175" s="7"/>
      <c r="U1175" s="14">
        <v>550</v>
      </c>
      <c r="V1175" s="7"/>
      <c r="W1175" s="7"/>
      <c r="X1175" s="7"/>
      <c r="Y1175" s="7"/>
      <c r="Z1175" s="7"/>
      <c r="AA1175" s="7"/>
    </row>
    <row r="1176" spans="1:27" outlineLevel="7">
      <c r="A1176" s="3500" t="s">
        <v>72</v>
      </c>
      <c r="B1176" s="3500"/>
      <c r="C1176" s="7"/>
      <c r="D1176" s="7"/>
      <c r="E1176" s="14">
        <v>550</v>
      </c>
      <c r="F1176" s="7"/>
      <c r="G1176" s="14">
        <v>550</v>
      </c>
      <c r="H1176" s="3523">
        <v>550</v>
      </c>
      <c r="I1176" s="3523"/>
      <c r="J1176" s="7"/>
      <c r="K1176" s="7"/>
      <c r="L1176" s="7"/>
      <c r="M1176" s="7"/>
      <c r="N1176" s="7"/>
      <c r="O1176" s="7"/>
      <c r="P1176" s="7"/>
      <c r="Q1176" s="7"/>
      <c r="R1176" s="14">
        <v>550</v>
      </c>
      <c r="S1176" s="7"/>
      <c r="T1176" s="7"/>
      <c r="U1176" s="14">
        <v>550</v>
      </c>
      <c r="V1176" s="7"/>
      <c r="W1176" s="7"/>
      <c r="X1176" s="7"/>
      <c r="Y1176" s="7"/>
      <c r="Z1176" s="7"/>
      <c r="AA1176" s="7"/>
    </row>
    <row r="1177" spans="1:27" outlineLevel="7">
      <c r="A1177" s="3499" t="s">
        <v>1907</v>
      </c>
      <c r="B1177" s="3499"/>
      <c r="C1177" s="7"/>
      <c r="D1177" s="7"/>
      <c r="E1177" s="14">
        <v>550</v>
      </c>
      <c r="F1177" s="7"/>
      <c r="G1177" s="14">
        <v>550</v>
      </c>
      <c r="H1177" s="3523">
        <v>550</v>
      </c>
      <c r="I1177" s="3523"/>
      <c r="J1177" s="7"/>
      <c r="K1177" s="7"/>
      <c r="L1177" s="7"/>
      <c r="M1177" s="7"/>
      <c r="N1177" s="7"/>
      <c r="O1177" s="7"/>
      <c r="P1177" s="7"/>
      <c r="Q1177" s="7"/>
      <c r="R1177" s="14">
        <v>550</v>
      </c>
      <c r="S1177" s="7"/>
      <c r="T1177" s="7"/>
      <c r="U1177" s="14">
        <v>550</v>
      </c>
      <c r="V1177" s="7"/>
      <c r="W1177" s="7"/>
      <c r="X1177" s="7"/>
      <c r="Y1177" s="7"/>
      <c r="Z1177" s="7"/>
      <c r="AA1177" s="7"/>
    </row>
    <row r="1178" spans="1:27" outlineLevel="6">
      <c r="A1178" s="3501" t="s">
        <v>779</v>
      </c>
      <c r="B1178" s="3501"/>
      <c r="C1178" s="12"/>
      <c r="D1178" s="12"/>
      <c r="E1178" s="12"/>
      <c r="F1178" s="7"/>
      <c r="G1178" s="7"/>
      <c r="H1178" s="8"/>
      <c r="I1178" s="9"/>
      <c r="J1178" s="7"/>
      <c r="K1178" s="7"/>
      <c r="L1178" s="7"/>
      <c r="M1178" s="7"/>
      <c r="N1178" s="7"/>
      <c r="O1178" s="7"/>
      <c r="P1178" s="7"/>
      <c r="Q1178" s="7"/>
      <c r="R1178" s="14">
        <v>550</v>
      </c>
      <c r="S1178" s="7"/>
      <c r="T1178" s="7"/>
      <c r="U1178" s="14">
        <v>550</v>
      </c>
      <c r="V1178" s="7"/>
      <c r="W1178" s="7"/>
      <c r="X1178" s="7"/>
      <c r="Y1178" s="7"/>
      <c r="Z1178" s="12"/>
      <c r="AA1178" s="14">
        <v>550</v>
      </c>
    </row>
    <row r="1179" spans="1:27" outlineLevel="7">
      <c r="A1179" s="3500" t="s">
        <v>780</v>
      </c>
      <c r="B1179" s="3500"/>
      <c r="C1179" s="12"/>
      <c r="D1179" s="12"/>
      <c r="E1179" s="12"/>
      <c r="F1179" s="7"/>
      <c r="G1179" s="7"/>
      <c r="H1179" s="8"/>
      <c r="I1179" s="9"/>
      <c r="J1179" s="7"/>
      <c r="K1179" s="7"/>
      <c r="L1179" s="7"/>
      <c r="M1179" s="7"/>
      <c r="N1179" s="7"/>
      <c r="O1179" s="7"/>
      <c r="P1179" s="7"/>
      <c r="Q1179" s="7"/>
      <c r="R1179" s="14">
        <v>550</v>
      </c>
      <c r="S1179" s="7"/>
      <c r="T1179" s="7"/>
      <c r="U1179" s="14">
        <v>550</v>
      </c>
      <c r="V1179" s="7"/>
      <c r="W1179" s="7"/>
      <c r="X1179" s="7"/>
      <c r="Y1179" s="7"/>
      <c r="Z1179" s="12"/>
      <c r="AA1179" s="14">
        <v>550</v>
      </c>
    </row>
    <row r="1180" spans="1:27" outlineLevel="7">
      <c r="A1180" s="3499" t="s">
        <v>1908</v>
      </c>
      <c r="B1180" s="3499"/>
      <c r="C1180" s="12"/>
      <c r="D1180" s="12"/>
      <c r="E1180" s="12"/>
      <c r="F1180" s="7"/>
      <c r="G1180" s="7"/>
      <c r="H1180" s="8"/>
      <c r="I1180" s="9"/>
      <c r="J1180" s="7"/>
      <c r="K1180" s="7"/>
      <c r="L1180" s="7"/>
      <c r="M1180" s="7"/>
      <c r="N1180" s="7"/>
      <c r="O1180" s="7"/>
      <c r="P1180" s="7"/>
      <c r="Q1180" s="7"/>
      <c r="R1180" s="14">
        <v>550</v>
      </c>
      <c r="S1180" s="7"/>
      <c r="T1180" s="7"/>
      <c r="U1180" s="14">
        <v>550</v>
      </c>
      <c r="V1180" s="7"/>
      <c r="W1180" s="7"/>
      <c r="X1180" s="7"/>
      <c r="Y1180" s="7"/>
      <c r="Z1180" s="12"/>
      <c r="AA1180" s="14">
        <v>550</v>
      </c>
    </row>
    <row r="1181" spans="1:27" outlineLevel="6">
      <c r="A1181" s="3501" t="s">
        <v>781</v>
      </c>
      <c r="B1181" s="3501"/>
      <c r="C1181" s="12"/>
      <c r="D1181" s="12"/>
      <c r="E1181" s="12"/>
      <c r="F1181" s="7"/>
      <c r="G1181" s="7"/>
      <c r="H1181" s="8"/>
      <c r="I1181" s="9"/>
      <c r="J1181" s="7"/>
      <c r="K1181" s="7"/>
      <c r="L1181" s="7"/>
      <c r="M1181" s="7"/>
      <c r="N1181" s="7"/>
      <c r="O1181" s="7"/>
      <c r="P1181" s="7"/>
      <c r="Q1181" s="7"/>
      <c r="R1181" s="14">
        <v>550</v>
      </c>
      <c r="S1181" s="7"/>
      <c r="T1181" s="7"/>
      <c r="U1181" s="14">
        <v>550</v>
      </c>
      <c r="V1181" s="7"/>
      <c r="W1181" s="7"/>
      <c r="X1181" s="7"/>
      <c r="Y1181" s="7"/>
      <c r="Z1181" s="12"/>
      <c r="AA1181" s="14">
        <v>550</v>
      </c>
    </row>
    <row r="1182" spans="1:27" outlineLevel="7">
      <c r="A1182" s="3500" t="s">
        <v>782</v>
      </c>
      <c r="B1182" s="3500"/>
      <c r="C1182" s="12"/>
      <c r="D1182" s="12"/>
      <c r="E1182" s="12"/>
      <c r="F1182" s="7"/>
      <c r="G1182" s="7"/>
      <c r="H1182" s="8"/>
      <c r="I1182" s="9"/>
      <c r="J1182" s="7"/>
      <c r="K1182" s="7"/>
      <c r="L1182" s="7"/>
      <c r="M1182" s="7"/>
      <c r="N1182" s="7"/>
      <c r="O1182" s="7"/>
      <c r="P1182" s="7"/>
      <c r="Q1182" s="7"/>
      <c r="R1182" s="14">
        <v>550</v>
      </c>
      <c r="S1182" s="7"/>
      <c r="T1182" s="7"/>
      <c r="U1182" s="14">
        <v>550</v>
      </c>
      <c r="V1182" s="7"/>
      <c r="W1182" s="7"/>
      <c r="X1182" s="7"/>
      <c r="Y1182" s="7"/>
      <c r="Z1182" s="12"/>
      <c r="AA1182" s="14">
        <v>550</v>
      </c>
    </row>
    <row r="1183" spans="1:27" outlineLevel="7">
      <c r="A1183" s="3499" t="s">
        <v>1909</v>
      </c>
      <c r="B1183" s="3499"/>
      <c r="C1183" s="12"/>
      <c r="D1183" s="12"/>
      <c r="E1183" s="12"/>
      <c r="F1183" s="7"/>
      <c r="G1183" s="7"/>
      <c r="H1183" s="8"/>
      <c r="I1183" s="9"/>
      <c r="J1183" s="7"/>
      <c r="K1183" s="7"/>
      <c r="L1183" s="7"/>
      <c r="M1183" s="7"/>
      <c r="N1183" s="7"/>
      <c r="O1183" s="7"/>
      <c r="P1183" s="7"/>
      <c r="Q1183" s="7"/>
      <c r="R1183" s="14">
        <v>550</v>
      </c>
      <c r="S1183" s="7"/>
      <c r="T1183" s="7"/>
      <c r="U1183" s="14">
        <v>550</v>
      </c>
      <c r="V1183" s="7"/>
      <c r="W1183" s="7"/>
      <c r="X1183" s="7"/>
      <c r="Y1183" s="7"/>
      <c r="Z1183" s="12"/>
      <c r="AA1183" s="14">
        <v>550</v>
      </c>
    </row>
    <row r="1184" spans="1:27" outlineLevel="6">
      <c r="A1184" s="3501" t="s">
        <v>73</v>
      </c>
      <c r="B1184" s="3501"/>
      <c r="C1184" s="7"/>
      <c r="D1184" s="7"/>
      <c r="E1184" s="14">
        <v>550</v>
      </c>
      <c r="F1184" s="7"/>
      <c r="G1184" s="14">
        <v>550</v>
      </c>
      <c r="H1184" s="3523">
        <v>550</v>
      </c>
      <c r="I1184" s="3523"/>
      <c r="J1184" s="7"/>
      <c r="K1184" s="7"/>
      <c r="L1184" s="7"/>
      <c r="M1184" s="7"/>
      <c r="N1184" s="7"/>
      <c r="O1184" s="7"/>
      <c r="P1184" s="7"/>
      <c r="Q1184" s="7"/>
      <c r="R1184" s="14">
        <v>550</v>
      </c>
      <c r="S1184" s="7"/>
      <c r="T1184" s="7"/>
      <c r="U1184" s="14">
        <v>550</v>
      </c>
      <c r="V1184" s="7"/>
      <c r="W1184" s="7"/>
      <c r="X1184" s="7"/>
      <c r="Y1184" s="7"/>
      <c r="Z1184" s="7"/>
      <c r="AA1184" s="7"/>
    </row>
    <row r="1185" spans="1:27" outlineLevel="7">
      <c r="A1185" s="3500" t="s">
        <v>74</v>
      </c>
      <c r="B1185" s="3500"/>
      <c r="C1185" s="7"/>
      <c r="D1185" s="7"/>
      <c r="E1185" s="14">
        <v>550</v>
      </c>
      <c r="F1185" s="7"/>
      <c r="G1185" s="14">
        <v>550</v>
      </c>
      <c r="H1185" s="3523">
        <v>550</v>
      </c>
      <c r="I1185" s="3523"/>
      <c r="J1185" s="7"/>
      <c r="K1185" s="7"/>
      <c r="L1185" s="7"/>
      <c r="M1185" s="7"/>
      <c r="N1185" s="7"/>
      <c r="O1185" s="7"/>
      <c r="P1185" s="7"/>
      <c r="Q1185" s="7"/>
      <c r="R1185" s="14">
        <v>550</v>
      </c>
      <c r="S1185" s="7"/>
      <c r="T1185" s="7"/>
      <c r="U1185" s="14">
        <v>550</v>
      </c>
      <c r="V1185" s="7"/>
      <c r="W1185" s="7"/>
      <c r="X1185" s="7"/>
      <c r="Y1185" s="7"/>
      <c r="Z1185" s="7"/>
      <c r="AA1185" s="7"/>
    </row>
    <row r="1186" spans="1:27" outlineLevel="7">
      <c r="A1186" s="3499" t="s">
        <v>1910</v>
      </c>
      <c r="B1186" s="3499"/>
      <c r="C1186" s="7"/>
      <c r="D1186" s="7"/>
      <c r="E1186" s="14">
        <v>550</v>
      </c>
      <c r="F1186" s="7"/>
      <c r="G1186" s="14">
        <v>550</v>
      </c>
      <c r="H1186" s="3523">
        <v>550</v>
      </c>
      <c r="I1186" s="3523"/>
      <c r="J1186" s="7"/>
      <c r="K1186" s="7"/>
      <c r="L1186" s="7"/>
      <c r="M1186" s="7"/>
      <c r="N1186" s="7"/>
      <c r="O1186" s="7"/>
      <c r="P1186" s="7"/>
      <c r="Q1186" s="7"/>
      <c r="R1186" s="14">
        <v>550</v>
      </c>
      <c r="S1186" s="7"/>
      <c r="T1186" s="7"/>
      <c r="U1186" s="14">
        <v>550</v>
      </c>
      <c r="V1186" s="7"/>
      <c r="W1186" s="7"/>
      <c r="X1186" s="7"/>
      <c r="Y1186" s="7"/>
      <c r="Z1186" s="7"/>
      <c r="AA1186" s="7"/>
    </row>
    <row r="1187" spans="1:27" outlineLevel="6">
      <c r="A1187" s="3501" t="s">
        <v>75</v>
      </c>
      <c r="B1187" s="3501"/>
      <c r="C1187" s="7"/>
      <c r="D1187" s="7"/>
      <c r="E1187" s="14">
        <v>550</v>
      </c>
      <c r="F1187" s="7"/>
      <c r="G1187" s="14">
        <v>550</v>
      </c>
      <c r="H1187" s="3523">
        <v>550</v>
      </c>
      <c r="I1187" s="3523"/>
      <c r="J1187" s="7"/>
      <c r="K1187" s="7"/>
      <c r="L1187" s="7"/>
      <c r="M1187" s="7"/>
      <c r="N1187" s="7"/>
      <c r="O1187" s="7"/>
      <c r="P1187" s="7"/>
      <c r="Q1187" s="7"/>
      <c r="R1187" s="14">
        <v>550</v>
      </c>
      <c r="S1187" s="7"/>
      <c r="T1187" s="7"/>
      <c r="U1187" s="14">
        <v>550</v>
      </c>
      <c r="V1187" s="7"/>
      <c r="W1187" s="7"/>
      <c r="X1187" s="7"/>
      <c r="Y1187" s="7"/>
      <c r="Z1187" s="7"/>
      <c r="AA1187" s="7"/>
    </row>
    <row r="1188" spans="1:27" outlineLevel="7">
      <c r="A1188" s="3500" t="s">
        <v>76</v>
      </c>
      <c r="B1188" s="3500"/>
      <c r="C1188" s="7"/>
      <c r="D1188" s="7"/>
      <c r="E1188" s="14">
        <v>550</v>
      </c>
      <c r="F1188" s="7"/>
      <c r="G1188" s="14">
        <v>550</v>
      </c>
      <c r="H1188" s="3523">
        <v>550</v>
      </c>
      <c r="I1188" s="3523"/>
      <c r="J1188" s="7"/>
      <c r="K1188" s="7"/>
      <c r="L1188" s="7"/>
      <c r="M1188" s="7"/>
      <c r="N1188" s="7"/>
      <c r="O1188" s="7"/>
      <c r="P1188" s="7"/>
      <c r="Q1188" s="7"/>
      <c r="R1188" s="14">
        <v>550</v>
      </c>
      <c r="S1188" s="7"/>
      <c r="T1188" s="7"/>
      <c r="U1188" s="14">
        <v>550</v>
      </c>
      <c r="V1188" s="7"/>
      <c r="W1188" s="7"/>
      <c r="X1188" s="7"/>
      <c r="Y1188" s="7"/>
      <c r="Z1188" s="7"/>
      <c r="AA1188" s="7"/>
    </row>
    <row r="1189" spans="1:27" outlineLevel="7">
      <c r="A1189" s="3499" t="s">
        <v>1911</v>
      </c>
      <c r="B1189" s="3499"/>
      <c r="C1189" s="7"/>
      <c r="D1189" s="7"/>
      <c r="E1189" s="14">
        <v>550</v>
      </c>
      <c r="F1189" s="7"/>
      <c r="G1189" s="14">
        <v>550</v>
      </c>
      <c r="H1189" s="3523">
        <v>550</v>
      </c>
      <c r="I1189" s="3523"/>
      <c r="J1189" s="7"/>
      <c r="K1189" s="7"/>
      <c r="L1189" s="7"/>
      <c r="M1189" s="7"/>
      <c r="N1189" s="7"/>
      <c r="O1189" s="7"/>
      <c r="P1189" s="7"/>
      <c r="Q1189" s="7"/>
      <c r="R1189" s="14">
        <v>550</v>
      </c>
      <c r="S1189" s="7"/>
      <c r="T1189" s="7"/>
      <c r="U1189" s="14">
        <v>550</v>
      </c>
      <c r="V1189" s="7"/>
      <c r="W1189" s="7"/>
      <c r="X1189" s="7"/>
      <c r="Y1189" s="7"/>
      <c r="Z1189" s="7"/>
      <c r="AA1189" s="7"/>
    </row>
    <row r="1190" spans="1:27" outlineLevel="6">
      <c r="A1190" s="3501" t="s">
        <v>783</v>
      </c>
      <c r="B1190" s="3501"/>
      <c r="C1190" s="12"/>
      <c r="D1190" s="12"/>
      <c r="E1190" s="12"/>
      <c r="F1190" s="7"/>
      <c r="G1190" s="7"/>
      <c r="H1190" s="8"/>
      <c r="I1190" s="9"/>
      <c r="J1190" s="7"/>
      <c r="K1190" s="7"/>
      <c r="L1190" s="7"/>
      <c r="M1190" s="7"/>
      <c r="N1190" s="7"/>
      <c r="O1190" s="7"/>
      <c r="P1190" s="7"/>
      <c r="Q1190" s="7"/>
      <c r="R1190" s="14">
        <v>550</v>
      </c>
      <c r="S1190" s="7"/>
      <c r="T1190" s="7"/>
      <c r="U1190" s="14">
        <v>550</v>
      </c>
      <c r="V1190" s="7"/>
      <c r="W1190" s="7"/>
      <c r="X1190" s="7"/>
      <c r="Y1190" s="7"/>
      <c r="Z1190" s="12"/>
      <c r="AA1190" s="14">
        <v>550</v>
      </c>
    </row>
    <row r="1191" spans="1:27" outlineLevel="7">
      <c r="A1191" s="3500" t="s">
        <v>784</v>
      </c>
      <c r="B1191" s="3500"/>
      <c r="C1191" s="12"/>
      <c r="D1191" s="12"/>
      <c r="E1191" s="12"/>
      <c r="F1191" s="7"/>
      <c r="G1191" s="7"/>
      <c r="H1191" s="8"/>
      <c r="I1191" s="9"/>
      <c r="J1191" s="7"/>
      <c r="K1191" s="7"/>
      <c r="L1191" s="7"/>
      <c r="M1191" s="7"/>
      <c r="N1191" s="7"/>
      <c r="O1191" s="7"/>
      <c r="P1191" s="7"/>
      <c r="Q1191" s="7"/>
      <c r="R1191" s="14">
        <v>550</v>
      </c>
      <c r="S1191" s="7"/>
      <c r="T1191" s="7"/>
      <c r="U1191" s="14">
        <v>550</v>
      </c>
      <c r="V1191" s="7"/>
      <c r="W1191" s="7"/>
      <c r="X1191" s="7"/>
      <c r="Y1191" s="7"/>
      <c r="Z1191" s="12"/>
      <c r="AA1191" s="14">
        <v>550</v>
      </c>
    </row>
    <row r="1192" spans="1:27" outlineLevel="7">
      <c r="A1192" s="3499" t="s">
        <v>1912</v>
      </c>
      <c r="B1192" s="3499"/>
      <c r="C1192" s="12"/>
      <c r="D1192" s="12"/>
      <c r="E1192" s="12"/>
      <c r="F1192" s="7"/>
      <c r="G1192" s="7"/>
      <c r="H1192" s="8"/>
      <c r="I1192" s="9"/>
      <c r="J1192" s="7"/>
      <c r="K1192" s="7"/>
      <c r="L1192" s="7"/>
      <c r="M1192" s="7"/>
      <c r="N1192" s="7"/>
      <c r="O1192" s="7"/>
      <c r="P1192" s="7"/>
      <c r="Q1192" s="7"/>
      <c r="R1192" s="14">
        <v>550</v>
      </c>
      <c r="S1192" s="7"/>
      <c r="T1192" s="7"/>
      <c r="U1192" s="14">
        <v>550</v>
      </c>
      <c r="V1192" s="7"/>
      <c r="W1192" s="7"/>
      <c r="X1192" s="7"/>
      <c r="Y1192" s="7"/>
      <c r="Z1192" s="12"/>
      <c r="AA1192" s="14">
        <v>550</v>
      </c>
    </row>
    <row r="1193" spans="1:27" outlineLevel="6">
      <c r="A1193" s="3501" t="s">
        <v>77</v>
      </c>
      <c r="B1193" s="3501"/>
      <c r="C1193" s="7"/>
      <c r="D1193" s="7"/>
      <c r="E1193" s="14">
        <v>550</v>
      </c>
      <c r="F1193" s="7"/>
      <c r="G1193" s="14">
        <v>550</v>
      </c>
      <c r="H1193" s="3523">
        <v>550</v>
      </c>
      <c r="I1193" s="3523"/>
      <c r="J1193" s="7"/>
      <c r="K1193" s="7"/>
      <c r="L1193" s="7"/>
      <c r="M1193" s="7"/>
      <c r="N1193" s="7"/>
      <c r="O1193" s="7"/>
      <c r="P1193" s="7"/>
      <c r="Q1193" s="7"/>
      <c r="R1193" s="14">
        <v>550</v>
      </c>
      <c r="S1193" s="7"/>
      <c r="T1193" s="7"/>
      <c r="U1193" s="14">
        <v>550</v>
      </c>
      <c r="V1193" s="7"/>
      <c r="W1193" s="7"/>
      <c r="X1193" s="7"/>
      <c r="Y1193" s="7"/>
      <c r="Z1193" s="7"/>
      <c r="AA1193" s="7"/>
    </row>
    <row r="1194" spans="1:27" outlineLevel="7">
      <c r="A1194" s="3500" t="s">
        <v>78</v>
      </c>
      <c r="B1194" s="3500"/>
      <c r="C1194" s="7"/>
      <c r="D1194" s="7"/>
      <c r="E1194" s="14">
        <v>550</v>
      </c>
      <c r="F1194" s="7"/>
      <c r="G1194" s="14">
        <v>550</v>
      </c>
      <c r="H1194" s="3523">
        <v>550</v>
      </c>
      <c r="I1194" s="3523"/>
      <c r="J1194" s="7"/>
      <c r="K1194" s="7"/>
      <c r="L1194" s="7"/>
      <c r="M1194" s="7"/>
      <c r="N1194" s="7"/>
      <c r="O1194" s="7"/>
      <c r="P1194" s="7"/>
      <c r="Q1194" s="7"/>
      <c r="R1194" s="14">
        <v>550</v>
      </c>
      <c r="S1194" s="7"/>
      <c r="T1194" s="7"/>
      <c r="U1194" s="14">
        <v>550</v>
      </c>
      <c r="V1194" s="7"/>
      <c r="W1194" s="7"/>
      <c r="X1194" s="7"/>
      <c r="Y1194" s="7"/>
      <c r="Z1194" s="7"/>
      <c r="AA1194" s="7"/>
    </row>
    <row r="1195" spans="1:27" outlineLevel="7">
      <c r="A1195" s="3499" t="s">
        <v>1913</v>
      </c>
      <c r="B1195" s="3499"/>
      <c r="C1195" s="7"/>
      <c r="D1195" s="7"/>
      <c r="E1195" s="14">
        <v>550</v>
      </c>
      <c r="F1195" s="7"/>
      <c r="G1195" s="14">
        <v>550</v>
      </c>
      <c r="H1195" s="3523">
        <v>550</v>
      </c>
      <c r="I1195" s="3523"/>
      <c r="J1195" s="7"/>
      <c r="K1195" s="7"/>
      <c r="L1195" s="7"/>
      <c r="M1195" s="7"/>
      <c r="N1195" s="7"/>
      <c r="O1195" s="7"/>
      <c r="P1195" s="7"/>
      <c r="Q1195" s="7"/>
      <c r="R1195" s="14">
        <v>550</v>
      </c>
      <c r="S1195" s="7"/>
      <c r="T1195" s="7"/>
      <c r="U1195" s="14">
        <v>550</v>
      </c>
      <c r="V1195" s="7"/>
      <c r="W1195" s="7"/>
      <c r="X1195" s="7"/>
      <c r="Y1195" s="7"/>
      <c r="Z1195" s="7"/>
      <c r="AA1195" s="7"/>
    </row>
    <row r="1196" spans="1:27" outlineLevel="6">
      <c r="A1196" s="3501" t="s">
        <v>79</v>
      </c>
      <c r="B1196" s="3501"/>
      <c r="C1196" s="7"/>
      <c r="D1196" s="7"/>
      <c r="E1196" s="14">
        <v>550</v>
      </c>
      <c r="F1196" s="7"/>
      <c r="G1196" s="14">
        <v>550</v>
      </c>
      <c r="H1196" s="3523">
        <v>550</v>
      </c>
      <c r="I1196" s="3523"/>
      <c r="J1196" s="7"/>
      <c r="K1196" s="7"/>
      <c r="L1196" s="7"/>
      <c r="M1196" s="7"/>
      <c r="N1196" s="7"/>
      <c r="O1196" s="7"/>
      <c r="P1196" s="7"/>
      <c r="Q1196" s="7"/>
      <c r="R1196" s="14">
        <v>550</v>
      </c>
      <c r="S1196" s="7"/>
      <c r="T1196" s="7"/>
      <c r="U1196" s="14">
        <v>550</v>
      </c>
      <c r="V1196" s="7"/>
      <c r="W1196" s="7"/>
      <c r="X1196" s="7"/>
      <c r="Y1196" s="7"/>
      <c r="Z1196" s="7"/>
      <c r="AA1196" s="7"/>
    </row>
    <row r="1197" spans="1:27" outlineLevel="7">
      <c r="A1197" s="3500" t="s">
        <v>80</v>
      </c>
      <c r="B1197" s="3500"/>
      <c r="C1197" s="7"/>
      <c r="D1197" s="7"/>
      <c r="E1197" s="14">
        <v>550</v>
      </c>
      <c r="F1197" s="7"/>
      <c r="G1197" s="14">
        <v>550</v>
      </c>
      <c r="H1197" s="3523">
        <v>550</v>
      </c>
      <c r="I1197" s="3523"/>
      <c r="J1197" s="7"/>
      <c r="K1197" s="7"/>
      <c r="L1197" s="7"/>
      <c r="M1197" s="7"/>
      <c r="N1197" s="7"/>
      <c r="O1197" s="7"/>
      <c r="P1197" s="7"/>
      <c r="Q1197" s="7"/>
      <c r="R1197" s="14">
        <v>550</v>
      </c>
      <c r="S1197" s="7"/>
      <c r="T1197" s="7"/>
      <c r="U1197" s="14">
        <v>550</v>
      </c>
      <c r="V1197" s="7"/>
      <c r="W1197" s="7"/>
      <c r="X1197" s="7"/>
      <c r="Y1197" s="7"/>
      <c r="Z1197" s="7"/>
      <c r="AA1197" s="7"/>
    </row>
    <row r="1198" spans="1:27" outlineLevel="7">
      <c r="A1198" s="3499" t="s">
        <v>1914</v>
      </c>
      <c r="B1198" s="3499"/>
      <c r="C1198" s="7"/>
      <c r="D1198" s="7"/>
      <c r="E1198" s="14">
        <v>550</v>
      </c>
      <c r="F1198" s="7"/>
      <c r="G1198" s="14">
        <v>550</v>
      </c>
      <c r="H1198" s="3523">
        <v>550</v>
      </c>
      <c r="I1198" s="3523"/>
      <c r="J1198" s="7"/>
      <c r="K1198" s="7"/>
      <c r="L1198" s="7"/>
      <c r="M1198" s="7"/>
      <c r="N1198" s="7"/>
      <c r="O1198" s="7"/>
      <c r="P1198" s="7"/>
      <c r="Q1198" s="7"/>
      <c r="R1198" s="14">
        <v>550</v>
      </c>
      <c r="S1198" s="7"/>
      <c r="T1198" s="7"/>
      <c r="U1198" s="14">
        <v>550</v>
      </c>
      <c r="V1198" s="7"/>
      <c r="W1198" s="7"/>
      <c r="X1198" s="7"/>
      <c r="Y1198" s="7"/>
      <c r="Z1198" s="7"/>
      <c r="AA1198" s="7"/>
    </row>
    <row r="1199" spans="1:27" outlineLevel="6">
      <c r="A1199" s="3501" t="s">
        <v>81</v>
      </c>
      <c r="B1199" s="3501"/>
      <c r="C1199" s="7"/>
      <c r="D1199" s="7"/>
      <c r="E1199" s="14">
        <v>550</v>
      </c>
      <c r="F1199" s="7"/>
      <c r="G1199" s="14">
        <v>550</v>
      </c>
      <c r="H1199" s="3523">
        <v>550</v>
      </c>
      <c r="I1199" s="3523"/>
      <c r="J1199" s="7"/>
      <c r="K1199" s="7"/>
      <c r="L1199" s="7"/>
      <c r="M1199" s="7"/>
      <c r="N1199" s="7"/>
      <c r="O1199" s="7"/>
      <c r="P1199" s="7"/>
      <c r="Q1199" s="7"/>
      <c r="R1199" s="14">
        <v>550</v>
      </c>
      <c r="S1199" s="7"/>
      <c r="T1199" s="7"/>
      <c r="U1199" s="14">
        <v>550</v>
      </c>
      <c r="V1199" s="7"/>
      <c r="W1199" s="7"/>
      <c r="X1199" s="7"/>
      <c r="Y1199" s="7"/>
      <c r="Z1199" s="7"/>
      <c r="AA1199" s="7"/>
    </row>
    <row r="1200" spans="1:27" outlineLevel="7">
      <c r="A1200" s="3500" t="s">
        <v>82</v>
      </c>
      <c r="B1200" s="3500"/>
      <c r="C1200" s="7"/>
      <c r="D1200" s="7"/>
      <c r="E1200" s="14">
        <v>550</v>
      </c>
      <c r="F1200" s="7"/>
      <c r="G1200" s="14">
        <v>550</v>
      </c>
      <c r="H1200" s="3523">
        <v>550</v>
      </c>
      <c r="I1200" s="3523"/>
      <c r="J1200" s="7"/>
      <c r="K1200" s="7"/>
      <c r="L1200" s="7"/>
      <c r="M1200" s="7"/>
      <c r="N1200" s="7"/>
      <c r="O1200" s="7"/>
      <c r="P1200" s="7"/>
      <c r="Q1200" s="7"/>
      <c r="R1200" s="14">
        <v>550</v>
      </c>
      <c r="S1200" s="7"/>
      <c r="T1200" s="7"/>
      <c r="U1200" s="14">
        <v>550</v>
      </c>
      <c r="V1200" s="7"/>
      <c r="W1200" s="7"/>
      <c r="X1200" s="7"/>
      <c r="Y1200" s="7"/>
      <c r="Z1200" s="7"/>
      <c r="AA1200" s="7"/>
    </row>
    <row r="1201" spans="1:27" outlineLevel="7">
      <c r="A1201" s="3499" t="s">
        <v>1915</v>
      </c>
      <c r="B1201" s="3499"/>
      <c r="C1201" s="7"/>
      <c r="D1201" s="7"/>
      <c r="E1201" s="14">
        <v>550</v>
      </c>
      <c r="F1201" s="7"/>
      <c r="G1201" s="14">
        <v>550</v>
      </c>
      <c r="H1201" s="3523">
        <v>550</v>
      </c>
      <c r="I1201" s="3523"/>
      <c r="J1201" s="7"/>
      <c r="K1201" s="7"/>
      <c r="L1201" s="7"/>
      <c r="M1201" s="7"/>
      <c r="N1201" s="7"/>
      <c r="O1201" s="7"/>
      <c r="P1201" s="7"/>
      <c r="Q1201" s="7"/>
      <c r="R1201" s="14">
        <v>550</v>
      </c>
      <c r="S1201" s="7"/>
      <c r="T1201" s="7"/>
      <c r="U1201" s="14">
        <v>550</v>
      </c>
      <c r="V1201" s="7"/>
      <c r="W1201" s="7"/>
      <c r="X1201" s="7"/>
      <c r="Y1201" s="7"/>
      <c r="Z1201" s="7"/>
      <c r="AA1201" s="7"/>
    </row>
    <row r="1202" spans="1:27" outlineLevel="6">
      <c r="A1202" s="3501" t="s">
        <v>83</v>
      </c>
      <c r="B1202" s="3501"/>
      <c r="C1202" s="7"/>
      <c r="D1202" s="7"/>
      <c r="E1202" s="14">
        <v>550</v>
      </c>
      <c r="F1202" s="7"/>
      <c r="G1202" s="14">
        <v>550</v>
      </c>
      <c r="H1202" s="3523">
        <v>550</v>
      </c>
      <c r="I1202" s="3523"/>
      <c r="J1202" s="7"/>
      <c r="K1202" s="7"/>
      <c r="L1202" s="7"/>
      <c r="M1202" s="7"/>
      <c r="N1202" s="7"/>
      <c r="O1202" s="7"/>
      <c r="P1202" s="7"/>
      <c r="Q1202" s="7"/>
      <c r="R1202" s="14">
        <v>550</v>
      </c>
      <c r="S1202" s="7"/>
      <c r="T1202" s="7"/>
      <c r="U1202" s="14">
        <v>550</v>
      </c>
      <c r="V1202" s="7"/>
      <c r="W1202" s="7"/>
      <c r="X1202" s="7"/>
      <c r="Y1202" s="7"/>
      <c r="Z1202" s="7"/>
      <c r="AA1202" s="7"/>
    </row>
    <row r="1203" spans="1:27" outlineLevel="7">
      <c r="A1203" s="3500" t="s">
        <v>84</v>
      </c>
      <c r="B1203" s="3500"/>
      <c r="C1203" s="7"/>
      <c r="D1203" s="7"/>
      <c r="E1203" s="14">
        <v>550</v>
      </c>
      <c r="F1203" s="7"/>
      <c r="G1203" s="14">
        <v>550</v>
      </c>
      <c r="H1203" s="3523">
        <v>550</v>
      </c>
      <c r="I1203" s="3523"/>
      <c r="J1203" s="7"/>
      <c r="K1203" s="7"/>
      <c r="L1203" s="7"/>
      <c r="M1203" s="7"/>
      <c r="N1203" s="7"/>
      <c r="O1203" s="7"/>
      <c r="P1203" s="7"/>
      <c r="Q1203" s="7"/>
      <c r="R1203" s="14">
        <v>550</v>
      </c>
      <c r="S1203" s="7"/>
      <c r="T1203" s="7"/>
      <c r="U1203" s="14">
        <v>550</v>
      </c>
      <c r="V1203" s="7"/>
      <c r="W1203" s="7"/>
      <c r="X1203" s="7"/>
      <c r="Y1203" s="7"/>
      <c r="Z1203" s="7"/>
      <c r="AA1203" s="7"/>
    </row>
    <row r="1204" spans="1:27" outlineLevel="7">
      <c r="A1204" s="3499" t="s">
        <v>1916</v>
      </c>
      <c r="B1204" s="3499"/>
      <c r="C1204" s="7"/>
      <c r="D1204" s="7"/>
      <c r="E1204" s="14">
        <v>550</v>
      </c>
      <c r="F1204" s="7"/>
      <c r="G1204" s="14">
        <v>550</v>
      </c>
      <c r="H1204" s="3523">
        <v>550</v>
      </c>
      <c r="I1204" s="3523"/>
      <c r="J1204" s="7"/>
      <c r="K1204" s="7"/>
      <c r="L1204" s="7"/>
      <c r="M1204" s="7"/>
      <c r="N1204" s="7"/>
      <c r="O1204" s="7"/>
      <c r="P1204" s="7"/>
      <c r="Q1204" s="7"/>
      <c r="R1204" s="14">
        <v>550</v>
      </c>
      <c r="S1204" s="7"/>
      <c r="T1204" s="7"/>
      <c r="U1204" s="14">
        <v>550</v>
      </c>
      <c r="V1204" s="7"/>
      <c r="W1204" s="7"/>
      <c r="X1204" s="7"/>
      <c r="Y1204" s="7"/>
      <c r="Z1204" s="7"/>
      <c r="AA1204" s="7"/>
    </row>
    <row r="1205" spans="1:27" outlineLevel="6">
      <c r="A1205" s="3501" t="s">
        <v>85</v>
      </c>
      <c r="B1205" s="3501"/>
      <c r="C1205" s="12"/>
      <c r="D1205" s="12"/>
      <c r="E1205" s="13">
        <v>6295.61</v>
      </c>
      <c r="F1205" s="7"/>
      <c r="G1205" s="13">
        <v>6295.61</v>
      </c>
      <c r="H1205" s="3524">
        <v>6295.61</v>
      </c>
      <c r="I1205" s="3524"/>
      <c r="J1205" s="7"/>
      <c r="K1205" s="7"/>
      <c r="L1205" s="7"/>
      <c r="M1205" s="7"/>
      <c r="N1205" s="7"/>
      <c r="O1205" s="7"/>
      <c r="P1205" s="7"/>
      <c r="Q1205" s="7"/>
      <c r="R1205" s="13">
        <v>6845.61</v>
      </c>
      <c r="S1205" s="7"/>
      <c r="T1205" s="7"/>
      <c r="U1205" s="13">
        <v>6845.61</v>
      </c>
      <c r="V1205" s="7"/>
      <c r="W1205" s="7"/>
      <c r="X1205" s="7"/>
      <c r="Y1205" s="7"/>
      <c r="Z1205" s="12"/>
      <c r="AA1205" s="14">
        <v>550</v>
      </c>
    </row>
    <row r="1206" spans="1:27" outlineLevel="7">
      <c r="A1206" s="3500" t="s">
        <v>785</v>
      </c>
      <c r="B1206" s="3500"/>
      <c r="C1206" s="12"/>
      <c r="D1206" s="12"/>
      <c r="E1206" s="12"/>
      <c r="F1206" s="7"/>
      <c r="G1206" s="7"/>
      <c r="H1206" s="8"/>
      <c r="I1206" s="9"/>
      <c r="J1206" s="7"/>
      <c r="K1206" s="7"/>
      <c r="L1206" s="7"/>
      <c r="M1206" s="7"/>
      <c r="N1206" s="7"/>
      <c r="O1206" s="7"/>
      <c r="P1206" s="7"/>
      <c r="Q1206" s="7"/>
      <c r="R1206" s="14">
        <v>550</v>
      </c>
      <c r="S1206" s="7"/>
      <c r="T1206" s="7"/>
      <c r="U1206" s="14">
        <v>550</v>
      </c>
      <c r="V1206" s="7"/>
      <c r="W1206" s="7"/>
      <c r="X1206" s="7"/>
      <c r="Y1206" s="7"/>
      <c r="Z1206" s="12"/>
      <c r="AA1206" s="14">
        <v>550</v>
      </c>
    </row>
    <row r="1207" spans="1:27" outlineLevel="7">
      <c r="A1207" s="3499" t="s">
        <v>1917</v>
      </c>
      <c r="B1207" s="3499"/>
      <c r="C1207" s="12"/>
      <c r="D1207" s="12"/>
      <c r="E1207" s="12"/>
      <c r="F1207" s="7"/>
      <c r="G1207" s="7"/>
      <c r="H1207" s="8"/>
      <c r="I1207" s="9"/>
      <c r="J1207" s="7"/>
      <c r="K1207" s="7"/>
      <c r="L1207" s="7"/>
      <c r="M1207" s="7"/>
      <c r="N1207" s="7"/>
      <c r="O1207" s="7"/>
      <c r="P1207" s="7"/>
      <c r="Q1207" s="7"/>
      <c r="R1207" s="14">
        <v>550</v>
      </c>
      <c r="S1207" s="7"/>
      <c r="T1207" s="7"/>
      <c r="U1207" s="14">
        <v>550</v>
      </c>
      <c r="V1207" s="7"/>
      <c r="W1207" s="7"/>
      <c r="X1207" s="7"/>
      <c r="Y1207" s="7"/>
      <c r="Z1207" s="12"/>
      <c r="AA1207" s="14">
        <v>550</v>
      </c>
    </row>
    <row r="1208" spans="1:27" outlineLevel="7">
      <c r="A1208" s="3500" t="s">
        <v>86</v>
      </c>
      <c r="B1208" s="3500"/>
      <c r="C1208" s="7"/>
      <c r="D1208" s="7"/>
      <c r="E1208" s="13">
        <v>6295.61</v>
      </c>
      <c r="F1208" s="7"/>
      <c r="G1208" s="13">
        <v>6295.61</v>
      </c>
      <c r="H1208" s="3524">
        <v>6295.61</v>
      </c>
      <c r="I1208" s="3524"/>
      <c r="J1208" s="7"/>
      <c r="K1208" s="7"/>
      <c r="L1208" s="7"/>
      <c r="M1208" s="7"/>
      <c r="N1208" s="7"/>
      <c r="O1208" s="7"/>
      <c r="P1208" s="7"/>
      <c r="Q1208" s="7"/>
      <c r="R1208" s="13">
        <v>6295.61</v>
      </c>
      <c r="S1208" s="7"/>
      <c r="T1208" s="7"/>
      <c r="U1208" s="13">
        <v>6295.61</v>
      </c>
      <c r="V1208" s="7"/>
      <c r="W1208" s="7"/>
      <c r="X1208" s="7"/>
      <c r="Y1208" s="7"/>
      <c r="Z1208" s="7"/>
      <c r="AA1208" s="7"/>
    </row>
    <row r="1209" spans="1:27" outlineLevel="7">
      <c r="A1209" s="3499" t="s">
        <v>1918</v>
      </c>
      <c r="B1209" s="3499"/>
      <c r="C1209" s="7"/>
      <c r="D1209" s="7"/>
      <c r="E1209" s="13">
        <v>6295.61</v>
      </c>
      <c r="F1209" s="7"/>
      <c r="G1209" s="13">
        <v>6295.61</v>
      </c>
      <c r="H1209" s="3524">
        <v>6295.61</v>
      </c>
      <c r="I1209" s="3524"/>
      <c r="J1209" s="7"/>
      <c r="K1209" s="7"/>
      <c r="L1209" s="7"/>
      <c r="M1209" s="7"/>
      <c r="N1209" s="7"/>
      <c r="O1209" s="7"/>
      <c r="P1209" s="7"/>
      <c r="Q1209" s="7"/>
      <c r="R1209" s="13">
        <v>6295.61</v>
      </c>
      <c r="S1209" s="7"/>
      <c r="T1209" s="7"/>
      <c r="U1209" s="13">
        <v>6295.61</v>
      </c>
      <c r="V1209" s="7"/>
      <c r="W1209" s="7"/>
      <c r="X1209" s="7"/>
      <c r="Y1209" s="7"/>
      <c r="Z1209" s="7"/>
      <c r="AA1209" s="7"/>
    </row>
    <row r="1210" spans="1:27" outlineLevel="6">
      <c r="A1210" s="3501" t="s">
        <v>786</v>
      </c>
      <c r="B1210" s="3501"/>
      <c r="C1210" s="12"/>
      <c r="D1210" s="12"/>
      <c r="E1210" s="12"/>
      <c r="F1210" s="7"/>
      <c r="G1210" s="7"/>
      <c r="H1210" s="8"/>
      <c r="I1210" s="9"/>
      <c r="J1210" s="7"/>
      <c r="K1210" s="7"/>
      <c r="L1210" s="7"/>
      <c r="M1210" s="7"/>
      <c r="N1210" s="7"/>
      <c r="O1210" s="7"/>
      <c r="P1210" s="7"/>
      <c r="Q1210" s="7"/>
      <c r="R1210" s="14">
        <v>550</v>
      </c>
      <c r="S1210" s="7"/>
      <c r="T1210" s="7"/>
      <c r="U1210" s="14">
        <v>550</v>
      </c>
      <c r="V1210" s="7"/>
      <c r="W1210" s="7"/>
      <c r="X1210" s="7"/>
      <c r="Y1210" s="7"/>
      <c r="Z1210" s="12"/>
      <c r="AA1210" s="14">
        <v>550</v>
      </c>
    </row>
    <row r="1211" spans="1:27" outlineLevel="7">
      <c r="A1211" s="3500" t="s">
        <v>787</v>
      </c>
      <c r="B1211" s="3500"/>
      <c r="C1211" s="12"/>
      <c r="D1211" s="12"/>
      <c r="E1211" s="12"/>
      <c r="F1211" s="7"/>
      <c r="G1211" s="7"/>
      <c r="H1211" s="8"/>
      <c r="I1211" s="9"/>
      <c r="J1211" s="7"/>
      <c r="K1211" s="7"/>
      <c r="L1211" s="7"/>
      <c r="M1211" s="7"/>
      <c r="N1211" s="7"/>
      <c r="O1211" s="7"/>
      <c r="P1211" s="7"/>
      <c r="Q1211" s="7"/>
      <c r="R1211" s="14">
        <v>550</v>
      </c>
      <c r="S1211" s="7"/>
      <c r="T1211" s="7"/>
      <c r="U1211" s="14">
        <v>550</v>
      </c>
      <c r="V1211" s="7"/>
      <c r="W1211" s="7"/>
      <c r="X1211" s="7"/>
      <c r="Y1211" s="7"/>
      <c r="Z1211" s="12"/>
      <c r="AA1211" s="14">
        <v>550</v>
      </c>
    </row>
    <row r="1212" spans="1:27" outlineLevel="7">
      <c r="A1212" s="3499" t="s">
        <v>1919</v>
      </c>
      <c r="B1212" s="3499"/>
      <c r="C1212" s="12"/>
      <c r="D1212" s="12"/>
      <c r="E1212" s="12"/>
      <c r="F1212" s="7"/>
      <c r="G1212" s="7"/>
      <c r="H1212" s="8"/>
      <c r="I1212" s="9"/>
      <c r="J1212" s="7"/>
      <c r="K1212" s="7"/>
      <c r="L1212" s="7"/>
      <c r="M1212" s="7"/>
      <c r="N1212" s="7"/>
      <c r="O1212" s="7"/>
      <c r="P1212" s="7"/>
      <c r="Q1212" s="7"/>
      <c r="R1212" s="14">
        <v>550</v>
      </c>
      <c r="S1212" s="7"/>
      <c r="T1212" s="7"/>
      <c r="U1212" s="14">
        <v>550</v>
      </c>
      <c r="V1212" s="7"/>
      <c r="W1212" s="7"/>
      <c r="X1212" s="7"/>
      <c r="Y1212" s="7"/>
      <c r="Z1212" s="12"/>
      <c r="AA1212" s="14">
        <v>550</v>
      </c>
    </row>
    <row r="1213" spans="1:27" outlineLevel="6">
      <c r="A1213" s="3501" t="s">
        <v>87</v>
      </c>
      <c r="B1213" s="3501"/>
      <c r="C1213" s="7"/>
      <c r="D1213" s="7"/>
      <c r="E1213" s="14">
        <v>550</v>
      </c>
      <c r="F1213" s="7"/>
      <c r="G1213" s="14">
        <v>550</v>
      </c>
      <c r="H1213" s="3523">
        <v>550</v>
      </c>
      <c r="I1213" s="3523"/>
      <c r="J1213" s="7"/>
      <c r="K1213" s="7"/>
      <c r="L1213" s="7"/>
      <c r="M1213" s="7"/>
      <c r="N1213" s="7"/>
      <c r="O1213" s="7"/>
      <c r="P1213" s="7"/>
      <c r="Q1213" s="7"/>
      <c r="R1213" s="14">
        <v>550</v>
      </c>
      <c r="S1213" s="7"/>
      <c r="T1213" s="7"/>
      <c r="U1213" s="14">
        <v>550</v>
      </c>
      <c r="V1213" s="7"/>
      <c r="W1213" s="7"/>
      <c r="X1213" s="7"/>
      <c r="Y1213" s="7"/>
      <c r="Z1213" s="7"/>
      <c r="AA1213" s="7"/>
    </row>
    <row r="1214" spans="1:27" outlineLevel="7">
      <c r="A1214" s="3500" t="s">
        <v>88</v>
      </c>
      <c r="B1214" s="3500"/>
      <c r="C1214" s="7"/>
      <c r="D1214" s="7"/>
      <c r="E1214" s="14">
        <v>550</v>
      </c>
      <c r="F1214" s="7"/>
      <c r="G1214" s="14">
        <v>550</v>
      </c>
      <c r="H1214" s="3523">
        <v>550</v>
      </c>
      <c r="I1214" s="3523"/>
      <c r="J1214" s="7"/>
      <c r="K1214" s="7"/>
      <c r="L1214" s="7"/>
      <c r="M1214" s="7"/>
      <c r="N1214" s="7"/>
      <c r="O1214" s="7"/>
      <c r="P1214" s="7"/>
      <c r="Q1214" s="7"/>
      <c r="R1214" s="14">
        <v>550</v>
      </c>
      <c r="S1214" s="7"/>
      <c r="T1214" s="7"/>
      <c r="U1214" s="14">
        <v>550</v>
      </c>
      <c r="V1214" s="7"/>
      <c r="W1214" s="7"/>
      <c r="X1214" s="7"/>
      <c r="Y1214" s="7"/>
      <c r="Z1214" s="7"/>
      <c r="AA1214" s="7"/>
    </row>
    <row r="1215" spans="1:27" outlineLevel="7">
      <c r="A1215" s="3499" t="s">
        <v>1920</v>
      </c>
      <c r="B1215" s="3499"/>
      <c r="C1215" s="7"/>
      <c r="D1215" s="7"/>
      <c r="E1215" s="14">
        <v>550</v>
      </c>
      <c r="F1215" s="7"/>
      <c r="G1215" s="14">
        <v>550</v>
      </c>
      <c r="H1215" s="3523">
        <v>550</v>
      </c>
      <c r="I1215" s="3523"/>
      <c r="J1215" s="7"/>
      <c r="K1215" s="7"/>
      <c r="L1215" s="7"/>
      <c r="M1215" s="7"/>
      <c r="N1215" s="7"/>
      <c r="O1215" s="7"/>
      <c r="P1215" s="7"/>
      <c r="Q1215" s="7"/>
      <c r="R1215" s="14">
        <v>550</v>
      </c>
      <c r="S1215" s="7"/>
      <c r="T1215" s="7"/>
      <c r="U1215" s="14">
        <v>550</v>
      </c>
      <c r="V1215" s="7"/>
      <c r="W1215" s="7"/>
      <c r="X1215" s="7"/>
      <c r="Y1215" s="7"/>
      <c r="Z1215" s="7"/>
      <c r="AA1215" s="7"/>
    </row>
    <row r="1216" spans="1:27" outlineLevel="6">
      <c r="A1216" s="3501" t="s">
        <v>89</v>
      </c>
      <c r="B1216" s="3501"/>
      <c r="C1216" s="7"/>
      <c r="D1216" s="7"/>
      <c r="E1216" s="14">
        <v>550</v>
      </c>
      <c r="F1216" s="7"/>
      <c r="G1216" s="14">
        <v>550</v>
      </c>
      <c r="H1216" s="3523">
        <v>550</v>
      </c>
      <c r="I1216" s="3523"/>
      <c r="J1216" s="7"/>
      <c r="K1216" s="7"/>
      <c r="L1216" s="7"/>
      <c r="M1216" s="7"/>
      <c r="N1216" s="7"/>
      <c r="O1216" s="7"/>
      <c r="P1216" s="7"/>
      <c r="Q1216" s="7"/>
      <c r="R1216" s="14">
        <v>550</v>
      </c>
      <c r="S1216" s="7"/>
      <c r="T1216" s="7"/>
      <c r="U1216" s="14">
        <v>550</v>
      </c>
      <c r="V1216" s="7"/>
      <c r="W1216" s="7"/>
      <c r="X1216" s="7"/>
      <c r="Y1216" s="7"/>
      <c r="Z1216" s="7"/>
      <c r="AA1216" s="7"/>
    </row>
    <row r="1217" spans="1:27" outlineLevel="7">
      <c r="A1217" s="3500" t="s">
        <v>90</v>
      </c>
      <c r="B1217" s="3500"/>
      <c r="C1217" s="7"/>
      <c r="D1217" s="7"/>
      <c r="E1217" s="14">
        <v>550</v>
      </c>
      <c r="F1217" s="7"/>
      <c r="G1217" s="14">
        <v>550</v>
      </c>
      <c r="H1217" s="3523">
        <v>550</v>
      </c>
      <c r="I1217" s="3523"/>
      <c r="J1217" s="7"/>
      <c r="K1217" s="7"/>
      <c r="L1217" s="7"/>
      <c r="M1217" s="7"/>
      <c r="N1217" s="7"/>
      <c r="O1217" s="7"/>
      <c r="P1217" s="7"/>
      <c r="Q1217" s="7"/>
      <c r="R1217" s="14">
        <v>550</v>
      </c>
      <c r="S1217" s="7"/>
      <c r="T1217" s="7"/>
      <c r="U1217" s="14">
        <v>550</v>
      </c>
      <c r="V1217" s="7"/>
      <c r="W1217" s="7"/>
      <c r="X1217" s="7"/>
      <c r="Y1217" s="7"/>
      <c r="Z1217" s="7"/>
      <c r="AA1217" s="7"/>
    </row>
    <row r="1218" spans="1:27" outlineLevel="7">
      <c r="A1218" s="3499" t="s">
        <v>1921</v>
      </c>
      <c r="B1218" s="3499"/>
      <c r="C1218" s="7"/>
      <c r="D1218" s="7"/>
      <c r="E1218" s="14">
        <v>550</v>
      </c>
      <c r="F1218" s="7"/>
      <c r="G1218" s="14">
        <v>550</v>
      </c>
      <c r="H1218" s="3523">
        <v>550</v>
      </c>
      <c r="I1218" s="3523"/>
      <c r="J1218" s="7"/>
      <c r="K1218" s="7"/>
      <c r="L1218" s="7"/>
      <c r="M1218" s="7"/>
      <c r="N1218" s="7"/>
      <c r="O1218" s="7"/>
      <c r="P1218" s="7"/>
      <c r="Q1218" s="7"/>
      <c r="R1218" s="14">
        <v>550</v>
      </c>
      <c r="S1218" s="7"/>
      <c r="T1218" s="7"/>
      <c r="U1218" s="14">
        <v>550</v>
      </c>
      <c r="V1218" s="7"/>
      <c r="W1218" s="7"/>
      <c r="X1218" s="7"/>
      <c r="Y1218" s="7"/>
      <c r="Z1218" s="7"/>
      <c r="AA1218" s="7"/>
    </row>
    <row r="1219" spans="1:27" outlineLevel="6">
      <c r="A1219" s="3501" t="s">
        <v>788</v>
      </c>
      <c r="B1219" s="3501"/>
      <c r="C1219" s="12"/>
      <c r="D1219" s="12"/>
      <c r="E1219" s="12"/>
      <c r="F1219" s="7"/>
      <c r="G1219" s="7"/>
      <c r="H1219" s="8"/>
      <c r="I1219" s="9"/>
      <c r="J1219" s="7"/>
      <c r="K1219" s="7"/>
      <c r="L1219" s="7"/>
      <c r="M1219" s="7"/>
      <c r="N1219" s="7"/>
      <c r="O1219" s="7"/>
      <c r="P1219" s="7"/>
      <c r="Q1219" s="7"/>
      <c r="R1219" s="14">
        <v>550</v>
      </c>
      <c r="S1219" s="7"/>
      <c r="T1219" s="7"/>
      <c r="U1219" s="14">
        <v>550</v>
      </c>
      <c r="V1219" s="7"/>
      <c r="W1219" s="7"/>
      <c r="X1219" s="7"/>
      <c r="Y1219" s="7"/>
      <c r="Z1219" s="12"/>
      <c r="AA1219" s="14">
        <v>550</v>
      </c>
    </row>
    <row r="1220" spans="1:27" outlineLevel="7">
      <c r="A1220" s="3500" t="s">
        <v>789</v>
      </c>
      <c r="B1220" s="3500"/>
      <c r="C1220" s="12"/>
      <c r="D1220" s="12"/>
      <c r="E1220" s="12"/>
      <c r="F1220" s="7"/>
      <c r="G1220" s="7"/>
      <c r="H1220" s="8"/>
      <c r="I1220" s="9"/>
      <c r="J1220" s="7"/>
      <c r="K1220" s="7"/>
      <c r="L1220" s="7"/>
      <c r="M1220" s="7"/>
      <c r="N1220" s="7"/>
      <c r="O1220" s="7"/>
      <c r="P1220" s="7"/>
      <c r="Q1220" s="7"/>
      <c r="R1220" s="14">
        <v>550</v>
      </c>
      <c r="S1220" s="7"/>
      <c r="T1220" s="7"/>
      <c r="U1220" s="14">
        <v>550</v>
      </c>
      <c r="V1220" s="7"/>
      <c r="W1220" s="7"/>
      <c r="X1220" s="7"/>
      <c r="Y1220" s="7"/>
      <c r="Z1220" s="12"/>
      <c r="AA1220" s="14">
        <v>550</v>
      </c>
    </row>
    <row r="1221" spans="1:27" outlineLevel="7">
      <c r="A1221" s="3499" t="s">
        <v>1922</v>
      </c>
      <c r="B1221" s="3499"/>
      <c r="C1221" s="12"/>
      <c r="D1221" s="12"/>
      <c r="E1221" s="12"/>
      <c r="F1221" s="7"/>
      <c r="G1221" s="7"/>
      <c r="H1221" s="8"/>
      <c r="I1221" s="9"/>
      <c r="J1221" s="7"/>
      <c r="K1221" s="7"/>
      <c r="L1221" s="7"/>
      <c r="M1221" s="7"/>
      <c r="N1221" s="7"/>
      <c r="O1221" s="7"/>
      <c r="P1221" s="7"/>
      <c r="Q1221" s="7"/>
      <c r="R1221" s="14">
        <v>550</v>
      </c>
      <c r="S1221" s="7"/>
      <c r="T1221" s="7"/>
      <c r="U1221" s="14">
        <v>550</v>
      </c>
      <c r="V1221" s="7"/>
      <c r="W1221" s="7"/>
      <c r="X1221" s="7"/>
      <c r="Y1221" s="7"/>
      <c r="Z1221" s="12"/>
      <c r="AA1221" s="14">
        <v>550</v>
      </c>
    </row>
    <row r="1222" spans="1:27" outlineLevel="6">
      <c r="A1222" s="3501" t="s">
        <v>91</v>
      </c>
      <c r="B1222" s="3501"/>
      <c r="C1222" s="7"/>
      <c r="D1222" s="7"/>
      <c r="E1222" s="14">
        <v>550</v>
      </c>
      <c r="F1222" s="7"/>
      <c r="G1222" s="14">
        <v>550</v>
      </c>
      <c r="H1222" s="3523">
        <v>550</v>
      </c>
      <c r="I1222" s="3523"/>
      <c r="J1222" s="7"/>
      <c r="K1222" s="7"/>
      <c r="L1222" s="7"/>
      <c r="M1222" s="7"/>
      <c r="N1222" s="7"/>
      <c r="O1222" s="7"/>
      <c r="P1222" s="7"/>
      <c r="Q1222" s="7"/>
      <c r="R1222" s="14">
        <v>550</v>
      </c>
      <c r="S1222" s="7"/>
      <c r="T1222" s="7"/>
      <c r="U1222" s="14">
        <v>550</v>
      </c>
      <c r="V1222" s="7"/>
      <c r="W1222" s="7"/>
      <c r="X1222" s="7"/>
      <c r="Y1222" s="7"/>
      <c r="Z1222" s="7"/>
      <c r="AA1222" s="7"/>
    </row>
    <row r="1223" spans="1:27" outlineLevel="7">
      <c r="A1223" s="3500" t="s">
        <v>92</v>
      </c>
      <c r="B1223" s="3500"/>
      <c r="C1223" s="7"/>
      <c r="D1223" s="7"/>
      <c r="E1223" s="14">
        <v>550</v>
      </c>
      <c r="F1223" s="7"/>
      <c r="G1223" s="14">
        <v>550</v>
      </c>
      <c r="H1223" s="3523">
        <v>550</v>
      </c>
      <c r="I1223" s="3523"/>
      <c r="J1223" s="7"/>
      <c r="K1223" s="7"/>
      <c r="L1223" s="7"/>
      <c r="M1223" s="7"/>
      <c r="N1223" s="7"/>
      <c r="O1223" s="7"/>
      <c r="P1223" s="7"/>
      <c r="Q1223" s="7"/>
      <c r="R1223" s="14">
        <v>550</v>
      </c>
      <c r="S1223" s="7"/>
      <c r="T1223" s="7"/>
      <c r="U1223" s="14">
        <v>550</v>
      </c>
      <c r="V1223" s="7"/>
      <c r="W1223" s="7"/>
      <c r="X1223" s="7"/>
      <c r="Y1223" s="7"/>
      <c r="Z1223" s="7"/>
      <c r="AA1223" s="7"/>
    </row>
    <row r="1224" spans="1:27" outlineLevel="7">
      <c r="A1224" s="3499" t="s">
        <v>1923</v>
      </c>
      <c r="B1224" s="3499"/>
      <c r="C1224" s="7"/>
      <c r="D1224" s="7"/>
      <c r="E1224" s="14">
        <v>550</v>
      </c>
      <c r="F1224" s="7"/>
      <c r="G1224" s="14">
        <v>550</v>
      </c>
      <c r="H1224" s="3523">
        <v>550</v>
      </c>
      <c r="I1224" s="3523"/>
      <c r="J1224" s="7"/>
      <c r="K1224" s="7"/>
      <c r="L1224" s="7"/>
      <c r="M1224" s="7"/>
      <c r="N1224" s="7"/>
      <c r="O1224" s="7"/>
      <c r="P1224" s="7"/>
      <c r="Q1224" s="7"/>
      <c r="R1224" s="14">
        <v>550</v>
      </c>
      <c r="S1224" s="7"/>
      <c r="T1224" s="7"/>
      <c r="U1224" s="14">
        <v>550</v>
      </c>
      <c r="V1224" s="7"/>
      <c r="W1224" s="7"/>
      <c r="X1224" s="7"/>
      <c r="Y1224" s="7"/>
      <c r="Z1224" s="7"/>
      <c r="AA1224" s="7"/>
    </row>
    <row r="1225" spans="1:27" outlineLevel="6">
      <c r="A1225" s="3501" t="s">
        <v>93</v>
      </c>
      <c r="B1225" s="3501"/>
      <c r="C1225" s="7"/>
      <c r="D1225" s="7"/>
      <c r="E1225" s="14">
        <v>550</v>
      </c>
      <c r="F1225" s="7"/>
      <c r="G1225" s="14">
        <v>550</v>
      </c>
      <c r="H1225" s="3523">
        <v>550</v>
      </c>
      <c r="I1225" s="3523"/>
      <c r="J1225" s="7"/>
      <c r="K1225" s="7"/>
      <c r="L1225" s="7"/>
      <c r="M1225" s="7"/>
      <c r="N1225" s="7"/>
      <c r="O1225" s="7"/>
      <c r="P1225" s="7"/>
      <c r="Q1225" s="7"/>
      <c r="R1225" s="14">
        <v>550</v>
      </c>
      <c r="S1225" s="7"/>
      <c r="T1225" s="7"/>
      <c r="U1225" s="14">
        <v>550</v>
      </c>
      <c r="V1225" s="7"/>
      <c r="W1225" s="7"/>
      <c r="X1225" s="7"/>
      <c r="Y1225" s="7"/>
      <c r="Z1225" s="7"/>
      <c r="AA1225" s="7"/>
    </row>
    <row r="1226" spans="1:27" outlineLevel="7">
      <c r="A1226" s="3500" t="s">
        <v>94</v>
      </c>
      <c r="B1226" s="3500"/>
      <c r="C1226" s="7"/>
      <c r="D1226" s="7"/>
      <c r="E1226" s="14">
        <v>550</v>
      </c>
      <c r="F1226" s="7"/>
      <c r="G1226" s="14">
        <v>550</v>
      </c>
      <c r="H1226" s="3523">
        <v>550</v>
      </c>
      <c r="I1226" s="3523"/>
      <c r="J1226" s="7"/>
      <c r="K1226" s="7"/>
      <c r="L1226" s="7"/>
      <c r="M1226" s="7"/>
      <c r="N1226" s="7"/>
      <c r="O1226" s="7"/>
      <c r="P1226" s="7"/>
      <c r="Q1226" s="7"/>
      <c r="R1226" s="14">
        <v>550</v>
      </c>
      <c r="S1226" s="7"/>
      <c r="T1226" s="7"/>
      <c r="U1226" s="14">
        <v>550</v>
      </c>
      <c r="V1226" s="7"/>
      <c r="W1226" s="7"/>
      <c r="X1226" s="7"/>
      <c r="Y1226" s="7"/>
      <c r="Z1226" s="7"/>
      <c r="AA1226" s="7"/>
    </row>
    <row r="1227" spans="1:27" outlineLevel="7">
      <c r="A1227" s="3499" t="s">
        <v>1924</v>
      </c>
      <c r="B1227" s="3499"/>
      <c r="C1227" s="7"/>
      <c r="D1227" s="7"/>
      <c r="E1227" s="14">
        <v>550</v>
      </c>
      <c r="F1227" s="7"/>
      <c r="G1227" s="14">
        <v>550</v>
      </c>
      <c r="H1227" s="3523">
        <v>550</v>
      </c>
      <c r="I1227" s="3523"/>
      <c r="J1227" s="7"/>
      <c r="K1227" s="7"/>
      <c r="L1227" s="7"/>
      <c r="M1227" s="7"/>
      <c r="N1227" s="7"/>
      <c r="O1227" s="7"/>
      <c r="P1227" s="7"/>
      <c r="Q1227" s="7"/>
      <c r="R1227" s="14">
        <v>550</v>
      </c>
      <c r="S1227" s="7"/>
      <c r="T1227" s="7"/>
      <c r="U1227" s="14">
        <v>550</v>
      </c>
      <c r="V1227" s="7"/>
      <c r="W1227" s="7"/>
      <c r="X1227" s="7"/>
      <c r="Y1227" s="7"/>
      <c r="Z1227" s="7"/>
      <c r="AA1227" s="7"/>
    </row>
    <row r="1228" spans="1:27" outlineLevel="6">
      <c r="A1228" s="3501" t="s">
        <v>95</v>
      </c>
      <c r="B1228" s="3501"/>
      <c r="C1228" s="7"/>
      <c r="D1228" s="7"/>
      <c r="E1228" s="14">
        <v>550</v>
      </c>
      <c r="F1228" s="7"/>
      <c r="G1228" s="14">
        <v>550</v>
      </c>
      <c r="H1228" s="3523">
        <v>550</v>
      </c>
      <c r="I1228" s="3523"/>
      <c r="J1228" s="7"/>
      <c r="K1228" s="7"/>
      <c r="L1228" s="7"/>
      <c r="M1228" s="7"/>
      <c r="N1228" s="7"/>
      <c r="O1228" s="7"/>
      <c r="P1228" s="7"/>
      <c r="Q1228" s="7"/>
      <c r="R1228" s="14">
        <v>550</v>
      </c>
      <c r="S1228" s="7"/>
      <c r="T1228" s="7"/>
      <c r="U1228" s="14">
        <v>550</v>
      </c>
      <c r="V1228" s="7"/>
      <c r="W1228" s="7"/>
      <c r="X1228" s="7"/>
      <c r="Y1228" s="7"/>
      <c r="Z1228" s="7"/>
      <c r="AA1228" s="7"/>
    </row>
    <row r="1229" spans="1:27" outlineLevel="7">
      <c r="A1229" s="3500" t="s">
        <v>96</v>
      </c>
      <c r="B1229" s="3500"/>
      <c r="C1229" s="7"/>
      <c r="D1229" s="7"/>
      <c r="E1229" s="14">
        <v>550</v>
      </c>
      <c r="F1229" s="7"/>
      <c r="G1229" s="14">
        <v>550</v>
      </c>
      <c r="H1229" s="3523">
        <v>550</v>
      </c>
      <c r="I1229" s="3523"/>
      <c r="J1229" s="7"/>
      <c r="K1229" s="7"/>
      <c r="L1229" s="7"/>
      <c r="M1229" s="7"/>
      <c r="N1229" s="7"/>
      <c r="O1229" s="7"/>
      <c r="P1229" s="7"/>
      <c r="Q1229" s="7"/>
      <c r="R1229" s="14">
        <v>550</v>
      </c>
      <c r="S1229" s="7"/>
      <c r="T1229" s="7"/>
      <c r="U1229" s="14">
        <v>550</v>
      </c>
      <c r="V1229" s="7"/>
      <c r="W1229" s="7"/>
      <c r="X1229" s="7"/>
      <c r="Y1229" s="7"/>
      <c r="Z1229" s="7"/>
      <c r="AA1229" s="7"/>
    </row>
    <row r="1230" spans="1:27" outlineLevel="7">
      <c r="A1230" s="3499" t="s">
        <v>1925</v>
      </c>
      <c r="B1230" s="3499"/>
      <c r="C1230" s="7"/>
      <c r="D1230" s="7"/>
      <c r="E1230" s="14">
        <v>550</v>
      </c>
      <c r="F1230" s="7"/>
      <c r="G1230" s="14">
        <v>550</v>
      </c>
      <c r="H1230" s="3523">
        <v>550</v>
      </c>
      <c r="I1230" s="3523"/>
      <c r="J1230" s="7"/>
      <c r="K1230" s="7"/>
      <c r="L1230" s="7"/>
      <c r="M1230" s="7"/>
      <c r="N1230" s="7"/>
      <c r="O1230" s="7"/>
      <c r="P1230" s="7"/>
      <c r="Q1230" s="7"/>
      <c r="R1230" s="14">
        <v>550</v>
      </c>
      <c r="S1230" s="7"/>
      <c r="T1230" s="7"/>
      <c r="U1230" s="14">
        <v>550</v>
      </c>
      <c r="V1230" s="7"/>
      <c r="W1230" s="7"/>
      <c r="X1230" s="7"/>
      <c r="Y1230" s="7"/>
      <c r="Z1230" s="7"/>
      <c r="AA1230" s="7"/>
    </row>
    <row r="1231" spans="1:27" outlineLevel="6">
      <c r="A1231" s="3501" t="s">
        <v>97</v>
      </c>
      <c r="B1231" s="3501"/>
      <c r="C1231" s="12"/>
      <c r="D1231" s="14">
        <v>550</v>
      </c>
      <c r="E1231" s="14">
        <v>550</v>
      </c>
      <c r="F1231" s="7"/>
      <c r="G1231" s="14">
        <v>550</v>
      </c>
      <c r="H1231" s="3523">
        <v>550</v>
      </c>
      <c r="I1231" s="3523"/>
      <c r="J1231" s="7"/>
      <c r="K1231" s="7"/>
      <c r="L1231" s="7"/>
      <c r="M1231" s="7"/>
      <c r="N1231" s="7"/>
      <c r="O1231" s="7"/>
      <c r="P1231" s="7"/>
      <c r="Q1231" s="7"/>
      <c r="R1231" s="12"/>
      <c r="S1231" s="7"/>
      <c r="T1231" s="7"/>
      <c r="U1231" s="7"/>
      <c r="V1231" s="7"/>
      <c r="W1231" s="7"/>
      <c r="X1231" s="7"/>
      <c r="Y1231" s="7"/>
      <c r="Z1231" s="12"/>
      <c r="AA1231" s="12"/>
    </row>
    <row r="1232" spans="1:27" outlineLevel="7">
      <c r="A1232" s="3500" t="s">
        <v>98</v>
      </c>
      <c r="B1232" s="3500"/>
      <c r="C1232" s="12"/>
      <c r="D1232" s="14">
        <v>550</v>
      </c>
      <c r="E1232" s="14">
        <v>550</v>
      </c>
      <c r="F1232" s="7"/>
      <c r="G1232" s="14">
        <v>550</v>
      </c>
      <c r="H1232" s="3523">
        <v>550</v>
      </c>
      <c r="I1232" s="3523"/>
      <c r="J1232" s="7"/>
      <c r="K1232" s="7"/>
      <c r="L1232" s="7"/>
      <c r="M1232" s="7"/>
      <c r="N1232" s="7"/>
      <c r="O1232" s="7"/>
      <c r="P1232" s="7"/>
      <c r="Q1232" s="7"/>
      <c r="R1232" s="12"/>
      <c r="S1232" s="7"/>
      <c r="T1232" s="7"/>
      <c r="U1232" s="7"/>
      <c r="V1232" s="7"/>
      <c r="W1232" s="7"/>
      <c r="X1232" s="7"/>
      <c r="Y1232" s="7"/>
      <c r="Z1232" s="12"/>
      <c r="AA1232" s="12"/>
    </row>
    <row r="1233" spans="1:27" outlineLevel="7">
      <c r="A1233" s="3499" t="s">
        <v>1926</v>
      </c>
      <c r="B1233" s="3499"/>
      <c r="C1233" s="12"/>
      <c r="D1233" s="14">
        <v>550</v>
      </c>
      <c r="E1233" s="14">
        <v>550</v>
      </c>
      <c r="F1233" s="7"/>
      <c r="G1233" s="14">
        <v>550</v>
      </c>
      <c r="H1233" s="3523">
        <v>550</v>
      </c>
      <c r="I1233" s="3523"/>
      <c r="J1233" s="7"/>
      <c r="K1233" s="7"/>
      <c r="L1233" s="7"/>
      <c r="M1233" s="7"/>
      <c r="N1233" s="7"/>
      <c r="O1233" s="7"/>
      <c r="P1233" s="7"/>
      <c r="Q1233" s="7"/>
      <c r="R1233" s="12"/>
      <c r="S1233" s="7"/>
      <c r="T1233" s="7"/>
      <c r="U1233" s="7"/>
      <c r="V1233" s="7"/>
      <c r="W1233" s="7"/>
      <c r="X1233" s="7"/>
      <c r="Y1233" s="7"/>
      <c r="Z1233" s="12"/>
      <c r="AA1233" s="12"/>
    </row>
    <row r="1234" spans="1:27" outlineLevel="6">
      <c r="A1234" s="3501" t="s">
        <v>99</v>
      </c>
      <c r="B1234" s="3501"/>
      <c r="C1234" s="12"/>
      <c r="D1234" s="13">
        <v>2269</v>
      </c>
      <c r="E1234" s="13">
        <v>2819</v>
      </c>
      <c r="F1234" s="7"/>
      <c r="G1234" s="13">
        <v>1100</v>
      </c>
      <c r="H1234" s="3524">
        <v>1100</v>
      </c>
      <c r="I1234" s="3524"/>
      <c r="J1234" s="7"/>
      <c r="K1234" s="13">
        <v>1719</v>
      </c>
      <c r="L1234" s="13">
        <v>1719</v>
      </c>
      <c r="M1234" s="7"/>
      <c r="N1234" s="7"/>
      <c r="O1234" s="7"/>
      <c r="P1234" s="7"/>
      <c r="Q1234" s="7"/>
      <c r="R1234" s="14">
        <v>550</v>
      </c>
      <c r="S1234" s="7"/>
      <c r="T1234" s="7"/>
      <c r="U1234" s="14">
        <v>550</v>
      </c>
      <c r="V1234" s="7"/>
      <c r="W1234" s="7"/>
      <c r="X1234" s="7"/>
      <c r="Y1234" s="7"/>
      <c r="Z1234" s="12"/>
      <c r="AA1234" s="12"/>
    </row>
    <row r="1235" spans="1:27" outlineLevel="7">
      <c r="A1235" s="3500" t="s">
        <v>100</v>
      </c>
      <c r="B1235" s="3500"/>
      <c r="C1235" s="12"/>
      <c r="D1235" s="14">
        <v>550</v>
      </c>
      <c r="E1235" s="14">
        <v>550</v>
      </c>
      <c r="F1235" s="7"/>
      <c r="G1235" s="14">
        <v>550</v>
      </c>
      <c r="H1235" s="3523">
        <v>550</v>
      </c>
      <c r="I1235" s="3523"/>
      <c r="J1235" s="7"/>
      <c r="K1235" s="7"/>
      <c r="L1235" s="7"/>
      <c r="M1235" s="7"/>
      <c r="N1235" s="7"/>
      <c r="O1235" s="7"/>
      <c r="P1235" s="7"/>
      <c r="Q1235" s="7"/>
      <c r="R1235" s="12"/>
      <c r="S1235" s="7"/>
      <c r="T1235" s="7"/>
      <c r="U1235" s="7"/>
      <c r="V1235" s="7"/>
      <c r="W1235" s="7"/>
      <c r="X1235" s="7"/>
      <c r="Y1235" s="7"/>
      <c r="Z1235" s="12"/>
      <c r="AA1235" s="12"/>
    </row>
    <row r="1236" spans="1:27" outlineLevel="7">
      <c r="A1236" s="3499" t="s">
        <v>1927</v>
      </c>
      <c r="B1236" s="3499"/>
      <c r="C1236" s="12"/>
      <c r="D1236" s="14">
        <v>550</v>
      </c>
      <c r="E1236" s="14">
        <v>550</v>
      </c>
      <c r="F1236" s="7"/>
      <c r="G1236" s="14">
        <v>550</v>
      </c>
      <c r="H1236" s="3523">
        <v>550</v>
      </c>
      <c r="I1236" s="3523"/>
      <c r="J1236" s="7"/>
      <c r="K1236" s="7"/>
      <c r="L1236" s="7"/>
      <c r="M1236" s="7"/>
      <c r="N1236" s="7"/>
      <c r="O1236" s="7"/>
      <c r="P1236" s="7"/>
      <c r="Q1236" s="7"/>
      <c r="R1236" s="12"/>
      <c r="S1236" s="7"/>
      <c r="T1236" s="7"/>
      <c r="U1236" s="7"/>
      <c r="V1236" s="7"/>
      <c r="W1236" s="7"/>
      <c r="X1236" s="7"/>
      <c r="Y1236" s="7"/>
      <c r="Z1236" s="12"/>
      <c r="AA1236" s="12"/>
    </row>
    <row r="1237" spans="1:27" outlineLevel="7">
      <c r="A1237" s="3500" t="s">
        <v>790</v>
      </c>
      <c r="B1237" s="3500"/>
      <c r="C1237" s="12"/>
      <c r="D1237" s="13">
        <v>1719</v>
      </c>
      <c r="E1237" s="13">
        <v>1719</v>
      </c>
      <c r="F1237" s="7"/>
      <c r="G1237" s="7"/>
      <c r="H1237" s="8"/>
      <c r="I1237" s="9"/>
      <c r="J1237" s="7"/>
      <c r="K1237" s="13">
        <v>1719</v>
      </c>
      <c r="L1237" s="13">
        <v>1719</v>
      </c>
      <c r="M1237" s="7"/>
      <c r="N1237" s="7"/>
      <c r="O1237" s="7"/>
      <c r="P1237" s="7"/>
      <c r="Q1237" s="7"/>
      <c r="R1237" s="12"/>
      <c r="S1237" s="7"/>
      <c r="T1237" s="7"/>
      <c r="U1237" s="7"/>
      <c r="V1237" s="7"/>
      <c r="W1237" s="7"/>
      <c r="X1237" s="7"/>
      <c r="Y1237" s="7"/>
      <c r="Z1237" s="12"/>
      <c r="AA1237" s="12"/>
    </row>
    <row r="1238" spans="1:27" outlineLevel="7">
      <c r="A1238" s="3499" t="s">
        <v>1928</v>
      </c>
      <c r="B1238" s="3499"/>
      <c r="C1238" s="12"/>
      <c r="D1238" s="13">
        <v>1719</v>
      </c>
      <c r="E1238" s="13">
        <v>1719</v>
      </c>
      <c r="F1238" s="7"/>
      <c r="G1238" s="7"/>
      <c r="H1238" s="8"/>
      <c r="I1238" s="9"/>
      <c r="J1238" s="7"/>
      <c r="K1238" s="13">
        <v>1719</v>
      </c>
      <c r="L1238" s="13">
        <v>1719</v>
      </c>
      <c r="M1238" s="7"/>
      <c r="N1238" s="7"/>
      <c r="O1238" s="7"/>
      <c r="P1238" s="7"/>
      <c r="Q1238" s="7"/>
      <c r="R1238" s="12"/>
      <c r="S1238" s="7"/>
      <c r="T1238" s="7"/>
      <c r="U1238" s="7"/>
      <c r="V1238" s="7"/>
      <c r="W1238" s="7"/>
      <c r="X1238" s="7"/>
      <c r="Y1238" s="7"/>
      <c r="Z1238" s="12"/>
      <c r="AA1238" s="12"/>
    </row>
    <row r="1239" spans="1:27" outlineLevel="7">
      <c r="A1239" s="3500" t="s">
        <v>101</v>
      </c>
      <c r="B1239" s="3500"/>
      <c r="C1239" s="7"/>
      <c r="D1239" s="7"/>
      <c r="E1239" s="14">
        <v>550</v>
      </c>
      <c r="F1239" s="7"/>
      <c r="G1239" s="14">
        <v>550</v>
      </c>
      <c r="H1239" s="3523">
        <v>550</v>
      </c>
      <c r="I1239" s="3523"/>
      <c r="J1239" s="7"/>
      <c r="K1239" s="7"/>
      <c r="L1239" s="7"/>
      <c r="M1239" s="7"/>
      <c r="N1239" s="7"/>
      <c r="O1239" s="7"/>
      <c r="P1239" s="7"/>
      <c r="Q1239" s="7"/>
      <c r="R1239" s="14">
        <v>550</v>
      </c>
      <c r="S1239" s="7"/>
      <c r="T1239" s="7"/>
      <c r="U1239" s="14">
        <v>550</v>
      </c>
      <c r="V1239" s="7"/>
      <c r="W1239" s="7"/>
      <c r="X1239" s="7"/>
      <c r="Y1239" s="7"/>
      <c r="Z1239" s="7"/>
      <c r="AA1239" s="7"/>
    </row>
    <row r="1240" spans="1:27" outlineLevel="7">
      <c r="A1240" s="3499" t="s">
        <v>1929</v>
      </c>
      <c r="B1240" s="3499"/>
      <c r="C1240" s="7"/>
      <c r="D1240" s="7"/>
      <c r="E1240" s="14">
        <v>550</v>
      </c>
      <c r="F1240" s="7"/>
      <c r="G1240" s="14">
        <v>550</v>
      </c>
      <c r="H1240" s="3523">
        <v>550</v>
      </c>
      <c r="I1240" s="3523"/>
      <c r="J1240" s="7"/>
      <c r="K1240" s="7"/>
      <c r="L1240" s="7"/>
      <c r="M1240" s="7"/>
      <c r="N1240" s="7"/>
      <c r="O1240" s="7"/>
      <c r="P1240" s="7"/>
      <c r="Q1240" s="7"/>
      <c r="R1240" s="14">
        <v>550</v>
      </c>
      <c r="S1240" s="7"/>
      <c r="T1240" s="7"/>
      <c r="U1240" s="14">
        <v>550</v>
      </c>
      <c r="V1240" s="7"/>
      <c r="W1240" s="7"/>
      <c r="X1240" s="7"/>
      <c r="Y1240" s="7"/>
      <c r="Z1240" s="7"/>
      <c r="AA1240" s="7"/>
    </row>
    <row r="1241" spans="1:27" outlineLevel="6">
      <c r="A1241" s="3501" t="s">
        <v>102</v>
      </c>
      <c r="B1241" s="3501"/>
      <c r="C1241" s="12"/>
      <c r="D1241" s="13">
        <v>7240.76</v>
      </c>
      <c r="E1241" s="13">
        <v>7240.76</v>
      </c>
      <c r="F1241" s="7"/>
      <c r="G1241" s="13">
        <v>7240.76</v>
      </c>
      <c r="H1241" s="3524">
        <v>7240.76</v>
      </c>
      <c r="I1241" s="3524"/>
      <c r="J1241" s="7"/>
      <c r="K1241" s="7"/>
      <c r="L1241" s="7"/>
      <c r="M1241" s="7"/>
      <c r="N1241" s="7"/>
      <c r="O1241" s="7"/>
      <c r="P1241" s="7"/>
      <c r="Q1241" s="7"/>
      <c r="R1241" s="12"/>
      <c r="S1241" s="7"/>
      <c r="T1241" s="7"/>
      <c r="U1241" s="7"/>
      <c r="V1241" s="7"/>
      <c r="W1241" s="7"/>
      <c r="X1241" s="7"/>
      <c r="Y1241" s="7"/>
      <c r="Z1241" s="12"/>
      <c r="AA1241" s="12"/>
    </row>
    <row r="1242" spans="1:27" outlineLevel="7">
      <c r="A1242" s="3500" t="s">
        <v>103</v>
      </c>
      <c r="B1242" s="3500"/>
      <c r="C1242" s="12"/>
      <c r="D1242" s="13">
        <v>7240.76</v>
      </c>
      <c r="E1242" s="13">
        <v>7240.76</v>
      </c>
      <c r="F1242" s="7"/>
      <c r="G1242" s="13">
        <v>7240.76</v>
      </c>
      <c r="H1242" s="3524">
        <v>7240.76</v>
      </c>
      <c r="I1242" s="3524"/>
      <c r="J1242" s="7"/>
      <c r="K1242" s="7"/>
      <c r="L1242" s="7"/>
      <c r="M1242" s="7"/>
      <c r="N1242" s="7"/>
      <c r="O1242" s="7"/>
      <c r="P1242" s="7"/>
      <c r="Q1242" s="7"/>
      <c r="R1242" s="12"/>
      <c r="S1242" s="7"/>
      <c r="T1242" s="7"/>
      <c r="U1242" s="7"/>
      <c r="V1242" s="7"/>
      <c r="W1242" s="7"/>
      <c r="X1242" s="7"/>
      <c r="Y1242" s="7"/>
      <c r="Z1242" s="12"/>
      <c r="AA1242" s="12"/>
    </row>
    <row r="1243" spans="1:27" outlineLevel="7">
      <c r="A1243" s="3499" t="s">
        <v>1930</v>
      </c>
      <c r="B1243" s="3499"/>
      <c r="C1243" s="12"/>
      <c r="D1243" s="13">
        <v>7240.76</v>
      </c>
      <c r="E1243" s="13">
        <v>7240.76</v>
      </c>
      <c r="F1243" s="7"/>
      <c r="G1243" s="13">
        <v>7240.76</v>
      </c>
      <c r="H1243" s="3524">
        <v>7240.76</v>
      </c>
      <c r="I1243" s="3524"/>
      <c r="J1243" s="7"/>
      <c r="K1243" s="7"/>
      <c r="L1243" s="7"/>
      <c r="M1243" s="7"/>
      <c r="N1243" s="7"/>
      <c r="O1243" s="7"/>
      <c r="P1243" s="7"/>
      <c r="Q1243" s="7"/>
      <c r="R1243" s="12"/>
      <c r="S1243" s="7"/>
      <c r="T1243" s="7"/>
      <c r="U1243" s="7"/>
      <c r="V1243" s="7"/>
      <c r="W1243" s="7"/>
      <c r="X1243" s="7"/>
      <c r="Y1243" s="7"/>
      <c r="Z1243" s="12"/>
      <c r="AA1243" s="12"/>
    </row>
    <row r="1244" spans="1:27" outlineLevel="6">
      <c r="A1244" s="3501" t="s">
        <v>791</v>
      </c>
      <c r="B1244" s="3501"/>
      <c r="C1244" s="12"/>
      <c r="D1244" s="12"/>
      <c r="E1244" s="12"/>
      <c r="F1244" s="7"/>
      <c r="G1244" s="7"/>
      <c r="H1244" s="8"/>
      <c r="I1244" s="9"/>
      <c r="J1244" s="7"/>
      <c r="K1244" s="7"/>
      <c r="L1244" s="7"/>
      <c r="M1244" s="7"/>
      <c r="N1244" s="7"/>
      <c r="O1244" s="7"/>
      <c r="P1244" s="7"/>
      <c r="Q1244" s="7"/>
      <c r="R1244" s="14">
        <v>550</v>
      </c>
      <c r="S1244" s="7"/>
      <c r="T1244" s="7"/>
      <c r="U1244" s="14">
        <v>550</v>
      </c>
      <c r="V1244" s="7"/>
      <c r="W1244" s="7"/>
      <c r="X1244" s="7"/>
      <c r="Y1244" s="7"/>
      <c r="Z1244" s="12"/>
      <c r="AA1244" s="14">
        <v>550</v>
      </c>
    </row>
    <row r="1245" spans="1:27" outlineLevel="7">
      <c r="A1245" s="3500" t="s">
        <v>792</v>
      </c>
      <c r="B1245" s="3500"/>
      <c r="C1245" s="12"/>
      <c r="D1245" s="12"/>
      <c r="E1245" s="12"/>
      <c r="F1245" s="7"/>
      <c r="G1245" s="7"/>
      <c r="H1245" s="8"/>
      <c r="I1245" s="9"/>
      <c r="J1245" s="7"/>
      <c r="K1245" s="7"/>
      <c r="L1245" s="7"/>
      <c r="M1245" s="7"/>
      <c r="N1245" s="7"/>
      <c r="O1245" s="7"/>
      <c r="P1245" s="7"/>
      <c r="Q1245" s="7"/>
      <c r="R1245" s="14">
        <v>550</v>
      </c>
      <c r="S1245" s="7"/>
      <c r="T1245" s="7"/>
      <c r="U1245" s="14">
        <v>550</v>
      </c>
      <c r="V1245" s="7"/>
      <c r="W1245" s="7"/>
      <c r="X1245" s="7"/>
      <c r="Y1245" s="7"/>
      <c r="Z1245" s="12"/>
      <c r="AA1245" s="14">
        <v>550</v>
      </c>
    </row>
    <row r="1246" spans="1:27" outlineLevel="7">
      <c r="A1246" s="3499" t="s">
        <v>1931</v>
      </c>
      <c r="B1246" s="3499"/>
      <c r="C1246" s="12"/>
      <c r="D1246" s="12"/>
      <c r="E1246" s="12"/>
      <c r="F1246" s="7"/>
      <c r="G1246" s="7"/>
      <c r="H1246" s="8"/>
      <c r="I1246" s="9"/>
      <c r="J1246" s="7"/>
      <c r="K1246" s="7"/>
      <c r="L1246" s="7"/>
      <c r="M1246" s="7"/>
      <c r="N1246" s="7"/>
      <c r="O1246" s="7"/>
      <c r="P1246" s="7"/>
      <c r="Q1246" s="7"/>
      <c r="R1246" s="14">
        <v>550</v>
      </c>
      <c r="S1246" s="7"/>
      <c r="T1246" s="7"/>
      <c r="U1246" s="14">
        <v>550</v>
      </c>
      <c r="V1246" s="7"/>
      <c r="W1246" s="7"/>
      <c r="X1246" s="7"/>
      <c r="Y1246" s="7"/>
      <c r="Z1246" s="12"/>
      <c r="AA1246" s="14">
        <v>550</v>
      </c>
    </row>
    <row r="1247" spans="1:27" outlineLevel="6">
      <c r="A1247" s="3501" t="s">
        <v>793</v>
      </c>
      <c r="B1247" s="3501"/>
      <c r="C1247" s="12"/>
      <c r="D1247" s="12"/>
      <c r="E1247" s="12"/>
      <c r="F1247" s="7"/>
      <c r="G1247" s="7"/>
      <c r="H1247" s="8"/>
      <c r="I1247" s="9"/>
      <c r="J1247" s="7"/>
      <c r="K1247" s="7"/>
      <c r="L1247" s="7"/>
      <c r="M1247" s="7"/>
      <c r="N1247" s="7"/>
      <c r="O1247" s="7"/>
      <c r="P1247" s="7"/>
      <c r="Q1247" s="7"/>
      <c r="R1247" s="14">
        <v>550</v>
      </c>
      <c r="S1247" s="7"/>
      <c r="T1247" s="7"/>
      <c r="U1247" s="14">
        <v>550</v>
      </c>
      <c r="V1247" s="7"/>
      <c r="W1247" s="7"/>
      <c r="X1247" s="7"/>
      <c r="Y1247" s="7"/>
      <c r="Z1247" s="12"/>
      <c r="AA1247" s="14">
        <v>550</v>
      </c>
    </row>
    <row r="1248" spans="1:27" outlineLevel="7">
      <c r="A1248" s="3500" t="s">
        <v>794</v>
      </c>
      <c r="B1248" s="3500"/>
      <c r="C1248" s="12"/>
      <c r="D1248" s="12"/>
      <c r="E1248" s="12"/>
      <c r="F1248" s="7"/>
      <c r="G1248" s="7"/>
      <c r="H1248" s="8"/>
      <c r="I1248" s="9"/>
      <c r="J1248" s="7"/>
      <c r="K1248" s="7"/>
      <c r="L1248" s="7"/>
      <c r="M1248" s="7"/>
      <c r="N1248" s="7"/>
      <c r="O1248" s="7"/>
      <c r="P1248" s="7"/>
      <c r="Q1248" s="7"/>
      <c r="R1248" s="14">
        <v>550</v>
      </c>
      <c r="S1248" s="7"/>
      <c r="T1248" s="7"/>
      <c r="U1248" s="14">
        <v>550</v>
      </c>
      <c r="V1248" s="7"/>
      <c r="W1248" s="7"/>
      <c r="X1248" s="7"/>
      <c r="Y1248" s="7"/>
      <c r="Z1248" s="12"/>
      <c r="AA1248" s="14">
        <v>550</v>
      </c>
    </row>
    <row r="1249" spans="1:27" outlineLevel="7">
      <c r="A1249" s="3499" t="s">
        <v>1932</v>
      </c>
      <c r="B1249" s="3499"/>
      <c r="C1249" s="12"/>
      <c r="D1249" s="12"/>
      <c r="E1249" s="12"/>
      <c r="F1249" s="7"/>
      <c r="G1249" s="7"/>
      <c r="H1249" s="8"/>
      <c r="I1249" s="9"/>
      <c r="J1249" s="7"/>
      <c r="K1249" s="7"/>
      <c r="L1249" s="7"/>
      <c r="M1249" s="7"/>
      <c r="N1249" s="7"/>
      <c r="O1249" s="7"/>
      <c r="P1249" s="7"/>
      <c r="Q1249" s="7"/>
      <c r="R1249" s="14">
        <v>550</v>
      </c>
      <c r="S1249" s="7"/>
      <c r="T1249" s="7"/>
      <c r="U1249" s="14">
        <v>550</v>
      </c>
      <c r="V1249" s="7"/>
      <c r="W1249" s="7"/>
      <c r="X1249" s="7"/>
      <c r="Y1249" s="7"/>
      <c r="Z1249" s="12"/>
      <c r="AA1249" s="14">
        <v>550</v>
      </c>
    </row>
    <row r="1250" spans="1:27" outlineLevel="6">
      <c r="A1250" s="3501" t="s">
        <v>104</v>
      </c>
      <c r="B1250" s="3501"/>
      <c r="C1250" s="7"/>
      <c r="D1250" s="7"/>
      <c r="E1250" s="14">
        <v>550</v>
      </c>
      <c r="F1250" s="7"/>
      <c r="G1250" s="14">
        <v>550</v>
      </c>
      <c r="H1250" s="3523">
        <v>550</v>
      </c>
      <c r="I1250" s="3523"/>
      <c r="J1250" s="7"/>
      <c r="K1250" s="7"/>
      <c r="L1250" s="7"/>
      <c r="M1250" s="7"/>
      <c r="N1250" s="7"/>
      <c r="O1250" s="7"/>
      <c r="P1250" s="7"/>
      <c r="Q1250" s="7"/>
      <c r="R1250" s="14">
        <v>550</v>
      </c>
      <c r="S1250" s="7"/>
      <c r="T1250" s="7"/>
      <c r="U1250" s="14">
        <v>550</v>
      </c>
      <c r="V1250" s="7"/>
      <c r="W1250" s="7"/>
      <c r="X1250" s="7"/>
      <c r="Y1250" s="7"/>
      <c r="Z1250" s="7"/>
      <c r="AA1250" s="7"/>
    </row>
    <row r="1251" spans="1:27" outlineLevel="7">
      <c r="A1251" s="3500" t="s">
        <v>105</v>
      </c>
      <c r="B1251" s="3500"/>
      <c r="C1251" s="7"/>
      <c r="D1251" s="7"/>
      <c r="E1251" s="14">
        <v>550</v>
      </c>
      <c r="F1251" s="7"/>
      <c r="G1251" s="14">
        <v>550</v>
      </c>
      <c r="H1251" s="3523">
        <v>550</v>
      </c>
      <c r="I1251" s="3523"/>
      <c r="J1251" s="7"/>
      <c r="K1251" s="7"/>
      <c r="L1251" s="7"/>
      <c r="M1251" s="7"/>
      <c r="N1251" s="7"/>
      <c r="O1251" s="7"/>
      <c r="P1251" s="7"/>
      <c r="Q1251" s="7"/>
      <c r="R1251" s="14">
        <v>550</v>
      </c>
      <c r="S1251" s="7"/>
      <c r="T1251" s="7"/>
      <c r="U1251" s="14">
        <v>550</v>
      </c>
      <c r="V1251" s="7"/>
      <c r="W1251" s="7"/>
      <c r="X1251" s="7"/>
      <c r="Y1251" s="7"/>
      <c r="Z1251" s="7"/>
      <c r="AA1251" s="7"/>
    </row>
    <row r="1252" spans="1:27" outlineLevel="7">
      <c r="A1252" s="3499" t="s">
        <v>1933</v>
      </c>
      <c r="B1252" s="3499"/>
      <c r="C1252" s="7"/>
      <c r="D1252" s="7"/>
      <c r="E1252" s="14">
        <v>550</v>
      </c>
      <c r="F1252" s="7"/>
      <c r="G1252" s="14">
        <v>550</v>
      </c>
      <c r="H1252" s="3523">
        <v>550</v>
      </c>
      <c r="I1252" s="3523"/>
      <c r="J1252" s="7"/>
      <c r="K1252" s="7"/>
      <c r="L1252" s="7"/>
      <c r="M1252" s="7"/>
      <c r="N1252" s="7"/>
      <c r="O1252" s="7"/>
      <c r="P1252" s="7"/>
      <c r="Q1252" s="7"/>
      <c r="R1252" s="14">
        <v>550</v>
      </c>
      <c r="S1252" s="7"/>
      <c r="T1252" s="7"/>
      <c r="U1252" s="14">
        <v>550</v>
      </c>
      <c r="V1252" s="7"/>
      <c r="W1252" s="7"/>
      <c r="X1252" s="7"/>
      <c r="Y1252" s="7"/>
      <c r="Z1252" s="7"/>
      <c r="AA1252" s="7"/>
    </row>
    <row r="1253" spans="1:27" outlineLevel="6">
      <c r="A1253" s="3501" t="s">
        <v>795</v>
      </c>
      <c r="B1253" s="3501"/>
      <c r="C1253" s="12"/>
      <c r="D1253" s="12"/>
      <c r="E1253" s="12"/>
      <c r="F1253" s="7"/>
      <c r="G1253" s="7"/>
      <c r="H1253" s="8"/>
      <c r="I1253" s="9"/>
      <c r="J1253" s="7"/>
      <c r="K1253" s="7"/>
      <c r="L1253" s="7"/>
      <c r="M1253" s="7"/>
      <c r="N1253" s="7"/>
      <c r="O1253" s="7"/>
      <c r="P1253" s="7"/>
      <c r="Q1253" s="7"/>
      <c r="R1253" s="14">
        <v>550</v>
      </c>
      <c r="S1253" s="7"/>
      <c r="T1253" s="7"/>
      <c r="U1253" s="14">
        <v>550</v>
      </c>
      <c r="V1253" s="7"/>
      <c r="W1253" s="7"/>
      <c r="X1253" s="7"/>
      <c r="Y1253" s="7"/>
      <c r="Z1253" s="12"/>
      <c r="AA1253" s="14">
        <v>550</v>
      </c>
    </row>
    <row r="1254" spans="1:27" outlineLevel="7">
      <c r="A1254" s="3500" t="s">
        <v>796</v>
      </c>
      <c r="B1254" s="3500"/>
      <c r="C1254" s="12"/>
      <c r="D1254" s="12"/>
      <c r="E1254" s="12"/>
      <c r="F1254" s="7"/>
      <c r="G1254" s="7"/>
      <c r="H1254" s="8"/>
      <c r="I1254" s="9"/>
      <c r="J1254" s="7"/>
      <c r="K1254" s="7"/>
      <c r="L1254" s="7"/>
      <c r="M1254" s="7"/>
      <c r="N1254" s="7"/>
      <c r="O1254" s="7"/>
      <c r="P1254" s="7"/>
      <c r="Q1254" s="7"/>
      <c r="R1254" s="14">
        <v>550</v>
      </c>
      <c r="S1254" s="7"/>
      <c r="T1254" s="7"/>
      <c r="U1254" s="14">
        <v>550</v>
      </c>
      <c r="V1254" s="7"/>
      <c r="W1254" s="7"/>
      <c r="X1254" s="7"/>
      <c r="Y1254" s="7"/>
      <c r="Z1254" s="12"/>
      <c r="AA1254" s="14">
        <v>550</v>
      </c>
    </row>
    <row r="1255" spans="1:27" outlineLevel="7">
      <c r="A1255" s="3499" t="s">
        <v>1934</v>
      </c>
      <c r="B1255" s="3499"/>
      <c r="C1255" s="12"/>
      <c r="D1255" s="12"/>
      <c r="E1255" s="12"/>
      <c r="F1255" s="7"/>
      <c r="G1255" s="7"/>
      <c r="H1255" s="8"/>
      <c r="I1255" s="9"/>
      <c r="J1255" s="7"/>
      <c r="K1255" s="7"/>
      <c r="L1255" s="7"/>
      <c r="M1255" s="7"/>
      <c r="N1255" s="7"/>
      <c r="O1255" s="7"/>
      <c r="P1255" s="7"/>
      <c r="Q1255" s="7"/>
      <c r="R1255" s="14">
        <v>550</v>
      </c>
      <c r="S1255" s="7"/>
      <c r="T1255" s="7"/>
      <c r="U1255" s="14">
        <v>550</v>
      </c>
      <c r="V1255" s="7"/>
      <c r="W1255" s="7"/>
      <c r="X1255" s="7"/>
      <c r="Y1255" s="7"/>
      <c r="Z1255" s="12"/>
      <c r="AA1255" s="14">
        <v>550</v>
      </c>
    </row>
    <row r="1256" spans="1:27" outlineLevel="6">
      <c r="A1256" s="3501" t="s">
        <v>797</v>
      </c>
      <c r="B1256" s="3501"/>
      <c r="C1256" s="12"/>
      <c r="D1256" s="12"/>
      <c r="E1256" s="12"/>
      <c r="F1256" s="7"/>
      <c r="G1256" s="7"/>
      <c r="H1256" s="8"/>
      <c r="I1256" s="9"/>
      <c r="J1256" s="7"/>
      <c r="K1256" s="7"/>
      <c r="L1256" s="7"/>
      <c r="M1256" s="7"/>
      <c r="N1256" s="7"/>
      <c r="O1256" s="7"/>
      <c r="P1256" s="7"/>
      <c r="Q1256" s="7"/>
      <c r="R1256" s="14">
        <v>550</v>
      </c>
      <c r="S1256" s="7"/>
      <c r="T1256" s="7"/>
      <c r="U1256" s="14">
        <v>550</v>
      </c>
      <c r="V1256" s="7"/>
      <c r="W1256" s="7"/>
      <c r="X1256" s="7"/>
      <c r="Y1256" s="7"/>
      <c r="Z1256" s="12"/>
      <c r="AA1256" s="14">
        <v>550</v>
      </c>
    </row>
    <row r="1257" spans="1:27" outlineLevel="7">
      <c r="A1257" s="3500" t="s">
        <v>798</v>
      </c>
      <c r="B1257" s="3500"/>
      <c r="C1257" s="12"/>
      <c r="D1257" s="12"/>
      <c r="E1257" s="12"/>
      <c r="F1257" s="7"/>
      <c r="G1257" s="7"/>
      <c r="H1257" s="8"/>
      <c r="I1257" s="9"/>
      <c r="J1257" s="7"/>
      <c r="K1257" s="7"/>
      <c r="L1257" s="7"/>
      <c r="M1257" s="7"/>
      <c r="N1257" s="7"/>
      <c r="O1257" s="7"/>
      <c r="P1257" s="7"/>
      <c r="Q1257" s="7"/>
      <c r="R1257" s="14">
        <v>550</v>
      </c>
      <c r="S1257" s="7"/>
      <c r="T1257" s="7"/>
      <c r="U1257" s="14">
        <v>550</v>
      </c>
      <c r="V1257" s="7"/>
      <c r="W1257" s="7"/>
      <c r="X1257" s="7"/>
      <c r="Y1257" s="7"/>
      <c r="Z1257" s="12"/>
      <c r="AA1257" s="14">
        <v>550</v>
      </c>
    </row>
    <row r="1258" spans="1:27" outlineLevel="7">
      <c r="A1258" s="3499" t="s">
        <v>1935</v>
      </c>
      <c r="B1258" s="3499"/>
      <c r="C1258" s="12"/>
      <c r="D1258" s="12"/>
      <c r="E1258" s="12"/>
      <c r="F1258" s="7"/>
      <c r="G1258" s="7"/>
      <c r="H1258" s="8"/>
      <c r="I1258" s="9"/>
      <c r="J1258" s="7"/>
      <c r="K1258" s="7"/>
      <c r="L1258" s="7"/>
      <c r="M1258" s="7"/>
      <c r="N1258" s="7"/>
      <c r="O1258" s="7"/>
      <c r="P1258" s="7"/>
      <c r="Q1258" s="7"/>
      <c r="R1258" s="14">
        <v>550</v>
      </c>
      <c r="S1258" s="7"/>
      <c r="T1258" s="7"/>
      <c r="U1258" s="14">
        <v>550</v>
      </c>
      <c r="V1258" s="7"/>
      <c r="W1258" s="7"/>
      <c r="X1258" s="7"/>
      <c r="Y1258" s="7"/>
      <c r="Z1258" s="12"/>
      <c r="AA1258" s="14">
        <v>550</v>
      </c>
    </row>
    <row r="1259" spans="1:27" outlineLevel="6">
      <c r="A1259" s="3501" t="s">
        <v>106</v>
      </c>
      <c r="B1259" s="3501"/>
      <c r="C1259" s="12"/>
      <c r="D1259" s="14">
        <v>550</v>
      </c>
      <c r="E1259" s="14">
        <v>550</v>
      </c>
      <c r="F1259" s="7"/>
      <c r="G1259" s="14">
        <v>550</v>
      </c>
      <c r="H1259" s="3523">
        <v>550</v>
      </c>
      <c r="I1259" s="3523"/>
      <c r="J1259" s="7"/>
      <c r="K1259" s="7"/>
      <c r="L1259" s="7"/>
      <c r="M1259" s="7"/>
      <c r="N1259" s="7"/>
      <c r="O1259" s="7"/>
      <c r="P1259" s="7"/>
      <c r="Q1259" s="7"/>
      <c r="R1259" s="12"/>
      <c r="S1259" s="7"/>
      <c r="T1259" s="7"/>
      <c r="U1259" s="7"/>
      <c r="V1259" s="7"/>
      <c r="W1259" s="7"/>
      <c r="X1259" s="7"/>
      <c r="Y1259" s="7"/>
      <c r="Z1259" s="12"/>
      <c r="AA1259" s="12"/>
    </row>
    <row r="1260" spans="1:27" outlineLevel="7">
      <c r="A1260" s="3500" t="s">
        <v>107</v>
      </c>
      <c r="B1260" s="3500"/>
      <c r="C1260" s="12"/>
      <c r="D1260" s="14">
        <v>550</v>
      </c>
      <c r="E1260" s="14">
        <v>550</v>
      </c>
      <c r="F1260" s="7"/>
      <c r="G1260" s="14">
        <v>550</v>
      </c>
      <c r="H1260" s="3523">
        <v>550</v>
      </c>
      <c r="I1260" s="3523"/>
      <c r="J1260" s="7"/>
      <c r="K1260" s="7"/>
      <c r="L1260" s="7"/>
      <c r="M1260" s="7"/>
      <c r="N1260" s="7"/>
      <c r="O1260" s="7"/>
      <c r="P1260" s="7"/>
      <c r="Q1260" s="7"/>
      <c r="R1260" s="12"/>
      <c r="S1260" s="7"/>
      <c r="T1260" s="7"/>
      <c r="U1260" s="7"/>
      <c r="V1260" s="7"/>
      <c r="W1260" s="7"/>
      <c r="X1260" s="7"/>
      <c r="Y1260" s="7"/>
      <c r="Z1260" s="12"/>
      <c r="AA1260" s="12"/>
    </row>
    <row r="1261" spans="1:27" outlineLevel="7">
      <c r="A1261" s="3499" t="s">
        <v>1936</v>
      </c>
      <c r="B1261" s="3499"/>
      <c r="C1261" s="12"/>
      <c r="D1261" s="14">
        <v>550</v>
      </c>
      <c r="E1261" s="14">
        <v>550</v>
      </c>
      <c r="F1261" s="7"/>
      <c r="G1261" s="14">
        <v>550</v>
      </c>
      <c r="H1261" s="3523">
        <v>550</v>
      </c>
      <c r="I1261" s="3523"/>
      <c r="J1261" s="7"/>
      <c r="K1261" s="7"/>
      <c r="L1261" s="7"/>
      <c r="M1261" s="7"/>
      <c r="N1261" s="7"/>
      <c r="O1261" s="7"/>
      <c r="P1261" s="7"/>
      <c r="Q1261" s="7"/>
      <c r="R1261" s="12"/>
      <c r="S1261" s="7"/>
      <c r="T1261" s="7"/>
      <c r="U1261" s="7"/>
      <c r="V1261" s="7"/>
      <c r="W1261" s="7"/>
      <c r="X1261" s="7"/>
      <c r="Y1261" s="7"/>
      <c r="Z1261" s="12"/>
      <c r="AA1261" s="12"/>
    </row>
    <row r="1262" spans="1:27" outlineLevel="6">
      <c r="A1262" s="3501" t="s">
        <v>108</v>
      </c>
      <c r="B1262" s="3501"/>
      <c r="C1262" s="7"/>
      <c r="D1262" s="7"/>
      <c r="E1262" s="14">
        <v>550</v>
      </c>
      <c r="F1262" s="7"/>
      <c r="G1262" s="14">
        <v>550</v>
      </c>
      <c r="H1262" s="3523">
        <v>550</v>
      </c>
      <c r="I1262" s="3523"/>
      <c r="J1262" s="7"/>
      <c r="K1262" s="7"/>
      <c r="L1262" s="7"/>
      <c r="M1262" s="7"/>
      <c r="N1262" s="7"/>
      <c r="O1262" s="7"/>
      <c r="P1262" s="7"/>
      <c r="Q1262" s="7"/>
      <c r="R1262" s="14">
        <v>550</v>
      </c>
      <c r="S1262" s="7"/>
      <c r="T1262" s="7"/>
      <c r="U1262" s="14">
        <v>550</v>
      </c>
      <c r="V1262" s="7"/>
      <c r="W1262" s="7"/>
      <c r="X1262" s="7"/>
      <c r="Y1262" s="7"/>
      <c r="Z1262" s="7"/>
      <c r="AA1262" s="7"/>
    </row>
    <row r="1263" spans="1:27" outlineLevel="7">
      <c r="A1263" s="3500" t="s">
        <v>109</v>
      </c>
      <c r="B1263" s="3500"/>
      <c r="C1263" s="7"/>
      <c r="D1263" s="7"/>
      <c r="E1263" s="14">
        <v>550</v>
      </c>
      <c r="F1263" s="7"/>
      <c r="G1263" s="14">
        <v>550</v>
      </c>
      <c r="H1263" s="3523">
        <v>550</v>
      </c>
      <c r="I1263" s="3523"/>
      <c r="J1263" s="7"/>
      <c r="K1263" s="7"/>
      <c r="L1263" s="7"/>
      <c r="M1263" s="7"/>
      <c r="N1263" s="7"/>
      <c r="O1263" s="7"/>
      <c r="P1263" s="7"/>
      <c r="Q1263" s="7"/>
      <c r="R1263" s="14">
        <v>550</v>
      </c>
      <c r="S1263" s="7"/>
      <c r="T1263" s="7"/>
      <c r="U1263" s="14">
        <v>550</v>
      </c>
      <c r="V1263" s="7"/>
      <c r="W1263" s="7"/>
      <c r="X1263" s="7"/>
      <c r="Y1263" s="7"/>
      <c r="Z1263" s="7"/>
      <c r="AA1263" s="7"/>
    </row>
    <row r="1264" spans="1:27" outlineLevel="7">
      <c r="A1264" s="3499" t="s">
        <v>1937</v>
      </c>
      <c r="B1264" s="3499"/>
      <c r="C1264" s="7"/>
      <c r="D1264" s="7"/>
      <c r="E1264" s="14">
        <v>550</v>
      </c>
      <c r="F1264" s="7"/>
      <c r="G1264" s="14">
        <v>550</v>
      </c>
      <c r="H1264" s="3523">
        <v>550</v>
      </c>
      <c r="I1264" s="3523"/>
      <c r="J1264" s="7"/>
      <c r="K1264" s="7"/>
      <c r="L1264" s="7"/>
      <c r="M1264" s="7"/>
      <c r="N1264" s="7"/>
      <c r="O1264" s="7"/>
      <c r="P1264" s="7"/>
      <c r="Q1264" s="7"/>
      <c r="R1264" s="14">
        <v>550</v>
      </c>
      <c r="S1264" s="7"/>
      <c r="T1264" s="7"/>
      <c r="U1264" s="14">
        <v>550</v>
      </c>
      <c r="V1264" s="7"/>
      <c r="W1264" s="7"/>
      <c r="X1264" s="7"/>
      <c r="Y1264" s="7"/>
      <c r="Z1264" s="7"/>
      <c r="AA1264" s="7"/>
    </row>
    <row r="1265" spans="1:27" outlineLevel="6">
      <c r="A1265" s="3501" t="s">
        <v>110</v>
      </c>
      <c r="B1265" s="3501"/>
      <c r="C1265" s="7"/>
      <c r="D1265" s="7"/>
      <c r="E1265" s="14">
        <v>550</v>
      </c>
      <c r="F1265" s="7"/>
      <c r="G1265" s="14">
        <v>550</v>
      </c>
      <c r="H1265" s="3523">
        <v>550</v>
      </c>
      <c r="I1265" s="3523"/>
      <c r="J1265" s="7"/>
      <c r="K1265" s="7"/>
      <c r="L1265" s="7"/>
      <c r="M1265" s="7"/>
      <c r="N1265" s="7"/>
      <c r="O1265" s="7"/>
      <c r="P1265" s="7"/>
      <c r="Q1265" s="7"/>
      <c r="R1265" s="14">
        <v>550</v>
      </c>
      <c r="S1265" s="7"/>
      <c r="T1265" s="7"/>
      <c r="U1265" s="14">
        <v>550</v>
      </c>
      <c r="V1265" s="7"/>
      <c r="W1265" s="7"/>
      <c r="X1265" s="7"/>
      <c r="Y1265" s="7"/>
      <c r="Z1265" s="7"/>
      <c r="AA1265" s="7"/>
    </row>
    <row r="1266" spans="1:27" outlineLevel="7">
      <c r="A1266" s="3500" t="s">
        <v>111</v>
      </c>
      <c r="B1266" s="3500"/>
      <c r="C1266" s="7"/>
      <c r="D1266" s="7"/>
      <c r="E1266" s="14">
        <v>550</v>
      </c>
      <c r="F1266" s="7"/>
      <c r="G1266" s="14">
        <v>550</v>
      </c>
      <c r="H1266" s="3523">
        <v>550</v>
      </c>
      <c r="I1266" s="3523"/>
      <c r="J1266" s="7"/>
      <c r="K1266" s="7"/>
      <c r="L1266" s="7"/>
      <c r="M1266" s="7"/>
      <c r="N1266" s="7"/>
      <c r="O1266" s="7"/>
      <c r="P1266" s="7"/>
      <c r="Q1266" s="7"/>
      <c r="R1266" s="14">
        <v>550</v>
      </c>
      <c r="S1266" s="7"/>
      <c r="T1266" s="7"/>
      <c r="U1266" s="14">
        <v>550</v>
      </c>
      <c r="V1266" s="7"/>
      <c r="W1266" s="7"/>
      <c r="X1266" s="7"/>
      <c r="Y1266" s="7"/>
      <c r="Z1266" s="7"/>
      <c r="AA1266" s="7"/>
    </row>
    <row r="1267" spans="1:27" outlineLevel="7">
      <c r="A1267" s="3499" t="s">
        <v>1938</v>
      </c>
      <c r="B1267" s="3499"/>
      <c r="C1267" s="7"/>
      <c r="D1267" s="7"/>
      <c r="E1267" s="14">
        <v>550</v>
      </c>
      <c r="F1267" s="7"/>
      <c r="G1267" s="14">
        <v>550</v>
      </c>
      <c r="H1267" s="3523">
        <v>550</v>
      </c>
      <c r="I1267" s="3523"/>
      <c r="J1267" s="7"/>
      <c r="K1267" s="7"/>
      <c r="L1267" s="7"/>
      <c r="M1267" s="7"/>
      <c r="N1267" s="7"/>
      <c r="O1267" s="7"/>
      <c r="P1267" s="7"/>
      <c r="Q1267" s="7"/>
      <c r="R1267" s="14">
        <v>550</v>
      </c>
      <c r="S1267" s="7"/>
      <c r="T1267" s="7"/>
      <c r="U1267" s="14">
        <v>550</v>
      </c>
      <c r="V1267" s="7"/>
      <c r="W1267" s="7"/>
      <c r="X1267" s="7"/>
      <c r="Y1267" s="7"/>
      <c r="Z1267" s="7"/>
      <c r="AA1267" s="7"/>
    </row>
    <row r="1268" spans="1:27" outlineLevel="6">
      <c r="A1268" s="3501" t="s">
        <v>799</v>
      </c>
      <c r="B1268" s="3501"/>
      <c r="C1268" s="12"/>
      <c r="D1268" s="12"/>
      <c r="E1268" s="12"/>
      <c r="F1268" s="7"/>
      <c r="G1268" s="7"/>
      <c r="H1268" s="8"/>
      <c r="I1268" s="9"/>
      <c r="J1268" s="7"/>
      <c r="K1268" s="7"/>
      <c r="L1268" s="7"/>
      <c r="M1268" s="7"/>
      <c r="N1268" s="7"/>
      <c r="O1268" s="7"/>
      <c r="P1268" s="7"/>
      <c r="Q1268" s="7"/>
      <c r="R1268" s="14">
        <v>550</v>
      </c>
      <c r="S1268" s="7"/>
      <c r="T1268" s="7"/>
      <c r="U1268" s="14">
        <v>550</v>
      </c>
      <c r="V1268" s="7"/>
      <c r="W1268" s="7"/>
      <c r="X1268" s="7"/>
      <c r="Y1268" s="7"/>
      <c r="Z1268" s="12"/>
      <c r="AA1268" s="14">
        <v>550</v>
      </c>
    </row>
    <row r="1269" spans="1:27" outlineLevel="7">
      <c r="A1269" s="3500" t="s">
        <v>800</v>
      </c>
      <c r="B1269" s="3500"/>
      <c r="C1269" s="12"/>
      <c r="D1269" s="12"/>
      <c r="E1269" s="12"/>
      <c r="F1269" s="7"/>
      <c r="G1269" s="7"/>
      <c r="H1269" s="8"/>
      <c r="I1269" s="9"/>
      <c r="J1269" s="7"/>
      <c r="K1269" s="7"/>
      <c r="L1269" s="7"/>
      <c r="M1269" s="7"/>
      <c r="N1269" s="7"/>
      <c r="O1269" s="7"/>
      <c r="P1269" s="7"/>
      <c r="Q1269" s="7"/>
      <c r="R1269" s="14">
        <v>550</v>
      </c>
      <c r="S1269" s="7"/>
      <c r="T1269" s="7"/>
      <c r="U1269" s="14">
        <v>550</v>
      </c>
      <c r="V1269" s="7"/>
      <c r="W1269" s="7"/>
      <c r="X1269" s="7"/>
      <c r="Y1269" s="7"/>
      <c r="Z1269" s="12"/>
      <c r="AA1269" s="14">
        <v>550</v>
      </c>
    </row>
    <row r="1270" spans="1:27" outlineLevel="7">
      <c r="A1270" s="3499" t="s">
        <v>1939</v>
      </c>
      <c r="B1270" s="3499"/>
      <c r="C1270" s="12"/>
      <c r="D1270" s="12"/>
      <c r="E1270" s="12"/>
      <c r="F1270" s="7"/>
      <c r="G1270" s="7"/>
      <c r="H1270" s="8"/>
      <c r="I1270" s="9"/>
      <c r="J1270" s="7"/>
      <c r="K1270" s="7"/>
      <c r="L1270" s="7"/>
      <c r="M1270" s="7"/>
      <c r="N1270" s="7"/>
      <c r="O1270" s="7"/>
      <c r="P1270" s="7"/>
      <c r="Q1270" s="7"/>
      <c r="R1270" s="14">
        <v>550</v>
      </c>
      <c r="S1270" s="7"/>
      <c r="T1270" s="7"/>
      <c r="U1270" s="14">
        <v>550</v>
      </c>
      <c r="V1270" s="7"/>
      <c r="W1270" s="7"/>
      <c r="X1270" s="7"/>
      <c r="Y1270" s="7"/>
      <c r="Z1270" s="12"/>
      <c r="AA1270" s="14">
        <v>550</v>
      </c>
    </row>
    <row r="1271" spans="1:27" outlineLevel="6">
      <c r="A1271" s="3501" t="s">
        <v>801</v>
      </c>
      <c r="B1271" s="3501"/>
      <c r="C1271" s="12"/>
      <c r="D1271" s="14">
        <v>550</v>
      </c>
      <c r="E1271" s="7"/>
      <c r="F1271" s="7"/>
      <c r="G1271" s="7"/>
      <c r="H1271" s="8"/>
      <c r="I1271" s="9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12"/>
      <c r="AA1271" s="14">
        <v>550</v>
      </c>
    </row>
    <row r="1272" spans="1:27" outlineLevel="7">
      <c r="A1272" s="3500" t="s">
        <v>802</v>
      </c>
      <c r="B1272" s="3500"/>
      <c r="C1272" s="12"/>
      <c r="D1272" s="14">
        <v>550</v>
      </c>
      <c r="E1272" s="7"/>
      <c r="F1272" s="7"/>
      <c r="G1272" s="7"/>
      <c r="H1272" s="8"/>
      <c r="I1272" s="9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12"/>
      <c r="AA1272" s="14">
        <v>550</v>
      </c>
    </row>
    <row r="1273" spans="1:27" outlineLevel="7">
      <c r="A1273" s="3499" t="s">
        <v>1940</v>
      </c>
      <c r="B1273" s="3499"/>
      <c r="C1273" s="12"/>
      <c r="D1273" s="14">
        <v>550</v>
      </c>
      <c r="E1273" s="7"/>
      <c r="F1273" s="7"/>
      <c r="G1273" s="7"/>
      <c r="H1273" s="8"/>
      <c r="I1273" s="9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12"/>
      <c r="AA1273" s="14">
        <v>550</v>
      </c>
    </row>
    <row r="1274" spans="1:27" outlineLevel="6">
      <c r="A1274" s="3501" t="s">
        <v>803</v>
      </c>
      <c r="B1274" s="3501"/>
      <c r="C1274" s="12"/>
      <c r="D1274" s="12"/>
      <c r="E1274" s="12"/>
      <c r="F1274" s="7"/>
      <c r="G1274" s="7"/>
      <c r="H1274" s="8"/>
      <c r="I1274" s="9"/>
      <c r="J1274" s="7"/>
      <c r="K1274" s="7"/>
      <c r="L1274" s="7"/>
      <c r="M1274" s="7"/>
      <c r="N1274" s="7"/>
      <c r="O1274" s="7"/>
      <c r="P1274" s="7"/>
      <c r="Q1274" s="7"/>
      <c r="R1274" s="14">
        <v>550</v>
      </c>
      <c r="S1274" s="7"/>
      <c r="T1274" s="7"/>
      <c r="U1274" s="14">
        <v>550</v>
      </c>
      <c r="V1274" s="7"/>
      <c r="W1274" s="7"/>
      <c r="X1274" s="7"/>
      <c r="Y1274" s="7"/>
      <c r="Z1274" s="12"/>
      <c r="AA1274" s="14">
        <v>550</v>
      </c>
    </row>
    <row r="1275" spans="1:27" outlineLevel="7">
      <c r="A1275" s="3500" t="s">
        <v>804</v>
      </c>
      <c r="B1275" s="3500"/>
      <c r="C1275" s="12"/>
      <c r="D1275" s="12"/>
      <c r="E1275" s="12"/>
      <c r="F1275" s="7"/>
      <c r="G1275" s="7"/>
      <c r="H1275" s="8"/>
      <c r="I1275" s="9"/>
      <c r="J1275" s="7"/>
      <c r="K1275" s="7"/>
      <c r="L1275" s="7"/>
      <c r="M1275" s="7"/>
      <c r="N1275" s="7"/>
      <c r="O1275" s="7"/>
      <c r="P1275" s="7"/>
      <c r="Q1275" s="7"/>
      <c r="R1275" s="14">
        <v>550</v>
      </c>
      <c r="S1275" s="7"/>
      <c r="T1275" s="7"/>
      <c r="U1275" s="14">
        <v>550</v>
      </c>
      <c r="V1275" s="7"/>
      <c r="W1275" s="7"/>
      <c r="X1275" s="7"/>
      <c r="Y1275" s="7"/>
      <c r="Z1275" s="12"/>
      <c r="AA1275" s="14">
        <v>550</v>
      </c>
    </row>
    <row r="1276" spans="1:27" outlineLevel="7">
      <c r="A1276" s="3499" t="s">
        <v>1941</v>
      </c>
      <c r="B1276" s="3499"/>
      <c r="C1276" s="12"/>
      <c r="D1276" s="12"/>
      <c r="E1276" s="12"/>
      <c r="F1276" s="7"/>
      <c r="G1276" s="7"/>
      <c r="H1276" s="8"/>
      <c r="I1276" s="9"/>
      <c r="J1276" s="7"/>
      <c r="K1276" s="7"/>
      <c r="L1276" s="7"/>
      <c r="M1276" s="7"/>
      <c r="N1276" s="7"/>
      <c r="O1276" s="7"/>
      <c r="P1276" s="7"/>
      <c r="Q1276" s="7"/>
      <c r="R1276" s="14">
        <v>550</v>
      </c>
      <c r="S1276" s="7"/>
      <c r="T1276" s="7"/>
      <c r="U1276" s="14">
        <v>550</v>
      </c>
      <c r="V1276" s="7"/>
      <c r="W1276" s="7"/>
      <c r="X1276" s="7"/>
      <c r="Y1276" s="7"/>
      <c r="Z1276" s="12"/>
      <c r="AA1276" s="14">
        <v>550</v>
      </c>
    </row>
    <row r="1277" spans="1:27" outlineLevel="6">
      <c r="A1277" s="3501" t="s">
        <v>805</v>
      </c>
      <c r="B1277" s="3501"/>
      <c r="C1277" s="12"/>
      <c r="D1277" s="14">
        <v>550</v>
      </c>
      <c r="E1277" s="7"/>
      <c r="F1277" s="7"/>
      <c r="G1277" s="7"/>
      <c r="H1277" s="8"/>
      <c r="I1277" s="9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12"/>
      <c r="AA1277" s="14">
        <v>550</v>
      </c>
    </row>
    <row r="1278" spans="1:27" outlineLevel="7">
      <c r="A1278" s="3500" t="s">
        <v>754</v>
      </c>
      <c r="B1278" s="3500"/>
      <c r="C1278" s="12"/>
      <c r="D1278" s="14">
        <v>550</v>
      </c>
      <c r="E1278" s="7"/>
      <c r="F1278" s="7"/>
      <c r="G1278" s="7"/>
      <c r="H1278" s="8"/>
      <c r="I1278" s="9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12"/>
      <c r="AA1278" s="14">
        <v>550</v>
      </c>
    </row>
    <row r="1279" spans="1:27" outlineLevel="7">
      <c r="A1279" s="3499" t="s">
        <v>1942</v>
      </c>
      <c r="B1279" s="3499"/>
      <c r="C1279" s="12"/>
      <c r="D1279" s="14">
        <v>550</v>
      </c>
      <c r="E1279" s="7"/>
      <c r="F1279" s="7"/>
      <c r="G1279" s="7"/>
      <c r="H1279" s="8"/>
      <c r="I1279" s="9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12"/>
      <c r="AA1279" s="14">
        <v>550</v>
      </c>
    </row>
    <row r="1280" spans="1:27" outlineLevel="6">
      <c r="A1280" s="3501" t="s">
        <v>112</v>
      </c>
      <c r="B1280" s="3501"/>
      <c r="C1280" s="12"/>
      <c r="D1280" s="14">
        <v>550</v>
      </c>
      <c r="E1280" s="14">
        <v>550</v>
      </c>
      <c r="F1280" s="7"/>
      <c r="G1280" s="14">
        <v>550</v>
      </c>
      <c r="H1280" s="3523">
        <v>550</v>
      </c>
      <c r="I1280" s="3523"/>
      <c r="J1280" s="7"/>
      <c r="K1280" s="7"/>
      <c r="L1280" s="7"/>
      <c r="M1280" s="7"/>
      <c r="N1280" s="7"/>
      <c r="O1280" s="7"/>
      <c r="P1280" s="7"/>
      <c r="Q1280" s="7"/>
      <c r="R1280" s="12"/>
      <c r="S1280" s="7"/>
      <c r="T1280" s="7"/>
      <c r="U1280" s="7"/>
      <c r="V1280" s="7"/>
      <c r="W1280" s="7"/>
      <c r="X1280" s="7"/>
      <c r="Y1280" s="7"/>
      <c r="Z1280" s="12"/>
      <c r="AA1280" s="12"/>
    </row>
    <row r="1281" spans="1:27" outlineLevel="7">
      <c r="A1281" s="3500" t="s">
        <v>113</v>
      </c>
      <c r="B1281" s="3500"/>
      <c r="C1281" s="12"/>
      <c r="D1281" s="14">
        <v>550</v>
      </c>
      <c r="E1281" s="14">
        <v>550</v>
      </c>
      <c r="F1281" s="7"/>
      <c r="G1281" s="14">
        <v>550</v>
      </c>
      <c r="H1281" s="3523">
        <v>550</v>
      </c>
      <c r="I1281" s="3523"/>
      <c r="J1281" s="7"/>
      <c r="K1281" s="7"/>
      <c r="L1281" s="7"/>
      <c r="M1281" s="7"/>
      <c r="N1281" s="7"/>
      <c r="O1281" s="7"/>
      <c r="P1281" s="7"/>
      <c r="Q1281" s="7"/>
      <c r="R1281" s="12"/>
      <c r="S1281" s="7"/>
      <c r="T1281" s="7"/>
      <c r="U1281" s="7"/>
      <c r="V1281" s="7"/>
      <c r="W1281" s="7"/>
      <c r="X1281" s="7"/>
      <c r="Y1281" s="7"/>
      <c r="Z1281" s="12"/>
      <c r="AA1281" s="12"/>
    </row>
    <row r="1282" spans="1:27" outlineLevel="7">
      <c r="A1282" s="3499" t="s">
        <v>1943</v>
      </c>
      <c r="B1282" s="3499"/>
      <c r="C1282" s="12"/>
      <c r="D1282" s="14">
        <v>550</v>
      </c>
      <c r="E1282" s="14">
        <v>550</v>
      </c>
      <c r="F1282" s="7"/>
      <c r="G1282" s="14">
        <v>550</v>
      </c>
      <c r="H1282" s="3523">
        <v>550</v>
      </c>
      <c r="I1282" s="3523"/>
      <c r="J1282" s="7"/>
      <c r="K1282" s="7"/>
      <c r="L1282" s="7"/>
      <c r="M1282" s="7"/>
      <c r="N1282" s="7"/>
      <c r="O1282" s="7"/>
      <c r="P1282" s="7"/>
      <c r="Q1282" s="7"/>
      <c r="R1282" s="12"/>
      <c r="S1282" s="7"/>
      <c r="T1282" s="7"/>
      <c r="U1282" s="7"/>
      <c r="V1282" s="7"/>
      <c r="W1282" s="7"/>
      <c r="X1282" s="7"/>
      <c r="Y1282" s="7"/>
      <c r="Z1282" s="12"/>
      <c r="AA1282" s="12"/>
    </row>
    <row r="1283" spans="1:27" outlineLevel="6">
      <c r="A1283" s="3501" t="s">
        <v>806</v>
      </c>
      <c r="B1283" s="3501"/>
      <c r="C1283" s="12"/>
      <c r="D1283" s="12"/>
      <c r="E1283" s="12"/>
      <c r="F1283" s="7"/>
      <c r="G1283" s="7"/>
      <c r="H1283" s="8"/>
      <c r="I1283" s="9"/>
      <c r="J1283" s="7"/>
      <c r="K1283" s="7"/>
      <c r="L1283" s="7"/>
      <c r="M1283" s="7"/>
      <c r="N1283" s="7"/>
      <c r="O1283" s="7"/>
      <c r="P1283" s="7"/>
      <c r="Q1283" s="7"/>
      <c r="R1283" s="14">
        <v>550</v>
      </c>
      <c r="S1283" s="7"/>
      <c r="T1283" s="7"/>
      <c r="U1283" s="14">
        <v>550</v>
      </c>
      <c r="V1283" s="7"/>
      <c r="W1283" s="7"/>
      <c r="X1283" s="7"/>
      <c r="Y1283" s="7"/>
      <c r="Z1283" s="12"/>
      <c r="AA1283" s="14">
        <v>550</v>
      </c>
    </row>
    <row r="1284" spans="1:27" outlineLevel="7">
      <c r="A1284" s="3500" t="s">
        <v>807</v>
      </c>
      <c r="B1284" s="3500"/>
      <c r="C1284" s="12"/>
      <c r="D1284" s="12"/>
      <c r="E1284" s="12"/>
      <c r="F1284" s="7"/>
      <c r="G1284" s="7"/>
      <c r="H1284" s="8"/>
      <c r="I1284" s="9"/>
      <c r="J1284" s="7"/>
      <c r="K1284" s="7"/>
      <c r="L1284" s="7"/>
      <c r="M1284" s="7"/>
      <c r="N1284" s="7"/>
      <c r="O1284" s="7"/>
      <c r="P1284" s="7"/>
      <c r="Q1284" s="7"/>
      <c r="R1284" s="14">
        <v>550</v>
      </c>
      <c r="S1284" s="7"/>
      <c r="T1284" s="7"/>
      <c r="U1284" s="14">
        <v>550</v>
      </c>
      <c r="V1284" s="7"/>
      <c r="W1284" s="7"/>
      <c r="X1284" s="7"/>
      <c r="Y1284" s="7"/>
      <c r="Z1284" s="12"/>
      <c r="AA1284" s="14">
        <v>550</v>
      </c>
    </row>
    <row r="1285" spans="1:27" outlineLevel="7">
      <c r="A1285" s="3499" t="s">
        <v>1944</v>
      </c>
      <c r="B1285" s="3499"/>
      <c r="C1285" s="12"/>
      <c r="D1285" s="12"/>
      <c r="E1285" s="12"/>
      <c r="F1285" s="7"/>
      <c r="G1285" s="7"/>
      <c r="H1285" s="8"/>
      <c r="I1285" s="9"/>
      <c r="J1285" s="7"/>
      <c r="K1285" s="7"/>
      <c r="L1285" s="7"/>
      <c r="M1285" s="7"/>
      <c r="N1285" s="7"/>
      <c r="O1285" s="7"/>
      <c r="P1285" s="7"/>
      <c r="Q1285" s="7"/>
      <c r="R1285" s="14">
        <v>550</v>
      </c>
      <c r="S1285" s="7"/>
      <c r="T1285" s="7"/>
      <c r="U1285" s="14">
        <v>550</v>
      </c>
      <c r="V1285" s="7"/>
      <c r="W1285" s="7"/>
      <c r="X1285" s="7"/>
      <c r="Y1285" s="7"/>
      <c r="Z1285" s="12"/>
      <c r="AA1285" s="14">
        <v>550</v>
      </c>
    </row>
    <row r="1286" spans="1:27" outlineLevel="6">
      <c r="A1286" s="3501" t="s">
        <v>808</v>
      </c>
      <c r="B1286" s="3501"/>
      <c r="C1286" s="12"/>
      <c r="D1286" s="12"/>
      <c r="E1286" s="12"/>
      <c r="F1286" s="7"/>
      <c r="G1286" s="7"/>
      <c r="H1286" s="8"/>
      <c r="I1286" s="9"/>
      <c r="J1286" s="7"/>
      <c r="K1286" s="7"/>
      <c r="L1286" s="7"/>
      <c r="M1286" s="7"/>
      <c r="N1286" s="7"/>
      <c r="O1286" s="7"/>
      <c r="P1286" s="7"/>
      <c r="Q1286" s="7"/>
      <c r="R1286" s="14">
        <v>550</v>
      </c>
      <c r="S1286" s="7"/>
      <c r="T1286" s="7"/>
      <c r="U1286" s="14">
        <v>550</v>
      </c>
      <c r="V1286" s="7"/>
      <c r="W1286" s="7"/>
      <c r="X1286" s="7"/>
      <c r="Y1286" s="7"/>
      <c r="Z1286" s="12"/>
      <c r="AA1286" s="14">
        <v>550</v>
      </c>
    </row>
    <row r="1287" spans="1:27" outlineLevel="7">
      <c r="A1287" s="3500" t="s">
        <v>809</v>
      </c>
      <c r="B1287" s="3500"/>
      <c r="C1287" s="12"/>
      <c r="D1287" s="12"/>
      <c r="E1287" s="12"/>
      <c r="F1287" s="7"/>
      <c r="G1287" s="7"/>
      <c r="H1287" s="8"/>
      <c r="I1287" s="9"/>
      <c r="J1287" s="7"/>
      <c r="K1287" s="7"/>
      <c r="L1287" s="7"/>
      <c r="M1287" s="7"/>
      <c r="N1287" s="7"/>
      <c r="O1287" s="7"/>
      <c r="P1287" s="7"/>
      <c r="Q1287" s="7"/>
      <c r="R1287" s="14">
        <v>550</v>
      </c>
      <c r="S1287" s="7"/>
      <c r="T1287" s="7"/>
      <c r="U1287" s="14">
        <v>550</v>
      </c>
      <c r="V1287" s="7"/>
      <c r="W1287" s="7"/>
      <c r="X1287" s="7"/>
      <c r="Y1287" s="7"/>
      <c r="Z1287" s="12"/>
      <c r="AA1287" s="14">
        <v>550</v>
      </c>
    </row>
    <row r="1288" spans="1:27" outlineLevel="7">
      <c r="A1288" s="3499" t="s">
        <v>1945</v>
      </c>
      <c r="B1288" s="3499"/>
      <c r="C1288" s="12"/>
      <c r="D1288" s="12"/>
      <c r="E1288" s="12"/>
      <c r="F1288" s="7"/>
      <c r="G1288" s="7"/>
      <c r="H1288" s="8"/>
      <c r="I1288" s="9"/>
      <c r="J1288" s="7"/>
      <c r="K1288" s="7"/>
      <c r="L1288" s="7"/>
      <c r="M1288" s="7"/>
      <c r="N1288" s="7"/>
      <c r="O1288" s="7"/>
      <c r="P1288" s="7"/>
      <c r="Q1288" s="7"/>
      <c r="R1288" s="14">
        <v>550</v>
      </c>
      <c r="S1288" s="7"/>
      <c r="T1288" s="7"/>
      <c r="U1288" s="14">
        <v>550</v>
      </c>
      <c r="V1288" s="7"/>
      <c r="W1288" s="7"/>
      <c r="X1288" s="7"/>
      <c r="Y1288" s="7"/>
      <c r="Z1288" s="12"/>
      <c r="AA1288" s="14">
        <v>550</v>
      </c>
    </row>
    <row r="1289" spans="1:27" outlineLevel="6">
      <c r="A1289" s="3501" t="s">
        <v>810</v>
      </c>
      <c r="B1289" s="3501"/>
      <c r="C1289" s="12"/>
      <c r="D1289" s="12"/>
      <c r="E1289" s="12"/>
      <c r="F1289" s="7"/>
      <c r="G1289" s="7"/>
      <c r="H1289" s="8"/>
      <c r="I1289" s="9"/>
      <c r="J1289" s="7"/>
      <c r="K1289" s="7"/>
      <c r="L1289" s="7"/>
      <c r="M1289" s="7"/>
      <c r="N1289" s="7"/>
      <c r="O1289" s="7"/>
      <c r="P1289" s="7"/>
      <c r="Q1289" s="7"/>
      <c r="R1289" s="14">
        <v>550</v>
      </c>
      <c r="S1289" s="7"/>
      <c r="T1289" s="7"/>
      <c r="U1289" s="14">
        <v>550</v>
      </c>
      <c r="V1289" s="7"/>
      <c r="W1289" s="7"/>
      <c r="X1289" s="7"/>
      <c r="Y1289" s="7"/>
      <c r="Z1289" s="12"/>
      <c r="AA1289" s="14">
        <v>550</v>
      </c>
    </row>
    <row r="1290" spans="1:27" outlineLevel="7">
      <c r="A1290" s="3500" t="s">
        <v>811</v>
      </c>
      <c r="B1290" s="3500"/>
      <c r="C1290" s="12"/>
      <c r="D1290" s="12"/>
      <c r="E1290" s="12"/>
      <c r="F1290" s="7"/>
      <c r="G1290" s="7"/>
      <c r="H1290" s="8"/>
      <c r="I1290" s="9"/>
      <c r="J1290" s="7"/>
      <c r="K1290" s="7"/>
      <c r="L1290" s="7"/>
      <c r="M1290" s="7"/>
      <c r="N1290" s="7"/>
      <c r="O1290" s="7"/>
      <c r="P1290" s="7"/>
      <c r="Q1290" s="7"/>
      <c r="R1290" s="14">
        <v>550</v>
      </c>
      <c r="S1290" s="7"/>
      <c r="T1290" s="7"/>
      <c r="U1290" s="14">
        <v>550</v>
      </c>
      <c r="V1290" s="7"/>
      <c r="W1290" s="7"/>
      <c r="X1290" s="7"/>
      <c r="Y1290" s="7"/>
      <c r="Z1290" s="12"/>
      <c r="AA1290" s="14">
        <v>550</v>
      </c>
    </row>
    <row r="1291" spans="1:27" outlineLevel="7">
      <c r="A1291" s="3499" t="s">
        <v>1946</v>
      </c>
      <c r="B1291" s="3499"/>
      <c r="C1291" s="12"/>
      <c r="D1291" s="12"/>
      <c r="E1291" s="12"/>
      <c r="F1291" s="7"/>
      <c r="G1291" s="7"/>
      <c r="H1291" s="8"/>
      <c r="I1291" s="9"/>
      <c r="J1291" s="7"/>
      <c r="K1291" s="7"/>
      <c r="L1291" s="7"/>
      <c r="M1291" s="7"/>
      <c r="N1291" s="7"/>
      <c r="O1291" s="7"/>
      <c r="P1291" s="7"/>
      <c r="Q1291" s="7"/>
      <c r="R1291" s="14">
        <v>550</v>
      </c>
      <c r="S1291" s="7"/>
      <c r="T1291" s="7"/>
      <c r="U1291" s="14">
        <v>550</v>
      </c>
      <c r="V1291" s="7"/>
      <c r="W1291" s="7"/>
      <c r="X1291" s="7"/>
      <c r="Y1291" s="7"/>
      <c r="Z1291" s="12"/>
      <c r="AA1291" s="14">
        <v>550</v>
      </c>
    </row>
    <row r="1292" spans="1:27" outlineLevel="6">
      <c r="A1292" s="3501" t="s">
        <v>812</v>
      </c>
      <c r="B1292" s="3501"/>
      <c r="C1292" s="12"/>
      <c r="D1292" s="12"/>
      <c r="E1292" s="12"/>
      <c r="F1292" s="7"/>
      <c r="G1292" s="7"/>
      <c r="H1292" s="8"/>
      <c r="I1292" s="9"/>
      <c r="J1292" s="7"/>
      <c r="K1292" s="7"/>
      <c r="L1292" s="7"/>
      <c r="M1292" s="7"/>
      <c r="N1292" s="7"/>
      <c r="O1292" s="7"/>
      <c r="P1292" s="7"/>
      <c r="Q1292" s="7"/>
      <c r="R1292" s="14">
        <v>550</v>
      </c>
      <c r="S1292" s="7"/>
      <c r="T1292" s="7"/>
      <c r="U1292" s="14">
        <v>550</v>
      </c>
      <c r="V1292" s="7"/>
      <c r="W1292" s="7"/>
      <c r="X1292" s="7"/>
      <c r="Y1292" s="7"/>
      <c r="Z1292" s="12"/>
      <c r="AA1292" s="14">
        <v>550</v>
      </c>
    </row>
    <row r="1293" spans="1:27" outlineLevel="7">
      <c r="A1293" s="3500" t="s">
        <v>813</v>
      </c>
      <c r="B1293" s="3500"/>
      <c r="C1293" s="12"/>
      <c r="D1293" s="12"/>
      <c r="E1293" s="12"/>
      <c r="F1293" s="7"/>
      <c r="G1293" s="7"/>
      <c r="H1293" s="8"/>
      <c r="I1293" s="9"/>
      <c r="J1293" s="7"/>
      <c r="K1293" s="7"/>
      <c r="L1293" s="7"/>
      <c r="M1293" s="7"/>
      <c r="N1293" s="7"/>
      <c r="O1293" s="7"/>
      <c r="P1293" s="7"/>
      <c r="Q1293" s="7"/>
      <c r="R1293" s="14">
        <v>550</v>
      </c>
      <c r="S1293" s="7"/>
      <c r="T1293" s="7"/>
      <c r="U1293" s="14">
        <v>550</v>
      </c>
      <c r="V1293" s="7"/>
      <c r="W1293" s="7"/>
      <c r="X1293" s="7"/>
      <c r="Y1293" s="7"/>
      <c r="Z1293" s="12"/>
      <c r="AA1293" s="14">
        <v>550</v>
      </c>
    </row>
    <row r="1294" spans="1:27" outlineLevel="7">
      <c r="A1294" s="3499" t="s">
        <v>1947</v>
      </c>
      <c r="B1294" s="3499"/>
      <c r="C1294" s="12"/>
      <c r="D1294" s="12"/>
      <c r="E1294" s="12"/>
      <c r="F1294" s="7"/>
      <c r="G1294" s="7"/>
      <c r="H1294" s="8"/>
      <c r="I1294" s="9"/>
      <c r="J1294" s="7"/>
      <c r="K1294" s="7"/>
      <c r="L1294" s="7"/>
      <c r="M1294" s="7"/>
      <c r="N1294" s="7"/>
      <c r="O1294" s="7"/>
      <c r="P1294" s="7"/>
      <c r="Q1294" s="7"/>
      <c r="R1294" s="14">
        <v>550</v>
      </c>
      <c r="S1294" s="7"/>
      <c r="T1294" s="7"/>
      <c r="U1294" s="14">
        <v>550</v>
      </c>
      <c r="V1294" s="7"/>
      <c r="W1294" s="7"/>
      <c r="X1294" s="7"/>
      <c r="Y1294" s="7"/>
      <c r="Z1294" s="12"/>
      <c r="AA1294" s="14">
        <v>550</v>
      </c>
    </row>
    <row r="1295" spans="1:27" outlineLevel="6">
      <c r="A1295" s="3501" t="s">
        <v>814</v>
      </c>
      <c r="B1295" s="3501"/>
      <c r="C1295" s="12"/>
      <c r="D1295" s="12"/>
      <c r="E1295" s="12"/>
      <c r="F1295" s="7"/>
      <c r="G1295" s="7"/>
      <c r="H1295" s="8"/>
      <c r="I1295" s="9"/>
      <c r="J1295" s="7"/>
      <c r="K1295" s="7"/>
      <c r="L1295" s="7"/>
      <c r="M1295" s="7"/>
      <c r="N1295" s="7"/>
      <c r="O1295" s="7"/>
      <c r="P1295" s="7"/>
      <c r="Q1295" s="7"/>
      <c r="R1295" s="14">
        <v>550</v>
      </c>
      <c r="S1295" s="7"/>
      <c r="T1295" s="7"/>
      <c r="U1295" s="14">
        <v>550</v>
      </c>
      <c r="V1295" s="7"/>
      <c r="W1295" s="7"/>
      <c r="X1295" s="7"/>
      <c r="Y1295" s="7"/>
      <c r="Z1295" s="12"/>
      <c r="AA1295" s="14">
        <v>550</v>
      </c>
    </row>
    <row r="1296" spans="1:27" outlineLevel="7">
      <c r="A1296" s="3500" t="s">
        <v>815</v>
      </c>
      <c r="B1296" s="3500"/>
      <c r="C1296" s="12"/>
      <c r="D1296" s="12"/>
      <c r="E1296" s="12"/>
      <c r="F1296" s="7"/>
      <c r="G1296" s="7"/>
      <c r="H1296" s="8"/>
      <c r="I1296" s="9"/>
      <c r="J1296" s="7"/>
      <c r="K1296" s="7"/>
      <c r="L1296" s="7"/>
      <c r="M1296" s="7"/>
      <c r="N1296" s="7"/>
      <c r="O1296" s="7"/>
      <c r="P1296" s="7"/>
      <c r="Q1296" s="7"/>
      <c r="R1296" s="14">
        <v>550</v>
      </c>
      <c r="S1296" s="7"/>
      <c r="T1296" s="7"/>
      <c r="U1296" s="14">
        <v>550</v>
      </c>
      <c r="V1296" s="7"/>
      <c r="W1296" s="7"/>
      <c r="X1296" s="7"/>
      <c r="Y1296" s="7"/>
      <c r="Z1296" s="12"/>
      <c r="AA1296" s="14">
        <v>550</v>
      </c>
    </row>
    <row r="1297" spans="1:27" outlineLevel="7">
      <c r="A1297" s="3499" t="s">
        <v>1948</v>
      </c>
      <c r="B1297" s="3499"/>
      <c r="C1297" s="12"/>
      <c r="D1297" s="12"/>
      <c r="E1297" s="12"/>
      <c r="F1297" s="7"/>
      <c r="G1297" s="7"/>
      <c r="H1297" s="8"/>
      <c r="I1297" s="9"/>
      <c r="J1297" s="7"/>
      <c r="K1297" s="7"/>
      <c r="L1297" s="7"/>
      <c r="M1297" s="7"/>
      <c r="N1297" s="7"/>
      <c r="O1297" s="7"/>
      <c r="P1297" s="7"/>
      <c r="Q1297" s="7"/>
      <c r="R1297" s="14">
        <v>550</v>
      </c>
      <c r="S1297" s="7"/>
      <c r="T1297" s="7"/>
      <c r="U1297" s="14">
        <v>550</v>
      </c>
      <c r="V1297" s="7"/>
      <c r="W1297" s="7"/>
      <c r="X1297" s="7"/>
      <c r="Y1297" s="7"/>
      <c r="Z1297" s="12"/>
      <c r="AA1297" s="14">
        <v>550</v>
      </c>
    </row>
    <row r="1298" spans="1:27" outlineLevel="6">
      <c r="A1298" s="3501" t="s">
        <v>816</v>
      </c>
      <c r="B1298" s="3501"/>
      <c r="C1298" s="12"/>
      <c r="D1298" s="12"/>
      <c r="E1298" s="12"/>
      <c r="F1298" s="7"/>
      <c r="G1298" s="7"/>
      <c r="H1298" s="8"/>
      <c r="I1298" s="9"/>
      <c r="J1298" s="7"/>
      <c r="K1298" s="7"/>
      <c r="L1298" s="7"/>
      <c r="M1298" s="7"/>
      <c r="N1298" s="7"/>
      <c r="O1298" s="7"/>
      <c r="P1298" s="7"/>
      <c r="Q1298" s="7"/>
      <c r="R1298" s="14">
        <v>550</v>
      </c>
      <c r="S1298" s="7"/>
      <c r="T1298" s="7"/>
      <c r="U1298" s="14">
        <v>550</v>
      </c>
      <c r="V1298" s="7"/>
      <c r="W1298" s="7"/>
      <c r="X1298" s="7"/>
      <c r="Y1298" s="7"/>
      <c r="Z1298" s="12"/>
      <c r="AA1298" s="14">
        <v>550</v>
      </c>
    </row>
    <row r="1299" spans="1:27" outlineLevel="7">
      <c r="A1299" s="3500" t="s">
        <v>817</v>
      </c>
      <c r="B1299" s="3500"/>
      <c r="C1299" s="12"/>
      <c r="D1299" s="12"/>
      <c r="E1299" s="12"/>
      <c r="F1299" s="7"/>
      <c r="G1299" s="7"/>
      <c r="H1299" s="8"/>
      <c r="I1299" s="9"/>
      <c r="J1299" s="7"/>
      <c r="K1299" s="7"/>
      <c r="L1299" s="7"/>
      <c r="M1299" s="7"/>
      <c r="N1299" s="7"/>
      <c r="O1299" s="7"/>
      <c r="P1299" s="7"/>
      <c r="Q1299" s="7"/>
      <c r="R1299" s="14">
        <v>550</v>
      </c>
      <c r="S1299" s="7"/>
      <c r="T1299" s="7"/>
      <c r="U1299" s="14">
        <v>550</v>
      </c>
      <c r="V1299" s="7"/>
      <c r="W1299" s="7"/>
      <c r="X1299" s="7"/>
      <c r="Y1299" s="7"/>
      <c r="Z1299" s="12"/>
      <c r="AA1299" s="14">
        <v>550</v>
      </c>
    </row>
    <row r="1300" spans="1:27" outlineLevel="7">
      <c r="A1300" s="3499" t="s">
        <v>1949</v>
      </c>
      <c r="B1300" s="3499"/>
      <c r="C1300" s="12"/>
      <c r="D1300" s="12"/>
      <c r="E1300" s="12"/>
      <c r="F1300" s="7"/>
      <c r="G1300" s="7"/>
      <c r="H1300" s="8"/>
      <c r="I1300" s="9"/>
      <c r="J1300" s="7"/>
      <c r="K1300" s="7"/>
      <c r="L1300" s="7"/>
      <c r="M1300" s="7"/>
      <c r="N1300" s="7"/>
      <c r="O1300" s="7"/>
      <c r="P1300" s="7"/>
      <c r="Q1300" s="7"/>
      <c r="R1300" s="14">
        <v>550</v>
      </c>
      <c r="S1300" s="7"/>
      <c r="T1300" s="7"/>
      <c r="U1300" s="14">
        <v>550</v>
      </c>
      <c r="V1300" s="7"/>
      <c r="W1300" s="7"/>
      <c r="X1300" s="7"/>
      <c r="Y1300" s="7"/>
      <c r="Z1300" s="12"/>
      <c r="AA1300" s="14">
        <v>550</v>
      </c>
    </row>
    <row r="1301" spans="1:27" outlineLevel="6">
      <c r="A1301" s="3501" t="s">
        <v>114</v>
      </c>
      <c r="B1301" s="3501"/>
      <c r="C1301" s="7"/>
      <c r="D1301" s="7"/>
      <c r="E1301" s="14">
        <v>550</v>
      </c>
      <c r="F1301" s="7"/>
      <c r="G1301" s="14">
        <v>550</v>
      </c>
      <c r="H1301" s="3523">
        <v>550</v>
      </c>
      <c r="I1301" s="3523"/>
      <c r="J1301" s="7"/>
      <c r="K1301" s="7"/>
      <c r="L1301" s="7"/>
      <c r="M1301" s="7"/>
      <c r="N1301" s="7"/>
      <c r="O1301" s="7"/>
      <c r="P1301" s="7"/>
      <c r="Q1301" s="7"/>
      <c r="R1301" s="14">
        <v>550</v>
      </c>
      <c r="S1301" s="7"/>
      <c r="T1301" s="7"/>
      <c r="U1301" s="14">
        <v>550</v>
      </c>
      <c r="V1301" s="7"/>
      <c r="W1301" s="7"/>
      <c r="X1301" s="7"/>
      <c r="Y1301" s="7"/>
      <c r="Z1301" s="7"/>
      <c r="AA1301" s="7"/>
    </row>
    <row r="1302" spans="1:27" outlineLevel="7">
      <c r="A1302" s="3500" t="s">
        <v>115</v>
      </c>
      <c r="B1302" s="3500"/>
      <c r="C1302" s="7"/>
      <c r="D1302" s="7"/>
      <c r="E1302" s="14">
        <v>550</v>
      </c>
      <c r="F1302" s="7"/>
      <c r="G1302" s="14">
        <v>550</v>
      </c>
      <c r="H1302" s="3523">
        <v>550</v>
      </c>
      <c r="I1302" s="3523"/>
      <c r="J1302" s="7"/>
      <c r="K1302" s="7"/>
      <c r="L1302" s="7"/>
      <c r="M1302" s="7"/>
      <c r="N1302" s="7"/>
      <c r="O1302" s="7"/>
      <c r="P1302" s="7"/>
      <c r="Q1302" s="7"/>
      <c r="R1302" s="14">
        <v>550</v>
      </c>
      <c r="S1302" s="7"/>
      <c r="T1302" s="7"/>
      <c r="U1302" s="14">
        <v>550</v>
      </c>
      <c r="V1302" s="7"/>
      <c r="W1302" s="7"/>
      <c r="X1302" s="7"/>
      <c r="Y1302" s="7"/>
      <c r="Z1302" s="7"/>
      <c r="AA1302" s="7"/>
    </row>
    <row r="1303" spans="1:27" outlineLevel="7">
      <c r="A1303" s="3499" t="s">
        <v>1950</v>
      </c>
      <c r="B1303" s="3499"/>
      <c r="C1303" s="7"/>
      <c r="D1303" s="7"/>
      <c r="E1303" s="14">
        <v>550</v>
      </c>
      <c r="F1303" s="7"/>
      <c r="G1303" s="14">
        <v>550</v>
      </c>
      <c r="H1303" s="3523">
        <v>550</v>
      </c>
      <c r="I1303" s="3523"/>
      <c r="J1303" s="7"/>
      <c r="K1303" s="7"/>
      <c r="L1303" s="7"/>
      <c r="M1303" s="7"/>
      <c r="N1303" s="7"/>
      <c r="O1303" s="7"/>
      <c r="P1303" s="7"/>
      <c r="Q1303" s="7"/>
      <c r="R1303" s="14">
        <v>550</v>
      </c>
      <c r="S1303" s="7"/>
      <c r="T1303" s="7"/>
      <c r="U1303" s="14">
        <v>550</v>
      </c>
      <c r="V1303" s="7"/>
      <c r="W1303" s="7"/>
      <c r="X1303" s="7"/>
      <c r="Y1303" s="7"/>
      <c r="Z1303" s="7"/>
      <c r="AA1303" s="7"/>
    </row>
    <row r="1304" spans="1:27" outlineLevel="6">
      <c r="A1304" s="3501" t="s">
        <v>116</v>
      </c>
      <c r="B1304" s="3501"/>
      <c r="C1304" s="7"/>
      <c r="D1304" s="7"/>
      <c r="E1304" s="14">
        <v>550</v>
      </c>
      <c r="F1304" s="7"/>
      <c r="G1304" s="14">
        <v>550</v>
      </c>
      <c r="H1304" s="3523">
        <v>550</v>
      </c>
      <c r="I1304" s="3523"/>
      <c r="J1304" s="7"/>
      <c r="K1304" s="7"/>
      <c r="L1304" s="7"/>
      <c r="M1304" s="7"/>
      <c r="N1304" s="7"/>
      <c r="O1304" s="7"/>
      <c r="P1304" s="7"/>
      <c r="Q1304" s="7"/>
      <c r="R1304" s="14">
        <v>550</v>
      </c>
      <c r="S1304" s="7"/>
      <c r="T1304" s="7"/>
      <c r="U1304" s="14">
        <v>550</v>
      </c>
      <c r="V1304" s="7"/>
      <c r="W1304" s="7"/>
      <c r="X1304" s="7"/>
      <c r="Y1304" s="7"/>
      <c r="Z1304" s="7"/>
      <c r="AA1304" s="7"/>
    </row>
    <row r="1305" spans="1:27" outlineLevel="7">
      <c r="A1305" s="3500" t="s">
        <v>117</v>
      </c>
      <c r="B1305" s="3500"/>
      <c r="C1305" s="7"/>
      <c r="D1305" s="7"/>
      <c r="E1305" s="14">
        <v>550</v>
      </c>
      <c r="F1305" s="7"/>
      <c r="G1305" s="14">
        <v>550</v>
      </c>
      <c r="H1305" s="3523">
        <v>550</v>
      </c>
      <c r="I1305" s="3523"/>
      <c r="J1305" s="7"/>
      <c r="K1305" s="7"/>
      <c r="L1305" s="7"/>
      <c r="M1305" s="7"/>
      <c r="N1305" s="7"/>
      <c r="O1305" s="7"/>
      <c r="P1305" s="7"/>
      <c r="Q1305" s="7"/>
      <c r="R1305" s="14">
        <v>550</v>
      </c>
      <c r="S1305" s="7"/>
      <c r="T1305" s="7"/>
      <c r="U1305" s="14">
        <v>550</v>
      </c>
      <c r="V1305" s="7"/>
      <c r="W1305" s="7"/>
      <c r="X1305" s="7"/>
      <c r="Y1305" s="7"/>
      <c r="Z1305" s="7"/>
      <c r="AA1305" s="7"/>
    </row>
    <row r="1306" spans="1:27" outlineLevel="7">
      <c r="A1306" s="3499" t="s">
        <v>1951</v>
      </c>
      <c r="B1306" s="3499"/>
      <c r="C1306" s="7"/>
      <c r="D1306" s="7"/>
      <c r="E1306" s="14">
        <v>550</v>
      </c>
      <c r="F1306" s="7"/>
      <c r="G1306" s="14">
        <v>550</v>
      </c>
      <c r="H1306" s="3523">
        <v>550</v>
      </c>
      <c r="I1306" s="3523"/>
      <c r="J1306" s="7"/>
      <c r="K1306" s="7"/>
      <c r="L1306" s="7"/>
      <c r="M1306" s="7"/>
      <c r="N1306" s="7"/>
      <c r="O1306" s="7"/>
      <c r="P1306" s="7"/>
      <c r="Q1306" s="7"/>
      <c r="R1306" s="14">
        <v>550</v>
      </c>
      <c r="S1306" s="7"/>
      <c r="T1306" s="7"/>
      <c r="U1306" s="14">
        <v>550</v>
      </c>
      <c r="V1306" s="7"/>
      <c r="W1306" s="7"/>
      <c r="X1306" s="7"/>
      <c r="Y1306" s="7"/>
      <c r="Z1306" s="7"/>
      <c r="AA1306" s="7"/>
    </row>
    <row r="1307" spans="1:27" outlineLevel="6">
      <c r="A1307" s="3501" t="s">
        <v>118</v>
      </c>
      <c r="B1307" s="3501"/>
      <c r="C1307" s="7"/>
      <c r="D1307" s="7"/>
      <c r="E1307" s="14">
        <v>550</v>
      </c>
      <c r="F1307" s="7"/>
      <c r="G1307" s="14">
        <v>550</v>
      </c>
      <c r="H1307" s="3523">
        <v>550</v>
      </c>
      <c r="I1307" s="3523"/>
      <c r="J1307" s="7"/>
      <c r="K1307" s="7"/>
      <c r="L1307" s="7"/>
      <c r="M1307" s="7"/>
      <c r="N1307" s="7"/>
      <c r="O1307" s="7"/>
      <c r="P1307" s="7"/>
      <c r="Q1307" s="7"/>
      <c r="R1307" s="14">
        <v>550</v>
      </c>
      <c r="S1307" s="7"/>
      <c r="T1307" s="7"/>
      <c r="U1307" s="14">
        <v>550</v>
      </c>
      <c r="V1307" s="7"/>
      <c r="W1307" s="7"/>
      <c r="X1307" s="7"/>
      <c r="Y1307" s="7"/>
      <c r="Z1307" s="7"/>
      <c r="AA1307" s="7"/>
    </row>
    <row r="1308" spans="1:27" outlineLevel="7">
      <c r="A1308" s="3500" t="s">
        <v>119</v>
      </c>
      <c r="B1308" s="3500"/>
      <c r="C1308" s="7"/>
      <c r="D1308" s="7"/>
      <c r="E1308" s="14">
        <v>550</v>
      </c>
      <c r="F1308" s="7"/>
      <c r="G1308" s="14">
        <v>550</v>
      </c>
      <c r="H1308" s="3523">
        <v>550</v>
      </c>
      <c r="I1308" s="3523"/>
      <c r="J1308" s="7"/>
      <c r="K1308" s="7"/>
      <c r="L1308" s="7"/>
      <c r="M1308" s="7"/>
      <c r="N1308" s="7"/>
      <c r="O1308" s="7"/>
      <c r="P1308" s="7"/>
      <c r="Q1308" s="7"/>
      <c r="R1308" s="14">
        <v>550</v>
      </c>
      <c r="S1308" s="7"/>
      <c r="T1308" s="7"/>
      <c r="U1308" s="14">
        <v>550</v>
      </c>
      <c r="V1308" s="7"/>
      <c r="W1308" s="7"/>
      <c r="X1308" s="7"/>
      <c r="Y1308" s="7"/>
      <c r="Z1308" s="7"/>
      <c r="AA1308" s="7"/>
    </row>
    <row r="1309" spans="1:27" outlineLevel="7">
      <c r="A1309" s="3499" t="s">
        <v>1952</v>
      </c>
      <c r="B1309" s="3499"/>
      <c r="C1309" s="7"/>
      <c r="D1309" s="7"/>
      <c r="E1309" s="14">
        <v>550</v>
      </c>
      <c r="F1309" s="7"/>
      <c r="G1309" s="14">
        <v>550</v>
      </c>
      <c r="H1309" s="3523">
        <v>550</v>
      </c>
      <c r="I1309" s="3523"/>
      <c r="J1309" s="7"/>
      <c r="K1309" s="7"/>
      <c r="L1309" s="7"/>
      <c r="M1309" s="7"/>
      <c r="N1309" s="7"/>
      <c r="O1309" s="7"/>
      <c r="P1309" s="7"/>
      <c r="Q1309" s="7"/>
      <c r="R1309" s="14">
        <v>550</v>
      </c>
      <c r="S1309" s="7"/>
      <c r="T1309" s="7"/>
      <c r="U1309" s="14">
        <v>550</v>
      </c>
      <c r="V1309" s="7"/>
      <c r="W1309" s="7"/>
      <c r="X1309" s="7"/>
      <c r="Y1309" s="7"/>
      <c r="Z1309" s="7"/>
      <c r="AA1309" s="7"/>
    </row>
    <row r="1310" spans="1:27" outlineLevel="6">
      <c r="A1310" s="3501" t="s">
        <v>120</v>
      </c>
      <c r="B1310" s="3501"/>
      <c r="C1310" s="7"/>
      <c r="D1310" s="7"/>
      <c r="E1310" s="14">
        <v>550</v>
      </c>
      <c r="F1310" s="7"/>
      <c r="G1310" s="14">
        <v>550</v>
      </c>
      <c r="H1310" s="3523">
        <v>550</v>
      </c>
      <c r="I1310" s="3523"/>
      <c r="J1310" s="7"/>
      <c r="K1310" s="7"/>
      <c r="L1310" s="7"/>
      <c r="M1310" s="7"/>
      <c r="N1310" s="7"/>
      <c r="O1310" s="7"/>
      <c r="P1310" s="7"/>
      <c r="Q1310" s="7"/>
      <c r="R1310" s="14">
        <v>550</v>
      </c>
      <c r="S1310" s="7"/>
      <c r="T1310" s="7"/>
      <c r="U1310" s="14">
        <v>550</v>
      </c>
      <c r="V1310" s="7"/>
      <c r="W1310" s="7"/>
      <c r="X1310" s="7"/>
      <c r="Y1310" s="7"/>
      <c r="Z1310" s="7"/>
      <c r="AA1310" s="7"/>
    </row>
    <row r="1311" spans="1:27" outlineLevel="7">
      <c r="A1311" s="3500" t="s">
        <v>121</v>
      </c>
      <c r="B1311" s="3500"/>
      <c r="C1311" s="7"/>
      <c r="D1311" s="7"/>
      <c r="E1311" s="14">
        <v>550</v>
      </c>
      <c r="F1311" s="7"/>
      <c r="G1311" s="14">
        <v>550</v>
      </c>
      <c r="H1311" s="3523">
        <v>550</v>
      </c>
      <c r="I1311" s="3523"/>
      <c r="J1311" s="7"/>
      <c r="K1311" s="7"/>
      <c r="L1311" s="7"/>
      <c r="M1311" s="7"/>
      <c r="N1311" s="7"/>
      <c r="O1311" s="7"/>
      <c r="P1311" s="7"/>
      <c r="Q1311" s="7"/>
      <c r="R1311" s="14">
        <v>550</v>
      </c>
      <c r="S1311" s="7"/>
      <c r="T1311" s="7"/>
      <c r="U1311" s="14">
        <v>550</v>
      </c>
      <c r="V1311" s="7"/>
      <c r="W1311" s="7"/>
      <c r="X1311" s="7"/>
      <c r="Y1311" s="7"/>
      <c r="Z1311" s="7"/>
      <c r="AA1311" s="7"/>
    </row>
    <row r="1312" spans="1:27" outlineLevel="7">
      <c r="A1312" s="3499" t="s">
        <v>1953</v>
      </c>
      <c r="B1312" s="3499"/>
      <c r="C1312" s="7"/>
      <c r="D1312" s="7"/>
      <c r="E1312" s="14">
        <v>550</v>
      </c>
      <c r="F1312" s="7"/>
      <c r="G1312" s="14">
        <v>550</v>
      </c>
      <c r="H1312" s="3523">
        <v>550</v>
      </c>
      <c r="I1312" s="3523"/>
      <c r="J1312" s="7"/>
      <c r="K1312" s="7"/>
      <c r="L1312" s="7"/>
      <c r="M1312" s="7"/>
      <c r="N1312" s="7"/>
      <c r="O1312" s="7"/>
      <c r="P1312" s="7"/>
      <c r="Q1312" s="7"/>
      <c r="R1312" s="14">
        <v>550</v>
      </c>
      <c r="S1312" s="7"/>
      <c r="T1312" s="7"/>
      <c r="U1312" s="14">
        <v>550</v>
      </c>
      <c r="V1312" s="7"/>
      <c r="W1312" s="7"/>
      <c r="X1312" s="7"/>
      <c r="Y1312" s="7"/>
      <c r="Z1312" s="7"/>
      <c r="AA1312" s="7"/>
    </row>
    <row r="1313" spans="1:27" outlineLevel="6">
      <c r="A1313" s="3501" t="s">
        <v>818</v>
      </c>
      <c r="B1313" s="3501"/>
      <c r="C1313" s="12"/>
      <c r="D1313" s="14">
        <v>550</v>
      </c>
      <c r="E1313" s="7"/>
      <c r="F1313" s="7"/>
      <c r="G1313" s="7"/>
      <c r="H1313" s="8"/>
      <c r="I1313" s="9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12"/>
      <c r="AA1313" s="14">
        <v>550</v>
      </c>
    </row>
    <row r="1314" spans="1:27" outlineLevel="7">
      <c r="A1314" s="3500" t="s">
        <v>819</v>
      </c>
      <c r="B1314" s="3500"/>
      <c r="C1314" s="12"/>
      <c r="D1314" s="14">
        <v>550</v>
      </c>
      <c r="E1314" s="7"/>
      <c r="F1314" s="7"/>
      <c r="G1314" s="7"/>
      <c r="H1314" s="8"/>
      <c r="I1314" s="9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12"/>
      <c r="AA1314" s="14">
        <v>550</v>
      </c>
    </row>
    <row r="1315" spans="1:27" outlineLevel="7">
      <c r="A1315" s="3499" t="s">
        <v>1954</v>
      </c>
      <c r="B1315" s="3499"/>
      <c r="C1315" s="12"/>
      <c r="D1315" s="14">
        <v>550</v>
      </c>
      <c r="E1315" s="7"/>
      <c r="F1315" s="7"/>
      <c r="G1315" s="7"/>
      <c r="H1315" s="8"/>
      <c r="I1315" s="9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12"/>
      <c r="AA1315" s="14">
        <v>550</v>
      </c>
    </row>
    <row r="1316" spans="1:27" outlineLevel="6">
      <c r="A1316" s="3501" t="s">
        <v>820</v>
      </c>
      <c r="B1316" s="3501"/>
      <c r="C1316" s="12"/>
      <c r="D1316" s="12"/>
      <c r="E1316" s="12"/>
      <c r="F1316" s="7"/>
      <c r="G1316" s="7"/>
      <c r="H1316" s="8"/>
      <c r="I1316" s="9"/>
      <c r="J1316" s="7"/>
      <c r="K1316" s="7"/>
      <c r="L1316" s="7"/>
      <c r="M1316" s="7"/>
      <c r="N1316" s="7"/>
      <c r="O1316" s="7"/>
      <c r="P1316" s="7"/>
      <c r="Q1316" s="7"/>
      <c r="R1316" s="14">
        <v>550</v>
      </c>
      <c r="S1316" s="7"/>
      <c r="T1316" s="7"/>
      <c r="U1316" s="14">
        <v>550</v>
      </c>
      <c r="V1316" s="7"/>
      <c r="W1316" s="7"/>
      <c r="X1316" s="7"/>
      <c r="Y1316" s="7"/>
      <c r="Z1316" s="12"/>
      <c r="AA1316" s="14">
        <v>550</v>
      </c>
    </row>
    <row r="1317" spans="1:27" outlineLevel="7">
      <c r="A1317" s="3500" t="s">
        <v>821</v>
      </c>
      <c r="B1317" s="3500"/>
      <c r="C1317" s="12"/>
      <c r="D1317" s="12"/>
      <c r="E1317" s="12"/>
      <c r="F1317" s="7"/>
      <c r="G1317" s="7"/>
      <c r="H1317" s="8"/>
      <c r="I1317" s="9"/>
      <c r="J1317" s="7"/>
      <c r="K1317" s="7"/>
      <c r="L1317" s="7"/>
      <c r="M1317" s="7"/>
      <c r="N1317" s="7"/>
      <c r="O1317" s="7"/>
      <c r="P1317" s="7"/>
      <c r="Q1317" s="7"/>
      <c r="R1317" s="14">
        <v>550</v>
      </c>
      <c r="S1317" s="7"/>
      <c r="T1317" s="7"/>
      <c r="U1317" s="14">
        <v>550</v>
      </c>
      <c r="V1317" s="7"/>
      <c r="W1317" s="7"/>
      <c r="X1317" s="7"/>
      <c r="Y1317" s="7"/>
      <c r="Z1317" s="12"/>
      <c r="AA1317" s="14">
        <v>550</v>
      </c>
    </row>
    <row r="1318" spans="1:27" outlineLevel="7">
      <c r="A1318" s="3499" t="s">
        <v>1955</v>
      </c>
      <c r="B1318" s="3499"/>
      <c r="C1318" s="12"/>
      <c r="D1318" s="12"/>
      <c r="E1318" s="12"/>
      <c r="F1318" s="7"/>
      <c r="G1318" s="7"/>
      <c r="H1318" s="8"/>
      <c r="I1318" s="9"/>
      <c r="J1318" s="7"/>
      <c r="K1318" s="7"/>
      <c r="L1318" s="7"/>
      <c r="M1318" s="7"/>
      <c r="N1318" s="7"/>
      <c r="O1318" s="7"/>
      <c r="P1318" s="7"/>
      <c r="Q1318" s="7"/>
      <c r="R1318" s="14">
        <v>550</v>
      </c>
      <c r="S1318" s="7"/>
      <c r="T1318" s="7"/>
      <c r="U1318" s="14">
        <v>550</v>
      </c>
      <c r="V1318" s="7"/>
      <c r="W1318" s="7"/>
      <c r="X1318" s="7"/>
      <c r="Y1318" s="7"/>
      <c r="Z1318" s="12"/>
      <c r="AA1318" s="14">
        <v>550</v>
      </c>
    </row>
    <row r="1319" spans="1:27" outlineLevel="6">
      <c r="A1319" s="3501" t="s">
        <v>822</v>
      </c>
      <c r="B1319" s="3501"/>
      <c r="C1319" s="12"/>
      <c r="D1319" s="12"/>
      <c r="E1319" s="12"/>
      <c r="F1319" s="7"/>
      <c r="G1319" s="7"/>
      <c r="H1319" s="8"/>
      <c r="I1319" s="9"/>
      <c r="J1319" s="7"/>
      <c r="K1319" s="7"/>
      <c r="L1319" s="7"/>
      <c r="M1319" s="7"/>
      <c r="N1319" s="7"/>
      <c r="O1319" s="7"/>
      <c r="P1319" s="7"/>
      <c r="Q1319" s="7"/>
      <c r="R1319" s="14">
        <v>550</v>
      </c>
      <c r="S1319" s="7"/>
      <c r="T1319" s="7"/>
      <c r="U1319" s="14">
        <v>550</v>
      </c>
      <c r="V1319" s="7"/>
      <c r="W1319" s="7"/>
      <c r="X1319" s="7"/>
      <c r="Y1319" s="7"/>
      <c r="Z1319" s="12"/>
      <c r="AA1319" s="14">
        <v>550</v>
      </c>
    </row>
    <row r="1320" spans="1:27" outlineLevel="7">
      <c r="A1320" s="3500" t="s">
        <v>823</v>
      </c>
      <c r="B1320" s="3500"/>
      <c r="C1320" s="12"/>
      <c r="D1320" s="12"/>
      <c r="E1320" s="12"/>
      <c r="F1320" s="7"/>
      <c r="G1320" s="7"/>
      <c r="H1320" s="8"/>
      <c r="I1320" s="9"/>
      <c r="J1320" s="7"/>
      <c r="K1320" s="7"/>
      <c r="L1320" s="7"/>
      <c r="M1320" s="7"/>
      <c r="N1320" s="7"/>
      <c r="O1320" s="7"/>
      <c r="P1320" s="7"/>
      <c r="Q1320" s="7"/>
      <c r="R1320" s="14">
        <v>550</v>
      </c>
      <c r="S1320" s="7"/>
      <c r="T1320" s="7"/>
      <c r="U1320" s="14">
        <v>550</v>
      </c>
      <c r="V1320" s="7"/>
      <c r="W1320" s="7"/>
      <c r="X1320" s="7"/>
      <c r="Y1320" s="7"/>
      <c r="Z1320" s="12"/>
      <c r="AA1320" s="14">
        <v>550</v>
      </c>
    </row>
    <row r="1321" spans="1:27" outlineLevel="7">
      <c r="A1321" s="3499" t="s">
        <v>1956</v>
      </c>
      <c r="B1321" s="3499"/>
      <c r="C1321" s="12"/>
      <c r="D1321" s="12"/>
      <c r="E1321" s="12"/>
      <c r="F1321" s="7"/>
      <c r="G1321" s="7"/>
      <c r="H1321" s="8"/>
      <c r="I1321" s="9"/>
      <c r="J1321" s="7"/>
      <c r="K1321" s="7"/>
      <c r="L1321" s="7"/>
      <c r="M1321" s="7"/>
      <c r="N1321" s="7"/>
      <c r="O1321" s="7"/>
      <c r="P1321" s="7"/>
      <c r="Q1321" s="7"/>
      <c r="R1321" s="14">
        <v>550</v>
      </c>
      <c r="S1321" s="7"/>
      <c r="T1321" s="7"/>
      <c r="U1321" s="14">
        <v>550</v>
      </c>
      <c r="V1321" s="7"/>
      <c r="W1321" s="7"/>
      <c r="X1321" s="7"/>
      <c r="Y1321" s="7"/>
      <c r="Z1321" s="12"/>
      <c r="AA1321" s="14">
        <v>550</v>
      </c>
    </row>
    <row r="1322" spans="1:27" outlineLevel="6">
      <c r="A1322" s="3501" t="s">
        <v>122</v>
      </c>
      <c r="B1322" s="3501"/>
      <c r="C1322" s="12"/>
      <c r="D1322" s="14">
        <v>550</v>
      </c>
      <c r="E1322" s="14">
        <v>550</v>
      </c>
      <c r="F1322" s="7"/>
      <c r="G1322" s="14">
        <v>550</v>
      </c>
      <c r="H1322" s="3523">
        <v>550</v>
      </c>
      <c r="I1322" s="3523"/>
      <c r="J1322" s="7"/>
      <c r="K1322" s="7"/>
      <c r="L1322" s="7"/>
      <c r="M1322" s="7"/>
      <c r="N1322" s="7"/>
      <c r="O1322" s="7"/>
      <c r="P1322" s="7"/>
      <c r="Q1322" s="7"/>
      <c r="R1322" s="12"/>
      <c r="S1322" s="7"/>
      <c r="T1322" s="7"/>
      <c r="U1322" s="7"/>
      <c r="V1322" s="7"/>
      <c r="W1322" s="7"/>
      <c r="X1322" s="7"/>
      <c r="Y1322" s="7"/>
      <c r="Z1322" s="12"/>
      <c r="AA1322" s="12"/>
    </row>
    <row r="1323" spans="1:27" outlineLevel="7">
      <c r="A1323" s="3500" t="s">
        <v>123</v>
      </c>
      <c r="B1323" s="3500"/>
      <c r="C1323" s="12"/>
      <c r="D1323" s="14">
        <v>550</v>
      </c>
      <c r="E1323" s="14">
        <v>550</v>
      </c>
      <c r="F1323" s="7"/>
      <c r="G1323" s="14">
        <v>550</v>
      </c>
      <c r="H1323" s="3523">
        <v>550</v>
      </c>
      <c r="I1323" s="3523"/>
      <c r="J1323" s="7"/>
      <c r="K1323" s="7"/>
      <c r="L1323" s="7"/>
      <c r="M1323" s="7"/>
      <c r="N1323" s="7"/>
      <c r="O1323" s="7"/>
      <c r="P1323" s="7"/>
      <c r="Q1323" s="7"/>
      <c r="R1323" s="12"/>
      <c r="S1323" s="7"/>
      <c r="T1323" s="7"/>
      <c r="U1323" s="7"/>
      <c r="V1323" s="7"/>
      <c r="W1323" s="7"/>
      <c r="X1323" s="7"/>
      <c r="Y1323" s="7"/>
      <c r="Z1323" s="12"/>
      <c r="AA1323" s="12"/>
    </row>
    <row r="1324" spans="1:27" outlineLevel="7">
      <c r="A1324" s="3499" t="s">
        <v>1957</v>
      </c>
      <c r="B1324" s="3499"/>
      <c r="C1324" s="12"/>
      <c r="D1324" s="14">
        <v>550</v>
      </c>
      <c r="E1324" s="14">
        <v>550</v>
      </c>
      <c r="F1324" s="7"/>
      <c r="G1324" s="14">
        <v>550</v>
      </c>
      <c r="H1324" s="3523">
        <v>550</v>
      </c>
      <c r="I1324" s="3523"/>
      <c r="J1324" s="7"/>
      <c r="K1324" s="7"/>
      <c r="L1324" s="7"/>
      <c r="M1324" s="7"/>
      <c r="N1324" s="7"/>
      <c r="O1324" s="7"/>
      <c r="P1324" s="7"/>
      <c r="Q1324" s="7"/>
      <c r="R1324" s="12"/>
      <c r="S1324" s="7"/>
      <c r="T1324" s="7"/>
      <c r="U1324" s="7"/>
      <c r="V1324" s="7"/>
      <c r="W1324" s="7"/>
      <c r="X1324" s="7"/>
      <c r="Y1324" s="7"/>
      <c r="Z1324" s="12"/>
      <c r="AA1324" s="12"/>
    </row>
    <row r="1325" spans="1:27" outlineLevel="6">
      <c r="A1325" s="3501" t="s">
        <v>124</v>
      </c>
      <c r="B1325" s="3501"/>
      <c r="C1325" s="7"/>
      <c r="D1325" s="7"/>
      <c r="E1325" s="14">
        <v>550</v>
      </c>
      <c r="F1325" s="7"/>
      <c r="G1325" s="14">
        <v>550</v>
      </c>
      <c r="H1325" s="3523">
        <v>550</v>
      </c>
      <c r="I1325" s="3523"/>
      <c r="J1325" s="7"/>
      <c r="K1325" s="7"/>
      <c r="L1325" s="7"/>
      <c r="M1325" s="7"/>
      <c r="N1325" s="7"/>
      <c r="O1325" s="7"/>
      <c r="P1325" s="7"/>
      <c r="Q1325" s="7"/>
      <c r="R1325" s="14">
        <v>550</v>
      </c>
      <c r="S1325" s="7"/>
      <c r="T1325" s="7"/>
      <c r="U1325" s="14">
        <v>550</v>
      </c>
      <c r="V1325" s="7"/>
      <c r="W1325" s="7"/>
      <c r="X1325" s="7"/>
      <c r="Y1325" s="7"/>
      <c r="Z1325" s="7"/>
      <c r="AA1325" s="7"/>
    </row>
    <row r="1326" spans="1:27" outlineLevel="7">
      <c r="A1326" s="3500" t="s">
        <v>125</v>
      </c>
      <c r="B1326" s="3500"/>
      <c r="C1326" s="7"/>
      <c r="D1326" s="7"/>
      <c r="E1326" s="14">
        <v>550</v>
      </c>
      <c r="F1326" s="7"/>
      <c r="G1326" s="14">
        <v>550</v>
      </c>
      <c r="H1326" s="3523">
        <v>550</v>
      </c>
      <c r="I1326" s="3523"/>
      <c r="J1326" s="7"/>
      <c r="K1326" s="7"/>
      <c r="L1326" s="7"/>
      <c r="M1326" s="7"/>
      <c r="N1326" s="7"/>
      <c r="O1326" s="7"/>
      <c r="P1326" s="7"/>
      <c r="Q1326" s="7"/>
      <c r="R1326" s="14">
        <v>550</v>
      </c>
      <c r="S1326" s="7"/>
      <c r="T1326" s="7"/>
      <c r="U1326" s="14">
        <v>550</v>
      </c>
      <c r="V1326" s="7"/>
      <c r="W1326" s="7"/>
      <c r="X1326" s="7"/>
      <c r="Y1326" s="7"/>
      <c r="Z1326" s="7"/>
      <c r="AA1326" s="7"/>
    </row>
    <row r="1327" spans="1:27" outlineLevel="7">
      <c r="A1327" s="3499" t="s">
        <v>1958</v>
      </c>
      <c r="B1327" s="3499"/>
      <c r="C1327" s="7"/>
      <c r="D1327" s="7"/>
      <c r="E1327" s="14">
        <v>550</v>
      </c>
      <c r="F1327" s="7"/>
      <c r="G1327" s="14">
        <v>550</v>
      </c>
      <c r="H1327" s="3523">
        <v>550</v>
      </c>
      <c r="I1327" s="3523"/>
      <c r="J1327" s="7"/>
      <c r="K1327" s="7"/>
      <c r="L1327" s="7"/>
      <c r="M1327" s="7"/>
      <c r="N1327" s="7"/>
      <c r="O1327" s="7"/>
      <c r="P1327" s="7"/>
      <c r="Q1327" s="7"/>
      <c r="R1327" s="14">
        <v>550</v>
      </c>
      <c r="S1327" s="7"/>
      <c r="T1327" s="7"/>
      <c r="U1327" s="14">
        <v>550</v>
      </c>
      <c r="V1327" s="7"/>
      <c r="W1327" s="7"/>
      <c r="X1327" s="7"/>
      <c r="Y1327" s="7"/>
      <c r="Z1327" s="7"/>
      <c r="AA1327" s="7"/>
    </row>
    <row r="1328" spans="1:27" outlineLevel="6">
      <c r="A1328" s="3501" t="s">
        <v>126</v>
      </c>
      <c r="B1328" s="3501"/>
      <c r="C1328" s="7"/>
      <c r="D1328" s="7"/>
      <c r="E1328" s="14">
        <v>550</v>
      </c>
      <c r="F1328" s="7"/>
      <c r="G1328" s="14">
        <v>550</v>
      </c>
      <c r="H1328" s="3523">
        <v>550</v>
      </c>
      <c r="I1328" s="3523"/>
      <c r="J1328" s="7"/>
      <c r="K1328" s="7"/>
      <c r="L1328" s="7"/>
      <c r="M1328" s="7"/>
      <c r="N1328" s="7"/>
      <c r="O1328" s="7"/>
      <c r="P1328" s="7"/>
      <c r="Q1328" s="7"/>
      <c r="R1328" s="14">
        <v>550</v>
      </c>
      <c r="S1328" s="7"/>
      <c r="T1328" s="7"/>
      <c r="U1328" s="14">
        <v>550</v>
      </c>
      <c r="V1328" s="7"/>
      <c r="W1328" s="7"/>
      <c r="X1328" s="7"/>
      <c r="Y1328" s="7"/>
      <c r="Z1328" s="7"/>
      <c r="AA1328" s="7"/>
    </row>
    <row r="1329" spans="1:27" outlineLevel="7">
      <c r="A1329" s="3500" t="s">
        <v>127</v>
      </c>
      <c r="B1329" s="3500"/>
      <c r="C1329" s="7"/>
      <c r="D1329" s="7"/>
      <c r="E1329" s="14">
        <v>550</v>
      </c>
      <c r="F1329" s="7"/>
      <c r="G1329" s="14">
        <v>550</v>
      </c>
      <c r="H1329" s="3523">
        <v>550</v>
      </c>
      <c r="I1329" s="3523"/>
      <c r="J1329" s="7"/>
      <c r="K1329" s="7"/>
      <c r="L1329" s="7"/>
      <c r="M1329" s="7"/>
      <c r="N1329" s="7"/>
      <c r="O1329" s="7"/>
      <c r="P1329" s="7"/>
      <c r="Q1329" s="7"/>
      <c r="R1329" s="14">
        <v>550</v>
      </c>
      <c r="S1329" s="7"/>
      <c r="T1329" s="7"/>
      <c r="U1329" s="14">
        <v>550</v>
      </c>
      <c r="V1329" s="7"/>
      <c r="W1329" s="7"/>
      <c r="X1329" s="7"/>
      <c r="Y1329" s="7"/>
      <c r="Z1329" s="7"/>
      <c r="AA1329" s="7"/>
    </row>
    <row r="1330" spans="1:27" outlineLevel="7">
      <c r="A1330" s="3499" t="s">
        <v>1959</v>
      </c>
      <c r="B1330" s="3499"/>
      <c r="C1330" s="7"/>
      <c r="D1330" s="7"/>
      <c r="E1330" s="14">
        <v>550</v>
      </c>
      <c r="F1330" s="7"/>
      <c r="G1330" s="14">
        <v>550</v>
      </c>
      <c r="H1330" s="3523">
        <v>550</v>
      </c>
      <c r="I1330" s="3523"/>
      <c r="J1330" s="7"/>
      <c r="K1330" s="7"/>
      <c r="L1330" s="7"/>
      <c r="M1330" s="7"/>
      <c r="N1330" s="7"/>
      <c r="O1330" s="7"/>
      <c r="P1330" s="7"/>
      <c r="Q1330" s="7"/>
      <c r="R1330" s="14">
        <v>550</v>
      </c>
      <c r="S1330" s="7"/>
      <c r="T1330" s="7"/>
      <c r="U1330" s="14">
        <v>550</v>
      </c>
      <c r="V1330" s="7"/>
      <c r="W1330" s="7"/>
      <c r="X1330" s="7"/>
      <c r="Y1330" s="7"/>
      <c r="Z1330" s="7"/>
      <c r="AA1330" s="7"/>
    </row>
    <row r="1331" spans="1:27" outlineLevel="6">
      <c r="A1331" s="3501" t="s">
        <v>128</v>
      </c>
      <c r="B1331" s="3501"/>
      <c r="C1331" s="7"/>
      <c r="D1331" s="7"/>
      <c r="E1331" s="14">
        <v>550</v>
      </c>
      <c r="F1331" s="7"/>
      <c r="G1331" s="14">
        <v>550</v>
      </c>
      <c r="H1331" s="3523">
        <v>550</v>
      </c>
      <c r="I1331" s="3523"/>
      <c r="J1331" s="7"/>
      <c r="K1331" s="7"/>
      <c r="L1331" s="7"/>
      <c r="M1331" s="7"/>
      <c r="N1331" s="7"/>
      <c r="O1331" s="7"/>
      <c r="P1331" s="7"/>
      <c r="Q1331" s="7"/>
      <c r="R1331" s="14">
        <v>550</v>
      </c>
      <c r="S1331" s="7"/>
      <c r="T1331" s="7"/>
      <c r="U1331" s="14">
        <v>550</v>
      </c>
      <c r="V1331" s="7"/>
      <c r="W1331" s="7"/>
      <c r="X1331" s="7"/>
      <c r="Y1331" s="7"/>
      <c r="Z1331" s="7"/>
      <c r="AA1331" s="7"/>
    </row>
    <row r="1332" spans="1:27" outlineLevel="7">
      <c r="A1332" s="3500" t="s">
        <v>129</v>
      </c>
      <c r="B1332" s="3500"/>
      <c r="C1332" s="7"/>
      <c r="D1332" s="7"/>
      <c r="E1332" s="14">
        <v>550</v>
      </c>
      <c r="F1332" s="7"/>
      <c r="G1332" s="14">
        <v>550</v>
      </c>
      <c r="H1332" s="3523">
        <v>550</v>
      </c>
      <c r="I1332" s="3523"/>
      <c r="J1332" s="7"/>
      <c r="K1332" s="7"/>
      <c r="L1332" s="7"/>
      <c r="M1332" s="7"/>
      <c r="N1332" s="7"/>
      <c r="O1332" s="7"/>
      <c r="P1332" s="7"/>
      <c r="Q1332" s="7"/>
      <c r="R1332" s="14">
        <v>550</v>
      </c>
      <c r="S1332" s="7"/>
      <c r="T1332" s="7"/>
      <c r="U1332" s="14">
        <v>550</v>
      </c>
      <c r="V1332" s="7"/>
      <c r="W1332" s="7"/>
      <c r="X1332" s="7"/>
      <c r="Y1332" s="7"/>
      <c r="Z1332" s="7"/>
      <c r="AA1332" s="7"/>
    </row>
    <row r="1333" spans="1:27" outlineLevel="7">
      <c r="A1333" s="3499" t="s">
        <v>1960</v>
      </c>
      <c r="B1333" s="3499"/>
      <c r="C1333" s="7"/>
      <c r="D1333" s="7"/>
      <c r="E1333" s="14">
        <v>550</v>
      </c>
      <c r="F1333" s="7"/>
      <c r="G1333" s="14">
        <v>550</v>
      </c>
      <c r="H1333" s="3523">
        <v>550</v>
      </c>
      <c r="I1333" s="3523"/>
      <c r="J1333" s="7"/>
      <c r="K1333" s="7"/>
      <c r="L1333" s="7"/>
      <c r="M1333" s="7"/>
      <c r="N1333" s="7"/>
      <c r="O1333" s="7"/>
      <c r="P1333" s="7"/>
      <c r="Q1333" s="7"/>
      <c r="R1333" s="14">
        <v>550</v>
      </c>
      <c r="S1333" s="7"/>
      <c r="T1333" s="7"/>
      <c r="U1333" s="14">
        <v>550</v>
      </c>
      <c r="V1333" s="7"/>
      <c r="W1333" s="7"/>
      <c r="X1333" s="7"/>
      <c r="Y1333" s="7"/>
      <c r="Z1333" s="7"/>
      <c r="AA1333" s="7"/>
    </row>
    <row r="1334" spans="1:27" outlineLevel="6">
      <c r="A1334" s="3501" t="s">
        <v>130</v>
      </c>
      <c r="B1334" s="3501"/>
      <c r="C1334" s="12"/>
      <c r="D1334" s="12"/>
      <c r="E1334" s="13">
        <v>9543.7199999999993</v>
      </c>
      <c r="F1334" s="7"/>
      <c r="G1334" s="13">
        <v>9543.7199999999993</v>
      </c>
      <c r="H1334" s="3524">
        <v>9543.7199999999993</v>
      </c>
      <c r="I1334" s="3524"/>
      <c r="J1334" s="7"/>
      <c r="K1334" s="7"/>
      <c r="L1334" s="7"/>
      <c r="M1334" s="7"/>
      <c r="N1334" s="7"/>
      <c r="O1334" s="7"/>
      <c r="P1334" s="7"/>
      <c r="Q1334" s="7"/>
      <c r="R1334" s="13">
        <v>23034.3</v>
      </c>
      <c r="S1334" s="7"/>
      <c r="T1334" s="7"/>
      <c r="U1334" s="13">
        <v>23034.3</v>
      </c>
      <c r="V1334" s="7"/>
      <c r="W1334" s="7"/>
      <c r="X1334" s="7"/>
      <c r="Y1334" s="7"/>
      <c r="Z1334" s="12"/>
      <c r="AA1334" s="13">
        <v>13490.58</v>
      </c>
    </row>
    <row r="1335" spans="1:27" outlineLevel="7">
      <c r="A1335" s="3500" t="s">
        <v>131</v>
      </c>
      <c r="B1335" s="3500"/>
      <c r="C1335" s="7"/>
      <c r="D1335" s="7"/>
      <c r="E1335" s="14">
        <v>550</v>
      </c>
      <c r="F1335" s="7"/>
      <c r="G1335" s="14">
        <v>550</v>
      </c>
      <c r="H1335" s="3523">
        <v>550</v>
      </c>
      <c r="I1335" s="3523"/>
      <c r="J1335" s="7"/>
      <c r="K1335" s="7"/>
      <c r="L1335" s="7"/>
      <c r="M1335" s="7"/>
      <c r="N1335" s="7"/>
      <c r="O1335" s="7"/>
      <c r="P1335" s="7"/>
      <c r="Q1335" s="7"/>
      <c r="R1335" s="14">
        <v>550</v>
      </c>
      <c r="S1335" s="7"/>
      <c r="T1335" s="7"/>
      <c r="U1335" s="14">
        <v>550</v>
      </c>
      <c r="V1335" s="7"/>
      <c r="W1335" s="7"/>
      <c r="X1335" s="7"/>
      <c r="Y1335" s="7"/>
      <c r="Z1335" s="7"/>
      <c r="AA1335" s="7"/>
    </row>
    <row r="1336" spans="1:27" outlineLevel="7">
      <c r="A1336" s="3499" t="s">
        <v>1961</v>
      </c>
      <c r="B1336" s="3499"/>
      <c r="C1336" s="7"/>
      <c r="D1336" s="7"/>
      <c r="E1336" s="14">
        <v>550</v>
      </c>
      <c r="F1336" s="7"/>
      <c r="G1336" s="14">
        <v>550</v>
      </c>
      <c r="H1336" s="3523">
        <v>550</v>
      </c>
      <c r="I1336" s="3523"/>
      <c r="J1336" s="7"/>
      <c r="K1336" s="7"/>
      <c r="L1336" s="7"/>
      <c r="M1336" s="7"/>
      <c r="N1336" s="7"/>
      <c r="O1336" s="7"/>
      <c r="P1336" s="7"/>
      <c r="Q1336" s="7"/>
      <c r="R1336" s="14">
        <v>550</v>
      </c>
      <c r="S1336" s="7"/>
      <c r="T1336" s="7"/>
      <c r="U1336" s="14">
        <v>550</v>
      </c>
      <c r="V1336" s="7"/>
      <c r="W1336" s="7"/>
      <c r="X1336" s="7"/>
      <c r="Y1336" s="7"/>
      <c r="Z1336" s="7"/>
      <c r="AA1336" s="7"/>
    </row>
    <row r="1337" spans="1:27" outlineLevel="7">
      <c r="A1337" s="3500" t="s">
        <v>824</v>
      </c>
      <c r="B1337" s="3500"/>
      <c r="C1337" s="12"/>
      <c r="D1337" s="12"/>
      <c r="E1337" s="12"/>
      <c r="F1337" s="7"/>
      <c r="G1337" s="7"/>
      <c r="H1337" s="8"/>
      <c r="I1337" s="9"/>
      <c r="J1337" s="7"/>
      <c r="K1337" s="7"/>
      <c r="L1337" s="7"/>
      <c r="M1337" s="7"/>
      <c r="N1337" s="7"/>
      <c r="O1337" s="7"/>
      <c r="P1337" s="7"/>
      <c r="Q1337" s="7"/>
      <c r="R1337" s="13">
        <v>4496.8599999999997</v>
      </c>
      <c r="S1337" s="7"/>
      <c r="T1337" s="7"/>
      <c r="U1337" s="13">
        <v>4496.8599999999997</v>
      </c>
      <c r="V1337" s="7"/>
      <c r="W1337" s="7"/>
      <c r="X1337" s="7"/>
      <c r="Y1337" s="7"/>
      <c r="Z1337" s="12"/>
      <c r="AA1337" s="13">
        <v>4496.8599999999997</v>
      </c>
    </row>
    <row r="1338" spans="1:27" outlineLevel="7">
      <c r="A1338" s="3499" t="s">
        <v>1962</v>
      </c>
      <c r="B1338" s="3499"/>
      <c r="C1338" s="12"/>
      <c r="D1338" s="12"/>
      <c r="E1338" s="12"/>
      <c r="F1338" s="7"/>
      <c r="G1338" s="7"/>
      <c r="H1338" s="8"/>
      <c r="I1338" s="9"/>
      <c r="J1338" s="7"/>
      <c r="K1338" s="7"/>
      <c r="L1338" s="7"/>
      <c r="M1338" s="7"/>
      <c r="N1338" s="7"/>
      <c r="O1338" s="7"/>
      <c r="P1338" s="7"/>
      <c r="Q1338" s="7"/>
      <c r="R1338" s="13">
        <v>4496.8599999999997</v>
      </c>
      <c r="S1338" s="7"/>
      <c r="T1338" s="7"/>
      <c r="U1338" s="13">
        <v>4496.8599999999997</v>
      </c>
      <c r="V1338" s="7"/>
      <c r="W1338" s="7"/>
      <c r="X1338" s="7"/>
      <c r="Y1338" s="7"/>
      <c r="Z1338" s="12"/>
      <c r="AA1338" s="13">
        <v>4496.8599999999997</v>
      </c>
    </row>
    <row r="1339" spans="1:27" outlineLevel="7">
      <c r="A1339" s="3500" t="s">
        <v>825</v>
      </c>
      <c r="B1339" s="3500"/>
      <c r="C1339" s="12"/>
      <c r="D1339" s="12"/>
      <c r="E1339" s="12"/>
      <c r="F1339" s="7"/>
      <c r="G1339" s="7"/>
      <c r="H1339" s="8"/>
      <c r="I1339" s="9"/>
      <c r="J1339" s="7"/>
      <c r="K1339" s="7"/>
      <c r="L1339" s="7"/>
      <c r="M1339" s="7"/>
      <c r="N1339" s="7"/>
      <c r="O1339" s="7"/>
      <c r="P1339" s="7"/>
      <c r="Q1339" s="7"/>
      <c r="R1339" s="13">
        <v>4496.8599999999997</v>
      </c>
      <c r="S1339" s="7"/>
      <c r="T1339" s="7"/>
      <c r="U1339" s="13">
        <v>4496.8599999999997</v>
      </c>
      <c r="V1339" s="7"/>
      <c r="W1339" s="7"/>
      <c r="X1339" s="7"/>
      <c r="Y1339" s="7"/>
      <c r="Z1339" s="12"/>
      <c r="AA1339" s="13">
        <v>4496.8599999999997</v>
      </c>
    </row>
    <row r="1340" spans="1:27" outlineLevel="7">
      <c r="A1340" s="3499" t="s">
        <v>1963</v>
      </c>
      <c r="B1340" s="3499"/>
      <c r="C1340" s="12"/>
      <c r="D1340" s="12"/>
      <c r="E1340" s="12"/>
      <c r="F1340" s="7"/>
      <c r="G1340" s="7"/>
      <c r="H1340" s="8"/>
      <c r="I1340" s="9"/>
      <c r="J1340" s="7"/>
      <c r="K1340" s="7"/>
      <c r="L1340" s="7"/>
      <c r="M1340" s="7"/>
      <c r="N1340" s="7"/>
      <c r="O1340" s="7"/>
      <c r="P1340" s="7"/>
      <c r="Q1340" s="7"/>
      <c r="R1340" s="13">
        <v>4496.8599999999997</v>
      </c>
      <c r="S1340" s="7"/>
      <c r="T1340" s="7"/>
      <c r="U1340" s="13">
        <v>4496.8599999999997</v>
      </c>
      <c r="V1340" s="7"/>
      <c r="W1340" s="7"/>
      <c r="X1340" s="7"/>
      <c r="Y1340" s="7"/>
      <c r="Z1340" s="12"/>
      <c r="AA1340" s="13">
        <v>4496.8599999999997</v>
      </c>
    </row>
    <row r="1341" spans="1:27" outlineLevel="7">
      <c r="A1341" s="3500" t="s">
        <v>826</v>
      </c>
      <c r="B1341" s="3500"/>
      <c r="C1341" s="12"/>
      <c r="D1341" s="12"/>
      <c r="E1341" s="12"/>
      <c r="F1341" s="7"/>
      <c r="G1341" s="7"/>
      <c r="H1341" s="8"/>
      <c r="I1341" s="9"/>
      <c r="J1341" s="7"/>
      <c r="K1341" s="7"/>
      <c r="L1341" s="7"/>
      <c r="M1341" s="7"/>
      <c r="N1341" s="7"/>
      <c r="O1341" s="7"/>
      <c r="P1341" s="7"/>
      <c r="Q1341" s="7"/>
      <c r="R1341" s="13">
        <v>4496.8599999999997</v>
      </c>
      <c r="S1341" s="7"/>
      <c r="T1341" s="7"/>
      <c r="U1341" s="13">
        <v>4496.8599999999997</v>
      </c>
      <c r="V1341" s="7"/>
      <c r="W1341" s="7"/>
      <c r="X1341" s="7"/>
      <c r="Y1341" s="7"/>
      <c r="Z1341" s="12"/>
      <c r="AA1341" s="13">
        <v>4496.8599999999997</v>
      </c>
    </row>
    <row r="1342" spans="1:27" outlineLevel="7">
      <c r="A1342" s="3499" t="s">
        <v>1964</v>
      </c>
      <c r="B1342" s="3499"/>
      <c r="C1342" s="12"/>
      <c r="D1342" s="12"/>
      <c r="E1342" s="12"/>
      <c r="F1342" s="7"/>
      <c r="G1342" s="7"/>
      <c r="H1342" s="8"/>
      <c r="I1342" s="9"/>
      <c r="J1342" s="7"/>
      <c r="K1342" s="7"/>
      <c r="L1342" s="7"/>
      <c r="M1342" s="7"/>
      <c r="N1342" s="7"/>
      <c r="O1342" s="7"/>
      <c r="P1342" s="7"/>
      <c r="Q1342" s="7"/>
      <c r="R1342" s="14">
        <v>550</v>
      </c>
      <c r="S1342" s="7"/>
      <c r="T1342" s="7"/>
      <c r="U1342" s="14">
        <v>550</v>
      </c>
      <c r="V1342" s="7"/>
      <c r="W1342" s="7"/>
      <c r="X1342" s="7"/>
      <c r="Y1342" s="7"/>
      <c r="Z1342" s="12"/>
      <c r="AA1342" s="14">
        <v>550</v>
      </c>
    </row>
    <row r="1343" spans="1:27" outlineLevel="7">
      <c r="A1343" s="3499" t="s">
        <v>1965</v>
      </c>
      <c r="B1343" s="3499"/>
      <c r="C1343" s="12"/>
      <c r="D1343" s="12"/>
      <c r="E1343" s="12"/>
      <c r="F1343" s="7"/>
      <c r="G1343" s="7"/>
      <c r="H1343" s="8"/>
      <c r="I1343" s="9"/>
      <c r="J1343" s="7"/>
      <c r="K1343" s="7"/>
      <c r="L1343" s="7"/>
      <c r="M1343" s="7"/>
      <c r="N1343" s="7"/>
      <c r="O1343" s="7"/>
      <c r="P1343" s="7"/>
      <c r="Q1343" s="7"/>
      <c r="R1343" s="13">
        <v>3946.86</v>
      </c>
      <c r="S1343" s="7"/>
      <c r="T1343" s="7"/>
      <c r="U1343" s="13">
        <v>3946.86</v>
      </c>
      <c r="V1343" s="7"/>
      <c r="W1343" s="7"/>
      <c r="X1343" s="7"/>
      <c r="Y1343" s="7"/>
      <c r="Z1343" s="12"/>
      <c r="AA1343" s="13">
        <v>3946.86</v>
      </c>
    </row>
    <row r="1344" spans="1:27" outlineLevel="7">
      <c r="A1344" s="3500" t="s">
        <v>132</v>
      </c>
      <c r="B1344" s="3500"/>
      <c r="C1344" s="7"/>
      <c r="D1344" s="7"/>
      <c r="E1344" s="13">
        <v>4496.8599999999997</v>
      </c>
      <c r="F1344" s="7"/>
      <c r="G1344" s="13">
        <v>4496.8599999999997</v>
      </c>
      <c r="H1344" s="3524">
        <v>4496.8599999999997</v>
      </c>
      <c r="I1344" s="3524"/>
      <c r="J1344" s="7"/>
      <c r="K1344" s="7"/>
      <c r="L1344" s="7"/>
      <c r="M1344" s="7"/>
      <c r="N1344" s="7"/>
      <c r="O1344" s="7"/>
      <c r="P1344" s="7"/>
      <c r="Q1344" s="7"/>
      <c r="R1344" s="13">
        <v>4496.8599999999997</v>
      </c>
      <c r="S1344" s="7"/>
      <c r="T1344" s="7"/>
      <c r="U1344" s="13">
        <v>4496.8599999999997</v>
      </c>
      <c r="V1344" s="7"/>
      <c r="W1344" s="7"/>
      <c r="X1344" s="7"/>
      <c r="Y1344" s="7"/>
      <c r="Z1344" s="7"/>
      <c r="AA1344" s="7"/>
    </row>
    <row r="1345" spans="1:27" outlineLevel="7">
      <c r="A1345" s="3499" t="s">
        <v>1966</v>
      </c>
      <c r="B1345" s="3499"/>
      <c r="C1345" s="7"/>
      <c r="D1345" s="7"/>
      <c r="E1345" s="13">
        <v>4496.8599999999997</v>
      </c>
      <c r="F1345" s="7"/>
      <c r="G1345" s="13">
        <v>4496.8599999999997</v>
      </c>
      <c r="H1345" s="3524">
        <v>4496.8599999999997</v>
      </c>
      <c r="I1345" s="3524"/>
      <c r="J1345" s="7"/>
      <c r="K1345" s="7"/>
      <c r="L1345" s="7"/>
      <c r="M1345" s="7"/>
      <c r="N1345" s="7"/>
      <c r="O1345" s="7"/>
      <c r="P1345" s="7"/>
      <c r="Q1345" s="7"/>
      <c r="R1345" s="13">
        <v>4496.8599999999997</v>
      </c>
      <c r="S1345" s="7"/>
      <c r="T1345" s="7"/>
      <c r="U1345" s="13">
        <v>4496.8599999999997</v>
      </c>
      <c r="V1345" s="7"/>
      <c r="W1345" s="7"/>
      <c r="X1345" s="7"/>
      <c r="Y1345" s="7"/>
      <c r="Z1345" s="7"/>
      <c r="AA1345" s="7"/>
    </row>
    <row r="1346" spans="1:27" outlineLevel="7">
      <c r="A1346" s="3500" t="s">
        <v>133</v>
      </c>
      <c r="B1346" s="3500"/>
      <c r="C1346" s="7"/>
      <c r="D1346" s="7"/>
      <c r="E1346" s="13">
        <v>4496.8599999999997</v>
      </c>
      <c r="F1346" s="7"/>
      <c r="G1346" s="13">
        <v>4496.8599999999997</v>
      </c>
      <c r="H1346" s="3524">
        <v>4496.8599999999997</v>
      </c>
      <c r="I1346" s="3524"/>
      <c r="J1346" s="7"/>
      <c r="K1346" s="7"/>
      <c r="L1346" s="7"/>
      <c r="M1346" s="7"/>
      <c r="N1346" s="7"/>
      <c r="O1346" s="7"/>
      <c r="P1346" s="7"/>
      <c r="Q1346" s="7"/>
      <c r="R1346" s="13">
        <v>4496.8599999999997</v>
      </c>
      <c r="S1346" s="7"/>
      <c r="T1346" s="7"/>
      <c r="U1346" s="13">
        <v>4496.8599999999997</v>
      </c>
      <c r="V1346" s="7"/>
      <c r="W1346" s="7"/>
      <c r="X1346" s="7"/>
      <c r="Y1346" s="7"/>
      <c r="Z1346" s="7"/>
      <c r="AA1346" s="7"/>
    </row>
    <row r="1347" spans="1:27" outlineLevel="7">
      <c r="A1347" s="3499" t="s">
        <v>1967</v>
      </c>
      <c r="B1347" s="3499"/>
      <c r="C1347" s="7"/>
      <c r="D1347" s="7"/>
      <c r="E1347" s="13">
        <v>4496.8599999999997</v>
      </c>
      <c r="F1347" s="7"/>
      <c r="G1347" s="13">
        <v>4496.8599999999997</v>
      </c>
      <c r="H1347" s="3524">
        <v>4496.8599999999997</v>
      </c>
      <c r="I1347" s="3524"/>
      <c r="J1347" s="7"/>
      <c r="K1347" s="7"/>
      <c r="L1347" s="7"/>
      <c r="M1347" s="7"/>
      <c r="N1347" s="7"/>
      <c r="O1347" s="7"/>
      <c r="P1347" s="7"/>
      <c r="Q1347" s="7"/>
      <c r="R1347" s="13">
        <v>4496.8599999999997</v>
      </c>
      <c r="S1347" s="7"/>
      <c r="T1347" s="7"/>
      <c r="U1347" s="13">
        <v>4496.8599999999997</v>
      </c>
      <c r="V1347" s="7"/>
      <c r="W1347" s="7"/>
      <c r="X1347" s="7"/>
      <c r="Y1347" s="7"/>
      <c r="Z1347" s="7"/>
      <c r="AA1347" s="7"/>
    </row>
    <row r="1348" spans="1:27" outlineLevel="6">
      <c r="A1348" s="3501" t="s">
        <v>134</v>
      </c>
      <c r="B1348" s="3501"/>
      <c r="C1348" s="12"/>
      <c r="D1348" s="12"/>
      <c r="E1348" s="13">
        <v>9543.7199999999993</v>
      </c>
      <c r="F1348" s="7"/>
      <c r="G1348" s="13">
        <v>9543.7199999999993</v>
      </c>
      <c r="H1348" s="3524">
        <v>9543.7199999999993</v>
      </c>
      <c r="I1348" s="3524"/>
      <c r="J1348" s="7"/>
      <c r="K1348" s="7"/>
      <c r="L1348" s="7"/>
      <c r="M1348" s="7"/>
      <c r="N1348" s="7"/>
      <c r="O1348" s="7"/>
      <c r="P1348" s="7"/>
      <c r="Q1348" s="7"/>
      <c r="R1348" s="13">
        <v>18537.439999999999</v>
      </c>
      <c r="S1348" s="7"/>
      <c r="T1348" s="7"/>
      <c r="U1348" s="13">
        <v>18537.439999999999</v>
      </c>
      <c r="V1348" s="7"/>
      <c r="W1348" s="7"/>
      <c r="X1348" s="7"/>
      <c r="Y1348" s="7"/>
      <c r="Z1348" s="12"/>
      <c r="AA1348" s="13">
        <v>8993.7199999999993</v>
      </c>
    </row>
    <row r="1349" spans="1:27" outlineLevel="7">
      <c r="A1349" s="3500" t="s">
        <v>135</v>
      </c>
      <c r="B1349" s="3500"/>
      <c r="C1349" s="7"/>
      <c r="D1349" s="7"/>
      <c r="E1349" s="14">
        <v>550</v>
      </c>
      <c r="F1349" s="7"/>
      <c r="G1349" s="14">
        <v>550</v>
      </c>
      <c r="H1349" s="3523">
        <v>550</v>
      </c>
      <c r="I1349" s="3523"/>
      <c r="J1349" s="7"/>
      <c r="K1349" s="7"/>
      <c r="L1349" s="7"/>
      <c r="M1349" s="7"/>
      <c r="N1349" s="7"/>
      <c r="O1349" s="7"/>
      <c r="P1349" s="7"/>
      <c r="Q1349" s="7"/>
      <c r="R1349" s="14">
        <v>550</v>
      </c>
      <c r="S1349" s="7"/>
      <c r="T1349" s="7"/>
      <c r="U1349" s="14">
        <v>550</v>
      </c>
      <c r="V1349" s="7"/>
      <c r="W1349" s="7"/>
      <c r="X1349" s="7"/>
      <c r="Y1349" s="7"/>
      <c r="Z1349" s="7"/>
      <c r="AA1349" s="7"/>
    </row>
    <row r="1350" spans="1:27" outlineLevel="7">
      <c r="A1350" s="3499" t="s">
        <v>1968</v>
      </c>
      <c r="B1350" s="3499"/>
      <c r="C1350" s="7"/>
      <c r="D1350" s="7"/>
      <c r="E1350" s="14">
        <v>550</v>
      </c>
      <c r="F1350" s="7"/>
      <c r="G1350" s="14">
        <v>550</v>
      </c>
      <c r="H1350" s="3523">
        <v>550</v>
      </c>
      <c r="I1350" s="3523"/>
      <c r="J1350" s="7"/>
      <c r="K1350" s="7"/>
      <c r="L1350" s="7"/>
      <c r="M1350" s="7"/>
      <c r="N1350" s="7"/>
      <c r="O1350" s="7"/>
      <c r="P1350" s="7"/>
      <c r="Q1350" s="7"/>
      <c r="R1350" s="14">
        <v>550</v>
      </c>
      <c r="S1350" s="7"/>
      <c r="T1350" s="7"/>
      <c r="U1350" s="14">
        <v>550</v>
      </c>
      <c r="V1350" s="7"/>
      <c r="W1350" s="7"/>
      <c r="X1350" s="7"/>
      <c r="Y1350" s="7"/>
      <c r="Z1350" s="7"/>
      <c r="AA1350" s="7"/>
    </row>
    <row r="1351" spans="1:27" outlineLevel="7">
      <c r="A1351" s="3500" t="s">
        <v>136</v>
      </c>
      <c r="B1351" s="3500"/>
      <c r="C1351" s="7"/>
      <c r="D1351" s="7"/>
      <c r="E1351" s="13">
        <v>4496.8599999999997</v>
      </c>
      <c r="F1351" s="7"/>
      <c r="G1351" s="13">
        <v>4496.8599999999997</v>
      </c>
      <c r="H1351" s="3524">
        <v>4496.8599999999997</v>
      </c>
      <c r="I1351" s="3524"/>
      <c r="J1351" s="7"/>
      <c r="K1351" s="7"/>
      <c r="L1351" s="7"/>
      <c r="M1351" s="7"/>
      <c r="N1351" s="7"/>
      <c r="O1351" s="7"/>
      <c r="P1351" s="7"/>
      <c r="Q1351" s="7"/>
      <c r="R1351" s="13">
        <v>4496.8599999999997</v>
      </c>
      <c r="S1351" s="7"/>
      <c r="T1351" s="7"/>
      <c r="U1351" s="13">
        <v>4496.8599999999997</v>
      </c>
      <c r="V1351" s="7"/>
      <c r="W1351" s="7"/>
      <c r="X1351" s="7"/>
      <c r="Y1351" s="7"/>
      <c r="Z1351" s="7"/>
      <c r="AA1351" s="7"/>
    </row>
    <row r="1352" spans="1:27" outlineLevel="7">
      <c r="A1352" s="3499" t="s">
        <v>1969</v>
      </c>
      <c r="B1352" s="3499"/>
      <c r="C1352" s="7"/>
      <c r="D1352" s="7"/>
      <c r="E1352" s="13">
        <v>4496.8599999999997</v>
      </c>
      <c r="F1352" s="7"/>
      <c r="G1352" s="13">
        <v>4496.8599999999997</v>
      </c>
      <c r="H1352" s="3524">
        <v>4496.8599999999997</v>
      </c>
      <c r="I1352" s="3524"/>
      <c r="J1352" s="7"/>
      <c r="K1352" s="7"/>
      <c r="L1352" s="7"/>
      <c r="M1352" s="7"/>
      <c r="N1352" s="7"/>
      <c r="O1352" s="7"/>
      <c r="P1352" s="7"/>
      <c r="Q1352" s="7"/>
      <c r="R1352" s="13">
        <v>4496.8599999999997</v>
      </c>
      <c r="S1352" s="7"/>
      <c r="T1352" s="7"/>
      <c r="U1352" s="13">
        <v>4496.8599999999997</v>
      </c>
      <c r="V1352" s="7"/>
      <c r="W1352" s="7"/>
      <c r="X1352" s="7"/>
      <c r="Y1352" s="7"/>
      <c r="Z1352" s="7"/>
      <c r="AA1352" s="7"/>
    </row>
    <row r="1353" spans="1:27" outlineLevel="7">
      <c r="A1353" s="3500" t="s">
        <v>137</v>
      </c>
      <c r="B1353" s="3500"/>
      <c r="C1353" s="7"/>
      <c r="D1353" s="7"/>
      <c r="E1353" s="13">
        <v>4496.8599999999997</v>
      </c>
      <c r="F1353" s="7"/>
      <c r="G1353" s="13">
        <v>4496.8599999999997</v>
      </c>
      <c r="H1353" s="3524">
        <v>4496.8599999999997</v>
      </c>
      <c r="I1353" s="3524"/>
      <c r="J1353" s="7"/>
      <c r="K1353" s="7"/>
      <c r="L1353" s="7"/>
      <c r="M1353" s="7"/>
      <c r="N1353" s="7"/>
      <c r="O1353" s="7"/>
      <c r="P1353" s="7"/>
      <c r="Q1353" s="7"/>
      <c r="R1353" s="13">
        <v>4496.8599999999997</v>
      </c>
      <c r="S1353" s="7"/>
      <c r="T1353" s="7"/>
      <c r="U1353" s="13">
        <v>4496.8599999999997</v>
      </c>
      <c r="V1353" s="7"/>
      <c r="W1353" s="7"/>
      <c r="X1353" s="7"/>
      <c r="Y1353" s="7"/>
      <c r="Z1353" s="7"/>
      <c r="AA1353" s="7"/>
    </row>
    <row r="1354" spans="1:27" outlineLevel="7">
      <c r="A1354" s="3499" t="s">
        <v>1970</v>
      </c>
      <c r="B1354" s="3499"/>
      <c r="C1354" s="7"/>
      <c r="D1354" s="7"/>
      <c r="E1354" s="13">
        <v>4496.8599999999997</v>
      </c>
      <c r="F1354" s="7"/>
      <c r="G1354" s="13">
        <v>4496.8599999999997</v>
      </c>
      <c r="H1354" s="3524">
        <v>4496.8599999999997</v>
      </c>
      <c r="I1354" s="3524"/>
      <c r="J1354" s="7"/>
      <c r="K1354" s="7"/>
      <c r="L1354" s="7"/>
      <c r="M1354" s="7"/>
      <c r="N1354" s="7"/>
      <c r="O1354" s="7"/>
      <c r="P1354" s="7"/>
      <c r="Q1354" s="7"/>
      <c r="R1354" s="13">
        <v>4496.8599999999997</v>
      </c>
      <c r="S1354" s="7"/>
      <c r="T1354" s="7"/>
      <c r="U1354" s="13">
        <v>4496.8599999999997</v>
      </c>
      <c r="V1354" s="7"/>
      <c r="W1354" s="7"/>
      <c r="X1354" s="7"/>
      <c r="Y1354" s="7"/>
      <c r="Z1354" s="7"/>
      <c r="AA1354" s="7"/>
    </row>
    <row r="1355" spans="1:27" outlineLevel="7">
      <c r="A1355" s="3500" t="s">
        <v>827</v>
      </c>
      <c r="B1355" s="3500"/>
      <c r="C1355" s="12"/>
      <c r="D1355" s="12"/>
      <c r="E1355" s="12"/>
      <c r="F1355" s="7"/>
      <c r="G1355" s="7"/>
      <c r="H1355" s="8"/>
      <c r="I1355" s="9"/>
      <c r="J1355" s="7"/>
      <c r="K1355" s="7"/>
      <c r="L1355" s="7"/>
      <c r="M1355" s="7"/>
      <c r="N1355" s="7"/>
      <c r="O1355" s="7"/>
      <c r="P1355" s="7"/>
      <c r="Q1355" s="7"/>
      <c r="R1355" s="13">
        <v>4496.8599999999997</v>
      </c>
      <c r="S1355" s="7"/>
      <c r="T1355" s="7"/>
      <c r="U1355" s="13">
        <v>4496.8599999999997</v>
      </c>
      <c r="V1355" s="7"/>
      <c r="W1355" s="7"/>
      <c r="X1355" s="7"/>
      <c r="Y1355" s="7"/>
      <c r="Z1355" s="12"/>
      <c r="AA1355" s="13">
        <v>4496.8599999999997</v>
      </c>
    </row>
    <row r="1356" spans="1:27" outlineLevel="7">
      <c r="A1356" s="3499" t="s">
        <v>1971</v>
      </c>
      <c r="B1356" s="3499"/>
      <c r="C1356" s="12"/>
      <c r="D1356" s="12"/>
      <c r="E1356" s="12"/>
      <c r="F1356" s="7"/>
      <c r="G1356" s="7"/>
      <c r="H1356" s="8"/>
      <c r="I1356" s="9"/>
      <c r="J1356" s="7"/>
      <c r="K1356" s="7"/>
      <c r="L1356" s="7"/>
      <c r="M1356" s="7"/>
      <c r="N1356" s="7"/>
      <c r="O1356" s="7"/>
      <c r="P1356" s="7"/>
      <c r="Q1356" s="7"/>
      <c r="R1356" s="13">
        <v>4496.8599999999997</v>
      </c>
      <c r="S1356" s="7"/>
      <c r="T1356" s="7"/>
      <c r="U1356" s="13">
        <v>4496.8599999999997</v>
      </c>
      <c r="V1356" s="7"/>
      <c r="W1356" s="7"/>
      <c r="X1356" s="7"/>
      <c r="Y1356" s="7"/>
      <c r="Z1356" s="12"/>
      <c r="AA1356" s="13">
        <v>4496.8599999999997</v>
      </c>
    </row>
    <row r="1357" spans="1:27" outlineLevel="7">
      <c r="A1357" s="3500" t="s">
        <v>828</v>
      </c>
      <c r="B1357" s="3500"/>
      <c r="C1357" s="12"/>
      <c r="D1357" s="12"/>
      <c r="E1357" s="12"/>
      <c r="F1357" s="7"/>
      <c r="G1357" s="7"/>
      <c r="H1357" s="8"/>
      <c r="I1357" s="9"/>
      <c r="J1357" s="7"/>
      <c r="K1357" s="7"/>
      <c r="L1357" s="7"/>
      <c r="M1357" s="7"/>
      <c r="N1357" s="7"/>
      <c r="O1357" s="7"/>
      <c r="P1357" s="7"/>
      <c r="Q1357" s="7"/>
      <c r="R1357" s="13">
        <v>4496.8599999999997</v>
      </c>
      <c r="S1357" s="7"/>
      <c r="T1357" s="7"/>
      <c r="U1357" s="13">
        <v>4496.8599999999997</v>
      </c>
      <c r="V1357" s="7"/>
      <c r="W1357" s="7"/>
      <c r="X1357" s="7"/>
      <c r="Y1357" s="7"/>
      <c r="Z1357" s="12"/>
      <c r="AA1357" s="13">
        <v>4496.8599999999997</v>
      </c>
    </row>
    <row r="1358" spans="1:27" outlineLevel="7">
      <c r="A1358" s="3499" t="s">
        <v>1972</v>
      </c>
      <c r="B1358" s="3499"/>
      <c r="C1358" s="12"/>
      <c r="D1358" s="12"/>
      <c r="E1358" s="12"/>
      <c r="F1358" s="7"/>
      <c r="G1358" s="7"/>
      <c r="H1358" s="8"/>
      <c r="I1358" s="9"/>
      <c r="J1358" s="7"/>
      <c r="K1358" s="7"/>
      <c r="L1358" s="7"/>
      <c r="M1358" s="7"/>
      <c r="N1358" s="7"/>
      <c r="O1358" s="7"/>
      <c r="P1358" s="7"/>
      <c r="Q1358" s="7"/>
      <c r="R1358" s="13">
        <v>4496.8599999999997</v>
      </c>
      <c r="S1358" s="7"/>
      <c r="T1358" s="7"/>
      <c r="U1358" s="13">
        <v>4496.8599999999997</v>
      </c>
      <c r="V1358" s="7"/>
      <c r="W1358" s="7"/>
      <c r="X1358" s="7"/>
      <c r="Y1358" s="7"/>
      <c r="Z1358" s="12"/>
      <c r="AA1358" s="13">
        <v>4496.8599999999997</v>
      </c>
    </row>
    <row r="1359" spans="1:27" outlineLevel="6">
      <c r="A1359" s="3501" t="s">
        <v>138</v>
      </c>
      <c r="B1359" s="3501"/>
      <c r="C1359" s="7"/>
      <c r="D1359" s="7"/>
      <c r="E1359" s="14">
        <v>550</v>
      </c>
      <c r="F1359" s="7"/>
      <c r="G1359" s="14">
        <v>550</v>
      </c>
      <c r="H1359" s="3523">
        <v>550</v>
      </c>
      <c r="I1359" s="3523"/>
      <c r="J1359" s="7"/>
      <c r="K1359" s="7"/>
      <c r="L1359" s="7"/>
      <c r="M1359" s="7"/>
      <c r="N1359" s="7"/>
      <c r="O1359" s="7"/>
      <c r="P1359" s="7"/>
      <c r="Q1359" s="7"/>
      <c r="R1359" s="14">
        <v>550</v>
      </c>
      <c r="S1359" s="7"/>
      <c r="T1359" s="7"/>
      <c r="U1359" s="14">
        <v>550</v>
      </c>
      <c r="V1359" s="7"/>
      <c r="W1359" s="7"/>
      <c r="X1359" s="7"/>
      <c r="Y1359" s="7"/>
      <c r="Z1359" s="7"/>
      <c r="AA1359" s="7"/>
    </row>
    <row r="1360" spans="1:27" outlineLevel="7">
      <c r="A1360" s="3500" t="s">
        <v>139</v>
      </c>
      <c r="B1360" s="3500"/>
      <c r="C1360" s="7"/>
      <c r="D1360" s="7"/>
      <c r="E1360" s="14">
        <v>550</v>
      </c>
      <c r="F1360" s="7"/>
      <c r="G1360" s="14">
        <v>550</v>
      </c>
      <c r="H1360" s="3523">
        <v>550</v>
      </c>
      <c r="I1360" s="3523"/>
      <c r="J1360" s="7"/>
      <c r="K1360" s="7"/>
      <c r="L1360" s="7"/>
      <c r="M1360" s="7"/>
      <c r="N1360" s="7"/>
      <c r="O1360" s="7"/>
      <c r="P1360" s="7"/>
      <c r="Q1360" s="7"/>
      <c r="R1360" s="14">
        <v>550</v>
      </c>
      <c r="S1360" s="7"/>
      <c r="T1360" s="7"/>
      <c r="U1360" s="14">
        <v>550</v>
      </c>
      <c r="V1360" s="7"/>
      <c r="W1360" s="7"/>
      <c r="X1360" s="7"/>
      <c r="Y1360" s="7"/>
      <c r="Z1360" s="7"/>
      <c r="AA1360" s="7"/>
    </row>
    <row r="1361" spans="1:27" outlineLevel="7">
      <c r="A1361" s="3499" t="s">
        <v>1973</v>
      </c>
      <c r="B1361" s="3499"/>
      <c r="C1361" s="7"/>
      <c r="D1361" s="7"/>
      <c r="E1361" s="14">
        <v>550</v>
      </c>
      <c r="F1361" s="7"/>
      <c r="G1361" s="14">
        <v>550</v>
      </c>
      <c r="H1361" s="3523">
        <v>550</v>
      </c>
      <c r="I1361" s="3523"/>
      <c r="J1361" s="7"/>
      <c r="K1361" s="7"/>
      <c r="L1361" s="7"/>
      <c r="M1361" s="7"/>
      <c r="N1361" s="7"/>
      <c r="O1361" s="7"/>
      <c r="P1361" s="7"/>
      <c r="Q1361" s="7"/>
      <c r="R1361" s="14">
        <v>550</v>
      </c>
      <c r="S1361" s="7"/>
      <c r="T1361" s="7"/>
      <c r="U1361" s="14">
        <v>550</v>
      </c>
      <c r="V1361" s="7"/>
      <c r="W1361" s="7"/>
      <c r="X1361" s="7"/>
      <c r="Y1361" s="7"/>
      <c r="Z1361" s="7"/>
      <c r="AA1361" s="7"/>
    </row>
    <row r="1362" spans="1:27" outlineLevel="6">
      <c r="A1362" s="3501" t="s">
        <v>140</v>
      </c>
      <c r="B1362" s="3501"/>
      <c r="C1362" s="7"/>
      <c r="D1362" s="7"/>
      <c r="E1362" s="14">
        <v>550</v>
      </c>
      <c r="F1362" s="7"/>
      <c r="G1362" s="14">
        <v>550</v>
      </c>
      <c r="H1362" s="3523">
        <v>550</v>
      </c>
      <c r="I1362" s="3523"/>
      <c r="J1362" s="7"/>
      <c r="K1362" s="7"/>
      <c r="L1362" s="7"/>
      <c r="M1362" s="7"/>
      <c r="N1362" s="7"/>
      <c r="O1362" s="7"/>
      <c r="P1362" s="7"/>
      <c r="Q1362" s="7"/>
      <c r="R1362" s="14">
        <v>550</v>
      </c>
      <c r="S1362" s="7"/>
      <c r="T1362" s="7"/>
      <c r="U1362" s="14">
        <v>550</v>
      </c>
      <c r="V1362" s="7"/>
      <c r="W1362" s="7"/>
      <c r="X1362" s="7"/>
      <c r="Y1362" s="7"/>
      <c r="Z1362" s="7"/>
      <c r="AA1362" s="7"/>
    </row>
    <row r="1363" spans="1:27" outlineLevel="7">
      <c r="A1363" s="3500" t="s">
        <v>141</v>
      </c>
      <c r="B1363" s="3500"/>
      <c r="C1363" s="7"/>
      <c r="D1363" s="7"/>
      <c r="E1363" s="14">
        <v>550</v>
      </c>
      <c r="F1363" s="7"/>
      <c r="G1363" s="14">
        <v>550</v>
      </c>
      <c r="H1363" s="3523">
        <v>550</v>
      </c>
      <c r="I1363" s="3523"/>
      <c r="J1363" s="7"/>
      <c r="K1363" s="7"/>
      <c r="L1363" s="7"/>
      <c r="M1363" s="7"/>
      <c r="N1363" s="7"/>
      <c r="O1363" s="7"/>
      <c r="P1363" s="7"/>
      <c r="Q1363" s="7"/>
      <c r="R1363" s="14">
        <v>550</v>
      </c>
      <c r="S1363" s="7"/>
      <c r="T1363" s="7"/>
      <c r="U1363" s="14">
        <v>550</v>
      </c>
      <c r="V1363" s="7"/>
      <c r="W1363" s="7"/>
      <c r="X1363" s="7"/>
      <c r="Y1363" s="7"/>
      <c r="Z1363" s="7"/>
      <c r="AA1363" s="7"/>
    </row>
    <row r="1364" spans="1:27" outlineLevel="7">
      <c r="A1364" s="3499" t="s">
        <v>1974</v>
      </c>
      <c r="B1364" s="3499"/>
      <c r="C1364" s="7"/>
      <c r="D1364" s="7"/>
      <c r="E1364" s="14">
        <v>550</v>
      </c>
      <c r="F1364" s="7"/>
      <c r="G1364" s="14">
        <v>550</v>
      </c>
      <c r="H1364" s="3523">
        <v>550</v>
      </c>
      <c r="I1364" s="3523"/>
      <c r="J1364" s="7"/>
      <c r="K1364" s="7"/>
      <c r="L1364" s="7"/>
      <c r="M1364" s="7"/>
      <c r="N1364" s="7"/>
      <c r="O1364" s="7"/>
      <c r="P1364" s="7"/>
      <c r="Q1364" s="7"/>
      <c r="R1364" s="14">
        <v>550</v>
      </c>
      <c r="S1364" s="7"/>
      <c r="T1364" s="7"/>
      <c r="U1364" s="14">
        <v>550</v>
      </c>
      <c r="V1364" s="7"/>
      <c r="W1364" s="7"/>
      <c r="X1364" s="7"/>
      <c r="Y1364" s="7"/>
      <c r="Z1364" s="7"/>
      <c r="AA1364" s="7"/>
    </row>
    <row r="1365" spans="1:27" outlineLevel="6">
      <c r="A1365" s="3501" t="s">
        <v>829</v>
      </c>
      <c r="B1365" s="3501"/>
      <c r="C1365" s="12"/>
      <c r="D1365" s="12"/>
      <c r="E1365" s="12"/>
      <c r="F1365" s="7"/>
      <c r="G1365" s="7"/>
      <c r="H1365" s="8"/>
      <c r="I1365" s="9"/>
      <c r="J1365" s="7"/>
      <c r="K1365" s="7"/>
      <c r="L1365" s="7"/>
      <c r="M1365" s="7"/>
      <c r="N1365" s="7"/>
      <c r="O1365" s="7"/>
      <c r="P1365" s="7"/>
      <c r="Q1365" s="7"/>
      <c r="R1365" s="14">
        <v>550</v>
      </c>
      <c r="S1365" s="7"/>
      <c r="T1365" s="7"/>
      <c r="U1365" s="14">
        <v>550</v>
      </c>
      <c r="V1365" s="7"/>
      <c r="W1365" s="7"/>
      <c r="X1365" s="7"/>
      <c r="Y1365" s="7"/>
      <c r="Z1365" s="12"/>
      <c r="AA1365" s="14">
        <v>550</v>
      </c>
    </row>
    <row r="1366" spans="1:27" outlineLevel="7">
      <c r="A1366" s="3500" t="s">
        <v>830</v>
      </c>
      <c r="B1366" s="3500"/>
      <c r="C1366" s="12"/>
      <c r="D1366" s="12"/>
      <c r="E1366" s="12"/>
      <c r="F1366" s="7"/>
      <c r="G1366" s="7"/>
      <c r="H1366" s="8"/>
      <c r="I1366" s="9"/>
      <c r="J1366" s="7"/>
      <c r="K1366" s="7"/>
      <c r="L1366" s="7"/>
      <c r="M1366" s="7"/>
      <c r="N1366" s="7"/>
      <c r="O1366" s="7"/>
      <c r="P1366" s="7"/>
      <c r="Q1366" s="7"/>
      <c r="R1366" s="14">
        <v>550</v>
      </c>
      <c r="S1366" s="7"/>
      <c r="T1366" s="7"/>
      <c r="U1366" s="14">
        <v>550</v>
      </c>
      <c r="V1366" s="7"/>
      <c r="W1366" s="7"/>
      <c r="X1366" s="7"/>
      <c r="Y1366" s="7"/>
      <c r="Z1366" s="12"/>
      <c r="AA1366" s="14">
        <v>550</v>
      </c>
    </row>
    <row r="1367" spans="1:27" outlineLevel="7">
      <c r="A1367" s="3499" t="s">
        <v>1975</v>
      </c>
      <c r="B1367" s="3499"/>
      <c r="C1367" s="12"/>
      <c r="D1367" s="12"/>
      <c r="E1367" s="12"/>
      <c r="F1367" s="7"/>
      <c r="G1367" s="7"/>
      <c r="H1367" s="8"/>
      <c r="I1367" s="9"/>
      <c r="J1367" s="7"/>
      <c r="K1367" s="7"/>
      <c r="L1367" s="7"/>
      <c r="M1367" s="7"/>
      <c r="N1367" s="7"/>
      <c r="O1367" s="7"/>
      <c r="P1367" s="7"/>
      <c r="Q1367" s="7"/>
      <c r="R1367" s="14">
        <v>550</v>
      </c>
      <c r="S1367" s="7"/>
      <c r="T1367" s="7"/>
      <c r="U1367" s="14">
        <v>550</v>
      </c>
      <c r="V1367" s="7"/>
      <c r="W1367" s="7"/>
      <c r="X1367" s="7"/>
      <c r="Y1367" s="7"/>
      <c r="Z1367" s="12"/>
      <c r="AA1367" s="14">
        <v>550</v>
      </c>
    </row>
    <row r="1368" spans="1:27" outlineLevel="6">
      <c r="A1368" s="3501" t="s">
        <v>142</v>
      </c>
      <c r="B1368" s="3501"/>
      <c r="C1368" s="12"/>
      <c r="D1368" s="12"/>
      <c r="E1368" s="13">
        <v>4496.8599999999997</v>
      </c>
      <c r="F1368" s="7"/>
      <c r="G1368" s="13">
        <v>4496.8599999999997</v>
      </c>
      <c r="H1368" s="3524">
        <v>4496.8599999999997</v>
      </c>
      <c r="I1368" s="3524"/>
      <c r="J1368" s="7"/>
      <c r="K1368" s="7"/>
      <c r="L1368" s="7"/>
      <c r="M1368" s="7"/>
      <c r="N1368" s="7"/>
      <c r="O1368" s="7"/>
      <c r="P1368" s="7"/>
      <c r="Q1368" s="7"/>
      <c r="R1368" s="13">
        <v>5046.8599999999997</v>
      </c>
      <c r="S1368" s="7"/>
      <c r="T1368" s="7"/>
      <c r="U1368" s="13">
        <v>5046.8599999999997</v>
      </c>
      <c r="V1368" s="7"/>
      <c r="W1368" s="7"/>
      <c r="X1368" s="7"/>
      <c r="Y1368" s="7"/>
      <c r="Z1368" s="12"/>
      <c r="AA1368" s="14">
        <v>550</v>
      </c>
    </row>
    <row r="1369" spans="1:27" outlineLevel="7">
      <c r="A1369" s="3500" t="s">
        <v>143</v>
      </c>
      <c r="B1369" s="3500"/>
      <c r="C1369" s="7"/>
      <c r="D1369" s="7"/>
      <c r="E1369" s="13">
        <v>4496.8599999999997</v>
      </c>
      <c r="F1369" s="7"/>
      <c r="G1369" s="13">
        <v>4496.8599999999997</v>
      </c>
      <c r="H1369" s="3524">
        <v>4496.8599999999997</v>
      </c>
      <c r="I1369" s="3524"/>
      <c r="J1369" s="7"/>
      <c r="K1369" s="7"/>
      <c r="L1369" s="7"/>
      <c r="M1369" s="7"/>
      <c r="N1369" s="7"/>
      <c r="O1369" s="7"/>
      <c r="P1369" s="7"/>
      <c r="Q1369" s="7"/>
      <c r="R1369" s="13">
        <v>4496.8599999999997</v>
      </c>
      <c r="S1369" s="7"/>
      <c r="T1369" s="7"/>
      <c r="U1369" s="13">
        <v>4496.8599999999997</v>
      </c>
      <c r="V1369" s="7"/>
      <c r="W1369" s="7"/>
      <c r="X1369" s="7"/>
      <c r="Y1369" s="7"/>
      <c r="Z1369" s="7"/>
      <c r="AA1369" s="7"/>
    </row>
    <row r="1370" spans="1:27" outlineLevel="7">
      <c r="A1370" s="3499" t="s">
        <v>1976</v>
      </c>
      <c r="B1370" s="3499"/>
      <c r="C1370" s="7"/>
      <c r="D1370" s="7"/>
      <c r="E1370" s="13">
        <v>4496.8599999999997</v>
      </c>
      <c r="F1370" s="7"/>
      <c r="G1370" s="13">
        <v>4496.8599999999997</v>
      </c>
      <c r="H1370" s="3524">
        <v>4496.8599999999997</v>
      </c>
      <c r="I1370" s="3524"/>
      <c r="J1370" s="7"/>
      <c r="K1370" s="7"/>
      <c r="L1370" s="7"/>
      <c r="M1370" s="7"/>
      <c r="N1370" s="7"/>
      <c r="O1370" s="7"/>
      <c r="P1370" s="7"/>
      <c r="Q1370" s="7"/>
      <c r="R1370" s="13">
        <v>4496.8599999999997</v>
      </c>
      <c r="S1370" s="7"/>
      <c r="T1370" s="7"/>
      <c r="U1370" s="13">
        <v>4496.8599999999997</v>
      </c>
      <c r="V1370" s="7"/>
      <c r="W1370" s="7"/>
      <c r="X1370" s="7"/>
      <c r="Y1370" s="7"/>
      <c r="Z1370" s="7"/>
      <c r="AA1370" s="7"/>
    </row>
    <row r="1371" spans="1:27" outlineLevel="7">
      <c r="A1371" s="3500" t="s">
        <v>831</v>
      </c>
      <c r="B1371" s="3500"/>
      <c r="C1371" s="12"/>
      <c r="D1371" s="12"/>
      <c r="E1371" s="12"/>
      <c r="F1371" s="7"/>
      <c r="G1371" s="7"/>
      <c r="H1371" s="8"/>
      <c r="I1371" s="9"/>
      <c r="J1371" s="7"/>
      <c r="K1371" s="7"/>
      <c r="L1371" s="7"/>
      <c r="M1371" s="7"/>
      <c r="N1371" s="7"/>
      <c r="O1371" s="7"/>
      <c r="P1371" s="7"/>
      <c r="Q1371" s="7"/>
      <c r="R1371" s="14">
        <v>550</v>
      </c>
      <c r="S1371" s="7"/>
      <c r="T1371" s="7"/>
      <c r="U1371" s="14">
        <v>550</v>
      </c>
      <c r="V1371" s="7"/>
      <c r="W1371" s="7"/>
      <c r="X1371" s="7"/>
      <c r="Y1371" s="7"/>
      <c r="Z1371" s="12"/>
      <c r="AA1371" s="14">
        <v>550</v>
      </c>
    </row>
    <row r="1372" spans="1:27" outlineLevel="7">
      <c r="A1372" s="3499" t="s">
        <v>1977</v>
      </c>
      <c r="B1372" s="3499"/>
      <c r="C1372" s="12"/>
      <c r="D1372" s="12"/>
      <c r="E1372" s="12"/>
      <c r="F1372" s="7"/>
      <c r="G1372" s="7"/>
      <c r="H1372" s="8"/>
      <c r="I1372" s="9"/>
      <c r="J1372" s="7"/>
      <c r="K1372" s="7"/>
      <c r="L1372" s="7"/>
      <c r="M1372" s="7"/>
      <c r="N1372" s="7"/>
      <c r="O1372" s="7"/>
      <c r="P1372" s="7"/>
      <c r="Q1372" s="7"/>
      <c r="R1372" s="14">
        <v>550</v>
      </c>
      <c r="S1372" s="7"/>
      <c r="T1372" s="7"/>
      <c r="U1372" s="14">
        <v>550</v>
      </c>
      <c r="V1372" s="7"/>
      <c r="W1372" s="7"/>
      <c r="X1372" s="7"/>
      <c r="Y1372" s="7"/>
      <c r="Z1372" s="12"/>
      <c r="AA1372" s="14">
        <v>550</v>
      </c>
    </row>
    <row r="1373" spans="1:27" outlineLevel="6">
      <c r="A1373" s="3501" t="s">
        <v>832</v>
      </c>
      <c r="B1373" s="3501"/>
      <c r="C1373" s="12"/>
      <c r="D1373" s="12"/>
      <c r="E1373" s="12"/>
      <c r="F1373" s="7"/>
      <c r="G1373" s="7"/>
      <c r="H1373" s="8"/>
      <c r="I1373" s="9"/>
      <c r="J1373" s="7"/>
      <c r="K1373" s="7"/>
      <c r="L1373" s="7"/>
      <c r="M1373" s="7"/>
      <c r="N1373" s="7"/>
      <c r="O1373" s="7"/>
      <c r="P1373" s="7"/>
      <c r="Q1373" s="7"/>
      <c r="R1373" s="14">
        <v>550</v>
      </c>
      <c r="S1373" s="7"/>
      <c r="T1373" s="7"/>
      <c r="U1373" s="14">
        <v>550</v>
      </c>
      <c r="V1373" s="7"/>
      <c r="W1373" s="7"/>
      <c r="X1373" s="7"/>
      <c r="Y1373" s="7"/>
      <c r="Z1373" s="12"/>
      <c r="AA1373" s="14">
        <v>550</v>
      </c>
    </row>
    <row r="1374" spans="1:27" outlineLevel="7">
      <c r="A1374" s="3500" t="s">
        <v>833</v>
      </c>
      <c r="B1374" s="3500"/>
      <c r="C1374" s="12"/>
      <c r="D1374" s="12"/>
      <c r="E1374" s="12"/>
      <c r="F1374" s="7"/>
      <c r="G1374" s="7"/>
      <c r="H1374" s="8"/>
      <c r="I1374" s="9"/>
      <c r="J1374" s="7"/>
      <c r="K1374" s="7"/>
      <c r="L1374" s="7"/>
      <c r="M1374" s="7"/>
      <c r="N1374" s="7"/>
      <c r="O1374" s="7"/>
      <c r="P1374" s="7"/>
      <c r="Q1374" s="7"/>
      <c r="R1374" s="14">
        <v>550</v>
      </c>
      <c r="S1374" s="7"/>
      <c r="T1374" s="7"/>
      <c r="U1374" s="14">
        <v>550</v>
      </c>
      <c r="V1374" s="7"/>
      <c r="W1374" s="7"/>
      <c r="X1374" s="7"/>
      <c r="Y1374" s="7"/>
      <c r="Z1374" s="12"/>
      <c r="AA1374" s="14">
        <v>550</v>
      </c>
    </row>
    <row r="1375" spans="1:27" outlineLevel="7">
      <c r="A1375" s="3499" t="s">
        <v>1978</v>
      </c>
      <c r="B1375" s="3499"/>
      <c r="C1375" s="12"/>
      <c r="D1375" s="12"/>
      <c r="E1375" s="12"/>
      <c r="F1375" s="7"/>
      <c r="G1375" s="7"/>
      <c r="H1375" s="8"/>
      <c r="I1375" s="9"/>
      <c r="J1375" s="7"/>
      <c r="K1375" s="7"/>
      <c r="L1375" s="7"/>
      <c r="M1375" s="7"/>
      <c r="N1375" s="7"/>
      <c r="O1375" s="7"/>
      <c r="P1375" s="7"/>
      <c r="Q1375" s="7"/>
      <c r="R1375" s="14">
        <v>550</v>
      </c>
      <c r="S1375" s="7"/>
      <c r="T1375" s="7"/>
      <c r="U1375" s="14">
        <v>550</v>
      </c>
      <c r="V1375" s="7"/>
      <c r="W1375" s="7"/>
      <c r="X1375" s="7"/>
      <c r="Y1375" s="7"/>
      <c r="Z1375" s="12"/>
      <c r="AA1375" s="14">
        <v>550</v>
      </c>
    </row>
    <row r="1376" spans="1:27" outlineLevel="6">
      <c r="A1376" s="3501" t="s">
        <v>834</v>
      </c>
      <c r="B1376" s="3501"/>
      <c r="C1376" s="12"/>
      <c r="D1376" s="12"/>
      <c r="E1376" s="12"/>
      <c r="F1376" s="7"/>
      <c r="G1376" s="7"/>
      <c r="H1376" s="8"/>
      <c r="I1376" s="9"/>
      <c r="J1376" s="7"/>
      <c r="K1376" s="7"/>
      <c r="L1376" s="7"/>
      <c r="M1376" s="7"/>
      <c r="N1376" s="7"/>
      <c r="O1376" s="7"/>
      <c r="P1376" s="7"/>
      <c r="Q1376" s="7"/>
      <c r="R1376" s="14">
        <v>550</v>
      </c>
      <c r="S1376" s="7"/>
      <c r="T1376" s="7"/>
      <c r="U1376" s="14">
        <v>550</v>
      </c>
      <c r="V1376" s="7"/>
      <c r="W1376" s="7"/>
      <c r="X1376" s="7"/>
      <c r="Y1376" s="7"/>
      <c r="Z1376" s="12"/>
      <c r="AA1376" s="14">
        <v>550</v>
      </c>
    </row>
    <row r="1377" spans="1:27" outlineLevel="7">
      <c r="A1377" s="3500" t="s">
        <v>835</v>
      </c>
      <c r="B1377" s="3500"/>
      <c r="C1377" s="12"/>
      <c r="D1377" s="12"/>
      <c r="E1377" s="12"/>
      <c r="F1377" s="7"/>
      <c r="G1377" s="7"/>
      <c r="H1377" s="8"/>
      <c r="I1377" s="9"/>
      <c r="J1377" s="7"/>
      <c r="K1377" s="7"/>
      <c r="L1377" s="7"/>
      <c r="M1377" s="7"/>
      <c r="N1377" s="7"/>
      <c r="O1377" s="7"/>
      <c r="P1377" s="7"/>
      <c r="Q1377" s="7"/>
      <c r="R1377" s="14">
        <v>550</v>
      </c>
      <c r="S1377" s="7"/>
      <c r="T1377" s="7"/>
      <c r="U1377" s="14">
        <v>550</v>
      </c>
      <c r="V1377" s="7"/>
      <c r="W1377" s="7"/>
      <c r="X1377" s="7"/>
      <c r="Y1377" s="7"/>
      <c r="Z1377" s="12"/>
      <c r="AA1377" s="14">
        <v>550</v>
      </c>
    </row>
    <row r="1378" spans="1:27" outlineLevel="7">
      <c r="A1378" s="3499" t="s">
        <v>1979</v>
      </c>
      <c r="B1378" s="3499"/>
      <c r="C1378" s="12"/>
      <c r="D1378" s="12"/>
      <c r="E1378" s="12"/>
      <c r="F1378" s="7"/>
      <c r="G1378" s="7"/>
      <c r="H1378" s="8"/>
      <c r="I1378" s="9"/>
      <c r="J1378" s="7"/>
      <c r="K1378" s="7"/>
      <c r="L1378" s="7"/>
      <c r="M1378" s="7"/>
      <c r="N1378" s="7"/>
      <c r="O1378" s="7"/>
      <c r="P1378" s="7"/>
      <c r="Q1378" s="7"/>
      <c r="R1378" s="14">
        <v>550</v>
      </c>
      <c r="S1378" s="7"/>
      <c r="T1378" s="7"/>
      <c r="U1378" s="14">
        <v>550</v>
      </c>
      <c r="V1378" s="7"/>
      <c r="W1378" s="7"/>
      <c r="X1378" s="7"/>
      <c r="Y1378" s="7"/>
      <c r="Z1378" s="12"/>
      <c r="AA1378" s="14">
        <v>550</v>
      </c>
    </row>
    <row r="1379" spans="1:27" outlineLevel="6">
      <c r="A1379" s="3501" t="s">
        <v>836</v>
      </c>
      <c r="B1379" s="3501"/>
      <c r="C1379" s="12"/>
      <c r="D1379" s="12"/>
      <c r="E1379" s="12"/>
      <c r="F1379" s="7"/>
      <c r="G1379" s="7"/>
      <c r="H1379" s="8"/>
      <c r="I1379" s="9"/>
      <c r="J1379" s="7"/>
      <c r="K1379" s="7"/>
      <c r="L1379" s="7"/>
      <c r="M1379" s="7"/>
      <c r="N1379" s="7"/>
      <c r="O1379" s="7"/>
      <c r="P1379" s="7"/>
      <c r="Q1379" s="7"/>
      <c r="R1379" s="14">
        <v>550</v>
      </c>
      <c r="S1379" s="7"/>
      <c r="T1379" s="7"/>
      <c r="U1379" s="14">
        <v>550</v>
      </c>
      <c r="V1379" s="7"/>
      <c r="W1379" s="7"/>
      <c r="X1379" s="7"/>
      <c r="Y1379" s="7"/>
      <c r="Z1379" s="12"/>
      <c r="AA1379" s="14">
        <v>550</v>
      </c>
    </row>
    <row r="1380" spans="1:27" outlineLevel="7">
      <c r="A1380" s="3500" t="s">
        <v>837</v>
      </c>
      <c r="B1380" s="3500"/>
      <c r="C1380" s="12"/>
      <c r="D1380" s="12"/>
      <c r="E1380" s="12"/>
      <c r="F1380" s="7"/>
      <c r="G1380" s="7"/>
      <c r="H1380" s="8"/>
      <c r="I1380" s="9"/>
      <c r="J1380" s="7"/>
      <c r="K1380" s="7"/>
      <c r="L1380" s="7"/>
      <c r="M1380" s="7"/>
      <c r="N1380" s="7"/>
      <c r="O1380" s="7"/>
      <c r="P1380" s="7"/>
      <c r="Q1380" s="7"/>
      <c r="R1380" s="14">
        <v>550</v>
      </c>
      <c r="S1380" s="7"/>
      <c r="T1380" s="7"/>
      <c r="U1380" s="14">
        <v>550</v>
      </c>
      <c r="V1380" s="7"/>
      <c r="W1380" s="7"/>
      <c r="X1380" s="7"/>
      <c r="Y1380" s="7"/>
      <c r="Z1380" s="12"/>
      <c r="AA1380" s="14">
        <v>550</v>
      </c>
    </row>
    <row r="1381" spans="1:27" outlineLevel="7">
      <c r="A1381" s="3499" t="s">
        <v>1980</v>
      </c>
      <c r="B1381" s="3499"/>
      <c r="C1381" s="12"/>
      <c r="D1381" s="12"/>
      <c r="E1381" s="12"/>
      <c r="F1381" s="7"/>
      <c r="G1381" s="7"/>
      <c r="H1381" s="8"/>
      <c r="I1381" s="9"/>
      <c r="J1381" s="7"/>
      <c r="K1381" s="7"/>
      <c r="L1381" s="7"/>
      <c r="M1381" s="7"/>
      <c r="N1381" s="7"/>
      <c r="O1381" s="7"/>
      <c r="P1381" s="7"/>
      <c r="Q1381" s="7"/>
      <c r="R1381" s="14">
        <v>550</v>
      </c>
      <c r="S1381" s="7"/>
      <c r="T1381" s="7"/>
      <c r="U1381" s="14">
        <v>550</v>
      </c>
      <c r="V1381" s="7"/>
      <c r="W1381" s="7"/>
      <c r="X1381" s="7"/>
      <c r="Y1381" s="7"/>
      <c r="Z1381" s="12"/>
      <c r="AA1381" s="14">
        <v>550</v>
      </c>
    </row>
    <row r="1382" spans="1:27" outlineLevel="6">
      <c r="A1382" s="3501" t="s">
        <v>144</v>
      </c>
      <c r="B1382" s="3501"/>
      <c r="C1382" s="12"/>
      <c r="D1382" s="12"/>
      <c r="E1382" s="13">
        <v>4496.8599999999997</v>
      </c>
      <c r="F1382" s="7"/>
      <c r="G1382" s="13">
        <v>4496.8599999999997</v>
      </c>
      <c r="H1382" s="3524">
        <v>4496.8599999999997</v>
      </c>
      <c r="I1382" s="3524"/>
      <c r="J1382" s="7"/>
      <c r="K1382" s="7"/>
      <c r="L1382" s="7"/>
      <c r="M1382" s="7"/>
      <c r="N1382" s="7"/>
      <c r="O1382" s="7"/>
      <c r="P1382" s="7"/>
      <c r="Q1382" s="7"/>
      <c r="R1382" s="13">
        <v>5046.8599999999997</v>
      </c>
      <c r="S1382" s="7"/>
      <c r="T1382" s="7"/>
      <c r="U1382" s="13">
        <v>5046.8599999999997</v>
      </c>
      <c r="V1382" s="7"/>
      <c r="W1382" s="7"/>
      <c r="X1382" s="7"/>
      <c r="Y1382" s="7"/>
      <c r="Z1382" s="12"/>
      <c r="AA1382" s="14">
        <v>550</v>
      </c>
    </row>
    <row r="1383" spans="1:27" outlineLevel="7">
      <c r="A1383" s="3500" t="s">
        <v>838</v>
      </c>
      <c r="B1383" s="3500"/>
      <c r="C1383" s="12"/>
      <c r="D1383" s="12"/>
      <c r="E1383" s="12"/>
      <c r="F1383" s="7"/>
      <c r="G1383" s="7"/>
      <c r="H1383" s="8"/>
      <c r="I1383" s="9"/>
      <c r="J1383" s="7"/>
      <c r="K1383" s="7"/>
      <c r="L1383" s="7"/>
      <c r="M1383" s="7"/>
      <c r="N1383" s="7"/>
      <c r="O1383" s="7"/>
      <c r="P1383" s="7"/>
      <c r="Q1383" s="7"/>
      <c r="R1383" s="14">
        <v>550</v>
      </c>
      <c r="S1383" s="7"/>
      <c r="T1383" s="7"/>
      <c r="U1383" s="14">
        <v>550</v>
      </c>
      <c r="V1383" s="7"/>
      <c r="W1383" s="7"/>
      <c r="X1383" s="7"/>
      <c r="Y1383" s="7"/>
      <c r="Z1383" s="12"/>
      <c r="AA1383" s="14">
        <v>550</v>
      </c>
    </row>
    <row r="1384" spans="1:27" outlineLevel="7">
      <c r="A1384" s="3499" t="s">
        <v>1981</v>
      </c>
      <c r="B1384" s="3499"/>
      <c r="C1384" s="12"/>
      <c r="D1384" s="12"/>
      <c r="E1384" s="12"/>
      <c r="F1384" s="7"/>
      <c r="G1384" s="7"/>
      <c r="H1384" s="8"/>
      <c r="I1384" s="9"/>
      <c r="J1384" s="7"/>
      <c r="K1384" s="7"/>
      <c r="L1384" s="7"/>
      <c r="M1384" s="7"/>
      <c r="N1384" s="7"/>
      <c r="O1384" s="7"/>
      <c r="P1384" s="7"/>
      <c r="Q1384" s="7"/>
      <c r="R1384" s="14">
        <v>550</v>
      </c>
      <c r="S1384" s="7"/>
      <c r="T1384" s="7"/>
      <c r="U1384" s="14">
        <v>550</v>
      </c>
      <c r="V1384" s="7"/>
      <c r="W1384" s="7"/>
      <c r="X1384" s="7"/>
      <c r="Y1384" s="7"/>
      <c r="Z1384" s="12"/>
      <c r="AA1384" s="14">
        <v>550</v>
      </c>
    </row>
    <row r="1385" spans="1:27" outlineLevel="7">
      <c r="A1385" s="3500" t="s">
        <v>145</v>
      </c>
      <c r="B1385" s="3500"/>
      <c r="C1385" s="7"/>
      <c r="D1385" s="7"/>
      <c r="E1385" s="13">
        <v>4496.8599999999997</v>
      </c>
      <c r="F1385" s="7"/>
      <c r="G1385" s="13">
        <v>4496.8599999999997</v>
      </c>
      <c r="H1385" s="3524">
        <v>4496.8599999999997</v>
      </c>
      <c r="I1385" s="3524"/>
      <c r="J1385" s="7"/>
      <c r="K1385" s="7"/>
      <c r="L1385" s="7"/>
      <c r="M1385" s="7"/>
      <c r="N1385" s="7"/>
      <c r="O1385" s="7"/>
      <c r="P1385" s="7"/>
      <c r="Q1385" s="7"/>
      <c r="R1385" s="13">
        <v>4496.8599999999997</v>
      </c>
      <c r="S1385" s="7"/>
      <c r="T1385" s="7"/>
      <c r="U1385" s="13">
        <v>4496.8599999999997</v>
      </c>
      <c r="V1385" s="7"/>
      <c r="W1385" s="7"/>
      <c r="X1385" s="7"/>
      <c r="Y1385" s="7"/>
      <c r="Z1385" s="7"/>
      <c r="AA1385" s="7"/>
    </row>
    <row r="1386" spans="1:27" outlineLevel="7">
      <c r="A1386" s="3499" t="s">
        <v>1982</v>
      </c>
      <c r="B1386" s="3499"/>
      <c r="C1386" s="7"/>
      <c r="D1386" s="7"/>
      <c r="E1386" s="13">
        <v>4496.8599999999997</v>
      </c>
      <c r="F1386" s="7"/>
      <c r="G1386" s="13">
        <v>4496.8599999999997</v>
      </c>
      <c r="H1386" s="3524">
        <v>4496.8599999999997</v>
      </c>
      <c r="I1386" s="3524"/>
      <c r="J1386" s="7"/>
      <c r="K1386" s="7"/>
      <c r="L1386" s="7"/>
      <c r="M1386" s="7"/>
      <c r="N1386" s="7"/>
      <c r="O1386" s="7"/>
      <c r="P1386" s="7"/>
      <c r="Q1386" s="7"/>
      <c r="R1386" s="13">
        <v>4496.8599999999997</v>
      </c>
      <c r="S1386" s="7"/>
      <c r="T1386" s="7"/>
      <c r="U1386" s="13">
        <v>4496.8599999999997</v>
      </c>
      <c r="V1386" s="7"/>
      <c r="W1386" s="7"/>
      <c r="X1386" s="7"/>
      <c r="Y1386" s="7"/>
      <c r="Z1386" s="7"/>
      <c r="AA1386" s="7"/>
    </row>
    <row r="1387" spans="1:27" outlineLevel="6">
      <c r="A1387" s="3501" t="s">
        <v>839</v>
      </c>
      <c r="B1387" s="3501"/>
      <c r="C1387" s="12"/>
      <c r="D1387" s="12"/>
      <c r="E1387" s="12"/>
      <c r="F1387" s="7"/>
      <c r="G1387" s="7"/>
      <c r="H1387" s="8"/>
      <c r="I1387" s="9"/>
      <c r="J1387" s="7"/>
      <c r="K1387" s="7"/>
      <c r="L1387" s="7"/>
      <c r="M1387" s="7"/>
      <c r="N1387" s="7"/>
      <c r="O1387" s="7"/>
      <c r="P1387" s="7"/>
      <c r="Q1387" s="7"/>
      <c r="R1387" s="14">
        <v>550</v>
      </c>
      <c r="S1387" s="7"/>
      <c r="T1387" s="7"/>
      <c r="U1387" s="14">
        <v>550</v>
      </c>
      <c r="V1387" s="7"/>
      <c r="W1387" s="7"/>
      <c r="X1387" s="7"/>
      <c r="Y1387" s="7"/>
      <c r="Z1387" s="12"/>
      <c r="AA1387" s="14">
        <v>550</v>
      </c>
    </row>
    <row r="1388" spans="1:27" outlineLevel="7">
      <c r="A1388" s="3500" t="s">
        <v>840</v>
      </c>
      <c r="B1388" s="3500"/>
      <c r="C1388" s="12"/>
      <c r="D1388" s="12"/>
      <c r="E1388" s="12"/>
      <c r="F1388" s="7"/>
      <c r="G1388" s="7"/>
      <c r="H1388" s="8"/>
      <c r="I1388" s="9"/>
      <c r="J1388" s="7"/>
      <c r="K1388" s="7"/>
      <c r="L1388" s="7"/>
      <c r="M1388" s="7"/>
      <c r="N1388" s="7"/>
      <c r="O1388" s="7"/>
      <c r="P1388" s="7"/>
      <c r="Q1388" s="7"/>
      <c r="R1388" s="14">
        <v>550</v>
      </c>
      <c r="S1388" s="7"/>
      <c r="T1388" s="7"/>
      <c r="U1388" s="14">
        <v>550</v>
      </c>
      <c r="V1388" s="7"/>
      <c r="W1388" s="7"/>
      <c r="X1388" s="7"/>
      <c r="Y1388" s="7"/>
      <c r="Z1388" s="12"/>
      <c r="AA1388" s="14">
        <v>550</v>
      </c>
    </row>
    <row r="1389" spans="1:27" outlineLevel="7">
      <c r="A1389" s="3499" t="s">
        <v>1983</v>
      </c>
      <c r="B1389" s="3499"/>
      <c r="C1389" s="12"/>
      <c r="D1389" s="12"/>
      <c r="E1389" s="12"/>
      <c r="F1389" s="7"/>
      <c r="G1389" s="7"/>
      <c r="H1389" s="8"/>
      <c r="I1389" s="9"/>
      <c r="J1389" s="7"/>
      <c r="K1389" s="7"/>
      <c r="L1389" s="7"/>
      <c r="M1389" s="7"/>
      <c r="N1389" s="7"/>
      <c r="O1389" s="7"/>
      <c r="P1389" s="7"/>
      <c r="Q1389" s="7"/>
      <c r="R1389" s="14">
        <v>550</v>
      </c>
      <c r="S1389" s="7"/>
      <c r="T1389" s="7"/>
      <c r="U1389" s="14">
        <v>550</v>
      </c>
      <c r="V1389" s="7"/>
      <c r="W1389" s="7"/>
      <c r="X1389" s="7"/>
      <c r="Y1389" s="7"/>
      <c r="Z1389" s="12"/>
      <c r="AA1389" s="14">
        <v>550</v>
      </c>
    </row>
    <row r="1390" spans="1:27" outlineLevel="6">
      <c r="A1390" s="3501" t="s">
        <v>841</v>
      </c>
      <c r="B1390" s="3501"/>
      <c r="C1390" s="12"/>
      <c r="D1390" s="12"/>
      <c r="E1390" s="12"/>
      <c r="F1390" s="7"/>
      <c r="G1390" s="7"/>
      <c r="H1390" s="8"/>
      <c r="I1390" s="9"/>
      <c r="J1390" s="7"/>
      <c r="K1390" s="7"/>
      <c r="L1390" s="7"/>
      <c r="M1390" s="7"/>
      <c r="N1390" s="7"/>
      <c r="O1390" s="7"/>
      <c r="P1390" s="7"/>
      <c r="Q1390" s="7"/>
      <c r="R1390" s="14">
        <v>550</v>
      </c>
      <c r="S1390" s="7"/>
      <c r="T1390" s="7"/>
      <c r="U1390" s="14">
        <v>550</v>
      </c>
      <c r="V1390" s="7"/>
      <c r="W1390" s="7"/>
      <c r="X1390" s="7"/>
      <c r="Y1390" s="7"/>
      <c r="Z1390" s="12"/>
      <c r="AA1390" s="14">
        <v>550</v>
      </c>
    </row>
    <row r="1391" spans="1:27" outlineLevel="7">
      <c r="A1391" s="3500" t="s">
        <v>842</v>
      </c>
      <c r="B1391" s="3500"/>
      <c r="C1391" s="12"/>
      <c r="D1391" s="12"/>
      <c r="E1391" s="12"/>
      <c r="F1391" s="7"/>
      <c r="G1391" s="7"/>
      <c r="H1391" s="8"/>
      <c r="I1391" s="9"/>
      <c r="J1391" s="7"/>
      <c r="K1391" s="7"/>
      <c r="L1391" s="7"/>
      <c r="M1391" s="7"/>
      <c r="N1391" s="7"/>
      <c r="O1391" s="7"/>
      <c r="P1391" s="7"/>
      <c r="Q1391" s="7"/>
      <c r="R1391" s="14">
        <v>550</v>
      </c>
      <c r="S1391" s="7"/>
      <c r="T1391" s="7"/>
      <c r="U1391" s="14">
        <v>550</v>
      </c>
      <c r="V1391" s="7"/>
      <c r="W1391" s="7"/>
      <c r="X1391" s="7"/>
      <c r="Y1391" s="7"/>
      <c r="Z1391" s="12"/>
      <c r="AA1391" s="14">
        <v>550</v>
      </c>
    </row>
    <row r="1392" spans="1:27" outlineLevel="7">
      <c r="A1392" s="3499" t="s">
        <v>1984</v>
      </c>
      <c r="B1392" s="3499"/>
      <c r="C1392" s="12"/>
      <c r="D1392" s="12"/>
      <c r="E1392" s="12"/>
      <c r="F1392" s="7"/>
      <c r="G1392" s="7"/>
      <c r="H1392" s="8"/>
      <c r="I1392" s="9"/>
      <c r="J1392" s="7"/>
      <c r="K1392" s="7"/>
      <c r="L1392" s="7"/>
      <c r="M1392" s="7"/>
      <c r="N1392" s="7"/>
      <c r="O1392" s="7"/>
      <c r="P1392" s="7"/>
      <c r="Q1392" s="7"/>
      <c r="R1392" s="14">
        <v>550</v>
      </c>
      <c r="S1392" s="7"/>
      <c r="T1392" s="7"/>
      <c r="U1392" s="14">
        <v>550</v>
      </c>
      <c r="V1392" s="7"/>
      <c r="W1392" s="7"/>
      <c r="X1392" s="7"/>
      <c r="Y1392" s="7"/>
      <c r="Z1392" s="12"/>
      <c r="AA1392" s="14">
        <v>550</v>
      </c>
    </row>
    <row r="1393" spans="1:27" outlineLevel="6">
      <c r="A1393" s="3501" t="s">
        <v>146</v>
      </c>
      <c r="B1393" s="3501"/>
      <c r="C1393" s="7"/>
      <c r="D1393" s="7"/>
      <c r="E1393" s="14">
        <v>550</v>
      </c>
      <c r="F1393" s="7"/>
      <c r="G1393" s="14">
        <v>550</v>
      </c>
      <c r="H1393" s="3523">
        <v>550</v>
      </c>
      <c r="I1393" s="3523"/>
      <c r="J1393" s="7"/>
      <c r="K1393" s="7"/>
      <c r="L1393" s="7"/>
      <c r="M1393" s="7"/>
      <c r="N1393" s="7"/>
      <c r="O1393" s="7"/>
      <c r="P1393" s="7"/>
      <c r="Q1393" s="7"/>
      <c r="R1393" s="14">
        <v>550</v>
      </c>
      <c r="S1393" s="7"/>
      <c r="T1393" s="7"/>
      <c r="U1393" s="14">
        <v>550</v>
      </c>
      <c r="V1393" s="7"/>
      <c r="W1393" s="7"/>
      <c r="X1393" s="7"/>
      <c r="Y1393" s="7"/>
      <c r="Z1393" s="7"/>
      <c r="AA1393" s="7"/>
    </row>
    <row r="1394" spans="1:27" outlineLevel="7">
      <c r="A1394" s="3500" t="s">
        <v>147</v>
      </c>
      <c r="B1394" s="3500"/>
      <c r="C1394" s="7"/>
      <c r="D1394" s="7"/>
      <c r="E1394" s="14">
        <v>550</v>
      </c>
      <c r="F1394" s="7"/>
      <c r="G1394" s="14">
        <v>550</v>
      </c>
      <c r="H1394" s="3523">
        <v>550</v>
      </c>
      <c r="I1394" s="3523"/>
      <c r="J1394" s="7"/>
      <c r="K1394" s="7"/>
      <c r="L1394" s="7"/>
      <c r="M1394" s="7"/>
      <c r="N1394" s="7"/>
      <c r="O1394" s="7"/>
      <c r="P1394" s="7"/>
      <c r="Q1394" s="7"/>
      <c r="R1394" s="14">
        <v>550</v>
      </c>
      <c r="S1394" s="7"/>
      <c r="T1394" s="7"/>
      <c r="U1394" s="14">
        <v>550</v>
      </c>
      <c r="V1394" s="7"/>
      <c r="W1394" s="7"/>
      <c r="X1394" s="7"/>
      <c r="Y1394" s="7"/>
      <c r="Z1394" s="7"/>
      <c r="AA1394" s="7"/>
    </row>
    <row r="1395" spans="1:27" outlineLevel="7">
      <c r="A1395" s="3499" t="s">
        <v>1985</v>
      </c>
      <c r="B1395" s="3499"/>
      <c r="C1395" s="7"/>
      <c r="D1395" s="7"/>
      <c r="E1395" s="14">
        <v>550</v>
      </c>
      <c r="F1395" s="7"/>
      <c r="G1395" s="14">
        <v>550</v>
      </c>
      <c r="H1395" s="3523">
        <v>550</v>
      </c>
      <c r="I1395" s="3523"/>
      <c r="J1395" s="7"/>
      <c r="K1395" s="7"/>
      <c r="L1395" s="7"/>
      <c r="M1395" s="7"/>
      <c r="N1395" s="7"/>
      <c r="O1395" s="7"/>
      <c r="P1395" s="7"/>
      <c r="Q1395" s="7"/>
      <c r="R1395" s="14">
        <v>550</v>
      </c>
      <c r="S1395" s="7"/>
      <c r="T1395" s="7"/>
      <c r="U1395" s="14">
        <v>550</v>
      </c>
      <c r="V1395" s="7"/>
      <c r="W1395" s="7"/>
      <c r="X1395" s="7"/>
      <c r="Y1395" s="7"/>
      <c r="Z1395" s="7"/>
      <c r="AA1395" s="7"/>
    </row>
    <row r="1396" spans="1:27" outlineLevel="6">
      <c r="A1396" s="3501" t="s">
        <v>843</v>
      </c>
      <c r="B1396" s="3501"/>
      <c r="C1396" s="12"/>
      <c r="D1396" s="12"/>
      <c r="E1396" s="12"/>
      <c r="F1396" s="7"/>
      <c r="G1396" s="7"/>
      <c r="H1396" s="8"/>
      <c r="I1396" s="9"/>
      <c r="J1396" s="7"/>
      <c r="K1396" s="7"/>
      <c r="L1396" s="7"/>
      <c r="M1396" s="7"/>
      <c r="N1396" s="7"/>
      <c r="O1396" s="7"/>
      <c r="P1396" s="7"/>
      <c r="Q1396" s="7"/>
      <c r="R1396" s="14">
        <v>550</v>
      </c>
      <c r="S1396" s="7"/>
      <c r="T1396" s="7"/>
      <c r="U1396" s="14">
        <v>550</v>
      </c>
      <c r="V1396" s="7"/>
      <c r="W1396" s="7"/>
      <c r="X1396" s="7"/>
      <c r="Y1396" s="7"/>
      <c r="Z1396" s="12"/>
      <c r="AA1396" s="14">
        <v>550</v>
      </c>
    </row>
    <row r="1397" spans="1:27" outlineLevel="7">
      <c r="A1397" s="3500" t="s">
        <v>844</v>
      </c>
      <c r="B1397" s="3500"/>
      <c r="C1397" s="12"/>
      <c r="D1397" s="12"/>
      <c r="E1397" s="12"/>
      <c r="F1397" s="7"/>
      <c r="G1397" s="7"/>
      <c r="H1397" s="8"/>
      <c r="I1397" s="9"/>
      <c r="J1397" s="7"/>
      <c r="K1397" s="7"/>
      <c r="L1397" s="7"/>
      <c r="M1397" s="7"/>
      <c r="N1397" s="7"/>
      <c r="O1397" s="7"/>
      <c r="P1397" s="7"/>
      <c r="Q1397" s="7"/>
      <c r="R1397" s="14">
        <v>550</v>
      </c>
      <c r="S1397" s="7"/>
      <c r="T1397" s="7"/>
      <c r="U1397" s="14">
        <v>550</v>
      </c>
      <c r="V1397" s="7"/>
      <c r="W1397" s="7"/>
      <c r="X1397" s="7"/>
      <c r="Y1397" s="7"/>
      <c r="Z1397" s="12"/>
      <c r="AA1397" s="14">
        <v>550</v>
      </c>
    </row>
    <row r="1398" spans="1:27" outlineLevel="7">
      <c r="A1398" s="3499" t="s">
        <v>1986</v>
      </c>
      <c r="B1398" s="3499"/>
      <c r="C1398" s="12"/>
      <c r="D1398" s="12"/>
      <c r="E1398" s="12"/>
      <c r="F1398" s="7"/>
      <c r="G1398" s="7"/>
      <c r="H1398" s="8"/>
      <c r="I1398" s="9"/>
      <c r="J1398" s="7"/>
      <c r="K1398" s="7"/>
      <c r="L1398" s="7"/>
      <c r="M1398" s="7"/>
      <c r="N1398" s="7"/>
      <c r="O1398" s="7"/>
      <c r="P1398" s="7"/>
      <c r="Q1398" s="7"/>
      <c r="R1398" s="14">
        <v>550</v>
      </c>
      <c r="S1398" s="7"/>
      <c r="T1398" s="7"/>
      <c r="U1398" s="14">
        <v>550</v>
      </c>
      <c r="V1398" s="7"/>
      <c r="W1398" s="7"/>
      <c r="X1398" s="7"/>
      <c r="Y1398" s="7"/>
      <c r="Z1398" s="12"/>
      <c r="AA1398" s="14">
        <v>550</v>
      </c>
    </row>
    <row r="1399" spans="1:27" outlineLevel="6">
      <c r="A1399" s="3501" t="s">
        <v>148</v>
      </c>
      <c r="B1399" s="3501"/>
      <c r="C1399" s="12"/>
      <c r="D1399" s="14">
        <v>550</v>
      </c>
      <c r="E1399" s="14">
        <v>550</v>
      </c>
      <c r="F1399" s="7"/>
      <c r="G1399" s="14">
        <v>550</v>
      </c>
      <c r="H1399" s="3523">
        <v>550</v>
      </c>
      <c r="I1399" s="3523"/>
      <c r="J1399" s="7"/>
      <c r="K1399" s="7"/>
      <c r="L1399" s="7"/>
      <c r="M1399" s="7"/>
      <c r="N1399" s="7"/>
      <c r="O1399" s="7"/>
      <c r="P1399" s="7"/>
      <c r="Q1399" s="7"/>
      <c r="R1399" s="12"/>
      <c r="S1399" s="7"/>
      <c r="T1399" s="7"/>
      <c r="U1399" s="7"/>
      <c r="V1399" s="7"/>
      <c r="W1399" s="7"/>
      <c r="X1399" s="7"/>
      <c r="Y1399" s="7"/>
      <c r="Z1399" s="12"/>
      <c r="AA1399" s="12"/>
    </row>
    <row r="1400" spans="1:27" outlineLevel="7">
      <c r="A1400" s="3500" t="s">
        <v>149</v>
      </c>
      <c r="B1400" s="3500"/>
      <c r="C1400" s="12"/>
      <c r="D1400" s="14">
        <v>550</v>
      </c>
      <c r="E1400" s="14">
        <v>550</v>
      </c>
      <c r="F1400" s="7"/>
      <c r="G1400" s="14">
        <v>550</v>
      </c>
      <c r="H1400" s="3523">
        <v>550</v>
      </c>
      <c r="I1400" s="3523"/>
      <c r="J1400" s="7"/>
      <c r="K1400" s="7"/>
      <c r="L1400" s="7"/>
      <c r="M1400" s="7"/>
      <c r="N1400" s="7"/>
      <c r="O1400" s="7"/>
      <c r="P1400" s="7"/>
      <c r="Q1400" s="7"/>
      <c r="R1400" s="12"/>
      <c r="S1400" s="7"/>
      <c r="T1400" s="7"/>
      <c r="U1400" s="7"/>
      <c r="V1400" s="7"/>
      <c r="W1400" s="7"/>
      <c r="X1400" s="7"/>
      <c r="Y1400" s="7"/>
      <c r="Z1400" s="12"/>
      <c r="AA1400" s="12"/>
    </row>
    <row r="1401" spans="1:27" outlineLevel="7">
      <c r="A1401" s="3499" t="s">
        <v>1987</v>
      </c>
      <c r="B1401" s="3499"/>
      <c r="C1401" s="12"/>
      <c r="D1401" s="14">
        <v>550</v>
      </c>
      <c r="E1401" s="14">
        <v>550</v>
      </c>
      <c r="F1401" s="7"/>
      <c r="G1401" s="14">
        <v>550</v>
      </c>
      <c r="H1401" s="3523">
        <v>550</v>
      </c>
      <c r="I1401" s="3523"/>
      <c r="J1401" s="7"/>
      <c r="K1401" s="7"/>
      <c r="L1401" s="7"/>
      <c r="M1401" s="7"/>
      <c r="N1401" s="7"/>
      <c r="O1401" s="7"/>
      <c r="P1401" s="7"/>
      <c r="Q1401" s="7"/>
      <c r="R1401" s="12"/>
      <c r="S1401" s="7"/>
      <c r="T1401" s="7"/>
      <c r="U1401" s="7"/>
      <c r="V1401" s="7"/>
      <c r="W1401" s="7"/>
      <c r="X1401" s="7"/>
      <c r="Y1401" s="7"/>
      <c r="Z1401" s="12"/>
      <c r="AA1401" s="12"/>
    </row>
    <row r="1402" spans="1:27" outlineLevel="6">
      <c r="A1402" s="3501" t="s">
        <v>845</v>
      </c>
      <c r="B1402" s="3501"/>
      <c r="C1402" s="12"/>
      <c r="D1402" s="12"/>
      <c r="E1402" s="12"/>
      <c r="F1402" s="7"/>
      <c r="G1402" s="7"/>
      <c r="H1402" s="8"/>
      <c r="I1402" s="9"/>
      <c r="J1402" s="7"/>
      <c r="K1402" s="7"/>
      <c r="L1402" s="7"/>
      <c r="M1402" s="7"/>
      <c r="N1402" s="7"/>
      <c r="O1402" s="7"/>
      <c r="P1402" s="7"/>
      <c r="Q1402" s="7"/>
      <c r="R1402" s="14">
        <v>550</v>
      </c>
      <c r="S1402" s="7"/>
      <c r="T1402" s="7"/>
      <c r="U1402" s="14">
        <v>550</v>
      </c>
      <c r="V1402" s="7"/>
      <c r="W1402" s="7"/>
      <c r="X1402" s="7"/>
      <c r="Y1402" s="7"/>
      <c r="Z1402" s="12"/>
      <c r="AA1402" s="14">
        <v>550</v>
      </c>
    </row>
    <row r="1403" spans="1:27" outlineLevel="7">
      <c r="A1403" s="3500" t="s">
        <v>846</v>
      </c>
      <c r="B1403" s="3500"/>
      <c r="C1403" s="12"/>
      <c r="D1403" s="12"/>
      <c r="E1403" s="12"/>
      <c r="F1403" s="7"/>
      <c r="G1403" s="7"/>
      <c r="H1403" s="8"/>
      <c r="I1403" s="9"/>
      <c r="J1403" s="7"/>
      <c r="K1403" s="7"/>
      <c r="L1403" s="7"/>
      <c r="M1403" s="7"/>
      <c r="N1403" s="7"/>
      <c r="O1403" s="7"/>
      <c r="P1403" s="7"/>
      <c r="Q1403" s="7"/>
      <c r="R1403" s="14">
        <v>550</v>
      </c>
      <c r="S1403" s="7"/>
      <c r="T1403" s="7"/>
      <c r="U1403" s="14">
        <v>550</v>
      </c>
      <c r="V1403" s="7"/>
      <c r="W1403" s="7"/>
      <c r="X1403" s="7"/>
      <c r="Y1403" s="7"/>
      <c r="Z1403" s="12"/>
      <c r="AA1403" s="14">
        <v>550</v>
      </c>
    </row>
    <row r="1404" spans="1:27" outlineLevel="7">
      <c r="A1404" s="3499" t="s">
        <v>1988</v>
      </c>
      <c r="B1404" s="3499"/>
      <c r="C1404" s="12"/>
      <c r="D1404" s="12"/>
      <c r="E1404" s="12"/>
      <c r="F1404" s="7"/>
      <c r="G1404" s="7"/>
      <c r="H1404" s="8"/>
      <c r="I1404" s="9"/>
      <c r="J1404" s="7"/>
      <c r="K1404" s="7"/>
      <c r="L1404" s="7"/>
      <c r="M1404" s="7"/>
      <c r="N1404" s="7"/>
      <c r="O1404" s="7"/>
      <c r="P1404" s="7"/>
      <c r="Q1404" s="7"/>
      <c r="R1404" s="14">
        <v>550</v>
      </c>
      <c r="S1404" s="7"/>
      <c r="T1404" s="7"/>
      <c r="U1404" s="14">
        <v>550</v>
      </c>
      <c r="V1404" s="7"/>
      <c r="W1404" s="7"/>
      <c r="X1404" s="7"/>
      <c r="Y1404" s="7"/>
      <c r="Z1404" s="12"/>
      <c r="AA1404" s="14">
        <v>550</v>
      </c>
    </row>
    <row r="1405" spans="1:27" outlineLevel="6">
      <c r="A1405" s="3501" t="s">
        <v>847</v>
      </c>
      <c r="B1405" s="3501"/>
      <c r="C1405" s="12"/>
      <c r="D1405" s="14">
        <v>550</v>
      </c>
      <c r="E1405" s="7"/>
      <c r="F1405" s="7"/>
      <c r="G1405" s="7"/>
      <c r="H1405" s="8"/>
      <c r="I1405" s="9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12"/>
      <c r="AA1405" s="14">
        <v>550</v>
      </c>
    </row>
    <row r="1406" spans="1:27" outlineLevel="7">
      <c r="A1406" s="3500" t="s">
        <v>848</v>
      </c>
      <c r="B1406" s="3500"/>
      <c r="C1406" s="12"/>
      <c r="D1406" s="14">
        <v>550</v>
      </c>
      <c r="E1406" s="7"/>
      <c r="F1406" s="7"/>
      <c r="G1406" s="7"/>
      <c r="H1406" s="8"/>
      <c r="I1406" s="9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12"/>
      <c r="AA1406" s="14">
        <v>550</v>
      </c>
    </row>
    <row r="1407" spans="1:27" outlineLevel="7">
      <c r="A1407" s="3499" t="s">
        <v>1989</v>
      </c>
      <c r="B1407" s="3499"/>
      <c r="C1407" s="12"/>
      <c r="D1407" s="14">
        <v>550</v>
      </c>
      <c r="E1407" s="7"/>
      <c r="F1407" s="7"/>
      <c r="G1407" s="7"/>
      <c r="H1407" s="8"/>
      <c r="I1407" s="9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12"/>
      <c r="AA1407" s="14">
        <v>550</v>
      </c>
    </row>
    <row r="1408" spans="1:27" outlineLevel="6">
      <c r="A1408" s="3501" t="s">
        <v>150</v>
      </c>
      <c r="B1408" s="3501"/>
      <c r="C1408" s="7"/>
      <c r="D1408" s="7"/>
      <c r="E1408" s="14">
        <v>550</v>
      </c>
      <c r="F1408" s="7"/>
      <c r="G1408" s="14">
        <v>550</v>
      </c>
      <c r="H1408" s="3523">
        <v>550</v>
      </c>
      <c r="I1408" s="3523"/>
      <c r="J1408" s="7"/>
      <c r="K1408" s="7"/>
      <c r="L1408" s="7"/>
      <c r="M1408" s="7"/>
      <c r="N1408" s="7"/>
      <c r="O1408" s="7"/>
      <c r="P1408" s="7"/>
      <c r="Q1408" s="7"/>
      <c r="R1408" s="14">
        <v>550</v>
      </c>
      <c r="S1408" s="7"/>
      <c r="T1408" s="7"/>
      <c r="U1408" s="14">
        <v>550</v>
      </c>
      <c r="V1408" s="7"/>
      <c r="W1408" s="7"/>
      <c r="X1408" s="7"/>
      <c r="Y1408" s="7"/>
      <c r="Z1408" s="7"/>
      <c r="AA1408" s="7"/>
    </row>
    <row r="1409" spans="1:27" outlineLevel="7">
      <c r="A1409" s="3500" t="s">
        <v>151</v>
      </c>
      <c r="B1409" s="3500"/>
      <c r="C1409" s="7"/>
      <c r="D1409" s="7"/>
      <c r="E1409" s="14">
        <v>550</v>
      </c>
      <c r="F1409" s="7"/>
      <c r="G1409" s="14">
        <v>550</v>
      </c>
      <c r="H1409" s="3523">
        <v>550</v>
      </c>
      <c r="I1409" s="3523"/>
      <c r="J1409" s="7"/>
      <c r="K1409" s="7"/>
      <c r="L1409" s="7"/>
      <c r="M1409" s="7"/>
      <c r="N1409" s="7"/>
      <c r="O1409" s="7"/>
      <c r="P1409" s="7"/>
      <c r="Q1409" s="7"/>
      <c r="R1409" s="14">
        <v>550</v>
      </c>
      <c r="S1409" s="7"/>
      <c r="T1409" s="7"/>
      <c r="U1409" s="14">
        <v>550</v>
      </c>
      <c r="V1409" s="7"/>
      <c r="W1409" s="7"/>
      <c r="X1409" s="7"/>
      <c r="Y1409" s="7"/>
      <c r="Z1409" s="7"/>
      <c r="AA1409" s="7"/>
    </row>
    <row r="1410" spans="1:27" outlineLevel="7">
      <c r="A1410" s="3499" t="s">
        <v>1990</v>
      </c>
      <c r="B1410" s="3499"/>
      <c r="C1410" s="7"/>
      <c r="D1410" s="7"/>
      <c r="E1410" s="14">
        <v>550</v>
      </c>
      <c r="F1410" s="7"/>
      <c r="G1410" s="14">
        <v>550</v>
      </c>
      <c r="H1410" s="3523">
        <v>550</v>
      </c>
      <c r="I1410" s="3523"/>
      <c r="J1410" s="7"/>
      <c r="K1410" s="7"/>
      <c r="L1410" s="7"/>
      <c r="M1410" s="7"/>
      <c r="N1410" s="7"/>
      <c r="O1410" s="7"/>
      <c r="P1410" s="7"/>
      <c r="Q1410" s="7"/>
      <c r="R1410" s="14">
        <v>550</v>
      </c>
      <c r="S1410" s="7"/>
      <c r="T1410" s="7"/>
      <c r="U1410" s="14">
        <v>550</v>
      </c>
      <c r="V1410" s="7"/>
      <c r="W1410" s="7"/>
      <c r="X1410" s="7"/>
      <c r="Y1410" s="7"/>
      <c r="Z1410" s="7"/>
      <c r="AA1410" s="7"/>
    </row>
    <row r="1411" spans="1:27" outlineLevel="6">
      <c r="A1411" s="3501" t="s">
        <v>152</v>
      </c>
      <c r="B1411" s="3501"/>
      <c r="C1411" s="7"/>
      <c r="D1411" s="7"/>
      <c r="E1411" s="14">
        <v>550</v>
      </c>
      <c r="F1411" s="7"/>
      <c r="G1411" s="14">
        <v>550</v>
      </c>
      <c r="H1411" s="3523">
        <v>550</v>
      </c>
      <c r="I1411" s="3523"/>
      <c r="J1411" s="7"/>
      <c r="K1411" s="7"/>
      <c r="L1411" s="7"/>
      <c r="M1411" s="7"/>
      <c r="N1411" s="7"/>
      <c r="O1411" s="7"/>
      <c r="P1411" s="7"/>
      <c r="Q1411" s="7"/>
      <c r="R1411" s="14">
        <v>550</v>
      </c>
      <c r="S1411" s="7"/>
      <c r="T1411" s="7"/>
      <c r="U1411" s="14">
        <v>550</v>
      </c>
      <c r="V1411" s="7"/>
      <c r="W1411" s="7"/>
      <c r="X1411" s="7"/>
      <c r="Y1411" s="7"/>
      <c r="Z1411" s="7"/>
      <c r="AA1411" s="7"/>
    </row>
    <row r="1412" spans="1:27" outlineLevel="7">
      <c r="A1412" s="3500" t="s">
        <v>153</v>
      </c>
      <c r="B1412" s="3500"/>
      <c r="C1412" s="7"/>
      <c r="D1412" s="7"/>
      <c r="E1412" s="14">
        <v>550</v>
      </c>
      <c r="F1412" s="7"/>
      <c r="G1412" s="14">
        <v>550</v>
      </c>
      <c r="H1412" s="3523">
        <v>550</v>
      </c>
      <c r="I1412" s="3523"/>
      <c r="J1412" s="7"/>
      <c r="K1412" s="7"/>
      <c r="L1412" s="7"/>
      <c r="M1412" s="7"/>
      <c r="N1412" s="7"/>
      <c r="O1412" s="7"/>
      <c r="P1412" s="7"/>
      <c r="Q1412" s="7"/>
      <c r="R1412" s="14">
        <v>550</v>
      </c>
      <c r="S1412" s="7"/>
      <c r="T1412" s="7"/>
      <c r="U1412" s="14">
        <v>550</v>
      </c>
      <c r="V1412" s="7"/>
      <c r="W1412" s="7"/>
      <c r="X1412" s="7"/>
      <c r="Y1412" s="7"/>
      <c r="Z1412" s="7"/>
      <c r="AA1412" s="7"/>
    </row>
    <row r="1413" spans="1:27" outlineLevel="7">
      <c r="A1413" s="3499" t="s">
        <v>1991</v>
      </c>
      <c r="B1413" s="3499"/>
      <c r="C1413" s="7"/>
      <c r="D1413" s="7"/>
      <c r="E1413" s="14">
        <v>550</v>
      </c>
      <c r="F1413" s="7"/>
      <c r="G1413" s="14">
        <v>550</v>
      </c>
      <c r="H1413" s="3523">
        <v>550</v>
      </c>
      <c r="I1413" s="3523"/>
      <c r="J1413" s="7"/>
      <c r="K1413" s="7"/>
      <c r="L1413" s="7"/>
      <c r="M1413" s="7"/>
      <c r="N1413" s="7"/>
      <c r="O1413" s="7"/>
      <c r="P1413" s="7"/>
      <c r="Q1413" s="7"/>
      <c r="R1413" s="14">
        <v>550</v>
      </c>
      <c r="S1413" s="7"/>
      <c r="T1413" s="7"/>
      <c r="U1413" s="14">
        <v>550</v>
      </c>
      <c r="V1413" s="7"/>
      <c r="W1413" s="7"/>
      <c r="X1413" s="7"/>
      <c r="Y1413" s="7"/>
      <c r="Z1413" s="7"/>
      <c r="AA1413" s="7"/>
    </row>
    <row r="1414" spans="1:27" outlineLevel="6">
      <c r="A1414" s="3501" t="s">
        <v>154</v>
      </c>
      <c r="B1414" s="3501"/>
      <c r="C1414" s="7"/>
      <c r="D1414" s="7"/>
      <c r="E1414" s="14">
        <v>550</v>
      </c>
      <c r="F1414" s="7"/>
      <c r="G1414" s="14">
        <v>550</v>
      </c>
      <c r="H1414" s="3523">
        <v>550</v>
      </c>
      <c r="I1414" s="3523"/>
      <c r="J1414" s="7"/>
      <c r="K1414" s="7"/>
      <c r="L1414" s="7"/>
      <c r="M1414" s="7"/>
      <c r="N1414" s="7"/>
      <c r="O1414" s="7"/>
      <c r="P1414" s="7"/>
      <c r="Q1414" s="7"/>
      <c r="R1414" s="14">
        <v>550</v>
      </c>
      <c r="S1414" s="7"/>
      <c r="T1414" s="7"/>
      <c r="U1414" s="14">
        <v>550</v>
      </c>
      <c r="V1414" s="7"/>
      <c r="W1414" s="7"/>
      <c r="X1414" s="7"/>
      <c r="Y1414" s="7"/>
      <c r="Z1414" s="7"/>
      <c r="AA1414" s="7"/>
    </row>
    <row r="1415" spans="1:27" outlineLevel="7">
      <c r="A1415" s="3500" t="s">
        <v>155</v>
      </c>
      <c r="B1415" s="3500"/>
      <c r="C1415" s="7"/>
      <c r="D1415" s="7"/>
      <c r="E1415" s="14">
        <v>550</v>
      </c>
      <c r="F1415" s="7"/>
      <c r="G1415" s="14">
        <v>550</v>
      </c>
      <c r="H1415" s="3523">
        <v>550</v>
      </c>
      <c r="I1415" s="3523"/>
      <c r="J1415" s="7"/>
      <c r="K1415" s="7"/>
      <c r="L1415" s="7"/>
      <c r="M1415" s="7"/>
      <c r="N1415" s="7"/>
      <c r="O1415" s="7"/>
      <c r="P1415" s="7"/>
      <c r="Q1415" s="7"/>
      <c r="R1415" s="14">
        <v>550</v>
      </c>
      <c r="S1415" s="7"/>
      <c r="T1415" s="7"/>
      <c r="U1415" s="14">
        <v>550</v>
      </c>
      <c r="V1415" s="7"/>
      <c r="W1415" s="7"/>
      <c r="X1415" s="7"/>
      <c r="Y1415" s="7"/>
      <c r="Z1415" s="7"/>
      <c r="AA1415" s="7"/>
    </row>
    <row r="1416" spans="1:27" outlineLevel="7">
      <c r="A1416" s="3499" t="s">
        <v>1992</v>
      </c>
      <c r="B1416" s="3499"/>
      <c r="C1416" s="7"/>
      <c r="D1416" s="7"/>
      <c r="E1416" s="14">
        <v>550</v>
      </c>
      <c r="F1416" s="7"/>
      <c r="G1416" s="14">
        <v>550</v>
      </c>
      <c r="H1416" s="3523">
        <v>550</v>
      </c>
      <c r="I1416" s="3523"/>
      <c r="J1416" s="7"/>
      <c r="K1416" s="7"/>
      <c r="L1416" s="7"/>
      <c r="M1416" s="7"/>
      <c r="N1416" s="7"/>
      <c r="O1416" s="7"/>
      <c r="P1416" s="7"/>
      <c r="Q1416" s="7"/>
      <c r="R1416" s="14">
        <v>550</v>
      </c>
      <c r="S1416" s="7"/>
      <c r="T1416" s="7"/>
      <c r="U1416" s="14">
        <v>550</v>
      </c>
      <c r="V1416" s="7"/>
      <c r="W1416" s="7"/>
      <c r="X1416" s="7"/>
      <c r="Y1416" s="7"/>
      <c r="Z1416" s="7"/>
      <c r="AA1416" s="7"/>
    </row>
    <row r="1417" spans="1:27" outlineLevel="6">
      <c r="A1417" s="3501" t="s">
        <v>156</v>
      </c>
      <c r="B1417" s="3501"/>
      <c r="C1417" s="12"/>
      <c r="D1417" s="14">
        <v>550</v>
      </c>
      <c r="E1417" s="14">
        <v>550</v>
      </c>
      <c r="F1417" s="7"/>
      <c r="G1417" s="14">
        <v>550</v>
      </c>
      <c r="H1417" s="3523">
        <v>550</v>
      </c>
      <c r="I1417" s="3523"/>
      <c r="J1417" s="7"/>
      <c r="K1417" s="7"/>
      <c r="L1417" s="7"/>
      <c r="M1417" s="7"/>
      <c r="N1417" s="7"/>
      <c r="O1417" s="7"/>
      <c r="P1417" s="7"/>
      <c r="Q1417" s="7"/>
      <c r="R1417" s="12"/>
      <c r="S1417" s="7"/>
      <c r="T1417" s="7"/>
      <c r="U1417" s="7"/>
      <c r="V1417" s="7"/>
      <c r="W1417" s="7"/>
      <c r="X1417" s="7"/>
      <c r="Y1417" s="7"/>
      <c r="Z1417" s="12"/>
      <c r="AA1417" s="12"/>
    </row>
    <row r="1418" spans="1:27" outlineLevel="7">
      <c r="A1418" s="3500" t="s">
        <v>157</v>
      </c>
      <c r="B1418" s="3500"/>
      <c r="C1418" s="12"/>
      <c r="D1418" s="14">
        <v>550</v>
      </c>
      <c r="E1418" s="14">
        <v>550</v>
      </c>
      <c r="F1418" s="7"/>
      <c r="G1418" s="14">
        <v>550</v>
      </c>
      <c r="H1418" s="3523">
        <v>550</v>
      </c>
      <c r="I1418" s="3523"/>
      <c r="J1418" s="7"/>
      <c r="K1418" s="7"/>
      <c r="L1418" s="7"/>
      <c r="M1418" s="7"/>
      <c r="N1418" s="7"/>
      <c r="O1418" s="7"/>
      <c r="P1418" s="7"/>
      <c r="Q1418" s="7"/>
      <c r="R1418" s="12"/>
      <c r="S1418" s="7"/>
      <c r="T1418" s="7"/>
      <c r="U1418" s="7"/>
      <c r="V1418" s="7"/>
      <c r="W1418" s="7"/>
      <c r="X1418" s="7"/>
      <c r="Y1418" s="7"/>
      <c r="Z1418" s="12"/>
      <c r="AA1418" s="12"/>
    </row>
    <row r="1419" spans="1:27" outlineLevel="7">
      <c r="A1419" s="3499" t="s">
        <v>1993</v>
      </c>
      <c r="B1419" s="3499"/>
      <c r="C1419" s="12"/>
      <c r="D1419" s="14">
        <v>550</v>
      </c>
      <c r="E1419" s="14">
        <v>550</v>
      </c>
      <c r="F1419" s="7"/>
      <c r="G1419" s="14">
        <v>550</v>
      </c>
      <c r="H1419" s="3523">
        <v>550</v>
      </c>
      <c r="I1419" s="3523"/>
      <c r="J1419" s="7"/>
      <c r="K1419" s="7"/>
      <c r="L1419" s="7"/>
      <c r="M1419" s="7"/>
      <c r="N1419" s="7"/>
      <c r="O1419" s="7"/>
      <c r="P1419" s="7"/>
      <c r="Q1419" s="7"/>
      <c r="R1419" s="12"/>
      <c r="S1419" s="7"/>
      <c r="T1419" s="7"/>
      <c r="U1419" s="7"/>
      <c r="V1419" s="7"/>
      <c r="W1419" s="7"/>
      <c r="X1419" s="7"/>
      <c r="Y1419" s="7"/>
      <c r="Z1419" s="12"/>
      <c r="AA1419" s="12"/>
    </row>
    <row r="1420" spans="1:27" outlineLevel="6">
      <c r="A1420" s="3501" t="s">
        <v>158</v>
      </c>
      <c r="B1420" s="3501"/>
      <c r="C1420" s="12"/>
      <c r="D1420" s="14">
        <v>550</v>
      </c>
      <c r="E1420" s="14">
        <v>550</v>
      </c>
      <c r="F1420" s="7"/>
      <c r="G1420" s="14">
        <v>550</v>
      </c>
      <c r="H1420" s="3523">
        <v>550</v>
      </c>
      <c r="I1420" s="3523"/>
      <c r="J1420" s="7"/>
      <c r="K1420" s="7"/>
      <c r="L1420" s="7"/>
      <c r="M1420" s="7"/>
      <c r="N1420" s="7"/>
      <c r="O1420" s="7"/>
      <c r="P1420" s="7"/>
      <c r="Q1420" s="7"/>
      <c r="R1420" s="12"/>
      <c r="S1420" s="7"/>
      <c r="T1420" s="7"/>
      <c r="U1420" s="7"/>
      <c r="V1420" s="7"/>
      <c r="W1420" s="7"/>
      <c r="X1420" s="7"/>
      <c r="Y1420" s="7"/>
      <c r="Z1420" s="12"/>
      <c r="AA1420" s="12"/>
    </row>
    <row r="1421" spans="1:27" outlineLevel="7">
      <c r="A1421" s="3500" t="s">
        <v>159</v>
      </c>
      <c r="B1421" s="3500"/>
      <c r="C1421" s="12"/>
      <c r="D1421" s="14">
        <v>550</v>
      </c>
      <c r="E1421" s="14">
        <v>550</v>
      </c>
      <c r="F1421" s="7"/>
      <c r="G1421" s="14">
        <v>550</v>
      </c>
      <c r="H1421" s="3523">
        <v>550</v>
      </c>
      <c r="I1421" s="3523"/>
      <c r="J1421" s="7"/>
      <c r="K1421" s="7"/>
      <c r="L1421" s="7"/>
      <c r="M1421" s="7"/>
      <c r="N1421" s="7"/>
      <c r="O1421" s="7"/>
      <c r="P1421" s="7"/>
      <c r="Q1421" s="7"/>
      <c r="R1421" s="12"/>
      <c r="S1421" s="7"/>
      <c r="T1421" s="7"/>
      <c r="U1421" s="7"/>
      <c r="V1421" s="7"/>
      <c r="W1421" s="7"/>
      <c r="X1421" s="7"/>
      <c r="Y1421" s="7"/>
      <c r="Z1421" s="12"/>
      <c r="AA1421" s="12"/>
    </row>
    <row r="1422" spans="1:27" outlineLevel="7">
      <c r="A1422" s="3499" t="s">
        <v>1994</v>
      </c>
      <c r="B1422" s="3499"/>
      <c r="C1422" s="12"/>
      <c r="D1422" s="14">
        <v>550</v>
      </c>
      <c r="E1422" s="14">
        <v>550</v>
      </c>
      <c r="F1422" s="7"/>
      <c r="G1422" s="14">
        <v>550</v>
      </c>
      <c r="H1422" s="3523">
        <v>550</v>
      </c>
      <c r="I1422" s="3523"/>
      <c r="J1422" s="7"/>
      <c r="K1422" s="7"/>
      <c r="L1422" s="7"/>
      <c r="M1422" s="7"/>
      <c r="N1422" s="7"/>
      <c r="O1422" s="7"/>
      <c r="P1422" s="7"/>
      <c r="Q1422" s="7"/>
      <c r="R1422" s="12"/>
      <c r="S1422" s="7"/>
      <c r="T1422" s="7"/>
      <c r="U1422" s="7"/>
      <c r="V1422" s="7"/>
      <c r="W1422" s="7"/>
      <c r="X1422" s="7"/>
      <c r="Y1422" s="7"/>
      <c r="Z1422" s="12"/>
      <c r="AA1422" s="12"/>
    </row>
    <row r="1423" spans="1:27" outlineLevel="6">
      <c r="A1423" s="3501" t="s">
        <v>160</v>
      </c>
      <c r="B1423" s="3501"/>
      <c r="C1423" s="7"/>
      <c r="D1423" s="7"/>
      <c r="E1423" s="14">
        <v>550</v>
      </c>
      <c r="F1423" s="7"/>
      <c r="G1423" s="14">
        <v>550</v>
      </c>
      <c r="H1423" s="3523">
        <v>550</v>
      </c>
      <c r="I1423" s="3523"/>
      <c r="J1423" s="7"/>
      <c r="K1423" s="7"/>
      <c r="L1423" s="7"/>
      <c r="M1423" s="7"/>
      <c r="N1423" s="7"/>
      <c r="O1423" s="7"/>
      <c r="P1423" s="7"/>
      <c r="Q1423" s="7"/>
      <c r="R1423" s="14">
        <v>550</v>
      </c>
      <c r="S1423" s="7"/>
      <c r="T1423" s="7"/>
      <c r="U1423" s="14">
        <v>550</v>
      </c>
      <c r="V1423" s="7"/>
      <c r="W1423" s="7"/>
      <c r="X1423" s="7"/>
      <c r="Y1423" s="7"/>
      <c r="Z1423" s="7"/>
      <c r="AA1423" s="7"/>
    </row>
    <row r="1424" spans="1:27" outlineLevel="7">
      <c r="A1424" s="3500" t="s">
        <v>161</v>
      </c>
      <c r="B1424" s="3500"/>
      <c r="C1424" s="7"/>
      <c r="D1424" s="7"/>
      <c r="E1424" s="14">
        <v>550</v>
      </c>
      <c r="F1424" s="7"/>
      <c r="G1424" s="14">
        <v>550</v>
      </c>
      <c r="H1424" s="3523">
        <v>550</v>
      </c>
      <c r="I1424" s="3523"/>
      <c r="J1424" s="7"/>
      <c r="K1424" s="7"/>
      <c r="L1424" s="7"/>
      <c r="M1424" s="7"/>
      <c r="N1424" s="7"/>
      <c r="O1424" s="7"/>
      <c r="P1424" s="7"/>
      <c r="Q1424" s="7"/>
      <c r="R1424" s="14">
        <v>550</v>
      </c>
      <c r="S1424" s="7"/>
      <c r="T1424" s="7"/>
      <c r="U1424" s="14">
        <v>550</v>
      </c>
      <c r="V1424" s="7"/>
      <c r="W1424" s="7"/>
      <c r="X1424" s="7"/>
      <c r="Y1424" s="7"/>
      <c r="Z1424" s="7"/>
      <c r="AA1424" s="7"/>
    </row>
    <row r="1425" spans="1:27" outlineLevel="7">
      <c r="A1425" s="3499" t="s">
        <v>1995</v>
      </c>
      <c r="B1425" s="3499"/>
      <c r="C1425" s="7"/>
      <c r="D1425" s="7"/>
      <c r="E1425" s="14">
        <v>550</v>
      </c>
      <c r="F1425" s="7"/>
      <c r="G1425" s="14">
        <v>550</v>
      </c>
      <c r="H1425" s="3523">
        <v>550</v>
      </c>
      <c r="I1425" s="3523"/>
      <c r="J1425" s="7"/>
      <c r="K1425" s="7"/>
      <c r="L1425" s="7"/>
      <c r="M1425" s="7"/>
      <c r="N1425" s="7"/>
      <c r="O1425" s="7"/>
      <c r="P1425" s="7"/>
      <c r="Q1425" s="7"/>
      <c r="R1425" s="14">
        <v>550</v>
      </c>
      <c r="S1425" s="7"/>
      <c r="T1425" s="7"/>
      <c r="U1425" s="14">
        <v>550</v>
      </c>
      <c r="V1425" s="7"/>
      <c r="W1425" s="7"/>
      <c r="X1425" s="7"/>
      <c r="Y1425" s="7"/>
      <c r="Z1425" s="7"/>
      <c r="AA1425" s="7"/>
    </row>
    <row r="1426" spans="1:27" outlineLevel="6">
      <c r="A1426" s="3501" t="s">
        <v>849</v>
      </c>
      <c r="B1426" s="3501"/>
      <c r="C1426" s="12"/>
      <c r="D1426" s="12"/>
      <c r="E1426" s="12"/>
      <c r="F1426" s="7"/>
      <c r="G1426" s="7"/>
      <c r="H1426" s="8"/>
      <c r="I1426" s="9"/>
      <c r="J1426" s="7"/>
      <c r="K1426" s="7"/>
      <c r="L1426" s="7"/>
      <c r="M1426" s="7"/>
      <c r="N1426" s="7"/>
      <c r="O1426" s="7"/>
      <c r="P1426" s="7"/>
      <c r="Q1426" s="7"/>
      <c r="R1426" s="14">
        <v>550</v>
      </c>
      <c r="S1426" s="7"/>
      <c r="T1426" s="7"/>
      <c r="U1426" s="14">
        <v>550</v>
      </c>
      <c r="V1426" s="7"/>
      <c r="W1426" s="7"/>
      <c r="X1426" s="7"/>
      <c r="Y1426" s="7"/>
      <c r="Z1426" s="12"/>
      <c r="AA1426" s="14">
        <v>550</v>
      </c>
    </row>
    <row r="1427" spans="1:27" outlineLevel="7">
      <c r="A1427" s="3500" t="s">
        <v>850</v>
      </c>
      <c r="B1427" s="3500"/>
      <c r="C1427" s="12"/>
      <c r="D1427" s="12"/>
      <c r="E1427" s="12"/>
      <c r="F1427" s="7"/>
      <c r="G1427" s="7"/>
      <c r="H1427" s="8"/>
      <c r="I1427" s="9"/>
      <c r="J1427" s="7"/>
      <c r="K1427" s="7"/>
      <c r="L1427" s="7"/>
      <c r="M1427" s="7"/>
      <c r="N1427" s="7"/>
      <c r="O1427" s="7"/>
      <c r="P1427" s="7"/>
      <c r="Q1427" s="7"/>
      <c r="R1427" s="14">
        <v>550</v>
      </c>
      <c r="S1427" s="7"/>
      <c r="T1427" s="7"/>
      <c r="U1427" s="14">
        <v>550</v>
      </c>
      <c r="V1427" s="7"/>
      <c r="W1427" s="7"/>
      <c r="X1427" s="7"/>
      <c r="Y1427" s="7"/>
      <c r="Z1427" s="12"/>
      <c r="AA1427" s="14">
        <v>550</v>
      </c>
    </row>
    <row r="1428" spans="1:27" outlineLevel="7">
      <c r="A1428" s="3499" t="s">
        <v>1996</v>
      </c>
      <c r="B1428" s="3499"/>
      <c r="C1428" s="12"/>
      <c r="D1428" s="12"/>
      <c r="E1428" s="12"/>
      <c r="F1428" s="7"/>
      <c r="G1428" s="7"/>
      <c r="H1428" s="8"/>
      <c r="I1428" s="9"/>
      <c r="J1428" s="7"/>
      <c r="K1428" s="7"/>
      <c r="L1428" s="7"/>
      <c r="M1428" s="7"/>
      <c r="N1428" s="7"/>
      <c r="O1428" s="7"/>
      <c r="P1428" s="7"/>
      <c r="Q1428" s="7"/>
      <c r="R1428" s="14">
        <v>550</v>
      </c>
      <c r="S1428" s="7"/>
      <c r="T1428" s="7"/>
      <c r="U1428" s="14">
        <v>550</v>
      </c>
      <c r="V1428" s="7"/>
      <c r="W1428" s="7"/>
      <c r="X1428" s="7"/>
      <c r="Y1428" s="7"/>
      <c r="Z1428" s="12"/>
      <c r="AA1428" s="14">
        <v>550</v>
      </c>
    </row>
    <row r="1429" spans="1:27" outlineLevel="6">
      <c r="A1429" s="3501" t="s">
        <v>162</v>
      </c>
      <c r="B1429" s="3501"/>
      <c r="C1429" s="7"/>
      <c r="D1429" s="7"/>
      <c r="E1429" s="14">
        <v>550</v>
      </c>
      <c r="F1429" s="7"/>
      <c r="G1429" s="14">
        <v>550</v>
      </c>
      <c r="H1429" s="3523">
        <v>550</v>
      </c>
      <c r="I1429" s="3523"/>
      <c r="J1429" s="7"/>
      <c r="K1429" s="7"/>
      <c r="L1429" s="7"/>
      <c r="M1429" s="7"/>
      <c r="N1429" s="7"/>
      <c r="O1429" s="7"/>
      <c r="P1429" s="7"/>
      <c r="Q1429" s="7"/>
      <c r="R1429" s="14">
        <v>550</v>
      </c>
      <c r="S1429" s="7"/>
      <c r="T1429" s="7"/>
      <c r="U1429" s="14">
        <v>550</v>
      </c>
      <c r="V1429" s="7"/>
      <c r="W1429" s="7"/>
      <c r="X1429" s="7"/>
      <c r="Y1429" s="7"/>
      <c r="Z1429" s="7"/>
      <c r="AA1429" s="7"/>
    </row>
    <row r="1430" spans="1:27" outlineLevel="7">
      <c r="A1430" s="3500" t="s">
        <v>163</v>
      </c>
      <c r="B1430" s="3500"/>
      <c r="C1430" s="7"/>
      <c r="D1430" s="7"/>
      <c r="E1430" s="14">
        <v>550</v>
      </c>
      <c r="F1430" s="7"/>
      <c r="G1430" s="14">
        <v>550</v>
      </c>
      <c r="H1430" s="3523">
        <v>550</v>
      </c>
      <c r="I1430" s="3523"/>
      <c r="J1430" s="7"/>
      <c r="K1430" s="7"/>
      <c r="L1430" s="7"/>
      <c r="M1430" s="7"/>
      <c r="N1430" s="7"/>
      <c r="O1430" s="7"/>
      <c r="P1430" s="7"/>
      <c r="Q1430" s="7"/>
      <c r="R1430" s="14">
        <v>550</v>
      </c>
      <c r="S1430" s="7"/>
      <c r="T1430" s="7"/>
      <c r="U1430" s="14">
        <v>550</v>
      </c>
      <c r="V1430" s="7"/>
      <c r="W1430" s="7"/>
      <c r="X1430" s="7"/>
      <c r="Y1430" s="7"/>
      <c r="Z1430" s="7"/>
      <c r="AA1430" s="7"/>
    </row>
    <row r="1431" spans="1:27" outlineLevel="7">
      <c r="A1431" s="3499" t="s">
        <v>1997</v>
      </c>
      <c r="B1431" s="3499"/>
      <c r="C1431" s="7"/>
      <c r="D1431" s="7"/>
      <c r="E1431" s="14">
        <v>550</v>
      </c>
      <c r="F1431" s="7"/>
      <c r="G1431" s="14">
        <v>550</v>
      </c>
      <c r="H1431" s="3523">
        <v>550</v>
      </c>
      <c r="I1431" s="3523"/>
      <c r="J1431" s="7"/>
      <c r="K1431" s="7"/>
      <c r="L1431" s="7"/>
      <c r="M1431" s="7"/>
      <c r="N1431" s="7"/>
      <c r="O1431" s="7"/>
      <c r="P1431" s="7"/>
      <c r="Q1431" s="7"/>
      <c r="R1431" s="14">
        <v>550</v>
      </c>
      <c r="S1431" s="7"/>
      <c r="T1431" s="7"/>
      <c r="U1431" s="14">
        <v>550</v>
      </c>
      <c r="V1431" s="7"/>
      <c r="W1431" s="7"/>
      <c r="X1431" s="7"/>
      <c r="Y1431" s="7"/>
      <c r="Z1431" s="7"/>
      <c r="AA1431" s="7"/>
    </row>
    <row r="1432" spans="1:27" outlineLevel="6">
      <c r="A1432" s="3501" t="s">
        <v>851</v>
      </c>
      <c r="B1432" s="3501"/>
      <c r="C1432" s="12"/>
      <c r="D1432" s="14">
        <v>550</v>
      </c>
      <c r="E1432" s="7"/>
      <c r="F1432" s="7"/>
      <c r="G1432" s="7"/>
      <c r="H1432" s="8"/>
      <c r="I1432" s="9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12"/>
      <c r="AA1432" s="14">
        <v>550</v>
      </c>
    </row>
    <row r="1433" spans="1:27" outlineLevel="7">
      <c r="A1433" s="3500" t="s">
        <v>852</v>
      </c>
      <c r="B1433" s="3500"/>
      <c r="C1433" s="12"/>
      <c r="D1433" s="14">
        <v>550</v>
      </c>
      <c r="E1433" s="7"/>
      <c r="F1433" s="7"/>
      <c r="G1433" s="7"/>
      <c r="H1433" s="8"/>
      <c r="I1433" s="9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12"/>
      <c r="AA1433" s="14">
        <v>550</v>
      </c>
    </row>
    <row r="1434" spans="1:27" outlineLevel="7">
      <c r="A1434" s="3499" t="s">
        <v>1998</v>
      </c>
      <c r="B1434" s="3499"/>
      <c r="C1434" s="12"/>
      <c r="D1434" s="14">
        <v>550</v>
      </c>
      <c r="E1434" s="7"/>
      <c r="F1434" s="7"/>
      <c r="G1434" s="7"/>
      <c r="H1434" s="8"/>
      <c r="I1434" s="9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12"/>
      <c r="AA1434" s="14">
        <v>550</v>
      </c>
    </row>
    <row r="1435" spans="1:27" outlineLevel="6">
      <c r="A1435" s="3501" t="s">
        <v>853</v>
      </c>
      <c r="B1435" s="3501"/>
      <c r="C1435" s="12"/>
      <c r="D1435" s="14">
        <v>550</v>
      </c>
      <c r="E1435" s="14">
        <v>550</v>
      </c>
      <c r="F1435" s="7"/>
      <c r="G1435" s="7"/>
      <c r="H1435" s="8"/>
      <c r="I1435" s="9"/>
      <c r="J1435" s="7"/>
      <c r="K1435" s="14">
        <v>550</v>
      </c>
      <c r="L1435" s="14">
        <v>550</v>
      </c>
      <c r="M1435" s="7"/>
      <c r="N1435" s="7"/>
      <c r="O1435" s="7"/>
      <c r="P1435" s="7"/>
      <c r="Q1435" s="7"/>
      <c r="R1435" s="12"/>
      <c r="S1435" s="7"/>
      <c r="T1435" s="7"/>
      <c r="U1435" s="7"/>
      <c r="V1435" s="7"/>
      <c r="W1435" s="7"/>
      <c r="X1435" s="7"/>
      <c r="Y1435" s="7"/>
      <c r="Z1435" s="12"/>
      <c r="AA1435" s="12"/>
    </row>
    <row r="1436" spans="1:27" outlineLevel="7">
      <c r="A1436" s="3500" t="s">
        <v>854</v>
      </c>
      <c r="B1436" s="3500"/>
      <c r="C1436" s="12"/>
      <c r="D1436" s="14">
        <v>550</v>
      </c>
      <c r="E1436" s="14">
        <v>550</v>
      </c>
      <c r="F1436" s="7"/>
      <c r="G1436" s="7"/>
      <c r="H1436" s="8"/>
      <c r="I1436" s="9"/>
      <c r="J1436" s="7"/>
      <c r="K1436" s="14">
        <v>550</v>
      </c>
      <c r="L1436" s="14">
        <v>550</v>
      </c>
      <c r="M1436" s="7"/>
      <c r="N1436" s="7"/>
      <c r="O1436" s="7"/>
      <c r="P1436" s="7"/>
      <c r="Q1436" s="7"/>
      <c r="R1436" s="12"/>
      <c r="S1436" s="7"/>
      <c r="T1436" s="7"/>
      <c r="U1436" s="7"/>
      <c r="V1436" s="7"/>
      <c r="W1436" s="7"/>
      <c r="X1436" s="7"/>
      <c r="Y1436" s="7"/>
      <c r="Z1436" s="12"/>
      <c r="AA1436" s="12"/>
    </row>
    <row r="1437" spans="1:27" outlineLevel="7">
      <c r="A1437" s="3499" t="s">
        <v>1999</v>
      </c>
      <c r="B1437" s="3499"/>
      <c r="C1437" s="12"/>
      <c r="D1437" s="14">
        <v>550</v>
      </c>
      <c r="E1437" s="14">
        <v>550</v>
      </c>
      <c r="F1437" s="7"/>
      <c r="G1437" s="7"/>
      <c r="H1437" s="8"/>
      <c r="I1437" s="9"/>
      <c r="J1437" s="7"/>
      <c r="K1437" s="14">
        <v>550</v>
      </c>
      <c r="L1437" s="14">
        <v>550</v>
      </c>
      <c r="M1437" s="7"/>
      <c r="N1437" s="7"/>
      <c r="O1437" s="7"/>
      <c r="P1437" s="7"/>
      <c r="Q1437" s="7"/>
      <c r="R1437" s="12"/>
      <c r="S1437" s="7"/>
      <c r="T1437" s="7"/>
      <c r="U1437" s="7"/>
      <c r="V1437" s="7"/>
      <c r="W1437" s="7"/>
      <c r="X1437" s="7"/>
      <c r="Y1437" s="7"/>
      <c r="Z1437" s="12"/>
      <c r="AA1437" s="12"/>
    </row>
    <row r="1438" spans="1:27" outlineLevel="6">
      <c r="A1438" s="3501" t="s">
        <v>164</v>
      </c>
      <c r="B1438" s="3501"/>
      <c r="C1438" s="12"/>
      <c r="D1438" s="14">
        <v>550</v>
      </c>
      <c r="E1438" s="14">
        <v>550</v>
      </c>
      <c r="F1438" s="7"/>
      <c r="G1438" s="14">
        <v>550</v>
      </c>
      <c r="H1438" s="3523">
        <v>550</v>
      </c>
      <c r="I1438" s="3523"/>
      <c r="J1438" s="7"/>
      <c r="K1438" s="7"/>
      <c r="L1438" s="7"/>
      <c r="M1438" s="7"/>
      <c r="N1438" s="7"/>
      <c r="O1438" s="7"/>
      <c r="P1438" s="7"/>
      <c r="Q1438" s="7"/>
      <c r="R1438" s="12"/>
      <c r="S1438" s="7"/>
      <c r="T1438" s="7"/>
      <c r="U1438" s="7"/>
      <c r="V1438" s="7"/>
      <c r="W1438" s="7"/>
      <c r="X1438" s="7"/>
      <c r="Y1438" s="7"/>
      <c r="Z1438" s="12"/>
      <c r="AA1438" s="12"/>
    </row>
    <row r="1439" spans="1:27" outlineLevel="7">
      <c r="A1439" s="3500" t="s">
        <v>165</v>
      </c>
      <c r="B1439" s="3500"/>
      <c r="C1439" s="12"/>
      <c r="D1439" s="14">
        <v>550</v>
      </c>
      <c r="E1439" s="14">
        <v>550</v>
      </c>
      <c r="F1439" s="7"/>
      <c r="G1439" s="14">
        <v>550</v>
      </c>
      <c r="H1439" s="3523">
        <v>550</v>
      </c>
      <c r="I1439" s="3523"/>
      <c r="J1439" s="7"/>
      <c r="K1439" s="7"/>
      <c r="L1439" s="7"/>
      <c r="M1439" s="7"/>
      <c r="N1439" s="7"/>
      <c r="O1439" s="7"/>
      <c r="P1439" s="7"/>
      <c r="Q1439" s="7"/>
      <c r="R1439" s="12"/>
      <c r="S1439" s="7"/>
      <c r="T1439" s="7"/>
      <c r="U1439" s="7"/>
      <c r="V1439" s="7"/>
      <c r="W1439" s="7"/>
      <c r="X1439" s="7"/>
      <c r="Y1439" s="7"/>
      <c r="Z1439" s="12"/>
      <c r="AA1439" s="12"/>
    </row>
    <row r="1440" spans="1:27" outlineLevel="7">
      <c r="A1440" s="3499" t="s">
        <v>2000</v>
      </c>
      <c r="B1440" s="3499"/>
      <c r="C1440" s="12"/>
      <c r="D1440" s="14">
        <v>550</v>
      </c>
      <c r="E1440" s="14">
        <v>550</v>
      </c>
      <c r="F1440" s="7"/>
      <c r="G1440" s="14">
        <v>550</v>
      </c>
      <c r="H1440" s="3523">
        <v>550</v>
      </c>
      <c r="I1440" s="3523"/>
      <c r="J1440" s="7"/>
      <c r="K1440" s="7"/>
      <c r="L1440" s="7"/>
      <c r="M1440" s="7"/>
      <c r="N1440" s="7"/>
      <c r="O1440" s="7"/>
      <c r="P1440" s="7"/>
      <c r="Q1440" s="7"/>
      <c r="R1440" s="12"/>
      <c r="S1440" s="7"/>
      <c r="T1440" s="7"/>
      <c r="U1440" s="7"/>
      <c r="V1440" s="7"/>
      <c r="W1440" s="7"/>
      <c r="X1440" s="7"/>
      <c r="Y1440" s="7"/>
      <c r="Z1440" s="12"/>
      <c r="AA1440" s="12"/>
    </row>
    <row r="1441" spans="1:27" outlineLevel="6">
      <c r="A1441" s="3501" t="s">
        <v>855</v>
      </c>
      <c r="B1441" s="3501"/>
      <c r="C1441" s="7"/>
      <c r="D1441" s="7"/>
      <c r="E1441" s="14">
        <v>550</v>
      </c>
      <c r="F1441" s="7"/>
      <c r="G1441" s="7"/>
      <c r="H1441" s="8"/>
      <c r="I1441" s="9"/>
      <c r="J1441" s="7"/>
      <c r="K1441" s="14">
        <v>550</v>
      </c>
      <c r="L1441" s="14">
        <v>550</v>
      </c>
      <c r="M1441" s="7"/>
      <c r="N1441" s="7"/>
      <c r="O1441" s="7"/>
      <c r="P1441" s="7"/>
      <c r="Q1441" s="7"/>
      <c r="R1441" s="14">
        <v>550</v>
      </c>
      <c r="S1441" s="7"/>
      <c r="T1441" s="7"/>
      <c r="U1441" s="14">
        <v>550</v>
      </c>
      <c r="V1441" s="7"/>
      <c r="W1441" s="7"/>
      <c r="X1441" s="7"/>
      <c r="Y1441" s="7"/>
      <c r="Z1441" s="7"/>
      <c r="AA1441" s="7"/>
    </row>
    <row r="1442" spans="1:27" outlineLevel="7">
      <c r="A1442" s="3500" t="s">
        <v>856</v>
      </c>
      <c r="B1442" s="3500"/>
      <c r="C1442" s="7"/>
      <c r="D1442" s="7"/>
      <c r="E1442" s="14">
        <v>550</v>
      </c>
      <c r="F1442" s="7"/>
      <c r="G1442" s="7"/>
      <c r="H1442" s="8"/>
      <c r="I1442" s="9"/>
      <c r="J1442" s="7"/>
      <c r="K1442" s="14">
        <v>550</v>
      </c>
      <c r="L1442" s="14">
        <v>550</v>
      </c>
      <c r="M1442" s="7"/>
      <c r="N1442" s="7"/>
      <c r="O1442" s="7"/>
      <c r="P1442" s="7"/>
      <c r="Q1442" s="7"/>
      <c r="R1442" s="14">
        <v>550</v>
      </c>
      <c r="S1442" s="7"/>
      <c r="T1442" s="7"/>
      <c r="U1442" s="14">
        <v>550</v>
      </c>
      <c r="V1442" s="7"/>
      <c r="W1442" s="7"/>
      <c r="X1442" s="7"/>
      <c r="Y1442" s="7"/>
      <c r="Z1442" s="7"/>
      <c r="AA1442" s="7"/>
    </row>
    <row r="1443" spans="1:27" outlineLevel="7">
      <c r="A1443" s="3499" t="s">
        <v>2001</v>
      </c>
      <c r="B1443" s="3499"/>
      <c r="C1443" s="7"/>
      <c r="D1443" s="7"/>
      <c r="E1443" s="14">
        <v>550</v>
      </c>
      <c r="F1443" s="7"/>
      <c r="G1443" s="7"/>
      <c r="H1443" s="8"/>
      <c r="I1443" s="9"/>
      <c r="J1443" s="7"/>
      <c r="K1443" s="14">
        <v>550</v>
      </c>
      <c r="L1443" s="14">
        <v>550</v>
      </c>
      <c r="M1443" s="7"/>
      <c r="N1443" s="7"/>
      <c r="O1443" s="7"/>
      <c r="P1443" s="7"/>
      <c r="Q1443" s="7"/>
      <c r="R1443" s="14">
        <v>550</v>
      </c>
      <c r="S1443" s="7"/>
      <c r="T1443" s="7"/>
      <c r="U1443" s="14">
        <v>550</v>
      </c>
      <c r="V1443" s="7"/>
      <c r="W1443" s="7"/>
      <c r="X1443" s="7"/>
      <c r="Y1443" s="7"/>
      <c r="Z1443" s="7"/>
      <c r="AA1443" s="7"/>
    </row>
    <row r="1444" spans="1:27" outlineLevel="6">
      <c r="A1444" s="3501" t="s">
        <v>857</v>
      </c>
      <c r="B1444" s="3501"/>
      <c r="C1444" s="12"/>
      <c r="D1444" s="12"/>
      <c r="E1444" s="12"/>
      <c r="F1444" s="7"/>
      <c r="G1444" s="7"/>
      <c r="H1444" s="8"/>
      <c r="I1444" s="9"/>
      <c r="J1444" s="7"/>
      <c r="K1444" s="7"/>
      <c r="L1444" s="7"/>
      <c r="M1444" s="7"/>
      <c r="N1444" s="7"/>
      <c r="O1444" s="7"/>
      <c r="P1444" s="7"/>
      <c r="Q1444" s="7"/>
      <c r="R1444" s="14">
        <v>550</v>
      </c>
      <c r="S1444" s="7"/>
      <c r="T1444" s="7"/>
      <c r="U1444" s="14">
        <v>550</v>
      </c>
      <c r="V1444" s="7"/>
      <c r="W1444" s="7"/>
      <c r="X1444" s="7"/>
      <c r="Y1444" s="7"/>
      <c r="Z1444" s="12"/>
      <c r="AA1444" s="14">
        <v>550</v>
      </c>
    </row>
    <row r="1445" spans="1:27" outlineLevel="7">
      <c r="A1445" s="3500" t="s">
        <v>858</v>
      </c>
      <c r="B1445" s="3500"/>
      <c r="C1445" s="12"/>
      <c r="D1445" s="12"/>
      <c r="E1445" s="12"/>
      <c r="F1445" s="7"/>
      <c r="G1445" s="7"/>
      <c r="H1445" s="8"/>
      <c r="I1445" s="9"/>
      <c r="J1445" s="7"/>
      <c r="K1445" s="7"/>
      <c r="L1445" s="7"/>
      <c r="M1445" s="7"/>
      <c r="N1445" s="7"/>
      <c r="O1445" s="7"/>
      <c r="P1445" s="7"/>
      <c r="Q1445" s="7"/>
      <c r="R1445" s="14">
        <v>550</v>
      </c>
      <c r="S1445" s="7"/>
      <c r="T1445" s="7"/>
      <c r="U1445" s="14">
        <v>550</v>
      </c>
      <c r="V1445" s="7"/>
      <c r="W1445" s="7"/>
      <c r="X1445" s="7"/>
      <c r="Y1445" s="7"/>
      <c r="Z1445" s="12"/>
      <c r="AA1445" s="14">
        <v>550</v>
      </c>
    </row>
    <row r="1446" spans="1:27" outlineLevel="7">
      <c r="A1446" s="3499" t="s">
        <v>2002</v>
      </c>
      <c r="B1446" s="3499"/>
      <c r="C1446" s="12"/>
      <c r="D1446" s="12"/>
      <c r="E1446" s="12"/>
      <c r="F1446" s="7"/>
      <c r="G1446" s="7"/>
      <c r="H1446" s="8"/>
      <c r="I1446" s="9"/>
      <c r="J1446" s="7"/>
      <c r="K1446" s="7"/>
      <c r="L1446" s="7"/>
      <c r="M1446" s="7"/>
      <c r="N1446" s="7"/>
      <c r="O1446" s="7"/>
      <c r="P1446" s="7"/>
      <c r="Q1446" s="7"/>
      <c r="R1446" s="14">
        <v>550</v>
      </c>
      <c r="S1446" s="7"/>
      <c r="T1446" s="7"/>
      <c r="U1446" s="14">
        <v>550</v>
      </c>
      <c r="V1446" s="7"/>
      <c r="W1446" s="7"/>
      <c r="X1446" s="7"/>
      <c r="Y1446" s="7"/>
      <c r="Z1446" s="12"/>
      <c r="AA1446" s="14">
        <v>550</v>
      </c>
    </row>
    <row r="1447" spans="1:27" outlineLevel="6">
      <c r="A1447" s="3501" t="s">
        <v>166</v>
      </c>
      <c r="B1447" s="3501"/>
      <c r="C1447" s="7"/>
      <c r="D1447" s="7"/>
      <c r="E1447" s="14">
        <v>550</v>
      </c>
      <c r="F1447" s="7"/>
      <c r="G1447" s="14">
        <v>550</v>
      </c>
      <c r="H1447" s="3523">
        <v>550</v>
      </c>
      <c r="I1447" s="3523"/>
      <c r="J1447" s="7"/>
      <c r="K1447" s="7"/>
      <c r="L1447" s="7"/>
      <c r="M1447" s="7"/>
      <c r="N1447" s="7"/>
      <c r="O1447" s="7"/>
      <c r="P1447" s="7"/>
      <c r="Q1447" s="7"/>
      <c r="R1447" s="14">
        <v>550</v>
      </c>
      <c r="S1447" s="7"/>
      <c r="T1447" s="7"/>
      <c r="U1447" s="14">
        <v>550</v>
      </c>
      <c r="V1447" s="7"/>
      <c r="W1447" s="7"/>
      <c r="X1447" s="7"/>
      <c r="Y1447" s="7"/>
      <c r="Z1447" s="7"/>
      <c r="AA1447" s="7"/>
    </row>
    <row r="1448" spans="1:27" outlineLevel="7">
      <c r="A1448" s="3500" t="s">
        <v>167</v>
      </c>
      <c r="B1448" s="3500"/>
      <c r="C1448" s="7"/>
      <c r="D1448" s="7"/>
      <c r="E1448" s="14">
        <v>550</v>
      </c>
      <c r="F1448" s="7"/>
      <c r="G1448" s="14">
        <v>550</v>
      </c>
      <c r="H1448" s="3523">
        <v>550</v>
      </c>
      <c r="I1448" s="3523"/>
      <c r="J1448" s="7"/>
      <c r="K1448" s="7"/>
      <c r="L1448" s="7"/>
      <c r="M1448" s="7"/>
      <c r="N1448" s="7"/>
      <c r="O1448" s="7"/>
      <c r="P1448" s="7"/>
      <c r="Q1448" s="7"/>
      <c r="R1448" s="14">
        <v>550</v>
      </c>
      <c r="S1448" s="7"/>
      <c r="T1448" s="7"/>
      <c r="U1448" s="14">
        <v>550</v>
      </c>
      <c r="V1448" s="7"/>
      <c r="W1448" s="7"/>
      <c r="X1448" s="7"/>
      <c r="Y1448" s="7"/>
      <c r="Z1448" s="7"/>
      <c r="AA1448" s="7"/>
    </row>
    <row r="1449" spans="1:27" outlineLevel="7">
      <c r="A1449" s="3499" t="s">
        <v>2003</v>
      </c>
      <c r="B1449" s="3499"/>
      <c r="C1449" s="7"/>
      <c r="D1449" s="7"/>
      <c r="E1449" s="14">
        <v>550</v>
      </c>
      <c r="F1449" s="7"/>
      <c r="G1449" s="14">
        <v>550</v>
      </c>
      <c r="H1449" s="3523">
        <v>550</v>
      </c>
      <c r="I1449" s="3523"/>
      <c r="J1449" s="7"/>
      <c r="K1449" s="7"/>
      <c r="L1449" s="7"/>
      <c r="M1449" s="7"/>
      <c r="N1449" s="7"/>
      <c r="O1449" s="7"/>
      <c r="P1449" s="7"/>
      <c r="Q1449" s="7"/>
      <c r="R1449" s="14">
        <v>550</v>
      </c>
      <c r="S1449" s="7"/>
      <c r="T1449" s="7"/>
      <c r="U1449" s="14">
        <v>550</v>
      </c>
      <c r="V1449" s="7"/>
      <c r="W1449" s="7"/>
      <c r="X1449" s="7"/>
      <c r="Y1449" s="7"/>
      <c r="Z1449" s="7"/>
      <c r="AA1449" s="7"/>
    </row>
    <row r="1450" spans="1:27" outlineLevel="6">
      <c r="A1450" s="3501" t="s">
        <v>168</v>
      </c>
      <c r="B1450" s="3501"/>
      <c r="C1450" s="7"/>
      <c r="D1450" s="7"/>
      <c r="E1450" s="14">
        <v>550</v>
      </c>
      <c r="F1450" s="7"/>
      <c r="G1450" s="14">
        <v>550</v>
      </c>
      <c r="H1450" s="3523">
        <v>550</v>
      </c>
      <c r="I1450" s="3523"/>
      <c r="J1450" s="7"/>
      <c r="K1450" s="7"/>
      <c r="L1450" s="7"/>
      <c r="M1450" s="7"/>
      <c r="N1450" s="7"/>
      <c r="O1450" s="7"/>
      <c r="P1450" s="7"/>
      <c r="Q1450" s="7"/>
      <c r="R1450" s="14">
        <v>550</v>
      </c>
      <c r="S1450" s="7"/>
      <c r="T1450" s="7"/>
      <c r="U1450" s="14">
        <v>550</v>
      </c>
      <c r="V1450" s="7"/>
      <c r="W1450" s="7"/>
      <c r="X1450" s="7"/>
      <c r="Y1450" s="7"/>
      <c r="Z1450" s="7"/>
      <c r="AA1450" s="7"/>
    </row>
    <row r="1451" spans="1:27" outlineLevel="7">
      <c r="A1451" s="3500" t="s">
        <v>169</v>
      </c>
      <c r="B1451" s="3500"/>
      <c r="C1451" s="7"/>
      <c r="D1451" s="7"/>
      <c r="E1451" s="14">
        <v>550</v>
      </c>
      <c r="F1451" s="7"/>
      <c r="G1451" s="14">
        <v>550</v>
      </c>
      <c r="H1451" s="3523">
        <v>550</v>
      </c>
      <c r="I1451" s="3523"/>
      <c r="J1451" s="7"/>
      <c r="K1451" s="7"/>
      <c r="L1451" s="7"/>
      <c r="M1451" s="7"/>
      <c r="N1451" s="7"/>
      <c r="O1451" s="7"/>
      <c r="P1451" s="7"/>
      <c r="Q1451" s="7"/>
      <c r="R1451" s="14">
        <v>550</v>
      </c>
      <c r="S1451" s="7"/>
      <c r="T1451" s="7"/>
      <c r="U1451" s="14">
        <v>550</v>
      </c>
      <c r="V1451" s="7"/>
      <c r="W1451" s="7"/>
      <c r="X1451" s="7"/>
      <c r="Y1451" s="7"/>
      <c r="Z1451" s="7"/>
      <c r="AA1451" s="7"/>
    </row>
    <row r="1452" spans="1:27" outlineLevel="7">
      <c r="A1452" s="3499" t="s">
        <v>2004</v>
      </c>
      <c r="B1452" s="3499"/>
      <c r="C1452" s="7"/>
      <c r="D1452" s="7"/>
      <c r="E1452" s="14">
        <v>550</v>
      </c>
      <c r="F1452" s="7"/>
      <c r="G1452" s="14">
        <v>550</v>
      </c>
      <c r="H1452" s="3523">
        <v>550</v>
      </c>
      <c r="I1452" s="3523"/>
      <c r="J1452" s="7"/>
      <c r="K1452" s="7"/>
      <c r="L1452" s="7"/>
      <c r="M1452" s="7"/>
      <c r="N1452" s="7"/>
      <c r="O1452" s="7"/>
      <c r="P1452" s="7"/>
      <c r="Q1452" s="7"/>
      <c r="R1452" s="14">
        <v>550</v>
      </c>
      <c r="S1452" s="7"/>
      <c r="T1452" s="7"/>
      <c r="U1452" s="14">
        <v>550</v>
      </c>
      <c r="V1452" s="7"/>
      <c r="W1452" s="7"/>
      <c r="X1452" s="7"/>
      <c r="Y1452" s="7"/>
      <c r="Z1452" s="7"/>
      <c r="AA1452" s="7"/>
    </row>
    <row r="1453" spans="1:27" outlineLevel="6">
      <c r="A1453" s="3501" t="s">
        <v>859</v>
      </c>
      <c r="B1453" s="3501"/>
      <c r="C1453" s="12"/>
      <c r="D1453" s="12"/>
      <c r="E1453" s="12"/>
      <c r="F1453" s="7"/>
      <c r="G1453" s="7"/>
      <c r="H1453" s="8"/>
      <c r="I1453" s="9"/>
      <c r="J1453" s="7"/>
      <c r="K1453" s="7"/>
      <c r="L1453" s="7"/>
      <c r="M1453" s="7"/>
      <c r="N1453" s="7"/>
      <c r="O1453" s="7"/>
      <c r="P1453" s="7"/>
      <c r="Q1453" s="7"/>
      <c r="R1453" s="14">
        <v>550</v>
      </c>
      <c r="S1453" s="7"/>
      <c r="T1453" s="7"/>
      <c r="U1453" s="14">
        <v>550</v>
      </c>
      <c r="V1453" s="7"/>
      <c r="W1453" s="7"/>
      <c r="X1453" s="7"/>
      <c r="Y1453" s="7"/>
      <c r="Z1453" s="12"/>
      <c r="AA1453" s="14">
        <v>550</v>
      </c>
    </row>
    <row r="1454" spans="1:27" outlineLevel="7">
      <c r="A1454" s="3500" t="s">
        <v>860</v>
      </c>
      <c r="B1454" s="3500"/>
      <c r="C1454" s="12"/>
      <c r="D1454" s="12"/>
      <c r="E1454" s="12"/>
      <c r="F1454" s="7"/>
      <c r="G1454" s="7"/>
      <c r="H1454" s="8"/>
      <c r="I1454" s="9"/>
      <c r="J1454" s="7"/>
      <c r="K1454" s="7"/>
      <c r="L1454" s="7"/>
      <c r="M1454" s="7"/>
      <c r="N1454" s="7"/>
      <c r="O1454" s="7"/>
      <c r="P1454" s="7"/>
      <c r="Q1454" s="7"/>
      <c r="R1454" s="14">
        <v>550</v>
      </c>
      <c r="S1454" s="7"/>
      <c r="T1454" s="7"/>
      <c r="U1454" s="14">
        <v>550</v>
      </c>
      <c r="V1454" s="7"/>
      <c r="W1454" s="7"/>
      <c r="X1454" s="7"/>
      <c r="Y1454" s="7"/>
      <c r="Z1454" s="12"/>
      <c r="AA1454" s="14">
        <v>550</v>
      </c>
    </row>
    <row r="1455" spans="1:27" outlineLevel="7">
      <c r="A1455" s="3499" t="s">
        <v>2005</v>
      </c>
      <c r="B1455" s="3499"/>
      <c r="C1455" s="12"/>
      <c r="D1455" s="12"/>
      <c r="E1455" s="12"/>
      <c r="F1455" s="7"/>
      <c r="G1455" s="7"/>
      <c r="H1455" s="8"/>
      <c r="I1455" s="9"/>
      <c r="J1455" s="7"/>
      <c r="K1455" s="7"/>
      <c r="L1455" s="7"/>
      <c r="M1455" s="7"/>
      <c r="N1455" s="7"/>
      <c r="O1455" s="7"/>
      <c r="P1455" s="7"/>
      <c r="Q1455" s="7"/>
      <c r="R1455" s="14">
        <v>550</v>
      </c>
      <c r="S1455" s="7"/>
      <c r="T1455" s="7"/>
      <c r="U1455" s="14">
        <v>550</v>
      </c>
      <c r="V1455" s="7"/>
      <c r="W1455" s="7"/>
      <c r="X1455" s="7"/>
      <c r="Y1455" s="7"/>
      <c r="Z1455" s="12"/>
      <c r="AA1455" s="14">
        <v>550</v>
      </c>
    </row>
    <row r="1456" spans="1:27" outlineLevel="6">
      <c r="A1456" s="3501" t="s">
        <v>170</v>
      </c>
      <c r="B1456" s="3501"/>
      <c r="C1456" s="7"/>
      <c r="D1456" s="7"/>
      <c r="E1456" s="14">
        <v>550</v>
      </c>
      <c r="F1456" s="7"/>
      <c r="G1456" s="14">
        <v>550</v>
      </c>
      <c r="H1456" s="3523">
        <v>550</v>
      </c>
      <c r="I1456" s="3523"/>
      <c r="J1456" s="7"/>
      <c r="K1456" s="7"/>
      <c r="L1456" s="7"/>
      <c r="M1456" s="7"/>
      <c r="N1456" s="7"/>
      <c r="O1456" s="7"/>
      <c r="P1456" s="7"/>
      <c r="Q1456" s="7"/>
      <c r="R1456" s="14">
        <v>550</v>
      </c>
      <c r="S1456" s="7"/>
      <c r="T1456" s="7"/>
      <c r="U1456" s="14">
        <v>550</v>
      </c>
      <c r="V1456" s="7"/>
      <c r="W1456" s="7"/>
      <c r="X1456" s="7"/>
      <c r="Y1456" s="7"/>
      <c r="Z1456" s="7"/>
      <c r="AA1456" s="7"/>
    </row>
    <row r="1457" spans="1:27" outlineLevel="7">
      <c r="A1457" s="3500" t="s">
        <v>171</v>
      </c>
      <c r="B1457" s="3500"/>
      <c r="C1457" s="7"/>
      <c r="D1457" s="7"/>
      <c r="E1457" s="14">
        <v>550</v>
      </c>
      <c r="F1457" s="7"/>
      <c r="G1457" s="14">
        <v>550</v>
      </c>
      <c r="H1457" s="3523">
        <v>550</v>
      </c>
      <c r="I1457" s="3523"/>
      <c r="J1457" s="7"/>
      <c r="K1457" s="7"/>
      <c r="L1457" s="7"/>
      <c r="M1457" s="7"/>
      <c r="N1457" s="7"/>
      <c r="O1457" s="7"/>
      <c r="P1457" s="7"/>
      <c r="Q1457" s="7"/>
      <c r="R1457" s="14">
        <v>550</v>
      </c>
      <c r="S1457" s="7"/>
      <c r="T1457" s="7"/>
      <c r="U1457" s="14">
        <v>550</v>
      </c>
      <c r="V1457" s="7"/>
      <c r="W1457" s="7"/>
      <c r="X1457" s="7"/>
      <c r="Y1457" s="7"/>
      <c r="Z1457" s="7"/>
      <c r="AA1457" s="7"/>
    </row>
    <row r="1458" spans="1:27" outlineLevel="7">
      <c r="A1458" s="3499" t="s">
        <v>2006</v>
      </c>
      <c r="B1458" s="3499"/>
      <c r="C1458" s="7"/>
      <c r="D1458" s="7"/>
      <c r="E1458" s="14">
        <v>550</v>
      </c>
      <c r="F1458" s="7"/>
      <c r="G1458" s="14">
        <v>550</v>
      </c>
      <c r="H1458" s="3523">
        <v>550</v>
      </c>
      <c r="I1458" s="3523"/>
      <c r="J1458" s="7"/>
      <c r="K1458" s="7"/>
      <c r="L1458" s="7"/>
      <c r="M1458" s="7"/>
      <c r="N1458" s="7"/>
      <c r="O1458" s="7"/>
      <c r="P1458" s="7"/>
      <c r="Q1458" s="7"/>
      <c r="R1458" s="14">
        <v>550</v>
      </c>
      <c r="S1458" s="7"/>
      <c r="T1458" s="7"/>
      <c r="U1458" s="14">
        <v>550</v>
      </c>
      <c r="V1458" s="7"/>
      <c r="W1458" s="7"/>
      <c r="X1458" s="7"/>
      <c r="Y1458" s="7"/>
      <c r="Z1458" s="7"/>
      <c r="AA1458" s="7"/>
    </row>
    <row r="1459" spans="1:27" outlineLevel="6">
      <c r="A1459" s="3501" t="s">
        <v>172</v>
      </c>
      <c r="B1459" s="3501"/>
      <c r="C1459" s="7"/>
      <c r="D1459" s="7"/>
      <c r="E1459" s="13">
        <v>11691.84</v>
      </c>
      <c r="F1459" s="7"/>
      <c r="G1459" s="13">
        <v>11691.84</v>
      </c>
      <c r="H1459" s="3524">
        <v>11691.84</v>
      </c>
      <c r="I1459" s="3524"/>
      <c r="J1459" s="7"/>
      <c r="K1459" s="7"/>
      <c r="L1459" s="7"/>
      <c r="M1459" s="7"/>
      <c r="N1459" s="7"/>
      <c r="O1459" s="7"/>
      <c r="P1459" s="7"/>
      <c r="Q1459" s="7"/>
      <c r="R1459" s="13">
        <v>11691.84</v>
      </c>
      <c r="S1459" s="7"/>
      <c r="T1459" s="7"/>
      <c r="U1459" s="13">
        <v>11691.84</v>
      </c>
      <c r="V1459" s="7"/>
      <c r="W1459" s="7"/>
      <c r="X1459" s="7"/>
      <c r="Y1459" s="7"/>
      <c r="Z1459" s="7"/>
      <c r="AA1459" s="7"/>
    </row>
    <row r="1460" spans="1:27" outlineLevel="7">
      <c r="A1460" s="3500" t="s">
        <v>173</v>
      </c>
      <c r="B1460" s="3500"/>
      <c r="C1460" s="7"/>
      <c r="D1460" s="7"/>
      <c r="E1460" s="13">
        <v>11691.84</v>
      </c>
      <c r="F1460" s="7"/>
      <c r="G1460" s="13">
        <v>11691.84</v>
      </c>
      <c r="H1460" s="3524">
        <v>11691.84</v>
      </c>
      <c r="I1460" s="3524"/>
      <c r="J1460" s="7"/>
      <c r="K1460" s="7"/>
      <c r="L1460" s="7"/>
      <c r="M1460" s="7"/>
      <c r="N1460" s="7"/>
      <c r="O1460" s="7"/>
      <c r="P1460" s="7"/>
      <c r="Q1460" s="7"/>
      <c r="R1460" s="13">
        <v>11691.84</v>
      </c>
      <c r="S1460" s="7"/>
      <c r="T1460" s="7"/>
      <c r="U1460" s="13">
        <v>11691.84</v>
      </c>
      <c r="V1460" s="7"/>
      <c r="W1460" s="7"/>
      <c r="X1460" s="7"/>
      <c r="Y1460" s="7"/>
      <c r="Z1460" s="7"/>
      <c r="AA1460" s="7"/>
    </row>
    <row r="1461" spans="1:27" outlineLevel="7">
      <c r="A1461" s="3499" t="s">
        <v>2007</v>
      </c>
      <c r="B1461" s="3499"/>
      <c r="C1461" s="7"/>
      <c r="D1461" s="7"/>
      <c r="E1461" s="13">
        <v>11691.84</v>
      </c>
      <c r="F1461" s="7"/>
      <c r="G1461" s="13">
        <v>11691.84</v>
      </c>
      <c r="H1461" s="3524">
        <v>11691.84</v>
      </c>
      <c r="I1461" s="3524"/>
      <c r="J1461" s="7"/>
      <c r="K1461" s="7"/>
      <c r="L1461" s="7"/>
      <c r="M1461" s="7"/>
      <c r="N1461" s="7"/>
      <c r="O1461" s="7"/>
      <c r="P1461" s="7"/>
      <c r="Q1461" s="7"/>
      <c r="R1461" s="13">
        <v>11691.84</v>
      </c>
      <c r="S1461" s="7"/>
      <c r="T1461" s="7"/>
      <c r="U1461" s="13">
        <v>11691.84</v>
      </c>
      <c r="V1461" s="7"/>
      <c r="W1461" s="7"/>
      <c r="X1461" s="7"/>
      <c r="Y1461" s="7"/>
      <c r="Z1461" s="7"/>
      <c r="AA1461" s="7"/>
    </row>
    <row r="1462" spans="1:27" outlineLevel="6">
      <c r="A1462" s="3501" t="s">
        <v>174</v>
      </c>
      <c r="B1462" s="3501"/>
      <c r="C1462" s="7"/>
      <c r="D1462" s="7"/>
      <c r="E1462" s="14">
        <v>550</v>
      </c>
      <c r="F1462" s="7"/>
      <c r="G1462" s="14">
        <v>550</v>
      </c>
      <c r="H1462" s="3523">
        <v>550</v>
      </c>
      <c r="I1462" s="3523"/>
      <c r="J1462" s="7"/>
      <c r="K1462" s="7"/>
      <c r="L1462" s="7"/>
      <c r="M1462" s="7"/>
      <c r="N1462" s="7"/>
      <c r="O1462" s="7"/>
      <c r="P1462" s="7"/>
      <c r="Q1462" s="7"/>
      <c r="R1462" s="14">
        <v>550</v>
      </c>
      <c r="S1462" s="7"/>
      <c r="T1462" s="7"/>
      <c r="U1462" s="14">
        <v>550</v>
      </c>
      <c r="V1462" s="7"/>
      <c r="W1462" s="7"/>
      <c r="X1462" s="7"/>
      <c r="Y1462" s="7"/>
      <c r="Z1462" s="7"/>
      <c r="AA1462" s="7"/>
    </row>
    <row r="1463" spans="1:27" outlineLevel="7">
      <c r="A1463" s="3500" t="s">
        <v>175</v>
      </c>
      <c r="B1463" s="3500"/>
      <c r="C1463" s="7"/>
      <c r="D1463" s="7"/>
      <c r="E1463" s="14">
        <v>550</v>
      </c>
      <c r="F1463" s="7"/>
      <c r="G1463" s="14">
        <v>550</v>
      </c>
      <c r="H1463" s="3523">
        <v>550</v>
      </c>
      <c r="I1463" s="3523"/>
      <c r="J1463" s="7"/>
      <c r="K1463" s="7"/>
      <c r="L1463" s="7"/>
      <c r="M1463" s="7"/>
      <c r="N1463" s="7"/>
      <c r="O1463" s="7"/>
      <c r="P1463" s="7"/>
      <c r="Q1463" s="7"/>
      <c r="R1463" s="14">
        <v>550</v>
      </c>
      <c r="S1463" s="7"/>
      <c r="T1463" s="7"/>
      <c r="U1463" s="14">
        <v>550</v>
      </c>
      <c r="V1463" s="7"/>
      <c r="W1463" s="7"/>
      <c r="X1463" s="7"/>
      <c r="Y1463" s="7"/>
      <c r="Z1463" s="7"/>
      <c r="AA1463" s="7"/>
    </row>
    <row r="1464" spans="1:27" outlineLevel="7">
      <c r="A1464" s="3499" t="s">
        <v>2008</v>
      </c>
      <c r="B1464" s="3499"/>
      <c r="C1464" s="7"/>
      <c r="D1464" s="7"/>
      <c r="E1464" s="14">
        <v>550</v>
      </c>
      <c r="F1464" s="7"/>
      <c r="G1464" s="14">
        <v>550</v>
      </c>
      <c r="H1464" s="3523">
        <v>550</v>
      </c>
      <c r="I1464" s="3523"/>
      <c r="J1464" s="7"/>
      <c r="K1464" s="7"/>
      <c r="L1464" s="7"/>
      <c r="M1464" s="7"/>
      <c r="N1464" s="7"/>
      <c r="O1464" s="7"/>
      <c r="P1464" s="7"/>
      <c r="Q1464" s="7"/>
      <c r="R1464" s="14">
        <v>550</v>
      </c>
      <c r="S1464" s="7"/>
      <c r="T1464" s="7"/>
      <c r="U1464" s="14">
        <v>550</v>
      </c>
      <c r="V1464" s="7"/>
      <c r="W1464" s="7"/>
      <c r="X1464" s="7"/>
      <c r="Y1464" s="7"/>
      <c r="Z1464" s="7"/>
      <c r="AA1464" s="7"/>
    </row>
    <row r="1465" spans="1:27" outlineLevel="6">
      <c r="A1465" s="3501" t="s">
        <v>861</v>
      </c>
      <c r="B1465" s="3501"/>
      <c r="C1465" s="12"/>
      <c r="D1465" s="12"/>
      <c r="E1465" s="12"/>
      <c r="F1465" s="7"/>
      <c r="G1465" s="7"/>
      <c r="H1465" s="8"/>
      <c r="I1465" s="9"/>
      <c r="J1465" s="7"/>
      <c r="K1465" s="7"/>
      <c r="L1465" s="7"/>
      <c r="M1465" s="7"/>
      <c r="N1465" s="7"/>
      <c r="O1465" s="7"/>
      <c r="P1465" s="7"/>
      <c r="Q1465" s="7"/>
      <c r="R1465" s="14">
        <v>550</v>
      </c>
      <c r="S1465" s="7"/>
      <c r="T1465" s="7"/>
      <c r="U1465" s="14">
        <v>550</v>
      </c>
      <c r="V1465" s="7"/>
      <c r="W1465" s="7"/>
      <c r="X1465" s="7"/>
      <c r="Y1465" s="7"/>
      <c r="Z1465" s="12"/>
      <c r="AA1465" s="14">
        <v>550</v>
      </c>
    </row>
    <row r="1466" spans="1:27" outlineLevel="7">
      <c r="A1466" s="3500" t="s">
        <v>862</v>
      </c>
      <c r="B1466" s="3500"/>
      <c r="C1466" s="12"/>
      <c r="D1466" s="12"/>
      <c r="E1466" s="12"/>
      <c r="F1466" s="7"/>
      <c r="G1466" s="7"/>
      <c r="H1466" s="8"/>
      <c r="I1466" s="9"/>
      <c r="J1466" s="7"/>
      <c r="K1466" s="7"/>
      <c r="L1466" s="7"/>
      <c r="M1466" s="7"/>
      <c r="N1466" s="7"/>
      <c r="O1466" s="7"/>
      <c r="P1466" s="7"/>
      <c r="Q1466" s="7"/>
      <c r="R1466" s="14">
        <v>550</v>
      </c>
      <c r="S1466" s="7"/>
      <c r="T1466" s="7"/>
      <c r="U1466" s="14">
        <v>550</v>
      </c>
      <c r="V1466" s="7"/>
      <c r="W1466" s="7"/>
      <c r="X1466" s="7"/>
      <c r="Y1466" s="7"/>
      <c r="Z1466" s="12"/>
      <c r="AA1466" s="14">
        <v>550</v>
      </c>
    </row>
    <row r="1467" spans="1:27" outlineLevel="7">
      <c r="A1467" s="3499" t="s">
        <v>2009</v>
      </c>
      <c r="B1467" s="3499"/>
      <c r="C1467" s="12"/>
      <c r="D1467" s="12"/>
      <c r="E1467" s="12"/>
      <c r="F1467" s="7"/>
      <c r="G1467" s="7"/>
      <c r="H1467" s="8"/>
      <c r="I1467" s="9"/>
      <c r="J1467" s="7"/>
      <c r="K1467" s="7"/>
      <c r="L1467" s="7"/>
      <c r="M1467" s="7"/>
      <c r="N1467" s="7"/>
      <c r="O1467" s="7"/>
      <c r="P1467" s="7"/>
      <c r="Q1467" s="7"/>
      <c r="R1467" s="14">
        <v>550</v>
      </c>
      <c r="S1467" s="7"/>
      <c r="T1467" s="7"/>
      <c r="U1467" s="14">
        <v>550</v>
      </c>
      <c r="V1467" s="7"/>
      <c r="W1467" s="7"/>
      <c r="X1467" s="7"/>
      <c r="Y1467" s="7"/>
      <c r="Z1467" s="12"/>
      <c r="AA1467" s="14">
        <v>550</v>
      </c>
    </row>
    <row r="1468" spans="1:27" outlineLevel="6">
      <c r="A1468" s="3501" t="s">
        <v>863</v>
      </c>
      <c r="B1468" s="3501"/>
      <c r="C1468" s="12"/>
      <c r="D1468" s="12"/>
      <c r="E1468" s="12"/>
      <c r="F1468" s="7"/>
      <c r="G1468" s="7"/>
      <c r="H1468" s="8"/>
      <c r="I1468" s="9"/>
      <c r="J1468" s="7"/>
      <c r="K1468" s="7"/>
      <c r="L1468" s="7"/>
      <c r="M1468" s="7"/>
      <c r="N1468" s="7"/>
      <c r="O1468" s="7"/>
      <c r="P1468" s="7"/>
      <c r="Q1468" s="7"/>
      <c r="R1468" s="14">
        <v>550</v>
      </c>
      <c r="S1468" s="7"/>
      <c r="T1468" s="7"/>
      <c r="U1468" s="14">
        <v>550</v>
      </c>
      <c r="V1468" s="7"/>
      <c r="W1468" s="7"/>
      <c r="X1468" s="7"/>
      <c r="Y1468" s="7"/>
      <c r="Z1468" s="12"/>
      <c r="AA1468" s="14">
        <v>550</v>
      </c>
    </row>
    <row r="1469" spans="1:27" outlineLevel="7">
      <c r="A1469" s="3500" t="s">
        <v>864</v>
      </c>
      <c r="B1469" s="3500"/>
      <c r="C1469" s="12"/>
      <c r="D1469" s="12"/>
      <c r="E1469" s="12"/>
      <c r="F1469" s="7"/>
      <c r="G1469" s="7"/>
      <c r="H1469" s="8"/>
      <c r="I1469" s="9"/>
      <c r="J1469" s="7"/>
      <c r="K1469" s="7"/>
      <c r="L1469" s="7"/>
      <c r="M1469" s="7"/>
      <c r="N1469" s="7"/>
      <c r="O1469" s="7"/>
      <c r="P1469" s="7"/>
      <c r="Q1469" s="7"/>
      <c r="R1469" s="14">
        <v>550</v>
      </c>
      <c r="S1469" s="7"/>
      <c r="T1469" s="7"/>
      <c r="U1469" s="14">
        <v>550</v>
      </c>
      <c r="V1469" s="7"/>
      <c r="W1469" s="7"/>
      <c r="X1469" s="7"/>
      <c r="Y1469" s="7"/>
      <c r="Z1469" s="12"/>
      <c r="AA1469" s="14">
        <v>550</v>
      </c>
    </row>
    <row r="1470" spans="1:27" outlineLevel="7">
      <c r="A1470" s="3499" t="s">
        <v>2010</v>
      </c>
      <c r="B1470" s="3499"/>
      <c r="C1470" s="12"/>
      <c r="D1470" s="12"/>
      <c r="E1470" s="12"/>
      <c r="F1470" s="7"/>
      <c r="G1470" s="7"/>
      <c r="H1470" s="8"/>
      <c r="I1470" s="9"/>
      <c r="J1470" s="7"/>
      <c r="K1470" s="7"/>
      <c r="L1470" s="7"/>
      <c r="M1470" s="7"/>
      <c r="N1470" s="7"/>
      <c r="O1470" s="7"/>
      <c r="P1470" s="7"/>
      <c r="Q1470" s="7"/>
      <c r="R1470" s="14">
        <v>550</v>
      </c>
      <c r="S1470" s="7"/>
      <c r="T1470" s="7"/>
      <c r="U1470" s="14">
        <v>550</v>
      </c>
      <c r="V1470" s="7"/>
      <c r="W1470" s="7"/>
      <c r="X1470" s="7"/>
      <c r="Y1470" s="7"/>
      <c r="Z1470" s="12"/>
      <c r="AA1470" s="14">
        <v>550</v>
      </c>
    </row>
    <row r="1471" spans="1:27" outlineLevel="6">
      <c r="A1471" s="3501" t="s">
        <v>865</v>
      </c>
      <c r="B1471" s="3501"/>
      <c r="C1471" s="12"/>
      <c r="D1471" s="12"/>
      <c r="E1471" s="12"/>
      <c r="F1471" s="7"/>
      <c r="G1471" s="7"/>
      <c r="H1471" s="8"/>
      <c r="I1471" s="9"/>
      <c r="J1471" s="7"/>
      <c r="K1471" s="7"/>
      <c r="L1471" s="7"/>
      <c r="M1471" s="7"/>
      <c r="N1471" s="7"/>
      <c r="O1471" s="7"/>
      <c r="P1471" s="7"/>
      <c r="Q1471" s="7"/>
      <c r="R1471" s="14">
        <v>550</v>
      </c>
      <c r="S1471" s="7"/>
      <c r="T1471" s="7"/>
      <c r="U1471" s="14">
        <v>550</v>
      </c>
      <c r="V1471" s="7"/>
      <c r="W1471" s="7"/>
      <c r="X1471" s="7"/>
      <c r="Y1471" s="7"/>
      <c r="Z1471" s="12"/>
      <c r="AA1471" s="14">
        <v>550</v>
      </c>
    </row>
    <row r="1472" spans="1:27" outlineLevel="7">
      <c r="A1472" s="3500" t="s">
        <v>866</v>
      </c>
      <c r="B1472" s="3500"/>
      <c r="C1472" s="12"/>
      <c r="D1472" s="12"/>
      <c r="E1472" s="12"/>
      <c r="F1472" s="7"/>
      <c r="G1472" s="7"/>
      <c r="H1472" s="8"/>
      <c r="I1472" s="9"/>
      <c r="J1472" s="7"/>
      <c r="K1472" s="7"/>
      <c r="L1472" s="7"/>
      <c r="M1472" s="7"/>
      <c r="N1472" s="7"/>
      <c r="O1472" s="7"/>
      <c r="P1472" s="7"/>
      <c r="Q1472" s="7"/>
      <c r="R1472" s="14">
        <v>550</v>
      </c>
      <c r="S1472" s="7"/>
      <c r="T1472" s="7"/>
      <c r="U1472" s="14">
        <v>550</v>
      </c>
      <c r="V1472" s="7"/>
      <c r="W1472" s="7"/>
      <c r="X1472" s="7"/>
      <c r="Y1472" s="7"/>
      <c r="Z1472" s="12"/>
      <c r="AA1472" s="14">
        <v>550</v>
      </c>
    </row>
    <row r="1473" spans="1:27" outlineLevel="7">
      <c r="A1473" s="3499" t="s">
        <v>2011</v>
      </c>
      <c r="B1473" s="3499"/>
      <c r="C1473" s="12"/>
      <c r="D1473" s="12"/>
      <c r="E1473" s="12"/>
      <c r="F1473" s="7"/>
      <c r="G1473" s="7"/>
      <c r="H1473" s="8"/>
      <c r="I1473" s="9"/>
      <c r="J1473" s="7"/>
      <c r="K1473" s="7"/>
      <c r="L1473" s="7"/>
      <c r="M1473" s="7"/>
      <c r="N1473" s="7"/>
      <c r="O1473" s="7"/>
      <c r="P1473" s="7"/>
      <c r="Q1473" s="7"/>
      <c r="R1473" s="14">
        <v>550</v>
      </c>
      <c r="S1473" s="7"/>
      <c r="T1473" s="7"/>
      <c r="U1473" s="14">
        <v>550</v>
      </c>
      <c r="V1473" s="7"/>
      <c r="W1473" s="7"/>
      <c r="X1473" s="7"/>
      <c r="Y1473" s="7"/>
      <c r="Z1473" s="12"/>
      <c r="AA1473" s="14">
        <v>550</v>
      </c>
    </row>
    <row r="1474" spans="1:27" outlineLevel="6">
      <c r="A1474" s="3501" t="s">
        <v>176</v>
      </c>
      <c r="B1474" s="3501"/>
      <c r="C1474" s="7"/>
      <c r="D1474" s="7"/>
      <c r="E1474" s="14">
        <v>550</v>
      </c>
      <c r="F1474" s="7"/>
      <c r="G1474" s="14">
        <v>550</v>
      </c>
      <c r="H1474" s="3523">
        <v>550</v>
      </c>
      <c r="I1474" s="3523"/>
      <c r="J1474" s="7"/>
      <c r="K1474" s="7"/>
      <c r="L1474" s="7"/>
      <c r="M1474" s="7"/>
      <c r="N1474" s="7"/>
      <c r="O1474" s="7"/>
      <c r="P1474" s="7"/>
      <c r="Q1474" s="7"/>
      <c r="R1474" s="14">
        <v>550</v>
      </c>
      <c r="S1474" s="7"/>
      <c r="T1474" s="7"/>
      <c r="U1474" s="14">
        <v>550</v>
      </c>
      <c r="V1474" s="7"/>
      <c r="W1474" s="7"/>
      <c r="X1474" s="7"/>
      <c r="Y1474" s="7"/>
      <c r="Z1474" s="7"/>
      <c r="AA1474" s="7"/>
    </row>
    <row r="1475" spans="1:27" outlineLevel="7">
      <c r="A1475" s="3500" t="s">
        <v>177</v>
      </c>
      <c r="B1475" s="3500"/>
      <c r="C1475" s="7"/>
      <c r="D1475" s="7"/>
      <c r="E1475" s="14">
        <v>550</v>
      </c>
      <c r="F1475" s="7"/>
      <c r="G1475" s="14">
        <v>550</v>
      </c>
      <c r="H1475" s="3523">
        <v>550</v>
      </c>
      <c r="I1475" s="3523"/>
      <c r="J1475" s="7"/>
      <c r="K1475" s="7"/>
      <c r="L1475" s="7"/>
      <c r="M1475" s="7"/>
      <c r="N1475" s="7"/>
      <c r="O1475" s="7"/>
      <c r="P1475" s="7"/>
      <c r="Q1475" s="7"/>
      <c r="R1475" s="14">
        <v>550</v>
      </c>
      <c r="S1475" s="7"/>
      <c r="T1475" s="7"/>
      <c r="U1475" s="14">
        <v>550</v>
      </c>
      <c r="V1475" s="7"/>
      <c r="W1475" s="7"/>
      <c r="X1475" s="7"/>
      <c r="Y1475" s="7"/>
      <c r="Z1475" s="7"/>
      <c r="AA1475" s="7"/>
    </row>
    <row r="1476" spans="1:27" outlineLevel="7">
      <c r="A1476" s="3499" t="s">
        <v>2012</v>
      </c>
      <c r="B1476" s="3499"/>
      <c r="C1476" s="7"/>
      <c r="D1476" s="7"/>
      <c r="E1476" s="14">
        <v>550</v>
      </c>
      <c r="F1476" s="7"/>
      <c r="G1476" s="14">
        <v>550</v>
      </c>
      <c r="H1476" s="3523">
        <v>550</v>
      </c>
      <c r="I1476" s="3523"/>
      <c r="J1476" s="7"/>
      <c r="K1476" s="7"/>
      <c r="L1476" s="7"/>
      <c r="M1476" s="7"/>
      <c r="N1476" s="7"/>
      <c r="O1476" s="7"/>
      <c r="P1476" s="7"/>
      <c r="Q1476" s="7"/>
      <c r="R1476" s="14">
        <v>550</v>
      </c>
      <c r="S1476" s="7"/>
      <c r="T1476" s="7"/>
      <c r="U1476" s="14">
        <v>550</v>
      </c>
      <c r="V1476" s="7"/>
      <c r="W1476" s="7"/>
      <c r="X1476" s="7"/>
      <c r="Y1476" s="7"/>
      <c r="Z1476" s="7"/>
      <c r="AA1476" s="7"/>
    </row>
    <row r="1477" spans="1:27" outlineLevel="6">
      <c r="A1477" s="3501" t="s">
        <v>867</v>
      </c>
      <c r="B1477" s="3501"/>
      <c r="C1477" s="12"/>
      <c r="D1477" s="12"/>
      <c r="E1477" s="12"/>
      <c r="F1477" s="7"/>
      <c r="G1477" s="7"/>
      <c r="H1477" s="8"/>
      <c r="I1477" s="9"/>
      <c r="J1477" s="7"/>
      <c r="K1477" s="7"/>
      <c r="L1477" s="7"/>
      <c r="M1477" s="7"/>
      <c r="N1477" s="7"/>
      <c r="O1477" s="7"/>
      <c r="P1477" s="7"/>
      <c r="Q1477" s="7"/>
      <c r="R1477" s="14">
        <v>550</v>
      </c>
      <c r="S1477" s="7"/>
      <c r="T1477" s="7"/>
      <c r="U1477" s="14">
        <v>550</v>
      </c>
      <c r="V1477" s="7"/>
      <c r="W1477" s="7"/>
      <c r="X1477" s="7"/>
      <c r="Y1477" s="7"/>
      <c r="Z1477" s="12"/>
      <c r="AA1477" s="14">
        <v>550</v>
      </c>
    </row>
    <row r="1478" spans="1:27" outlineLevel="7">
      <c r="A1478" s="3500" t="s">
        <v>868</v>
      </c>
      <c r="B1478" s="3500"/>
      <c r="C1478" s="12"/>
      <c r="D1478" s="12"/>
      <c r="E1478" s="12"/>
      <c r="F1478" s="7"/>
      <c r="G1478" s="7"/>
      <c r="H1478" s="8"/>
      <c r="I1478" s="9"/>
      <c r="J1478" s="7"/>
      <c r="K1478" s="7"/>
      <c r="L1478" s="7"/>
      <c r="M1478" s="7"/>
      <c r="N1478" s="7"/>
      <c r="O1478" s="7"/>
      <c r="P1478" s="7"/>
      <c r="Q1478" s="7"/>
      <c r="R1478" s="14">
        <v>550</v>
      </c>
      <c r="S1478" s="7"/>
      <c r="T1478" s="7"/>
      <c r="U1478" s="14">
        <v>550</v>
      </c>
      <c r="V1478" s="7"/>
      <c r="W1478" s="7"/>
      <c r="X1478" s="7"/>
      <c r="Y1478" s="7"/>
      <c r="Z1478" s="12"/>
      <c r="AA1478" s="14">
        <v>550</v>
      </c>
    </row>
    <row r="1479" spans="1:27" outlineLevel="7">
      <c r="A1479" s="3499" t="s">
        <v>2013</v>
      </c>
      <c r="B1479" s="3499"/>
      <c r="C1479" s="12"/>
      <c r="D1479" s="12"/>
      <c r="E1479" s="12"/>
      <c r="F1479" s="7"/>
      <c r="G1479" s="7"/>
      <c r="H1479" s="8"/>
      <c r="I1479" s="9"/>
      <c r="J1479" s="7"/>
      <c r="K1479" s="7"/>
      <c r="L1479" s="7"/>
      <c r="M1479" s="7"/>
      <c r="N1479" s="7"/>
      <c r="O1479" s="7"/>
      <c r="P1479" s="7"/>
      <c r="Q1479" s="7"/>
      <c r="R1479" s="14">
        <v>550</v>
      </c>
      <c r="S1479" s="7"/>
      <c r="T1479" s="7"/>
      <c r="U1479" s="14">
        <v>550</v>
      </c>
      <c r="V1479" s="7"/>
      <c r="W1479" s="7"/>
      <c r="X1479" s="7"/>
      <c r="Y1479" s="7"/>
      <c r="Z1479" s="12"/>
      <c r="AA1479" s="14">
        <v>550</v>
      </c>
    </row>
    <row r="1480" spans="1:27" outlineLevel="6">
      <c r="A1480" s="3501" t="s">
        <v>178</v>
      </c>
      <c r="B1480" s="3501"/>
      <c r="C1480" s="7"/>
      <c r="D1480" s="7"/>
      <c r="E1480" s="14">
        <v>550</v>
      </c>
      <c r="F1480" s="7"/>
      <c r="G1480" s="14">
        <v>550</v>
      </c>
      <c r="H1480" s="3523">
        <v>550</v>
      </c>
      <c r="I1480" s="3523"/>
      <c r="J1480" s="7"/>
      <c r="K1480" s="7"/>
      <c r="L1480" s="7"/>
      <c r="M1480" s="7"/>
      <c r="N1480" s="7"/>
      <c r="O1480" s="7"/>
      <c r="P1480" s="7"/>
      <c r="Q1480" s="7"/>
      <c r="R1480" s="14">
        <v>550</v>
      </c>
      <c r="S1480" s="7"/>
      <c r="T1480" s="7"/>
      <c r="U1480" s="14">
        <v>550</v>
      </c>
      <c r="V1480" s="7"/>
      <c r="W1480" s="7"/>
      <c r="X1480" s="7"/>
      <c r="Y1480" s="7"/>
      <c r="Z1480" s="7"/>
      <c r="AA1480" s="7"/>
    </row>
    <row r="1481" spans="1:27" outlineLevel="7">
      <c r="A1481" s="3500" t="s">
        <v>179</v>
      </c>
      <c r="B1481" s="3500"/>
      <c r="C1481" s="7"/>
      <c r="D1481" s="7"/>
      <c r="E1481" s="14">
        <v>550</v>
      </c>
      <c r="F1481" s="7"/>
      <c r="G1481" s="14">
        <v>550</v>
      </c>
      <c r="H1481" s="3523">
        <v>550</v>
      </c>
      <c r="I1481" s="3523"/>
      <c r="J1481" s="7"/>
      <c r="K1481" s="7"/>
      <c r="L1481" s="7"/>
      <c r="M1481" s="7"/>
      <c r="N1481" s="7"/>
      <c r="O1481" s="7"/>
      <c r="P1481" s="7"/>
      <c r="Q1481" s="7"/>
      <c r="R1481" s="14">
        <v>550</v>
      </c>
      <c r="S1481" s="7"/>
      <c r="T1481" s="7"/>
      <c r="U1481" s="14">
        <v>550</v>
      </c>
      <c r="V1481" s="7"/>
      <c r="W1481" s="7"/>
      <c r="X1481" s="7"/>
      <c r="Y1481" s="7"/>
      <c r="Z1481" s="7"/>
      <c r="AA1481" s="7"/>
    </row>
    <row r="1482" spans="1:27" outlineLevel="7">
      <c r="A1482" s="3499" t="s">
        <v>2014</v>
      </c>
      <c r="B1482" s="3499"/>
      <c r="C1482" s="7"/>
      <c r="D1482" s="7"/>
      <c r="E1482" s="14">
        <v>550</v>
      </c>
      <c r="F1482" s="7"/>
      <c r="G1482" s="14">
        <v>550</v>
      </c>
      <c r="H1482" s="3523">
        <v>550</v>
      </c>
      <c r="I1482" s="3523"/>
      <c r="J1482" s="7"/>
      <c r="K1482" s="7"/>
      <c r="L1482" s="7"/>
      <c r="M1482" s="7"/>
      <c r="N1482" s="7"/>
      <c r="O1482" s="7"/>
      <c r="P1482" s="7"/>
      <c r="Q1482" s="7"/>
      <c r="R1482" s="14">
        <v>550</v>
      </c>
      <c r="S1482" s="7"/>
      <c r="T1482" s="7"/>
      <c r="U1482" s="14">
        <v>550</v>
      </c>
      <c r="V1482" s="7"/>
      <c r="W1482" s="7"/>
      <c r="X1482" s="7"/>
      <c r="Y1482" s="7"/>
      <c r="Z1482" s="7"/>
      <c r="AA1482" s="7"/>
    </row>
    <row r="1483" spans="1:27" outlineLevel="6">
      <c r="A1483" s="3501" t="s">
        <v>180</v>
      </c>
      <c r="B1483" s="3501"/>
      <c r="C1483" s="7"/>
      <c r="D1483" s="7"/>
      <c r="E1483" s="14">
        <v>550</v>
      </c>
      <c r="F1483" s="7"/>
      <c r="G1483" s="14">
        <v>550</v>
      </c>
      <c r="H1483" s="3523">
        <v>550</v>
      </c>
      <c r="I1483" s="3523"/>
      <c r="J1483" s="7"/>
      <c r="K1483" s="7"/>
      <c r="L1483" s="7"/>
      <c r="M1483" s="7"/>
      <c r="N1483" s="7"/>
      <c r="O1483" s="7"/>
      <c r="P1483" s="7"/>
      <c r="Q1483" s="7"/>
      <c r="R1483" s="14">
        <v>550</v>
      </c>
      <c r="S1483" s="7"/>
      <c r="T1483" s="7"/>
      <c r="U1483" s="14">
        <v>550</v>
      </c>
      <c r="V1483" s="7"/>
      <c r="W1483" s="7"/>
      <c r="X1483" s="7"/>
      <c r="Y1483" s="7"/>
      <c r="Z1483" s="7"/>
      <c r="AA1483" s="7"/>
    </row>
    <row r="1484" spans="1:27" outlineLevel="7">
      <c r="A1484" s="3500" t="s">
        <v>181</v>
      </c>
      <c r="B1484" s="3500"/>
      <c r="C1484" s="7"/>
      <c r="D1484" s="7"/>
      <c r="E1484" s="14">
        <v>550</v>
      </c>
      <c r="F1484" s="7"/>
      <c r="G1484" s="14">
        <v>550</v>
      </c>
      <c r="H1484" s="3523">
        <v>550</v>
      </c>
      <c r="I1484" s="3523"/>
      <c r="J1484" s="7"/>
      <c r="K1484" s="7"/>
      <c r="L1484" s="7"/>
      <c r="M1484" s="7"/>
      <c r="N1484" s="7"/>
      <c r="O1484" s="7"/>
      <c r="P1484" s="7"/>
      <c r="Q1484" s="7"/>
      <c r="R1484" s="14">
        <v>550</v>
      </c>
      <c r="S1484" s="7"/>
      <c r="T1484" s="7"/>
      <c r="U1484" s="14">
        <v>550</v>
      </c>
      <c r="V1484" s="7"/>
      <c r="W1484" s="7"/>
      <c r="X1484" s="7"/>
      <c r="Y1484" s="7"/>
      <c r="Z1484" s="7"/>
      <c r="AA1484" s="7"/>
    </row>
    <row r="1485" spans="1:27" outlineLevel="7">
      <c r="A1485" s="3499" t="s">
        <v>2015</v>
      </c>
      <c r="B1485" s="3499"/>
      <c r="C1485" s="7"/>
      <c r="D1485" s="7"/>
      <c r="E1485" s="14">
        <v>550</v>
      </c>
      <c r="F1485" s="7"/>
      <c r="G1485" s="14">
        <v>550</v>
      </c>
      <c r="H1485" s="3523">
        <v>550</v>
      </c>
      <c r="I1485" s="3523"/>
      <c r="J1485" s="7"/>
      <c r="K1485" s="7"/>
      <c r="L1485" s="7"/>
      <c r="M1485" s="7"/>
      <c r="N1485" s="7"/>
      <c r="O1485" s="7"/>
      <c r="P1485" s="7"/>
      <c r="Q1485" s="7"/>
      <c r="R1485" s="14">
        <v>550</v>
      </c>
      <c r="S1485" s="7"/>
      <c r="T1485" s="7"/>
      <c r="U1485" s="14">
        <v>550</v>
      </c>
      <c r="V1485" s="7"/>
      <c r="W1485" s="7"/>
      <c r="X1485" s="7"/>
      <c r="Y1485" s="7"/>
      <c r="Z1485" s="7"/>
      <c r="AA1485" s="7"/>
    </row>
    <row r="1486" spans="1:27" outlineLevel="6">
      <c r="A1486" s="3501" t="s">
        <v>182</v>
      </c>
      <c r="B1486" s="3501"/>
      <c r="C1486" s="7"/>
      <c r="D1486" s="7"/>
      <c r="E1486" s="14">
        <v>550</v>
      </c>
      <c r="F1486" s="7"/>
      <c r="G1486" s="14">
        <v>550</v>
      </c>
      <c r="H1486" s="3523">
        <v>550</v>
      </c>
      <c r="I1486" s="3523"/>
      <c r="J1486" s="7"/>
      <c r="K1486" s="7"/>
      <c r="L1486" s="7"/>
      <c r="M1486" s="7"/>
      <c r="N1486" s="7"/>
      <c r="O1486" s="7"/>
      <c r="P1486" s="7"/>
      <c r="Q1486" s="7"/>
      <c r="R1486" s="14">
        <v>550</v>
      </c>
      <c r="S1486" s="7"/>
      <c r="T1486" s="7"/>
      <c r="U1486" s="14">
        <v>550</v>
      </c>
      <c r="V1486" s="7"/>
      <c r="W1486" s="7"/>
      <c r="X1486" s="7"/>
      <c r="Y1486" s="7"/>
      <c r="Z1486" s="7"/>
      <c r="AA1486" s="7"/>
    </row>
    <row r="1487" spans="1:27" outlineLevel="7">
      <c r="A1487" s="3500" t="s">
        <v>183</v>
      </c>
      <c r="B1487" s="3500"/>
      <c r="C1487" s="7"/>
      <c r="D1487" s="7"/>
      <c r="E1487" s="14">
        <v>550</v>
      </c>
      <c r="F1487" s="7"/>
      <c r="G1487" s="14">
        <v>550</v>
      </c>
      <c r="H1487" s="3523">
        <v>550</v>
      </c>
      <c r="I1487" s="3523"/>
      <c r="J1487" s="7"/>
      <c r="K1487" s="7"/>
      <c r="L1487" s="7"/>
      <c r="M1487" s="7"/>
      <c r="N1487" s="7"/>
      <c r="O1487" s="7"/>
      <c r="P1487" s="7"/>
      <c r="Q1487" s="7"/>
      <c r="R1487" s="14">
        <v>550</v>
      </c>
      <c r="S1487" s="7"/>
      <c r="T1487" s="7"/>
      <c r="U1487" s="14">
        <v>550</v>
      </c>
      <c r="V1487" s="7"/>
      <c r="W1487" s="7"/>
      <c r="X1487" s="7"/>
      <c r="Y1487" s="7"/>
      <c r="Z1487" s="7"/>
      <c r="AA1487" s="7"/>
    </row>
    <row r="1488" spans="1:27" outlineLevel="7">
      <c r="A1488" s="3499" t="s">
        <v>2016</v>
      </c>
      <c r="B1488" s="3499"/>
      <c r="C1488" s="7"/>
      <c r="D1488" s="7"/>
      <c r="E1488" s="14">
        <v>550</v>
      </c>
      <c r="F1488" s="7"/>
      <c r="G1488" s="14">
        <v>550</v>
      </c>
      <c r="H1488" s="3523">
        <v>550</v>
      </c>
      <c r="I1488" s="3523"/>
      <c r="J1488" s="7"/>
      <c r="K1488" s="7"/>
      <c r="L1488" s="7"/>
      <c r="M1488" s="7"/>
      <c r="N1488" s="7"/>
      <c r="O1488" s="7"/>
      <c r="P1488" s="7"/>
      <c r="Q1488" s="7"/>
      <c r="R1488" s="14">
        <v>550</v>
      </c>
      <c r="S1488" s="7"/>
      <c r="T1488" s="7"/>
      <c r="U1488" s="14">
        <v>550</v>
      </c>
      <c r="V1488" s="7"/>
      <c r="W1488" s="7"/>
      <c r="X1488" s="7"/>
      <c r="Y1488" s="7"/>
      <c r="Z1488" s="7"/>
      <c r="AA1488" s="7"/>
    </row>
    <row r="1489" spans="1:27" outlineLevel="6">
      <c r="A1489" s="3501" t="s">
        <v>184</v>
      </c>
      <c r="B1489" s="3501"/>
      <c r="C1489" s="7"/>
      <c r="D1489" s="7"/>
      <c r="E1489" s="14">
        <v>550</v>
      </c>
      <c r="F1489" s="7"/>
      <c r="G1489" s="14">
        <v>550</v>
      </c>
      <c r="H1489" s="3523">
        <v>550</v>
      </c>
      <c r="I1489" s="3523"/>
      <c r="J1489" s="7"/>
      <c r="K1489" s="7"/>
      <c r="L1489" s="7"/>
      <c r="M1489" s="7"/>
      <c r="N1489" s="7"/>
      <c r="O1489" s="7"/>
      <c r="P1489" s="7"/>
      <c r="Q1489" s="7"/>
      <c r="R1489" s="14">
        <v>550</v>
      </c>
      <c r="S1489" s="7"/>
      <c r="T1489" s="7"/>
      <c r="U1489" s="14">
        <v>550</v>
      </c>
      <c r="V1489" s="7"/>
      <c r="W1489" s="7"/>
      <c r="X1489" s="7"/>
      <c r="Y1489" s="7"/>
      <c r="Z1489" s="7"/>
      <c r="AA1489" s="7"/>
    </row>
    <row r="1490" spans="1:27" outlineLevel="7">
      <c r="A1490" s="3500" t="s">
        <v>185</v>
      </c>
      <c r="B1490" s="3500"/>
      <c r="C1490" s="7"/>
      <c r="D1490" s="7"/>
      <c r="E1490" s="14">
        <v>550</v>
      </c>
      <c r="F1490" s="7"/>
      <c r="G1490" s="14">
        <v>550</v>
      </c>
      <c r="H1490" s="3523">
        <v>550</v>
      </c>
      <c r="I1490" s="3523"/>
      <c r="J1490" s="7"/>
      <c r="K1490" s="7"/>
      <c r="L1490" s="7"/>
      <c r="M1490" s="7"/>
      <c r="N1490" s="7"/>
      <c r="O1490" s="7"/>
      <c r="P1490" s="7"/>
      <c r="Q1490" s="7"/>
      <c r="R1490" s="14">
        <v>550</v>
      </c>
      <c r="S1490" s="7"/>
      <c r="T1490" s="7"/>
      <c r="U1490" s="14">
        <v>550</v>
      </c>
      <c r="V1490" s="7"/>
      <c r="W1490" s="7"/>
      <c r="X1490" s="7"/>
      <c r="Y1490" s="7"/>
      <c r="Z1490" s="7"/>
      <c r="AA1490" s="7"/>
    </row>
    <row r="1491" spans="1:27" outlineLevel="7">
      <c r="A1491" s="3499" t="s">
        <v>2017</v>
      </c>
      <c r="B1491" s="3499"/>
      <c r="C1491" s="7"/>
      <c r="D1491" s="7"/>
      <c r="E1491" s="14">
        <v>550</v>
      </c>
      <c r="F1491" s="7"/>
      <c r="G1491" s="14">
        <v>550</v>
      </c>
      <c r="H1491" s="3523">
        <v>550</v>
      </c>
      <c r="I1491" s="3523"/>
      <c r="J1491" s="7"/>
      <c r="K1491" s="7"/>
      <c r="L1491" s="7"/>
      <c r="M1491" s="7"/>
      <c r="N1491" s="7"/>
      <c r="O1491" s="7"/>
      <c r="P1491" s="7"/>
      <c r="Q1491" s="7"/>
      <c r="R1491" s="14">
        <v>550</v>
      </c>
      <c r="S1491" s="7"/>
      <c r="T1491" s="7"/>
      <c r="U1491" s="14">
        <v>550</v>
      </c>
      <c r="V1491" s="7"/>
      <c r="W1491" s="7"/>
      <c r="X1491" s="7"/>
      <c r="Y1491" s="7"/>
      <c r="Z1491" s="7"/>
      <c r="AA1491" s="7"/>
    </row>
    <row r="1492" spans="1:27" outlineLevel="6">
      <c r="A1492" s="3501" t="s">
        <v>186</v>
      </c>
      <c r="B1492" s="3501"/>
      <c r="C1492" s="7"/>
      <c r="D1492" s="7"/>
      <c r="E1492" s="14">
        <v>550</v>
      </c>
      <c r="F1492" s="7"/>
      <c r="G1492" s="14">
        <v>550</v>
      </c>
      <c r="H1492" s="3523">
        <v>550</v>
      </c>
      <c r="I1492" s="3523"/>
      <c r="J1492" s="7"/>
      <c r="K1492" s="7"/>
      <c r="L1492" s="7"/>
      <c r="M1492" s="7"/>
      <c r="N1492" s="7"/>
      <c r="O1492" s="7"/>
      <c r="P1492" s="7"/>
      <c r="Q1492" s="7"/>
      <c r="R1492" s="14">
        <v>550</v>
      </c>
      <c r="S1492" s="7"/>
      <c r="T1492" s="7"/>
      <c r="U1492" s="14">
        <v>550</v>
      </c>
      <c r="V1492" s="7"/>
      <c r="W1492" s="7"/>
      <c r="X1492" s="7"/>
      <c r="Y1492" s="7"/>
      <c r="Z1492" s="7"/>
      <c r="AA1492" s="7"/>
    </row>
    <row r="1493" spans="1:27" outlineLevel="7">
      <c r="A1493" s="3500" t="s">
        <v>187</v>
      </c>
      <c r="B1493" s="3500"/>
      <c r="C1493" s="7"/>
      <c r="D1493" s="7"/>
      <c r="E1493" s="14">
        <v>550</v>
      </c>
      <c r="F1493" s="7"/>
      <c r="G1493" s="14">
        <v>550</v>
      </c>
      <c r="H1493" s="3523">
        <v>550</v>
      </c>
      <c r="I1493" s="3523"/>
      <c r="J1493" s="7"/>
      <c r="K1493" s="7"/>
      <c r="L1493" s="7"/>
      <c r="M1493" s="7"/>
      <c r="N1493" s="7"/>
      <c r="O1493" s="7"/>
      <c r="P1493" s="7"/>
      <c r="Q1493" s="7"/>
      <c r="R1493" s="14">
        <v>550</v>
      </c>
      <c r="S1493" s="7"/>
      <c r="T1493" s="7"/>
      <c r="U1493" s="14">
        <v>550</v>
      </c>
      <c r="V1493" s="7"/>
      <c r="W1493" s="7"/>
      <c r="X1493" s="7"/>
      <c r="Y1493" s="7"/>
      <c r="Z1493" s="7"/>
      <c r="AA1493" s="7"/>
    </row>
    <row r="1494" spans="1:27" outlineLevel="7">
      <c r="A1494" s="3499" t="s">
        <v>2018</v>
      </c>
      <c r="B1494" s="3499"/>
      <c r="C1494" s="7"/>
      <c r="D1494" s="7"/>
      <c r="E1494" s="14">
        <v>550</v>
      </c>
      <c r="F1494" s="7"/>
      <c r="G1494" s="14">
        <v>550</v>
      </c>
      <c r="H1494" s="3523">
        <v>550</v>
      </c>
      <c r="I1494" s="3523"/>
      <c r="J1494" s="7"/>
      <c r="K1494" s="7"/>
      <c r="L1494" s="7"/>
      <c r="M1494" s="7"/>
      <c r="N1494" s="7"/>
      <c r="O1494" s="7"/>
      <c r="P1494" s="7"/>
      <c r="Q1494" s="7"/>
      <c r="R1494" s="14">
        <v>550</v>
      </c>
      <c r="S1494" s="7"/>
      <c r="T1494" s="7"/>
      <c r="U1494" s="14">
        <v>550</v>
      </c>
      <c r="V1494" s="7"/>
      <c r="W1494" s="7"/>
      <c r="X1494" s="7"/>
      <c r="Y1494" s="7"/>
      <c r="Z1494" s="7"/>
      <c r="AA1494" s="7"/>
    </row>
    <row r="1495" spans="1:27" outlineLevel="6">
      <c r="A1495" s="3501" t="s">
        <v>188</v>
      </c>
      <c r="B1495" s="3501"/>
      <c r="C1495" s="7"/>
      <c r="D1495" s="7"/>
      <c r="E1495" s="14">
        <v>550</v>
      </c>
      <c r="F1495" s="7"/>
      <c r="G1495" s="14">
        <v>550</v>
      </c>
      <c r="H1495" s="3523">
        <v>550</v>
      </c>
      <c r="I1495" s="3523"/>
      <c r="J1495" s="7"/>
      <c r="K1495" s="7"/>
      <c r="L1495" s="7"/>
      <c r="M1495" s="7"/>
      <c r="N1495" s="7"/>
      <c r="O1495" s="7"/>
      <c r="P1495" s="7"/>
      <c r="Q1495" s="7"/>
      <c r="R1495" s="14">
        <v>550</v>
      </c>
      <c r="S1495" s="7"/>
      <c r="T1495" s="7"/>
      <c r="U1495" s="14">
        <v>550</v>
      </c>
      <c r="V1495" s="7"/>
      <c r="W1495" s="7"/>
      <c r="X1495" s="7"/>
      <c r="Y1495" s="7"/>
      <c r="Z1495" s="7"/>
      <c r="AA1495" s="7"/>
    </row>
    <row r="1496" spans="1:27" outlineLevel="7">
      <c r="A1496" s="3500" t="s">
        <v>189</v>
      </c>
      <c r="B1496" s="3500"/>
      <c r="C1496" s="7"/>
      <c r="D1496" s="7"/>
      <c r="E1496" s="14">
        <v>550</v>
      </c>
      <c r="F1496" s="7"/>
      <c r="G1496" s="14">
        <v>550</v>
      </c>
      <c r="H1496" s="3523">
        <v>550</v>
      </c>
      <c r="I1496" s="3523"/>
      <c r="J1496" s="7"/>
      <c r="K1496" s="7"/>
      <c r="L1496" s="7"/>
      <c r="M1496" s="7"/>
      <c r="N1496" s="7"/>
      <c r="O1496" s="7"/>
      <c r="P1496" s="7"/>
      <c r="Q1496" s="7"/>
      <c r="R1496" s="14">
        <v>550</v>
      </c>
      <c r="S1496" s="7"/>
      <c r="T1496" s="7"/>
      <c r="U1496" s="14">
        <v>550</v>
      </c>
      <c r="V1496" s="7"/>
      <c r="W1496" s="7"/>
      <c r="X1496" s="7"/>
      <c r="Y1496" s="7"/>
      <c r="Z1496" s="7"/>
      <c r="AA1496" s="7"/>
    </row>
    <row r="1497" spans="1:27" outlineLevel="7">
      <c r="A1497" s="3499" t="s">
        <v>2019</v>
      </c>
      <c r="B1497" s="3499"/>
      <c r="C1497" s="7"/>
      <c r="D1497" s="7"/>
      <c r="E1497" s="14">
        <v>550</v>
      </c>
      <c r="F1497" s="7"/>
      <c r="G1497" s="14">
        <v>550</v>
      </c>
      <c r="H1497" s="3523">
        <v>550</v>
      </c>
      <c r="I1497" s="3523"/>
      <c r="J1497" s="7"/>
      <c r="K1497" s="7"/>
      <c r="L1497" s="7"/>
      <c r="M1497" s="7"/>
      <c r="N1497" s="7"/>
      <c r="O1497" s="7"/>
      <c r="P1497" s="7"/>
      <c r="Q1497" s="7"/>
      <c r="R1497" s="14">
        <v>550</v>
      </c>
      <c r="S1497" s="7"/>
      <c r="T1497" s="7"/>
      <c r="U1497" s="14">
        <v>550</v>
      </c>
      <c r="V1497" s="7"/>
      <c r="W1497" s="7"/>
      <c r="X1497" s="7"/>
      <c r="Y1497" s="7"/>
      <c r="Z1497" s="7"/>
      <c r="AA1497" s="7"/>
    </row>
    <row r="1498" spans="1:27" outlineLevel="6">
      <c r="A1498" s="3501" t="s">
        <v>869</v>
      </c>
      <c r="B1498" s="3501"/>
      <c r="C1498" s="12"/>
      <c r="D1498" s="12"/>
      <c r="E1498" s="12"/>
      <c r="F1498" s="7"/>
      <c r="G1498" s="7"/>
      <c r="H1498" s="8"/>
      <c r="I1498" s="9"/>
      <c r="J1498" s="7"/>
      <c r="K1498" s="7"/>
      <c r="L1498" s="7"/>
      <c r="M1498" s="7"/>
      <c r="N1498" s="7"/>
      <c r="O1498" s="7"/>
      <c r="P1498" s="7"/>
      <c r="Q1498" s="7"/>
      <c r="R1498" s="14">
        <v>550</v>
      </c>
      <c r="S1498" s="7"/>
      <c r="T1498" s="7"/>
      <c r="U1498" s="14">
        <v>550</v>
      </c>
      <c r="V1498" s="7"/>
      <c r="W1498" s="7"/>
      <c r="X1498" s="7"/>
      <c r="Y1498" s="7"/>
      <c r="Z1498" s="12"/>
      <c r="AA1498" s="14">
        <v>550</v>
      </c>
    </row>
    <row r="1499" spans="1:27" outlineLevel="7">
      <c r="A1499" s="3500" t="s">
        <v>870</v>
      </c>
      <c r="B1499" s="3500"/>
      <c r="C1499" s="12"/>
      <c r="D1499" s="12"/>
      <c r="E1499" s="12"/>
      <c r="F1499" s="7"/>
      <c r="G1499" s="7"/>
      <c r="H1499" s="8"/>
      <c r="I1499" s="9"/>
      <c r="J1499" s="7"/>
      <c r="K1499" s="7"/>
      <c r="L1499" s="7"/>
      <c r="M1499" s="7"/>
      <c r="N1499" s="7"/>
      <c r="O1499" s="7"/>
      <c r="P1499" s="7"/>
      <c r="Q1499" s="7"/>
      <c r="R1499" s="14">
        <v>550</v>
      </c>
      <c r="S1499" s="7"/>
      <c r="T1499" s="7"/>
      <c r="U1499" s="14">
        <v>550</v>
      </c>
      <c r="V1499" s="7"/>
      <c r="W1499" s="7"/>
      <c r="X1499" s="7"/>
      <c r="Y1499" s="7"/>
      <c r="Z1499" s="12"/>
      <c r="AA1499" s="14">
        <v>550</v>
      </c>
    </row>
    <row r="1500" spans="1:27" outlineLevel="7">
      <c r="A1500" s="3499" t="s">
        <v>2020</v>
      </c>
      <c r="B1500" s="3499"/>
      <c r="C1500" s="12"/>
      <c r="D1500" s="12"/>
      <c r="E1500" s="12"/>
      <c r="F1500" s="7"/>
      <c r="G1500" s="7"/>
      <c r="H1500" s="8"/>
      <c r="I1500" s="9"/>
      <c r="J1500" s="7"/>
      <c r="K1500" s="7"/>
      <c r="L1500" s="7"/>
      <c r="M1500" s="7"/>
      <c r="N1500" s="7"/>
      <c r="O1500" s="7"/>
      <c r="P1500" s="7"/>
      <c r="Q1500" s="7"/>
      <c r="R1500" s="14">
        <v>550</v>
      </c>
      <c r="S1500" s="7"/>
      <c r="T1500" s="7"/>
      <c r="U1500" s="14">
        <v>550</v>
      </c>
      <c r="V1500" s="7"/>
      <c r="W1500" s="7"/>
      <c r="X1500" s="7"/>
      <c r="Y1500" s="7"/>
      <c r="Z1500" s="12"/>
      <c r="AA1500" s="14">
        <v>550</v>
      </c>
    </row>
    <row r="1501" spans="1:27" outlineLevel="6">
      <c r="A1501" s="3501" t="s">
        <v>190</v>
      </c>
      <c r="B1501" s="3501"/>
      <c r="C1501" s="7"/>
      <c r="D1501" s="7"/>
      <c r="E1501" s="14">
        <v>550</v>
      </c>
      <c r="F1501" s="7"/>
      <c r="G1501" s="14">
        <v>550</v>
      </c>
      <c r="H1501" s="3523">
        <v>550</v>
      </c>
      <c r="I1501" s="3523"/>
      <c r="J1501" s="7"/>
      <c r="K1501" s="7"/>
      <c r="L1501" s="7"/>
      <c r="M1501" s="7"/>
      <c r="N1501" s="7"/>
      <c r="O1501" s="7"/>
      <c r="P1501" s="7"/>
      <c r="Q1501" s="7"/>
      <c r="R1501" s="14">
        <v>550</v>
      </c>
      <c r="S1501" s="7"/>
      <c r="T1501" s="7"/>
      <c r="U1501" s="14">
        <v>550</v>
      </c>
      <c r="V1501" s="7"/>
      <c r="W1501" s="7"/>
      <c r="X1501" s="7"/>
      <c r="Y1501" s="7"/>
      <c r="Z1501" s="7"/>
      <c r="AA1501" s="7"/>
    </row>
    <row r="1502" spans="1:27" outlineLevel="7">
      <c r="A1502" s="3500" t="s">
        <v>191</v>
      </c>
      <c r="B1502" s="3500"/>
      <c r="C1502" s="7"/>
      <c r="D1502" s="7"/>
      <c r="E1502" s="14">
        <v>550</v>
      </c>
      <c r="F1502" s="7"/>
      <c r="G1502" s="14">
        <v>550</v>
      </c>
      <c r="H1502" s="3523">
        <v>550</v>
      </c>
      <c r="I1502" s="3523"/>
      <c r="J1502" s="7"/>
      <c r="K1502" s="7"/>
      <c r="L1502" s="7"/>
      <c r="M1502" s="7"/>
      <c r="N1502" s="7"/>
      <c r="O1502" s="7"/>
      <c r="P1502" s="7"/>
      <c r="Q1502" s="7"/>
      <c r="R1502" s="14">
        <v>550</v>
      </c>
      <c r="S1502" s="7"/>
      <c r="T1502" s="7"/>
      <c r="U1502" s="14">
        <v>550</v>
      </c>
      <c r="V1502" s="7"/>
      <c r="W1502" s="7"/>
      <c r="X1502" s="7"/>
      <c r="Y1502" s="7"/>
      <c r="Z1502" s="7"/>
      <c r="AA1502" s="7"/>
    </row>
    <row r="1503" spans="1:27" outlineLevel="7">
      <c r="A1503" s="3499" t="s">
        <v>2021</v>
      </c>
      <c r="B1503" s="3499"/>
      <c r="C1503" s="7"/>
      <c r="D1503" s="7"/>
      <c r="E1503" s="14">
        <v>550</v>
      </c>
      <c r="F1503" s="7"/>
      <c r="G1503" s="14">
        <v>550</v>
      </c>
      <c r="H1503" s="3523">
        <v>550</v>
      </c>
      <c r="I1503" s="3523"/>
      <c r="J1503" s="7"/>
      <c r="K1503" s="7"/>
      <c r="L1503" s="7"/>
      <c r="M1503" s="7"/>
      <c r="N1503" s="7"/>
      <c r="O1503" s="7"/>
      <c r="P1503" s="7"/>
      <c r="Q1503" s="7"/>
      <c r="R1503" s="14">
        <v>550</v>
      </c>
      <c r="S1503" s="7"/>
      <c r="T1503" s="7"/>
      <c r="U1503" s="14">
        <v>550</v>
      </c>
      <c r="V1503" s="7"/>
      <c r="W1503" s="7"/>
      <c r="X1503" s="7"/>
      <c r="Y1503" s="7"/>
      <c r="Z1503" s="7"/>
      <c r="AA1503" s="7"/>
    </row>
    <row r="1504" spans="1:27" outlineLevel="6">
      <c r="A1504" s="3501" t="s">
        <v>192</v>
      </c>
      <c r="B1504" s="3501"/>
      <c r="C1504" s="7"/>
      <c r="D1504" s="7"/>
      <c r="E1504" s="14">
        <v>550</v>
      </c>
      <c r="F1504" s="7"/>
      <c r="G1504" s="14">
        <v>550</v>
      </c>
      <c r="H1504" s="3523">
        <v>550</v>
      </c>
      <c r="I1504" s="3523"/>
      <c r="J1504" s="7"/>
      <c r="K1504" s="7"/>
      <c r="L1504" s="7"/>
      <c r="M1504" s="7"/>
      <c r="N1504" s="7"/>
      <c r="O1504" s="7"/>
      <c r="P1504" s="7"/>
      <c r="Q1504" s="7"/>
      <c r="R1504" s="14">
        <v>550</v>
      </c>
      <c r="S1504" s="7"/>
      <c r="T1504" s="7"/>
      <c r="U1504" s="14">
        <v>550</v>
      </c>
      <c r="V1504" s="7"/>
      <c r="W1504" s="7"/>
      <c r="X1504" s="7"/>
      <c r="Y1504" s="7"/>
      <c r="Z1504" s="7"/>
      <c r="AA1504" s="7"/>
    </row>
    <row r="1505" spans="1:27" outlineLevel="7">
      <c r="A1505" s="3500" t="s">
        <v>193</v>
      </c>
      <c r="B1505" s="3500"/>
      <c r="C1505" s="7"/>
      <c r="D1505" s="7"/>
      <c r="E1505" s="14">
        <v>550</v>
      </c>
      <c r="F1505" s="7"/>
      <c r="G1505" s="14">
        <v>550</v>
      </c>
      <c r="H1505" s="3523">
        <v>550</v>
      </c>
      <c r="I1505" s="3523"/>
      <c r="J1505" s="7"/>
      <c r="K1505" s="7"/>
      <c r="L1505" s="7"/>
      <c r="M1505" s="7"/>
      <c r="N1505" s="7"/>
      <c r="O1505" s="7"/>
      <c r="P1505" s="7"/>
      <c r="Q1505" s="7"/>
      <c r="R1505" s="14">
        <v>550</v>
      </c>
      <c r="S1505" s="7"/>
      <c r="T1505" s="7"/>
      <c r="U1505" s="14">
        <v>550</v>
      </c>
      <c r="V1505" s="7"/>
      <c r="W1505" s="7"/>
      <c r="X1505" s="7"/>
      <c r="Y1505" s="7"/>
      <c r="Z1505" s="7"/>
      <c r="AA1505" s="7"/>
    </row>
    <row r="1506" spans="1:27" outlineLevel="7">
      <c r="A1506" s="3499" t="s">
        <v>2022</v>
      </c>
      <c r="B1506" s="3499"/>
      <c r="C1506" s="7"/>
      <c r="D1506" s="7"/>
      <c r="E1506" s="14">
        <v>550</v>
      </c>
      <c r="F1506" s="7"/>
      <c r="G1506" s="14">
        <v>550</v>
      </c>
      <c r="H1506" s="3523">
        <v>550</v>
      </c>
      <c r="I1506" s="3523"/>
      <c r="J1506" s="7"/>
      <c r="K1506" s="7"/>
      <c r="L1506" s="7"/>
      <c r="M1506" s="7"/>
      <c r="N1506" s="7"/>
      <c r="O1506" s="7"/>
      <c r="P1506" s="7"/>
      <c r="Q1506" s="7"/>
      <c r="R1506" s="14">
        <v>550</v>
      </c>
      <c r="S1506" s="7"/>
      <c r="T1506" s="7"/>
      <c r="U1506" s="14">
        <v>550</v>
      </c>
      <c r="V1506" s="7"/>
      <c r="W1506" s="7"/>
      <c r="X1506" s="7"/>
      <c r="Y1506" s="7"/>
      <c r="Z1506" s="7"/>
      <c r="AA1506" s="7"/>
    </row>
    <row r="1507" spans="1:27" outlineLevel="6">
      <c r="A1507" s="3501" t="s">
        <v>194</v>
      </c>
      <c r="B1507" s="3501"/>
      <c r="C1507" s="7"/>
      <c r="D1507" s="7"/>
      <c r="E1507" s="14">
        <v>550</v>
      </c>
      <c r="F1507" s="7"/>
      <c r="G1507" s="14">
        <v>550</v>
      </c>
      <c r="H1507" s="3523">
        <v>550</v>
      </c>
      <c r="I1507" s="3523"/>
      <c r="J1507" s="7"/>
      <c r="K1507" s="7"/>
      <c r="L1507" s="7"/>
      <c r="M1507" s="7"/>
      <c r="N1507" s="7"/>
      <c r="O1507" s="7"/>
      <c r="P1507" s="7"/>
      <c r="Q1507" s="7"/>
      <c r="R1507" s="14">
        <v>550</v>
      </c>
      <c r="S1507" s="7"/>
      <c r="T1507" s="7"/>
      <c r="U1507" s="14">
        <v>550</v>
      </c>
      <c r="V1507" s="7"/>
      <c r="W1507" s="7"/>
      <c r="X1507" s="7"/>
      <c r="Y1507" s="7"/>
      <c r="Z1507" s="7"/>
      <c r="AA1507" s="7"/>
    </row>
    <row r="1508" spans="1:27" outlineLevel="7">
      <c r="A1508" s="3500" t="s">
        <v>195</v>
      </c>
      <c r="B1508" s="3500"/>
      <c r="C1508" s="7"/>
      <c r="D1508" s="7"/>
      <c r="E1508" s="14">
        <v>550</v>
      </c>
      <c r="F1508" s="7"/>
      <c r="G1508" s="14">
        <v>550</v>
      </c>
      <c r="H1508" s="3523">
        <v>550</v>
      </c>
      <c r="I1508" s="3523"/>
      <c r="J1508" s="7"/>
      <c r="K1508" s="7"/>
      <c r="L1508" s="7"/>
      <c r="M1508" s="7"/>
      <c r="N1508" s="7"/>
      <c r="O1508" s="7"/>
      <c r="P1508" s="7"/>
      <c r="Q1508" s="7"/>
      <c r="R1508" s="14">
        <v>550</v>
      </c>
      <c r="S1508" s="7"/>
      <c r="T1508" s="7"/>
      <c r="U1508" s="14">
        <v>550</v>
      </c>
      <c r="V1508" s="7"/>
      <c r="W1508" s="7"/>
      <c r="X1508" s="7"/>
      <c r="Y1508" s="7"/>
      <c r="Z1508" s="7"/>
      <c r="AA1508" s="7"/>
    </row>
    <row r="1509" spans="1:27" outlineLevel="7">
      <c r="A1509" s="3499" t="s">
        <v>2023</v>
      </c>
      <c r="B1509" s="3499"/>
      <c r="C1509" s="7"/>
      <c r="D1509" s="7"/>
      <c r="E1509" s="14">
        <v>550</v>
      </c>
      <c r="F1509" s="7"/>
      <c r="G1509" s="14">
        <v>550</v>
      </c>
      <c r="H1509" s="3523">
        <v>550</v>
      </c>
      <c r="I1509" s="3523"/>
      <c r="J1509" s="7"/>
      <c r="K1509" s="7"/>
      <c r="L1509" s="7"/>
      <c r="M1509" s="7"/>
      <c r="N1509" s="7"/>
      <c r="O1509" s="7"/>
      <c r="P1509" s="7"/>
      <c r="Q1509" s="7"/>
      <c r="R1509" s="14">
        <v>550</v>
      </c>
      <c r="S1509" s="7"/>
      <c r="T1509" s="7"/>
      <c r="U1509" s="14">
        <v>550</v>
      </c>
      <c r="V1509" s="7"/>
      <c r="W1509" s="7"/>
      <c r="X1509" s="7"/>
      <c r="Y1509" s="7"/>
      <c r="Z1509" s="7"/>
      <c r="AA1509" s="7"/>
    </row>
    <row r="1510" spans="1:27" outlineLevel="6">
      <c r="A1510" s="3501" t="s">
        <v>196</v>
      </c>
      <c r="B1510" s="3501"/>
      <c r="C1510" s="7"/>
      <c r="D1510" s="7"/>
      <c r="E1510" s="14">
        <v>550</v>
      </c>
      <c r="F1510" s="7"/>
      <c r="G1510" s="14">
        <v>550</v>
      </c>
      <c r="H1510" s="3523">
        <v>550</v>
      </c>
      <c r="I1510" s="3523"/>
      <c r="J1510" s="7"/>
      <c r="K1510" s="7"/>
      <c r="L1510" s="7"/>
      <c r="M1510" s="7"/>
      <c r="N1510" s="7"/>
      <c r="O1510" s="7"/>
      <c r="P1510" s="7"/>
      <c r="Q1510" s="7"/>
      <c r="R1510" s="14">
        <v>550</v>
      </c>
      <c r="S1510" s="7"/>
      <c r="T1510" s="7"/>
      <c r="U1510" s="14">
        <v>550</v>
      </c>
      <c r="V1510" s="7"/>
      <c r="W1510" s="7"/>
      <c r="X1510" s="7"/>
      <c r="Y1510" s="7"/>
      <c r="Z1510" s="7"/>
      <c r="AA1510" s="7"/>
    </row>
    <row r="1511" spans="1:27" outlineLevel="7">
      <c r="A1511" s="3500" t="s">
        <v>197</v>
      </c>
      <c r="B1511" s="3500"/>
      <c r="C1511" s="7"/>
      <c r="D1511" s="7"/>
      <c r="E1511" s="14">
        <v>550</v>
      </c>
      <c r="F1511" s="7"/>
      <c r="G1511" s="14">
        <v>550</v>
      </c>
      <c r="H1511" s="3523">
        <v>550</v>
      </c>
      <c r="I1511" s="3523"/>
      <c r="J1511" s="7"/>
      <c r="K1511" s="7"/>
      <c r="L1511" s="7"/>
      <c r="M1511" s="7"/>
      <c r="N1511" s="7"/>
      <c r="O1511" s="7"/>
      <c r="P1511" s="7"/>
      <c r="Q1511" s="7"/>
      <c r="R1511" s="14">
        <v>550</v>
      </c>
      <c r="S1511" s="7"/>
      <c r="T1511" s="7"/>
      <c r="U1511" s="14">
        <v>550</v>
      </c>
      <c r="V1511" s="7"/>
      <c r="W1511" s="7"/>
      <c r="X1511" s="7"/>
      <c r="Y1511" s="7"/>
      <c r="Z1511" s="7"/>
      <c r="AA1511" s="7"/>
    </row>
    <row r="1512" spans="1:27" outlineLevel="7">
      <c r="A1512" s="3499" t="s">
        <v>2024</v>
      </c>
      <c r="B1512" s="3499"/>
      <c r="C1512" s="7"/>
      <c r="D1512" s="7"/>
      <c r="E1512" s="14">
        <v>550</v>
      </c>
      <c r="F1512" s="7"/>
      <c r="G1512" s="14">
        <v>550</v>
      </c>
      <c r="H1512" s="3523">
        <v>550</v>
      </c>
      <c r="I1512" s="3523"/>
      <c r="J1512" s="7"/>
      <c r="K1512" s="7"/>
      <c r="L1512" s="7"/>
      <c r="M1512" s="7"/>
      <c r="N1512" s="7"/>
      <c r="O1512" s="7"/>
      <c r="P1512" s="7"/>
      <c r="Q1512" s="7"/>
      <c r="R1512" s="14">
        <v>550</v>
      </c>
      <c r="S1512" s="7"/>
      <c r="T1512" s="7"/>
      <c r="U1512" s="14">
        <v>550</v>
      </c>
      <c r="V1512" s="7"/>
      <c r="W1512" s="7"/>
      <c r="X1512" s="7"/>
      <c r="Y1512" s="7"/>
      <c r="Z1512" s="7"/>
      <c r="AA1512" s="7"/>
    </row>
    <row r="1513" spans="1:27" outlineLevel="6">
      <c r="A1513" s="3501" t="s">
        <v>871</v>
      </c>
      <c r="B1513" s="3501"/>
      <c r="C1513" s="12"/>
      <c r="D1513" s="12"/>
      <c r="E1513" s="12"/>
      <c r="F1513" s="7"/>
      <c r="G1513" s="7"/>
      <c r="H1513" s="8"/>
      <c r="I1513" s="9"/>
      <c r="J1513" s="7"/>
      <c r="K1513" s="7"/>
      <c r="L1513" s="7"/>
      <c r="M1513" s="7"/>
      <c r="N1513" s="7"/>
      <c r="O1513" s="7"/>
      <c r="P1513" s="7"/>
      <c r="Q1513" s="7"/>
      <c r="R1513" s="14">
        <v>550</v>
      </c>
      <c r="S1513" s="7"/>
      <c r="T1513" s="7"/>
      <c r="U1513" s="14">
        <v>550</v>
      </c>
      <c r="V1513" s="7"/>
      <c r="W1513" s="7"/>
      <c r="X1513" s="7"/>
      <c r="Y1513" s="7"/>
      <c r="Z1513" s="12"/>
      <c r="AA1513" s="14">
        <v>550</v>
      </c>
    </row>
    <row r="1514" spans="1:27" outlineLevel="7">
      <c r="A1514" s="3500" t="s">
        <v>872</v>
      </c>
      <c r="B1514" s="3500"/>
      <c r="C1514" s="12"/>
      <c r="D1514" s="12"/>
      <c r="E1514" s="12"/>
      <c r="F1514" s="7"/>
      <c r="G1514" s="7"/>
      <c r="H1514" s="8"/>
      <c r="I1514" s="9"/>
      <c r="J1514" s="7"/>
      <c r="K1514" s="7"/>
      <c r="L1514" s="7"/>
      <c r="M1514" s="7"/>
      <c r="N1514" s="7"/>
      <c r="O1514" s="7"/>
      <c r="P1514" s="7"/>
      <c r="Q1514" s="7"/>
      <c r="R1514" s="14">
        <v>550</v>
      </c>
      <c r="S1514" s="7"/>
      <c r="T1514" s="7"/>
      <c r="U1514" s="14">
        <v>550</v>
      </c>
      <c r="V1514" s="7"/>
      <c r="W1514" s="7"/>
      <c r="X1514" s="7"/>
      <c r="Y1514" s="7"/>
      <c r="Z1514" s="12"/>
      <c r="AA1514" s="14">
        <v>550</v>
      </c>
    </row>
    <row r="1515" spans="1:27" outlineLevel="7">
      <c r="A1515" s="3499" t="s">
        <v>2025</v>
      </c>
      <c r="B1515" s="3499"/>
      <c r="C1515" s="12"/>
      <c r="D1515" s="12"/>
      <c r="E1515" s="12"/>
      <c r="F1515" s="7"/>
      <c r="G1515" s="7"/>
      <c r="H1515" s="8"/>
      <c r="I1515" s="9"/>
      <c r="J1515" s="7"/>
      <c r="K1515" s="7"/>
      <c r="L1515" s="7"/>
      <c r="M1515" s="7"/>
      <c r="N1515" s="7"/>
      <c r="O1515" s="7"/>
      <c r="P1515" s="7"/>
      <c r="Q1515" s="7"/>
      <c r="R1515" s="14">
        <v>550</v>
      </c>
      <c r="S1515" s="7"/>
      <c r="T1515" s="7"/>
      <c r="U1515" s="14">
        <v>550</v>
      </c>
      <c r="V1515" s="7"/>
      <c r="W1515" s="7"/>
      <c r="X1515" s="7"/>
      <c r="Y1515" s="7"/>
      <c r="Z1515" s="12"/>
      <c r="AA1515" s="14">
        <v>550</v>
      </c>
    </row>
    <row r="1516" spans="1:27" outlineLevel="6">
      <c r="A1516" s="3501" t="s">
        <v>198</v>
      </c>
      <c r="B1516" s="3501"/>
      <c r="C1516" s="7"/>
      <c r="D1516" s="7"/>
      <c r="E1516" s="14">
        <v>550</v>
      </c>
      <c r="F1516" s="7"/>
      <c r="G1516" s="14">
        <v>550</v>
      </c>
      <c r="H1516" s="3523">
        <v>550</v>
      </c>
      <c r="I1516" s="3523"/>
      <c r="J1516" s="7"/>
      <c r="K1516" s="7"/>
      <c r="L1516" s="7"/>
      <c r="M1516" s="7"/>
      <c r="N1516" s="7"/>
      <c r="O1516" s="7"/>
      <c r="P1516" s="7"/>
      <c r="Q1516" s="7"/>
      <c r="R1516" s="14">
        <v>550</v>
      </c>
      <c r="S1516" s="7"/>
      <c r="T1516" s="7"/>
      <c r="U1516" s="14">
        <v>550</v>
      </c>
      <c r="V1516" s="7"/>
      <c r="W1516" s="7"/>
      <c r="X1516" s="7"/>
      <c r="Y1516" s="7"/>
      <c r="Z1516" s="7"/>
      <c r="AA1516" s="7"/>
    </row>
    <row r="1517" spans="1:27" outlineLevel="7">
      <c r="A1517" s="3500" t="s">
        <v>199</v>
      </c>
      <c r="B1517" s="3500"/>
      <c r="C1517" s="7"/>
      <c r="D1517" s="7"/>
      <c r="E1517" s="14">
        <v>550</v>
      </c>
      <c r="F1517" s="7"/>
      <c r="G1517" s="14">
        <v>550</v>
      </c>
      <c r="H1517" s="3523">
        <v>550</v>
      </c>
      <c r="I1517" s="3523"/>
      <c r="J1517" s="7"/>
      <c r="K1517" s="7"/>
      <c r="L1517" s="7"/>
      <c r="M1517" s="7"/>
      <c r="N1517" s="7"/>
      <c r="O1517" s="7"/>
      <c r="P1517" s="7"/>
      <c r="Q1517" s="7"/>
      <c r="R1517" s="14">
        <v>550</v>
      </c>
      <c r="S1517" s="7"/>
      <c r="T1517" s="7"/>
      <c r="U1517" s="14">
        <v>550</v>
      </c>
      <c r="V1517" s="7"/>
      <c r="W1517" s="7"/>
      <c r="X1517" s="7"/>
      <c r="Y1517" s="7"/>
      <c r="Z1517" s="7"/>
      <c r="AA1517" s="7"/>
    </row>
    <row r="1518" spans="1:27" outlineLevel="7">
      <c r="A1518" s="3499" t="s">
        <v>2026</v>
      </c>
      <c r="B1518" s="3499"/>
      <c r="C1518" s="7"/>
      <c r="D1518" s="7"/>
      <c r="E1518" s="14">
        <v>550</v>
      </c>
      <c r="F1518" s="7"/>
      <c r="G1518" s="14">
        <v>550</v>
      </c>
      <c r="H1518" s="3523">
        <v>550</v>
      </c>
      <c r="I1518" s="3523"/>
      <c r="J1518" s="7"/>
      <c r="K1518" s="7"/>
      <c r="L1518" s="7"/>
      <c r="M1518" s="7"/>
      <c r="N1518" s="7"/>
      <c r="O1518" s="7"/>
      <c r="P1518" s="7"/>
      <c r="Q1518" s="7"/>
      <c r="R1518" s="14">
        <v>550</v>
      </c>
      <c r="S1518" s="7"/>
      <c r="T1518" s="7"/>
      <c r="U1518" s="14">
        <v>550</v>
      </c>
      <c r="V1518" s="7"/>
      <c r="W1518" s="7"/>
      <c r="X1518" s="7"/>
      <c r="Y1518" s="7"/>
      <c r="Z1518" s="7"/>
      <c r="AA1518" s="7"/>
    </row>
    <row r="1519" spans="1:27" outlineLevel="6">
      <c r="A1519" s="3501" t="s">
        <v>200</v>
      </c>
      <c r="B1519" s="3501"/>
      <c r="C1519" s="7"/>
      <c r="D1519" s="7"/>
      <c r="E1519" s="14">
        <v>550</v>
      </c>
      <c r="F1519" s="7"/>
      <c r="G1519" s="14">
        <v>550</v>
      </c>
      <c r="H1519" s="3523">
        <v>550</v>
      </c>
      <c r="I1519" s="3523"/>
      <c r="J1519" s="7"/>
      <c r="K1519" s="7"/>
      <c r="L1519" s="7"/>
      <c r="M1519" s="7"/>
      <c r="N1519" s="7"/>
      <c r="O1519" s="7"/>
      <c r="P1519" s="7"/>
      <c r="Q1519" s="7"/>
      <c r="R1519" s="14">
        <v>550</v>
      </c>
      <c r="S1519" s="7"/>
      <c r="T1519" s="7"/>
      <c r="U1519" s="14">
        <v>550</v>
      </c>
      <c r="V1519" s="7"/>
      <c r="W1519" s="7"/>
      <c r="X1519" s="7"/>
      <c r="Y1519" s="7"/>
      <c r="Z1519" s="7"/>
      <c r="AA1519" s="7"/>
    </row>
    <row r="1520" spans="1:27" outlineLevel="7">
      <c r="A1520" s="3500" t="s">
        <v>201</v>
      </c>
      <c r="B1520" s="3500"/>
      <c r="C1520" s="7"/>
      <c r="D1520" s="7"/>
      <c r="E1520" s="14">
        <v>550</v>
      </c>
      <c r="F1520" s="7"/>
      <c r="G1520" s="14">
        <v>550</v>
      </c>
      <c r="H1520" s="3523">
        <v>550</v>
      </c>
      <c r="I1520" s="3523"/>
      <c r="J1520" s="7"/>
      <c r="K1520" s="7"/>
      <c r="L1520" s="7"/>
      <c r="M1520" s="7"/>
      <c r="N1520" s="7"/>
      <c r="O1520" s="7"/>
      <c r="P1520" s="7"/>
      <c r="Q1520" s="7"/>
      <c r="R1520" s="14">
        <v>550</v>
      </c>
      <c r="S1520" s="7"/>
      <c r="T1520" s="7"/>
      <c r="U1520" s="14">
        <v>550</v>
      </c>
      <c r="V1520" s="7"/>
      <c r="W1520" s="7"/>
      <c r="X1520" s="7"/>
      <c r="Y1520" s="7"/>
      <c r="Z1520" s="7"/>
      <c r="AA1520" s="7"/>
    </row>
    <row r="1521" spans="1:27" outlineLevel="7">
      <c r="A1521" s="3499" t="s">
        <v>2027</v>
      </c>
      <c r="B1521" s="3499"/>
      <c r="C1521" s="7"/>
      <c r="D1521" s="7"/>
      <c r="E1521" s="14">
        <v>550</v>
      </c>
      <c r="F1521" s="7"/>
      <c r="G1521" s="14">
        <v>550</v>
      </c>
      <c r="H1521" s="3523">
        <v>550</v>
      </c>
      <c r="I1521" s="3523"/>
      <c r="J1521" s="7"/>
      <c r="K1521" s="7"/>
      <c r="L1521" s="7"/>
      <c r="M1521" s="7"/>
      <c r="N1521" s="7"/>
      <c r="O1521" s="7"/>
      <c r="P1521" s="7"/>
      <c r="Q1521" s="7"/>
      <c r="R1521" s="14">
        <v>550</v>
      </c>
      <c r="S1521" s="7"/>
      <c r="T1521" s="7"/>
      <c r="U1521" s="14">
        <v>550</v>
      </c>
      <c r="V1521" s="7"/>
      <c r="W1521" s="7"/>
      <c r="X1521" s="7"/>
      <c r="Y1521" s="7"/>
      <c r="Z1521" s="7"/>
      <c r="AA1521" s="7"/>
    </row>
    <row r="1522" spans="1:27" outlineLevel="6">
      <c r="A1522" s="3501" t="s">
        <v>202</v>
      </c>
      <c r="B1522" s="3501"/>
      <c r="C1522" s="7"/>
      <c r="D1522" s="7"/>
      <c r="E1522" s="14">
        <v>550</v>
      </c>
      <c r="F1522" s="7"/>
      <c r="G1522" s="14">
        <v>550</v>
      </c>
      <c r="H1522" s="3523">
        <v>550</v>
      </c>
      <c r="I1522" s="3523"/>
      <c r="J1522" s="7"/>
      <c r="K1522" s="7"/>
      <c r="L1522" s="7"/>
      <c r="M1522" s="7"/>
      <c r="N1522" s="7"/>
      <c r="O1522" s="7"/>
      <c r="P1522" s="7"/>
      <c r="Q1522" s="7"/>
      <c r="R1522" s="14">
        <v>550</v>
      </c>
      <c r="S1522" s="7"/>
      <c r="T1522" s="7"/>
      <c r="U1522" s="14">
        <v>550</v>
      </c>
      <c r="V1522" s="7"/>
      <c r="W1522" s="7"/>
      <c r="X1522" s="7"/>
      <c r="Y1522" s="7"/>
      <c r="Z1522" s="7"/>
      <c r="AA1522" s="7"/>
    </row>
    <row r="1523" spans="1:27" outlineLevel="7">
      <c r="A1523" s="3500" t="s">
        <v>203</v>
      </c>
      <c r="B1523" s="3500"/>
      <c r="C1523" s="7"/>
      <c r="D1523" s="7"/>
      <c r="E1523" s="14">
        <v>550</v>
      </c>
      <c r="F1523" s="7"/>
      <c r="G1523" s="14">
        <v>550</v>
      </c>
      <c r="H1523" s="3523">
        <v>550</v>
      </c>
      <c r="I1523" s="3523"/>
      <c r="J1523" s="7"/>
      <c r="K1523" s="7"/>
      <c r="L1523" s="7"/>
      <c r="M1523" s="7"/>
      <c r="N1523" s="7"/>
      <c r="O1523" s="7"/>
      <c r="P1523" s="7"/>
      <c r="Q1523" s="7"/>
      <c r="R1523" s="14">
        <v>550</v>
      </c>
      <c r="S1523" s="7"/>
      <c r="T1523" s="7"/>
      <c r="U1523" s="14">
        <v>550</v>
      </c>
      <c r="V1523" s="7"/>
      <c r="W1523" s="7"/>
      <c r="X1523" s="7"/>
      <c r="Y1523" s="7"/>
      <c r="Z1523" s="7"/>
      <c r="AA1523" s="7"/>
    </row>
    <row r="1524" spans="1:27" outlineLevel="7">
      <c r="A1524" s="3499" t="s">
        <v>2028</v>
      </c>
      <c r="B1524" s="3499"/>
      <c r="C1524" s="7"/>
      <c r="D1524" s="7"/>
      <c r="E1524" s="14">
        <v>550</v>
      </c>
      <c r="F1524" s="7"/>
      <c r="G1524" s="14">
        <v>550</v>
      </c>
      <c r="H1524" s="3523">
        <v>550</v>
      </c>
      <c r="I1524" s="3523"/>
      <c r="J1524" s="7"/>
      <c r="K1524" s="7"/>
      <c r="L1524" s="7"/>
      <c r="M1524" s="7"/>
      <c r="N1524" s="7"/>
      <c r="O1524" s="7"/>
      <c r="P1524" s="7"/>
      <c r="Q1524" s="7"/>
      <c r="R1524" s="14">
        <v>550</v>
      </c>
      <c r="S1524" s="7"/>
      <c r="T1524" s="7"/>
      <c r="U1524" s="14">
        <v>550</v>
      </c>
      <c r="V1524" s="7"/>
      <c r="W1524" s="7"/>
      <c r="X1524" s="7"/>
      <c r="Y1524" s="7"/>
      <c r="Z1524" s="7"/>
      <c r="AA1524" s="7"/>
    </row>
    <row r="1525" spans="1:27" outlineLevel="6">
      <c r="A1525" s="3501" t="s">
        <v>873</v>
      </c>
      <c r="B1525" s="3501"/>
      <c r="C1525" s="12"/>
      <c r="D1525" s="14">
        <v>550</v>
      </c>
      <c r="E1525" s="7"/>
      <c r="F1525" s="7"/>
      <c r="G1525" s="7"/>
      <c r="H1525" s="8"/>
      <c r="I1525" s="9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12"/>
      <c r="AA1525" s="14">
        <v>550</v>
      </c>
    </row>
    <row r="1526" spans="1:27" outlineLevel="7">
      <c r="A1526" s="3500" t="s">
        <v>874</v>
      </c>
      <c r="B1526" s="3500"/>
      <c r="C1526" s="12"/>
      <c r="D1526" s="14">
        <v>550</v>
      </c>
      <c r="E1526" s="7"/>
      <c r="F1526" s="7"/>
      <c r="G1526" s="7"/>
      <c r="H1526" s="8"/>
      <c r="I1526" s="9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12"/>
      <c r="AA1526" s="14">
        <v>550</v>
      </c>
    </row>
    <row r="1527" spans="1:27" outlineLevel="7">
      <c r="A1527" s="3499" t="s">
        <v>2029</v>
      </c>
      <c r="B1527" s="3499"/>
      <c r="C1527" s="12"/>
      <c r="D1527" s="14">
        <v>550</v>
      </c>
      <c r="E1527" s="7"/>
      <c r="F1527" s="7"/>
      <c r="G1527" s="7"/>
      <c r="H1527" s="8"/>
      <c r="I1527" s="9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12"/>
      <c r="AA1527" s="14">
        <v>550</v>
      </c>
    </row>
    <row r="1528" spans="1:27" outlineLevel="6">
      <c r="A1528" s="3501" t="s">
        <v>875</v>
      </c>
      <c r="B1528" s="3501"/>
      <c r="C1528" s="12"/>
      <c r="D1528" s="12"/>
      <c r="E1528" s="12"/>
      <c r="F1528" s="7"/>
      <c r="G1528" s="7"/>
      <c r="H1528" s="8"/>
      <c r="I1528" s="9"/>
      <c r="J1528" s="7"/>
      <c r="K1528" s="7"/>
      <c r="L1528" s="7"/>
      <c r="M1528" s="7"/>
      <c r="N1528" s="7"/>
      <c r="O1528" s="7"/>
      <c r="P1528" s="7"/>
      <c r="Q1528" s="7"/>
      <c r="R1528" s="14">
        <v>550</v>
      </c>
      <c r="S1528" s="7"/>
      <c r="T1528" s="7"/>
      <c r="U1528" s="14">
        <v>550</v>
      </c>
      <c r="V1528" s="7"/>
      <c r="W1528" s="7"/>
      <c r="X1528" s="7"/>
      <c r="Y1528" s="7"/>
      <c r="Z1528" s="12"/>
      <c r="AA1528" s="14">
        <v>550</v>
      </c>
    </row>
    <row r="1529" spans="1:27" outlineLevel="7">
      <c r="A1529" s="3500" t="s">
        <v>876</v>
      </c>
      <c r="B1529" s="3500"/>
      <c r="C1529" s="12"/>
      <c r="D1529" s="12"/>
      <c r="E1529" s="12"/>
      <c r="F1529" s="7"/>
      <c r="G1529" s="7"/>
      <c r="H1529" s="8"/>
      <c r="I1529" s="9"/>
      <c r="J1529" s="7"/>
      <c r="K1529" s="7"/>
      <c r="L1529" s="7"/>
      <c r="M1529" s="7"/>
      <c r="N1529" s="7"/>
      <c r="O1529" s="7"/>
      <c r="P1529" s="7"/>
      <c r="Q1529" s="7"/>
      <c r="R1529" s="14">
        <v>550</v>
      </c>
      <c r="S1529" s="7"/>
      <c r="T1529" s="7"/>
      <c r="U1529" s="14">
        <v>550</v>
      </c>
      <c r="V1529" s="7"/>
      <c r="W1529" s="7"/>
      <c r="X1529" s="7"/>
      <c r="Y1529" s="7"/>
      <c r="Z1529" s="12"/>
      <c r="AA1529" s="14">
        <v>550</v>
      </c>
    </row>
    <row r="1530" spans="1:27" outlineLevel="7">
      <c r="A1530" s="3499" t="s">
        <v>2030</v>
      </c>
      <c r="B1530" s="3499"/>
      <c r="C1530" s="12"/>
      <c r="D1530" s="12"/>
      <c r="E1530" s="12"/>
      <c r="F1530" s="7"/>
      <c r="G1530" s="7"/>
      <c r="H1530" s="8"/>
      <c r="I1530" s="9"/>
      <c r="J1530" s="7"/>
      <c r="K1530" s="7"/>
      <c r="L1530" s="7"/>
      <c r="M1530" s="7"/>
      <c r="N1530" s="7"/>
      <c r="O1530" s="7"/>
      <c r="P1530" s="7"/>
      <c r="Q1530" s="7"/>
      <c r="R1530" s="14">
        <v>550</v>
      </c>
      <c r="S1530" s="7"/>
      <c r="T1530" s="7"/>
      <c r="U1530" s="14">
        <v>550</v>
      </c>
      <c r="V1530" s="7"/>
      <c r="W1530" s="7"/>
      <c r="X1530" s="7"/>
      <c r="Y1530" s="7"/>
      <c r="Z1530" s="12"/>
      <c r="AA1530" s="14">
        <v>550</v>
      </c>
    </row>
    <row r="1531" spans="1:27" outlineLevel="6">
      <c r="A1531" s="3501" t="s">
        <v>877</v>
      </c>
      <c r="B1531" s="3501"/>
      <c r="C1531" s="12"/>
      <c r="D1531" s="12"/>
      <c r="E1531" s="12"/>
      <c r="F1531" s="7"/>
      <c r="G1531" s="7"/>
      <c r="H1531" s="8"/>
      <c r="I1531" s="9"/>
      <c r="J1531" s="7"/>
      <c r="K1531" s="7"/>
      <c r="L1531" s="7"/>
      <c r="M1531" s="7"/>
      <c r="N1531" s="7"/>
      <c r="O1531" s="7"/>
      <c r="P1531" s="7"/>
      <c r="Q1531" s="7"/>
      <c r="R1531" s="14">
        <v>550</v>
      </c>
      <c r="S1531" s="7"/>
      <c r="T1531" s="7"/>
      <c r="U1531" s="14">
        <v>550</v>
      </c>
      <c r="V1531" s="7"/>
      <c r="W1531" s="7"/>
      <c r="X1531" s="7"/>
      <c r="Y1531" s="7"/>
      <c r="Z1531" s="12"/>
      <c r="AA1531" s="14">
        <v>550</v>
      </c>
    </row>
    <row r="1532" spans="1:27" outlineLevel="7">
      <c r="A1532" s="3500" t="s">
        <v>878</v>
      </c>
      <c r="B1532" s="3500"/>
      <c r="C1532" s="12"/>
      <c r="D1532" s="12"/>
      <c r="E1532" s="12"/>
      <c r="F1532" s="7"/>
      <c r="G1532" s="7"/>
      <c r="H1532" s="8"/>
      <c r="I1532" s="9"/>
      <c r="J1532" s="7"/>
      <c r="K1532" s="7"/>
      <c r="L1532" s="7"/>
      <c r="M1532" s="7"/>
      <c r="N1532" s="7"/>
      <c r="O1532" s="7"/>
      <c r="P1532" s="7"/>
      <c r="Q1532" s="7"/>
      <c r="R1532" s="14">
        <v>550</v>
      </c>
      <c r="S1532" s="7"/>
      <c r="T1532" s="7"/>
      <c r="U1532" s="14">
        <v>550</v>
      </c>
      <c r="V1532" s="7"/>
      <c r="W1532" s="7"/>
      <c r="X1532" s="7"/>
      <c r="Y1532" s="7"/>
      <c r="Z1532" s="12"/>
      <c r="AA1532" s="14">
        <v>550</v>
      </c>
    </row>
    <row r="1533" spans="1:27" outlineLevel="7">
      <c r="A1533" s="3499" t="s">
        <v>2031</v>
      </c>
      <c r="B1533" s="3499"/>
      <c r="C1533" s="12"/>
      <c r="D1533" s="12"/>
      <c r="E1533" s="12"/>
      <c r="F1533" s="7"/>
      <c r="G1533" s="7"/>
      <c r="H1533" s="8"/>
      <c r="I1533" s="9"/>
      <c r="J1533" s="7"/>
      <c r="K1533" s="7"/>
      <c r="L1533" s="7"/>
      <c r="M1533" s="7"/>
      <c r="N1533" s="7"/>
      <c r="O1533" s="7"/>
      <c r="P1533" s="7"/>
      <c r="Q1533" s="7"/>
      <c r="R1533" s="14">
        <v>550</v>
      </c>
      <c r="S1533" s="7"/>
      <c r="T1533" s="7"/>
      <c r="U1533" s="14">
        <v>550</v>
      </c>
      <c r="V1533" s="7"/>
      <c r="W1533" s="7"/>
      <c r="X1533" s="7"/>
      <c r="Y1533" s="7"/>
      <c r="Z1533" s="12"/>
      <c r="AA1533" s="14">
        <v>550</v>
      </c>
    </row>
    <row r="1534" spans="1:27" outlineLevel="6">
      <c r="A1534" s="3501" t="s">
        <v>204</v>
      </c>
      <c r="B1534" s="3501"/>
      <c r="C1534" s="12"/>
      <c r="D1534" s="14">
        <v>550</v>
      </c>
      <c r="E1534" s="14">
        <v>550</v>
      </c>
      <c r="F1534" s="7"/>
      <c r="G1534" s="14">
        <v>550</v>
      </c>
      <c r="H1534" s="3523">
        <v>550</v>
      </c>
      <c r="I1534" s="3523"/>
      <c r="J1534" s="7"/>
      <c r="K1534" s="7"/>
      <c r="L1534" s="7"/>
      <c r="M1534" s="7"/>
      <c r="N1534" s="7"/>
      <c r="O1534" s="7"/>
      <c r="P1534" s="7"/>
      <c r="Q1534" s="7"/>
      <c r="R1534" s="12"/>
      <c r="S1534" s="7"/>
      <c r="T1534" s="7"/>
      <c r="U1534" s="7"/>
      <c r="V1534" s="7"/>
      <c r="W1534" s="7"/>
      <c r="X1534" s="7"/>
      <c r="Y1534" s="7"/>
      <c r="Z1534" s="12"/>
      <c r="AA1534" s="12"/>
    </row>
    <row r="1535" spans="1:27" outlineLevel="7">
      <c r="A1535" s="3500" t="s">
        <v>205</v>
      </c>
      <c r="B1535" s="3500"/>
      <c r="C1535" s="12"/>
      <c r="D1535" s="14">
        <v>550</v>
      </c>
      <c r="E1535" s="14">
        <v>550</v>
      </c>
      <c r="F1535" s="7"/>
      <c r="G1535" s="14">
        <v>550</v>
      </c>
      <c r="H1535" s="3523">
        <v>550</v>
      </c>
      <c r="I1535" s="3523"/>
      <c r="J1535" s="7"/>
      <c r="K1535" s="7"/>
      <c r="L1535" s="7"/>
      <c r="M1535" s="7"/>
      <c r="N1535" s="7"/>
      <c r="O1535" s="7"/>
      <c r="P1535" s="7"/>
      <c r="Q1535" s="7"/>
      <c r="R1535" s="12"/>
      <c r="S1535" s="7"/>
      <c r="T1535" s="7"/>
      <c r="U1535" s="7"/>
      <c r="V1535" s="7"/>
      <c r="W1535" s="7"/>
      <c r="X1535" s="7"/>
      <c r="Y1535" s="7"/>
      <c r="Z1535" s="12"/>
      <c r="AA1535" s="12"/>
    </row>
    <row r="1536" spans="1:27" outlineLevel="7">
      <c r="A1536" s="3499" t="s">
        <v>2032</v>
      </c>
      <c r="B1536" s="3499"/>
      <c r="C1536" s="12"/>
      <c r="D1536" s="14">
        <v>550</v>
      </c>
      <c r="E1536" s="14">
        <v>550</v>
      </c>
      <c r="F1536" s="7"/>
      <c r="G1536" s="14">
        <v>550</v>
      </c>
      <c r="H1536" s="3523">
        <v>550</v>
      </c>
      <c r="I1536" s="3523"/>
      <c r="J1536" s="7"/>
      <c r="K1536" s="7"/>
      <c r="L1536" s="7"/>
      <c r="M1536" s="7"/>
      <c r="N1536" s="7"/>
      <c r="O1536" s="7"/>
      <c r="P1536" s="7"/>
      <c r="Q1536" s="7"/>
      <c r="R1536" s="12"/>
      <c r="S1536" s="7"/>
      <c r="T1536" s="7"/>
      <c r="U1536" s="7"/>
      <c r="V1536" s="7"/>
      <c r="W1536" s="7"/>
      <c r="X1536" s="7"/>
      <c r="Y1536" s="7"/>
      <c r="Z1536" s="12"/>
      <c r="AA1536" s="12"/>
    </row>
    <row r="1537" spans="1:27" outlineLevel="6">
      <c r="A1537" s="3501" t="s">
        <v>879</v>
      </c>
      <c r="B1537" s="3501"/>
      <c r="C1537" s="12"/>
      <c r="D1537" s="12"/>
      <c r="E1537" s="12"/>
      <c r="F1537" s="7"/>
      <c r="G1537" s="7"/>
      <c r="H1537" s="8"/>
      <c r="I1537" s="9"/>
      <c r="J1537" s="7"/>
      <c r="K1537" s="7"/>
      <c r="L1537" s="7"/>
      <c r="M1537" s="7"/>
      <c r="N1537" s="7"/>
      <c r="O1537" s="7"/>
      <c r="P1537" s="7"/>
      <c r="Q1537" s="7"/>
      <c r="R1537" s="14">
        <v>550</v>
      </c>
      <c r="S1537" s="7"/>
      <c r="T1537" s="7"/>
      <c r="U1537" s="14">
        <v>550</v>
      </c>
      <c r="V1537" s="7"/>
      <c r="W1537" s="7"/>
      <c r="X1537" s="7"/>
      <c r="Y1537" s="7"/>
      <c r="Z1537" s="12"/>
      <c r="AA1537" s="14">
        <v>550</v>
      </c>
    </row>
    <row r="1538" spans="1:27" outlineLevel="7">
      <c r="A1538" s="3500" t="s">
        <v>880</v>
      </c>
      <c r="B1538" s="3500"/>
      <c r="C1538" s="12"/>
      <c r="D1538" s="12"/>
      <c r="E1538" s="12"/>
      <c r="F1538" s="7"/>
      <c r="G1538" s="7"/>
      <c r="H1538" s="8"/>
      <c r="I1538" s="9"/>
      <c r="J1538" s="7"/>
      <c r="K1538" s="7"/>
      <c r="L1538" s="7"/>
      <c r="M1538" s="7"/>
      <c r="N1538" s="7"/>
      <c r="O1538" s="7"/>
      <c r="P1538" s="7"/>
      <c r="Q1538" s="7"/>
      <c r="R1538" s="14">
        <v>550</v>
      </c>
      <c r="S1538" s="7"/>
      <c r="T1538" s="7"/>
      <c r="U1538" s="14">
        <v>550</v>
      </c>
      <c r="V1538" s="7"/>
      <c r="W1538" s="7"/>
      <c r="X1538" s="7"/>
      <c r="Y1538" s="7"/>
      <c r="Z1538" s="12"/>
      <c r="AA1538" s="14">
        <v>550</v>
      </c>
    </row>
    <row r="1539" spans="1:27" outlineLevel="7">
      <c r="A1539" s="3499" t="s">
        <v>2033</v>
      </c>
      <c r="B1539" s="3499"/>
      <c r="C1539" s="12"/>
      <c r="D1539" s="12"/>
      <c r="E1539" s="12"/>
      <c r="F1539" s="7"/>
      <c r="G1539" s="7"/>
      <c r="H1539" s="8"/>
      <c r="I1539" s="9"/>
      <c r="J1539" s="7"/>
      <c r="K1539" s="7"/>
      <c r="L1539" s="7"/>
      <c r="M1539" s="7"/>
      <c r="N1539" s="7"/>
      <c r="O1539" s="7"/>
      <c r="P1539" s="7"/>
      <c r="Q1539" s="7"/>
      <c r="R1539" s="14">
        <v>550</v>
      </c>
      <c r="S1539" s="7"/>
      <c r="T1539" s="7"/>
      <c r="U1539" s="14">
        <v>550</v>
      </c>
      <c r="V1539" s="7"/>
      <c r="W1539" s="7"/>
      <c r="X1539" s="7"/>
      <c r="Y1539" s="7"/>
      <c r="Z1539" s="12"/>
      <c r="AA1539" s="14">
        <v>550</v>
      </c>
    </row>
    <row r="1540" spans="1:27" outlineLevel="6">
      <c r="A1540" s="3501" t="s">
        <v>206</v>
      </c>
      <c r="B1540" s="3501"/>
      <c r="C1540" s="7"/>
      <c r="D1540" s="7"/>
      <c r="E1540" s="14">
        <v>550</v>
      </c>
      <c r="F1540" s="7"/>
      <c r="G1540" s="14">
        <v>550</v>
      </c>
      <c r="H1540" s="3523">
        <v>550</v>
      </c>
      <c r="I1540" s="3523"/>
      <c r="J1540" s="7"/>
      <c r="K1540" s="7"/>
      <c r="L1540" s="7"/>
      <c r="M1540" s="7"/>
      <c r="N1540" s="7"/>
      <c r="O1540" s="7"/>
      <c r="P1540" s="7"/>
      <c r="Q1540" s="7"/>
      <c r="R1540" s="14">
        <v>550</v>
      </c>
      <c r="S1540" s="7"/>
      <c r="T1540" s="7"/>
      <c r="U1540" s="14">
        <v>550</v>
      </c>
      <c r="V1540" s="7"/>
      <c r="W1540" s="7"/>
      <c r="X1540" s="7"/>
      <c r="Y1540" s="7"/>
      <c r="Z1540" s="7"/>
      <c r="AA1540" s="7"/>
    </row>
    <row r="1541" spans="1:27" outlineLevel="7">
      <c r="A1541" s="3500" t="s">
        <v>207</v>
      </c>
      <c r="B1541" s="3500"/>
      <c r="C1541" s="7"/>
      <c r="D1541" s="7"/>
      <c r="E1541" s="14">
        <v>550</v>
      </c>
      <c r="F1541" s="7"/>
      <c r="G1541" s="14">
        <v>550</v>
      </c>
      <c r="H1541" s="3523">
        <v>550</v>
      </c>
      <c r="I1541" s="3523"/>
      <c r="J1541" s="7"/>
      <c r="K1541" s="7"/>
      <c r="L1541" s="7"/>
      <c r="M1541" s="7"/>
      <c r="N1541" s="7"/>
      <c r="O1541" s="7"/>
      <c r="P1541" s="7"/>
      <c r="Q1541" s="7"/>
      <c r="R1541" s="14">
        <v>550</v>
      </c>
      <c r="S1541" s="7"/>
      <c r="T1541" s="7"/>
      <c r="U1541" s="14">
        <v>550</v>
      </c>
      <c r="V1541" s="7"/>
      <c r="W1541" s="7"/>
      <c r="X1541" s="7"/>
      <c r="Y1541" s="7"/>
      <c r="Z1541" s="7"/>
      <c r="AA1541" s="7"/>
    </row>
    <row r="1542" spans="1:27" outlineLevel="7">
      <c r="A1542" s="3499" t="s">
        <v>2034</v>
      </c>
      <c r="B1542" s="3499"/>
      <c r="C1542" s="7"/>
      <c r="D1542" s="7"/>
      <c r="E1542" s="14">
        <v>550</v>
      </c>
      <c r="F1542" s="7"/>
      <c r="G1542" s="14">
        <v>550</v>
      </c>
      <c r="H1542" s="3523">
        <v>550</v>
      </c>
      <c r="I1542" s="3523"/>
      <c r="J1542" s="7"/>
      <c r="K1542" s="7"/>
      <c r="L1542" s="7"/>
      <c r="M1542" s="7"/>
      <c r="N1542" s="7"/>
      <c r="O1542" s="7"/>
      <c r="P1542" s="7"/>
      <c r="Q1542" s="7"/>
      <c r="R1542" s="14">
        <v>550</v>
      </c>
      <c r="S1542" s="7"/>
      <c r="T1542" s="7"/>
      <c r="U1542" s="14">
        <v>550</v>
      </c>
      <c r="V1542" s="7"/>
      <c r="W1542" s="7"/>
      <c r="X1542" s="7"/>
      <c r="Y1542" s="7"/>
      <c r="Z1542" s="7"/>
      <c r="AA1542" s="7"/>
    </row>
    <row r="1543" spans="1:27" outlineLevel="6">
      <c r="A1543" s="3501" t="s">
        <v>208</v>
      </c>
      <c r="B1543" s="3501"/>
      <c r="C1543" s="7"/>
      <c r="D1543" s="7"/>
      <c r="E1543" s="14">
        <v>550</v>
      </c>
      <c r="F1543" s="7"/>
      <c r="G1543" s="14">
        <v>550</v>
      </c>
      <c r="H1543" s="3523">
        <v>550</v>
      </c>
      <c r="I1543" s="3523"/>
      <c r="J1543" s="7"/>
      <c r="K1543" s="7"/>
      <c r="L1543" s="7"/>
      <c r="M1543" s="7"/>
      <c r="N1543" s="7"/>
      <c r="O1543" s="7"/>
      <c r="P1543" s="7"/>
      <c r="Q1543" s="7"/>
      <c r="R1543" s="14">
        <v>550</v>
      </c>
      <c r="S1543" s="7"/>
      <c r="T1543" s="7"/>
      <c r="U1543" s="14">
        <v>550</v>
      </c>
      <c r="V1543" s="7"/>
      <c r="W1543" s="7"/>
      <c r="X1543" s="7"/>
      <c r="Y1543" s="7"/>
      <c r="Z1543" s="7"/>
      <c r="AA1543" s="7"/>
    </row>
    <row r="1544" spans="1:27" outlineLevel="7">
      <c r="A1544" s="3500" t="s">
        <v>209</v>
      </c>
      <c r="B1544" s="3500"/>
      <c r="C1544" s="7"/>
      <c r="D1544" s="7"/>
      <c r="E1544" s="14">
        <v>550</v>
      </c>
      <c r="F1544" s="7"/>
      <c r="G1544" s="14">
        <v>550</v>
      </c>
      <c r="H1544" s="3523">
        <v>550</v>
      </c>
      <c r="I1544" s="3523"/>
      <c r="J1544" s="7"/>
      <c r="K1544" s="7"/>
      <c r="L1544" s="7"/>
      <c r="M1544" s="7"/>
      <c r="N1544" s="7"/>
      <c r="O1544" s="7"/>
      <c r="P1544" s="7"/>
      <c r="Q1544" s="7"/>
      <c r="R1544" s="14">
        <v>550</v>
      </c>
      <c r="S1544" s="7"/>
      <c r="T1544" s="7"/>
      <c r="U1544" s="14">
        <v>550</v>
      </c>
      <c r="V1544" s="7"/>
      <c r="W1544" s="7"/>
      <c r="X1544" s="7"/>
      <c r="Y1544" s="7"/>
      <c r="Z1544" s="7"/>
      <c r="AA1544" s="7"/>
    </row>
    <row r="1545" spans="1:27" outlineLevel="7">
      <c r="A1545" s="3499" t="s">
        <v>2035</v>
      </c>
      <c r="B1545" s="3499"/>
      <c r="C1545" s="7"/>
      <c r="D1545" s="7"/>
      <c r="E1545" s="14">
        <v>550</v>
      </c>
      <c r="F1545" s="7"/>
      <c r="G1545" s="14">
        <v>550</v>
      </c>
      <c r="H1545" s="3523">
        <v>550</v>
      </c>
      <c r="I1545" s="3523"/>
      <c r="J1545" s="7"/>
      <c r="K1545" s="7"/>
      <c r="L1545" s="7"/>
      <c r="M1545" s="7"/>
      <c r="N1545" s="7"/>
      <c r="O1545" s="7"/>
      <c r="P1545" s="7"/>
      <c r="Q1545" s="7"/>
      <c r="R1545" s="14">
        <v>550</v>
      </c>
      <c r="S1545" s="7"/>
      <c r="T1545" s="7"/>
      <c r="U1545" s="14">
        <v>550</v>
      </c>
      <c r="V1545" s="7"/>
      <c r="W1545" s="7"/>
      <c r="X1545" s="7"/>
      <c r="Y1545" s="7"/>
      <c r="Z1545" s="7"/>
      <c r="AA1545" s="7"/>
    </row>
    <row r="1546" spans="1:27" outlineLevel="6">
      <c r="A1546" s="3501" t="s">
        <v>881</v>
      </c>
      <c r="B1546" s="3501"/>
      <c r="C1546" s="12"/>
      <c r="D1546" s="12"/>
      <c r="E1546" s="12"/>
      <c r="F1546" s="7"/>
      <c r="G1546" s="7"/>
      <c r="H1546" s="8"/>
      <c r="I1546" s="9"/>
      <c r="J1546" s="7"/>
      <c r="K1546" s="7"/>
      <c r="L1546" s="7"/>
      <c r="M1546" s="7"/>
      <c r="N1546" s="7"/>
      <c r="O1546" s="7"/>
      <c r="P1546" s="7"/>
      <c r="Q1546" s="7"/>
      <c r="R1546" s="14">
        <v>550</v>
      </c>
      <c r="S1546" s="7"/>
      <c r="T1546" s="7"/>
      <c r="U1546" s="14">
        <v>550</v>
      </c>
      <c r="V1546" s="7"/>
      <c r="W1546" s="7"/>
      <c r="X1546" s="7"/>
      <c r="Y1546" s="7"/>
      <c r="Z1546" s="12"/>
      <c r="AA1546" s="14">
        <v>550</v>
      </c>
    </row>
    <row r="1547" spans="1:27" outlineLevel="7">
      <c r="A1547" s="3500" t="s">
        <v>882</v>
      </c>
      <c r="B1547" s="3500"/>
      <c r="C1547" s="12"/>
      <c r="D1547" s="12"/>
      <c r="E1547" s="12"/>
      <c r="F1547" s="7"/>
      <c r="G1547" s="7"/>
      <c r="H1547" s="8"/>
      <c r="I1547" s="9"/>
      <c r="J1547" s="7"/>
      <c r="K1547" s="7"/>
      <c r="L1547" s="7"/>
      <c r="M1547" s="7"/>
      <c r="N1547" s="7"/>
      <c r="O1547" s="7"/>
      <c r="P1547" s="7"/>
      <c r="Q1547" s="7"/>
      <c r="R1547" s="14">
        <v>550</v>
      </c>
      <c r="S1547" s="7"/>
      <c r="T1547" s="7"/>
      <c r="U1547" s="14">
        <v>550</v>
      </c>
      <c r="V1547" s="7"/>
      <c r="W1547" s="7"/>
      <c r="X1547" s="7"/>
      <c r="Y1547" s="7"/>
      <c r="Z1547" s="12"/>
      <c r="AA1547" s="14">
        <v>550</v>
      </c>
    </row>
    <row r="1548" spans="1:27" outlineLevel="7">
      <c r="A1548" s="3499" t="s">
        <v>2036</v>
      </c>
      <c r="B1548" s="3499"/>
      <c r="C1548" s="12"/>
      <c r="D1548" s="12"/>
      <c r="E1548" s="12"/>
      <c r="F1548" s="7"/>
      <c r="G1548" s="7"/>
      <c r="H1548" s="8"/>
      <c r="I1548" s="9"/>
      <c r="J1548" s="7"/>
      <c r="K1548" s="7"/>
      <c r="L1548" s="7"/>
      <c r="M1548" s="7"/>
      <c r="N1548" s="7"/>
      <c r="O1548" s="7"/>
      <c r="P1548" s="7"/>
      <c r="Q1548" s="7"/>
      <c r="R1548" s="14">
        <v>550</v>
      </c>
      <c r="S1548" s="7"/>
      <c r="T1548" s="7"/>
      <c r="U1548" s="14">
        <v>550</v>
      </c>
      <c r="V1548" s="7"/>
      <c r="W1548" s="7"/>
      <c r="X1548" s="7"/>
      <c r="Y1548" s="7"/>
      <c r="Z1548" s="12"/>
      <c r="AA1548" s="14">
        <v>550</v>
      </c>
    </row>
    <row r="1549" spans="1:27" outlineLevel="6">
      <c r="A1549" s="3501" t="s">
        <v>883</v>
      </c>
      <c r="B1549" s="3501"/>
      <c r="C1549" s="12"/>
      <c r="D1549" s="12"/>
      <c r="E1549" s="12"/>
      <c r="F1549" s="7"/>
      <c r="G1549" s="7"/>
      <c r="H1549" s="8"/>
      <c r="I1549" s="9"/>
      <c r="J1549" s="7"/>
      <c r="K1549" s="7"/>
      <c r="L1549" s="7"/>
      <c r="M1549" s="7"/>
      <c r="N1549" s="7"/>
      <c r="O1549" s="7"/>
      <c r="P1549" s="7"/>
      <c r="Q1549" s="7"/>
      <c r="R1549" s="14">
        <v>550</v>
      </c>
      <c r="S1549" s="7"/>
      <c r="T1549" s="7"/>
      <c r="U1549" s="14">
        <v>550</v>
      </c>
      <c r="V1549" s="7"/>
      <c r="W1549" s="7"/>
      <c r="X1549" s="7"/>
      <c r="Y1549" s="7"/>
      <c r="Z1549" s="12"/>
      <c r="AA1549" s="14">
        <v>550</v>
      </c>
    </row>
    <row r="1550" spans="1:27" outlineLevel="7">
      <c r="A1550" s="3500" t="s">
        <v>884</v>
      </c>
      <c r="B1550" s="3500"/>
      <c r="C1550" s="12"/>
      <c r="D1550" s="12"/>
      <c r="E1550" s="12"/>
      <c r="F1550" s="7"/>
      <c r="G1550" s="7"/>
      <c r="H1550" s="8"/>
      <c r="I1550" s="9"/>
      <c r="J1550" s="7"/>
      <c r="K1550" s="7"/>
      <c r="L1550" s="7"/>
      <c r="M1550" s="7"/>
      <c r="N1550" s="7"/>
      <c r="O1550" s="7"/>
      <c r="P1550" s="7"/>
      <c r="Q1550" s="7"/>
      <c r="R1550" s="14">
        <v>550</v>
      </c>
      <c r="S1550" s="7"/>
      <c r="T1550" s="7"/>
      <c r="U1550" s="14">
        <v>550</v>
      </c>
      <c r="V1550" s="7"/>
      <c r="W1550" s="7"/>
      <c r="X1550" s="7"/>
      <c r="Y1550" s="7"/>
      <c r="Z1550" s="12"/>
      <c r="AA1550" s="14">
        <v>550</v>
      </c>
    </row>
    <row r="1551" spans="1:27" outlineLevel="7">
      <c r="A1551" s="3499" t="s">
        <v>2037</v>
      </c>
      <c r="B1551" s="3499"/>
      <c r="C1551" s="12"/>
      <c r="D1551" s="12"/>
      <c r="E1551" s="12"/>
      <c r="F1551" s="7"/>
      <c r="G1551" s="7"/>
      <c r="H1551" s="8"/>
      <c r="I1551" s="9"/>
      <c r="J1551" s="7"/>
      <c r="K1551" s="7"/>
      <c r="L1551" s="7"/>
      <c r="M1551" s="7"/>
      <c r="N1551" s="7"/>
      <c r="O1551" s="7"/>
      <c r="P1551" s="7"/>
      <c r="Q1551" s="7"/>
      <c r="R1551" s="14">
        <v>550</v>
      </c>
      <c r="S1551" s="7"/>
      <c r="T1551" s="7"/>
      <c r="U1551" s="14">
        <v>550</v>
      </c>
      <c r="V1551" s="7"/>
      <c r="W1551" s="7"/>
      <c r="X1551" s="7"/>
      <c r="Y1551" s="7"/>
      <c r="Z1551" s="12"/>
      <c r="AA1551" s="14">
        <v>550</v>
      </c>
    </row>
    <row r="1552" spans="1:27" outlineLevel="6">
      <c r="A1552" s="3501" t="s">
        <v>210</v>
      </c>
      <c r="B1552" s="3501"/>
      <c r="C1552" s="7"/>
      <c r="D1552" s="7"/>
      <c r="E1552" s="14">
        <v>550</v>
      </c>
      <c r="F1552" s="7"/>
      <c r="G1552" s="14">
        <v>550</v>
      </c>
      <c r="H1552" s="3523">
        <v>550</v>
      </c>
      <c r="I1552" s="3523"/>
      <c r="J1552" s="7"/>
      <c r="K1552" s="7"/>
      <c r="L1552" s="7"/>
      <c r="M1552" s="7"/>
      <c r="N1552" s="7"/>
      <c r="O1552" s="7"/>
      <c r="P1552" s="7"/>
      <c r="Q1552" s="7"/>
      <c r="R1552" s="14">
        <v>550</v>
      </c>
      <c r="S1552" s="7"/>
      <c r="T1552" s="7"/>
      <c r="U1552" s="14">
        <v>550</v>
      </c>
      <c r="V1552" s="7"/>
      <c r="W1552" s="7"/>
      <c r="X1552" s="7"/>
      <c r="Y1552" s="7"/>
      <c r="Z1552" s="7"/>
      <c r="AA1552" s="7"/>
    </row>
    <row r="1553" spans="1:27" outlineLevel="7">
      <c r="A1553" s="3500" t="s">
        <v>211</v>
      </c>
      <c r="B1553" s="3500"/>
      <c r="C1553" s="7"/>
      <c r="D1553" s="7"/>
      <c r="E1553" s="14">
        <v>550</v>
      </c>
      <c r="F1553" s="7"/>
      <c r="G1553" s="14">
        <v>550</v>
      </c>
      <c r="H1553" s="3523">
        <v>550</v>
      </c>
      <c r="I1553" s="3523"/>
      <c r="J1553" s="7"/>
      <c r="K1553" s="7"/>
      <c r="L1553" s="7"/>
      <c r="M1553" s="7"/>
      <c r="N1553" s="7"/>
      <c r="O1553" s="7"/>
      <c r="P1553" s="7"/>
      <c r="Q1553" s="7"/>
      <c r="R1553" s="14">
        <v>550</v>
      </c>
      <c r="S1553" s="7"/>
      <c r="T1553" s="7"/>
      <c r="U1553" s="14">
        <v>550</v>
      </c>
      <c r="V1553" s="7"/>
      <c r="W1553" s="7"/>
      <c r="X1553" s="7"/>
      <c r="Y1553" s="7"/>
      <c r="Z1553" s="7"/>
      <c r="AA1553" s="7"/>
    </row>
    <row r="1554" spans="1:27" outlineLevel="7">
      <c r="A1554" s="3499" t="s">
        <v>2038</v>
      </c>
      <c r="B1554" s="3499"/>
      <c r="C1554" s="7"/>
      <c r="D1554" s="7"/>
      <c r="E1554" s="14">
        <v>550</v>
      </c>
      <c r="F1554" s="7"/>
      <c r="G1554" s="14">
        <v>550</v>
      </c>
      <c r="H1554" s="3523">
        <v>550</v>
      </c>
      <c r="I1554" s="3523"/>
      <c r="J1554" s="7"/>
      <c r="K1554" s="7"/>
      <c r="L1554" s="7"/>
      <c r="M1554" s="7"/>
      <c r="N1554" s="7"/>
      <c r="O1554" s="7"/>
      <c r="P1554" s="7"/>
      <c r="Q1554" s="7"/>
      <c r="R1554" s="14">
        <v>550</v>
      </c>
      <c r="S1554" s="7"/>
      <c r="T1554" s="7"/>
      <c r="U1554" s="14">
        <v>550</v>
      </c>
      <c r="V1554" s="7"/>
      <c r="W1554" s="7"/>
      <c r="X1554" s="7"/>
      <c r="Y1554" s="7"/>
      <c r="Z1554" s="7"/>
      <c r="AA1554" s="7"/>
    </row>
    <row r="1555" spans="1:27" outlineLevel="6">
      <c r="A1555" s="3501" t="s">
        <v>212</v>
      </c>
      <c r="B1555" s="3501"/>
      <c r="C1555" s="7"/>
      <c r="D1555" s="7"/>
      <c r="E1555" s="14">
        <v>550</v>
      </c>
      <c r="F1555" s="7"/>
      <c r="G1555" s="14">
        <v>550</v>
      </c>
      <c r="H1555" s="3523">
        <v>550</v>
      </c>
      <c r="I1555" s="3523"/>
      <c r="J1555" s="7"/>
      <c r="K1555" s="7"/>
      <c r="L1555" s="7"/>
      <c r="M1555" s="7"/>
      <c r="N1555" s="7"/>
      <c r="O1555" s="7"/>
      <c r="P1555" s="7"/>
      <c r="Q1555" s="7"/>
      <c r="R1555" s="14">
        <v>550</v>
      </c>
      <c r="S1555" s="7"/>
      <c r="T1555" s="7"/>
      <c r="U1555" s="14">
        <v>550</v>
      </c>
      <c r="V1555" s="7"/>
      <c r="W1555" s="7"/>
      <c r="X1555" s="7"/>
      <c r="Y1555" s="7"/>
      <c r="Z1555" s="7"/>
      <c r="AA1555" s="7"/>
    </row>
    <row r="1556" spans="1:27" outlineLevel="7">
      <c r="A1556" s="3500" t="s">
        <v>213</v>
      </c>
      <c r="B1556" s="3500"/>
      <c r="C1556" s="7"/>
      <c r="D1556" s="7"/>
      <c r="E1556" s="14">
        <v>550</v>
      </c>
      <c r="F1556" s="7"/>
      <c r="G1556" s="14">
        <v>550</v>
      </c>
      <c r="H1556" s="3523">
        <v>550</v>
      </c>
      <c r="I1556" s="3523"/>
      <c r="J1556" s="7"/>
      <c r="K1556" s="7"/>
      <c r="L1556" s="7"/>
      <c r="M1556" s="7"/>
      <c r="N1556" s="7"/>
      <c r="O1556" s="7"/>
      <c r="P1556" s="7"/>
      <c r="Q1556" s="7"/>
      <c r="R1556" s="14">
        <v>550</v>
      </c>
      <c r="S1556" s="7"/>
      <c r="T1556" s="7"/>
      <c r="U1556" s="14">
        <v>550</v>
      </c>
      <c r="V1556" s="7"/>
      <c r="W1556" s="7"/>
      <c r="X1556" s="7"/>
      <c r="Y1556" s="7"/>
      <c r="Z1556" s="7"/>
      <c r="AA1556" s="7"/>
    </row>
    <row r="1557" spans="1:27" outlineLevel="7">
      <c r="A1557" s="3499" t="s">
        <v>2039</v>
      </c>
      <c r="B1557" s="3499"/>
      <c r="C1557" s="7"/>
      <c r="D1557" s="7"/>
      <c r="E1557" s="14">
        <v>550</v>
      </c>
      <c r="F1557" s="7"/>
      <c r="G1557" s="14">
        <v>550</v>
      </c>
      <c r="H1557" s="3523">
        <v>550</v>
      </c>
      <c r="I1557" s="3523"/>
      <c r="J1557" s="7"/>
      <c r="K1557" s="7"/>
      <c r="L1557" s="7"/>
      <c r="M1557" s="7"/>
      <c r="N1557" s="7"/>
      <c r="O1557" s="7"/>
      <c r="P1557" s="7"/>
      <c r="Q1557" s="7"/>
      <c r="R1557" s="14">
        <v>550</v>
      </c>
      <c r="S1557" s="7"/>
      <c r="T1557" s="7"/>
      <c r="U1557" s="14">
        <v>550</v>
      </c>
      <c r="V1557" s="7"/>
      <c r="W1557" s="7"/>
      <c r="X1557" s="7"/>
      <c r="Y1557" s="7"/>
      <c r="Z1557" s="7"/>
      <c r="AA1557" s="7"/>
    </row>
    <row r="1558" spans="1:27" outlineLevel="6">
      <c r="A1558" s="3501" t="s">
        <v>214</v>
      </c>
      <c r="B1558" s="3501"/>
      <c r="C1558" s="7"/>
      <c r="D1558" s="7"/>
      <c r="E1558" s="14">
        <v>550</v>
      </c>
      <c r="F1558" s="7"/>
      <c r="G1558" s="14">
        <v>550</v>
      </c>
      <c r="H1558" s="3523">
        <v>550</v>
      </c>
      <c r="I1558" s="3523"/>
      <c r="J1558" s="7"/>
      <c r="K1558" s="7"/>
      <c r="L1558" s="7"/>
      <c r="M1558" s="7"/>
      <c r="N1558" s="7"/>
      <c r="O1558" s="7"/>
      <c r="P1558" s="7"/>
      <c r="Q1558" s="7"/>
      <c r="R1558" s="14">
        <v>550</v>
      </c>
      <c r="S1558" s="7"/>
      <c r="T1558" s="7"/>
      <c r="U1558" s="14">
        <v>550</v>
      </c>
      <c r="V1558" s="7"/>
      <c r="W1558" s="7"/>
      <c r="X1558" s="7"/>
      <c r="Y1558" s="7"/>
      <c r="Z1558" s="7"/>
      <c r="AA1558" s="7"/>
    </row>
    <row r="1559" spans="1:27" outlineLevel="7">
      <c r="A1559" s="3500" t="s">
        <v>215</v>
      </c>
      <c r="B1559" s="3500"/>
      <c r="C1559" s="7"/>
      <c r="D1559" s="7"/>
      <c r="E1559" s="14">
        <v>550</v>
      </c>
      <c r="F1559" s="7"/>
      <c r="G1559" s="14">
        <v>550</v>
      </c>
      <c r="H1559" s="3523">
        <v>550</v>
      </c>
      <c r="I1559" s="3523"/>
      <c r="J1559" s="7"/>
      <c r="K1559" s="7"/>
      <c r="L1559" s="7"/>
      <c r="M1559" s="7"/>
      <c r="N1559" s="7"/>
      <c r="O1559" s="7"/>
      <c r="P1559" s="7"/>
      <c r="Q1559" s="7"/>
      <c r="R1559" s="14">
        <v>550</v>
      </c>
      <c r="S1559" s="7"/>
      <c r="T1559" s="7"/>
      <c r="U1559" s="14">
        <v>550</v>
      </c>
      <c r="V1559" s="7"/>
      <c r="W1559" s="7"/>
      <c r="X1559" s="7"/>
      <c r="Y1559" s="7"/>
      <c r="Z1559" s="7"/>
      <c r="AA1559" s="7"/>
    </row>
    <row r="1560" spans="1:27" outlineLevel="7">
      <c r="A1560" s="3499" t="s">
        <v>2040</v>
      </c>
      <c r="B1560" s="3499"/>
      <c r="C1560" s="7"/>
      <c r="D1560" s="7"/>
      <c r="E1560" s="14">
        <v>550</v>
      </c>
      <c r="F1560" s="7"/>
      <c r="G1560" s="14">
        <v>550</v>
      </c>
      <c r="H1560" s="3523">
        <v>550</v>
      </c>
      <c r="I1560" s="3523"/>
      <c r="J1560" s="7"/>
      <c r="K1560" s="7"/>
      <c r="L1560" s="7"/>
      <c r="M1560" s="7"/>
      <c r="N1560" s="7"/>
      <c r="O1560" s="7"/>
      <c r="P1560" s="7"/>
      <c r="Q1560" s="7"/>
      <c r="R1560" s="14">
        <v>550</v>
      </c>
      <c r="S1560" s="7"/>
      <c r="T1560" s="7"/>
      <c r="U1560" s="14">
        <v>550</v>
      </c>
      <c r="V1560" s="7"/>
      <c r="W1560" s="7"/>
      <c r="X1560" s="7"/>
      <c r="Y1560" s="7"/>
      <c r="Z1560" s="7"/>
      <c r="AA1560" s="7"/>
    </row>
    <row r="1561" spans="1:27" outlineLevel="6">
      <c r="A1561" s="3501" t="s">
        <v>885</v>
      </c>
      <c r="B1561" s="3501"/>
      <c r="C1561" s="12"/>
      <c r="D1561" s="12"/>
      <c r="E1561" s="12"/>
      <c r="F1561" s="7"/>
      <c r="G1561" s="7"/>
      <c r="H1561" s="8"/>
      <c r="I1561" s="9"/>
      <c r="J1561" s="7"/>
      <c r="K1561" s="7"/>
      <c r="L1561" s="7"/>
      <c r="M1561" s="7"/>
      <c r="N1561" s="7"/>
      <c r="O1561" s="7"/>
      <c r="P1561" s="7"/>
      <c r="Q1561" s="7"/>
      <c r="R1561" s="14">
        <v>550</v>
      </c>
      <c r="S1561" s="7"/>
      <c r="T1561" s="7"/>
      <c r="U1561" s="14">
        <v>550</v>
      </c>
      <c r="V1561" s="7"/>
      <c r="W1561" s="7"/>
      <c r="X1561" s="7"/>
      <c r="Y1561" s="7"/>
      <c r="Z1561" s="12"/>
      <c r="AA1561" s="14">
        <v>550</v>
      </c>
    </row>
    <row r="1562" spans="1:27" outlineLevel="7">
      <c r="A1562" s="3500" t="s">
        <v>886</v>
      </c>
      <c r="B1562" s="3500"/>
      <c r="C1562" s="12"/>
      <c r="D1562" s="12"/>
      <c r="E1562" s="12"/>
      <c r="F1562" s="7"/>
      <c r="G1562" s="7"/>
      <c r="H1562" s="8"/>
      <c r="I1562" s="9"/>
      <c r="J1562" s="7"/>
      <c r="K1562" s="7"/>
      <c r="L1562" s="7"/>
      <c r="M1562" s="7"/>
      <c r="N1562" s="7"/>
      <c r="O1562" s="7"/>
      <c r="P1562" s="7"/>
      <c r="Q1562" s="7"/>
      <c r="R1562" s="14">
        <v>550</v>
      </c>
      <c r="S1562" s="7"/>
      <c r="T1562" s="7"/>
      <c r="U1562" s="14">
        <v>550</v>
      </c>
      <c r="V1562" s="7"/>
      <c r="W1562" s="7"/>
      <c r="X1562" s="7"/>
      <c r="Y1562" s="7"/>
      <c r="Z1562" s="12"/>
      <c r="AA1562" s="14">
        <v>550</v>
      </c>
    </row>
    <row r="1563" spans="1:27" outlineLevel="7">
      <c r="A1563" s="3499" t="s">
        <v>2041</v>
      </c>
      <c r="B1563" s="3499"/>
      <c r="C1563" s="12"/>
      <c r="D1563" s="12"/>
      <c r="E1563" s="12"/>
      <c r="F1563" s="7"/>
      <c r="G1563" s="7"/>
      <c r="H1563" s="8"/>
      <c r="I1563" s="9"/>
      <c r="J1563" s="7"/>
      <c r="K1563" s="7"/>
      <c r="L1563" s="7"/>
      <c r="M1563" s="7"/>
      <c r="N1563" s="7"/>
      <c r="O1563" s="7"/>
      <c r="P1563" s="7"/>
      <c r="Q1563" s="7"/>
      <c r="R1563" s="14">
        <v>550</v>
      </c>
      <c r="S1563" s="7"/>
      <c r="T1563" s="7"/>
      <c r="U1563" s="14">
        <v>550</v>
      </c>
      <c r="V1563" s="7"/>
      <c r="W1563" s="7"/>
      <c r="X1563" s="7"/>
      <c r="Y1563" s="7"/>
      <c r="Z1563" s="12"/>
      <c r="AA1563" s="14">
        <v>550</v>
      </c>
    </row>
    <row r="1564" spans="1:27" outlineLevel="6">
      <c r="A1564" s="3501" t="s">
        <v>887</v>
      </c>
      <c r="B1564" s="3501"/>
      <c r="C1564" s="12"/>
      <c r="D1564" s="12"/>
      <c r="E1564" s="12"/>
      <c r="F1564" s="7"/>
      <c r="G1564" s="7"/>
      <c r="H1564" s="8"/>
      <c r="I1564" s="9"/>
      <c r="J1564" s="7"/>
      <c r="K1564" s="7"/>
      <c r="L1564" s="7"/>
      <c r="M1564" s="7"/>
      <c r="N1564" s="7"/>
      <c r="O1564" s="7"/>
      <c r="P1564" s="7"/>
      <c r="Q1564" s="7"/>
      <c r="R1564" s="14">
        <v>550</v>
      </c>
      <c r="S1564" s="7"/>
      <c r="T1564" s="7"/>
      <c r="U1564" s="14">
        <v>550</v>
      </c>
      <c r="V1564" s="7"/>
      <c r="W1564" s="7"/>
      <c r="X1564" s="7"/>
      <c r="Y1564" s="7"/>
      <c r="Z1564" s="12"/>
      <c r="AA1564" s="14">
        <v>550</v>
      </c>
    </row>
    <row r="1565" spans="1:27" outlineLevel="7">
      <c r="A1565" s="3500" t="s">
        <v>888</v>
      </c>
      <c r="B1565" s="3500"/>
      <c r="C1565" s="12"/>
      <c r="D1565" s="12"/>
      <c r="E1565" s="12"/>
      <c r="F1565" s="7"/>
      <c r="G1565" s="7"/>
      <c r="H1565" s="8"/>
      <c r="I1565" s="9"/>
      <c r="J1565" s="7"/>
      <c r="K1565" s="7"/>
      <c r="L1565" s="7"/>
      <c r="M1565" s="7"/>
      <c r="N1565" s="7"/>
      <c r="O1565" s="7"/>
      <c r="P1565" s="7"/>
      <c r="Q1565" s="7"/>
      <c r="R1565" s="14">
        <v>550</v>
      </c>
      <c r="S1565" s="7"/>
      <c r="T1565" s="7"/>
      <c r="U1565" s="14">
        <v>550</v>
      </c>
      <c r="V1565" s="7"/>
      <c r="W1565" s="7"/>
      <c r="X1565" s="7"/>
      <c r="Y1565" s="7"/>
      <c r="Z1565" s="12"/>
      <c r="AA1565" s="14">
        <v>550</v>
      </c>
    </row>
    <row r="1566" spans="1:27" outlineLevel="7">
      <c r="A1566" s="3499" t="s">
        <v>2042</v>
      </c>
      <c r="B1566" s="3499"/>
      <c r="C1566" s="12"/>
      <c r="D1566" s="12"/>
      <c r="E1566" s="12"/>
      <c r="F1566" s="7"/>
      <c r="G1566" s="7"/>
      <c r="H1566" s="8"/>
      <c r="I1566" s="9"/>
      <c r="J1566" s="7"/>
      <c r="K1566" s="7"/>
      <c r="L1566" s="7"/>
      <c r="M1566" s="7"/>
      <c r="N1566" s="7"/>
      <c r="O1566" s="7"/>
      <c r="P1566" s="7"/>
      <c r="Q1566" s="7"/>
      <c r="R1566" s="14">
        <v>550</v>
      </c>
      <c r="S1566" s="7"/>
      <c r="T1566" s="7"/>
      <c r="U1566" s="14">
        <v>550</v>
      </c>
      <c r="V1566" s="7"/>
      <c r="W1566" s="7"/>
      <c r="X1566" s="7"/>
      <c r="Y1566" s="7"/>
      <c r="Z1566" s="12"/>
      <c r="AA1566" s="14">
        <v>550</v>
      </c>
    </row>
    <row r="1567" spans="1:27" outlineLevel="6">
      <c r="A1567" s="3501" t="s">
        <v>216</v>
      </c>
      <c r="B1567" s="3501"/>
      <c r="C1567" s="7"/>
      <c r="D1567" s="7"/>
      <c r="E1567" s="14">
        <v>550</v>
      </c>
      <c r="F1567" s="7"/>
      <c r="G1567" s="14">
        <v>550</v>
      </c>
      <c r="H1567" s="3523">
        <v>550</v>
      </c>
      <c r="I1567" s="3523"/>
      <c r="J1567" s="7"/>
      <c r="K1567" s="7"/>
      <c r="L1567" s="7"/>
      <c r="M1567" s="7"/>
      <c r="N1567" s="7"/>
      <c r="O1567" s="7"/>
      <c r="P1567" s="7"/>
      <c r="Q1567" s="7"/>
      <c r="R1567" s="14">
        <v>550</v>
      </c>
      <c r="S1567" s="7"/>
      <c r="T1567" s="7"/>
      <c r="U1567" s="14">
        <v>550</v>
      </c>
      <c r="V1567" s="7"/>
      <c r="W1567" s="7"/>
      <c r="X1567" s="7"/>
      <c r="Y1567" s="7"/>
      <c r="Z1567" s="7"/>
      <c r="AA1567" s="7"/>
    </row>
    <row r="1568" spans="1:27" outlineLevel="7">
      <c r="A1568" s="3500" t="s">
        <v>217</v>
      </c>
      <c r="B1568" s="3500"/>
      <c r="C1568" s="7"/>
      <c r="D1568" s="7"/>
      <c r="E1568" s="14">
        <v>550</v>
      </c>
      <c r="F1568" s="7"/>
      <c r="G1568" s="14">
        <v>550</v>
      </c>
      <c r="H1568" s="3523">
        <v>550</v>
      </c>
      <c r="I1568" s="3523"/>
      <c r="J1568" s="7"/>
      <c r="K1568" s="7"/>
      <c r="L1568" s="7"/>
      <c r="M1568" s="7"/>
      <c r="N1568" s="7"/>
      <c r="O1568" s="7"/>
      <c r="P1568" s="7"/>
      <c r="Q1568" s="7"/>
      <c r="R1568" s="14">
        <v>550</v>
      </c>
      <c r="S1568" s="7"/>
      <c r="T1568" s="7"/>
      <c r="U1568" s="14">
        <v>550</v>
      </c>
      <c r="V1568" s="7"/>
      <c r="W1568" s="7"/>
      <c r="X1568" s="7"/>
      <c r="Y1568" s="7"/>
      <c r="Z1568" s="7"/>
      <c r="AA1568" s="7"/>
    </row>
    <row r="1569" spans="1:27" outlineLevel="7">
      <c r="A1569" s="3499" t="s">
        <v>2043</v>
      </c>
      <c r="B1569" s="3499"/>
      <c r="C1569" s="7"/>
      <c r="D1569" s="7"/>
      <c r="E1569" s="14">
        <v>550</v>
      </c>
      <c r="F1569" s="7"/>
      <c r="G1569" s="14">
        <v>550</v>
      </c>
      <c r="H1569" s="3523">
        <v>550</v>
      </c>
      <c r="I1569" s="3523"/>
      <c r="J1569" s="7"/>
      <c r="K1569" s="7"/>
      <c r="L1569" s="7"/>
      <c r="M1569" s="7"/>
      <c r="N1569" s="7"/>
      <c r="O1569" s="7"/>
      <c r="P1569" s="7"/>
      <c r="Q1569" s="7"/>
      <c r="R1569" s="14">
        <v>550</v>
      </c>
      <c r="S1569" s="7"/>
      <c r="T1569" s="7"/>
      <c r="U1569" s="14">
        <v>550</v>
      </c>
      <c r="V1569" s="7"/>
      <c r="W1569" s="7"/>
      <c r="X1569" s="7"/>
      <c r="Y1569" s="7"/>
      <c r="Z1569" s="7"/>
      <c r="AA1569" s="7"/>
    </row>
    <row r="1570" spans="1:27" outlineLevel="6">
      <c r="A1570" s="3501" t="s">
        <v>218</v>
      </c>
      <c r="B1570" s="3501"/>
      <c r="C1570" s="7"/>
      <c r="D1570" s="7"/>
      <c r="E1570" s="14">
        <v>550</v>
      </c>
      <c r="F1570" s="7"/>
      <c r="G1570" s="14">
        <v>550</v>
      </c>
      <c r="H1570" s="3523">
        <v>550</v>
      </c>
      <c r="I1570" s="3523"/>
      <c r="J1570" s="7"/>
      <c r="K1570" s="7"/>
      <c r="L1570" s="7"/>
      <c r="M1570" s="7"/>
      <c r="N1570" s="7"/>
      <c r="O1570" s="7"/>
      <c r="P1570" s="7"/>
      <c r="Q1570" s="7"/>
      <c r="R1570" s="14">
        <v>550</v>
      </c>
      <c r="S1570" s="7"/>
      <c r="T1570" s="7"/>
      <c r="U1570" s="14">
        <v>550</v>
      </c>
      <c r="V1570" s="7"/>
      <c r="W1570" s="7"/>
      <c r="X1570" s="7"/>
      <c r="Y1570" s="7"/>
      <c r="Z1570" s="7"/>
      <c r="AA1570" s="7"/>
    </row>
    <row r="1571" spans="1:27" outlineLevel="7">
      <c r="A1571" s="3500" t="s">
        <v>219</v>
      </c>
      <c r="B1571" s="3500"/>
      <c r="C1571" s="7"/>
      <c r="D1571" s="7"/>
      <c r="E1571" s="14">
        <v>550</v>
      </c>
      <c r="F1571" s="7"/>
      <c r="G1571" s="14">
        <v>550</v>
      </c>
      <c r="H1571" s="3523">
        <v>550</v>
      </c>
      <c r="I1571" s="3523"/>
      <c r="J1571" s="7"/>
      <c r="K1571" s="7"/>
      <c r="L1571" s="7"/>
      <c r="M1571" s="7"/>
      <c r="N1571" s="7"/>
      <c r="O1571" s="7"/>
      <c r="P1571" s="7"/>
      <c r="Q1571" s="7"/>
      <c r="R1571" s="14">
        <v>550</v>
      </c>
      <c r="S1571" s="7"/>
      <c r="T1571" s="7"/>
      <c r="U1571" s="14">
        <v>550</v>
      </c>
      <c r="V1571" s="7"/>
      <c r="W1571" s="7"/>
      <c r="X1571" s="7"/>
      <c r="Y1571" s="7"/>
      <c r="Z1571" s="7"/>
      <c r="AA1571" s="7"/>
    </row>
    <row r="1572" spans="1:27" outlineLevel="7">
      <c r="A1572" s="3499" t="s">
        <v>2044</v>
      </c>
      <c r="B1572" s="3499"/>
      <c r="C1572" s="7"/>
      <c r="D1572" s="7"/>
      <c r="E1572" s="14">
        <v>550</v>
      </c>
      <c r="F1572" s="7"/>
      <c r="G1572" s="14">
        <v>550</v>
      </c>
      <c r="H1572" s="3523">
        <v>550</v>
      </c>
      <c r="I1572" s="3523"/>
      <c r="J1572" s="7"/>
      <c r="K1572" s="7"/>
      <c r="L1572" s="7"/>
      <c r="M1572" s="7"/>
      <c r="N1572" s="7"/>
      <c r="O1572" s="7"/>
      <c r="P1572" s="7"/>
      <c r="Q1572" s="7"/>
      <c r="R1572" s="14">
        <v>550</v>
      </c>
      <c r="S1572" s="7"/>
      <c r="T1572" s="7"/>
      <c r="U1572" s="14">
        <v>550</v>
      </c>
      <c r="V1572" s="7"/>
      <c r="W1572" s="7"/>
      <c r="X1572" s="7"/>
      <c r="Y1572" s="7"/>
      <c r="Z1572" s="7"/>
      <c r="AA1572" s="7"/>
    </row>
    <row r="1573" spans="1:27" outlineLevel="6">
      <c r="A1573" s="3501" t="s">
        <v>889</v>
      </c>
      <c r="B1573" s="3501"/>
      <c r="C1573" s="12"/>
      <c r="D1573" s="12"/>
      <c r="E1573" s="12"/>
      <c r="F1573" s="7"/>
      <c r="G1573" s="7"/>
      <c r="H1573" s="8"/>
      <c r="I1573" s="9"/>
      <c r="J1573" s="7"/>
      <c r="K1573" s="7"/>
      <c r="L1573" s="7"/>
      <c r="M1573" s="7"/>
      <c r="N1573" s="7"/>
      <c r="O1573" s="7"/>
      <c r="P1573" s="7"/>
      <c r="Q1573" s="7"/>
      <c r="R1573" s="14">
        <v>550</v>
      </c>
      <c r="S1573" s="7"/>
      <c r="T1573" s="7"/>
      <c r="U1573" s="14">
        <v>550</v>
      </c>
      <c r="V1573" s="7"/>
      <c r="W1573" s="7"/>
      <c r="X1573" s="7"/>
      <c r="Y1573" s="7"/>
      <c r="Z1573" s="12"/>
      <c r="AA1573" s="14">
        <v>550</v>
      </c>
    </row>
    <row r="1574" spans="1:27" outlineLevel="7">
      <c r="A1574" s="3500" t="s">
        <v>890</v>
      </c>
      <c r="B1574" s="3500"/>
      <c r="C1574" s="12"/>
      <c r="D1574" s="12"/>
      <c r="E1574" s="12"/>
      <c r="F1574" s="7"/>
      <c r="G1574" s="7"/>
      <c r="H1574" s="8"/>
      <c r="I1574" s="9"/>
      <c r="J1574" s="7"/>
      <c r="K1574" s="7"/>
      <c r="L1574" s="7"/>
      <c r="M1574" s="7"/>
      <c r="N1574" s="7"/>
      <c r="O1574" s="7"/>
      <c r="P1574" s="7"/>
      <c r="Q1574" s="7"/>
      <c r="R1574" s="14">
        <v>550</v>
      </c>
      <c r="S1574" s="7"/>
      <c r="T1574" s="7"/>
      <c r="U1574" s="14">
        <v>550</v>
      </c>
      <c r="V1574" s="7"/>
      <c r="W1574" s="7"/>
      <c r="X1574" s="7"/>
      <c r="Y1574" s="7"/>
      <c r="Z1574" s="12"/>
      <c r="AA1574" s="14">
        <v>550</v>
      </c>
    </row>
    <row r="1575" spans="1:27" outlineLevel="7">
      <c r="A1575" s="3499" t="s">
        <v>2045</v>
      </c>
      <c r="B1575" s="3499"/>
      <c r="C1575" s="12"/>
      <c r="D1575" s="12"/>
      <c r="E1575" s="12"/>
      <c r="F1575" s="7"/>
      <c r="G1575" s="7"/>
      <c r="H1575" s="8"/>
      <c r="I1575" s="9"/>
      <c r="J1575" s="7"/>
      <c r="K1575" s="7"/>
      <c r="L1575" s="7"/>
      <c r="M1575" s="7"/>
      <c r="N1575" s="7"/>
      <c r="O1575" s="7"/>
      <c r="P1575" s="7"/>
      <c r="Q1575" s="7"/>
      <c r="R1575" s="14">
        <v>550</v>
      </c>
      <c r="S1575" s="7"/>
      <c r="T1575" s="7"/>
      <c r="U1575" s="14">
        <v>550</v>
      </c>
      <c r="V1575" s="7"/>
      <c r="W1575" s="7"/>
      <c r="X1575" s="7"/>
      <c r="Y1575" s="7"/>
      <c r="Z1575" s="12"/>
      <c r="AA1575" s="14">
        <v>550</v>
      </c>
    </row>
    <row r="1576" spans="1:27" outlineLevel="6">
      <c r="A1576" s="3501" t="s">
        <v>222</v>
      </c>
      <c r="B1576" s="3501"/>
      <c r="C1576" s="7"/>
      <c r="D1576" s="7"/>
      <c r="E1576" s="14">
        <v>550</v>
      </c>
      <c r="F1576" s="7"/>
      <c r="G1576" s="14">
        <v>550</v>
      </c>
      <c r="H1576" s="3523">
        <v>550</v>
      </c>
      <c r="I1576" s="3523"/>
      <c r="J1576" s="7"/>
      <c r="K1576" s="7"/>
      <c r="L1576" s="7"/>
      <c r="M1576" s="7"/>
      <c r="N1576" s="7"/>
      <c r="O1576" s="7"/>
      <c r="P1576" s="7"/>
      <c r="Q1576" s="7"/>
      <c r="R1576" s="14">
        <v>550</v>
      </c>
      <c r="S1576" s="7"/>
      <c r="T1576" s="7"/>
      <c r="U1576" s="14">
        <v>550</v>
      </c>
      <c r="V1576" s="7"/>
      <c r="W1576" s="7"/>
      <c r="X1576" s="7"/>
      <c r="Y1576" s="7"/>
      <c r="Z1576" s="7"/>
      <c r="AA1576" s="7"/>
    </row>
    <row r="1577" spans="1:27" outlineLevel="7">
      <c r="A1577" s="3500" t="s">
        <v>223</v>
      </c>
      <c r="B1577" s="3500"/>
      <c r="C1577" s="7"/>
      <c r="D1577" s="7"/>
      <c r="E1577" s="14">
        <v>550</v>
      </c>
      <c r="F1577" s="7"/>
      <c r="G1577" s="14">
        <v>550</v>
      </c>
      <c r="H1577" s="3523">
        <v>550</v>
      </c>
      <c r="I1577" s="3523"/>
      <c r="J1577" s="7"/>
      <c r="K1577" s="7"/>
      <c r="L1577" s="7"/>
      <c r="M1577" s="7"/>
      <c r="N1577" s="7"/>
      <c r="O1577" s="7"/>
      <c r="P1577" s="7"/>
      <c r="Q1577" s="7"/>
      <c r="R1577" s="14">
        <v>550</v>
      </c>
      <c r="S1577" s="7"/>
      <c r="T1577" s="7"/>
      <c r="U1577" s="14">
        <v>550</v>
      </c>
      <c r="V1577" s="7"/>
      <c r="W1577" s="7"/>
      <c r="X1577" s="7"/>
      <c r="Y1577" s="7"/>
      <c r="Z1577" s="7"/>
      <c r="AA1577" s="7"/>
    </row>
    <row r="1578" spans="1:27" outlineLevel="7">
      <c r="A1578" s="3499" t="s">
        <v>2046</v>
      </c>
      <c r="B1578" s="3499"/>
      <c r="C1578" s="7"/>
      <c r="D1578" s="7"/>
      <c r="E1578" s="14">
        <v>550</v>
      </c>
      <c r="F1578" s="7"/>
      <c r="G1578" s="14">
        <v>550</v>
      </c>
      <c r="H1578" s="3523">
        <v>550</v>
      </c>
      <c r="I1578" s="3523"/>
      <c r="J1578" s="7"/>
      <c r="K1578" s="7"/>
      <c r="L1578" s="7"/>
      <c r="M1578" s="7"/>
      <c r="N1578" s="7"/>
      <c r="O1578" s="7"/>
      <c r="P1578" s="7"/>
      <c r="Q1578" s="7"/>
      <c r="R1578" s="14">
        <v>550</v>
      </c>
      <c r="S1578" s="7"/>
      <c r="T1578" s="7"/>
      <c r="U1578" s="14">
        <v>550</v>
      </c>
      <c r="V1578" s="7"/>
      <c r="W1578" s="7"/>
      <c r="X1578" s="7"/>
      <c r="Y1578" s="7"/>
      <c r="Z1578" s="7"/>
      <c r="AA1578" s="7"/>
    </row>
    <row r="1579" spans="1:27" outlineLevel="6">
      <c r="A1579" s="3501" t="s">
        <v>891</v>
      </c>
      <c r="B1579" s="3501"/>
      <c r="C1579" s="12"/>
      <c r="D1579" s="12"/>
      <c r="E1579" s="13">
        <v>51106.66</v>
      </c>
      <c r="F1579" s="13">
        <v>49085.440000000002</v>
      </c>
      <c r="G1579" s="7"/>
      <c r="H1579" s="8"/>
      <c r="I1579" s="9"/>
      <c r="J1579" s="7"/>
      <c r="K1579" s="13">
        <v>2021.22</v>
      </c>
      <c r="L1579" s="13">
        <v>2021.22</v>
      </c>
      <c r="M1579" s="7"/>
      <c r="N1579" s="7"/>
      <c r="O1579" s="7"/>
      <c r="P1579" s="7"/>
      <c r="Q1579" s="7"/>
      <c r="R1579" s="13">
        <v>51656.66</v>
      </c>
      <c r="S1579" s="7"/>
      <c r="T1579" s="7"/>
      <c r="U1579" s="13">
        <v>51656.66</v>
      </c>
      <c r="V1579" s="7"/>
      <c r="W1579" s="7"/>
      <c r="X1579" s="7"/>
      <c r="Y1579" s="7"/>
      <c r="Z1579" s="12"/>
      <c r="AA1579" s="14">
        <v>550</v>
      </c>
    </row>
    <row r="1580" spans="1:27" outlineLevel="7">
      <c r="A1580" s="3500" t="s">
        <v>892</v>
      </c>
      <c r="B1580" s="3500"/>
      <c r="C1580" s="7"/>
      <c r="D1580" s="7"/>
      <c r="E1580" s="14">
        <v>550</v>
      </c>
      <c r="F1580" s="7"/>
      <c r="G1580" s="7"/>
      <c r="H1580" s="8"/>
      <c r="I1580" s="9"/>
      <c r="J1580" s="7"/>
      <c r="K1580" s="14">
        <v>550</v>
      </c>
      <c r="L1580" s="14">
        <v>550</v>
      </c>
      <c r="M1580" s="7"/>
      <c r="N1580" s="7"/>
      <c r="O1580" s="7"/>
      <c r="P1580" s="7"/>
      <c r="Q1580" s="7"/>
      <c r="R1580" s="14">
        <v>550</v>
      </c>
      <c r="S1580" s="7"/>
      <c r="T1580" s="7"/>
      <c r="U1580" s="14">
        <v>550</v>
      </c>
      <c r="V1580" s="7"/>
      <c r="W1580" s="7"/>
      <c r="X1580" s="7"/>
      <c r="Y1580" s="7"/>
      <c r="Z1580" s="7"/>
      <c r="AA1580" s="7"/>
    </row>
    <row r="1581" spans="1:27" outlineLevel="7">
      <c r="A1581" s="3499" t="s">
        <v>2047</v>
      </c>
      <c r="B1581" s="3499"/>
      <c r="C1581" s="7"/>
      <c r="D1581" s="7"/>
      <c r="E1581" s="14">
        <v>550</v>
      </c>
      <c r="F1581" s="7"/>
      <c r="G1581" s="7"/>
      <c r="H1581" s="8"/>
      <c r="I1581" s="9"/>
      <c r="J1581" s="7"/>
      <c r="K1581" s="14">
        <v>550</v>
      </c>
      <c r="L1581" s="14">
        <v>550</v>
      </c>
      <c r="M1581" s="7"/>
      <c r="N1581" s="7"/>
      <c r="O1581" s="7"/>
      <c r="P1581" s="7"/>
      <c r="Q1581" s="7"/>
      <c r="R1581" s="14">
        <v>550</v>
      </c>
      <c r="S1581" s="7"/>
      <c r="T1581" s="7"/>
      <c r="U1581" s="14">
        <v>550</v>
      </c>
      <c r="V1581" s="7"/>
      <c r="W1581" s="7"/>
      <c r="X1581" s="7"/>
      <c r="Y1581" s="7"/>
      <c r="Z1581" s="7"/>
      <c r="AA1581" s="7"/>
    </row>
    <row r="1582" spans="1:27" outlineLevel="7">
      <c r="A1582" s="3500" t="s">
        <v>893</v>
      </c>
      <c r="B1582" s="3500"/>
      <c r="C1582" s="7"/>
      <c r="D1582" s="7"/>
      <c r="E1582" s="13">
        <v>50556.66</v>
      </c>
      <c r="F1582" s="13">
        <v>49085.440000000002</v>
      </c>
      <c r="G1582" s="7"/>
      <c r="H1582" s="8"/>
      <c r="I1582" s="9"/>
      <c r="J1582" s="7"/>
      <c r="K1582" s="13">
        <v>1471.22</v>
      </c>
      <c r="L1582" s="13">
        <v>1471.22</v>
      </c>
      <c r="M1582" s="7"/>
      <c r="N1582" s="7"/>
      <c r="O1582" s="7"/>
      <c r="P1582" s="7"/>
      <c r="Q1582" s="7"/>
      <c r="R1582" s="13">
        <v>50556.66</v>
      </c>
      <c r="S1582" s="7"/>
      <c r="T1582" s="7"/>
      <c r="U1582" s="13">
        <v>50556.66</v>
      </c>
      <c r="V1582" s="7"/>
      <c r="W1582" s="7"/>
      <c r="X1582" s="7"/>
      <c r="Y1582" s="7"/>
      <c r="Z1582" s="7"/>
      <c r="AA1582" s="7"/>
    </row>
    <row r="1583" spans="1:27" outlineLevel="7">
      <c r="A1583" s="3499" t="s">
        <v>2048</v>
      </c>
      <c r="B1583" s="3499"/>
      <c r="C1583" s="7"/>
      <c r="D1583" s="7"/>
      <c r="E1583" s="13">
        <v>50556.66</v>
      </c>
      <c r="F1583" s="13">
        <v>49085.440000000002</v>
      </c>
      <c r="G1583" s="7"/>
      <c r="H1583" s="8"/>
      <c r="I1583" s="9"/>
      <c r="J1583" s="7"/>
      <c r="K1583" s="13">
        <v>1471.22</v>
      </c>
      <c r="L1583" s="13">
        <v>1471.22</v>
      </c>
      <c r="M1583" s="7"/>
      <c r="N1583" s="7"/>
      <c r="O1583" s="7"/>
      <c r="P1583" s="7"/>
      <c r="Q1583" s="7"/>
      <c r="R1583" s="13">
        <v>50556.66</v>
      </c>
      <c r="S1583" s="7"/>
      <c r="T1583" s="7"/>
      <c r="U1583" s="13">
        <v>50556.66</v>
      </c>
      <c r="V1583" s="7"/>
      <c r="W1583" s="7"/>
      <c r="X1583" s="7"/>
      <c r="Y1583" s="7"/>
      <c r="Z1583" s="7"/>
      <c r="AA1583" s="7"/>
    </row>
    <row r="1584" spans="1:27" outlineLevel="7">
      <c r="A1584" s="3500" t="s">
        <v>894</v>
      </c>
      <c r="B1584" s="3500"/>
      <c r="C1584" s="12"/>
      <c r="D1584" s="12"/>
      <c r="E1584" s="12"/>
      <c r="F1584" s="7"/>
      <c r="G1584" s="7"/>
      <c r="H1584" s="8"/>
      <c r="I1584" s="9"/>
      <c r="J1584" s="7"/>
      <c r="K1584" s="7"/>
      <c r="L1584" s="7"/>
      <c r="M1584" s="7"/>
      <c r="N1584" s="7"/>
      <c r="O1584" s="7"/>
      <c r="P1584" s="7"/>
      <c r="Q1584" s="7"/>
      <c r="R1584" s="14">
        <v>550</v>
      </c>
      <c r="S1584" s="7"/>
      <c r="T1584" s="7"/>
      <c r="U1584" s="14">
        <v>550</v>
      </c>
      <c r="V1584" s="7"/>
      <c r="W1584" s="7"/>
      <c r="X1584" s="7"/>
      <c r="Y1584" s="7"/>
      <c r="Z1584" s="12"/>
      <c r="AA1584" s="14">
        <v>550</v>
      </c>
    </row>
    <row r="1585" spans="1:27" outlineLevel="7">
      <c r="A1585" s="3499" t="s">
        <v>2049</v>
      </c>
      <c r="B1585" s="3499"/>
      <c r="C1585" s="12"/>
      <c r="D1585" s="12"/>
      <c r="E1585" s="12"/>
      <c r="F1585" s="7"/>
      <c r="G1585" s="7"/>
      <c r="H1585" s="8"/>
      <c r="I1585" s="9"/>
      <c r="J1585" s="7"/>
      <c r="K1585" s="7"/>
      <c r="L1585" s="7"/>
      <c r="M1585" s="7"/>
      <c r="N1585" s="7"/>
      <c r="O1585" s="7"/>
      <c r="P1585" s="7"/>
      <c r="Q1585" s="7"/>
      <c r="R1585" s="14">
        <v>550</v>
      </c>
      <c r="S1585" s="7"/>
      <c r="T1585" s="7"/>
      <c r="U1585" s="14">
        <v>550</v>
      </c>
      <c r="V1585" s="7"/>
      <c r="W1585" s="7"/>
      <c r="X1585" s="7"/>
      <c r="Y1585" s="7"/>
      <c r="Z1585" s="12"/>
      <c r="AA1585" s="14">
        <v>550</v>
      </c>
    </row>
    <row r="1586" spans="1:27" outlineLevel="6">
      <c r="A1586" s="3501" t="s">
        <v>224</v>
      </c>
      <c r="B1586" s="3501"/>
      <c r="C1586" s="7"/>
      <c r="D1586" s="7"/>
      <c r="E1586" s="14">
        <v>550</v>
      </c>
      <c r="F1586" s="7"/>
      <c r="G1586" s="14">
        <v>550</v>
      </c>
      <c r="H1586" s="3523">
        <v>550</v>
      </c>
      <c r="I1586" s="3523"/>
      <c r="J1586" s="7"/>
      <c r="K1586" s="7"/>
      <c r="L1586" s="7"/>
      <c r="M1586" s="7"/>
      <c r="N1586" s="7"/>
      <c r="O1586" s="7"/>
      <c r="P1586" s="7"/>
      <c r="Q1586" s="7"/>
      <c r="R1586" s="14">
        <v>550</v>
      </c>
      <c r="S1586" s="7"/>
      <c r="T1586" s="7"/>
      <c r="U1586" s="14">
        <v>550</v>
      </c>
      <c r="V1586" s="7"/>
      <c r="W1586" s="7"/>
      <c r="X1586" s="7"/>
      <c r="Y1586" s="7"/>
      <c r="Z1586" s="7"/>
      <c r="AA1586" s="7"/>
    </row>
    <row r="1587" spans="1:27" outlineLevel="7">
      <c r="A1587" s="3500" t="s">
        <v>225</v>
      </c>
      <c r="B1587" s="3500"/>
      <c r="C1587" s="7"/>
      <c r="D1587" s="7"/>
      <c r="E1587" s="14">
        <v>550</v>
      </c>
      <c r="F1587" s="7"/>
      <c r="G1587" s="14">
        <v>550</v>
      </c>
      <c r="H1587" s="3523">
        <v>550</v>
      </c>
      <c r="I1587" s="3523"/>
      <c r="J1587" s="7"/>
      <c r="K1587" s="7"/>
      <c r="L1587" s="7"/>
      <c r="M1587" s="7"/>
      <c r="N1587" s="7"/>
      <c r="O1587" s="7"/>
      <c r="P1587" s="7"/>
      <c r="Q1587" s="7"/>
      <c r="R1587" s="14">
        <v>550</v>
      </c>
      <c r="S1587" s="7"/>
      <c r="T1587" s="7"/>
      <c r="U1587" s="14">
        <v>550</v>
      </c>
      <c r="V1587" s="7"/>
      <c r="W1587" s="7"/>
      <c r="X1587" s="7"/>
      <c r="Y1587" s="7"/>
      <c r="Z1587" s="7"/>
      <c r="AA1587" s="7"/>
    </row>
    <row r="1588" spans="1:27" outlineLevel="7">
      <c r="A1588" s="3499" t="s">
        <v>2050</v>
      </c>
      <c r="B1588" s="3499"/>
      <c r="C1588" s="7"/>
      <c r="D1588" s="7"/>
      <c r="E1588" s="14">
        <v>550</v>
      </c>
      <c r="F1588" s="7"/>
      <c r="G1588" s="14">
        <v>550</v>
      </c>
      <c r="H1588" s="3523">
        <v>550</v>
      </c>
      <c r="I1588" s="3523"/>
      <c r="J1588" s="7"/>
      <c r="K1588" s="7"/>
      <c r="L1588" s="7"/>
      <c r="M1588" s="7"/>
      <c r="N1588" s="7"/>
      <c r="O1588" s="7"/>
      <c r="P1588" s="7"/>
      <c r="Q1588" s="7"/>
      <c r="R1588" s="14">
        <v>550</v>
      </c>
      <c r="S1588" s="7"/>
      <c r="T1588" s="7"/>
      <c r="U1588" s="14">
        <v>550</v>
      </c>
      <c r="V1588" s="7"/>
      <c r="W1588" s="7"/>
      <c r="X1588" s="7"/>
      <c r="Y1588" s="7"/>
      <c r="Z1588" s="7"/>
      <c r="AA1588" s="7"/>
    </row>
    <row r="1589" spans="1:27" outlineLevel="6">
      <c r="A1589" s="3501" t="s">
        <v>226</v>
      </c>
      <c r="B1589" s="3501"/>
      <c r="C1589" s="7"/>
      <c r="D1589" s="7"/>
      <c r="E1589" s="14">
        <v>550</v>
      </c>
      <c r="F1589" s="7"/>
      <c r="G1589" s="14">
        <v>550</v>
      </c>
      <c r="H1589" s="3523">
        <v>550</v>
      </c>
      <c r="I1589" s="3523"/>
      <c r="J1589" s="7"/>
      <c r="K1589" s="7"/>
      <c r="L1589" s="7"/>
      <c r="M1589" s="7"/>
      <c r="N1589" s="7"/>
      <c r="O1589" s="7"/>
      <c r="P1589" s="7"/>
      <c r="Q1589" s="7"/>
      <c r="R1589" s="14">
        <v>550</v>
      </c>
      <c r="S1589" s="7"/>
      <c r="T1589" s="7"/>
      <c r="U1589" s="14">
        <v>550</v>
      </c>
      <c r="V1589" s="7"/>
      <c r="W1589" s="7"/>
      <c r="X1589" s="7"/>
      <c r="Y1589" s="7"/>
      <c r="Z1589" s="7"/>
      <c r="AA1589" s="7"/>
    </row>
    <row r="1590" spans="1:27" outlineLevel="7">
      <c r="A1590" s="3500" t="s">
        <v>227</v>
      </c>
      <c r="B1590" s="3500"/>
      <c r="C1590" s="7"/>
      <c r="D1590" s="7"/>
      <c r="E1590" s="14">
        <v>550</v>
      </c>
      <c r="F1590" s="7"/>
      <c r="G1590" s="14">
        <v>550</v>
      </c>
      <c r="H1590" s="3523">
        <v>550</v>
      </c>
      <c r="I1590" s="3523"/>
      <c r="J1590" s="7"/>
      <c r="K1590" s="7"/>
      <c r="L1590" s="7"/>
      <c r="M1590" s="7"/>
      <c r="N1590" s="7"/>
      <c r="O1590" s="7"/>
      <c r="P1590" s="7"/>
      <c r="Q1590" s="7"/>
      <c r="R1590" s="14">
        <v>550</v>
      </c>
      <c r="S1590" s="7"/>
      <c r="T1590" s="7"/>
      <c r="U1590" s="14">
        <v>550</v>
      </c>
      <c r="V1590" s="7"/>
      <c r="W1590" s="7"/>
      <c r="X1590" s="7"/>
      <c r="Y1590" s="7"/>
      <c r="Z1590" s="7"/>
      <c r="AA1590" s="7"/>
    </row>
    <row r="1591" spans="1:27" outlineLevel="7">
      <c r="A1591" s="3499" t="s">
        <v>2051</v>
      </c>
      <c r="B1591" s="3499"/>
      <c r="C1591" s="7"/>
      <c r="D1591" s="7"/>
      <c r="E1591" s="14">
        <v>550</v>
      </c>
      <c r="F1591" s="7"/>
      <c r="G1591" s="14">
        <v>550</v>
      </c>
      <c r="H1591" s="3523">
        <v>550</v>
      </c>
      <c r="I1591" s="3523"/>
      <c r="J1591" s="7"/>
      <c r="K1591" s="7"/>
      <c r="L1591" s="7"/>
      <c r="M1591" s="7"/>
      <c r="N1591" s="7"/>
      <c r="O1591" s="7"/>
      <c r="P1591" s="7"/>
      <c r="Q1591" s="7"/>
      <c r="R1591" s="14">
        <v>550</v>
      </c>
      <c r="S1591" s="7"/>
      <c r="T1591" s="7"/>
      <c r="U1591" s="14">
        <v>550</v>
      </c>
      <c r="V1591" s="7"/>
      <c r="W1591" s="7"/>
      <c r="X1591" s="7"/>
      <c r="Y1591" s="7"/>
      <c r="Z1591" s="7"/>
      <c r="AA1591" s="7"/>
    </row>
    <row r="1592" spans="1:27" outlineLevel="6">
      <c r="A1592" s="3501" t="s">
        <v>895</v>
      </c>
      <c r="B1592" s="3501"/>
      <c r="C1592" s="12"/>
      <c r="D1592" s="12"/>
      <c r="E1592" s="12"/>
      <c r="F1592" s="7"/>
      <c r="G1592" s="7"/>
      <c r="H1592" s="8"/>
      <c r="I1592" s="9"/>
      <c r="J1592" s="7"/>
      <c r="K1592" s="7"/>
      <c r="L1592" s="7"/>
      <c r="M1592" s="7"/>
      <c r="N1592" s="7"/>
      <c r="O1592" s="7"/>
      <c r="P1592" s="7"/>
      <c r="Q1592" s="7"/>
      <c r="R1592" s="14">
        <v>550</v>
      </c>
      <c r="S1592" s="7"/>
      <c r="T1592" s="7"/>
      <c r="U1592" s="14">
        <v>550</v>
      </c>
      <c r="V1592" s="7"/>
      <c r="W1592" s="7"/>
      <c r="X1592" s="7"/>
      <c r="Y1592" s="7"/>
      <c r="Z1592" s="12"/>
      <c r="AA1592" s="14">
        <v>550</v>
      </c>
    </row>
    <row r="1593" spans="1:27" outlineLevel="7">
      <c r="A1593" s="3500" t="s">
        <v>896</v>
      </c>
      <c r="B1593" s="3500"/>
      <c r="C1593" s="12"/>
      <c r="D1593" s="12"/>
      <c r="E1593" s="12"/>
      <c r="F1593" s="7"/>
      <c r="G1593" s="7"/>
      <c r="H1593" s="8"/>
      <c r="I1593" s="9"/>
      <c r="J1593" s="7"/>
      <c r="K1593" s="7"/>
      <c r="L1593" s="7"/>
      <c r="M1593" s="7"/>
      <c r="N1593" s="7"/>
      <c r="O1593" s="7"/>
      <c r="P1593" s="7"/>
      <c r="Q1593" s="7"/>
      <c r="R1593" s="14">
        <v>550</v>
      </c>
      <c r="S1593" s="7"/>
      <c r="T1593" s="7"/>
      <c r="U1593" s="14">
        <v>550</v>
      </c>
      <c r="V1593" s="7"/>
      <c r="W1593" s="7"/>
      <c r="X1593" s="7"/>
      <c r="Y1593" s="7"/>
      <c r="Z1593" s="12"/>
      <c r="AA1593" s="14">
        <v>550</v>
      </c>
    </row>
    <row r="1594" spans="1:27" outlineLevel="7">
      <c r="A1594" s="3499" t="s">
        <v>2052</v>
      </c>
      <c r="B1594" s="3499"/>
      <c r="C1594" s="12"/>
      <c r="D1594" s="12"/>
      <c r="E1594" s="12"/>
      <c r="F1594" s="7"/>
      <c r="G1594" s="7"/>
      <c r="H1594" s="8"/>
      <c r="I1594" s="9"/>
      <c r="J1594" s="7"/>
      <c r="K1594" s="7"/>
      <c r="L1594" s="7"/>
      <c r="M1594" s="7"/>
      <c r="N1594" s="7"/>
      <c r="O1594" s="7"/>
      <c r="P1594" s="7"/>
      <c r="Q1594" s="7"/>
      <c r="R1594" s="14">
        <v>550</v>
      </c>
      <c r="S1594" s="7"/>
      <c r="T1594" s="7"/>
      <c r="U1594" s="14">
        <v>550</v>
      </c>
      <c r="V1594" s="7"/>
      <c r="W1594" s="7"/>
      <c r="X1594" s="7"/>
      <c r="Y1594" s="7"/>
      <c r="Z1594" s="12"/>
      <c r="AA1594" s="14">
        <v>550</v>
      </c>
    </row>
    <row r="1595" spans="1:27" outlineLevel="6">
      <c r="A1595" s="3501" t="s">
        <v>897</v>
      </c>
      <c r="B1595" s="3501"/>
      <c r="C1595" s="12"/>
      <c r="D1595" s="12"/>
      <c r="E1595" s="12"/>
      <c r="F1595" s="7"/>
      <c r="G1595" s="7"/>
      <c r="H1595" s="8"/>
      <c r="I1595" s="9"/>
      <c r="J1595" s="7"/>
      <c r="K1595" s="7"/>
      <c r="L1595" s="7"/>
      <c r="M1595" s="7"/>
      <c r="N1595" s="7"/>
      <c r="O1595" s="7"/>
      <c r="P1595" s="7"/>
      <c r="Q1595" s="7"/>
      <c r="R1595" s="14">
        <v>550</v>
      </c>
      <c r="S1595" s="7"/>
      <c r="T1595" s="7"/>
      <c r="U1595" s="14">
        <v>550</v>
      </c>
      <c r="V1595" s="7"/>
      <c r="W1595" s="7"/>
      <c r="X1595" s="7"/>
      <c r="Y1595" s="7"/>
      <c r="Z1595" s="12"/>
      <c r="AA1595" s="14">
        <v>550</v>
      </c>
    </row>
    <row r="1596" spans="1:27" outlineLevel="7">
      <c r="A1596" s="3500" t="s">
        <v>898</v>
      </c>
      <c r="B1596" s="3500"/>
      <c r="C1596" s="12"/>
      <c r="D1596" s="12"/>
      <c r="E1596" s="12"/>
      <c r="F1596" s="7"/>
      <c r="G1596" s="7"/>
      <c r="H1596" s="8"/>
      <c r="I1596" s="9"/>
      <c r="J1596" s="7"/>
      <c r="K1596" s="7"/>
      <c r="L1596" s="7"/>
      <c r="M1596" s="7"/>
      <c r="N1596" s="7"/>
      <c r="O1596" s="7"/>
      <c r="P1596" s="7"/>
      <c r="Q1596" s="7"/>
      <c r="R1596" s="14">
        <v>550</v>
      </c>
      <c r="S1596" s="7"/>
      <c r="T1596" s="7"/>
      <c r="U1596" s="14">
        <v>550</v>
      </c>
      <c r="V1596" s="7"/>
      <c r="W1596" s="7"/>
      <c r="X1596" s="7"/>
      <c r="Y1596" s="7"/>
      <c r="Z1596" s="12"/>
      <c r="AA1596" s="14">
        <v>550</v>
      </c>
    </row>
    <row r="1597" spans="1:27" outlineLevel="7">
      <c r="A1597" s="3499" t="s">
        <v>2053</v>
      </c>
      <c r="B1597" s="3499"/>
      <c r="C1597" s="12"/>
      <c r="D1597" s="12"/>
      <c r="E1597" s="12"/>
      <c r="F1597" s="7"/>
      <c r="G1597" s="7"/>
      <c r="H1597" s="8"/>
      <c r="I1597" s="9"/>
      <c r="J1597" s="7"/>
      <c r="K1597" s="7"/>
      <c r="L1597" s="7"/>
      <c r="M1597" s="7"/>
      <c r="N1597" s="7"/>
      <c r="O1597" s="7"/>
      <c r="P1597" s="7"/>
      <c r="Q1597" s="7"/>
      <c r="R1597" s="14">
        <v>550</v>
      </c>
      <c r="S1597" s="7"/>
      <c r="T1597" s="7"/>
      <c r="U1597" s="14">
        <v>550</v>
      </c>
      <c r="V1597" s="7"/>
      <c r="W1597" s="7"/>
      <c r="X1597" s="7"/>
      <c r="Y1597" s="7"/>
      <c r="Z1597" s="12"/>
      <c r="AA1597" s="14">
        <v>550</v>
      </c>
    </row>
    <row r="1598" spans="1:27" outlineLevel="6">
      <c r="A1598" s="3501" t="s">
        <v>228</v>
      </c>
      <c r="B1598" s="3501"/>
      <c r="C1598" s="7"/>
      <c r="D1598" s="7"/>
      <c r="E1598" s="14">
        <v>550</v>
      </c>
      <c r="F1598" s="7"/>
      <c r="G1598" s="14">
        <v>550</v>
      </c>
      <c r="H1598" s="3523">
        <v>550</v>
      </c>
      <c r="I1598" s="3523"/>
      <c r="J1598" s="7"/>
      <c r="K1598" s="7"/>
      <c r="L1598" s="7"/>
      <c r="M1598" s="7"/>
      <c r="N1598" s="7"/>
      <c r="O1598" s="7"/>
      <c r="P1598" s="7"/>
      <c r="Q1598" s="7"/>
      <c r="R1598" s="14">
        <v>550</v>
      </c>
      <c r="S1598" s="7"/>
      <c r="T1598" s="7"/>
      <c r="U1598" s="14">
        <v>550</v>
      </c>
      <c r="V1598" s="7"/>
      <c r="W1598" s="7"/>
      <c r="X1598" s="7"/>
      <c r="Y1598" s="7"/>
      <c r="Z1598" s="7"/>
      <c r="AA1598" s="7"/>
    </row>
    <row r="1599" spans="1:27" outlineLevel="7">
      <c r="A1599" s="3500" t="s">
        <v>229</v>
      </c>
      <c r="B1599" s="3500"/>
      <c r="C1599" s="7"/>
      <c r="D1599" s="7"/>
      <c r="E1599" s="14">
        <v>550</v>
      </c>
      <c r="F1599" s="7"/>
      <c r="G1599" s="14">
        <v>550</v>
      </c>
      <c r="H1599" s="3523">
        <v>550</v>
      </c>
      <c r="I1599" s="3523"/>
      <c r="J1599" s="7"/>
      <c r="K1599" s="7"/>
      <c r="L1599" s="7"/>
      <c r="M1599" s="7"/>
      <c r="N1599" s="7"/>
      <c r="O1599" s="7"/>
      <c r="P1599" s="7"/>
      <c r="Q1599" s="7"/>
      <c r="R1599" s="14">
        <v>550</v>
      </c>
      <c r="S1599" s="7"/>
      <c r="T1599" s="7"/>
      <c r="U1599" s="14">
        <v>550</v>
      </c>
      <c r="V1599" s="7"/>
      <c r="W1599" s="7"/>
      <c r="X1599" s="7"/>
      <c r="Y1599" s="7"/>
      <c r="Z1599" s="7"/>
      <c r="AA1599" s="7"/>
    </row>
    <row r="1600" spans="1:27" outlineLevel="7">
      <c r="A1600" s="3499" t="s">
        <v>2054</v>
      </c>
      <c r="B1600" s="3499"/>
      <c r="C1600" s="7"/>
      <c r="D1600" s="7"/>
      <c r="E1600" s="14">
        <v>550</v>
      </c>
      <c r="F1600" s="7"/>
      <c r="G1600" s="14">
        <v>550</v>
      </c>
      <c r="H1600" s="3523">
        <v>550</v>
      </c>
      <c r="I1600" s="3523"/>
      <c r="J1600" s="7"/>
      <c r="K1600" s="7"/>
      <c r="L1600" s="7"/>
      <c r="M1600" s="7"/>
      <c r="N1600" s="7"/>
      <c r="O1600" s="7"/>
      <c r="P1600" s="7"/>
      <c r="Q1600" s="7"/>
      <c r="R1600" s="14">
        <v>550</v>
      </c>
      <c r="S1600" s="7"/>
      <c r="T1600" s="7"/>
      <c r="U1600" s="14">
        <v>550</v>
      </c>
      <c r="V1600" s="7"/>
      <c r="W1600" s="7"/>
      <c r="X1600" s="7"/>
      <c r="Y1600" s="7"/>
      <c r="Z1600" s="7"/>
      <c r="AA1600" s="7"/>
    </row>
    <row r="1601" spans="1:27" outlineLevel="6">
      <c r="A1601" s="3501" t="s">
        <v>230</v>
      </c>
      <c r="B1601" s="3501"/>
      <c r="C1601" s="7"/>
      <c r="D1601" s="7"/>
      <c r="E1601" s="14">
        <v>550</v>
      </c>
      <c r="F1601" s="7"/>
      <c r="G1601" s="14">
        <v>550</v>
      </c>
      <c r="H1601" s="3523">
        <v>550</v>
      </c>
      <c r="I1601" s="3523"/>
      <c r="J1601" s="7"/>
      <c r="K1601" s="7"/>
      <c r="L1601" s="7"/>
      <c r="M1601" s="7"/>
      <c r="N1601" s="7"/>
      <c r="O1601" s="7"/>
      <c r="P1601" s="7"/>
      <c r="Q1601" s="7"/>
      <c r="R1601" s="14">
        <v>550</v>
      </c>
      <c r="S1601" s="7"/>
      <c r="T1601" s="7"/>
      <c r="U1601" s="14">
        <v>550</v>
      </c>
      <c r="V1601" s="7"/>
      <c r="W1601" s="7"/>
      <c r="X1601" s="7"/>
      <c r="Y1601" s="7"/>
      <c r="Z1601" s="7"/>
      <c r="AA1601" s="7"/>
    </row>
    <row r="1602" spans="1:27" outlineLevel="7">
      <c r="A1602" s="3500" t="s">
        <v>231</v>
      </c>
      <c r="B1602" s="3500"/>
      <c r="C1602" s="7"/>
      <c r="D1602" s="7"/>
      <c r="E1602" s="14">
        <v>550</v>
      </c>
      <c r="F1602" s="7"/>
      <c r="G1602" s="14">
        <v>550</v>
      </c>
      <c r="H1602" s="3523">
        <v>550</v>
      </c>
      <c r="I1602" s="3523"/>
      <c r="J1602" s="7"/>
      <c r="K1602" s="7"/>
      <c r="L1602" s="7"/>
      <c r="M1602" s="7"/>
      <c r="N1602" s="7"/>
      <c r="O1602" s="7"/>
      <c r="P1602" s="7"/>
      <c r="Q1602" s="7"/>
      <c r="R1602" s="14">
        <v>550</v>
      </c>
      <c r="S1602" s="7"/>
      <c r="T1602" s="7"/>
      <c r="U1602" s="14">
        <v>550</v>
      </c>
      <c r="V1602" s="7"/>
      <c r="W1602" s="7"/>
      <c r="X1602" s="7"/>
      <c r="Y1602" s="7"/>
      <c r="Z1602" s="7"/>
      <c r="AA1602" s="7"/>
    </row>
    <row r="1603" spans="1:27" outlineLevel="7">
      <c r="A1603" s="3499" t="s">
        <v>2055</v>
      </c>
      <c r="B1603" s="3499"/>
      <c r="C1603" s="7"/>
      <c r="D1603" s="7"/>
      <c r="E1603" s="14">
        <v>550</v>
      </c>
      <c r="F1603" s="7"/>
      <c r="G1603" s="14">
        <v>550</v>
      </c>
      <c r="H1603" s="3523">
        <v>550</v>
      </c>
      <c r="I1603" s="3523"/>
      <c r="J1603" s="7"/>
      <c r="K1603" s="7"/>
      <c r="L1603" s="7"/>
      <c r="M1603" s="7"/>
      <c r="N1603" s="7"/>
      <c r="O1603" s="7"/>
      <c r="P1603" s="7"/>
      <c r="Q1603" s="7"/>
      <c r="R1603" s="14">
        <v>550</v>
      </c>
      <c r="S1603" s="7"/>
      <c r="T1603" s="7"/>
      <c r="U1603" s="14">
        <v>550</v>
      </c>
      <c r="V1603" s="7"/>
      <c r="W1603" s="7"/>
      <c r="X1603" s="7"/>
      <c r="Y1603" s="7"/>
      <c r="Z1603" s="7"/>
      <c r="AA1603" s="7"/>
    </row>
    <row r="1604" spans="1:27" outlineLevel="6">
      <c r="A1604" s="3501" t="s">
        <v>899</v>
      </c>
      <c r="B1604" s="3501"/>
      <c r="C1604" s="12"/>
      <c r="D1604" s="12"/>
      <c r="E1604" s="12"/>
      <c r="F1604" s="7"/>
      <c r="G1604" s="7"/>
      <c r="H1604" s="8"/>
      <c r="I1604" s="9"/>
      <c r="J1604" s="7"/>
      <c r="K1604" s="7"/>
      <c r="L1604" s="7"/>
      <c r="M1604" s="7"/>
      <c r="N1604" s="7"/>
      <c r="O1604" s="7"/>
      <c r="P1604" s="7"/>
      <c r="Q1604" s="7"/>
      <c r="R1604" s="14">
        <v>550</v>
      </c>
      <c r="S1604" s="7"/>
      <c r="T1604" s="7"/>
      <c r="U1604" s="14">
        <v>550</v>
      </c>
      <c r="V1604" s="7"/>
      <c r="W1604" s="7"/>
      <c r="X1604" s="7"/>
      <c r="Y1604" s="7"/>
      <c r="Z1604" s="12"/>
      <c r="AA1604" s="14">
        <v>550</v>
      </c>
    </row>
    <row r="1605" spans="1:27" outlineLevel="7">
      <c r="A1605" s="3500" t="s">
        <v>900</v>
      </c>
      <c r="B1605" s="3500"/>
      <c r="C1605" s="12"/>
      <c r="D1605" s="12"/>
      <c r="E1605" s="12"/>
      <c r="F1605" s="7"/>
      <c r="G1605" s="7"/>
      <c r="H1605" s="8"/>
      <c r="I1605" s="9"/>
      <c r="J1605" s="7"/>
      <c r="K1605" s="7"/>
      <c r="L1605" s="7"/>
      <c r="M1605" s="7"/>
      <c r="N1605" s="7"/>
      <c r="O1605" s="7"/>
      <c r="P1605" s="7"/>
      <c r="Q1605" s="7"/>
      <c r="R1605" s="14">
        <v>550</v>
      </c>
      <c r="S1605" s="7"/>
      <c r="T1605" s="7"/>
      <c r="U1605" s="14">
        <v>550</v>
      </c>
      <c r="V1605" s="7"/>
      <c r="W1605" s="7"/>
      <c r="X1605" s="7"/>
      <c r="Y1605" s="7"/>
      <c r="Z1605" s="12"/>
      <c r="AA1605" s="14">
        <v>550</v>
      </c>
    </row>
    <row r="1606" spans="1:27" outlineLevel="7">
      <c r="A1606" s="3499" t="s">
        <v>2056</v>
      </c>
      <c r="B1606" s="3499"/>
      <c r="C1606" s="12"/>
      <c r="D1606" s="12"/>
      <c r="E1606" s="12"/>
      <c r="F1606" s="7"/>
      <c r="G1606" s="7"/>
      <c r="H1606" s="8"/>
      <c r="I1606" s="9"/>
      <c r="J1606" s="7"/>
      <c r="K1606" s="7"/>
      <c r="L1606" s="7"/>
      <c r="M1606" s="7"/>
      <c r="N1606" s="7"/>
      <c r="O1606" s="7"/>
      <c r="P1606" s="7"/>
      <c r="Q1606" s="7"/>
      <c r="R1606" s="14">
        <v>550</v>
      </c>
      <c r="S1606" s="7"/>
      <c r="T1606" s="7"/>
      <c r="U1606" s="14">
        <v>550</v>
      </c>
      <c r="V1606" s="7"/>
      <c r="W1606" s="7"/>
      <c r="X1606" s="7"/>
      <c r="Y1606" s="7"/>
      <c r="Z1606" s="12"/>
      <c r="AA1606" s="14">
        <v>550</v>
      </c>
    </row>
    <row r="1607" spans="1:27" outlineLevel="6">
      <c r="A1607" s="3501" t="s">
        <v>234</v>
      </c>
      <c r="B1607" s="3501"/>
      <c r="C1607" s="12"/>
      <c r="D1607" s="14">
        <v>550</v>
      </c>
      <c r="E1607" s="14">
        <v>550</v>
      </c>
      <c r="F1607" s="7"/>
      <c r="G1607" s="14">
        <v>550</v>
      </c>
      <c r="H1607" s="3523">
        <v>550</v>
      </c>
      <c r="I1607" s="3523"/>
      <c r="J1607" s="7"/>
      <c r="K1607" s="7"/>
      <c r="L1607" s="7"/>
      <c r="M1607" s="7"/>
      <c r="N1607" s="7"/>
      <c r="O1607" s="7"/>
      <c r="P1607" s="7"/>
      <c r="Q1607" s="7"/>
      <c r="R1607" s="12"/>
      <c r="S1607" s="7"/>
      <c r="T1607" s="7"/>
      <c r="U1607" s="7"/>
      <c r="V1607" s="7"/>
      <c r="W1607" s="7"/>
      <c r="X1607" s="7"/>
      <c r="Y1607" s="7"/>
      <c r="Z1607" s="12"/>
      <c r="AA1607" s="12"/>
    </row>
    <row r="1608" spans="1:27" outlineLevel="7">
      <c r="A1608" s="3500" t="s">
        <v>235</v>
      </c>
      <c r="B1608" s="3500"/>
      <c r="C1608" s="12"/>
      <c r="D1608" s="14">
        <v>550</v>
      </c>
      <c r="E1608" s="14">
        <v>550</v>
      </c>
      <c r="F1608" s="7"/>
      <c r="G1608" s="14">
        <v>550</v>
      </c>
      <c r="H1608" s="3523">
        <v>550</v>
      </c>
      <c r="I1608" s="3523"/>
      <c r="J1608" s="7"/>
      <c r="K1608" s="7"/>
      <c r="L1608" s="7"/>
      <c r="M1608" s="7"/>
      <c r="N1608" s="7"/>
      <c r="O1608" s="7"/>
      <c r="P1608" s="7"/>
      <c r="Q1608" s="7"/>
      <c r="R1608" s="12"/>
      <c r="S1608" s="7"/>
      <c r="T1608" s="7"/>
      <c r="U1608" s="7"/>
      <c r="V1608" s="7"/>
      <c r="W1608" s="7"/>
      <c r="X1608" s="7"/>
      <c r="Y1608" s="7"/>
      <c r="Z1608" s="12"/>
      <c r="AA1608" s="12"/>
    </row>
    <row r="1609" spans="1:27" outlineLevel="7">
      <c r="A1609" s="3499" t="s">
        <v>2057</v>
      </c>
      <c r="B1609" s="3499"/>
      <c r="C1609" s="12"/>
      <c r="D1609" s="14">
        <v>550</v>
      </c>
      <c r="E1609" s="14">
        <v>550</v>
      </c>
      <c r="F1609" s="7"/>
      <c r="G1609" s="14">
        <v>550</v>
      </c>
      <c r="H1609" s="3523">
        <v>550</v>
      </c>
      <c r="I1609" s="3523"/>
      <c r="J1609" s="7"/>
      <c r="K1609" s="7"/>
      <c r="L1609" s="7"/>
      <c r="M1609" s="7"/>
      <c r="N1609" s="7"/>
      <c r="O1609" s="7"/>
      <c r="P1609" s="7"/>
      <c r="Q1609" s="7"/>
      <c r="R1609" s="12"/>
      <c r="S1609" s="7"/>
      <c r="T1609" s="7"/>
      <c r="U1609" s="7"/>
      <c r="V1609" s="7"/>
      <c r="W1609" s="7"/>
      <c r="X1609" s="7"/>
      <c r="Y1609" s="7"/>
      <c r="Z1609" s="12"/>
      <c r="AA1609" s="12"/>
    </row>
    <row r="1610" spans="1:27" outlineLevel="6">
      <c r="A1610" s="3501" t="s">
        <v>236</v>
      </c>
      <c r="B1610" s="3501"/>
      <c r="C1610" s="7"/>
      <c r="D1610" s="7"/>
      <c r="E1610" s="14">
        <v>550</v>
      </c>
      <c r="F1610" s="7"/>
      <c r="G1610" s="14">
        <v>550</v>
      </c>
      <c r="H1610" s="3523">
        <v>550</v>
      </c>
      <c r="I1610" s="3523"/>
      <c r="J1610" s="7"/>
      <c r="K1610" s="7"/>
      <c r="L1610" s="7"/>
      <c r="M1610" s="7"/>
      <c r="N1610" s="7"/>
      <c r="O1610" s="7"/>
      <c r="P1610" s="7"/>
      <c r="Q1610" s="7"/>
      <c r="R1610" s="14">
        <v>550</v>
      </c>
      <c r="S1610" s="7"/>
      <c r="T1610" s="7"/>
      <c r="U1610" s="14">
        <v>550</v>
      </c>
      <c r="V1610" s="7"/>
      <c r="W1610" s="7"/>
      <c r="X1610" s="7"/>
      <c r="Y1610" s="7"/>
      <c r="Z1610" s="7"/>
      <c r="AA1610" s="7"/>
    </row>
    <row r="1611" spans="1:27" outlineLevel="7">
      <c r="A1611" s="3500" t="s">
        <v>237</v>
      </c>
      <c r="B1611" s="3500"/>
      <c r="C1611" s="7"/>
      <c r="D1611" s="7"/>
      <c r="E1611" s="14">
        <v>550</v>
      </c>
      <c r="F1611" s="7"/>
      <c r="G1611" s="14">
        <v>550</v>
      </c>
      <c r="H1611" s="3523">
        <v>550</v>
      </c>
      <c r="I1611" s="3523"/>
      <c r="J1611" s="7"/>
      <c r="K1611" s="7"/>
      <c r="L1611" s="7"/>
      <c r="M1611" s="7"/>
      <c r="N1611" s="7"/>
      <c r="O1611" s="7"/>
      <c r="P1611" s="7"/>
      <c r="Q1611" s="7"/>
      <c r="R1611" s="14">
        <v>550</v>
      </c>
      <c r="S1611" s="7"/>
      <c r="T1611" s="7"/>
      <c r="U1611" s="14">
        <v>550</v>
      </c>
      <c r="V1611" s="7"/>
      <c r="W1611" s="7"/>
      <c r="X1611" s="7"/>
      <c r="Y1611" s="7"/>
      <c r="Z1611" s="7"/>
      <c r="AA1611" s="7"/>
    </row>
    <row r="1612" spans="1:27" outlineLevel="7">
      <c r="A1612" s="3499" t="s">
        <v>2058</v>
      </c>
      <c r="B1612" s="3499"/>
      <c r="C1612" s="7"/>
      <c r="D1612" s="7"/>
      <c r="E1612" s="14">
        <v>550</v>
      </c>
      <c r="F1612" s="7"/>
      <c r="G1612" s="14">
        <v>550</v>
      </c>
      <c r="H1612" s="3523">
        <v>550</v>
      </c>
      <c r="I1612" s="3523"/>
      <c r="J1612" s="7"/>
      <c r="K1612" s="7"/>
      <c r="L1612" s="7"/>
      <c r="M1612" s="7"/>
      <c r="N1612" s="7"/>
      <c r="O1612" s="7"/>
      <c r="P1612" s="7"/>
      <c r="Q1612" s="7"/>
      <c r="R1612" s="14">
        <v>550</v>
      </c>
      <c r="S1612" s="7"/>
      <c r="T1612" s="7"/>
      <c r="U1612" s="14">
        <v>550</v>
      </c>
      <c r="V1612" s="7"/>
      <c r="W1612" s="7"/>
      <c r="X1612" s="7"/>
      <c r="Y1612" s="7"/>
      <c r="Z1612" s="7"/>
      <c r="AA1612" s="7"/>
    </row>
    <row r="1613" spans="1:27" outlineLevel="6">
      <c r="A1613" s="3501" t="s">
        <v>238</v>
      </c>
      <c r="B1613" s="3501"/>
      <c r="C1613" s="12"/>
      <c r="D1613" s="14">
        <v>550</v>
      </c>
      <c r="E1613" s="14">
        <v>550</v>
      </c>
      <c r="F1613" s="7"/>
      <c r="G1613" s="14">
        <v>550</v>
      </c>
      <c r="H1613" s="3523">
        <v>550</v>
      </c>
      <c r="I1613" s="3523"/>
      <c r="J1613" s="7"/>
      <c r="K1613" s="7"/>
      <c r="L1613" s="7"/>
      <c r="M1613" s="7"/>
      <c r="N1613" s="7"/>
      <c r="O1613" s="7"/>
      <c r="P1613" s="7"/>
      <c r="Q1613" s="7"/>
      <c r="R1613" s="12"/>
      <c r="S1613" s="7"/>
      <c r="T1613" s="7"/>
      <c r="U1613" s="7"/>
      <c r="V1613" s="7"/>
      <c r="W1613" s="7"/>
      <c r="X1613" s="7"/>
      <c r="Y1613" s="7"/>
      <c r="Z1613" s="12"/>
      <c r="AA1613" s="12"/>
    </row>
    <row r="1614" spans="1:27" outlineLevel="7">
      <c r="A1614" s="3500" t="s">
        <v>239</v>
      </c>
      <c r="B1614" s="3500"/>
      <c r="C1614" s="12"/>
      <c r="D1614" s="14">
        <v>550</v>
      </c>
      <c r="E1614" s="14">
        <v>550</v>
      </c>
      <c r="F1614" s="7"/>
      <c r="G1614" s="14">
        <v>550</v>
      </c>
      <c r="H1614" s="3523">
        <v>550</v>
      </c>
      <c r="I1614" s="3523"/>
      <c r="J1614" s="7"/>
      <c r="K1614" s="7"/>
      <c r="L1614" s="7"/>
      <c r="M1614" s="7"/>
      <c r="N1614" s="7"/>
      <c r="O1614" s="7"/>
      <c r="P1614" s="7"/>
      <c r="Q1614" s="7"/>
      <c r="R1614" s="12"/>
      <c r="S1614" s="7"/>
      <c r="T1614" s="7"/>
      <c r="U1614" s="7"/>
      <c r="V1614" s="7"/>
      <c r="W1614" s="7"/>
      <c r="X1614" s="7"/>
      <c r="Y1614" s="7"/>
      <c r="Z1614" s="12"/>
      <c r="AA1614" s="12"/>
    </row>
    <row r="1615" spans="1:27" outlineLevel="7">
      <c r="A1615" s="3499" t="s">
        <v>2059</v>
      </c>
      <c r="B1615" s="3499"/>
      <c r="C1615" s="12"/>
      <c r="D1615" s="14">
        <v>550</v>
      </c>
      <c r="E1615" s="14">
        <v>550</v>
      </c>
      <c r="F1615" s="7"/>
      <c r="G1615" s="14">
        <v>550</v>
      </c>
      <c r="H1615" s="3523">
        <v>550</v>
      </c>
      <c r="I1615" s="3523"/>
      <c r="J1615" s="7"/>
      <c r="K1615" s="7"/>
      <c r="L1615" s="7"/>
      <c r="M1615" s="7"/>
      <c r="N1615" s="7"/>
      <c r="O1615" s="7"/>
      <c r="P1615" s="7"/>
      <c r="Q1615" s="7"/>
      <c r="R1615" s="12"/>
      <c r="S1615" s="7"/>
      <c r="T1615" s="7"/>
      <c r="U1615" s="7"/>
      <c r="V1615" s="7"/>
      <c r="W1615" s="7"/>
      <c r="X1615" s="7"/>
      <c r="Y1615" s="7"/>
      <c r="Z1615" s="12"/>
      <c r="AA1615" s="12"/>
    </row>
    <row r="1616" spans="1:27" outlineLevel="6">
      <c r="A1616" s="3501" t="s">
        <v>901</v>
      </c>
      <c r="B1616" s="3501"/>
      <c r="C1616" s="12"/>
      <c r="D1616" s="12"/>
      <c r="E1616" s="12"/>
      <c r="F1616" s="7"/>
      <c r="G1616" s="7"/>
      <c r="H1616" s="8"/>
      <c r="I1616" s="9"/>
      <c r="J1616" s="7"/>
      <c r="K1616" s="7"/>
      <c r="L1616" s="7"/>
      <c r="M1616" s="7"/>
      <c r="N1616" s="7"/>
      <c r="O1616" s="7"/>
      <c r="P1616" s="7"/>
      <c r="Q1616" s="7"/>
      <c r="R1616" s="14">
        <v>550</v>
      </c>
      <c r="S1616" s="7"/>
      <c r="T1616" s="7"/>
      <c r="U1616" s="14">
        <v>550</v>
      </c>
      <c r="V1616" s="7"/>
      <c r="W1616" s="7"/>
      <c r="X1616" s="7"/>
      <c r="Y1616" s="7"/>
      <c r="Z1616" s="12"/>
      <c r="AA1616" s="14">
        <v>550</v>
      </c>
    </row>
    <row r="1617" spans="1:27" outlineLevel="7">
      <c r="A1617" s="3500" t="s">
        <v>902</v>
      </c>
      <c r="B1617" s="3500"/>
      <c r="C1617" s="12"/>
      <c r="D1617" s="12"/>
      <c r="E1617" s="12"/>
      <c r="F1617" s="7"/>
      <c r="G1617" s="7"/>
      <c r="H1617" s="8"/>
      <c r="I1617" s="9"/>
      <c r="J1617" s="7"/>
      <c r="K1617" s="7"/>
      <c r="L1617" s="7"/>
      <c r="M1617" s="7"/>
      <c r="N1617" s="7"/>
      <c r="O1617" s="7"/>
      <c r="P1617" s="7"/>
      <c r="Q1617" s="7"/>
      <c r="R1617" s="14">
        <v>550</v>
      </c>
      <c r="S1617" s="7"/>
      <c r="T1617" s="7"/>
      <c r="U1617" s="14">
        <v>550</v>
      </c>
      <c r="V1617" s="7"/>
      <c r="W1617" s="7"/>
      <c r="X1617" s="7"/>
      <c r="Y1617" s="7"/>
      <c r="Z1617" s="12"/>
      <c r="AA1617" s="14">
        <v>550</v>
      </c>
    </row>
    <row r="1618" spans="1:27" outlineLevel="7">
      <c r="A1618" s="3499" t="s">
        <v>2060</v>
      </c>
      <c r="B1618" s="3499"/>
      <c r="C1618" s="12"/>
      <c r="D1618" s="12"/>
      <c r="E1618" s="12"/>
      <c r="F1618" s="7"/>
      <c r="G1618" s="7"/>
      <c r="H1618" s="8"/>
      <c r="I1618" s="9"/>
      <c r="J1618" s="7"/>
      <c r="K1618" s="7"/>
      <c r="L1618" s="7"/>
      <c r="M1618" s="7"/>
      <c r="N1618" s="7"/>
      <c r="O1618" s="7"/>
      <c r="P1618" s="7"/>
      <c r="Q1618" s="7"/>
      <c r="R1618" s="14">
        <v>550</v>
      </c>
      <c r="S1618" s="7"/>
      <c r="T1618" s="7"/>
      <c r="U1618" s="14">
        <v>550</v>
      </c>
      <c r="V1618" s="7"/>
      <c r="W1618" s="7"/>
      <c r="X1618" s="7"/>
      <c r="Y1618" s="7"/>
      <c r="Z1618" s="12"/>
      <c r="AA1618" s="14">
        <v>550</v>
      </c>
    </row>
    <row r="1619" spans="1:27" outlineLevel="6">
      <c r="A1619" s="3501" t="s">
        <v>240</v>
      </c>
      <c r="B1619" s="3501"/>
      <c r="C1619" s="7"/>
      <c r="D1619" s="7"/>
      <c r="E1619" s="14">
        <v>550</v>
      </c>
      <c r="F1619" s="7"/>
      <c r="G1619" s="14">
        <v>550</v>
      </c>
      <c r="H1619" s="3523">
        <v>550</v>
      </c>
      <c r="I1619" s="3523"/>
      <c r="J1619" s="7"/>
      <c r="K1619" s="7"/>
      <c r="L1619" s="7"/>
      <c r="M1619" s="7"/>
      <c r="N1619" s="7"/>
      <c r="O1619" s="7"/>
      <c r="P1619" s="7"/>
      <c r="Q1619" s="7"/>
      <c r="R1619" s="14">
        <v>550</v>
      </c>
      <c r="S1619" s="7"/>
      <c r="T1619" s="7"/>
      <c r="U1619" s="14">
        <v>550</v>
      </c>
      <c r="V1619" s="7"/>
      <c r="W1619" s="7"/>
      <c r="X1619" s="7"/>
      <c r="Y1619" s="7"/>
      <c r="Z1619" s="7"/>
      <c r="AA1619" s="7"/>
    </row>
    <row r="1620" spans="1:27" outlineLevel="7">
      <c r="A1620" s="3500" t="s">
        <v>241</v>
      </c>
      <c r="B1620" s="3500"/>
      <c r="C1620" s="7"/>
      <c r="D1620" s="7"/>
      <c r="E1620" s="14">
        <v>550</v>
      </c>
      <c r="F1620" s="7"/>
      <c r="G1620" s="14">
        <v>550</v>
      </c>
      <c r="H1620" s="3523">
        <v>550</v>
      </c>
      <c r="I1620" s="3523"/>
      <c r="J1620" s="7"/>
      <c r="K1620" s="7"/>
      <c r="L1620" s="7"/>
      <c r="M1620" s="7"/>
      <c r="N1620" s="7"/>
      <c r="O1620" s="7"/>
      <c r="P1620" s="7"/>
      <c r="Q1620" s="7"/>
      <c r="R1620" s="14">
        <v>550</v>
      </c>
      <c r="S1620" s="7"/>
      <c r="T1620" s="7"/>
      <c r="U1620" s="14">
        <v>550</v>
      </c>
      <c r="V1620" s="7"/>
      <c r="W1620" s="7"/>
      <c r="X1620" s="7"/>
      <c r="Y1620" s="7"/>
      <c r="Z1620" s="7"/>
      <c r="AA1620" s="7"/>
    </row>
    <row r="1621" spans="1:27" outlineLevel="7">
      <c r="A1621" s="3499" t="s">
        <v>2061</v>
      </c>
      <c r="B1621" s="3499"/>
      <c r="C1621" s="7"/>
      <c r="D1621" s="7"/>
      <c r="E1621" s="14">
        <v>550</v>
      </c>
      <c r="F1621" s="7"/>
      <c r="G1621" s="14">
        <v>550</v>
      </c>
      <c r="H1621" s="3523">
        <v>550</v>
      </c>
      <c r="I1621" s="3523"/>
      <c r="J1621" s="7"/>
      <c r="K1621" s="7"/>
      <c r="L1621" s="7"/>
      <c r="M1621" s="7"/>
      <c r="N1621" s="7"/>
      <c r="O1621" s="7"/>
      <c r="P1621" s="7"/>
      <c r="Q1621" s="7"/>
      <c r="R1621" s="14">
        <v>550</v>
      </c>
      <c r="S1621" s="7"/>
      <c r="T1621" s="7"/>
      <c r="U1621" s="14">
        <v>550</v>
      </c>
      <c r="V1621" s="7"/>
      <c r="W1621" s="7"/>
      <c r="X1621" s="7"/>
      <c r="Y1621" s="7"/>
      <c r="Z1621" s="7"/>
      <c r="AA1621" s="7"/>
    </row>
    <row r="1622" spans="1:27" outlineLevel="6">
      <c r="A1622" s="3501" t="s">
        <v>242</v>
      </c>
      <c r="B1622" s="3501"/>
      <c r="C1622" s="7"/>
      <c r="D1622" s="7"/>
      <c r="E1622" s="14">
        <v>550</v>
      </c>
      <c r="F1622" s="7"/>
      <c r="G1622" s="14">
        <v>550</v>
      </c>
      <c r="H1622" s="3523">
        <v>550</v>
      </c>
      <c r="I1622" s="3523"/>
      <c r="J1622" s="7"/>
      <c r="K1622" s="7"/>
      <c r="L1622" s="7"/>
      <c r="M1622" s="7"/>
      <c r="N1622" s="7"/>
      <c r="O1622" s="7"/>
      <c r="P1622" s="7"/>
      <c r="Q1622" s="7"/>
      <c r="R1622" s="14">
        <v>550</v>
      </c>
      <c r="S1622" s="7"/>
      <c r="T1622" s="7"/>
      <c r="U1622" s="14">
        <v>550</v>
      </c>
      <c r="V1622" s="7"/>
      <c r="W1622" s="7"/>
      <c r="X1622" s="7"/>
      <c r="Y1622" s="7"/>
      <c r="Z1622" s="7"/>
      <c r="AA1622" s="7"/>
    </row>
    <row r="1623" spans="1:27" outlineLevel="7">
      <c r="A1623" s="3500" t="s">
        <v>243</v>
      </c>
      <c r="B1623" s="3500"/>
      <c r="C1623" s="7"/>
      <c r="D1623" s="7"/>
      <c r="E1623" s="14">
        <v>550</v>
      </c>
      <c r="F1623" s="7"/>
      <c r="G1623" s="14">
        <v>550</v>
      </c>
      <c r="H1623" s="3523">
        <v>550</v>
      </c>
      <c r="I1623" s="3523"/>
      <c r="J1623" s="7"/>
      <c r="K1623" s="7"/>
      <c r="L1623" s="7"/>
      <c r="M1623" s="7"/>
      <c r="N1623" s="7"/>
      <c r="O1623" s="7"/>
      <c r="P1623" s="7"/>
      <c r="Q1623" s="7"/>
      <c r="R1623" s="14">
        <v>550</v>
      </c>
      <c r="S1623" s="7"/>
      <c r="T1623" s="7"/>
      <c r="U1623" s="14">
        <v>550</v>
      </c>
      <c r="V1623" s="7"/>
      <c r="W1623" s="7"/>
      <c r="X1623" s="7"/>
      <c r="Y1623" s="7"/>
      <c r="Z1623" s="7"/>
      <c r="AA1623" s="7"/>
    </row>
    <row r="1624" spans="1:27" outlineLevel="7">
      <c r="A1624" s="3499" t="s">
        <v>2062</v>
      </c>
      <c r="B1624" s="3499"/>
      <c r="C1624" s="7"/>
      <c r="D1624" s="7"/>
      <c r="E1624" s="14">
        <v>550</v>
      </c>
      <c r="F1624" s="7"/>
      <c r="G1624" s="14">
        <v>550</v>
      </c>
      <c r="H1624" s="3523">
        <v>550</v>
      </c>
      <c r="I1624" s="3523"/>
      <c r="J1624" s="7"/>
      <c r="K1624" s="7"/>
      <c r="L1624" s="7"/>
      <c r="M1624" s="7"/>
      <c r="N1624" s="7"/>
      <c r="O1624" s="7"/>
      <c r="P1624" s="7"/>
      <c r="Q1624" s="7"/>
      <c r="R1624" s="14">
        <v>550</v>
      </c>
      <c r="S1624" s="7"/>
      <c r="T1624" s="7"/>
      <c r="U1624" s="14">
        <v>550</v>
      </c>
      <c r="V1624" s="7"/>
      <c r="W1624" s="7"/>
      <c r="X1624" s="7"/>
      <c r="Y1624" s="7"/>
      <c r="Z1624" s="7"/>
      <c r="AA1624" s="7"/>
    </row>
    <row r="1625" spans="1:27" outlineLevel="6">
      <c r="A1625" s="3501" t="s">
        <v>903</v>
      </c>
      <c r="B1625" s="3501"/>
      <c r="C1625" s="12"/>
      <c r="D1625" s="12"/>
      <c r="E1625" s="12"/>
      <c r="F1625" s="7"/>
      <c r="G1625" s="7"/>
      <c r="H1625" s="8"/>
      <c r="I1625" s="9"/>
      <c r="J1625" s="7"/>
      <c r="K1625" s="7"/>
      <c r="L1625" s="7"/>
      <c r="M1625" s="7"/>
      <c r="N1625" s="7"/>
      <c r="O1625" s="7"/>
      <c r="P1625" s="7"/>
      <c r="Q1625" s="7"/>
      <c r="R1625" s="14">
        <v>550</v>
      </c>
      <c r="S1625" s="7"/>
      <c r="T1625" s="7"/>
      <c r="U1625" s="14">
        <v>550</v>
      </c>
      <c r="V1625" s="7"/>
      <c r="W1625" s="7"/>
      <c r="X1625" s="7"/>
      <c r="Y1625" s="7"/>
      <c r="Z1625" s="12"/>
      <c r="AA1625" s="14">
        <v>550</v>
      </c>
    </row>
    <row r="1626" spans="1:27" outlineLevel="7">
      <c r="A1626" s="3500" t="s">
        <v>904</v>
      </c>
      <c r="B1626" s="3500"/>
      <c r="C1626" s="12"/>
      <c r="D1626" s="12"/>
      <c r="E1626" s="12"/>
      <c r="F1626" s="7"/>
      <c r="G1626" s="7"/>
      <c r="H1626" s="8"/>
      <c r="I1626" s="9"/>
      <c r="J1626" s="7"/>
      <c r="K1626" s="7"/>
      <c r="L1626" s="7"/>
      <c r="M1626" s="7"/>
      <c r="N1626" s="7"/>
      <c r="O1626" s="7"/>
      <c r="P1626" s="7"/>
      <c r="Q1626" s="7"/>
      <c r="R1626" s="14">
        <v>550</v>
      </c>
      <c r="S1626" s="7"/>
      <c r="T1626" s="7"/>
      <c r="U1626" s="14">
        <v>550</v>
      </c>
      <c r="V1626" s="7"/>
      <c r="W1626" s="7"/>
      <c r="X1626" s="7"/>
      <c r="Y1626" s="7"/>
      <c r="Z1626" s="12"/>
      <c r="AA1626" s="14">
        <v>550</v>
      </c>
    </row>
    <row r="1627" spans="1:27" outlineLevel="7">
      <c r="A1627" s="3499" t="s">
        <v>2063</v>
      </c>
      <c r="B1627" s="3499"/>
      <c r="C1627" s="12"/>
      <c r="D1627" s="12"/>
      <c r="E1627" s="12"/>
      <c r="F1627" s="7"/>
      <c r="G1627" s="7"/>
      <c r="H1627" s="8"/>
      <c r="I1627" s="9"/>
      <c r="J1627" s="7"/>
      <c r="K1627" s="7"/>
      <c r="L1627" s="7"/>
      <c r="M1627" s="7"/>
      <c r="N1627" s="7"/>
      <c r="O1627" s="7"/>
      <c r="P1627" s="7"/>
      <c r="Q1627" s="7"/>
      <c r="R1627" s="14">
        <v>550</v>
      </c>
      <c r="S1627" s="7"/>
      <c r="T1627" s="7"/>
      <c r="U1627" s="14">
        <v>550</v>
      </c>
      <c r="V1627" s="7"/>
      <c r="W1627" s="7"/>
      <c r="X1627" s="7"/>
      <c r="Y1627" s="7"/>
      <c r="Z1627" s="12"/>
      <c r="AA1627" s="14">
        <v>550</v>
      </c>
    </row>
    <row r="1628" spans="1:27" outlineLevel="6">
      <c r="A1628" s="3501" t="s">
        <v>905</v>
      </c>
      <c r="B1628" s="3501"/>
      <c r="C1628" s="12"/>
      <c r="D1628" s="12"/>
      <c r="E1628" s="12"/>
      <c r="F1628" s="7"/>
      <c r="G1628" s="7"/>
      <c r="H1628" s="8"/>
      <c r="I1628" s="9"/>
      <c r="J1628" s="7"/>
      <c r="K1628" s="7"/>
      <c r="L1628" s="7"/>
      <c r="M1628" s="7"/>
      <c r="N1628" s="7"/>
      <c r="O1628" s="7"/>
      <c r="P1628" s="7"/>
      <c r="Q1628" s="7"/>
      <c r="R1628" s="14">
        <v>550</v>
      </c>
      <c r="S1628" s="7"/>
      <c r="T1628" s="7"/>
      <c r="U1628" s="14">
        <v>550</v>
      </c>
      <c r="V1628" s="7"/>
      <c r="W1628" s="7"/>
      <c r="X1628" s="7"/>
      <c r="Y1628" s="7"/>
      <c r="Z1628" s="12"/>
      <c r="AA1628" s="14">
        <v>550</v>
      </c>
    </row>
    <row r="1629" spans="1:27" outlineLevel="7">
      <c r="A1629" s="3500" t="s">
        <v>906</v>
      </c>
      <c r="B1629" s="3500"/>
      <c r="C1629" s="12"/>
      <c r="D1629" s="12"/>
      <c r="E1629" s="12"/>
      <c r="F1629" s="7"/>
      <c r="G1629" s="7"/>
      <c r="H1629" s="8"/>
      <c r="I1629" s="9"/>
      <c r="J1629" s="7"/>
      <c r="K1629" s="7"/>
      <c r="L1629" s="7"/>
      <c r="M1629" s="7"/>
      <c r="N1629" s="7"/>
      <c r="O1629" s="7"/>
      <c r="P1629" s="7"/>
      <c r="Q1629" s="7"/>
      <c r="R1629" s="14">
        <v>550</v>
      </c>
      <c r="S1629" s="7"/>
      <c r="T1629" s="7"/>
      <c r="U1629" s="14">
        <v>550</v>
      </c>
      <c r="V1629" s="7"/>
      <c r="W1629" s="7"/>
      <c r="X1629" s="7"/>
      <c r="Y1629" s="7"/>
      <c r="Z1629" s="12"/>
      <c r="AA1629" s="14">
        <v>550</v>
      </c>
    </row>
    <row r="1630" spans="1:27" outlineLevel="7">
      <c r="A1630" s="3499" t="s">
        <v>2064</v>
      </c>
      <c r="B1630" s="3499"/>
      <c r="C1630" s="12"/>
      <c r="D1630" s="12"/>
      <c r="E1630" s="12"/>
      <c r="F1630" s="7"/>
      <c r="G1630" s="7"/>
      <c r="H1630" s="8"/>
      <c r="I1630" s="9"/>
      <c r="J1630" s="7"/>
      <c r="K1630" s="7"/>
      <c r="L1630" s="7"/>
      <c r="M1630" s="7"/>
      <c r="N1630" s="7"/>
      <c r="O1630" s="7"/>
      <c r="P1630" s="7"/>
      <c r="Q1630" s="7"/>
      <c r="R1630" s="14">
        <v>550</v>
      </c>
      <c r="S1630" s="7"/>
      <c r="T1630" s="7"/>
      <c r="U1630" s="14">
        <v>550</v>
      </c>
      <c r="V1630" s="7"/>
      <c r="W1630" s="7"/>
      <c r="X1630" s="7"/>
      <c r="Y1630" s="7"/>
      <c r="Z1630" s="12"/>
      <c r="AA1630" s="14">
        <v>550</v>
      </c>
    </row>
    <row r="1631" spans="1:27" outlineLevel="6">
      <c r="A1631" s="3501" t="s">
        <v>907</v>
      </c>
      <c r="B1631" s="3501"/>
      <c r="C1631" s="12"/>
      <c r="D1631" s="12"/>
      <c r="E1631" s="12"/>
      <c r="F1631" s="7"/>
      <c r="G1631" s="7"/>
      <c r="H1631" s="8"/>
      <c r="I1631" s="9"/>
      <c r="J1631" s="7"/>
      <c r="K1631" s="7"/>
      <c r="L1631" s="7"/>
      <c r="M1631" s="7"/>
      <c r="N1631" s="7"/>
      <c r="O1631" s="7"/>
      <c r="P1631" s="7"/>
      <c r="Q1631" s="7"/>
      <c r="R1631" s="14">
        <v>550</v>
      </c>
      <c r="S1631" s="7"/>
      <c r="T1631" s="7"/>
      <c r="U1631" s="14">
        <v>550</v>
      </c>
      <c r="V1631" s="7"/>
      <c r="W1631" s="7"/>
      <c r="X1631" s="7"/>
      <c r="Y1631" s="7"/>
      <c r="Z1631" s="12"/>
      <c r="AA1631" s="14">
        <v>550</v>
      </c>
    </row>
    <row r="1632" spans="1:27" outlineLevel="7">
      <c r="A1632" s="3500" t="s">
        <v>908</v>
      </c>
      <c r="B1632" s="3500"/>
      <c r="C1632" s="12"/>
      <c r="D1632" s="12"/>
      <c r="E1632" s="12"/>
      <c r="F1632" s="7"/>
      <c r="G1632" s="7"/>
      <c r="H1632" s="8"/>
      <c r="I1632" s="9"/>
      <c r="J1632" s="7"/>
      <c r="K1632" s="7"/>
      <c r="L1632" s="7"/>
      <c r="M1632" s="7"/>
      <c r="N1632" s="7"/>
      <c r="O1632" s="7"/>
      <c r="P1632" s="7"/>
      <c r="Q1632" s="7"/>
      <c r="R1632" s="14">
        <v>550</v>
      </c>
      <c r="S1632" s="7"/>
      <c r="T1632" s="7"/>
      <c r="U1632" s="14">
        <v>550</v>
      </c>
      <c r="V1632" s="7"/>
      <c r="W1632" s="7"/>
      <c r="X1632" s="7"/>
      <c r="Y1632" s="7"/>
      <c r="Z1632" s="12"/>
      <c r="AA1632" s="14">
        <v>550</v>
      </c>
    </row>
    <row r="1633" spans="1:27" outlineLevel="7">
      <c r="A1633" s="3499" t="s">
        <v>2065</v>
      </c>
      <c r="B1633" s="3499"/>
      <c r="C1633" s="12"/>
      <c r="D1633" s="12"/>
      <c r="E1633" s="12"/>
      <c r="F1633" s="7"/>
      <c r="G1633" s="7"/>
      <c r="H1633" s="8"/>
      <c r="I1633" s="9"/>
      <c r="J1633" s="7"/>
      <c r="K1633" s="7"/>
      <c r="L1633" s="7"/>
      <c r="M1633" s="7"/>
      <c r="N1633" s="7"/>
      <c r="O1633" s="7"/>
      <c r="P1633" s="7"/>
      <c r="Q1633" s="7"/>
      <c r="R1633" s="14">
        <v>550</v>
      </c>
      <c r="S1633" s="7"/>
      <c r="T1633" s="7"/>
      <c r="U1633" s="14">
        <v>550</v>
      </c>
      <c r="V1633" s="7"/>
      <c r="W1633" s="7"/>
      <c r="X1633" s="7"/>
      <c r="Y1633" s="7"/>
      <c r="Z1633" s="12"/>
      <c r="AA1633" s="14">
        <v>550</v>
      </c>
    </row>
    <row r="1634" spans="1:27" outlineLevel="6">
      <c r="A1634" s="3501" t="s">
        <v>244</v>
      </c>
      <c r="B1634" s="3501"/>
      <c r="C1634" s="7"/>
      <c r="D1634" s="7"/>
      <c r="E1634" s="14">
        <v>550</v>
      </c>
      <c r="F1634" s="7"/>
      <c r="G1634" s="14">
        <v>550</v>
      </c>
      <c r="H1634" s="3523">
        <v>550</v>
      </c>
      <c r="I1634" s="3523"/>
      <c r="J1634" s="7"/>
      <c r="K1634" s="7"/>
      <c r="L1634" s="7"/>
      <c r="M1634" s="7"/>
      <c r="N1634" s="7"/>
      <c r="O1634" s="7"/>
      <c r="P1634" s="7"/>
      <c r="Q1634" s="7"/>
      <c r="R1634" s="14">
        <v>550</v>
      </c>
      <c r="S1634" s="7"/>
      <c r="T1634" s="7"/>
      <c r="U1634" s="14">
        <v>550</v>
      </c>
      <c r="V1634" s="7"/>
      <c r="W1634" s="7"/>
      <c r="X1634" s="7"/>
      <c r="Y1634" s="7"/>
      <c r="Z1634" s="7"/>
      <c r="AA1634" s="7"/>
    </row>
    <row r="1635" spans="1:27" outlineLevel="7">
      <c r="A1635" s="3500" t="s">
        <v>245</v>
      </c>
      <c r="B1635" s="3500"/>
      <c r="C1635" s="7"/>
      <c r="D1635" s="7"/>
      <c r="E1635" s="14">
        <v>550</v>
      </c>
      <c r="F1635" s="7"/>
      <c r="G1635" s="14">
        <v>550</v>
      </c>
      <c r="H1635" s="3523">
        <v>550</v>
      </c>
      <c r="I1635" s="3523"/>
      <c r="J1635" s="7"/>
      <c r="K1635" s="7"/>
      <c r="L1635" s="7"/>
      <c r="M1635" s="7"/>
      <c r="N1635" s="7"/>
      <c r="O1635" s="7"/>
      <c r="P1635" s="7"/>
      <c r="Q1635" s="7"/>
      <c r="R1635" s="14">
        <v>550</v>
      </c>
      <c r="S1635" s="7"/>
      <c r="T1635" s="7"/>
      <c r="U1635" s="14">
        <v>550</v>
      </c>
      <c r="V1635" s="7"/>
      <c r="W1635" s="7"/>
      <c r="X1635" s="7"/>
      <c r="Y1635" s="7"/>
      <c r="Z1635" s="7"/>
      <c r="AA1635" s="7"/>
    </row>
    <row r="1636" spans="1:27" outlineLevel="7">
      <c r="A1636" s="3499" t="s">
        <v>2066</v>
      </c>
      <c r="B1636" s="3499"/>
      <c r="C1636" s="7"/>
      <c r="D1636" s="7"/>
      <c r="E1636" s="14">
        <v>550</v>
      </c>
      <c r="F1636" s="7"/>
      <c r="G1636" s="14">
        <v>550</v>
      </c>
      <c r="H1636" s="3523">
        <v>550</v>
      </c>
      <c r="I1636" s="3523"/>
      <c r="J1636" s="7"/>
      <c r="K1636" s="7"/>
      <c r="L1636" s="7"/>
      <c r="M1636" s="7"/>
      <c r="N1636" s="7"/>
      <c r="O1636" s="7"/>
      <c r="P1636" s="7"/>
      <c r="Q1636" s="7"/>
      <c r="R1636" s="14">
        <v>550</v>
      </c>
      <c r="S1636" s="7"/>
      <c r="T1636" s="7"/>
      <c r="U1636" s="14">
        <v>550</v>
      </c>
      <c r="V1636" s="7"/>
      <c r="W1636" s="7"/>
      <c r="X1636" s="7"/>
      <c r="Y1636" s="7"/>
      <c r="Z1636" s="7"/>
      <c r="AA1636" s="7"/>
    </row>
    <row r="1637" spans="1:27" outlineLevel="6">
      <c r="A1637" s="3501" t="s">
        <v>246</v>
      </c>
      <c r="B1637" s="3501"/>
      <c r="C1637" s="7"/>
      <c r="D1637" s="7"/>
      <c r="E1637" s="14">
        <v>550</v>
      </c>
      <c r="F1637" s="7"/>
      <c r="G1637" s="14">
        <v>550</v>
      </c>
      <c r="H1637" s="3523">
        <v>550</v>
      </c>
      <c r="I1637" s="3523"/>
      <c r="J1637" s="7"/>
      <c r="K1637" s="7"/>
      <c r="L1637" s="7"/>
      <c r="M1637" s="7"/>
      <c r="N1637" s="7"/>
      <c r="O1637" s="7"/>
      <c r="P1637" s="7"/>
      <c r="Q1637" s="7"/>
      <c r="R1637" s="14">
        <v>550</v>
      </c>
      <c r="S1637" s="7"/>
      <c r="T1637" s="7"/>
      <c r="U1637" s="14">
        <v>550</v>
      </c>
      <c r="V1637" s="7"/>
      <c r="W1637" s="7"/>
      <c r="X1637" s="7"/>
      <c r="Y1637" s="7"/>
      <c r="Z1637" s="7"/>
      <c r="AA1637" s="7"/>
    </row>
    <row r="1638" spans="1:27" outlineLevel="7">
      <c r="A1638" s="3500" t="s">
        <v>247</v>
      </c>
      <c r="B1638" s="3500"/>
      <c r="C1638" s="7"/>
      <c r="D1638" s="7"/>
      <c r="E1638" s="14">
        <v>550</v>
      </c>
      <c r="F1638" s="7"/>
      <c r="G1638" s="14">
        <v>550</v>
      </c>
      <c r="H1638" s="3523">
        <v>550</v>
      </c>
      <c r="I1638" s="3523"/>
      <c r="J1638" s="7"/>
      <c r="K1638" s="7"/>
      <c r="L1638" s="7"/>
      <c r="M1638" s="7"/>
      <c r="N1638" s="7"/>
      <c r="O1638" s="7"/>
      <c r="P1638" s="7"/>
      <c r="Q1638" s="7"/>
      <c r="R1638" s="14">
        <v>550</v>
      </c>
      <c r="S1638" s="7"/>
      <c r="T1638" s="7"/>
      <c r="U1638" s="14">
        <v>550</v>
      </c>
      <c r="V1638" s="7"/>
      <c r="W1638" s="7"/>
      <c r="X1638" s="7"/>
      <c r="Y1638" s="7"/>
      <c r="Z1638" s="7"/>
      <c r="AA1638" s="7"/>
    </row>
    <row r="1639" spans="1:27" outlineLevel="7">
      <c r="A1639" s="3499" t="s">
        <v>2067</v>
      </c>
      <c r="B1639" s="3499"/>
      <c r="C1639" s="7"/>
      <c r="D1639" s="7"/>
      <c r="E1639" s="14">
        <v>550</v>
      </c>
      <c r="F1639" s="7"/>
      <c r="G1639" s="14">
        <v>550</v>
      </c>
      <c r="H1639" s="3523">
        <v>550</v>
      </c>
      <c r="I1639" s="3523"/>
      <c r="J1639" s="7"/>
      <c r="K1639" s="7"/>
      <c r="L1639" s="7"/>
      <c r="M1639" s="7"/>
      <c r="N1639" s="7"/>
      <c r="O1639" s="7"/>
      <c r="P1639" s="7"/>
      <c r="Q1639" s="7"/>
      <c r="R1639" s="14">
        <v>550</v>
      </c>
      <c r="S1639" s="7"/>
      <c r="T1639" s="7"/>
      <c r="U1639" s="14">
        <v>550</v>
      </c>
      <c r="V1639" s="7"/>
      <c r="W1639" s="7"/>
      <c r="X1639" s="7"/>
      <c r="Y1639" s="7"/>
      <c r="Z1639" s="7"/>
      <c r="AA1639" s="7"/>
    </row>
    <row r="1640" spans="1:27" outlineLevel="6">
      <c r="A1640" s="3501" t="s">
        <v>248</v>
      </c>
      <c r="B1640" s="3501"/>
      <c r="C1640" s="12"/>
      <c r="D1640" s="14">
        <v>550</v>
      </c>
      <c r="E1640" s="14">
        <v>550</v>
      </c>
      <c r="F1640" s="7"/>
      <c r="G1640" s="14">
        <v>550</v>
      </c>
      <c r="H1640" s="3523">
        <v>550</v>
      </c>
      <c r="I1640" s="3523"/>
      <c r="J1640" s="7"/>
      <c r="K1640" s="7"/>
      <c r="L1640" s="7"/>
      <c r="M1640" s="7"/>
      <c r="N1640" s="7"/>
      <c r="O1640" s="7"/>
      <c r="P1640" s="7"/>
      <c r="Q1640" s="7"/>
      <c r="R1640" s="12"/>
      <c r="S1640" s="7"/>
      <c r="T1640" s="7"/>
      <c r="U1640" s="7"/>
      <c r="V1640" s="7"/>
      <c r="W1640" s="7"/>
      <c r="X1640" s="7"/>
      <c r="Y1640" s="7"/>
      <c r="Z1640" s="12"/>
      <c r="AA1640" s="12"/>
    </row>
    <row r="1641" spans="1:27" outlineLevel="7">
      <c r="A1641" s="3500" t="s">
        <v>249</v>
      </c>
      <c r="B1641" s="3500"/>
      <c r="C1641" s="12"/>
      <c r="D1641" s="14">
        <v>550</v>
      </c>
      <c r="E1641" s="14">
        <v>550</v>
      </c>
      <c r="F1641" s="7"/>
      <c r="G1641" s="14">
        <v>550</v>
      </c>
      <c r="H1641" s="3523">
        <v>550</v>
      </c>
      <c r="I1641" s="3523"/>
      <c r="J1641" s="7"/>
      <c r="K1641" s="7"/>
      <c r="L1641" s="7"/>
      <c r="M1641" s="7"/>
      <c r="N1641" s="7"/>
      <c r="O1641" s="7"/>
      <c r="P1641" s="7"/>
      <c r="Q1641" s="7"/>
      <c r="R1641" s="12"/>
      <c r="S1641" s="7"/>
      <c r="T1641" s="7"/>
      <c r="U1641" s="7"/>
      <c r="V1641" s="7"/>
      <c r="W1641" s="7"/>
      <c r="X1641" s="7"/>
      <c r="Y1641" s="7"/>
      <c r="Z1641" s="12"/>
      <c r="AA1641" s="12"/>
    </row>
    <row r="1642" spans="1:27" outlineLevel="7">
      <c r="A1642" s="3499" t="s">
        <v>2068</v>
      </c>
      <c r="B1642" s="3499"/>
      <c r="C1642" s="12"/>
      <c r="D1642" s="14">
        <v>550</v>
      </c>
      <c r="E1642" s="14">
        <v>550</v>
      </c>
      <c r="F1642" s="7"/>
      <c r="G1642" s="14">
        <v>550</v>
      </c>
      <c r="H1642" s="3523">
        <v>550</v>
      </c>
      <c r="I1642" s="3523"/>
      <c r="J1642" s="7"/>
      <c r="K1642" s="7"/>
      <c r="L1642" s="7"/>
      <c r="M1642" s="7"/>
      <c r="N1642" s="7"/>
      <c r="O1642" s="7"/>
      <c r="P1642" s="7"/>
      <c r="Q1642" s="7"/>
      <c r="R1642" s="12"/>
      <c r="S1642" s="7"/>
      <c r="T1642" s="7"/>
      <c r="U1642" s="7"/>
      <c r="V1642" s="7"/>
      <c r="W1642" s="7"/>
      <c r="X1642" s="7"/>
      <c r="Y1642" s="7"/>
      <c r="Z1642" s="12"/>
      <c r="AA1642" s="12"/>
    </row>
    <row r="1643" spans="1:27" outlineLevel="6">
      <c r="A1643" s="3501" t="s">
        <v>250</v>
      </c>
      <c r="B1643" s="3501"/>
      <c r="C1643" s="7"/>
      <c r="D1643" s="7"/>
      <c r="E1643" s="14">
        <v>550</v>
      </c>
      <c r="F1643" s="7"/>
      <c r="G1643" s="14">
        <v>550</v>
      </c>
      <c r="H1643" s="3523">
        <v>550</v>
      </c>
      <c r="I1643" s="3523"/>
      <c r="J1643" s="7"/>
      <c r="K1643" s="7"/>
      <c r="L1643" s="7"/>
      <c r="M1643" s="7"/>
      <c r="N1643" s="7"/>
      <c r="O1643" s="7"/>
      <c r="P1643" s="7"/>
      <c r="Q1643" s="7"/>
      <c r="R1643" s="14">
        <v>550</v>
      </c>
      <c r="S1643" s="7"/>
      <c r="T1643" s="7"/>
      <c r="U1643" s="14">
        <v>550</v>
      </c>
      <c r="V1643" s="7"/>
      <c r="W1643" s="7"/>
      <c r="X1643" s="7"/>
      <c r="Y1643" s="7"/>
      <c r="Z1643" s="7"/>
      <c r="AA1643" s="7"/>
    </row>
    <row r="1644" spans="1:27" outlineLevel="7">
      <c r="A1644" s="3500" t="s">
        <v>251</v>
      </c>
      <c r="B1644" s="3500"/>
      <c r="C1644" s="7"/>
      <c r="D1644" s="7"/>
      <c r="E1644" s="14">
        <v>550</v>
      </c>
      <c r="F1644" s="7"/>
      <c r="G1644" s="14">
        <v>550</v>
      </c>
      <c r="H1644" s="3523">
        <v>550</v>
      </c>
      <c r="I1644" s="3523"/>
      <c r="J1644" s="7"/>
      <c r="K1644" s="7"/>
      <c r="L1644" s="7"/>
      <c r="M1644" s="7"/>
      <c r="N1644" s="7"/>
      <c r="O1644" s="7"/>
      <c r="P1644" s="7"/>
      <c r="Q1644" s="7"/>
      <c r="R1644" s="14">
        <v>550</v>
      </c>
      <c r="S1644" s="7"/>
      <c r="T1644" s="7"/>
      <c r="U1644" s="14">
        <v>550</v>
      </c>
      <c r="V1644" s="7"/>
      <c r="W1644" s="7"/>
      <c r="X1644" s="7"/>
      <c r="Y1644" s="7"/>
      <c r="Z1644" s="7"/>
      <c r="AA1644" s="7"/>
    </row>
    <row r="1645" spans="1:27" outlineLevel="7">
      <c r="A1645" s="3499" t="s">
        <v>2069</v>
      </c>
      <c r="B1645" s="3499"/>
      <c r="C1645" s="7"/>
      <c r="D1645" s="7"/>
      <c r="E1645" s="14">
        <v>550</v>
      </c>
      <c r="F1645" s="7"/>
      <c r="G1645" s="14">
        <v>550</v>
      </c>
      <c r="H1645" s="3523">
        <v>550</v>
      </c>
      <c r="I1645" s="3523"/>
      <c r="J1645" s="7"/>
      <c r="K1645" s="7"/>
      <c r="L1645" s="7"/>
      <c r="M1645" s="7"/>
      <c r="N1645" s="7"/>
      <c r="O1645" s="7"/>
      <c r="P1645" s="7"/>
      <c r="Q1645" s="7"/>
      <c r="R1645" s="14">
        <v>550</v>
      </c>
      <c r="S1645" s="7"/>
      <c r="T1645" s="7"/>
      <c r="U1645" s="14">
        <v>550</v>
      </c>
      <c r="V1645" s="7"/>
      <c r="W1645" s="7"/>
      <c r="X1645" s="7"/>
      <c r="Y1645" s="7"/>
      <c r="Z1645" s="7"/>
      <c r="AA1645" s="7"/>
    </row>
    <row r="1646" spans="1:27" outlineLevel="6">
      <c r="A1646" s="3501" t="s">
        <v>909</v>
      </c>
      <c r="B1646" s="3501"/>
      <c r="C1646" s="12"/>
      <c r="D1646" s="12"/>
      <c r="E1646" s="12"/>
      <c r="F1646" s="7"/>
      <c r="G1646" s="7"/>
      <c r="H1646" s="8"/>
      <c r="I1646" s="9"/>
      <c r="J1646" s="7"/>
      <c r="K1646" s="7"/>
      <c r="L1646" s="7"/>
      <c r="M1646" s="7"/>
      <c r="N1646" s="7"/>
      <c r="O1646" s="7"/>
      <c r="P1646" s="7"/>
      <c r="Q1646" s="7"/>
      <c r="R1646" s="14">
        <v>550</v>
      </c>
      <c r="S1646" s="7"/>
      <c r="T1646" s="7"/>
      <c r="U1646" s="14">
        <v>550</v>
      </c>
      <c r="V1646" s="7"/>
      <c r="W1646" s="7"/>
      <c r="X1646" s="7"/>
      <c r="Y1646" s="7"/>
      <c r="Z1646" s="12"/>
      <c r="AA1646" s="14">
        <v>550</v>
      </c>
    </row>
    <row r="1647" spans="1:27" outlineLevel="7">
      <c r="A1647" s="3500" t="s">
        <v>910</v>
      </c>
      <c r="B1647" s="3500"/>
      <c r="C1647" s="12"/>
      <c r="D1647" s="12"/>
      <c r="E1647" s="12"/>
      <c r="F1647" s="7"/>
      <c r="G1647" s="7"/>
      <c r="H1647" s="8"/>
      <c r="I1647" s="9"/>
      <c r="J1647" s="7"/>
      <c r="K1647" s="7"/>
      <c r="L1647" s="7"/>
      <c r="M1647" s="7"/>
      <c r="N1647" s="7"/>
      <c r="O1647" s="7"/>
      <c r="P1647" s="7"/>
      <c r="Q1647" s="7"/>
      <c r="R1647" s="14">
        <v>550</v>
      </c>
      <c r="S1647" s="7"/>
      <c r="T1647" s="7"/>
      <c r="U1647" s="14">
        <v>550</v>
      </c>
      <c r="V1647" s="7"/>
      <c r="W1647" s="7"/>
      <c r="X1647" s="7"/>
      <c r="Y1647" s="7"/>
      <c r="Z1647" s="12"/>
      <c r="AA1647" s="14">
        <v>550</v>
      </c>
    </row>
    <row r="1648" spans="1:27" outlineLevel="7">
      <c r="A1648" s="3499" t="s">
        <v>2070</v>
      </c>
      <c r="B1648" s="3499"/>
      <c r="C1648" s="12"/>
      <c r="D1648" s="12"/>
      <c r="E1648" s="12"/>
      <c r="F1648" s="7"/>
      <c r="G1648" s="7"/>
      <c r="H1648" s="8"/>
      <c r="I1648" s="9"/>
      <c r="J1648" s="7"/>
      <c r="K1648" s="7"/>
      <c r="L1648" s="7"/>
      <c r="M1648" s="7"/>
      <c r="N1648" s="7"/>
      <c r="O1648" s="7"/>
      <c r="P1648" s="7"/>
      <c r="Q1648" s="7"/>
      <c r="R1648" s="14">
        <v>550</v>
      </c>
      <c r="S1648" s="7"/>
      <c r="T1648" s="7"/>
      <c r="U1648" s="14">
        <v>550</v>
      </c>
      <c r="V1648" s="7"/>
      <c r="W1648" s="7"/>
      <c r="X1648" s="7"/>
      <c r="Y1648" s="7"/>
      <c r="Z1648" s="12"/>
      <c r="AA1648" s="14">
        <v>550</v>
      </c>
    </row>
    <row r="1649" spans="1:27" outlineLevel="6">
      <c r="A1649" s="3501" t="s">
        <v>911</v>
      </c>
      <c r="B1649" s="3501"/>
      <c r="C1649" s="12"/>
      <c r="D1649" s="14">
        <v>550</v>
      </c>
      <c r="E1649" s="7"/>
      <c r="F1649" s="7"/>
      <c r="G1649" s="7"/>
      <c r="H1649" s="8"/>
      <c r="I1649" s="9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12"/>
      <c r="AA1649" s="14">
        <v>550</v>
      </c>
    </row>
    <row r="1650" spans="1:27" outlineLevel="7">
      <c r="A1650" s="3500" t="s">
        <v>912</v>
      </c>
      <c r="B1650" s="3500"/>
      <c r="C1650" s="12"/>
      <c r="D1650" s="14">
        <v>550</v>
      </c>
      <c r="E1650" s="7"/>
      <c r="F1650" s="7"/>
      <c r="G1650" s="7"/>
      <c r="H1650" s="8"/>
      <c r="I1650" s="9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12"/>
      <c r="AA1650" s="14">
        <v>550</v>
      </c>
    </row>
    <row r="1651" spans="1:27" outlineLevel="7">
      <c r="A1651" s="3499" t="s">
        <v>2071</v>
      </c>
      <c r="B1651" s="3499"/>
      <c r="C1651" s="12"/>
      <c r="D1651" s="14">
        <v>550</v>
      </c>
      <c r="E1651" s="7"/>
      <c r="F1651" s="7"/>
      <c r="G1651" s="7"/>
      <c r="H1651" s="8"/>
      <c r="I1651" s="9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12"/>
      <c r="AA1651" s="14">
        <v>550</v>
      </c>
    </row>
    <row r="1652" spans="1:27" outlineLevel="6">
      <c r="A1652" s="3501" t="s">
        <v>913</v>
      </c>
      <c r="B1652" s="3501"/>
      <c r="C1652" s="12"/>
      <c r="D1652" s="12"/>
      <c r="E1652" s="12"/>
      <c r="F1652" s="7"/>
      <c r="G1652" s="7"/>
      <c r="H1652" s="8"/>
      <c r="I1652" s="9"/>
      <c r="J1652" s="7"/>
      <c r="K1652" s="7"/>
      <c r="L1652" s="7"/>
      <c r="M1652" s="7"/>
      <c r="N1652" s="7"/>
      <c r="O1652" s="7"/>
      <c r="P1652" s="7"/>
      <c r="Q1652" s="7"/>
      <c r="R1652" s="14">
        <v>550</v>
      </c>
      <c r="S1652" s="7"/>
      <c r="T1652" s="7"/>
      <c r="U1652" s="14">
        <v>550</v>
      </c>
      <c r="V1652" s="7"/>
      <c r="W1652" s="7"/>
      <c r="X1652" s="7"/>
      <c r="Y1652" s="7"/>
      <c r="Z1652" s="12"/>
      <c r="AA1652" s="14">
        <v>550</v>
      </c>
    </row>
    <row r="1653" spans="1:27" outlineLevel="7">
      <c r="A1653" s="3500" t="s">
        <v>914</v>
      </c>
      <c r="B1653" s="3500"/>
      <c r="C1653" s="12"/>
      <c r="D1653" s="12"/>
      <c r="E1653" s="12"/>
      <c r="F1653" s="7"/>
      <c r="G1653" s="7"/>
      <c r="H1653" s="8"/>
      <c r="I1653" s="9"/>
      <c r="J1653" s="7"/>
      <c r="K1653" s="7"/>
      <c r="L1653" s="7"/>
      <c r="M1653" s="7"/>
      <c r="N1653" s="7"/>
      <c r="O1653" s="7"/>
      <c r="P1653" s="7"/>
      <c r="Q1653" s="7"/>
      <c r="R1653" s="14">
        <v>550</v>
      </c>
      <c r="S1653" s="7"/>
      <c r="T1653" s="7"/>
      <c r="U1653" s="14">
        <v>550</v>
      </c>
      <c r="V1653" s="7"/>
      <c r="W1653" s="7"/>
      <c r="X1653" s="7"/>
      <c r="Y1653" s="7"/>
      <c r="Z1653" s="12"/>
      <c r="AA1653" s="14">
        <v>550</v>
      </c>
    </row>
    <row r="1654" spans="1:27" outlineLevel="7">
      <c r="A1654" s="3499" t="s">
        <v>2072</v>
      </c>
      <c r="B1654" s="3499"/>
      <c r="C1654" s="12"/>
      <c r="D1654" s="12"/>
      <c r="E1654" s="12"/>
      <c r="F1654" s="7"/>
      <c r="G1654" s="7"/>
      <c r="H1654" s="8"/>
      <c r="I1654" s="9"/>
      <c r="J1654" s="7"/>
      <c r="K1654" s="7"/>
      <c r="L1654" s="7"/>
      <c r="M1654" s="7"/>
      <c r="N1654" s="7"/>
      <c r="O1654" s="7"/>
      <c r="P1654" s="7"/>
      <c r="Q1654" s="7"/>
      <c r="R1654" s="14">
        <v>550</v>
      </c>
      <c r="S1654" s="7"/>
      <c r="T1654" s="7"/>
      <c r="U1654" s="14">
        <v>550</v>
      </c>
      <c r="V1654" s="7"/>
      <c r="W1654" s="7"/>
      <c r="X1654" s="7"/>
      <c r="Y1654" s="7"/>
      <c r="Z1654" s="12"/>
      <c r="AA1654" s="14">
        <v>550</v>
      </c>
    </row>
    <row r="1655" spans="1:27" outlineLevel="6">
      <c r="A1655" s="3501" t="s">
        <v>915</v>
      </c>
      <c r="B1655" s="3501"/>
      <c r="C1655" s="12"/>
      <c r="D1655" s="12"/>
      <c r="E1655" s="12"/>
      <c r="F1655" s="7"/>
      <c r="G1655" s="7"/>
      <c r="H1655" s="8"/>
      <c r="I1655" s="9"/>
      <c r="J1655" s="7"/>
      <c r="K1655" s="7"/>
      <c r="L1655" s="7"/>
      <c r="M1655" s="7"/>
      <c r="N1655" s="7"/>
      <c r="O1655" s="7"/>
      <c r="P1655" s="7"/>
      <c r="Q1655" s="7"/>
      <c r="R1655" s="14">
        <v>550</v>
      </c>
      <c r="S1655" s="7"/>
      <c r="T1655" s="7"/>
      <c r="U1655" s="14">
        <v>550</v>
      </c>
      <c r="V1655" s="7"/>
      <c r="W1655" s="7"/>
      <c r="X1655" s="7"/>
      <c r="Y1655" s="7"/>
      <c r="Z1655" s="12"/>
      <c r="AA1655" s="14">
        <v>550</v>
      </c>
    </row>
    <row r="1656" spans="1:27" outlineLevel="7">
      <c r="A1656" s="3500" t="s">
        <v>916</v>
      </c>
      <c r="B1656" s="3500"/>
      <c r="C1656" s="12"/>
      <c r="D1656" s="12"/>
      <c r="E1656" s="12"/>
      <c r="F1656" s="7"/>
      <c r="G1656" s="7"/>
      <c r="H1656" s="8"/>
      <c r="I1656" s="9"/>
      <c r="J1656" s="7"/>
      <c r="K1656" s="7"/>
      <c r="L1656" s="7"/>
      <c r="M1656" s="7"/>
      <c r="N1656" s="7"/>
      <c r="O1656" s="7"/>
      <c r="P1656" s="7"/>
      <c r="Q1656" s="7"/>
      <c r="R1656" s="14">
        <v>550</v>
      </c>
      <c r="S1656" s="7"/>
      <c r="T1656" s="7"/>
      <c r="U1656" s="14">
        <v>550</v>
      </c>
      <c r="V1656" s="7"/>
      <c r="W1656" s="7"/>
      <c r="X1656" s="7"/>
      <c r="Y1656" s="7"/>
      <c r="Z1656" s="12"/>
      <c r="AA1656" s="14">
        <v>550</v>
      </c>
    </row>
    <row r="1657" spans="1:27" outlineLevel="7">
      <c r="A1657" s="3499" t="s">
        <v>2073</v>
      </c>
      <c r="B1657" s="3499"/>
      <c r="C1657" s="12"/>
      <c r="D1657" s="12"/>
      <c r="E1657" s="12"/>
      <c r="F1657" s="7"/>
      <c r="G1657" s="7"/>
      <c r="H1657" s="8"/>
      <c r="I1657" s="9"/>
      <c r="J1657" s="7"/>
      <c r="K1657" s="7"/>
      <c r="L1657" s="7"/>
      <c r="M1657" s="7"/>
      <c r="N1657" s="7"/>
      <c r="O1657" s="7"/>
      <c r="P1657" s="7"/>
      <c r="Q1657" s="7"/>
      <c r="R1657" s="14">
        <v>550</v>
      </c>
      <c r="S1657" s="7"/>
      <c r="T1657" s="7"/>
      <c r="U1657" s="14">
        <v>550</v>
      </c>
      <c r="V1657" s="7"/>
      <c r="W1657" s="7"/>
      <c r="X1657" s="7"/>
      <c r="Y1657" s="7"/>
      <c r="Z1657" s="12"/>
      <c r="AA1657" s="14">
        <v>550</v>
      </c>
    </row>
    <row r="1658" spans="1:27" outlineLevel="6">
      <c r="A1658" s="3501" t="s">
        <v>917</v>
      </c>
      <c r="B1658" s="3501"/>
      <c r="C1658" s="7"/>
      <c r="D1658" s="7"/>
      <c r="E1658" s="14">
        <v>550</v>
      </c>
      <c r="F1658" s="7"/>
      <c r="G1658" s="7"/>
      <c r="H1658" s="8"/>
      <c r="I1658" s="9"/>
      <c r="J1658" s="7"/>
      <c r="K1658" s="14">
        <v>550</v>
      </c>
      <c r="L1658" s="14">
        <v>550</v>
      </c>
      <c r="M1658" s="7"/>
      <c r="N1658" s="7"/>
      <c r="O1658" s="7"/>
      <c r="P1658" s="7"/>
      <c r="Q1658" s="7"/>
      <c r="R1658" s="14">
        <v>550</v>
      </c>
      <c r="S1658" s="7"/>
      <c r="T1658" s="7"/>
      <c r="U1658" s="14">
        <v>550</v>
      </c>
      <c r="V1658" s="7"/>
      <c r="W1658" s="7"/>
      <c r="X1658" s="7"/>
      <c r="Y1658" s="7"/>
      <c r="Z1658" s="7"/>
      <c r="AA1658" s="7"/>
    </row>
    <row r="1659" spans="1:27" outlineLevel="7">
      <c r="A1659" s="3500" t="s">
        <v>918</v>
      </c>
      <c r="B1659" s="3500"/>
      <c r="C1659" s="7"/>
      <c r="D1659" s="7"/>
      <c r="E1659" s="14">
        <v>550</v>
      </c>
      <c r="F1659" s="7"/>
      <c r="G1659" s="7"/>
      <c r="H1659" s="8"/>
      <c r="I1659" s="9"/>
      <c r="J1659" s="7"/>
      <c r="K1659" s="14">
        <v>550</v>
      </c>
      <c r="L1659" s="14">
        <v>550</v>
      </c>
      <c r="M1659" s="7"/>
      <c r="N1659" s="7"/>
      <c r="O1659" s="7"/>
      <c r="P1659" s="7"/>
      <c r="Q1659" s="7"/>
      <c r="R1659" s="14">
        <v>550</v>
      </c>
      <c r="S1659" s="7"/>
      <c r="T1659" s="7"/>
      <c r="U1659" s="14">
        <v>550</v>
      </c>
      <c r="V1659" s="7"/>
      <c r="W1659" s="7"/>
      <c r="X1659" s="7"/>
      <c r="Y1659" s="7"/>
      <c r="Z1659" s="7"/>
      <c r="AA1659" s="7"/>
    </row>
    <row r="1660" spans="1:27" outlineLevel="7">
      <c r="A1660" s="3499" t="s">
        <v>2074</v>
      </c>
      <c r="B1660" s="3499"/>
      <c r="C1660" s="7"/>
      <c r="D1660" s="7"/>
      <c r="E1660" s="14">
        <v>550</v>
      </c>
      <c r="F1660" s="7"/>
      <c r="G1660" s="7"/>
      <c r="H1660" s="8"/>
      <c r="I1660" s="9"/>
      <c r="J1660" s="7"/>
      <c r="K1660" s="14">
        <v>550</v>
      </c>
      <c r="L1660" s="14">
        <v>550</v>
      </c>
      <c r="M1660" s="7"/>
      <c r="N1660" s="7"/>
      <c r="O1660" s="7"/>
      <c r="P1660" s="7"/>
      <c r="Q1660" s="7"/>
      <c r="R1660" s="14">
        <v>550</v>
      </c>
      <c r="S1660" s="7"/>
      <c r="T1660" s="7"/>
      <c r="U1660" s="14">
        <v>550</v>
      </c>
      <c r="V1660" s="7"/>
      <c r="W1660" s="7"/>
      <c r="X1660" s="7"/>
      <c r="Y1660" s="7"/>
      <c r="Z1660" s="7"/>
      <c r="AA1660" s="7"/>
    </row>
    <row r="1661" spans="1:27" outlineLevel="6">
      <c r="A1661" s="3501" t="s">
        <v>919</v>
      </c>
      <c r="B1661" s="3501"/>
      <c r="C1661" s="12"/>
      <c r="D1661" s="12"/>
      <c r="E1661" s="12"/>
      <c r="F1661" s="7"/>
      <c r="G1661" s="7"/>
      <c r="H1661" s="8"/>
      <c r="I1661" s="9"/>
      <c r="J1661" s="7"/>
      <c r="K1661" s="7"/>
      <c r="L1661" s="7"/>
      <c r="M1661" s="7"/>
      <c r="N1661" s="7"/>
      <c r="O1661" s="7"/>
      <c r="P1661" s="7"/>
      <c r="Q1661" s="7"/>
      <c r="R1661" s="13">
        <v>13490.59</v>
      </c>
      <c r="S1661" s="7"/>
      <c r="T1661" s="7"/>
      <c r="U1661" s="13">
        <v>13490.59</v>
      </c>
      <c r="V1661" s="7"/>
      <c r="W1661" s="7"/>
      <c r="X1661" s="7"/>
      <c r="Y1661" s="7"/>
      <c r="Z1661" s="12"/>
      <c r="AA1661" s="13">
        <v>13490.59</v>
      </c>
    </row>
    <row r="1662" spans="1:27" outlineLevel="7">
      <c r="A1662" s="3500" t="s">
        <v>920</v>
      </c>
      <c r="B1662" s="3500"/>
      <c r="C1662" s="12"/>
      <c r="D1662" s="12"/>
      <c r="E1662" s="12"/>
      <c r="F1662" s="7"/>
      <c r="G1662" s="7"/>
      <c r="H1662" s="8"/>
      <c r="I1662" s="9"/>
      <c r="J1662" s="7"/>
      <c r="K1662" s="7"/>
      <c r="L1662" s="7"/>
      <c r="M1662" s="7"/>
      <c r="N1662" s="7"/>
      <c r="O1662" s="7"/>
      <c r="P1662" s="7"/>
      <c r="Q1662" s="7"/>
      <c r="R1662" s="13">
        <v>13490.59</v>
      </c>
      <c r="S1662" s="7"/>
      <c r="T1662" s="7"/>
      <c r="U1662" s="13">
        <v>13490.59</v>
      </c>
      <c r="V1662" s="7"/>
      <c r="W1662" s="7"/>
      <c r="X1662" s="7"/>
      <c r="Y1662" s="7"/>
      <c r="Z1662" s="12"/>
      <c r="AA1662" s="13">
        <v>13490.59</v>
      </c>
    </row>
    <row r="1663" spans="1:27" outlineLevel="7">
      <c r="A1663" s="3499" t="s">
        <v>2075</v>
      </c>
      <c r="B1663" s="3499"/>
      <c r="C1663" s="12"/>
      <c r="D1663" s="12"/>
      <c r="E1663" s="12"/>
      <c r="F1663" s="7"/>
      <c r="G1663" s="7"/>
      <c r="H1663" s="8"/>
      <c r="I1663" s="9"/>
      <c r="J1663" s="7"/>
      <c r="K1663" s="7"/>
      <c r="L1663" s="7"/>
      <c r="M1663" s="7"/>
      <c r="N1663" s="7"/>
      <c r="O1663" s="7"/>
      <c r="P1663" s="7"/>
      <c r="Q1663" s="7"/>
      <c r="R1663" s="13">
        <v>13490.59</v>
      </c>
      <c r="S1663" s="7"/>
      <c r="T1663" s="7"/>
      <c r="U1663" s="13">
        <v>13490.59</v>
      </c>
      <c r="V1663" s="7"/>
      <c r="W1663" s="7"/>
      <c r="X1663" s="7"/>
      <c r="Y1663" s="7"/>
      <c r="Z1663" s="12"/>
      <c r="AA1663" s="13">
        <v>13490.59</v>
      </c>
    </row>
    <row r="1664" spans="1:27" outlineLevel="6">
      <c r="A1664" s="3501" t="s">
        <v>921</v>
      </c>
      <c r="B1664" s="3501"/>
      <c r="C1664" s="12"/>
      <c r="D1664" s="12"/>
      <c r="E1664" s="12"/>
      <c r="F1664" s="7"/>
      <c r="G1664" s="7"/>
      <c r="H1664" s="8"/>
      <c r="I1664" s="9"/>
      <c r="J1664" s="7"/>
      <c r="K1664" s="7"/>
      <c r="L1664" s="7"/>
      <c r="M1664" s="7"/>
      <c r="N1664" s="7"/>
      <c r="O1664" s="7"/>
      <c r="P1664" s="7"/>
      <c r="Q1664" s="7"/>
      <c r="R1664" s="14">
        <v>550</v>
      </c>
      <c r="S1664" s="7"/>
      <c r="T1664" s="7"/>
      <c r="U1664" s="14">
        <v>550</v>
      </c>
      <c r="V1664" s="7"/>
      <c r="W1664" s="7"/>
      <c r="X1664" s="7"/>
      <c r="Y1664" s="7"/>
      <c r="Z1664" s="12"/>
      <c r="AA1664" s="14">
        <v>550</v>
      </c>
    </row>
    <row r="1665" spans="1:27" outlineLevel="7">
      <c r="A1665" s="3500" t="s">
        <v>922</v>
      </c>
      <c r="B1665" s="3500"/>
      <c r="C1665" s="12"/>
      <c r="D1665" s="12"/>
      <c r="E1665" s="12"/>
      <c r="F1665" s="7"/>
      <c r="G1665" s="7"/>
      <c r="H1665" s="8"/>
      <c r="I1665" s="9"/>
      <c r="J1665" s="7"/>
      <c r="K1665" s="7"/>
      <c r="L1665" s="7"/>
      <c r="M1665" s="7"/>
      <c r="N1665" s="7"/>
      <c r="O1665" s="7"/>
      <c r="P1665" s="7"/>
      <c r="Q1665" s="7"/>
      <c r="R1665" s="14">
        <v>550</v>
      </c>
      <c r="S1665" s="7"/>
      <c r="T1665" s="7"/>
      <c r="U1665" s="14">
        <v>550</v>
      </c>
      <c r="V1665" s="7"/>
      <c r="W1665" s="7"/>
      <c r="X1665" s="7"/>
      <c r="Y1665" s="7"/>
      <c r="Z1665" s="12"/>
      <c r="AA1665" s="14">
        <v>550</v>
      </c>
    </row>
    <row r="1666" spans="1:27" outlineLevel="7">
      <c r="A1666" s="3499" t="s">
        <v>2076</v>
      </c>
      <c r="B1666" s="3499"/>
      <c r="C1666" s="12"/>
      <c r="D1666" s="12"/>
      <c r="E1666" s="12"/>
      <c r="F1666" s="7"/>
      <c r="G1666" s="7"/>
      <c r="H1666" s="8"/>
      <c r="I1666" s="9"/>
      <c r="J1666" s="7"/>
      <c r="K1666" s="7"/>
      <c r="L1666" s="7"/>
      <c r="M1666" s="7"/>
      <c r="N1666" s="7"/>
      <c r="O1666" s="7"/>
      <c r="P1666" s="7"/>
      <c r="Q1666" s="7"/>
      <c r="R1666" s="14">
        <v>550</v>
      </c>
      <c r="S1666" s="7"/>
      <c r="T1666" s="7"/>
      <c r="U1666" s="14">
        <v>550</v>
      </c>
      <c r="V1666" s="7"/>
      <c r="W1666" s="7"/>
      <c r="X1666" s="7"/>
      <c r="Y1666" s="7"/>
      <c r="Z1666" s="12"/>
      <c r="AA1666" s="14">
        <v>550</v>
      </c>
    </row>
    <row r="1667" spans="1:27" outlineLevel="6">
      <c r="A1667" s="3501" t="s">
        <v>252</v>
      </c>
      <c r="B1667" s="3501"/>
      <c r="C1667" s="12"/>
      <c r="D1667" s="14">
        <v>550</v>
      </c>
      <c r="E1667" s="14">
        <v>550</v>
      </c>
      <c r="F1667" s="7"/>
      <c r="G1667" s="14">
        <v>550</v>
      </c>
      <c r="H1667" s="3523">
        <v>550</v>
      </c>
      <c r="I1667" s="3523"/>
      <c r="J1667" s="7"/>
      <c r="K1667" s="7"/>
      <c r="L1667" s="7"/>
      <c r="M1667" s="7"/>
      <c r="N1667" s="7"/>
      <c r="O1667" s="7"/>
      <c r="P1667" s="7"/>
      <c r="Q1667" s="7"/>
      <c r="R1667" s="12"/>
      <c r="S1667" s="7"/>
      <c r="T1667" s="7"/>
      <c r="U1667" s="7"/>
      <c r="V1667" s="7"/>
      <c r="W1667" s="7"/>
      <c r="X1667" s="7"/>
      <c r="Y1667" s="7"/>
      <c r="Z1667" s="12"/>
      <c r="AA1667" s="12"/>
    </row>
    <row r="1668" spans="1:27" outlineLevel="7">
      <c r="A1668" s="3500" t="s">
        <v>253</v>
      </c>
      <c r="B1668" s="3500"/>
      <c r="C1668" s="12"/>
      <c r="D1668" s="14">
        <v>550</v>
      </c>
      <c r="E1668" s="14">
        <v>550</v>
      </c>
      <c r="F1668" s="7"/>
      <c r="G1668" s="14">
        <v>550</v>
      </c>
      <c r="H1668" s="3523">
        <v>550</v>
      </c>
      <c r="I1668" s="3523"/>
      <c r="J1668" s="7"/>
      <c r="K1668" s="7"/>
      <c r="L1668" s="7"/>
      <c r="M1668" s="7"/>
      <c r="N1668" s="7"/>
      <c r="O1668" s="7"/>
      <c r="P1668" s="7"/>
      <c r="Q1668" s="7"/>
      <c r="R1668" s="12"/>
      <c r="S1668" s="7"/>
      <c r="T1668" s="7"/>
      <c r="U1668" s="7"/>
      <c r="V1668" s="7"/>
      <c r="W1668" s="7"/>
      <c r="X1668" s="7"/>
      <c r="Y1668" s="7"/>
      <c r="Z1668" s="12"/>
      <c r="AA1668" s="12"/>
    </row>
    <row r="1669" spans="1:27" outlineLevel="7">
      <c r="A1669" s="3499" t="s">
        <v>2077</v>
      </c>
      <c r="B1669" s="3499"/>
      <c r="C1669" s="12"/>
      <c r="D1669" s="14">
        <v>550</v>
      </c>
      <c r="E1669" s="14">
        <v>550</v>
      </c>
      <c r="F1669" s="7"/>
      <c r="G1669" s="14">
        <v>550</v>
      </c>
      <c r="H1669" s="3523">
        <v>550</v>
      </c>
      <c r="I1669" s="3523"/>
      <c r="J1669" s="7"/>
      <c r="K1669" s="7"/>
      <c r="L1669" s="7"/>
      <c r="M1669" s="7"/>
      <c r="N1669" s="7"/>
      <c r="O1669" s="7"/>
      <c r="P1669" s="7"/>
      <c r="Q1669" s="7"/>
      <c r="R1669" s="12"/>
      <c r="S1669" s="7"/>
      <c r="T1669" s="7"/>
      <c r="U1669" s="7"/>
      <c r="V1669" s="7"/>
      <c r="W1669" s="7"/>
      <c r="X1669" s="7"/>
      <c r="Y1669" s="7"/>
      <c r="Z1669" s="12"/>
      <c r="AA1669" s="12"/>
    </row>
    <row r="1670" spans="1:27" outlineLevel="6">
      <c r="A1670" s="3501" t="s">
        <v>254</v>
      </c>
      <c r="B1670" s="3501"/>
      <c r="C1670" s="7"/>
      <c r="D1670" s="7"/>
      <c r="E1670" s="14">
        <v>550</v>
      </c>
      <c r="F1670" s="7"/>
      <c r="G1670" s="14">
        <v>550</v>
      </c>
      <c r="H1670" s="3523">
        <v>550</v>
      </c>
      <c r="I1670" s="3523"/>
      <c r="J1670" s="7"/>
      <c r="K1670" s="7"/>
      <c r="L1670" s="7"/>
      <c r="M1670" s="7"/>
      <c r="N1670" s="7"/>
      <c r="O1670" s="7"/>
      <c r="P1670" s="7"/>
      <c r="Q1670" s="7"/>
      <c r="R1670" s="14">
        <v>550</v>
      </c>
      <c r="S1670" s="7"/>
      <c r="T1670" s="7"/>
      <c r="U1670" s="14">
        <v>550</v>
      </c>
      <c r="V1670" s="7"/>
      <c r="W1670" s="7"/>
      <c r="X1670" s="7"/>
      <c r="Y1670" s="7"/>
      <c r="Z1670" s="7"/>
      <c r="AA1670" s="7"/>
    </row>
    <row r="1671" spans="1:27" outlineLevel="7">
      <c r="A1671" s="3500" t="s">
        <v>255</v>
      </c>
      <c r="B1671" s="3500"/>
      <c r="C1671" s="7"/>
      <c r="D1671" s="7"/>
      <c r="E1671" s="14">
        <v>550</v>
      </c>
      <c r="F1671" s="7"/>
      <c r="G1671" s="14">
        <v>550</v>
      </c>
      <c r="H1671" s="3523">
        <v>550</v>
      </c>
      <c r="I1671" s="3523"/>
      <c r="J1671" s="7"/>
      <c r="K1671" s="7"/>
      <c r="L1671" s="7"/>
      <c r="M1671" s="7"/>
      <c r="N1671" s="7"/>
      <c r="O1671" s="7"/>
      <c r="P1671" s="7"/>
      <c r="Q1671" s="7"/>
      <c r="R1671" s="14">
        <v>550</v>
      </c>
      <c r="S1671" s="7"/>
      <c r="T1671" s="7"/>
      <c r="U1671" s="14">
        <v>550</v>
      </c>
      <c r="V1671" s="7"/>
      <c r="W1671" s="7"/>
      <c r="X1671" s="7"/>
      <c r="Y1671" s="7"/>
      <c r="Z1671" s="7"/>
      <c r="AA1671" s="7"/>
    </row>
    <row r="1672" spans="1:27" outlineLevel="7">
      <c r="A1672" s="3499" t="s">
        <v>2078</v>
      </c>
      <c r="B1672" s="3499"/>
      <c r="C1672" s="7"/>
      <c r="D1672" s="7"/>
      <c r="E1672" s="14">
        <v>550</v>
      </c>
      <c r="F1672" s="7"/>
      <c r="G1672" s="14">
        <v>550</v>
      </c>
      <c r="H1672" s="3523">
        <v>550</v>
      </c>
      <c r="I1672" s="3523"/>
      <c r="J1672" s="7"/>
      <c r="K1672" s="7"/>
      <c r="L1672" s="7"/>
      <c r="M1672" s="7"/>
      <c r="N1672" s="7"/>
      <c r="O1672" s="7"/>
      <c r="P1672" s="7"/>
      <c r="Q1672" s="7"/>
      <c r="R1672" s="14">
        <v>550</v>
      </c>
      <c r="S1672" s="7"/>
      <c r="T1672" s="7"/>
      <c r="U1672" s="14">
        <v>550</v>
      </c>
      <c r="V1672" s="7"/>
      <c r="W1672" s="7"/>
      <c r="X1672" s="7"/>
      <c r="Y1672" s="7"/>
      <c r="Z1672" s="7"/>
      <c r="AA1672" s="7"/>
    </row>
    <row r="1673" spans="1:27" outlineLevel="6">
      <c r="A1673" s="3501" t="s">
        <v>256</v>
      </c>
      <c r="B1673" s="3501"/>
      <c r="C1673" s="12"/>
      <c r="D1673" s="14">
        <v>550</v>
      </c>
      <c r="E1673" s="14">
        <v>550</v>
      </c>
      <c r="F1673" s="7"/>
      <c r="G1673" s="14">
        <v>550</v>
      </c>
      <c r="H1673" s="3523">
        <v>550</v>
      </c>
      <c r="I1673" s="3523"/>
      <c r="J1673" s="7"/>
      <c r="K1673" s="7"/>
      <c r="L1673" s="7"/>
      <c r="M1673" s="7"/>
      <c r="N1673" s="7"/>
      <c r="O1673" s="7"/>
      <c r="P1673" s="7"/>
      <c r="Q1673" s="7"/>
      <c r="R1673" s="12"/>
      <c r="S1673" s="7"/>
      <c r="T1673" s="7"/>
      <c r="U1673" s="7"/>
      <c r="V1673" s="7"/>
      <c r="W1673" s="7"/>
      <c r="X1673" s="7"/>
      <c r="Y1673" s="7"/>
      <c r="Z1673" s="12"/>
      <c r="AA1673" s="12"/>
    </row>
    <row r="1674" spans="1:27" outlineLevel="7">
      <c r="A1674" s="3500" t="s">
        <v>257</v>
      </c>
      <c r="B1674" s="3500"/>
      <c r="C1674" s="12"/>
      <c r="D1674" s="14">
        <v>550</v>
      </c>
      <c r="E1674" s="14">
        <v>550</v>
      </c>
      <c r="F1674" s="7"/>
      <c r="G1674" s="14">
        <v>550</v>
      </c>
      <c r="H1674" s="3523">
        <v>550</v>
      </c>
      <c r="I1674" s="3523"/>
      <c r="J1674" s="7"/>
      <c r="K1674" s="7"/>
      <c r="L1674" s="7"/>
      <c r="M1674" s="7"/>
      <c r="N1674" s="7"/>
      <c r="O1674" s="7"/>
      <c r="P1674" s="7"/>
      <c r="Q1674" s="7"/>
      <c r="R1674" s="12"/>
      <c r="S1674" s="7"/>
      <c r="T1674" s="7"/>
      <c r="U1674" s="7"/>
      <c r="V1674" s="7"/>
      <c r="W1674" s="7"/>
      <c r="X1674" s="7"/>
      <c r="Y1674" s="7"/>
      <c r="Z1674" s="12"/>
      <c r="AA1674" s="12"/>
    </row>
    <row r="1675" spans="1:27" outlineLevel="7">
      <c r="A1675" s="3499" t="s">
        <v>2079</v>
      </c>
      <c r="B1675" s="3499"/>
      <c r="C1675" s="12"/>
      <c r="D1675" s="14">
        <v>550</v>
      </c>
      <c r="E1675" s="14">
        <v>550</v>
      </c>
      <c r="F1675" s="7"/>
      <c r="G1675" s="14">
        <v>550</v>
      </c>
      <c r="H1675" s="3523">
        <v>550</v>
      </c>
      <c r="I1675" s="3523"/>
      <c r="J1675" s="7"/>
      <c r="K1675" s="7"/>
      <c r="L1675" s="7"/>
      <c r="M1675" s="7"/>
      <c r="N1675" s="7"/>
      <c r="O1675" s="7"/>
      <c r="P1675" s="7"/>
      <c r="Q1675" s="7"/>
      <c r="R1675" s="12"/>
      <c r="S1675" s="7"/>
      <c r="T1675" s="7"/>
      <c r="U1675" s="7"/>
      <c r="V1675" s="7"/>
      <c r="W1675" s="7"/>
      <c r="X1675" s="7"/>
      <c r="Y1675" s="7"/>
      <c r="Z1675" s="12"/>
      <c r="AA1675" s="12"/>
    </row>
    <row r="1676" spans="1:27" outlineLevel="6">
      <c r="A1676" s="3501" t="s">
        <v>258</v>
      </c>
      <c r="B1676" s="3501"/>
      <c r="C1676" s="7"/>
      <c r="D1676" s="7"/>
      <c r="E1676" s="14">
        <v>550</v>
      </c>
      <c r="F1676" s="7"/>
      <c r="G1676" s="14">
        <v>550</v>
      </c>
      <c r="H1676" s="3523">
        <v>550</v>
      </c>
      <c r="I1676" s="3523"/>
      <c r="J1676" s="7"/>
      <c r="K1676" s="7"/>
      <c r="L1676" s="7"/>
      <c r="M1676" s="7"/>
      <c r="N1676" s="7"/>
      <c r="O1676" s="7"/>
      <c r="P1676" s="7"/>
      <c r="Q1676" s="7"/>
      <c r="R1676" s="14">
        <v>550</v>
      </c>
      <c r="S1676" s="7"/>
      <c r="T1676" s="7"/>
      <c r="U1676" s="14">
        <v>550</v>
      </c>
      <c r="V1676" s="7"/>
      <c r="W1676" s="7"/>
      <c r="X1676" s="7"/>
      <c r="Y1676" s="7"/>
      <c r="Z1676" s="7"/>
      <c r="AA1676" s="7"/>
    </row>
    <row r="1677" spans="1:27" outlineLevel="7">
      <c r="A1677" s="3500" t="s">
        <v>259</v>
      </c>
      <c r="B1677" s="3500"/>
      <c r="C1677" s="7"/>
      <c r="D1677" s="7"/>
      <c r="E1677" s="14">
        <v>550</v>
      </c>
      <c r="F1677" s="7"/>
      <c r="G1677" s="14">
        <v>550</v>
      </c>
      <c r="H1677" s="3523">
        <v>550</v>
      </c>
      <c r="I1677" s="3523"/>
      <c r="J1677" s="7"/>
      <c r="K1677" s="7"/>
      <c r="L1677" s="7"/>
      <c r="M1677" s="7"/>
      <c r="N1677" s="7"/>
      <c r="O1677" s="7"/>
      <c r="P1677" s="7"/>
      <c r="Q1677" s="7"/>
      <c r="R1677" s="14">
        <v>550</v>
      </c>
      <c r="S1677" s="7"/>
      <c r="T1677" s="7"/>
      <c r="U1677" s="14">
        <v>550</v>
      </c>
      <c r="V1677" s="7"/>
      <c r="W1677" s="7"/>
      <c r="X1677" s="7"/>
      <c r="Y1677" s="7"/>
      <c r="Z1677" s="7"/>
      <c r="AA1677" s="7"/>
    </row>
    <row r="1678" spans="1:27" outlineLevel="7">
      <c r="A1678" s="3499" t="s">
        <v>2080</v>
      </c>
      <c r="B1678" s="3499"/>
      <c r="C1678" s="7"/>
      <c r="D1678" s="7"/>
      <c r="E1678" s="14">
        <v>550</v>
      </c>
      <c r="F1678" s="7"/>
      <c r="G1678" s="14">
        <v>550</v>
      </c>
      <c r="H1678" s="3523">
        <v>550</v>
      </c>
      <c r="I1678" s="3523"/>
      <c r="J1678" s="7"/>
      <c r="K1678" s="7"/>
      <c r="L1678" s="7"/>
      <c r="M1678" s="7"/>
      <c r="N1678" s="7"/>
      <c r="O1678" s="7"/>
      <c r="P1678" s="7"/>
      <c r="Q1678" s="7"/>
      <c r="R1678" s="14">
        <v>550</v>
      </c>
      <c r="S1678" s="7"/>
      <c r="T1678" s="7"/>
      <c r="U1678" s="14">
        <v>550</v>
      </c>
      <c r="V1678" s="7"/>
      <c r="W1678" s="7"/>
      <c r="X1678" s="7"/>
      <c r="Y1678" s="7"/>
      <c r="Z1678" s="7"/>
      <c r="AA1678" s="7"/>
    </row>
    <row r="1679" spans="1:27" outlineLevel="6">
      <c r="A1679" s="3501" t="s">
        <v>923</v>
      </c>
      <c r="B1679" s="3501"/>
      <c r="C1679" s="12"/>
      <c r="D1679" s="12"/>
      <c r="E1679" s="12"/>
      <c r="F1679" s="7"/>
      <c r="G1679" s="7"/>
      <c r="H1679" s="8"/>
      <c r="I1679" s="9"/>
      <c r="J1679" s="7"/>
      <c r="K1679" s="7"/>
      <c r="L1679" s="7"/>
      <c r="M1679" s="7"/>
      <c r="N1679" s="7"/>
      <c r="O1679" s="7"/>
      <c r="P1679" s="7"/>
      <c r="Q1679" s="7"/>
      <c r="R1679" s="14">
        <v>550</v>
      </c>
      <c r="S1679" s="7"/>
      <c r="T1679" s="7"/>
      <c r="U1679" s="14">
        <v>550</v>
      </c>
      <c r="V1679" s="7"/>
      <c r="W1679" s="7"/>
      <c r="X1679" s="7"/>
      <c r="Y1679" s="7"/>
      <c r="Z1679" s="12"/>
      <c r="AA1679" s="14">
        <v>550</v>
      </c>
    </row>
    <row r="1680" spans="1:27" outlineLevel="7">
      <c r="A1680" s="3500" t="s">
        <v>924</v>
      </c>
      <c r="B1680" s="3500"/>
      <c r="C1680" s="12"/>
      <c r="D1680" s="12"/>
      <c r="E1680" s="12"/>
      <c r="F1680" s="7"/>
      <c r="G1680" s="7"/>
      <c r="H1680" s="8"/>
      <c r="I1680" s="9"/>
      <c r="J1680" s="7"/>
      <c r="K1680" s="7"/>
      <c r="L1680" s="7"/>
      <c r="M1680" s="7"/>
      <c r="N1680" s="7"/>
      <c r="O1680" s="7"/>
      <c r="P1680" s="7"/>
      <c r="Q1680" s="7"/>
      <c r="R1680" s="14">
        <v>550</v>
      </c>
      <c r="S1680" s="7"/>
      <c r="T1680" s="7"/>
      <c r="U1680" s="14">
        <v>550</v>
      </c>
      <c r="V1680" s="7"/>
      <c r="W1680" s="7"/>
      <c r="X1680" s="7"/>
      <c r="Y1680" s="7"/>
      <c r="Z1680" s="12"/>
      <c r="AA1680" s="14">
        <v>550</v>
      </c>
    </row>
    <row r="1681" spans="1:27" outlineLevel="7">
      <c r="A1681" s="3499" t="s">
        <v>2081</v>
      </c>
      <c r="B1681" s="3499"/>
      <c r="C1681" s="12"/>
      <c r="D1681" s="12"/>
      <c r="E1681" s="12"/>
      <c r="F1681" s="7"/>
      <c r="G1681" s="7"/>
      <c r="H1681" s="8"/>
      <c r="I1681" s="9"/>
      <c r="J1681" s="7"/>
      <c r="K1681" s="7"/>
      <c r="L1681" s="7"/>
      <c r="M1681" s="7"/>
      <c r="N1681" s="7"/>
      <c r="O1681" s="7"/>
      <c r="P1681" s="7"/>
      <c r="Q1681" s="7"/>
      <c r="R1681" s="14">
        <v>550</v>
      </c>
      <c r="S1681" s="7"/>
      <c r="T1681" s="7"/>
      <c r="U1681" s="14">
        <v>550</v>
      </c>
      <c r="V1681" s="7"/>
      <c r="W1681" s="7"/>
      <c r="X1681" s="7"/>
      <c r="Y1681" s="7"/>
      <c r="Z1681" s="12"/>
      <c r="AA1681" s="14">
        <v>550</v>
      </c>
    </row>
    <row r="1682" spans="1:27" outlineLevel="6">
      <c r="A1682" s="3501" t="s">
        <v>925</v>
      </c>
      <c r="B1682" s="3501"/>
      <c r="C1682" s="12"/>
      <c r="D1682" s="12"/>
      <c r="E1682" s="12"/>
      <c r="F1682" s="7"/>
      <c r="G1682" s="7"/>
      <c r="H1682" s="8"/>
      <c r="I1682" s="9"/>
      <c r="J1682" s="7"/>
      <c r="K1682" s="7"/>
      <c r="L1682" s="7"/>
      <c r="M1682" s="7"/>
      <c r="N1682" s="7"/>
      <c r="O1682" s="7"/>
      <c r="P1682" s="7"/>
      <c r="Q1682" s="7"/>
      <c r="R1682" s="14">
        <v>550</v>
      </c>
      <c r="S1682" s="7"/>
      <c r="T1682" s="7"/>
      <c r="U1682" s="14">
        <v>550</v>
      </c>
      <c r="V1682" s="7"/>
      <c r="W1682" s="7"/>
      <c r="X1682" s="7"/>
      <c r="Y1682" s="7"/>
      <c r="Z1682" s="12"/>
      <c r="AA1682" s="14">
        <v>550</v>
      </c>
    </row>
    <row r="1683" spans="1:27" outlineLevel="7">
      <c r="A1683" s="3500" t="s">
        <v>926</v>
      </c>
      <c r="B1683" s="3500"/>
      <c r="C1683" s="12"/>
      <c r="D1683" s="12"/>
      <c r="E1683" s="12"/>
      <c r="F1683" s="7"/>
      <c r="G1683" s="7"/>
      <c r="H1683" s="8"/>
      <c r="I1683" s="9"/>
      <c r="J1683" s="7"/>
      <c r="K1683" s="7"/>
      <c r="L1683" s="7"/>
      <c r="M1683" s="7"/>
      <c r="N1683" s="7"/>
      <c r="O1683" s="7"/>
      <c r="P1683" s="7"/>
      <c r="Q1683" s="7"/>
      <c r="R1683" s="14">
        <v>550</v>
      </c>
      <c r="S1683" s="7"/>
      <c r="T1683" s="7"/>
      <c r="U1683" s="14">
        <v>550</v>
      </c>
      <c r="V1683" s="7"/>
      <c r="W1683" s="7"/>
      <c r="X1683" s="7"/>
      <c r="Y1683" s="7"/>
      <c r="Z1683" s="12"/>
      <c r="AA1683" s="14">
        <v>550</v>
      </c>
    </row>
    <row r="1684" spans="1:27" outlineLevel="7">
      <c r="A1684" s="3499" t="s">
        <v>2082</v>
      </c>
      <c r="B1684" s="3499"/>
      <c r="C1684" s="12"/>
      <c r="D1684" s="12"/>
      <c r="E1684" s="12"/>
      <c r="F1684" s="7"/>
      <c r="G1684" s="7"/>
      <c r="H1684" s="8"/>
      <c r="I1684" s="9"/>
      <c r="J1684" s="7"/>
      <c r="K1684" s="7"/>
      <c r="L1684" s="7"/>
      <c r="M1684" s="7"/>
      <c r="N1684" s="7"/>
      <c r="O1684" s="7"/>
      <c r="P1684" s="7"/>
      <c r="Q1684" s="7"/>
      <c r="R1684" s="14">
        <v>550</v>
      </c>
      <c r="S1684" s="7"/>
      <c r="T1684" s="7"/>
      <c r="U1684" s="14">
        <v>550</v>
      </c>
      <c r="V1684" s="7"/>
      <c r="W1684" s="7"/>
      <c r="X1684" s="7"/>
      <c r="Y1684" s="7"/>
      <c r="Z1684" s="12"/>
      <c r="AA1684" s="14">
        <v>550</v>
      </c>
    </row>
    <row r="1685" spans="1:27" outlineLevel="6">
      <c r="A1685" s="3501" t="s">
        <v>927</v>
      </c>
      <c r="B1685" s="3501"/>
      <c r="C1685" s="12"/>
      <c r="D1685" s="12"/>
      <c r="E1685" s="12"/>
      <c r="F1685" s="7"/>
      <c r="G1685" s="7"/>
      <c r="H1685" s="8"/>
      <c r="I1685" s="9"/>
      <c r="J1685" s="7"/>
      <c r="K1685" s="7"/>
      <c r="L1685" s="7"/>
      <c r="M1685" s="7"/>
      <c r="N1685" s="7"/>
      <c r="O1685" s="7"/>
      <c r="P1685" s="7"/>
      <c r="Q1685" s="7"/>
      <c r="R1685" s="14">
        <v>550</v>
      </c>
      <c r="S1685" s="7"/>
      <c r="T1685" s="7"/>
      <c r="U1685" s="14">
        <v>550</v>
      </c>
      <c r="V1685" s="7"/>
      <c r="W1685" s="7"/>
      <c r="X1685" s="7"/>
      <c r="Y1685" s="7"/>
      <c r="Z1685" s="12"/>
      <c r="AA1685" s="14">
        <v>550</v>
      </c>
    </row>
    <row r="1686" spans="1:27" outlineLevel="7">
      <c r="A1686" s="3500" t="s">
        <v>928</v>
      </c>
      <c r="B1686" s="3500"/>
      <c r="C1686" s="12"/>
      <c r="D1686" s="12"/>
      <c r="E1686" s="12"/>
      <c r="F1686" s="7"/>
      <c r="G1686" s="7"/>
      <c r="H1686" s="8"/>
      <c r="I1686" s="9"/>
      <c r="J1686" s="7"/>
      <c r="K1686" s="7"/>
      <c r="L1686" s="7"/>
      <c r="M1686" s="7"/>
      <c r="N1686" s="7"/>
      <c r="O1686" s="7"/>
      <c r="P1686" s="7"/>
      <c r="Q1686" s="7"/>
      <c r="R1686" s="14">
        <v>550</v>
      </c>
      <c r="S1686" s="7"/>
      <c r="T1686" s="7"/>
      <c r="U1686" s="14">
        <v>550</v>
      </c>
      <c r="V1686" s="7"/>
      <c r="W1686" s="7"/>
      <c r="X1686" s="7"/>
      <c r="Y1686" s="7"/>
      <c r="Z1686" s="12"/>
      <c r="AA1686" s="14">
        <v>550</v>
      </c>
    </row>
    <row r="1687" spans="1:27" outlineLevel="7">
      <c r="A1687" s="3499" t="s">
        <v>2083</v>
      </c>
      <c r="B1687" s="3499"/>
      <c r="C1687" s="12"/>
      <c r="D1687" s="12"/>
      <c r="E1687" s="12"/>
      <c r="F1687" s="7"/>
      <c r="G1687" s="7"/>
      <c r="H1687" s="8"/>
      <c r="I1687" s="9"/>
      <c r="J1687" s="7"/>
      <c r="K1687" s="7"/>
      <c r="L1687" s="7"/>
      <c r="M1687" s="7"/>
      <c r="N1687" s="7"/>
      <c r="O1687" s="7"/>
      <c r="P1687" s="7"/>
      <c r="Q1687" s="7"/>
      <c r="R1687" s="14">
        <v>550</v>
      </c>
      <c r="S1687" s="7"/>
      <c r="T1687" s="7"/>
      <c r="U1687" s="14">
        <v>550</v>
      </c>
      <c r="V1687" s="7"/>
      <c r="W1687" s="7"/>
      <c r="X1687" s="7"/>
      <c r="Y1687" s="7"/>
      <c r="Z1687" s="12"/>
      <c r="AA1687" s="14">
        <v>550</v>
      </c>
    </row>
    <row r="1688" spans="1:27" outlineLevel="6">
      <c r="A1688" s="3501" t="s">
        <v>929</v>
      </c>
      <c r="B1688" s="3501"/>
      <c r="C1688" s="12"/>
      <c r="D1688" s="12"/>
      <c r="E1688" s="12"/>
      <c r="F1688" s="7"/>
      <c r="G1688" s="7"/>
      <c r="H1688" s="8"/>
      <c r="I1688" s="9"/>
      <c r="J1688" s="7"/>
      <c r="K1688" s="7"/>
      <c r="L1688" s="7"/>
      <c r="M1688" s="7"/>
      <c r="N1688" s="7"/>
      <c r="O1688" s="7"/>
      <c r="P1688" s="7"/>
      <c r="Q1688" s="7"/>
      <c r="R1688" s="14">
        <v>550</v>
      </c>
      <c r="S1688" s="7"/>
      <c r="T1688" s="7"/>
      <c r="U1688" s="14">
        <v>550</v>
      </c>
      <c r="V1688" s="7"/>
      <c r="W1688" s="7"/>
      <c r="X1688" s="7"/>
      <c r="Y1688" s="7"/>
      <c r="Z1688" s="12"/>
      <c r="AA1688" s="14">
        <v>550</v>
      </c>
    </row>
    <row r="1689" spans="1:27" outlineLevel="7">
      <c r="A1689" s="3500" t="s">
        <v>930</v>
      </c>
      <c r="B1689" s="3500"/>
      <c r="C1689" s="12"/>
      <c r="D1689" s="12"/>
      <c r="E1689" s="12"/>
      <c r="F1689" s="7"/>
      <c r="G1689" s="7"/>
      <c r="H1689" s="8"/>
      <c r="I1689" s="9"/>
      <c r="J1689" s="7"/>
      <c r="K1689" s="7"/>
      <c r="L1689" s="7"/>
      <c r="M1689" s="7"/>
      <c r="N1689" s="7"/>
      <c r="O1689" s="7"/>
      <c r="P1689" s="7"/>
      <c r="Q1689" s="7"/>
      <c r="R1689" s="14">
        <v>550</v>
      </c>
      <c r="S1689" s="7"/>
      <c r="T1689" s="7"/>
      <c r="U1689" s="14">
        <v>550</v>
      </c>
      <c r="V1689" s="7"/>
      <c r="W1689" s="7"/>
      <c r="X1689" s="7"/>
      <c r="Y1689" s="7"/>
      <c r="Z1689" s="12"/>
      <c r="AA1689" s="14">
        <v>550</v>
      </c>
    </row>
    <row r="1690" spans="1:27" outlineLevel="7">
      <c r="A1690" s="3499" t="s">
        <v>2084</v>
      </c>
      <c r="B1690" s="3499"/>
      <c r="C1690" s="12"/>
      <c r="D1690" s="12"/>
      <c r="E1690" s="12"/>
      <c r="F1690" s="7"/>
      <c r="G1690" s="7"/>
      <c r="H1690" s="8"/>
      <c r="I1690" s="9"/>
      <c r="J1690" s="7"/>
      <c r="K1690" s="7"/>
      <c r="L1690" s="7"/>
      <c r="M1690" s="7"/>
      <c r="N1690" s="7"/>
      <c r="O1690" s="7"/>
      <c r="P1690" s="7"/>
      <c r="Q1690" s="7"/>
      <c r="R1690" s="14">
        <v>550</v>
      </c>
      <c r="S1690" s="7"/>
      <c r="T1690" s="7"/>
      <c r="U1690" s="14">
        <v>550</v>
      </c>
      <c r="V1690" s="7"/>
      <c r="W1690" s="7"/>
      <c r="X1690" s="7"/>
      <c r="Y1690" s="7"/>
      <c r="Z1690" s="12"/>
      <c r="AA1690" s="14">
        <v>550</v>
      </c>
    </row>
    <row r="1691" spans="1:27" outlineLevel="6">
      <c r="A1691" s="3501" t="s">
        <v>260</v>
      </c>
      <c r="B1691" s="3501"/>
      <c r="C1691" s="7"/>
      <c r="D1691" s="7"/>
      <c r="E1691" s="14">
        <v>550</v>
      </c>
      <c r="F1691" s="7"/>
      <c r="G1691" s="14">
        <v>550</v>
      </c>
      <c r="H1691" s="3523">
        <v>550</v>
      </c>
      <c r="I1691" s="3523"/>
      <c r="J1691" s="7"/>
      <c r="K1691" s="7"/>
      <c r="L1691" s="7"/>
      <c r="M1691" s="7"/>
      <c r="N1691" s="7"/>
      <c r="O1691" s="7"/>
      <c r="P1691" s="7"/>
      <c r="Q1691" s="7"/>
      <c r="R1691" s="14">
        <v>550</v>
      </c>
      <c r="S1691" s="7"/>
      <c r="T1691" s="7"/>
      <c r="U1691" s="14">
        <v>550</v>
      </c>
      <c r="V1691" s="7"/>
      <c r="W1691" s="7"/>
      <c r="X1691" s="7"/>
      <c r="Y1691" s="7"/>
      <c r="Z1691" s="7"/>
      <c r="AA1691" s="7"/>
    </row>
    <row r="1692" spans="1:27" outlineLevel="7">
      <c r="A1692" s="3500" t="s">
        <v>261</v>
      </c>
      <c r="B1692" s="3500"/>
      <c r="C1692" s="7"/>
      <c r="D1692" s="7"/>
      <c r="E1692" s="14">
        <v>550</v>
      </c>
      <c r="F1692" s="7"/>
      <c r="G1692" s="14">
        <v>550</v>
      </c>
      <c r="H1692" s="3523">
        <v>550</v>
      </c>
      <c r="I1692" s="3523"/>
      <c r="J1692" s="7"/>
      <c r="K1692" s="7"/>
      <c r="L1692" s="7"/>
      <c r="M1692" s="7"/>
      <c r="N1692" s="7"/>
      <c r="O1692" s="7"/>
      <c r="P1692" s="7"/>
      <c r="Q1692" s="7"/>
      <c r="R1692" s="14">
        <v>550</v>
      </c>
      <c r="S1692" s="7"/>
      <c r="T1692" s="7"/>
      <c r="U1692" s="14">
        <v>550</v>
      </c>
      <c r="V1692" s="7"/>
      <c r="W1692" s="7"/>
      <c r="X1692" s="7"/>
      <c r="Y1692" s="7"/>
      <c r="Z1692" s="7"/>
      <c r="AA1692" s="7"/>
    </row>
    <row r="1693" spans="1:27" outlineLevel="7">
      <c r="A1693" s="3499" t="s">
        <v>2085</v>
      </c>
      <c r="B1693" s="3499"/>
      <c r="C1693" s="7"/>
      <c r="D1693" s="7"/>
      <c r="E1693" s="14">
        <v>550</v>
      </c>
      <c r="F1693" s="7"/>
      <c r="G1693" s="14">
        <v>550</v>
      </c>
      <c r="H1693" s="3523">
        <v>550</v>
      </c>
      <c r="I1693" s="3523"/>
      <c r="J1693" s="7"/>
      <c r="K1693" s="7"/>
      <c r="L1693" s="7"/>
      <c r="M1693" s="7"/>
      <c r="N1693" s="7"/>
      <c r="O1693" s="7"/>
      <c r="P1693" s="7"/>
      <c r="Q1693" s="7"/>
      <c r="R1693" s="14">
        <v>550</v>
      </c>
      <c r="S1693" s="7"/>
      <c r="T1693" s="7"/>
      <c r="U1693" s="14">
        <v>550</v>
      </c>
      <c r="V1693" s="7"/>
      <c r="W1693" s="7"/>
      <c r="X1693" s="7"/>
      <c r="Y1693" s="7"/>
      <c r="Z1693" s="7"/>
      <c r="AA1693" s="7"/>
    </row>
    <row r="1694" spans="1:27" outlineLevel="6">
      <c r="A1694" s="3501" t="s">
        <v>931</v>
      </c>
      <c r="B1694" s="3501"/>
      <c r="C1694" s="12"/>
      <c r="D1694" s="12"/>
      <c r="E1694" s="12"/>
      <c r="F1694" s="7"/>
      <c r="G1694" s="7"/>
      <c r="H1694" s="8"/>
      <c r="I1694" s="9"/>
      <c r="J1694" s="7"/>
      <c r="K1694" s="7"/>
      <c r="L1694" s="7"/>
      <c r="M1694" s="7"/>
      <c r="N1694" s="7"/>
      <c r="O1694" s="7"/>
      <c r="P1694" s="7"/>
      <c r="Q1694" s="7"/>
      <c r="R1694" s="14">
        <v>550</v>
      </c>
      <c r="S1694" s="7"/>
      <c r="T1694" s="7"/>
      <c r="U1694" s="14">
        <v>550</v>
      </c>
      <c r="V1694" s="7"/>
      <c r="W1694" s="7"/>
      <c r="X1694" s="7"/>
      <c r="Y1694" s="7"/>
      <c r="Z1694" s="12"/>
      <c r="AA1694" s="14">
        <v>550</v>
      </c>
    </row>
    <row r="1695" spans="1:27" outlineLevel="7">
      <c r="A1695" s="3500" t="s">
        <v>932</v>
      </c>
      <c r="B1695" s="3500"/>
      <c r="C1695" s="12"/>
      <c r="D1695" s="12"/>
      <c r="E1695" s="12"/>
      <c r="F1695" s="7"/>
      <c r="G1695" s="7"/>
      <c r="H1695" s="8"/>
      <c r="I1695" s="9"/>
      <c r="J1695" s="7"/>
      <c r="K1695" s="7"/>
      <c r="L1695" s="7"/>
      <c r="M1695" s="7"/>
      <c r="N1695" s="7"/>
      <c r="O1695" s="7"/>
      <c r="P1695" s="7"/>
      <c r="Q1695" s="7"/>
      <c r="R1695" s="14">
        <v>550</v>
      </c>
      <c r="S1695" s="7"/>
      <c r="T1695" s="7"/>
      <c r="U1695" s="14">
        <v>550</v>
      </c>
      <c r="V1695" s="7"/>
      <c r="W1695" s="7"/>
      <c r="X1695" s="7"/>
      <c r="Y1695" s="7"/>
      <c r="Z1695" s="12"/>
      <c r="AA1695" s="14">
        <v>550</v>
      </c>
    </row>
    <row r="1696" spans="1:27" outlineLevel="7">
      <c r="A1696" s="3499" t="s">
        <v>2086</v>
      </c>
      <c r="B1696" s="3499"/>
      <c r="C1696" s="12"/>
      <c r="D1696" s="12"/>
      <c r="E1696" s="12"/>
      <c r="F1696" s="7"/>
      <c r="G1696" s="7"/>
      <c r="H1696" s="8"/>
      <c r="I1696" s="9"/>
      <c r="J1696" s="7"/>
      <c r="K1696" s="7"/>
      <c r="L1696" s="7"/>
      <c r="M1696" s="7"/>
      <c r="N1696" s="7"/>
      <c r="O1696" s="7"/>
      <c r="P1696" s="7"/>
      <c r="Q1696" s="7"/>
      <c r="R1696" s="14">
        <v>550</v>
      </c>
      <c r="S1696" s="7"/>
      <c r="T1696" s="7"/>
      <c r="U1696" s="14">
        <v>550</v>
      </c>
      <c r="V1696" s="7"/>
      <c r="W1696" s="7"/>
      <c r="X1696" s="7"/>
      <c r="Y1696" s="7"/>
      <c r="Z1696" s="12"/>
      <c r="AA1696" s="14">
        <v>550</v>
      </c>
    </row>
    <row r="1697" spans="1:27" outlineLevel="6">
      <c r="A1697" s="3501" t="s">
        <v>262</v>
      </c>
      <c r="B1697" s="3501"/>
      <c r="C1697" s="12"/>
      <c r="D1697" s="14">
        <v>550</v>
      </c>
      <c r="E1697" s="14">
        <v>550</v>
      </c>
      <c r="F1697" s="7"/>
      <c r="G1697" s="14">
        <v>550</v>
      </c>
      <c r="H1697" s="3523">
        <v>550</v>
      </c>
      <c r="I1697" s="3523"/>
      <c r="J1697" s="7"/>
      <c r="K1697" s="7"/>
      <c r="L1697" s="7"/>
      <c r="M1697" s="7"/>
      <c r="N1697" s="7"/>
      <c r="O1697" s="7"/>
      <c r="P1697" s="7"/>
      <c r="Q1697" s="7"/>
      <c r="R1697" s="12"/>
      <c r="S1697" s="7"/>
      <c r="T1697" s="7"/>
      <c r="U1697" s="7"/>
      <c r="V1697" s="7"/>
      <c r="W1697" s="7"/>
      <c r="X1697" s="7"/>
      <c r="Y1697" s="7"/>
      <c r="Z1697" s="12"/>
      <c r="AA1697" s="12"/>
    </row>
    <row r="1698" spans="1:27" outlineLevel="7">
      <c r="A1698" s="3500" t="s">
        <v>263</v>
      </c>
      <c r="B1698" s="3500"/>
      <c r="C1698" s="12"/>
      <c r="D1698" s="14">
        <v>550</v>
      </c>
      <c r="E1698" s="14">
        <v>550</v>
      </c>
      <c r="F1698" s="7"/>
      <c r="G1698" s="14">
        <v>550</v>
      </c>
      <c r="H1698" s="3523">
        <v>550</v>
      </c>
      <c r="I1698" s="3523"/>
      <c r="J1698" s="7"/>
      <c r="K1698" s="7"/>
      <c r="L1698" s="7"/>
      <c r="M1698" s="7"/>
      <c r="N1698" s="7"/>
      <c r="O1698" s="7"/>
      <c r="P1698" s="7"/>
      <c r="Q1698" s="7"/>
      <c r="R1698" s="12"/>
      <c r="S1698" s="7"/>
      <c r="T1698" s="7"/>
      <c r="U1698" s="7"/>
      <c r="V1698" s="7"/>
      <c r="W1698" s="7"/>
      <c r="X1698" s="7"/>
      <c r="Y1698" s="7"/>
      <c r="Z1698" s="12"/>
      <c r="AA1698" s="12"/>
    </row>
    <row r="1699" spans="1:27" outlineLevel="7">
      <c r="A1699" s="3499" t="s">
        <v>2087</v>
      </c>
      <c r="B1699" s="3499"/>
      <c r="C1699" s="12"/>
      <c r="D1699" s="14">
        <v>550</v>
      </c>
      <c r="E1699" s="14">
        <v>550</v>
      </c>
      <c r="F1699" s="7"/>
      <c r="G1699" s="14">
        <v>550</v>
      </c>
      <c r="H1699" s="3523">
        <v>550</v>
      </c>
      <c r="I1699" s="3523"/>
      <c r="J1699" s="7"/>
      <c r="K1699" s="7"/>
      <c r="L1699" s="7"/>
      <c r="M1699" s="7"/>
      <c r="N1699" s="7"/>
      <c r="O1699" s="7"/>
      <c r="P1699" s="7"/>
      <c r="Q1699" s="7"/>
      <c r="R1699" s="12"/>
      <c r="S1699" s="7"/>
      <c r="T1699" s="7"/>
      <c r="U1699" s="7"/>
      <c r="V1699" s="7"/>
      <c r="W1699" s="7"/>
      <c r="X1699" s="7"/>
      <c r="Y1699" s="7"/>
      <c r="Z1699" s="12"/>
      <c r="AA1699" s="12"/>
    </row>
    <row r="1700" spans="1:27" outlineLevel="6">
      <c r="A1700" s="3501" t="s">
        <v>933</v>
      </c>
      <c r="B1700" s="3501"/>
      <c r="C1700" s="12"/>
      <c r="D1700" s="12"/>
      <c r="E1700" s="12"/>
      <c r="F1700" s="7"/>
      <c r="G1700" s="7"/>
      <c r="H1700" s="8"/>
      <c r="I1700" s="9"/>
      <c r="J1700" s="7"/>
      <c r="K1700" s="7"/>
      <c r="L1700" s="7"/>
      <c r="M1700" s="7"/>
      <c r="N1700" s="7"/>
      <c r="O1700" s="7"/>
      <c r="P1700" s="7"/>
      <c r="Q1700" s="7"/>
      <c r="R1700" s="14">
        <v>550</v>
      </c>
      <c r="S1700" s="7"/>
      <c r="T1700" s="7"/>
      <c r="U1700" s="14">
        <v>550</v>
      </c>
      <c r="V1700" s="7"/>
      <c r="W1700" s="7"/>
      <c r="X1700" s="7"/>
      <c r="Y1700" s="7"/>
      <c r="Z1700" s="12"/>
      <c r="AA1700" s="14">
        <v>550</v>
      </c>
    </row>
    <row r="1701" spans="1:27" outlineLevel="7">
      <c r="A1701" s="3500" t="s">
        <v>934</v>
      </c>
      <c r="B1701" s="3500"/>
      <c r="C1701" s="12"/>
      <c r="D1701" s="12"/>
      <c r="E1701" s="12"/>
      <c r="F1701" s="7"/>
      <c r="G1701" s="7"/>
      <c r="H1701" s="8"/>
      <c r="I1701" s="9"/>
      <c r="J1701" s="7"/>
      <c r="K1701" s="7"/>
      <c r="L1701" s="7"/>
      <c r="M1701" s="7"/>
      <c r="N1701" s="7"/>
      <c r="O1701" s="7"/>
      <c r="P1701" s="7"/>
      <c r="Q1701" s="7"/>
      <c r="R1701" s="14">
        <v>550</v>
      </c>
      <c r="S1701" s="7"/>
      <c r="T1701" s="7"/>
      <c r="U1701" s="14">
        <v>550</v>
      </c>
      <c r="V1701" s="7"/>
      <c r="W1701" s="7"/>
      <c r="X1701" s="7"/>
      <c r="Y1701" s="7"/>
      <c r="Z1701" s="12"/>
      <c r="AA1701" s="14">
        <v>550</v>
      </c>
    </row>
    <row r="1702" spans="1:27" outlineLevel="7">
      <c r="A1702" s="3499" t="s">
        <v>2088</v>
      </c>
      <c r="B1702" s="3499"/>
      <c r="C1702" s="12"/>
      <c r="D1702" s="12"/>
      <c r="E1702" s="12"/>
      <c r="F1702" s="7"/>
      <c r="G1702" s="7"/>
      <c r="H1702" s="8"/>
      <c r="I1702" s="9"/>
      <c r="J1702" s="7"/>
      <c r="K1702" s="7"/>
      <c r="L1702" s="7"/>
      <c r="M1702" s="7"/>
      <c r="N1702" s="7"/>
      <c r="O1702" s="7"/>
      <c r="P1702" s="7"/>
      <c r="Q1702" s="7"/>
      <c r="R1702" s="14">
        <v>550</v>
      </c>
      <c r="S1702" s="7"/>
      <c r="T1702" s="7"/>
      <c r="U1702" s="14">
        <v>550</v>
      </c>
      <c r="V1702" s="7"/>
      <c r="W1702" s="7"/>
      <c r="X1702" s="7"/>
      <c r="Y1702" s="7"/>
      <c r="Z1702" s="12"/>
      <c r="AA1702" s="14">
        <v>550</v>
      </c>
    </row>
    <row r="1703" spans="1:27" outlineLevel="6">
      <c r="A1703" s="3501" t="s">
        <v>935</v>
      </c>
      <c r="B1703" s="3501"/>
      <c r="C1703" s="12"/>
      <c r="D1703" s="12"/>
      <c r="E1703" s="12"/>
      <c r="F1703" s="7"/>
      <c r="G1703" s="7"/>
      <c r="H1703" s="8"/>
      <c r="I1703" s="9"/>
      <c r="J1703" s="7"/>
      <c r="K1703" s="7"/>
      <c r="L1703" s="7"/>
      <c r="M1703" s="7"/>
      <c r="N1703" s="7"/>
      <c r="O1703" s="7"/>
      <c r="P1703" s="7"/>
      <c r="Q1703" s="7"/>
      <c r="R1703" s="14">
        <v>550</v>
      </c>
      <c r="S1703" s="7"/>
      <c r="T1703" s="7"/>
      <c r="U1703" s="14">
        <v>550</v>
      </c>
      <c r="V1703" s="7"/>
      <c r="W1703" s="7"/>
      <c r="X1703" s="7"/>
      <c r="Y1703" s="7"/>
      <c r="Z1703" s="12"/>
      <c r="AA1703" s="14">
        <v>550</v>
      </c>
    </row>
    <row r="1704" spans="1:27" outlineLevel="7">
      <c r="A1704" s="3500" t="s">
        <v>936</v>
      </c>
      <c r="B1704" s="3500"/>
      <c r="C1704" s="12"/>
      <c r="D1704" s="12"/>
      <c r="E1704" s="12"/>
      <c r="F1704" s="7"/>
      <c r="G1704" s="7"/>
      <c r="H1704" s="8"/>
      <c r="I1704" s="9"/>
      <c r="J1704" s="7"/>
      <c r="K1704" s="7"/>
      <c r="L1704" s="7"/>
      <c r="M1704" s="7"/>
      <c r="N1704" s="7"/>
      <c r="O1704" s="7"/>
      <c r="P1704" s="7"/>
      <c r="Q1704" s="7"/>
      <c r="R1704" s="14">
        <v>550</v>
      </c>
      <c r="S1704" s="7"/>
      <c r="T1704" s="7"/>
      <c r="U1704" s="14">
        <v>550</v>
      </c>
      <c r="V1704" s="7"/>
      <c r="W1704" s="7"/>
      <c r="X1704" s="7"/>
      <c r="Y1704" s="7"/>
      <c r="Z1704" s="12"/>
      <c r="AA1704" s="14">
        <v>550</v>
      </c>
    </row>
    <row r="1705" spans="1:27" outlineLevel="7">
      <c r="A1705" s="3499" t="s">
        <v>2089</v>
      </c>
      <c r="B1705" s="3499"/>
      <c r="C1705" s="12"/>
      <c r="D1705" s="12"/>
      <c r="E1705" s="12"/>
      <c r="F1705" s="7"/>
      <c r="G1705" s="7"/>
      <c r="H1705" s="8"/>
      <c r="I1705" s="9"/>
      <c r="J1705" s="7"/>
      <c r="K1705" s="7"/>
      <c r="L1705" s="7"/>
      <c r="M1705" s="7"/>
      <c r="N1705" s="7"/>
      <c r="O1705" s="7"/>
      <c r="P1705" s="7"/>
      <c r="Q1705" s="7"/>
      <c r="R1705" s="14">
        <v>550</v>
      </c>
      <c r="S1705" s="7"/>
      <c r="T1705" s="7"/>
      <c r="U1705" s="14">
        <v>550</v>
      </c>
      <c r="V1705" s="7"/>
      <c r="W1705" s="7"/>
      <c r="X1705" s="7"/>
      <c r="Y1705" s="7"/>
      <c r="Z1705" s="12"/>
      <c r="AA1705" s="14">
        <v>550</v>
      </c>
    </row>
    <row r="1706" spans="1:27" outlineLevel="6">
      <c r="A1706" s="3501" t="s">
        <v>937</v>
      </c>
      <c r="B1706" s="3501"/>
      <c r="C1706" s="12"/>
      <c r="D1706" s="12"/>
      <c r="E1706" s="12"/>
      <c r="F1706" s="7"/>
      <c r="G1706" s="7"/>
      <c r="H1706" s="8"/>
      <c r="I1706" s="9"/>
      <c r="J1706" s="7"/>
      <c r="K1706" s="7"/>
      <c r="L1706" s="7"/>
      <c r="M1706" s="7"/>
      <c r="N1706" s="7"/>
      <c r="O1706" s="7"/>
      <c r="P1706" s="7"/>
      <c r="Q1706" s="7"/>
      <c r="R1706" s="14">
        <v>550</v>
      </c>
      <c r="S1706" s="7"/>
      <c r="T1706" s="7"/>
      <c r="U1706" s="14">
        <v>550</v>
      </c>
      <c r="V1706" s="7"/>
      <c r="W1706" s="7"/>
      <c r="X1706" s="7"/>
      <c r="Y1706" s="7"/>
      <c r="Z1706" s="12"/>
      <c r="AA1706" s="14">
        <v>550</v>
      </c>
    </row>
    <row r="1707" spans="1:27" outlineLevel="7">
      <c r="A1707" s="3500" t="s">
        <v>938</v>
      </c>
      <c r="B1707" s="3500"/>
      <c r="C1707" s="12"/>
      <c r="D1707" s="12"/>
      <c r="E1707" s="12"/>
      <c r="F1707" s="7"/>
      <c r="G1707" s="7"/>
      <c r="H1707" s="8"/>
      <c r="I1707" s="9"/>
      <c r="J1707" s="7"/>
      <c r="K1707" s="7"/>
      <c r="L1707" s="7"/>
      <c r="M1707" s="7"/>
      <c r="N1707" s="7"/>
      <c r="O1707" s="7"/>
      <c r="P1707" s="7"/>
      <c r="Q1707" s="7"/>
      <c r="R1707" s="14">
        <v>550</v>
      </c>
      <c r="S1707" s="7"/>
      <c r="T1707" s="7"/>
      <c r="U1707" s="14">
        <v>550</v>
      </c>
      <c r="V1707" s="7"/>
      <c r="W1707" s="7"/>
      <c r="X1707" s="7"/>
      <c r="Y1707" s="7"/>
      <c r="Z1707" s="12"/>
      <c r="AA1707" s="14">
        <v>550</v>
      </c>
    </row>
    <row r="1708" spans="1:27" outlineLevel="7">
      <c r="A1708" s="3499" t="s">
        <v>2090</v>
      </c>
      <c r="B1708" s="3499"/>
      <c r="C1708" s="12"/>
      <c r="D1708" s="12"/>
      <c r="E1708" s="12"/>
      <c r="F1708" s="7"/>
      <c r="G1708" s="7"/>
      <c r="H1708" s="8"/>
      <c r="I1708" s="9"/>
      <c r="J1708" s="7"/>
      <c r="K1708" s="7"/>
      <c r="L1708" s="7"/>
      <c r="M1708" s="7"/>
      <c r="N1708" s="7"/>
      <c r="O1708" s="7"/>
      <c r="P1708" s="7"/>
      <c r="Q1708" s="7"/>
      <c r="R1708" s="14">
        <v>550</v>
      </c>
      <c r="S1708" s="7"/>
      <c r="T1708" s="7"/>
      <c r="U1708" s="14">
        <v>550</v>
      </c>
      <c r="V1708" s="7"/>
      <c r="W1708" s="7"/>
      <c r="X1708" s="7"/>
      <c r="Y1708" s="7"/>
      <c r="Z1708" s="12"/>
      <c r="AA1708" s="14">
        <v>550</v>
      </c>
    </row>
    <row r="1709" spans="1:27" outlineLevel="6">
      <c r="A1709" s="3501" t="s">
        <v>939</v>
      </c>
      <c r="B1709" s="3501"/>
      <c r="C1709" s="12"/>
      <c r="D1709" s="12"/>
      <c r="E1709" s="12"/>
      <c r="F1709" s="7"/>
      <c r="G1709" s="7"/>
      <c r="H1709" s="8"/>
      <c r="I1709" s="9"/>
      <c r="J1709" s="7"/>
      <c r="K1709" s="7"/>
      <c r="L1709" s="7"/>
      <c r="M1709" s="7"/>
      <c r="N1709" s="7"/>
      <c r="O1709" s="7"/>
      <c r="P1709" s="7"/>
      <c r="Q1709" s="7"/>
      <c r="R1709" s="14">
        <v>550</v>
      </c>
      <c r="S1709" s="7"/>
      <c r="T1709" s="7"/>
      <c r="U1709" s="14">
        <v>550</v>
      </c>
      <c r="V1709" s="7"/>
      <c r="W1709" s="7"/>
      <c r="X1709" s="7"/>
      <c r="Y1709" s="7"/>
      <c r="Z1709" s="12"/>
      <c r="AA1709" s="14">
        <v>550</v>
      </c>
    </row>
    <row r="1710" spans="1:27" outlineLevel="7">
      <c r="A1710" s="3500" t="s">
        <v>940</v>
      </c>
      <c r="B1710" s="3500"/>
      <c r="C1710" s="12"/>
      <c r="D1710" s="12"/>
      <c r="E1710" s="12"/>
      <c r="F1710" s="7"/>
      <c r="G1710" s="7"/>
      <c r="H1710" s="8"/>
      <c r="I1710" s="9"/>
      <c r="J1710" s="7"/>
      <c r="K1710" s="7"/>
      <c r="L1710" s="7"/>
      <c r="M1710" s="7"/>
      <c r="N1710" s="7"/>
      <c r="O1710" s="7"/>
      <c r="P1710" s="7"/>
      <c r="Q1710" s="7"/>
      <c r="R1710" s="14">
        <v>550</v>
      </c>
      <c r="S1710" s="7"/>
      <c r="T1710" s="7"/>
      <c r="U1710" s="14">
        <v>550</v>
      </c>
      <c r="V1710" s="7"/>
      <c r="W1710" s="7"/>
      <c r="X1710" s="7"/>
      <c r="Y1710" s="7"/>
      <c r="Z1710" s="12"/>
      <c r="AA1710" s="14">
        <v>550</v>
      </c>
    </row>
    <row r="1711" spans="1:27" outlineLevel="7">
      <c r="A1711" s="3499" t="s">
        <v>2091</v>
      </c>
      <c r="B1711" s="3499"/>
      <c r="C1711" s="12"/>
      <c r="D1711" s="12"/>
      <c r="E1711" s="12"/>
      <c r="F1711" s="7"/>
      <c r="G1711" s="7"/>
      <c r="H1711" s="8"/>
      <c r="I1711" s="9"/>
      <c r="J1711" s="7"/>
      <c r="K1711" s="7"/>
      <c r="L1711" s="7"/>
      <c r="M1711" s="7"/>
      <c r="N1711" s="7"/>
      <c r="O1711" s="7"/>
      <c r="P1711" s="7"/>
      <c r="Q1711" s="7"/>
      <c r="R1711" s="14">
        <v>550</v>
      </c>
      <c r="S1711" s="7"/>
      <c r="T1711" s="7"/>
      <c r="U1711" s="14">
        <v>550</v>
      </c>
      <c r="V1711" s="7"/>
      <c r="W1711" s="7"/>
      <c r="X1711" s="7"/>
      <c r="Y1711" s="7"/>
      <c r="Z1711" s="12"/>
      <c r="AA1711" s="14">
        <v>550</v>
      </c>
    </row>
    <row r="1712" spans="1:27" outlineLevel="6">
      <c r="A1712" s="3501" t="s">
        <v>264</v>
      </c>
      <c r="B1712" s="3501"/>
      <c r="C1712" s="7"/>
      <c r="D1712" s="7"/>
      <c r="E1712" s="14">
        <v>550</v>
      </c>
      <c r="F1712" s="7"/>
      <c r="G1712" s="14">
        <v>550</v>
      </c>
      <c r="H1712" s="3523">
        <v>550</v>
      </c>
      <c r="I1712" s="3523"/>
      <c r="J1712" s="7"/>
      <c r="K1712" s="7"/>
      <c r="L1712" s="7"/>
      <c r="M1712" s="7"/>
      <c r="N1712" s="7"/>
      <c r="O1712" s="7"/>
      <c r="P1712" s="7"/>
      <c r="Q1712" s="7"/>
      <c r="R1712" s="14">
        <v>550</v>
      </c>
      <c r="S1712" s="7"/>
      <c r="T1712" s="7"/>
      <c r="U1712" s="14">
        <v>550</v>
      </c>
      <c r="V1712" s="7"/>
      <c r="W1712" s="7"/>
      <c r="X1712" s="7"/>
      <c r="Y1712" s="7"/>
      <c r="Z1712" s="7"/>
      <c r="AA1712" s="7"/>
    </row>
    <row r="1713" spans="1:27" outlineLevel="7">
      <c r="A1713" s="3500" t="s">
        <v>265</v>
      </c>
      <c r="B1713" s="3500"/>
      <c r="C1713" s="7"/>
      <c r="D1713" s="7"/>
      <c r="E1713" s="14">
        <v>550</v>
      </c>
      <c r="F1713" s="7"/>
      <c r="G1713" s="14">
        <v>550</v>
      </c>
      <c r="H1713" s="3523">
        <v>550</v>
      </c>
      <c r="I1713" s="3523"/>
      <c r="J1713" s="7"/>
      <c r="K1713" s="7"/>
      <c r="L1713" s="7"/>
      <c r="M1713" s="7"/>
      <c r="N1713" s="7"/>
      <c r="O1713" s="7"/>
      <c r="P1713" s="7"/>
      <c r="Q1713" s="7"/>
      <c r="R1713" s="14">
        <v>550</v>
      </c>
      <c r="S1713" s="7"/>
      <c r="T1713" s="7"/>
      <c r="U1713" s="14">
        <v>550</v>
      </c>
      <c r="V1713" s="7"/>
      <c r="W1713" s="7"/>
      <c r="X1713" s="7"/>
      <c r="Y1713" s="7"/>
      <c r="Z1713" s="7"/>
      <c r="AA1713" s="7"/>
    </row>
    <row r="1714" spans="1:27" outlineLevel="7">
      <c r="A1714" s="3499" t="s">
        <v>2092</v>
      </c>
      <c r="B1714" s="3499"/>
      <c r="C1714" s="7"/>
      <c r="D1714" s="7"/>
      <c r="E1714" s="14">
        <v>550</v>
      </c>
      <c r="F1714" s="7"/>
      <c r="G1714" s="14">
        <v>550</v>
      </c>
      <c r="H1714" s="3523">
        <v>550</v>
      </c>
      <c r="I1714" s="3523"/>
      <c r="J1714" s="7"/>
      <c r="K1714" s="7"/>
      <c r="L1714" s="7"/>
      <c r="M1714" s="7"/>
      <c r="N1714" s="7"/>
      <c r="O1714" s="7"/>
      <c r="P1714" s="7"/>
      <c r="Q1714" s="7"/>
      <c r="R1714" s="14">
        <v>550</v>
      </c>
      <c r="S1714" s="7"/>
      <c r="T1714" s="7"/>
      <c r="U1714" s="14">
        <v>550</v>
      </c>
      <c r="V1714" s="7"/>
      <c r="W1714" s="7"/>
      <c r="X1714" s="7"/>
      <c r="Y1714" s="7"/>
      <c r="Z1714" s="7"/>
      <c r="AA1714" s="7"/>
    </row>
    <row r="1715" spans="1:27" outlineLevel="6">
      <c r="A1715" s="3501" t="s">
        <v>941</v>
      </c>
      <c r="B1715" s="3501"/>
      <c r="C1715" s="12"/>
      <c r="D1715" s="12"/>
      <c r="E1715" s="12"/>
      <c r="F1715" s="7"/>
      <c r="G1715" s="7"/>
      <c r="H1715" s="8"/>
      <c r="I1715" s="9"/>
      <c r="J1715" s="7"/>
      <c r="K1715" s="7"/>
      <c r="L1715" s="7"/>
      <c r="M1715" s="7"/>
      <c r="N1715" s="7"/>
      <c r="O1715" s="7"/>
      <c r="P1715" s="7"/>
      <c r="Q1715" s="7"/>
      <c r="R1715" s="13">
        <v>12591.21</v>
      </c>
      <c r="S1715" s="7"/>
      <c r="T1715" s="7"/>
      <c r="U1715" s="13">
        <v>12591.21</v>
      </c>
      <c r="V1715" s="7"/>
      <c r="W1715" s="7"/>
      <c r="X1715" s="7"/>
      <c r="Y1715" s="7"/>
      <c r="Z1715" s="12"/>
      <c r="AA1715" s="13">
        <v>12591.21</v>
      </c>
    </row>
    <row r="1716" spans="1:27" outlineLevel="7">
      <c r="A1716" s="3500" t="s">
        <v>942</v>
      </c>
      <c r="B1716" s="3500"/>
      <c r="C1716" s="12"/>
      <c r="D1716" s="12"/>
      <c r="E1716" s="12"/>
      <c r="F1716" s="7"/>
      <c r="G1716" s="7"/>
      <c r="H1716" s="8"/>
      <c r="I1716" s="9"/>
      <c r="J1716" s="7"/>
      <c r="K1716" s="7"/>
      <c r="L1716" s="7"/>
      <c r="M1716" s="7"/>
      <c r="N1716" s="7"/>
      <c r="O1716" s="7"/>
      <c r="P1716" s="7"/>
      <c r="Q1716" s="7"/>
      <c r="R1716" s="13">
        <v>12591.21</v>
      </c>
      <c r="S1716" s="7"/>
      <c r="T1716" s="7"/>
      <c r="U1716" s="13">
        <v>12591.21</v>
      </c>
      <c r="V1716" s="7"/>
      <c r="W1716" s="7"/>
      <c r="X1716" s="7"/>
      <c r="Y1716" s="7"/>
      <c r="Z1716" s="12"/>
      <c r="AA1716" s="13">
        <v>12591.21</v>
      </c>
    </row>
    <row r="1717" spans="1:27" outlineLevel="7">
      <c r="A1717" s="3499" t="s">
        <v>2093</v>
      </c>
      <c r="B1717" s="3499"/>
      <c r="C1717" s="12"/>
      <c r="D1717" s="12"/>
      <c r="E1717" s="12"/>
      <c r="F1717" s="7"/>
      <c r="G1717" s="7"/>
      <c r="H1717" s="8"/>
      <c r="I1717" s="9"/>
      <c r="J1717" s="7"/>
      <c r="K1717" s="7"/>
      <c r="L1717" s="7"/>
      <c r="M1717" s="7"/>
      <c r="N1717" s="7"/>
      <c r="O1717" s="7"/>
      <c r="P1717" s="7"/>
      <c r="Q1717" s="7"/>
      <c r="R1717" s="13">
        <v>12591.21</v>
      </c>
      <c r="S1717" s="7"/>
      <c r="T1717" s="7"/>
      <c r="U1717" s="13">
        <v>12591.21</v>
      </c>
      <c r="V1717" s="7"/>
      <c r="W1717" s="7"/>
      <c r="X1717" s="7"/>
      <c r="Y1717" s="7"/>
      <c r="Z1717" s="12"/>
      <c r="AA1717" s="13">
        <v>12591.21</v>
      </c>
    </row>
    <row r="1718" spans="1:27" outlineLevel="6">
      <c r="A1718" s="3501" t="s">
        <v>266</v>
      </c>
      <c r="B1718" s="3501"/>
      <c r="C1718" s="7"/>
      <c r="D1718" s="7"/>
      <c r="E1718" s="14">
        <v>550</v>
      </c>
      <c r="F1718" s="7"/>
      <c r="G1718" s="14">
        <v>550</v>
      </c>
      <c r="H1718" s="3523">
        <v>550</v>
      </c>
      <c r="I1718" s="3523"/>
      <c r="J1718" s="7"/>
      <c r="K1718" s="7"/>
      <c r="L1718" s="7"/>
      <c r="M1718" s="7"/>
      <c r="N1718" s="7"/>
      <c r="O1718" s="7"/>
      <c r="P1718" s="7"/>
      <c r="Q1718" s="7"/>
      <c r="R1718" s="14">
        <v>550</v>
      </c>
      <c r="S1718" s="7"/>
      <c r="T1718" s="7"/>
      <c r="U1718" s="14">
        <v>550</v>
      </c>
      <c r="V1718" s="7"/>
      <c r="W1718" s="7"/>
      <c r="X1718" s="7"/>
      <c r="Y1718" s="7"/>
      <c r="Z1718" s="7"/>
      <c r="AA1718" s="7"/>
    </row>
    <row r="1719" spans="1:27" outlineLevel="7">
      <c r="A1719" s="3500" t="s">
        <v>267</v>
      </c>
      <c r="B1719" s="3500"/>
      <c r="C1719" s="7"/>
      <c r="D1719" s="7"/>
      <c r="E1719" s="14">
        <v>550</v>
      </c>
      <c r="F1719" s="7"/>
      <c r="G1719" s="14">
        <v>550</v>
      </c>
      <c r="H1719" s="3523">
        <v>550</v>
      </c>
      <c r="I1719" s="3523"/>
      <c r="J1719" s="7"/>
      <c r="K1719" s="7"/>
      <c r="L1719" s="7"/>
      <c r="M1719" s="7"/>
      <c r="N1719" s="7"/>
      <c r="O1719" s="7"/>
      <c r="P1719" s="7"/>
      <c r="Q1719" s="7"/>
      <c r="R1719" s="14">
        <v>550</v>
      </c>
      <c r="S1719" s="7"/>
      <c r="T1719" s="7"/>
      <c r="U1719" s="14">
        <v>550</v>
      </c>
      <c r="V1719" s="7"/>
      <c r="W1719" s="7"/>
      <c r="X1719" s="7"/>
      <c r="Y1719" s="7"/>
      <c r="Z1719" s="7"/>
      <c r="AA1719" s="7"/>
    </row>
    <row r="1720" spans="1:27" outlineLevel="7">
      <c r="A1720" s="3499" t="s">
        <v>2094</v>
      </c>
      <c r="B1720" s="3499"/>
      <c r="C1720" s="7"/>
      <c r="D1720" s="7"/>
      <c r="E1720" s="14">
        <v>550</v>
      </c>
      <c r="F1720" s="7"/>
      <c r="G1720" s="14">
        <v>550</v>
      </c>
      <c r="H1720" s="3523">
        <v>550</v>
      </c>
      <c r="I1720" s="3523"/>
      <c r="J1720" s="7"/>
      <c r="K1720" s="7"/>
      <c r="L1720" s="7"/>
      <c r="M1720" s="7"/>
      <c r="N1720" s="7"/>
      <c r="O1720" s="7"/>
      <c r="P1720" s="7"/>
      <c r="Q1720" s="7"/>
      <c r="R1720" s="14">
        <v>550</v>
      </c>
      <c r="S1720" s="7"/>
      <c r="T1720" s="7"/>
      <c r="U1720" s="14">
        <v>550</v>
      </c>
      <c r="V1720" s="7"/>
      <c r="W1720" s="7"/>
      <c r="X1720" s="7"/>
      <c r="Y1720" s="7"/>
      <c r="Z1720" s="7"/>
      <c r="AA1720" s="7"/>
    </row>
    <row r="1721" spans="1:27" outlineLevel="6">
      <c r="A1721" s="3501" t="s">
        <v>268</v>
      </c>
      <c r="B1721" s="3501"/>
      <c r="C1721" s="7"/>
      <c r="D1721" s="7"/>
      <c r="E1721" s="13">
        <v>2563.21</v>
      </c>
      <c r="F1721" s="7"/>
      <c r="G1721" s="13">
        <v>2563.21</v>
      </c>
      <c r="H1721" s="3524">
        <v>2563.21</v>
      </c>
      <c r="I1721" s="3524"/>
      <c r="J1721" s="7"/>
      <c r="K1721" s="7"/>
      <c r="L1721" s="7"/>
      <c r="M1721" s="7"/>
      <c r="N1721" s="7"/>
      <c r="O1721" s="7"/>
      <c r="P1721" s="7"/>
      <c r="Q1721" s="7"/>
      <c r="R1721" s="13">
        <v>2563.21</v>
      </c>
      <c r="S1721" s="7"/>
      <c r="T1721" s="7"/>
      <c r="U1721" s="13">
        <v>2563.21</v>
      </c>
      <c r="V1721" s="7"/>
      <c r="W1721" s="7"/>
      <c r="X1721" s="7"/>
      <c r="Y1721" s="7"/>
      <c r="Z1721" s="7"/>
      <c r="AA1721" s="7"/>
    </row>
    <row r="1722" spans="1:27" outlineLevel="7">
      <c r="A1722" s="3500" t="s">
        <v>269</v>
      </c>
      <c r="B1722" s="3500"/>
      <c r="C1722" s="7"/>
      <c r="D1722" s="7"/>
      <c r="E1722" s="13">
        <v>2563.21</v>
      </c>
      <c r="F1722" s="7"/>
      <c r="G1722" s="13">
        <v>2563.21</v>
      </c>
      <c r="H1722" s="3524">
        <v>2563.21</v>
      </c>
      <c r="I1722" s="3524"/>
      <c r="J1722" s="7"/>
      <c r="K1722" s="7"/>
      <c r="L1722" s="7"/>
      <c r="M1722" s="7"/>
      <c r="N1722" s="7"/>
      <c r="O1722" s="7"/>
      <c r="P1722" s="7"/>
      <c r="Q1722" s="7"/>
      <c r="R1722" s="13">
        <v>2563.21</v>
      </c>
      <c r="S1722" s="7"/>
      <c r="T1722" s="7"/>
      <c r="U1722" s="13">
        <v>2563.21</v>
      </c>
      <c r="V1722" s="7"/>
      <c r="W1722" s="7"/>
      <c r="X1722" s="7"/>
      <c r="Y1722" s="7"/>
      <c r="Z1722" s="7"/>
      <c r="AA1722" s="7"/>
    </row>
    <row r="1723" spans="1:27" outlineLevel="7">
      <c r="A1723" s="3499" t="s">
        <v>2095</v>
      </c>
      <c r="B1723" s="3499"/>
      <c r="C1723" s="7"/>
      <c r="D1723" s="7"/>
      <c r="E1723" s="13">
        <v>2563.21</v>
      </c>
      <c r="F1723" s="7"/>
      <c r="G1723" s="13">
        <v>2563.21</v>
      </c>
      <c r="H1723" s="3524">
        <v>2563.21</v>
      </c>
      <c r="I1723" s="3524"/>
      <c r="J1723" s="7"/>
      <c r="K1723" s="7"/>
      <c r="L1723" s="7"/>
      <c r="M1723" s="7"/>
      <c r="N1723" s="7"/>
      <c r="O1723" s="7"/>
      <c r="P1723" s="7"/>
      <c r="Q1723" s="7"/>
      <c r="R1723" s="13">
        <v>2563.21</v>
      </c>
      <c r="S1723" s="7"/>
      <c r="T1723" s="7"/>
      <c r="U1723" s="13">
        <v>2563.21</v>
      </c>
      <c r="V1723" s="7"/>
      <c r="W1723" s="7"/>
      <c r="X1723" s="7"/>
      <c r="Y1723" s="7"/>
      <c r="Z1723" s="7"/>
      <c r="AA1723" s="7"/>
    </row>
    <row r="1724" spans="1:27" outlineLevel="6">
      <c r="A1724" s="3501" t="s">
        <v>943</v>
      </c>
      <c r="B1724" s="3501"/>
      <c r="C1724" s="12"/>
      <c r="D1724" s="12"/>
      <c r="E1724" s="12"/>
      <c r="F1724" s="7"/>
      <c r="G1724" s="7"/>
      <c r="H1724" s="8"/>
      <c r="I1724" s="9"/>
      <c r="J1724" s="7"/>
      <c r="K1724" s="7"/>
      <c r="L1724" s="7"/>
      <c r="M1724" s="7"/>
      <c r="N1724" s="7"/>
      <c r="O1724" s="7"/>
      <c r="P1724" s="7"/>
      <c r="Q1724" s="7"/>
      <c r="R1724" s="14">
        <v>550</v>
      </c>
      <c r="S1724" s="7"/>
      <c r="T1724" s="7"/>
      <c r="U1724" s="14">
        <v>550</v>
      </c>
      <c r="V1724" s="7"/>
      <c r="W1724" s="7"/>
      <c r="X1724" s="7"/>
      <c r="Y1724" s="7"/>
      <c r="Z1724" s="12"/>
      <c r="AA1724" s="14">
        <v>550</v>
      </c>
    </row>
    <row r="1725" spans="1:27" outlineLevel="7">
      <c r="A1725" s="3500" t="s">
        <v>944</v>
      </c>
      <c r="B1725" s="3500"/>
      <c r="C1725" s="12"/>
      <c r="D1725" s="12"/>
      <c r="E1725" s="12"/>
      <c r="F1725" s="7"/>
      <c r="G1725" s="7"/>
      <c r="H1725" s="8"/>
      <c r="I1725" s="9"/>
      <c r="J1725" s="7"/>
      <c r="K1725" s="7"/>
      <c r="L1725" s="7"/>
      <c r="M1725" s="7"/>
      <c r="N1725" s="7"/>
      <c r="O1725" s="7"/>
      <c r="P1725" s="7"/>
      <c r="Q1725" s="7"/>
      <c r="R1725" s="14">
        <v>550</v>
      </c>
      <c r="S1725" s="7"/>
      <c r="T1725" s="7"/>
      <c r="U1725" s="14">
        <v>550</v>
      </c>
      <c r="V1725" s="7"/>
      <c r="W1725" s="7"/>
      <c r="X1725" s="7"/>
      <c r="Y1725" s="7"/>
      <c r="Z1725" s="12"/>
      <c r="AA1725" s="14">
        <v>550</v>
      </c>
    </row>
    <row r="1726" spans="1:27" outlineLevel="7">
      <c r="A1726" s="3499" t="s">
        <v>2096</v>
      </c>
      <c r="B1726" s="3499"/>
      <c r="C1726" s="12"/>
      <c r="D1726" s="12"/>
      <c r="E1726" s="12"/>
      <c r="F1726" s="7"/>
      <c r="G1726" s="7"/>
      <c r="H1726" s="8"/>
      <c r="I1726" s="9"/>
      <c r="J1726" s="7"/>
      <c r="K1726" s="7"/>
      <c r="L1726" s="7"/>
      <c r="M1726" s="7"/>
      <c r="N1726" s="7"/>
      <c r="O1726" s="7"/>
      <c r="P1726" s="7"/>
      <c r="Q1726" s="7"/>
      <c r="R1726" s="14">
        <v>550</v>
      </c>
      <c r="S1726" s="7"/>
      <c r="T1726" s="7"/>
      <c r="U1726" s="14">
        <v>550</v>
      </c>
      <c r="V1726" s="7"/>
      <c r="W1726" s="7"/>
      <c r="X1726" s="7"/>
      <c r="Y1726" s="7"/>
      <c r="Z1726" s="12"/>
      <c r="AA1726" s="14">
        <v>550</v>
      </c>
    </row>
    <row r="1727" spans="1:27" outlineLevel="6">
      <c r="A1727" s="3501" t="s">
        <v>270</v>
      </c>
      <c r="B1727" s="3501"/>
      <c r="C1727" s="7"/>
      <c r="D1727" s="7"/>
      <c r="E1727" s="13">
        <v>3327.68</v>
      </c>
      <c r="F1727" s="7"/>
      <c r="G1727" s="13">
        <v>3327.68</v>
      </c>
      <c r="H1727" s="3524">
        <v>3327.68</v>
      </c>
      <c r="I1727" s="3524"/>
      <c r="J1727" s="7"/>
      <c r="K1727" s="7"/>
      <c r="L1727" s="7"/>
      <c r="M1727" s="7"/>
      <c r="N1727" s="7"/>
      <c r="O1727" s="7"/>
      <c r="P1727" s="7"/>
      <c r="Q1727" s="7"/>
      <c r="R1727" s="13">
        <v>3327.68</v>
      </c>
      <c r="S1727" s="7"/>
      <c r="T1727" s="7"/>
      <c r="U1727" s="13">
        <v>3327.68</v>
      </c>
      <c r="V1727" s="7"/>
      <c r="W1727" s="7"/>
      <c r="X1727" s="7"/>
      <c r="Y1727" s="7"/>
      <c r="Z1727" s="7"/>
      <c r="AA1727" s="7"/>
    </row>
    <row r="1728" spans="1:27" outlineLevel="7">
      <c r="A1728" s="3500" t="s">
        <v>271</v>
      </c>
      <c r="B1728" s="3500"/>
      <c r="C1728" s="7"/>
      <c r="D1728" s="7"/>
      <c r="E1728" s="13">
        <v>3327.68</v>
      </c>
      <c r="F1728" s="7"/>
      <c r="G1728" s="13">
        <v>3327.68</v>
      </c>
      <c r="H1728" s="3524">
        <v>3327.68</v>
      </c>
      <c r="I1728" s="3524"/>
      <c r="J1728" s="7"/>
      <c r="K1728" s="7"/>
      <c r="L1728" s="7"/>
      <c r="M1728" s="7"/>
      <c r="N1728" s="7"/>
      <c r="O1728" s="7"/>
      <c r="P1728" s="7"/>
      <c r="Q1728" s="7"/>
      <c r="R1728" s="13">
        <v>3327.68</v>
      </c>
      <c r="S1728" s="7"/>
      <c r="T1728" s="7"/>
      <c r="U1728" s="13">
        <v>3327.68</v>
      </c>
      <c r="V1728" s="7"/>
      <c r="W1728" s="7"/>
      <c r="X1728" s="7"/>
      <c r="Y1728" s="7"/>
      <c r="Z1728" s="7"/>
      <c r="AA1728" s="7"/>
    </row>
    <row r="1729" spans="1:27" outlineLevel="7">
      <c r="A1729" s="3499" t="s">
        <v>2097</v>
      </c>
      <c r="B1729" s="3499"/>
      <c r="C1729" s="7"/>
      <c r="D1729" s="7"/>
      <c r="E1729" s="13">
        <v>3327.68</v>
      </c>
      <c r="F1729" s="7"/>
      <c r="G1729" s="13">
        <v>3327.68</v>
      </c>
      <c r="H1729" s="3524">
        <v>3327.68</v>
      </c>
      <c r="I1729" s="3524"/>
      <c r="J1729" s="7"/>
      <c r="K1729" s="7"/>
      <c r="L1729" s="7"/>
      <c r="M1729" s="7"/>
      <c r="N1729" s="7"/>
      <c r="O1729" s="7"/>
      <c r="P1729" s="7"/>
      <c r="Q1729" s="7"/>
      <c r="R1729" s="13">
        <v>3327.68</v>
      </c>
      <c r="S1729" s="7"/>
      <c r="T1729" s="7"/>
      <c r="U1729" s="13">
        <v>3327.68</v>
      </c>
      <c r="V1729" s="7"/>
      <c r="W1729" s="7"/>
      <c r="X1729" s="7"/>
      <c r="Y1729" s="7"/>
      <c r="Z1729" s="7"/>
      <c r="AA1729" s="7"/>
    </row>
    <row r="1730" spans="1:27" outlineLevel="6">
      <c r="A1730" s="3501" t="s">
        <v>945</v>
      </c>
      <c r="B1730" s="3501"/>
      <c r="C1730" s="12"/>
      <c r="D1730" s="12"/>
      <c r="E1730" s="12"/>
      <c r="F1730" s="7"/>
      <c r="G1730" s="7"/>
      <c r="H1730" s="8"/>
      <c r="I1730" s="9"/>
      <c r="J1730" s="7"/>
      <c r="K1730" s="7"/>
      <c r="L1730" s="7"/>
      <c r="M1730" s="7"/>
      <c r="N1730" s="7"/>
      <c r="O1730" s="7"/>
      <c r="P1730" s="7"/>
      <c r="Q1730" s="7"/>
      <c r="R1730" s="14">
        <v>550</v>
      </c>
      <c r="S1730" s="7"/>
      <c r="T1730" s="7"/>
      <c r="U1730" s="14">
        <v>550</v>
      </c>
      <c r="V1730" s="7"/>
      <c r="W1730" s="7"/>
      <c r="X1730" s="7"/>
      <c r="Y1730" s="7"/>
      <c r="Z1730" s="12"/>
      <c r="AA1730" s="14">
        <v>550</v>
      </c>
    </row>
    <row r="1731" spans="1:27" outlineLevel="7">
      <c r="A1731" s="3500" t="s">
        <v>946</v>
      </c>
      <c r="B1731" s="3500"/>
      <c r="C1731" s="12"/>
      <c r="D1731" s="12"/>
      <c r="E1731" s="12"/>
      <c r="F1731" s="7"/>
      <c r="G1731" s="7"/>
      <c r="H1731" s="8"/>
      <c r="I1731" s="9"/>
      <c r="J1731" s="7"/>
      <c r="K1731" s="7"/>
      <c r="L1731" s="7"/>
      <c r="M1731" s="7"/>
      <c r="N1731" s="7"/>
      <c r="O1731" s="7"/>
      <c r="P1731" s="7"/>
      <c r="Q1731" s="7"/>
      <c r="R1731" s="14">
        <v>550</v>
      </c>
      <c r="S1731" s="7"/>
      <c r="T1731" s="7"/>
      <c r="U1731" s="14">
        <v>550</v>
      </c>
      <c r="V1731" s="7"/>
      <c r="W1731" s="7"/>
      <c r="X1731" s="7"/>
      <c r="Y1731" s="7"/>
      <c r="Z1731" s="12"/>
      <c r="AA1731" s="14">
        <v>550</v>
      </c>
    </row>
    <row r="1732" spans="1:27" outlineLevel="7">
      <c r="A1732" s="3499" t="s">
        <v>2098</v>
      </c>
      <c r="B1732" s="3499"/>
      <c r="C1732" s="12"/>
      <c r="D1732" s="12"/>
      <c r="E1732" s="12"/>
      <c r="F1732" s="7"/>
      <c r="G1732" s="7"/>
      <c r="H1732" s="8"/>
      <c r="I1732" s="9"/>
      <c r="J1732" s="7"/>
      <c r="K1732" s="7"/>
      <c r="L1732" s="7"/>
      <c r="M1732" s="7"/>
      <c r="N1732" s="7"/>
      <c r="O1732" s="7"/>
      <c r="P1732" s="7"/>
      <c r="Q1732" s="7"/>
      <c r="R1732" s="14">
        <v>550</v>
      </c>
      <c r="S1732" s="7"/>
      <c r="T1732" s="7"/>
      <c r="U1732" s="14">
        <v>550</v>
      </c>
      <c r="V1732" s="7"/>
      <c r="W1732" s="7"/>
      <c r="X1732" s="7"/>
      <c r="Y1732" s="7"/>
      <c r="Z1732" s="12"/>
      <c r="AA1732" s="14">
        <v>550</v>
      </c>
    </row>
    <row r="1733" spans="1:27" outlineLevel="6">
      <c r="A1733" s="3501" t="s">
        <v>272</v>
      </c>
      <c r="B1733" s="3501"/>
      <c r="C1733" s="7"/>
      <c r="D1733" s="7"/>
      <c r="E1733" s="14">
        <v>550</v>
      </c>
      <c r="F1733" s="7"/>
      <c r="G1733" s="14">
        <v>550</v>
      </c>
      <c r="H1733" s="3523">
        <v>550</v>
      </c>
      <c r="I1733" s="3523"/>
      <c r="J1733" s="7"/>
      <c r="K1733" s="7"/>
      <c r="L1733" s="7"/>
      <c r="M1733" s="7"/>
      <c r="N1733" s="7"/>
      <c r="O1733" s="7"/>
      <c r="P1733" s="7"/>
      <c r="Q1733" s="7"/>
      <c r="R1733" s="14">
        <v>550</v>
      </c>
      <c r="S1733" s="7"/>
      <c r="T1733" s="7"/>
      <c r="U1733" s="14">
        <v>550</v>
      </c>
      <c r="V1733" s="7"/>
      <c r="W1733" s="7"/>
      <c r="X1733" s="7"/>
      <c r="Y1733" s="7"/>
      <c r="Z1733" s="7"/>
      <c r="AA1733" s="7"/>
    </row>
    <row r="1734" spans="1:27" outlineLevel="7">
      <c r="A1734" s="3500" t="s">
        <v>273</v>
      </c>
      <c r="B1734" s="3500"/>
      <c r="C1734" s="7"/>
      <c r="D1734" s="7"/>
      <c r="E1734" s="14">
        <v>550</v>
      </c>
      <c r="F1734" s="7"/>
      <c r="G1734" s="14">
        <v>550</v>
      </c>
      <c r="H1734" s="3523">
        <v>550</v>
      </c>
      <c r="I1734" s="3523"/>
      <c r="J1734" s="7"/>
      <c r="K1734" s="7"/>
      <c r="L1734" s="7"/>
      <c r="M1734" s="7"/>
      <c r="N1734" s="7"/>
      <c r="O1734" s="7"/>
      <c r="P1734" s="7"/>
      <c r="Q1734" s="7"/>
      <c r="R1734" s="14">
        <v>550</v>
      </c>
      <c r="S1734" s="7"/>
      <c r="T1734" s="7"/>
      <c r="U1734" s="14">
        <v>550</v>
      </c>
      <c r="V1734" s="7"/>
      <c r="W1734" s="7"/>
      <c r="X1734" s="7"/>
      <c r="Y1734" s="7"/>
      <c r="Z1734" s="7"/>
      <c r="AA1734" s="7"/>
    </row>
    <row r="1735" spans="1:27" outlineLevel="7">
      <c r="A1735" s="3499" t="s">
        <v>2099</v>
      </c>
      <c r="B1735" s="3499"/>
      <c r="C1735" s="7"/>
      <c r="D1735" s="7"/>
      <c r="E1735" s="14">
        <v>550</v>
      </c>
      <c r="F1735" s="7"/>
      <c r="G1735" s="14">
        <v>550</v>
      </c>
      <c r="H1735" s="3523">
        <v>550</v>
      </c>
      <c r="I1735" s="3523"/>
      <c r="J1735" s="7"/>
      <c r="K1735" s="7"/>
      <c r="L1735" s="7"/>
      <c r="M1735" s="7"/>
      <c r="N1735" s="7"/>
      <c r="O1735" s="7"/>
      <c r="P1735" s="7"/>
      <c r="Q1735" s="7"/>
      <c r="R1735" s="14">
        <v>550</v>
      </c>
      <c r="S1735" s="7"/>
      <c r="T1735" s="7"/>
      <c r="U1735" s="14">
        <v>550</v>
      </c>
      <c r="V1735" s="7"/>
      <c r="W1735" s="7"/>
      <c r="X1735" s="7"/>
      <c r="Y1735" s="7"/>
      <c r="Z1735" s="7"/>
      <c r="AA1735" s="7"/>
    </row>
    <row r="1736" spans="1:27" outlineLevel="6">
      <c r="A1736" s="3501" t="s">
        <v>274</v>
      </c>
      <c r="B1736" s="3501"/>
      <c r="C1736" s="7"/>
      <c r="D1736" s="7"/>
      <c r="E1736" s="14">
        <v>550</v>
      </c>
      <c r="F1736" s="7"/>
      <c r="G1736" s="14">
        <v>550</v>
      </c>
      <c r="H1736" s="3523">
        <v>550</v>
      </c>
      <c r="I1736" s="3523"/>
      <c r="J1736" s="7"/>
      <c r="K1736" s="7"/>
      <c r="L1736" s="7"/>
      <c r="M1736" s="7"/>
      <c r="N1736" s="7"/>
      <c r="O1736" s="7"/>
      <c r="P1736" s="7"/>
      <c r="Q1736" s="7"/>
      <c r="R1736" s="14">
        <v>550</v>
      </c>
      <c r="S1736" s="7"/>
      <c r="T1736" s="7"/>
      <c r="U1736" s="14">
        <v>550</v>
      </c>
      <c r="V1736" s="7"/>
      <c r="W1736" s="7"/>
      <c r="X1736" s="7"/>
      <c r="Y1736" s="7"/>
      <c r="Z1736" s="7"/>
      <c r="AA1736" s="7"/>
    </row>
    <row r="1737" spans="1:27" outlineLevel="7">
      <c r="A1737" s="3500" t="s">
        <v>275</v>
      </c>
      <c r="B1737" s="3500"/>
      <c r="C1737" s="7"/>
      <c r="D1737" s="7"/>
      <c r="E1737" s="14">
        <v>550</v>
      </c>
      <c r="F1737" s="7"/>
      <c r="G1737" s="14">
        <v>550</v>
      </c>
      <c r="H1737" s="3523">
        <v>550</v>
      </c>
      <c r="I1737" s="3523"/>
      <c r="J1737" s="7"/>
      <c r="K1737" s="7"/>
      <c r="L1737" s="7"/>
      <c r="M1737" s="7"/>
      <c r="N1737" s="7"/>
      <c r="O1737" s="7"/>
      <c r="P1737" s="7"/>
      <c r="Q1737" s="7"/>
      <c r="R1737" s="14">
        <v>550</v>
      </c>
      <c r="S1737" s="7"/>
      <c r="T1737" s="7"/>
      <c r="U1737" s="14">
        <v>550</v>
      </c>
      <c r="V1737" s="7"/>
      <c r="W1737" s="7"/>
      <c r="X1737" s="7"/>
      <c r="Y1737" s="7"/>
      <c r="Z1737" s="7"/>
      <c r="AA1737" s="7"/>
    </row>
    <row r="1738" spans="1:27" outlineLevel="7">
      <c r="A1738" s="3499" t="s">
        <v>2100</v>
      </c>
      <c r="B1738" s="3499"/>
      <c r="C1738" s="7"/>
      <c r="D1738" s="7"/>
      <c r="E1738" s="14">
        <v>550</v>
      </c>
      <c r="F1738" s="7"/>
      <c r="G1738" s="14">
        <v>550</v>
      </c>
      <c r="H1738" s="3523">
        <v>550</v>
      </c>
      <c r="I1738" s="3523"/>
      <c r="J1738" s="7"/>
      <c r="K1738" s="7"/>
      <c r="L1738" s="7"/>
      <c r="M1738" s="7"/>
      <c r="N1738" s="7"/>
      <c r="O1738" s="7"/>
      <c r="P1738" s="7"/>
      <c r="Q1738" s="7"/>
      <c r="R1738" s="14">
        <v>550</v>
      </c>
      <c r="S1738" s="7"/>
      <c r="T1738" s="7"/>
      <c r="U1738" s="14">
        <v>550</v>
      </c>
      <c r="V1738" s="7"/>
      <c r="W1738" s="7"/>
      <c r="X1738" s="7"/>
      <c r="Y1738" s="7"/>
      <c r="Z1738" s="7"/>
      <c r="AA1738" s="7"/>
    </row>
    <row r="1739" spans="1:27" outlineLevel="6">
      <c r="A1739" s="3501" t="s">
        <v>276</v>
      </c>
      <c r="B1739" s="3501"/>
      <c r="C1739" s="7"/>
      <c r="D1739" s="7"/>
      <c r="E1739" s="13">
        <v>1100</v>
      </c>
      <c r="F1739" s="7"/>
      <c r="G1739" s="13">
        <v>1100</v>
      </c>
      <c r="H1739" s="3524">
        <v>1100</v>
      </c>
      <c r="I1739" s="3524"/>
      <c r="J1739" s="7"/>
      <c r="K1739" s="7"/>
      <c r="L1739" s="7"/>
      <c r="M1739" s="7"/>
      <c r="N1739" s="7"/>
      <c r="O1739" s="7"/>
      <c r="P1739" s="7"/>
      <c r="Q1739" s="7"/>
      <c r="R1739" s="13">
        <v>1100</v>
      </c>
      <c r="S1739" s="7"/>
      <c r="T1739" s="7"/>
      <c r="U1739" s="13">
        <v>1100</v>
      </c>
      <c r="V1739" s="7"/>
      <c r="W1739" s="7"/>
      <c r="X1739" s="7"/>
      <c r="Y1739" s="7"/>
      <c r="Z1739" s="7"/>
      <c r="AA1739" s="7"/>
    </row>
    <row r="1740" spans="1:27" outlineLevel="7">
      <c r="A1740" s="3500" t="s">
        <v>277</v>
      </c>
      <c r="B1740" s="3500"/>
      <c r="C1740" s="7"/>
      <c r="D1740" s="7"/>
      <c r="E1740" s="14">
        <v>550</v>
      </c>
      <c r="F1740" s="7"/>
      <c r="G1740" s="14">
        <v>550</v>
      </c>
      <c r="H1740" s="3523">
        <v>550</v>
      </c>
      <c r="I1740" s="3523"/>
      <c r="J1740" s="7"/>
      <c r="K1740" s="7"/>
      <c r="L1740" s="7"/>
      <c r="M1740" s="7"/>
      <c r="N1740" s="7"/>
      <c r="O1740" s="7"/>
      <c r="P1740" s="7"/>
      <c r="Q1740" s="7"/>
      <c r="R1740" s="14">
        <v>550</v>
      </c>
      <c r="S1740" s="7"/>
      <c r="T1740" s="7"/>
      <c r="U1740" s="14">
        <v>550</v>
      </c>
      <c r="V1740" s="7"/>
      <c r="W1740" s="7"/>
      <c r="X1740" s="7"/>
      <c r="Y1740" s="7"/>
      <c r="Z1740" s="7"/>
      <c r="AA1740" s="7"/>
    </row>
    <row r="1741" spans="1:27" outlineLevel="7">
      <c r="A1741" s="3499" t="s">
        <v>2101</v>
      </c>
      <c r="B1741" s="3499"/>
      <c r="C1741" s="7"/>
      <c r="D1741" s="7"/>
      <c r="E1741" s="14">
        <v>550</v>
      </c>
      <c r="F1741" s="7"/>
      <c r="G1741" s="14">
        <v>550</v>
      </c>
      <c r="H1741" s="3523">
        <v>550</v>
      </c>
      <c r="I1741" s="3523"/>
      <c r="J1741" s="7"/>
      <c r="K1741" s="7"/>
      <c r="L1741" s="7"/>
      <c r="M1741" s="7"/>
      <c r="N1741" s="7"/>
      <c r="O1741" s="7"/>
      <c r="P1741" s="7"/>
      <c r="Q1741" s="7"/>
      <c r="R1741" s="14">
        <v>550</v>
      </c>
      <c r="S1741" s="7"/>
      <c r="T1741" s="7"/>
      <c r="U1741" s="14">
        <v>550</v>
      </c>
      <c r="V1741" s="7"/>
      <c r="W1741" s="7"/>
      <c r="X1741" s="7"/>
      <c r="Y1741" s="7"/>
      <c r="Z1741" s="7"/>
      <c r="AA1741" s="7"/>
    </row>
    <row r="1742" spans="1:27" outlineLevel="7">
      <c r="A1742" s="3500" t="s">
        <v>278</v>
      </c>
      <c r="B1742" s="3500"/>
      <c r="C1742" s="7"/>
      <c r="D1742" s="7"/>
      <c r="E1742" s="14">
        <v>550</v>
      </c>
      <c r="F1742" s="7"/>
      <c r="G1742" s="14">
        <v>550</v>
      </c>
      <c r="H1742" s="3523">
        <v>550</v>
      </c>
      <c r="I1742" s="3523"/>
      <c r="J1742" s="7"/>
      <c r="K1742" s="7"/>
      <c r="L1742" s="7"/>
      <c r="M1742" s="7"/>
      <c r="N1742" s="7"/>
      <c r="O1742" s="7"/>
      <c r="P1742" s="7"/>
      <c r="Q1742" s="7"/>
      <c r="R1742" s="14">
        <v>550</v>
      </c>
      <c r="S1742" s="7"/>
      <c r="T1742" s="7"/>
      <c r="U1742" s="14">
        <v>550</v>
      </c>
      <c r="V1742" s="7"/>
      <c r="W1742" s="7"/>
      <c r="X1742" s="7"/>
      <c r="Y1742" s="7"/>
      <c r="Z1742" s="7"/>
      <c r="AA1742" s="7"/>
    </row>
    <row r="1743" spans="1:27" outlineLevel="7">
      <c r="A1743" s="3499" t="s">
        <v>2102</v>
      </c>
      <c r="B1743" s="3499"/>
      <c r="C1743" s="7"/>
      <c r="D1743" s="7"/>
      <c r="E1743" s="14">
        <v>550</v>
      </c>
      <c r="F1743" s="7"/>
      <c r="G1743" s="14">
        <v>550</v>
      </c>
      <c r="H1743" s="3523">
        <v>550</v>
      </c>
      <c r="I1743" s="3523"/>
      <c r="J1743" s="7"/>
      <c r="K1743" s="7"/>
      <c r="L1743" s="7"/>
      <c r="M1743" s="7"/>
      <c r="N1743" s="7"/>
      <c r="O1743" s="7"/>
      <c r="P1743" s="7"/>
      <c r="Q1743" s="7"/>
      <c r="R1743" s="14">
        <v>550</v>
      </c>
      <c r="S1743" s="7"/>
      <c r="T1743" s="7"/>
      <c r="U1743" s="14">
        <v>550</v>
      </c>
      <c r="V1743" s="7"/>
      <c r="W1743" s="7"/>
      <c r="X1743" s="7"/>
      <c r="Y1743" s="7"/>
      <c r="Z1743" s="7"/>
      <c r="AA1743" s="7"/>
    </row>
    <row r="1744" spans="1:27" outlineLevel="6">
      <c r="A1744" s="3501" t="s">
        <v>947</v>
      </c>
      <c r="B1744" s="3501"/>
      <c r="C1744" s="12"/>
      <c r="D1744" s="14">
        <v>550</v>
      </c>
      <c r="E1744" s="7"/>
      <c r="F1744" s="7"/>
      <c r="G1744" s="7"/>
      <c r="H1744" s="8"/>
      <c r="I1744" s="9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12"/>
      <c r="AA1744" s="14">
        <v>550</v>
      </c>
    </row>
    <row r="1745" spans="1:27" outlineLevel="7">
      <c r="A1745" s="3500" t="s">
        <v>948</v>
      </c>
      <c r="B1745" s="3500"/>
      <c r="C1745" s="12"/>
      <c r="D1745" s="14">
        <v>550</v>
      </c>
      <c r="E1745" s="7"/>
      <c r="F1745" s="7"/>
      <c r="G1745" s="7"/>
      <c r="H1745" s="8"/>
      <c r="I1745" s="9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12"/>
      <c r="AA1745" s="14">
        <v>550</v>
      </c>
    </row>
    <row r="1746" spans="1:27" outlineLevel="7">
      <c r="A1746" s="3499" t="s">
        <v>2103</v>
      </c>
      <c r="B1746" s="3499"/>
      <c r="C1746" s="12"/>
      <c r="D1746" s="14">
        <v>550</v>
      </c>
      <c r="E1746" s="7"/>
      <c r="F1746" s="7"/>
      <c r="G1746" s="7"/>
      <c r="H1746" s="8"/>
      <c r="I1746" s="9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12"/>
      <c r="AA1746" s="14">
        <v>550</v>
      </c>
    </row>
    <row r="1747" spans="1:27" outlineLevel="6">
      <c r="A1747" s="3501" t="s">
        <v>949</v>
      </c>
      <c r="B1747" s="3501"/>
      <c r="C1747" s="12"/>
      <c r="D1747" s="14">
        <v>859.16</v>
      </c>
      <c r="E1747" s="7"/>
      <c r="F1747" s="7"/>
      <c r="G1747" s="7"/>
      <c r="H1747" s="8"/>
      <c r="I1747" s="9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12"/>
      <c r="AA1747" s="14">
        <v>859.16</v>
      </c>
    </row>
    <row r="1748" spans="1:27" outlineLevel="7">
      <c r="A1748" s="3500" t="s">
        <v>950</v>
      </c>
      <c r="B1748" s="3500"/>
      <c r="C1748" s="12"/>
      <c r="D1748" s="14">
        <v>859.16</v>
      </c>
      <c r="E1748" s="7"/>
      <c r="F1748" s="7"/>
      <c r="G1748" s="7"/>
      <c r="H1748" s="8"/>
      <c r="I1748" s="9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12"/>
      <c r="AA1748" s="14">
        <v>859.16</v>
      </c>
    </row>
    <row r="1749" spans="1:27" outlineLevel="7">
      <c r="A1749" s="3499" t="s">
        <v>2104</v>
      </c>
      <c r="B1749" s="3499"/>
      <c r="C1749" s="12"/>
      <c r="D1749" s="14">
        <v>859.16</v>
      </c>
      <c r="E1749" s="7"/>
      <c r="F1749" s="7"/>
      <c r="G1749" s="7"/>
      <c r="H1749" s="8"/>
      <c r="I1749" s="9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12"/>
      <c r="AA1749" s="14">
        <v>859.16</v>
      </c>
    </row>
    <row r="1750" spans="1:27" outlineLevel="6">
      <c r="A1750" s="3501" t="s">
        <v>951</v>
      </c>
      <c r="B1750" s="3501"/>
      <c r="C1750" s="7"/>
      <c r="D1750" s="7"/>
      <c r="E1750" s="14">
        <v>550</v>
      </c>
      <c r="F1750" s="7"/>
      <c r="G1750" s="7"/>
      <c r="H1750" s="8"/>
      <c r="I1750" s="9"/>
      <c r="J1750" s="7"/>
      <c r="K1750" s="14">
        <v>550</v>
      </c>
      <c r="L1750" s="14">
        <v>550</v>
      </c>
      <c r="M1750" s="7"/>
      <c r="N1750" s="7"/>
      <c r="O1750" s="7"/>
      <c r="P1750" s="7"/>
      <c r="Q1750" s="7"/>
      <c r="R1750" s="14">
        <v>550</v>
      </c>
      <c r="S1750" s="7"/>
      <c r="T1750" s="7"/>
      <c r="U1750" s="14">
        <v>550</v>
      </c>
      <c r="V1750" s="7"/>
      <c r="W1750" s="7"/>
      <c r="X1750" s="7"/>
      <c r="Y1750" s="7"/>
      <c r="Z1750" s="7"/>
      <c r="AA1750" s="7"/>
    </row>
    <row r="1751" spans="1:27" outlineLevel="7">
      <c r="A1751" s="3500" t="s">
        <v>952</v>
      </c>
      <c r="B1751" s="3500"/>
      <c r="C1751" s="7"/>
      <c r="D1751" s="7"/>
      <c r="E1751" s="14">
        <v>550</v>
      </c>
      <c r="F1751" s="7"/>
      <c r="G1751" s="7"/>
      <c r="H1751" s="8"/>
      <c r="I1751" s="9"/>
      <c r="J1751" s="7"/>
      <c r="K1751" s="14">
        <v>550</v>
      </c>
      <c r="L1751" s="14">
        <v>550</v>
      </c>
      <c r="M1751" s="7"/>
      <c r="N1751" s="7"/>
      <c r="O1751" s="7"/>
      <c r="P1751" s="7"/>
      <c r="Q1751" s="7"/>
      <c r="R1751" s="14">
        <v>550</v>
      </c>
      <c r="S1751" s="7"/>
      <c r="T1751" s="7"/>
      <c r="U1751" s="14">
        <v>550</v>
      </c>
      <c r="V1751" s="7"/>
      <c r="W1751" s="7"/>
      <c r="X1751" s="7"/>
      <c r="Y1751" s="7"/>
      <c r="Z1751" s="7"/>
      <c r="AA1751" s="7"/>
    </row>
    <row r="1752" spans="1:27" outlineLevel="7">
      <c r="A1752" s="3499" t="s">
        <v>2105</v>
      </c>
      <c r="B1752" s="3499"/>
      <c r="C1752" s="7"/>
      <c r="D1752" s="7"/>
      <c r="E1752" s="14">
        <v>550</v>
      </c>
      <c r="F1752" s="7"/>
      <c r="G1752" s="7"/>
      <c r="H1752" s="8"/>
      <c r="I1752" s="9"/>
      <c r="J1752" s="7"/>
      <c r="K1752" s="14">
        <v>550</v>
      </c>
      <c r="L1752" s="14">
        <v>550</v>
      </c>
      <c r="M1752" s="7"/>
      <c r="N1752" s="7"/>
      <c r="O1752" s="7"/>
      <c r="P1752" s="7"/>
      <c r="Q1752" s="7"/>
      <c r="R1752" s="14">
        <v>550</v>
      </c>
      <c r="S1752" s="7"/>
      <c r="T1752" s="7"/>
      <c r="U1752" s="14">
        <v>550</v>
      </c>
      <c r="V1752" s="7"/>
      <c r="W1752" s="7"/>
      <c r="X1752" s="7"/>
      <c r="Y1752" s="7"/>
      <c r="Z1752" s="7"/>
      <c r="AA1752" s="7"/>
    </row>
    <row r="1753" spans="1:27" outlineLevel="6">
      <c r="A1753" s="3501" t="s">
        <v>281</v>
      </c>
      <c r="B1753" s="3501"/>
      <c r="C1753" s="7"/>
      <c r="D1753" s="7"/>
      <c r="E1753" s="14">
        <v>550</v>
      </c>
      <c r="F1753" s="7"/>
      <c r="G1753" s="14">
        <v>550</v>
      </c>
      <c r="H1753" s="3523">
        <v>550</v>
      </c>
      <c r="I1753" s="3523"/>
      <c r="J1753" s="7"/>
      <c r="K1753" s="7"/>
      <c r="L1753" s="7"/>
      <c r="M1753" s="7"/>
      <c r="N1753" s="7"/>
      <c r="O1753" s="7"/>
      <c r="P1753" s="7"/>
      <c r="Q1753" s="7"/>
      <c r="R1753" s="14">
        <v>550</v>
      </c>
      <c r="S1753" s="7"/>
      <c r="T1753" s="7"/>
      <c r="U1753" s="14">
        <v>550</v>
      </c>
      <c r="V1753" s="7"/>
      <c r="W1753" s="7"/>
      <c r="X1753" s="7"/>
      <c r="Y1753" s="7"/>
      <c r="Z1753" s="7"/>
      <c r="AA1753" s="7"/>
    </row>
    <row r="1754" spans="1:27" outlineLevel="7">
      <c r="A1754" s="3500" t="s">
        <v>282</v>
      </c>
      <c r="B1754" s="3500"/>
      <c r="C1754" s="7"/>
      <c r="D1754" s="7"/>
      <c r="E1754" s="14">
        <v>550</v>
      </c>
      <c r="F1754" s="7"/>
      <c r="G1754" s="14">
        <v>550</v>
      </c>
      <c r="H1754" s="3523">
        <v>550</v>
      </c>
      <c r="I1754" s="3523"/>
      <c r="J1754" s="7"/>
      <c r="K1754" s="7"/>
      <c r="L1754" s="7"/>
      <c r="M1754" s="7"/>
      <c r="N1754" s="7"/>
      <c r="O1754" s="7"/>
      <c r="P1754" s="7"/>
      <c r="Q1754" s="7"/>
      <c r="R1754" s="14">
        <v>550</v>
      </c>
      <c r="S1754" s="7"/>
      <c r="T1754" s="7"/>
      <c r="U1754" s="14">
        <v>550</v>
      </c>
      <c r="V1754" s="7"/>
      <c r="W1754" s="7"/>
      <c r="X1754" s="7"/>
      <c r="Y1754" s="7"/>
      <c r="Z1754" s="7"/>
      <c r="AA1754" s="7"/>
    </row>
    <row r="1755" spans="1:27" outlineLevel="7">
      <c r="A1755" s="3499" t="s">
        <v>2106</v>
      </c>
      <c r="B1755" s="3499"/>
      <c r="C1755" s="7"/>
      <c r="D1755" s="7"/>
      <c r="E1755" s="14">
        <v>550</v>
      </c>
      <c r="F1755" s="7"/>
      <c r="G1755" s="14">
        <v>550</v>
      </c>
      <c r="H1755" s="3523">
        <v>550</v>
      </c>
      <c r="I1755" s="3523"/>
      <c r="J1755" s="7"/>
      <c r="K1755" s="7"/>
      <c r="L1755" s="7"/>
      <c r="M1755" s="7"/>
      <c r="N1755" s="7"/>
      <c r="O1755" s="7"/>
      <c r="P1755" s="7"/>
      <c r="Q1755" s="7"/>
      <c r="R1755" s="14">
        <v>550</v>
      </c>
      <c r="S1755" s="7"/>
      <c r="T1755" s="7"/>
      <c r="U1755" s="14">
        <v>550</v>
      </c>
      <c r="V1755" s="7"/>
      <c r="W1755" s="7"/>
      <c r="X1755" s="7"/>
      <c r="Y1755" s="7"/>
      <c r="Z1755" s="7"/>
      <c r="AA1755" s="7"/>
    </row>
    <row r="1756" spans="1:27" outlineLevel="6">
      <c r="A1756" s="3501" t="s">
        <v>953</v>
      </c>
      <c r="B1756" s="3501"/>
      <c r="C1756" s="12"/>
      <c r="D1756" s="13">
        <v>8591.58</v>
      </c>
      <c r="E1756" s="7"/>
      <c r="F1756" s="7"/>
      <c r="G1756" s="7"/>
      <c r="H1756" s="8"/>
      <c r="I1756" s="9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12"/>
      <c r="AA1756" s="13">
        <v>8591.58</v>
      </c>
    </row>
    <row r="1757" spans="1:27" outlineLevel="7">
      <c r="A1757" s="3500" t="s">
        <v>954</v>
      </c>
      <c r="B1757" s="3500"/>
      <c r="C1757" s="12"/>
      <c r="D1757" s="13">
        <v>8591.58</v>
      </c>
      <c r="E1757" s="7"/>
      <c r="F1757" s="7"/>
      <c r="G1757" s="7"/>
      <c r="H1757" s="8"/>
      <c r="I1757" s="9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12"/>
      <c r="AA1757" s="13">
        <v>8591.58</v>
      </c>
    </row>
    <row r="1758" spans="1:27" outlineLevel="7">
      <c r="A1758" s="3499" t="s">
        <v>2107</v>
      </c>
      <c r="B1758" s="3499"/>
      <c r="C1758" s="12"/>
      <c r="D1758" s="13">
        <v>8591.58</v>
      </c>
      <c r="E1758" s="7"/>
      <c r="F1758" s="7"/>
      <c r="G1758" s="7"/>
      <c r="H1758" s="8"/>
      <c r="I1758" s="9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12"/>
      <c r="AA1758" s="13">
        <v>8591.58</v>
      </c>
    </row>
    <row r="1759" spans="1:27" outlineLevel="6">
      <c r="A1759" s="3501" t="s">
        <v>283</v>
      </c>
      <c r="B1759" s="3501"/>
      <c r="C1759" s="7"/>
      <c r="D1759" s="7"/>
      <c r="E1759" s="14">
        <v>550</v>
      </c>
      <c r="F1759" s="7"/>
      <c r="G1759" s="14">
        <v>550</v>
      </c>
      <c r="H1759" s="3523">
        <v>550</v>
      </c>
      <c r="I1759" s="3523"/>
      <c r="J1759" s="7"/>
      <c r="K1759" s="7"/>
      <c r="L1759" s="7"/>
      <c r="M1759" s="7"/>
      <c r="N1759" s="7"/>
      <c r="O1759" s="7"/>
      <c r="P1759" s="7"/>
      <c r="Q1759" s="7"/>
      <c r="R1759" s="14">
        <v>550</v>
      </c>
      <c r="S1759" s="7"/>
      <c r="T1759" s="7"/>
      <c r="U1759" s="14">
        <v>550</v>
      </c>
      <c r="V1759" s="7"/>
      <c r="W1759" s="7"/>
      <c r="X1759" s="7"/>
      <c r="Y1759" s="7"/>
      <c r="Z1759" s="7"/>
      <c r="AA1759" s="7"/>
    </row>
    <row r="1760" spans="1:27" outlineLevel="7">
      <c r="A1760" s="3500" t="s">
        <v>284</v>
      </c>
      <c r="B1760" s="3500"/>
      <c r="C1760" s="7"/>
      <c r="D1760" s="7"/>
      <c r="E1760" s="14">
        <v>550</v>
      </c>
      <c r="F1760" s="7"/>
      <c r="G1760" s="14">
        <v>550</v>
      </c>
      <c r="H1760" s="3523">
        <v>550</v>
      </c>
      <c r="I1760" s="3523"/>
      <c r="J1760" s="7"/>
      <c r="K1760" s="7"/>
      <c r="L1760" s="7"/>
      <c r="M1760" s="7"/>
      <c r="N1760" s="7"/>
      <c r="O1760" s="7"/>
      <c r="P1760" s="7"/>
      <c r="Q1760" s="7"/>
      <c r="R1760" s="14">
        <v>550</v>
      </c>
      <c r="S1760" s="7"/>
      <c r="T1760" s="7"/>
      <c r="U1760" s="14">
        <v>550</v>
      </c>
      <c r="V1760" s="7"/>
      <c r="W1760" s="7"/>
      <c r="X1760" s="7"/>
      <c r="Y1760" s="7"/>
      <c r="Z1760" s="7"/>
      <c r="AA1760" s="7"/>
    </row>
    <row r="1761" spans="1:27" outlineLevel="7">
      <c r="A1761" s="3499" t="s">
        <v>2108</v>
      </c>
      <c r="B1761" s="3499"/>
      <c r="C1761" s="7"/>
      <c r="D1761" s="7"/>
      <c r="E1761" s="14">
        <v>550</v>
      </c>
      <c r="F1761" s="7"/>
      <c r="G1761" s="14">
        <v>550</v>
      </c>
      <c r="H1761" s="3523">
        <v>550</v>
      </c>
      <c r="I1761" s="3523"/>
      <c r="J1761" s="7"/>
      <c r="K1761" s="7"/>
      <c r="L1761" s="7"/>
      <c r="M1761" s="7"/>
      <c r="N1761" s="7"/>
      <c r="O1761" s="7"/>
      <c r="P1761" s="7"/>
      <c r="Q1761" s="7"/>
      <c r="R1761" s="14">
        <v>550</v>
      </c>
      <c r="S1761" s="7"/>
      <c r="T1761" s="7"/>
      <c r="U1761" s="14">
        <v>550</v>
      </c>
      <c r="V1761" s="7"/>
      <c r="W1761" s="7"/>
      <c r="X1761" s="7"/>
      <c r="Y1761" s="7"/>
      <c r="Z1761" s="7"/>
      <c r="AA1761" s="7"/>
    </row>
    <row r="1762" spans="1:27" outlineLevel="6">
      <c r="A1762" s="3501" t="s">
        <v>285</v>
      </c>
      <c r="B1762" s="3501"/>
      <c r="C1762" s="7"/>
      <c r="D1762" s="7"/>
      <c r="E1762" s="14">
        <v>550</v>
      </c>
      <c r="F1762" s="7"/>
      <c r="G1762" s="14">
        <v>550</v>
      </c>
      <c r="H1762" s="3523">
        <v>550</v>
      </c>
      <c r="I1762" s="3523"/>
      <c r="J1762" s="7"/>
      <c r="K1762" s="7"/>
      <c r="L1762" s="7"/>
      <c r="M1762" s="7"/>
      <c r="N1762" s="7"/>
      <c r="O1762" s="7"/>
      <c r="P1762" s="7"/>
      <c r="Q1762" s="7"/>
      <c r="R1762" s="14">
        <v>550</v>
      </c>
      <c r="S1762" s="7"/>
      <c r="T1762" s="7"/>
      <c r="U1762" s="14">
        <v>550</v>
      </c>
      <c r="V1762" s="7"/>
      <c r="W1762" s="7"/>
      <c r="X1762" s="7"/>
      <c r="Y1762" s="7"/>
      <c r="Z1762" s="7"/>
      <c r="AA1762" s="7"/>
    </row>
    <row r="1763" spans="1:27" outlineLevel="7">
      <c r="A1763" s="3500" t="s">
        <v>286</v>
      </c>
      <c r="B1763" s="3500"/>
      <c r="C1763" s="7"/>
      <c r="D1763" s="7"/>
      <c r="E1763" s="14">
        <v>550</v>
      </c>
      <c r="F1763" s="7"/>
      <c r="G1763" s="14">
        <v>550</v>
      </c>
      <c r="H1763" s="3523">
        <v>550</v>
      </c>
      <c r="I1763" s="3523"/>
      <c r="J1763" s="7"/>
      <c r="K1763" s="7"/>
      <c r="L1763" s="7"/>
      <c r="M1763" s="7"/>
      <c r="N1763" s="7"/>
      <c r="O1763" s="7"/>
      <c r="P1763" s="7"/>
      <c r="Q1763" s="7"/>
      <c r="R1763" s="14">
        <v>550</v>
      </c>
      <c r="S1763" s="7"/>
      <c r="T1763" s="7"/>
      <c r="U1763" s="14">
        <v>550</v>
      </c>
      <c r="V1763" s="7"/>
      <c r="W1763" s="7"/>
      <c r="X1763" s="7"/>
      <c r="Y1763" s="7"/>
      <c r="Z1763" s="7"/>
      <c r="AA1763" s="7"/>
    </row>
    <row r="1764" spans="1:27" outlineLevel="7">
      <c r="A1764" s="3499" t="s">
        <v>2109</v>
      </c>
      <c r="B1764" s="3499"/>
      <c r="C1764" s="7"/>
      <c r="D1764" s="7"/>
      <c r="E1764" s="14">
        <v>550</v>
      </c>
      <c r="F1764" s="7"/>
      <c r="G1764" s="14">
        <v>550</v>
      </c>
      <c r="H1764" s="3523">
        <v>550</v>
      </c>
      <c r="I1764" s="3523"/>
      <c r="J1764" s="7"/>
      <c r="K1764" s="7"/>
      <c r="L1764" s="7"/>
      <c r="M1764" s="7"/>
      <c r="N1764" s="7"/>
      <c r="O1764" s="7"/>
      <c r="P1764" s="7"/>
      <c r="Q1764" s="7"/>
      <c r="R1764" s="14">
        <v>550</v>
      </c>
      <c r="S1764" s="7"/>
      <c r="T1764" s="7"/>
      <c r="U1764" s="14">
        <v>550</v>
      </c>
      <c r="V1764" s="7"/>
      <c r="W1764" s="7"/>
      <c r="X1764" s="7"/>
      <c r="Y1764" s="7"/>
      <c r="Z1764" s="7"/>
      <c r="AA1764" s="7"/>
    </row>
    <row r="1765" spans="1:27" outlineLevel="6">
      <c r="A1765" s="3501" t="s">
        <v>287</v>
      </c>
      <c r="B1765" s="3501"/>
      <c r="C1765" s="12"/>
      <c r="D1765" s="14">
        <v>550</v>
      </c>
      <c r="E1765" s="14">
        <v>550</v>
      </c>
      <c r="F1765" s="7"/>
      <c r="G1765" s="14">
        <v>550</v>
      </c>
      <c r="H1765" s="3523">
        <v>550</v>
      </c>
      <c r="I1765" s="3523"/>
      <c r="J1765" s="7"/>
      <c r="K1765" s="7"/>
      <c r="L1765" s="7"/>
      <c r="M1765" s="7"/>
      <c r="N1765" s="7"/>
      <c r="O1765" s="7"/>
      <c r="P1765" s="7"/>
      <c r="Q1765" s="7"/>
      <c r="R1765" s="12"/>
      <c r="S1765" s="7"/>
      <c r="T1765" s="7"/>
      <c r="U1765" s="7"/>
      <c r="V1765" s="7"/>
      <c r="W1765" s="7"/>
      <c r="X1765" s="7"/>
      <c r="Y1765" s="7"/>
      <c r="Z1765" s="12"/>
      <c r="AA1765" s="12"/>
    </row>
    <row r="1766" spans="1:27" outlineLevel="7">
      <c r="A1766" s="3500" t="s">
        <v>288</v>
      </c>
      <c r="B1766" s="3500"/>
      <c r="C1766" s="12"/>
      <c r="D1766" s="14">
        <v>550</v>
      </c>
      <c r="E1766" s="14">
        <v>550</v>
      </c>
      <c r="F1766" s="7"/>
      <c r="G1766" s="14">
        <v>550</v>
      </c>
      <c r="H1766" s="3523">
        <v>550</v>
      </c>
      <c r="I1766" s="3523"/>
      <c r="J1766" s="7"/>
      <c r="K1766" s="7"/>
      <c r="L1766" s="7"/>
      <c r="M1766" s="7"/>
      <c r="N1766" s="7"/>
      <c r="O1766" s="7"/>
      <c r="P1766" s="7"/>
      <c r="Q1766" s="7"/>
      <c r="R1766" s="12"/>
      <c r="S1766" s="7"/>
      <c r="T1766" s="7"/>
      <c r="U1766" s="7"/>
      <c r="V1766" s="7"/>
      <c r="W1766" s="7"/>
      <c r="X1766" s="7"/>
      <c r="Y1766" s="7"/>
      <c r="Z1766" s="12"/>
      <c r="AA1766" s="12"/>
    </row>
    <row r="1767" spans="1:27" outlineLevel="7">
      <c r="A1767" s="3499" t="s">
        <v>2110</v>
      </c>
      <c r="B1767" s="3499"/>
      <c r="C1767" s="12"/>
      <c r="D1767" s="14">
        <v>550</v>
      </c>
      <c r="E1767" s="14">
        <v>550</v>
      </c>
      <c r="F1767" s="7"/>
      <c r="G1767" s="14">
        <v>550</v>
      </c>
      <c r="H1767" s="3523">
        <v>550</v>
      </c>
      <c r="I1767" s="3523"/>
      <c r="J1767" s="7"/>
      <c r="K1767" s="7"/>
      <c r="L1767" s="7"/>
      <c r="M1767" s="7"/>
      <c r="N1767" s="7"/>
      <c r="O1767" s="7"/>
      <c r="P1767" s="7"/>
      <c r="Q1767" s="7"/>
      <c r="R1767" s="12"/>
      <c r="S1767" s="7"/>
      <c r="T1767" s="7"/>
      <c r="U1767" s="7"/>
      <c r="V1767" s="7"/>
      <c r="W1767" s="7"/>
      <c r="X1767" s="7"/>
      <c r="Y1767" s="7"/>
      <c r="Z1767" s="12"/>
      <c r="AA1767" s="12"/>
    </row>
    <row r="1768" spans="1:27" outlineLevel="6">
      <c r="A1768" s="3501" t="s">
        <v>955</v>
      </c>
      <c r="B1768" s="3501"/>
      <c r="C1768" s="12"/>
      <c r="D1768" s="14">
        <v>550</v>
      </c>
      <c r="E1768" s="7"/>
      <c r="F1768" s="7"/>
      <c r="G1768" s="7"/>
      <c r="H1768" s="8"/>
      <c r="I1768" s="9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12"/>
      <c r="AA1768" s="14">
        <v>550</v>
      </c>
    </row>
    <row r="1769" spans="1:27" outlineLevel="7">
      <c r="A1769" s="3500" t="s">
        <v>956</v>
      </c>
      <c r="B1769" s="3500"/>
      <c r="C1769" s="12"/>
      <c r="D1769" s="14">
        <v>550</v>
      </c>
      <c r="E1769" s="7"/>
      <c r="F1769" s="7"/>
      <c r="G1769" s="7"/>
      <c r="H1769" s="8"/>
      <c r="I1769" s="9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12"/>
      <c r="AA1769" s="14">
        <v>550</v>
      </c>
    </row>
    <row r="1770" spans="1:27" outlineLevel="7">
      <c r="A1770" s="3499" t="s">
        <v>2111</v>
      </c>
      <c r="B1770" s="3499"/>
      <c r="C1770" s="12"/>
      <c r="D1770" s="14">
        <v>550</v>
      </c>
      <c r="E1770" s="7"/>
      <c r="F1770" s="7"/>
      <c r="G1770" s="7"/>
      <c r="H1770" s="8"/>
      <c r="I1770" s="9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12"/>
      <c r="AA1770" s="14">
        <v>550</v>
      </c>
    </row>
    <row r="1771" spans="1:27" outlineLevel="6">
      <c r="A1771" s="3501" t="s">
        <v>957</v>
      </c>
      <c r="B1771" s="3501"/>
      <c r="C1771" s="12"/>
      <c r="D1771" s="14">
        <v>550</v>
      </c>
      <c r="E1771" s="7"/>
      <c r="F1771" s="7"/>
      <c r="G1771" s="7"/>
      <c r="H1771" s="8"/>
      <c r="I1771" s="9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12"/>
      <c r="AA1771" s="14">
        <v>550</v>
      </c>
    </row>
    <row r="1772" spans="1:27" outlineLevel="7">
      <c r="A1772" s="3500" t="s">
        <v>958</v>
      </c>
      <c r="B1772" s="3500"/>
      <c r="C1772" s="12"/>
      <c r="D1772" s="14">
        <v>550</v>
      </c>
      <c r="E1772" s="7"/>
      <c r="F1772" s="7"/>
      <c r="G1772" s="7"/>
      <c r="H1772" s="8"/>
      <c r="I1772" s="9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12"/>
      <c r="AA1772" s="14">
        <v>550</v>
      </c>
    </row>
    <row r="1773" spans="1:27" outlineLevel="7">
      <c r="A1773" s="3499" t="s">
        <v>2112</v>
      </c>
      <c r="B1773" s="3499"/>
      <c r="C1773" s="12"/>
      <c r="D1773" s="14">
        <v>550</v>
      </c>
      <c r="E1773" s="7"/>
      <c r="F1773" s="7"/>
      <c r="G1773" s="7"/>
      <c r="H1773" s="8"/>
      <c r="I1773" s="9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12"/>
      <c r="AA1773" s="14">
        <v>550</v>
      </c>
    </row>
    <row r="1774" spans="1:27" outlineLevel="6">
      <c r="A1774" s="3501" t="s">
        <v>289</v>
      </c>
      <c r="B1774" s="3501"/>
      <c r="C1774" s="7"/>
      <c r="D1774" s="7"/>
      <c r="E1774" s="14">
        <v>550</v>
      </c>
      <c r="F1774" s="7"/>
      <c r="G1774" s="14">
        <v>550</v>
      </c>
      <c r="H1774" s="3523">
        <v>550</v>
      </c>
      <c r="I1774" s="3523"/>
      <c r="J1774" s="7"/>
      <c r="K1774" s="7"/>
      <c r="L1774" s="7"/>
      <c r="M1774" s="7"/>
      <c r="N1774" s="7"/>
      <c r="O1774" s="7"/>
      <c r="P1774" s="7"/>
      <c r="Q1774" s="7"/>
      <c r="R1774" s="14">
        <v>550</v>
      </c>
      <c r="S1774" s="7"/>
      <c r="T1774" s="7"/>
      <c r="U1774" s="14">
        <v>550</v>
      </c>
      <c r="V1774" s="7"/>
      <c r="W1774" s="7"/>
      <c r="X1774" s="7"/>
      <c r="Y1774" s="7"/>
      <c r="Z1774" s="7"/>
      <c r="AA1774" s="7"/>
    </row>
    <row r="1775" spans="1:27" outlineLevel="7">
      <c r="A1775" s="3500" t="s">
        <v>290</v>
      </c>
      <c r="B1775" s="3500"/>
      <c r="C1775" s="7"/>
      <c r="D1775" s="7"/>
      <c r="E1775" s="14">
        <v>550</v>
      </c>
      <c r="F1775" s="7"/>
      <c r="G1775" s="14">
        <v>550</v>
      </c>
      <c r="H1775" s="3523">
        <v>550</v>
      </c>
      <c r="I1775" s="3523"/>
      <c r="J1775" s="7"/>
      <c r="K1775" s="7"/>
      <c r="L1775" s="7"/>
      <c r="M1775" s="7"/>
      <c r="N1775" s="7"/>
      <c r="O1775" s="7"/>
      <c r="P1775" s="7"/>
      <c r="Q1775" s="7"/>
      <c r="R1775" s="14">
        <v>550</v>
      </c>
      <c r="S1775" s="7"/>
      <c r="T1775" s="7"/>
      <c r="U1775" s="14">
        <v>550</v>
      </c>
      <c r="V1775" s="7"/>
      <c r="W1775" s="7"/>
      <c r="X1775" s="7"/>
      <c r="Y1775" s="7"/>
      <c r="Z1775" s="7"/>
      <c r="AA1775" s="7"/>
    </row>
    <row r="1776" spans="1:27" outlineLevel="7">
      <c r="A1776" s="3499" t="s">
        <v>2113</v>
      </c>
      <c r="B1776" s="3499"/>
      <c r="C1776" s="7"/>
      <c r="D1776" s="7"/>
      <c r="E1776" s="14">
        <v>550</v>
      </c>
      <c r="F1776" s="7"/>
      <c r="G1776" s="14">
        <v>550</v>
      </c>
      <c r="H1776" s="3523">
        <v>550</v>
      </c>
      <c r="I1776" s="3523"/>
      <c r="J1776" s="7"/>
      <c r="K1776" s="7"/>
      <c r="L1776" s="7"/>
      <c r="M1776" s="7"/>
      <c r="N1776" s="7"/>
      <c r="O1776" s="7"/>
      <c r="P1776" s="7"/>
      <c r="Q1776" s="7"/>
      <c r="R1776" s="14">
        <v>550</v>
      </c>
      <c r="S1776" s="7"/>
      <c r="T1776" s="7"/>
      <c r="U1776" s="14">
        <v>550</v>
      </c>
      <c r="V1776" s="7"/>
      <c r="W1776" s="7"/>
      <c r="X1776" s="7"/>
      <c r="Y1776" s="7"/>
      <c r="Z1776" s="7"/>
      <c r="AA1776" s="7"/>
    </row>
    <row r="1777" spans="1:27" outlineLevel="6">
      <c r="A1777" s="3501" t="s">
        <v>291</v>
      </c>
      <c r="B1777" s="3501"/>
      <c r="C1777" s="7"/>
      <c r="D1777" s="7"/>
      <c r="E1777" s="14">
        <v>550</v>
      </c>
      <c r="F1777" s="7"/>
      <c r="G1777" s="14">
        <v>550</v>
      </c>
      <c r="H1777" s="3523">
        <v>550</v>
      </c>
      <c r="I1777" s="3523"/>
      <c r="J1777" s="7"/>
      <c r="K1777" s="7"/>
      <c r="L1777" s="7"/>
      <c r="M1777" s="7"/>
      <c r="N1777" s="7"/>
      <c r="O1777" s="7"/>
      <c r="P1777" s="7"/>
      <c r="Q1777" s="7"/>
      <c r="R1777" s="14">
        <v>550</v>
      </c>
      <c r="S1777" s="7"/>
      <c r="T1777" s="7"/>
      <c r="U1777" s="14">
        <v>550</v>
      </c>
      <c r="V1777" s="7"/>
      <c r="W1777" s="7"/>
      <c r="X1777" s="7"/>
      <c r="Y1777" s="7"/>
      <c r="Z1777" s="7"/>
      <c r="AA1777" s="7"/>
    </row>
    <row r="1778" spans="1:27" outlineLevel="7">
      <c r="A1778" s="3500" t="s">
        <v>292</v>
      </c>
      <c r="B1778" s="3500"/>
      <c r="C1778" s="7"/>
      <c r="D1778" s="7"/>
      <c r="E1778" s="14">
        <v>550</v>
      </c>
      <c r="F1778" s="7"/>
      <c r="G1778" s="14">
        <v>550</v>
      </c>
      <c r="H1778" s="3523">
        <v>550</v>
      </c>
      <c r="I1778" s="3523"/>
      <c r="J1778" s="7"/>
      <c r="K1778" s="7"/>
      <c r="L1778" s="7"/>
      <c r="M1778" s="7"/>
      <c r="N1778" s="7"/>
      <c r="O1778" s="7"/>
      <c r="P1778" s="7"/>
      <c r="Q1778" s="7"/>
      <c r="R1778" s="14">
        <v>550</v>
      </c>
      <c r="S1778" s="7"/>
      <c r="T1778" s="7"/>
      <c r="U1778" s="14">
        <v>550</v>
      </c>
      <c r="V1778" s="7"/>
      <c r="W1778" s="7"/>
      <c r="X1778" s="7"/>
      <c r="Y1778" s="7"/>
      <c r="Z1778" s="7"/>
      <c r="AA1778" s="7"/>
    </row>
    <row r="1779" spans="1:27" outlineLevel="7">
      <c r="A1779" s="3499" t="s">
        <v>2114</v>
      </c>
      <c r="B1779" s="3499"/>
      <c r="C1779" s="7"/>
      <c r="D1779" s="7"/>
      <c r="E1779" s="14">
        <v>550</v>
      </c>
      <c r="F1779" s="7"/>
      <c r="G1779" s="14">
        <v>550</v>
      </c>
      <c r="H1779" s="3523">
        <v>550</v>
      </c>
      <c r="I1779" s="3523"/>
      <c r="J1779" s="7"/>
      <c r="K1779" s="7"/>
      <c r="L1779" s="7"/>
      <c r="M1779" s="7"/>
      <c r="N1779" s="7"/>
      <c r="O1779" s="7"/>
      <c r="P1779" s="7"/>
      <c r="Q1779" s="7"/>
      <c r="R1779" s="14">
        <v>550</v>
      </c>
      <c r="S1779" s="7"/>
      <c r="T1779" s="7"/>
      <c r="U1779" s="14">
        <v>550</v>
      </c>
      <c r="V1779" s="7"/>
      <c r="W1779" s="7"/>
      <c r="X1779" s="7"/>
      <c r="Y1779" s="7"/>
      <c r="Z1779" s="7"/>
      <c r="AA1779" s="7"/>
    </row>
    <row r="1780" spans="1:27" outlineLevel="6">
      <c r="A1780" s="3501" t="s">
        <v>293</v>
      </c>
      <c r="B1780" s="3501"/>
      <c r="C1780" s="7"/>
      <c r="D1780" s="7"/>
      <c r="E1780" s="14">
        <v>550</v>
      </c>
      <c r="F1780" s="7"/>
      <c r="G1780" s="14">
        <v>550</v>
      </c>
      <c r="H1780" s="3523">
        <v>550</v>
      </c>
      <c r="I1780" s="3523"/>
      <c r="J1780" s="7"/>
      <c r="K1780" s="7"/>
      <c r="L1780" s="7"/>
      <c r="M1780" s="7"/>
      <c r="N1780" s="7"/>
      <c r="O1780" s="7"/>
      <c r="P1780" s="7"/>
      <c r="Q1780" s="7"/>
      <c r="R1780" s="14">
        <v>550</v>
      </c>
      <c r="S1780" s="7"/>
      <c r="T1780" s="7"/>
      <c r="U1780" s="14">
        <v>550</v>
      </c>
      <c r="V1780" s="7"/>
      <c r="W1780" s="7"/>
      <c r="X1780" s="7"/>
      <c r="Y1780" s="7"/>
      <c r="Z1780" s="7"/>
      <c r="AA1780" s="7"/>
    </row>
    <row r="1781" spans="1:27" outlineLevel="7">
      <c r="A1781" s="3500" t="s">
        <v>294</v>
      </c>
      <c r="B1781" s="3500"/>
      <c r="C1781" s="7"/>
      <c r="D1781" s="7"/>
      <c r="E1781" s="14">
        <v>550</v>
      </c>
      <c r="F1781" s="7"/>
      <c r="G1781" s="14">
        <v>550</v>
      </c>
      <c r="H1781" s="3523">
        <v>550</v>
      </c>
      <c r="I1781" s="3523"/>
      <c r="J1781" s="7"/>
      <c r="K1781" s="7"/>
      <c r="L1781" s="7"/>
      <c r="M1781" s="7"/>
      <c r="N1781" s="7"/>
      <c r="O1781" s="7"/>
      <c r="P1781" s="7"/>
      <c r="Q1781" s="7"/>
      <c r="R1781" s="14">
        <v>550</v>
      </c>
      <c r="S1781" s="7"/>
      <c r="T1781" s="7"/>
      <c r="U1781" s="14">
        <v>550</v>
      </c>
      <c r="V1781" s="7"/>
      <c r="W1781" s="7"/>
      <c r="X1781" s="7"/>
      <c r="Y1781" s="7"/>
      <c r="Z1781" s="7"/>
      <c r="AA1781" s="7"/>
    </row>
    <row r="1782" spans="1:27" outlineLevel="7">
      <c r="A1782" s="3499" t="s">
        <v>2115</v>
      </c>
      <c r="B1782" s="3499"/>
      <c r="C1782" s="7"/>
      <c r="D1782" s="7"/>
      <c r="E1782" s="14">
        <v>550</v>
      </c>
      <c r="F1782" s="7"/>
      <c r="G1782" s="14">
        <v>550</v>
      </c>
      <c r="H1782" s="3523">
        <v>550</v>
      </c>
      <c r="I1782" s="3523"/>
      <c r="J1782" s="7"/>
      <c r="K1782" s="7"/>
      <c r="L1782" s="7"/>
      <c r="M1782" s="7"/>
      <c r="N1782" s="7"/>
      <c r="O1782" s="7"/>
      <c r="P1782" s="7"/>
      <c r="Q1782" s="7"/>
      <c r="R1782" s="14">
        <v>550</v>
      </c>
      <c r="S1782" s="7"/>
      <c r="T1782" s="7"/>
      <c r="U1782" s="14">
        <v>550</v>
      </c>
      <c r="V1782" s="7"/>
      <c r="W1782" s="7"/>
      <c r="X1782" s="7"/>
      <c r="Y1782" s="7"/>
      <c r="Z1782" s="7"/>
      <c r="AA1782" s="7"/>
    </row>
    <row r="1783" spans="1:27" outlineLevel="6">
      <c r="A1783" s="3501" t="s">
        <v>295</v>
      </c>
      <c r="B1783" s="3501"/>
      <c r="C1783" s="7"/>
      <c r="D1783" s="7"/>
      <c r="E1783" s="13">
        <v>1798.75</v>
      </c>
      <c r="F1783" s="7"/>
      <c r="G1783" s="13">
        <v>1798.75</v>
      </c>
      <c r="H1783" s="3524">
        <v>1798.75</v>
      </c>
      <c r="I1783" s="3524"/>
      <c r="J1783" s="7"/>
      <c r="K1783" s="7"/>
      <c r="L1783" s="7"/>
      <c r="M1783" s="7"/>
      <c r="N1783" s="7"/>
      <c r="O1783" s="7"/>
      <c r="P1783" s="7"/>
      <c r="Q1783" s="7"/>
      <c r="R1783" s="13">
        <v>1798.75</v>
      </c>
      <c r="S1783" s="7"/>
      <c r="T1783" s="7"/>
      <c r="U1783" s="13">
        <v>1798.75</v>
      </c>
      <c r="V1783" s="7"/>
      <c r="W1783" s="7"/>
      <c r="X1783" s="7"/>
      <c r="Y1783" s="7"/>
      <c r="Z1783" s="7"/>
      <c r="AA1783" s="7"/>
    </row>
    <row r="1784" spans="1:27" outlineLevel="7">
      <c r="A1784" s="3500" t="s">
        <v>296</v>
      </c>
      <c r="B1784" s="3500"/>
      <c r="C1784" s="7"/>
      <c r="D1784" s="7"/>
      <c r="E1784" s="13">
        <v>1798.75</v>
      </c>
      <c r="F1784" s="7"/>
      <c r="G1784" s="13">
        <v>1798.75</v>
      </c>
      <c r="H1784" s="3524">
        <v>1798.75</v>
      </c>
      <c r="I1784" s="3524"/>
      <c r="J1784" s="7"/>
      <c r="K1784" s="7"/>
      <c r="L1784" s="7"/>
      <c r="M1784" s="7"/>
      <c r="N1784" s="7"/>
      <c r="O1784" s="7"/>
      <c r="P1784" s="7"/>
      <c r="Q1784" s="7"/>
      <c r="R1784" s="13">
        <v>1798.75</v>
      </c>
      <c r="S1784" s="7"/>
      <c r="T1784" s="7"/>
      <c r="U1784" s="13">
        <v>1798.75</v>
      </c>
      <c r="V1784" s="7"/>
      <c r="W1784" s="7"/>
      <c r="X1784" s="7"/>
      <c r="Y1784" s="7"/>
      <c r="Z1784" s="7"/>
      <c r="AA1784" s="7"/>
    </row>
    <row r="1785" spans="1:27" outlineLevel="7">
      <c r="A1785" s="3499" t="s">
        <v>2116</v>
      </c>
      <c r="B1785" s="3499"/>
      <c r="C1785" s="7"/>
      <c r="D1785" s="7"/>
      <c r="E1785" s="13">
        <v>1798.75</v>
      </c>
      <c r="F1785" s="7"/>
      <c r="G1785" s="13">
        <v>1798.75</v>
      </c>
      <c r="H1785" s="3524">
        <v>1798.75</v>
      </c>
      <c r="I1785" s="3524"/>
      <c r="J1785" s="7"/>
      <c r="K1785" s="7"/>
      <c r="L1785" s="7"/>
      <c r="M1785" s="7"/>
      <c r="N1785" s="7"/>
      <c r="O1785" s="7"/>
      <c r="P1785" s="7"/>
      <c r="Q1785" s="7"/>
      <c r="R1785" s="13">
        <v>1798.75</v>
      </c>
      <c r="S1785" s="7"/>
      <c r="T1785" s="7"/>
      <c r="U1785" s="13">
        <v>1798.75</v>
      </c>
      <c r="V1785" s="7"/>
      <c r="W1785" s="7"/>
      <c r="X1785" s="7"/>
      <c r="Y1785" s="7"/>
      <c r="Z1785" s="7"/>
      <c r="AA1785" s="7"/>
    </row>
    <row r="1786" spans="1:27" outlineLevel="6">
      <c r="A1786" s="3501" t="s">
        <v>959</v>
      </c>
      <c r="B1786" s="3501"/>
      <c r="C1786" s="12"/>
      <c r="D1786" s="12"/>
      <c r="E1786" s="12"/>
      <c r="F1786" s="7"/>
      <c r="G1786" s="7"/>
      <c r="H1786" s="8"/>
      <c r="I1786" s="9"/>
      <c r="J1786" s="7"/>
      <c r="K1786" s="7"/>
      <c r="L1786" s="7"/>
      <c r="M1786" s="7"/>
      <c r="N1786" s="7"/>
      <c r="O1786" s="7"/>
      <c r="P1786" s="7"/>
      <c r="Q1786" s="7"/>
      <c r="R1786" s="14">
        <v>550</v>
      </c>
      <c r="S1786" s="7"/>
      <c r="T1786" s="7"/>
      <c r="U1786" s="14">
        <v>550</v>
      </c>
      <c r="V1786" s="7"/>
      <c r="W1786" s="7"/>
      <c r="X1786" s="7"/>
      <c r="Y1786" s="7"/>
      <c r="Z1786" s="12"/>
      <c r="AA1786" s="14">
        <v>550</v>
      </c>
    </row>
    <row r="1787" spans="1:27" outlineLevel="7">
      <c r="A1787" s="3500" t="s">
        <v>960</v>
      </c>
      <c r="B1787" s="3500"/>
      <c r="C1787" s="12"/>
      <c r="D1787" s="12"/>
      <c r="E1787" s="12"/>
      <c r="F1787" s="7"/>
      <c r="G1787" s="7"/>
      <c r="H1787" s="8"/>
      <c r="I1787" s="9"/>
      <c r="J1787" s="7"/>
      <c r="K1787" s="7"/>
      <c r="L1787" s="7"/>
      <c r="M1787" s="7"/>
      <c r="N1787" s="7"/>
      <c r="O1787" s="7"/>
      <c r="P1787" s="7"/>
      <c r="Q1787" s="7"/>
      <c r="R1787" s="14">
        <v>550</v>
      </c>
      <c r="S1787" s="7"/>
      <c r="T1787" s="7"/>
      <c r="U1787" s="14">
        <v>550</v>
      </c>
      <c r="V1787" s="7"/>
      <c r="W1787" s="7"/>
      <c r="X1787" s="7"/>
      <c r="Y1787" s="7"/>
      <c r="Z1787" s="12"/>
      <c r="AA1787" s="14">
        <v>550</v>
      </c>
    </row>
    <row r="1788" spans="1:27" outlineLevel="7">
      <c r="A1788" s="3499" t="s">
        <v>2117</v>
      </c>
      <c r="B1788" s="3499"/>
      <c r="C1788" s="12"/>
      <c r="D1788" s="12"/>
      <c r="E1788" s="12"/>
      <c r="F1788" s="7"/>
      <c r="G1788" s="7"/>
      <c r="H1788" s="8"/>
      <c r="I1788" s="9"/>
      <c r="J1788" s="7"/>
      <c r="K1788" s="7"/>
      <c r="L1788" s="7"/>
      <c r="M1788" s="7"/>
      <c r="N1788" s="7"/>
      <c r="O1788" s="7"/>
      <c r="P1788" s="7"/>
      <c r="Q1788" s="7"/>
      <c r="R1788" s="14">
        <v>550</v>
      </c>
      <c r="S1788" s="7"/>
      <c r="T1788" s="7"/>
      <c r="U1788" s="14">
        <v>550</v>
      </c>
      <c r="V1788" s="7"/>
      <c r="W1788" s="7"/>
      <c r="X1788" s="7"/>
      <c r="Y1788" s="7"/>
      <c r="Z1788" s="12"/>
      <c r="AA1788" s="14">
        <v>550</v>
      </c>
    </row>
    <row r="1789" spans="1:27" outlineLevel="6">
      <c r="A1789" s="3501" t="s">
        <v>297</v>
      </c>
      <c r="B1789" s="3501"/>
      <c r="C1789" s="7"/>
      <c r="D1789" s="7"/>
      <c r="E1789" s="14">
        <v>550</v>
      </c>
      <c r="F1789" s="7"/>
      <c r="G1789" s="14">
        <v>550</v>
      </c>
      <c r="H1789" s="3523">
        <v>550</v>
      </c>
      <c r="I1789" s="3523"/>
      <c r="J1789" s="7"/>
      <c r="K1789" s="7"/>
      <c r="L1789" s="7"/>
      <c r="M1789" s="7"/>
      <c r="N1789" s="7"/>
      <c r="O1789" s="7"/>
      <c r="P1789" s="7"/>
      <c r="Q1789" s="7"/>
      <c r="R1789" s="14">
        <v>550</v>
      </c>
      <c r="S1789" s="7"/>
      <c r="T1789" s="7"/>
      <c r="U1789" s="14">
        <v>550</v>
      </c>
      <c r="V1789" s="7"/>
      <c r="W1789" s="7"/>
      <c r="X1789" s="7"/>
      <c r="Y1789" s="7"/>
      <c r="Z1789" s="7"/>
      <c r="AA1789" s="7"/>
    </row>
    <row r="1790" spans="1:27" outlineLevel="7">
      <c r="A1790" s="3500" t="s">
        <v>298</v>
      </c>
      <c r="B1790" s="3500"/>
      <c r="C1790" s="7"/>
      <c r="D1790" s="7"/>
      <c r="E1790" s="14">
        <v>550</v>
      </c>
      <c r="F1790" s="7"/>
      <c r="G1790" s="14">
        <v>550</v>
      </c>
      <c r="H1790" s="3523">
        <v>550</v>
      </c>
      <c r="I1790" s="3523"/>
      <c r="J1790" s="7"/>
      <c r="K1790" s="7"/>
      <c r="L1790" s="7"/>
      <c r="M1790" s="7"/>
      <c r="N1790" s="7"/>
      <c r="O1790" s="7"/>
      <c r="P1790" s="7"/>
      <c r="Q1790" s="7"/>
      <c r="R1790" s="14">
        <v>550</v>
      </c>
      <c r="S1790" s="7"/>
      <c r="T1790" s="7"/>
      <c r="U1790" s="14">
        <v>550</v>
      </c>
      <c r="V1790" s="7"/>
      <c r="W1790" s="7"/>
      <c r="X1790" s="7"/>
      <c r="Y1790" s="7"/>
      <c r="Z1790" s="7"/>
      <c r="AA1790" s="7"/>
    </row>
    <row r="1791" spans="1:27" outlineLevel="7">
      <c r="A1791" s="3499" t="s">
        <v>2118</v>
      </c>
      <c r="B1791" s="3499"/>
      <c r="C1791" s="7"/>
      <c r="D1791" s="7"/>
      <c r="E1791" s="14">
        <v>550</v>
      </c>
      <c r="F1791" s="7"/>
      <c r="G1791" s="14">
        <v>550</v>
      </c>
      <c r="H1791" s="3523">
        <v>550</v>
      </c>
      <c r="I1791" s="3523"/>
      <c r="J1791" s="7"/>
      <c r="K1791" s="7"/>
      <c r="L1791" s="7"/>
      <c r="M1791" s="7"/>
      <c r="N1791" s="7"/>
      <c r="O1791" s="7"/>
      <c r="P1791" s="7"/>
      <c r="Q1791" s="7"/>
      <c r="R1791" s="14">
        <v>550</v>
      </c>
      <c r="S1791" s="7"/>
      <c r="T1791" s="7"/>
      <c r="U1791" s="14">
        <v>550</v>
      </c>
      <c r="V1791" s="7"/>
      <c r="W1791" s="7"/>
      <c r="X1791" s="7"/>
      <c r="Y1791" s="7"/>
      <c r="Z1791" s="7"/>
      <c r="AA1791" s="7"/>
    </row>
    <row r="1792" spans="1:27" outlineLevel="6">
      <c r="A1792" s="3501" t="s">
        <v>961</v>
      </c>
      <c r="B1792" s="3501"/>
      <c r="C1792" s="12"/>
      <c r="D1792" s="12"/>
      <c r="E1792" s="12"/>
      <c r="F1792" s="7"/>
      <c r="G1792" s="7"/>
      <c r="H1792" s="8"/>
      <c r="I1792" s="9"/>
      <c r="J1792" s="7"/>
      <c r="K1792" s="7"/>
      <c r="L1792" s="7"/>
      <c r="M1792" s="7"/>
      <c r="N1792" s="7"/>
      <c r="O1792" s="7"/>
      <c r="P1792" s="7"/>
      <c r="Q1792" s="7"/>
      <c r="R1792" s="14">
        <v>550</v>
      </c>
      <c r="S1792" s="7"/>
      <c r="T1792" s="7"/>
      <c r="U1792" s="14">
        <v>550</v>
      </c>
      <c r="V1792" s="7"/>
      <c r="W1792" s="7"/>
      <c r="X1792" s="7"/>
      <c r="Y1792" s="7"/>
      <c r="Z1792" s="12"/>
      <c r="AA1792" s="14">
        <v>550</v>
      </c>
    </row>
    <row r="1793" spans="1:27" outlineLevel="7">
      <c r="A1793" s="3500" t="s">
        <v>962</v>
      </c>
      <c r="B1793" s="3500"/>
      <c r="C1793" s="12"/>
      <c r="D1793" s="12"/>
      <c r="E1793" s="12"/>
      <c r="F1793" s="7"/>
      <c r="G1793" s="7"/>
      <c r="H1793" s="8"/>
      <c r="I1793" s="9"/>
      <c r="J1793" s="7"/>
      <c r="K1793" s="7"/>
      <c r="L1793" s="7"/>
      <c r="M1793" s="7"/>
      <c r="N1793" s="7"/>
      <c r="O1793" s="7"/>
      <c r="P1793" s="7"/>
      <c r="Q1793" s="7"/>
      <c r="R1793" s="14">
        <v>550</v>
      </c>
      <c r="S1793" s="7"/>
      <c r="T1793" s="7"/>
      <c r="U1793" s="14">
        <v>550</v>
      </c>
      <c r="V1793" s="7"/>
      <c r="W1793" s="7"/>
      <c r="X1793" s="7"/>
      <c r="Y1793" s="7"/>
      <c r="Z1793" s="12"/>
      <c r="AA1793" s="14">
        <v>550</v>
      </c>
    </row>
    <row r="1794" spans="1:27" outlineLevel="7">
      <c r="A1794" s="3499" t="s">
        <v>2119</v>
      </c>
      <c r="B1794" s="3499"/>
      <c r="C1794" s="12"/>
      <c r="D1794" s="12"/>
      <c r="E1794" s="12"/>
      <c r="F1794" s="7"/>
      <c r="G1794" s="7"/>
      <c r="H1794" s="8"/>
      <c r="I1794" s="9"/>
      <c r="J1794" s="7"/>
      <c r="K1794" s="7"/>
      <c r="L1794" s="7"/>
      <c r="M1794" s="7"/>
      <c r="N1794" s="7"/>
      <c r="O1794" s="7"/>
      <c r="P1794" s="7"/>
      <c r="Q1794" s="7"/>
      <c r="R1794" s="14">
        <v>550</v>
      </c>
      <c r="S1794" s="7"/>
      <c r="T1794" s="7"/>
      <c r="U1794" s="14">
        <v>550</v>
      </c>
      <c r="V1794" s="7"/>
      <c r="W1794" s="7"/>
      <c r="X1794" s="7"/>
      <c r="Y1794" s="7"/>
      <c r="Z1794" s="12"/>
      <c r="AA1794" s="14">
        <v>550</v>
      </c>
    </row>
    <row r="1795" spans="1:27" outlineLevel="6">
      <c r="A1795" s="3501" t="s">
        <v>963</v>
      </c>
      <c r="B1795" s="3501"/>
      <c r="C1795" s="12"/>
      <c r="D1795" s="12"/>
      <c r="E1795" s="12"/>
      <c r="F1795" s="7"/>
      <c r="G1795" s="7"/>
      <c r="H1795" s="8"/>
      <c r="I1795" s="9"/>
      <c r="J1795" s="7"/>
      <c r="K1795" s="7"/>
      <c r="L1795" s="7"/>
      <c r="M1795" s="7"/>
      <c r="N1795" s="7"/>
      <c r="O1795" s="7"/>
      <c r="P1795" s="7"/>
      <c r="Q1795" s="7"/>
      <c r="R1795" s="14">
        <v>550</v>
      </c>
      <c r="S1795" s="7"/>
      <c r="T1795" s="7"/>
      <c r="U1795" s="14">
        <v>550</v>
      </c>
      <c r="V1795" s="7"/>
      <c r="W1795" s="7"/>
      <c r="X1795" s="7"/>
      <c r="Y1795" s="7"/>
      <c r="Z1795" s="12"/>
      <c r="AA1795" s="14">
        <v>550</v>
      </c>
    </row>
    <row r="1796" spans="1:27" outlineLevel="7">
      <c r="A1796" s="3500" t="s">
        <v>964</v>
      </c>
      <c r="B1796" s="3500"/>
      <c r="C1796" s="12"/>
      <c r="D1796" s="12"/>
      <c r="E1796" s="12"/>
      <c r="F1796" s="7"/>
      <c r="G1796" s="7"/>
      <c r="H1796" s="8"/>
      <c r="I1796" s="9"/>
      <c r="J1796" s="7"/>
      <c r="K1796" s="7"/>
      <c r="L1796" s="7"/>
      <c r="M1796" s="7"/>
      <c r="N1796" s="7"/>
      <c r="O1796" s="7"/>
      <c r="P1796" s="7"/>
      <c r="Q1796" s="7"/>
      <c r="R1796" s="14">
        <v>550</v>
      </c>
      <c r="S1796" s="7"/>
      <c r="T1796" s="7"/>
      <c r="U1796" s="14">
        <v>550</v>
      </c>
      <c r="V1796" s="7"/>
      <c r="W1796" s="7"/>
      <c r="X1796" s="7"/>
      <c r="Y1796" s="7"/>
      <c r="Z1796" s="12"/>
      <c r="AA1796" s="14">
        <v>550</v>
      </c>
    </row>
    <row r="1797" spans="1:27" outlineLevel="7">
      <c r="A1797" s="3499" t="s">
        <v>2120</v>
      </c>
      <c r="B1797" s="3499"/>
      <c r="C1797" s="12"/>
      <c r="D1797" s="12"/>
      <c r="E1797" s="12"/>
      <c r="F1797" s="7"/>
      <c r="G1797" s="7"/>
      <c r="H1797" s="8"/>
      <c r="I1797" s="9"/>
      <c r="J1797" s="7"/>
      <c r="K1797" s="7"/>
      <c r="L1797" s="7"/>
      <c r="M1797" s="7"/>
      <c r="N1797" s="7"/>
      <c r="O1797" s="7"/>
      <c r="P1797" s="7"/>
      <c r="Q1797" s="7"/>
      <c r="R1797" s="14">
        <v>550</v>
      </c>
      <c r="S1797" s="7"/>
      <c r="T1797" s="7"/>
      <c r="U1797" s="14">
        <v>550</v>
      </c>
      <c r="V1797" s="7"/>
      <c r="W1797" s="7"/>
      <c r="X1797" s="7"/>
      <c r="Y1797" s="7"/>
      <c r="Z1797" s="12"/>
      <c r="AA1797" s="14">
        <v>550</v>
      </c>
    </row>
    <row r="1798" spans="1:27" outlineLevel="6">
      <c r="A1798" s="3501" t="s">
        <v>965</v>
      </c>
      <c r="B1798" s="3501"/>
      <c r="C1798" s="12"/>
      <c r="D1798" s="14">
        <v>550</v>
      </c>
      <c r="E1798" s="7"/>
      <c r="F1798" s="7"/>
      <c r="G1798" s="7"/>
      <c r="H1798" s="8"/>
      <c r="I1798" s="9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12"/>
      <c r="AA1798" s="14">
        <v>550</v>
      </c>
    </row>
    <row r="1799" spans="1:27" outlineLevel="7">
      <c r="A1799" s="3500" t="s">
        <v>966</v>
      </c>
      <c r="B1799" s="3500"/>
      <c r="C1799" s="12"/>
      <c r="D1799" s="14">
        <v>550</v>
      </c>
      <c r="E1799" s="7"/>
      <c r="F1799" s="7"/>
      <c r="G1799" s="7"/>
      <c r="H1799" s="8"/>
      <c r="I1799" s="9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12"/>
      <c r="AA1799" s="14">
        <v>550</v>
      </c>
    </row>
    <row r="1800" spans="1:27" outlineLevel="7">
      <c r="A1800" s="3499" t="s">
        <v>2121</v>
      </c>
      <c r="B1800" s="3499"/>
      <c r="C1800" s="12"/>
      <c r="D1800" s="14">
        <v>550</v>
      </c>
      <c r="E1800" s="7"/>
      <c r="F1800" s="7"/>
      <c r="G1800" s="7"/>
      <c r="H1800" s="8"/>
      <c r="I1800" s="9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12"/>
      <c r="AA1800" s="14">
        <v>550</v>
      </c>
    </row>
    <row r="1801" spans="1:27" outlineLevel="6">
      <c r="A1801" s="3526" t="s">
        <v>967</v>
      </c>
      <c r="B1801" s="3526"/>
      <c r="C1801" s="1432"/>
      <c r="D1801" s="1433">
        <v>550</v>
      </c>
      <c r="E1801" s="1434"/>
      <c r="F1801" s="1434"/>
      <c r="G1801" s="1434"/>
      <c r="H1801" s="1435"/>
      <c r="I1801" s="1436"/>
      <c r="J1801" s="1434"/>
      <c r="K1801" s="1434"/>
      <c r="L1801" s="1434"/>
      <c r="M1801" s="1434"/>
      <c r="N1801" s="1434"/>
      <c r="O1801" s="1434"/>
      <c r="P1801" s="1434"/>
      <c r="Q1801" s="1434"/>
      <c r="R1801" s="1434"/>
      <c r="S1801" s="7"/>
      <c r="T1801" s="7"/>
      <c r="U1801" s="7"/>
      <c r="V1801" s="7"/>
      <c r="W1801" s="7"/>
      <c r="X1801" s="7"/>
      <c r="Y1801" s="7"/>
      <c r="Z1801" s="12"/>
      <c r="AA1801" s="14">
        <v>550</v>
      </c>
    </row>
    <row r="1802" spans="1:27" outlineLevel="7">
      <c r="A1802" s="3527" t="s">
        <v>968</v>
      </c>
      <c r="B1802" s="3527"/>
      <c r="C1802" s="1432"/>
      <c r="D1802" s="1433">
        <v>550</v>
      </c>
      <c r="E1802" s="1434"/>
      <c r="F1802" s="1434"/>
      <c r="G1802" s="1434"/>
      <c r="H1802" s="1435"/>
      <c r="I1802" s="1436"/>
      <c r="J1802" s="1434"/>
      <c r="K1802" s="1434"/>
      <c r="L1802" s="1434"/>
      <c r="M1802" s="1434"/>
      <c r="N1802" s="1434"/>
      <c r="O1802" s="1434"/>
      <c r="P1802" s="1434"/>
      <c r="Q1802" s="1434"/>
      <c r="R1802" s="1434"/>
      <c r="S1802" s="7"/>
      <c r="T1802" s="7"/>
      <c r="U1802" s="7"/>
      <c r="V1802" s="7"/>
      <c r="W1802" s="7"/>
      <c r="X1802" s="7"/>
      <c r="Y1802" s="7"/>
      <c r="Z1802" s="12"/>
      <c r="AA1802" s="14">
        <v>550</v>
      </c>
    </row>
    <row r="1803" spans="1:27" outlineLevel="7">
      <c r="A1803" s="3528" t="s">
        <v>2122</v>
      </c>
      <c r="B1803" s="3528"/>
      <c r="C1803" s="1432"/>
      <c r="D1803" s="1433">
        <v>550</v>
      </c>
      <c r="E1803" s="1434"/>
      <c r="F1803" s="1434"/>
      <c r="G1803" s="1434"/>
      <c r="H1803" s="1435"/>
      <c r="I1803" s="1436"/>
      <c r="J1803" s="1434"/>
      <c r="K1803" s="1434"/>
      <c r="L1803" s="1434"/>
      <c r="M1803" s="1434"/>
      <c r="N1803" s="1434"/>
      <c r="O1803" s="1434"/>
      <c r="P1803" s="1434"/>
      <c r="Q1803" s="1434"/>
      <c r="R1803" s="1434"/>
      <c r="S1803" s="7"/>
      <c r="T1803" s="7"/>
      <c r="U1803" s="7"/>
      <c r="V1803" s="7"/>
      <c r="W1803" s="7"/>
      <c r="X1803" s="7"/>
      <c r="Y1803" s="7"/>
      <c r="Z1803" s="12"/>
      <c r="AA1803" s="14">
        <v>550</v>
      </c>
    </row>
    <row r="1804" spans="1:27" outlineLevel="6">
      <c r="A1804" s="3501" t="s">
        <v>301</v>
      </c>
      <c r="B1804" s="3501"/>
      <c r="C1804" s="7"/>
      <c r="D1804" s="7"/>
      <c r="E1804" s="14">
        <v>550</v>
      </c>
      <c r="F1804" s="7"/>
      <c r="G1804" s="14">
        <v>550</v>
      </c>
      <c r="H1804" s="3523">
        <v>550</v>
      </c>
      <c r="I1804" s="3523"/>
      <c r="J1804" s="7"/>
      <c r="K1804" s="7"/>
      <c r="L1804" s="7"/>
      <c r="M1804" s="7"/>
      <c r="N1804" s="7"/>
      <c r="O1804" s="7"/>
      <c r="P1804" s="7"/>
      <c r="Q1804" s="7"/>
      <c r="R1804" s="14">
        <v>550</v>
      </c>
      <c r="S1804" s="7"/>
      <c r="T1804" s="7"/>
      <c r="U1804" s="14">
        <v>550</v>
      </c>
      <c r="V1804" s="7"/>
      <c r="W1804" s="7"/>
      <c r="X1804" s="7"/>
      <c r="Y1804" s="7"/>
      <c r="Z1804" s="7"/>
      <c r="AA1804" s="7"/>
    </row>
    <row r="1805" spans="1:27" outlineLevel="7">
      <c r="A1805" s="3500" t="s">
        <v>302</v>
      </c>
      <c r="B1805" s="3500"/>
      <c r="C1805" s="7"/>
      <c r="D1805" s="7"/>
      <c r="E1805" s="14">
        <v>550</v>
      </c>
      <c r="F1805" s="7"/>
      <c r="G1805" s="14">
        <v>550</v>
      </c>
      <c r="H1805" s="3523">
        <v>550</v>
      </c>
      <c r="I1805" s="3523"/>
      <c r="J1805" s="7"/>
      <c r="K1805" s="7"/>
      <c r="L1805" s="7"/>
      <c r="M1805" s="7"/>
      <c r="N1805" s="7"/>
      <c r="O1805" s="7"/>
      <c r="P1805" s="7"/>
      <c r="Q1805" s="7"/>
      <c r="R1805" s="14">
        <v>550</v>
      </c>
      <c r="S1805" s="7"/>
      <c r="T1805" s="7"/>
      <c r="U1805" s="14">
        <v>550</v>
      </c>
      <c r="V1805" s="7"/>
      <c r="W1805" s="7"/>
      <c r="X1805" s="7"/>
      <c r="Y1805" s="7"/>
      <c r="Z1805" s="7"/>
      <c r="AA1805" s="7"/>
    </row>
    <row r="1806" spans="1:27" outlineLevel="7">
      <c r="A1806" s="3499" t="s">
        <v>2123</v>
      </c>
      <c r="B1806" s="3499"/>
      <c r="C1806" s="7"/>
      <c r="D1806" s="7"/>
      <c r="E1806" s="14">
        <v>550</v>
      </c>
      <c r="F1806" s="7"/>
      <c r="G1806" s="14">
        <v>550</v>
      </c>
      <c r="H1806" s="3523">
        <v>550</v>
      </c>
      <c r="I1806" s="3523"/>
      <c r="J1806" s="7"/>
      <c r="K1806" s="7"/>
      <c r="L1806" s="7"/>
      <c r="M1806" s="7"/>
      <c r="N1806" s="7"/>
      <c r="O1806" s="7"/>
      <c r="P1806" s="7"/>
      <c r="Q1806" s="7"/>
      <c r="R1806" s="14">
        <v>550</v>
      </c>
      <c r="S1806" s="7"/>
      <c r="T1806" s="7"/>
      <c r="U1806" s="14">
        <v>550</v>
      </c>
      <c r="V1806" s="7"/>
      <c r="W1806" s="7"/>
      <c r="X1806" s="7"/>
      <c r="Y1806" s="7"/>
      <c r="Z1806" s="7"/>
      <c r="AA1806" s="7"/>
    </row>
    <row r="1807" spans="1:27" outlineLevel="6">
      <c r="A1807" s="3501" t="s">
        <v>969</v>
      </c>
      <c r="B1807" s="3501"/>
      <c r="C1807" s="12"/>
      <c r="D1807" s="14">
        <v>550</v>
      </c>
      <c r="E1807" s="7"/>
      <c r="F1807" s="7"/>
      <c r="G1807" s="7"/>
      <c r="H1807" s="8"/>
      <c r="I1807" s="9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12"/>
      <c r="AA1807" s="14">
        <v>550</v>
      </c>
    </row>
    <row r="1808" spans="1:27" outlineLevel="7">
      <c r="A1808" s="3500" t="s">
        <v>970</v>
      </c>
      <c r="B1808" s="3500"/>
      <c r="C1808" s="12"/>
      <c r="D1808" s="14">
        <v>550</v>
      </c>
      <c r="E1808" s="7"/>
      <c r="F1808" s="7"/>
      <c r="G1808" s="7"/>
      <c r="H1808" s="8"/>
      <c r="I1808" s="9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12"/>
      <c r="AA1808" s="14">
        <v>550</v>
      </c>
    </row>
    <row r="1809" spans="1:27" outlineLevel="7">
      <c r="A1809" s="3499" t="s">
        <v>2124</v>
      </c>
      <c r="B1809" s="3499"/>
      <c r="C1809" s="12"/>
      <c r="D1809" s="14">
        <v>550</v>
      </c>
      <c r="E1809" s="7"/>
      <c r="F1809" s="7"/>
      <c r="G1809" s="7"/>
      <c r="H1809" s="8"/>
      <c r="I1809" s="9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12"/>
      <c r="AA1809" s="14">
        <v>550</v>
      </c>
    </row>
    <row r="1810" spans="1:27" outlineLevel="6">
      <c r="A1810" s="3501" t="s">
        <v>971</v>
      </c>
      <c r="B1810" s="3501"/>
      <c r="C1810" s="12"/>
      <c r="D1810" s="12"/>
      <c r="E1810" s="12"/>
      <c r="F1810" s="7"/>
      <c r="G1810" s="7"/>
      <c r="H1810" s="8"/>
      <c r="I1810" s="9"/>
      <c r="J1810" s="7"/>
      <c r="K1810" s="7"/>
      <c r="L1810" s="7"/>
      <c r="M1810" s="7"/>
      <c r="N1810" s="7"/>
      <c r="O1810" s="7"/>
      <c r="P1810" s="7"/>
      <c r="Q1810" s="7"/>
      <c r="R1810" s="14">
        <v>550</v>
      </c>
      <c r="S1810" s="7"/>
      <c r="T1810" s="7"/>
      <c r="U1810" s="14">
        <v>550</v>
      </c>
      <c r="V1810" s="7"/>
      <c r="W1810" s="7"/>
      <c r="X1810" s="7"/>
      <c r="Y1810" s="7"/>
      <c r="Z1810" s="12"/>
      <c r="AA1810" s="14">
        <v>550</v>
      </c>
    </row>
    <row r="1811" spans="1:27" outlineLevel="7">
      <c r="A1811" s="3500" t="s">
        <v>972</v>
      </c>
      <c r="B1811" s="3500"/>
      <c r="C1811" s="12"/>
      <c r="D1811" s="12"/>
      <c r="E1811" s="12"/>
      <c r="F1811" s="7"/>
      <c r="G1811" s="7"/>
      <c r="H1811" s="8"/>
      <c r="I1811" s="9"/>
      <c r="J1811" s="7"/>
      <c r="K1811" s="7"/>
      <c r="L1811" s="7"/>
      <c r="M1811" s="7"/>
      <c r="N1811" s="7"/>
      <c r="O1811" s="7"/>
      <c r="P1811" s="7"/>
      <c r="Q1811" s="7"/>
      <c r="R1811" s="14">
        <v>550</v>
      </c>
      <c r="S1811" s="7"/>
      <c r="T1811" s="7"/>
      <c r="U1811" s="14">
        <v>550</v>
      </c>
      <c r="V1811" s="7"/>
      <c r="W1811" s="7"/>
      <c r="X1811" s="7"/>
      <c r="Y1811" s="7"/>
      <c r="Z1811" s="12"/>
      <c r="AA1811" s="14">
        <v>550</v>
      </c>
    </row>
    <row r="1812" spans="1:27" outlineLevel="7">
      <c r="A1812" s="3499" t="s">
        <v>2125</v>
      </c>
      <c r="B1812" s="3499"/>
      <c r="C1812" s="12"/>
      <c r="D1812" s="12"/>
      <c r="E1812" s="12"/>
      <c r="F1812" s="7"/>
      <c r="G1812" s="7"/>
      <c r="H1812" s="8"/>
      <c r="I1812" s="9"/>
      <c r="J1812" s="7"/>
      <c r="K1812" s="7"/>
      <c r="L1812" s="7"/>
      <c r="M1812" s="7"/>
      <c r="N1812" s="7"/>
      <c r="O1812" s="7"/>
      <c r="P1812" s="7"/>
      <c r="Q1812" s="7"/>
      <c r="R1812" s="14">
        <v>550</v>
      </c>
      <c r="S1812" s="7"/>
      <c r="T1812" s="7"/>
      <c r="U1812" s="14">
        <v>550</v>
      </c>
      <c r="V1812" s="7"/>
      <c r="W1812" s="7"/>
      <c r="X1812" s="7"/>
      <c r="Y1812" s="7"/>
      <c r="Z1812" s="12"/>
      <c r="AA1812" s="14">
        <v>550</v>
      </c>
    </row>
    <row r="1813" spans="1:27" outlineLevel="6">
      <c r="A1813" s="3501" t="s">
        <v>303</v>
      </c>
      <c r="B1813" s="3501"/>
      <c r="C1813" s="7"/>
      <c r="D1813" s="7"/>
      <c r="E1813" s="14">
        <v>550</v>
      </c>
      <c r="F1813" s="7"/>
      <c r="G1813" s="14">
        <v>550</v>
      </c>
      <c r="H1813" s="3523">
        <v>550</v>
      </c>
      <c r="I1813" s="3523"/>
      <c r="J1813" s="7"/>
      <c r="K1813" s="7"/>
      <c r="L1813" s="7"/>
      <c r="M1813" s="7"/>
      <c r="N1813" s="7"/>
      <c r="O1813" s="7"/>
      <c r="P1813" s="7"/>
      <c r="Q1813" s="7"/>
      <c r="R1813" s="14">
        <v>550</v>
      </c>
      <c r="S1813" s="7"/>
      <c r="T1813" s="7"/>
      <c r="U1813" s="14">
        <v>550</v>
      </c>
      <c r="V1813" s="7"/>
      <c r="W1813" s="7"/>
      <c r="X1813" s="7"/>
      <c r="Y1813" s="7"/>
      <c r="Z1813" s="7"/>
      <c r="AA1813" s="7"/>
    </row>
    <row r="1814" spans="1:27" outlineLevel="7">
      <c r="A1814" s="3500" t="s">
        <v>304</v>
      </c>
      <c r="B1814" s="3500"/>
      <c r="C1814" s="7"/>
      <c r="D1814" s="7"/>
      <c r="E1814" s="14">
        <v>550</v>
      </c>
      <c r="F1814" s="7"/>
      <c r="G1814" s="14">
        <v>550</v>
      </c>
      <c r="H1814" s="3523">
        <v>550</v>
      </c>
      <c r="I1814" s="3523"/>
      <c r="J1814" s="7"/>
      <c r="K1814" s="7"/>
      <c r="L1814" s="7"/>
      <c r="M1814" s="7"/>
      <c r="N1814" s="7"/>
      <c r="O1814" s="7"/>
      <c r="P1814" s="7"/>
      <c r="Q1814" s="7"/>
      <c r="R1814" s="14">
        <v>550</v>
      </c>
      <c r="S1814" s="7"/>
      <c r="T1814" s="7"/>
      <c r="U1814" s="14">
        <v>550</v>
      </c>
      <c r="V1814" s="7"/>
      <c r="W1814" s="7"/>
      <c r="X1814" s="7"/>
      <c r="Y1814" s="7"/>
      <c r="Z1814" s="7"/>
      <c r="AA1814" s="7"/>
    </row>
    <row r="1815" spans="1:27" outlineLevel="7">
      <c r="A1815" s="3499" t="s">
        <v>2126</v>
      </c>
      <c r="B1815" s="3499"/>
      <c r="C1815" s="7"/>
      <c r="D1815" s="7"/>
      <c r="E1815" s="14">
        <v>550</v>
      </c>
      <c r="F1815" s="7"/>
      <c r="G1815" s="14">
        <v>550</v>
      </c>
      <c r="H1815" s="3523">
        <v>550</v>
      </c>
      <c r="I1815" s="3523"/>
      <c r="J1815" s="7"/>
      <c r="K1815" s="7"/>
      <c r="L1815" s="7"/>
      <c r="M1815" s="7"/>
      <c r="N1815" s="7"/>
      <c r="O1815" s="7"/>
      <c r="P1815" s="7"/>
      <c r="Q1815" s="7"/>
      <c r="R1815" s="14">
        <v>550</v>
      </c>
      <c r="S1815" s="7"/>
      <c r="T1815" s="7"/>
      <c r="U1815" s="14">
        <v>550</v>
      </c>
      <c r="V1815" s="7"/>
      <c r="W1815" s="7"/>
      <c r="X1815" s="7"/>
      <c r="Y1815" s="7"/>
      <c r="Z1815" s="7"/>
      <c r="AA1815" s="7"/>
    </row>
    <row r="1816" spans="1:27" outlineLevel="6">
      <c r="A1816" s="3501" t="s">
        <v>973</v>
      </c>
      <c r="B1816" s="3501"/>
      <c r="C1816" s="12"/>
      <c r="D1816" s="14">
        <v>550</v>
      </c>
      <c r="E1816" s="7"/>
      <c r="F1816" s="7"/>
      <c r="G1816" s="7"/>
      <c r="H1816" s="8"/>
      <c r="I1816" s="9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12"/>
      <c r="AA1816" s="14">
        <v>550</v>
      </c>
    </row>
    <row r="1817" spans="1:27" outlineLevel="7">
      <c r="A1817" s="3500" t="s">
        <v>974</v>
      </c>
      <c r="B1817" s="3500"/>
      <c r="C1817" s="12"/>
      <c r="D1817" s="14">
        <v>550</v>
      </c>
      <c r="E1817" s="7"/>
      <c r="F1817" s="7"/>
      <c r="G1817" s="7"/>
      <c r="H1817" s="8"/>
      <c r="I1817" s="9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12"/>
      <c r="AA1817" s="14">
        <v>550</v>
      </c>
    </row>
    <row r="1818" spans="1:27" outlineLevel="7">
      <c r="A1818" s="3499" t="s">
        <v>2127</v>
      </c>
      <c r="B1818" s="3499"/>
      <c r="C1818" s="12"/>
      <c r="D1818" s="14">
        <v>550</v>
      </c>
      <c r="E1818" s="7"/>
      <c r="F1818" s="7"/>
      <c r="G1818" s="7"/>
      <c r="H1818" s="8"/>
      <c r="I1818" s="9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12"/>
      <c r="AA1818" s="14">
        <v>550</v>
      </c>
    </row>
    <row r="1819" spans="1:27" outlineLevel="6">
      <c r="A1819" s="3501" t="s">
        <v>975</v>
      </c>
      <c r="B1819" s="3501"/>
      <c r="C1819" s="12"/>
      <c r="D1819" s="12"/>
      <c r="E1819" s="12"/>
      <c r="F1819" s="7"/>
      <c r="G1819" s="7"/>
      <c r="H1819" s="8"/>
      <c r="I1819" s="9"/>
      <c r="J1819" s="7"/>
      <c r="K1819" s="7"/>
      <c r="L1819" s="7"/>
      <c r="M1819" s="7"/>
      <c r="N1819" s="7"/>
      <c r="O1819" s="7"/>
      <c r="P1819" s="7"/>
      <c r="Q1819" s="7"/>
      <c r="R1819" s="14">
        <v>550</v>
      </c>
      <c r="S1819" s="7"/>
      <c r="T1819" s="7"/>
      <c r="U1819" s="14">
        <v>550</v>
      </c>
      <c r="V1819" s="7"/>
      <c r="W1819" s="7"/>
      <c r="X1819" s="7"/>
      <c r="Y1819" s="7"/>
      <c r="Z1819" s="12"/>
      <c r="AA1819" s="14">
        <v>550</v>
      </c>
    </row>
    <row r="1820" spans="1:27" outlineLevel="7">
      <c r="A1820" s="3500" t="s">
        <v>976</v>
      </c>
      <c r="B1820" s="3500"/>
      <c r="C1820" s="12"/>
      <c r="D1820" s="12"/>
      <c r="E1820" s="12"/>
      <c r="F1820" s="7"/>
      <c r="G1820" s="7"/>
      <c r="H1820" s="8"/>
      <c r="I1820" s="9"/>
      <c r="J1820" s="7"/>
      <c r="K1820" s="7"/>
      <c r="L1820" s="7"/>
      <c r="M1820" s="7"/>
      <c r="N1820" s="7"/>
      <c r="O1820" s="7"/>
      <c r="P1820" s="7"/>
      <c r="Q1820" s="7"/>
      <c r="R1820" s="14">
        <v>550</v>
      </c>
      <c r="S1820" s="7"/>
      <c r="T1820" s="7"/>
      <c r="U1820" s="14">
        <v>550</v>
      </c>
      <c r="V1820" s="7"/>
      <c r="W1820" s="7"/>
      <c r="X1820" s="7"/>
      <c r="Y1820" s="7"/>
      <c r="Z1820" s="12"/>
      <c r="AA1820" s="14">
        <v>550</v>
      </c>
    </row>
    <row r="1821" spans="1:27" outlineLevel="7">
      <c r="A1821" s="3499" t="s">
        <v>2128</v>
      </c>
      <c r="B1821" s="3499"/>
      <c r="C1821" s="12"/>
      <c r="D1821" s="12"/>
      <c r="E1821" s="12"/>
      <c r="F1821" s="7"/>
      <c r="G1821" s="7"/>
      <c r="H1821" s="8"/>
      <c r="I1821" s="9"/>
      <c r="J1821" s="7"/>
      <c r="K1821" s="7"/>
      <c r="L1821" s="7"/>
      <c r="M1821" s="7"/>
      <c r="N1821" s="7"/>
      <c r="O1821" s="7"/>
      <c r="P1821" s="7"/>
      <c r="Q1821" s="7"/>
      <c r="R1821" s="14">
        <v>550</v>
      </c>
      <c r="S1821" s="7"/>
      <c r="T1821" s="7"/>
      <c r="U1821" s="14">
        <v>550</v>
      </c>
      <c r="V1821" s="7"/>
      <c r="W1821" s="7"/>
      <c r="X1821" s="7"/>
      <c r="Y1821" s="7"/>
      <c r="Z1821" s="12"/>
      <c r="AA1821" s="14">
        <v>550</v>
      </c>
    </row>
    <row r="1822" spans="1:27" outlineLevel="6">
      <c r="A1822" s="3501" t="s">
        <v>977</v>
      </c>
      <c r="B1822" s="3501"/>
      <c r="C1822" s="12"/>
      <c r="D1822" s="12"/>
      <c r="E1822" s="12"/>
      <c r="F1822" s="7"/>
      <c r="G1822" s="7"/>
      <c r="H1822" s="8"/>
      <c r="I1822" s="9"/>
      <c r="J1822" s="7"/>
      <c r="K1822" s="7"/>
      <c r="L1822" s="7"/>
      <c r="M1822" s="7"/>
      <c r="N1822" s="7"/>
      <c r="O1822" s="7"/>
      <c r="P1822" s="7"/>
      <c r="Q1822" s="7"/>
      <c r="R1822" s="13">
        <v>8993.7199999999993</v>
      </c>
      <c r="S1822" s="7"/>
      <c r="T1822" s="7"/>
      <c r="U1822" s="13">
        <v>8993.7199999999993</v>
      </c>
      <c r="V1822" s="7"/>
      <c r="W1822" s="7"/>
      <c r="X1822" s="7"/>
      <c r="Y1822" s="7"/>
      <c r="Z1822" s="12"/>
      <c r="AA1822" s="13">
        <v>8993.7199999999993</v>
      </c>
    </row>
    <row r="1823" spans="1:27" outlineLevel="7">
      <c r="A1823" s="3500" t="s">
        <v>978</v>
      </c>
      <c r="B1823" s="3500"/>
      <c r="C1823" s="12"/>
      <c r="D1823" s="12"/>
      <c r="E1823" s="12"/>
      <c r="F1823" s="7"/>
      <c r="G1823" s="7"/>
      <c r="H1823" s="8"/>
      <c r="I1823" s="9"/>
      <c r="J1823" s="7"/>
      <c r="K1823" s="7"/>
      <c r="L1823" s="7"/>
      <c r="M1823" s="7"/>
      <c r="N1823" s="7"/>
      <c r="O1823" s="7"/>
      <c r="P1823" s="7"/>
      <c r="Q1823" s="7"/>
      <c r="R1823" s="13">
        <v>8993.7199999999993</v>
      </c>
      <c r="S1823" s="7"/>
      <c r="T1823" s="7"/>
      <c r="U1823" s="13">
        <v>8993.7199999999993</v>
      </c>
      <c r="V1823" s="7"/>
      <c r="W1823" s="7"/>
      <c r="X1823" s="7"/>
      <c r="Y1823" s="7"/>
      <c r="Z1823" s="12"/>
      <c r="AA1823" s="13">
        <v>8993.7199999999993</v>
      </c>
    </row>
    <row r="1824" spans="1:27" outlineLevel="7">
      <c r="A1824" s="3499" t="s">
        <v>2129</v>
      </c>
      <c r="B1824" s="3499"/>
      <c r="C1824" s="12"/>
      <c r="D1824" s="12"/>
      <c r="E1824" s="12"/>
      <c r="F1824" s="7"/>
      <c r="G1824" s="7"/>
      <c r="H1824" s="8"/>
      <c r="I1824" s="9"/>
      <c r="J1824" s="7"/>
      <c r="K1824" s="7"/>
      <c r="L1824" s="7"/>
      <c r="M1824" s="7"/>
      <c r="N1824" s="7"/>
      <c r="O1824" s="7"/>
      <c r="P1824" s="7"/>
      <c r="Q1824" s="7"/>
      <c r="R1824" s="13">
        <v>8993.7199999999993</v>
      </c>
      <c r="S1824" s="7"/>
      <c r="T1824" s="7"/>
      <c r="U1824" s="13">
        <v>8993.7199999999993</v>
      </c>
      <c r="V1824" s="7"/>
      <c r="W1824" s="7"/>
      <c r="X1824" s="7"/>
      <c r="Y1824" s="7"/>
      <c r="Z1824" s="12"/>
      <c r="AA1824" s="13">
        <v>8993.7199999999993</v>
      </c>
    </row>
    <row r="1825" spans="1:27" outlineLevel="6">
      <c r="A1825" s="3501" t="s">
        <v>305</v>
      </c>
      <c r="B1825" s="3501"/>
      <c r="C1825" s="7"/>
      <c r="D1825" s="7"/>
      <c r="E1825" s="14">
        <v>550</v>
      </c>
      <c r="F1825" s="7"/>
      <c r="G1825" s="14">
        <v>550</v>
      </c>
      <c r="H1825" s="3523">
        <v>550</v>
      </c>
      <c r="I1825" s="3523"/>
      <c r="J1825" s="7"/>
      <c r="K1825" s="7"/>
      <c r="L1825" s="7"/>
      <c r="M1825" s="7"/>
      <c r="N1825" s="7"/>
      <c r="O1825" s="7"/>
      <c r="P1825" s="7"/>
      <c r="Q1825" s="7"/>
      <c r="R1825" s="14">
        <v>550</v>
      </c>
      <c r="S1825" s="7"/>
      <c r="T1825" s="7"/>
      <c r="U1825" s="14">
        <v>550</v>
      </c>
      <c r="V1825" s="7"/>
      <c r="W1825" s="7"/>
      <c r="X1825" s="7"/>
      <c r="Y1825" s="7"/>
      <c r="Z1825" s="7"/>
      <c r="AA1825" s="7"/>
    </row>
    <row r="1826" spans="1:27" outlineLevel="7">
      <c r="A1826" s="3500" t="s">
        <v>306</v>
      </c>
      <c r="B1826" s="3500"/>
      <c r="C1826" s="7"/>
      <c r="D1826" s="7"/>
      <c r="E1826" s="14">
        <v>550</v>
      </c>
      <c r="F1826" s="7"/>
      <c r="G1826" s="14">
        <v>550</v>
      </c>
      <c r="H1826" s="3523">
        <v>550</v>
      </c>
      <c r="I1826" s="3523"/>
      <c r="J1826" s="7"/>
      <c r="K1826" s="7"/>
      <c r="L1826" s="7"/>
      <c r="M1826" s="7"/>
      <c r="N1826" s="7"/>
      <c r="O1826" s="7"/>
      <c r="P1826" s="7"/>
      <c r="Q1826" s="7"/>
      <c r="R1826" s="14">
        <v>550</v>
      </c>
      <c r="S1826" s="7"/>
      <c r="T1826" s="7"/>
      <c r="U1826" s="14">
        <v>550</v>
      </c>
      <c r="V1826" s="7"/>
      <c r="W1826" s="7"/>
      <c r="X1826" s="7"/>
      <c r="Y1826" s="7"/>
      <c r="Z1826" s="7"/>
      <c r="AA1826" s="7"/>
    </row>
    <row r="1827" spans="1:27" outlineLevel="7">
      <c r="A1827" s="3499" t="s">
        <v>2130</v>
      </c>
      <c r="B1827" s="3499"/>
      <c r="C1827" s="7"/>
      <c r="D1827" s="7"/>
      <c r="E1827" s="14">
        <v>550</v>
      </c>
      <c r="F1827" s="7"/>
      <c r="G1827" s="14">
        <v>550</v>
      </c>
      <c r="H1827" s="3523">
        <v>550</v>
      </c>
      <c r="I1827" s="3523"/>
      <c r="J1827" s="7"/>
      <c r="K1827" s="7"/>
      <c r="L1827" s="7"/>
      <c r="M1827" s="7"/>
      <c r="N1827" s="7"/>
      <c r="O1827" s="7"/>
      <c r="P1827" s="7"/>
      <c r="Q1827" s="7"/>
      <c r="R1827" s="14">
        <v>550</v>
      </c>
      <c r="S1827" s="7"/>
      <c r="T1827" s="7"/>
      <c r="U1827" s="14">
        <v>550</v>
      </c>
      <c r="V1827" s="7"/>
      <c r="W1827" s="7"/>
      <c r="X1827" s="7"/>
      <c r="Y1827" s="7"/>
      <c r="Z1827" s="7"/>
      <c r="AA1827" s="7"/>
    </row>
    <row r="1828" spans="1:27" outlineLevel="6">
      <c r="A1828" s="3501" t="s">
        <v>307</v>
      </c>
      <c r="B1828" s="3501"/>
      <c r="C1828" s="7"/>
      <c r="D1828" s="7"/>
      <c r="E1828" s="14">
        <v>550</v>
      </c>
      <c r="F1828" s="7"/>
      <c r="G1828" s="14">
        <v>550</v>
      </c>
      <c r="H1828" s="3523">
        <v>550</v>
      </c>
      <c r="I1828" s="3523"/>
      <c r="J1828" s="7"/>
      <c r="K1828" s="7"/>
      <c r="L1828" s="7"/>
      <c r="M1828" s="7"/>
      <c r="N1828" s="7"/>
      <c r="O1828" s="7"/>
      <c r="P1828" s="7"/>
      <c r="Q1828" s="7"/>
      <c r="R1828" s="14">
        <v>550</v>
      </c>
      <c r="S1828" s="7"/>
      <c r="T1828" s="7"/>
      <c r="U1828" s="14">
        <v>550</v>
      </c>
      <c r="V1828" s="7"/>
      <c r="W1828" s="7"/>
      <c r="X1828" s="7"/>
      <c r="Y1828" s="7"/>
      <c r="Z1828" s="7"/>
      <c r="AA1828" s="7"/>
    </row>
    <row r="1829" spans="1:27" outlineLevel="7">
      <c r="A1829" s="3500" t="s">
        <v>308</v>
      </c>
      <c r="B1829" s="3500"/>
      <c r="C1829" s="7"/>
      <c r="D1829" s="7"/>
      <c r="E1829" s="14">
        <v>550</v>
      </c>
      <c r="F1829" s="7"/>
      <c r="G1829" s="14">
        <v>550</v>
      </c>
      <c r="H1829" s="3523">
        <v>550</v>
      </c>
      <c r="I1829" s="3523"/>
      <c r="J1829" s="7"/>
      <c r="K1829" s="7"/>
      <c r="L1829" s="7"/>
      <c r="M1829" s="7"/>
      <c r="N1829" s="7"/>
      <c r="O1829" s="7"/>
      <c r="P1829" s="7"/>
      <c r="Q1829" s="7"/>
      <c r="R1829" s="14">
        <v>550</v>
      </c>
      <c r="S1829" s="7"/>
      <c r="T1829" s="7"/>
      <c r="U1829" s="14">
        <v>550</v>
      </c>
      <c r="V1829" s="7"/>
      <c r="W1829" s="7"/>
      <c r="X1829" s="7"/>
      <c r="Y1829" s="7"/>
      <c r="Z1829" s="7"/>
      <c r="AA1829" s="7"/>
    </row>
    <row r="1830" spans="1:27" outlineLevel="7">
      <c r="A1830" s="3499" t="s">
        <v>2131</v>
      </c>
      <c r="B1830" s="3499"/>
      <c r="C1830" s="7"/>
      <c r="D1830" s="7"/>
      <c r="E1830" s="14">
        <v>550</v>
      </c>
      <c r="F1830" s="7"/>
      <c r="G1830" s="14">
        <v>550</v>
      </c>
      <c r="H1830" s="3523">
        <v>550</v>
      </c>
      <c r="I1830" s="3523"/>
      <c r="J1830" s="7"/>
      <c r="K1830" s="7"/>
      <c r="L1830" s="7"/>
      <c r="M1830" s="7"/>
      <c r="N1830" s="7"/>
      <c r="O1830" s="7"/>
      <c r="P1830" s="7"/>
      <c r="Q1830" s="7"/>
      <c r="R1830" s="14">
        <v>550</v>
      </c>
      <c r="S1830" s="7"/>
      <c r="T1830" s="7"/>
      <c r="U1830" s="14">
        <v>550</v>
      </c>
      <c r="V1830" s="7"/>
      <c r="W1830" s="7"/>
      <c r="X1830" s="7"/>
      <c r="Y1830" s="7"/>
      <c r="Z1830" s="7"/>
      <c r="AA1830" s="7"/>
    </row>
    <row r="1831" spans="1:27" outlineLevel="6">
      <c r="A1831" s="3501" t="s">
        <v>979</v>
      </c>
      <c r="B1831" s="3501"/>
      <c r="C1831" s="12"/>
      <c r="D1831" s="12"/>
      <c r="E1831" s="12"/>
      <c r="F1831" s="7"/>
      <c r="G1831" s="7"/>
      <c r="H1831" s="8"/>
      <c r="I1831" s="9"/>
      <c r="J1831" s="7"/>
      <c r="K1831" s="7"/>
      <c r="L1831" s="7"/>
      <c r="M1831" s="7"/>
      <c r="N1831" s="7"/>
      <c r="O1831" s="7"/>
      <c r="P1831" s="7"/>
      <c r="Q1831" s="7"/>
      <c r="R1831" s="14">
        <v>550</v>
      </c>
      <c r="S1831" s="7"/>
      <c r="T1831" s="7"/>
      <c r="U1831" s="14">
        <v>550</v>
      </c>
      <c r="V1831" s="7"/>
      <c r="W1831" s="7"/>
      <c r="X1831" s="7"/>
      <c r="Y1831" s="7"/>
      <c r="Z1831" s="12"/>
      <c r="AA1831" s="14">
        <v>550</v>
      </c>
    </row>
    <row r="1832" spans="1:27" outlineLevel="7">
      <c r="A1832" s="3500" t="s">
        <v>980</v>
      </c>
      <c r="B1832" s="3500"/>
      <c r="C1832" s="12"/>
      <c r="D1832" s="12"/>
      <c r="E1832" s="12"/>
      <c r="F1832" s="7"/>
      <c r="G1832" s="7"/>
      <c r="H1832" s="8"/>
      <c r="I1832" s="9"/>
      <c r="J1832" s="7"/>
      <c r="K1832" s="7"/>
      <c r="L1832" s="7"/>
      <c r="M1832" s="7"/>
      <c r="N1832" s="7"/>
      <c r="O1832" s="7"/>
      <c r="P1832" s="7"/>
      <c r="Q1832" s="7"/>
      <c r="R1832" s="14">
        <v>550</v>
      </c>
      <c r="S1832" s="7"/>
      <c r="T1832" s="7"/>
      <c r="U1832" s="14">
        <v>550</v>
      </c>
      <c r="V1832" s="7"/>
      <c r="W1832" s="7"/>
      <c r="X1832" s="7"/>
      <c r="Y1832" s="7"/>
      <c r="Z1832" s="12"/>
      <c r="AA1832" s="14">
        <v>550</v>
      </c>
    </row>
    <row r="1833" spans="1:27" outlineLevel="7">
      <c r="A1833" s="3499" t="s">
        <v>2132</v>
      </c>
      <c r="B1833" s="3499"/>
      <c r="C1833" s="12"/>
      <c r="D1833" s="12"/>
      <c r="E1833" s="12"/>
      <c r="F1833" s="7"/>
      <c r="G1833" s="7"/>
      <c r="H1833" s="8"/>
      <c r="I1833" s="9"/>
      <c r="J1833" s="7"/>
      <c r="K1833" s="7"/>
      <c r="L1833" s="7"/>
      <c r="M1833" s="7"/>
      <c r="N1833" s="7"/>
      <c r="O1833" s="7"/>
      <c r="P1833" s="7"/>
      <c r="Q1833" s="7"/>
      <c r="R1833" s="14">
        <v>550</v>
      </c>
      <c r="S1833" s="7"/>
      <c r="T1833" s="7"/>
      <c r="U1833" s="14">
        <v>550</v>
      </c>
      <c r="V1833" s="7"/>
      <c r="W1833" s="7"/>
      <c r="X1833" s="7"/>
      <c r="Y1833" s="7"/>
      <c r="Z1833" s="12"/>
      <c r="AA1833" s="14">
        <v>550</v>
      </c>
    </row>
    <row r="1834" spans="1:27" outlineLevel="6">
      <c r="A1834" s="3501" t="s">
        <v>309</v>
      </c>
      <c r="B1834" s="3501"/>
      <c r="C1834" s="7"/>
      <c r="D1834" s="7"/>
      <c r="E1834" s="14">
        <v>550</v>
      </c>
      <c r="F1834" s="7"/>
      <c r="G1834" s="14">
        <v>550</v>
      </c>
      <c r="H1834" s="3523">
        <v>550</v>
      </c>
      <c r="I1834" s="3523"/>
      <c r="J1834" s="7"/>
      <c r="K1834" s="7"/>
      <c r="L1834" s="7"/>
      <c r="M1834" s="7"/>
      <c r="N1834" s="7"/>
      <c r="O1834" s="7"/>
      <c r="P1834" s="7"/>
      <c r="Q1834" s="7"/>
      <c r="R1834" s="14">
        <v>550</v>
      </c>
      <c r="S1834" s="7"/>
      <c r="T1834" s="7"/>
      <c r="U1834" s="14">
        <v>550</v>
      </c>
      <c r="V1834" s="7"/>
      <c r="W1834" s="7"/>
      <c r="X1834" s="7"/>
      <c r="Y1834" s="7"/>
      <c r="Z1834" s="7"/>
      <c r="AA1834" s="7"/>
    </row>
    <row r="1835" spans="1:27" outlineLevel="7">
      <c r="A1835" s="3500" t="s">
        <v>310</v>
      </c>
      <c r="B1835" s="3500"/>
      <c r="C1835" s="7"/>
      <c r="D1835" s="7"/>
      <c r="E1835" s="14">
        <v>550</v>
      </c>
      <c r="F1835" s="7"/>
      <c r="G1835" s="14">
        <v>550</v>
      </c>
      <c r="H1835" s="3523">
        <v>550</v>
      </c>
      <c r="I1835" s="3523"/>
      <c r="J1835" s="7"/>
      <c r="K1835" s="7"/>
      <c r="L1835" s="7"/>
      <c r="M1835" s="7"/>
      <c r="N1835" s="7"/>
      <c r="O1835" s="7"/>
      <c r="P1835" s="7"/>
      <c r="Q1835" s="7"/>
      <c r="R1835" s="14">
        <v>550</v>
      </c>
      <c r="S1835" s="7"/>
      <c r="T1835" s="7"/>
      <c r="U1835" s="14">
        <v>550</v>
      </c>
      <c r="V1835" s="7"/>
      <c r="W1835" s="7"/>
      <c r="X1835" s="7"/>
      <c r="Y1835" s="7"/>
      <c r="Z1835" s="7"/>
      <c r="AA1835" s="7"/>
    </row>
    <row r="1836" spans="1:27" outlineLevel="7">
      <c r="A1836" s="3499" t="s">
        <v>2133</v>
      </c>
      <c r="B1836" s="3499"/>
      <c r="C1836" s="7"/>
      <c r="D1836" s="7"/>
      <c r="E1836" s="14">
        <v>550</v>
      </c>
      <c r="F1836" s="7"/>
      <c r="G1836" s="14">
        <v>550</v>
      </c>
      <c r="H1836" s="3523">
        <v>550</v>
      </c>
      <c r="I1836" s="3523"/>
      <c r="J1836" s="7"/>
      <c r="K1836" s="7"/>
      <c r="L1836" s="7"/>
      <c r="M1836" s="7"/>
      <c r="N1836" s="7"/>
      <c r="O1836" s="7"/>
      <c r="P1836" s="7"/>
      <c r="Q1836" s="7"/>
      <c r="R1836" s="14">
        <v>550</v>
      </c>
      <c r="S1836" s="7"/>
      <c r="T1836" s="7"/>
      <c r="U1836" s="14">
        <v>550</v>
      </c>
      <c r="V1836" s="7"/>
      <c r="W1836" s="7"/>
      <c r="X1836" s="7"/>
      <c r="Y1836" s="7"/>
      <c r="Z1836" s="7"/>
      <c r="AA1836" s="7"/>
    </row>
    <row r="1837" spans="1:27" outlineLevel="6">
      <c r="A1837" s="3501" t="s">
        <v>311</v>
      </c>
      <c r="B1837" s="3501"/>
      <c r="C1837" s="7"/>
      <c r="D1837" s="7"/>
      <c r="E1837" s="14">
        <v>550</v>
      </c>
      <c r="F1837" s="7"/>
      <c r="G1837" s="14">
        <v>550</v>
      </c>
      <c r="H1837" s="3523">
        <v>550</v>
      </c>
      <c r="I1837" s="3523"/>
      <c r="J1837" s="7"/>
      <c r="K1837" s="7"/>
      <c r="L1837" s="7"/>
      <c r="M1837" s="7"/>
      <c r="N1837" s="7"/>
      <c r="O1837" s="7"/>
      <c r="P1837" s="7"/>
      <c r="Q1837" s="7"/>
      <c r="R1837" s="14">
        <v>550</v>
      </c>
      <c r="S1837" s="7"/>
      <c r="T1837" s="7"/>
      <c r="U1837" s="14">
        <v>550</v>
      </c>
      <c r="V1837" s="7"/>
      <c r="W1837" s="7"/>
      <c r="X1837" s="7"/>
      <c r="Y1837" s="7"/>
      <c r="Z1837" s="7"/>
      <c r="AA1837" s="7"/>
    </row>
    <row r="1838" spans="1:27" outlineLevel="7">
      <c r="A1838" s="3500" t="s">
        <v>312</v>
      </c>
      <c r="B1838" s="3500"/>
      <c r="C1838" s="7"/>
      <c r="D1838" s="7"/>
      <c r="E1838" s="14">
        <v>550</v>
      </c>
      <c r="F1838" s="7"/>
      <c r="G1838" s="14">
        <v>550</v>
      </c>
      <c r="H1838" s="3523">
        <v>550</v>
      </c>
      <c r="I1838" s="3523"/>
      <c r="J1838" s="7"/>
      <c r="K1838" s="7"/>
      <c r="L1838" s="7"/>
      <c r="M1838" s="7"/>
      <c r="N1838" s="7"/>
      <c r="O1838" s="7"/>
      <c r="P1838" s="7"/>
      <c r="Q1838" s="7"/>
      <c r="R1838" s="14">
        <v>550</v>
      </c>
      <c r="S1838" s="7"/>
      <c r="T1838" s="7"/>
      <c r="U1838" s="14">
        <v>550</v>
      </c>
      <c r="V1838" s="7"/>
      <c r="W1838" s="7"/>
      <c r="X1838" s="7"/>
      <c r="Y1838" s="7"/>
      <c r="Z1838" s="7"/>
      <c r="AA1838" s="7"/>
    </row>
    <row r="1839" spans="1:27" outlineLevel="7">
      <c r="A1839" s="3499" t="s">
        <v>2134</v>
      </c>
      <c r="B1839" s="3499"/>
      <c r="C1839" s="7"/>
      <c r="D1839" s="7"/>
      <c r="E1839" s="14">
        <v>550</v>
      </c>
      <c r="F1839" s="7"/>
      <c r="G1839" s="14">
        <v>550</v>
      </c>
      <c r="H1839" s="3523">
        <v>550</v>
      </c>
      <c r="I1839" s="3523"/>
      <c r="J1839" s="7"/>
      <c r="K1839" s="7"/>
      <c r="L1839" s="7"/>
      <c r="M1839" s="7"/>
      <c r="N1839" s="7"/>
      <c r="O1839" s="7"/>
      <c r="P1839" s="7"/>
      <c r="Q1839" s="7"/>
      <c r="R1839" s="14">
        <v>550</v>
      </c>
      <c r="S1839" s="7"/>
      <c r="T1839" s="7"/>
      <c r="U1839" s="14">
        <v>550</v>
      </c>
      <c r="V1839" s="7"/>
      <c r="W1839" s="7"/>
      <c r="X1839" s="7"/>
      <c r="Y1839" s="7"/>
      <c r="Z1839" s="7"/>
      <c r="AA1839" s="7"/>
    </row>
    <row r="1840" spans="1:27" outlineLevel="6">
      <c r="A1840" s="3501" t="s">
        <v>313</v>
      </c>
      <c r="B1840" s="3501"/>
      <c r="C1840" s="7"/>
      <c r="D1840" s="7"/>
      <c r="E1840" s="14">
        <v>550</v>
      </c>
      <c r="F1840" s="7"/>
      <c r="G1840" s="14">
        <v>550</v>
      </c>
      <c r="H1840" s="3523">
        <v>550</v>
      </c>
      <c r="I1840" s="3523"/>
      <c r="J1840" s="7"/>
      <c r="K1840" s="7"/>
      <c r="L1840" s="7"/>
      <c r="M1840" s="7"/>
      <c r="N1840" s="7"/>
      <c r="O1840" s="7"/>
      <c r="P1840" s="7"/>
      <c r="Q1840" s="7"/>
      <c r="R1840" s="14">
        <v>550</v>
      </c>
      <c r="S1840" s="7"/>
      <c r="T1840" s="7"/>
      <c r="U1840" s="14">
        <v>550</v>
      </c>
      <c r="V1840" s="7"/>
      <c r="W1840" s="7"/>
      <c r="X1840" s="7"/>
      <c r="Y1840" s="7"/>
      <c r="Z1840" s="7"/>
      <c r="AA1840" s="7"/>
    </row>
    <row r="1841" spans="1:27" outlineLevel="7">
      <c r="A1841" s="3500" t="s">
        <v>314</v>
      </c>
      <c r="B1841" s="3500"/>
      <c r="C1841" s="7"/>
      <c r="D1841" s="7"/>
      <c r="E1841" s="14">
        <v>550</v>
      </c>
      <c r="F1841" s="7"/>
      <c r="G1841" s="14">
        <v>550</v>
      </c>
      <c r="H1841" s="3523">
        <v>550</v>
      </c>
      <c r="I1841" s="3523"/>
      <c r="J1841" s="7"/>
      <c r="K1841" s="7"/>
      <c r="L1841" s="7"/>
      <c r="M1841" s="7"/>
      <c r="N1841" s="7"/>
      <c r="O1841" s="7"/>
      <c r="P1841" s="7"/>
      <c r="Q1841" s="7"/>
      <c r="R1841" s="14">
        <v>550</v>
      </c>
      <c r="S1841" s="7"/>
      <c r="T1841" s="7"/>
      <c r="U1841" s="14">
        <v>550</v>
      </c>
      <c r="V1841" s="7"/>
      <c r="W1841" s="7"/>
      <c r="X1841" s="7"/>
      <c r="Y1841" s="7"/>
      <c r="Z1841" s="7"/>
      <c r="AA1841" s="7"/>
    </row>
    <row r="1842" spans="1:27" outlineLevel="7">
      <c r="A1842" s="3499" t="s">
        <v>2135</v>
      </c>
      <c r="B1842" s="3499"/>
      <c r="C1842" s="7"/>
      <c r="D1842" s="7"/>
      <c r="E1842" s="14">
        <v>550</v>
      </c>
      <c r="F1842" s="7"/>
      <c r="G1842" s="14">
        <v>550</v>
      </c>
      <c r="H1842" s="3523">
        <v>550</v>
      </c>
      <c r="I1842" s="3523"/>
      <c r="J1842" s="7"/>
      <c r="K1842" s="7"/>
      <c r="L1842" s="7"/>
      <c r="M1842" s="7"/>
      <c r="N1842" s="7"/>
      <c r="O1842" s="7"/>
      <c r="P1842" s="7"/>
      <c r="Q1842" s="7"/>
      <c r="R1842" s="14">
        <v>550</v>
      </c>
      <c r="S1842" s="7"/>
      <c r="T1842" s="7"/>
      <c r="U1842" s="14">
        <v>550</v>
      </c>
      <c r="V1842" s="7"/>
      <c r="W1842" s="7"/>
      <c r="X1842" s="7"/>
      <c r="Y1842" s="7"/>
      <c r="Z1842" s="7"/>
      <c r="AA1842" s="7"/>
    </row>
    <row r="1843" spans="1:27" outlineLevel="6">
      <c r="A1843" s="3501" t="s">
        <v>315</v>
      </c>
      <c r="B1843" s="3501"/>
      <c r="C1843" s="7"/>
      <c r="D1843" s="7"/>
      <c r="E1843" s="14">
        <v>550</v>
      </c>
      <c r="F1843" s="7"/>
      <c r="G1843" s="14">
        <v>550</v>
      </c>
      <c r="H1843" s="3523">
        <v>550</v>
      </c>
      <c r="I1843" s="3523"/>
      <c r="J1843" s="7"/>
      <c r="K1843" s="7"/>
      <c r="L1843" s="7"/>
      <c r="M1843" s="7"/>
      <c r="N1843" s="7"/>
      <c r="O1843" s="7"/>
      <c r="P1843" s="7"/>
      <c r="Q1843" s="7"/>
      <c r="R1843" s="14">
        <v>550</v>
      </c>
      <c r="S1843" s="7"/>
      <c r="T1843" s="7"/>
      <c r="U1843" s="14">
        <v>550</v>
      </c>
      <c r="V1843" s="7"/>
      <c r="W1843" s="7"/>
      <c r="X1843" s="7"/>
      <c r="Y1843" s="7"/>
      <c r="Z1843" s="7"/>
      <c r="AA1843" s="7"/>
    </row>
    <row r="1844" spans="1:27" outlineLevel="7">
      <c r="A1844" s="3500" t="s">
        <v>316</v>
      </c>
      <c r="B1844" s="3500"/>
      <c r="C1844" s="7"/>
      <c r="D1844" s="7"/>
      <c r="E1844" s="14">
        <v>550</v>
      </c>
      <c r="F1844" s="7"/>
      <c r="G1844" s="14">
        <v>550</v>
      </c>
      <c r="H1844" s="3523">
        <v>550</v>
      </c>
      <c r="I1844" s="3523"/>
      <c r="J1844" s="7"/>
      <c r="K1844" s="7"/>
      <c r="L1844" s="7"/>
      <c r="M1844" s="7"/>
      <c r="N1844" s="7"/>
      <c r="O1844" s="7"/>
      <c r="P1844" s="7"/>
      <c r="Q1844" s="7"/>
      <c r="R1844" s="14">
        <v>550</v>
      </c>
      <c r="S1844" s="7"/>
      <c r="T1844" s="7"/>
      <c r="U1844" s="14">
        <v>550</v>
      </c>
      <c r="V1844" s="7"/>
      <c r="W1844" s="7"/>
      <c r="X1844" s="7"/>
      <c r="Y1844" s="7"/>
      <c r="Z1844" s="7"/>
      <c r="AA1844" s="7"/>
    </row>
    <row r="1845" spans="1:27" outlineLevel="7">
      <c r="A1845" s="3499" t="s">
        <v>2136</v>
      </c>
      <c r="B1845" s="3499"/>
      <c r="C1845" s="7"/>
      <c r="D1845" s="7"/>
      <c r="E1845" s="14">
        <v>550</v>
      </c>
      <c r="F1845" s="7"/>
      <c r="G1845" s="14">
        <v>550</v>
      </c>
      <c r="H1845" s="3523">
        <v>550</v>
      </c>
      <c r="I1845" s="3523"/>
      <c r="J1845" s="7"/>
      <c r="K1845" s="7"/>
      <c r="L1845" s="7"/>
      <c r="M1845" s="7"/>
      <c r="N1845" s="7"/>
      <c r="O1845" s="7"/>
      <c r="P1845" s="7"/>
      <c r="Q1845" s="7"/>
      <c r="R1845" s="14">
        <v>550</v>
      </c>
      <c r="S1845" s="7"/>
      <c r="T1845" s="7"/>
      <c r="U1845" s="14">
        <v>550</v>
      </c>
      <c r="V1845" s="7"/>
      <c r="W1845" s="7"/>
      <c r="X1845" s="7"/>
      <c r="Y1845" s="7"/>
      <c r="Z1845" s="7"/>
      <c r="AA1845" s="7"/>
    </row>
    <row r="1846" spans="1:27" outlineLevel="6">
      <c r="A1846" s="3501" t="s">
        <v>317</v>
      </c>
      <c r="B1846" s="3501"/>
      <c r="C1846" s="7"/>
      <c r="D1846" s="7"/>
      <c r="E1846" s="14">
        <v>550</v>
      </c>
      <c r="F1846" s="7"/>
      <c r="G1846" s="14">
        <v>550</v>
      </c>
      <c r="H1846" s="3523">
        <v>550</v>
      </c>
      <c r="I1846" s="3523"/>
      <c r="J1846" s="7"/>
      <c r="K1846" s="7"/>
      <c r="L1846" s="7"/>
      <c r="M1846" s="7"/>
      <c r="N1846" s="7"/>
      <c r="O1846" s="7"/>
      <c r="P1846" s="7"/>
      <c r="Q1846" s="7"/>
      <c r="R1846" s="14">
        <v>550</v>
      </c>
      <c r="S1846" s="7"/>
      <c r="T1846" s="7"/>
      <c r="U1846" s="14">
        <v>550</v>
      </c>
      <c r="V1846" s="7"/>
      <c r="W1846" s="7"/>
      <c r="X1846" s="7"/>
      <c r="Y1846" s="7"/>
      <c r="Z1846" s="7"/>
      <c r="AA1846" s="7"/>
    </row>
    <row r="1847" spans="1:27" outlineLevel="7">
      <c r="A1847" s="3500" t="s">
        <v>318</v>
      </c>
      <c r="B1847" s="3500"/>
      <c r="C1847" s="7"/>
      <c r="D1847" s="7"/>
      <c r="E1847" s="14">
        <v>550</v>
      </c>
      <c r="F1847" s="7"/>
      <c r="G1847" s="14">
        <v>550</v>
      </c>
      <c r="H1847" s="3523">
        <v>550</v>
      </c>
      <c r="I1847" s="3523"/>
      <c r="J1847" s="7"/>
      <c r="K1847" s="7"/>
      <c r="L1847" s="7"/>
      <c r="M1847" s="7"/>
      <c r="N1847" s="7"/>
      <c r="O1847" s="7"/>
      <c r="P1847" s="7"/>
      <c r="Q1847" s="7"/>
      <c r="R1847" s="14">
        <v>550</v>
      </c>
      <c r="S1847" s="7"/>
      <c r="T1847" s="7"/>
      <c r="U1847" s="14">
        <v>550</v>
      </c>
      <c r="V1847" s="7"/>
      <c r="W1847" s="7"/>
      <c r="X1847" s="7"/>
      <c r="Y1847" s="7"/>
      <c r="Z1847" s="7"/>
      <c r="AA1847" s="7"/>
    </row>
    <row r="1848" spans="1:27" outlineLevel="7">
      <c r="A1848" s="3499" t="s">
        <v>2137</v>
      </c>
      <c r="B1848" s="3499"/>
      <c r="C1848" s="7"/>
      <c r="D1848" s="7"/>
      <c r="E1848" s="14">
        <v>550</v>
      </c>
      <c r="F1848" s="7"/>
      <c r="G1848" s="14">
        <v>550</v>
      </c>
      <c r="H1848" s="3523">
        <v>550</v>
      </c>
      <c r="I1848" s="3523"/>
      <c r="J1848" s="7"/>
      <c r="K1848" s="7"/>
      <c r="L1848" s="7"/>
      <c r="M1848" s="7"/>
      <c r="N1848" s="7"/>
      <c r="O1848" s="7"/>
      <c r="P1848" s="7"/>
      <c r="Q1848" s="7"/>
      <c r="R1848" s="14">
        <v>550</v>
      </c>
      <c r="S1848" s="7"/>
      <c r="T1848" s="7"/>
      <c r="U1848" s="14">
        <v>550</v>
      </c>
      <c r="V1848" s="7"/>
      <c r="W1848" s="7"/>
      <c r="X1848" s="7"/>
      <c r="Y1848" s="7"/>
      <c r="Z1848" s="7"/>
      <c r="AA1848" s="7"/>
    </row>
    <row r="1849" spans="1:27" outlineLevel="6">
      <c r="A1849" s="3501" t="s">
        <v>981</v>
      </c>
      <c r="B1849" s="3501"/>
      <c r="C1849" s="12"/>
      <c r="D1849" s="12"/>
      <c r="E1849" s="12"/>
      <c r="F1849" s="7"/>
      <c r="G1849" s="7"/>
      <c r="H1849" s="8"/>
      <c r="I1849" s="9"/>
      <c r="J1849" s="7"/>
      <c r="K1849" s="7"/>
      <c r="L1849" s="7"/>
      <c r="M1849" s="7"/>
      <c r="N1849" s="7"/>
      <c r="O1849" s="7"/>
      <c r="P1849" s="7"/>
      <c r="Q1849" s="7"/>
      <c r="R1849" s="14">
        <v>550</v>
      </c>
      <c r="S1849" s="7"/>
      <c r="T1849" s="7"/>
      <c r="U1849" s="14">
        <v>550</v>
      </c>
      <c r="V1849" s="7"/>
      <c r="W1849" s="7"/>
      <c r="X1849" s="7"/>
      <c r="Y1849" s="7"/>
      <c r="Z1849" s="12"/>
      <c r="AA1849" s="14">
        <v>550</v>
      </c>
    </row>
    <row r="1850" spans="1:27" outlineLevel="7">
      <c r="A1850" s="3500" t="s">
        <v>982</v>
      </c>
      <c r="B1850" s="3500"/>
      <c r="C1850" s="12"/>
      <c r="D1850" s="12"/>
      <c r="E1850" s="12"/>
      <c r="F1850" s="7"/>
      <c r="G1850" s="7"/>
      <c r="H1850" s="8"/>
      <c r="I1850" s="9"/>
      <c r="J1850" s="7"/>
      <c r="K1850" s="7"/>
      <c r="L1850" s="7"/>
      <c r="M1850" s="7"/>
      <c r="N1850" s="7"/>
      <c r="O1850" s="7"/>
      <c r="P1850" s="7"/>
      <c r="Q1850" s="7"/>
      <c r="R1850" s="14">
        <v>550</v>
      </c>
      <c r="S1850" s="7"/>
      <c r="T1850" s="7"/>
      <c r="U1850" s="14">
        <v>550</v>
      </c>
      <c r="V1850" s="7"/>
      <c r="W1850" s="7"/>
      <c r="X1850" s="7"/>
      <c r="Y1850" s="7"/>
      <c r="Z1850" s="12"/>
      <c r="AA1850" s="14">
        <v>550</v>
      </c>
    </row>
    <row r="1851" spans="1:27" outlineLevel="7">
      <c r="A1851" s="3499" t="s">
        <v>2138</v>
      </c>
      <c r="B1851" s="3499"/>
      <c r="C1851" s="12"/>
      <c r="D1851" s="12"/>
      <c r="E1851" s="12"/>
      <c r="F1851" s="7"/>
      <c r="G1851" s="7"/>
      <c r="H1851" s="8"/>
      <c r="I1851" s="9"/>
      <c r="J1851" s="7"/>
      <c r="K1851" s="7"/>
      <c r="L1851" s="7"/>
      <c r="M1851" s="7"/>
      <c r="N1851" s="7"/>
      <c r="O1851" s="7"/>
      <c r="P1851" s="7"/>
      <c r="Q1851" s="7"/>
      <c r="R1851" s="14">
        <v>550</v>
      </c>
      <c r="S1851" s="7"/>
      <c r="T1851" s="7"/>
      <c r="U1851" s="14">
        <v>550</v>
      </c>
      <c r="V1851" s="7"/>
      <c r="W1851" s="7"/>
      <c r="X1851" s="7"/>
      <c r="Y1851" s="7"/>
      <c r="Z1851" s="12"/>
      <c r="AA1851" s="14">
        <v>550</v>
      </c>
    </row>
    <row r="1852" spans="1:27" outlineLevel="6">
      <c r="A1852" s="3501" t="s">
        <v>983</v>
      </c>
      <c r="B1852" s="3501"/>
      <c r="C1852" s="12"/>
      <c r="D1852" s="14">
        <v>550</v>
      </c>
      <c r="E1852" s="7"/>
      <c r="F1852" s="7"/>
      <c r="G1852" s="7"/>
      <c r="H1852" s="8"/>
      <c r="I1852" s="9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12"/>
      <c r="AA1852" s="14">
        <v>550</v>
      </c>
    </row>
    <row r="1853" spans="1:27" outlineLevel="7">
      <c r="A1853" s="3500" t="s">
        <v>984</v>
      </c>
      <c r="B1853" s="3500"/>
      <c r="C1853" s="12"/>
      <c r="D1853" s="14">
        <v>550</v>
      </c>
      <c r="E1853" s="7"/>
      <c r="F1853" s="7"/>
      <c r="G1853" s="7"/>
      <c r="H1853" s="8"/>
      <c r="I1853" s="9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12"/>
      <c r="AA1853" s="14">
        <v>550</v>
      </c>
    </row>
    <row r="1854" spans="1:27" outlineLevel="7">
      <c r="A1854" s="3499" t="s">
        <v>2139</v>
      </c>
      <c r="B1854" s="3499"/>
      <c r="C1854" s="12"/>
      <c r="D1854" s="14">
        <v>550</v>
      </c>
      <c r="E1854" s="7"/>
      <c r="F1854" s="7"/>
      <c r="G1854" s="7"/>
      <c r="H1854" s="8"/>
      <c r="I1854" s="9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12"/>
      <c r="AA1854" s="14">
        <v>550</v>
      </c>
    </row>
    <row r="1855" spans="1:27" outlineLevel="6">
      <c r="A1855" s="3501" t="s">
        <v>985</v>
      </c>
      <c r="B1855" s="3501"/>
      <c r="C1855" s="12"/>
      <c r="D1855" s="12"/>
      <c r="E1855" s="12"/>
      <c r="F1855" s="7"/>
      <c r="G1855" s="7"/>
      <c r="H1855" s="8"/>
      <c r="I1855" s="9"/>
      <c r="J1855" s="7"/>
      <c r="K1855" s="7"/>
      <c r="L1855" s="7"/>
      <c r="M1855" s="7"/>
      <c r="N1855" s="7"/>
      <c r="O1855" s="7"/>
      <c r="P1855" s="7"/>
      <c r="Q1855" s="7"/>
      <c r="R1855" s="14">
        <v>550</v>
      </c>
      <c r="S1855" s="7"/>
      <c r="T1855" s="7"/>
      <c r="U1855" s="14">
        <v>550</v>
      </c>
      <c r="V1855" s="7"/>
      <c r="W1855" s="7"/>
      <c r="X1855" s="7"/>
      <c r="Y1855" s="7"/>
      <c r="Z1855" s="12"/>
      <c r="AA1855" s="14">
        <v>550</v>
      </c>
    </row>
    <row r="1856" spans="1:27" outlineLevel="7">
      <c r="A1856" s="3500" t="s">
        <v>986</v>
      </c>
      <c r="B1856" s="3500"/>
      <c r="C1856" s="12"/>
      <c r="D1856" s="12"/>
      <c r="E1856" s="12"/>
      <c r="F1856" s="7"/>
      <c r="G1856" s="7"/>
      <c r="H1856" s="8"/>
      <c r="I1856" s="9"/>
      <c r="J1856" s="7"/>
      <c r="K1856" s="7"/>
      <c r="L1856" s="7"/>
      <c r="M1856" s="7"/>
      <c r="N1856" s="7"/>
      <c r="O1856" s="7"/>
      <c r="P1856" s="7"/>
      <c r="Q1856" s="7"/>
      <c r="R1856" s="14">
        <v>550</v>
      </c>
      <c r="S1856" s="7"/>
      <c r="T1856" s="7"/>
      <c r="U1856" s="14">
        <v>550</v>
      </c>
      <c r="V1856" s="7"/>
      <c r="W1856" s="7"/>
      <c r="X1856" s="7"/>
      <c r="Y1856" s="7"/>
      <c r="Z1856" s="12"/>
      <c r="AA1856" s="14">
        <v>550</v>
      </c>
    </row>
    <row r="1857" spans="1:27" outlineLevel="7">
      <c r="A1857" s="3499" t="s">
        <v>2140</v>
      </c>
      <c r="B1857" s="3499"/>
      <c r="C1857" s="12"/>
      <c r="D1857" s="12"/>
      <c r="E1857" s="12"/>
      <c r="F1857" s="7"/>
      <c r="G1857" s="7"/>
      <c r="H1857" s="8"/>
      <c r="I1857" s="9"/>
      <c r="J1857" s="7"/>
      <c r="K1857" s="7"/>
      <c r="L1857" s="7"/>
      <c r="M1857" s="7"/>
      <c r="N1857" s="7"/>
      <c r="O1857" s="7"/>
      <c r="P1857" s="7"/>
      <c r="Q1857" s="7"/>
      <c r="R1857" s="14">
        <v>550</v>
      </c>
      <c r="S1857" s="7"/>
      <c r="T1857" s="7"/>
      <c r="U1857" s="14">
        <v>550</v>
      </c>
      <c r="V1857" s="7"/>
      <c r="W1857" s="7"/>
      <c r="X1857" s="7"/>
      <c r="Y1857" s="7"/>
      <c r="Z1857" s="12"/>
      <c r="AA1857" s="14">
        <v>550</v>
      </c>
    </row>
    <row r="1858" spans="1:27" outlineLevel="6">
      <c r="A1858" s="3501" t="s">
        <v>321</v>
      </c>
      <c r="B1858" s="3501"/>
      <c r="C1858" s="7"/>
      <c r="D1858" s="7"/>
      <c r="E1858" s="14">
        <v>550</v>
      </c>
      <c r="F1858" s="7"/>
      <c r="G1858" s="14">
        <v>550</v>
      </c>
      <c r="H1858" s="3523">
        <v>550</v>
      </c>
      <c r="I1858" s="3523"/>
      <c r="J1858" s="7"/>
      <c r="K1858" s="7"/>
      <c r="L1858" s="7"/>
      <c r="M1858" s="7"/>
      <c r="N1858" s="7"/>
      <c r="O1858" s="7"/>
      <c r="P1858" s="7"/>
      <c r="Q1858" s="7"/>
      <c r="R1858" s="14">
        <v>550</v>
      </c>
      <c r="S1858" s="7"/>
      <c r="T1858" s="7"/>
      <c r="U1858" s="14">
        <v>550</v>
      </c>
      <c r="V1858" s="7"/>
      <c r="W1858" s="7"/>
      <c r="X1858" s="7"/>
      <c r="Y1858" s="7"/>
      <c r="Z1858" s="7"/>
      <c r="AA1858" s="7"/>
    </row>
    <row r="1859" spans="1:27" outlineLevel="7">
      <c r="A1859" s="3500" t="s">
        <v>322</v>
      </c>
      <c r="B1859" s="3500"/>
      <c r="C1859" s="7"/>
      <c r="D1859" s="7"/>
      <c r="E1859" s="14">
        <v>550</v>
      </c>
      <c r="F1859" s="7"/>
      <c r="G1859" s="14">
        <v>550</v>
      </c>
      <c r="H1859" s="3523">
        <v>550</v>
      </c>
      <c r="I1859" s="3523"/>
      <c r="J1859" s="7"/>
      <c r="K1859" s="7"/>
      <c r="L1859" s="7"/>
      <c r="M1859" s="7"/>
      <c r="N1859" s="7"/>
      <c r="O1859" s="7"/>
      <c r="P1859" s="7"/>
      <c r="Q1859" s="7"/>
      <c r="R1859" s="14">
        <v>550</v>
      </c>
      <c r="S1859" s="7"/>
      <c r="T1859" s="7"/>
      <c r="U1859" s="14">
        <v>550</v>
      </c>
      <c r="V1859" s="7"/>
      <c r="W1859" s="7"/>
      <c r="X1859" s="7"/>
      <c r="Y1859" s="7"/>
      <c r="Z1859" s="7"/>
      <c r="AA1859" s="7"/>
    </row>
    <row r="1860" spans="1:27" outlineLevel="7">
      <c r="A1860" s="3499" t="s">
        <v>2141</v>
      </c>
      <c r="B1860" s="3499"/>
      <c r="C1860" s="7"/>
      <c r="D1860" s="7"/>
      <c r="E1860" s="14">
        <v>550</v>
      </c>
      <c r="F1860" s="7"/>
      <c r="G1860" s="14">
        <v>550</v>
      </c>
      <c r="H1860" s="3523">
        <v>550</v>
      </c>
      <c r="I1860" s="3523"/>
      <c r="J1860" s="7"/>
      <c r="K1860" s="7"/>
      <c r="L1860" s="7"/>
      <c r="M1860" s="7"/>
      <c r="N1860" s="7"/>
      <c r="O1860" s="7"/>
      <c r="P1860" s="7"/>
      <c r="Q1860" s="7"/>
      <c r="R1860" s="14">
        <v>550</v>
      </c>
      <c r="S1860" s="7"/>
      <c r="T1860" s="7"/>
      <c r="U1860" s="14">
        <v>550</v>
      </c>
      <c r="V1860" s="7"/>
      <c r="W1860" s="7"/>
      <c r="X1860" s="7"/>
      <c r="Y1860" s="7"/>
      <c r="Z1860" s="7"/>
      <c r="AA1860" s="7"/>
    </row>
    <row r="1861" spans="1:27" outlineLevel="6">
      <c r="A1861" s="3501" t="s">
        <v>987</v>
      </c>
      <c r="B1861" s="3501"/>
      <c r="C1861" s="12"/>
      <c r="D1861" s="12"/>
      <c r="E1861" s="12"/>
      <c r="F1861" s="7"/>
      <c r="G1861" s="7"/>
      <c r="H1861" s="8"/>
      <c r="I1861" s="9"/>
      <c r="J1861" s="7"/>
      <c r="K1861" s="7"/>
      <c r="L1861" s="7"/>
      <c r="M1861" s="7"/>
      <c r="N1861" s="7"/>
      <c r="O1861" s="7"/>
      <c r="P1861" s="7"/>
      <c r="Q1861" s="7"/>
      <c r="R1861" s="14">
        <v>550</v>
      </c>
      <c r="S1861" s="7"/>
      <c r="T1861" s="7"/>
      <c r="U1861" s="14">
        <v>550</v>
      </c>
      <c r="V1861" s="7"/>
      <c r="W1861" s="7"/>
      <c r="X1861" s="7"/>
      <c r="Y1861" s="7"/>
      <c r="Z1861" s="12"/>
      <c r="AA1861" s="14">
        <v>550</v>
      </c>
    </row>
    <row r="1862" spans="1:27" outlineLevel="7">
      <c r="A1862" s="3500" t="s">
        <v>988</v>
      </c>
      <c r="B1862" s="3500"/>
      <c r="C1862" s="12"/>
      <c r="D1862" s="12"/>
      <c r="E1862" s="12"/>
      <c r="F1862" s="7"/>
      <c r="G1862" s="7"/>
      <c r="H1862" s="8"/>
      <c r="I1862" s="9"/>
      <c r="J1862" s="7"/>
      <c r="K1862" s="7"/>
      <c r="L1862" s="7"/>
      <c r="M1862" s="7"/>
      <c r="N1862" s="7"/>
      <c r="O1862" s="7"/>
      <c r="P1862" s="7"/>
      <c r="Q1862" s="7"/>
      <c r="R1862" s="14">
        <v>550</v>
      </c>
      <c r="S1862" s="7"/>
      <c r="T1862" s="7"/>
      <c r="U1862" s="14">
        <v>550</v>
      </c>
      <c r="V1862" s="7"/>
      <c r="W1862" s="7"/>
      <c r="X1862" s="7"/>
      <c r="Y1862" s="7"/>
      <c r="Z1862" s="12"/>
      <c r="AA1862" s="14">
        <v>550</v>
      </c>
    </row>
    <row r="1863" spans="1:27" outlineLevel="7">
      <c r="A1863" s="3499" t="s">
        <v>2142</v>
      </c>
      <c r="B1863" s="3499"/>
      <c r="C1863" s="12"/>
      <c r="D1863" s="12"/>
      <c r="E1863" s="12"/>
      <c r="F1863" s="7"/>
      <c r="G1863" s="7"/>
      <c r="H1863" s="8"/>
      <c r="I1863" s="9"/>
      <c r="J1863" s="7"/>
      <c r="K1863" s="7"/>
      <c r="L1863" s="7"/>
      <c r="M1863" s="7"/>
      <c r="N1863" s="7"/>
      <c r="O1863" s="7"/>
      <c r="P1863" s="7"/>
      <c r="Q1863" s="7"/>
      <c r="R1863" s="14">
        <v>550</v>
      </c>
      <c r="S1863" s="7"/>
      <c r="T1863" s="7"/>
      <c r="U1863" s="14">
        <v>550</v>
      </c>
      <c r="V1863" s="7"/>
      <c r="W1863" s="7"/>
      <c r="X1863" s="7"/>
      <c r="Y1863" s="7"/>
      <c r="Z1863" s="12"/>
      <c r="AA1863" s="14">
        <v>550</v>
      </c>
    </row>
    <row r="1864" spans="1:27" outlineLevel="6">
      <c r="A1864" s="3501" t="s">
        <v>989</v>
      </c>
      <c r="B1864" s="3501"/>
      <c r="C1864" s="12"/>
      <c r="D1864" s="12"/>
      <c r="E1864" s="12"/>
      <c r="F1864" s="7"/>
      <c r="G1864" s="7"/>
      <c r="H1864" s="8"/>
      <c r="I1864" s="9"/>
      <c r="J1864" s="7"/>
      <c r="K1864" s="7"/>
      <c r="L1864" s="7"/>
      <c r="M1864" s="7"/>
      <c r="N1864" s="7"/>
      <c r="O1864" s="7"/>
      <c r="P1864" s="7"/>
      <c r="Q1864" s="7"/>
      <c r="R1864" s="14">
        <v>550</v>
      </c>
      <c r="S1864" s="7"/>
      <c r="T1864" s="7"/>
      <c r="U1864" s="14">
        <v>550</v>
      </c>
      <c r="V1864" s="7"/>
      <c r="W1864" s="7"/>
      <c r="X1864" s="7"/>
      <c r="Y1864" s="7"/>
      <c r="Z1864" s="12"/>
      <c r="AA1864" s="14">
        <v>550</v>
      </c>
    </row>
    <row r="1865" spans="1:27" outlineLevel="7">
      <c r="A1865" s="3500" t="s">
        <v>990</v>
      </c>
      <c r="B1865" s="3500"/>
      <c r="C1865" s="12"/>
      <c r="D1865" s="12"/>
      <c r="E1865" s="12"/>
      <c r="F1865" s="7"/>
      <c r="G1865" s="7"/>
      <c r="H1865" s="8"/>
      <c r="I1865" s="9"/>
      <c r="J1865" s="7"/>
      <c r="K1865" s="7"/>
      <c r="L1865" s="7"/>
      <c r="M1865" s="7"/>
      <c r="N1865" s="7"/>
      <c r="O1865" s="7"/>
      <c r="P1865" s="7"/>
      <c r="Q1865" s="7"/>
      <c r="R1865" s="14">
        <v>550</v>
      </c>
      <c r="S1865" s="7"/>
      <c r="T1865" s="7"/>
      <c r="U1865" s="14">
        <v>550</v>
      </c>
      <c r="V1865" s="7"/>
      <c r="W1865" s="7"/>
      <c r="X1865" s="7"/>
      <c r="Y1865" s="7"/>
      <c r="Z1865" s="12"/>
      <c r="AA1865" s="14">
        <v>550</v>
      </c>
    </row>
    <row r="1866" spans="1:27" outlineLevel="7">
      <c r="A1866" s="3499" t="s">
        <v>2143</v>
      </c>
      <c r="B1866" s="3499"/>
      <c r="C1866" s="12"/>
      <c r="D1866" s="12"/>
      <c r="E1866" s="12"/>
      <c r="F1866" s="7"/>
      <c r="G1866" s="7"/>
      <c r="H1866" s="8"/>
      <c r="I1866" s="9"/>
      <c r="J1866" s="7"/>
      <c r="K1866" s="7"/>
      <c r="L1866" s="7"/>
      <c r="M1866" s="7"/>
      <c r="N1866" s="7"/>
      <c r="O1866" s="7"/>
      <c r="P1866" s="7"/>
      <c r="Q1866" s="7"/>
      <c r="R1866" s="14">
        <v>550</v>
      </c>
      <c r="S1866" s="7"/>
      <c r="T1866" s="7"/>
      <c r="U1866" s="14">
        <v>550</v>
      </c>
      <c r="V1866" s="7"/>
      <c r="W1866" s="7"/>
      <c r="X1866" s="7"/>
      <c r="Y1866" s="7"/>
      <c r="Z1866" s="12"/>
      <c r="AA1866" s="14">
        <v>550</v>
      </c>
    </row>
    <row r="1867" spans="1:27" outlineLevel="6">
      <c r="A1867" s="3501" t="s">
        <v>991</v>
      </c>
      <c r="B1867" s="3501"/>
      <c r="C1867" s="12"/>
      <c r="D1867" s="12"/>
      <c r="E1867" s="12"/>
      <c r="F1867" s="7"/>
      <c r="G1867" s="7"/>
      <c r="H1867" s="8"/>
      <c r="I1867" s="9"/>
      <c r="J1867" s="7"/>
      <c r="K1867" s="7"/>
      <c r="L1867" s="7"/>
      <c r="M1867" s="7"/>
      <c r="N1867" s="7"/>
      <c r="O1867" s="7"/>
      <c r="P1867" s="7"/>
      <c r="Q1867" s="7"/>
      <c r="R1867" s="14">
        <v>550</v>
      </c>
      <c r="S1867" s="7"/>
      <c r="T1867" s="7"/>
      <c r="U1867" s="14">
        <v>550</v>
      </c>
      <c r="V1867" s="7"/>
      <c r="W1867" s="7"/>
      <c r="X1867" s="7"/>
      <c r="Y1867" s="7"/>
      <c r="Z1867" s="12"/>
      <c r="AA1867" s="14">
        <v>550</v>
      </c>
    </row>
    <row r="1868" spans="1:27" outlineLevel="7">
      <c r="A1868" s="3500" t="s">
        <v>992</v>
      </c>
      <c r="B1868" s="3500"/>
      <c r="C1868" s="12"/>
      <c r="D1868" s="12"/>
      <c r="E1868" s="12"/>
      <c r="F1868" s="7"/>
      <c r="G1868" s="7"/>
      <c r="H1868" s="8"/>
      <c r="I1868" s="9"/>
      <c r="J1868" s="7"/>
      <c r="K1868" s="7"/>
      <c r="L1868" s="7"/>
      <c r="M1868" s="7"/>
      <c r="N1868" s="7"/>
      <c r="O1868" s="7"/>
      <c r="P1868" s="7"/>
      <c r="Q1868" s="7"/>
      <c r="R1868" s="14">
        <v>550</v>
      </c>
      <c r="S1868" s="7"/>
      <c r="T1868" s="7"/>
      <c r="U1868" s="14">
        <v>550</v>
      </c>
      <c r="V1868" s="7"/>
      <c r="W1868" s="7"/>
      <c r="X1868" s="7"/>
      <c r="Y1868" s="7"/>
      <c r="Z1868" s="12"/>
      <c r="AA1868" s="14">
        <v>550</v>
      </c>
    </row>
    <row r="1869" spans="1:27" outlineLevel="7">
      <c r="A1869" s="3499" t="s">
        <v>2144</v>
      </c>
      <c r="B1869" s="3499"/>
      <c r="C1869" s="12"/>
      <c r="D1869" s="12"/>
      <c r="E1869" s="12"/>
      <c r="F1869" s="7"/>
      <c r="G1869" s="7"/>
      <c r="H1869" s="8"/>
      <c r="I1869" s="9"/>
      <c r="J1869" s="7"/>
      <c r="K1869" s="7"/>
      <c r="L1869" s="7"/>
      <c r="M1869" s="7"/>
      <c r="N1869" s="7"/>
      <c r="O1869" s="7"/>
      <c r="P1869" s="7"/>
      <c r="Q1869" s="7"/>
      <c r="R1869" s="14">
        <v>550</v>
      </c>
      <c r="S1869" s="7"/>
      <c r="T1869" s="7"/>
      <c r="U1869" s="14">
        <v>550</v>
      </c>
      <c r="V1869" s="7"/>
      <c r="W1869" s="7"/>
      <c r="X1869" s="7"/>
      <c r="Y1869" s="7"/>
      <c r="Z1869" s="12"/>
      <c r="AA1869" s="14">
        <v>550</v>
      </c>
    </row>
    <row r="1870" spans="1:27" outlineLevel="6">
      <c r="A1870" s="3501" t="s">
        <v>323</v>
      </c>
      <c r="B1870" s="3501"/>
      <c r="C1870" s="12"/>
      <c r="D1870" s="14">
        <v>550</v>
      </c>
      <c r="E1870" s="14">
        <v>550</v>
      </c>
      <c r="F1870" s="7"/>
      <c r="G1870" s="14">
        <v>550</v>
      </c>
      <c r="H1870" s="3523">
        <v>550</v>
      </c>
      <c r="I1870" s="3523"/>
      <c r="J1870" s="7"/>
      <c r="K1870" s="7"/>
      <c r="L1870" s="7"/>
      <c r="M1870" s="7"/>
      <c r="N1870" s="7"/>
      <c r="O1870" s="7"/>
      <c r="P1870" s="7"/>
      <c r="Q1870" s="7"/>
      <c r="R1870" s="12"/>
      <c r="S1870" s="7"/>
      <c r="T1870" s="7"/>
      <c r="U1870" s="7"/>
      <c r="V1870" s="7"/>
      <c r="W1870" s="7"/>
      <c r="X1870" s="7"/>
      <c r="Y1870" s="7"/>
      <c r="Z1870" s="12"/>
      <c r="AA1870" s="12"/>
    </row>
    <row r="1871" spans="1:27" outlineLevel="7">
      <c r="A1871" s="3500" t="s">
        <v>324</v>
      </c>
      <c r="B1871" s="3500"/>
      <c r="C1871" s="12"/>
      <c r="D1871" s="14">
        <v>550</v>
      </c>
      <c r="E1871" s="14">
        <v>550</v>
      </c>
      <c r="F1871" s="7"/>
      <c r="G1871" s="14">
        <v>550</v>
      </c>
      <c r="H1871" s="3523">
        <v>550</v>
      </c>
      <c r="I1871" s="3523"/>
      <c r="J1871" s="7"/>
      <c r="K1871" s="7"/>
      <c r="L1871" s="7"/>
      <c r="M1871" s="7"/>
      <c r="N1871" s="7"/>
      <c r="O1871" s="7"/>
      <c r="P1871" s="7"/>
      <c r="Q1871" s="7"/>
      <c r="R1871" s="12"/>
      <c r="S1871" s="7"/>
      <c r="T1871" s="7"/>
      <c r="U1871" s="7"/>
      <c r="V1871" s="7"/>
      <c r="W1871" s="7"/>
      <c r="X1871" s="7"/>
      <c r="Y1871" s="7"/>
      <c r="Z1871" s="12"/>
      <c r="AA1871" s="12"/>
    </row>
    <row r="1872" spans="1:27" outlineLevel="7">
      <c r="A1872" s="3499" t="s">
        <v>2145</v>
      </c>
      <c r="B1872" s="3499"/>
      <c r="C1872" s="12"/>
      <c r="D1872" s="14">
        <v>550</v>
      </c>
      <c r="E1872" s="14">
        <v>550</v>
      </c>
      <c r="F1872" s="7"/>
      <c r="G1872" s="14">
        <v>550</v>
      </c>
      <c r="H1872" s="3523">
        <v>550</v>
      </c>
      <c r="I1872" s="3523"/>
      <c r="J1872" s="7"/>
      <c r="K1872" s="7"/>
      <c r="L1872" s="7"/>
      <c r="M1872" s="7"/>
      <c r="N1872" s="7"/>
      <c r="O1872" s="7"/>
      <c r="P1872" s="7"/>
      <c r="Q1872" s="7"/>
      <c r="R1872" s="12"/>
      <c r="S1872" s="7"/>
      <c r="T1872" s="7"/>
      <c r="U1872" s="7"/>
      <c r="V1872" s="7"/>
      <c r="W1872" s="7"/>
      <c r="X1872" s="7"/>
      <c r="Y1872" s="7"/>
      <c r="Z1872" s="12"/>
      <c r="AA1872" s="12"/>
    </row>
    <row r="1873" spans="1:27" outlineLevel="6">
      <c r="A1873" s="3501" t="s">
        <v>325</v>
      </c>
      <c r="B1873" s="3501"/>
      <c r="C1873" s="7"/>
      <c r="D1873" s="7"/>
      <c r="E1873" s="14">
        <v>550</v>
      </c>
      <c r="F1873" s="7"/>
      <c r="G1873" s="14">
        <v>550</v>
      </c>
      <c r="H1873" s="3523">
        <v>550</v>
      </c>
      <c r="I1873" s="3523"/>
      <c r="J1873" s="7"/>
      <c r="K1873" s="7"/>
      <c r="L1873" s="7"/>
      <c r="M1873" s="7"/>
      <c r="N1873" s="7"/>
      <c r="O1873" s="7"/>
      <c r="P1873" s="7"/>
      <c r="Q1873" s="7"/>
      <c r="R1873" s="14">
        <v>550</v>
      </c>
      <c r="S1873" s="7"/>
      <c r="T1873" s="7"/>
      <c r="U1873" s="14">
        <v>550</v>
      </c>
      <c r="V1873" s="7"/>
      <c r="W1873" s="7"/>
      <c r="X1873" s="7"/>
      <c r="Y1873" s="7"/>
      <c r="Z1873" s="7"/>
      <c r="AA1873" s="7"/>
    </row>
    <row r="1874" spans="1:27" outlineLevel="7">
      <c r="A1874" s="3500" t="s">
        <v>326</v>
      </c>
      <c r="B1874" s="3500"/>
      <c r="C1874" s="7"/>
      <c r="D1874" s="7"/>
      <c r="E1874" s="14">
        <v>550</v>
      </c>
      <c r="F1874" s="7"/>
      <c r="G1874" s="14">
        <v>550</v>
      </c>
      <c r="H1874" s="3523">
        <v>550</v>
      </c>
      <c r="I1874" s="3523"/>
      <c r="J1874" s="7"/>
      <c r="K1874" s="7"/>
      <c r="L1874" s="7"/>
      <c r="M1874" s="7"/>
      <c r="N1874" s="7"/>
      <c r="O1874" s="7"/>
      <c r="P1874" s="7"/>
      <c r="Q1874" s="7"/>
      <c r="R1874" s="14">
        <v>550</v>
      </c>
      <c r="S1874" s="7"/>
      <c r="T1874" s="7"/>
      <c r="U1874" s="14">
        <v>550</v>
      </c>
      <c r="V1874" s="7"/>
      <c r="W1874" s="7"/>
      <c r="X1874" s="7"/>
      <c r="Y1874" s="7"/>
      <c r="Z1874" s="7"/>
      <c r="AA1874" s="7"/>
    </row>
    <row r="1875" spans="1:27" outlineLevel="7">
      <c r="A1875" s="3499" t="s">
        <v>2146</v>
      </c>
      <c r="B1875" s="3499"/>
      <c r="C1875" s="7"/>
      <c r="D1875" s="7"/>
      <c r="E1875" s="14">
        <v>550</v>
      </c>
      <c r="F1875" s="7"/>
      <c r="G1875" s="14">
        <v>550</v>
      </c>
      <c r="H1875" s="3523">
        <v>550</v>
      </c>
      <c r="I1875" s="3523"/>
      <c r="J1875" s="7"/>
      <c r="K1875" s="7"/>
      <c r="L1875" s="7"/>
      <c r="M1875" s="7"/>
      <c r="N1875" s="7"/>
      <c r="O1875" s="7"/>
      <c r="P1875" s="7"/>
      <c r="Q1875" s="7"/>
      <c r="R1875" s="14">
        <v>550</v>
      </c>
      <c r="S1875" s="7"/>
      <c r="T1875" s="7"/>
      <c r="U1875" s="14">
        <v>550</v>
      </c>
      <c r="V1875" s="7"/>
      <c r="W1875" s="7"/>
      <c r="X1875" s="7"/>
      <c r="Y1875" s="7"/>
      <c r="Z1875" s="7"/>
      <c r="AA1875" s="7"/>
    </row>
    <row r="1876" spans="1:27" outlineLevel="6">
      <c r="A1876" s="3501" t="s">
        <v>327</v>
      </c>
      <c r="B1876" s="3501"/>
      <c r="C1876" s="7"/>
      <c r="D1876" s="7"/>
      <c r="E1876" s="14">
        <v>550</v>
      </c>
      <c r="F1876" s="7"/>
      <c r="G1876" s="14">
        <v>550</v>
      </c>
      <c r="H1876" s="3523">
        <v>550</v>
      </c>
      <c r="I1876" s="3523"/>
      <c r="J1876" s="7"/>
      <c r="K1876" s="7"/>
      <c r="L1876" s="7"/>
      <c r="M1876" s="7"/>
      <c r="N1876" s="7"/>
      <c r="O1876" s="7"/>
      <c r="P1876" s="7"/>
      <c r="Q1876" s="7"/>
      <c r="R1876" s="14">
        <v>550</v>
      </c>
      <c r="S1876" s="7"/>
      <c r="T1876" s="7"/>
      <c r="U1876" s="14">
        <v>550</v>
      </c>
      <c r="V1876" s="7"/>
      <c r="W1876" s="7"/>
      <c r="X1876" s="7"/>
      <c r="Y1876" s="7"/>
      <c r="Z1876" s="7"/>
      <c r="AA1876" s="7"/>
    </row>
    <row r="1877" spans="1:27" outlineLevel="7">
      <c r="A1877" s="3500" t="s">
        <v>328</v>
      </c>
      <c r="B1877" s="3500"/>
      <c r="C1877" s="7"/>
      <c r="D1877" s="7"/>
      <c r="E1877" s="14">
        <v>550</v>
      </c>
      <c r="F1877" s="7"/>
      <c r="G1877" s="14">
        <v>550</v>
      </c>
      <c r="H1877" s="3523">
        <v>550</v>
      </c>
      <c r="I1877" s="3523"/>
      <c r="J1877" s="7"/>
      <c r="K1877" s="7"/>
      <c r="L1877" s="7"/>
      <c r="M1877" s="7"/>
      <c r="N1877" s="7"/>
      <c r="O1877" s="7"/>
      <c r="P1877" s="7"/>
      <c r="Q1877" s="7"/>
      <c r="R1877" s="14">
        <v>550</v>
      </c>
      <c r="S1877" s="7"/>
      <c r="T1877" s="7"/>
      <c r="U1877" s="14">
        <v>550</v>
      </c>
      <c r="V1877" s="7"/>
      <c r="W1877" s="7"/>
      <c r="X1877" s="7"/>
      <c r="Y1877" s="7"/>
      <c r="Z1877" s="7"/>
      <c r="AA1877" s="7"/>
    </row>
    <row r="1878" spans="1:27" outlineLevel="7">
      <c r="A1878" s="3499" t="s">
        <v>2147</v>
      </c>
      <c r="B1878" s="3499"/>
      <c r="C1878" s="7"/>
      <c r="D1878" s="7"/>
      <c r="E1878" s="14">
        <v>550</v>
      </c>
      <c r="F1878" s="7"/>
      <c r="G1878" s="14">
        <v>550</v>
      </c>
      <c r="H1878" s="3523">
        <v>550</v>
      </c>
      <c r="I1878" s="3523"/>
      <c r="J1878" s="7"/>
      <c r="K1878" s="7"/>
      <c r="L1878" s="7"/>
      <c r="M1878" s="7"/>
      <c r="N1878" s="7"/>
      <c r="O1878" s="7"/>
      <c r="P1878" s="7"/>
      <c r="Q1878" s="7"/>
      <c r="R1878" s="14">
        <v>550</v>
      </c>
      <c r="S1878" s="7"/>
      <c r="T1878" s="7"/>
      <c r="U1878" s="14">
        <v>550</v>
      </c>
      <c r="V1878" s="7"/>
      <c r="W1878" s="7"/>
      <c r="X1878" s="7"/>
      <c r="Y1878" s="7"/>
      <c r="Z1878" s="7"/>
      <c r="AA1878" s="7"/>
    </row>
    <row r="1879" spans="1:27" outlineLevel="6">
      <c r="A1879" s="3501" t="s">
        <v>329</v>
      </c>
      <c r="B1879" s="3501"/>
      <c r="C1879" s="7"/>
      <c r="D1879" s="7"/>
      <c r="E1879" s="14">
        <v>550</v>
      </c>
      <c r="F1879" s="7"/>
      <c r="G1879" s="14">
        <v>550</v>
      </c>
      <c r="H1879" s="3523">
        <v>550</v>
      </c>
      <c r="I1879" s="3523"/>
      <c r="J1879" s="7"/>
      <c r="K1879" s="7"/>
      <c r="L1879" s="7"/>
      <c r="M1879" s="7"/>
      <c r="N1879" s="7"/>
      <c r="O1879" s="7"/>
      <c r="P1879" s="7"/>
      <c r="Q1879" s="7"/>
      <c r="R1879" s="14">
        <v>550</v>
      </c>
      <c r="S1879" s="7"/>
      <c r="T1879" s="7"/>
      <c r="U1879" s="14">
        <v>550</v>
      </c>
      <c r="V1879" s="7"/>
      <c r="W1879" s="7"/>
      <c r="X1879" s="7"/>
      <c r="Y1879" s="7"/>
      <c r="Z1879" s="7"/>
      <c r="AA1879" s="7"/>
    </row>
    <row r="1880" spans="1:27" outlineLevel="7">
      <c r="A1880" s="3500" t="s">
        <v>330</v>
      </c>
      <c r="B1880" s="3500"/>
      <c r="C1880" s="7"/>
      <c r="D1880" s="7"/>
      <c r="E1880" s="14">
        <v>550</v>
      </c>
      <c r="F1880" s="7"/>
      <c r="G1880" s="14">
        <v>550</v>
      </c>
      <c r="H1880" s="3523">
        <v>550</v>
      </c>
      <c r="I1880" s="3523"/>
      <c r="J1880" s="7"/>
      <c r="K1880" s="7"/>
      <c r="L1880" s="7"/>
      <c r="M1880" s="7"/>
      <c r="N1880" s="7"/>
      <c r="O1880" s="7"/>
      <c r="P1880" s="7"/>
      <c r="Q1880" s="7"/>
      <c r="R1880" s="14">
        <v>550</v>
      </c>
      <c r="S1880" s="7"/>
      <c r="T1880" s="7"/>
      <c r="U1880" s="14">
        <v>550</v>
      </c>
      <c r="V1880" s="7"/>
      <c r="W1880" s="7"/>
      <c r="X1880" s="7"/>
      <c r="Y1880" s="7"/>
      <c r="Z1880" s="7"/>
      <c r="AA1880" s="7"/>
    </row>
    <row r="1881" spans="1:27" outlineLevel="7">
      <c r="A1881" s="3499" t="s">
        <v>2148</v>
      </c>
      <c r="B1881" s="3499"/>
      <c r="C1881" s="7"/>
      <c r="D1881" s="7"/>
      <c r="E1881" s="14">
        <v>550</v>
      </c>
      <c r="F1881" s="7"/>
      <c r="G1881" s="14">
        <v>550</v>
      </c>
      <c r="H1881" s="3523">
        <v>550</v>
      </c>
      <c r="I1881" s="3523"/>
      <c r="J1881" s="7"/>
      <c r="K1881" s="7"/>
      <c r="L1881" s="7"/>
      <c r="M1881" s="7"/>
      <c r="N1881" s="7"/>
      <c r="O1881" s="7"/>
      <c r="P1881" s="7"/>
      <c r="Q1881" s="7"/>
      <c r="R1881" s="14">
        <v>550</v>
      </c>
      <c r="S1881" s="7"/>
      <c r="T1881" s="7"/>
      <c r="U1881" s="14">
        <v>550</v>
      </c>
      <c r="V1881" s="7"/>
      <c r="W1881" s="7"/>
      <c r="X1881" s="7"/>
      <c r="Y1881" s="7"/>
      <c r="Z1881" s="7"/>
      <c r="AA1881" s="7"/>
    </row>
    <row r="1882" spans="1:27" outlineLevel="6">
      <c r="A1882" s="3501" t="s">
        <v>333</v>
      </c>
      <c r="B1882" s="3501"/>
      <c r="C1882" s="7"/>
      <c r="D1882" s="7"/>
      <c r="E1882" s="14">
        <v>550</v>
      </c>
      <c r="F1882" s="7"/>
      <c r="G1882" s="14">
        <v>550</v>
      </c>
      <c r="H1882" s="3523">
        <v>550</v>
      </c>
      <c r="I1882" s="3523"/>
      <c r="J1882" s="7"/>
      <c r="K1882" s="7"/>
      <c r="L1882" s="7"/>
      <c r="M1882" s="7"/>
      <c r="N1882" s="7"/>
      <c r="O1882" s="7"/>
      <c r="P1882" s="7"/>
      <c r="Q1882" s="7"/>
      <c r="R1882" s="14">
        <v>550</v>
      </c>
      <c r="S1882" s="7"/>
      <c r="T1882" s="7"/>
      <c r="U1882" s="14">
        <v>550</v>
      </c>
      <c r="V1882" s="7"/>
      <c r="W1882" s="7"/>
      <c r="X1882" s="7"/>
      <c r="Y1882" s="7"/>
      <c r="Z1882" s="7"/>
      <c r="AA1882" s="7"/>
    </row>
    <row r="1883" spans="1:27" outlineLevel="7">
      <c r="A1883" s="3500" t="s">
        <v>334</v>
      </c>
      <c r="B1883" s="3500"/>
      <c r="C1883" s="7"/>
      <c r="D1883" s="7"/>
      <c r="E1883" s="14">
        <v>550</v>
      </c>
      <c r="F1883" s="7"/>
      <c r="G1883" s="14">
        <v>550</v>
      </c>
      <c r="H1883" s="3523">
        <v>550</v>
      </c>
      <c r="I1883" s="3523"/>
      <c r="J1883" s="7"/>
      <c r="K1883" s="7"/>
      <c r="L1883" s="7"/>
      <c r="M1883" s="7"/>
      <c r="N1883" s="7"/>
      <c r="O1883" s="7"/>
      <c r="P1883" s="7"/>
      <c r="Q1883" s="7"/>
      <c r="R1883" s="14">
        <v>550</v>
      </c>
      <c r="S1883" s="7"/>
      <c r="T1883" s="7"/>
      <c r="U1883" s="14">
        <v>550</v>
      </c>
      <c r="V1883" s="7"/>
      <c r="W1883" s="7"/>
      <c r="X1883" s="7"/>
      <c r="Y1883" s="7"/>
      <c r="Z1883" s="7"/>
      <c r="AA1883" s="7"/>
    </row>
    <row r="1884" spans="1:27" outlineLevel="7">
      <c r="A1884" s="3499" t="s">
        <v>2149</v>
      </c>
      <c r="B1884" s="3499"/>
      <c r="C1884" s="7"/>
      <c r="D1884" s="7"/>
      <c r="E1884" s="14">
        <v>550</v>
      </c>
      <c r="F1884" s="7"/>
      <c r="G1884" s="14">
        <v>550</v>
      </c>
      <c r="H1884" s="3523">
        <v>550</v>
      </c>
      <c r="I1884" s="3523"/>
      <c r="J1884" s="7"/>
      <c r="K1884" s="7"/>
      <c r="L1884" s="7"/>
      <c r="M1884" s="7"/>
      <c r="N1884" s="7"/>
      <c r="O1884" s="7"/>
      <c r="P1884" s="7"/>
      <c r="Q1884" s="7"/>
      <c r="R1884" s="14">
        <v>550</v>
      </c>
      <c r="S1884" s="7"/>
      <c r="T1884" s="7"/>
      <c r="U1884" s="14">
        <v>550</v>
      </c>
      <c r="V1884" s="7"/>
      <c r="W1884" s="7"/>
      <c r="X1884" s="7"/>
      <c r="Y1884" s="7"/>
      <c r="Z1884" s="7"/>
      <c r="AA1884" s="7"/>
    </row>
    <row r="1885" spans="1:27" outlineLevel="6">
      <c r="A1885" s="3501" t="s">
        <v>993</v>
      </c>
      <c r="B1885" s="3501"/>
      <c r="C1885" s="12"/>
      <c r="D1885" s="12"/>
      <c r="E1885" s="12"/>
      <c r="F1885" s="7"/>
      <c r="G1885" s="7"/>
      <c r="H1885" s="8"/>
      <c r="I1885" s="9"/>
      <c r="J1885" s="7"/>
      <c r="K1885" s="7"/>
      <c r="L1885" s="7"/>
      <c r="M1885" s="7"/>
      <c r="N1885" s="7"/>
      <c r="O1885" s="7"/>
      <c r="P1885" s="7"/>
      <c r="Q1885" s="7"/>
      <c r="R1885" s="14">
        <v>550</v>
      </c>
      <c r="S1885" s="7"/>
      <c r="T1885" s="7"/>
      <c r="U1885" s="14">
        <v>550</v>
      </c>
      <c r="V1885" s="7"/>
      <c r="W1885" s="7"/>
      <c r="X1885" s="7"/>
      <c r="Y1885" s="7"/>
      <c r="Z1885" s="12"/>
      <c r="AA1885" s="14">
        <v>550</v>
      </c>
    </row>
    <row r="1886" spans="1:27" outlineLevel="7">
      <c r="A1886" s="3500" t="s">
        <v>994</v>
      </c>
      <c r="B1886" s="3500"/>
      <c r="C1886" s="12"/>
      <c r="D1886" s="12"/>
      <c r="E1886" s="12"/>
      <c r="F1886" s="7"/>
      <c r="G1886" s="7"/>
      <c r="H1886" s="8"/>
      <c r="I1886" s="9"/>
      <c r="J1886" s="7"/>
      <c r="K1886" s="7"/>
      <c r="L1886" s="7"/>
      <c r="M1886" s="7"/>
      <c r="N1886" s="7"/>
      <c r="O1886" s="7"/>
      <c r="P1886" s="7"/>
      <c r="Q1886" s="7"/>
      <c r="R1886" s="14">
        <v>550</v>
      </c>
      <c r="S1886" s="7"/>
      <c r="T1886" s="7"/>
      <c r="U1886" s="14">
        <v>550</v>
      </c>
      <c r="V1886" s="7"/>
      <c r="W1886" s="7"/>
      <c r="X1886" s="7"/>
      <c r="Y1886" s="7"/>
      <c r="Z1886" s="12"/>
      <c r="AA1886" s="14">
        <v>550</v>
      </c>
    </row>
    <row r="1887" spans="1:27" outlineLevel="7">
      <c r="A1887" s="3499" t="s">
        <v>2150</v>
      </c>
      <c r="B1887" s="3499"/>
      <c r="C1887" s="12"/>
      <c r="D1887" s="12"/>
      <c r="E1887" s="12"/>
      <c r="F1887" s="7"/>
      <c r="G1887" s="7"/>
      <c r="H1887" s="8"/>
      <c r="I1887" s="9"/>
      <c r="J1887" s="7"/>
      <c r="K1887" s="7"/>
      <c r="L1887" s="7"/>
      <c r="M1887" s="7"/>
      <c r="N1887" s="7"/>
      <c r="O1887" s="7"/>
      <c r="P1887" s="7"/>
      <c r="Q1887" s="7"/>
      <c r="R1887" s="14">
        <v>550</v>
      </c>
      <c r="S1887" s="7"/>
      <c r="T1887" s="7"/>
      <c r="U1887" s="14">
        <v>550</v>
      </c>
      <c r="V1887" s="7"/>
      <c r="W1887" s="7"/>
      <c r="X1887" s="7"/>
      <c r="Y1887" s="7"/>
      <c r="Z1887" s="12"/>
      <c r="AA1887" s="14">
        <v>550</v>
      </c>
    </row>
    <row r="1888" spans="1:27" outlineLevel="6">
      <c r="A1888" s="3501" t="s">
        <v>335</v>
      </c>
      <c r="B1888" s="3501"/>
      <c r="C1888" s="7"/>
      <c r="D1888" s="7"/>
      <c r="E1888" s="14">
        <v>550</v>
      </c>
      <c r="F1888" s="7"/>
      <c r="G1888" s="14">
        <v>550</v>
      </c>
      <c r="H1888" s="3523">
        <v>550</v>
      </c>
      <c r="I1888" s="3523"/>
      <c r="J1888" s="7"/>
      <c r="K1888" s="7"/>
      <c r="L1888" s="7"/>
      <c r="M1888" s="7"/>
      <c r="N1888" s="7"/>
      <c r="O1888" s="7"/>
      <c r="P1888" s="7"/>
      <c r="Q1888" s="7"/>
      <c r="R1888" s="14">
        <v>550</v>
      </c>
      <c r="S1888" s="7"/>
      <c r="T1888" s="7"/>
      <c r="U1888" s="14">
        <v>550</v>
      </c>
      <c r="V1888" s="7"/>
      <c r="W1888" s="7"/>
      <c r="X1888" s="7"/>
      <c r="Y1888" s="7"/>
      <c r="Z1888" s="7"/>
      <c r="AA1888" s="7"/>
    </row>
    <row r="1889" spans="1:27" outlineLevel="7">
      <c r="A1889" s="3500" t="s">
        <v>336</v>
      </c>
      <c r="B1889" s="3500"/>
      <c r="C1889" s="7"/>
      <c r="D1889" s="7"/>
      <c r="E1889" s="14">
        <v>550</v>
      </c>
      <c r="F1889" s="7"/>
      <c r="G1889" s="14">
        <v>550</v>
      </c>
      <c r="H1889" s="3523">
        <v>550</v>
      </c>
      <c r="I1889" s="3523"/>
      <c r="J1889" s="7"/>
      <c r="K1889" s="7"/>
      <c r="L1889" s="7"/>
      <c r="M1889" s="7"/>
      <c r="N1889" s="7"/>
      <c r="O1889" s="7"/>
      <c r="P1889" s="7"/>
      <c r="Q1889" s="7"/>
      <c r="R1889" s="14">
        <v>550</v>
      </c>
      <c r="S1889" s="7"/>
      <c r="T1889" s="7"/>
      <c r="U1889" s="14">
        <v>550</v>
      </c>
      <c r="V1889" s="7"/>
      <c r="W1889" s="7"/>
      <c r="X1889" s="7"/>
      <c r="Y1889" s="7"/>
      <c r="Z1889" s="7"/>
      <c r="AA1889" s="7"/>
    </row>
    <row r="1890" spans="1:27" outlineLevel="7">
      <c r="A1890" s="3499" t="s">
        <v>2151</v>
      </c>
      <c r="B1890" s="3499"/>
      <c r="C1890" s="7"/>
      <c r="D1890" s="7"/>
      <c r="E1890" s="14">
        <v>550</v>
      </c>
      <c r="F1890" s="7"/>
      <c r="G1890" s="14">
        <v>550</v>
      </c>
      <c r="H1890" s="3523">
        <v>550</v>
      </c>
      <c r="I1890" s="3523"/>
      <c r="J1890" s="7"/>
      <c r="K1890" s="7"/>
      <c r="L1890" s="7"/>
      <c r="M1890" s="7"/>
      <c r="N1890" s="7"/>
      <c r="O1890" s="7"/>
      <c r="P1890" s="7"/>
      <c r="Q1890" s="7"/>
      <c r="R1890" s="14">
        <v>550</v>
      </c>
      <c r="S1890" s="7"/>
      <c r="T1890" s="7"/>
      <c r="U1890" s="14">
        <v>550</v>
      </c>
      <c r="V1890" s="7"/>
      <c r="W1890" s="7"/>
      <c r="X1890" s="7"/>
      <c r="Y1890" s="7"/>
      <c r="Z1890" s="7"/>
      <c r="AA1890" s="7"/>
    </row>
    <row r="1891" spans="1:27" outlineLevel="6">
      <c r="A1891" s="3501" t="s">
        <v>337</v>
      </c>
      <c r="B1891" s="3501"/>
      <c r="C1891" s="7"/>
      <c r="D1891" s="7"/>
      <c r="E1891" s="14">
        <v>550</v>
      </c>
      <c r="F1891" s="7"/>
      <c r="G1891" s="14">
        <v>550</v>
      </c>
      <c r="H1891" s="3523">
        <v>550</v>
      </c>
      <c r="I1891" s="3523"/>
      <c r="J1891" s="7"/>
      <c r="K1891" s="7"/>
      <c r="L1891" s="7"/>
      <c r="M1891" s="7"/>
      <c r="N1891" s="7"/>
      <c r="O1891" s="7"/>
      <c r="P1891" s="7"/>
      <c r="Q1891" s="7"/>
      <c r="R1891" s="14">
        <v>550</v>
      </c>
      <c r="S1891" s="7"/>
      <c r="T1891" s="7"/>
      <c r="U1891" s="14">
        <v>550</v>
      </c>
      <c r="V1891" s="7"/>
      <c r="W1891" s="7"/>
      <c r="X1891" s="7"/>
      <c r="Y1891" s="7"/>
      <c r="Z1891" s="7"/>
      <c r="AA1891" s="7"/>
    </row>
    <row r="1892" spans="1:27" outlineLevel="7">
      <c r="A1892" s="3500" t="s">
        <v>338</v>
      </c>
      <c r="B1892" s="3500"/>
      <c r="C1892" s="7"/>
      <c r="D1892" s="7"/>
      <c r="E1892" s="14">
        <v>550</v>
      </c>
      <c r="F1892" s="7"/>
      <c r="G1892" s="14">
        <v>550</v>
      </c>
      <c r="H1892" s="3523">
        <v>550</v>
      </c>
      <c r="I1892" s="3523"/>
      <c r="J1892" s="7"/>
      <c r="K1892" s="7"/>
      <c r="L1892" s="7"/>
      <c r="M1892" s="7"/>
      <c r="N1892" s="7"/>
      <c r="O1892" s="7"/>
      <c r="P1892" s="7"/>
      <c r="Q1892" s="7"/>
      <c r="R1892" s="14">
        <v>550</v>
      </c>
      <c r="S1892" s="7"/>
      <c r="T1892" s="7"/>
      <c r="U1892" s="14">
        <v>550</v>
      </c>
      <c r="V1892" s="7"/>
      <c r="W1892" s="7"/>
      <c r="X1892" s="7"/>
      <c r="Y1892" s="7"/>
      <c r="Z1892" s="7"/>
      <c r="AA1892" s="7"/>
    </row>
    <row r="1893" spans="1:27" outlineLevel="7">
      <c r="A1893" s="3499" t="s">
        <v>2152</v>
      </c>
      <c r="B1893" s="3499"/>
      <c r="C1893" s="7"/>
      <c r="D1893" s="7"/>
      <c r="E1893" s="14">
        <v>550</v>
      </c>
      <c r="F1893" s="7"/>
      <c r="G1893" s="14">
        <v>550</v>
      </c>
      <c r="H1893" s="3523">
        <v>550</v>
      </c>
      <c r="I1893" s="3523"/>
      <c r="J1893" s="7"/>
      <c r="K1893" s="7"/>
      <c r="L1893" s="7"/>
      <c r="M1893" s="7"/>
      <c r="N1893" s="7"/>
      <c r="O1893" s="7"/>
      <c r="P1893" s="7"/>
      <c r="Q1893" s="7"/>
      <c r="R1893" s="14">
        <v>550</v>
      </c>
      <c r="S1893" s="7"/>
      <c r="T1893" s="7"/>
      <c r="U1893" s="14">
        <v>550</v>
      </c>
      <c r="V1893" s="7"/>
      <c r="W1893" s="7"/>
      <c r="X1893" s="7"/>
      <c r="Y1893" s="7"/>
      <c r="Z1893" s="7"/>
      <c r="AA1893" s="7"/>
    </row>
    <row r="1894" spans="1:27" outlineLevel="6">
      <c r="A1894" s="3501" t="s">
        <v>341</v>
      </c>
      <c r="B1894" s="3501"/>
      <c r="C1894" s="12"/>
      <c r="D1894" s="14">
        <v>550</v>
      </c>
      <c r="E1894" s="14">
        <v>550</v>
      </c>
      <c r="F1894" s="7"/>
      <c r="G1894" s="14">
        <v>550</v>
      </c>
      <c r="H1894" s="3523">
        <v>550</v>
      </c>
      <c r="I1894" s="3523"/>
      <c r="J1894" s="7"/>
      <c r="K1894" s="7"/>
      <c r="L1894" s="7"/>
      <c r="M1894" s="7"/>
      <c r="N1894" s="7"/>
      <c r="O1894" s="7"/>
      <c r="P1894" s="7"/>
      <c r="Q1894" s="7"/>
      <c r="R1894" s="12"/>
      <c r="S1894" s="7"/>
      <c r="T1894" s="7"/>
      <c r="U1894" s="7"/>
      <c r="V1894" s="7"/>
      <c r="W1894" s="7"/>
      <c r="X1894" s="7"/>
      <c r="Y1894" s="7"/>
      <c r="Z1894" s="12"/>
      <c r="AA1894" s="12"/>
    </row>
    <row r="1895" spans="1:27" outlineLevel="7">
      <c r="A1895" s="3500" t="s">
        <v>342</v>
      </c>
      <c r="B1895" s="3500"/>
      <c r="C1895" s="12"/>
      <c r="D1895" s="14">
        <v>550</v>
      </c>
      <c r="E1895" s="14">
        <v>550</v>
      </c>
      <c r="F1895" s="7"/>
      <c r="G1895" s="14">
        <v>550</v>
      </c>
      <c r="H1895" s="3523">
        <v>550</v>
      </c>
      <c r="I1895" s="3523"/>
      <c r="J1895" s="7"/>
      <c r="K1895" s="7"/>
      <c r="L1895" s="7"/>
      <c r="M1895" s="7"/>
      <c r="N1895" s="7"/>
      <c r="O1895" s="7"/>
      <c r="P1895" s="7"/>
      <c r="Q1895" s="7"/>
      <c r="R1895" s="12"/>
      <c r="S1895" s="7"/>
      <c r="T1895" s="7"/>
      <c r="U1895" s="7"/>
      <c r="V1895" s="7"/>
      <c r="W1895" s="7"/>
      <c r="X1895" s="7"/>
      <c r="Y1895" s="7"/>
      <c r="Z1895" s="12"/>
      <c r="AA1895" s="12"/>
    </row>
    <row r="1896" spans="1:27" outlineLevel="7">
      <c r="A1896" s="3499" t="s">
        <v>2153</v>
      </c>
      <c r="B1896" s="3499"/>
      <c r="C1896" s="12"/>
      <c r="D1896" s="14">
        <v>550</v>
      </c>
      <c r="E1896" s="14">
        <v>550</v>
      </c>
      <c r="F1896" s="7"/>
      <c r="G1896" s="14">
        <v>550</v>
      </c>
      <c r="H1896" s="3523">
        <v>550</v>
      </c>
      <c r="I1896" s="3523"/>
      <c r="J1896" s="7"/>
      <c r="K1896" s="7"/>
      <c r="L1896" s="7"/>
      <c r="M1896" s="7"/>
      <c r="N1896" s="7"/>
      <c r="O1896" s="7"/>
      <c r="P1896" s="7"/>
      <c r="Q1896" s="7"/>
      <c r="R1896" s="12"/>
      <c r="S1896" s="7"/>
      <c r="T1896" s="7"/>
      <c r="U1896" s="7"/>
      <c r="V1896" s="7"/>
      <c r="W1896" s="7"/>
      <c r="X1896" s="7"/>
      <c r="Y1896" s="7"/>
      <c r="Z1896" s="12"/>
      <c r="AA1896" s="12"/>
    </row>
    <row r="1897" spans="1:27" outlineLevel="6">
      <c r="A1897" s="3501" t="s">
        <v>995</v>
      </c>
      <c r="B1897" s="3501"/>
      <c r="C1897" s="12"/>
      <c r="D1897" s="12"/>
      <c r="E1897" s="12"/>
      <c r="F1897" s="7"/>
      <c r="G1897" s="7"/>
      <c r="H1897" s="8"/>
      <c r="I1897" s="9"/>
      <c r="J1897" s="7"/>
      <c r="K1897" s="7"/>
      <c r="L1897" s="7"/>
      <c r="M1897" s="7"/>
      <c r="N1897" s="7"/>
      <c r="O1897" s="7"/>
      <c r="P1897" s="7"/>
      <c r="Q1897" s="7"/>
      <c r="R1897" s="14">
        <v>550</v>
      </c>
      <c r="S1897" s="7"/>
      <c r="T1897" s="7"/>
      <c r="U1897" s="14">
        <v>550</v>
      </c>
      <c r="V1897" s="7"/>
      <c r="W1897" s="7"/>
      <c r="X1897" s="7"/>
      <c r="Y1897" s="7"/>
      <c r="Z1897" s="12"/>
      <c r="AA1897" s="14">
        <v>550</v>
      </c>
    </row>
    <row r="1898" spans="1:27" outlineLevel="7">
      <c r="A1898" s="3500" t="s">
        <v>996</v>
      </c>
      <c r="B1898" s="3500"/>
      <c r="C1898" s="12"/>
      <c r="D1898" s="12"/>
      <c r="E1898" s="12"/>
      <c r="F1898" s="7"/>
      <c r="G1898" s="7"/>
      <c r="H1898" s="8"/>
      <c r="I1898" s="9"/>
      <c r="J1898" s="7"/>
      <c r="K1898" s="7"/>
      <c r="L1898" s="7"/>
      <c r="M1898" s="7"/>
      <c r="N1898" s="7"/>
      <c r="O1898" s="7"/>
      <c r="P1898" s="7"/>
      <c r="Q1898" s="7"/>
      <c r="R1898" s="14">
        <v>550</v>
      </c>
      <c r="S1898" s="7"/>
      <c r="T1898" s="7"/>
      <c r="U1898" s="14">
        <v>550</v>
      </c>
      <c r="V1898" s="7"/>
      <c r="W1898" s="7"/>
      <c r="X1898" s="7"/>
      <c r="Y1898" s="7"/>
      <c r="Z1898" s="12"/>
      <c r="AA1898" s="14">
        <v>550</v>
      </c>
    </row>
    <row r="1899" spans="1:27" outlineLevel="7">
      <c r="A1899" s="3499" t="s">
        <v>2154</v>
      </c>
      <c r="B1899" s="3499"/>
      <c r="C1899" s="12"/>
      <c r="D1899" s="12"/>
      <c r="E1899" s="12"/>
      <c r="F1899" s="7"/>
      <c r="G1899" s="7"/>
      <c r="H1899" s="8"/>
      <c r="I1899" s="9"/>
      <c r="J1899" s="7"/>
      <c r="K1899" s="7"/>
      <c r="L1899" s="7"/>
      <c r="M1899" s="7"/>
      <c r="N1899" s="7"/>
      <c r="O1899" s="7"/>
      <c r="P1899" s="7"/>
      <c r="Q1899" s="7"/>
      <c r="R1899" s="14">
        <v>550</v>
      </c>
      <c r="S1899" s="7"/>
      <c r="T1899" s="7"/>
      <c r="U1899" s="14">
        <v>550</v>
      </c>
      <c r="V1899" s="7"/>
      <c r="W1899" s="7"/>
      <c r="X1899" s="7"/>
      <c r="Y1899" s="7"/>
      <c r="Z1899" s="12"/>
      <c r="AA1899" s="14">
        <v>550</v>
      </c>
    </row>
    <row r="1900" spans="1:27" outlineLevel="6">
      <c r="A1900" s="3501" t="s">
        <v>343</v>
      </c>
      <c r="B1900" s="3501"/>
      <c r="C1900" s="7"/>
      <c r="D1900" s="7"/>
      <c r="E1900" s="14">
        <v>550</v>
      </c>
      <c r="F1900" s="7"/>
      <c r="G1900" s="14">
        <v>550</v>
      </c>
      <c r="H1900" s="3523">
        <v>550</v>
      </c>
      <c r="I1900" s="3523"/>
      <c r="J1900" s="7"/>
      <c r="K1900" s="7"/>
      <c r="L1900" s="7"/>
      <c r="M1900" s="7"/>
      <c r="N1900" s="7"/>
      <c r="O1900" s="7"/>
      <c r="P1900" s="7"/>
      <c r="Q1900" s="7"/>
      <c r="R1900" s="14">
        <v>550</v>
      </c>
      <c r="S1900" s="7"/>
      <c r="T1900" s="7"/>
      <c r="U1900" s="14">
        <v>550</v>
      </c>
      <c r="V1900" s="7"/>
      <c r="W1900" s="7"/>
      <c r="X1900" s="7"/>
      <c r="Y1900" s="7"/>
      <c r="Z1900" s="7"/>
      <c r="AA1900" s="7"/>
    </row>
    <row r="1901" spans="1:27" outlineLevel="7">
      <c r="A1901" s="3500" t="s">
        <v>344</v>
      </c>
      <c r="B1901" s="3500"/>
      <c r="C1901" s="7"/>
      <c r="D1901" s="7"/>
      <c r="E1901" s="14">
        <v>550</v>
      </c>
      <c r="F1901" s="7"/>
      <c r="G1901" s="14">
        <v>550</v>
      </c>
      <c r="H1901" s="3523">
        <v>550</v>
      </c>
      <c r="I1901" s="3523"/>
      <c r="J1901" s="7"/>
      <c r="K1901" s="7"/>
      <c r="L1901" s="7"/>
      <c r="M1901" s="7"/>
      <c r="N1901" s="7"/>
      <c r="O1901" s="7"/>
      <c r="P1901" s="7"/>
      <c r="Q1901" s="7"/>
      <c r="R1901" s="14">
        <v>550</v>
      </c>
      <c r="S1901" s="7"/>
      <c r="T1901" s="7"/>
      <c r="U1901" s="14">
        <v>550</v>
      </c>
      <c r="V1901" s="7"/>
      <c r="W1901" s="7"/>
      <c r="X1901" s="7"/>
      <c r="Y1901" s="7"/>
      <c r="Z1901" s="7"/>
      <c r="AA1901" s="7"/>
    </row>
    <row r="1902" spans="1:27" outlineLevel="7">
      <c r="A1902" s="3499" t="s">
        <v>2155</v>
      </c>
      <c r="B1902" s="3499"/>
      <c r="C1902" s="7"/>
      <c r="D1902" s="7"/>
      <c r="E1902" s="14">
        <v>550</v>
      </c>
      <c r="F1902" s="7"/>
      <c r="G1902" s="14">
        <v>550</v>
      </c>
      <c r="H1902" s="3523">
        <v>550</v>
      </c>
      <c r="I1902" s="3523"/>
      <c r="J1902" s="7"/>
      <c r="K1902" s="7"/>
      <c r="L1902" s="7"/>
      <c r="M1902" s="7"/>
      <c r="N1902" s="7"/>
      <c r="O1902" s="7"/>
      <c r="P1902" s="7"/>
      <c r="Q1902" s="7"/>
      <c r="R1902" s="14">
        <v>550</v>
      </c>
      <c r="S1902" s="7"/>
      <c r="T1902" s="7"/>
      <c r="U1902" s="14">
        <v>550</v>
      </c>
      <c r="V1902" s="7"/>
      <c r="W1902" s="7"/>
      <c r="X1902" s="7"/>
      <c r="Y1902" s="7"/>
      <c r="Z1902" s="7"/>
      <c r="AA1902" s="7"/>
    </row>
    <row r="1903" spans="1:27" outlineLevel="6">
      <c r="A1903" s="3501" t="s">
        <v>997</v>
      </c>
      <c r="B1903" s="3501"/>
      <c r="C1903" s="12"/>
      <c r="D1903" s="12"/>
      <c r="E1903" s="12"/>
      <c r="F1903" s="7"/>
      <c r="G1903" s="7"/>
      <c r="H1903" s="8"/>
      <c r="I1903" s="9"/>
      <c r="J1903" s="7"/>
      <c r="K1903" s="7"/>
      <c r="L1903" s="7"/>
      <c r="M1903" s="7"/>
      <c r="N1903" s="7"/>
      <c r="O1903" s="7"/>
      <c r="P1903" s="7"/>
      <c r="Q1903" s="7"/>
      <c r="R1903" s="14">
        <v>550</v>
      </c>
      <c r="S1903" s="7"/>
      <c r="T1903" s="7"/>
      <c r="U1903" s="14">
        <v>550</v>
      </c>
      <c r="V1903" s="7"/>
      <c r="W1903" s="7"/>
      <c r="X1903" s="7"/>
      <c r="Y1903" s="7"/>
      <c r="Z1903" s="12"/>
      <c r="AA1903" s="14">
        <v>550</v>
      </c>
    </row>
    <row r="1904" spans="1:27" outlineLevel="7">
      <c r="A1904" s="3500" t="s">
        <v>998</v>
      </c>
      <c r="B1904" s="3500"/>
      <c r="C1904" s="12"/>
      <c r="D1904" s="12"/>
      <c r="E1904" s="12"/>
      <c r="F1904" s="7"/>
      <c r="G1904" s="7"/>
      <c r="H1904" s="8"/>
      <c r="I1904" s="9"/>
      <c r="J1904" s="7"/>
      <c r="K1904" s="7"/>
      <c r="L1904" s="7"/>
      <c r="M1904" s="7"/>
      <c r="N1904" s="7"/>
      <c r="O1904" s="7"/>
      <c r="P1904" s="7"/>
      <c r="Q1904" s="7"/>
      <c r="R1904" s="14">
        <v>550</v>
      </c>
      <c r="S1904" s="7"/>
      <c r="T1904" s="7"/>
      <c r="U1904" s="14">
        <v>550</v>
      </c>
      <c r="V1904" s="7"/>
      <c r="W1904" s="7"/>
      <c r="X1904" s="7"/>
      <c r="Y1904" s="7"/>
      <c r="Z1904" s="12"/>
      <c r="AA1904" s="14">
        <v>550</v>
      </c>
    </row>
    <row r="1905" spans="1:27" outlineLevel="7">
      <c r="A1905" s="3499" t="s">
        <v>2156</v>
      </c>
      <c r="B1905" s="3499"/>
      <c r="C1905" s="12"/>
      <c r="D1905" s="12"/>
      <c r="E1905" s="12"/>
      <c r="F1905" s="7"/>
      <c r="G1905" s="7"/>
      <c r="H1905" s="8"/>
      <c r="I1905" s="9"/>
      <c r="J1905" s="7"/>
      <c r="K1905" s="7"/>
      <c r="L1905" s="7"/>
      <c r="M1905" s="7"/>
      <c r="N1905" s="7"/>
      <c r="O1905" s="7"/>
      <c r="P1905" s="7"/>
      <c r="Q1905" s="7"/>
      <c r="R1905" s="14">
        <v>550</v>
      </c>
      <c r="S1905" s="7"/>
      <c r="T1905" s="7"/>
      <c r="U1905" s="14">
        <v>550</v>
      </c>
      <c r="V1905" s="7"/>
      <c r="W1905" s="7"/>
      <c r="X1905" s="7"/>
      <c r="Y1905" s="7"/>
      <c r="Z1905" s="12"/>
      <c r="AA1905" s="14">
        <v>550</v>
      </c>
    </row>
    <row r="1906" spans="1:27" outlineLevel="6">
      <c r="A1906" s="3501" t="s">
        <v>999</v>
      </c>
      <c r="B1906" s="3501"/>
      <c r="C1906" s="12"/>
      <c r="D1906" s="12"/>
      <c r="E1906" s="12"/>
      <c r="F1906" s="7"/>
      <c r="G1906" s="7"/>
      <c r="H1906" s="8"/>
      <c r="I1906" s="9"/>
      <c r="J1906" s="7"/>
      <c r="K1906" s="7"/>
      <c r="L1906" s="7"/>
      <c r="M1906" s="7"/>
      <c r="N1906" s="7"/>
      <c r="O1906" s="7"/>
      <c r="P1906" s="7"/>
      <c r="Q1906" s="7"/>
      <c r="R1906" s="14">
        <v>550</v>
      </c>
      <c r="S1906" s="7"/>
      <c r="T1906" s="7"/>
      <c r="U1906" s="14">
        <v>550</v>
      </c>
      <c r="V1906" s="7"/>
      <c r="W1906" s="7"/>
      <c r="X1906" s="7"/>
      <c r="Y1906" s="7"/>
      <c r="Z1906" s="12"/>
      <c r="AA1906" s="14">
        <v>550</v>
      </c>
    </row>
    <row r="1907" spans="1:27" outlineLevel="7">
      <c r="A1907" s="3500" t="s">
        <v>1000</v>
      </c>
      <c r="B1907" s="3500"/>
      <c r="C1907" s="12"/>
      <c r="D1907" s="12"/>
      <c r="E1907" s="12"/>
      <c r="F1907" s="7"/>
      <c r="G1907" s="7"/>
      <c r="H1907" s="8"/>
      <c r="I1907" s="9"/>
      <c r="J1907" s="7"/>
      <c r="K1907" s="7"/>
      <c r="L1907" s="7"/>
      <c r="M1907" s="7"/>
      <c r="N1907" s="7"/>
      <c r="O1907" s="7"/>
      <c r="P1907" s="7"/>
      <c r="Q1907" s="7"/>
      <c r="R1907" s="14">
        <v>550</v>
      </c>
      <c r="S1907" s="7"/>
      <c r="T1907" s="7"/>
      <c r="U1907" s="14">
        <v>550</v>
      </c>
      <c r="V1907" s="7"/>
      <c r="W1907" s="7"/>
      <c r="X1907" s="7"/>
      <c r="Y1907" s="7"/>
      <c r="Z1907" s="12"/>
      <c r="AA1907" s="14">
        <v>550</v>
      </c>
    </row>
    <row r="1908" spans="1:27" outlineLevel="7">
      <c r="A1908" s="3499" t="s">
        <v>2157</v>
      </c>
      <c r="B1908" s="3499"/>
      <c r="C1908" s="12"/>
      <c r="D1908" s="12"/>
      <c r="E1908" s="12"/>
      <c r="F1908" s="7"/>
      <c r="G1908" s="7"/>
      <c r="H1908" s="8"/>
      <c r="I1908" s="9"/>
      <c r="J1908" s="7"/>
      <c r="K1908" s="7"/>
      <c r="L1908" s="7"/>
      <c r="M1908" s="7"/>
      <c r="N1908" s="7"/>
      <c r="O1908" s="7"/>
      <c r="P1908" s="7"/>
      <c r="Q1908" s="7"/>
      <c r="R1908" s="14">
        <v>550</v>
      </c>
      <c r="S1908" s="7"/>
      <c r="T1908" s="7"/>
      <c r="U1908" s="14">
        <v>550</v>
      </c>
      <c r="V1908" s="7"/>
      <c r="W1908" s="7"/>
      <c r="X1908" s="7"/>
      <c r="Y1908" s="7"/>
      <c r="Z1908" s="12"/>
      <c r="AA1908" s="14">
        <v>550</v>
      </c>
    </row>
    <row r="1909" spans="1:27" outlineLevel="6">
      <c r="A1909" s="3501" t="s">
        <v>345</v>
      </c>
      <c r="B1909" s="3501"/>
      <c r="C1909" s="12"/>
      <c r="D1909" s="14">
        <v>550</v>
      </c>
      <c r="E1909" s="14">
        <v>550</v>
      </c>
      <c r="F1909" s="7"/>
      <c r="G1909" s="14">
        <v>550</v>
      </c>
      <c r="H1909" s="3523">
        <v>550</v>
      </c>
      <c r="I1909" s="3523"/>
      <c r="J1909" s="7"/>
      <c r="K1909" s="7"/>
      <c r="L1909" s="7"/>
      <c r="M1909" s="7"/>
      <c r="N1909" s="7"/>
      <c r="O1909" s="7"/>
      <c r="P1909" s="7"/>
      <c r="Q1909" s="7"/>
      <c r="R1909" s="12"/>
      <c r="S1909" s="7"/>
      <c r="T1909" s="7"/>
      <c r="U1909" s="7"/>
      <c r="V1909" s="7"/>
      <c r="W1909" s="7"/>
      <c r="X1909" s="7"/>
      <c r="Y1909" s="7"/>
      <c r="Z1909" s="12"/>
      <c r="AA1909" s="12"/>
    </row>
    <row r="1910" spans="1:27" outlineLevel="7">
      <c r="A1910" s="3500" t="s">
        <v>346</v>
      </c>
      <c r="B1910" s="3500"/>
      <c r="C1910" s="12"/>
      <c r="D1910" s="14">
        <v>550</v>
      </c>
      <c r="E1910" s="14">
        <v>550</v>
      </c>
      <c r="F1910" s="7"/>
      <c r="G1910" s="14">
        <v>550</v>
      </c>
      <c r="H1910" s="3523">
        <v>550</v>
      </c>
      <c r="I1910" s="3523"/>
      <c r="J1910" s="7"/>
      <c r="K1910" s="7"/>
      <c r="L1910" s="7"/>
      <c r="M1910" s="7"/>
      <c r="N1910" s="7"/>
      <c r="O1910" s="7"/>
      <c r="P1910" s="7"/>
      <c r="Q1910" s="7"/>
      <c r="R1910" s="12"/>
      <c r="S1910" s="7"/>
      <c r="T1910" s="7"/>
      <c r="U1910" s="7"/>
      <c r="V1910" s="7"/>
      <c r="W1910" s="7"/>
      <c r="X1910" s="7"/>
      <c r="Y1910" s="7"/>
      <c r="Z1910" s="12"/>
      <c r="AA1910" s="12"/>
    </row>
    <row r="1911" spans="1:27" outlineLevel="7">
      <c r="A1911" s="3499" t="s">
        <v>2158</v>
      </c>
      <c r="B1911" s="3499"/>
      <c r="C1911" s="12"/>
      <c r="D1911" s="14">
        <v>550</v>
      </c>
      <c r="E1911" s="14">
        <v>550</v>
      </c>
      <c r="F1911" s="7"/>
      <c r="G1911" s="14">
        <v>550</v>
      </c>
      <c r="H1911" s="3523">
        <v>550</v>
      </c>
      <c r="I1911" s="3523"/>
      <c r="J1911" s="7"/>
      <c r="K1911" s="7"/>
      <c r="L1911" s="7"/>
      <c r="M1911" s="7"/>
      <c r="N1911" s="7"/>
      <c r="O1911" s="7"/>
      <c r="P1911" s="7"/>
      <c r="Q1911" s="7"/>
      <c r="R1911" s="12"/>
      <c r="S1911" s="7"/>
      <c r="T1911" s="7"/>
      <c r="U1911" s="7"/>
      <c r="V1911" s="7"/>
      <c r="W1911" s="7"/>
      <c r="X1911" s="7"/>
      <c r="Y1911" s="7"/>
      <c r="Z1911" s="12"/>
      <c r="AA1911" s="12"/>
    </row>
    <row r="1912" spans="1:27" outlineLevel="6">
      <c r="A1912" s="3501" t="s">
        <v>1001</v>
      </c>
      <c r="B1912" s="3501"/>
      <c r="C1912" s="12"/>
      <c r="D1912" s="12"/>
      <c r="E1912" s="12"/>
      <c r="F1912" s="7"/>
      <c r="G1912" s="7"/>
      <c r="H1912" s="8"/>
      <c r="I1912" s="9"/>
      <c r="J1912" s="7"/>
      <c r="K1912" s="7"/>
      <c r="L1912" s="7"/>
      <c r="M1912" s="7"/>
      <c r="N1912" s="7"/>
      <c r="O1912" s="7"/>
      <c r="P1912" s="7"/>
      <c r="Q1912" s="7"/>
      <c r="R1912" s="14">
        <v>550</v>
      </c>
      <c r="S1912" s="7"/>
      <c r="T1912" s="7"/>
      <c r="U1912" s="14">
        <v>550</v>
      </c>
      <c r="V1912" s="7"/>
      <c r="W1912" s="7"/>
      <c r="X1912" s="7"/>
      <c r="Y1912" s="7"/>
      <c r="Z1912" s="12"/>
      <c r="AA1912" s="14">
        <v>550</v>
      </c>
    </row>
    <row r="1913" spans="1:27" outlineLevel="7">
      <c r="A1913" s="3500" t="s">
        <v>1002</v>
      </c>
      <c r="B1913" s="3500"/>
      <c r="C1913" s="12"/>
      <c r="D1913" s="12"/>
      <c r="E1913" s="12"/>
      <c r="F1913" s="7"/>
      <c r="G1913" s="7"/>
      <c r="H1913" s="8"/>
      <c r="I1913" s="9"/>
      <c r="J1913" s="7"/>
      <c r="K1913" s="7"/>
      <c r="L1913" s="7"/>
      <c r="M1913" s="7"/>
      <c r="N1913" s="7"/>
      <c r="O1913" s="7"/>
      <c r="P1913" s="7"/>
      <c r="Q1913" s="7"/>
      <c r="R1913" s="14">
        <v>550</v>
      </c>
      <c r="S1913" s="7"/>
      <c r="T1913" s="7"/>
      <c r="U1913" s="14">
        <v>550</v>
      </c>
      <c r="V1913" s="7"/>
      <c r="W1913" s="7"/>
      <c r="X1913" s="7"/>
      <c r="Y1913" s="7"/>
      <c r="Z1913" s="12"/>
      <c r="AA1913" s="14">
        <v>550</v>
      </c>
    </row>
    <row r="1914" spans="1:27" outlineLevel="7">
      <c r="A1914" s="3499" t="s">
        <v>2159</v>
      </c>
      <c r="B1914" s="3499"/>
      <c r="C1914" s="12"/>
      <c r="D1914" s="12"/>
      <c r="E1914" s="12"/>
      <c r="F1914" s="7"/>
      <c r="G1914" s="7"/>
      <c r="H1914" s="8"/>
      <c r="I1914" s="9"/>
      <c r="J1914" s="7"/>
      <c r="K1914" s="7"/>
      <c r="L1914" s="7"/>
      <c r="M1914" s="7"/>
      <c r="N1914" s="7"/>
      <c r="O1914" s="7"/>
      <c r="P1914" s="7"/>
      <c r="Q1914" s="7"/>
      <c r="R1914" s="14">
        <v>550</v>
      </c>
      <c r="S1914" s="7"/>
      <c r="T1914" s="7"/>
      <c r="U1914" s="14">
        <v>550</v>
      </c>
      <c r="V1914" s="7"/>
      <c r="W1914" s="7"/>
      <c r="X1914" s="7"/>
      <c r="Y1914" s="7"/>
      <c r="Z1914" s="12"/>
      <c r="AA1914" s="14">
        <v>550</v>
      </c>
    </row>
    <row r="1915" spans="1:27" outlineLevel="6">
      <c r="A1915" s="3501" t="s">
        <v>1003</v>
      </c>
      <c r="B1915" s="3501"/>
      <c r="C1915" s="12"/>
      <c r="D1915" s="14">
        <v>550</v>
      </c>
      <c r="E1915" s="7"/>
      <c r="F1915" s="7"/>
      <c r="G1915" s="7"/>
      <c r="H1915" s="8"/>
      <c r="I1915" s="9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12"/>
      <c r="AA1915" s="14">
        <v>550</v>
      </c>
    </row>
    <row r="1916" spans="1:27" outlineLevel="7">
      <c r="A1916" s="3500" t="s">
        <v>1004</v>
      </c>
      <c r="B1916" s="3500"/>
      <c r="C1916" s="12"/>
      <c r="D1916" s="14">
        <v>550</v>
      </c>
      <c r="E1916" s="7"/>
      <c r="F1916" s="7"/>
      <c r="G1916" s="7"/>
      <c r="H1916" s="8"/>
      <c r="I1916" s="9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12"/>
      <c r="AA1916" s="14">
        <v>550</v>
      </c>
    </row>
    <row r="1917" spans="1:27" outlineLevel="7">
      <c r="A1917" s="3499" t="s">
        <v>2160</v>
      </c>
      <c r="B1917" s="3499"/>
      <c r="C1917" s="12"/>
      <c r="D1917" s="14">
        <v>550</v>
      </c>
      <c r="E1917" s="7"/>
      <c r="F1917" s="7"/>
      <c r="G1917" s="7"/>
      <c r="H1917" s="8"/>
      <c r="I1917" s="9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12"/>
      <c r="AA1917" s="14">
        <v>550</v>
      </c>
    </row>
    <row r="1918" spans="1:27" outlineLevel="6">
      <c r="A1918" s="3501" t="s">
        <v>1005</v>
      </c>
      <c r="B1918" s="3501"/>
      <c r="C1918" s="12"/>
      <c r="D1918" s="12"/>
      <c r="E1918" s="12"/>
      <c r="F1918" s="7"/>
      <c r="G1918" s="7"/>
      <c r="H1918" s="8"/>
      <c r="I1918" s="9"/>
      <c r="J1918" s="7"/>
      <c r="K1918" s="7"/>
      <c r="L1918" s="7"/>
      <c r="M1918" s="7"/>
      <c r="N1918" s="7"/>
      <c r="O1918" s="7"/>
      <c r="P1918" s="7"/>
      <c r="Q1918" s="7"/>
      <c r="R1918" s="14">
        <v>550</v>
      </c>
      <c r="S1918" s="7"/>
      <c r="T1918" s="7"/>
      <c r="U1918" s="14">
        <v>550</v>
      </c>
      <c r="V1918" s="7"/>
      <c r="W1918" s="7"/>
      <c r="X1918" s="7"/>
      <c r="Y1918" s="7"/>
      <c r="Z1918" s="12"/>
      <c r="AA1918" s="14">
        <v>550</v>
      </c>
    </row>
    <row r="1919" spans="1:27" outlineLevel="7">
      <c r="A1919" s="3500" t="s">
        <v>1006</v>
      </c>
      <c r="B1919" s="3500"/>
      <c r="C1919" s="12"/>
      <c r="D1919" s="12"/>
      <c r="E1919" s="12"/>
      <c r="F1919" s="7"/>
      <c r="G1919" s="7"/>
      <c r="H1919" s="8"/>
      <c r="I1919" s="9"/>
      <c r="J1919" s="7"/>
      <c r="K1919" s="7"/>
      <c r="L1919" s="7"/>
      <c r="M1919" s="7"/>
      <c r="N1919" s="7"/>
      <c r="O1919" s="7"/>
      <c r="P1919" s="7"/>
      <c r="Q1919" s="7"/>
      <c r="R1919" s="14">
        <v>550</v>
      </c>
      <c r="S1919" s="7"/>
      <c r="T1919" s="7"/>
      <c r="U1919" s="14">
        <v>550</v>
      </c>
      <c r="V1919" s="7"/>
      <c r="W1919" s="7"/>
      <c r="X1919" s="7"/>
      <c r="Y1919" s="7"/>
      <c r="Z1919" s="12"/>
      <c r="AA1919" s="14">
        <v>550</v>
      </c>
    </row>
    <row r="1920" spans="1:27" outlineLevel="7">
      <c r="A1920" s="3499" t="s">
        <v>2161</v>
      </c>
      <c r="B1920" s="3499"/>
      <c r="C1920" s="12"/>
      <c r="D1920" s="12"/>
      <c r="E1920" s="12"/>
      <c r="F1920" s="7"/>
      <c r="G1920" s="7"/>
      <c r="H1920" s="8"/>
      <c r="I1920" s="9"/>
      <c r="J1920" s="7"/>
      <c r="K1920" s="7"/>
      <c r="L1920" s="7"/>
      <c r="M1920" s="7"/>
      <c r="N1920" s="7"/>
      <c r="O1920" s="7"/>
      <c r="P1920" s="7"/>
      <c r="Q1920" s="7"/>
      <c r="R1920" s="14">
        <v>550</v>
      </c>
      <c r="S1920" s="7"/>
      <c r="T1920" s="7"/>
      <c r="U1920" s="14">
        <v>550</v>
      </c>
      <c r="V1920" s="7"/>
      <c r="W1920" s="7"/>
      <c r="X1920" s="7"/>
      <c r="Y1920" s="7"/>
      <c r="Z1920" s="12"/>
      <c r="AA1920" s="14">
        <v>550</v>
      </c>
    </row>
    <row r="1921" spans="1:27" outlineLevel="6">
      <c r="A1921" s="3501" t="s">
        <v>1007</v>
      </c>
      <c r="B1921" s="3501"/>
      <c r="C1921" s="12"/>
      <c r="D1921" s="12"/>
      <c r="E1921" s="12"/>
      <c r="F1921" s="7"/>
      <c r="G1921" s="7"/>
      <c r="H1921" s="8"/>
      <c r="I1921" s="9"/>
      <c r="J1921" s="7"/>
      <c r="K1921" s="7"/>
      <c r="L1921" s="7"/>
      <c r="M1921" s="7"/>
      <c r="N1921" s="7"/>
      <c r="O1921" s="7"/>
      <c r="P1921" s="7"/>
      <c r="Q1921" s="7"/>
      <c r="R1921" s="14">
        <v>550</v>
      </c>
      <c r="S1921" s="7"/>
      <c r="T1921" s="7"/>
      <c r="U1921" s="14">
        <v>550</v>
      </c>
      <c r="V1921" s="7"/>
      <c r="W1921" s="7"/>
      <c r="X1921" s="7"/>
      <c r="Y1921" s="7"/>
      <c r="Z1921" s="12"/>
      <c r="AA1921" s="14">
        <v>550</v>
      </c>
    </row>
    <row r="1922" spans="1:27" outlineLevel="7">
      <c r="A1922" s="3500" t="s">
        <v>1008</v>
      </c>
      <c r="B1922" s="3500"/>
      <c r="C1922" s="12"/>
      <c r="D1922" s="12"/>
      <c r="E1922" s="12"/>
      <c r="F1922" s="7"/>
      <c r="G1922" s="7"/>
      <c r="H1922" s="8"/>
      <c r="I1922" s="9"/>
      <c r="J1922" s="7"/>
      <c r="K1922" s="7"/>
      <c r="L1922" s="7"/>
      <c r="M1922" s="7"/>
      <c r="N1922" s="7"/>
      <c r="O1922" s="7"/>
      <c r="P1922" s="7"/>
      <c r="Q1922" s="7"/>
      <c r="R1922" s="14">
        <v>550</v>
      </c>
      <c r="S1922" s="7"/>
      <c r="T1922" s="7"/>
      <c r="U1922" s="14">
        <v>550</v>
      </c>
      <c r="V1922" s="7"/>
      <c r="W1922" s="7"/>
      <c r="X1922" s="7"/>
      <c r="Y1922" s="7"/>
      <c r="Z1922" s="12"/>
      <c r="AA1922" s="14">
        <v>550</v>
      </c>
    </row>
    <row r="1923" spans="1:27" outlineLevel="7">
      <c r="A1923" s="3499" t="s">
        <v>2162</v>
      </c>
      <c r="B1923" s="3499"/>
      <c r="C1923" s="12"/>
      <c r="D1923" s="12"/>
      <c r="E1923" s="12"/>
      <c r="F1923" s="7"/>
      <c r="G1923" s="7"/>
      <c r="H1923" s="8"/>
      <c r="I1923" s="9"/>
      <c r="J1923" s="7"/>
      <c r="K1923" s="7"/>
      <c r="L1923" s="7"/>
      <c r="M1923" s="7"/>
      <c r="N1923" s="7"/>
      <c r="O1923" s="7"/>
      <c r="P1923" s="7"/>
      <c r="Q1923" s="7"/>
      <c r="R1923" s="14">
        <v>550</v>
      </c>
      <c r="S1923" s="7"/>
      <c r="T1923" s="7"/>
      <c r="U1923" s="14">
        <v>550</v>
      </c>
      <c r="V1923" s="7"/>
      <c r="W1923" s="7"/>
      <c r="X1923" s="7"/>
      <c r="Y1923" s="7"/>
      <c r="Z1923" s="12"/>
      <c r="AA1923" s="14">
        <v>550</v>
      </c>
    </row>
    <row r="1924" spans="1:27" outlineLevel="6">
      <c r="A1924" s="3501" t="s">
        <v>1009</v>
      </c>
      <c r="B1924" s="3501"/>
      <c r="C1924" s="12"/>
      <c r="D1924" s="14">
        <v>550</v>
      </c>
      <c r="E1924" s="12"/>
      <c r="F1924" s="7"/>
      <c r="G1924" s="7"/>
      <c r="H1924" s="8"/>
      <c r="I1924" s="9"/>
      <c r="J1924" s="7"/>
      <c r="K1924" s="7"/>
      <c r="L1924" s="7"/>
      <c r="M1924" s="7"/>
      <c r="N1924" s="7"/>
      <c r="O1924" s="7"/>
      <c r="P1924" s="7"/>
      <c r="Q1924" s="7"/>
      <c r="R1924" s="15">
        <v>-550</v>
      </c>
      <c r="S1924" s="7"/>
      <c r="T1924" s="7"/>
      <c r="U1924" s="15">
        <v>-550</v>
      </c>
      <c r="V1924" s="7"/>
      <c r="W1924" s="7"/>
      <c r="X1924" s="7"/>
      <c r="Y1924" s="7"/>
      <c r="Z1924" s="12"/>
      <c r="AA1924" s="12"/>
    </row>
    <row r="1925" spans="1:27" outlineLevel="7">
      <c r="A1925" s="3500" t="s">
        <v>484</v>
      </c>
      <c r="B1925" s="3500"/>
      <c r="C1925" s="12"/>
      <c r="D1925" s="14">
        <v>550</v>
      </c>
      <c r="E1925" s="12"/>
      <c r="F1925" s="7"/>
      <c r="G1925" s="7"/>
      <c r="H1925" s="8"/>
      <c r="I1925" s="9"/>
      <c r="J1925" s="7"/>
      <c r="K1925" s="7"/>
      <c r="L1925" s="7"/>
      <c r="M1925" s="7"/>
      <c r="N1925" s="7"/>
      <c r="O1925" s="7"/>
      <c r="P1925" s="7"/>
      <c r="Q1925" s="7"/>
      <c r="R1925" s="15">
        <v>-550</v>
      </c>
      <c r="S1925" s="7"/>
      <c r="T1925" s="7"/>
      <c r="U1925" s="15">
        <v>-550</v>
      </c>
      <c r="V1925" s="7"/>
      <c r="W1925" s="7"/>
      <c r="X1925" s="7"/>
      <c r="Y1925" s="7"/>
      <c r="Z1925" s="12"/>
      <c r="AA1925" s="12"/>
    </row>
    <row r="1926" spans="1:27" outlineLevel="7">
      <c r="A1926" s="3499" t="s">
        <v>2163</v>
      </c>
      <c r="B1926" s="3499"/>
      <c r="C1926" s="12"/>
      <c r="D1926" s="14">
        <v>550</v>
      </c>
      <c r="E1926" s="12"/>
      <c r="F1926" s="7"/>
      <c r="G1926" s="7"/>
      <c r="H1926" s="8"/>
      <c r="I1926" s="9"/>
      <c r="J1926" s="7"/>
      <c r="K1926" s="7"/>
      <c r="L1926" s="7"/>
      <c r="M1926" s="7"/>
      <c r="N1926" s="7"/>
      <c r="O1926" s="7"/>
      <c r="P1926" s="7"/>
      <c r="Q1926" s="7"/>
      <c r="R1926" s="15">
        <v>-550</v>
      </c>
      <c r="S1926" s="7"/>
      <c r="T1926" s="7"/>
      <c r="U1926" s="15">
        <v>-550</v>
      </c>
      <c r="V1926" s="7"/>
      <c r="W1926" s="7"/>
      <c r="X1926" s="7"/>
      <c r="Y1926" s="7"/>
      <c r="Z1926" s="12"/>
      <c r="AA1926" s="12"/>
    </row>
    <row r="1927" spans="1:27" outlineLevel="6">
      <c r="A1927" s="3501" t="s">
        <v>1010</v>
      </c>
      <c r="B1927" s="3501"/>
      <c r="C1927" s="12"/>
      <c r="D1927" s="12"/>
      <c r="E1927" s="12"/>
      <c r="F1927" s="7"/>
      <c r="G1927" s="7"/>
      <c r="H1927" s="8"/>
      <c r="I1927" s="9"/>
      <c r="J1927" s="7"/>
      <c r="K1927" s="7"/>
      <c r="L1927" s="7"/>
      <c r="M1927" s="7"/>
      <c r="N1927" s="7"/>
      <c r="O1927" s="7"/>
      <c r="P1927" s="7"/>
      <c r="Q1927" s="7"/>
      <c r="R1927" s="14">
        <v>550</v>
      </c>
      <c r="S1927" s="7"/>
      <c r="T1927" s="7"/>
      <c r="U1927" s="14">
        <v>550</v>
      </c>
      <c r="V1927" s="7"/>
      <c r="W1927" s="7"/>
      <c r="X1927" s="7"/>
      <c r="Y1927" s="7"/>
      <c r="Z1927" s="12"/>
      <c r="AA1927" s="14">
        <v>550</v>
      </c>
    </row>
    <row r="1928" spans="1:27" outlineLevel="7">
      <c r="A1928" s="3500" t="s">
        <v>1011</v>
      </c>
      <c r="B1928" s="3500"/>
      <c r="C1928" s="12"/>
      <c r="D1928" s="12"/>
      <c r="E1928" s="12"/>
      <c r="F1928" s="7"/>
      <c r="G1928" s="7"/>
      <c r="H1928" s="8"/>
      <c r="I1928" s="9"/>
      <c r="J1928" s="7"/>
      <c r="K1928" s="7"/>
      <c r="L1928" s="7"/>
      <c r="M1928" s="7"/>
      <c r="N1928" s="7"/>
      <c r="O1928" s="7"/>
      <c r="P1928" s="7"/>
      <c r="Q1928" s="7"/>
      <c r="R1928" s="14">
        <v>550</v>
      </c>
      <c r="S1928" s="7"/>
      <c r="T1928" s="7"/>
      <c r="U1928" s="14">
        <v>550</v>
      </c>
      <c r="V1928" s="7"/>
      <c r="W1928" s="7"/>
      <c r="X1928" s="7"/>
      <c r="Y1928" s="7"/>
      <c r="Z1928" s="12"/>
      <c r="AA1928" s="14">
        <v>550</v>
      </c>
    </row>
    <row r="1929" spans="1:27" outlineLevel="7">
      <c r="A1929" s="3499" t="s">
        <v>2164</v>
      </c>
      <c r="B1929" s="3499"/>
      <c r="C1929" s="12"/>
      <c r="D1929" s="12"/>
      <c r="E1929" s="12"/>
      <c r="F1929" s="7"/>
      <c r="G1929" s="7"/>
      <c r="H1929" s="8"/>
      <c r="I1929" s="9"/>
      <c r="J1929" s="7"/>
      <c r="K1929" s="7"/>
      <c r="L1929" s="7"/>
      <c r="M1929" s="7"/>
      <c r="N1929" s="7"/>
      <c r="O1929" s="7"/>
      <c r="P1929" s="7"/>
      <c r="Q1929" s="7"/>
      <c r="R1929" s="14">
        <v>550</v>
      </c>
      <c r="S1929" s="7"/>
      <c r="T1929" s="7"/>
      <c r="U1929" s="14">
        <v>550</v>
      </c>
      <c r="V1929" s="7"/>
      <c r="W1929" s="7"/>
      <c r="X1929" s="7"/>
      <c r="Y1929" s="7"/>
      <c r="Z1929" s="12"/>
      <c r="AA1929" s="14">
        <v>550</v>
      </c>
    </row>
    <row r="1930" spans="1:27" outlineLevel="6">
      <c r="A1930" s="3501" t="s">
        <v>347</v>
      </c>
      <c r="B1930" s="3501"/>
      <c r="C1930" s="7"/>
      <c r="D1930" s="7"/>
      <c r="E1930" s="14">
        <v>550</v>
      </c>
      <c r="F1930" s="7"/>
      <c r="G1930" s="14">
        <v>550</v>
      </c>
      <c r="H1930" s="3523">
        <v>550</v>
      </c>
      <c r="I1930" s="3523"/>
      <c r="J1930" s="7"/>
      <c r="K1930" s="7"/>
      <c r="L1930" s="7"/>
      <c r="M1930" s="7"/>
      <c r="N1930" s="7"/>
      <c r="O1930" s="7"/>
      <c r="P1930" s="7"/>
      <c r="Q1930" s="7"/>
      <c r="R1930" s="14">
        <v>550</v>
      </c>
      <c r="S1930" s="7"/>
      <c r="T1930" s="7"/>
      <c r="U1930" s="14">
        <v>550</v>
      </c>
      <c r="V1930" s="7"/>
      <c r="W1930" s="7"/>
      <c r="X1930" s="7"/>
      <c r="Y1930" s="7"/>
      <c r="Z1930" s="7"/>
      <c r="AA1930" s="7"/>
    </row>
    <row r="1931" spans="1:27" outlineLevel="7">
      <c r="A1931" s="3500" t="s">
        <v>348</v>
      </c>
      <c r="B1931" s="3500"/>
      <c r="C1931" s="7"/>
      <c r="D1931" s="7"/>
      <c r="E1931" s="14">
        <v>550</v>
      </c>
      <c r="F1931" s="7"/>
      <c r="G1931" s="14">
        <v>550</v>
      </c>
      <c r="H1931" s="3523">
        <v>550</v>
      </c>
      <c r="I1931" s="3523"/>
      <c r="J1931" s="7"/>
      <c r="K1931" s="7"/>
      <c r="L1931" s="7"/>
      <c r="M1931" s="7"/>
      <c r="N1931" s="7"/>
      <c r="O1931" s="7"/>
      <c r="P1931" s="7"/>
      <c r="Q1931" s="7"/>
      <c r="R1931" s="14">
        <v>550</v>
      </c>
      <c r="S1931" s="7"/>
      <c r="T1931" s="7"/>
      <c r="U1931" s="14">
        <v>550</v>
      </c>
      <c r="V1931" s="7"/>
      <c r="W1931" s="7"/>
      <c r="X1931" s="7"/>
      <c r="Y1931" s="7"/>
      <c r="Z1931" s="7"/>
      <c r="AA1931" s="7"/>
    </row>
    <row r="1932" spans="1:27" outlineLevel="7">
      <c r="A1932" s="3499" t="s">
        <v>2165</v>
      </c>
      <c r="B1932" s="3499"/>
      <c r="C1932" s="7"/>
      <c r="D1932" s="7"/>
      <c r="E1932" s="14">
        <v>550</v>
      </c>
      <c r="F1932" s="7"/>
      <c r="G1932" s="14">
        <v>550</v>
      </c>
      <c r="H1932" s="3523">
        <v>550</v>
      </c>
      <c r="I1932" s="3523"/>
      <c r="J1932" s="7"/>
      <c r="K1932" s="7"/>
      <c r="L1932" s="7"/>
      <c r="M1932" s="7"/>
      <c r="N1932" s="7"/>
      <c r="O1932" s="7"/>
      <c r="P1932" s="7"/>
      <c r="Q1932" s="7"/>
      <c r="R1932" s="14">
        <v>550</v>
      </c>
      <c r="S1932" s="7"/>
      <c r="T1932" s="7"/>
      <c r="U1932" s="14">
        <v>550</v>
      </c>
      <c r="V1932" s="7"/>
      <c r="W1932" s="7"/>
      <c r="X1932" s="7"/>
      <c r="Y1932" s="7"/>
      <c r="Z1932" s="7"/>
      <c r="AA1932" s="7"/>
    </row>
    <row r="1933" spans="1:27" outlineLevel="6">
      <c r="A1933" s="3501" t="s">
        <v>349</v>
      </c>
      <c r="B1933" s="3501"/>
      <c r="C1933" s="7"/>
      <c r="D1933" s="7"/>
      <c r="E1933" s="14">
        <v>550</v>
      </c>
      <c r="F1933" s="7"/>
      <c r="G1933" s="14">
        <v>550</v>
      </c>
      <c r="H1933" s="3523">
        <v>550</v>
      </c>
      <c r="I1933" s="3523"/>
      <c r="J1933" s="7"/>
      <c r="K1933" s="7"/>
      <c r="L1933" s="7"/>
      <c r="M1933" s="7"/>
      <c r="N1933" s="7"/>
      <c r="O1933" s="7"/>
      <c r="P1933" s="7"/>
      <c r="Q1933" s="7"/>
      <c r="R1933" s="14">
        <v>550</v>
      </c>
      <c r="S1933" s="7"/>
      <c r="T1933" s="7"/>
      <c r="U1933" s="14">
        <v>550</v>
      </c>
      <c r="V1933" s="7"/>
      <c r="W1933" s="7"/>
      <c r="X1933" s="7"/>
      <c r="Y1933" s="7"/>
      <c r="Z1933" s="7"/>
      <c r="AA1933" s="7"/>
    </row>
    <row r="1934" spans="1:27" outlineLevel="7">
      <c r="A1934" s="3500" t="s">
        <v>350</v>
      </c>
      <c r="B1934" s="3500"/>
      <c r="C1934" s="7"/>
      <c r="D1934" s="7"/>
      <c r="E1934" s="14">
        <v>550</v>
      </c>
      <c r="F1934" s="7"/>
      <c r="G1934" s="14">
        <v>550</v>
      </c>
      <c r="H1934" s="3523">
        <v>550</v>
      </c>
      <c r="I1934" s="3523"/>
      <c r="J1934" s="7"/>
      <c r="K1934" s="7"/>
      <c r="L1934" s="7"/>
      <c r="M1934" s="7"/>
      <c r="N1934" s="7"/>
      <c r="O1934" s="7"/>
      <c r="P1934" s="7"/>
      <c r="Q1934" s="7"/>
      <c r="R1934" s="14">
        <v>550</v>
      </c>
      <c r="S1934" s="7"/>
      <c r="T1934" s="7"/>
      <c r="U1934" s="14">
        <v>550</v>
      </c>
      <c r="V1934" s="7"/>
      <c r="W1934" s="7"/>
      <c r="X1934" s="7"/>
      <c r="Y1934" s="7"/>
      <c r="Z1934" s="7"/>
      <c r="AA1934" s="7"/>
    </row>
    <row r="1935" spans="1:27" outlineLevel="7">
      <c r="A1935" s="3499" t="s">
        <v>2166</v>
      </c>
      <c r="B1935" s="3499"/>
      <c r="C1935" s="7"/>
      <c r="D1935" s="7"/>
      <c r="E1935" s="14">
        <v>550</v>
      </c>
      <c r="F1935" s="7"/>
      <c r="G1935" s="14">
        <v>550</v>
      </c>
      <c r="H1935" s="3523">
        <v>550</v>
      </c>
      <c r="I1935" s="3523"/>
      <c r="J1935" s="7"/>
      <c r="K1935" s="7"/>
      <c r="L1935" s="7"/>
      <c r="M1935" s="7"/>
      <c r="N1935" s="7"/>
      <c r="O1935" s="7"/>
      <c r="P1935" s="7"/>
      <c r="Q1935" s="7"/>
      <c r="R1935" s="14">
        <v>550</v>
      </c>
      <c r="S1935" s="7"/>
      <c r="T1935" s="7"/>
      <c r="U1935" s="14">
        <v>550</v>
      </c>
      <c r="V1935" s="7"/>
      <c r="W1935" s="7"/>
      <c r="X1935" s="7"/>
      <c r="Y1935" s="7"/>
      <c r="Z1935" s="7"/>
      <c r="AA1935" s="7"/>
    </row>
    <row r="1936" spans="1:27" outlineLevel="6">
      <c r="A1936" s="3501" t="s">
        <v>351</v>
      </c>
      <c r="B1936" s="3501"/>
      <c r="C1936" s="7"/>
      <c r="D1936" s="7"/>
      <c r="E1936" s="14">
        <v>550</v>
      </c>
      <c r="F1936" s="7"/>
      <c r="G1936" s="14">
        <v>550</v>
      </c>
      <c r="H1936" s="3523">
        <v>550</v>
      </c>
      <c r="I1936" s="3523"/>
      <c r="J1936" s="7"/>
      <c r="K1936" s="7"/>
      <c r="L1936" s="7"/>
      <c r="M1936" s="7"/>
      <c r="N1936" s="7"/>
      <c r="O1936" s="7"/>
      <c r="P1936" s="7"/>
      <c r="Q1936" s="7"/>
      <c r="R1936" s="14">
        <v>550</v>
      </c>
      <c r="S1936" s="7"/>
      <c r="T1936" s="7"/>
      <c r="U1936" s="14">
        <v>550</v>
      </c>
      <c r="V1936" s="7"/>
      <c r="W1936" s="7"/>
      <c r="X1936" s="7"/>
      <c r="Y1936" s="7"/>
      <c r="Z1936" s="7"/>
      <c r="AA1936" s="7"/>
    </row>
    <row r="1937" spans="1:27" outlineLevel="7">
      <c r="A1937" s="3500" t="s">
        <v>352</v>
      </c>
      <c r="B1937" s="3500"/>
      <c r="C1937" s="7"/>
      <c r="D1937" s="7"/>
      <c r="E1937" s="14">
        <v>550</v>
      </c>
      <c r="F1937" s="7"/>
      <c r="G1937" s="14">
        <v>550</v>
      </c>
      <c r="H1937" s="3523">
        <v>550</v>
      </c>
      <c r="I1937" s="3523"/>
      <c r="J1937" s="7"/>
      <c r="K1937" s="7"/>
      <c r="L1937" s="7"/>
      <c r="M1937" s="7"/>
      <c r="N1937" s="7"/>
      <c r="O1937" s="7"/>
      <c r="P1937" s="7"/>
      <c r="Q1937" s="7"/>
      <c r="R1937" s="14">
        <v>550</v>
      </c>
      <c r="S1937" s="7"/>
      <c r="T1937" s="7"/>
      <c r="U1937" s="14">
        <v>550</v>
      </c>
      <c r="V1937" s="7"/>
      <c r="W1937" s="7"/>
      <c r="X1937" s="7"/>
      <c r="Y1937" s="7"/>
      <c r="Z1937" s="7"/>
      <c r="AA1937" s="7"/>
    </row>
    <row r="1938" spans="1:27" outlineLevel="7">
      <c r="A1938" s="3499" t="s">
        <v>2167</v>
      </c>
      <c r="B1938" s="3499"/>
      <c r="C1938" s="7"/>
      <c r="D1938" s="7"/>
      <c r="E1938" s="14">
        <v>550</v>
      </c>
      <c r="F1938" s="7"/>
      <c r="G1938" s="14">
        <v>550</v>
      </c>
      <c r="H1938" s="3523">
        <v>550</v>
      </c>
      <c r="I1938" s="3523"/>
      <c r="J1938" s="7"/>
      <c r="K1938" s="7"/>
      <c r="L1938" s="7"/>
      <c r="M1938" s="7"/>
      <c r="N1938" s="7"/>
      <c r="O1938" s="7"/>
      <c r="P1938" s="7"/>
      <c r="Q1938" s="7"/>
      <c r="R1938" s="14">
        <v>550</v>
      </c>
      <c r="S1938" s="7"/>
      <c r="T1938" s="7"/>
      <c r="U1938" s="14">
        <v>550</v>
      </c>
      <c r="V1938" s="7"/>
      <c r="W1938" s="7"/>
      <c r="X1938" s="7"/>
      <c r="Y1938" s="7"/>
      <c r="Z1938" s="7"/>
      <c r="AA1938" s="7"/>
    </row>
    <row r="1939" spans="1:27" outlineLevel="6">
      <c r="A1939" s="3501" t="s">
        <v>1012</v>
      </c>
      <c r="B1939" s="3501"/>
      <c r="C1939" s="12"/>
      <c r="D1939" s="12"/>
      <c r="E1939" s="12"/>
      <c r="F1939" s="7"/>
      <c r="G1939" s="7"/>
      <c r="H1939" s="8"/>
      <c r="I1939" s="9"/>
      <c r="J1939" s="7"/>
      <c r="K1939" s="7"/>
      <c r="L1939" s="7"/>
      <c r="M1939" s="7"/>
      <c r="N1939" s="7"/>
      <c r="O1939" s="7"/>
      <c r="P1939" s="7"/>
      <c r="Q1939" s="7"/>
      <c r="R1939" s="14">
        <v>550</v>
      </c>
      <c r="S1939" s="7"/>
      <c r="T1939" s="7"/>
      <c r="U1939" s="14">
        <v>550</v>
      </c>
      <c r="V1939" s="7"/>
      <c r="W1939" s="7"/>
      <c r="X1939" s="7"/>
      <c r="Y1939" s="7"/>
      <c r="Z1939" s="12"/>
      <c r="AA1939" s="14">
        <v>550</v>
      </c>
    </row>
    <row r="1940" spans="1:27" outlineLevel="7">
      <c r="A1940" s="3500" t="s">
        <v>1013</v>
      </c>
      <c r="B1940" s="3500"/>
      <c r="C1940" s="12"/>
      <c r="D1940" s="12"/>
      <c r="E1940" s="12"/>
      <c r="F1940" s="7"/>
      <c r="G1940" s="7"/>
      <c r="H1940" s="8"/>
      <c r="I1940" s="9"/>
      <c r="J1940" s="7"/>
      <c r="K1940" s="7"/>
      <c r="L1940" s="7"/>
      <c r="M1940" s="7"/>
      <c r="N1940" s="7"/>
      <c r="O1940" s="7"/>
      <c r="P1940" s="7"/>
      <c r="Q1940" s="7"/>
      <c r="R1940" s="14">
        <v>550</v>
      </c>
      <c r="S1940" s="7"/>
      <c r="T1940" s="7"/>
      <c r="U1940" s="14">
        <v>550</v>
      </c>
      <c r="V1940" s="7"/>
      <c r="W1940" s="7"/>
      <c r="X1940" s="7"/>
      <c r="Y1940" s="7"/>
      <c r="Z1940" s="12"/>
      <c r="AA1940" s="14">
        <v>550</v>
      </c>
    </row>
    <row r="1941" spans="1:27" outlineLevel="7">
      <c r="A1941" s="3499" t="s">
        <v>2168</v>
      </c>
      <c r="B1941" s="3499"/>
      <c r="C1941" s="12"/>
      <c r="D1941" s="12"/>
      <c r="E1941" s="12"/>
      <c r="F1941" s="7"/>
      <c r="G1941" s="7"/>
      <c r="H1941" s="8"/>
      <c r="I1941" s="9"/>
      <c r="J1941" s="7"/>
      <c r="K1941" s="7"/>
      <c r="L1941" s="7"/>
      <c r="M1941" s="7"/>
      <c r="N1941" s="7"/>
      <c r="O1941" s="7"/>
      <c r="P1941" s="7"/>
      <c r="Q1941" s="7"/>
      <c r="R1941" s="14">
        <v>550</v>
      </c>
      <c r="S1941" s="7"/>
      <c r="T1941" s="7"/>
      <c r="U1941" s="14">
        <v>550</v>
      </c>
      <c r="V1941" s="7"/>
      <c r="W1941" s="7"/>
      <c r="X1941" s="7"/>
      <c r="Y1941" s="7"/>
      <c r="Z1941" s="12"/>
      <c r="AA1941" s="14">
        <v>550</v>
      </c>
    </row>
    <row r="1942" spans="1:27" outlineLevel="6">
      <c r="A1942" s="3501" t="s">
        <v>353</v>
      </c>
      <c r="B1942" s="3501"/>
      <c r="C1942" s="7"/>
      <c r="D1942" s="7"/>
      <c r="E1942" s="14">
        <v>550</v>
      </c>
      <c r="F1942" s="7"/>
      <c r="G1942" s="14">
        <v>550</v>
      </c>
      <c r="H1942" s="3523">
        <v>550</v>
      </c>
      <c r="I1942" s="3523"/>
      <c r="J1942" s="7"/>
      <c r="K1942" s="7"/>
      <c r="L1942" s="7"/>
      <c r="M1942" s="7"/>
      <c r="N1942" s="7"/>
      <c r="O1942" s="7"/>
      <c r="P1942" s="7"/>
      <c r="Q1942" s="7"/>
      <c r="R1942" s="14">
        <v>550</v>
      </c>
      <c r="S1942" s="7"/>
      <c r="T1942" s="7"/>
      <c r="U1942" s="14">
        <v>550</v>
      </c>
      <c r="V1942" s="7"/>
      <c r="W1942" s="7"/>
      <c r="X1942" s="7"/>
      <c r="Y1942" s="7"/>
      <c r="Z1942" s="7"/>
      <c r="AA1942" s="7"/>
    </row>
    <row r="1943" spans="1:27" outlineLevel="7">
      <c r="A1943" s="3500" t="s">
        <v>354</v>
      </c>
      <c r="B1943" s="3500"/>
      <c r="C1943" s="7"/>
      <c r="D1943" s="7"/>
      <c r="E1943" s="14">
        <v>550</v>
      </c>
      <c r="F1943" s="7"/>
      <c r="G1943" s="14">
        <v>550</v>
      </c>
      <c r="H1943" s="3523">
        <v>550</v>
      </c>
      <c r="I1943" s="3523"/>
      <c r="J1943" s="7"/>
      <c r="K1943" s="7"/>
      <c r="L1943" s="7"/>
      <c r="M1943" s="7"/>
      <c r="N1943" s="7"/>
      <c r="O1943" s="7"/>
      <c r="P1943" s="7"/>
      <c r="Q1943" s="7"/>
      <c r="R1943" s="14">
        <v>550</v>
      </c>
      <c r="S1943" s="7"/>
      <c r="T1943" s="7"/>
      <c r="U1943" s="14">
        <v>550</v>
      </c>
      <c r="V1943" s="7"/>
      <c r="W1943" s="7"/>
      <c r="X1943" s="7"/>
      <c r="Y1943" s="7"/>
      <c r="Z1943" s="7"/>
      <c r="AA1943" s="7"/>
    </row>
    <row r="1944" spans="1:27" outlineLevel="7">
      <c r="A1944" s="3499" t="s">
        <v>2169</v>
      </c>
      <c r="B1944" s="3499"/>
      <c r="C1944" s="7"/>
      <c r="D1944" s="7"/>
      <c r="E1944" s="14">
        <v>550</v>
      </c>
      <c r="F1944" s="7"/>
      <c r="G1944" s="14">
        <v>550</v>
      </c>
      <c r="H1944" s="3523">
        <v>550</v>
      </c>
      <c r="I1944" s="3523"/>
      <c r="J1944" s="7"/>
      <c r="K1944" s="7"/>
      <c r="L1944" s="7"/>
      <c r="M1944" s="7"/>
      <c r="N1944" s="7"/>
      <c r="O1944" s="7"/>
      <c r="P1944" s="7"/>
      <c r="Q1944" s="7"/>
      <c r="R1944" s="14">
        <v>550</v>
      </c>
      <c r="S1944" s="7"/>
      <c r="T1944" s="7"/>
      <c r="U1944" s="14">
        <v>550</v>
      </c>
      <c r="V1944" s="7"/>
      <c r="W1944" s="7"/>
      <c r="X1944" s="7"/>
      <c r="Y1944" s="7"/>
      <c r="Z1944" s="7"/>
      <c r="AA1944" s="7"/>
    </row>
    <row r="1945" spans="1:27" outlineLevel="6">
      <c r="A1945" s="3501" t="s">
        <v>1014</v>
      </c>
      <c r="B1945" s="3501"/>
      <c r="C1945" s="12"/>
      <c r="D1945" s="12"/>
      <c r="E1945" s="12"/>
      <c r="F1945" s="7"/>
      <c r="G1945" s="7"/>
      <c r="H1945" s="8"/>
      <c r="I1945" s="9"/>
      <c r="J1945" s="7"/>
      <c r="K1945" s="7"/>
      <c r="L1945" s="7"/>
      <c r="M1945" s="7"/>
      <c r="N1945" s="7"/>
      <c r="O1945" s="7"/>
      <c r="P1945" s="7"/>
      <c r="Q1945" s="7"/>
      <c r="R1945" s="14">
        <v>550</v>
      </c>
      <c r="S1945" s="7"/>
      <c r="T1945" s="7"/>
      <c r="U1945" s="14">
        <v>550</v>
      </c>
      <c r="V1945" s="7"/>
      <c r="W1945" s="7"/>
      <c r="X1945" s="7"/>
      <c r="Y1945" s="7"/>
      <c r="Z1945" s="12"/>
      <c r="AA1945" s="14">
        <v>550</v>
      </c>
    </row>
    <row r="1946" spans="1:27" outlineLevel="7">
      <c r="A1946" s="3500" t="s">
        <v>1015</v>
      </c>
      <c r="B1946" s="3500"/>
      <c r="C1946" s="12"/>
      <c r="D1946" s="12"/>
      <c r="E1946" s="12"/>
      <c r="F1946" s="7"/>
      <c r="G1946" s="7"/>
      <c r="H1946" s="8"/>
      <c r="I1946" s="9"/>
      <c r="J1946" s="7"/>
      <c r="K1946" s="7"/>
      <c r="L1946" s="7"/>
      <c r="M1946" s="7"/>
      <c r="N1946" s="7"/>
      <c r="O1946" s="7"/>
      <c r="P1946" s="7"/>
      <c r="Q1946" s="7"/>
      <c r="R1946" s="14">
        <v>550</v>
      </c>
      <c r="S1946" s="7"/>
      <c r="T1946" s="7"/>
      <c r="U1946" s="14">
        <v>550</v>
      </c>
      <c r="V1946" s="7"/>
      <c r="W1946" s="7"/>
      <c r="X1946" s="7"/>
      <c r="Y1946" s="7"/>
      <c r="Z1946" s="12"/>
      <c r="AA1946" s="14">
        <v>550</v>
      </c>
    </row>
    <row r="1947" spans="1:27" outlineLevel="7">
      <c r="A1947" s="3499" t="s">
        <v>2170</v>
      </c>
      <c r="B1947" s="3499"/>
      <c r="C1947" s="12"/>
      <c r="D1947" s="12"/>
      <c r="E1947" s="12"/>
      <c r="F1947" s="7"/>
      <c r="G1947" s="7"/>
      <c r="H1947" s="8"/>
      <c r="I1947" s="9"/>
      <c r="J1947" s="7"/>
      <c r="K1947" s="7"/>
      <c r="L1947" s="7"/>
      <c r="M1947" s="7"/>
      <c r="N1947" s="7"/>
      <c r="O1947" s="7"/>
      <c r="P1947" s="7"/>
      <c r="Q1947" s="7"/>
      <c r="R1947" s="14">
        <v>550</v>
      </c>
      <c r="S1947" s="7"/>
      <c r="T1947" s="7"/>
      <c r="U1947" s="14">
        <v>550</v>
      </c>
      <c r="V1947" s="7"/>
      <c r="W1947" s="7"/>
      <c r="X1947" s="7"/>
      <c r="Y1947" s="7"/>
      <c r="Z1947" s="12"/>
      <c r="AA1947" s="14">
        <v>550</v>
      </c>
    </row>
    <row r="1948" spans="1:27" outlineLevel="6">
      <c r="A1948" s="3501" t="s">
        <v>355</v>
      </c>
      <c r="B1948" s="3501"/>
      <c r="C1948" s="7"/>
      <c r="D1948" s="7"/>
      <c r="E1948" s="14">
        <v>550</v>
      </c>
      <c r="F1948" s="7"/>
      <c r="G1948" s="14">
        <v>550</v>
      </c>
      <c r="H1948" s="3523">
        <v>550</v>
      </c>
      <c r="I1948" s="3523"/>
      <c r="J1948" s="7"/>
      <c r="K1948" s="7"/>
      <c r="L1948" s="7"/>
      <c r="M1948" s="7"/>
      <c r="N1948" s="7"/>
      <c r="O1948" s="7"/>
      <c r="P1948" s="7"/>
      <c r="Q1948" s="7"/>
      <c r="R1948" s="14">
        <v>550</v>
      </c>
      <c r="S1948" s="7"/>
      <c r="T1948" s="7"/>
      <c r="U1948" s="14">
        <v>550</v>
      </c>
      <c r="V1948" s="7"/>
      <c r="W1948" s="7"/>
      <c r="X1948" s="7"/>
      <c r="Y1948" s="7"/>
      <c r="Z1948" s="7"/>
      <c r="AA1948" s="7"/>
    </row>
    <row r="1949" spans="1:27" outlineLevel="7">
      <c r="A1949" s="3500" t="s">
        <v>356</v>
      </c>
      <c r="B1949" s="3500"/>
      <c r="C1949" s="7"/>
      <c r="D1949" s="7"/>
      <c r="E1949" s="14">
        <v>550</v>
      </c>
      <c r="F1949" s="7"/>
      <c r="G1949" s="14">
        <v>550</v>
      </c>
      <c r="H1949" s="3523">
        <v>550</v>
      </c>
      <c r="I1949" s="3523"/>
      <c r="J1949" s="7"/>
      <c r="K1949" s="7"/>
      <c r="L1949" s="7"/>
      <c r="M1949" s="7"/>
      <c r="N1949" s="7"/>
      <c r="O1949" s="7"/>
      <c r="P1949" s="7"/>
      <c r="Q1949" s="7"/>
      <c r="R1949" s="14">
        <v>550</v>
      </c>
      <c r="S1949" s="7"/>
      <c r="T1949" s="7"/>
      <c r="U1949" s="14">
        <v>550</v>
      </c>
      <c r="V1949" s="7"/>
      <c r="W1949" s="7"/>
      <c r="X1949" s="7"/>
      <c r="Y1949" s="7"/>
      <c r="Z1949" s="7"/>
      <c r="AA1949" s="7"/>
    </row>
    <row r="1950" spans="1:27" outlineLevel="7">
      <c r="A1950" s="3499" t="s">
        <v>2171</v>
      </c>
      <c r="B1950" s="3499"/>
      <c r="C1950" s="7"/>
      <c r="D1950" s="7"/>
      <c r="E1950" s="14">
        <v>550</v>
      </c>
      <c r="F1950" s="7"/>
      <c r="G1950" s="14">
        <v>550</v>
      </c>
      <c r="H1950" s="3523">
        <v>550</v>
      </c>
      <c r="I1950" s="3523"/>
      <c r="J1950" s="7"/>
      <c r="K1950" s="7"/>
      <c r="L1950" s="7"/>
      <c r="M1950" s="7"/>
      <c r="N1950" s="7"/>
      <c r="O1950" s="7"/>
      <c r="P1950" s="7"/>
      <c r="Q1950" s="7"/>
      <c r="R1950" s="14">
        <v>550</v>
      </c>
      <c r="S1950" s="7"/>
      <c r="T1950" s="7"/>
      <c r="U1950" s="14">
        <v>550</v>
      </c>
      <c r="V1950" s="7"/>
      <c r="W1950" s="7"/>
      <c r="X1950" s="7"/>
      <c r="Y1950" s="7"/>
      <c r="Z1950" s="7"/>
      <c r="AA1950" s="7"/>
    </row>
    <row r="1951" spans="1:27" outlineLevel="6">
      <c r="A1951" s="3501" t="s">
        <v>357</v>
      </c>
      <c r="B1951" s="3501"/>
      <c r="C1951" s="7"/>
      <c r="D1951" s="7"/>
      <c r="E1951" s="14">
        <v>550</v>
      </c>
      <c r="F1951" s="7"/>
      <c r="G1951" s="14">
        <v>550</v>
      </c>
      <c r="H1951" s="3523">
        <v>550</v>
      </c>
      <c r="I1951" s="3523"/>
      <c r="J1951" s="7"/>
      <c r="K1951" s="7"/>
      <c r="L1951" s="7"/>
      <c r="M1951" s="7"/>
      <c r="N1951" s="7"/>
      <c r="O1951" s="7"/>
      <c r="P1951" s="7"/>
      <c r="Q1951" s="7"/>
      <c r="R1951" s="14">
        <v>550</v>
      </c>
      <c r="S1951" s="7"/>
      <c r="T1951" s="7"/>
      <c r="U1951" s="14">
        <v>550</v>
      </c>
      <c r="V1951" s="7"/>
      <c r="W1951" s="7"/>
      <c r="X1951" s="7"/>
      <c r="Y1951" s="7"/>
      <c r="Z1951" s="7"/>
      <c r="AA1951" s="7"/>
    </row>
    <row r="1952" spans="1:27" outlineLevel="7">
      <c r="A1952" s="3500" t="s">
        <v>358</v>
      </c>
      <c r="B1952" s="3500"/>
      <c r="C1952" s="7"/>
      <c r="D1952" s="7"/>
      <c r="E1952" s="14">
        <v>550</v>
      </c>
      <c r="F1952" s="7"/>
      <c r="G1952" s="14">
        <v>550</v>
      </c>
      <c r="H1952" s="3523">
        <v>550</v>
      </c>
      <c r="I1952" s="3523"/>
      <c r="J1952" s="7"/>
      <c r="K1952" s="7"/>
      <c r="L1952" s="7"/>
      <c r="M1952" s="7"/>
      <c r="N1952" s="7"/>
      <c r="O1952" s="7"/>
      <c r="P1952" s="7"/>
      <c r="Q1952" s="7"/>
      <c r="R1952" s="14">
        <v>550</v>
      </c>
      <c r="S1952" s="7"/>
      <c r="T1952" s="7"/>
      <c r="U1952" s="14">
        <v>550</v>
      </c>
      <c r="V1952" s="7"/>
      <c r="W1952" s="7"/>
      <c r="X1952" s="7"/>
      <c r="Y1952" s="7"/>
      <c r="Z1952" s="7"/>
      <c r="AA1952" s="7"/>
    </row>
    <row r="1953" spans="1:27" outlineLevel="7">
      <c r="A1953" s="3499" t="s">
        <v>2172</v>
      </c>
      <c r="B1953" s="3499"/>
      <c r="C1953" s="7"/>
      <c r="D1953" s="7"/>
      <c r="E1953" s="14">
        <v>550</v>
      </c>
      <c r="F1953" s="7"/>
      <c r="G1953" s="14">
        <v>550</v>
      </c>
      <c r="H1953" s="3523">
        <v>550</v>
      </c>
      <c r="I1953" s="3523"/>
      <c r="J1953" s="7"/>
      <c r="K1953" s="7"/>
      <c r="L1953" s="7"/>
      <c r="M1953" s="7"/>
      <c r="N1953" s="7"/>
      <c r="O1953" s="7"/>
      <c r="P1953" s="7"/>
      <c r="Q1953" s="7"/>
      <c r="R1953" s="14">
        <v>550</v>
      </c>
      <c r="S1953" s="7"/>
      <c r="T1953" s="7"/>
      <c r="U1953" s="14">
        <v>550</v>
      </c>
      <c r="V1953" s="7"/>
      <c r="W1953" s="7"/>
      <c r="X1953" s="7"/>
      <c r="Y1953" s="7"/>
      <c r="Z1953" s="7"/>
      <c r="AA1953" s="7"/>
    </row>
    <row r="1954" spans="1:27" outlineLevel="6">
      <c r="A1954" s="3501" t="s">
        <v>1016</v>
      </c>
      <c r="B1954" s="3501"/>
      <c r="C1954" s="12"/>
      <c r="D1954" s="12"/>
      <c r="E1954" s="12"/>
      <c r="F1954" s="7"/>
      <c r="G1954" s="7"/>
      <c r="H1954" s="8"/>
      <c r="I1954" s="9"/>
      <c r="J1954" s="7"/>
      <c r="K1954" s="7"/>
      <c r="L1954" s="7"/>
      <c r="M1954" s="7"/>
      <c r="N1954" s="7"/>
      <c r="O1954" s="7"/>
      <c r="P1954" s="7"/>
      <c r="Q1954" s="7"/>
      <c r="R1954" s="14">
        <v>550</v>
      </c>
      <c r="S1954" s="7"/>
      <c r="T1954" s="7"/>
      <c r="U1954" s="14">
        <v>550</v>
      </c>
      <c r="V1954" s="7"/>
      <c r="W1954" s="7"/>
      <c r="X1954" s="7"/>
      <c r="Y1954" s="7"/>
      <c r="Z1954" s="12"/>
      <c r="AA1954" s="14">
        <v>550</v>
      </c>
    </row>
    <row r="1955" spans="1:27" outlineLevel="7">
      <c r="A1955" s="3500" t="s">
        <v>1017</v>
      </c>
      <c r="B1955" s="3500"/>
      <c r="C1955" s="12"/>
      <c r="D1955" s="12"/>
      <c r="E1955" s="12"/>
      <c r="F1955" s="7"/>
      <c r="G1955" s="7"/>
      <c r="H1955" s="8"/>
      <c r="I1955" s="9"/>
      <c r="J1955" s="7"/>
      <c r="K1955" s="7"/>
      <c r="L1955" s="7"/>
      <c r="M1955" s="7"/>
      <c r="N1955" s="7"/>
      <c r="O1955" s="7"/>
      <c r="P1955" s="7"/>
      <c r="Q1955" s="7"/>
      <c r="R1955" s="14">
        <v>550</v>
      </c>
      <c r="S1955" s="7"/>
      <c r="T1955" s="7"/>
      <c r="U1955" s="14">
        <v>550</v>
      </c>
      <c r="V1955" s="7"/>
      <c r="W1955" s="7"/>
      <c r="X1955" s="7"/>
      <c r="Y1955" s="7"/>
      <c r="Z1955" s="12"/>
      <c r="AA1955" s="14">
        <v>550</v>
      </c>
    </row>
    <row r="1956" spans="1:27" outlineLevel="7">
      <c r="A1956" s="3499" t="s">
        <v>2173</v>
      </c>
      <c r="B1956" s="3499"/>
      <c r="C1956" s="12"/>
      <c r="D1956" s="12"/>
      <c r="E1956" s="12"/>
      <c r="F1956" s="7"/>
      <c r="G1956" s="7"/>
      <c r="H1956" s="8"/>
      <c r="I1956" s="9"/>
      <c r="J1956" s="7"/>
      <c r="K1956" s="7"/>
      <c r="L1956" s="7"/>
      <c r="M1956" s="7"/>
      <c r="N1956" s="7"/>
      <c r="O1956" s="7"/>
      <c r="P1956" s="7"/>
      <c r="Q1956" s="7"/>
      <c r="R1956" s="14">
        <v>550</v>
      </c>
      <c r="S1956" s="7"/>
      <c r="T1956" s="7"/>
      <c r="U1956" s="14">
        <v>550</v>
      </c>
      <c r="V1956" s="7"/>
      <c r="W1956" s="7"/>
      <c r="X1956" s="7"/>
      <c r="Y1956" s="7"/>
      <c r="Z1956" s="12"/>
      <c r="AA1956" s="14">
        <v>550</v>
      </c>
    </row>
    <row r="1957" spans="1:27" outlineLevel="6">
      <c r="A1957" s="3501" t="s">
        <v>359</v>
      </c>
      <c r="B1957" s="3501"/>
      <c r="C1957" s="7"/>
      <c r="D1957" s="7"/>
      <c r="E1957" s="14">
        <v>550</v>
      </c>
      <c r="F1957" s="7"/>
      <c r="G1957" s="14">
        <v>550</v>
      </c>
      <c r="H1957" s="3523">
        <v>550</v>
      </c>
      <c r="I1957" s="3523"/>
      <c r="J1957" s="7"/>
      <c r="K1957" s="7"/>
      <c r="L1957" s="7"/>
      <c r="M1957" s="7"/>
      <c r="N1957" s="7"/>
      <c r="O1957" s="7"/>
      <c r="P1957" s="7"/>
      <c r="Q1957" s="7"/>
      <c r="R1957" s="14">
        <v>550</v>
      </c>
      <c r="S1957" s="7"/>
      <c r="T1957" s="7"/>
      <c r="U1957" s="14">
        <v>550</v>
      </c>
      <c r="V1957" s="7"/>
      <c r="W1957" s="7"/>
      <c r="X1957" s="7"/>
      <c r="Y1957" s="7"/>
      <c r="Z1957" s="7"/>
      <c r="AA1957" s="7"/>
    </row>
    <row r="1958" spans="1:27" outlineLevel="7">
      <c r="A1958" s="3500" t="s">
        <v>360</v>
      </c>
      <c r="B1958" s="3500"/>
      <c r="C1958" s="7"/>
      <c r="D1958" s="7"/>
      <c r="E1958" s="14">
        <v>550</v>
      </c>
      <c r="F1958" s="7"/>
      <c r="G1958" s="14">
        <v>550</v>
      </c>
      <c r="H1958" s="3523">
        <v>550</v>
      </c>
      <c r="I1958" s="3523"/>
      <c r="J1958" s="7"/>
      <c r="K1958" s="7"/>
      <c r="L1958" s="7"/>
      <c r="M1958" s="7"/>
      <c r="N1958" s="7"/>
      <c r="O1958" s="7"/>
      <c r="P1958" s="7"/>
      <c r="Q1958" s="7"/>
      <c r="R1958" s="14">
        <v>550</v>
      </c>
      <c r="S1958" s="7"/>
      <c r="T1958" s="7"/>
      <c r="U1958" s="14">
        <v>550</v>
      </c>
      <c r="V1958" s="7"/>
      <c r="W1958" s="7"/>
      <c r="X1958" s="7"/>
      <c r="Y1958" s="7"/>
      <c r="Z1958" s="7"/>
      <c r="AA1958" s="7"/>
    </row>
    <row r="1959" spans="1:27" outlineLevel="7">
      <c r="A1959" s="3499" t="s">
        <v>2174</v>
      </c>
      <c r="B1959" s="3499"/>
      <c r="C1959" s="7"/>
      <c r="D1959" s="7"/>
      <c r="E1959" s="14">
        <v>550</v>
      </c>
      <c r="F1959" s="7"/>
      <c r="G1959" s="14">
        <v>550</v>
      </c>
      <c r="H1959" s="3523">
        <v>550</v>
      </c>
      <c r="I1959" s="3523"/>
      <c r="J1959" s="7"/>
      <c r="K1959" s="7"/>
      <c r="L1959" s="7"/>
      <c r="M1959" s="7"/>
      <c r="N1959" s="7"/>
      <c r="O1959" s="7"/>
      <c r="P1959" s="7"/>
      <c r="Q1959" s="7"/>
      <c r="R1959" s="14">
        <v>550</v>
      </c>
      <c r="S1959" s="7"/>
      <c r="T1959" s="7"/>
      <c r="U1959" s="14">
        <v>550</v>
      </c>
      <c r="V1959" s="7"/>
      <c r="W1959" s="7"/>
      <c r="X1959" s="7"/>
      <c r="Y1959" s="7"/>
      <c r="Z1959" s="7"/>
      <c r="AA1959" s="7"/>
    </row>
    <row r="1960" spans="1:27" outlineLevel="6">
      <c r="A1960" s="3501" t="s">
        <v>361</v>
      </c>
      <c r="B1960" s="3501"/>
      <c r="C1960" s="12"/>
      <c r="D1960" s="14">
        <v>550</v>
      </c>
      <c r="E1960" s="14">
        <v>550</v>
      </c>
      <c r="F1960" s="7"/>
      <c r="G1960" s="14">
        <v>550</v>
      </c>
      <c r="H1960" s="3523">
        <v>550</v>
      </c>
      <c r="I1960" s="3523"/>
      <c r="J1960" s="7"/>
      <c r="K1960" s="7"/>
      <c r="L1960" s="7"/>
      <c r="M1960" s="7"/>
      <c r="N1960" s="7"/>
      <c r="O1960" s="7"/>
      <c r="P1960" s="7"/>
      <c r="Q1960" s="7"/>
      <c r="R1960" s="12"/>
      <c r="S1960" s="7"/>
      <c r="T1960" s="7"/>
      <c r="U1960" s="7"/>
      <c r="V1960" s="7"/>
      <c r="W1960" s="7"/>
      <c r="X1960" s="7"/>
      <c r="Y1960" s="7"/>
      <c r="Z1960" s="12"/>
      <c r="AA1960" s="12"/>
    </row>
    <row r="1961" spans="1:27" outlineLevel="7">
      <c r="A1961" s="3500" t="s">
        <v>362</v>
      </c>
      <c r="B1961" s="3500"/>
      <c r="C1961" s="12"/>
      <c r="D1961" s="14">
        <v>550</v>
      </c>
      <c r="E1961" s="14">
        <v>550</v>
      </c>
      <c r="F1961" s="7"/>
      <c r="G1961" s="14">
        <v>550</v>
      </c>
      <c r="H1961" s="3523">
        <v>550</v>
      </c>
      <c r="I1961" s="3523"/>
      <c r="J1961" s="7"/>
      <c r="K1961" s="7"/>
      <c r="L1961" s="7"/>
      <c r="M1961" s="7"/>
      <c r="N1961" s="7"/>
      <c r="O1961" s="7"/>
      <c r="P1961" s="7"/>
      <c r="Q1961" s="7"/>
      <c r="R1961" s="12"/>
      <c r="S1961" s="7"/>
      <c r="T1961" s="7"/>
      <c r="U1961" s="7"/>
      <c r="V1961" s="7"/>
      <c r="W1961" s="7"/>
      <c r="X1961" s="7"/>
      <c r="Y1961" s="7"/>
      <c r="Z1961" s="12"/>
      <c r="AA1961" s="12"/>
    </row>
    <row r="1962" spans="1:27" outlineLevel="7">
      <c r="A1962" s="3499" t="s">
        <v>2175</v>
      </c>
      <c r="B1962" s="3499"/>
      <c r="C1962" s="12"/>
      <c r="D1962" s="14">
        <v>550</v>
      </c>
      <c r="E1962" s="14">
        <v>550</v>
      </c>
      <c r="F1962" s="7"/>
      <c r="G1962" s="14">
        <v>550</v>
      </c>
      <c r="H1962" s="3523">
        <v>550</v>
      </c>
      <c r="I1962" s="3523"/>
      <c r="J1962" s="7"/>
      <c r="K1962" s="7"/>
      <c r="L1962" s="7"/>
      <c r="M1962" s="7"/>
      <c r="N1962" s="7"/>
      <c r="O1962" s="7"/>
      <c r="P1962" s="7"/>
      <c r="Q1962" s="7"/>
      <c r="R1962" s="12"/>
      <c r="S1962" s="7"/>
      <c r="T1962" s="7"/>
      <c r="U1962" s="7"/>
      <c r="V1962" s="7"/>
      <c r="W1962" s="7"/>
      <c r="X1962" s="7"/>
      <c r="Y1962" s="7"/>
      <c r="Z1962" s="12"/>
      <c r="AA1962" s="12"/>
    </row>
    <row r="1963" spans="1:27" outlineLevel="6">
      <c r="A1963" s="3501" t="s">
        <v>1018</v>
      </c>
      <c r="B1963" s="3501"/>
      <c r="C1963" s="12"/>
      <c r="D1963" s="12"/>
      <c r="E1963" s="12"/>
      <c r="F1963" s="7"/>
      <c r="G1963" s="7"/>
      <c r="H1963" s="8"/>
      <c r="I1963" s="9"/>
      <c r="J1963" s="7"/>
      <c r="K1963" s="7"/>
      <c r="L1963" s="7"/>
      <c r="M1963" s="7"/>
      <c r="N1963" s="7"/>
      <c r="O1963" s="7"/>
      <c r="P1963" s="7"/>
      <c r="Q1963" s="7"/>
      <c r="R1963" s="14">
        <v>550</v>
      </c>
      <c r="S1963" s="7"/>
      <c r="T1963" s="7"/>
      <c r="U1963" s="14">
        <v>550</v>
      </c>
      <c r="V1963" s="7"/>
      <c r="W1963" s="7"/>
      <c r="X1963" s="7"/>
      <c r="Y1963" s="7"/>
      <c r="Z1963" s="12"/>
      <c r="AA1963" s="14">
        <v>550</v>
      </c>
    </row>
    <row r="1964" spans="1:27" outlineLevel="7">
      <c r="A1964" s="3500" t="s">
        <v>1019</v>
      </c>
      <c r="B1964" s="3500"/>
      <c r="C1964" s="12"/>
      <c r="D1964" s="12"/>
      <c r="E1964" s="12"/>
      <c r="F1964" s="7"/>
      <c r="G1964" s="7"/>
      <c r="H1964" s="8"/>
      <c r="I1964" s="9"/>
      <c r="J1964" s="7"/>
      <c r="K1964" s="7"/>
      <c r="L1964" s="7"/>
      <c r="M1964" s="7"/>
      <c r="N1964" s="7"/>
      <c r="O1964" s="7"/>
      <c r="P1964" s="7"/>
      <c r="Q1964" s="7"/>
      <c r="R1964" s="14">
        <v>550</v>
      </c>
      <c r="S1964" s="7"/>
      <c r="T1964" s="7"/>
      <c r="U1964" s="14">
        <v>550</v>
      </c>
      <c r="V1964" s="7"/>
      <c r="W1964" s="7"/>
      <c r="X1964" s="7"/>
      <c r="Y1964" s="7"/>
      <c r="Z1964" s="12"/>
      <c r="AA1964" s="14">
        <v>550</v>
      </c>
    </row>
    <row r="1965" spans="1:27" outlineLevel="7">
      <c r="A1965" s="3499" t="s">
        <v>2176</v>
      </c>
      <c r="B1965" s="3499"/>
      <c r="C1965" s="12"/>
      <c r="D1965" s="12"/>
      <c r="E1965" s="12"/>
      <c r="F1965" s="7"/>
      <c r="G1965" s="7"/>
      <c r="H1965" s="8"/>
      <c r="I1965" s="9"/>
      <c r="J1965" s="7"/>
      <c r="K1965" s="7"/>
      <c r="L1965" s="7"/>
      <c r="M1965" s="7"/>
      <c r="N1965" s="7"/>
      <c r="O1965" s="7"/>
      <c r="P1965" s="7"/>
      <c r="Q1965" s="7"/>
      <c r="R1965" s="14">
        <v>550</v>
      </c>
      <c r="S1965" s="7"/>
      <c r="T1965" s="7"/>
      <c r="U1965" s="14">
        <v>550</v>
      </c>
      <c r="V1965" s="7"/>
      <c r="W1965" s="7"/>
      <c r="X1965" s="7"/>
      <c r="Y1965" s="7"/>
      <c r="Z1965" s="12"/>
      <c r="AA1965" s="14">
        <v>550</v>
      </c>
    </row>
    <row r="1966" spans="1:27" outlineLevel="6">
      <c r="A1966" s="3501" t="s">
        <v>363</v>
      </c>
      <c r="B1966" s="3501"/>
      <c r="C1966" s="12"/>
      <c r="D1966" s="14">
        <v>550</v>
      </c>
      <c r="E1966" s="14">
        <v>550</v>
      </c>
      <c r="F1966" s="7"/>
      <c r="G1966" s="14">
        <v>550</v>
      </c>
      <c r="H1966" s="3523">
        <v>550</v>
      </c>
      <c r="I1966" s="3523"/>
      <c r="J1966" s="7"/>
      <c r="K1966" s="7"/>
      <c r="L1966" s="7"/>
      <c r="M1966" s="7"/>
      <c r="N1966" s="7"/>
      <c r="O1966" s="7"/>
      <c r="P1966" s="7"/>
      <c r="Q1966" s="7"/>
      <c r="R1966" s="12"/>
      <c r="S1966" s="7"/>
      <c r="T1966" s="7"/>
      <c r="U1966" s="7"/>
      <c r="V1966" s="7"/>
      <c r="W1966" s="7"/>
      <c r="X1966" s="7"/>
      <c r="Y1966" s="7"/>
      <c r="Z1966" s="12"/>
      <c r="AA1966" s="12"/>
    </row>
    <row r="1967" spans="1:27" outlineLevel="7">
      <c r="A1967" s="3500" t="s">
        <v>364</v>
      </c>
      <c r="B1967" s="3500"/>
      <c r="C1967" s="12"/>
      <c r="D1967" s="14">
        <v>550</v>
      </c>
      <c r="E1967" s="14">
        <v>550</v>
      </c>
      <c r="F1967" s="7"/>
      <c r="G1967" s="14">
        <v>550</v>
      </c>
      <c r="H1967" s="3523">
        <v>550</v>
      </c>
      <c r="I1967" s="3523"/>
      <c r="J1967" s="7"/>
      <c r="K1967" s="7"/>
      <c r="L1967" s="7"/>
      <c r="M1967" s="7"/>
      <c r="N1967" s="7"/>
      <c r="O1967" s="7"/>
      <c r="P1967" s="7"/>
      <c r="Q1967" s="7"/>
      <c r="R1967" s="12"/>
      <c r="S1967" s="7"/>
      <c r="T1967" s="7"/>
      <c r="U1967" s="7"/>
      <c r="V1967" s="7"/>
      <c r="W1967" s="7"/>
      <c r="X1967" s="7"/>
      <c r="Y1967" s="7"/>
      <c r="Z1967" s="12"/>
      <c r="AA1967" s="12"/>
    </row>
    <row r="1968" spans="1:27" outlineLevel="7">
      <c r="A1968" s="3499" t="s">
        <v>2177</v>
      </c>
      <c r="B1968" s="3499"/>
      <c r="C1968" s="12"/>
      <c r="D1968" s="14">
        <v>550</v>
      </c>
      <c r="E1968" s="14">
        <v>550</v>
      </c>
      <c r="F1968" s="7"/>
      <c r="G1968" s="14">
        <v>550</v>
      </c>
      <c r="H1968" s="3523">
        <v>550</v>
      </c>
      <c r="I1968" s="3523"/>
      <c r="J1968" s="7"/>
      <c r="K1968" s="7"/>
      <c r="L1968" s="7"/>
      <c r="M1968" s="7"/>
      <c r="N1968" s="7"/>
      <c r="O1968" s="7"/>
      <c r="P1968" s="7"/>
      <c r="Q1968" s="7"/>
      <c r="R1968" s="12"/>
      <c r="S1968" s="7"/>
      <c r="T1968" s="7"/>
      <c r="U1968" s="7"/>
      <c r="V1968" s="7"/>
      <c r="W1968" s="7"/>
      <c r="X1968" s="7"/>
      <c r="Y1968" s="7"/>
      <c r="Z1968" s="12"/>
      <c r="AA1968" s="12"/>
    </row>
    <row r="1969" spans="1:27" outlineLevel="6">
      <c r="A1969" s="3501" t="s">
        <v>365</v>
      </c>
      <c r="B1969" s="3501"/>
      <c r="C1969" s="7"/>
      <c r="D1969" s="7"/>
      <c r="E1969" s="14">
        <v>550</v>
      </c>
      <c r="F1969" s="7"/>
      <c r="G1969" s="14">
        <v>550</v>
      </c>
      <c r="H1969" s="3523">
        <v>550</v>
      </c>
      <c r="I1969" s="3523"/>
      <c r="J1969" s="7"/>
      <c r="K1969" s="7"/>
      <c r="L1969" s="7"/>
      <c r="M1969" s="7"/>
      <c r="N1969" s="7"/>
      <c r="O1969" s="7"/>
      <c r="P1969" s="7"/>
      <c r="Q1969" s="7"/>
      <c r="R1969" s="14">
        <v>550</v>
      </c>
      <c r="S1969" s="7"/>
      <c r="T1969" s="7"/>
      <c r="U1969" s="14">
        <v>550</v>
      </c>
      <c r="V1969" s="7"/>
      <c r="W1969" s="7"/>
      <c r="X1969" s="7"/>
      <c r="Y1969" s="7"/>
      <c r="Z1969" s="7"/>
      <c r="AA1969" s="7"/>
    </row>
    <row r="1970" spans="1:27" outlineLevel="7">
      <c r="A1970" s="3500" t="s">
        <v>366</v>
      </c>
      <c r="B1970" s="3500"/>
      <c r="C1970" s="7"/>
      <c r="D1970" s="7"/>
      <c r="E1970" s="14">
        <v>550</v>
      </c>
      <c r="F1970" s="7"/>
      <c r="G1970" s="14">
        <v>550</v>
      </c>
      <c r="H1970" s="3523">
        <v>550</v>
      </c>
      <c r="I1970" s="3523"/>
      <c r="J1970" s="7"/>
      <c r="K1970" s="7"/>
      <c r="L1970" s="7"/>
      <c r="M1970" s="7"/>
      <c r="N1970" s="7"/>
      <c r="O1970" s="7"/>
      <c r="P1970" s="7"/>
      <c r="Q1970" s="7"/>
      <c r="R1970" s="14">
        <v>550</v>
      </c>
      <c r="S1970" s="7"/>
      <c r="T1970" s="7"/>
      <c r="U1970" s="14">
        <v>550</v>
      </c>
      <c r="V1970" s="7"/>
      <c r="W1970" s="7"/>
      <c r="X1970" s="7"/>
      <c r="Y1970" s="7"/>
      <c r="Z1970" s="7"/>
      <c r="AA1970" s="7"/>
    </row>
    <row r="1971" spans="1:27" outlineLevel="7">
      <c r="A1971" s="3499" t="s">
        <v>2178</v>
      </c>
      <c r="B1971" s="3499"/>
      <c r="C1971" s="7"/>
      <c r="D1971" s="7"/>
      <c r="E1971" s="14">
        <v>550</v>
      </c>
      <c r="F1971" s="7"/>
      <c r="G1971" s="14">
        <v>550</v>
      </c>
      <c r="H1971" s="3523">
        <v>550</v>
      </c>
      <c r="I1971" s="3523"/>
      <c r="J1971" s="7"/>
      <c r="K1971" s="7"/>
      <c r="L1971" s="7"/>
      <c r="M1971" s="7"/>
      <c r="N1971" s="7"/>
      <c r="O1971" s="7"/>
      <c r="P1971" s="7"/>
      <c r="Q1971" s="7"/>
      <c r="R1971" s="14">
        <v>550</v>
      </c>
      <c r="S1971" s="7"/>
      <c r="T1971" s="7"/>
      <c r="U1971" s="14">
        <v>550</v>
      </c>
      <c r="V1971" s="7"/>
      <c r="W1971" s="7"/>
      <c r="X1971" s="7"/>
      <c r="Y1971" s="7"/>
      <c r="Z1971" s="7"/>
      <c r="AA1971" s="7"/>
    </row>
    <row r="1972" spans="1:27" outlineLevel="6">
      <c r="A1972" s="3501" t="s">
        <v>1020</v>
      </c>
      <c r="B1972" s="3501"/>
      <c r="C1972" s="12"/>
      <c r="D1972" s="12"/>
      <c r="E1972" s="12"/>
      <c r="F1972" s="7"/>
      <c r="G1972" s="7"/>
      <c r="H1972" s="8"/>
      <c r="I1972" s="9"/>
      <c r="J1972" s="7"/>
      <c r="K1972" s="7"/>
      <c r="L1972" s="7"/>
      <c r="M1972" s="7"/>
      <c r="N1972" s="7"/>
      <c r="O1972" s="7"/>
      <c r="P1972" s="7"/>
      <c r="Q1972" s="7"/>
      <c r="R1972" s="14">
        <v>550</v>
      </c>
      <c r="S1972" s="7"/>
      <c r="T1972" s="7"/>
      <c r="U1972" s="14">
        <v>550</v>
      </c>
      <c r="V1972" s="7"/>
      <c r="W1972" s="7"/>
      <c r="X1972" s="7"/>
      <c r="Y1972" s="7"/>
      <c r="Z1972" s="12"/>
      <c r="AA1972" s="14">
        <v>550</v>
      </c>
    </row>
    <row r="1973" spans="1:27" outlineLevel="7">
      <c r="A1973" s="3500" t="s">
        <v>1021</v>
      </c>
      <c r="B1973" s="3500"/>
      <c r="C1973" s="12"/>
      <c r="D1973" s="12"/>
      <c r="E1973" s="12"/>
      <c r="F1973" s="7"/>
      <c r="G1973" s="7"/>
      <c r="H1973" s="8"/>
      <c r="I1973" s="9"/>
      <c r="J1973" s="7"/>
      <c r="K1973" s="7"/>
      <c r="L1973" s="7"/>
      <c r="M1973" s="7"/>
      <c r="N1973" s="7"/>
      <c r="O1973" s="7"/>
      <c r="P1973" s="7"/>
      <c r="Q1973" s="7"/>
      <c r="R1973" s="14">
        <v>550</v>
      </c>
      <c r="S1973" s="7"/>
      <c r="T1973" s="7"/>
      <c r="U1973" s="14">
        <v>550</v>
      </c>
      <c r="V1973" s="7"/>
      <c r="W1973" s="7"/>
      <c r="X1973" s="7"/>
      <c r="Y1973" s="7"/>
      <c r="Z1973" s="12"/>
      <c r="AA1973" s="14">
        <v>550</v>
      </c>
    </row>
    <row r="1974" spans="1:27" outlineLevel="7">
      <c r="A1974" s="3499" t="s">
        <v>2179</v>
      </c>
      <c r="B1974" s="3499"/>
      <c r="C1974" s="12"/>
      <c r="D1974" s="12"/>
      <c r="E1974" s="12"/>
      <c r="F1974" s="7"/>
      <c r="G1974" s="7"/>
      <c r="H1974" s="8"/>
      <c r="I1974" s="9"/>
      <c r="J1974" s="7"/>
      <c r="K1974" s="7"/>
      <c r="L1974" s="7"/>
      <c r="M1974" s="7"/>
      <c r="N1974" s="7"/>
      <c r="O1974" s="7"/>
      <c r="P1974" s="7"/>
      <c r="Q1974" s="7"/>
      <c r="R1974" s="14">
        <v>550</v>
      </c>
      <c r="S1974" s="7"/>
      <c r="T1974" s="7"/>
      <c r="U1974" s="14">
        <v>550</v>
      </c>
      <c r="V1974" s="7"/>
      <c r="W1974" s="7"/>
      <c r="X1974" s="7"/>
      <c r="Y1974" s="7"/>
      <c r="Z1974" s="12"/>
      <c r="AA1974" s="14">
        <v>550</v>
      </c>
    </row>
    <row r="1975" spans="1:27" outlineLevel="6">
      <c r="A1975" s="3501" t="s">
        <v>1022</v>
      </c>
      <c r="B1975" s="3501"/>
      <c r="C1975" s="12"/>
      <c r="D1975" s="12"/>
      <c r="E1975" s="12"/>
      <c r="F1975" s="7"/>
      <c r="G1975" s="7"/>
      <c r="H1975" s="8"/>
      <c r="I1975" s="9"/>
      <c r="J1975" s="7"/>
      <c r="K1975" s="7"/>
      <c r="L1975" s="7"/>
      <c r="M1975" s="7"/>
      <c r="N1975" s="7"/>
      <c r="O1975" s="7"/>
      <c r="P1975" s="7"/>
      <c r="Q1975" s="7"/>
      <c r="R1975" s="14">
        <v>550</v>
      </c>
      <c r="S1975" s="7"/>
      <c r="T1975" s="7"/>
      <c r="U1975" s="14">
        <v>550</v>
      </c>
      <c r="V1975" s="7"/>
      <c r="W1975" s="7"/>
      <c r="X1975" s="7"/>
      <c r="Y1975" s="7"/>
      <c r="Z1975" s="12"/>
      <c r="AA1975" s="14">
        <v>550</v>
      </c>
    </row>
    <row r="1976" spans="1:27" outlineLevel="7">
      <c r="A1976" s="3500" t="s">
        <v>1023</v>
      </c>
      <c r="B1976" s="3500"/>
      <c r="C1976" s="12"/>
      <c r="D1976" s="12"/>
      <c r="E1976" s="12"/>
      <c r="F1976" s="7"/>
      <c r="G1976" s="7"/>
      <c r="H1976" s="8"/>
      <c r="I1976" s="9"/>
      <c r="J1976" s="7"/>
      <c r="K1976" s="7"/>
      <c r="L1976" s="7"/>
      <c r="M1976" s="7"/>
      <c r="N1976" s="7"/>
      <c r="O1976" s="7"/>
      <c r="P1976" s="7"/>
      <c r="Q1976" s="7"/>
      <c r="R1976" s="14">
        <v>550</v>
      </c>
      <c r="S1976" s="7"/>
      <c r="T1976" s="7"/>
      <c r="U1976" s="14">
        <v>550</v>
      </c>
      <c r="V1976" s="7"/>
      <c r="W1976" s="7"/>
      <c r="X1976" s="7"/>
      <c r="Y1976" s="7"/>
      <c r="Z1976" s="12"/>
      <c r="AA1976" s="14">
        <v>550</v>
      </c>
    </row>
    <row r="1977" spans="1:27" outlineLevel="7">
      <c r="A1977" s="3499" t="s">
        <v>2180</v>
      </c>
      <c r="B1977" s="3499"/>
      <c r="C1977" s="12"/>
      <c r="D1977" s="12"/>
      <c r="E1977" s="12"/>
      <c r="F1977" s="7"/>
      <c r="G1977" s="7"/>
      <c r="H1977" s="8"/>
      <c r="I1977" s="9"/>
      <c r="J1977" s="7"/>
      <c r="K1977" s="7"/>
      <c r="L1977" s="7"/>
      <c r="M1977" s="7"/>
      <c r="N1977" s="7"/>
      <c r="O1977" s="7"/>
      <c r="P1977" s="7"/>
      <c r="Q1977" s="7"/>
      <c r="R1977" s="14">
        <v>550</v>
      </c>
      <c r="S1977" s="7"/>
      <c r="T1977" s="7"/>
      <c r="U1977" s="14">
        <v>550</v>
      </c>
      <c r="V1977" s="7"/>
      <c r="W1977" s="7"/>
      <c r="X1977" s="7"/>
      <c r="Y1977" s="7"/>
      <c r="Z1977" s="12"/>
      <c r="AA1977" s="14">
        <v>550</v>
      </c>
    </row>
    <row r="1978" spans="1:27" outlineLevel="6">
      <c r="A1978" s="3501" t="s">
        <v>1024</v>
      </c>
      <c r="B1978" s="3501"/>
      <c r="C1978" s="12"/>
      <c r="D1978" s="14">
        <v>550</v>
      </c>
      <c r="E1978" s="7"/>
      <c r="F1978" s="7"/>
      <c r="G1978" s="7"/>
      <c r="H1978" s="8"/>
      <c r="I1978" s="9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12"/>
      <c r="AA1978" s="14">
        <v>550</v>
      </c>
    </row>
    <row r="1979" spans="1:27" outlineLevel="7">
      <c r="A1979" s="3500" t="s">
        <v>1025</v>
      </c>
      <c r="B1979" s="3500"/>
      <c r="C1979" s="12"/>
      <c r="D1979" s="14">
        <v>550</v>
      </c>
      <c r="E1979" s="7"/>
      <c r="F1979" s="7"/>
      <c r="G1979" s="7"/>
      <c r="H1979" s="8"/>
      <c r="I1979" s="9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12"/>
      <c r="AA1979" s="14">
        <v>550</v>
      </c>
    </row>
    <row r="1980" spans="1:27" outlineLevel="7">
      <c r="A1980" s="3499" t="s">
        <v>2181</v>
      </c>
      <c r="B1980" s="3499"/>
      <c r="C1980" s="12"/>
      <c r="D1980" s="14">
        <v>550</v>
      </c>
      <c r="E1980" s="7"/>
      <c r="F1980" s="7"/>
      <c r="G1980" s="7"/>
      <c r="H1980" s="8"/>
      <c r="I1980" s="9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12"/>
      <c r="AA1980" s="14">
        <v>550</v>
      </c>
    </row>
    <row r="1981" spans="1:27" outlineLevel="6">
      <c r="A1981" s="3501" t="s">
        <v>1026</v>
      </c>
      <c r="B1981" s="3501"/>
      <c r="C1981" s="12"/>
      <c r="D1981" s="12"/>
      <c r="E1981" s="12"/>
      <c r="F1981" s="7"/>
      <c r="G1981" s="7"/>
      <c r="H1981" s="8"/>
      <c r="I1981" s="9"/>
      <c r="J1981" s="7"/>
      <c r="K1981" s="7"/>
      <c r="L1981" s="7"/>
      <c r="M1981" s="7"/>
      <c r="N1981" s="7"/>
      <c r="O1981" s="7"/>
      <c r="P1981" s="7"/>
      <c r="Q1981" s="7"/>
      <c r="R1981" s="14">
        <v>550</v>
      </c>
      <c r="S1981" s="7"/>
      <c r="T1981" s="7"/>
      <c r="U1981" s="14">
        <v>550</v>
      </c>
      <c r="V1981" s="7"/>
      <c r="W1981" s="7"/>
      <c r="X1981" s="7"/>
      <c r="Y1981" s="7"/>
      <c r="Z1981" s="12"/>
      <c r="AA1981" s="14">
        <v>550</v>
      </c>
    </row>
    <row r="1982" spans="1:27" outlineLevel="7">
      <c r="A1982" s="3500" t="s">
        <v>1027</v>
      </c>
      <c r="B1982" s="3500"/>
      <c r="C1982" s="12"/>
      <c r="D1982" s="12"/>
      <c r="E1982" s="12"/>
      <c r="F1982" s="7"/>
      <c r="G1982" s="7"/>
      <c r="H1982" s="8"/>
      <c r="I1982" s="9"/>
      <c r="J1982" s="7"/>
      <c r="K1982" s="7"/>
      <c r="L1982" s="7"/>
      <c r="M1982" s="7"/>
      <c r="N1982" s="7"/>
      <c r="O1982" s="7"/>
      <c r="P1982" s="7"/>
      <c r="Q1982" s="7"/>
      <c r="R1982" s="14">
        <v>550</v>
      </c>
      <c r="S1982" s="7"/>
      <c r="T1982" s="7"/>
      <c r="U1982" s="14">
        <v>550</v>
      </c>
      <c r="V1982" s="7"/>
      <c r="W1982" s="7"/>
      <c r="X1982" s="7"/>
      <c r="Y1982" s="7"/>
      <c r="Z1982" s="12"/>
      <c r="AA1982" s="14">
        <v>550</v>
      </c>
    </row>
    <row r="1983" spans="1:27" outlineLevel="7">
      <c r="A1983" s="3499" t="s">
        <v>2182</v>
      </c>
      <c r="B1983" s="3499"/>
      <c r="C1983" s="12"/>
      <c r="D1983" s="12"/>
      <c r="E1983" s="12"/>
      <c r="F1983" s="7"/>
      <c r="G1983" s="7"/>
      <c r="H1983" s="8"/>
      <c r="I1983" s="9"/>
      <c r="J1983" s="7"/>
      <c r="K1983" s="7"/>
      <c r="L1983" s="7"/>
      <c r="M1983" s="7"/>
      <c r="N1983" s="7"/>
      <c r="O1983" s="7"/>
      <c r="P1983" s="7"/>
      <c r="Q1983" s="7"/>
      <c r="R1983" s="14">
        <v>550</v>
      </c>
      <c r="S1983" s="7"/>
      <c r="T1983" s="7"/>
      <c r="U1983" s="14">
        <v>550</v>
      </c>
      <c r="V1983" s="7"/>
      <c r="W1983" s="7"/>
      <c r="X1983" s="7"/>
      <c r="Y1983" s="7"/>
      <c r="Z1983" s="12"/>
      <c r="AA1983" s="14">
        <v>550</v>
      </c>
    </row>
    <row r="1984" spans="1:27" outlineLevel="6">
      <c r="A1984" s="3501" t="s">
        <v>367</v>
      </c>
      <c r="B1984" s="3501"/>
      <c r="C1984" s="7"/>
      <c r="D1984" s="7"/>
      <c r="E1984" s="14">
        <v>550</v>
      </c>
      <c r="F1984" s="7"/>
      <c r="G1984" s="14">
        <v>550</v>
      </c>
      <c r="H1984" s="3523">
        <v>550</v>
      </c>
      <c r="I1984" s="3523"/>
      <c r="J1984" s="7"/>
      <c r="K1984" s="7"/>
      <c r="L1984" s="7"/>
      <c r="M1984" s="7"/>
      <c r="N1984" s="7"/>
      <c r="O1984" s="7"/>
      <c r="P1984" s="7"/>
      <c r="Q1984" s="7"/>
      <c r="R1984" s="14">
        <v>550</v>
      </c>
      <c r="S1984" s="7"/>
      <c r="T1984" s="7"/>
      <c r="U1984" s="14">
        <v>550</v>
      </c>
      <c r="V1984" s="7"/>
      <c r="W1984" s="7"/>
      <c r="X1984" s="7"/>
      <c r="Y1984" s="7"/>
      <c r="Z1984" s="7"/>
      <c r="AA1984" s="7"/>
    </row>
    <row r="1985" spans="1:27" outlineLevel="7">
      <c r="A1985" s="3500" t="s">
        <v>368</v>
      </c>
      <c r="B1985" s="3500"/>
      <c r="C1985" s="7"/>
      <c r="D1985" s="7"/>
      <c r="E1985" s="14">
        <v>550</v>
      </c>
      <c r="F1985" s="7"/>
      <c r="G1985" s="14">
        <v>550</v>
      </c>
      <c r="H1985" s="3523">
        <v>550</v>
      </c>
      <c r="I1985" s="3523"/>
      <c r="J1985" s="7"/>
      <c r="K1985" s="7"/>
      <c r="L1985" s="7"/>
      <c r="M1985" s="7"/>
      <c r="N1985" s="7"/>
      <c r="O1985" s="7"/>
      <c r="P1985" s="7"/>
      <c r="Q1985" s="7"/>
      <c r="R1985" s="14">
        <v>550</v>
      </c>
      <c r="S1985" s="7"/>
      <c r="T1985" s="7"/>
      <c r="U1985" s="14">
        <v>550</v>
      </c>
      <c r="V1985" s="7"/>
      <c r="W1985" s="7"/>
      <c r="X1985" s="7"/>
      <c r="Y1985" s="7"/>
      <c r="Z1985" s="7"/>
      <c r="AA1985" s="7"/>
    </row>
    <row r="1986" spans="1:27" outlineLevel="7">
      <c r="A1986" s="3499" t="s">
        <v>2183</v>
      </c>
      <c r="B1986" s="3499"/>
      <c r="C1986" s="7"/>
      <c r="D1986" s="7"/>
      <c r="E1986" s="14">
        <v>550</v>
      </c>
      <c r="F1986" s="7"/>
      <c r="G1986" s="14">
        <v>550</v>
      </c>
      <c r="H1986" s="3523">
        <v>550</v>
      </c>
      <c r="I1986" s="3523"/>
      <c r="J1986" s="7"/>
      <c r="K1986" s="7"/>
      <c r="L1986" s="7"/>
      <c r="M1986" s="7"/>
      <c r="N1986" s="7"/>
      <c r="O1986" s="7"/>
      <c r="P1986" s="7"/>
      <c r="Q1986" s="7"/>
      <c r="R1986" s="14">
        <v>550</v>
      </c>
      <c r="S1986" s="7"/>
      <c r="T1986" s="7"/>
      <c r="U1986" s="14">
        <v>550</v>
      </c>
      <c r="V1986" s="7"/>
      <c r="W1986" s="7"/>
      <c r="X1986" s="7"/>
      <c r="Y1986" s="7"/>
      <c r="Z1986" s="7"/>
      <c r="AA1986" s="7"/>
    </row>
    <row r="1987" spans="1:27" outlineLevel="6">
      <c r="A1987" s="3501" t="s">
        <v>369</v>
      </c>
      <c r="B1987" s="3501"/>
      <c r="C1987" s="12"/>
      <c r="D1987" s="14">
        <v>550</v>
      </c>
      <c r="E1987" s="14">
        <v>550</v>
      </c>
      <c r="F1987" s="7"/>
      <c r="G1987" s="14">
        <v>550</v>
      </c>
      <c r="H1987" s="3523">
        <v>550</v>
      </c>
      <c r="I1987" s="3523"/>
      <c r="J1987" s="7"/>
      <c r="K1987" s="7"/>
      <c r="L1987" s="7"/>
      <c r="M1987" s="7"/>
      <c r="N1987" s="7"/>
      <c r="O1987" s="7"/>
      <c r="P1987" s="7"/>
      <c r="Q1987" s="7"/>
      <c r="R1987" s="12"/>
      <c r="S1987" s="7"/>
      <c r="T1987" s="7"/>
      <c r="U1987" s="7"/>
      <c r="V1987" s="7"/>
      <c r="W1987" s="7"/>
      <c r="X1987" s="7"/>
      <c r="Y1987" s="7"/>
      <c r="Z1987" s="12"/>
      <c r="AA1987" s="12"/>
    </row>
    <row r="1988" spans="1:27" outlineLevel="7">
      <c r="A1988" s="3500" t="s">
        <v>370</v>
      </c>
      <c r="B1988" s="3500"/>
      <c r="C1988" s="12"/>
      <c r="D1988" s="14">
        <v>550</v>
      </c>
      <c r="E1988" s="14">
        <v>550</v>
      </c>
      <c r="F1988" s="7"/>
      <c r="G1988" s="14">
        <v>550</v>
      </c>
      <c r="H1988" s="3523">
        <v>550</v>
      </c>
      <c r="I1988" s="3523"/>
      <c r="J1988" s="7"/>
      <c r="K1988" s="7"/>
      <c r="L1988" s="7"/>
      <c r="M1988" s="7"/>
      <c r="N1988" s="7"/>
      <c r="O1988" s="7"/>
      <c r="P1988" s="7"/>
      <c r="Q1988" s="7"/>
      <c r="R1988" s="12"/>
      <c r="S1988" s="7"/>
      <c r="T1988" s="7"/>
      <c r="U1988" s="7"/>
      <c r="V1988" s="7"/>
      <c r="W1988" s="7"/>
      <c r="X1988" s="7"/>
      <c r="Y1988" s="7"/>
      <c r="Z1988" s="12"/>
      <c r="AA1988" s="12"/>
    </row>
    <row r="1989" spans="1:27" outlineLevel="7">
      <c r="A1989" s="3499" t="s">
        <v>2184</v>
      </c>
      <c r="B1989" s="3499"/>
      <c r="C1989" s="12"/>
      <c r="D1989" s="14">
        <v>550</v>
      </c>
      <c r="E1989" s="14">
        <v>550</v>
      </c>
      <c r="F1989" s="7"/>
      <c r="G1989" s="14">
        <v>550</v>
      </c>
      <c r="H1989" s="3523">
        <v>550</v>
      </c>
      <c r="I1989" s="3523"/>
      <c r="J1989" s="7"/>
      <c r="K1989" s="7"/>
      <c r="L1989" s="7"/>
      <c r="M1989" s="7"/>
      <c r="N1989" s="7"/>
      <c r="O1989" s="7"/>
      <c r="P1989" s="7"/>
      <c r="Q1989" s="7"/>
      <c r="R1989" s="12"/>
      <c r="S1989" s="7"/>
      <c r="T1989" s="7"/>
      <c r="U1989" s="7"/>
      <c r="V1989" s="7"/>
      <c r="W1989" s="7"/>
      <c r="X1989" s="7"/>
      <c r="Y1989" s="7"/>
      <c r="Z1989" s="12"/>
      <c r="AA1989" s="12"/>
    </row>
    <row r="1990" spans="1:27" outlineLevel="6">
      <c r="A1990" s="3501" t="s">
        <v>371</v>
      </c>
      <c r="B1990" s="3501"/>
      <c r="C1990" s="7"/>
      <c r="D1990" s="7"/>
      <c r="E1990" s="14">
        <v>550</v>
      </c>
      <c r="F1990" s="7"/>
      <c r="G1990" s="14">
        <v>550</v>
      </c>
      <c r="H1990" s="3523">
        <v>550</v>
      </c>
      <c r="I1990" s="3523"/>
      <c r="J1990" s="7"/>
      <c r="K1990" s="7"/>
      <c r="L1990" s="7"/>
      <c r="M1990" s="7"/>
      <c r="N1990" s="7"/>
      <c r="O1990" s="7"/>
      <c r="P1990" s="7"/>
      <c r="Q1990" s="7"/>
      <c r="R1990" s="14">
        <v>550</v>
      </c>
      <c r="S1990" s="7"/>
      <c r="T1990" s="7"/>
      <c r="U1990" s="14">
        <v>550</v>
      </c>
      <c r="V1990" s="7"/>
      <c r="W1990" s="7"/>
      <c r="X1990" s="7"/>
      <c r="Y1990" s="7"/>
      <c r="Z1990" s="7"/>
      <c r="AA1990" s="7"/>
    </row>
    <row r="1991" spans="1:27" outlineLevel="7">
      <c r="A1991" s="3500" t="s">
        <v>372</v>
      </c>
      <c r="B1991" s="3500"/>
      <c r="C1991" s="7"/>
      <c r="D1991" s="7"/>
      <c r="E1991" s="14">
        <v>550</v>
      </c>
      <c r="F1991" s="7"/>
      <c r="G1991" s="14">
        <v>550</v>
      </c>
      <c r="H1991" s="3523">
        <v>550</v>
      </c>
      <c r="I1991" s="3523"/>
      <c r="J1991" s="7"/>
      <c r="K1991" s="7"/>
      <c r="L1991" s="7"/>
      <c r="M1991" s="7"/>
      <c r="N1991" s="7"/>
      <c r="O1991" s="7"/>
      <c r="P1991" s="7"/>
      <c r="Q1991" s="7"/>
      <c r="R1991" s="14">
        <v>550</v>
      </c>
      <c r="S1991" s="7"/>
      <c r="T1991" s="7"/>
      <c r="U1991" s="14">
        <v>550</v>
      </c>
      <c r="V1991" s="7"/>
      <c r="W1991" s="7"/>
      <c r="X1991" s="7"/>
      <c r="Y1991" s="7"/>
      <c r="Z1991" s="7"/>
      <c r="AA1991" s="7"/>
    </row>
    <row r="1992" spans="1:27" outlineLevel="7">
      <c r="A1992" s="3499" t="s">
        <v>2185</v>
      </c>
      <c r="B1992" s="3499"/>
      <c r="C1992" s="7"/>
      <c r="D1992" s="7"/>
      <c r="E1992" s="14">
        <v>550</v>
      </c>
      <c r="F1992" s="7"/>
      <c r="G1992" s="14">
        <v>550</v>
      </c>
      <c r="H1992" s="3523">
        <v>550</v>
      </c>
      <c r="I1992" s="3523"/>
      <c r="J1992" s="7"/>
      <c r="K1992" s="7"/>
      <c r="L1992" s="7"/>
      <c r="M1992" s="7"/>
      <c r="N1992" s="7"/>
      <c r="O1992" s="7"/>
      <c r="P1992" s="7"/>
      <c r="Q1992" s="7"/>
      <c r="R1992" s="14">
        <v>550</v>
      </c>
      <c r="S1992" s="7"/>
      <c r="T1992" s="7"/>
      <c r="U1992" s="14">
        <v>550</v>
      </c>
      <c r="V1992" s="7"/>
      <c r="W1992" s="7"/>
      <c r="X1992" s="7"/>
      <c r="Y1992" s="7"/>
      <c r="Z1992" s="7"/>
      <c r="AA1992" s="7"/>
    </row>
    <row r="1993" spans="1:27" outlineLevel="6">
      <c r="A1993" s="3501" t="s">
        <v>375</v>
      </c>
      <c r="B1993" s="3501"/>
      <c r="C1993" s="7"/>
      <c r="D1993" s="7"/>
      <c r="E1993" s="14">
        <v>550</v>
      </c>
      <c r="F1993" s="7"/>
      <c r="G1993" s="14">
        <v>550</v>
      </c>
      <c r="H1993" s="3523">
        <v>550</v>
      </c>
      <c r="I1993" s="3523"/>
      <c r="J1993" s="7"/>
      <c r="K1993" s="7"/>
      <c r="L1993" s="7"/>
      <c r="M1993" s="7"/>
      <c r="N1993" s="7"/>
      <c r="O1993" s="7"/>
      <c r="P1993" s="7"/>
      <c r="Q1993" s="7"/>
      <c r="R1993" s="14">
        <v>550</v>
      </c>
      <c r="S1993" s="7"/>
      <c r="T1993" s="7"/>
      <c r="U1993" s="14">
        <v>550</v>
      </c>
      <c r="V1993" s="7"/>
      <c r="W1993" s="7"/>
      <c r="X1993" s="7"/>
      <c r="Y1993" s="7"/>
      <c r="Z1993" s="7"/>
      <c r="AA1993" s="7"/>
    </row>
    <row r="1994" spans="1:27" outlineLevel="7">
      <c r="A1994" s="3500" t="s">
        <v>376</v>
      </c>
      <c r="B1994" s="3500"/>
      <c r="C1994" s="7"/>
      <c r="D1994" s="7"/>
      <c r="E1994" s="14">
        <v>550</v>
      </c>
      <c r="F1994" s="7"/>
      <c r="G1994" s="14">
        <v>550</v>
      </c>
      <c r="H1994" s="3523">
        <v>550</v>
      </c>
      <c r="I1994" s="3523"/>
      <c r="J1994" s="7"/>
      <c r="K1994" s="7"/>
      <c r="L1994" s="7"/>
      <c r="M1994" s="7"/>
      <c r="N1994" s="7"/>
      <c r="O1994" s="7"/>
      <c r="P1994" s="7"/>
      <c r="Q1994" s="7"/>
      <c r="R1994" s="14">
        <v>550</v>
      </c>
      <c r="S1994" s="7"/>
      <c r="T1994" s="7"/>
      <c r="U1994" s="14">
        <v>550</v>
      </c>
      <c r="V1994" s="7"/>
      <c r="W1994" s="7"/>
      <c r="X1994" s="7"/>
      <c r="Y1994" s="7"/>
      <c r="Z1994" s="7"/>
      <c r="AA1994" s="7"/>
    </row>
    <row r="1995" spans="1:27" outlineLevel="7">
      <c r="A1995" s="3499" t="s">
        <v>2186</v>
      </c>
      <c r="B1995" s="3499"/>
      <c r="C1995" s="7"/>
      <c r="D1995" s="7"/>
      <c r="E1995" s="14">
        <v>550</v>
      </c>
      <c r="F1995" s="7"/>
      <c r="G1995" s="14">
        <v>550</v>
      </c>
      <c r="H1995" s="3523">
        <v>550</v>
      </c>
      <c r="I1995" s="3523"/>
      <c r="J1995" s="7"/>
      <c r="K1995" s="7"/>
      <c r="L1995" s="7"/>
      <c r="M1995" s="7"/>
      <c r="N1995" s="7"/>
      <c r="O1995" s="7"/>
      <c r="P1995" s="7"/>
      <c r="Q1995" s="7"/>
      <c r="R1995" s="14">
        <v>550</v>
      </c>
      <c r="S1995" s="7"/>
      <c r="T1995" s="7"/>
      <c r="U1995" s="14">
        <v>550</v>
      </c>
      <c r="V1995" s="7"/>
      <c r="W1995" s="7"/>
      <c r="X1995" s="7"/>
      <c r="Y1995" s="7"/>
      <c r="Z1995" s="7"/>
      <c r="AA1995" s="7"/>
    </row>
    <row r="1996" spans="1:27" outlineLevel="6">
      <c r="A1996" s="3501" t="s">
        <v>377</v>
      </c>
      <c r="B1996" s="3501"/>
      <c r="C1996" s="7"/>
      <c r="D1996" s="7"/>
      <c r="E1996" s="14">
        <v>550</v>
      </c>
      <c r="F1996" s="7"/>
      <c r="G1996" s="14">
        <v>550</v>
      </c>
      <c r="H1996" s="3523">
        <v>550</v>
      </c>
      <c r="I1996" s="3523"/>
      <c r="J1996" s="7"/>
      <c r="K1996" s="7"/>
      <c r="L1996" s="7"/>
      <c r="M1996" s="7"/>
      <c r="N1996" s="7"/>
      <c r="O1996" s="7"/>
      <c r="P1996" s="7"/>
      <c r="Q1996" s="7"/>
      <c r="R1996" s="14">
        <v>550</v>
      </c>
      <c r="S1996" s="7"/>
      <c r="T1996" s="7"/>
      <c r="U1996" s="14">
        <v>550</v>
      </c>
      <c r="V1996" s="7"/>
      <c r="W1996" s="7"/>
      <c r="X1996" s="7"/>
      <c r="Y1996" s="7"/>
      <c r="Z1996" s="7"/>
      <c r="AA1996" s="7"/>
    </row>
    <row r="1997" spans="1:27" outlineLevel="7">
      <c r="A1997" s="3500" t="s">
        <v>378</v>
      </c>
      <c r="B1997" s="3500"/>
      <c r="C1997" s="7"/>
      <c r="D1997" s="7"/>
      <c r="E1997" s="14">
        <v>550</v>
      </c>
      <c r="F1997" s="7"/>
      <c r="G1997" s="14">
        <v>550</v>
      </c>
      <c r="H1997" s="3523">
        <v>550</v>
      </c>
      <c r="I1997" s="3523"/>
      <c r="J1997" s="7"/>
      <c r="K1997" s="7"/>
      <c r="L1997" s="7"/>
      <c r="M1997" s="7"/>
      <c r="N1997" s="7"/>
      <c r="O1997" s="7"/>
      <c r="P1997" s="7"/>
      <c r="Q1997" s="7"/>
      <c r="R1997" s="14">
        <v>550</v>
      </c>
      <c r="S1997" s="7"/>
      <c r="T1997" s="7"/>
      <c r="U1997" s="14">
        <v>550</v>
      </c>
      <c r="V1997" s="7"/>
      <c r="W1997" s="7"/>
      <c r="X1997" s="7"/>
      <c r="Y1997" s="7"/>
      <c r="Z1997" s="7"/>
      <c r="AA1997" s="7"/>
    </row>
    <row r="1998" spans="1:27" outlineLevel="7">
      <c r="A1998" s="3499" t="s">
        <v>2187</v>
      </c>
      <c r="B1998" s="3499"/>
      <c r="C1998" s="7"/>
      <c r="D1998" s="7"/>
      <c r="E1998" s="14">
        <v>550</v>
      </c>
      <c r="F1998" s="7"/>
      <c r="G1998" s="14">
        <v>550</v>
      </c>
      <c r="H1998" s="3523">
        <v>550</v>
      </c>
      <c r="I1998" s="3523"/>
      <c r="J1998" s="7"/>
      <c r="K1998" s="7"/>
      <c r="L1998" s="7"/>
      <c r="M1998" s="7"/>
      <c r="N1998" s="7"/>
      <c r="O1998" s="7"/>
      <c r="P1998" s="7"/>
      <c r="Q1998" s="7"/>
      <c r="R1998" s="14">
        <v>550</v>
      </c>
      <c r="S1998" s="7"/>
      <c r="T1998" s="7"/>
      <c r="U1998" s="14">
        <v>550</v>
      </c>
      <c r="V1998" s="7"/>
      <c r="W1998" s="7"/>
      <c r="X1998" s="7"/>
      <c r="Y1998" s="7"/>
      <c r="Z1998" s="7"/>
      <c r="AA1998" s="7"/>
    </row>
    <row r="1999" spans="1:27" outlineLevel="6">
      <c r="A1999" s="3501" t="s">
        <v>379</v>
      </c>
      <c r="B1999" s="3501"/>
      <c r="C1999" s="12"/>
      <c r="D1999" s="14">
        <v>550</v>
      </c>
      <c r="E1999" s="14">
        <v>550</v>
      </c>
      <c r="F1999" s="7"/>
      <c r="G1999" s="14">
        <v>550</v>
      </c>
      <c r="H1999" s="3523">
        <v>550</v>
      </c>
      <c r="I1999" s="3523"/>
      <c r="J1999" s="7"/>
      <c r="K1999" s="7"/>
      <c r="L1999" s="7"/>
      <c r="M1999" s="7"/>
      <c r="N1999" s="7"/>
      <c r="O1999" s="7"/>
      <c r="P1999" s="7"/>
      <c r="Q1999" s="7"/>
      <c r="R1999" s="12"/>
      <c r="S1999" s="7"/>
      <c r="T1999" s="7"/>
      <c r="U1999" s="7"/>
      <c r="V1999" s="7"/>
      <c r="W1999" s="7"/>
      <c r="X1999" s="7"/>
      <c r="Y1999" s="7"/>
      <c r="Z1999" s="12"/>
      <c r="AA1999" s="12"/>
    </row>
    <row r="2000" spans="1:27" outlineLevel="7">
      <c r="A2000" s="3500" t="s">
        <v>380</v>
      </c>
      <c r="B2000" s="3500"/>
      <c r="C2000" s="12"/>
      <c r="D2000" s="14">
        <v>550</v>
      </c>
      <c r="E2000" s="14">
        <v>550</v>
      </c>
      <c r="F2000" s="7"/>
      <c r="G2000" s="14">
        <v>550</v>
      </c>
      <c r="H2000" s="3523">
        <v>550</v>
      </c>
      <c r="I2000" s="3523"/>
      <c r="J2000" s="7"/>
      <c r="K2000" s="7"/>
      <c r="L2000" s="7"/>
      <c r="M2000" s="7"/>
      <c r="N2000" s="7"/>
      <c r="O2000" s="7"/>
      <c r="P2000" s="7"/>
      <c r="Q2000" s="7"/>
      <c r="R2000" s="12"/>
      <c r="S2000" s="7"/>
      <c r="T2000" s="7"/>
      <c r="U2000" s="7"/>
      <c r="V2000" s="7"/>
      <c r="W2000" s="7"/>
      <c r="X2000" s="7"/>
      <c r="Y2000" s="7"/>
      <c r="Z2000" s="12"/>
      <c r="AA2000" s="12"/>
    </row>
    <row r="2001" spans="1:27" outlineLevel="7">
      <c r="A2001" s="3499" t="s">
        <v>2188</v>
      </c>
      <c r="B2001" s="3499"/>
      <c r="C2001" s="12"/>
      <c r="D2001" s="14">
        <v>550</v>
      </c>
      <c r="E2001" s="14">
        <v>550</v>
      </c>
      <c r="F2001" s="7"/>
      <c r="G2001" s="14">
        <v>550</v>
      </c>
      <c r="H2001" s="3523">
        <v>550</v>
      </c>
      <c r="I2001" s="3523"/>
      <c r="J2001" s="7"/>
      <c r="K2001" s="7"/>
      <c r="L2001" s="7"/>
      <c r="M2001" s="7"/>
      <c r="N2001" s="7"/>
      <c r="O2001" s="7"/>
      <c r="P2001" s="7"/>
      <c r="Q2001" s="7"/>
      <c r="R2001" s="12"/>
      <c r="S2001" s="7"/>
      <c r="T2001" s="7"/>
      <c r="U2001" s="7"/>
      <c r="V2001" s="7"/>
      <c r="W2001" s="7"/>
      <c r="X2001" s="7"/>
      <c r="Y2001" s="7"/>
      <c r="Z2001" s="12"/>
      <c r="AA2001" s="12"/>
    </row>
    <row r="2002" spans="1:27" outlineLevel="6">
      <c r="A2002" s="3501" t="s">
        <v>381</v>
      </c>
      <c r="B2002" s="3501"/>
      <c r="C2002" s="12"/>
      <c r="D2002" s="14">
        <v>550</v>
      </c>
      <c r="E2002" s="14">
        <v>550</v>
      </c>
      <c r="F2002" s="7"/>
      <c r="G2002" s="14">
        <v>550</v>
      </c>
      <c r="H2002" s="3523">
        <v>550</v>
      </c>
      <c r="I2002" s="3523"/>
      <c r="J2002" s="7"/>
      <c r="K2002" s="7"/>
      <c r="L2002" s="7"/>
      <c r="M2002" s="7"/>
      <c r="N2002" s="7"/>
      <c r="O2002" s="7"/>
      <c r="P2002" s="7"/>
      <c r="Q2002" s="7"/>
      <c r="R2002" s="12"/>
      <c r="S2002" s="7"/>
      <c r="T2002" s="7"/>
      <c r="U2002" s="7"/>
      <c r="V2002" s="7"/>
      <c r="W2002" s="7"/>
      <c r="X2002" s="7"/>
      <c r="Y2002" s="7"/>
      <c r="Z2002" s="12"/>
      <c r="AA2002" s="12"/>
    </row>
    <row r="2003" spans="1:27" outlineLevel="7">
      <c r="A2003" s="3500" t="s">
        <v>382</v>
      </c>
      <c r="B2003" s="3500"/>
      <c r="C2003" s="12"/>
      <c r="D2003" s="14">
        <v>550</v>
      </c>
      <c r="E2003" s="14">
        <v>550</v>
      </c>
      <c r="F2003" s="7"/>
      <c r="G2003" s="14">
        <v>550</v>
      </c>
      <c r="H2003" s="3523">
        <v>550</v>
      </c>
      <c r="I2003" s="3523"/>
      <c r="J2003" s="7"/>
      <c r="K2003" s="7"/>
      <c r="L2003" s="7"/>
      <c r="M2003" s="7"/>
      <c r="N2003" s="7"/>
      <c r="O2003" s="7"/>
      <c r="P2003" s="7"/>
      <c r="Q2003" s="7"/>
      <c r="R2003" s="12"/>
      <c r="S2003" s="7"/>
      <c r="T2003" s="7"/>
      <c r="U2003" s="7"/>
      <c r="V2003" s="7"/>
      <c r="W2003" s="7"/>
      <c r="X2003" s="7"/>
      <c r="Y2003" s="7"/>
      <c r="Z2003" s="12"/>
      <c r="AA2003" s="12"/>
    </row>
    <row r="2004" spans="1:27" outlineLevel="7">
      <c r="A2004" s="3499" t="s">
        <v>2189</v>
      </c>
      <c r="B2004" s="3499"/>
      <c r="C2004" s="12"/>
      <c r="D2004" s="14">
        <v>550</v>
      </c>
      <c r="E2004" s="14">
        <v>550</v>
      </c>
      <c r="F2004" s="7"/>
      <c r="G2004" s="14">
        <v>550</v>
      </c>
      <c r="H2004" s="3523">
        <v>550</v>
      </c>
      <c r="I2004" s="3523"/>
      <c r="J2004" s="7"/>
      <c r="K2004" s="7"/>
      <c r="L2004" s="7"/>
      <c r="M2004" s="7"/>
      <c r="N2004" s="7"/>
      <c r="O2004" s="7"/>
      <c r="P2004" s="7"/>
      <c r="Q2004" s="7"/>
      <c r="R2004" s="12"/>
      <c r="S2004" s="7"/>
      <c r="T2004" s="7"/>
      <c r="U2004" s="7"/>
      <c r="V2004" s="7"/>
      <c r="W2004" s="7"/>
      <c r="X2004" s="7"/>
      <c r="Y2004" s="7"/>
      <c r="Z2004" s="12"/>
      <c r="AA2004" s="12"/>
    </row>
    <row r="2005" spans="1:27" outlineLevel="6">
      <c r="A2005" s="3501" t="s">
        <v>1028</v>
      </c>
      <c r="B2005" s="3501"/>
      <c r="C2005" s="12"/>
      <c r="D2005" s="12"/>
      <c r="E2005" s="12"/>
      <c r="F2005" s="7"/>
      <c r="G2005" s="7"/>
      <c r="H2005" s="8"/>
      <c r="I2005" s="9"/>
      <c r="J2005" s="7"/>
      <c r="K2005" s="7"/>
      <c r="L2005" s="7"/>
      <c r="M2005" s="7"/>
      <c r="N2005" s="7"/>
      <c r="O2005" s="7"/>
      <c r="P2005" s="7"/>
      <c r="Q2005" s="7"/>
      <c r="R2005" s="14">
        <v>550</v>
      </c>
      <c r="S2005" s="7"/>
      <c r="T2005" s="7"/>
      <c r="U2005" s="14">
        <v>550</v>
      </c>
      <c r="V2005" s="7"/>
      <c r="W2005" s="7"/>
      <c r="X2005" s="7"/>
      <c r="Y2005" s="7"/>
      <c r="Z2005" s="12"/>
      <c r="AA2005" s="14">
        <v>550</v>
      </c>
    </row>
    <row r="2006" spans="1:27" outlineLevel="7">
      <c r="A2006" s="3500" t="s">
        <v>1029</v>
      </c>
      <c r="B2006" s="3500"/>
      <c r="C2006" s="12"/>
      <c r="D2006" s="12"/>
      <c r="E2006" s="12"/>
      <c r="F2006" s="7"/>
      <c r="G2006" s="7"/>
      <c r="H2006" s="8"/>
      <c r="I2006" s="9"/>
      <c r="J2006" s="7"/>
      <c r="K2006" s="7"/>
      <c r="L2006" s="7"/>
      <c r="M2006" s="7"/>
      <c r="N2006" s="7"/>
      <c r="O2006" s="7"/>
      <c r="P2006" s="7"/>
      <c r="Q2006" s="7"/>
      <c r="R2006" s="14">
        <v>550</v>
      </c>
      <c r="S2006" s="7"/>
      <c r="T2006" s="7"/>
      <c r="U2006" s="14">
        <v>550</v>
      </c>
      <c r="V2006" s="7"/>
      <c r="W2006" s="7"/>
      <c r="X2006" s="7"/>
      <c r="Y2006" s="7"/>
      <c r="Z2006" s="12"/>
      <c r="AA2006" s="14">
        <v>550</v>
      </c>
    </row>
    <row r="2007" spans="1:27" outlineLevel="7">
      <c r="A2007" s="3499" t="s">
        <v>2190</v>
      </c>
      <c r="B2007" s="3499"/>
      <c r="C2007" s="12"/>
      <c r="D2007" s="12"/>
      <c r="E2007" s="12"/>
      <c r="F2007" s="7"/>
      <c r="G2007" s="7"/>
      <c r="H2007" s="8"/>
      <c r="I2007" s="9"/>
      <c r="J2007" s="7"/>
      <c r="K2007" s="7"/>
      <c r="L2007" s="7"/>
      <c r="M2007" s="7"/>
      <c r="N2007" s="7"/>
      <c r="O2007" s="7"/>
      <c r="P2007" s="7"/>
      <c r="Q2007" s="7"/>
      <c r="R2007" s="14">
        <v>550</v>
      </c>
      <c r="S2007" s="7"/>
      <c r="T2007" s="7"/>
      <c r="U2007" s="14">
        <v>550</v>
      </c>
      <c r="V2007" s="7"/>
      <c r="W2007" s="7"/>
      <c r="X2007" s="7"/>
      <c r="Y2007" s="7"/>
      <c r="Z2007" s="12"/>
      <c r="AA2007" s="14">
        <v>550</v>
      </c>
    </row>
    <row r="2008" spans="1:27" outlineLevel="6">
      <c r="A2008" s="3501" t="s">
        <v>1030</v>
      </c>
      <c r="B2008" s="3501"/>
      <c r="C2008" s="12"/>
      <c r="D2008" s="12"/>
      <c r="E2008" s="12"/>
      <c r="F2008" s="7"/>
      <c r="G2008" s="7"/>
      <c r="H2008" s="8"/>
      <c r="I2008" s="9"/>
      <c r="J2008" s="7"/>
      <c r="K2008" s="7"/>
      <c r="L2008" s="7"/>
      <c r="M2008" s="7"/>
      <c r="N2008" s="7"/>
      <c r="O2008" s="7"/>
      <c r="P2008" s="7"/>
      <c r="Q2008" s="7"/>
      <c r="R2008" s="14">
        <v>550</v>
      </c>
      <c r="S2008" s="7"/>
      <c r="T2008" s="7"/>
      <c r="U2008" s="14">
        <v>550</v>
      </c>
      <c r="V2008" s="7"/>
      <c r="W2008" s="7"/>
      <c r="X2008" s="7"/>
      <c r="Y2008" s="7"/>
      <c r="Z2008" s="12"/>
      <c r="AA2008" s="14">
        <v>550</v>
      </c>
    </row>
    <row r="2009" spans="1:27" outlineLevel="7">
      <c r="A2009" s="3500" t="s">
        <v>1031</v>
      </c>
      <c r="B2009" s="3500"/>
      <c r="C2009" s="12"/>
      <c r="D2009" s="12"/>
      <c r="E2009" s="12"/>
      <c r="F2009" s="7"/>
      <c r="G2009" s="7"/>
      <c r="H2009" s="8"/>
      <c r="I2009" s="9"/>
      <c r="J2009" s="7"/>
      <c r="K2009" s="7"/>
      <c r="L2009" s="7"/>
      <c r="M2009" s="7"/>
      <c r="N2009" s="7"/>
      <c r="O2009" s="7"/>
      <c r="P2009" s="7"/>
      <c r="Q2009" s="7"/>
      <c r="R2009" s="14">
        <v>550</v>
      </c>
      <c r="S2009" s="7"/>
      <c r="T2009" s="7"/>
      <c r="U2009" s="14">
        <v>550</v>
      </c>
      <c r="V2009" s="7"/>
      <c r="W2009" s="7"/>
      <c r="X2009" s="7"/>
      <c r="Y2009" s="7"/>
      <c r="Z2009" s="12"/>
      <c r="AA2009" s="14">
        <v>550</v>
      </c>
    </row>
    <row r="2010" spans="1:27" outlineLevel="7">
      <c r="A2010" s="3499" t="s">
        <v>2191</v>
      </c>
      <c r="B2010" s="3499"/>
      <c r="C2010" s="12"/>
      <c r="D2010" s="12"/>
      <c r="E2010" s="12"/>
      <c r="F2010" s="7"/>
      <c r="G2010" s="7"/>
      <c r="H2010" s="8"/>
      <c r="I2010" s="9"/>
      <c r="J2010" s="7"/>
      <c r="K2010" s="7"/>
      <c r="L2010" s="7"/>
      <c r="M2010" s="7"/>
      <c r="N2010" s="7"/>
      <c r="O2010" s="7"/>
      <c r="P2010" s="7"/>
      <c r="Q2010" s="7"/>
      <c r="R2010" s="14">
        <v>550</v>
      </c>
      <c r="S2010" s="7"/>
      <c r="T2010" s="7"/>
      <c r="U2010" s="14">
        <v>550</v>
      </c>
      <c r="V2010" s="7"/>
      <c r="W2010" s="7"/>
      <c r="X2010" s="7"/>
      <c r="Y2010" s="7"/>
      <c r="Z2010" s="12"/>
      <c r="AA2010" s="14">
        <v>550</v>
      </c>
    </row>
    <row r="2011" spans="1:27" outlineLevel="6">
      <c r="A2011" s="3501" t="s">
        <v>383</v>
      </c>
      <c r="B2011" s="3501"/>
      <c r="C2011" s="7"/>
      <c r="D2011" s="7"/>
      <c r="E2011" s="14">
        <v>550</v>
      </c>
      <c r="F2011" s="7"/>
      <c r="G2011" s="14">
        <v>550</v>
      </c>
      <c r="H2011" s="3523">
        <v>550</v>
      </c>
      <c r="I2011" s="3523"/>
      <c r="J2011" s="7"/>
      <c r="K2011" s="7"/>
      <c r="L2011" s="7"/>
      <c r="M2011" s="7"/>
      <c r="N2011" s="7"/>
      <c r="O2011" s="7"/>
      <c r="P2011" s="7"/>
      <c r="Q2011" s="7"/>
      <c r="R2011" s="14">
        <v>550</v>
      </c>
      <c r="S2011" s="7"/>
      <c r="T2011" s="7"/>
      <c r="U2011" s="14">
        <v>550</v>
      </c>
      <c r="V2011" s="7"/>
      <c r="W2011" s="7"/>
      <c r="X2011" s="7"/>
      <c r="Y2011" s="7"/>
      <c r="Z2011" s="7"/>
      <c r="AA2011" s="7"/>
    </row>
    <row r="2012" spans="1:27" outlineLevel="7">
      <c r="A2012" s="3500" t="s">
        <v>384</v>
      </c>
      <c r="B2012" s="3500"/>
      <c r="C2012" s="7"/>
      <c r="D2012" s="7"/>
      <c r="E2012" s="14">
        <v>550</v>
      </c>
      <c r="F2012" s="7"/>
      <c r="G2012" s="14">
        <v>550</v>
      </c>
      <c r="H2012" s="3523">
        <v>550</v>
      </c>
      <c r="I2012" s="3523"/>
      <c r="J2012" s="7"/>
      <c r="K2012" s="7"/>
      <c r="L2012" s="7"/>
      <c r="M2012" s="7"/>
      <c r="N2012" s="7"/>
      <c r="O2012" s="7"/>
      <c r="P2012" s="7"/>
      <c r="Q2012" s="7"/>
      <c r="R2012" s="14">
        <v>550</v>
      </c>
      <c r="S2012" s="7"/>
      <c r="T2012" s="7"/>
      <c r="U2012" s="14">
        <v>550</v>
      </c>
      <c r="V2012" s="7"/>
      <c r="W2012" s="7"/>
      <c r="X2012" s="7"/>
      <c r="Y2012" s="7"/>
      <c r="Z2012" s="7"/>
      <c r="AA2012" s="7"/>
    </row>
    <row r="2013" spans="1:27" outlineLevel="7">
      <c r="A2013" s="3499" t="s">
        <v>2192</v>
      </c>
      <c r="B2013" s="3499"/>
      <c r="C2013" s="7"/>
      <c r="D2013" s="7"/>
      <c r="E2013" s="14">
        <v>550</v>
      </c>
      <c r="F2013" s="7"/>
      <c r="G2013" s="14">
        <v>550</v>
      </c>
      <c r="H2013" s="3523">
        <v>550</v>
      </c>
      <c r="I2013" s="3523"/>
      <c r="J2013" s="7"/>
      <c r="K2013" s="7"/>
      <c r="L2013" s="7"/>
      <c r="M2013" s="7"/>
      <c r="N2013" s="7"/>
      <c r="O2013" s="7"/>
      <c r="P2013" s="7"/>
      <c r="Q2013" s="7"/>
      <c r="R2013" s="14">
        <v>550</v>
      </c>
      <c r="S2013" s="7"/>
      <c r="T2013" s="7"/>
      <c r="U2013" s="14">
        <v>550</v>
      </c>
      <c r="V2013" s="7"/>
      <c r="W2013" s="7"/>
      <c r="X2013" s="7"/>
      <c r="Y2013" s="7"/>
      <c r="Z2013" s="7"/>
      <c r="AA2013" s="7"/>
    </row>
    <row r="2014" spans="1:27" outlineLevel="6">
      <c r="A2014" s="3501" t="s">
        <v>1032</v>
      </c>
      <c r="B2014" s="3501"/>
      <c r="C2014" s="12"/>
      <c r="D2014" s="12"/>
      <c r="E2014" s="12"/>
      <c r="F2014" s="7"/>
      <c r="G2014" s="7"/>
      <c r="H2014" s="8"/>
      <c r="I2014" s="9"/>
      <c r="J2014" s="7"/>
      <c r="K2014" s="7"/>
      <c r="L2014" s="7"/>
      <c r="M2014" s="7"/>
      <c r="N2014" s="7"/>
      <c r="O2014" s="7"/>
      <c r="P2014" s="7"/>
      <c r="Q2014" s="7"/>
      <c r="R2014" s="14">
        <v>550</v>
      </c>
      <c r="S2014" s="7"/>
      <c r="T2014" s="7"/>
      <c r="U2014" s="14">
        <v>550</v>
      </c>
      <c r="V2014" s="7"/>
      <c r="W2014" s="7"/>
      <c r="X2014" s="7"/>
      <c r="Y2014" s="7"/>
      <c r="Z2014" s="12"/>
      <c r="AA2014" s="14">
        <v>550</v>
      </c>
    </row>
    <row r="2015" spans="1:27" outlineLevel="7">
      <c r="A2015" s="3500" t="s">
        <v>1033</v>
      </c>
      <c r="B2015" s="3500"/>
      <c r="C2015" s="12"/>
      <c r="D2015" s="12"/>
      <c r="E2015" s="12"/>
      <c r="F2015" s="7"/>
      <c r="G2015" s="7"/>
      <c r="H2015" s="8"/>
      <c r="I2015" s="9"/>
      <c r="J2015" s="7"/>
      <c r="K2015" s="7"/>
      <c r="L2015" s="7"/>
      <c r="M2015" s="7"/>
      <c r="N2015" s="7"/>
      <c r="O2015" s="7"/>
      <c r="P2015" s="7"/>
      <c r="Q2015" s="7"/>
      <c r="R2015" s="14">
        <v>550</v>
      </c>
      <c r="S2015" s="7"/>
      <c r="T2015" s="7"/>
      <c r="U2015" s="14">
        <v>550</v>
      </c>
      <c r="V2015" s="7"/>
      <c r="W2015" s="7"/>
      <c r="X2015" s="7"/>
      <c r="Y2015" s="7"/>
      <c r="Z2015" s="12"/>
      <c r="AA2015" s="14">
        <v>550</v>
      </c>
    </row>
    <row r="2016" spans="1:27" outlineLevel="7">
      <c r="A2016" s="3499" t="s">
        <v>2193</v>
      </c>
      <c r="B2016" s="3499"/>
      <c r="C2016" s="12"/>
      <c r="D2016" s="12"/>
      <c r="E2016" s="12"/>
      <c r="F2016" s="7"/>
      <c r="G2016" s="7"/>
      <c r="H2016" s="8"/>
      <c r="I2016" s="9"/>
      <c r="J2016" s="7"/>
      <c r="K2016" s="7"/>
      <c r="L2016" s="7"/>
      <c r="M2016" s="7"/>
      <c r="N2016" s="7"/>
      <c r="O2016" s="7"/>
      <c r="P2016" s="7"/>
      <c r="Q2016" s="7"/>
      <c r="R2016" s="14">
        <v>550</v>
      </c>
      <c r="S2016" s="7"/>
      <c r="T2016" s="7"/>
      <c r="U2016" s="14">
        <v>550</v>
      </c>
      <c r="V2016" s="7"/>
      <c r="W2016" s="7"/>
      <c r="X2016" s="7"/>
      <c r="Y2016" s="7"/>
      <c r="Z2016" s="12"/>
      <c r="AA2016" s="14">
        <v>550</v>
      </c>
    </row>
    <row r="2017" spans="1:27" outlineLevel="6">
      <c r="A2017" s="3501" t="s">
        <v>385</v>
      </c>
      <c r="B2017" s="3501"/>
      <c r="C2017" s="12"/>
      <c r="D2017" s="14">
        <v>550</v>
      </c>
      <c r="E2017" s="14">
        <v>550</v>
      </c>
      <c r="F2017" s="7"/>
      <c r="G2017" s="14">
        <v>550</v>
      </c>
      <c r="H2017" s="3523">
        <v>550</v>
      </c>
      <c r="I2017" s="3523"/>
      <c r="J2017" s="7"/>
      <c r="K2017" s="7"/>
      <c r="L2017" s="7"/>
      <c r="M2017" s="7"/>
      <c r="N2017" s="7"/>
      <c r="O2017" s="7"/>
      <c r="P2017" s="7"/>
      <c r="Q2017" s="7"/>
      <c r="R2017" s="12"/>
      <c r="S2017" s="7"/>
      <c r="T2017" s="7"/>
      <c r="U2017" s="7"/>
      <c r="V2017" s="7"/>
      <c r="W2017" s="7"/>
      <c r="X2017" s="7"/>
      <c r="Y2017" s="7"/>
      <c r="Z2017" s="12"/>
      <c r="AA2017" s="12"/>
    </row>
    <row r="2018" spans="1:27" outlineLevel="7">
      <c r="A2018" s="3500" t="s">
        <v>386</v>
      </c>
      <c r="B2018" s="3500"/>
      <c r="C2018" s="12"/>
      <c r="D2018" s="14">
        <v>550</v>
      </c>
      <c r="E2018" s="14">
        <v>550</v>
      </c>
      <c r="F2018" s="7"/>
      <c r="G2018" s="14">
        <v>550</v>
      </c>
      <c r="H2018" s="3523">
        <v>550</v>
      </c>
      <c r="I2018" s="3523"/>
      <c r="J2018" s="7"/>
      <c r="K2018" s="7"/>
      <c r="L2018" s="7"/>
      <c r="M2018" s="7"/>
      <c r="N2018" s="7"/>
      <c r="O2018" s="7"/>
      <c r="P2018" s="7"/>
      <c r="Q2018" s="7"/>
      <c r="R2018" s="12"/>
      <c r="S2018" s="7"/>
      <c r="T2018" s="7"/>
      <c r="U2018" s="7"/>
      <c r="V2018" s="7"/>
      <c r="W2018" s="7"/>
      <c r="X2018" s="7"/>
      <c r="Y2018" s="7"/>
      <c r="Z2018" s="12"/>
      <c r="AA2018" s="12"/>
    </row>
    <row r="2019" spans="1:27" outlineLevel="7">
      <c r="A2019" s="3499" t="s">
        <v>2194</v>
      </c>
      <c r="B2019" s="3499"/>
      <c r="C2019" s="12"/>
      <c r="D2019" s="14">
        <v>550</v>
      </c>
      <c r="E2019" s="14">
        <v>550</v>
      </c>
      <c r="F2019" s="7"/>
      <c r="G2019" s="14">
        <v>550</v>
      </c>
      <c r="H2019" s="3523">
        <v>550</v>
      </c>
      <c r="I2019" s="3523"/>
      <c r="J2019" s="7"/>
      <c r="K2019" s="7"/>
      <c r="L2019" s="7"/>
      <c r="M2019" s="7"/>
      <c r="N2019" s="7"/>
      <c r="O2019" s="7"/>
      <c r="P2019" s="7"/>
      <c r="Q2019" s="7"/>
      <c r="R2019" s="12"/>
      <c r="S2019" s="7"/>
      <c r="T2019" s="7"/>
      <c r="U2019" s="7"/>
      <c r="V2019" s="7"/>
      <c r="W2019" s="7"/>
      <c r="X2019" s="7"/>
      <c r="Y2019" s="7"/>
      <c r="Z2019" s="12"/>
      <c r="AA2019" s="12"/>
    </row>
    <row r="2020" spans="1:27" outlineLevel="6">
      <c r="A2020" s="3501" t="s">
        <v>387</v>
      </c>
      <c r="B2020" s="3501"/>
      <c r="C2020" s="7"/>
      <c r="D2020" s="7"/>
      <c r="E2020" s="14">
        <v>550</v>
      </c>
      <c r="F2020" s="7"/>
      <c r="G2020" s="14">
        <v>550</v>
      </c>
      <c r="H2020" s="3523">
        <v>550</v>
      </c>
      <c r="I2020" s="3523"/>
      <c r="J2020" s="7"/>
      <c r="K2020" s="7"/>
      <c r="L2020" s="7"/>
      <c r="M2020" s="7"/>
      <c r="N2020" s="7"/>
      <c r="O2020" s="7"/>
      <c r="P2020" s="7"/>
      <c r="Q2020" s="7"/>
      <c r="R2020" s="14">
        <v>550</v>
      </c>
      <c r="S2020" s="7"/>
      <c r="T2020" s="7"/>
      <c r="U2020" s="14">
        <v>550</v>
      </c>
      <c r="V2020" s="7"/>
      <c r="W2020" s="7"/>
      <c r="X2020" s="7"/>
      <c r="Y2020" s="7"/>
      <c r="Z2020" s="7"/>
      <c r="AA2020" s="7"/>
    </row>
    <row r="2021" spans="1:27" outlineLevel="7">
      <c r="A2021" s="3500" t="s">
        <v>388</v>
      </c>
      <c r="B2021" s="3500"/>
      <c r="C2021" s="7"/>
      <c r="D2021" s="7"/>
      <c r="E2021" s="14">
        <v>550</v>
      </c>
      <c r="F2021" s="7"/>
      <c r="G2021" s="14">
        <v>550</v>
      </c>
      <c r="H2021" s="3523">
        <v>550</v>
      </c>
      <c r="I2021" s="3523"/>
      <c r="J2021" s="7"/>
      <c r="K2021" s="7"/>
      <c r="L2021" s="7"/>
      <c r="M2021" s="7"/>
      <c r="N2021" s="7"/>
      <c r="O2021" s="7"/>
      <c r="P2021" s="7"/>
      <c r="Q2021" s="7"/>
      <c r="R2021" s="14">
        <v>550</v>
      </c>
      <c r="S2021" s="7"/>
      <c r="T2021" s="7"/>
      <c r="U2021" s="14">
        <v>550</v>
      </c>
      <c r="V2021" s="7"/>
      <c r="W2021" s="7"/>
      <c r="X2021" s="7"/>
      <c r="Y2021" s="7"/>
      <c r="Z2021" s="7"/>
      <c r="AA2021" s="7"/>
    </row>
    <row r="2022" spans="1:27" outlineLevel="7">
      <c r="A2022" s="3499" t="s">
        <v>2195</v>
      </c>
      <c r="B2022" s="3499"/>
      <c r="C2022" s="7"/>
      <c r="D2022" s="7"/>
      <c r="E2022" s="14">
        <v>550</v>
      </c>
      <c r="F2022" s="7"/>
      <c r="G2022" s="14">
        <v>550</v>
      </c>
      <c r="H2022" s="3523">
        <v>550</v>
      </c>
      <c r="I2022" s="3523"/>
      <c r="J2022" s="7"/>
      <c r="K2022" s="7"/>
      <c r="L2022" s="7"/>
      <c r="M2022" s="7"/>
      <c r="N2022" s="7"/>
      <c r="O2022" s="7"/>
      <c r="P2022" s="7"/>
      <c r="Q2022" s="7"/>
      <c r="R2022" s="14">
        <v>550</v>
      </c>
      <c r="S2022" s="7"/>
      <c r="T2022" s="7"/>
      <c r="U2022" s="14">
        <v>550</v>
      </c>
      <c r="V2022" s="7"/>
      <c r="W2022" s="7"/>
      <c r="X2022" s="7"/>
      <c r="Y2022" s="7"/>
      <c r="Z2022" s="7"/>
      <c r="AA2022" s="7"/>
    </row>
    <row r="2023" spans="1:27" outlineLevel="6">
      <c r="A2023" s="3501" t="s">
        <v>389</v>
      </c>
      <c r="B2023" s="3501"/>
      <c r="C2023" s="7"/>
      <c r="D2023" s="7"/>
      <c r="E2023" s="14">
        <v>550</v>
      </c>
      <c r="F2023" s="7"/>
      <c r="G2023" s="14">
        <v>550</v>
      </c>
      <c r="H2023" s="3523">
        <v>550</v>
      </c>
      <c r="I2023" s="3523"/>
      <c r="J2023" s="7"/>
      <c r="K2023" s="7"/>
      <c r="L2023" s="7"/>
      <c r="M2023" s="7"/>
      <c r="N2023" s="7"/>
      <c r="O2023" s="7"/>
      <c r="P2023" s="7"/>
      <c r="Q2023" s="7"/>
      <c r="R2023" s="14">
        <v>550</v>
      </c>
      <c r="S2023" s="7"/>
      <c r="T2023" s="7"/>
      <c r="U2023" s="14">
        <v>550</v>
      </c>
      <c r="V2023" s="7"/>
      <c r="W2023" s="7"/>
      <c r="X2023" s="7"/>
      <c r="Y2023" s="7"/>
      <c r="Z2023" s="7"/>
      <c r="AA2023" s="7"/>
    </row>
    <row r="2024" spans="1:27" outlineLevel="7">
      <c r="A2024" s="3500" t="s">
        <v>390</v>
      </c>
      <c r="B2024" s="3500"/>
      <c r="C2024" s="7"/>
      <c r="D2024" s="7"/>
      <c r="E2024" s="14">
        <v>550</v>
      </c>
      <c r="F2024" s="7"/>
      <c r="G2024" s="14">
        <v>550</v>
      </c>
      <c r="H2024" s="3523">
        <v>550</v>
      </c>
      <c r="I2024" s="3523"/>
      <c r="J2024" s="7"/>
      <c r="K2024" s="7"/>
      <c r="L2024" s="7"/>
      <c r="M2024" s="7"/>
      <c r="N2024" s="7"/>
      <c r="O2024" s="7"/>
      <c r="P2024" s="7"/>
      <c r="Q2024" s="7"/>
      <c r="R2024" s="14">
        <v>550</v>
      </c>
      <c r="S2024" s="7"/>
      <c r="T2024" s="7"/>
      <c r="U2024" s="14">
        <v>550</v>
      </c>
      <c r="V2024" s="7"/>
      <c r="W2024" s="7"/>
      <c r="X2024" s="7"/>
      <c r="Y2024" s="7"/>
      <c r="Z2024" s="7"/>
      <c r="AA2024" s="7"/>
    </row>
    <row r="2025" spans="1:27" outlineLevel="7">
      <c r="A2025" s="3499" t="s">
        <v>2196</v>
      </c>
      <c r="B2025" s="3499"/>
      <c r="C2025" s="7"/>
      <c r="D2025" s="7"/>
      <c r="E2025" s="14">
        <v>550</v>
      </c>
      <c r="F2025" s="7"/>
      <c r="G2025" s="14">
        <v>550</v>
      </c>
      <c r="H2025" s="3523">
        <v>550</v>
      </c>
      <c r="I2025" s="3523"/>
      <c r="J2025" s="7"/>
      <c r="K2025" s="7"/>
      <c r="L2025" s="7"/>
      <c r="M2025" s="7"/>
      <c r="N2025" s="7"/>
      <c r="O2025" s="7"/>
      <c r="P2025" s="7"/>
      <c r="Q2025" s="7"/>
      <c r="R2025" s="14">
        <v>550</v>
      </c>
      <c r="S2025" s="7"/>
      <c r="T2025" s="7"/>
      <c r="U2025" s="14">
        <v>550</v>
      </c>
      <c r="V2025" s="7"/>
      <c r="W2025" s="7"/>
      <c r="X2025" s="7"/>
      <c r="Y2025" s="7"/>
      <c r="Z2025" s="7"/>
      <c r="AA2025" s="7"/>
    </row>
    <row r="2026" spans="1:27" outlineLevel="6">
      <c r="A2026" s="3501" t="s">
        <v>1034</v>
      </c>
      <c r="B2026" s="3501"/>
      <c r="C2026" s="12"/>
      <c r="D2026" s="14">
        <v>550</v>
      </c>
      <c r="E2026" s="7"/>
      <c r="F2026" s="7"/>
      <c r="G2026" s="7"/>
      <c r="H2026" s="8"/>
      <c r="I2026" s="9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12"/>
      <c r="AA2026" s="14">
        <v>550</v>
      </c>
    </row>
    <row r="2027" spans="1:27" outlineLevel="7">
      <c r="A2027" s="3500" t="s">
        <v>1035</v>
      </c>
      <c r="B2027" s="3500"/>
      <c r="C2027" s="12"/>
      <c r="D2027" s="14">
        <v>550</v>
      </c>
      <c r="E2027" s="7"/>
      <c r="F2027" s="7"/>
      <c r="G2027" s="7"/>
      <c r="H2027" s="8"/>
      <c r="I2027" s="9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12"/>
      <c r="AA2027" s="14">
        <v>550</v>
      </c>
    </row>
    <row r="2028" spans="1:27" outlineLevel="7">
      <c r="A2028" s="3499" t="s">
        <v>2197</v>
      </c>
      <c r="B2028" s="3499"/>
      <c r="C2028" s="12"/>
      <c r="D2028" s="14">
        <v>550</v>
      </c>
      <c r="E2028" s="7"/>
      <c r="F2028" s="7"/>
      <c r="G2028" s="7"/>
      <c r="H2028" s="8"/>
      <c r="I2028" s="9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12"/>
      <c r="AA2028" s="14">
        <v>550</v>
      </c>
    </row>
    <row r="2029" spans="1:27" outlineLevel="6">
      <c r="A2029" s="3501" t="s">
        <v>391</v>
      </c>
      <c r="B2029" s="3501"/>
      <c r="C2029" s="7"/>
      <c r="D2029" s="7"/>
      <c r="E2029" s="14">
        <v>550</v>
      </c>
      <c r="F2029" s="7"/>
      <c r="G2029" s="14">
        <v>550</v>
      </c>
      <c r="H2029" s="3523">
        <v>550</v>
      </c>
      <c r="I2029" s="3523"/>
      <c r="J2029" s="7"/>
      <c r="K2029" s="7"/>
      <c r="L2029" s="7"/>
      <c r="M2029" s="7"/>
      <c r="N2029" s="7"/>
      <c r="O2029" s="7"/>
      <c r="P2029" s="7"/>
      <c r="Q2029" s="7"/>
      <c r="R2029" s="14">
        <v>550</v>
      </c>
      <c r="S2029" s="7"/>
      <c r="T2029" s="7"/>
      <c r="U2029" s="14">
        <v>550</v>
      </c>
      <c r="V2029" s="7"/>
      <c r="W2029" s="7"/>
      <c r="X2029" s="7"/>
      <c r="Y2029" s="7"/>
      <c r="Z2029" s="7"/>
      <c r="AA2029" s="7"/>
    </row>
    <row r="2030" spans="1:27" outlineLevel="7">
      <c r="A2030" s="3500" t="s">
        <v>392</v>
      </c>
      <c r="B2030" s="3500"/>
      <c r="C2030" s="7"/>
      <c r="D2030" s="7"/>
      <c r="E2030" s="14">
        <v>550</v>
      </c>
      <c r="F2030" s="7"/>
      <c r="G2030" s="14">
        <v>550</v>
      </c>
      <c r="H2030" s="3523">
        <v>550</v>
      </c>
      <c r="I2030" s="3523"/>
      <c r="J2030" s="7"/>
      <c r="K2030" s="7"/>
      <c r="L2030" s="7"/>
      <c r="M2030" s="7"/>
      <c r="N2030" s="7"/>
      <c r="O2030" s="7"/>
      <c r="P2030" s="7"/>
      <c r="Q2030" s="7"/>
      <c r="R2030" s="14">
        <v>550</v>
      </c>
      <c r="S2030" s="7"/>
      <c r="T2030" s="7"/>
      <c r="U2030" s="14">
        <v>550</v>
      </c>
      <c r="V2030" s="7"/>
      <c r="W2030" s="7"/>
      <c r="X2030" s="7"/>
      <c r="Y2030" s="7"/>
      <c r="Z2030" s="7"/>
      <c r="AA2030" s="7"/>
    </row>
    <row r="2031" spans="1:27" outlineLevel="7">
      <c r="A2031" s="3499" t="s">
        <v>2198</v>
      </c>
      <c r="B2031" s="3499"/>
      <c r="C2031" s="7"/>
      <c r="D2031" s="7"/>
      <c r="E2031" s="14">
        <v>550</v>
      </c>
      <c r="F2031" s="7"/>
      <c r="G2031" s="14">
        <v>550</v>
      </c>
      <c r="H2031" s="3523">
        <v>550</v>
      </c>
      <c r="I2031" s="3523"/>
      <c r="J2031" s="7"/>
      <c r="K2031" s="7"/>
      <c r="L2031" s="7"/>
      <c r="M2031" s="7"/>
      <c r="N2031" s="7"/>
      <c r="O2031" s="7"/>
      <c r="P2031" s="7"/>
      <c r="Q2031" s="7"/>
      <c r="R2031" s="14">
        <v>550</v>
      </c>
      <c r="S2031" s="7"/>
      <c r="T2031" s="7"/>
      <c r="U2031" s="14">
        <v>550</v>
      </c>
      <c r="V2031" s="7"/>
      <c r="W2031" s="7"/>
      <c r="X2031" s="7"/>
      <c r="Y2031" s="7"/>
      <c r="Z2031" s="7"/>
      <c r="AA2031" s="7"/>
    </row>
    <row r="2032" spans="1:27" outlineLevel="6">
      <c r="A2032" s="3501" t="s">
        <v>1036</v>
      </c>
      <c r="B2032" s="3501"/>
      <c r="C2032" s="12"/>
      <c r="D2032" s="12"/>
      <c r="E2032" s="12"/>
      <c r="F2032" s="7"/>
      <c r="G2032" s="7"/>
      <c r="H2032" s="8"/>
      <c r="I2032" s="9"/>
      <c r="J2032" s="7"/>
      <c r="K2032" s="7"/>
      <c r="L2032" s="7"/>
      <c r="M2032" s="7"/>
      <c r="N2032" s="7"/>
      <c r="O2032" s="7"/>
      <c r="P2032" s="7"/>
      <c r="Q2032" s="7"/>
      <c r="R2032" s="14">
        <v>550</v>
      </c>
      <c r="S2032" s="7"/>
      <c r="T2032" s="7"/>
      <c r="U2032" s="14">
        <v>550</v>
      </c>
      <c r="V2032" s="7"/>
      <c r="W2032" s="7"/>
      <c r="X2032" s="7"/>
      <c r="Y2032" s="7"/>
      <c r="Z2032" s="12"/>
      <c r="AA2032" s="14">
        <v>550</v>
      </c>
    </row>
    <row r="2033" spans="1:27" outlineLevel="7">
      <c r="A2033" s="3500" t="s">
        <v>1037</v>
      </c>
      <c r="B2033" s="3500"/>
      <c r="C2033" s="12"/>
      <c r="D2033" s="12"/>
      <c r="E2033" s="12"/>
      <c r="F2033" s="7"/>
      <c r="G2033" s="7"/>
      <c r="H2033" s="8"/>
      <c r="I2033" s="9"/>
      <c r="J2033" s="7"/>
      <c r="K2033" s="7"/>
      <c r="L2033" s="7"/>
      <c r="M2033" s="7"/>
      <c r="N2033" s="7"/>
      <c r="O2033" s="7"/>
      <c r="P2033" s="7"/>
      <c r="Q2033" s="7"/>
      <c r="R2033" s="14">
        <v>550</v>
      </c>
      <c r="S2033" s="7"/>
      <c r="T2033" s="7"/>
      <c r="U2033" s="14">
        <v>550</v>
      </c>
      <c r="V2033" s="7"/>
      <c r="W2033" s="7"/>
      <c r="X2033" s="7"/>
      <c r="Y2033" s="7"/>
      <c r="Z2033" s="12"/>
      <c r="AA2033" s="14">
        <v>550</v>
      </c>
    </row>
    <row r="2034" spans="1:27" outlineLevel="7">
      <c r="A2034" s="3499" t="s">
        <v>2199</v>
      </c>
      <c r="B2034" s="3499"/>
      <c r="C2034" s="12"/>
      <c r="D2034" s="12"/>
      <c r="E2034" s="12"/>
      <c r="F2034" s="7"/>
      <c r="G2034" s="7"/>
      <c r="H2034" s="8"/>
      <c r="I2034" s="9"/>
      <c r="J2034" s="7"/>
      <c r="K2034" s="7"/>
      <c r="L2034" s="7"/>
      <c r="M2034" s="7"/>
      <c r="N2034" s="7"/>
      <c r="O2034" s="7"/>
      <c r="P2034" s="7"/>
      <c r="Q2034" s="7"/>
      <c r="R2034" s="14">
        <v>550</v>
      </c>
      <c r="S2034" s="7"/>
      <c r="T2034" s="7"/>
      <c r="U2034" s="14">
        <v>550</v>
      </c>
      <c r="V2034" s="7"/>
      <c r="W2034" s="7"/>
      <c r="X2034" s="7"/>
      <c r="Y2034" s="7"/>
      <c r="Z2034" s="12"/>
      <c r="AA2034" s="14">
        <v>550</v>
      </c>
    </row>
    <row r="2035" spans="1:27" outlineLevel="6">
      <c r="A2035" s="3501" t="s">
        <v>393</v>
      </c>
      <c r="B2035" s="3501"/>
      <c r="C2035" s="7"/>
      <c r="D2035" s="7"/>
      <c r="E2035" s="14">
        <v>550</v>
      </c>
      <c r="F2035" s="7"/>
      <c r="G2035" s="14">
        <v>550</v>
      </c>
      <c r="H2035" s="3523">
        <v>550</v>
      </c>
      <c r="I2035" s="3523"/>
      <c r="J2035" s="7"/>
      <c r="K2035" s="7"/>
      <c r="L2035" s="7"/>
      <c r="M2035" s="7"/>
      <c r="N2035" s="7"/>
      <c r="O2035" s="7"/>
      <c r="P2035" s="7"/>
      <c r="Q2035" s="7"/>
      <c r="R2035" s="14">
        <v>550</v>
      </c>
      <c r="S2035" s="7"/>
      <c r="T2035" s="7"/>
      <c r="U2035" s="14">
        <v>550</v>
      </c>
      <c r="V2035" s="7"/>
      <c r="W2035" s="7"/>
      <c r="X2035" s="7"/>
      <c r="Y2035" s="7"/>
      <c r="Z2035" s="7"/>
      <c r="AA2035" s="7"/>
    </row>
    <row r="2036" spans="1:27" outlineLevel="7">
      <c r="A2036" s="3500" t="s">
        <v>394</v>
      </c>
      <c r="B2036" s="3500"/>
      <c r="C2036" s="7"/>
      <c r="D2036" s="7"/>
      <c r="E2036" s="14">
        <v>550</v>
      </c>
      <c r="F2036" s="7"/>
      <c r="G2036" s="14">
        <v>550</v>
      </c>
      <c r="H2036" s="3523">
        <v>550</v>
      </c>
      <c r="I2036" s="3523"/>
      <c r="J2036" s="7"/>
      <c r="K2036" s="7"/>
      <c r="L2036" s="7"/>
      <c r="M2036" s="7"/>
      <c r="N2036" s="7"/>
      <c r="O2036" s="7"/>
      <c r="P2036" s="7"/>
      <c r="Q2036" s="7"/>
      <c r="R2036" s="14">
        <v>550</v>
      </c>
      <c r="S2036" s="7"/>
      <c r="T2036" s="7"/>
      <c r="U2036" s="14">
        <v>550</v>
      </c>
      <c r="V2036" s="7"/>
      <c r="W2036" s="7"/>
      <c r="X2036" s="7"/>
      <c r="Y2036" s="7"/>
      <c r="Z2036" s="7"/>
      <c r="AA2036" s="7"/>
    </row>
    <row r="2037" spans="1:27" outlineLevel="7">
      <c r="A2037" s="3499" t="s">
        <v>2200</v>
      </c>
      <c r="B2037" s="3499"/>
      <c r="C2037" s="7"/>
      <c r="D2037" s="7"/>
      <c r="E2037" s="14">
        <v>550</v>
      </c>
      <c r="F2037" s="7"/>
      <c r="G2037" s="14">
        <v>550</v>
      </c>
      <c r="H2037" s="3523">
        <v>550</v>
      </c>
      <c r="I2037" s="3523"/>
      <c r="J2037" s="7"/>
      <c r="K2037" s="7"/>
      <c r="L2037" s="7"/>
      <c r="M2037" s="7"/>
      <c r="N2037" s="7"/>
      <c r="O2037" s="7"/>
      <c r="P2037" s="7"/>
      <c r="Q2037" s="7"/>
      <c r="R2037" s="14">
        <v>550</v>
      </c>
      <c r="S2037" s="7"/>
      <c r="T2037" s="7"/>
      <c r="U2037" s="14">
        <v>550</v>
      </c>
      <c r="V2037" s="7"/>
      <c r="W2037" s="7"/>
      <c r="X2037" s="7"/>
      <c r="Y2037" s="7"/>
      <c r="Z2037" s="7"/>
      <c r="AA2037" s="7"/>
    </row>
    <row r="2038" spans="1:27" outlineLevel="6">
      <c r="A2038" s="3501" t="s">
        <v>395</v>
      </c>
      <c r="B2038" s="3501"/>
      <c r="C2038" s="7"/>
      <c r="D2038" s="7"/>
      <c r="E2038" s="14">
        <v>550</v>
      </c>
      <c r="F2038" s="7"/>
      <c r="G2038" s="14">
        <v>550</v>
      </c>
      <c r="H2038" s="3523">
        <v>550</v>
      </c>
      <c r="I2038" s="3523"/>
      <c r="J2038" s="7"/>
      <c r="K2038" s="7"/>
      <c r="L2038" s="7"/>
      <c r="M2038" s="7"/>
      <c r="N2038" s="7"/>
      <c r="O2038" s="7"/>
      <c r="P2038" s="7"/>
      <c r="Q2038" s="7"/>
      <c r="R2038" s="14">
        <v>550</v>
      </c>
      <c r="S2038" s="7"/>
      <c r="T2038" s="7"/>
      <c r="U2038" s="14">
        <v>550</v>
      </c>
      <c r="V2038" s="7"/>
      <c r="W2038" s="7"/>
      <c r="X2038" s="7"/>
      <c r="Y2038" s="7"/>
      <c r="Z2038" s="7"/>
      <c r="AA2038" s="7"/>
    </row>
    <row r="2039" spans="1:27" outlineLevel="7">
      <c r="A2039" s="3500" t="s">
        <v>396</v>
      </c>
      <c r="B2039" s="3500"/>
      <c r="C2039" s="7"/>
      <c r="D2039" s="7"/>
      <c r="E2039" s="14">
        <v>550</v>
      </c>
      <c r="F2039" s="7"/>
      <c r="G2039" s="14">
        <v>550</v>
      </c>
      <c r="H2039" s="3523">
        <v>550</v>
      </c>
      <c r="I2039" s="3523"/>
      <c r="J2039" s="7"/>
      <c r="K2039" s="7"/>
      <c r="L2039" s="7"/>
      <c r="M2039" s="7"/>
      <c r="N2039" s="7"/>
      <c r="O2039" s="7"/>
      <c r="P2039" s="7"/>
      <c r="Q2039" s="7"/>
      <c r="R2039" s="14">
        <v>550</v>
      </c>
      <c r="S2039" s="7"/>
      <c r="T2039" s="7"/>
      <c r="U2039" s="14">
        <v>550</v>
      </c>
      <c r="V2039" s="7"/>
      <c r="W2039" s="7"/>
      <c r="X2039" s="7"/>
      <c r="Y2039" s="7"/>
      <c r="Z2039" s="7"/>
      <c r="AA2039" s="7"/>
    </row>
    <row r="2040" spans="1:27" outlineLevel="7">
      <c r="A2040" s="3499" t="s">
        <v>2201</v>
      </c>
      <c r="B2040" s="3499"/>
      <c r="C2040" s="7"/>
      <c r="D2040" s="7"/>
      <c r="E2040" s="14">
        <v>550</v>
      </c>
      <c r="F2040" s="7"/>
      <c r="G2040" s="14">
        <v>550</v>
      </c>
      <c r="H2040" s="3523">
        <v>550</v>
      </c>
      <c r="I2040" s="3523"/>
      <c r="J2040" s="7"/>
      <c r="K2040" s="7"/>
      <c r="L2040" s="7"/>
      <c r="M2040" s="7"/>
      <c r="N2040" s="7"/>
      <c r="O2040" s="7"/>
      <c r="P2040" s="7"/>
      <c r="Q2040" s="7"/>
      <c r="R2040" s="14">
        <v>550</v>
      </c>
      <c r="S2040" s="7"/>
      <c r="T2040" s="7"/>
      <c r="U2040" s="14">
        <v>550</v>
      </c>
      <c r="V2040" s="7"/>
      <c r="W2040" s="7"/>
      <c r="X2040" s="7"/>
      <c r="Y2040" s="7"/>
      <c r="Z2040" s="7"/>
      <c r="AA2040" s="7"/>
    </row>
    <row r="2041" spans="1:27" outlineLevel="6">
      <c r="A2041" s="3501" t="s">
        <v>1038</v>
      </c>
      <c r="B2041" s="3501"/>
      <c r="C2041" s="12"/>
      <c r="D2041" s="12"/>
      <c r="E2041" s="12"/>
      <c r="F2041" s="7"/>
      <c r="G2041" s="7"/>
      <c r="H2041" s="8"/>
      <c r="I2041" s="9"/>
      <c r="J2041" s="7"/>
      <c r="K2041" s="7"/>
      <c r="L2041" s="7"/>
      <c r="M2041" s="7"/>
      <c r="N2041" s="7"/>
      <c r="O2041" s="7"/>
      <c r="P2041" s="7"/>
      <c r="Q2041" s="7"/>
      <c r="R2041" s="14">
        <v>550</v>
      </c>
      <c r="S2041" s="7"/>
      <c r="T2041" s="7"/>
      <c r="U2041" s="14">
        <v>550</v>
      </c>
      <c r="V2041" s="7"/>
      <c r="W2041" s="7"/>
      <c r="X2041" s="7"/>
      <c r="Y2041" s="7"/>
      <c r="Z2041" s="12"/>
      <c r="AA2041" s="14">
        <v>550</v>
      </c>
    </row>
    <row r="2042" spans="1:27" outlineLevel="7">
      <c r="A2042" s="3500" t="s">
        <v>1039</v>
      </c>
      <c r="B2042" s="3500"/>
      <c r="C2042" s="12"/>
      <c r="D2042" s="12"/>
      <c r="E2042" s="12"/>
      <c r="F2042" s="7"/>
      <c r="G2042" s="7"/>
      <c r="H2042" s="8"/>
      <c r="I2042" s="9"/>
      <c r="J2042" s="7"/>
      <c r="K2042" s="7"/>
      <c r="L2042" s="7"/>
      <c r="M2042" s="7"/>
      <c r="N2042" s="7"/>
      <c r="O2042" s="7"/>
      <c r="P2042" s="7"/>
      <c r="Q2042" s="7"/>
      <c r="R2042" s="14">
        <v>550</v>
      </c>
      <c r="S2042" s="7"/>
      <c r="T2042" s="7"/>
      <c r="U2042" s="14">
        <v>550</v>
      </c>
      <c r="V2042" s="7"/>
      <c r="W2042" s="7"/>
      <c r="X2042" s="7"/>
      <c r="Y2042" s="7"/>
      <c r="Z2042" s="12"/>
      <c r="AA2042" s="14">
        <v>550</v>
      </c>
    </row>
    <row r="2043" spans="1:27" outlineLevel="7">
      <c r="A2043" s="3499" t="s">
        <v>2202</v>
      </c>
      <c r="B2043" s="3499"/>
      <c r="C2043" s="12"/>
      <c r="D2043" s="12"/>
      <c r="E2043" s="12"/>
      <c r="F2043" s="7"/>
      <c r="G2043" s="7"/>
      <c r="H2043" s="8"/>
      <c r="I2043" s="9"/>
      <c r="J2043" s="7"/>
      <c r="K2043" s="7"/>
      <c r="L2043" s="7"/>
      <c r="M2043" s="7"/>
      <c r="N2043" s="7"/>
      <c r="O2043" s="7"/>
      <c r="P2043" s="7"/>
      <c r="Q2043" s="7"/>
      <c r="R2043" s="14">
        <v>550</v>
      </c>
      <c r="S2043" s="7"/>
      <c r="T2043" s="7"/>
      <c r="U2043" s="14">
        <v>550</v>
      </c>
      <c r="V2043" s="7"/>
      <c r="W2043" s="7"/>
      <c r="X2043" s="7"/>
      <c r="Y2043" s="7"/>
      <c r="Z2043" s="12"/>
      <c r="AA2043" s="14">
        <v>550</v>
      </c>
    </row>
    <row r="2044" spans="1:27" outlineLevel="6">
      <c r="A2044" s="3501" t="s">
        <v>397</v>
      </c>
      <c r="B2044" s="3501"/>
      <c r="C2044" s="7"/>
      <c r="D2044" s="7"/>
      <c r="E2044" s="14">
        <v>550</v>
      </c>
      <c r="F2044" s="7"/>
      <c r="G2044" s="14">
        <v>550</v>
      </c>
      <c r="H2044" s="3523">
        <v>550</v>
      </c>
      <c r="I2044" s="3523"/>
      <c r="J2044" s="7"/>
      <c r="K2044" s="7"/>
      <c r="L2044" s="7"/>
      <c r="M2044" s="7"/>
      <c r="N2044" s="7"/>
      <c r="O2044" s="7"/>
      <c r="P2044" s="7"/>
      <c r="Q2044" s="7"/>
      <c r="R2044" s="14">
        <v>550</v>
      </c>
      <c r="S2044" s="7"/>
      <c r="T2044" s="7"/>
      <c r="U2044" s="14">
        <v>550</v>
      </c>
      <c r="V2044" s="7"/>
      <c r="W2044" s="7"/>
      <c r="X2044" s="7"/>
      <c r="Y2044" s="7"/>
      <c r="Z2044" s="7"/>
      <c r="AA2044" s="7"/>
    </row>
    <row r="2045" spans="1:27" outlineLevel="7">
      <c r="A2045" s="3500" t="s">
        <v>398</v>
      </c>
      <c r="B2045" s="3500"/>
      <c r="C2045" s="7"/>
      <c r="D2045" s="7"/>
      <c r="E2045" s="14">
        <v>550</v>
      </c>
      <c r="F2045" s="7"/>
      <c r="G2045" s="14">
        <v>550</v>
      </c>
      <c r="H2045" s="3523">
        <v>550</v>
      </c>
      <c r="I2045" s="3523"/>
      <c r="J2045" s="7"/>
      <c r="K2045" s="7"/>
      <c r="L2045" s="7"/>
      <c r="M2045" s="7"/>
      <c r="N2045" s="7"/>
      <c r="O2045" s="7"/>
      <c r="P2045" s="7"/>
      <c r="Q2045" s="7"/>
      <c r="R2045" s="14">
        <v>550</v>
      </c>
      <c r="S2045" s="7"/>
      <c r="T2045" s="7"/>
      <c r="U2045" s="14">
        <v>550</v>
      </c>
      <c r="V2045" s="7"/>
      <c r="W2045" s="7"/>
      <c r="X2045" s="7"/>
      <c r="Y2045" s="7"/>
      <c r="Z2045" s="7"/>
      <c r="AA2045" s="7"/>
    </row>
    <row r="2046" spans="1:27" outlineLevel="7">
      <c r="A2046" s="3499" t="s">
        <v>2203</v>
      </c>
      <c r="B2046" s="3499"/>
      <c r="C2046" s="7"/>
      <c r="D2046" s="7"/>
      <c r="E2046" s="14">
        <v>550</v>
      </c>
      <c r="F2046" s="7"/>
      <c r="G2046" s="14">
        <v>550</v>
      </c>
      <c r="H2046" s="3523">
        <v>550</v>
      </c>
      <c r="I2046" s="3523"/>
      <c r="J2046" s="7"/>
      <c r="K2046" s="7"/>
      <c r="L2046" s="7"/>
      <c r="M2046" s="7"/>
      <c r="N2046" s="7"/>
      <c r="O2046" s="7"/>
      <c r="P2046" s="7"/>
      <c r="Q2046" s="7"/>
      <c r="R2046" s="14">
        <v>550</v>
      </c>
      <c r="S2046" s="7"/>
      <c r="T2046" s="7"/>
      <c r="U2046" s="14">
        <v>550</v>
      </c>
      <c r="V2046" s="7"/>
      <c r="W2046" s="7"/>
      <c r="X2046" s="7"/>
      <c r="Y2046" s="7"/>
      <c r="Z2046" s="7"/>
      <c r="AA2046" s="7"/>
    </row>
    <row r="2047" spans="1:27" outlineLevel="6">
      <c r="A2047" s="3501" t="s">
        <v>1040</v>
      </c>
      <c r="B2047" s="3501"/>
      <c r="C2047" s="12"/>
      <c r="D2047" s="14">
        <v>550</v>
      </c>
      <c r="E2047" s="14">
        <v>550</v>
      </c>
      <c r="F2047" s="7"/>
      <c r="G2047" s="7"/>
      <c r="H2047" s="8"/>
      <c r="I2047" s="9"/>
      <c r="J2047" s="7"/>
      <c r="K2047" s="14">
        <v>550</v>
      </c>
      <c r="L2047" s="14">
        <v>550</v>
      </c>
      <c r="M2047" s="7"/>
      <c r="N2047" s="7"/>
      <c r="O2047" s="7"/>
      <c r="P2047" s="7"/>
      <c r="Q2047" s="7"/>
      <c r="R2047" s="12"/>
      <c r="S2047" s="7"/>
      <c r="T2047" s="7"/>
      <c r="U2047" s="7"/>
      <c r="V2047" s="7"/>
      <c r="W2047" s="7"/>
      <c r="X2047" s="7"/>
      <c r="Y2047" s="7"/>
      <c r="Z2047" s="12"/>
      <c r="AA2047" s="12"/>
    </row>
    <row r="2048" spans="1:27" outlineLevel="7">
      <c r="A2048" s="3500" t="s">
        <v>1041</v>
      </c>
      <c r="B2048" s="3500"/>
      <c r="C2048" s="12"/>
      <c r="D2048" s="14">
        <v>550</v>
      </c>
      <c r="E2048" s="14">
        <v>550</v>
      </c>
      <c r="F2048" s="7"/>
      <c r="G2048" s="7"/>
      <c r="H2048" s="8"/>
      <c r="I2048" s="9"/>
      <c r="J2048" s="7"/>
      <c r="K2048" s="14">
        <v>550</v>
      </c>
      <c r="L2048" s="14">
        <v>550</v>
      </c>
      <c r="M2048" s="7"/>
      <c r="N2048" s="7"/>
      <c r="O2048" s="7"/>
      <c r="P2048" s="7"/>
      <c r="Q2048" s="7"/>
      <c r="R2048" s="12"/>
      <c r="S2048" s="7"/>
      <c r="T2048" s="7"/>
      <c r="U2048" s="7"/>
      <c r="V2048" s="7"/>
      <c r="W2048" s="7"/>
      <c r="X2048" s="7"/>
      <c r="Y2048" s="7"/>
      <c r="Z2048" s="12"/>
      <c r="AA2048" s="12"/>
    </row>
    <row r="2049" spans="1:27" outlineLevel="7">
      <c r="A2049" s="3499" t="s">
        <v>2204</v>
      </c>
      <c r="B2049" s="3499"/>
      <c r="C2049" s="12"/>
      <c r="D2049" s="14">
        <v>550</v>
      </c>
      <c r="E2049" s="14">
        <v>550</v>
      </c>
      <c r="F2049" s="7"/>
      <c r="G2049" s="7"/>
      <c r="H2049" s="8"/>
      <c r="I2049" s="9"/>
      <c r="J2049" s="7"/>
      <c r="K2049" s="14">
        <v>550</v>
      </c>
      <c r="L2049" s="14">
        <v>550</v>
      </c>
      <c r="M2049" s="7"/>
      <c r="N2049" s="7"/>
      <c r="O2049" s="7"/>
      <c r="P2049" s="7"/>
      <c r="Q2049" s="7"/>
      <c r="R2049" s="12"/>
      <c r="S2049" s="7"/>
      <c r="T2049" s="7"/>
      <c r="U2049" s="7"/>
      <c r="V2049" s="7"/>
      <c r="W2049" s="7"/>
      <c r="X2049" s="7"/>
      <c r="Y2049" s="7"/>
      <c r="Z2049" s="12"/>
      <c r="AA2049" s="12"/>
    </row>
    <row r="2050" spans="1:27" outlineLevel="6">
      <c r="A2050" s="3501" t="s">
        <v>1042</v>
      </c>
      <c r="B2050" s="3501"/>
      <c r="C2050" s="12"/>
      <c r="D2050" s="12"/>
      <c r="E2050" s="12"/>
      <c r="F2050" s="7"/>
      <c r="G2050" s="7"/>
      <c r="H2050" s="8"/>
      <c r="I2050" s="9"/>
      <c r="J2050" s="7"/>
      <c r="K2050" s="7"/>
      <c r="L2050" s="7"/>
      <c r="M2050" s="7"/>
      <c r="N2050" s="7"/>
      <c r="O2050" s="7"/>
      <c r="P2050" s="7"/>
      <c r="Q2050" s="7"/>
      <c r="R2050" s="14">
        <v>550</v>
      </c>
      <c r="S2050" s="7"/>
      <c r="T2050" s="7"/>
      <c r="U2050" s="14">
        <v>550</v>
      </c>
      <c r="V2050" s="7"/>
      <c r="W2050" s="7"/>
      <c r="X2050" s="7"/>
      <c r="Y2050" s="7"/>
      <c r="Z2050" s="12"/>
      <c r="AA2050" s="14">
        <v>550</v>
      </c>
    </row>
    <row r="2051" spans="1:27" outlineLevel="7">
      <c r="A2051" s="3500" t="s">
        <v>1043</v>
      </c>
      <c r="B2051" s="3500"/>
      <c r="C2051" s="12"/>
      <c r="D2051" s="12"/>
      <c r="E2051" s="12"/>
      <c r="F2051" s="7"/>
      <c r="G2051" s="7"/>
      <c r="H2051" s="8"/>
      <c r="I2051" s="9"/>
      <c r="J2051" s="7"/>
      <c r="K2051" s="7"/>
      <c r="L2051" s="7"/>
      <c r="M2051" s="7"/>
      <c r="N2051" s="7"/>
      <c r="O2051" s="7"/>
      <c r="P2051" s="7"/>
      <c r="Q2051" s="7"/>
      <c r="R2051" s="14">
        <v>550</v>
      </c>
      <c r="S2051" s="7"/>
      <c r="T2051" s="7"/>
      <c r="U2051" s="14">
        <v>550</v>
      </c>
      <c r="V2051" s="7"/>
      <c r="W2051" s="7"/>
      <c r="X2051" s="7"/>
      <c r="Y2051" s="7"/>
      <c r="Z2051" s="12"/>
      <c r="AA2051" s="14">
        <v>550</v>
      </c>
    </row>
    <row r="2052" spans="1:27" outlineLevel="7">
      <c r="A2052" s="3499" t="s">
        <v>2205</v>
      </c>
      <c r="B2052" s="3499"/>
      <c r="C2052" s="12"/>
      <c r="D2052" s="12"/>
      <c r="E2052" s="12"/>
      <c r="F2052" s="7"/>
      <c r="G2052" s="7"/>
      <c r="H2052" s="8"/>
      <c r="I2052" s="9"/>
      <c r="J2052" s="7"/>
      <c r="K2052" s="7"/>
      <c r="L2052" s="7"/>
      <c r="M2052" s="7"/>
      <c r="N2052" s="7"/>
      <c r="O2052" s="7"/>
      <c r="P2052" s="7"/>
      <c r="Q2052" s="7"/>
      <c r="R2052" s="14">
        <v>550</v>
      </c>
      <c r="S2052" s="7"/>
      <c r="T2052" s="7"/>
      <c r="U2052" s="14">
        <v>550</v>
      </c>
      <c r="V2052" s="7"/>
      <c r="W2052" s="7"/>
      <c r="X2052" s="7"/>
      <c r="Y2052" s="7"/>
      <c r="Z2052" s="12"/>
      <c r="AA2052" s="14">
        <v>550</v>
      </c>
    </row>
    <row r="2053" spans="1:27" outlineLevel="6">
      <c r="A2053" s="3501" t="s">
        <v>399</v>
      </c>
      <c r="B2053" s="3501"/>
      <c r="C2053" s="7"/>
      <c r="D2053" s="7"/>
      <c r="E2053" s="14">
        <v>550</v>
      </c>
      <c r="F2053" s="7"/>
      <c r="G2053" s="14">
        <v>550</v>
      </c>
      <c r="H2053" s="3523">
        <v>550</v>
      </c>
      <c r="I2053" s="3523"/>
      <c r="J2053" s="7"/>
      <c r="K2053" s="7"/>
      <c r="L2053" s="7"/>
      <c r="M2053" s="7"/>
      <c r="N2053" s="7"/>
      <c r="O2053" s="7"/>
      <c r="P2053" s="7"/>
      <c r="Q2053" s="7"/>
      <c r="R2053" s="14">
        <v>550</v>
      </c>
      <c r="S2053" s="7"/>
      <c r="T2053" s="7"/>
      <c r="U2053" s="14">
        <v>550</v>
      </c>
      <c r="V2053" s="7"/>
      <c r="W2053" s="7"/>
      <c r="X2053" s="7"/>
      <c r="Y2053" s="7"/>
      <c r="Z2053" s="7"/>
      <c r="AA2053" s="7"/>
    </row>
    <row r="2054" spans="1:27" outlineLevel="7">
      <c r="A2054" s="3500" t="s">
        <v>400</v>
      </c>
      <c r="B2054" s="3500"/>
      <c r="C2054" s="7"/>
      <c r="D2054" s="7"/>
      <c r="E2054" s="14">
        <v>550</v>
      </c>
      <c r="F2054" s="7"/>
      <c r="G2054" s="14">
        <v>550</v>
      </c>
      <c r="H2054" s="3523">
        <v>550</v>
      </c>
      <c r="I2054" s="3523"/>
      <c r="J2054" s="7"/>
      <c r="K2054" s="7"/>
      <c r="L2054" s="7"/>
      <c r="M2054" s="7"/>
      <c r="N2054" s="7"/>
      <c r="O2054" s="7"/>
      <c r="P2054" s="7"/>
      <c r="Q2054" s="7"/>
      <c r="R2054" s="14">
        <v>550</v>
      </c>
      <c r="S2054" s="7"/>
      <c r="T2054" s="7"/>
      <c r="U2054" s="14">
        <v>550</v>
      </c>
      <c r="V2054" s="7"/>
      <c r="W2054" s="7"/>
      <c r="X2054" s="7"/>
      <c r="Y2054" s="7"/>
      <c r="Z2054" s="7"/>
      <c r="AA2054" s="7"/>
    </row>
    <row r="2055" spans="1:27" outlineLevel="7">
      <c r="A2055" s="3499" t="s">
        <v>2206</v>
      </c>
      <c r="B2055" s="3499"/>
      <c r="C2055" s="7"/>
      <c r="D2055" s="7"/>
      <c r="E2055" s="14">
        <v>550</v>
      </c>
      <c r="F2055" s="7"/>
      <c r="G2055" s="14">
        <v>550</v>
      </c>
      <c r="H2055" s="3523">
        <v>550</v>
      </c>
      <c r="I2055" s="3523"/>
      <c r="J2055" s="7"/>
      <c r="K2055" s="7"/>
      <c r="L2055" s="7"/>
      <c r="M2055" s="7"/>
      <c r="N2055" s="7"/>
      <c r="O2055" s="7"/>
      <c r="P2055" s="7"/>
      <c r="Q2055" s="7"/>
      <c r="R2055" s="14">
        <v>550</v>
      </c>
      <c r="S2055" s="7"/>
      <c r="T2055" s="7"/>
      <c r="U2055" s="14">
        <v>550</v>
      </c>
      <c r="V2055" s="7"/>
      <c r="W2055" s="7"/>
      <c r="X2055" s="7"/>
      <c r="Y2055" s="7"/>
      <c r="Z2055" s="7"/>
      <c r="AA2055" s="7"/>
    </row>
    <row r="2056" spans="1:27" outlineLevel="6">
      <c r="A2056" s="3501" t="s">
        <v>401</v>
      </c>
      <c r="B2056" s="3501"/>
      <c r="C2056" s="7"/>
      <c r="D2056" s="7"/>
      <c r="E2056" s="14">
        <v>550</v>
      </c>
      <c r="F2056" s="7"/>
      <c r="G2056" s="14">
        <v>550</v>
      </c>
      <c r="H2056" s="3523">
        <v>550</v>
      </c>
      <c r="I2056" s="3523"/>
      <c r="J2056" s="7"/>
      <c r="K2056" s="7"/>
      <c r="L2056" s="7"/>
      <c r="M2056" s="7"/>
      <c r="N2056" s="7"/>
      <c r="O2056" s="7"/>
      <c r="P2056" s="7"/>
      <c r="Q2056" s="7"/>
      <c r="R2056" s="14">
        <v>550</v>
      </c>
      <c r="S2056" s="7"/>
      <c r="T2056" s="7"/>
      <c r="U2056" s="14">
        <v>550</v>
      </c>
      <c r="V2056" s="7"/>
      <c r="W2056" s="7"/>
      <c r="X2056" s="7"/>
      <c r="Y2056" s="7"/>
      <c r="Z2056" s="7"/>
      <c r="AA2056" s="7"/>
    </row>
    <row r="2057" spans="1:27" outlineLevel="7">
      <c r="A2057" s="3500" t="s">
        <v>402</v>
      </c>
      <c r="B2057" s="3500"/>
      <c r="C2057" s="7"/>
      <c r="D2057" s="7"/>
      <c r="E2057" s="14">
        <v>550</v>
      </c>
      <c r="F2057" s="7"/>
      <c r="G2057" s="14">
        <v>550</v>
      </c>
      <c r="H2057" s="3523">
        <v>550</v>
      </c>
      <c r="I2057" s="3523"/>
      <c r="J2057" s="7"/>
      <c r="K2057" s="7"/>
      <c r="L2057" s="7"/>
      <c r="M2057" s="7"/>
      <c r="N2057" s="7"/>
      <c r="O2057" s="7"/>
      <c r="P2057" s="7"/>
      <c r="Q2057" s="7"/>
      <c r="R2057" s="14">
        <v>550</v>
      </c>
      <c r="S2057" s="7"/>
      <c r="T2057" s="7"/>
      <c r="U2057" s="14">
        <v>550</v>
      </c>
      <c r="V2057" s="7"/>
      <c r="W2057" s="7"/>
      <c r="X2057" s="7"/>
      <c r="Y2057" s="7"/>
      <c r="Z2057" s="7"/>
      <c r="AA2057" s="7"/>
    </row>
    <row r="2058" spans="1:27" outlineLevel="7">
      <c r="A2058" s="3499" t="s">
        <v>2207</v>
      </c>
      <c r="B2058" s="3499"/>
      <c r="C2058" s="7"/>
      <c r="D2058" s="7"/>
      <c r="E2058" s="14">
        <v>550</v>
      </c>
      <c r="F2058" s="7"/>
      <c r="G2058" s="14">
        <v>550</v>
      </c>
      <c r="H2058" s="3523">
        <v>550</v>
      </c>
      <c r="I2058" s="3523"/>
      <c r="J2058" s="7"/>
      <c r="K2058" s="7"/>
      <c r="L2058" s="7"/>
      <c r="M2058" s="7"/>
      <c r="N2058" s="7"/>
      <c r="O2058" s="7"/>
      <c r="P2058" s="7"/>
      <c r="Q2058" s="7"/>
      <c r="R2058" s="14">
        <v>550</v>
      </c>
      <c r="S2058" s="7"/>
      <c r="T2058" s="7"/>
      <c r="U2058" s="14">
        <v>550</v>
      </c>
      <c r="V2058" s="7"/>
      <c r="W2058" s="7"/>
      <c r="X2058" s="7"/>
      <c r="Y2058" s="7"/>
      <c r="Z2058" s="7"/>
      <c r="AA2058" s="7"/>
    </row>
    <row r="2059" spans="1:27" outlineLevel="6">
      <c r="A2059" s="3501" t="s">
        <v>403</v>
      </c>
      <c r="B2059" s="3501"/>
      <c r="C2059" s="7"/>
      <c r="D2059" s="7"/>
      <c r="E2059" s="14">
        <v>550</v>
      </c>
      <c r="F2059" s="7"/>
      <c r="G2059" s="14">
        <v>550</v>
      </c>
      <c r="H2059" s="3523">
        <v>550</v>
      </c>
      <c r="I2059" s="3523"/>
      <c r="J2059" s="7"/>
      <c r="K2059" s="7"/>
      <c r="L2059" s="7"/>
      <c r="M2059" s="7"/>
      <c r="N2059" s="7"/>
      <c r="O2059" s="7"/>
      <c r="P2059" s="7"/>
      <c r="Q2059" s="7"/>
      <c r="R2059" s="14">
        <v>550</v>
      </c>
      <c r="S2059" s="7"/>
      <c r="T2059" s="7"/>
      <c r="U2059" s="14">
        <v>550</v>
      </c>
      <c r="V2059" s="7"/>
      <c r="W2059" s="7"/>
      <c r="X2059" s="7"/>
      <c r="Y2059" s="7"/>
      <c r="Z2059" s="7"/>
      <c r="AA2059" s="7"/>
    </row>
    <row r="2060" spans="1:27" outlineLevel="7">
      <c r="A2060" s="3500" t="s">
        <v>404</v>
      </c>
      <c r="B2060" s="3500"/>
      <c r="C2060" s="7"/>
      <c r="D2060" s="7"/>
      <c r="E2060" s="14">
        <v>550</v>
      </c>
      <c r="F2060" s="7"/>
      <c r="G2060" s="14">
        <v>550</v>
      </c>
      <c r="H2060" s="3523">
        <v>550</v>
      </c>
      <c r="I2060" s="3523"/>
      <c r="J2060" s="7"/>
      <c r="K2060" s="7"/>
      <c r="L2060" s="7"/>
      <c r="M2060" s="7"/>
      <c r="N2060" s="7"/>
      <c r="O2060" s="7"/>
      <c r="P2060" s="7"/>
      <c r="Q2060" s="7"/>
      <c r="R2060" s="14">
        <v>550</v>
      </c>
      <c r="S2060" s="7"/>
      <c r="T2060" s="7"/>
      <c r="U2060" s="14">
        <v>550</v>
      </c>
      <c r="V2060" s="7"/>
      <c r="W2060" s="7"/>
      <c r="X2060" s="7"/>
      <c r="Y2060" s="7"/>
      <c r="Z2060" s="7"/>
      <c r="AA2060" s="7"/>
    </row>
    <row r="2061" spans="1:27" outlineLevel="7">
      <c r="A2061" s="3499" t="s">
        <v>2208</v>
      </c>
      <c r="B2061" s="3499"/>
      <c r="C2061" s="7"/>
      <c r="D2061" s="7"/>
      <c r="E2061" s="14">
        <v>550</v>
      </c>
      <c r="F2061" s="7"/>
      <c r="G2061" s="14">
        <v>550</v>
      </c>
      <c r="H2061" s="3523">
        <v>550</v>
      </c>
      <c r="I2061" s="3523"/>
      <c r="J2061" s="7"/>
      <c r="K2061" s="7"/>
      <c r="L2061" s="7"/>
      <c r="M2061" s="7"/>
      <c r="N2061" s="7"/>
      <c r="O2061" s="7"/>
      <c r="P2061" s="7"/>
      <c r="Q2061" s="7"/>
      <c r="R2061" s="14">
        <v>550</v>
      </c>
      <c r="S2061" s="7"/>
      <c r="T2061" s="7"/>
      <c r="U2061" s="14">
        <v>550</v>
      </c>
      <c r="V2061" s="7"/>
      <c r="W2061" s="7"/>
      <c r="X2061" s="7"/>
      <c r="Y2061" s="7"/>
      <c r="Z2061" s="7"/>
      <c r="AA2061" s="7"/>
    </row>
    <row r="2062" spans="1:27" outlineLevel="6">
      <c r="A2062" s="3501" t="s">
        <v>405</v>
      </c>
      <c r="B2062" s="3501"/>
      <c r="C2062" s="7"/>
      <c r="D2062" s="7"/>
      <c r="E2062" s="14">
        <v>550</v>
      </c>
      <c r="F2062" s="7"/>
      <c r="G2062" s="14">
        <v>550</v>
      </c>
      <c r="H2062" s="3523">
        <v>550</v>
      </c>
      <c r="I2062" s="3523"/>
      <c r="J2062" s="7"/>
      <c r="K2062" s="7"/>
      <c r="L2062" s="7"/>
      <c r="M2062" s="7"/>
      <c r="N2062" s="7"/>
      <c r="O2062" s="7"/>
      <c r="P2062" s="7"/>
      <c r="Q2062" s="7"/>
      <c r="R2062" s="14">
        <v>550</v>
      </c>
      <c r="S2062" s="7"/>
      <c r="T2062" s="7"/>
      <c r="U2062" s="14">
        <v>550</v>
      </c>
      <c r="V2062" s="7"/>
      <c r="W2062" s="7"/>
      <c r="X2062" s="7"/>
      <c r="Y2062" s="7"/>
      <c r="Z2062" s="7"/>
      <c r="AA2062" s="7"/>
    </row>
    <row r="2063" spans="1:27" outlineLevel="7">
      <c r="A2063" s="3500" t="s">
        <v>406</v>
      </c>
      <c r="B2063" s="3500"/>
      <c r="C2063" s="7"/>
      <c r="D2063" s="7"/>
      <c r="E2063" s="14">
        <v>550</v>
      </c>
      <c r="F2063" s="7"/>
      <c r="G2063" s="14">
        <v>550</v>
      </c>
      <c r="H2063" s="3523">
        <v>550</v>
      </c>
      <c r="I2063" s="3523"/>
      <c r="J2063" s="7"/>
      <c r="K2063" s="7"/>
      <c r="L2063" s="7"/>
      <c r="M2063" s="7"/>
      <c r="N2063" s="7"/>
      <c r="O2063" s="7"/>
      <c r="P2063" s="7"/>
      <c r="Q2063" s="7"/>
      <c r="R2063" s="14">
        <v>550</v>
      </c>
      <c r="S2063" s="7"/>
      <c r="T2063" s="7"/>
      <c r="U2063" s="14">
        <v>550</v>
      </c>
      <c r="V2063" s="7"/>
      <c r="W2063" s="7"/>
      <c r="X2063" s="7"/>
      <c r="Y2063" s="7"/>
      <c r="Z2063" s="7"/>
      <c r="AA2063" s="7"/>
    </row>
    <row r="2064" spans="1:27" outlineLevel="7">
      <c r="A2064" s="3499" t="s">
        <v>2209</v>
      </c>
      <c r="B2064" s="3499"/>
      <c r="C2064" s="7"/>
      <c r="D2064" s="7"/>
      <c r="E2064" s="14">
        <v>550</v>
      </c>
      <c r="F2064" s="7"/>
      <c r="G2064" s="14">
        <v>550</v>
      </c>
      <c r="H2064" s="3523">
        <v>550</v>
      </c>
      <c r="I2064" s="3523"/>
      <c r="J2064" s="7"/>
      <c r="K2064" s="7"/>
      <c r="L2064" s="7"/>
      <c r="M2064" s="7"/>
      <c r="N2064" s="7"/>
      <c r="O2064" s="7"/>
      <c r="P2064" s="7"/>
      <c r="Q2064" s="7"/>
      <c r="R2064" s="14">
        <v>550</v>
      </c>
      <c r="S2064" s="7"/>
      <c r="T2064" s="7"/>
      <c r="U2064" s="14">
        <v>550</v>
      </c>
      <c r="V2064" s="7"/>
      <c r="W2064" s="7"/>
      <c r="X2064" s="7"/>
      <c r="Y2064" s="7"/>
      <c r="Z2064" s="7"/>
      <c r="AA2064" s="7"/>
    </row>
    <row r="2065" spans="1:27" outlineLevel="6">
      <c r="A2065" s="3501" t="s">
        <v>407</v>
      </c>
      <c r="B2065" s="3501"/>
      <c r="C2065" s="7"/>
      <c r="D2065" s="7"/>
      <c r="E2065" s="14">
        <v>550</v>
      </c>
      <c r="F2065" s="7"/>
      <c r="G2065" s="14">
        <v>550</v>
      </c>
      <c r="H2065" s="3523">
        <v>550</v>
      </c>
      <c r="I2065" s="3523"/>
      <c r="J2065" s="7"/>
      <c r="K2065" s="7"/>
      <c r="L2065" s="7"/>
      <c r="M2065" s="7"/>
      <c r="N2065" s="7"/>
      <c r="O2065" s="7"/>
      <c r="P2065" s="7"/>
      <c r="Q2065" s="7"/>
      <c r="R2065" s="14">
        <v>550</v>
      </c>
      <c r="S2065" s="7"/>
      <c r="T2065" s="7"/>
      <c r="U2065" s="14">
        <v>550</v>
      </c>
      <c r="V2065" s="7"/>
      <c r="W2065" s="7"/>
      <c r="X2065" s="7"/>
      <c r="Y2065" s="7"/>
      <c r="Z2065" s="7"/>
      <c r="AA2065" s="7"/>
    </row>
    <row r="2066" spans="1:27" outlineLevel="7">
      <c r="A2066" s="3500" t="s">
        <v>408</v>
      </c>
      <c r="B2066" s="3500"/>
      <c r="C2066" s="7"/>
      <c r="D2066" s="7"/>
      <c r="E2066" s="14">
        <v>550</v>
      </c>
      <c r="F2066" s="7"/>
      <c r="G2066" s="14">
        <v>550</v>
      </c>
      <c r="H2066" s="3523">
        <v>550</v>
      </c>
      <c r="I2066" s="3523"/>
      <c r="J2066" s="7"/>
      <c r="K2066" s="7"/>
      <c r="L2066" s="7"/>
      <c r="M2066" s="7"/>
      <c r="N2066" s="7"/>
      <c r="O2066" s="7"/>
      <c r="P2066" s="7"/>
      <c r="Q2066" s="7"/>
      <c r="R2066" s="14">
        <v>550</v>
      </c>
      <c r="S2066" s="7"/>
      <c r="T2066" s="7"/>
      <c r="U2066" s="14">
        <v>550</v>
      </c>
      <c r="V2066" s="7"/>
      <c r="W2066" s="7"/>
      <c r="X2066" s="7"/>
      <c r="Y2066" s="7"/>
      <c r="Z2066" s="7"/>
      <c r="AA2066" s="7"/>
    </row>
    <row r="2067" spans="1:27" outlineLevel="7">
      <c r="A2067" s="3499" t="s">
        <v>2210</v>
      </c>
      <c r="B2067" s="3499"/>
      <c r="C2067" s="7"/>
      <c r="D2067" s="7"/>
      <c r="E2067" s="14">
        <v>550</v>
      </c>
      <c r="F2067" s="7"/>
      <c r="G2067" s="14">
        <v>550</v>
      </c>
      <c r="H2067" s="3523">
        <v>550</v>
      </c>
      <c r="I2067" s="3523"/>
      <c r="J2067" s="7"/>
      <c r="K2067" s="7"/>
      <c r="L2067" s="7"/>
      <c r="M2067" s="7"/>
      <c r="N2067" s="7"/>
      <c r="O2067" s="7"/>
      <c r="P2067" s="7"/>
      <c r="Q2067" s="7"/>
      <c r="R2067" s="14">
        <v>550</v>
      </c>
      <c r="S2067" s="7"/>
      <c r="T2067" s="7"/>
      <c r="U2067" s="14">
        <v>550</v>
      </c>
      <c r="V2067" s="7"/>
      <c r="W2067" s="7"/>
      <c r="X2067" s="7"/>
      <c r="Y2067" s="7"/>
      <c r="Z2067" s="7"/>
      <c r="AA2067" s="7"/>
    </row>
    <row r="2068" spans="1:27" outlineLevel="6">
      <c r="A2068" s="3501" t="s">
        <v>1044</v>
      </c>
      <c r="B2068" s="3501"/>
      <c r="C2068" s="12"/>
      <c r="D2068" s="12"/>
      <c r="E2068" s="12"/>
      <c r="F2068" s="7"/>
      <c r="G2068" s="7"/>
      <c r="H2068" s="8"/>
      <c r="I2068" s="9"/>
      <c r="J2068" s="7"/>
      <c r="K2068" s="7"/>
      <c r="L2068" s="7"/>
      <c r="M2068" s="7"/>
      <c r="N2068" s="7"/>
      <c r="O2068" s="7"/>
      <c r="P2068" s="7"/>
      <c r="Q2068" s="7"/>
      <c r="R2068" s="14">
        <v>550</v>
      </c>
      <c r="S2068" s="7"/>
      <c r="T2068" s="7"/>
      <c r="U2068" s="14">
        <v>550</v>
      </c>
      <c r="V2068" s="7"/>
      <c r="W2068" s="7"/>
      <c r="X2068" s="7"/>
      <c r="Y2068" s="7"/>
      <c r="Z2068" s="12"/>
      <c r="AA2068" s="14">
        <v>550</v>
      </c>
    </row>
    <row r="2069" spans="1:27" outlineLevel="7">
      <c r="A2069" s="3500" t="s">
        <v>1045</v>
      </c>
      <c r="B2069" s="3500"/>
      <c r="C2069" s="12"/>
      <c r="D2069" s="12"/>
      <c r="E2069" s="12"/>
      <c r="F2069" s="7"/>
      <c r="G2069" s="7"/>
      <c r="H2069" s="8"/>
      <c r="I2069" s="9"/>
      <c r="J2069" s="7"/>
      <c r="K2069" s="7"/>
      <c r="L2069" s="7"/>
      <c r="M2069" s="7"/>
      <c r="N2069" s="7"/>
      <c r="O2069" s="7"/>
      <c r="P2069" s="7"/>
      <c r="Q2069" s="7"/>
      <c r="R2069" s="14">
        <v>550</v>
      </c>
      <c r="S2069" s="7"/>
      <c r="T2069" s="7"/>
      <c r="U2069" s="14">
        <v>550</v>
      </c>
      <c r="V2069" s="7"/>
      <c r="W2069" s="7"/>
      <c r="X2069" s="7"/>
      <c r="Y2069" s="7"/>
      <c r="Z2069" s="12"/>
      <c r="AA2069" s="14">
        <v>550</v>
      </c>
    </row>
    <row r="2070" spans="1:27" outlineLevel="7">
      <c r="A2070" s="3499" t="s">
        <v>2211</v>
      </c>
      <c r="B2070" s="3499"/>
      <c r="C2070" s="12"/>
      <c r="D2070" s="12"/>
      <c r="E2070" s="12"/>
      <c r="F2070" s="7"/>
      <c r="G2070" s="7"/>
      <c r="H2070" s="8"/>
      <c r="I2070" s="9"/>
      <c r="J2070" s="7"/>
      <c r="K2070" s="7"/>
      <c r="L2070" s="7"/>
      <c r="M2070" s="7"/>
      <c r="N2070" s="7"/>
      <c r="O2070" s="7"/>
      <c r="P2070" s="7"/>
      <c r="Q2070" s="7"/>
      <c r="R2070" s="14">
        <v>550</v>
      </c>
      <c r="S2070" s="7"/>
      <c r="T2070" s="7"/>
      <c r="U2070" s="14">
        <v>550</v>
      </c>
      <c r="V2070" s="7"/>
      <c r="W2070" s="7"/>
      <c r="X2070" s="7"/>
      <c r="Y2070" s="7"/>
      <c r="Z2070" s="12"/>
      <c r="AA2070" s="14">
        <v>550</v>
      </c>
    </row>
    <row r="2071" spans="1:27" outlineLevel="6">
      <c r="A2071" s="3501" t="s">
        <v>409</v>
      </c>
      <c r="B2071" s="3501"/>
      <c r="C2071" s="7"/>
      <c r="D2071" s="7"/>
      <c r="E2071" s="14">
        <v>550</v>
      </c>
      <c r="F2071" s="7"/>
      <c r="G2071" s="14">
        <v>550</v>
      </c>
      <c r="H2071" s="3523">
        <v>550</v>
      </c>
      <c r="I2071" s="3523"/>
      <c r="J2071" s="7"/>
      <c r="K2071" s="7"/>
      <c r="L2071" s="7"/>
      <c r="M2071" s="7"/>
      <c r="N2071" s="7"/>
      <c r="O2071" s="7"/>
      <c r="P2071" s="7"/>
      <c r="Q2071" s="7"/>
      <c r="R2071" s="14">
        <v>550</v>
      </c>
      <c r="S2071" s="7"/>
      <c r="T2071" s="7"/>
      <c r="U2071" s="14">
        <v>550</v>
      </c>
      <c r="V2071" s="7"/>
      <c r="W2071" s="7"/>
      <c r="X2071" s="7"/>
      <c r="Y2071" s="7"/>
      <c r="Z2071" s="7"/>
      <c r="AA2071" s="7"/>
    </row>
    <row r="2072" spans="1:27" outlineLevel="7">
      <c r="A2072" s="3500" t="s">
        <v>410</v>
      </c>
      <c r="B2072" s="3500"/>
      <c r="C2072" s="7"/>
      <c r="D2072" s="7"/>
      <c r="E2072" s="14">
        <v>550</v>
      </c>
      <c r="F2072" s="7"/>
      <c r="G2072" s="14">
        <v>550</v>
      </c>
      <c r="H2072" s="3523">
        <v>550</v>
      </c>
      <c r="I2072" s="3523"/>
      <c r="J2072" s="7"/>
      <c r="K2072" s="7"/>
      <c r="L2072" s="7"/>
      <c r="M2072" s="7"/>
      <c r="N2072" s="7"/>
      <c r="O2072" s="7"/>
      <c r="P2072" s="7"/>
      <c r="Q2072" s="7"/>
      <c r="R2072" s="14">
        <v>550</v>
      </c>
      <c r="S2072" s="7"/>
      <c r="T2072" s="7"/>
      <c r="U2072" s="14">
        <v>550</v>
      </c>
      <c r="V2072" s="7"/>
      <c r="W2072" s="7"/>
      <c r="X2072" s="7"/>
      <c r="Y2072" s="7"/>
      <c r="Z2072" s="7"/>
      <c r="AA2072" s="7"/>
    </row>
    <row r="2073" spans="1:27" outlineLevel="7">
      <c r="A2073" s="3499" t="s">
        <v>2212</v>
      </c>
      <c r="B2073" s="3499"/>
      <c r="C2073" s="7"/>
      <c r="D2073" s="7"/>
      <c r="E2073" s="14">
        <v>550</v>
      </c>
      <c r="F2073" s="7"/>
      <c r="G2073" s="14">
        <v>550</v>
      </c>
      <c r="H2073" s="3523">
        <v>550</v>
      </c>
      <c r="I2073" s="3523"/>
      <c r="J2073" s="7"/>
      <c r="K2073" s="7"/>
      <c r="L2073" s="7"/>
      <c r="M2073" s="7"/>
      <c r="N2073" s="7"/>
      <c r="O2073" s="7"/>
      <c r="P2073" s="7"/>
      <c r="Q2073" s="7"/>
      <c r="R2073" s="14">
        <v>550</v>
      </c>
      <c r="S2073" s="7"/>
      <c r="T2073" s="7"/>
      <c r="U2073" s="14">
        <v>550</v>
      </c>
      <c r="V2073" s="7"/>
      <c r="W2073" s="7"/>
      <c r="X2073" s="7"/>
      <c r="Y2073" s="7"/>
      <c r="Z2073" s="7"/>
      <c r="AA2073" s="7"/>
    </row>
    <row r="2074" spans="1:27" outlineLevel="6">
      <c r="A2074" s="3501" t="s">
        <v>1046</v>
      </c>
      <c r="B2074" s="3501"/>
      <c r="C2074" s="12"/>
      <c r="D2074" s="14">
        <v>550</v>
      </c>
      <c r="E2074" s="7"/>
      <c r="F2074" s="7"/>
      <c r="G2074" s="7"/>
      <c r="H2074" s="8"/>
      <c r="I2074" s="9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12"/>
      <c r="AA2074" s="14">
        <v>550</v>
      </c>
    </row>
    <row r="2075" spans="1:27" outlineLevel="7">
      <c r="A2075" s="3500" t="s">
        <v>754</v>
      </c>
      <c r="B2075" s="3500"/>
      <c r="C2075" s="12"/>
      <c r="D2075" s="14">
        <v>550</v>
      </c>
      <c r="E2075" s="7"/>
      <c r="F2075" s="7"/>
      <c r="G2075" s="7"/>
      <c r="H2075" s="8"/>
      <c r="I2075" s="9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12"/>
      <c r="AA2075" s="14">
        <v>550</v>
      </c>
    </row>
    <row r="2076" spans="1:27" outlineLevel="7">
      <c r="A2076" s="3499" t="s">
        <v>2213</v>
      </c>
      <c r="B2076" s="3499"/>
      <c r="C2076" s="12"/>
      <c r="D2076" s="14">
        <v>550</v>
      </c>
      <c r="E2076" s="7"/>
      <c r="F2076" s="7"/>
      <c r="G2076" s="7"/>
      <c r="H2076" s="8"/>
      <c r="I2076" s="9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12"/>
      <c r="AA2076" s="14">
        <v>550</v>
      </c>
    </row>
    <row r="2077" spans="1:27" outlineLevel="6">
      <c r="A2077" s="3501" t="s">
        <v>411</v>
      </c>
      <c r="B2077" s="3501"/>
      <c r="C2077" s="7"/>
      <c r="D2077" s="7"/>
      <c r="E2077" s="14">
        <v>550</v>
      </c>
      <c r="F2077" s="7"/>
      <c r="G2077" s="14">
        <v>550</v>
      </c>
      <c r="H2077" s="3523">
        <v>550</v>
      </c>
      <c r="I2077" s="3523"/>
      <c r="J2077" s="7"/>
      <c r="K2077" s="7"/>
      <c r="L2077" s="7"/>
      <c r="M2077" s="7"/>
      <c r="N2077" s="7"/>
      <c r="O2077" s="7"/>
      <c r="P2077" s="7"/>
      <c r="Q2077" s="7"/>
      <c r="R2077" s="14">
        <v>550</v>
      </c>
      <c r="S2077" s="7"/>
      <c r="T2077" s="7"/>
      <c r="U2077" s="14">
        <v>550</v>
      </c>
      <c r="V2077" s="7"/>
      <c r="W2077" s="7"/>
      <c r="X2077" s="7"/>
      <c r="Y2077" s="7"/>
      <c r="Z2077" s="7"/>
      <c r="AA2077" s="7"/>
    </row>
    <row r="2078" spans="1:27" outlineLevel="7">
      <c r="A2078" s="3500" t="s">
        <v>412</v>
      </c>
      <c r="B2078" s="3500"/>
      <c r="C2078" s="7"/>
      <c r="D2078" s="7"/>
      <c r="E2078" s="14">
        <v>550</v>
      </c>
      <c r="F2078" s="7"/>
      <c r="G2078" s="14">
        <v>550</v>
      </c>
      <c r="H2078" s="3523">
        <v>550</v>
      </c>
      <c r="I2078" s="3523"/>
      <c r="J2078" s="7"/>
      <c r="K2078" s="7"/>
      <c r="L2078" s="7"/>
      <c r="M2078" s="7"/>
      <c r="N2078" s="7"/>
      <c r="O2078" s="7"/>
      <c r="P2078" s="7"/>
      <c r="Q2078" s="7"/>
      <c r="R2078" s="14">
        <v>550</v>
      </c>
      <c r="S2078" s="7"/>
      <c r="T2078" s="7"/>
      <c r="U2078" s="14">
        <v>550</v>
      </c>
      <c r="V2078" s="7"/>
      <c r="W2078" s="7"/>
      <c r="X2078" s="7"/>
      <c r="Y2078" s="7"/>
      <c r="Z2078" s="7"/>
      <c r="AA2078" s="7"/>
    </row>
    <row r="2079" spans="1:27" outlineLevel="7">
      <c r="A2079" s="3499" t="s">
        <v>2214</v>
      </c>
      <c r="B2079" s="3499"/>
      <c r="C2079" s="7"/>
      <c r="D2079" s="7"/>
      <c r="E2079" s="14">
        <v>550</v>
      </c>
      <c r="F2079" s="7"/>
      <c r="G2079" s="14">
        <v>550</v>
      </c>
      <c r="H2079" s="3523">
        <v>550</v>
      </c>
      <c r="I2079" s="3523"/>
      <c r="J2079" s="7"/>
      <c r="K2079" s="7"/>
      <c r="L2079" s="7"/>
      <c r="M2079" s="7"/>
      <c r="N2079" s="7"/>
      <c r="O2079" s="7"/>
      <c r="P2079" s="7"/>
      <c r="Q2079" s="7"/>
      <c r="R2079" s="14">
        <v>550</v>
      </c>
      <c r="S2079" s="7"/>
      <c r="T2079" s="7"/>
      <c r="U2079" s="14">
        <v>550</v>
      </c>
      <c r="V2079" s="7"/>
      <c r="W2079" s="7"/>
      <c r="X2079" s="7"/>
      <c r="Y2079" s="7"/>
      <c r="Z2079" s="7"/>
      <c r="AA2079" s="7"/>
    </row>
    <row r="2080" spans="1:27" outlineLevel="6">
      <c r="A2080" s="3501" t="s">
        <v>1047</v>
      </c>
      <c r="B2080" s="3501"/>
      <c r="C2080" s="12"/>
      <c r="D2080" s="14">
        <v>550</v>
      </c>
      <c r="E2080" s="7"/>
      <c r="F2080" s="7"/>
      <c r="G2080" s="7"/>
      <c r="H2080" s="8"/>
      <c r="I2080" s="9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12"/>
      <c r="AA2080" s="14">
        <v>550</v>
      </c>
    </row>
    <row r="2081" spans="1:27" outlineLevel="7">
      <c r="A2081" s="3500" t="s">
        <v>1048</v>
      </c>
      <c r="B2081" s="3500"/>
      <c r="C2081" s="12"/>
      <c r="D2081" s="14">
        <v>550</v>
      </c>
      <c r="E2081" s="7"/>
      <c r="F2081" s="7"/>
      <c r="G2081" s="7"/>
      <c r="H2081" s="8"/>
      <c r="I2081" s="9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12"/>
      <c r="AA2081" s="14">
        <v>550</v>
      </c>
    </row>
    <row r="2082" spans="1:27" outlineLevel="7">
      <c r="A2082" s="3499" t="s">
        <v>2215</v>
      </c>
      <c r="B2082" s="3499"/>
      <c r="C2082" s="12"/>
      <c r="D2082" s="14">
        <v>550</v>
      </c>
      <c r="E2082" s="7"/>
      <c r="F2082" s="7"/>
      <c r="G2082" s="7"/>
      <c r="H2082" s="8"/>
      <c r="I2082" s="9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12"/>
      <c r="AA2082" s="14">
        <v>550</v>
      </c>
    </row>
    <row r="2083" spans="1:27" outlineLevel="6">
      <c r="A2083" s="3501" t="s">
        <v>413</v>
      </c>
      <c r="B2083" s="3501"/>
      <c r="C2083" s="7"/>
      <c r="D2083" s="7"/>
      <c r="E2083" s="14">
        <v>550</v>
      </c>
      <c r="F2083" s="7"/>
      <c r="G2083" s="14">
        <v>550</v>
      </c>
      <c r="H2083" s="3523">
        <v>550</v>
      </c>
      <c r="I2083" s="3523"/>
      <c r="J2083" s="7"/>
      <c r="K2083" s="7"/>
      <c r="L2083" s="7"/>
      <c r="M2083" s="7"/>
      <c r="N2083" s="7"/>
      <c r="O2083" s="7"/>
      <c r="P2083" s="7"/>
      <c r="Q2083" s="7"/>
      <c r="R2083" s="14">
        <v>550</v>
      </c>
      <c r="S2083" s="7"/>
      <c r="T2083" s="7"/>
      <c r="U2083" s="14">
        <v>550</v>
      </c>
      <c r="V2083" s="7"/>
      <c r="W2083" s="7"/>
      <c r="X2083" s="7"/>
      <c r="Y2083" s="7"/>
      <c r="Z2083" s="7"/>
      <c r="AA2083" s="7"/>
    </row>
    <row r="2084" spans="1:27" outlineLevel="7">
      <c r="A2084" s="3500" t="s">
        <v>414</v>
      </c>
      <c r="B2084" s="3500"/>
      <c r="C2084" s="7"/>
      <c r="D2084" s="7"/>
      <c r="E2084" s="14">
        <v>550</v>
      </c>
      <c r="F2084" s="7"/>
      <c r="G2084" s="14">
        <v>550</v>
      </c>
      <c r="H2084" s="3523">
        <v>550</v>
      </c>
      <c r="I2084" s="3523"/>
      <c r="J2084" s="7"/>
      <c r="K2084" s="7"/>
      <c r="L2084" s="7"/>
      <c r="M2084" s="7"/>
      <c r="N2084" s="7"/>
      <c r="O2084" s="7"/>
      <c r="P2084" s="7"/>
      <c r="Q2084" s="7"/>
      <c r="R2084" s="14">
        <v>550</v>
      </c>
      <c r="S2084" s="7"/>
      <c r="T2084" s="7"/>
      <c r="U2084" s="14">
        <v>550</v>
      </c>
      <c r="V2084" s="7"/>
      <c r="W2084" s="7"/>
      <c r="X2084" s="7"/>
      <c r="Y2084" s="7"/>
      <c r="Z2084" s="7"/>
      <c r="AA2084" s="7"/>
    </row>
    <row r="2085" spans="1:27" outlineLevel="7">
      <c r="A2085" s="3499" t="s">
        <v>2216</v>
      </c>
      <c r="B2085" s="3499"/>
      <c r="C2085" s="7"/>
      <c r="D2085" s="7"/>
      <c r="E2085" s="14">
        <v>550</v>
      </c>
      <c r="F2085" s="7"/>
      <c r="G2085" s="14">
        <v>550</v>
      </c>
      <c r="H2085" s="3523">
        <v>550</v>
      </c>
      <c r="I2085" s="3523"/>
      <c r="J2085" s="7"/>
      <c r="K2085" s="7"/>
      <c r="L2085" s="7"/>
      <c r="M2085" s="7"/>
      <c r="N2085" s="7"/>
      <c r="O2085" s="7"/>
      <c r="P2085" s="7"/>
      <c r="Q2085" s="7"/>
      <c r="R2085" s="14">
        <v>550</v>
      </c>
      <c r="S2085" s="7"/>
      <c r="T2085" s="7"/>
      <c r="U2085" s="14">
        <v>550</v>
      </c>
      <c r="V2085" s="7"/>
      <c r="W2085" s="7"/>
      <c r="X2085" s="7"/>
      <c r="Y2085" s="7"/>
      <c r="Z2085" s="7"/>
      <c r="AA2085" s="7"/>
    </row>
    <row r="2086" spans="1:27" outlineLevel="6">
      <c r="A2086" s="3501" t="s">
        <v>415</v>
      </c>
      <c r="B2086" s="3501"/>
      <c r="C2086" s="7"/>
      <c r="D2086" s="7"/>
      <c r="E2086" s="14">
        <v>550</v>
      </c>
      <c r="F2086" s="7"/>
      <c r="G2086" s="14">
        <v>550</v>
      </c>
      <c r="H2086" s="3523">
        <v>550</v>
      </c>
      <c r="I2086" s="3523"/>
      <c r="J2086" s="7"/>
      <c r="K2086" s="7"/>
      <c r="L2086" s="7"/>
      <c r="M2086" s="7"/>
      <c r="N2086" s="7"/>
      <c r="O2086" s="7"/>
      <c r="P2086" s="7"/>
      <c r="Q2086" s="7"/>
      <c r="R2086" s="14">
        <v>550</v>
      </c>
      <c r="S2086" s="7"/>
      <c r="T2086" s="7"/>
      <c r="U2086" s="14">
        <v>550</v>
      </c>
      <c r="V2086" s="7"/>
      <c r="W2086" s="7"/>
      <c r="X2086" s="7"/>
      <c r="Y2086" s="7"/>
      <c r="Z2086" s="7"/>
      <c r="AA2086" s="7"/>
    </row>
    <row r="2087" spans="1:27" outlineLevel="7">
      <c r="A2087" s="3500" t="s">
        <v>416</v>
      </c>
      <c r="B2087" s="3500"/>
      <c r="C2087" s="7"/>
      <c r="D2087" s="7"/>
      <c r="E2087" s="14">
        <v>550</v>
      </c>
      <c r="F2087" s="7"/>
      <c r="G2087" s="14">
        <v>550</v>
      </c>
      <c r="H2087" s="3523">
        <v>550</v>
      </c>
      <c r="I2087" s="3523"/>
      <c r="J2087" s="7"/>
      <c r="K2087" s="7"/>
      <c r="L2087" s="7"/>
      <c r="M2087" s="7"/>
      <c r="N2087" s="7"/>
      <c r="O2087" s="7"/>
      <c r="P2087" s="7"/>
      <c r="Q2087" s="7"/>
      <c r="R2087" s="14">
        <v>550</v>
      </c>
      <c r="S2087" s="7"/>
      <c r="T2087" s="7"/>
      <c r="U2087" s="14">
        <v>550</v>
      </c>
      <c r="V2087" s="7"/>
      <c r="W2087" s="7"/>
      <c r="X2087" s="7"/>
      <c r="Y2087" s="7"/>
      <c r="Z2087" s="7"/>
      <c r="AA2087" s="7"/>
    </row>
    <row r="2088" spans="1:27" outlineLevel="7">
      <c r="A2088" s="3499" t="s">
        <v>2217</v>
      </c>
      <c r="B2088" s="3499"/>
      <c r="C2088" s="7"/>
      <c r="D2088" s="7"/>
      <c r="E2088" s="14">
        <v>550</v>
      </c>
      <c r="F2088" s="7"/>
      <c r="G2088" s="14">
        <v>550</v>
      </c>
      <c r="H2088" s="3523">
        <v>550</v>
      </c>
      <c r="I2088" s="3523"/>
      <c r="J2088" s="7"/>
      <c r="K2088" s="7"/>
      <c r="L2088" s="7"/>
      <c r="M2088" s="7"/>
      <c r="N2088" s="7"/>
      <c r="O2088" s="7"/>
      <c r="P2088" s="7"/>
      <c r="Q2088" s="7"/>
      <c r="R2088" s="14">
        <v>550</v>
      </c>
      <c r="S2088" s="7"/>
      <c r="T2088" s="7"/>
      <c r="U2088" s="14">
        <v>550</v>
      </c>
      <c r="V2088" s="7"/>
      <c r="W2088" s="7"/>
      <c r="X2088" s="7"/>
      <c r="Y2088" s="7"/>
      <c r="Z2088" s="7"/>
      <c r="AA2088" s="7"/>
    </row>
    <row r="2089" spans="1:27" outlineLevel="6">
      <c r="A2089" s="3501" t="s">
        <v>1049</v>
      </c>
      <c r="B2089" s="3501"/>
      <c r="C2089" s="12"/>
      <c r="D2089" s="12"/>
      <c r="E2089" s="12"/>
      <c r="F2089" s="7"/>
      <c r="G2089" s="7"/>
      <c r="H2089" s="8"/>
      <c r="I2089" s="9"/>
      <c r="J2089" s="7"/>
      <c r="K2089" s="7"/>
      <c r="L2089" s="7"/>
      <c r="M2089" s="7"/>
      <c r="N2089" s="7"/>
      <c r="O2089" s="7"/>
      <c r="P2089" s="7"/>
      <c r="Q2089" s="7"/>
      <c r="R2089" s="14">
        <v>550</v>
      </c>
      <c r="S2089" s="7"/>
      <c r="T2089" s="7"/>
      <c r="U2089" s="14">
        <v>550</v>
      </c>
      <c r="V2089" s="7"/>
      <c r="W2089" s="7"/>
      <c r="X2089" s="7"/>
      <c r="Y2089" s="7"/>
      <c r="Z2089" s="12"/>
      <c r="AA2089" s="14">
        <v>550</v>
      </c>
    </row>
    <row r="2090" spans="1:27" outlineLevel="7">
      <c r="A2090" s="3500" t="s">
        <v>1050</v>
      </c>
      <c r="B2090" s="3500"/>
      <c r="C2090" s="12"/>
      <c r="D2090" s="12"/>
      <c r="E2090" s="12"/>
      <c r="F2090" s="7"/>
      <c r="G2090" s="7"/>
      <c r="H2090" s="8"/>
      <c r="I2090" s="9"/>
      <c r="J2090" s="7"/>
      <c r="K2090" s="7"/>
      <c r="L2090" s="7"/>
      <c r="M2090" s="7"/>
      <c r="N2090" s="7"/>
      <c r="O2090" s="7"/>
      <c r="P2090" s="7"/>
      <c r="Q2090" s="7"/>
      <c r="R2090" s="14">
        <v>550</v>
      </c>
      <c r="S2090" s="7"/>
      <c r="T2090" s="7"/>
      <c r="U2090" s="14">
        <v>550</v>
      </c>
      <c r="V2090" s="7"/>
      <c r="W2090" s="7"/>
      <c r="X2090" s="7"/>
      <c r="Y2090" s="7"/>
      <c r="Z2090" s="12"/>
      <c r="AA2090" s="14">
        <v>550</v>
      </c>
    </row>
    <row r="2091" spans="1:27" outlineLevel="7">
      <c r="A2091" s="3499" t="s">
        <v>2218</v>
      </c>
      <c r="B2091" s="3499"/>
      <c r="C2091" s="12"/>
      <c r="D2091" s="12"/>
      <c r="E2091" s="12"/>
      <c r="F2091" s="7"/>
      <c r="G2091" s="7"/>
      <c r="H2091" s="8"/>
      <c r="I2091" s="9"/>
      <c r="J2091" s="7"/>
      <c r="K2091" s="7"/>
      <c r="L2091" s="7"/>
      <c r="M2091" s="7"/>
      <c r="N2091" s="7"/>
      <c r="O2091" s="7"/>
      <c r="P2091" s="7"/>
      <c r="Q2091" s="7"/>
      <c r="R2091" s="14">
        <v>550</v>
      </c>
      <c r="S2091" s="7"/>
      <c r="T2091" s="7"/>
      <c r="U2091" s="14">
        <v>550</v>
      </c>
      <c r="V2091" s="7"/>
      <c r="W2091" s="7"/>
      <c r="X2091" s="7"/>
      <c r="Y2091" s="7"/>
      <c r="Z2091" s="12"/>
      <c r="AA2091" s="14">
        <v>550</v>
      </c>
    </row>
    <row r="2092" spans="1:27" outlineLevel="6">
      <c r="A2092" s="3501" t="s">
        <v>417</v>
      </c>
      <c r="B2092" s="3501"/>
      <c r="C2092" s="7"/>
      <c r="D2092" s="7"/>
      <c r="E2092" s="14">
        <v>550</v>
      </c>
      <c r="F2092" s="7"/>
      <c r="G2092" s="14">
        <v>550</v>
      </c>
      <c r="H2092" s="3523">
        <v>550</v>
      </c>
      <c r="I2092" s="3523"/>
      <c r="J2092" s="7"/>
      <c r="K2092" s="7"/>
      <c r="L2092" s="7"/>
      <c r="M2092" s="7"/>
      <c r="N2092" s="7"/>
      <c r="O2092" s="7"/>
      <c r="P2092" s="7"/>
      <c r="Q2092" s="7"/>
      <c r="R2092" s="14">
        <v>550</v>
      </c>
      <c r="S2092" s="7"/>
      <c r="T2092" s="7"/>
      <c r="U2092" s="14">
        <v>550</v>
      </c>
      <c r="V2092" s="7"/>
      <c r="W2092" s="7"/>
      <c r="X2092" s="7"/>
      <c r="Y2092" s="7"/>
      <c r="Z2092" s="7"/>
      <c r="AA2092" s="7"/>
    </row>
    <row r="2093" spans="1:27" outlineLevel="7">
      <c r="A2093" s="3500" t="s">
        <v>418</v>
      </c>
      <c r="B2093" s="3500"/>
      <c r="C2093" s="7"/>
      <c r="D2093" s="7"/>
      <c r="E2093" s="14">
        <v>550</v>
      </c>
      <c r="F2093" s="7"/>
      <c r="G2093" s="14">
        <v>550</v>
      </c>
      <c r="H2093" s="3523">
        <v>550</v>
      </c>
      <c r="I2093" s="3523"/>
      <c r="J2093" s="7"/>
      <c r="K2093" s="7"/>
      <c r="L2093" s="7"/>
      <c r="M2093" s="7"/>
      <c r="N2093" s="7"/>
      <c r="O2093" s="7"/>
      <c r="P2093" s="7"/>
      <c r="Q2093" s="7"/>
      <c r="R2093" s="14">
        <v>550</v>
      </c>
      <c r="S2093" s="7"/>
      <c r="T2093" s="7"/>
      <c r="U2093" s="14">
        <v>550</v>
      </c>
      <c r="V2093" s="7"/>
      <c r="W2093" s="7"/>
      <c r="X2093" s="7"/>
      <c r="Y2093" s="7"/>
      <c r="Z2093" s="7"/>
      <c r="AA2093" s="7"/>
    </row>
    <row r="2094" spans="1:27" outlineLevel="7">
      <c r="A2094" s="3499" t="s">
        <v>2219</v>
      </c>
      <c r="B2094" s="3499"/>
      <c r="C2094" s="7"/>
      <c r="D2094" s="7"/>
      <c r="E2094" s="14">
        <v>550</v>
      </c>
      <c r="F2094" s="7"/>
      <c r="G2094" s="14">
        <v>550</v>
      </c>
      <c r="H2094" s="3523">
        <v>550</v>
      </c>
      <c r="I2094" s="3523"/>
      <c r="J2094" s="7"/>
      <c r="K2094" s="7"/>
      <c r="L2094" s="7"/>
      <c r="M2094" s="7"/>
      <c r="N2094" s="7"/>
      <c r="O2094" s="7"/>
      <c r="P2094" s="7"/>
      <c r="Q2094" s="7"/>
      <c r="R2094" s="14">
        <v>550</v>
      </c>
      <c r="S2094" s="7"/>
      <c r="T2094" s="7"/>
      <c r="U2094" s="14">
        <v>550</v>
      </c>
      <c r="V2094" s="7"/>
      <c r="W2094" s="7"/>
      <c r="X2094" s="7"/>
      <c r="Y2094" s="7"/>
      <c r="Z2094" s="7"/>
      <c r="AA2094" s="7"/>
    </row>
    <row r="2095" spans="1:27" outlineLevel="6">
      <c r="A2095" s="3501" t="s">
        <v>419</v>
      </c>
      <c r="B2095" s="3501"/>
      <c r="C2095" s="7"/>
      <c r="D2095" s="7"/>
      <c r="E2095" s="14">
        <v>550</v>
      </c>
      <c r="F2095" s="7"/>
      <c r="G2095" s="14">
        <v>550</v>
      </c>
      <c r="H2095" s="3523">
        <v>550</v>
      </c>
      <c r="I2095" s="3523"/>
      <c r="J2095" s="7"/>
      <c r="K2095" s="7"/>
      <c r="L2095" s="7"/>
      <c r="M2095" s="7"/>
      <c r="N2095" s="7"/>
      <c r="O2095" s="7"/>
      <c r="P2095" s="7"/>
      <c r="Q2095" s="7"/>
      <c r="R2095" s="14">
        <v>550</v>
      </c>
      <c r="S2095" s="7"/>
      <c r="T2095" s="7"/>
      <c r="U2095" s="14">
        <v>550</v>
      </c>
      <c r="V2095" s="7"/>
      <c r="W2095" s="7"/>
      <c r="X2095" s="7"/>
      <c r="Y2095" s="7"/>
      <c r="Z2095" s="7"/>
      <c r="AA2095" s="7"/>
    </row>
    <row r="2096" spans="1:27" outlineLevel="7">
      <c r="A2096" s="3500" t="s">
        <v>420</v>
      </c>
      <c r="B2096" s="3500"/>
      <c r="C2096" s="7"/>
      <c r="D2096" s="7"/>
      <c r="E2096" s="14">
        <v>550</v>
      </c>
      <c r="F2096" s="7"/>
      <c r="G2096" s="14">
        <v>550</v>
      </c>
      <c r="H2096" s="3523">
        <v>550</v>
      </c>
      <c r="I2096" s="3523"/>
      <c r="J2096" s="7"/>
      <c r="K2096" s="7"/>
      <c r="L2096" s="7"/>
      <c r="M2096" s="7"/>
      <c r="N2096" s="7"/>
      <c r="O2096" s="7"/>
      <c r="P2096" s="7"/>
      <c r="Q2096" s="7"/>
      <c r="R2096" s="14">
        <v>550</v>
      </c>
      <c r="S2096" s="7"/>
      <c r="T2096" s="7"/>
      <c r="U2096" s="14">
        <v>550</v>
      </c>
      <c r="V2096" s="7"/>
      <c r="W2096" s="7"/>
      <c r="X2096" s="7"/>
      <c r="Y2096" s="7"/>
      <c r="Z2096" s="7"/>
      <c r="AA2096" s="7"/>
    </row>
    <row r="2097" spans="1:27" outlineLevel="7">
      <c r="A2097" s="3499" t="s">
        <v>2220</v>
      </c>
      <c r="B2097" s="3499"/>
      <c r="C2097" s="7"/>
      <c r="D2097" s="7"/>
      <c r="E2097" s="14">
        <v>550</v>
      </c>
      <c r="F2097" s="7"/>
      <c r="G2097" s="14">
        <v>550</v>
      </c>
      <c r="H2097" s="3523">
        <v>550</v>
      </c>
      <c r="I2097" s="3523"/>
      <c r="J2097" s="7"/>
      <c r="K2097" s="7"/>
      <c r="L2097" s="7"/>
      <c r="M2097" s="7"/>
      <c r="N2097" s="7"/>
      <c r="O2097" s="7"/>
      <c r="P2097" s="7"/>
      <c r="Q2097" s="7"/>
      <c r="R2097" s="14">
        <v>550</v>
      </c>
      <c r="S2097" s="7"/>
      <c r="T2097" s="7"/>
      <c r="U2097" s="14">
        <v>550</v>
      </c>
      <c r="V2097" s="7"/>
      <c r="W2097" s="7"/>
      <c r="X2097" s="7"/>
      <c r="Y2097" s="7"/>
      <c r="Z2097" s="7"/>
      <c r="AA2097" s="7"/>
    </row>
    <row r="2098" spans="1:27" outlineLevel="6">
      <c r="A2098" s="3501" t="s">
        <v>421</v>
      </c>
      <c r="B2098" s="3501"/>
      <c r="C2098" s="7"/>
      <c r="D2098" s="7"/>
      <c r="E2098" s="14">
        <v>550</v>
      </c>
      <c r="F2098" s="7"/>
      <c r="G2098" s="14">
        <v>550</v>
      </c>
      <c r="H2098" s="3523">
        <v>550</v>
      </c>
      <c r="I2098" s="3523"/>
      <c r="J2098" s="7"/>
      <c r="K2098" s="7"/>
      <c r="L2098" s="7"/>
      <c r="M2098" s="7"/>
      <c r="N2098" s="7"/>
      <c r="O2098" s="7"/>
      <c r="P2098" s="7"/>
      <c r="Q2098" s="7"/>
      <c r="R2098" s="14">
        <v>550</v>
      </c>
      <c r="S2098" s="7"/>
      <c r="T2098" s="7"/>
      <c r="U2098" s="14">
        <v>550</v>
      </c>
      <c r="V2098" s="7"/>
      <c r="W2098" s="7"/>
      <c r="X2098" s="7"/>
      <c r="Y2098" s="7"/>
      <c r="Z2098" s="7"/>
      <c r="AA2098" s="7"/>
    </row>
    <row r="2099" spans="1:27" outlineLevel="7">
      <c r="A2099" s="3500" t="s">
        <v>422</v>
      </c>
      <c r="B2099" s="3500"/>
      <c r="C2099" s="7"/>
      <c r="D2099" s="7"/>
      <c r="E2099" s="14">
        <v>550</v>
      </c>
      <c r="F2099" s="7"/>
      <c r="G2099" s="14">
        <v>550</v>
      </c>
      <c r="H2099" s="3523">
        <v>550</v>
      </c>
      <c r="I2099" s="3523"/>
      <c r="J2099" s="7"/>
      <c r="K2099" s="7"/>
      <c r="L2099" s="7"/>
      <c r="M2099" s="7"/>
      <c r="N2099" s="7"/>
      <c r="O2099" s="7"/>
      <c r="P2099" s="7"/>
      <c r="Q2099" s="7"/>
      <c r="R2099" s="14">
        <v>550</v>
      </c>
      <c r="S2099" s="7"/>
      <c r="T2099" s="7"/>
      <c r="U2099" s="14">
        <v>550</v>
      </c>
      <c r="V2099" s="7"/>
      <c r="W2099" s="7"/>
      <c r="X2099" s="7"/>
      <c r="Y2099" s="7"/>
      <c r="Z2099" s="7"/>
      <c r="AA2099" s="7"/>
    </row>
    <row r="2100" spans="1:27" outlineLevel="7">
      <c r="A2100" s="3499" t="s">
        <v>2221</v>
      </c>
      <c r="B2100" s="3499"/>
      <c r="C2100" s="7"/>
      <c r="D2100" s="7"/>
      <c r="E2100" s="14">
        <v>550</v>
      </c>
      <c r="F2100" s="7"/>
      <c r="G2100" s="14">
        <v>550</v>
      </c>
      <c r="H2100" s="3523">
        <v>550</v>
      </c>
      <c r="I2100" s="3523"/>
      <c r="J2100" s="7"/>
      <c r="K2100" s="7"/>
      <c r="L2100" s="7"/>
      <c r="M2100" s="7"/>
      <c r="N2100" s="7"/>
      <c r="O2100" s="7"/>
      <c r="P2100" s="7"/>
      <c r="Q2100" s="7"/>
      <c r="R2100" s="14">
        <v>550</v>
      </c>
      <c r="S2100" s="7"/>
      <c r="T2100" s="7"/>
      <c r="U2100" s="14">
        <v>550</v>
      </c>
      <c r="V2100" s="7"/>
      <c r="W2100" s="7"/>
      <c r="X2100" s="7"/>
      <c r="Y2100" s="7"/>
      <c r="Z2100" s="7"/>
      <c r="AA2100" s="7"/>
    </row>
    <row r="2101" spans="1:27" outlineLevel="6">
      <c r="A2101" s="3501" t="s">
        <v>1051</v>
      </c>
      <c r="B2101" s="3501"/>
      <c r="C2101" s="12"/>
      <c r="D2101" s="12"/>
      <c r="E2101" s="12"/>
      <c r="F2101" s="7"/>
      <c r="G2101" s="7"/>
      <c r="H2101" s="8"/>
      <c r="I2101" s="9"/>
      <c r="J2101" s="7"/>
      <c r="K2101" s="7"/>
      <c r="L2101" s="7"/>
      <c r="M2101" s="7"/>
      <c r="N2101" s="7"/>
      <c r="O2101" s="7"/>
      <c r="P2101" s="7"/>
      <c r="Q2101" s="7"/>
      <c r="R2101" s="14">
        <v>550</v>
      </c>
      <c r="S2101" s="7"/>
      <c r="T2101" s="7"/>
      <c r="U2101" s="14">
        <v>550</v>
      </c>
      <c r="V2101" s="7"/>
      <c r="W2101" s="7"/>
      <c r="X2101" s="7"/>
      <c r="Y2101" s="7"/>
      <c r="Z2101" s="12"/>
      <c r="AA2101" s="14">
        <v>550</v>
      </c>
    </row>
    <row r="2102" spans="1:27" outlineLevel="7">
      <c r="A2102" s="3500" t="s">
        <v>1052</v>
      </c>
      <c r="B2102" s="3500"/>
      <c r="C2102" s="12"/>
      <c r="D2102" s="12"/>
      <c r="E2102" s="12"/>
      <c r="F2102" s="7"/>
      <c r="G2102" s="7"/>
      <c r="H2102" s="8"/>
      <c r="I2102" s="9"/>
      <c r="J2102" s="7"/>
      <c r="K2102" s="7"/>
      <c r="L2102" s="7"/>
      <c r="M2102" s="7"/>
      <c r="N2102" s="7"/>
      <c r="O2102" s="7"/>
      <c r="P2102" s="7"/>
      <c r="Q2102" s="7"/>
      <c r="R2102" s="14">
        <v>550</v>
      </c>
      <c r="S2102" s="7"/>
      <c r="T2102" s="7"/>
      <c r="U2102" s="14">
        <v>550</v>
      </c>
      <c r="V2102" s="7"/>
      <c r="W2102" s="7"/>
      <c r="X2102" s="7"/>
      <c r="Y2102" s="7"/>
      <c r="Z2102" s="12"/>
      <c r="AA2102" s="14">
        <v>550</v>
      </c>
    </row>
    <row r="2103" spans="1:27" outlineLevel="7">
      <c r="A2103" s="3499" t="s">
        <v>2222</v>
      </c>
      <c r="B2103" s="3499"/>
      <c r="C2103" s="12"/>
      <c r="D2103" s="12"/>
      <c r="E2103" s="12"/>
      <c r="F2103" s="7"/>
      <c r="G2103" s="7"/>
      <c r="H2103" s="8"/>
      <c r="I2103" s="9"/>
      <c r="J2103" s="7"/>
      <c r="K2103" s="7"/>
      <c r="L2103" s="7"/>
      <c r="M2103" s="7"/>
      <c r="N2103" s="7"/>
      <c r="O2103" s="7"/>
      <c r="P2103" s="7"/>
      <c r="Q2103" s="7"/>
      <c r="R2103" s="14">
        <v>550</v>
      </c>
      <c r="S2103" s="7"/>
      <c r="T2103" s="7"/>
      <c r="U2103" s="14">
        <v>550</v>
      </c>
      <c r="V2103" s="7"/>
      <c r="W2103" s="7"/>
      <c r="X2103" s="7"/>
      <c r="Y2103" s="7"/>
      <c r="Z2103" s="12"/>
      <c r="AA2103" s="14">
        <v>550</v>
      </c>
    </row>
    <row r="2104" spans="1:27" outlineLevel="6">
      <c r="A2104" s="3501" t="s">
        <v>423</v>
      </c>
      <c r="B2104" s="3501"/>
      <c r="C2104" s="12"/>
      <c r="D2104" s="14">
        <v>550</v>
      </c>
      <c r="E2104" s="14">
        <v>550</v>
      </c>
      <c r="F2104" s="7"/>
      <c r="G2104" s="14">
        <v>550</v>
      </c>
      <c r="H2104" s="3523">
        <v>550</v>
      </c>
      <c r="I2104" s="3523"/>
      <c r="J2104" s="7"/>
      <c r="K2104" s="7"/>
      <c r="L2104" s="7"/>
      <c r="M2104" s="7"/>
      <c r="N2104" s="7"/>
      <c r="O2104" s="7"/>
      <c r="P2104" s="7"/>
      <c r="Q2104" s="7"/>
      <c r="R2104" s="12"/>
      <c r="S2104" s="7"/>
      <c r="T2104" s="7"/>
      <c r="U2104" s="7"/>
      <c r="V2104" s="7"/>
      <c r="W2104" s="7"/>
      <c r="X2104" s="7"/>
      <c r="Y2104" s="7"/>
      <c r="Z2104" s="12"/>
      <c r="AA2104" s="12"/>
    </row>
    <row r="2105" spans="1:27" outlineLevel="7">
      <c r="A2105" s="3500" t="s">
        <v>424</v>
      </c>
      <c r="B2105" s="3500"/>
      <c r="C2105" s="12"/>
      <c r="D2105" s="14">
        <v>550</v>
      </c>
      <c r="E2105" s="14">
        <v>550</v>
      </c>
      <c r="F2105" s="7"/>
      <c r="G2105" s="14">
        <v>550</v>
      </c>
      <c r="H2105" s="3523">
        <v>550</v>
      </c>
      <c r="I2105" s="3523"/>
      <c r="J2105" s="7"/>
      <c r="K2105" s="7"/>
      <c r="L2105" s="7"/>
      <c r="M2105" s="7"/>
      <c r="N2105" s="7"/>
      <c r="O2105" s="7"/>
      <c r="P2105" s="7"/>
      <c r="Q2105" s="7"/>
      <c r="R2105" s="12"/>
      <c r="S2105" s="7"/>
      <c r="T2105" s="7"/>
      <c r="U2105" s="7"/>
      <c r="V2105" s="7"/>
      <c r="W2105" s="7"/>
      <c r="X2105" s="7"/>
      <c r="Y2105" s="7"/>
      <c r="Z2105" s="12"/>
      <c r="AA2105" s="12"/>
    </row>
    <row r="2106" spans="1:27" outlineLevel="7">
      <c r="A2106" s="3499" t="s">
        <v>2223</v>
      </c>
      <c r="B2106" s="3499"/>
      <c r="C2106" s="12"/>
      <c r="D2106" s="14">
        <v>550</v>
      </c>
      <c r="E2106" s="14">
        <v>550</v>
      </c>
      <c r="F2106" s="7"/>
      <c r="G2106" s="14">
        <v>550</v>
      </c>
      <c r="H2106" s="3523">
        <v>550</v>
      </c>
      <c r="I2106" s="3523"/>
      <c r="J2106" s="7"/>
      <c r="K2106" s="7"/>
      <c r="L2106" s="7"/>
      <c r="M2106" s="7"/>
      <c r="N2106" s="7"/>
      <c r="O2106" s="7"/>
      <c r="P2106" s="7"/>
      <c r="Q2106" s="7"/>
      <c r="R2106" s="12"/>
      <c r="S2106" s="7"/>
      <c r="T2106" s="7"/>
      <c r="U2106" s="7"/>
      <c r="V2106" s="7"/>
      <c r="W2106" s="7"/>
      <c r="X2106" s="7"/>
      <c r="Y2106" s="7"/>
      <c r="Z2106" s="12"/>
      <c r="AA2106" s="12"/>
    </row>
    <row r="2107" spans="1:27" outlineLevel="6">
      <c r="A2107" s="3501" t="s">
        <v>425</v>
      </c>
      <c r="B2107" s="3501"/>
      <c r="C2107" s="7"/>
      <c r="D2107" s="7"/>
      <c r="E2107" s="14">
        <v>550</v>
      </c>
      <c r="F2107" s="7"/>
      <c r="G2107" s="14">
        <v>550</v>
      </c>
      <c r="H2107" s="3523">
        <v>550</v>
      </c>
      <c r="I2107" s="3523"/>
      <c r="J2107" s="7"/>
      <c r="K2107" s="7"/>
      <c r="L2107" s="7"/>
      <c r="M2107" s="7"/>
      <c r="N2107" s="7"/>
      <c r="O2107" s="7"/>
      <c r="P2107" s="7"/>
      <c r="Q2107" s="7"/>
      <c r="R2107" s="14">
        <v>550</v>
      </c>
      <c r="S2107" s="7"/>
      <c r="T2107" s="7"/>
      <c r="U2107" s="14">
        <v>550</v>
      </c>
      <c r="V2107" s="7"/>
      <c r="W2107" s="7"/>
      <c r="X2107" s="7"/>
      <c r="Y2107" s="7"/>
      <c r="Z2107" s="7"/>
      <c r="AA2107" s="7"/>
    </row>
    <row r="2108" spans="1:27" outlineLevel="7">
      <c r="A2108" s="3500" t="s">
        <v>426</v>
      </c>
      <c r="B2108" s="3500"/>
      <c r="C2108" s="7"/>
      <c r="D2108" s="7"/>
      <c r="E2108" s="14">
        <v>550</v>
      </c>
      <c r="F2108" s="7"/>
      <c r="G2108" s="14">
        <v>550</v>
      </c>
      <c r="H2108" s="3523">
        <v>550</v>
      </c>
      <c r="I2108" s="3523"/>
      <c r="J2108" s="7"/>
      <c r="K2108" s="7"/>
      <c r="L2108" s="7"/>
      <c r="M2108" s="7"/>
      <c r="N2108" s="7"/>
      <c r="O2108" s="7"/>
      <c r="P2108" s="7"/>
      <c r="Q2108" s="7"/>
      <c r="R2108" s="14">
        <v>550</v>
      </c>
      <c r="S2108" s="7"/>
      <c r="T2108" s="7"/>
      <c r="U2108" s="14">
        <v>550</v>
      </c>
      <c r="V2108" s="7"/>
      <c r="W2108" s="7"/>
      <c r="X2108" s="7"/>
      <c r="Y2108" s="7"/>
      <c r="Z2108" s="7"/>
      <c r="AA2108" s="7"/>
    </row>
    <row r="2109" spans="1:27" outlineLevel="7">
      <c r="A2109" s="3499" t="s">
        <v>2224</v>
      </c>
      <c r="B2109" s="3499"/>
      <c r="C2109" s="7"/>
      <c r="D2109" s="7"/>
      <c r="E2109" s="14">
        <v>550</v>
      </c>
      <c r="F2109" s="7"/>
      <c r="G2109" s="14">
        <v>550</v>
      </c>
      <c r="H2109" s="3523">
        <v>550</v>
      </c>
      <c r="I2109" s="3523"/>
      <c r="J2109" s="7"/>
      <c r="K2109" s="7"/>
      <c r="L2109" s="7"/>
      <c r="M2109" s="7"/>
      <c r="N2109" s="7"/>
      <c r="O2109" s="7"/>
      <c r="P2109" s="7"/>
      <c r="Q2109" s="7"/>
      <c r="R2109" s="14">
        <v>550</v>
      </c>
      <c r="S2109" s="7"/>
      <c r="T2109" s="7"/>
      <c r="U2109" s="14">
        <v>550</v>
      </c>
      <c r="V2109" s="7"/>
      <c r="W2109" s="7"/>
      <c r="X2109" s="7"/>
      <c r="Y2109" s="7"/>
      <c r="Z2109" s="7"/>
      <c r="AA2109" s="7"/>
    </row>
    <row r="2110" spans="1:27" outlineLevel="6">
      <c r="A2110" s="3501" t="s">
        <v>427</v>
      </c>
      <c r="B2110" s="3501"/>
      <c r="C2110" s="7"/>
      <c r="D2110" s="7"/>
      <c r="E2110" s="14">
        <v>550</v>
      </c>
      <c r="F2110" s="7"/>
      <c r="G2110" s="14">
        <v>550</v>
      </c>
      <c r="H2110" s="3523">
        <v>550</v>
      </c>
      <c r="I2110" s="3523"/>
      <c r="J2110" s="7"/>
      <c r="K2110" s="7"/>
      <c r="L2110" s="7"/>
      <c r="M2110" s="7"/>
      <c r="N2110" s="7"/>
      <c r="O2110" s="7"/>
      <c r="P2110" s="7"/>
      <c r="Q2110" s="7"/>
      <c r="R2110" s="14">
        <v>550</v>
      </c>
      <c r="S2110" s="7"/>
      <c r="T2110" s="7"/>
      <c r="U2110" s="14">
        <v>550</v>
      </c>
      <c r="V2110" s="7"/>
      <c r="W2110" s="7"/>
      <c r="X2110" s="7"/>
      <c r="Y2110" s="7"/>
      <c r="Z2110" s="7"/>
      <c r="AA2110" s="7"/>
    </row>
    <row r="2111" spans="1:27" outlineLevel="7">
      <c r="A2111" s="3500" t="s">
        <v>428</v>
      </c>
      <c r="B2111" s="3500"/>
      <c r="C2111" s="7"/>
      <c r="D2111" s="7"/>
      <c r="E2111" s="14">
        <v>550</v>
      </c>
      <c r="F2111" s="7"/>
      <c r="G2111" s="14">
        <v>550</v>
      </c>
      <c r="H2111" s="3523">
        <v>550</v>
      </c>
      <c r="I2111" s="3523"/>
      <c r="J2111" s="7"/>
      <c r="K2111" s="7"/>
      <c r="L2111" s="7"/>
      <c r="M2111" s="7"/>
      <c r="N2111" s="7"/>
      <c r="O2111" s="7"/>
      <c r="P2111" s="7"/>
      <c r="Q2111" s="7"/>
      <c r="R2111" s="14">
        <v>550</v>
      </c>
      <c r="S2111" s="7"/>
      <c r="T2111" s="7"/>
      <c r="U2111" s="14">
        <v>550</v>
      </c>
      <c r="V2111" s="7"/>
      <c r="W2111" s="7"/>
      <c r="X2111" s="7"/>
      <c r="Y2111" s="7"/>
      <c r="Z2111" s="7"/>
      <c r="AA2111" s="7"/>
    </row>
    <row r="2112" spans="1:27" outlineLevel="7">
      <c r="A2112" s="3499" t="s">
        <v>2225</v>
      </c>
      <c r="B2112" s="3499"/>
      <c r="C2112" s="7"/>
      <c r="D2112" s="7"/>
      <c r="E2112" s="14">
        <v>550</v>
      </c>
      <c r="F2112" s="7"/>
      <c r="G2112" s="14">
        <v>550</v>
      </c>
      <c r="H2112" s="3523">
        <v>550</v>
      </c>
      <c r="I2112" s="3523"/>
      <c r="J2112" s="7"/>
      <c r="K2112" s="7"/>
      <c r="L2112" s="7"/>
      <c r="M2112" s="7"/>
      <c r="N2112" s="7"/>
      <c r="O2112" s="7"/>
      <c r="P2112" s="7"/>
      <c r="Q2112" s="7"/>
      <c r="R2112" s="14">
        <v>550</v>
      </c>
      <c r="S2112" s="7"/>
      <c r="T2112" s="7"/>
      <c r="U2112" s="14">
        <v>550</v>
      </c>
      <c r="V2112" s="7"/>
      <c r="W2112" s="7"/>
      <c r="X2112" s="7"/>
      <c r="Y2112" s="7"/>
      <c r="Z2112" s="7"/>
      <c r="AA2112" s="7"/>
    </row>
    <row r="2113" spans="1:27" outlineLevel="6">
      <c r="A2113" s="3501" t="s">
        <v>1053</v>
      </c>
      <c r="B2113" s="3501"/>
      <c r="C2113" s="12"/>
      <c r="D2113" s="14">
        <v>550</v>
      </c>
      <c r="E2113" s="7"/>
      <c r="F2113" s="7"/>
      <c r="G2113" s="7"/>
      <c r="H2113" s="8"/>
      <c r="I2113" s="9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12"/>
      <c r="AA2113" s="14">
        <v>550</v>
      </c>
    </row>
    <row r="2114" spans="1:27" outlineLevel="7">
      <c r="A2114" s="3500" t="s">
        <v>1054</v>
      </c>
      <c r="B2114" s="3500"/>
      <c r="C2114" s="12"/>
      <c r="D2114" s="14">
        <v>550</v>
      </c>
      <c r="E2114" s="7"/>
      <c r="F2114" s="7"/>
      <c r="G2114" s="7"/>
      <c r="H2114" s="8"/>
      <c r="I2114" s="9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12"/>
      <c r="AA2114" s="14">
        <v>550</v>
      </c>
    </row>
    <row r="2115" spans="1:27" outlineLevel="7">
      <c r="A2115" s="3499" t="s">
        <v>2226</v>
      </c>
      <c r="B2115" s="3499"/>
      <c r="C2115" s="12"/>
      <c r="D2115" s="14">
        <v>550</v>
      </c>
      <c r="E2115" s="7"/>
      <c r="F2115" s="7"/>
      <c r="G2115" s="7"/>
      <c r="H2115" s="8"/>
      <c r="I2115" s="9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12"/>
      <c r="AA2115" s="14">
        <v>550</v>
      </c>
    </row>
    <row r="2116" spans="1:27" outlineLevel="6">
      <c r="A2116" s="3501" t="s">
        <v>431</v>
      </c>
      <c r="B2116" s="3501"/>
      <c r="C2116" s="7"/>
      <c r="D2116" s="7"/>
      <c r="E2116" s="14">
        <v>550</v>
      </c>
      <c r="F2116" s="7"/>
      <c r="G2116" s="14">
        <v>550</v>
      </c>
      <c r="H2116" s="3523">
        <v>550</v>
      </c>
      <c r="I2116" s="3523"/>
      <c r="J2116" s="7"/>
      <c r="K2116" s="7"/>
      <c r="L2116" s="7"/>
      <c r="M2116" s="7"/>
      <c r="N2116" s="7"/>
      <c r="O2116" s="7"/>
      <c r="P2116" s="7"/>
      <c r="Q2116" s="7"/>
      <c r="R2116" s="14">
        <v>550</v>
      </c>
      <c r="S2116" s="7"/>
      <c r="T2116" s="7"/>
      <c r="U2116" s="14">
        <v>550</v>
      </c>
      <c r="V2116" s="7"/>
      <c r="W2116" s="7"/>
      <c r="X2116" s="7"/>
      <c r="Y2116" s="7"/>
      <c r="Z2116" s="7"/>
      <c r="AA2116" s="7"/>
    </row>
    <row r="2117" spans="1:27" outlineLevel="7">
      <c r="A2117" s="3500" t="s">
        <v>432</v>
      </c>
      <c r="B2117" s="3500"/>
      <c r="C2117" s="7"/>
      <c r="D2117" s="7"/>
      <c r="E2117" s="14">
        <v>550</v>
      </c>
      <c r="F2117" s="7"/>
      <c r="G2117" s="14">
        <v>550</v>
      </c>
      <c r="H2117" s="3523">
        <v>550</v>
      </c>
      <c r="I2117" s="3523"/>
      <c r="J2117" s="7"/>
      <c r="K2117" s="7"/>
      <c r="L2117" s="7"/>
      <c r="M2117" s="7"/>
      <c r="N2117" s="7"/>
      <c r="O2117" s="7"/>
      <c r="P2117" s="7"/>
      <c r="Q2117" s="7"/>
      <c r="R2117" s="14">
        <v>550</v>
      </c>
      <c r="S2117" s="7"/>
      <c r="T2117" s="7"/>
      <c r="U2117" s="14">
        <v>550</v>
      </c>
      <c r="V2117" s="7"/>
      <c r="W2117" s="7"/>
      <c r="X2117" s="7"/>
      <c r="Y2117" s="7"/>
      <c r="Z2117" s="7"/>
      <c r="AA2117" s="7"/>
    </row>
    <row r="2118" spans="1:27" outlineLevel="7">
      <c r="A2118" s="3499" t="s">
        <v>2227</v>
      </c>
      <c r="B2118" s="3499"/>
      <c r="C2118" s="7"/>
      <c r="D2118" s="7"/>
      <c r="E2118" s="14">
        <v>550</v>
      </c>
      <c r="F2118" s="7"/>
      <c r="G2118" s="14">
        <v>550</v>
      </c>
      <c r="H2118" s="3523">
        <v>550</v>
      </c>
      <c r="I2118" s="3523"/>
      <c r="J2118" s="7"/>
      <c r="K2118" s="7"/>
      <c r="L2118" s="7"/>
      <c r="M2118" s="7"/>
      <c r="N2118" s="7"/>
      <c r="O2118" s="7"/>
      <c r="P2118" s="7"/>
      <c r="Q2118" s="7"/>
      <c r="R2118" s="14">
        <v>550</v>
      </c>
      <c r="S2118" s="7"/>
      <c r="T2118" s="7"/>
      <c r="U2118" s="14">
        <v>550</v>
      </c>
      <c r="V2118" s="7"/>
      <c r="W2118" s="7"/>
      <c r="X2118" s="7"/>
      <c r="Y2118" s="7"/>
      <c r="Z2118" s="7"/>
      <c r="AA2118" s="7"/>
    </row>
    <row r="2119" spans="1:27" outlineLevel="6">
      <c r="A2119" s="3501" t="s">
        <v>433</v>
      </c>
      <c r="B2119" s="3501"/>
      <c r="C2119" s="7"/>
      <c r="D2119" s="7"/>
      <c r="E2119" s="14">
        <v>550</v>
      </c>
      <c r="F2119" s="7"/>
      <c r="G2119" s="14">
        <v>550</v>
      </c>
      <c r="H2119" s="3523">
        <v>550</v>
      </c>
      <c r="I2119" s="3523"/>
      <c r="J2119" s="7"/>
      <c r="K2119" s="7"/>
      <c r="L2119" s="7"/>
      <c r="M2119" s="7"/>
      <c r="N2119" s="7"/>
      <c r="O2119" s="7"/>
      <c r="P2119" s="7"/>
      <c r="Q2119" s="7"/>
      <c r="R2119" s="14">
        <v>550</v>
      </c>
      <c r="S2119" s="7"/>
      <c r="T2119" s="7"/>
      <c r="U2119" s="14">
        <v>550</v>
      </c>
      <c r="V2119" s="7"/>
      <c r="W2119" s="7"/>
      <c r="X2119" s="7"/>
      <c r="Y2119" s="7"/>
      <c r="Z2119" s="7"/>
      <c r="AA2119" s="7"/>
    </row>
    <row r="2120" spans="1:27" outlineLevel="7">
      <c r="A2120" s="3500" t="s">
        <v>434</v>
      </c>
      <c r="B2120" s="3500"/>
      <c r="C2120" s="7"/>
      <c r="D2120" s="7"/>
      <c r="E2120" s="14">
        <v>550</v>
      </c>
      <c r="F2120" s="7"/>
      <c r="G2120" s="14">
        <v>550</v>
      </c>
      <c r="H2120" s="3523">
        <v>550</v>
      </c>
      <c r="I2120" s="3523"/>
      <c r="J2120" s="7"/>
      <c r="K2120" s="7"/>
      <c r="L2120" s="7"/>
      <c r="M2120" s="7"/>
      <c r="N2120" s="7"/>
      <c r="O2120" s="7"/>
      <c r="P2120" s="7"/>
      <c r="Q2120" s="7"/>
      <c r="R2120" s="14">
        <v>550</v>
      </c>
      <c r="S2120" s="7"/>
      <c r="T2120" s="7"/>
      <c r="U2120" s="14">
        <v>550</v>
      </c>
      <c r="V2120" s="7"/>
      <c r="W2120" s="7"/>
      <c r="X2120" s="7"/>
      <c r="Y2120" s="7"/>
      <c r="Z2120" s="7"/>
      <c r="AA2120" s="7"/>
    </row>
    <row r="2121" spans="1:27" outlineLevel="7">
      <c r="A2121" s="3499" t="s">
        <v>2228</v>
      </c>
      <c r="B2121" s="3499"/>
      <c r="C2121" s="7"/>
      <c r="D2121" s="7"/>
      <c r="E2121" s="14">
        <v>550</v>
      </c>
      <c r="F2121" s="7"/>
      <c r="G2121" s="14">
        <v>550</v>
      </c>
      <c r="H2121" s="3523">
        <v>550</v>
      </c>
      <c r="I2121" s="3523"/>
      <c r="J2121" s="7"/>
      <c r="K2121" s="7"/>
      <c r="L2121" s="7"/>
      <c r="M2121" s="7"/>
      <c r="N2121" s="7"/>
      <c r="O2121" s="7"/>
      <c r="P2121" s="7"/>
      <c r="Q2121" s="7"/>
      <c r="R2121" s="14">
        <v>550</v>
      </c>
      <c r="S2121" s="7"/>
      <c r="T2121" s="7"/>
      <c r="U2121" s="14">
        <v>550</v>
      </c>
      <c r="V2121" s="7"/>
      <c r="W2121" s="7"/>
      <c r="X2121" s="7"/>
      <c r="Y2121" s="7"/>
      <c r="Z2121" s="7"/>
      <c r="AA2121" s="7"/>
    </row>
    <row r="2122" spans="1:27" outlineLevel="6">
      <c r="A2122" s="3501" t="s">
        <v>1055</v>
      </c>
      <c r="B2122" s="3501"/>
      <c r="C2122" s="12"/>
      <c r="D2122" s="12"/>
      <c r="E2122" s="12"/>
      <c r="F2122" s="7"/>
      <c r="G2122" s="7"/>
      <c r="H2122" s="8"/>
      <c r="I2122" s="9"/>
      <c r="J2122" s="7"/>
      <c r="K2122" s="7"/>
      <c r="L2122" s="7"/>
      <c r="M2122" s="7"/>
      <c r="N2122" s="7"/>
      <c r="O2122" s="7"/>
      <c r="P2122" s="7"/>
      <c r="Q2122" s="7"/>
      <c r="R2122" s="14">
        <v>550</v>
      </c>
      <c r="S2122" s="7"/>
      <c r="T2122" s="7"/>
      <c r="U2122" s="14">
        <v>550</v>
      </c>
      <c r="V2122" s="7"/>
      <c r="W2122" s="7"/>
      <c r="X2122" s="7"/>
      <c r="Y2122" s="7"/>
      <c r="Z2122" s="12"/>
      <c r="AA2122" s="14">
        <v>550</v>
      </c>
    </row>
    <row r="2123" spans="1:27" outlineLevel="7">
      <c r="A2123" s="3500" t="s">
        <v>1056</v>
      </c>
      <c r="B2123" s="3500"/>
      <c r="C2123" s="12"/>
      <c r="D2123" s="12"/>
      <c r="E2123" s="12"/>
      <c r="F2123" s="7"/>
      <c r="G2123" s="7"/>
      <c r="H2123" s="8"/>
      <c r="I2123" s="9"/>
      <c r="J2123" s="7"/>
      <c r="K2123" s="7"/>
      <c r="L2123" s="7"/>
      <c r="M2123" s="7"/>
      <c r="N2123" s="7"/>
      <c r="O2123" s="7"/>
      <c r="P2123" s="7"/>
      <c r="Q2123" s="7"/>
      <c r="R2123" s="14">
        <v>550</v>
      </c>
      <c r="S2123" s="7"/>
      <c r="T2123" s="7"/>
      <c r="U2123" s="14">
        <v>550</v>
      </c>
      <c r="V2123" s="7"/>
      <c r="W2123" s="7"/>
      <c r="X2123" s="7"/>
      <c r="Y2123" s="7"/>
      <c r="Z2123" s="12"/>
      <c r="AA2123" s="14">
        <v>550</v>
      </c>
    </row>
    <row r="2124" spans="1:27" outlineLevel="7">
      <c r="A2124" s="3499" t="s">
        <v>2229</v>
      </c>
      <c r="B2124" s="3499"/>
      <c r="C2124" s="12"/>
      <c r="D2124" s="12"/>
      <c r="E2124" s="12"/>
      <c r="F2124" s="7"/>
      <c r="G2124" s="7"/>
      <c r="H2124" s="8"/>
      <c r="I2124" s="9"/>
      <c r="J2124" s="7"/>
      <c r="K2124" s="7"/>
      <c r="L2124" s="7"/>
      <c r="M2124" s="7"/>
      <c r="N2124" s="7"/>
      <c r="O2124" s="7"/>
      <c r="P2124" s="7"/>
      <c r="Q2124" s="7"/>
      <c r="R2124" s="14">
        <v>550</v>
      </c>
      <c r="S2124" s="7"/>
      <c r="T2124" s="7"/>
      <c r="U2124" s="14">
        <v>550</v>
      </c>
      <c r="V2124" s="7"/>
      <c r="W2124" s="7"/>
      <c r="X2124" s="7"/>
      <c r="Y2124" s="7"/>
      <c r="Z2124" s="12"/>
      <c r="AA2124" s="14">
        <v>550</v>
      </c>
    </row>
    <row r="2125" spans="1:27" outlineLevel="6">
      <c r="A2125" s="3501" t="s">
        <v>1057</v>
      </c>
      <c r="B2125" s="3501"/>
      <c r="C2125" s="12"/>
      <c r="D2125" s="12"/>
      <c r="E2125" s="12"/>
      <c r="F2125" s="7"/>
      <c r="G2125" s="7"/>
      <c r="H2125" s="8"/>
      <c r="I2125" s="9"/>
      <c r="J2125" s="7"/>
      <c r="K2125" s="7"/>
      <c r="L2125" s="7"/>
      <c r="M2125" s="7"/>
      <c r="N2125" s="7"/>
      <c r="O2125" s="7"/>
      <c r="P2125" s="7"/>
      <c r="Q2125" s="7"/>
      <c r="R2125" s="14">
        <v>550</v>
      </c>
      <c r="S2125" s="7"/>
      <c r="T2125" s="7"/>
      <c r="U2125" s="14">
        <v>550</v>
      </c>
      <c r="V2125" s="7"/>
      <c r="W2125" s="7"/>
      <c r="X2125" s="7"/>
      <c r="Y2125" s="7"/>
      <c r="Z2125" s="12"/>
      <c r="AA2125" s="14">
        <v>550</v>
      </c>
    </row>
    <row r="2126" spans="1:27" outlineLevel="7">
      <c r="A2126" s="3500" t="s">
        <v>1058</v>
      </c>
      <c r="B2126" s="3500"/>
      <c r="C2126" s="12"/>
      <c r="D2126" s="12"/>
      <c r="E2126" s="12"/>
      <c r="F2126" s="7"/>
      <c r="G2126" s="7"/>
      <c r="H2126" s="8"/>
      <c r="I2126" s="9"/>
      <c r="J2126" s="7"/>
      <c r="K2126" s="7"/>
      <c r="L2126" s="7"/>
      <c r="M2126" s="7"/>
      <c r="N2126" s="7"/>
      <c r="O2126" s="7"/>
      <c r="P2126" s="7"/>
      <c r="Q2126" s="7"/>
      <c r="R2126" s="14">
        <v>550</v>
      </c>
      <c r="S2126" s="7"/>
      <c r="T2126" s="7"/>
      <c r="U2126" s="14">
        <v>550</v>
      </c>
      <c r="V2126" s="7"/>
      <c r="W2126" s="7"/>
      <c r="X2126" s="7"/>
      <c r="Y2126" s="7"/>
      <c r="Z2126" s="12"/>
      <c r="AA2126" s="14">
        <v>550</v>
      </c>
    </row>
    <row r="2127" spans="1:27" outlineLevel="7">
      <c r="A2127" s="3499" t="s">
        <v>2230</v>
      </c>
      <c r="B2127" s="3499"/>
      <c r="C2127" s="12"/>
      <c r="D2127" s="12"/>
      <c r="E2127" s="12"/>
      <c r="F2127" s="7"/>
      <c r="G2127" s="7"/>
      <c r="H2127" s="8"/>
      <c r="I2127" s="9"/>
      <c r="J2127" s="7"/>
      <c r="K2127" s="7"/>
      <c r="L2127" s="7"/>
      <c r="M2127" s="7"/>
      <c r="N2127" s="7"/>
      <c r="O2127" s="7"/>
      <c r="P2127" s="7"/>
      <c r="Q2127" s="7"/>
      <c r="R2127" s="14">
        <v>550</v>
      </c>
      <c r="S2127" s="7"/>
      <c r="T2127" s="7"/>
      <c r="U2127" s="14">
        <v>550</v>
      </c>
      <c r="V2127" s="7"/>
      <c r="W2127" s="7"/>
      <c r="X2127" s="7"/>
      <c r="Y2127" s="7"/>
      <c r="Z2127" s="12"/>
      <c r="AA2127" s="14">
        <v>550</v>
      </c>
    </row>
    <row r="2128" spans="1:27" outlineLevel="6">
      <c r="A2128" s="3501" t="s">
        <v>1059</v>
      </c>
      <c r="B2128" s="3501"/>
      <c r="C2128" s="12"/>
      <c r="D2128" s="12"/>
      <c r="E2128" s="12"/>
      <c r="F2128" s="7"/>
      <c r="G2128" s="7"/>
      <c r="H2128" s="8"/>
      <c r="I2128" s="9"/>
      <c r="J2128" s="7"/>
      <c r="K2128" s="7"/>
      <c r="L2128" s="7"/>
      <c r="M2128" s="7"/>
      <c r="N2128" s="7"/>
      <c r="O2128" s="7"/>
      <c r="P2128" s="7"/>
      <c r="Q2128" s="7"/>
      <c r="R2128" s="14">
        <v>550</v>
      </c>
      <c r="S2128" s="7"/>
      <c r="T2128" s="7"/>
      <c r="U2128" s="14">
        <v>550</v>
      </c>
      <c r="V2128" s="7"/>
      <c r="W2128" s="7"/>
      <c r="X2128" s="7"/>
      <c r="Y2128" s="7"/>
      <c r="Z2128" s="12"/>
      <c r="AA2128" s="14">
        <v>550</v>
      </c>
    </row>
    <row r="2129" spans="1:27" outlineLevel="7">
      <c r="A2129" s="3500" t="s">
        <v>1060</v>
      </c>
      <c r="B2129" s="3500"/>
      <c r="C2129" s="12"/>
      <c r="D2129" s="12"/>
      <c r="E2129" s="12"/>
      <c r="F2129" s="7"/>
      <c r="G2129" s="7"/>
      <c r="H2129" s="8"/>
      <c r="I2129" s="9"/>
      <c r="J2129" s="7"/>
      <c r="K2129" s="7"/>
      <c r="L2129" s="7"/>
      <c r="M2129" s="7"/>
      <c r="N2129" s="7"/>
      <c r="O2129" s="7"/>
      <c r="P2129" s="7"/>
      <c r="Q2129" s="7"/>
      <c r="R2129" s="14">
        <v>550</v>
      </c>
      <c r="S2129" s="7"/>
      <c r="T2129" s="7"/>
      <c r="U2129" s="14">
        <v>550</v>
      </c>
      <c r="V2129" s="7"/>
      <c r="W2129" s="7"/>
      <c r="X2129" s="7"/>
      <c r="Y2129" s="7"/>
      <c r="Z2129" s="12"/>
      <c r="AA2129" s="14">
        <v>550</v>
      </c>
    </row>
    <row r="2130" spans="1:27" outlineLevel="7">
      <c r="A2130" s="3499" t="s">
        <v>2231</v>
      </c>
      <c r="B2130" s="3499"/>
      <c r="C2130" s="12"/>
      <c r="D2130" s="12"/>
      <c r="E2130" s="12"/>
      <c r="F2130" s="7"/>
      <c r="G2130" s="7"/>
      <c r="H2130" s="8"/>
      <c r="I2130" s="9"/>
      <c r="J2130" s="7"/>
      <c r="K2130" s="7"/>
      <c r="L2130" s="7"/>
      <c r="M2130" s="7"/>
      <c r="N2130" s="7"/>
      <c r="O2130" s="7"/>
      <c r="P2130" s="7"/>
      <c r="Q2130" s="7"/>
      <c r="R2130" s="14">
        <v>550</v>
      </c>
      <c r="S2130" s="7"/>
      <c r="T2130" s="7"/>
      <c r="U2130" s="14">
        <v>550</v>
      </c>
      <c r="V2130" s="7"/>
      <c r="W2130" s="7"/>
      <c r="X2130" s="7"/>
      <c r="Y2130" s="7"/>
      <c r="Z2130" s="12"/>
      <c r="AA2130" s="14">
        <v>550</v>
      </c>
    </row>
    <row r="2131" spans="1:27" outlineLevel="6">
      <c r="A2131" s="3501" t="s">
        <v>435</v>
      </c>
      <c r="B2131" s="3501"/>
      <c r="C2131" s="7"/>
      <c r="D2131" s="7"/>
      <c r="E2131" s="14">
        <v>550</v>
      </c>
      <c r="F2131" s="7"/>
      <c r="G2131" s="14">
        <v>550</v>
      </c>
      <c r="H2131" s="3523">
        <v>550</v>
      </c>
      <c r="I2131" s="3523"/>
      <c r="J2131" s="7"/>
      <c r="K2131" s="7"/>
      <c r="L2131" s="7"/>
      <c r="M2131" s="7"/>
      <c r="N2131" s="7"/>
      <c r="O2131" s="7"/>
      <c r="P2131" s="7"/>
      <c r="Q2131" s="7"/>
      <c r="R2131" s="14">
        <v>550</v>
      </c>
      <c r="S2131" s="7"/>
      <c r="T2131" s="7"/>
      <c r="U2131" s="14">
        <v>550</v>
      </c>
      <c r="V2131" s="7"/>
      <c r="W2131" s="7"/>
      <c r="X2131" s="7"/>
      <c r="Y2131" s="7"/>
      <c r="Z2131" s="7"/>
      <c r="AA2131" s="7"/>
    </row>
    <row r="2132" spans="1:27" outlineLevel="7">
      <c r="A2132" s="3500" t="s">
        <v>436</v>
      </c>
      <c r="B2132" s="3500"/>
      <c r="C2132" s="7"/>
      <c r="D2132" s="7"/>
      <c r="E2132" s="14">
        <v>550</v>
      </c>
      <c r="F2132" s="7"/>
      <c r="G2132" s="14">
        <v>550</v>
      </c>
      <c r="H2132" s="3523">
        <v>550</v>
      </c>
      <c r="I2132" s="3523"/>
      <c r="J2132" s="7"/>
      <c r="K2132" s="7"/>
      <c r="L2132" s="7"/>
      <c r="M2132" s="7"/>
      <c r="N2132" s="7"/>
      <c r="O2132" s="7"/>
      <c r="P2132" s="7"/>
      <c r="Q2132" s="7"/>
      <c r="R2132" s="14">
        <v>550</v>
      </c>
      <c r="S2132" s="7"/>
      <c r="T2132" s="7"/>
      <c r="U2132" s="14">
        <v>550</v>
      </c>
      <c r="V2132" s="7"/>
      <c r="W2132" s="7"/>
      <c r="X2132" s="7"/>
      <c r="Y2132" s="7"/>
      <c r="Z2132" s="7"/>
      <c r="AA2132" s="7"/>
    </row>
    <row r="2133" spans="1:27" outlineLevel="7">
      <c r="A2133" s="3499" t="s">
        <v>2232</v>
      </c>
      <c r="B2133" s="3499"/>
      <c r="C2133" s="7"/>
      <c r="D2133" s="7"/>
      <c r="E2133" s="14">
        <v>550</v>
      </c>
      <c r="F2133" s="7"/>
      <c r="G2133" s="14">
        <v>550</v>
      </c>
      <c r="H2133" s="3523">
        <v>550</v>
      </c>
      <c r="I2133" s="3523"/>
      <c r="J2133" s="7"/>
      <c r="K2133" s="7"/>
      <c r="L2133" s="7"/>
      <c r="M2133" s="7"/>
      <c r="N2133" s="7"/>
      <c r="O2133" s="7"/>
      <c r="P2133" s="7"/>
      <c r="Q2133" s="7"/>
      <c r="R2133" s="14">
        <v>550</v>
      </c>
      <c r="S2133" s="7"/>
      <c r="T2133" s="7"/>
      <c r="U2133" s="14">
        <v>550</v>
      </c>
      <c r="V2133" s="7"/>
      <c r="W2133" s="7"/>
      <c r="X2133" s="7"/>
      <c r="Y2133" s="7"/>
      <c r="Z2133" s="7"/>
      <c r="AA2133" s="7"/>
    </row>
    <row r="2134" spans="1:27" outlineLevel="6">
      <c r="A2134" s="3501" t="s">
        <v>437</v>
      </c>
      <c r="B2134" s="3501"/>
      <c r="C2134" s="12"/>
      <c r="D2134" s="14">
        <v>550</v>
      </c>
      <c r="E2134" s="14">
        <v>550</v>
      </c>
      <c r="F2134" s="7"/>
      <c r="G2134" s="14">
        <v>550</v>
      </c>
      <c r="H2134" s="3523">
        <v>550</v>
      </c>
      <c r="I2134" s="3523"/>
      <c r="J2134" s="7"/>
      <c r="K2134" s="7"/>
      <c r="L2134" s="7"/>
      <c r="M2134" s="7"/>
      <c r="N2134" s="7"/>
      <c r="O2134" s="7"/>
      <c r="P2134" s="7"/>
      <c r="Q2134" s="7"/>
      <c r="R2134" s="12"/>
      <c r="S2134" s="7"/>
      <c r="T2134" s="7"/>
      <c r="U2134" s="7"/>
      <c r="V2134" s="7"/>
      <c r="W2134" s="7"/>
      <c r="X2134" s="7"/>
      <c r="Y2134" s="7"/>
      <c r="Z2134" s="12"/>
      <c r="AA2134" s="12"/>
    </row>
    <row r="2135" spans="1:27" outlineLevel="7">
      <c r="A2135" s="3500" t="s">
        <v>438</v>
      </c>
      <c r="B2135" s="3500"/>
      <c r="C2135" s="12"/>
      <c r="D2135" s="14">
        <v>550</v>
      </c>
      <c r="E2135" s="14">
        <v>550</v>
      </c>
      <c r="F2135" s="7"/>
      <c r="G2135" s="14">
        <v>550</v>
      </c>
      <c r="H2135" s="3523">
        <v>550</v>
      </c>
      <c r="I2135" s="3523"/>
      <c r="J2135" s="7"/>
      <c r="K2135" s="7"/>
      <c r="L2135" s="7"/>
      <c r="M2135" s="7"/>
      <c r="N2135" s="7"/>
      <c r="O2135" s="7"/>
      <c r="P2135" s="7"/>
      <c r="Q2135" s="7"/>
      <c r="R2135" s="12"/>
      <c r="S2135" s="7"/>
      <c r="T2135" s="7"/>
      <c r="U2135" s="7"/>
      <c r="V2135" s="7"/>
      <c r="W2135" s="7"/>
      <c r="X2135" s="7"/>
      <c r="Y2135" s="7"/>
      <c r="Z2135" s="12"/>
      <c r="AA2135" s="12"/>
    </row>
    <row r="2136" spans="1:27" outlineLevel="7">
      <c r="A2136" s="3499" t="s">
        <v>2233</v>
      </c>
      <c r="B2136" s="3499"/>
      <c r="C2136" s="12"/>
      <c r="D2136" s="14">
        <v>550</v>
      </c>
      <c r="E2136" s="14">
        <v>550</v>
      </c>
      <c r="F2136" s="7"/>
      <c r="G2136" s="14">
        <v>550</v>
      </c>
      <c r="H2136" s="3523">
        <v>550</v>
      </c>
      <c r="I2136" s="3523"/>
      <c r="J2136" s="7"/>
      <c r="K2136" s="7"/>
      <c r="L2136" s="7"/>
      <c r="M2136" s="7"/>
      <c r="N2136" s="7"/>
      <c r="O2136" s="7"/>
      <c r="P2136" s="7"/>
      <c r="Q2136" s="7"/>
      <c r="R2136" s="12"/>
      <c r="S2136" s="7"/>
      <c r="T2136" s="7"/>
      <c r="U2136" s="7"/>
      <c r="V2136" s="7"/>
      <c r="W2136" s="7"/>
      <c r="X2136" s="7"/>
      <c r="Y2136" s="7"/>
      <c r="Z2136" s="12"/>
      <c r="AA2136" s="12"/>
    </row>
    <row r="2137" spans="1:27" outlineLevel="6">
      <c r="A2137" s="3501" t="s">
        <v>1061</v>
      </c>
      <c r="B2137" s="3501"/>
      <c r="C2137" s="12"/>
      <c r="D2137" s="12"/>
      <c r="E2137" s="12"/>
      <c r="F2137" s="7"/>
      <c r="G2137" s="7"/>
      <c r="H2137" s="8"/>
      <c r="I2137" s="9"/>
      <c r="J2137" s="7"/>
      <c r="K2137" s="7"/>
      <c r="L2137" s="7"/>
      <c r="M2137" s="7"/>
      <c r="N2137" s="7"/>
      <c r="O2137" s="7"/>
      <c r="P2137" s="7"/>
      <c r="Q2137" s="7"/>
      <c r="R2137" s="14">
        <v>550</v>
      </c>
      <c r="S2137" s="7"/>
      <c r="T2137" s="7"/>
      <c r="U2137" s="14">
        <v>550</v>
      </c>
      <c r="V2137" s="7"/>
      <c r="W2137" s="7"/>
      <c r="X2137" s="7"/>
      <c r="Y2137" s="7"/>
      <c r="Z2137" s="12"/>
      <c r="AA2137" s="14">
        <v>550</v>
      </c>
    </row>
    <row r="2138" spans="1:27" outlineLevel="7">
      <c r="A2138" s="3500" t="s">
        <v>1062</v>
      </c>
      <c r="B2138" s="3500"/>
      <c r="C2138" s="12"/>
      <c r="D2138" s="12"/>
      <c r="E2138" s="12"/>
      <c r="F2138" s="7"/>
      <c r="G2138" s="7"/>
      <c r="H2138" s="8"/>
      <c r="I2138" s="9"/>
      <c r="J2138" s="7"/>
      <c r="K2138" s="7"/>
      <c r="L2138" s="7"/>
      <c r="M2138" s="7"/>
      <c r="N2138" s="7"/>
      <c r="O2138" s="7"/>
      <c r="P2138" s="7"/>
      <c r="Q2138" s="7"/>
      <c r="R2138" s="14">
        <v>550</v>
      </c>
      <c r="S2138" s="7"/>
      <c r="T2138" s="7"/>
      <c r="U2138" s="14">
        <v>550</v>
      </c>
      <c r="V2138" s="7"/>
      <c r="W2138" s="7"/>
      <c r="X2138" s="7"/>
      <c r="Y2138" s="7"/>
      <c r="Z2138" s="12"/>
      <c r="AA2138" s="14">
        <v>550</v>
      </c>
    </row>
    <row r="2139" spans="1:27" outlineLevel="7">
      <c r="A2139" s="3499" t="s">
        <v>2234</v>
      </c>
      <c r="B2139" s="3499"/>
      <c r="C2139" s="12"/>
      <c r="D2139" s="12"/>
      <c r="E2139" s="12"/>
      <c r="F2139" s="7"/>
      <c r="G2139" s="7"/>
      <c r="H2139" s="8"/>
      <c r="I2139" s="9"/>
      <c r="J2139" s="7"/>
      <c r="K2139" s="7"/>
      <c r="L2139" s="7"/>
      <c r="M2139" s="7"/>
      <c r="N2139" s="7"/>
      <c r="O2139" s="7"/>
      <c r="P2139" s="7"/>
      <c r="Q2139" s="7"/>
      <c r="R2139" s="14">
        <v>550</v>
      </c>
      <c r="S2139" s="7"/>
      <c r="T2139" s="7"/>
      <c r="U2139" s="14">
        <v>550</v>
      </c>
      <c r="V2139" s="7"/>
      <c r="W2139" s="7"/>
      <c r="X2139" s="7"/>
      <c r="Y2139" s="7"/>
      <c r="Z2139" s="12"/>
      <c r="AA2139" s="14">
        <v>550</v>
      </c>
    </row>
    <row r="2140" spans="1:27" outlineLevel="6">
      <c r="A2140" s="3501" t="s">
        <v>439</v>
      </c>
      <c r="B2140" s="3501"/>
      <c r="C2140" s="7"/>
      <c r="D2140" s="7"/>
      <c r="E2140" s="14">
        <v>550</v>
      </c>
      <c r="F2140" s="7"/>
      <c r="G2140" s="14">
        <v>550</v>
      </c>
      <c r="H2140" s="3523">
        <v>550</v>
      </c>
      <c r="I2140" s="3523"/>
      <c r="J2140" s="7"/>
      <c r="K2140" s="7"/>
      <c r="L2140" s="7"/>
      <c r="M2140" s="7"/>
      <c r="N2140" s="7"/>
      <c r="O2140" s="7"/>
      <c r="P2140" s="7"/>
      <c r="Q2140" s="7"/>
      <c r="R2140" s="14">
        <v>550</v>
      </c>
      <c r="S2140" s="7"/>
      <c r="T2140" s="7"/>
      <c r="U2140" s="14">
        <v>550</v>
      </c>
      <c r="V2140" s="7"/>
      <c r="W2140" s="7"/>
      <c r="X2140" s="7"/>
      <c r="Y2140" s="7"/>
      <c r="Z2140" s="7"/>
      <c r="AA2140" s="7"/>
    </row>
    <row r="2141" spans="1:27" outlineLevel="7">
      <c r="A2141" s="3500" t="s">
        <v>440</v>
      </c>
      <c r="B2141" s="3500"/>
      <c r="C2141" s="7"/>
      <c r="D2141" s="7"/>
      <c r="E2141" s="14">
        <v>550</v>
      </c>
      <c r="F2141" s="7"/>
      <c r="G2141" s="14">
        <v>550</v>
      </c>
      <c r="H2141" s="3523">
        <v>550</v>
      </c>
      <c r="I2141" s="3523"/>
      <c r="J2141" s="7"/>
      <c r="K2141" s="7"/>
      <c r="L2141" s="7"/>
      <c r="M2141" s="7"/>
      <c r="N2141" s="7"/>
      <c r="O2141" s="7"/>
      <c r="P2141" s="7"/>
      <c r="Q2141" s="7"/>
      <c r="R2141" s="14">
        <v>550</v>
      </c>
      <c r="S2141" s="7"/>
      <c r="T2141" s="7"/>
      <c r="U2141" s="14">
        <v>550</v>
      </c>
      <c r="V2141" s="7"/>
      <c r="W2141" s="7"/>
      <c r="X2141" s="7"/>
      <c r="Y2141" s="7"/>
      <c r="Z2141" s="7"/>
      <c r="AA2141" s="7"/>
    </row>
    <row r="2142" spans="1:27" outlineLevel="7">
      <c r="A2142" s="3499" t="s">
        <v>2235</v>
      </c>
      <c r="B2142" s="3499"/>
      <c r="C2142" s="7"/>
      <c r="D2142" s="7"/>
      <c r="E2142" s="14">
        <v>550</v>
      </c>
      <c r="F2142" s="7"/>
      <c r="G2142" s="14">
        <v>550</v>
      </c>
      <c r="H2142" s="3523">
        <v>550</v>
      </c>
      <c r="I2142" s="3523"/>
      <c r="J2142" s="7"/>
      <c r="K2142" s="7"/>
      <c r="L2142" s="7"/>
      <c r="M2142" s="7"/>
      <c r="N2142" s="7"/>
      <c r="O2142" s="7"/>
      <c r="P2142" s="7"/>
      <c r="Q2142" s="7"/>
      <c r="R2142" s="14">
        <v>550</v>
      </c>
      <c r="S2142" s="7"/>
      <c r="T2142" s="7"/>
      <c r="U2142" s="14">
        <v>550</v>
      </c>
      <c r="V2142" s="7"/>
      <c r="W2142" s="7"/>
      <c r="X2142" s="7"/>
      <c r="Y2142" s="7"/>
      <c r="Z2142" s="7"/>
      <c r="AA2142" s="7"/>
    </row>
    <row r="2143" spans="1:27" outlineLevel="6">
      <c r="A2143" s="3501" t="s">
        <v>1063</v>
      </c>
      <c r="B2143" s="3501"/>
      <c r="C2143" s="12"/>
      <c r="D2143" s="12"/>
      <c r="E2143" s="12"/>
      <c r="F2143" s="7"/>
      <c r="G2143" s="7"/>
      <c r="H2143" s="8"/>
      <c r="I2143" s="9"/>
      <c r="J2143" s="7"/>
      <c r="K2143" s="7"/>
      <c r="L2143" s="7"/>
      <c r="M2143" s="7"/>
      <c r="N2143" s="7"/>
      <c r="O2143" s="7"/>
      <c r="P2143" s="7"/>
      <c r="Q2143" s="7"/>
      <c r="R2143" s="14">
        <v>550</v>
      </c>
      <c r="S2143" s="7"/>
      <c r="T2143" s="7"/>
      <c r="U2143" s="14">
        <v>550</v>
      </c>
      <c r="V2143" s="7"/>
      <c r="W2143" s="7"/>
      <c r="X2143" s="7"/>
      <c r="Y2143" s="7"/>
      <c r="Z2143" s="12"/>
      <c r="AA2143" s="14">
        <v>550</v>
      </c>
    </row>
    <row r="2144" spans="1:27" outlineLevel="7">
      <c r="A2144" s="3500" t="s">
        <v>1064</v>
      </c>
      <c r="B2144" s="3500"/>
      <c r="C2144" s="12"/>
      <c r="D2144" s="12"/>
      <c r="E2144" s="12"/>
      <c r="F2144" s="7"/>
      <c r="G2144" s="7"/>
      <c r="H2144" s="8"/>
      <c r="I2144" s="9"/>
      <c r="J2144" s="7"/>
      <c r="K2144" s="7"/>
      <c r="L2144" s="7"/>
      <c r="M2144" s="7"/>
      <c r="N2144" s="7"/>
      <c r="O2144" s="7"/>
      <c r="P2144" s="7"/>
      <c r="Q2144" s="7"/>
      <c r="R2144" s="14">
        <v>550</v>
      </c>
      <c r="S2144" s="7"/>
      <c r="T2144" s="7"/>
      <c r="U2144" s="14">
        <v>550</v>
      </c>
      <c r="V2144" s="7"/>
      <c r="W2144" s="7"/>
      <c r="X2144" s="7"/>
      <c r="Y2144" s="7"/>
      <c r="Z2144" s="12"/>
      <c r="AA2144" s="14">
        <v>550</v>
      </c>
    </row>
    <row r="2145" spans="1:27" outlineLevel="7">
      <c r="A2145" s="3499" t="s">
        <v>2236</v>
      </c>
      <c r="B2145" s="3499"/>
      <c r="C2145" s="12"/>
      <c r="D2145" s="12"/>
      <c r="E2145" s="12"/>
      <c r="F2145" s="7"/>
      <c r="G2145" s="7"/>
      <c r="H2145" s="8"/>
      <c r="I2145" s="9"/>
      <c r="J2145" s="7"/>
      <c r="K2145" s="7"/>
      <c r="L2145" s="7"/>
      <c r="M2145" s="7"/>
      <c r="N2145" s="7"/>
      <c r="O2145" s="7"/>
      <c r="P2145" s="7"/>
      <c r="Q2145" s="7"/>
      <c r="R2145" s="14">
        <v>550</v>
      </c>
      <c r="S2145" s="7"/>
      <c r="T2145" s="7"/>
      <c r="U2145" s="14">
        <v>550</v>
      </c>
      <c r="V2145" s="7"/>
      <c r="W2145" s="7"/>
      <c r="X2145" s="7"/>
      <c r="Y2145" s="7"/>
      <c r="Z2145" s="12"/>
      <c r="AA2145" s="14">
        <v>550</v>
      </c>
    </row>
    <row r="2146" spans="1:27" outlineLevel="6">
      <c r="A2146" s="3501" t="s">
        <v>441</v>
      </c>
      <c r="B2146" s="3501"/>
      <c r="C2146" s="7"/>
      <c r="D2146" s="7"/>
      <c r="E2146" s="14">
        <v>550</v>
      </c>
      <c r="F2146" s="7"/>
      <c r="G2146" s="14">
        <v>550</v>
      </c>
      <c r="H2146" s="3523">
        <v>550</v>
      </c>
      <c r="I2146" s="3523"/>
      <c r="J2146" s="7"/>
      <c r="K2146" s="7"/>
      <c r="L2146" s="7"/>
      <c r="M2146" s="7"/>
      <c r="N2146" s="7"/>
      <c r="O2146" s="7"/>
      <c r="P2146" s="7"/>
      <c r="Q2146" s="7"/>
      <c r="R2146" s="14">
        <v>550</v>
      </c>
      <c r="S2146" s="7"/>
      <c r="T2146" s="7"/>
      <c r="U2146" s="14">
        <v>550</v>
      </c>
      <c r="V2146" s="7"/>
      <c r="W2146" s="7"/>
      <c r="X2146" s="7"/>
      <c r="Y2146" s="7"/>
      <c r="Z2146" s="7"/>
      <c r="AA2146" s="7"/>
    </row>
    <row r="2147" spans="1:27" outlineLevel="7">
      <c r="A2147" s="3500" t="s">
        <v>442</v>
      </c>
      <c r="B2147" s="3500"/>
      <c r="C2147" s="7"/>
      <c r="D2147" s="7"/>
      <c r="E2147" s="14">
        <v>550</v>
      </c>
      <c r="F2147" s="7"/>
      <c r="G2147" s="14">
        <v>550</v>
      </c>
      <c r="H2147" s="3523">
        <v>550</v>
      </c>
      <c r="I2147" s="3523"/>
      <c r="J2147" s="7"/>
      <c r="K2147" s="7"/>
      <c r="L2147" s="7"/>
      <c r="M2147" s="7"/>
      <c r="N2147" s="7"/>
      <c r="O2147" s="7"/>
      <c r="P2147" s="7"/>
      <c r="Q2147" s="7"/>
      <c r="R2147" s="14">
        <v>550</v>
      </c>
      <c r="S2147" s="7"/>
      <c r="T2147" s="7"/>
      <c r="U2147" s="14">
        <v>550</v>
      </c>
      <c r="V2147" s="7"/>
      <c r="W2147" s="7"/>
      <c r="X2147" s="7"/>
      <c r="Y2147" s="7"/>
      <c r="Z2147" s="7"/>
      <c r="AA2147" s="7"/>
    </row>
    <row r="2148" spans="1:27" outlineLevel="7">
      <c r="A2148" s="3499" t="s">
        <v>2237</v>
      </c>
      <c r="B2148" s="3499"/>
      <c r="C2148" s="7"/>
      <c r="D2148" s="7"/>
      <c r="E2148" s="14">
        <v>550</v>
      </c>
      <c r="F2148" s="7"/>
      <c r="G2148" s="14">
        <v>550</v>
      </c>
      <c r="H2148" s="3523">
        <v>550</v>
      </c>
      <c r="I2148" s="3523"/>
      <c r="J2148" s="7"/>
      <c r="K2148" s="7"/>
      <c r="L2148" s="7"/>
      <c r="M2148" s="7"/>
      <c r="N2148" s="7"/>
      <c r="O2148" s="7"/>
      <c r="P2148" s="7"/>
      <c r="Q2148" s="7"/>
      <c r="R2148" s="14">
        <v>550</v>
      </c>
      <c r="S2148" s="7"/>
      <c r="T2148" s="7"/>
      <c r="U2148" s="14">
        <v>550</v>
      </c>
      <c r="V2148" s="7"/>
      <c r="W2148" s="7"/>
      <c r="X2148" s="7"/>
      <c r="Y2148" s="7"/>
      <c r="Z2148" s="7"/>
      <c r="AA2148" s="7"/>
    </row>
    <row r="2149" spans="1:27" outlineLevel="6">
      <c r="A2149" s="3501" t="s">
        <v>1065</v>
      </c>
      <c r="B2149" s="3501"/>
      <c r="C2149" s="12"/>
      <c r="D2149" s="12"/>
      <c r="E2149" s="12"/>
      <c r="F2149" s="7"/>
      <c r="G2149" s="7"/>
      <c r="H2149" s="8"/>
      <c r="I2149" s="9"/>
      <c r="J2149" s="7"/>
      <c r="K2149" s="7"/>
      <c r="L2149" s="7"/>
      <c r="M2149" s="7"/>
      <c r="N2149" s="7"/>
      <c r="O2149" s="7"/>
      <c r="P2149" s="7"/>
      <c r="Q2149" s="7"/>
      <c r="R2149" s="14">
        <v>550</v>
      </c>
      <c r="S2149" s="7"/>
      <c r="T2149" s="7"/>
      <c r="U2149" s="14">
        <v>550</v>
      </c>
      <c r="V2149" s="7"/>
      <c r="W2149" s="7"/>
      <c r="X2149" s="7"/>
      <c r="Y2149" s="7"/>
      <c r="Z2149" s="12"/>
      <c r="AA2149" s="14">
        <v>550</v>
      </c>
    </row>
    <row r="2150" spans="1:27" outlineLevel="7">
      <c r="A2150" s="3500" t="s">
        <v>1066</v>
      </c>
      <c r="B2150" s="3500"/>
      <c r="C2150" s="12"/>
      <c r="D2150" s="12"/>
      <c r="E2150" s="12"/>
      <c r="F2150" s="7"/>
      <c r="G2150" s="7"/>
      <c r="H2150" s="8"/>
      <c r="I2150" s="9"/>
      <c r="J2150" s="7"/>
      <c r="K2150" s="7"/>
      <c r="L2150" s="7"/>
      <c r="M2150" s="7"/>
      <c r="N2150" s="7"/>
      <c r="O2150" s="7"/>
      <c r="P2150" s="7"/>
      <c r="Q2150" s="7"/>
      <c r="R2150" s="14">
        <v>550</v>
      </c>
      <c r="S2150" s="7"/>
      <c r="T2150" s="7"/>
      <c r="U2150" s="14">
        <v>550</v>
      </c>
      <c r="V2150" s="7"/>
      <c r="W2150" s="7"/>
      <c r="X2150" s="7"/>
      <c r="Y2150" s="7"/>
      <c r="Z2150" s="12"/>
      <c r="AA2150" s="14">
        <v>550</v>
      </c>
    </row>
    <row r="2151" spans="1:27" outlineLevel="7">
      <c r="A2151" s="3499" t="s">
        <v>2238</v>
      </c>
      <c r="B2151" s="3499"/>
      <c r="C2151" s="12"/>
      <c r="D2151" s="12"/>
      <c r="E2151" s="12"/>
      <c r="F2151" s="7"/>
      <c r="G2151" s="7"/>
      <c r="H2151" s="8"/>
      <c r="I2151" s="9"/>
      <c r="J2151" s="7"/>
      <c r="K2151" s="7"/>
      <c r="L2151" s="7"/>
      <c r="M2151" s="7"/>
      <c r="N2151" s="7"/>
      <c r="O2151" s="7"/>
      <c r="P2151" s="7"/>
      <c r="Q2151" s="7"/>
      <c r="R2151" s="14">
        <v>550</v>
      </c>
      <c r="S2151" s="7"/>
      <c r="T2151" s="7"/>
      <c r="U2151" s="14">
        <v>550</v>
      </c>
      <c r="V2151" s="7"/>
      <c r="W2151" s="7"/>
      <c r="X2151" s="7"/>
      <c r="Y2151" s="7"/>
      <c r="Z2151" s="12"/>
      <c r="AA2151" s="14">
        <v>550</v>
      </c>
    </row>
    <row r="2152" spans="1:27" outlineLevel="6">
      <c r="A2152" s="3501" t="s">
        <v>1067</v>
      </c>
      <c r="B2152" s="3501"/>
      <c r="C2152" s="12"/>
      <c r="D2152" s="12"/>
      <c r="E2152" s="12"/>
      <c r="F2152" s="7"/>
      <c r="G2152" s="7"/>
      <c r="H2152" s="8"/>
      <c r="I2152" s="9"/>
      <c r="J2152" s="7"/>
      <c r="K2152" s="7"/>
      <c r="L2152" s="7"/>
      <c r="M2152" s="7"/>
      <c r="N2152" s="7"/>
      <c r="O2152" s="7"/>
      <c r="P2152" s="7"/>
      <c r="Q2152" s="7"/>
      <c r="R2152" s="14">
        <v>550</v>
      </c>
      <c r="S2152" s="7"/>
      <c r="T2152" s="7"/>
      <c r="U2152" s="14">
        <v>550</v>
      </c>
      <c r="V2152" s="7"/>
      <c r="W2152" s="7"/>
      <c r="X2152" s="7"/>
      <c r="Y2152" s="7"/>
      <c r="Z2152" s="12"/>
      <c r="AA2152" s="14">
        <v>550</v>
      </c>
    </row>
    <row r="2153" spans="1:27" outlineLevel="7">
      <c r="A2153" s="3500" t="s">
        <v>1068</v>
      </c>
      <c r="B2153" s="3500"/>
      <c r="C2153" s="12"/>
      <c r="D2153" s="12"/>
      <c r="E2153" s="12"/>
      <c r="F2153" s="7"/>
      <c r="G2153" s="7"/>
      <c r="H2153" s="8"/>
      <c r="I2153" s="9"/>
      <c r="J2153" s="7"/>
      <c r="K2153" s="7"/>
      <c r="L2153" s="7"/>
      <c r="M2153" s="7"/>
      <c r="N2153" s="7"/>
      <c r="O2153" s="7"/>
      <c r="P2153" s="7"/>
      <c r="Q2153" s="7"/>
      <c r="R2153" s="14">
        <v>550</v>
      </c>
      <c r="S2153" s="7"/>
      <c r="T2153" s="7"/>
      <c r="U2153" s="14">
        <v>550</v>
      </c>
      <c r="V2153" s="7"/>
      <c r="W2153" s="7"/>
      <c r="X2153" s="7"/>
      <c r="Y2153" s="7"/>
      <c r="Z2153" s="12"/>
      <c r="AA2153" s="14">
        <v>550</v>
      </c>
    </row>
    <row r="2154" spans="1:27" outlineLevel="7">
      <c r="A2154" s="3499" t="s">
        <v>2239</v>
      </c>
      <c r="B2154" s="3499"/>
      <c r="C2154" s="12"/>
      <c r="D2154" s="12"/>
      <c r="E2154" s="12"/>
      <c r="F2154" s="7"/>
      <c r="G2154" s="7"/>
      <c r="H2154" s="8"/>
      <c r="I2154" s="9"/>
      <c r="J2154" s="7"/>
      <c r="K2154" s="7"/>
      <c r="L2154" s="7"/>
      <c r="M2154" s="7"/>
      <c r="N2154" s="7"/>
      <c r="O2154" s="7"/>
      <c r="P2154" s="7"/>
      <c r="Q2154" s="7"/>
      <c r="R2154" s="14">
        <v>550</v>
      </c>
      <c r="S2154" s="7"/>
      <c r="T2154" s="7"/>
      <c r="U2154" s="14">
        <v>550</v>
      </c>
      <c r="V2154" s="7"/>
      <c r="W2154" s="7"/>
      <c r="X2154" s="7"/>
      <c r="Y2154" s="7"/>
      <c r="Z2154" s="12"/>
      <c r="AA2154" s="14">
        <v>550</v>
      </c>
    </row>
    <row r="2155" spans="1:27" outlineLevel="6">
      <c r="A2155" s="3501" t="s">
        <v>443</v>
      </c>
      <c r="B2155" s="3501"/>
      <c r="C2155" s="12"/>
      <c r="D2155" s="14">
        <v>550</v>
      </c>
      <c r="E2155" s="14">
        <v>550</v>
      </c>
      <c r="F2155" s="7"/>
      <c r="G2155" s="14">
        <v>550</v>
      </c>
      <c r="H2155" s="3523">
        <v>550</v>
      </c>
      <c r="I2155" s="3523"/>
      <c r="J2155" s="7"/>
      <c r="K2155" s="7"/>
      <c r="L2155" s="7"/>
      <c r="M2155" s="7"/>
      <c r="N2155" s="7"/>
      <c r="O2155" s="7"/>
      <c r="P2155" s="7"/>
      <c r="Q2155" s="7"/>
      <c r="R2155" s="12"/>
      <c r="S2155" s="7"/>
      <c r="T2155" s="7"/>
      <c r="U2155" s="7"/>
      <c r="V2155" s="7"/>
      <c r="W2155" s="7"/>
      <c r="X2155" s="7"/>
      <c r="Y2155" s="7"/>
      <c r="Z2155" s="12"/>
      <c r="AA2155" s="12"/>
    </row>
    <row r="2156" spans="1:27" outlineLevel="7">
      <c r="A2156" s="3500" t="s">
        <v>444</v>
      </c>
      <c r="B2156" s="3500"/>
      <c r="C2156" s="12"/>
      <c r="D2156" s="14">
        <v>550</v>
      </c>
      <c r="E2156" s="14">
        <v>550</v>
      </c>
      <c r="F2156" s="7"/>
      <c r="G2156" s="14">
        <v>550</v>
      </c>
      <c r="H2156" s="3523">
        <v>550</v>
      </c>
      <c r="I2156" s="3523"/>
      <c r="J2156" s="7"/>
      <c r="K2156" s="7"/>
      <c r="L2156" s="7"/>
      <c r="M2156" s="7"/>
      <c r="N2156" s="7"/>
      <c r="O2156" s="7"/>
      <c r="P2156" s="7"/>
      <c r="Q2156" s="7"/>
      <c r="R2156" s="12"/>
      <c r="S2156" s="7"/>
      <c r="T2156" s="7"/>
      <c r="U2156" s="7"/>
      <c r="V2156" s="7"/>
      <c r="W2156" s="7"/>
      <c r="X2156" s="7"/>
      <c r="Y2156" s="7"/>
      <c r="Z2156" s="12"/>
      <c r="AA2156" s="12"/>
    </row>
    <row r="2157" spans="1:27" outlineLevel="7">
      <c r="A2157" s="3499" t="s">
        <v>2240</v>
      </c>
      <c r="B2157" s="3499"/>
      <c r="C2157" s="12"/>
      <c r="D2157" s="14">
        <v>550</v>
      </c>
      <c r="E2157" s="14">
        <v>550</v>
      </c>
      <c r="F2157" s="7"/>
      <c r="G2157" s="14">
        <v>550</v>
      </c>
      <c r="H2157" s="3523">
        <v>550</v>
      </c>
      <c r="I2157" s="3523"/>
      <c r="J2157" s="7"/>
      <c r="K2157" s="7"/>
      <c r="L2157" s="7"/>
      <c r="M2157" s="7"/>
      <c r="N2157" s="7"/>
      <c r="O2157" s="7"/>
      <c r="P2157" s="7"/>
      <c r="Q2157" s="7"/>
      <c r="R2157" s="12"/>
      <c r="S2157" s="7"/>
      <c r="T2157" s="7"/>
      <c r="U2157" s="7"/>
      <c r="V2157" s="7"/>
      <c r="W2157" s="7"/>
      <c r="X2157" s="7"/>
      <c r="Y2157" s="7"/>
      <c r="Z2157" s="12"/>
      <c r="AA2157" s="12"/>
    </row>
    <row r="2158" spans="1:27" outlineLevel="6">
      <c r="A2158" s="3501" t="s">
        <v>445</v>
      </c>
      <c r="B2158" s="3501"/>
      <c r="C2158" s="12"/>
      <c r="D2158" s="14">
        <v>550</v>
      </c>
      <c r="E2158" s="14">
        <v>550</v>
      </c>
      <c r="F2158" s="7"/>
      <c r="G2158" s="14">
        <v>550</v>
      </c>
      <c r="H2158" s="3523">
        <v>550</v>
      </c>
      <c r="I2158" s="3523"/>
      <c r="J2158" s="7"/>
      <c r="K2158" s="7"/>
      <c r="L2158" s="7"/>
      <c r="M2158" s="7"/>
      <c r="N2158" s="7"/>
      <c r="O2158" s="7"/>
      <c r="P2158" s="7"/>
      <c r="Q2158" s="7"/>
      <c r="R2158" s="12"/>
      <c r="S2158" s="7"/>
      <c r="T2158" s="7"/>
      <c r="U2158" s="7"/>
      <c r="V2158" s="7"/>
      <c r="W2158" s="7"/>
      <c r="X2158" s="7"/>
      <c r="Y2158" s="7"/>
      <c r="Z2158" s="12"/>
      <c r="AA2158" s="12"/>
    </row>
    <row r="2159" spans="1:27" outlineLevel="7">
      <c r="A2159" s="3500" t="s">
        <v>446</v>
      </c>
      <c r="B2159" s="3500"/>
      <c r="C2159" s="12"/>
      <c r="D2159" s="14">
        <v>550</v>
      </c>
      <c r="E2159" s="14">
        <v>550</v>
      </c>
      <c r="F2159" s="7"/>
      <c r="G2159" s="14">
        <v>550</v>
      </c>
      <c r="H2159" s="3523">
        <v>550</v>
      </c>
      <c r="I2159" s="3523"/>
      <c r="J2159" s="7"/>
      <c r="K2159" s="7"/>
      <c r="L2159" s="7"/>
      <c r="M2159" s="7"/>
      <c r="N2159" s="7"/>
      <c r="O2159" s="7"/>
      <c r="P2159" s="7"/>
      <c r="Q2159" s="7"/>
      <c r="R2159" s="12"/>
      <c r="S2159" s="7"/>
      <c r="T2159" s="7"/>
      <c r="U2159" s="7"/>
      <c r="V2159" s="7"/>
      <c r="W2159" s="7"/>
      <c r="X2159" s="7"/>
      <c r="Y2159" s="7"/>
      <c r="Z2159" s="12"/>
      <c r="AA2159" s="12"/>
    </row>
    <row r="2160" spans="1:27" outlineLevel="7">
      <c r="A2160" s="3499" t="s">
        <v>2241</v>
      </c>
      <c r="B2160" s="3499"/>
      <c r="C2160" s="12"/>
      <c r="D2160" s="14">
        <v>550</v>
      </c>
      <c r="E2160" s="14">
        <v>550</v>
      </c>
      <c r="F2160" s="7"/>
      <c r="G2160" s="14">
        <v>550</v>
      </c>
      <c r="H2160" s="3523">
        <v>550</v>
      </c>
      <c r="I2160" s="3523"/>
      <c r="J2160" s="7"/>
      <c r="K2160" s="7"/>
      <c r="L2160" s="7"/>
      <c r="M2160" s="7"/>
      <c r="N2160" s="7"/>
      <c r="O2160" s="7"/>
      <c r="P2160" s="7"/>
      <c r="Q2160" s="7"/>
      <c r="R2160" s="12"/>
      <c r="S2160" s="7"/>
      <c r="T2160" s="7"/>
      <c r="U2160" s="7"/>
      <c r="V2160" s="7"/>
      <c r="W2160" s="7"/>
      <c r="X2160" s="7"/>
      <c r="Y2160" s="7"/>
      <c r="Z2160" s="12"/>
      <c r="AA2160" s="12"/>
    </row>
    <row r="2161" spans="1:27" outlineLevel="6">
      <c r="A2161" s="3501" t="s">
        <v>1069</v>
      </c>
      <c r="B2161" s="3501"/>
      <c r="C2161" s="12"/>
      <c r="D2161" s="12"/>
      <c r="E2161" s="12"/>
      <c r="F2161" s="7"/>
      <c r="G2161" s="7"/>
      <c r="H2161" s="8"/>
      <c r="I2161" s="9"/>
      <c r="J2161" s="7"/>
      <c r="K2161" s="7"/>
      <c r="L2161" s="7"/>
      <c r="M2161" s="7"/>
      <c r="N2161" s="7"/>
      <c r="O2161" s="7"/>
      <c r="P2161" s="7"/>
      <c r="Q2161" s="7"/>
      <c r="R2161" s="14">
        <v>550</v>
      </c>
      <c r="S2161" s="7"/>
      <c r="T2161" s="7"/>
      <c r="U2161" s="14">
        <v>550</v>
      </c>
      <c r="V2161" s="7"/>
      <c r="W2161" s="7"/>
      <c r="X2161" s="7"/>
      <c r="Y2161" s="7"/>
      <c r="Z2161" s="12"/>
      <c r="AA2161" s="14">
        <v>550</v>
      </c>
    </row>
    <row r="2162" spans="1:27" outlineLevel="7">
      <c r="A2162" s="3500" t="s">
        <v>1070</v>
      </c>
      <c r="B2162" s="3500"/>
      <c r="C2162" s="12"/>
      <c r="D2162" s="12"/>
      <c r="E2162" s="12"/>
      <c r="F2162" s="7"/>
      <c r="G2162" s="7"/>
      <c r="H2162" s="8"/>
      <c r="I2162" s="9"/>
      <c r="J2162" s="7"/>
      <c r="K2162" s="7"/>
      <c r="L2162" s="7"/>
      <c r="M2162" s="7"/>
      <c r="N2162" s="7"/>
      <c r="O2162" s="7"/>
      <c r="P2162" s="7"/>
      <c r="Q2162" s="7"/>
      <c r="R2162" s="14">
        <v>550</v>
      </c>
      <c r="S2162" s="7"/>
      <c r="T2162" s="7"/>
      <c r="U2162" s="14">
        <v>550</v>
      </c>
      <c r="V2162" s="7"/>
      <c r="W2162" s="7"/>
      <c r="X2162" s="7"/>
      <c r="Y2162" s="7"/>
      <c r="Z2162" s="12"/>
      <c r="AA2162" s="14">
        <v>550</v>
      </c>
    </row>
    <row r="2163" spans="1:27" outlineLevel="7">
      <c r="A2163" s="3499" t="s">
        <v>2242</v>
      </c>
      <c r="B2163" s="3499"/>
      <c r="C2163" s="12"/>
      <c r="D2163" s="12"/>
      <c r="E2163" s="12"/>
      <c r="F2163" s="7"/>
      <c r="G2163" s="7"/>
      <c r="H2163" s="8"/>
      <c r="I2163" s="9"/>
      <c r="J2163" s="7"/>
      <c r="K2163" s="7"/>
      <c r="L2163" s="7"/>
      <c r="M2163" s="7"/>
      <c r="N2163" s="7"/>
      <c r="O2163" s="7"/>
      <c r="P2163" s="7"/>
      <c r="Q2163" s="7"/>
      <c r="R2163" s="14">
        <v>550</v>
      </c>
      <c r="S2163" s="7"/>
      <c r="T2163" s="7"/>
      <c r="U2163" s="14">
        <v>550</v>
      </c>
      <c r="V2163" s="7"/>
      <c r="W2163" s="7"/>
      <c r="X2163" s="7"/>
      <c r="Y2163" s="7"/>
      <c r="Z2163" s="12"/>
      <c r="AA2163" s="14">
        <v>550</v>
      </c>
    </row>
    <row r="2164" spans="1:27" outlineLevel="6">
      <c r="A2164" s="3501" t="s">
        <v>447</v>
      </c>
      <c r="B2164" s="3501"/>
      <c r="C2164" s="12"/>
      <c r="D2164" s="14">
        <v>550</v>
      </c>
      <c r="E2164" s="14">
        <v>550</v>
      </c>
      <c r="F2164" s="7"/>
      <c r="G2164" s="14">
        <v>550</v>
      </c>
      <c r="H2164" s="3523">
        <v>550</v>
      </c>
      <c r="I2164" s="3523"/>
      <c r="J2164" s="7"/>
      <c r="K2164" s="7"/>
      <c r="L2164" s="7"/>
      <c r="M2164" s="7"/>
      <c r="N2164" s="7"/>
      <c r="O2164" s="7"/>
      <c r="P2164" s="7"/>
      <c r="Q2164" s="7"/>
      <c r="R2164" s="12"/>
      <c r="S2164" s="7"/>
      <c r="T2164" s="7"/>
      <c r="U2164" s="7"/>
      <c r="V2164" s="7"/>
      <c r="W2164" s="7"/>
      <c r="X2164" s="7"/>
      <c r="Y2164" s="7"/>
      <c r="Z2164" s="12"/>
      <c r="AA2164" s="12"/>
    </row>
    <row r="2165" spans="1:27" outlineLevel="7">
      <c r="A2165" s="3500" t="s">
        <v>448</v>
      </c>
      <c r="B2165" s="3500"/>
      <c r="C2165" s="12"/>
      <c r="D2165" s="14">
        <v>550</v>
      </c>
      <c r="E2165" s="14">
        <v>550</v>
      </c>
      <c r="F2165" s="7"/>
      <c r="G2165" s="14">
        <v>550</v>
      </c>
      <c r="H2165" s="3523">
        <v>550</v>
      </c>
      <c r="I2165" s="3523"/>
      <c r="J2165" s="7"/>
      <c r="K2165" s="7"/>
      <c r="L2165" s="7"/>
      <c r="M2165" s="7"/>
      <c r="N2165" s="7"/>
      <c r="O2165" s="7"/>
      <c r="P2165" s="7"/>
      <c r="Q2165" s="7"/>
      <c r="R2165" s="12"/>
      <c r="S2165" s="7"/>
      <c r="T2165" s="7"/>
      <c r="U2165" s="7"/>
      <c r="V2165" s="7"/>
      <c r="W2165" s="7"/>
      <c r="X2165" s="7"/>
      <c r="Y2165" s="7"/>
      <c r="Z2165" s="12"/>
      <c r="AA2165" s="12"/>
    </row>
    <row r="2166" spans="1:27" outlineLevel="7">
      <c r="A2166" s="3499" t="s">
        <v>2243</v>
      </c>
      <c r="B2166" s="3499"/>
      <c r="C2166" s="12"/>
      <c r="D2166" s="14">
        <v>550</v>
      </c>
      <c r="E2166" s="14">
        <v>550</v>
      </c>
      <c r="F2166" s="7"/>
      <c r="G2166" s="14">
        <v>550</v>
      </c>
      <c r="H2166" s="3523">
        <v>550</v>
      </c>
      <c r="I2166" s="3523"/>
      <c r="J2166" s="7"/>
      <c r="K2166" s="7"/>
      <c r="L2166" s="7"/>
      <c r="M2166" s="7"/>
      <c r="N2166" s="7"/>
      <c r="O2166" s="7"/>
      <c r="P2166" s="7"/>
      <c r="Q2166" s="7"/>
      <c r="R2166" s="12"/>
      <c r="S2166" s="7"/>
      <c r="T2166" s="7"/>
      <c r="U2166" s="7"/>
      <c r="V2166" s="7"/>
      <c r="W2166" s="7"/>
      <c r="X2166" s="7"/>
      <c r="Y2166" s="7"/>
      <c r="Z2166" s="12"/>
      <c r="AA2166" s="12"/>
    </row>
    <row r="2167" spans="1:27" outlineLevel="6">
      <c r="A2167" s="3501" t="s">
        <v>1071</v>
      </c>
      <c r="B2167" s="3501"/>
      <c r="C2167" s="12"/>
      <c r="D2167" s="12"/>
      <c r="E2167" s="12"/>
      <c r="F2167" s="7"/>
      <c r="G2167" s="7"/>
      <c r="H2167" s="8"/>
      <c r="I2167" s="9"/>
      <c r="J2167" s="7"/>
      <c r="K2167" s="7"/>
      <c r="L2167" s="7"/>
      <c r="M2167" s="7"/>
      <c r="N2167" s="7"/>
      <c r="O2167" s="7"/>
      <c r="P2167" s="7"/>
      <c r="Q2167" s="7"/>
      <c r="R2167" s="14">
        <v>550</v>
      </c>
      <c r="S2167" s="7"/>
      <c r="T2167" s="7"/>
      <c r="U2167" s="14">
        <v>550</v>
      </c>
      <c r="V2167" s="7"/>
      <c r="W2167" s="7"/>
      <c r="X2167" s="7"/>
      <c r="Y2167" s="7"/>
      <c r="Z2167" s="12"/>
      <c r="AA2167" s="14">
        <v>550</v>
      </c>
    </row>
    <row r="2168" spans="1:27" outlineLevel="7">
      <c r="A2168" s="3500" t="s">
        <v>1072</v>
      </c>
      <c r="B2168" s="3500"/>
      <c r="C2168" s="12"/>
      <c r="D2168" s="12"/>
      <c r="E2168" s="12"/>
      <c r="F2168" s="7"/>
      <c r="G2168" s="7"/>
      <c r="H2168" s="8"/>
      <c r="I2168" s="9"/>
      <c r="J2168" s="7"/>
      <c r="K2168" s="7"/>
      <c r="L2168" s="7"/>
      <c r="M2168" s="7"/>
      <c r="N2168" s="7"/>
      <c r="O2168" s="7"/>
      <c r="P2168" s="7"/>
      <c r="Q2168" s="7"/>
      <c r="R2168" s="14">
        <v>550</v>
      </c>
      <c r="S2168" s="7"/>
      <c r="T2168" s="7"/>
      <c r="U2168" s="14">
        <v>550</v>
      </c>
      <c r="V2168" s="7"/>
      <c r="W2168" s="7"/>
      <c r="X2168" s="7"/>
      <c r="Y2168" s="7"/>
      <c r="Z2168" s="12"/>
      <c r="AA2168" s="14">
        <v>550</v>
      </c>
    </row>
    <row r="2169" spans="1:27" outlineLevel="7">
      <c r="A2169" s="3499" t="s">
        <v>2244</v>
      </c>
      <c r="B2169" s="3499"/>
      <c r="C2169" s="12"/>
      <c r="D2169" s="12"/>
      <c r="E2169" s="12"/>
      <c r="F2169" s="7"/>
      <c r="G2169" s="7"/>
      <c r="H2169" s="8"/>
      <c r="I2169" s="9"/>
      <c r="J2169" s="7"/>
      <c r="K2169" s="7"/>
      <c r="L2169" s="7"/>
      <c r="M2169" s="7"/>
      <c r="N2169" s="7"/>
      <c r="O2169" s="7"/>
      <c r="P2169" s="7"/>
      <c r="Q2169" s="7"/>
      <c r="R2169" s="14">
        <v>550</v>
      </c>
      <c r="S2169" s="7"/>
      <c r="T2169" s="7"/>
      <c r="U2169" s="14">
        <v>550</v>
      </c>
      <c r="V2169" s="7"/>
      <c r="W2169" s="7"/>
      <c r="X2169" s="7"/>
      <c r="Y2169" s="7"/>
      <c r="Z2169" s="12"/>
      <c r="AA2169" s="14">
        <v>550</v>
      </c>
    </row>
    <row r="2170" spans="1:27" outlineLevel="6">
      <c r="A2170" s="3501" t="s">
        <v>1073</v>
      </c>
      <c r="B2170" s="3501"/>
      <c r="C2170" s="12"/>
      <c r="D2170" s="12"/>
      <c r="E2170" s="12"/>
      <c r="F2170" s="7"/>
      <c r="G2170" s="7"/>
      <c r="H2170" s="8"/>
      <c r="I2170" s="9"/>
      <c r="J2170" s="7"/>
      <c r="K2170" s="7"/>
      <c r="L2170" s="7"/>
      <c r="M2170" s="7"/>
      <c r="N2170" s="7"/>
      <c r="O2170" s="7"/>
      <c r="P2170" s="7"/>
      <c r="Q2170" s="7"/>
      <c r="R2170" s="14">
        <v>550</v>
      </c>
      <c r="S2170" s="7"/>
      <c r="T2170" s="7"/>
      <c r="U2170" s="14">
        <v>550</v>
      </c>
      <c r="V2170" s="7"/>
      <c r="W2170" s="7"/>
      <c r="X2170" s="7"/>
      <c r="Y2170" s="7"/>
      <c r="Z2170" s="12"/>
      <c r="AA2170" s="14">
        <v>550</v>
      </c>
    </row>
    <row r="2171" spans="1:27" outlineLevel="7">
      <c r="A2171" s="3500" t="s">
        <v>1074</v>
      </c>
      <c r="B2171" s="3500"/>
      <c r="C2171" s="12"/>
      <c r="D2171" s="12"/>
      <c r="E2171" s="12"/>
      <c r="F2171" s="7"/>
      <c r="G2171" s="7"/>
      <c r="H2171" s="8"/>
      <c r="I2171" s="9"/>
      <c r="J2171" s="7"/>
      <c r="K2171" s="7"/>
      <c r="L2171" s="7"/>
      <c r="M2171" s="7"/>
      <c r="N2171" s="7"/>
      <c r="O2171" s="7"/>
      <c r="P2171" s="7"/>
      <c r="Q2171" s="7"/>
      <c r="R2171" s="14">
        <v>550</v>
      </c>
      <c r="S2171" s="7"/>
      <c r="T2171" s="7"/>
      <c r="U2171" s="14">
        <v>550</v>
      </c>
      <c r="V2171" s="7"/>
      <c r="W2171" s="7"/>
      <c r="X2171" s="7"/>
      <c r="Y2171" s="7"/>
      <c r="Z2171" s="12"/>
      <c r="AA2171" s="14">
        <v>550</v>
      </c>
    </row>
    <row r="2172" spans="1:27" outlineLevel="7">
      <c r="A2172" s="3499" t="s">
        <v>2245</v>
      </c>
      <c r="B2172" s="3499"/>
      <c r="C2172" s="12"/>
      <c r="D2172" s="12"/>
      <c r="E2172" s="12"/>
      <c r="F2172" s="7"/>
      <c r="G2172" s="7"/>
      <c r="H2172" s="8"/>
      <c r="I2172" s="9"/>
      <c r="J2172" s="7"/>
      <c r="K2172" s="7"/>
      <c r="L2172" s="7"/>
      <c r="M2172" s="7"/>
      <c r="N2172" s="7"/>
      <c r="O2172" s="7"/>
      <c r="P2172" s="7"/>
      <c r="Q2172" s="7"/>
      <c r="R2172" s="14">
        <v>550</v>
      </c>
      <c r="S2172" s="7"/>
      <c r="T2172" s="7"/>
      <c r="U2172" s="14">
        <v>550</v>
      </c>
      <c r="V2172" s="7"/>
      <c r="W2172" s="7"/>
      <c r="X2172" s="7"/>
      <c r="Y2172" s="7"/>
      <c r="Z2172" s="12"/>
      <c r="AA2172" s="14">
        <v>550</v>
      </c>
    </row>
    <row r="2173" spans="1:27" outlineLevel="6">
      <c r="A2173" s="3501" t="s">
        <v>1075</v>
      </c>
      <c r="B2173" s="3501"/>
      <c r="C2173" s="12"/>
      <c r="D2173" s="12"/>
      <c r="E2173" s="12"/>
      <c r="F2173" s="7"/>
      <c r="G2173" s="7"/>
      <c r="H2173" s="8"/>
      <c r="I2173" s="9"/>
      <c r="J2173" s="7"/>
      <c r="K2173" s="7"/>
      <c r="L2173" s="7"/>
      <c r="M2173" s="7"/>
      <c r="N2173" s="7"/>
      <c r="O2173" s="7"/>
      <c r="P2173" s="7"/>
      <c r="Q2173" s="7"/>
      <c r="R2173" s="14">
        <v>550</v>
      </c>
      <c r="S2173" s="7"/>
      <c r="T2173" s="7"/>
      <c r="U2173" s="14">
        <v>550</v>
      </c>
      <c r="V2173" s="7"/>
      <c r="W2173" s="7"/>
      <c r="X2173" s="7"/>
      <c r="Y2173" s="7"/>
      <c r="Z2173" s="12"/>
      <c r="AA2173" s="14">
        <v>550</v>
      </c>
    </row>
    <row r="2174" spans="1:27" outlineLevel="7">
      <c r="A2174" s="3500" t="s">
        <v>1076</v>
      </c>
      <c r="B2174" s="3500"/>
      <c r="C2174" s="12"/>
      <c r="D2174" s="12"/>
      <c r="E2174" s="12"/>
      <c r="F2174" s="7"/>
      <c r="G2174" s="7"/>
      <c r="H2174" s="8"/>
      <c r="I2174" s="9"/>
      <c r="J2174" s="7"/>
      <c r="K2174" s="7"/>
      <c r="L2174" s="7"/>
      <c r="M2174" s="7"/>
      <c r="N2174" s="7"/>
      <c r="O2174" s="7"/>
      <c r="P2174" s="7"/>
      <c r="Q2174" s="7"/>
      <c r="R2174" s="14">
        <v>550</v>
      </c>
      <c r="S2174" s="7"/>
      <c r="T2174" s="7"/>
      <c r="U2174" s="14">
        <v>550</v>
      </c>
      <c r="V2174" s="7"/>
      <c r="W2174" s="7"/>
      <c r="X2174" s="7"/>
      <c r="Y2174" s="7"/>
      <c r="Z2174" s="12"/>
      <c r="AA2174" s="14">
        <v>550</v>
      </c>
    </row>
    <row r="2175" spans="1:27" outlineLevel="7">
      <c r="A2175" s="3499" t="s">
        <v>2246</v>
      </c>
      <c r="B2175" s="3499"/>
      <c r="C2175" s="12"/>
      <c r="D2175" s="12"/>
      <c r="E2175" s="12"/>
      <c r="F2175" s="7"/>
      <c r="G2175" s="7"/>
      <c r="H2175" s="8"/>
      <c r="I2175" s="9"/>
      <c r="J2175" s="7"/>
      <c r="K2175" s="7"/>
      <c r="L2175" s="7"/>
      <c r="M2175" s="7"/>
      <c r="N2175" s="7"/>
      <c r="O2175" s="7"/>
      <c r="P2175" s="7"/>
      <c r="Q2175" s="7"/>
      <c r="R2175" s="14">
        <v>550</v>
      </c>
      <c r="S2175" s="7"/>
      <c r="T2175" s="7"/>
      <c r="U2175" s="14">
        <v>550</v>
      </c>
      <c r="V2175" s="7"/>
      <c r="W2175" s="7"/>
      <c r="X2175" s="7"/>
      <c r="Y2175" s="7"/>
      <c r="Z2175" s="12"/>
      <c r="AA2175" s="14">
        <v>550</v>
      </c>
    </row>
    <row r="2176" spans="1:27" outlineLevel="6">
      <c r="A2176" s="3501" t="s">
        <v>1077</v>
      </c>
      <c r="B2176" s="3501"/>
      <c r="C2176" s="12"/>
      <c r="D2176" s="12"/>
      <c r="E2176" s="12"/>
      <c r="F2176" s="7"/>
      <c r="G2176" s="7"/>
      <c r="H2176" s="8"/>
      <c r="I2176" s="9"/>
      <c r="J2176" s="7"/>
      <c r="K2176" s="7"/>
      <c r="L2176" s="7"/>
      <c r="M2176" s="7"/>
      <c r="N2176" s="7"/>
      <c r="O2176" s="7"/>
      <c r="P2176" s="7"/>
      <c r="Q2176" s="7"/>
      <c r="R2176" s="14">
        <v>550</v>
      </c>
      <c r="S2176" s="7"/>
      <c r="T2176" s="7"/>
      <c r="U2176" s="14">
        <v>550</v>
      </c>
      <c r="V2176" s="7"/>
      <c r="W2176" s="7"/>
      <c r="X2176" s="7"/>
      <c r="Y2176" s="7"/>
      <c r="Z2176" s="12"/>
      <c r="AA2176" s="14">
        <v>550</v>
      </c>
    </row>
    <row r="2177" spans="1:27" outlineLevel="7">
      <c r="A2177" s="3500" t="s">
        <v>1078</v>
      </c>
      <c r="B2177" s="3500"/>
      <c r="C2177" s="12"/>
      <c r="D2177" s="12"/>
      <c r="E2177" s="12"/>
      <c r="F2177" s="7"/>
      <c r="G2177" s="7"/>
      <c r="H2177" s="8"/>
      <c r="I2177" s="9"/>
      <c r="J2177" s="7"/>
      <c r="K2177" s="7"/>
      <c r="L2177" s="7"/>
      <c r="M2177" s="7"/>
      <c r="N2177" s="7"/>
      <c r="O2177" s="7"/>
      <c r="P2177" s="7"/>
      <c r="Q2177" s="7"/>
      <c r="R2177" s="14">
        <v>550</v>
      </c>
      <c r="S2177" s="7"/>
      <c r="T2177" s="7"/>
      <c r="U2177" s="14">
        <v>550</v>
      </c>
      <c r="V2177" s="7"/>
      <c r="W2177" s="7"/>
      <c r="X2177" s="7"/>
      <c r="Y2177" s="7"/>
      <c r="Z2177" s="12"/>
      <c r="AA2177" s="14">
        <v>550</v>
      </c>
    </row>
    <row r="2178" spans="1:27" outlineLevel="7">
      <c r="A2178" s="3499" t="s">
        <v>2247</v>
      </c>
      <c r="B2178" s="3499"/>
      <c r="C2178" s="12"/>
      <c r="D2178" s="12"/>
      <c r="E2178" s="12"/>
      <c r="F2178" s="7"/>
      <c r="G2178" s="7"/>
      <c r="H2178" s="8"/>
      <c r="I2178" s="9"/>
      <c r="J2178" s="7"/>
      <c r="K2178" s="7"/>
      <c r="L2178" s="7"/>
      <c r="M2178" s="7"/>
      <c r="N2178" s="7"/>
      <c r="O2178" s="7"/>
      <c r="P2178" s="7"/>
      <c r="Q2178" s="7"/>
      <c r="R2178" s="14">
        <v>550</v>
      </c>
      <c r="S2178" s="7"/>
      <c r="T2178" s="7"/>
      <c r="U2178" s="14">
        <v>550</v>
      </c>
      <c r="V2178" s="7"/>
      <c r="W2178" s="7"/>
      <c r="X2178" s="7"/>
      <c r="Y2178" s="7"/>
      <c r="Z2178" s="12"/>
      <c r="AA2178" s="14">
        <v>550</v>
      </c>
    </row>
    <row r="2179" spans="1:27" outlineLevel="6">
      <c r="A2179" s="3501" t="s">
        <v>449</v>
      </c>
      <c r="B2179" s="3501"/>
      <c r="C2179" s="7"/>
      <c r="D2179" s="7"/>
      <c r="E2179" s="14">
        <v>550</v>
      </c>
      <c r="F2179" s="7"/>
      <c r="G2179" s="14">
        <v>550</v>
      </c>
      <c r="H2179" s="3523">
        <v>550</v>
      </c>
      <c r="I2179" s="3523"/>
      <c r="J2179" s="7"/>
      <c r="K2179" s="7"/>
      <c r="L2179" s="7"/>
      <c r="M2179" s="7"/>
      <c r="N2179" s="7"/>
      <c r="O2179" s="7"/>
      <c r="P2179" s="7"/>
      <c r="Q2179" s="7"/>
      <c r="R2179" s="14">
        <v>550</v>
      </c>
      <c r="S2179" s="7"/>
      <c r="T2179" s="7"/>
      <c r="U2179" s="14">
        <v>550</v>
      </c>
      <c r="V2179" s="7"/>
      <c r="W2179" s="7"/>
      <c r="X2179" s="7"/>
      <c r="Y2179" s="7"/>
      <c r="Z2179" s="7"/>
      <c r="AA2179" s="7"/>
    </row>
    <row r="2180" spans="1:27" outlineLevel="7">
      <c r="A2180" s="3500" t="s">
        <v>450</v>
      </c>
      <c r="B2180" s="3500"/>
      <c r="C2180" s="7"/>
      <c r="D2180" s="7"/>
      <c r="E2180" s="14">
        <v>550</v>
      </c>
      <c r="F2180" s="7"/>
      <c r="G2180" s="14">
        <v>550</v>
      </c>
      <c r="H2180" s="3523">
        <v>550</v>
      </c>
      <c r="I2180" s="3523"/>
      <c r="J2180" s="7"/>
      <c r="K2180" s="7"/>
      <c r="L2180" s="7"/>
      <c r="M2180" s="7"/>
      <c r="N2180" s="7"/>
      <c r="O2180" s="7"/>
      <c r="P2180" s="7"/>
      <c r="Q2180" s="7"/>
      <c r="R2180" s="14">
        <v>550</v>
      </c>
      <c r="S2180" s="7"/>
      <c r="T2180" s="7"/>
      <c r="U2180" s="14">
        <v>550</v>
      </c>
      <c r="V2180" s="7"/>
      <c r="W2180" s="7"/>
      <c r="X2180" s="7"/>
      <c r="Y2180" s="7"/>
      <c r="Z2180" s="7"/>
      <c r="AA2180" s="7"/>
    </row>
    <row r="2181" spans="1:27" outlineLevel="7">
      <c r="A2181" s="3499" t="s">
        <v>2248</v>
      </c>
      <c r="B2181" s="3499"/>
      <c r="C2181" s="7"/>
      <c r="D2181" s="7"/>
      <c r="E2181" s="14">
        <v>550</v>
      </c>
      <c r="F2181" s="7"/>
      <c r="G2181" s="14">
        <v>550</v>
      </c>
      <c r="H2181" s="3523">
        <v>550</v>
      </c>
      <c r="I2181" s="3523"/>
      <c r="J2181" s="7"/>
      <c r="K2181" s="7"/>
      <c r="L2181" s="7"/>
      <c r="M2181" s="7"/>
      <c r="N2181" s="7"/>
      <c r="O2181" s="7"/>
      <c r="P2181" s="7"/>
      <c r="Q2181" s="7"/>
      <c r="R2181" s="14">
        <v>550</v>
      </c>
      <c r="S2181" s="7"/>
      <c r="T2181" s="7"/>
      <c r="U2181" s="14">
        <v>550</v>
      </c>
      <c r="V2181" s="7"/>
      <c r="W2181" s="7"/>
      <c r="X2181" s="7"/>
      <c r="Y2181" s="7"/>
      <c r="Z2181" s="7"/>
      <c r="AA2181" s="7"/>
    </row>
    <row r="2182" spans="1:27" outlineLevel="6">
      <c r="A2182" s="3501" t="s">
        <v>1079</v>
      </c>
      <c r="B2182" s="3501"/>
      <c r="C2182" s="12"/>
      <c r="D2182" s="12"/>
      <c r="E2182" s="12"/>
      <c r="F2182" s="7"/>
      <c r="G2182" s="7"/>
      <c r="H2182" s="8"/>
      <c r="I2182" s="9"/>
      <c r="J2182" s="7"/>
      <c r="K2182" s="7"/>
      <c r="L2182" s="7"/>
      <c r="M2182" s="7"/>
      <c r="N2182" s="7"/>
      <c r="O2182" s="7"/>
      <c r="P2182" s="7"/>
      <c r="Q2182" s="7"/>
      <c r="R2182" s="14">
        <v>550</v>
      </c>
      <c r="S2182" s="7"/>
      <c r="T2182" s="7"/>
      <c r="U2182" s="14">
        <v>550</v>
      </c>
      <c r="V2182" s="7"/>
      <c r="W2182" s="7"/>
      <c r="X2182" s="7"/>
      <c r="Y2182" s="7"/>
      <c r="Z2182" s="12"/>
      <c r="AA2182" s="14">
        <v>550</v>
      </c>
    </row>
    <row r="2183" spans="1:27" outlineLevel="7">
      <c r="A2183" s="3500" t="s">
        <v>1080</v>
      </c>
      <c r="B2183" s="3500"/>
      <c r="C2183" s="12"/>
      <c r="D2183" s="12"/>
      <c r="E2183" s="12"/>
      <c r="F2183" s="7"/>
      <c r="G2183" s="7"/>
      <c r="H2183" s="8"/>
      <c r="I2183" s="9"/>
      <c r="J2183" s="7"/>
      <c r="K2183" s="7"/>
      <c r="L2183" s="7"/>
      <c r="M2183" s="7"/>
      <c r="N2183" s="7"/>
      <c r="O2183" s="7"/>
      <c r="P2183" s="7"/>
      <c r="Q2183" s="7"/>
      <c r="R2183" s="14">
        <v>550</v>
      </c>
      <c r="S2183" s="7"/>
      <c r="T2183" s="7"/>
      <c r="U2183" s="14">
        <v>550</v>
      </c>
      <c r="V2183" s="7"/>
      <c r="W2183" s="7"/>
      <c r="X2183" s="7"/>
      <c r="Y2183" s="7"/>
      <c r="Z2183" s="12"/>
      <c r="AA2183" s="14">
        <v>550</v>
      </c>
    </row>
    <row r="2184" spans="1:27" outlineLevel="7">
      <c r="A2184" s="3499" t="s">
        <v>2249</v>
      </c>
      <c r="B2184" s="3499"/>
      <c r="C2184" s="12"/>
      <c r="D2184" s="12"/>
      <c r="E2184" s="12"/>
      <c r="F2184" s="7"/>
      <c r="G2184" s="7"/>
      <c r="H2184" s="8"/>
      <c r="I2184" s="9"/>
      <c r="J2184" s="7"/>
      <c r="K2184" s="7"/>
      <c r="L2184" s="7"/>
      <c r="M2184" s="7"/>
      <c r="N2184" s="7"/>
      <c r="O2184" s="7"/>
      <c r="P2184" s="7"/>
      <c r="Q2184" s="7"/>
      <c r="R2184" s="14">
        <v>550</v>
      </c>
      <c r="S2184" s="7"/>
      <c r="T2184" s="7"/>
      <c r="U2184" s="14">
        <v>550</v>
      </c>
      <c r="V2184" s="7"/>
      <c r="W2184" s="7"/>
      <c r="X2184" s="7"/>
      <c r="Y2184" s="7"/>
      <c r="Z2184" s="12"/>
      <c r="AA2184" s="14">
        <v>550</v>
      </c>
    </row>
    <row r="2185" spans="1:27" outlineLevel="6">
      <c r="A2185" s="3501" t="s">
        <v>1081</v>
      </c>
      <c r="B2185" s="3501"/>
      <c r="C2185" s="12"/>
      <c r="D2185" s="14">
        <v>550</v>
      </c>
      <c r="E2185" s="14">
        <v>550</v>
      </c>
      <c r="F2185" s="7"/>
      <c r="G2185" s="7"/>
      <c r="H2185" s="8"/>
      <c r="I2185" s="9"/>
      <c r="J2185" s="7"/>
      <c r="K2185" s="14">
        <v>550</v>
      </c>
      <c r="L2185" s="14">
        <v>550</v>
      </c>
      <c r="M2185" s="7"/>
      <c r="N2185" s="7"/>
      <c r="O2185" s="7"/>
      <c r="P2185" s="7"/>
      <c r="Q2185" s="7"/>
      <c r="R2185" s="12"/>
      <c r="S2185" s="7"/>
      <c r="T2185" s="7"/>
      <c r="U2185" s="7"/>
      <c r="V2185" s="7"/>
      <c r="W2185" s="7"/>
      <c r="X2185" s="7"/>
      <c r="Y2185" s="7"/>
      <c r="Z2185" s="12"/>
      <c r="AA2185" s="12"/>
    </row>
    <row r="2186" spans="1:27" outlineLevel="7">
      <c r="A2186" s="3500" t="s">
        <v>1082</v>
      </c>
      <c r="B2186" s="3500"/>
      <c r="C2186" s="12"/>
      <c r="D2186" s="14">
        <v>550</v>
      </c>
      <c r="E2186" s="14">
        <v>550</v>
      </c>
      <c r="F2186" s="7"/>
      <c r="G2186" s="7"/>
      <c r="H2186" s="8"/>
      <c r="I2186" s="9"/>
      <c r="J2186" s="7"/>
      <c r="K2186" s="14">
        <v>550</v>
      </c>
      <c r="L2186" s="14">
        <v>550</v>
      </c>
      <c r="M2186" s="7"/>
      <c r="N2186" s="7"/>
      <c r="O2186" s="7"/>
      <c r="P2186" s="7"/>
      <c r="Q2186" s="7"/>
      <c r="R2186" s="12"/>
      <c r="S2186" s="7"/>
      <c r="T2186" s="7"/>
      <c r="U2186" s="7"/>
      <c r="V2186" s="7"/>
      <c r="W2186" s="7"/>
      <c r="X2186" s="7"/>
      <c r="Y2186" s="7"/>
      <c r="Z2186" s="12"/>
      <c r="AA2186" s="12"/>
    </row>
    <row r="2187" spans="1:27" outlineLevel="7">
      <c r="A2187" s="3499" t="s">
        <v>2250</v>
      </c>
      <c r="B2187" s="3499"/>
      <c r="C2187" s="12"/>
      <c r="D2187" s="14">
        <v>550</v>
      </c>
      <c r="E2187" s="14">
        <v>550</v>
      </c>
      <c r="F2187" s="7"/>
      <c r="G2187" s="7"/>
      <c r="H2187" s="8"/>
      <c r="I2187" s="9"/>
      <c r="J2187" s="7"/>
      <c r="K2187" s="14">
        <v>550</v>
      </c>
      <c r="L2187" s="14">
        <v>550</v>
      </c>
      <c r="M2187" s="7"/>
      <c r="N2187" s="7"/>
      <c r="O2187" s="7"/>
      <c r="P2187" s="7"/>
      <c r="Q2187" s="7"/>
      <c r="R2187" s="12"/>
      <c r="S2187" s="7"/>
      <c r="T2187" s="7"/>
      <c r="U2187" s="7"/>
      <c r="V2187" s="7"/>
      <c r="W2187" s="7"/>
      <c r="X2187" s="7"/>
      <c r="Y2187" s="7"/>
      <c r="Z2187" s="12"/>
      <c r="AA2187" s="12"/>
    </row>
    <row r="2188" spans="1:27" outlineLevel="6">
      <c r="A2188" s="3501" t="s">
        <v>1083</v>
      </c>
      <c r="B2188" s="3501"/>
      <c r="C2188" s="12"/>
      <c r="D2188" s="14">
        <v>550</v>
      </c>
      <c r="E2188" s="12"/>
      <c r="F2188" s="7"/>
      <c r="G2188" s="7"/>
      <c r="H2188" s="8"/>
      <c r="I2188" s="9"/>
      <c r="J2188" s="7"/>
      <c r="K2188" s="7"/>
      <c r="L2188" s="7"/>
      <c r="M2188" s="7"/>
      <c r="N2188" s="7"/>
      <c r="O2188" s="7"/>
      <c r="P2188" s="7"/>
      <c r="Q2188" s="7"/>
      <c r="R2188" s="15">
        <v>-550</v>
      </c>
      <c r="S2188" s="7"/>
      <c r="T2188" s="7"/>
      <c r="U2188" s="15">
        <v>-550</v>
      </c>
      <c r="V2188" s="7"/>
      <c r="W2188" s="7"/>
      <c r="X2188" s="7"/>
      <c r="Y2188" s="7"/>
      <c r="Z2188" s="12"/>
      <c r="AA2188" s="12"/>
    </row>
    <row r="2189" spans="1:27" outlineLevel="7">
      <c r="A2189" s="3500" t="s">
        <v>1084</v>
      </c>
      <c r="B2189" s="3500"/>
      <c r="C2189" s="12"/>
      <c r="D2189" s="14">
        <v>550</v>
      </c>
      <c r="E2189" s="12"/>
      <c r="F2189" s="7"/>
      <c r="G2189" s="7"/>
      <c r="H2189" s="8"/>
      <c r="I2189" s="9"/>
      <c r="J2189" s="7"/>
      <c r="K2189" s="7"/>
      <c r="L2189" s="7"/>
      <c r="M2189" s="7"/>
      <c r="N2189" s="7"/>
      <c r="O2189" s="7"/>
      <c r="P2189" s="7"/>
      <c r="Q2189" s="7"/>
      <c r="R2189" s="15">
        <v>-550</v>
      </c>
      <c r="S2189" s="7"/>
      <c r="T2189" s="7"/>
      <c r="U2189" s="15">
        <v>-550</v>
      </c>
      <c r="V2189" s="7"/>
      <c r="W2189" s="7"/>
      <c r="X2189" s="7"/>
      <c r="Y2189" s="7"/>
      <c r="Z2189" s="12"/>
      <c r="AA2189" s="12"/>
    </row>
    <row r="2190" spans="1:27" outlineLevel="7">
      <c r="A2190" s="3499" t="s">
        <v>2251</v>
      </c>
      <c r="B2190" s="3499"/>
      <c r="C2190" s="12"/>
      <c r="D2190" s="14">
        <v>550</v>
      </c>
      <c r="E2190" s="12"/>
      <c r="F2190" s="7"/>
      <c r="G2190" s="7"/>
      <c r="H2190" s="8"/>
      <c r="I2190" s="9"/>
      <c r="J2190" s="7"/>
      <c r="K2190" s="7"/>
      <c r="L2190" s="7"/>
      <c r="M2190" s="7"/>
      <c r="N2190" s="7"/>
      <c r="O2190" s="7"/>
      <c r="P2190" s="7"/>
      <c r="Q2190" s="7"/>
      <c r="R2190" s="15">
        <v>-550</v>
      </c>
      <c r="S2190" s="7"/>
      <c r="T2190" s="7"/>
      <c r="U2190" s="15">
        <v>-550</v>
      </c>
      <c r="V2190" s="7"/>
      <c r="W2190" s="7"/>
      <c r="X2190" s="7"/>
      <c r="Y2190" s="7"/>
      <c r="Z2190" s="12"/>
      <c r="AA2190" s="12"/>
    </row>
    <row r="2191" spans="1:27" outlineLevel="6">
      <c r="A2191" s="3501" t="s">
        <v>1085</v>
      </c>
      <c r="B2191" s="3501"/>
      <c r="C2191" s="12"/>
      <c r="D2191" s="12"/>
      <c r="E2191" s="12"/>
      <c r="F2191" s="7"/>
      <c r="G2191" s="7"/>
      <c r="H2191" s="8"/>
      <c r="I2191" s="9"/>
      <c r="J2191" s="7"/>
      <c r="K2191" s="7"/>
      <c r="L2191" s="7"/>
      <c r="M2191" s="7"/>
      <c r="N2191" s="7"/>
      <c r="O2191" s="7"/>
      <c r="P2191" s="7"/>
      <c r="Q2191" s="7"/>
      <c r="R2191" s="14">
        <v>550</v>
      </c>
      <c r="S2191" s="7"/>
      <c r="T2191" s="7"/>
      <c r="U2191" s="14">
        <v>550</v>
      </c>
      <c r="V2191" s="7"/>
      <c r="W2191" s="7"/>
      <c r="X2191" s="7"/>
      <c r="Y2191" s="7"/>
      <c r="Z2191" s="12"/>
      <c r="AA2191" s="14">
        <v>550</v>
      </c>
    </row>
    <row r="2192" spans="1:27" outlineLevel="7">
      <c r="A2192" s="3500" t="s">
        <v>1086</v>
      </c>
      <c r="B2192" s="3500"/>
      <c r="C2192" s="12"/>
      <c r="D2192" s="12"/>
      <c r="E2192" s="12"/>
      <c r="F2192" s="7"/>
      <c r="G2192" s="7"/>
      <c r="H2192" s="8"/>
      <c r="I2192" s="9"/>
      <c r="J2192" s="7"/>
      <c r="K2192" s="7"/>
      <c r="L2192" s="7"/>
      <c r="M2192" s="7"/>
      <c r="N2192" s="7"/>
      <c r="O2192" s="7"/>
      <c r="P2192" s="7"/>
      <c r="Q2192" s="7"/>
      <c r="R2192" s="14">
        <v>550</v>
      </c>
      <c r="S2192" s="7"/>
      <c r="T2192" s="7"/>
      <c r="U2192" s="14">
        <v>550</v>
      </c>
      <c r="V2192" s="7"/>
      <c r="W2192" s="7"/>
      <c r="X2192" s="7"/>
      <c r="Y2192" s="7"/>
      <c r="Z2192" s="12"/>
      <c r="AA2192" s="14">
        <v>550</v>
      </c>
    </row>
    <row r="2193" spans="1:27" outlineLevel="7">
      <c r="A2193" s="3499" t="s">
        <v>2252</v>
      </c>
      <c r="B2193" s="3499"/>
      <c r="C2193" s="12"/>
      <c r="D2193" s="12"/>
      <c r="E2193" s="12"/>
      <c r="F2193" s="7"/>
      <c r="G2193" s="7"/>
      <c r="H2193" s="8"/>
      <c r="I2193" s="9"/>
      <c r="J2193" s="7"/>
      <c r="K2193" s="7"/>
      <c r="L2193" s="7"/>
      <c r="M2193" s="7"/>
      <c r="N2193" s="7"/>
      <c r="O2193" s="7"/>
      <c r="P2193" s="7"/>
      <c r="Q2193" s="7"/>
      <c r="R2193" s="14">
        <v>550</v>
      </c>
      <c r="S2193" s="7"/>
      <c r="T2193" s="7"/>
      <c r="U2193" s="14">
        <v>550</v>
      </c>
      <c r="V2193" s="7"/>
      <c r="W2193" s="7"/>
      <c r="X2193" s="7"/>
      <c r="Y2193" s="7"/>
      <c r="Z2193" s="12"/>
      <c r="AA2193" s="14">
        <v>550</v>
      </c>
    </row>
    <row r="2194" spans="1:27" outlineLevel="6">
      <c r="A2194" s="3501" t="s">
        <v>1087</v>
      </c>
      <c r="B2194" s="3501"/>
      <c r="C2194" s="12"/>
      <c r="D2194" s="12"/>
      <c r="E2194" s="12"/>
      <c r="F2194" s="7"/>
      <c r="G2194" s="7"/>
      <c r="H2194" s="8"/>
      <c r="I2194" s="9"/>
      <c r="J2194" s="7"/>
      <c r="K2194" s="7"/>
      <c r="L2194" s="7"/>
      <c r="M2194" s="7"/>
      <c r="N2194" s="7"/>
      <c r="O2194" s="7"/>
      <c r="P2194" s="7"/>
      <c r="Q2194" s="7"/>
      <c r="R2194" s="14">
        <v>550</v>
      </c>
      <c r="S2194" s="7"/>
      <c r="T2194" s="7"/>
      <c r="U2194" s="14">
        <v>550</v>
      </c>
      <c r="V2194" s="7"/>
      <c r="W2194" s="7"/>
      <c r="X2194" s="7"/>
      <c r="Y2194" s="7"/>
      <c r="Z2194" s="12"/>
      <c r="AA2194" s="14">
        <v>550</v>
      </c>
    </row>
    <row r="2195" spans="1:27" outlineLevel="7">
      <c r="A2195" s="3500" t="s">
        <v>1088</v>
      </c>
      <c r="B2195" s="3500"/>
      <c r="C2195" s="12"/>
      <c r="D2195" s="12"/>
      <c r="E2195" s="12"/>
      <c r="F2195" s="7"/>
      <c r="G2195" s="7"/>
      <c r="H2195" s="8"/>
      <c r="I2195" s="9"/>
      <c r="J2195" s="7"/>
      <c r="K2195" s="7"/>
      <c r="L2195" s="7"/>
      <c r="M2195" s="7"/>
      <c r="N2195" s="7"/>
      <c r="O2195" s="7"/>
      <c r="P2195" s="7"/>
      <c r="Q2195" s="7"/>
      <c r="R2195" s="14">
        <v>550</v>
      </c>
      <c r="S2195" s="7"/>
      <c r="T2195" s="7"/>
      <c r="U2195" s="14">
        <v>550</v>
      </c>
      <c r="V2195" s="7"/>
      <c r="W2195" s="7"/>
      <c r="X2195" s="7"/>
      <c r="Y2195" s="7"/>
      <c r="Z2195" s="12"/>
      <c r="AA2195" s="14">
        <v>550</v>
      </c>
    </row>
    <row r="2196" spans="1:27" outlineLevel="7">
      <c r="A2196" s="3499" t="s">
        <v>2253</v>
      </c>
      <c r="B2196" s="3499"/>
      <c r="C2196" s="12"/>
      <c r="D2196" s="12"/>
      <c r="E2196" s="12"/>
      <c r="F2196" s="7"/>
      <c r="G2196" s="7"/>
      <c r="H2196" s="8"/>
      <c r="I2196" s="9"/>
      <c r="J2196" s="7"/>
      <c r="K2196" s="7"/>
      <c r="L2196" s="7"/>
      <c r="M2196" s="7"/>
      <c r="N2196" s="7"/>
      <c r="O2196" s="7"/>
      <c r="P2196" s="7"/>
      <c r="Q2196" s="7"/>
      <c r="R2196" s="14">
        <v>550</v>
      </c>
      <c r="S2196" s="7"/>
      <c r="T2196" s="7"/>
      <c r="U2196" s="14">
        <v>550</v>
      </c>
      <c r="V2196" s="7"/>
      <c r="W2196" s="7"/>
      <c r="X2196" s="7"/>
      <c r="Y2196" s="7"/>
      <c r="Z2196" s="12"/>
      <c r="AA2196" s="14">
        <v>550</v>
      </c>
    </row>
    <row r="2197" spans="1:27" outlineLevel="6">
      <c r="A2197" s="3501" t="s">
        <v>451</v>
      </c>
      <c r="B2197" s="3501"/>
      <c r="C2197" s="12"/>
      <c r="D2197" s="14">
        <v>550</v>
      </c>
      <c r="E2197" s="14">
        <v>550</v>
      </c>
      <c r="F2197" s="7"/>
      <c r="G2197" s="14">
        <v>550</v>
      </c>
      <c r="H2197" s="3523">
        <v>550</v>
      </c>
      <c r="I2197" s="3523"/>
      <c r="J2197" s="7"/>
      <c r="K2197" s="7"/>
      <c r="L2197" s="7"/>
      <c r="M2197" s="7"/>
      <c r="N2197" s="7"/>
      <c r="O2197" s="7"/>
      <c r="P2197" s="7"/>
      <c r="Q2197" s="7"/>
      <c r="R2197" s="12"/>
      <c r="S2197" s="7"/>
      <c r="T2197" s="7"/>
      <c r="U2197" s="7"/>
      <c r="V2197" s="7"/>
      <c r="W2197" s="7"/>
      <c r="X2197" s="7"/>
      <c r="Y2197" s="7"/>
      <c r="Z2197" s="12"/>
      <c r="AA2197" s="12"/>
    </row>
    <row r="2198" spans="1:27" outlineLevel="7">
      <c r="A2198" s="3500" t="s">
        <v>452</v>
      </c>
      <c r="B2198" s="3500"/>
      <c r="C2198" s="12"/>
      <c r="D2198" s="14">
        <v>550</v>
      </c>
      <c r="E2198" s="14">
        <v>550</v>
      </c>
      <c r="F2198" s="7"/>
      <c r="G2198" s="14">
        <v>550</v>
      </c>
      <c r="H2198" s="3523">
        <v>550</v>
      </c>
      <c r="I2198" s="3523"/>
      <c r="J2198" s="7"/>
      <c r="K2198" s="7"/>
      <c r="L2198" s="7"/>
      <c r="M2198" s="7"/>
      <c r="N2198" s="7"/>
      <c r="O2198" s="7"/>
      <c r="P2198" s="7"/>
      <c r="Q2198" s="7"/>
      <c r="R2198" s="12"/>
      <c r="S2198" s="7"/>
      <c r="T2198" s="7"/>
      <c r="U2198" s="7"/>
      <c r="V2198" s="7"/>
      <c r="W2198" s="7"/>
      <c r="X2198" s="7"/>
      <c r="Y2198" s="7"/>
      <c r="Z2198" s="12"/>
      <c r="AA2198" s="12"/>
    </row>
    <row r="2199" spans="1:27" outlineLevel="7">
      <c r="A2199" s="3499" t="s">
        <v>2254</v>
      </c>
      <c r="B2199" s="3499"/>
      <c r="C2199" s="12"/>
      <c r="D2199" s="14">
        <v>550</v>
      </c>
      <c r="E2199" s="14">
        <v>550</v>
      </c>
      <c r="F2199" s="7"/>
      <c r="G2199" s="14">
        <v>550</v>
      </c>
      <c r="H2199" s="3523">
        <v>550</v>
      </c>
      <c r="I2199" s="3523"/>
      <c r="J2199" s="7"/>
      <c r="K2199" s="7"/>
      <c r="L2199" s="7"/>
      <c r="M2199" s="7"/>
      <c r="N2199" s="7"/>
      <c r="O2199" s="7"/>
      <c r="P2199" s="7"/>
      <c r="Q2199" s="7"/>
      <c r="R2199" s="12"/>
      <c r="S2199" s="7"/>
      <c r="T2199" s="7"/>
      <c r="U2199" s="7"/>
      <c r="V2199" s="7"/>
      <c r="W2199" s="7"/>
      <c r="X2199" s="7"/>
      <c r="Y2199" s="7"/>
      <c r="Z2199" s="12"/>
      <c r="AA2199" s="12"/>
    </row>
    <row r="2200" spans="1:27" outlineLevel="6">
      <c r="A2200" s="3501" t="s">
        <v>1089</v>
      </c>
      <c r="B2200" s="3501"/>
      <c r="C2200" s="12"/>
      <c r="D2200" s="12"/>
      <c r="E2200" s="12"/>
      <c r="F2200" s="7"/>
      <c r="G2200" s="7"/>
      <c r="H2200" s="8"/>
      <c r="I2200" s="9"/>
      <c r="J2200" s="7"/>
      <c r="K2200" s="7"/>
      <c r="L2200" s="7"/>
      <c r="M2200" s="7"/>
      <c r="N2200" s="7"/>
      <c r="O2200" s="7"/>
      <c r="P2200" s="7"/>
      <c r="Q2200" s="7"/>
      <c r="R2200" s="14">
        <v>550</v>
      </c>
      <c r="S2200" s="7"/>
      <c r="T2200" s="7"/>
      <c r="U2200" s="14">
        <v>550</v>
      </c>
      <c r="V2200" s="7"/>
      <c r="W2200" s="7"/>
      <c r="X2200" s="7"/>
      <c r="Y2200" s="7"/>
      <c r="Z2200" s="12"/>
      <c r="AA2200" s="14">
        <v>550</v>
      </c>
    </row>
    <row r="2201" spans="1:27" outlineLevel="7">
      <c r="A2201" s="3500" t="s">
        <v>1090</v>
      </c>
      <c r="B2201" s="3500"/>
      <c r="C2201" s="12"/>
      <c r="D2201" s="12"/>
      <c r="E2201" s="12"/>
      <c r="F2201" s="7"/>
      <c r="G2201" s="7"/>
      <c r="H2201" s="8"/>
      <c r="I2201" s="9"/>
      <c r="J2201" s="7"/>
      <c r="K2201" s="7"/>
      <c r="L2201" s="7"/>
      <c r="M2201" s="7"/>
      <c r="N2201" s="7"/>
      <c r="O2201" s="7"/>
      <c r="P2201" s="7"/>
      <c r="Q2201" s="7"/>
      <c r="R2201" s="14">
        <v>550</v>
      </c>
      <c r="S2201" s="7"/>
      <c r="T2201" s="7"/>
      <c r="U2201" s="14">
        <v>550</v>
      </c>
      <c r="V2201" s="7"/>
      <c r="W2201" s="7"/>
      <c r="X2201" s="7"/>
      <c r="Y2201" s="7"/>
      <c r="Z2201" s="12"/>
      <c r="AA2201" s="14">
        <v>550</v>
      </c>
    </row>
    <row r="2202" spans="1:27" outlineLevel="7">
      <c r="A2202" s="3499" t="s">
        <v>2255</v>
      </c>
      <c r="B2202" s="3499"/>
      <c r="C2202" s="12"/>
      <c r="D2202" s="12"/>
      <c r="E2202" s="12"/>
      <c r="F2202" s="7"/>
      <c r="G2202" s="7"/>
      <c r="H2202" s="8"/>
      <c r="I2202" s="9"/>
      <c r="J2202" s="7"/>
      <c r="K2202" s="7"/>
      <c r="L2202" s="7"/>
      <c r="M2202" s="7"/>
      <c r="N2202" s="7"/>
      <c r="O2202" s="7"/>
      <c r="P2202" s="7"/>
      <c r="Q2202" s="7"/>
      <c r="R2202" s="14">
        <v>550</v>
      </c>
      <c r="S2202" s="7"/>
      <c r="T2202" s="7"/>
      <c r="U2202" s="14">
        <v>550</v>
      </c>
      <c r="V2202" s="7"/>
      <c r="W2202" s="7"/>
      <c r="X2202" s="7"/>
      <c r="Y2202" s="7"/>
      <c r="Z2202" s="12"/>
      <c r="AA2202" s="14">
        <v>550</v>
      </c>
    </row>
    <row r="2203" spans="1:27" outlineLevel="6">
      <c r="A2203" s="3501" t="s">
        <v>1091</v>
      </c>
      <c r="B2203" s="3501"/>
      <c r="C2203" s="12"/>
      <c r="D2203" s="12"/>
      <c r="E2203" s="12"/>
      <c r="F2203" s="7"/>
      <c r="G2203" s="7"/>
      <c r="H2203" s="8"/>
      <c r="I2203" s="9"/>
      <c r="J2203" s="7"/>
      <c r="K2203" s="7"/>
      <c r="L2203" s="7"/>
      <c r="M2203" s="7"/>
      <c r="N2203" s="7"/>
      <c r="O2203" s="7"/>
      <c r="P2203" s="7"/>
      <c r="Q2203" s="7"/>
      <c r="R2203" s="14">
        <v>550</v>
      </c>
      <c r="S2203" s="7"/>
      <c r="T2203" s="7"/>
      <c r="U2203" s="14">
        <v>550</v>
      </c>
      <c r="V2203" s="7"/>
      <c r="W2203" s="7"/>
      <c r="X2203" s="7"/>
      <c r="Y2203" s="7"/>
      <c r="Z2203" s="12"/>
      <c r="AA2203" s="14">
        <v>550</v>
      </c>
    </row>
    <row r="2204" spans="1:27" outlineLevel="7">
      <c r="A2204" s="3500" t="s">
        <v>1092</v>
      </c>
      <c r="B2204" s="3500"/>
      <c r="C2204" s="12"/>
      <c r="D2204" s="12"/>
      <c r="E2204" s="12"/>
      <c r="F2204" s="7"/>
      <c r="G2204" s="7"/>
      <c r="H2204" s="8"/>
      <c r="I2204" s="9"/>
      <c r="J2204" s="7"/>
      <c r="K2204" s="7"/>
      <c r="L2204" s="7"/>
      <c r="M2204" s="7"/>
      <c r="N2204" s="7"/>
      <c r="O2204" s="7"/>
      <c r="P2204" s="7"/>
      <c r="Q2204" s="7"/>
      <c r="R2204" s="14">
        <v>550</v>
      </c>
      <c r="S2204" s="7"/>
      <c r="T2204" s="7"/>
      <c r="U2204" s="14">
        <v>550</v>
      </c>
      <c r="V2204" s="7"/>
      <c r="W2204" s="7"/>
      <c r="X2204" s="7"/>
      <c r="Y2204" s="7"/>
      <c r="Z2204" s="12"/>
      <c r="AA2204" s="14">
        <v>550</v>
      </c>
    </row>
    <row r="2205" spans="1:27" outlineLevel="7">
      <c r="A2205" s="3499" t="s">
        <v>2256</v>
      </c>
      <c r="B2205" s="3499"/>
      <c r="C2205" s="12"/>
      <c r="D2205" s="12"/>
      <c r="E2205" s="12"/>
      <c r="F2205" s="7"/>
      <c r="G2205" s="7"/>
      <c r="H2205" s="8"/>
      <c r="I2205" s="9"/>
      <c r="J2205" s="7"/>
      <c r="K2205" s="7"/>
      <c r="L2205" s="7"/>
      <c r="M2205" s="7"/>
      <c r="N2205" s="7"/>
      <c r="O2205" s="7"/>
      <c r="P2205" s="7"/>
      <c r="Q2205" s="7"/>
      <c r="R2205" s="14">
        <v>550</v>
      </c>
      <c r="S2205" s="7"/>
      <c r="T2205" s="7"/>
      <c r="U2205" s="14">
        <v>550</v>
      </c>
      <c r="V2205" s="7"/>
      <c r="W2205" s="7"/>
      <c r="X2205" s="7"/>
      <c r="Y2205" s="7"/>
      <c r="Z2205" s="12"/>
      <c r="AA2205" s="14">
        <v>550</v>
      </c>
    </row>
    <row r="2206" spans="1:27" outlineLevel="6">
      <c r="A2206" s="3501" t="s">
        <v>1093</v>
      </c>
      <c r="B2206" s="3501"/>
      <c r="C2206" s="12"/>
      <c r="D2206" s="12"/>
      <c r="E2206" s="12"/>
      <c r="F2206" s="7"/>
      <c r="G2206" s="7"/>
      <c r="H2206" s="8"/>
      <c r="I2206" s="9"/>
      <c r="J2206" s="7"/>
      <c r="K2206" s="7"/>
      <c r="L2206" s="7"/>
      <c r="M2206" s="7"/>
      <c r="N2206" s="7"/>
      <c r="O2206" s="7"/>
      <c r="P2206" s="7"/>
      <c r="Q2206" s="7"/>
      <c r="R2206" s="14">
        <v>550</v>
      </c>
      <c r="S2206" s="7"/>
      <c r="T2206" s="7"/>
      <c r="U2206" s="14">
        <v>550</v>
      </c>
      <c r="V2206" s="7"/>
      <c r="W2206" s="7"/>
      <c r="X2206" s="7"/>
      <c r="Y2206" s="7"/>
      <c r="Z2206" s="12"/>
      <c r="AA2206" s="14">
        <v>550</v>
      </c>
    </row>
    <row r="2207" spans="1:27" outlineLevel="7">
      <c r="A2207" s="3500" t="s">
        <v>1094</v>
      </c>
      <c r="B2207" s="3500"/>
      <c r="C2207" s="12"/>
      <c r="D2207" s="12"/>
      <c r="E2207" s="12"/>
      <c r="F2207" s="7"/>
      <c r="G2207" s="7"/>
      <c r="H2207" s="8"/>
      <c r="I2207" s="9"/>
      <c r="J2207" s="7"/>
      <c r="K2207" s="7"/>
      <c r="L2207" s="7"/>
      <c r="M2207" s="7"/>
      <c r="N2207" s="7"/>
      <c r="O2207" s="7"/>
      <c r="P2207" s="7"/>
      <c r="Q2207" s="7"/>
      <c r="R2207" s="14">
        <v>550</v>
      </c>
      <c r="S2207" s="7"/>
      <c r="T2207" s="7"/>
      <c r="U2207" s="14">
        <v>550</v>
      </c>
      <c r="V2207" s="7"/>
      <c r="W2207" s="7"/>
      <c r="X2207" s="7"/>
      <c r="Y2207" s="7"/>
      <c r="Z2207" s="12"/>
      <c r="AA2207" s="14">
        <v>550</v>
      </c>
    </row>
    <row r="2208" spans="1:27" outlineLevel="7">
      <c r="A2208" s="3499" t="s">
        <v>2257</v>
      </c>
      <c r="B2208" s="3499"/>
      <c r="C2208" s="12"/>
      <c r="D2208" s="12"/>
      <c r="E2208" s="12"/>
      <c r="F2208" s="7"/>
      <c r="G2208" s="7"/>
      <c r="H2208" s="8"/>
      <c r="I2208" s="9"/>
      <c r="J2208" s="7"/>
      <c r="K2208" s="7"/>
      <c r="L2208" s="7"/>
      <c r="M2208" s="7"/>
      <c r="N2208" s="7"/>
      <c r="O2208" s="7"/>
      <c r="P2208" s="7"/>
      <c r="Q2208" s="7"/>
      <c r="R2208" s="14">
        <v>550</v>
      </c>
      <c r="S2208" s="7"/>
      <c r="T2208" s="7"/>
      <c r="U2208" s="14">
        <v>550</v>
      </c>
      <c r="V2208" s="7"/>
      <c r="W2208" s="7"/>
      <c r="X2208" s="7"/>
      <c r="Y2208" s="7"/>
      <c r="Z2208" s="12"/>
      <c r="AA2208" s="14">
        <v>550</v>
      </c>
    </row>
    <row r="2209" spans="1:27" outlineLevel="6">
      <c r="A2209" s="3501" t="s">
        <v>1095</v>
      </c>
      <c r="B2209" s="3501"/>
      <c r="C2209" s="12"/>
      <c r="D2209" s="14">
        <v>550</v>
      </c>
      <c r="E2209" s="7"/>
      <c r="F2209" s="7"/>
      <c r="G2209" s="7"/>
      <c r="H2209" s="8"/>
      <c r="I2209" s="9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12"/>
      <c r="AA2209" s="14">
        <v>550</v>
      </c>
    </row>
    <row r="2210" spans="1:27" outlineLevel="7">
      <c r="A2210" s="3500" t="s">
        <v>1096</v>
      </c>
      <c r="B2210" s="3500"/>
      <c r="C2210" s="12"/>
      <c r="D2210" s="14">
        <v>550</v>
      </c>
      <c r="E2210" s="7"/>
      <c r="F2210" s="7"/>
      <c r="G2210" s="7"/>
      <c r="H2210" s="8"/>
      <c r="I2210" s="9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12"/>
      <c r="AA2210" s="14">
        <v>550</v>
      </c>
    </row>
    <row r="2211" spans="1:27" outlineLevel="7">
      <c r="A2211" s="3499" t="s">
        <v>2258</v>
      </c>
      <c r="B2211" s="3499"/>
      <c r="C2211" s="12"/>
      <c r="D2211" s="14">
        <v>550</v>
      </c>
      <c r="E2211" s="7"/>
      <c r="F2211" s="7"/>
      <c r="G2211" s="7"/>
      <c r="H2211" s="8"/>
      <c r="I2211" s="9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12"/>
      <c r="AA2211" s="14">
        <v>550</v>
      </c>
    </row>
    <row r="2212" spans="1:27" outlineLevel="6">
      <c r="A2212" s="3501" t="s">
        <v>453</v>
      </c>
      <c r="B2212" s="3501"/>
      <c r="C2212" s="7"/>
      <c r="D2212" s="7"/>
      <c r="E2212" s="14">
        <v>550</v>
      </c>
      <c r="F2212" s="7"/>
      <c r="G2212" s="14">
        <v>550</v>
      </c>
      <c r="H2212" s="3523">
        <v>550</v>
      </c>
      <c r="I2212" s="3523"/>
      <c r="J2212" s="7"/>
      <c r="K2212" s="7"/>
      <c r="L2212" s="7"/>
      <c r="M2212" s="7"/>
      <c r="N2212" s="7"/>
      <c r="O2212" s="7"/>
      <c r="P2212" s="7"/>
      <c r="Q2212" s="7"/>
      <c r="R2212" s="14">
        <v>550</v>
      </c>
      <c r="S2212" s="7"/>
      <c r="T2212" s="7"/>
      <c r="U2212" s="14">
        <v>550</v>
      </c>
      <c r="V2212" s="7"/>
      <c r="W2212" s="7"/>
      <c r="X2212" s="7"/>
      <c r="Y2212" s="7"/>
      <c r="Z2212" s="7"/>
      <c r="AA2212" s="7"/>
    </row>
    <row r="2213" spans="1:27" outlineLevel="7">
      <c r="A2213" s="3500" t="s">
        <v>454</v>
      </c>
      <c r="B2213" s="3500"/>
      <c r="C2213" s="7"/>
      <c r="D2213" s="7"/>
      <c r="E2213" s="14">
        <v>550</v>
      </c>
      <c r="F2213" s="7"/>
      <c r="G2213" s="14">
        <v>550</v>
      </c>
      <c r="H2213" s="3523">
        <v>550</v>
      </c>
      <c r="I2213" s="3523"/>
      <c r="J2213" s="7"/>
      <c r="K2213" s="7"/>
      <c r="L2213" s="7"/>
      <c r="M2213" s="7"/>
      <c r="N2213" s="7"/>
      <c r="O2213" s="7"/>
      <c r="P2213" s="7"/>
      <c r="Q2213" s="7"/>
      <c r="R2213" s="14">
        <v>550</v>
      </c>
      <c r="S2213" s="7"/>
      <c r="T2213" s="7"/>
      <c r="U2213" s="14">
        <v>550</v>
      </c>
      <c r="V2213" s="7"/>
      <c r="W2213" s="7"/>
      <c r="X2213" s="7"/>
      <c r="Y2213" s="7"/>
      <c r="Z2213" s="7"/>
      <c r="AA2213" s="7"/>
    </row>
    <row r="2214" spans="1:27" outlineLevel="7">
      <c r="A2214" s="3499" t="s">
        <v>2259</v>
      </c>
      <c r="B2214" s="3499"/>
      <c r="C2214" s="7"/>
      <c r="D2214" s="7"/>
      <c r="E2214" s="14">
        <v>550</v>
      </c>
      <c r="F2214" s="7"/>
      <c r="G2214" s="14">
        <v>550</v>
      </c>
      <c r="H2214" s="3523">
        <v>550</v>
      </c>
      <c r="I2214" s="3523"/>
      <c r="J2214" s="7"/>
      <c r="K2214" s="7"/>
      <c r="L2214" s="7"/>
      <c r="M2214" s="7"/>
      <c r="N2214" s="7"/>
      <c r="O2214" s="7"/>
      <c r="P2214" s="7"/>
      <c r="Q2214" s="7"/>
      <c r="R2214" s="14">
        <v>550</v>
      </c>
      <c r="S2214" s="7"/>
      <c r="T2214" s="7"/>
      <c r="U2214" s="14">
        <v>550</v>
      </c>
      <c r="V2214" s="7"/>
      <c r="W2214" s="7"/>
      <c r="X2214" s="7"/>
      <c r="Y2214" s="7"/>
      <c r="Z2214" s="7"/>
      <c r="AA2214" s="7"/>
    </row>
    <row r="2215" spans="1:27" outlineLevel="6">
      <c r="A2215" s="3501" t="s">
        <v>1097</v>
      </c>
      <c r="B2215" s="3501"/>
      <c r="C2215" s="12"/>
      <c r="D2215" s="14">
        <v>550</v>
      </c>
      <c r="E2215" s="7"/>
      <c r="F2215" s="7"/>
      <c r="G2215" s="7"/>
      <c r="H2215" s="8"/>
      <c r="I2215" s="9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12"/>
      <c r="AA2215" s="14">
        <v>550</v>
      </c>
    </row>
    <row r="2216" spans="1:27" outlineLevel="7">
      <c r="A2216" s="3500" t="s">
        <v>1098</v>
      </c>
      <c r="B2216" s="3500"/>
      <c r="C2216" s="12"/>
      <c r="D2216" s="14">
        <v>550</v>
      </c>
      <c r="E2216" s="7"/>
      <c r="F2216" s="7"/>
      <c r="G2216" s="7"/>
      <c r="H2216" s="8"/>
      <c r="I2216" s="9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12"/>
      <c r="AA2216" s="14">
        <v>550</v>
      </c>
    </row>
    <row r="2217" spans="1:27" outlineLevel="7">
      <c r="A2217" s="3499" t="s">
        <v>2260</v>
      </c>
      <c r="B2217" s="3499"/>
      <c r="C2217" s="12"/>
      <c r="D2217" s="14">
        <v>550</v>
      </c>
      <c r="E2217" s="7"/>
      <c r="F2217" s="7"/>
      <c r="G2217" s="7"/>
      <c r="H2217" s="8"/>
      <c r="I2217" s="9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12"/>
      <c r="AA2217" s="14">
        <v>550</v>
      </c>
    </row>
    <row r="2218" spans="1:27" outlineLevel="6">
      <c r="A2218" s="3501" t="s">
        <v>455</v>
      </c>
      <c r="B2218" s="3501"/>
      <c r="C2218" s="7"/>
      <c r="D2218" s="7"/>
      <c r="E2218" s="14">
        <v>550</v>
      </c>
      <c r="F2218" s="7"/>
      <c r="G2218" s="14">
        <v>550</v>
      </c>
      <c r="H2218" s="3523">
        <v>550</v>
      </c>
      <c r="I2218" s="3523"/>
      <c r="J2218" s="7"/>
      <c r="K2218" s="7"/>
      <c r="L2218" s="7"/>
      <c r="M2218" s="7"/>
      <c r="N2218" s="7"/>
      <c r="O2218" s="7"/>
      <c r="P2218" s="7"/>
      <c r="Q2218" s="7"/>
      <c r="R2218" s="14">
        <v>550</v>
      </c>
      <c r="S2218" s="7"/>
      <c r="T2218" s="7"/>
      <c r="U2218" s="14">
        <v>550</v>
      </c>
      <c r="V2218" s="7"/>
      <c r="W2218" s="7"/>
      <c r="X2218" s="7"/>
      <c r="Y2218" s="7"/>
      <c r="Z2218" s="7"/>
      <c r="AA2218" s="7"/>
    </row>
    <row r="2219" spans="1:27" outlineLevel="7">
      <c r="A2219" s="3500" t="s">
        <v>456</v>
      </c>
      <c r="B2219" s="3500"/>
      <c r="C2219" s="7"/>
      <c r="D2219" s="7"/>
      <c r="E2219" s="14">
        <v>550</v>
      </c>
      <c r="F2219" s="7"/>
      <c r="G2219" s="14">
        <v>550</v>
      </c>
      <c r="H2219" s="3523">
        <v>550</v>
      </c>
      <c r="I2219" s="3523"/>
      <c r="J2219" s="7"/>
      <c r="K2219" s="7"/>
      <c r="L2219" s="7"/>
      <c r="M2219" s="7"/>
      <c r="N2219" s="7"/>
      <c r="O2219" s="7"/>
      <c r="P2219" s="7"/>
      <c r="Q2219" s="7"/>
      <c r="R2219" s="14">
        <v>550</v>
      </c>
      <c r="S2219" s="7"/>
      <c r="T2219" s="7"/>
      <c r="U2219" s="14">
        <v>550</v>
      </c>
      <c r="V2219" s="7"/>
      <c r="W2219" s="7"/>
      <c r="X2219" s="7"/>
      <c r="Y2219" s="7"/>
      <c r="Z2219" s="7"/>
      <c r="AA2219" s="7"/>
    </row>
    <row r="2220" spans="1:27" outlineLevel="7">
      <c r="A2220" s="3499" t="s">
        <v>2261</v>
      </c>
      <c r="B2220" s="3499"/>
      <c r="C2220" s="7"/>
      <c r="D2220" s="7"/>
      <c r="E2220" s="14">
        <v>550</v>
      </c>
      <c r="F2220" s="7"/>
      <c r="G2220" s="14">
        <v>550</v>
      </c>
      <c r="H2220" s="3523">
        <v>550</v>
      </c>
      <c r="I2220" s="3523"/>
      <c r="J2220" s="7"/>
      <c r="K2220" s="7"/>
      <c r="L2220" s="7"/>
      <c r="M2220" s="7"/>
      <c r="N2220" s="7"/>
      <c r="O2220" s="7"/>
      <c r="P2220" s="7"/>
      <c r="Q2220" s="7"/>
      <c r="R2220" s="14">
        <v>550</v>
      </c>
      <c r="S2220" s="7"/>
      <c r="T2220" s="7"/>
      <c r="U2220" s="14">
        <v>550</v>
      </c>
      <c r="V2220" s="7"/>
      <c r="W2220" s="7"/>
      <c r="X2220" s="7"/>
      <c r="Y2220" s="7"/>
      <c r="Z2220" s="7"/>
      <c r="AA2220" s="7"/>
    </row>
    <row r="2221" spans="1:27" outlineLevel="6">
      <c r="A2221" s="3501" t="s">
        <v>457</v>
      </c>
      <c r="B2221" s="3501"/>
      <c r="C2221" s="7"/>
      <c r="D2221" s="7"/>
      <c r="E2221" s="14">
        <v>550</v>
      </c>
      <c r="F2221" s="7"/>
      <c r="G2221" s="14">
        <v>550</v>
      </c>
      <c r="H2221" s="3523">
        <v>550</v>
      </c>
      <c r="I2221" s="3523"/>
      <c r="J2221" s="7"/>
      <c r="K2221" s="7"/>
      <c r="L2221" s="7"/>
      <c r="M2221" s="7"/>
      <c r="N2221" s="7"/>
      <c r="O2221" s="7"/>
      <c r="P2221" s="7"/>
      <c r="Q2221" s="7"/>
      <c r="R2221" s="14">
        <v>550</v>
      </c>
      <c r="S2221" s="7"/>
      <c r="T2221" s="7"/>
      <c r="U2221" s="14">
        <v>550</v>
      </c>
      <c r="V2221" s="7"/>
      <c r="W2221" s="7"/>
      <c r="X2221" s="7"/>
      <c r="Y2221" s="7"/>
      <c r="Z2221" s="7"/>
      <c r="AA2221" s="7"/>
    </row>
    <row r="2222" spans="1:27" outlineLevel="7">
      <c r="A2222" s="3500" t="s">
        <v>458</v>
      </c>
      <c r="B2222" s="3500"/>
      <c r="C2222" s="7"/>
      <c r="D2222" s="7"/>
      <c r="E2222" s="14">
        <v>550</v>
      </c>
      <c r="F2222" s="7"/>
      <c r="G2222" s="14">
        <v>550</v>
      </c>
      <c r="H2222" s="3523">
        <v>550</v>
      </c>
      <c r="I2222" s="3523"/>
      <c r="J2222" s="7"/>
      <c r="K2222" s="7"/>
      <c r="L2222" s="7"/>
      <c r="M2222" s="7"/>
      <c r="N2222" s="7"/>
      <c r="O2222" s="7"/>
      <c r="P2222" s="7"/>
      <c r="Q2222" s="7"/>
      <c r="R2222" s="14">
        <v>550</v>
      </c>
      <c r="S2222" s="7"/>
      <c r="T2222" s="7"/>
      <c r="U2222" s="14">
        <v>550</v>
      </c>
      <c r="V2222" s="7"/>
      <c r="W2222" s="7"/>
      <c r="X2222" s="7"/>
      <c r="Y2222" s="7"/>
      <c r="Z2222" s="7"/>
      <c r="AA2222" s="7"/>
    </row>
    <row r="2223" spans="1:27" outlineLevel="7">
      <c r="A2223" s="3499" t="s">
        <v>2262</v>
      </c>
      <c r="B2223" s="3499"/>
      <c r="C2223" s="7"/>
      <c r="D2223" s="7"/>
      <c r="E2223" s="14">
        <v>550</v>
      </c>
      <c r="F2223" s="7"/>
      <c r="G2223" s="14">
        <v>550</v>
      </c>
      <c r="H2223" s="3523">
        <v>550</v>
      </c>
      <c r="I2223" s="3523"/>
      <c r="J2223" s="7"/>
      <c r="K2223" s="7"/>
      <c r="L2223" s="7"/>
      <c r="M2223" s="7"/>
      <c r="N2223" s="7"/>
      <c r="O2223" s="7"/>
      <c r="P2223" s="7"/>
      <c r="Q2223" s="7"/>
      <c r="R2223" s="14">
        <v>550</v>
      </c>
      <c r="S2223" s="7"/>
      <c r="T2223" s="7"/>
      <c r="U2223" s="14">
        <v>550</v>
      </c>
      <c r="V2223" s="7"/>
      <c r="W2223" s="7"/>
      <c r="X2223" s="7"/>
      <c r="Y2223" s="7"/>
      <c r="Z2223" s="7"/>
      <c r="AA2223" s="7"/>
    </row>
    <row r="2224" spans="1:27" outlineLevel="6">
      <c r="A2224" s="3501" t="s">
        <v>1099</v>
      </c>
      <c r="B2224" s="3501"/>
      <c r="C2224" s="12"/>
      <c r="D2224" s="12"/>
      <c r="E2224" s="12"/>
      <c r="F2224" s="7"/>
      <c r="G2224" s="7"/>
      <c r="H2224" s="8"/>
      <c r="I2224" s="9"/>
      <c r="J2224" s="7"/>
      <c r="K2224" s="7"/>
      <c r="L2224" s="7"/>
      <c r="M2224" s="7"/>
      <c r="N2224" s="7"/>
      <c r="O2224" s="7"/>
      <c r="P2224" s="7"/>
      <c r="Q2224" s="7"/>
      <c r="R2224" s="14">
        <v>550</v>
      </c>
      <c r="S2224" s="7"/>
      <c r="T2224" s="7"/>
      <c r="U2224" s="14">
        <v>550</v>
      </c>
      <c r="V2224" s="7"/>
      <c r="W2224" s="7"/>
      <c r="X2224" s="7"/>
      <c r="Y2224" s="7"/>
      <c r="Z2224" s="12"/>
      <c r="AA2224" s="14">
        <v>550</v>
      </c>
    </row>
    <row r="2225" spans="1:27" outlineLevel="7">
      <c r="A2225" s="3500" t="s">
        <v>1100</v>
      </c>
      <c r="B2225" s="3500"/>
      <c r="C2225" s="12"/>
      <c r="D2225" s="12"/>
      <c r="E2225" s="12"/>
      <c r="F2225" s="7"/>
      <c r="G2225" s="7"/>
      <c r="H2225" s="8"/>
      <c r="I2225" s="9"/>
      <c r="J2225" s="7"/>
      <c r="K2225" s="7"/>
      <c r="L2225" s="7"/>
      <c r="M2225" s="7"/>
      <c r="N2225" s="7"/>
      <c r="O2225" s="7"/>
      <c r="P2225" s="7"/>
      <c r="Q2225" s="7"/>
      <c r="R2225" s="14">
        <v>550</v>
      </c>
      <c r="S2225" s="7"/>
      <c r="T2225" s="7"/>
      <c r="U2225" s="14">
        <v>550</v>
      </c>
      <c r="V2225" s="7"/>
      <c r="W2225" s="7"/>
      <c r="X2225" s="7"/>
      <c r="Y2225" s="7"/>
      <c r="Z2225" s="12"/>
      <c r="AA2225" s="14">
        <v>550</v>
      </c>
    </row>
    <row r="2226" spans="1:27" outlineLevel="7">
      <c r="A2226" s="3499" t="s">
        <v>2263</v>
      </c>
      <c r="B2226" s="3499"/>
      <c r="C2226" s="12"/>
      <c r="D2226" s="12"/>
      <c r="E2226" s="12"/>
      <c r="F2226" s="7"/>
      <c r="G2226" s="7"/>
      <c r="H2226" s="8"/>
      <c r="I2226" s="9"/>
      <c r="J2226" s="7"/>
      <c r="K2226" s="7"/>
      <c r="L2226" s="7"/>
      <c r="M2226" s="7"/>
      <c r="N2226" s="7"/>
      <c r="O2226" s="7"/>
      <c r="P2226" s="7"/>
      <c r="Q2226" s="7"/>
      <c r="R2226" s="14">
        <v>550</v>
      </c>
      <c r="S2226" s="7"/>
      <c r="T2226" s="7"/>
      <c r="U2226" s="14">
        <v>550</v>
      </c>
      <c r="V2226" s="7"/>
      <c r="W2226" s="7"/>
      <c r="X2226" s="7"/>
      <c r="Y2226" s="7"/>
      <c r="Z2226" s="12"/>
      <c r="AA2226" s="14">
        <v>550</v>
      </c>
    </row>
    <row r="2227" spans="1:27" outlineLevel="6">
      <c r="A2227" s="3501" t="s">
        <v>1101</v>
      </c>
      <c r="B2227" s="3501"/>
      <c r="C2227" s="12"/>
      <c r="D2227" s="12"/>
      <c r="E2227" s="12"/>
      <c r="F2227" s="7"/>
      <c r="G2227" s="7"/>
      <c r="H2227" s="8"/>
      <c r="I2227" s="9"/>
      <c r="J2227" s="7"/>
      <c r="K2227" s="7"/>
      <c r="L2227" s="7"/>
      <c r="M2227" s="7"/>
      <c r="N2227" s="7"/>
      <c r="O2227" s="7"/>
      <c r="P2227" s="7"/>
      <c r="Q2227" s="7"/>
      <c r="R2227" s="14">
        <v>550</v>
      </c>
      <c r="S2227" s="7"/>
      <c r="T2227" s="7"/>
      <c r="U2227" s="14">
        <v>550</v>
      </c>
      <c r="V2227" s="7"/>
      <c r="W2227" s="7"/>
      <c r="X2227" s="7"/>
      <c r="Y2227" s="7"/>
      <c r="Z2227" s="12"/>
      <c r="AA2227" s="14">
        <v>550</v>
      </c>
    </row>
    <row r="2228" spans="1:27" outlineLevel="7">
      <c r="A2228" s="3500" t="s">
        <v>1102</v>
      </c>
      <c r="B2228" s="3500"/>
      <c r="C2228" s="12"/>
      <c r="D2228" s="12"/>
      <c r="E2228" s="12"/>
      <c r="F2228" s="7"/>
      <c r="G2228" s="7"/>
      <c r="H2228" s="8"/>
      <c r="I2228" s="9"/>
      <c r="J2228" s="7"/>
      <c r="K2228" s="7"/>
      <c r="L2228" s="7"/>
      <c r="M2228" s="7"/>
      <c r="N2228" s="7"/>
      <c r="O2228" s="7"/>
      <c r="P2228" s="7"/>
      <c r="Q2228" s="7"/>
      <c r="R2228" s="14">
        <v>550</v>
      </c>
      <c r="S2228" s="7"/>
      <c r="T2228" s="7"/>
      <c r="U2228" s="14">
        <v>550</v>
      </c>
      <c r="V2228" s="7"/>
      <c r="W2228" s="7"/>
      <c r="X2228" s="7"/>
      <c r="Y2228" s="7"/>
      <c r="Z2228" s="12"/>
      <c r="AA2228" s="14">
        <v>550</v>
      </c>
    </row>
    <row r="2229" spans="1:27" outlineLevel="7">
      <c r="A2229" s="3499" t="s">
        <v>2264</v>
      </c>
      <c r="B2229" s="3499"/>
      <c r="C2229" s="12"/>
      <c r="D2229" s="12"/>
      <c r="E2229" s="12"/>
      <c r="F2229" s="7"/>
      <c r="G2229" s="7"/>
      <c r="H2229" s="8"/>
      <c r="I2229" s="9"/>
      <c r="J2229" s="7"/>
      <c r="K2229" s="7"/>
      <c r="L2229" s="7"/>
      <c r="M2229" s="7"/>
      <c r="N2229" s="7"/>
      <c r="O2229" s="7"/>
      <c r="P2229" s="7"/>
      <c r="Q2229" s="7"/>
      <c r="R2229" s="14">
        <v>550</v>
      </c>
      <c r="S2229" s="7"/>
      <c r="T2229" s="7"/>
      <c r="U2229" s="14">
        <v>550</v>
      </c>
      <c r="V2229" s="7"/>
      <c r="W2229" s="7"/>
      <c r="X2229" s="7"/>
      <c r="Y2229" s="7"/>
      <c r="Z2229" s="12"/>
      <c r="AA2229" s="14">
        <v>550</v>
      </c>
    </row>
    <row r="2230" spans="1:27" outlineLevel="6">
      <c r="A2230" s="3501" t="s">
        <v>459</v>
      </c>
      <c r="B2230" s="3501"/>
      <c r="C2230" s="7"/>
      <c r="D2230" s="7"/>
      <c r="E2230" s="14">
        <v>550</v>
      </c>
      <c r="F2230" s="7"/>
      <c r="G2230" s="14">
        <v>550</v>
      </c>
      <c r="H2230" s="3523">
        <v>550</v>
      </c>
      <c r="I2230" s="3523"/>
      <c r="J2230" s="7"/>
      <c r="K2230" s="7"/>
      <c r="L2230" s="7"/>
      <c r="M2230" s="7"/>
      <c r="N2230" s="7"/>
      <c r="O2230" s="7"/>
      <c r="P2230" s="7"/>
      <c r="Q2230" s="7"/>
      <c r="R2230" s="14">
        <v>550</v>
      </c>
      <c r="S2230" s="7"/>
      <c r="T2230" s="7"/>
      <c r="U2230" s="14">
        <v>550</v>
      </c>
      <c r="V2230" s="7"/>
      <c r="W2230" s="7"/>
      <c r="X2230" s="7"/>
      <c r="Y2230" s="7"/>
      <c r="Z2230" s="7"/>
      <c r="AA2230" s="7"/>
    </row>
    <row r="2231" spans="1:27" outlineLevel="7">
      <c r="A2231" s="3500" t="s">
        <v>460</v>
      </c>
      <c r="B2231" s="3500"/>
      <c r="C2231" s="7"/>
      <c r="D2231" s="7"/>
      <c r="E2231" s="14">
        <v>550</v>
      </c>
      <c r="F2231" s="7"/>
      <c r="G2231" s="14">
        <v>550</v>
      </c>
      <c r="H2231" s="3523">
        <v>550</v>
      </c>
      <c r="I2231" s="3523"/>
      <c r="J2231" s="7"/>
      <c r="K2231" s="7"/>
      <c r="L2231" s="7"/>
      <c r="M2231" s="7"/>
      <c r="N2231" s="7"/>
      <c r="O2231" s="7"/>
      <c r="P2231" s="7"/>
      <c r="Q2231" s="7"/>
      <c r="R2231" s="14">
        <v>550</v>
      </c>
      <c r="S2231" s="7"/>
      <c r="T2231" s="7"/>
      <c r="U2231" s="14">
        <v>550</v>
      </c>
      <c r="V2231" s="7"/>
      <c r="W2231" s="7"/>
      <c r="X2231" s="7"/>
      <c r="Y2231" s="7"/>
      <c r="Z2231" s="7"/>
      <c r="AA2231" s="7"/>
    </row>
    <row r="2232" spans="1:27" outlineLevel="7">
      <c r="A2232" s="3499" t="s">
        <v>2265</v>
      </c>
      <c r="B2232" s="3499"/>
      <c r="C2232" s="7"/>
      <c r="D2232" s="7"/>
      <c r="E2232" s="14">
        <v>550</v>
      </c>
      <c r="F2232" s="7"/>
      <c r="G2232" s="14">
        <v>550</v>
      </c>
      <c r="H2232" s="3523">
        <v>550</v>
      </c>
      <c r="I2232" s="3523"/>
      <c r="J2232" s="7"/>
      <c r="K2232" s="7"/>
      <c r="L2232" s="7"/>
      <c r="M2232" s="7"/>
      <c r="N2232" s="7"/>
      <c r="O2232" s="7"/>
      <c r="P2232" s="7"/>
      <c r="Q2232" s="7"/>
      <c r="R2232" s="14">
        <v>550</v>
      </c>
      <c r="S2232" s="7"/>
      <c r="T2232" s="7"/>
      <c r="U2232" s="14">
        <v>550</v>
      </c>
      <c r="V2232" s="7"/>
      <c r="W2232" s="7"/>
      <c r="X2232" s="7"/>
      <c r="Y2232" s="7"/>
      <c r="Z2232" s="7"/>
      <c r="AA2232" s="7"/>
    </row>
    <row r="2233" spans="1:27" outlineLevel="6">
      <c r="A2233" s="3501" t="s">
        <v>463</v>
      </c>
      <c r="B2233" s="3501"/>
      <c r="C2233" s="7"/>
      <c r="D2233" s="7"/>
      <c r="E2233" s="14">
        <v>550</v>
      </c>
      <c r="F2233" s="7"/>
      <c r="G2233" s="14">
        <v>550</v>
      </c>
      <c r="H2233" s="3523">
        <v>550</v>
      </c>
      <c r="I2233" s="3523"/>
      <c r="J2233" s="7"/>
      <c r="K2233" s="7"/>
      <c r="L2233" s="7"/>
      <c r="M2233" s="7"/>
      <c r="N2233" s="7"/>
      <c r="O2233" s="7"/>
      <c r="P2233" s="7"/>
      <c r="Q2233" s="7"/>
      <c r="R2233" s="14">
        <v>550</v>
      </c>
      <c r="S2233" s="7"/>
      <c r="T2233" s="7"/>
      <c r="U2233" s="14">
        <v>550</v>
      </c>
      <c r="V2233" s="7"/>
      <c r="W2233" s="7"/>
      <c r="X2233" s="7"/>
      <c r="Y2233" s="7"/>
      <c r="Z2233" s="7"/>
      <c r="AA2233" s="7"/>
    </row>
    <row r="2234" spans="1:27" outlineLevel="7">
      <c r="A2234" s="3500" t="s">
        <v>464</v>
      </c>
      <c r="B2234" s="3500"/>
      <c r="C2234" s="7"/>
      <c r="D2234" s="7"/>
      <c r="E2234" s="14">
        <v>550</v>
      </c>
      <c r="F2234" s="7"/>
      <c r="G2234" s="14">
        <v>550</v>
      </c>
      <c r="H2234" s="3523">
        <v>550</v>
      </c>
      <c r="I2234" s="3523"/>
      <c r="J2234" s="7"/>
      <c r="K2234" s="7"/>
      <c r="L2234" s="7"/>
      <c r="M2234" s="7"/>
      <c r="N2234" s="7"/>
      <c r="O2234" s="7"/>
      <c r="P2234" s="7"/>
      <c r="Q2234" s="7"/>
      <c r="R2234" s="14">
        <v>550</v>
      </c>
      <c r="S2234" s="7"/>
      <c r="T2234" s="7"/>
      <c r="U2234" s="14">
        <v>550</v>
      </c>
      <c r="V2234" s="7"/>
      <c r="W2234" s="7"/>
      <c r="X2234" s="7"/>
      <c r="Y2234" s="7"/>
      <c r="Z2234" s="7"/>
      <c r="AA2234" s="7"/>
    </row>
    <row r="2235" spans="1:27" outlineLevel="7">
      <c r="A2235" s="3499" t="s">
        <v>2266</v>
      </c>
      <c r="B2235" s="3499"/>
      <c r="C2235" s="7"/>
      <c r="D2235" s="7"/>
      <c r="E2235" s="14">
        <v>550</v>
      </c>
      <c r="F2235" s="7"/>
      <c r="G2235" s="14">
        <v>550</v>
      </c>
      <c r="H2235" s="3523">
        <v>550</v>
      </c>
      <c r="I2235" s="3523"/>
      <c r="J2235" s="7"/>
      <c r="K2235" s="7"/>
      <c r="L2235" s="7"/>
      <c r="M2235" s="7"/>
      <c r="N2235" s="7"/>
      <c r="O2235" s="7"/>
      <c r="P2235" s="7"/>
      <c r="Q2235" s="7"/>
      <c r="R2235" s="14">
        <v>550</v>
      </c>
      <c r="S2235" s="7"/>
      <c r="T2235" s="7"/>
      <c r="U2235" s="14">
        <v>550</v>
      </c>
      <c r="V2235" s="7"/>
      <c r="W2235" s="7"/>
      <c r="X2235" s="7"/>
      <c r="Y2235" s="7"/>
      <c r="Z2235" s="7"/>
      <c r="AA2235" s="7"/>
    </row>
    <row r="2236" spans="1:27" outlineLevel="6">
      <c r="A2236" s="3501" t="s">
        <v>465</v>
      </c>
      <c r="B2236" s="3501"/>
      <c r="C2236" s="12"/>
      <c r="D2236" s="14">
        <v>550</v>
      </c>
      <c r="E2236" s="14">
        <v>550</v>
      </c>
      <c r="F2236" s="7"/>
      <c r="G2236" s="14">
        <v>550</v>
      </c>
      <c r="H2236" s="3523">
        <v>550</v>
      </c>
      <c r="I2236" s="3523"/>
      <c r="J2236" s="7"/>
      <c r="K2236" s="7"/>
      <c r="L2236" s="7"/>
      <c r="M2236" s="7"/>
      <c r="N2236" s="7"/>
      <c r="O2236" s="7"/>
      <c r="P2236" s="7"/>
      <c r="Q2236" s="7"/>
      <c r="R2236" s="12"/>
      <c r="S2236" s="7"/>
      <c r="T2236" s="7"/>
      <c r="U2236" s="7"/>
      <c r="V2236" s="7"/>
      <c r="W2236" s="7"/>
      <c r="X2236" s="7"/>
      <c r="Y2236" s="7"/>
      <c r="Z2236" s="12"/>
      <c r="AA2236" s="12"/>
    </row>
    <row r="2237" spans="1:27" outlineLevel="7">
      <c r="A2237" s="3500" t="s">
        <v>466</v>
      </c>
      <c r="B2237" s="3500"/>
      <c r="C2237" s="12"/>
      <c r="D2237" s="14">
        <v>550</v>
      </c>
      <c r="E2237" s="14">
        <v>550</v>
      </c>
      <c r="F2237" s="7"/>
      <c r="G2237" s="14">
        <v>550</v>
      </c>
      <c r="H2237" s="3523">
        <v>550</v>
      </c>
      <c r="I2237" s="3523"/>
      <c r="J2237" s="7"/>
      <c r="K2237" s="7"/>
      <c r="L2237" s="7"/>
      <c r="M2237" s="7"/>
      <c r="N2237" s="7"/>
      <c r="O2237" s="7"/>
      <c r="P2237" s="7"/>
      <c r="Q2237" s="7"/>
      <c r="R2237" s="12"/>
      <c r="S2237" s="7"/>
      <c r="T2237" s="7"/>
      <c r="U2237" s="7"/>
      <c r="V2237" s="7"/>
      <c r="W2237" s="7"/>
      <c r="X2237" s="7"/>
      <c r="Y2237" s="7"/>
      <c r="Z2237" s="12"/>
      <c r="AA2237" s="12"/>
    </row>
    <row r="2238" spans="1:27" outlineLevel="7">
      <c r="A2238" s="3499" t="s">
        <v>2267</v>
      </c>
      <c r="B2238" s="3499"/>
      <c r="C2238" s="12"/>
      <c r="D2238" s="14">
        <v>550</v>
      </c>
      <c r="E2238" s="14">
        <v>550</v>
      </c>
      <c r="F2238" s="7"/>
      <c r="G2238" s="14">
        <v>550</v>
      </c>
      <c r="H2238" s="3523">
        <v>550</v>
      </c>
      <c r="I2238" s="3523"/>
      <c r="J2238" s="7"/>
      <c r="K2238" s="7"/>
      <c r="L2238" s="7"/>
      <c r="M2238" s="7"/>
      <c r="N2238" s="7"/>
      <c r="O2238" s="7"/>
      <c r="P2238" s="7"/>
      <c r="Q2238" s="7"/>
      <c r="R2238" s="12"/>
      <c r="S2238" s="7"/>
      <c r="T2238" s="7"/>
      <c r="U2238" s="7"/>
      <c r="V2238" s="7"/>
      <c r="W2238" s="7"/>
      <c r="X2238" s="7"/>
      <c r="Y2238" s="7"/>
      <c r="Z2238" s="12"/>
      <c r="AA2238" s="12"/>
    </row>
    <row r="2239" spans="1:27" outlineLevel="6">
      <c r="A2239" s="3501" t="s">
        <v>467</v>
      </c>
      <c r="B2239" s="3501"/>
      <c r="C2239" s="12"/>
      <c r="D2239" s="14">
        <v>550</v>
      </c>
      <c r="E2239" s="14">
        <v>550</v>
      </c>
      <c r="F2239" s="7"/>
      <c r="G2239" s="14">
        <v>550</v>
      </c>
      <c r="H2239" s="3523">
        <v>550</v>
      </c>
      <c r="I2239" s="3523"/>
      <c r="J2239" s="7"/>
      <c r="K2239" s="7"/>
      <c r="L2239" s="7"/>
      <c r="M2239" s="7"/>
      <c r="N2239" s="7"/>
      <c r="O2239" s="7"/>
      <c r="P2239" s="7"/>
      <c r="Q2239" s="7"/>
      <c r="R2239" s="12"/>
      <c r="S2239" s="7"/>
      <c r="T2239" s="7"/>
      <c r="U2239" s="7"/>
      <c r="V2239" s="7"/>
      <c r="W2239" s="7"/>
      <c r="X2239" s="7"/>
      <c r="Y2239" s="7"/>
      <c r="Z2239" s="12"/>
      <c r="AA2239" s="12"/>
    </row>
    <row r="2240" spans="1:27" outlineLevel="7">
      <c r="A2240" s="3500" t="s">
        <v>468</v>
      </c>
      <c r="B2240" s="3500"/>
      <c r="C2240" s="12"/>
      <c r="D2240" s="14">
        <v>550</v>
      </c>
      <c r="E2240" s="14">
        <v>550</v>
      </c>
      <c r="F2240" s="7"/>
      <c r="G2240" s="14">
        <v>550</v>
      </c>
      <c r="H2240" s="3523">
        <v>550</v>
      </c>
      <c r="I2240" s="3523"/>
      <c r="J2240" s="7"/>
      <c r="K2240" s="7"/>
      <c r="L2240" s="7"/>
      <c r="M2240" s="7"/>
      <c r="N2240" s="7"/>
      <c r="O2240" s="7"/>
      <c r="P2240" s="7"/>
      <c r="Q2240" s="7"/>
      <c r="R2240" s="12"/>
      <c r="S2240" s="7"/>
      <c r="T2240" s="7"/>
      <c r="U2240" s="7"/>
      <c r="V2240" s="7"/>
      <c r="W2240" s="7"/>
      <c r="X2240" s="7"/>
      <c r="Y2240" s="7"/>
      <c r="Z2240" s="12"/>
      <c r="AA2240" s="12"/>
    </row>
    <row r="2241" spans="1:27" outlineLevel="7">
      <c r="A2241" s="3499" t="s">
        <v>2268</v>
      </c>
      <c r="B2241" s="3499"/>
      <c r="C2241" s="12"/>
      <c r="D2241" s="14">
        <v>550</v>
      </c>
      <c r="E2241" s="14">
        <v>550</v>
      </c>
      <c r="F2241" s="7"/>
      <c r="G2241" s="14">
        <v>550</v>
      </c>
      <c r="H2241" s="3523">
        <v>550</v>
      </c>
      <c r="I2241" s="3523"/>
      <c r="J2241" s="7"/>
      <c r="K2241" s="7"/>
      <c r="L2241" s="7"/>
      <c r="M2241" s="7"/>
      <c r="N2241" s="7"/>
      <c r="O2241" s="7"/>
      <c r="P2241" s="7"/>
      <c r="Q2241" s="7"/>
      <c r="R2241" s="12"/>
      <c r="S2241" s="7"/>
      <c r="T2241" s="7"/>
      <c r="U2241" s="7"/>
      <c r="V2241" s="7"/>
      <c r="W2241" s="7"/>
      <c r="X2241" s="7"/>
      <c r="Y2241" s="7"/>
      <c r="Z2241" s="12"/>
      <c r="AA2241" s="12"/>
    </row>
    <row r="2242" spans="1:27" outlineLevel="6">
      <c r="A2242" s="3501" t="s">
        <v>1103</v>
      </c>
      <c r="B2242" s="3501"/>
      <c r="C2242" s="12"/>
      <c r="D2242" s="12"/>
      <c r="E2242" s="12"/>
      <c r="F2242" s="7"/>
      <c r="G2242" s="7"/>
      <c r="H2242" s="8"/>
      <c r="I2242" s="9"/>
      <c r="J2242" s="7"/>
      <c r="K2242" s="7"/>
      <c r="L2242" s="7"/>
      <c r="M2242" s="7"/>
      <c r="N2242" s="7"/>
      <c r="O2242" s="7"/>
      <c r="P2242" s="7"/>
      <c r="Q2242" s="7"/>
      <c r="R2242" s="14">
        <v>550</v>
      </c>
      <c r="S2242" s="7"/>
      <c r="T2242" s="7"/>
      <c r="U2242" s="14">
        <v>550</v>
      </c>
      <c r="V2242" s="7"/>
      <c r="W2242" s="7"/>
      <c r="X2242" s="7"/>
      <c r="Y2242" s="7"/>
      <c r="Z2242" s="12"/>
      <c r="AA2242" s="14">
        <v>550</v>
      </c>
    </row>
    <row r="2243" spans="1:27" outlineLevel="7">
      <c r="A2243" s="3500" t="s">
        <v>1104</v>
      </c>
      <c r="B2243" s="3500"/>
      <c r="C2243" s="12"/>
      <c r="D2243" s="12"/>
      <c r="E2243" s="12"/>
      <c r="F2243" s="7"/>
      <c r="G2243" s="7"/>
      <c r="H2243" s="8"/>
      <c r="I2243" s="9"/>
      <c r="J2243" s="7"/>
      <c r="K2243" s="7"/>
      <c r="L2243" s="7"/>
      <c r="M2243" s="7"/>
      <c r="N2243" s="7"/>
      <c r="O2243" s="7"/>
      <c r="P2243" s="7"/>
      <c r="Q2243" s="7"/>
      <c r="R2243" s="14">
        <v>550</v>
      </c>
      <c r="S2243" s="7"/>
      <c r="T2243" s="7"/>
      <c r="U2243" s="14">
        <v>550</v>
      </c>
      <c r="V2243" s="7"/>
      <c r="W2243" s="7"/>
      <c r="X2243" s="7"/>
      <c r="Y2243" s="7"/>
      <c r="Z2243" s="12"/>
      <c r="AA2243" s="14">
        <v>550</v>
      </c>
    </row>
    <row r="2244" spans="1:27" outlineLevel="7">
      <c r="A2244" s="3499" t="s">
        <v>2269</v>
      </c>
      <c r="B2244" s="3499"/>
      <c r="C2244" s="12"/>
      <c r="D2244" s="12"/>
      <c r="E2244" s="12"/>
      <c r="F2244" s="7"/>
      <c r="G2244" s="7"/>
      <c r="H2244" s="8"/>
      <c r="I2244" s="9"/>
      <c r="J2244" s="7"/>
      <c r="K2244" s="7"/>
      <c r="L2244" s="7"/>
      <c r="M2244" s="7"/>
      <c r="N2244" s="7"/>
      <c r="O2244" s="7"/>
      <c r="P2244" s="7"/>
      <c r="Q2244" s="7"/>
      <c r="R2244" s="14">
        <v>550</v>
      </c>
      <c r="S2244" s="7"/>
      <c r="T2244" s="7"/>
      <c r="U2244" s="14">
        <v>550</v>
      </c>
      <c r="V2244" s="7"/>
      <c r="W2244" s="7"/>
      <c r="X2244" s="7"/>
      <c r="Y2244" s="7"/>
      <c r="Z2244" s="12"/>
      <c r="AA2244" s="14">
        <v>550</v>
      </c>
    </row>
    <row r="2245" spans="1:27" outlineLevel="6">
      <c r="A2245" s="3501" t="s">
        <v>469</v>
      </c>
      <c r="B2245" s="3501"/>
      <c r="C2245" s="7"/>
      <c r="D2245" s="7"/>
      <c r="E2245" s="14">
        <v>550</v>
      </c>
      <c r="F2245" s="7"/>
      <c r="G2245" s="14">
        <v>550</v>
      </c>
      <c r="H2245" s="3523">
        <v>550</v>
      </c>
      <c r="I2245" s="3523"/>
      <c r="J2245" s="7"/>
      <c r="K2245" s="7"/>
      <c r="L2245" s="7"/>
      <c r="M2245" s="7"/>
      <c r="N2245" s="7"/>
      <c r="O2245" s="7"/>
      <c r="P2245" s="7"/>
      <c r="Q2245" s="7"/>
      <c r="R2245" s="14">
        <v>550</v>
      </c>
      <c r="S2245" s="7"/>
      <c r="T2245" s="7"/>
      <c r="U2245" s="14">
        <v>550</v>
      </c>
      <c r="V2245" s="7"/>
      <c r="W2245" s="7"/>
      <c r="X2245" s="7"/>
      <c r="Y2245" s="7"/>
      <c r="Z2245" s="7"/>
      <c r="AA2245" s="7"/>
    </row>
    <row r="2246" spans="1:27" outlineLevel="7">
      <c r="A2246" s="3500" t="s">
        <v>470</v>
      </c>
      <c r="B2246" s="3500"/>
      <c r="C2246" s="7"/>
      <c r="D2246" s="7"/>
      <c r="E2246" s="14">
        <v>550</v>
      </c>
      <c r="F2246" s="7"/>
      <c r="G2246" s="14">
        <v>550</v>
      </c>
      <c r="H2246" s="3523">
        <v>550</v>
      </c>
      <c r="I2246" s="3523"/>
      <c r="J2246" s="7"/>
      <c r="K2246" s="7"/>
      <c r="L2246" s="7"/>
      <c r="M2246" s="7"/>
      <c r="N2246" s="7"/>
      <c r="O2246" s="7"/>
      <c r="P2246" s="7"/>
      <c r="Q2246" s="7"/>
      <c r="R2246" s="14">
        <v>550</v>
      </c>
      <c r="S2246" s="7"/>
      <c r="T2246" s="7"/>
      <c r="U2246" s="14">
        <v>550</v>
      </c>
      <c r="V2246" s="7"/>
      <c r="W2246" s="7"/>
      <c r="X2246" s="7"/>
      <c r="Y2246" s="7"/>
      <c r="Z2246" s="7"/>
      <c r="AA2246" s="7"/>
    </row>
    <row r="2247" spans="1:27" outlineLevel="7">
      <c r="A2247" s="3499" t="s">
        <v>2270</v>
      </c>
      <c r="B2247" s="3499"/>
      <c r="C2247" s="7"/>
      <c r="D2247" s="7"/>
      <c r="E2247" s="14">
        <v>550</v>
      </c>
      <c r="F2247" s="7"/>
      <c r="G2247" s="14">
        <v>550</v>
      </c>
      <c r="H2247" s="3523">
        <v>550</v>
      </c>
      <c r="I2247" s="3523"/>
      <c r="J2247" s="7"/>
      <c r="K2247" s="7"/>
      <c r="L2247" s="7"/>
      <c r="M2247" s="7"/>
      <c r="N2247" s="7"/>
      <c r="O2247" s="7"/>
      <c r="P2247" s="7"/>
      <c r="Q2247" s="7"/>
      <c r="R2247" s="14">
        <v>550</v>
      </c>
      <c r="S2247" s="7"/>
      <c r="T2247" s="7"/>
      <c r="U2247" s="14">
        <v>550</v>
      </c>
      <c r="V2247" s="7"/>
      <c r="W2247" s="7"/>
      <c r="X2247" s="7"/>
      <c r="Y2247" s="7"/>
      <c r="Z2247" s="7"/>
      <c r="AA2247" s="7"/>
    </row>
    <row r="2248" spans="1:27" outlineLevel="6">
      <c r="A2248" s="3501" t="s">
        <v>1105</v>
      </c>
      <c r="B2248" s="3501"/>
      <c r="C2248" s="12"/>
      <c r="D2248" s="12"/>
      <c r="E2248" s="12"/>
      <c r="F2248" s="7"/>
      <c r="G2248" s="7"/>
      <c r="H2248" s="8"/>
      <c r="I2248" s="9"/>
      <c r="J2248" s="7"/>
      <c r="K2248" s="7"/>
      <c r="L2248" s="7"/>
      <c r="M2248" s="7"/>
      <c r="N2248" s="7"/>
      <c r="O2248" s="7"/>
      <c r="P2248" s="7"/>
      <c r="Q2248" s="7"/>
      <c r="R2248" s="14">
        <v>550</v>
      </c>
      <c r="S2248" s="7"/>
      <c r="T2248" s="7"/>
      <c r="U2248" s="14">
        <v>550</v>
      </c>
      <c r="V2248" s="7"/>
      <c r="W2248" s="7"/>
      <c r="X2248" s="7"/>
      <c r="Y2248" s="7"/>
      <c r="Z2248" s="12"/>
      <c r="AA2248" s="14">
        <v>550</v>
      </c>
    </row>
    <row r="2249" spans="1:27" outlineLevel="7">
      <c r="A2249" s="3500" t="s">
        <v>1106</v>
      </c>
      <c r="B2249" s="3500"/>
      <c r="C2249" s="12"/>
      <c r="D2249" s="12"/>
      <c r="E2249" s="12"/>
      <c r="F2249" s="7"/>
      <c r="G2249" s="7"/>
      <c r="H2249" s="8"/>
      <c r="I2249" s="9"/>
      <c r="J2249" s="7"/>
      <c r="K2249" s="7"/>
      <c r="L2249" s="7"/>
      <c r="M2249" s="7"/>
      <c r="N2249" s="7"/>
      <c r="O2249" s="7"/>
      <c r="P2249" s="7"/>
      <c r="Q2249" s="7"/>
      <c r="R2249" s="14">
        <v>550</v>
      </c>
      <c r="S2249" s="7"/>
      <c r="T2249" s="7"/>
      <c r="U2249" s="14">
        <v>550</v>
      </c>
      <c r="V2249" s="7"/>
      <c r="W2249" s="7"/>
      <c r="X2249" s="7"/>
      <c r="Y2249" s="7"/>
      <c r="Z2249" s="12"/>
      <c r="AA2249" s="14">
        <v>550</v>
      </c>
    </row>
    <row r="2250" spans="1:27" outlineLevel="7">
      <c r="A2250" s="3499" t="s">
        <v>2271</v>
      </c>
      <c r="B2250" s="3499"/>
      <c r="C2250" s="12"/>
      <c r="D2250" s="12"/>
      <c r="E2250" s="12"/>
      <c r="F2250" s="7"/>
      <c r="G2250" s="7"/>
      <c r="H2250" s="8"/>
      <c r="I2250" s="9"/>
      <c r="J2250" s="7"/>
      <c r="K2250" s="7"/>
      <c r="L2250" s="7"/>
      <c r="M2250" s="7"/>
      <c r="N2250" s="7"/>
      <c r="O2250" s="7"/>
      <c r="P2250" s="7"/>
      <c r="Q2250" s="7"/>
      <c r="R2250" s="14">
        <v>550</v>
      </c>
      <c r="S2250" s="7"/>
      <c r="T2250" s="7"/>
      <c r="U2250" s="14">
        <v>550</v>
      </c>
      <c r="V2250" s="7"/>
      <c r="W2250" s="7"/>
      <c r="X2250" s="7"/>
      <c r="Y2250" s="7"/>
      <c r="Z2250" s="12"/>
      <c r="AA2250" s="14">
        <v>550</v>
      </c>
    </row>
    <row r="2251" spans="1:27" outlineLevel="6">
      <c r="A2251" s="3501" t="s">
        <v>1107</v>
      </c>
      <c r="B2251" s="3501"/>
      <c r="C2251" s="12"/>
      <c r="D2251" s="14">
        <v>550</v>
      </c>
      <c r="E2251" s="7"/>
      <c r="F2251" s="7"/>
      <c r="G2251" s="7"/>
      <c r="H2251" s="8"/>
      <c r="I2251" s="9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12"/>
      <c r="AA2251" s="14">
        <v>550</v>
      </c>
    </row>
    <row r="2252" spans="1:27" outlineLevel="7">
      <c r="A2252" s="3500" t="s">
        <v>1108</v>
      </c>
      <c r="B2252" s="3500"/>
      <c r="C2252" s="12"/>
      <c r="D2252" s="14">
        <v>550</v>
      </c>
      <c r="E2252" s="7"/>
      <c r="F2252" s="7"/>
      <c r="G2252" s="7"/>
      <c r="H2252" s="8"/>
      <c r="I2252" s="9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12"/>
      <c r="AA2252" s="14">
        <v>550</v>
      </c>
    </row>
    <row r="2253" spans="1:27" outlineLevel="7">
      <c r="A2253" s="3499" t="s">
        <v>2272</v>
      </c>
      <c r="B2253" s="3499"/>
      <c r="C2253" s="12"/>
      <c r="D2253" s="14">
        <v>550</v>
      </c>
      <c r="E2253" s="7"/>
      <c r="F2253" s="7"/>
      <c r="G2253" s="7"/>
      <c r="H2253" s="8"/>
      <c r="I2253" s="9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12"/>
      <c r="AA2253" s="14">
        <v>550</v>
      </c>
    </row>
    <row r="2254" spans="1:27" outlineLevel="6">
      <c r="A2254" s="3501" t="s">
        <v>1109</v>
      </c>
      <c r="B2254" s="3501"/>
      <c r="C2254" s="12"/>
      <c r="D2254" s="12"/>
      <c r="E2254" s="12"/>
      <c r="F2254" s="7"/>
      <c r="G2254" s="7"/>
      <c r="H2254" s="8"/>
      <c r="I2254" s="9"/>
      <c r="J2254" s="7"/>
      <c r="K2254" s="7"/>
      <c r="L2254" s="7"/>
      <c r="M2254" s="7"/>
      <c r="N2254" s="7"/>
      <c r="O2254" s="7"/>
      <c r="P2254" s="7"/>
      <c r="Q2254" s="7"/>
      <c r="R2254" s="14">
        <v>550</v>
      </c>
      <c r="S2254" s="7"/>
      <c r="T2254" s="7"/>
      <c r="U2254" s="14">
        <v>550</v>
      </c>
      <c r="V2254" s="7"/>
      <c r="W2254" s="7"/>
      <c r="X2254" s="7"/>
      <c r="Y2254" s="7"/>
      <c r="Z2254" s="12"/>
      <c r="AA2254" s="14">
        <v>550</v>
      </c>
    </row>
    <row r="2255" spans="1:27" outlineLevel="7">
      <c r="A2255" s="3500" t="s">
        <v>1110</v>
      </c>
      <c r="B2255" s="3500"/>
      <c r="C2255" s="12"/>
      <c r="D2255" s="12"/>
      <c r="E2255" s="12"/>
      <c r="F2255" s="7"/>
      <c r="G2255" s="7"/>
      <c r="H2255" s="8"/>
      <c r="I2255" s="9"/>
      <c r="J2255" s="7"/>
      <c r="K2255" s="7"/>
      <c r="L2255" s="7"/>
      <c r="M2255" s="7"/>
      <c r="N2255" s="7"/>
      <c r="O2255" s="7"/>
      <c r="P2255" s="7"/>
      <c r="Q2255" s="7"/>
      <c r="R2255" s="14">
        <v>550</v>
      </c>
      <c r="S2255" s="7"/>
      <c r="T2255" s="7"/>
      <c r="U2255" s="14">
        <v>550</v>
      </c>
      <c r="V2255" s="7"/>
      <c r="W2255" s="7"/>
      <c r="X2255" s="7"/>
      <c r="Y2255" s="7"/>
      <c r="Z2255" s="12"/>
      <c r="AA2255" s="14">
        <v>550</v>
      </c>
    </row>
    <row r="2256" spans="1:27" outlineLevel="7">
      <c r="A2256" s="3499" t="s">
        <v>2273</v>
      </c>
      <c r="B2256" s="3499"/>
      <c r="C2256" s="12"/>
      <c r="D2256" s="12"/>
      <c r="E2256" s="12"/>
      <c r="F2256" s="7"/>
      <c r="G2256" s="7"/>
      <c r="H2256" s="8"/>
      <c r="I2256" s="9"/>
      <c r="J2256" s="7"/>
      <c r="K2256" s="7"/>
      <c r="L2256" s="7"/>
      <c r="M2256" s="7"/>
      <c r="N2256" s="7"/>
      <c r="O2256" s="7"/>
      <c r="P2256" s="7"/>
      <c r="Q2256" s="7"/>
      <c r="R2256" s="14">
        <v>550</v>
      </c>
      <c r="S2256" s="7"/>
      <c r="T2256" s="7"/>
      <c r="U2256" s="14">
        <v>550</v>
      </c>
      <c r="V2256" s="7"/>
      <c r="W2256" s="7"/>
      <c r="X2256" s="7"/>
      <c r="Y2256" s="7"/>
      <c r="Z2256" s="12"/>
      <c r="AA2256" s="14">
        <v>550</v>
      </c>
    </row>
    <row r="2257" spans="1:27" outlineLevel="6">
      <c r="A2257" s="3501" t="s">
        <v>471</v>
      </c>
      <c r="B2257" s="3501"/>
      <c r="C2257" s="7"/>
      <c r="D2257" s="7"/>
      <c r="E2257" s="14">
        <v>550</v>
      </c>
      <c r="F2257" s="7"/>
      <c r="G2257" s="14">
        <v>550</v>
      </c>
      <c r="H2257" s="3523">
        <v>550</v>
      </c>
      <c r="I2257" s="3523"/>
      <c r="J2257" s="7"/>
      <c r="K2257" s="7"/>
      <c r="L2257" s="7"/>
      <c r="M2257" s="7"/>
      <c r="N2257" s="7"/>
      <c r="O2257" s="7"/>
      <c r="P2257" s="7"/>
      <c r="Q2257" s="7"/>
      <c r="R2257" s="14">
        <v>550</v>
      </c>
      <c r="S2257" s="7"/>
      <c r="T2257" s="7"/>
      <c r="U2257" s="14">
        <v>550</v>
      </c>
      <c r="V2257" s="7"/>
      <c r="W2257" s="7"/>
      <c r="X2257" s="7"/>
      <c r="Y2257" s="7"/>
      <c r="Z2257" s="7"/>
      <c r="AA2257" s="7"/>
    </row>
    <row r="2258" spans="1:27" outlineLevel="7">
      <c r="A2258" s="3500" t="s">
        <v>472</v>
      </c>
      <c r="B2258" s="3500"/>
      <c r="C2258" s="7"/>
      <c r="D2258" s="7"/>
      <c r="E2258" s="14">
        <v>550</v>
      </c>
      <c r="F2258" s="7"/>
      <c r="G2258" s="14">
        <v>550</v>
      </c>
      <c r="H2258" s="3523">
        <v>550</v>
      </c>
      <c r="I2258" s="3523"/>
      <c r="J2258" s="7"/>
      <c r="K2258" s="7"/>
      <c r="L2258" s="7"/>
      <c r="M2258" s="7"/>
      <c r="N2258" s="7"/>
      <c r="O2258" s="7"/>
      <c r="P2258" s="7"/>
      <c r="Q2258" s="7"/>
      <c r="R2258" s="14">
        <v>550</v>
      </c>
      <c r="S2258" s="7"/>
      <c r="T2258" s="7"/>
      <c r="U2258" s="14">
        <v>550</v>
      </c>
      <c r="V2258" s="7"/>
      <c r="W2258" s="7"/>
      <c r="X2258" s="7"/>
      <c r="Y2258" s="7"/>
      <c r="Z2258" s="7"/>
      <c r="AA2258" s="7"/>
    </row>
    <row r="2259" spans="1:27" outlineLevel="7">
      <c r="A2259" s="3499" t="s">
        <v>2274</v>
      </c>
      <c r="B2259" s="3499"/>
      <c r="C2259" s="7"/>
      <c r="D2259" s="7"/>
      <c r="E2259" s="14">
        <v>550</v>
      </c>
      <c r="F2259" s="7"/>
      <c r="G2259" s="14">
        <v>550</v>
      </c>
      <c r="H2259" s="3523">
        <v>550</v>
      </c>
      <c r="I2259" s="3523"/>
      <c r="J2259" s="7"/>
      <c r="K2259" s="7"/>
      <c r="L2259" s="7"/>
      <c r="M2259" s="7"/>
      <c r="N2259" s="7"/>
      <c r="O2259" s="7"/>
      <c r="P2259" s="7"/>
      <c r="Q2259" s="7"/>
      <c r="R2259" s="14">
        <v>550</v>
      </c>
      <c r="S2259" s="7"/>
      <c r="T2259" s="7"/>
      <c r="U2259" s="14">
        <v>550</v>
      </c>
      <c r="V2259" s="7"/>
      <c r="W2259" s="7"/>
      <c r="X2259" s="7"/>
      <c r="Y2259" s="7"/>
      <c r="Z2259" s="7"/>
      <c r="AA2259" s="7"/>
    </row>
    <row r="2260" spans="1:27" outlineLevel="6">
      <c r="A2260" s="3501" t="s">
        <v>473</v>
      </c>
      <c r="B2260" s="3501"/>
      <c r="C2260" s="7"/>
      <c r="D2260" s="7"/>
      <c r="E2260" s="14">
        <v>550</v>
      </c>
      <c r="F2260" s="7"/>
      <c r="G2260" s="14">
        <v>550</v>
      </c>
      <c r="H2260" s="3523">
        <v>550</v>
      </c>
      <c r="I2260" s="3523"/>
      <c r="J2260" s="7"/>
      <c r="K2260" s="7"/>
      <c r="L2260" s="7"/>
      <c r="M2260" s="7"/>
      <c r="N2260" s="7"/>
      <c r="O2260" s="7"/>
      <c r="P2260" s="7"/>
      <c r="Q2260" s="7"/>
      <c r="R2260" s="14">
        <v>550</v>
      </c>
      <c r="S2260" s="7"/>
      <c r="T2260" s="7"/>
      <c r="U2260" s="14">
        <v>550</v>
      </c>
      <c r="V2260" s="7"/>
      <c r="W2260" s="7"/>
      <c r="X2260" s="7"/>
      <c r="Y2260" s="7"/>
      <c r="Z2260" s="7"/>
      <c r="AA2260" s="7"/>
    </row>
    <row r="2261" spans="1:27" outlineLevel="7">
      <c r="A2261" s="3500" t="s">
        <v>474</v>
      </c>
      <c r="B2261" s="3500"/>
      <c r="C2261" s="7"/>
      <c r="D2261" s="7"/>
      <c r="E2261" s="14">
        <v>550</v>
      </c>
      <c r="F2261" s="7"/>
      <c r="G2261" s="14">
        <v>550</v>
      </c>
      <c r="H2261" s="3523">
        <v>550</v>
      </c>
      <c r="I2261" s="3523"/>
      <c r="J2261" s="7"/>
      <c r="K2261" s="7"/>
      <c r="L2261" s="7"/>
      <c r="M2261" s="7"/>
      <c r="N2261" s="7"/>
      <c r="O2261" s="7"/>
      <c r="P2261" s="7"/>
      <c r="Q2261" s="7"/>
      <c r="R2261" s="14">
        <v>550</v>
      </c>
      <c r="S2261" s="7"/>
      <c r="T2261" s="7"/>
      <c r="U2261" s="14">
        <v>550</v>
      </c>
      <c r="V2261" s="7"/>
      <c r="W2261" s="7"/>
      <c r="X2261" s="7"/>
      <c r="Y2261" s="7"/>
      <c r="Z2261" s="7"/>
      <c r="AA2261" s="7"/>
    </row>
    <row r="2262" spans="1:27" outlineLevel="7">
      <c r="A2262" s="3499" t="s">
        <v>2275</v>
      </c>
      <c r="B2262" s="3499"/>
      <c r="C2262" s="7"/>
      <c r="D2262" s="7"/>
      <c r="E2262" s="14">
        <v>550</v>
      </c>
      <c r="F2262" s="7"/>
      <c r="G2262" s="14">
        <v>550</v>
      </c>
      <c r="H2262" s="3523">
        <v>550</v>
      </c>
      <c r="I2262" s="3523"/>
      <c r="J2262" s="7"/>
      <c r="K2262" s="7"/>
      <c r="L2262" s="7"/>
      <c r="M2262" s="7"/>
      <c r="N2262" s="7"/>
      <c r="O2262" s="7"/>
      <c r="P2262" s="7"/>
      <c r="Q2262" s="7"/>
      <c r="R2262" s="14">
        <v>550</v>
      </c>
      <c r="S2262" s="7"/>
      <c r="T2262" s="7"/>
      <c r="U2262" s="14">
        <v>550</v>
      </c>
      <c r="V2262" s="7"/>
      <c r="W2262" s="7"/>
      <c r="X2262" s="7"/>
      <c r="Y2262" s="7"/>
      <c r="Z2262" s="7"/>
      <c r="AA2262" s="7"/>
    </row>
    <row r="2263" spans="1:27" outlineLevel="6">
      <c r="A2263" s="3501" t="s">
        <v>475</v>
      </c>
      <c r="B2263" s="3501"/>
      <c r="C2263" s="7"/>
      <c r="D2263" s="7"/>
      <c r="E2263" s="14">
        <v>550</v>
      </c>
      <c r="F2263" s="7"/>
      <c r="G2263" s="14">
        <v>550</v>
      </c>
      <c r="H2263" s="3523">
        <v>550</v>
      </c>
      <c r="I2263" s="3523"/>
      <c r="J2263" s="7"/>
      <c r="K2263" s="7"/>
      <c r="L2263" s="7"/>
      <c r="M2263" s="7"/>
      <c r="N2263" s="7"/>
      <c r="O2263" s="7"/>
      <c r="P2263" s="7"/>
      <c r="Q2263" s="7"/>
      <c r="R2263" s="14">
        <v>550</v>
      </c>
      <c r="S2263" s="7"/>
      <c r="T2263" s="7"/>
      <c r="U2263" s="14">
        <v>550</v>
      </c>
      <c r="V2263" s="7"/>
      <c r="W2263" s="7"/>
      <c r="X2263" s="7"/>
      <c r="Y2263" s="7"/>
      <c r="Z2263" s="7"/>
      <c r="AA2263" s="7"/>
    </row>
    <row r="2264" spans="1:27" outlineLevel="7">
      <c r="A2264" s="3500" t="s">
        <v>476</v>
      </c>
      <c r="B2264" s="3500"/>
      <c r="C2264" s="7"/>
      <c r="D2264" s="7"/>
      <c r="E2264" s="14">
        <v>550</v>
      </c>
      <c r="F2264" s="7"/>
      <c r="G2264" s="14">
        <v>550</v>
      </c>
      <c r="H2264" s="3523">
        <v>550</v>
      </c>
      <c r="I2264" s="3523"/>
      <c r="J2264" s="7"/>
      <c r="K2264" s="7"/>
      <c r="L2264" s="7"/>
      <c r="M2264" s="7"/>
      <c r="N2264" s="7"/>
      <c r="O2264" s="7"/>
      <c r="P2264" s="7"/>
      <c r="Q2264" s="7"/>
      <c r="R2264" s="14">
        <v>550</v>
      </c>
      <c r="S2264" s="7"/>
      <c r="T2264" s="7"/>
      <c r="U2264" s="14">
        <v>550</v>
      </c>
      <c r="V2264" s="7"/>
      <c r="W2264" s="7"/>
      <c r="X2264" s="7"/>
      <c r="Y2264" s="7"/>
      <c r="Z2264" s="7"/>
      <c r="AA2264" s="7"/>
    </row>
    <row r="2265" spans="1:27" outlineLevel="7">
      <c r="A2265" s="3499" t="s">
        <v>2276</v>
      </c>
      <c r="B2265" s="3499"/>
      <c r="C2265" s="7"/>
      <c r="D2265" s="7"/>
      <c r="E2265" s="14">
        <v>550</v>
      </c>
      <c r="F2265" s="7"/>
      <c r="G2265" s="14">
        <v>550</v>
      </c>
      <c r="H2265" s="3523">
        <v>550</v>
      </c>
      <c r="I2265" s="3523"/>
      <c r="J2265" s="7"/>
      <c r="K2265" s="7"/>
      <c r="L2265" s="7"/>
      <c r="M2265" s="7"/>
      <c r="N2265" s="7"/>
      <c r="O2265" s="7"/>
      <c r="P2265" s="7"/>
      <c r="Q2265" s="7"/>
      <c r="R2265" s="14">
        <v>550</v>
      </c>
      <c r="S2265" s="7"/>
      <c r="T2265" s="7"/>
      <c r="U2265" s="14">
        <v>550</v>
      </c>
      <c r="V2265" s="7"/>
      <c r="W2265" s="7"/>
      <c r="X2265" s="7"/>
      <c r="Y2265" s="7"/>
      <c r="Z2265" s="7"/>
      <c r="AA2265" s="7"/>
    </row>
    <row r="2266" spans="1:27" outlineLevel="6">
      <c r="A2266" s="3501" t="s">
        <v>477</v>
      </c>
      <c r="B2266" s="3501"/>
      <c r="C2266" s="7"/>
      <c r="D2266" s="7"/>
      <c r="E2266" s="14">
        <v>550</v>
      </c>
      <c r="F2266" s="7"/>
      <c r="G2266" s="14">
        <v>550</v>
      </c>
      <c r="H2266" s="3523">
        <v>550</v>
      </c>
      <c r="I2266" s="3523"/>
      <c r="J2266" s="7"/>
      <c r="K2266" s="7"/>
      <c r="L2266" s="7"/>
      <c r="M2266" s="7"/>
      <c r="N2266" s="7"/>
      <c r="O2266" s="7"/>
      <c r="P2266" s="7"/>
      <c r="Q2266" s="7"/>
      <c r="R2266" s="14">
        <v>550</v>
      </c>
      <c r="S2266" s="7"/>
      <c r="T2266" s="7"/>
      <c r="U2266" s="14">
        <v>550</v>
      </c>
      <c r="V2266" s="7"/>
      <c r="W2266" s="7"/>
      <c r="X2266" s="7"/>
      <c r="Y2266" s="7"/>
      <c r="Z2266" s="7"/>
      <c r="AA2266" s="7"/>
    </row>
    <row r="2267" spans="1:27" outlineLevel="7">
      <c r="A2267" s="3500" t="s">
        <v>478</v>
      </c>
      <c r="B2267" s="3500"/>
      <c r="C2267" s="7"/>
      <c r="D2267" s="7"/>
      <c r="E2267" s="14">
        <v>550</v>
      </c>
      <c r="F2267" s="7"/>
      <c r="G2267" s="14">
        <v>550</v>
      </c>
      <c r="H2267" s="3523">
        <v>550</v>
      </c>
      <c r="I2267" s="3523"/>
      <c r="J2267" s="7"/>
      <c r="K2267" s="7"/>
      <c r="L2267" s="7"/>
      <c r="M2267" s="7"/>
      <c r="N2267" s="7"/>
      <c r="O2267" s="7"/>
      <c r="P2267" s="7"/>
      <c r="Q2267" s="7"/>
      <c r="R2267" s="14">
        <v>550</v>
      </c>
      <c r="S2267" s="7"/>
      <c r="T2267" s="7"/>
      <c r="U2267" s="14">
        <v>550</v>
      </c>
      <c r="V2267" s="7"/>
      <c r="W2267" s="7"/>
      <c r="X2267" s="7"/>
      <c r="Y2267" s="7"/>
      <c r="Z2267" s="7"/>
      <c r="AA2267" s="7"/>
    </row>
    <row r="2268" spans="1:27" outlineLevel="7">
      <c r="A2268" s="3499" t="s">
        <v>2277</v>
      </c>
      <c r="B2268" s="3499"/>
      <c r="C2268" s="7"/>
      <c r="D2268" s="7"/>
      <c r="E2268" s="14">
        <v>550</v>
      </c>
      <c r="F2268" s="7"/>
      <c r="G2268" s="14">
        <v>550</v>
      </c>
      <c r="H2268" s="3523">
        <v>550</v>
      </c>
      <c r="I2268" s="3523"/>
      <c r="J2268" s="7"/>
      <c r="K2268" s="7"/>
      <c r="L2268" s="7"/>
      <c r="M2268" s="7"/>
      <c r="N2268" s="7"/>
      <c r="O2268" s="7"/>
      <c r="P2268" s="7"/>
      <c r="Q2268" s="7"/>
      <c r="R2268" s="14">
        <v>550</v>
      </c>
      <c r="S2268" s="7"/>
      <c r="T2268" s="7"/>
      <c r="U2268" s="14">
        <v>550</v>
      </c>
      <c r="V2268" s="7"/>
      <c r="W2268" s="7"/>
      <c r="X2268" s="7"/>
      <c r="Y2268" s="7"/>
      <c r="Z2268" s="7"/>
      <c r="AA2268" s="7"/>
    </row>
    <row r="2269" spans="1:27" outlineLevel="6">
      <c r="A2269" s="3501" t="s">
        <v>479</v>
      </c>
      <c r="B2269" s="3501"/>
      <c r="C2269" s="7"/>
      <c r="D2269" s="7"/>
      <c r="E2269" s="14">
        <v>550</v>
      </c>
      <c r="F2269" s="7"/>
      <c r="G2269" s="14">
        <v>550</v>
      </c>
      <c r="H2269" s="3523">
        <v>550</v>
      </c>
      <c r="I2269" s="3523"/>
      <c r="J2269" s="7"/>
      <c r="K2269" s="7"/>
      <c r="L2269" s="7"/>
      <c r="M2269" s="7"/>
      <c r="N2269" s="7"/>
      <c r="O2269" s="7"/>
      <c r="P2269" s="7"/>
      <c r="Q2269" s="7"/>
      <c r="R2269" s="14">
        <v>550</v>
      </c>
      <c r="S2269" s="7"/>
      <c r="T2269" s="7"/>
      <c r="U2269" s="14">
        <v>550</v>
      </c>
      <c r="V2269" s="7"/>
      <c r="W2269" s="7"/>
      <c r="X2269" s="7"/>
      <c r="Y2269" s="7"/>
      <c r="Z2269" s="7"/>
      <c r="AA2269" s="7"/>
    </row>
    <row r="2270" spans="1:27" outlineLevel="7">
      <c r="A2270" s="3500" t="s">
        <v>480</v>
      </c>
      <c r="B2270" s="3500"/>
      <c r="C2270" s="7"/>
      <c r="D2270" s="7"/>
      <c r="E2270" s="14">
        <v>550</v>
      </c>
      <c r="F2270" s="7"/>
      <c r="G2270" s="14">
        <v>550</v>
      </c>
      <c r="H2270" s="3523">
        <v>550</v>
      </c>
      <c r="I2270" s="3523"/>
      <c r="J2270" s="7"/>
      <c r="K2270" s="7"/>
      <c r="L2270" s="7"/>
      <c r="M2270" s="7"/>
      <c r="N2270" s="7"/>
      <c r="O2270" s="7"/>
      <c r="P2270" s="7"/>
      <c r="Q2270" s="7"/>
      <c r="R2270" s="14">
        <v>550</v>
      </c>
      <c r="S2270" s="7"/>
      <c r="T2270" s="7"/>
      <c r="U2270" s="14">
        <v>550</v>
      </c>
      <c r="V2270" s="7"/>
      <c r="W2270" s="7"/>
      <c r="X2270" s="7"/>
      <c r="Y2270" s="7"/>
      <c r="Z2270" s="7"/>
      <c r="AA2270" s="7"/>
    </row>
    <row r="2271" spans="1:27" outlineLevel="7">
      <c r="A2271" s="3499" t="s">
        <v>2278</v>
      </c>
      <c r="B2271" s="3499"/>
      <c r="C2271" s="7"/>
      <c r="D2271" s="7"/>
      <c r="E2271" s="14">
        <v>550</v>
      </c>
      <c r="F2271" s="7"/>
      <c r="G2271" s="14">
        <v>550</v>
      </c>
      <c r="H2271" s="3523">
        <v>550</v>
      </c>
      <c r="I2271" s="3523"/>
      <c r="J2271" s="7"/>
      <c r="K2271" s="7"/>
      <c r="L2271" s="7"/>
      <c r="M2271" s="7"/>
      <c r="N2271" s="7"/>
      <c r="O2271" s="7"/>
      <c r="P2271" s="7"/>
      <c r="Q2271" s="7"/>
      <c r="R2271" s="14">
        <v>550</v>
      </c>
      <c r="S2271" s="7"/>
      <c r="T2271" s="7"/>
      <c r="U2271" s="14">
        <v>550</v>
      </c>
      <c r="V2271" s="7"/>
      <c r="W2271" s="7"/>
      <c r="X2271" s="7"/>
      <c r="Y2271" s="7"/>
      <c r="Z2271" s="7"/>
      <c r="AA2271" s="7"/>
    </row>
    <row r="2272" spans="1:27" outlineLevel="6">
      <c r="A2272" s="3510" t="s">
        <v>1111</v>
      </c>
      <c r="B2272" s="3510"/>
      <c r="C2272" s="1397"/>
      <c r="D2272" s="1397"/>
      <c r="E2272" s="1397"/>
      <c r="F2272" s="1398"/>
      <c r="G2272" s="1398"/>
      <c r="H2272" s="1399"/>
      <c r="I2272" s="1400"/>
      <c r="J2272" s="1398"/>
      <c r="K2272" s="1398"/>
      <c r="L2272" s="1398"/>
      <c r="M2272" s="1398"/>
      <c r="N2272" s="1398"/>
      <c r="O2272" s="1398"/>
      <c r="P2272" s="1398"/>
      <c r="Q2272" s="1398"/>
      <c r="R2272" s="1401">
        <v>550</v>
      </c>
      <c r="S2272" s="7"/>
      <c r="T2272" s="7"/>
      <c r="U2272" s="14">
        <v>550</v>
      </c>
      <c r="V2272" s="7"/>
      <c r="W2272" s="7"/>
      <c r="X2272" s="7"/>
      <c r="Y2272" s="7"/>
      <c r="Z2272" s="12"/>
      <c r="AA2272" s="14">
        <v>550</v>
      </c>
    </row>
    <row r="2273" spans="1:27" outlineLevel="7">
      <c r="A2273" s="3511" t="s">
        <v>1084</v>
      </c>
      <c r="B2273" s="3511"/>
      <c r="C2273" s="1397"/>
      <c r="D2273" s="1397"/>
      <c r="E2273" s="1397"/>
      <c r="F2273" s="1398"/>
      <c r="G2273" s="1398"/>
      <c r="H2273" s="1399"/>
      <c r="I2273" s="1400"/>
      <c r="J2273" s="1398"/>
      <c r="K2273" s="1398"/>
      <c r="L2273" s="1398"/>
      <c r="M2273" s="1398"/>
      <c r="N2273" s="1398"/>
      <c r="O2273" s="1398"/>
      <c r="P2273" s="1398"/>
      <c r="Q2273" s="1398"/>
      <c r="R2273" s="1401">
        <v>550</v>
      </c>
      <c r="S2273" s="7"/>
      <c r="T2273" s="7"/>
      <c r="U2273" s="14">
        <v>550</v>
      </c>
      <c r="V2273" s="7"/>
      <c r="W2273" s="7"/>
      <c r="X2273" s="7"/>
      <c r="Y2273" s="7"/>
      <c r="Z2273" s="12"/>
      <c r="AA2273" s="14">
        <v>550</v>
      </c>
    </row>
    <row r="2274" spans="1:27" outlineLevel="7">
      <c r="A2274" s="3499" t="s">
        <v>2251</v>
      </c>
      <c r="B2274" s="3499"/>
      <c r="C2274" s="12"/>
      <c r="D2274" s="12"/>
      <c r="E2274" s="12"/>
      <c r="F2274" s="7"/>
      <c r="G2274" s="7"/>
      <c r="H2274" s="8"/>
      <c r="I2274" s="9"/>
      <c r="J2274" s="7"/>
      <c r="K2274" s="7"/>
      <c r="L2274" s="7"/>
      <c r="M2274" s="7"/>
      <c r="N2274" s="7"/>
      <c r="O2274" s="7"/>
      <c r="P2274" s="7"/>
      <c r="Q2274" s="7"/>
      <c r="R2274" s="14">
        <v>550</v>
      </c>
      <c r="S2274" s="7"/>
      <c r="T2274" s="7"/>
      <c r="U2274" s="14">
        <v>550</v>
      </c>
      <c r="V2274" s="7"/>
      <c r="W2274" s="7"/>
      <c r="X2274" s="7"/>
      <c r="Y2274" s="7"/>
      <c r="Z2274" s="12"/>
      <c r="AA2274" s="14">
        <v>550</v>
      </c>
    </row>
    <row r="2275" spans="1:27" outlineLevel="6">
      <c r="A2275" s="3501" t="s">
        <v>481</v>
      </c>
      <c r="B2275" s="3501"/>
      <c r="C2275" s="12"/>
      <c r="D2275" s="14">
        <v>550</v>
      </c>
      <c r="E2275" s="14">
        <v>550</v>
      </c>
      <c r="F2275" s="7"/>
      <c r="G2275" s="14">
        <v>550</v>
      </c>
      <c r="H2275" s="3523">
        <v>550</v>
      </c>
      <c r="I2275" s="3523"/>
      <c r="J2275" s="7"/>
      <c r="K2275" s="7"/>
      <c r="L2275" s="7"/>
      <c r="M2275" s="7"/>
      <c r="N2275" s="7"/>
      <c r="O2275" s="7"/>
      <c r="P2275" s="7"/>
      <c r="Q2275" s="7"/>
      <c r="R2275" s="12"/>
      <c r="S2275" s="7"/>
      <c r="T2275" s="7"/>
      <c r="U2275" s="7"/>
      <c r="V2275" s="7"/>
      <c r="W2275" s="7"/>
      <c r="X2275" s="7"/>
      <c r="Y2275" s="7"/>
      <c r="Z2275" s="12"/>
      <c r="AA2275" s="12"/>
    </row>
    <row r="2276" spans="1:27" outlineLevel="7">
      <c r="A2276" s="3500" t="s">
        <v>482</v>
      </c>
      <c r="B2276" s="3500"/>
      <c r="C2276" s="12"/>
      <c r="D2276" s="14">
        <v>550</v>
      </c>
      <c r="E2276" s="14">
        <v>550</v>
      </c>
      <c r="F2276" s="7"/>
      <c r="G2276" s="14">
        <v>550</v>
      </c>
      <c r="H2276" s="3523">
        <v>550</v>
      </c>
      <c r="I2276" s="3523"/>
      <c r="J2276" s="7"/>
      <c r="K2276" s="7"/>
      <c r="L2276" s="7"/>
      <c r="M2276" s="7"/>
      <c r="N2276" s="7"/>
      <c r="O2276" s="7"/>
      <c r="P2276" s="7"/>
      <c r="Q2276" s="7"/>
      <c r="R2276" s="12"/>
      <c r="S2276" s="7"/>
      <c r="T2276" s="7"/>
      <c r="U2276" s="7"/>
      <c r="V2276" s="7"/>
      <c r="W2276" s="7"/>
      <c r="X2276" s="7"/>
      <c r="Y2276" s="7"/>
      <c r="Z2276" s="12"/>
      <c r="AA2276" s="12"/>
    </row>
    <row r="2277" spans="1:27" outlineLevel="7">
      <c r="A2277" s="3499" t="s">
        <v>2279</v>
      </c>
      <c r="B2277" s="3499"/>
      <c r="C2277" s="12"/>
      <c r="D2277" s="14">
        <v>550</v>
      </c>
      <c r="E2277" s="14">
        <v>550</v>
      </c>
      <c r="F2277" s="7"/>
      <c r="G2277" s="14">
        <v>550</v>
      </c>
      <c r="H2277" s="3523">
        <v>550</v>
      </c>
      <c r="I2277" s="3523"/>
      <c r="J2277" s="7"/>
      <c r="K2277" s="7"/>
      <c r="L2277" s="7"/>
      <c r="M2277" s="7"/>
      <c r="N2277" s="7"/>
      <c r="O2277" s="7"/>
      <c r="P2277" s="7"/>
      <c r="Q2277" s="7"/>
      <c r="R2277" s="12"/>
      <c r="S2277" s="7"/>
      <c r="T2277" s="7"/>
      <c r="U2277" s="7"/>
      <c r="V2277" s="7"/>
      <c r="W2277" s="7"/>
      <c r="X2277" s="7"/>
      <c r="Y2277" s="7"/>
      <c r="Z2277" s="12"/>
      <c r="AA2277" s="12"/>
    </row>
    <row r="2278" spans="1:27" outlineLevel="6">
      <c r="A2278" s="3501" t="s">
        <v>483</v>
      </c>
      <c r="B2278" s="3501"/>
      <c r="C2278" s="7"/>
      <c r="D2278" s="7"/>
      <c r="E2278" s="14">
        <v>550</v>
      </c>
      <c r="F2278" s="7"/>
      <c r="G2278" s="14">
        <v>550</v>
      </c>
      <c r="H2278" s="3523">
        <v>550</v>
      </c>
      <c r="I2278" s="3523"/>
      <c r="J2278" s="7"/>
      <c r="K2278" s="7"/>
      <c r="L2278" s="7"/>
      <c r="M2278" s="7"/>
      <c r="N2278" s="7"/>
      <c r="O2278" s="7"/>
      <c r="P2278" s="7"/>
      <c r="Q2278" s="7"/>
      <c r="R2278" s="14">
        <v>550</v>
      </c>
      <c r="S2278" s="7"/>
      <c r="T2278" s="7"/>
      <c r="U2278" s="14">
        <v>550</v>
      </c>
      <c r="V2278" s="7"/>
      <c r="W2278" s="7"/>
      <c r="X2278" s="7"/>
      <c r="Y2278" s="7"/>
      <c r="Z2278" s="7"/>
      <c r="AA2278" s="7"/>
    </row>
    <row r="2279" spans="1:27" outlineLevel="7">
      <c r="A2279" s="3500" t="s">
        <v>484</v>
      </c>
      <c r="B2279" s="3500"/>
      <c r="C2279" s="7"/>
      <c r="D2279" s="7"/>
      <c r="E2279" s="14">
        <v>550</v>
      </c>
      <c r="F2279" s="7"/>
      <c r="G2279" s="14">
        <v>550</v>
      </c>
      <c r="H2279" s="3523">
        <v>550</v>
      </c>
      <c r="I2279" s="3523"/>
      <c r="J2279" s="7"/>
      <c r="K2279" s="7"/>
      <c r="L2279" s="7"/>
      <c r="M2279" s="7"/>
      <c r="N2279" s="7"/>
      <c r="O2279" s="7"/>
      <c r="P2279" s="7"/>
      <c r="Q2279" s="7"/>
      <c r="R2279" s="14">
        <v>550</v>
      </c>
      <c r="S2279" s="7"/>
      <c r="T2279" s="7"/>
      <c r="U2279" s="14">
        <v>550</v>
      </c>
      <c r="V2279" s="7"/>
      <c r="W2279" s="7"/>
      <c r="X2279" s="7"/>
      <c r="Y2279" s="7"/>
      <c r="Z2279" s="7"/>
      <c r="AA2279" s="7"/>
    </row>
    <row r="2280" spans="1:27" outlineLevel="7">
      <c r="A2280" s="3499" t="s">
        <v>2163</v>
      </c>
      <c r="B2280" s="3499"/>
      <c r="C2280" s="7"/>
      <c r="D2280" s="7"/>
      <c r="E2280" s="14">
        <v>550</v>
      </c>
      <c r="F2280" s="7"/>
      <c r="G2280" s="14">
        <v>550</v>
      </c>
      <c r="H2280" s="3523">
        <v>550</v>
      </c>
      <c r="I2280" s="3523"/>
      <c r="J2280" s="7"/>
      <c r="K2280" s="7"/>
      <c r="L2280" s="7"/>
      <c r="M2280" s="7"/>
      <c r="N2280" s="7"/>
      <c r="O2280" s="7"/>
      <c r="P2280" s="7"/>
      <c r="Q2280" s="7"/>
      <c r="R2280" s="14">
        <v>550</v>
      </c>
      <c r="S2280" s="7"/>
      <c r="T2280" s="7"/>
      <c r="U2280" s="14">
        <v>550</v>
      </c>
      <c r="V2280" s="7"/>
      <c r="W2280" s="7"/>
      <c r="X2280" s="7"/>
      <c r="Y2280" s="7"/>
      <c r="Z2280" s="7"/>
      <c r="AA2280" s="7"/>
    </row>
    <row r="2281" spans="1:27" outlineLevel="6">
      <c r="A2281" s="3501" t="s">
        <v>487</v>
      </c>
      <c r="B2281" s="3501"/>
      <c r="C2281" s="7"/>
      <c r="D2281" s="7"/>
      <c r="E2281" s="14">
        <v>550</v>
      </c>
      <c r="F2281" s="7"/>
      <c r="G2281" s="14">
        <v>550</v>
      </c>
      <c r="H2281" s="3523">
        <v>550</v>
      </c>
      <c r="I2281" s="3523"/>
      <c r="J2281" s="7"/>
      <c r="K2281" s="7"/>
      <c r="L2281" s="7"/>
      <c r="M2281" s="7"/>
      <c r="N2281" s="7"/>
      <c r="O2281" s="7"/>
      <c r="P2281" s="7"/>
      <c r="Q2281" s="7"/>
      <c r="R2281" s="14">
        <v>550</v>
      </c>
      <c r="S2281" s="7"/>
      <c r="T2281" s="7"/>
      <c r="U2281" s="14">
        <v>550</v>
      </c>
      <c r="V2281" s="7"/>
      <c r="W2281" s="7"/>
      <c r="X2281" s="7"/>
      <c r="Y2281" s="7"/>
      <c r="Z2281" s="7"/>
      <c r="AA2281" s="7"/>
    </row>
    <row r="2282" spans="1:27" outlineLevel="7">
      <c r="A2282" s="3500" t="s">
        <v>488</v>
      </c>
      <c r="B2282" s="3500"/>
      <c r="C2282" s="7"/>
      <c r="D2282" s="7"/>
      <c r="E2282" s="14">
        <v>550</v>
      </c>
      <c r="F2282" s="7"/>
      <c r="G2282" s="14">
        <v>550</v>
      </c>
      <c r="H2282" s="3523">
        <v>550</v>
      </c>
      <c r="I2282" s="3523"/>
      <c r="J2282" s="7"/>
      <c r="K2282" s="7"/>
      <c r="L2282" s="7"/>
      <c r="M2282" s="7"/>
      <c r="N2282" s="7"/>
      <c r="O2282" s="7"/>
      <c r="P2282" s="7"/>
      <c r="Q2282" s="7"/>
      <c r="R2282" s="14">
        <v>550</v>
      </c>
      <c r="S2282" s="7"/>
      <c r="T2282" s="7"/>
      <c r="U2282" s="14">
        <v>550</v>
      </c>
      <c r="V2282" s="7"/>
      <c r="W2282" s="7"/>
      <c r="X2282" s="7"/>
      <c r="Y2282" s="7"/>
      <c r="Z2282" s="7"/>
      <c r="AA2282" s="7"/>
    </row>
    <row r="2283" spans="1:27" outlineLevel="7">
      <c r="A2283" s="3499" t="s">
        <v>2280</v>
      </c>
      <c r="B2283" s="3499"/>
      <c r="C2283" s="7"/>
      <c r="D2283" s="7"/>
      <c r="E2283" s="14">
        <v>550</v>
      </c>
      <c r="F2283" s="7"/>
      <c r="G2283" s="14">
        <v>550</v>
      </c>
      <c r="H2283" s="3523">
        <v>550</v>
      </c>
      <c r="I2283" s="3523"/>
      <c r="J2283" s="7"/>
      <c r="K2283" s="7"/>
      <c r="L2283" s="7"/>
      <c r="M2283" s="7"/>
      <c r="N2283" s="7"/>
      <c r="O2283" s="7"/>
      <c r="P2283" s="7"/>
      <c r="Q2283" s="7"/>
      <c r="R2283" s="14">
        <v>550</v>
      </c>
      <c r="S2283" s="7"/>
      <c r="T2283" s="7"/>
      <c r="U2283" s="14">
        <v>550</v>
      </c>
      <c r="V2283" s="7"/>
      <c r="W2283" s="7"/>
      <c r="X2283" s="7"/>
      <c r="Y2283" s="7"/>
      <c r="Z2283" s="7"/>
      <c r="AA2283" s="7"/>
    </row>
    <row r="2284" spans="1:27" outlineLevel="6">
      <c r="A2284" s="3501" t="s">
        <v>489</v>
      </c>
      <c r="B2284" s="3501"/>
      <c r="C2284" s="7"/>
      <c r="D2284" s="7"/>
      <c r="E2284" s="14">
        <v>550</v>
      </c>
      <c r="F2284" s="7"/>
      <c r="G2284" s="14">
        <v>550</v>
      </c>
      <c r="H2284" s="3523">
        <v>550</v>
      </c>
      <c r="I2284" s="3523"/>
      <c r="J2284" s="7"/>
      <c r="K2284" s="7"/>
      <c r="L2284" s="7"/>
      <c r="M2284" s="7"/>
      <c r="N2284" s="7"/>
      <c r="O2284" s="7"/>
      <c r="P2284" s="7"/>
      <c r="Q2284" s="7"/>
      <c r="R2284" s="14">
        <v>550</v>
      </c>
      <c r="S2284" s="7"/>
      <c r="T2284" s="7"/>
      <c r="U2284" s="14">
        <v>550</v>
      </c>
      <c r="V2284" s="7"/>
      <c r="W2284" s="7"/>
      <c r="X2284" s="7"/>
      <c r="Y2284" s="7"/>
      <c r="Z2284" s="7"/>
      <c r="AA2284" s="7"/>
    </row>
    <row r="2285" spans="1:27" outlineLevel="7">
      <c r="A2285" s="3500" t="s">
        <v>490</v>
      </c>
      <c r="B2285" s="3500"/>
      <c r="C2285" s="7"/>
      <c r="D2285" s="7"/>
      <c r="E2285" s="14">
        <v>550</v>
      </c>
      <c r="F2285" s="7"/>
      <c r="G2285" s="14">
        <v>550</v>
      </c>
      <c r="H2285" s="3523">
        <v>550</v>
      </c>
      <c r="I2285" s="3523"/>
      <c r="J2285" s="7"/>
      <c r="K2285" s="7"/>
      <c r="L2285" s="7"/>
      <c r="M2285" s="7"/>
      <c r="N2285" s="7"/>
      <c r="O2285" s="7"/>
      <c r="P2285" s="7"/>
      <c r="Q2285" s="7"/>
      <c r="R2285" s="14">
        <v>550</v>
      </c>
      <c r="S2285" s="7"/>
      <c r="T2285" s="7"/>
      <c r="U2285" s="14">
        <v>550</v>
      </c>
      <c r="V2285" s="7"/>
      <c r="W2285" s="7"/>
      <c r="X2285" s="7"/>
      <c r="Y2285" s="7"/>
      <c r="Z2285" s="7"/>
      <c r="AA2285" s="7"/>
    </row>
    <row r="2286" spans="1:27" outlineLevel="7">
      <c r="A2286" s="3499" t="s">
        <v>2281</v>
      </c>
      <c r="B2286" s="3499"/>
      <c r="C2286" s="7"/>
      <c r="D2286" s="7"/>
      <c r="E2286" s="14">
        <v>550</v>
      </c>
      <c r="F2286" s="7"/>
      <c r="G2286" s="14">
        <v>550</v>
      </c>
      <c r="H2286" s="3523">
        <v>550</v>
      </c>
      <c r="I2286" s="3523"/>
      <c r="J2286" s="7"/>
      <c r="K2286" s="7"/>
      <c r="L2286" s="7"/>
      <c r="M2286" s="7"/>
      <c r="N2286" s="7"/>
      <c r="O2286" s="7"/>
      <c r="P2286" s="7"/>
      <c r="Q2286" s="7"/>
      <c r="R2286" s="14">
        <v>550</v>
      </c>
      <c r="S2286" s="7"/>
      <c r="T2286" s="7"/>
      <c r="U2286" s="14">
        <v>550</v>
      </c>
      <c r="V2286" s="7"/>
      <c r="W2286" s="7"/>
      <c r="X2286" s="7"/>
      <c r="Y2286" s="7"/>
      <c r="Z2286" s="7"/>
      <c r="AA2286" s="7"/>
    </row>
    <row r="2287" spans="1:27" outlineLevel="6">
      <c r="A2287" s="3501" t="s">
        <v>1112</v>
      </c>
      <c r="B2287" s="3501"/>
      <c r="C2287" s="12"/>
      <c r="D2287" s="12"/>
      <c r="E2287" s="12"/>
      <c r="F2287" s="7"/>
      <c r="G2287" s="7"/>
      <c r="H2287" s="8"/>
      <c r="I2287" s="9"/>
      <c r="J2287" s="7"/>
      <c r="K2287" s="7"/>
      <c r="L2287" s="7"/>
      <c r="M2287" s="7"/>
      <c r="N2287" s="7"/>
      <c r="O2287" s="7"/>
      <c r="P2287" s="7"/>
      <c r="Q2287" s="7"/>
      <c r="R2287" s="14">
        <v>550</v>
      </c>
      <c r="S2287" s="7"/>
      <c r="T2287" s="7"/>
      <c r="U2287" s="14">
        <v>550</v>
      </c>
      <c r="V2287" s="7"/>
      <c r="W2287" s="7"/>
      <c r="X2287" s="7"/>
      <c r="Y2287" s="7"/>
      <c r="Z2287" s="12"/>
      <c r="AA2287" s="14">
        <v>550</v>
      </c>
    </row>
    <row r="2288" spans="1:27" outlineLevel="7">
      <c r="A2288" s="3500" t="s">
        <v>1113</v>
      </c>
      <c r="B2288" s="3500"/>
      <c r="C2288" s="12"/>
      <c r="D2288" s="12"/>
      <c r="E2288" s="12"/>
      <c r="F2288" s="7"/>
      <c r="G2288" s="7"/>
      <c r="H2288" s="8"/>
      <c r="I2288" s="9"/>
      <c r="J2288" s="7"/>
      <c r="K2288" s="7"/>
      <c r="L2288" s="7"/>
      <c r="M2288" s="7"/>
      <c r="N2288" s="7"/>
      <c r="O2288" s="7"/>
      <c r="P2288" s="7"/>
      <c r="Q2288" s="7"/>
      <c r="R2288" s="14">
        <v>550</v>
      </c>
      <c r="S2288" s="7"/>
      <c r="T2288" s="7"/>
      <c r="U2288" s="14">
        <v>550</v>
      </c>
      <c r="V2288" s="7"/>
      <c r="W2288" s="7"/>
      <c r="X2288" s="7"/>
      <c r="Y2288" s="7"/>
      <c r="Z2288" s="12"/>
      <c r="AA2288" s="14">
        <v>550</v>
      </c>
    </row>
    <row r="2289" spans="1:27" outlineLevel="7">
      <c r="A2289" s="3499" t="s">
        <v>2282</v>
      </c>
      <c r="B2289" s="3499"/>
      <c r="C2289" s="12"/>
      <c r="D2289" s="12"/>
      <c r="E2289" s="12"/>
      <c r="F2289" s="7"/>
      <c r="G2289" s="7"/>
      <c r="H2289" s="8"/>
      <c r="I2289" s="9"/>
      <c r="J2289" s="7"/>
      <c r="K2289" s="7"/>
      <c r="L2289" s="7"/>
      <c r="M2289" s="7"/>
      <c r="N2289" s="7"/>
      <c r="O2289" s="7"/>
      <c r="P2289" s="7"/>
      <c r="Q2289" s="7"/>
      <c r="R2289" s="14">
        <v>550</v>
      </c>
      <c r="S2289" s="7"/>
      <c r="T2289" s="7"/>
      <c r="U2289" s="14">
        <v>550</v>
      </c>
      <c r="V2289" s="7"/>
      <c r="W2289" s="7"/>
      <c r="X2289" s="7"/>
      <c r="Y2289" s="7"/>
      <c r="Z2289" s="12"/>
      <c r="AA2289" s="14">
        <v>550</v>
      </c>
    </row>
    <row r="2290" spans="1:27" outlineLevel="6">
      <c r="A2290" s="3501" t="s">
        <v>491</v>
      </c>
      <c r="B2290" s="3501"/>
      <c r="C2290" s="7"/>
      <c r="D2290" s="7"/>
      <c r="E2290" s="14">
        <v>550</v>
      </c>
      <c r="F2290" s="7"/>
      <c r="G2290" s="14">
        <v>550</v>
      </c>
      <c r="H2290" s="3523">
        <v>550</v>
      </c>
      <c r="I2290" s="3523"/>
      <c r="J2290" s="7"/>
      <c r="K2290" s="7"/>
      <c r="L2290" s="7"/>
      <c r="M2290" s="7"/>
      <c r="N2290" s="7"/>
      <c r="O2290" s="7"/>
      <c r="P2290" s="7"/>
      <c r="Q2290" s="7"/>
      <c r="R2290" s="14">
        <v>550</v>
      </c>
      <c r="S2290" s="7"/>
      <c r="T2290" s="7"/>
      <c r="U2290" s="14">
        <v>550</v>
      </c>
      <c r="V2290" s="7"/>
      <c r="W2290" s="7"/>
      <c r="X2290" s="7"/>
      <c r="Y2290" s="7"/>
      <c r="Z2290" s="7"/>
      <c r="AA2290" s="7"/>
    </row>
    <row r="2291" spans="1:27" outlineLevel="7">
      <c r="A2291" s="3500" t="s">
        <v>492</v>
      </c>
      <c r="B2291" s="3500"/>
      <c r="C2291" s="7"/>
      <c r="D2291" s="7"/>
      <c r="E2291" s="14">
        <v>550</v>
      </c>
      <c r="F2291" s="7"/>
      <c r="G2291" s="14">
        <v>550</v>
      </c>
      <c r="H2291" s="3523">
        <v>550</v>
      </c>
      <c r="I2291" s="3523"/>
      <c r="J2291" s="7"/>
      <c r="K2291" s="7"/>
      <c r="L2291" s="7"/>
      <c r="M2291" s="7"/>
      <c r="N2291" s="7"/>
      <c r="O2291" s="7"/>
      <c r="P2291" s="7"/>
      <c r="Q2291" s="7"/>
      <c r="R2291" s="14">
        <v>550</v>
      </c>
      <c r="S2291" s="7"/>
      <c r="T2291" s="7"/>
      <c r="U2291" s="14">
        <v>550</v>
      </c>
      <c r="V2291" s="7"/>
      <c r="W2291" s="7"/>
      <c r="X2291" s="7"/>
      <c r="Y2291" s="7"/>
      <c r="Z2291" s="7"/>
      <c r="AA2291" s="7"/>
    </row>
    <row r="2292" spans="1:27" outlineLevel="7">
      <c r="A2292" s="3499" t="s">
        <v>2283</v>
      </c>
      <c r="B2292" s="3499"/>
      <c r="C2292" s="7"/>
      <c r="D2292" s="7"/>
      <c r="E2292" s="14">
        <v>550</v>
      </c>
      <c r="F2292" s="7"/>
      <c r="G2292" s="14">
        <v>550</v>
      </c>
      <c r="H2292" s="3523">
        <v>550</v>
      </c>
      <c r="I2292" s="3523"/>
      <c r="J2292" s="7"/>
      <c r="K2292" s="7"/>
      <c r="L2292" s="7"/>
      <c r="M2292" s="7"/>
      <c r="N2292" s="7"/>
      <c r="O2292" s="7"/>
      <c r="P2292" s="7"/>
      <c r="Q2292" s="7"/>
      <c r="R2292" s="14">
        <v>550</v>
      </c>
      <c r="S2292" s="7"/>
      <c r="T2292" s="7"/>
      <c r="U2292" s="14">
        <v>550</v>
      </c>
      <c r="V2292" s="7"/>
      <c r="W2292" s="7"/>
      <c r="X2292" s="7"/>
      <c r="Y2292" s="7"/>
      <c r="Z2292" s="7"/>
      <c r="AA2292" s="7"/>
    </row>
    <row r="2293" spans="1:27" outlineLevel="6">
      <c r="A2293" s="3501" t="s">
        <v>1114</v>
      </c>
      <c r="B2293" s="3501"/>
      <c r="C2293" s="12"/>
      <c r="D2293" s="12"/>
      <c r="E2293" s="12"/>
      <c r="F2293" s="7"/>
      <c r="G2293" s="7"/>
      <c r="H2293" s="8"/>
      <c r="I2293" s="9"/>
      <c r="J2293" s="7"/>
      <c r="K2293" s="7"/>
      <c r="L2293" s="7"/>
      <c r="M2293" s="7"/>
      <c r="N2293" s="7"/>
      <c r="O2293" s="7"/>
      <c r="P2293" s="7"/>
      <c r="Q2293" s="7"/>
      <c r="R2293" s="14">
        <v>550</v>
      </c>
      <c r="S2293" s="7"/>
      <c r="T2293" s="7"/>
      <c r="U2293" s="14">
        <v>550</v>
      </c>
      <c r="V2293" s="7"/>
      <c r="W2293" s="7"/>
      <c r="X2293" s="7"/>
      <c r="Y2293" s="7"/>
      <c r="Z2293" s="12"/>
      <c r="AA2293" s="14">
        <v>550</v>
      </c>
    </row>
    <row r="2294" spans="1:27" outlineLevel="7">
      <c r="A2294" s="3500" t="s">
        <v>1115</v>
      </c>
      <c r="B2294" s="3500"/>
      <c r="C2294" s="12"/>
      <c r="D2294" s="12"/>
      <c r="E2294" s="12"/>
      <c r="F2294" s="7"/>
      <c r="G2294" s="7"/>
      <c r="H2294" s="8"/>
      <c r="I2294" s="9"/>
      <c r="J2294" s="7"/>
      <c r="K2294" s="7"/>
      <c r="L2294" s="7"/>
      <c r="M2294" s="7"/>
      <c r="N2294" s="7"/>
      <c r="O2294" s="7"/>
      <c r="P2294" s="7"/>
      <c r="Q2294" s="7"/>
      <c r="R2294" s="14">
        <v>550</v>
      </c>
      <c r="S2294" s="7"/>
      <c r="T2294" s="7"/>
      <c r="U2294" s="14">
        <v>550</v>
      </c>
      <c r="V2294" s="7"/>
      <c r="W2294" s="7"/>
      <c r="X2294" s="7"/>
      <c r="Y2294" s="7"/>
      <c r="Z2294" s="12"/>
      <c r="AA2294" s="14">
        <v>550</v>
      </c>
    </row>
    <row r="2295" spans="1:27" outlineLevel="7">
      <c r="A2295" s="3499" t="s">
        <v>2284</v>
      </c>
      <c r="B2295" s="3499"/>
      <c r="C2295" s="12"/>
      <c r="D2295" s="12"/>
      <c r="E2295" s="12"/>
      <c r="F2295" s="7"/>
      <c r="G2295" s="7"/>
      <c r="H2295" s="8"/>
      <c r="I2295" s="9"/>
      <c r="J2295" s="7"/>
      <c r="K2295" s="7"/>
      <c r="L2295" s="7"/>
      <c r="M2295" s="7"/>
      <c r="N2295" s="7"/>
      <c r="O2295" s="7"/>
      <c r="P2295" s="7"/>
      <c r="Q2295" s="7"/>
      <c r="R2295" s="14">
        <v>550</v>
      </c>
      <c r="S2295" s="7"/>
      <c r="T2295" s="7"/>
      <c r="U2295" s="14">
        <v>550</v>
      </c>
      <c r="V2295" s="7"/>
      <c r="W2295" s="7"/>
      <c r="X2295" s="7"/>
      <c r="Y2295" s="7"/>
      <c r="Z2295" s="12"/>
      <c r="AA2295" s="14">
        <v>550</v>
      </c>
    </row>
    <row r="2296" spans="1:27" outlineLevel="6">
      <c r="A2296" s="3501" t="s">
        <v>493</v>
      </c>
      <c r="B2296" s="3501"/>
      <c r="C2296" s="12"/>
      <c r="D2296" s="12"/>
      <c r="E2296" s="13">
        <v>4500</v>
      </c>
      <c r="F2296" s="7"/>
      <c r="G2296" s="13">
        <v>4496.8599999999997</v>
      </c>
      <c r="H2296" s="3524">
        <v>4496.8599999999997</v>
      </c>
      <c r="I2296" s="3524"/>
      <c r="J2296" s="7"/>
      <c r="K2296" s="7"/>
      <c r="L2296" s="7"/>
      <c r="M2296" s="7"/>
      <c r="N2296" s="7"/>
      <c r="O2296" s="7"/>
      <c r="P2296" s="14">
        <v>3.14</v>
      </c>
      <c r="Q2296" s="14">
        <v>3.14</v>
      </c>
      <c r="R2296" s="13">
        <v>5050</v>
      </c>
      <c r="S2296" s="7"/>
      <c r="T2296" s="7"/>
      <c r="U2296" s="13">
        <v>5050</v>
      </c>
      <c r="V2296" s="7"/>
      <c r="W2296" s="7"/>
      <c r="X2296" s="7"/>
      <c r="Y2296" s="7"/>
      <c r="Z2296" s="12"/>
      <c r="AA2296" s="14">
        <v>550</v>
      </c>
    </row>
    <row r="2297" spans="1:27" outlineLevel="7">
      <c r="A2297" s="3500" t="s">
        <v>1116</v>
      </c>
      <c r="B2297" s="3500"/>
      <c r="C2297" s="12"/>
      <c r="D2297" s="12"/>
      <c r="E2297" s="12"/>
      <c r="F2297" s="7"/>
      <c r="G2297" s="7"/>
      <c r="H2297" s="8"/>
      <c r="I2297" s="9"/>
      <c r="J2297" s="7"/>
      <c r="K2297" s="7"/>
      <c r="L2297" s="7"/>
      <c r="M2297" s="7"/>
      <c r="N2297" s="7"/>
      <c r="O2297" s="7"/>
      <c r="P2297" s="7"/>
      <c r="Q2297" s="7"/>
      <c r="R2297" s="14">
        <v>550</v>
      </c>
      <c r="S2297" s="7"/>
      <c r="T2297" s="7"/>
      <c r="U2297" s="14">
        <v>550</v>
      </c>
      <c r="V2297" s="7"/>
      <c r="W2297" s="7"/>
      <c r="X2297" s="7"/>
      <c r="Y2297" s="7"/>
      <c r="Z2297" s="12"/>
      <c r="AA2297" s="14">
        <v>550</v>
      </c>
    </row>
    <row r="2298" spans="1:27" outlineLevel="7">
      <c r="A2298" s="3499" t="s">
        <v>2285</v>
      </c>
      <c r="B2298" s="3499"/>
      <c r="C2298" s="12"/>
      <c r="D2298" s="12"/>
      <c r="E2298" s="12"/>
      <c r="F2298" s="7"/>
      <c r="G2298" s="7"/>
      <c r="H2298" s="8"/>
      <c r="I2298" s="9"/>
      <c r="J2298" s="7"/>
      <c r="K2298" s="7"/>
      <c r="L2298" s="7"/>
      <c r="M2298" s="7"/>
      <c r="N2298" s="7"/>
      <c r="O2298" s="7"/>
      <c r="P2298" s="7"/>
      <c r="Q2298" s="7"/>
      <c r="R2298" s="14">
        <v>550</v>
      </c>
      <c r="S2298" s="7"/>
      <c r="T2298" s="7"/>
      <c r="U2298" s="14">
        <v>550</v>
      </c>
      <c r="V2298" s="7"/>
      <c r="W2298" s="7"/>
      <c r="X2298" s="7"/>
      <c r="Y2298" s="7"/>
      <c r="Z2298" s="12"/>
      <c r="AA2298" s="14">
        <v>550</v>
      </c>
    </row>
    <row r="2299" spans="1:27" outlineLevel="7">
      <c r="A2299" s="3500" t="s">
        <v>494</v>
      </c>
      <c r="B2299" s="3500"/>
      <c r="C2299" s="7"/>
      <c r="D2299" s="7"/>
      <c r="E2299" s="13">
        <v>4500</v>
      </c>
      <c r="F2299" s="7"/>
      <c r="G2299" s="13">
        <v>4496.8599999999997</v>
      </c>
      <c r="H2299" s="3524">
        <v>4496.8599999999997</v>
      </c>
      <c r="I2299" s="3524"/>
      <c r="J2299" s="7"/>
      <c r="K2299" s="7"/>
      <c r="L2299" s="7"/>
      <c r="M2299" s="7"/>
      <c r="N2299" s="7"/>
      <c r="O2299" s="7"/>
      <c r="P2299" s="14">
        <v>3.14</v>
      </c>
      <c r="Q2299" s="14">
        <v>3.14</v>
      </c>
      <c r="R2299" s="13">
        <v>4500</v>
      </c>
      <c r="S2299" s="7"/>
      <c r="T2299" s="7"/>
      <c r="U2299" s="13">
        <v>4500</v>
      </c>
      <c r="V2299" s="7"/>
      <c r="W2299" s="7"/>
      <c r="X2299" s="7"/>
      <c r="Y2299" s="7"/>
      <c r="Z2299" s="7"/>
      <c r="AA2299" s="7"/>
    </row>
    <row r="2300" spans="1:27" outlineLevel="7">
      <c r="A2300" s="3499" t="s">
        <v>2286</v>
      </c>
      <c r="B2300" s="3499"/>
      <c r="C2300" s="7"/>
      <c r="D2300" s="7"/>
      <c r="E2300" s="13">
        <v>4500</v>
      </c>
      <c r="F2300" s="7"/>
      <c r="G2300" s="13">
        <v>4496.8599999999997</v>
      </c>
      <c r="H2300" s="3524">
        <v>4496.8599999999997</v>
      </c>
      <c r="I2300" s="3524"/>
      <c r="J2300" s="7"/>
      <c r="K2300" s="7"/>
      <c r="L2300" s="7"/>
      <c r="M2300" s="7"/>
      <c r="N2300" s="7"/>
      <c r="O2300" s="7"/>
      <c r="P2300" s="14">
        <v>3.14</v>
      </c>
      <c r="Q2300" s="14">
        <v>3.14</v>
      </c>
      <c r="R2300" s="13">
        <v>4500</v>
      </c>
      <c r="S2300" s="7"/>
      <c r="T2300" s="7"/>
      <c r="U2300" s="13">
        <v>4500</v>
      </c>
      <c r="V2300" s="7"/>
      <c r="W2300" s="7"/>
      <c r="X2300" s="7"/>
      <c r="Y2300" s="7"/>
      <c r="Z2300" s="7"/>
      <c r="AA2300" s="7"/>
    </row>
    <row r="2301" spans="1:27" outlineLevel="6">
      <c r="A2301" s="3501" t="s">
        <v>1117</v>
      </c>
      <c r="B2301" s="3501"/>
      <c r="C2301" s="12"/>
      <c r="D2301" s="12"/>
      <c r="E2301" s="12"/>
      <c r="F2301" s="7"/>
      <c r="G2301" s="7"/>
      <c r="H2301" s="8"/>
      <c r="I2301" s="9"/>
      <c r="J2301" s="7"/>
      <c r="K2301" s="7"/>
      <c r="L2301" s="7"/>
      <c r="M2301" s="7"/>
      <c r="N2301" s="7"/>
      <c r="O2301" s="7"/>
      <c r="P2301" s="7"/>
      <c r="Q2301" s="7"/>
      <c r="R2301" s="14">
        <v>550</v>
      </c>
      <c r="S2301" s="7"/>
      <c r="T2301" s="7"/>
      <c r="U2301" s="14">
        <v>550</v>
      </c>
      <c r="V2301" s="7"/>
      <c r="W2301" s="7"/>
      <c r="X2301" s="7"/>
      <c r="Y2301" s="7"/>
      <c r="Z2301" s="12"/>
      <c r="AA2301" s="14">
        <v>550</v>
      </c>
    </row>
    <row r="2302" spans="1:27" outlineLevel="7">
      <c r="A2302" s="3500" t="s">
        <v>1118</v>
      </c>
      <c r="B2302" s="3500"/>
      <c r="C2302" s="12"/>
      <c r="D2302" s="12"/>
      <c r="E2302" s="12"/>
      <c r="F2302" s="7"/>
      <c r="G2302" s="7"/>
      <c r="H2302" s="8"/>
      <c r="I2302" s="9"/>
      <c r="J2302" s="7"/>
      <c r="K2302" s="7"/>
      <c r="L2302" s="7"/>
      <c r="M2302" s="7"/>
      <c r="N2302" s="7"/>
      <c r="O2302" s="7"/>
      <c r="P2302" s="7"/>
      <c r="Q2302" s="7"/>
      <c r="R2302" s="14">
        <v>550</v>
      </c>
      <c r="S2302" s="7"/>
      <c r="T2302" s="7"/>
      <c r="U2302" s="14">
        <v>550</v>
      </c>
      <c r="V2302" s="7"/>
      <c r="W2302" s="7"/>
      <c r="X2302" s="7"/>
      <c r="Y2302" s="7"/>
      <c r="Z2302" s="12"/>
      <c r="AA2302" s="14">
        <v>550</v>
      </c>
    </row>
    <row r="2303" spans="1:27" outlineLevel="7">
      <c r="A2303" s="3499" t="s">
        <v>2287</v>
      </c>
      <c r="B2303" s="3499"/>
      <c r="C2303" s="12"/>
      <c r="D2303" s="12"/>
      <c r="E2303" s="12"/>
      <c r="F2303" s="7"/>
      <c r="G2303" s="7"/>
      <c r="H2303" s="8"/>
      <c r="I2303" s="9"/>
      <c r="J2303" s="7"/>
      <c r="K2303" s="7"/>
      <c r="L2303" s="7"/>
      <c r="M2303" s="7"/>
      <c r="N2303" s="7"/>
      <c r="O2303" s="7"/>
      <c r="P2303" s="7"/>
      <c r="Q2303" s="7"/>
      <c r="R2303" s="14">
        <v>550</v>
      </c>
      <c r="S2303" s="7"/>
      <c r="T2303" s="7"/>
      <c r="U2303" s="14">
        <v>550</v>
      </c>
      <c r="V2303" s="7"/>
      <c r="W2303" s="7"/>
      <c r="X2303" s="7"/>
      <c r="Y2303" s="7"/>
      <c r="Z2303" s="12"/>
      <c r="AA2303" s="14">
        <v>550</v>
      </c>
    </row>
    <row r="2304" spans="1:27" outlineLevel="6">
      <c r="A2304" s="3501" t="s">
        <v>1119</v>
      </c>
      <c r="B2304" s="3501"/>
      <c r="C2304" s="12"/>
      <c r="D2304" s="12"/>
      <c r="E2304" s="12"/>
      <c r="F2304" s="7"/>
      <c r="G2304" s="7"/>
      <c r="H2304" s="8"/>
      <c r="I2304" s="9"/>
      <c r="J2304" s="7"/>
      <c r="K2304" s="7"/>
      <c r="L2304" s="7"/>
      <c r="M2304" s="7"/>
      <c r="N2304" s="7"/>
      <c r="O2304" s="7"/>
      <c r="P2304" s="7"/>
      <c r="Q2304" s="7"/>
      <c r="R2304" s="14">
        <v>550</v>
      </c>
      <c r="S2304" s="7"/>
      <c r="T2304" s="7"/>
      <c r="U2304" s="14">
        <v>550</v>
      </c>
      <c r="V2304" s="7"/>
      <c r="W2304" s="7"/>
      <c r="X2304" s="7"/>
      <c r="Y2304" s="7"/>
      <c r="Z2304" s="12"/>
      <c r="AA2304" s="14">
        <v>550</v>
      </c>
    </row>
    <row r="2305" spans="1:27" outlineLevel="7">
      <c r="A2305" s="3500" t="s">
        <v>1120</v>
      </c>
      <c r="B2305" s="3500"/>
      <c r="C2305" s="12"/>
      <c r="D2305" s="12"/>
      <c r="E2305" s="12"/>
      <c r="F2305" s="7"/>
      <c r="G2305" s="7"/>
      <c r="H2305" s="8"/>
      <c r="I2305" s="9"/>
      <c r="J2305" s="7"/>
      <c r="K2305" s="7"/>
      <c r="L2305" s="7"/>
      <c r="M2305" s="7"/>
      <c r="N2305" s="7"/>
      <c r="O2305" s="7"/>
      <c r="P2305" s="7"/>
      <c r="Q2305" s="7"/>
      <c r="R2305" s="14">
        <v>550</v>
      </c>
      <c r="S2305" s="7"/>
      <c r="T2305" s="7"/>
      <c r="U2305" s="14">
        <v>550</v>
      </c>
      <c r="V2305" s="7"/>
      <c r="W2305" s="7"/>
      <c r="X2305" s="7"/>
      <c r="Y2305" s="7"/>
      <c r="Z2305" s="12"/>
      <c r="AA2305" s="14">
        <v>550</v>
      </c>
    </row>
    <row r="2306" spans="1:27" outlineLevel="7">
      <c r="A2306" s="3499" t="s">
        <v>2288</v>
      </c>
      <c r="B2306" s="3499"/>
      <c r="C2306" s="12"/>
      <c r="D2306" s="12"/>
      <c r="E2306" s="12"/>
      <c r="F2306" s="7"/>
      <c r="G2306" s="7"/>
      <c r="H2306" s="8"/>
      <c r="I2306" s="9"/>
      <c r="J2306" s="7"/>
      <c r="K2306" s="7"/>
      <c r="L2306" s="7"/>
      <c r="M2306" s="7"/>
      <c r="N2306" s="7"/>
      <c r="O2306" s="7"/>
      <c r="P2306" s="7"/>
      <c r="Q2306" s="7"/>
      <c r="R2306" s="14">
        <v>550</v>
      </c>
      <c r="S2306" s="7"/>
      <c r="T2306" s="7"/>
      <c r="U2306" s="14">
        <v>550</v>
      </c>
      <c r="V2306" s="7"/>
      <c r="W2306" s="7"/>
      <c r="X2306" s="7"/>
      <c r="Y2306" s="7"/>
      <c r="Z2306" s="12"/>
      <c r="AA2306" s="14">
        <v>550</v>
      </c>
    </row>
    <row r="2307" spans="1:27" outlineLevel="6">
      <c r="A2307" s="3501" t="s">
        <v>495</v>
      </c>
      <c r="B2307" s="3501"/>
      <c r="C2307" s="7"/>
      <c r="D2307" s="7"/>
      <c r="E2307" s="14">
        <v>550</v>
      </c>
      <c r="F2307" s="7"/>
      <c r="G2307" s="14">
        <v>550</v>
      </c>
      <c r="H2307" s="3523">
        <v>550</v>
      </c>
      <c r="I2307" s="3523"/>
      <c r="J2307" s="7"/>
      <c r="K2307" s="7"/>
      <c r="L2307" s="7"/>
      <c r="M2307" s="7"/>
      <c r="N2307" s="7"/>
      <c r="O2307" s="7"/>
      <c r="P2307" s="7"/>
      <c r="Q2307" s="7"/>
      <c r="R2307" s="14">
        <v>550</v>
      </c>
      <c r="S2307" s="7"/>
      <c r="T2307" s="7"/>
      <c r="U2307" s="14">
        <v>550</v>
      </c>
      <c r="V2307" s="7"/>
      <c r="W2307" s="7"/>
      <c r="X2307" s="7"/>
      <c r="Y2307" s="7"/>
      <c r="Z2307" s="7"/>
      <c r="AA2307" s="7"/>
    </row>
    <row r="2308" spans="1:27" outlineLevel="7">
      <c r="A2308" s="3500" t="s">
        <v>496</v>
      </c>
      <c r="B2308" s="3500"/>
      <c r="C2308" s="7"/>
      <c r="D2308" s="7"/>
      <c r="E2308" s="14">
        <v>550</v>
      </c>
      <c r="F2308" s="7"/>
      <c r="G2308" s="14">
        <v>550</v>
      </c>
      <c r="H2308" s="3523">
        <v>550</v>
      </c>
      <c r="I2308" s="3523"/>
      <c r="J2308" s="7"/>
      <c r="K2308" s="7"/>
      <c r="L2308" s="7"/>
      <c r="M2308" s="7"/>
      <c r="N2308" s="7"/>
      <c r="O2308" s="7"/>
      <c r="P2308" s="7"/>
      <c r="Q2308" s="7"/>
      <c r="R2308" s="14">
        <v>550</v>
      </c>
      <c r="S2308" s="7"/>
      <c r="T2308" s="7"/>
      <c r="U2308" s="14">
        <v>550</v>
      </c>
      <c r="V2308" s="7"/>
      <c r="W2308" s="7"/>
      <c r="X2308" s="7"/>
      <c r="Y2308" s="7"/>
      <c r="Z2308" s="7"/>
      <c r="AA2308" s="7"/>
    </row>
    <row r="2309" spans="1:27" outlineLevel="7">
      <c r="A2309" s="3499" t="s">
        <v>2289</v>
      </c>
      <c r="B2309" s="3499"/>
      <c r="C2309" s="7"/>
      <c r="D2309" s="7"/>
      <c r="E2309" s="14">
        <v>550</v>
      </c>
      <c r="F2309" s="7"/>
      <c r="G2309" s="14">
        <v>550</v>
      </c>
      <c r="H2309" s="3523">
        <v>550</v>
      </c>
      <c r="I2309" s="3523"/>
      <c r="J2309" s="7"/>
      <c r="K2309" s="7"/>
      <c r="L2309" s="7"/>
      <c r="M2309" s="7"/>
      <c r="N2309" s="7"/>
      <c r="O2309" s="7"/>
      <c r="P2309" s="7"/>
      <c r="Q2309" s="7"/>
      <c r="R2309" s="14">
        <v>550</v>
      </c>
      <c r="S2309" s="7"/>
      <c r="T2309" s="7"/>
      <c r="U2309" s="14">
        <v>550</v>
      </c>
      <c r="V2309" s="7"/>
      <c r="W2309" s="7"/>
      <c r="X2309" s="7"/>
      <c r="Y2309" s="7"/>
      <c r="Z2309" s="7"/>
      <c r="AA2309" s="7"/>
    </row>
    <row r="2310" spans="1:27" outlineLevel="6">
      <c r="A2310" s="3501" t="s">
        <v>497</v>
      </c>
      <c r="B2310" s="3501"/>
      <c r="C2310" s="7"/>
      <c r="D2310" s="7"/>
      <c r="E2310" s="14">
        <v>550</v>
      </c>
      <c r="F2310" s="7"/>
      <c r="G2310" s="14">
        <v>550</v>
      </c>
      <c r="H2310" s="3523">
        <v>550</v>
      </c>
      <c r="I2310" s="3523"/>
      <c r="J2310" s="7"/>
      <c r="K2310" s="7"/>
      <c r="L2310" s="7"/>
      <c r="M2310" s="7"/>
      <c r="N2310" s="7"/>
      <c r="O2310" s="7"/>
      <c r="P2310" s="7"/>
      <c r="Q2310" s="7"/>
      <c r="R2310" s="14">
        <v>550</v>
      </c>
      <c r="S2310" s="7"/>
      <c r="T2310" s="7"/>
      <c r="U2310" s="14">
        <v>550</v>
      </c>
      <c r="V2310" s="7"/>
      <c r="W2310" s="7"/>
      <c r="X2310" s="7"/>
      <c r="Y2310" s="7"/>
      <c r="Z2310" s="7"/>
      <c r="AA2310" s="7"/>
    </row>
    <row r="2311" spans="1:27" outlineLevel="7">
      <c r="A2311" s="3500" t="s">
        <v>498</v>
      </c>
      <c r="B2311" s="3500"/>
      <c r="C2311" s="7"/>
      <c r="D2311" s="7"/>
      <c r="E2311" s="14">
        <v>550</v>
      </c>
      <c r="F2311" s="7"/>
      <c r="G2311" s="14">
        <v>550</v>
      </c>
      <c r="H2311" s="3523">
        <v>550</v>
      </c>
      <c r="I2311" s="3523"/>
      <c r="J2311" s="7"/>
      <c r="K2311" s="7"/>
      <c r="L2311" s="7"/>
      <c r="M2311" s="7"/>
      <c r="N2311" s="7"/>
      <c r="O2311" s="7"/>
      <c r="P2311" s="7"/>
      <c r="Q2311" s="7"/>
      <c r="R2311" s="14">
        <v>550</v>
      </c>
      <c r="S2311" s="7"/>
      <c r="T2311" s="7"/>
      <c r="U2311" s="14">
        <v>550</v>
      </c>
      <c r="V2311" s="7"/>
      <c r="W2311" s="7"/>
      <c r="X2311" s="7"/>
      <c r="Y2311" s="7"/>
      <c r="Z2311" s="7"/>
      <c r="AA2311" s="7"/>
    </row>
    <row r="2312" spans="1:27" outlineLevel="7">
      <c r="A2312" s="3499" t="s">
        <v>2290</v>
      </c>
      <c r="B2312" s="3499"/>
      <c r="C2312" s="7"/>
      <c r="D2312" s="7"/>
      <c r="E2312" s="14">
        <v>550</v>
      </c>
      <c r="F2312" s="7"/>
      <c r="G2312" s="14">
        <v>550</v>
      </c>
      <c r="H2312" s="3523">
        <v>550</v>
      </c>
      <c r="I2312" s="3523"/>
      <c r="J2312" s="7"/>
      <c r="K2312" s="7"/>
      <c r="L2312" s="7"/>
      <c r="M2312" s="7"/>
      <c r="N2312" s="7"/>
      <c r="O2312" s="7"/>
      <c r="P2312" s="7"/>
      <c r="Q2312" s="7"/>
      <c r="R2312" s="14">
        <v>550</v>
      </c>
      <c r="S2312" s="7"/>
      <c r="T2312" s="7"/>
      <c r="U2312" s="14">
        <v>550</v>
      </c>
      <c r="V2312" s="7"/>
      <c r="W2312" s="7"/>
      <c r="X2312" s="7"/>
      <c r="Y2312" s="7"/>
      <c r="Z2312" s="7"/>
      <c r="AA2312" s="7"/>
    </row>
    <row r="2313" spans="1:27" outlineLevel="6">
      <c r="A2313" s="3501" t="s">
        <v>499</v>
      </c>
      <c r="B2313" s="3501"/>
      <c r="C2313" s="12"/>
      <c r="D2313" s="14">
        <v>550</v>
      </c>
      <c r="E2313" s="14">
        <v>550</v>
      </c>
      <c r="F2313" s="7"/>
      <c r="G2313" s="14">
        <v>550</v>
      </c>
      <c r="H2313" s="3523">
        <v>550</v>
      </c>
      <c r="I2313" s="3523"/>
      <c r="J2313" s="7"/>
      <c r="K2313" s="7"/>
      <c r="L2313" s="7"/>
      <c r="M2313" s="7"/>
      <c r="N2313" s="7"/>
      <c r="O2313" s="7"/>
      <c r="P2313" s="7"/>
      <c r="Q2313" s="7"/>
      <c r="R2313" s="12"/>
      <c r="S2313" s="7"/>
      <c r="T2313" s="7"/>
      <c r="U2313" s="7"/>
      <c r="V2313" s="7"/>
      <c r="W2313" s="7"/>
      <c r="X2313" s="7"/>
      <c r="Y2313" s="7"/>
      <c r="Z2313" s="12"/>
      <c r="AA2313" s="12"/>
    </row>
    <row r="2314" spans="1:27" outlineLevel="7">
      <c r="A2314" s="3500" t="s">
        <v>500</v>
      </c>
      <c r="B2314" s="3500"/>
      <c r="C2314" s="12"/>
      <c r="D2314" s="14">
        <v>550</v>
      </c>
      <c r="E2314" s="14">
        <v>550</v>
      </c>
      <c r="F2314" s="7"/>
      <c r="G2314" s="14">
        <v>550</v>
      </c>
      <c r="H2314" s="3523">
        <v>550</v>
      </c>
      <c r="I2314" s="3523"/>
      <c r="J2314" s="7"/>
      <c r="K2314" s="7"/>
      <c r="L2314" s="7"/>
      <c r="M2314" s="7"/>
      <c r="N2314" s="7"/>
      <c r="O2314" s="7"/>
      <c r="P2314" s="7"/>
      <c r="Q2314" s="7"/>
      <c r="R2314" s="12"/>
      <c r="S2314" s="7"/>
      <c r="T2314" s="7"/>
      <c r="U2314" s="7"/>
      <c r="V2314" s="7"/>
      <c r="W2314" s="7"/>
      <c r="X2314" s="7"/>
      <c r="Y2314" s="7"/>
      <c r="Z2314" s="12"/>
      <c r="AA2314" s="12"/>
    </row>
    <row r="2315" spans="1:27" outlineLevel="7">
      <c r="A2315" s="3499" t="s">
        <v>2291</v>
      </c>
      <c r="B2315" s="3499"/>
      <c r="C2315" s="12"/>
      <c r="D2315" s="14">
        <v>550</v>
      </c>
      <c r="E2315" s="14">
        <v>550</v>
      </c>
      <c r="F2315" s="7"/>
      <c r="G2315" s="14">
        <v>550</v>
      </c>
      <c r="H2315" s="3523">
        <v>550</v>
      </c>
      <c r="I2315" s="3523"/>
      <c r="J2315" s="7"/>
      <c r="K2315" s="7"/>
      <c r="L2315" s="7"/>
      <c r="M2315" s="7"/>
      <c r="N2315" s="7"/>
      <c r="O2315" s="7"/>
      <c r="P2315" s="7"/>
      <c r="Q2315" s="7"/>
      <c r="R2315" s="12"/>
      <c r="S2315" s="7"/>
      <c r="T2315" s="7"/>
      <c r="U2315" s="7"/>
      <c r="V2315" s="7"/>
      <c r="W2315" s="7"/>
      <c r="X2315" s="7"/>
      <c r="Y2315" s="7"/>
      <c r="Z2315" s="12"/>
      <c r="AA2315" s="12"/>
    </row>
    <row r="2316" spans="1:27" outlineLevel="6">
      <c r="A2316" s="3501" t="s">
        <v>501</v>
      </c>
      <c r="B2316" s="3501"/>
      <c r="C2316" s="7"/>
      <c r="D2316" s="7"/>
      <c r="E2316" s="14">
        <v>550</v>
      </c>
      <c r="F2316" s="7"/>
      <c r="G2316" s="14">
        <v>550</v>
      </c>
      <c r="H2316" s="3523">
        <v>550</v>
      </c>
      <c r="I2316" s="3523"/>
      <c r="J2316" s="7"/>
      <c r="K2316" s="7"/>
      <c r="L2316" s="7"/>
      <c r="M2316" s="7"/>
      <c r="N2316" s="7"/>
      <c r="O2316" s="7"/>
      <c r="P2316" s="7"/>
      <c r="Q2316" s="7"/>
      <c r="R2316" s="14">
        <v>550</v>
      </c>
      <c r="S2316" s="7"/>
      <c r="T2316" s="7"/>
      <c r="U2316" s="14">
        <v>550</v>
      </c>
      <c r="V2316" s="7"/>
      <c r="W2316" s="7"/>
      <c r="X2316" s="7"/>
      <c r="Y2316" s="7"/>
      <c r="Z2316" s="7"/>
      <c r="AA2316" s="7"/>
    </row>
    <row r="2317" spans="1:27" outlineLevel="7">
      <c r="A2317" s="3500" t="s">
        <v>502</v>
      </c>
      <c r="B2317" s="3500"/>
      <c r="C2317" s="7"/>
      <c r="D2317" s="7"/>
      <c r="E2317" s="14">
        <v>550</v>
      </c>
      <c r="F2317" s="7"/>
      <c r="G2317" s="14">
        <v>550</v>
      </c>
      <c r="H2317" s="3523">
        <v>550</v>
      </c>
      <c r="I2317" s="3523"/>
      <c r="J2317" s="7"/>
      <c r="K2317" s="7"/>
      <c r="L2317" s="7"/>
      <c r="M2317" s="7"/>
      <c r="N2317" s="7"/>
      <c r="O2317" s="7"/>
      <c r="P2317" s="7"/>
      <c r="Q2317" s="7"/>
      <c r="R2317" s="14">
        <v>550</v>
      </c>
      <c r="S2317" s="7"/>
      <c r="T2317" s="7"/>
      <c r="U2317" s="14">
        <v>550</v>
      </c>
      <c r="V2317" s="7"/>
      <c r="W2317" s="7"/>
      <c r="X2317" s="7"/>
      <c r="Y2317" s="7"/>
      <c r="Z2317" s="7"/>
      <c r="AA2317" s="7"/>
    </row>
    <row r="2318" spans="1:27" outlineLevel="7">
      <c r="A2318" s="3499" t="s">
        <v>2292</v>
      </c>
      <c r="B2318" s="3499"/>
      <c r="C2318" s="7"/>
      <c r="D2318" s="7"/>
      <c r="E2318" s="14">
        <v>550</v>
      </c>
      <c r="F2318" s="7"/>
      <c r="G2318" s="14">
        <v>550</v>
      </c>
      <c r="H2318" s="3523">
        <v>550</v>
      </c>
      <c r="I2318" s="3523"/>
      <c r="J2318" s="7"/>
      <c r="K2318" s="7"/>
      <c r="L2318" s="7"/>
      <c r="M2318" s="7"/>
      <c r="N2318" s="7"/>
      <c r="O2318" s="7"/>
      <c r="P2318" s="7"/>
      <c r="Q2318" s="7"/>
      <c r="R2318" s="14">
        <v>550</v>
      </c>
      <c r="S2318" s="7"/>
      <c r="T2318" s="7"/>
      <c r="U2318" s="14">
        <v>550</v>
      </c>
      <c r="V2318" s="7"/>
      <c r="W2318" s="7"/>
      <c r="X2318" s="7"/>
      <c r="Y2318" s="7"/>
      <c r="Z2318" s="7"/>
      <c r="AA2318" s="7"/>
    </row>
    <row r="2319" spans="1:27" outlineLevel="6">
      <c r="A2319" s="3501" t="s">
        <v>503</v>
      </c>
      <c r="B2319" s="3501"/>
      <c r="C2319" s="7"/>
      <c r="D2319" s="7"/>
      <c r="E2319" s="14">
        <v>550</v>
      </c>
      <c r="F2319" s="7"/>
      <c r="G2319" s="14">
        <v>550</v>
      </c>
      <c r="H2319" s="3523">
        <v>550</v>
      </c>
      <c r="I2319" s="3523"/>
      <c r="J2319" s="7"/>
      <c r="K2319" s="7"/>
      <c r="L2319" s="7"/>
      <c r="M2319" s="7"/>
      <c r="N2319" s="7"/>
      <c r="O2319" s="7"/>
      <c r="P2319" s="7"/>
      <c r="Q2319" s="7"/>
      <c r="R2319" s="14">
        <v>550</v>
      </c>
      <c r="S2319" s="7"/>
      <c r="T2319" s="7"/>
      <c r="U2319" s="14">
        <v>550</v>
      </c>
      <c r="V2319" s="7"/>
      <c r="W2319" s="7"/>
      <c r="X2319" s="7"/>
      <c r="Y2319" s="7"/>
      <c r="Z2319" s="7"/>
      <c r="AA2319" s="7"/>
    </row>
    <row r="2320" spans="1:27" outlineLevel="7">
      <c r="A2320" s="3500" t="s">
        <v>504</v>
      </c>
      <c r="B2320" s="3500"/>
      <c r="C2320" s="7"/>
      <c r="D2320" s="7"/>
      <c r="E2320" s="14">
        <v>550</v>
      </c>
      <c r="F2320" s="7"/>
      <c r="G2320" s="14">
        <v>550</v>
      </c>
      <c r="H2320" s="3523">
        <v>550</v>
      </c>
      <c r="I2320" s="3523"/>
      <c r="J2320" s="7"/>
      <c r="K2320" s="7"/>
      <c r="L2320" s="7"/>
      <c r="M2320" s="7"/>
      <c r="N2320" s="7"/>
      <c r="O2320" s="7"/>
      <c r="P2320" s="7"/>
      <c r="Q2320" s="7"/>
      <c r="R2320" s="14">
        <v>550</v>
      </c>
      <c r="S2320" s="7"/>
      <c r="T2320" s="7"/>
      <c r="U2320" s="14">
        <v>550</v>
      </c>
      <c r="V2320" s="7"/>
      <c r="W2320" s="7"/>
      <c r="X2320" s="7"/>
      <c r="Y2320" s="7"/>
      <c r="Z2320" s="7"/>
      <c r="AA2320" s="7"/>
    </row>
    <row r="2321" spans="1:27" outlineLevel="7">
      <c r="A2321" s="3499" t="s">
        <v>2293</v>
      </c>
      <c r="B2321" s="3499"/>
      <c r="C2321" s="7"/>
      <c r="D2321" s="7"/>
      <c r="E2321" s="14">
        <v>550</v>
      </c>
      <c r="F2321" s="7"/>
      <c r="G2321" s="14">
        <v>550</v>
      </c>
      <c r="H2321" s="3523">
        <v>550</v>
      </c>
      <c r="I2321" s="3523"/>
      <c r="J2321" s="7"/>
      <c r="K2321" s="7"/>
      <c r="L2321" s="7"/>
      <c r="M2321" s="7"/>
      <c r="N2321" s="7"/>
      <c r="O2321" s="7"/>
      <c r="P2321" s="7"/>
      <c r="Q2321" s="7"/>
      <c r="R2321" s="14">
        <v>550</v>
      </c>
      <c r="S2321" s="7"/>
      <c r="T2321" s="7"/>
      <c r="U2321" s="14">
        <v>550</v>
      </c>
      <c r="V2321" s="7"/>
      <c r="W2321" s="7"/>
      <c r="X2321" s="7"/>
      <c r="Y2321" s="7"/>
      <c r="Z2321" s="7"/>
      <c r="AA2321" s="7"/>
    </row>
    <row r="2322" spans="1:27" outlineLevel="6">
      <c r="A2322" s="3501" t="s">
        <v>505</v>
      </c>
      <c r="B2322" s="3501"/>
      <c r="C2322" s="7"/>
      <c r="D2322" s="7"/>
      <c r="E2322" s="14">
        <v>550</v>
      </c>
      <c r="F2322" s="7"/>
      <c r="G2322" s="14">
        <v>550</v>
      </c>
      <c r="H2322" s="3523">
        <v>550</v>
      </c>
      <c r="I2322" s="3523"/>
      <c r="J2322" s="7"/>
      <c r="K2322" s="7"/>
      <c r="L2322" s="7"/>
      <c r="M2322" s="7"/>
      <c r="N2322" s="7"/>
      <c r="O2322" s="7"/>
      <c r="P2322" s="7"/>
      <c r="Q2322" s="7"/>
      <c r="R2322" s="14">
        <v>550</v>
      </c>
      <c r="S2322" s="7"/>
      <c r="T2322" s="7"/>
      <c r="U2322" s="14">
        <v>550</v>
      </c>
      <c r="V2322" s="7"/>
      <c r="W2322" s="7"/>
      <c r="X2322" s="7"/>
      <c r="Y2322" s="7"/>
      <c r="Z2322" s="7"/>
      <c r="AA2322" s="7"/>
    </row>
    <row r="2323" spans="1:27" outlineLevel="7">
      <c r="A2323" s="3500" t="s">
        <v>506</v>
      </c>
      <c r="B2323" s="3500"/>
      <c r="C2323" s="7"/>
      <c r="D2323" s="7"/>
      <c r="E2323" s="14">
        <v>550</v>
      </c>
      <c r="F2323" s="7"/>
      <c r="G2323" s="14">
        <v>550</v>
      </c>
      <c r="H2323" s="3523">
        <v>550</v>
      </c>
      <c r="I2323" s="3523"/>
      <c r="J2323" s="7"/>
      <c r="K2323" s="7"/>
      <c r="L2323" s="7"/>
      <c r="M2323" s="7"/>
      <c r="N2323" s="7"/>
      <c r="O2323" s="7"/>
      <c r="P2323" s="7"/>
      <c r="Q2323" s="7"/>
      <c r="R2323" s="14">
        <v>550</v>
      </c>
      <c r="S2323" s="7"/>
      <c r="T2323" s="7"/>
      <c r="U2323" s="14">
        <v>550</v>
      </c>
      <c r="V2323" s="7"/>
      <c r="W2323" s="7"/>
      <c r="X2323" s="7"/>
      <c r="Y2323" s="7"/>
      <c r="Z2323" s="7"/>
      <c r="AA2323" s="7"/>
    </row>
    <row r="2324" spans="1:27" outlineLevel="7">
      <c r="A2324" s="3499" t="s">
        <v>2294</v>
      </c>
      <c r="B2324" s="3499"/>
      <c r="C2324" s="7"/>
      <c r="D2324" s="7"/>
      <c r="E2324" s="14">
        <v>550</v>
      </c>
      <c r="F2324" s="7"/>
      <c r="G2324" s="14">
        <v>550</v>
      </c>
      <c r="H2324" s="3523">
        <v>550</v>
      </c>
      <c r="I2324" s="3523"/>
      <c r="J2324" s="7"/>
      <c r="K2324" s="7"/>
      <c r="L2324" s="7"/>
      <c r="M2324" s="7"/>
      <c r="N2324" s="7"/>
      <c r="O2324" s="7"/>
      <c r="P2324" s="7"/>
      <c r="Q2324" s="7"/>
      <c r="R2324" s="14">
        <v>550</v>
      </c>
      <c r="S2324" s="7"/>
      <c r="T2324" s="7"/>
      <c r="U2324" s="14">
        <v>550</v>
      </c>
      <c r="V2324" s="7"/>
      <c r="W2324" s="7"/>
      <c r="X2324" s="7"/>
      <c r="Y2324" s="7"/>
      <c r="Z2324" s="7"/>
      <c r="AA2324" s="7"/>
    </row>
    <row r="2325" spans="1:27" outlineLevel="6">
      <c r="A2325" s="3501" t="s">
        <v>507</v>
      </c>
      <c r="B2325" s="3501"/>
      <c r="C2325" s="7"/>
      <c r="D2325" s="7"/>
      <c r="E2325" s="14">
        <v>550</v>
      </c>
      <c r="F2325" s="7"/>
      <c r="G2325" s="14">
        <v>550</v>
      </c>
      <c r="H2325" s="3523">
        <v>550</v>
      </c>
      <c r="I2325" s="3523"/>
      <c r="J2325" s="7"/>
      <c r="K2325" s="7"/>
      <c r="L2325" s="7"/>
      <c r="M2325" s="7"/>
      <c r="N2325" s="7"/>
      <c r="O2325" s="7"/>
      <c r="P2325" s="7"/>
      <c r="Q2325" s="7"/>
      <c r="R2325" s="14">
        <v>550</v>
      </c>
      <c r="S2325" s="7"/>
      <c r="T2325" s="7"/>
      <c r="U2325" s="14">
        <v>550</v>
      </c>
      <c r="V2325" s="7"/>
      <c r="W2325" s="7"/>
      <c r="X2325" s="7"/>
      <c r="Y2325" s="7"/>
      <c r="Z2325" s="7"/>
      <c r="AA2325" s="7"/>
    </row>
    <row r="2326" spans="1:27" outlineLevel="7">
      <c r="A2326" s="3500" t="s">
        <v>508</v>
      </c>
      <c r="B2326" s="3500"/>
      <c r="C2326" s="7"/>
      <c r="D2326" s="7"/>
      <c r="E2326" s="14">
        <v>550</v>
      </c>
      <c r="F2326" s="7"/>
      <c r="G2326" s="14">
        <v>550</v>
      </c>
      <c r="H2326" s="3523">
        <v>550</v>
      </c>
      <c r="I2326" s="3523"/>
      <c r="J2326" s="7"/>
      <c r="K2326" s="7"/>
      <c r="L2326" s="7"/>
      <c r="M2326" s="7"/>
      <c r="N2326" s="7"/>
      <c r="O2326" s="7"/>
      <c r="P2326" s="7"/>
      <c r="Q2326" s="7"/>
      <c r="R2326" s="14">
        <v>550</v>
      </c>
      <c r="S2326" s="7"/>
      <c r="T2326" s="7"/>
      <c r="U2326" s="14">
        <v>550</v>
      </c>
      <c r="V2326" s="7"/>
      <c r="W2326" s="7"/>
      <c r="X2326" s="7"/>
      <c r="Y2326" s="7"/>
      <c r="Z2326" s="7"/>
      <c r="AA2326" s="7"/>
    </row>
    <row r="2327" spans="1:27" outlineLevel="7">
      <c r="A2327" s="3499" t="s">
        <v>2295</v>
      </c>
      <c r="B2327" s="3499"/>
      <c r="C2327" s="7"/>
      <c r="D2327" s="7"/>
      <c r="E2327" s="14">
        <v>550</v>
      </c>
      <c r="F2327" s="7"/>
      <c r="G2327" s="14">
        <v>550</v>
      </c>
      <c r="H2327" s="3523">
        <v>550</v>
      </c>
      <c r="I2327" s="3523"/>
      <c r="J2327" s="7"/>
      <c r="K2327" s="7"/>
      <c r="L2327" s="7"/>
      <c r="M2327" s="7"/>
      <c r="N2327" s="7"/>
      <c r="O2327" s="7"/>
      <c r="P2327" s="7"/>
      <c r="Q2327" s="7"/>
      <c r="R2327" s="14">
        <v>550</v>
      </c>
      <c r="S2327" s="7"/>
      <c r="T2327" s="7"/>
      <c r="U2327" s="14">
        <v>550</v>
      </c>
      <c r="V2327" s="7"/>
      <c r="W2327" s="7"/>
      <c r="X2327" s="7"/>
      <c r="Y2327" s="7"/>
      <c r="Z2327" s="7"/>
      <c r="AA2327" s="7"/>
    </row>
    <row r="2328" spans="1:27" outlineLevel="6">
      <c r="A2328" s="3501" t="s">
        <v>509</v>
      </c>
      <c r="B2328" s="3501"/>
      <c r="C2328" s="7"/>
      <c r="D2328" s="7"/>
      <c r="E2328" s="14">
        <v>550</v>
      </c>
      <c r="F2328" s="7"/>
      <c r="G2328" s="14">
        <v>550</v>
      </c>
      <c r="H2328" s="3523">
        <v>550</v>
      </c>
      <c r="I2328" s="3523"/>
      <c r="J2328" s="7"/>
      <c r="K2328" s="7"/>
      <c r="L2328" s="7"/>
      <c r="M2328" s="7"/>
      <c r="N2328" s="7"/>
      <c r="O2328" s="7"/>
      <c r="P2328" s="7"/>
      <c r="Q2328" s="7"/>
      <c r="R2328" s="14">
        <v>550</v>
      </c>
      <c r="S2328" s="7"/>
      <c r="T2328" s="7"/>
      <c r="U2328" s="14">
        <v>550</v>
      </c>
      <c r="V2328" s="7"/>
      <c r="W2328" s="7"/>
      <c r="X2328" s="7"/>
      <c r="Y2328" s="7"/>
      <c r="Z2328" s="7"/>
      <c r="AA2328" s="7"/>
    </row>
    <row r="2329" spans="1:27" outlineLevel="7">
      <c r="A2329" s="3500" t="s">
        <v>510</v>
      </c>
      <c r="B2329" s="3500"/>
      <c r="C2329" s="7"/>
      <c r="D2329" s="7"/>
      <c r="E2329" s="14">
        <v>550</v>
      </c>
      <c r="F2329" s="7"/>
      <c r="G2329" s="14">
        <v>550</v>
      </c>
      <c r="H2329" s="3523">
        <v>550</v>
      </c>
      <c r="I2329" s="3523"/>
      <c r="J2329" s="7"/>
      <c r="K2329" s="7"/>
      <c r="L2329" s="7"/>
      <c r="M2329" s="7"/>
      <c r="N2329" s="7"/>
      <c r="O2329" s="7"/>
      <c r="P2329" s="7"/>
      <c r="Q2329" s="7"/>
      <c r="R2329" s="14">
        <v>550</v>
      </c>
      <c r="S2329" s="7"/>
      <c r="T2329" s="7"/>
      <c r="U2329" s="14">
        <v>550</v>
      </c>
      <c r="V2329" s="7"/>
      <c r="W2329" s="7"/>
      <c r="X2329" s="7"/>
      <c r="Y2329" s="7"/>
      <c r="Z2329" s="7"/>
      <c r="AA2329" s="7"/>
    </row>
    <row r="2330" spans="1:27" outlineLevel="7">
      <c r="A2330" s="3499" t="s">
        <v>2296</v>
      </c>
      <c r="B2330" s="3499"/>
      <c r="C2330" s="7"/>
      <c r="D2330" s="7"/>
      <c r="E2330" s="14">
        <v>550</v>
      </c>
      <c r="F2330" s="7"/>
      <c r="G2330" s="14">
        <v>550</v>
      </c>
      <c r="H2330" s="3523">
        <v>550</v>
      </c>
      <c r="I2330" s="3523"/>
      <c r="J2330" s="7"/>
      <c r="K2330" s="7"/>
      <c r="L2330" s="7"/>
      <c r="M2330" s="7"/>
      <c r="N2330" s="7"/>
      <c r="O2330" s="7"/>
      <c r="P2330" s="7"/>
      <c r="Q2330" s="7"/>
      <c r="R2330" s="14">
        <v>550</v>
      </c>
      <c r="S2330" s="7"/>
      <c r="T2330" s="7"/>
      <c r="U2330" s="14">
        <v>550</v>
      </c>
      <c r="V2330" s="7"/>
      <c r="W2330" s="7"/>
      <c r="X2330" s="7"/>
      <c r="Y2330" s="7"/>
      <c r="Z2330" s="7"/>
      <c r="AA2330" s="7"/>
    </row>
    <row r="2331" spans="1:27" outlineLevel="6">
      <c r="A2331" s="3501" t="s">
        <v>1121</v>
      </c>
      <c r="B2331" s="3501"/>
      <c r="C2331" s="12"/>
      <c r="D2331" s="12"/>
      <c r="E2331" s="12"/>
      <c r="F2331" s="7"/>
      <c r="G2331" s="7"/>
      <c r="H2331" s="8"/>
      <c r="I2331" s="9"/>
      <c r="J2331" s="7"/>
      <c r="K2331" s="7"/>
      <c r="L2331" s="7"/>
      <c r="M2331" s="7"/>
      <c r="N2331" s="7"/>
      <c r="O2331" s="7"/>
      <c r="P2331" s="7"/>
      <c r="Q2331" s="7"/>
      <c r="R2331" s="14">
        <v>550</v>
      </c>
      <c r="S2331" s="7"/>
      <c r="T2331" s="7"/>
      <c r="U2331" s="14">
        <v>550</v>
      </c>
      <c r="V2331" s="7"/>
      <c r="W2331" s="7"/>
      <c r="X2331" s="7"/>
      <c r="Y2331" s="7"/>
      <c r="Z2331" s="12"/>
      <c r="AA2331" s="14">
        <v>550</v>
      </c>
    </row>
    <row r="2332" spans="1:27" outlineLevel="7">
      <c r="A2332" s="3500" t="s">
        <v>1122</v>
      </c>
      <c r="B2332" s="3500"/>
      <c r="C2332" s="12"/>
      <c r="D2332" s="12"/>
      <c r="E2332" s="12"/>
      <c r="F2332" s="7"/>
      <c r="G2332" s="7"/>
      <c r="H2332" s="8"/>
      <c r="I2332" s="9"/>
      <c r="J2332" s="7"/>
      <c r="K2332" s="7"/>
      <c r="L2332" s="7"/>
      <c r="M2332" s="7"/>
      <c r="N2332" s="7"/>
      <c r="O2332" s="7"/>
      <c r="P2332" s="7"/>
      <c r="Q2332" s="7"/>
      <c r="R2332" s="14">
        <v>550</v>
      </c>
      <c r="S2332" s="7"/>
      <c r="T2332" s="7"/>
      <c r="U2332" s="14">
        <v>550</v>
      </c>
      <c r="V2332" s="7"/>
      <c r="W2332" s="7"/>
      <c r="X2332" s="7"/>
      <c r="Y2332" s="7"/>
      <c r="Z2332" s="12"/>
      <c r="AA2332" s="14">
        <v>550</v>
      </c>
    </row>
    <row r="2333" spans="1:27" outlineLevel="7">
      <c r="A2333" s="3499" t="s">
        <v>2297</v>
      </c>
      <c r="B2333" s="3499"/>
      <c r="C2333" s="12"/>
      <c r="D2333" s="12"/>
      <c r="E2333" s="12"/>
      <c r="F2333" s="7"/>
      <c r="G2333" s="7"/>
      <c r="H2333" s="8"/>
      <c r="I2333" s="9"/>
      <c r="J2333" s="7"/>
      <c r="K2333" s="7"/>
      <c r="L2333" s="7"/>
      <c r="M2333" s="7"/>
      <c r="N2333" s="7"/>
      <c r="O2333" s="7"/>
      <c r="P2333" s="7"/>
      <c r="Q2333" s="7"/>
      <c r="R2333" s="14">
        <v>550</v>
      </c>
      <c r="S2333" s="7"/>
      <c r="T2333" s="7"/>
      <c r="U2333" s="14">
        <v>550</v>
      </c>
      <c r="V2333" s="7"/>
      <c r="W2333" s="7"/>
      <c r="X2333" s="7"/>
      <c r="Y2333" s="7"/>
      <c r="Z2333" s="12"/>
      <c r="AA2333" s="14">
        <v>550</v>
      </c>
    </row>
    <row r="2334" spans="1:27" outlineLevel="6">
      <c r="A2334" s="3501" t="s">
        <v>1123</v>
      </c>
      <c r="B2334" s="3501"/>
      <c r="C2334" s="12"/>
      <c r="D2334" s="12"/>
      <c r="E2334" s="12"/>
      <c r="F2334" s="7"/>
      <c r="G2334" s="7"/>
      <c r="H2334" s="8"/>
      <c r="I2334" s="9"/>
      <c r="J2334" s="7"/>
      <c r="K2334" s="7"/>
      <c r="L2334" s="7"/>
      <c r="M2334" s="7"/>
      <c r="N2334" s="7"/>
      <c r="O2334" s="7"/>
      <c r="P2334" s="7"/>
      <c r="Q2334" s="7"/>
      <c r="R2334" s="14">
        <v>550</v>
      </c>
      <c r="S2334" s="7"/>
      <c r="T2334" s="7"/>
      <c r="U2334" s="14">
        <v>550</v>
      </c>
      <c r="V2334" s="7"/>
      <c r="W2334" s="7"/>
      <c r="X2334" s="7"/>
      <c r="Y2334" s="7"/>
      <c r="Z2334" s="12"/>
      <c r="AA2334" s="14">
        <v>550</v>
      </c>
    </row>
    <row r="2335" spans="1:27" outlineLevel="7">
      <c r="A2335" s="3500" t="s">
        <v>1124</v>
      </c>
      <c r="B2335" s="3500"/>
      <c r="C2335" s="12"/>
      <c r="D2335" s="12"/>
      <c r="E2335" s="12"/>
      <c r="F2335" s="7"/>
      <c r="G2335" s="7"/>
      <c r="H2335" s="8"/>
      <c r="I2335" s="9"/>
      <c r="J2335" s="7"/>
      <c r="K2335" s="7"/>
      <c r="L2335" s="7"/>
      <c r="M2335" s="7"/>
      <c r="N2335" s="7"/>
      <c r="O2335" s="7"/>
      <c r="P2335" s="7"/>
      <c r="Q2335" s="7"/>
      <c r="R2335" s="14">
        <v>550</v>
      </c>
      <c r="S2335" s="7"/>
      <c r="T2335" s="7"/>
      <c r="U2335" s="14">
        <v>550</v>
      </c>
      <c r="V2335" s="7"/>
      <c r="W2335" s="7"/>
      <c r="X2335" s="7"/>
      <c r="Y2335" s="7"/>
      <c r="Z2335" s="12"/>
      <c r="AA2335" s="14">
        <v>550</v>
      </c>
    </row>
    <row r="2336" spans="1:27" outlineLevel="7">
      <c r="A2336" s="3499" t="s">
        <v>2298</v>
      </c>
      <c r="B2336" s="3499"/>
      <c r="C2336" s="12"/>
      <c r="D2336" s="12"/>
      <c r="E2336" s="12"/>
      <c r="F2336" s="7"/>
      <c r="G2336" s="7"/>
      <c r="H2336" s="8"/>
      <c r="I2336" s="9"/>
      <c r="J2336" s="7"/>
      <c r="K2336" s="7"/>
      <c r="L2336" s="7"/>
      <c r="M2336" s="7"/>
      <c r="N2336" s="7"/>
      <c r="O2336" s="7"/>
      <c r="P2336" s="7"/>
      <c r="Q2336" s="7"/>
      <c r="R2336" s="14">
        <v>550</v>
      </c>
      <c r="S2336" s="7"/>
      <c r="T2336" s="7"/>
      <c r="U2336" s="14">
        <v>550</v>
      </c>
      <c r="V2336" s="7"/>
      <c r="W2336" s="7"/>
      <c r="X2336" s="7"/>
      <c r="Y2336" s="7"/>
      <c r="Z2336" s="12"/>
      <c r="AA2336" s="14">
        <v>550</v>
      </c>
    </row>
    <row r="2337" spans="1:27" outlineLevel="6">
      <c r="A2337" s="3501" t="s">
        <v>1125</v>
      </c>
      <c r="B2337" s="3501"/>
      <c r="C2337" s="12"/>
      <c r="D2337" s="12"/>
      <c r="E2337" s="12"/>
      <c r="F2337" s="7"/>
      <c r="G2337" s="7"/>
      <c r="H2337" s="8"/>
      <c r="I2337" s="9"/>
      <c r="J2337" s="7"/>
      <c r="K2337" s="7"/>
      <c r="L2337" s="7"/>
      <c r="M2337" s="7"/>
      <c r="N2337" s="7"/>
      <c r="O2337" s="7"/>
      <c r="P2337" s="7"/>
      <c r="Q2337" s="7"/>
      <c r="R2337" s="14">
        <v>550</v>
      </c>
      <c r="S2337" s="7"/>
      <c r="T2337" s="7"/>
      <c r="U2337" s="14">
        <v>550</v>
      </c>
      <c r="V2337" s="7"/>
      <c r="W2337" s="7"/>
      <c r="X2337" s="7"/>
      <c r="Y2337" s="7"/>
      <c r="Z2337" s="12"/>
      <c r="AA2337" s="14">
        <v>550</v>
      </c>
    </row>
    <row r="2338" spans="1:27" outlineLevel="7">
      <c r="A2338" s="3500" t="s">
        <v>1126</v>
      </c>
      <c r="B2338" s="3500"/>
      <c r="C2338" s="12"/>
      <c r="D2338" s="12"/>
      <c r="E2338" s="12"/>
      <c r="F2338" s="7"/>
      <c r="G2338" s="7"/>
      <c r="H2338" s="8"/>
      <c r="I2338" s="9"/>
      <c r="J2338" s="7"/>
      <c r="K2338" s="7"/>
      <c r="L2338" s="7"/>
      <c r="M2338" s="7"/>
      <c r="N2338" s="7"/>
      <c r="O2338" s="7"/>
      <c r="P2338" s="7"/>
      <c r="Q2338" s="7"/>
      <c r="R2338" s="14">
        <v>550</v>
      </c>
      <c r="S2338" s="7"/>
      <c r="T2338" s="7"/>
      <c r="U2338" s="14">
        <v>550</v>
      </c>
      <c r="V2338" s="7"/>
      <c r="W2338" s="7"/>
      <c r="X2338" s="7"/>
      <c r="Y2338" s="7"/>
      <c r="Z2338" s="12"/>
      <c r="AA2338" s="14">
        <v>550</v>
      </c>
    </row>
    <row r="2339" spans="1:27" outlineLevel="7">
      <c r="A2339" s="3499" t="s">
        <v>2299</v>
      </c>
      <c r="B2339" s="3499"/>
      <c r="C2339" s="12"/>
      <c r="D2339" s="12"/>
      <c r="E2339" s="12"/>
      <c r="F2339" s="7"/>
      <c r="G2339" s="7"/>
      <c r="H2339" s="8"/>
      <c r="I2339" s="9"/>
      <c r="J2339" s="7"/>
      <c r="K2339" s="7"/>
      <c r="L2339" s="7"/>
      <c r="M2339" s="7"/>
      <c r="N2339" s="7"/>
      <c r="O2339" s="7"/>
      <c r="P2339" s="7"/>
      <c r="Q2339" s="7"/>
      <c r="R2339" s="14">
        <v>550</v>
      </c>
      <c r="S2339" s="7"/>
      <c r="T2339" s="7"/>
      <c r="U2339" s="14">
        <v>550</v>
      </c>
      <c r="V2339" s="7"/>
      <c r="W2339" s="7"/>
      <c r="X2339" s="7"/>
      <c r="Y2339" s="7"/>
      <c r="Z2339" s="12"/>
      <c r="AA2339" s="14">
        <v>550</v>
      </c>
    </row>
    <row r="2340" spans="1:27" outlineLevel="6">
      <c r="A2340" s="3501" t="s">
        <v>1127</v>
      </c>
      <c r="B2340" s="3501"/>
      <c r="C2340" s="12"/>
      <c r="D2340" s="12"/>
      <c r="E2340" s="12"/>
      <c r="F2340" s="7"/>
      <c r="G2340" s="7"/>
      <c r="H2340" s="8"/>
      <c r="I2340" s="9"/>
      <c r="J2340" s="7"/>
      <c r="K2340" s="7"/>
      <c r="L2340" s="7"/>
      <c r="M2340" s="7"/>
      <c r="N2340" s="7"/>
      <c r="O2340" s="7"/>
      <c r="P2340" s="7"/>
      <c r="Q2340" s="7"/>
      <c r="R2340" s="14">
        <v>550</v>
      </c>
      <c r="S2340" s="7"/>
      <c r="T2340" s="7"/>
      <c r="U2340" s="14">
        <v>550</v>
      </c>
      <c r="V2340" s="7"/>
      <c r="W2340" s="7"/>
      <c r="X2340" s="7"/>
      <c r="Y2340" s="7"/>
      <c r="Z2340" s="12"/>
      <c r="AA2340" s="14">
        <v>550</v>
      </c>
    </row>
    <row r="2341" spans="1:27" outlineLevel="7">
      <c r="A2341" s="3500" t="s">
        <v>1128</v>
      </c>
      <c r="B2341" s="3500"/>
      <c r="C2341" s="12"/>
      <c r="D2341" s="12"/>
      <c r="E2341" s="12"/>
      <c r="F2341" s="7"/>
      <c r="G2341" s="7"/>
      <c r="H2341" s="8"/>
      <c r="I2341" s="9"/>
      <c r="J2341" s="7"/>
      <c r="K2341" s="7"/>
      <c r="L2341" s="7"/>
      <c r="M2341" s="7"/>
      <c r="N2341" s="7"/>
      <c r="O2341" s="7"/>
      <c r="P2341" s="7"/>
      <c r="Q2341" s="7"/>
      <c r="R2341" s="14">
        <v>550</v>
      </c>
      <c r="S2341" s="7"/>
      <c r="T2341" s="7"/>
      <c r="U2341" s="14">
        <v>550</v>
      </c>
      <c r="V2341" s="7"/>
      <c r="W2341" s="7"/>
      <c r="X2341" s="7"/>
      <c r="Y2341" s="7"/>
      <c r="Z2341" s="12"/>
      <c r="AA2341" s="14">
        <v>550</v>
      </c>
    </row>
    <row r="2342" spans="1:27" outlineLevel="7">
      <c r="A2342" s="3499" t="s">
        <v>2300</v>
      </c>
      <c r="B2342" s="3499"/>
      <c r="C2342" s="12"/>
      <c r="D2342" s="12"/>
      <c r="E2342" s="12"/>
      <c r="F2342" s="7"/>
      <c r="G2342" s="7"/>
      <c r="H2342" s="8"/>
      <c r="I2342" s="9"/>
      <c r="J2342" s="7"/>
      <c r="K2342" s="7"/>
      <c r="L2342" s="7"/>
      <c r="M2342" s="7"/>
      <c r="N2342" s="7"/>
      <c r="O2342" s="7"/>
      <c r="P2342" s="7"/>
      <c r="Q2342" s="7"/>
      <c r="R2342" s="14">
        <v>550</v>
      </c>
      <c r="S2342" s="7"/>
      <c r="T2342" s="7"/>
      <c r="U2342" s="14">
        <v>550</v>
      </c>
      <c r="V2342" s="7"/>
      <c r="W2342" s="7"/>
      <c r="X2342" s="7"/>
      <c r="Y2342" s="7"/>
      <c r="Z2342" s="12"/>
      <c r="AA2342" s="14">
        <v>550</v>
      </c>
    </row>
    <row r="2343" spans="1:27" outlineLevel="6">
      <c r="A2343" s="3501" t="s">
        <v>511</v>
      </c>
      <c r="B2343" s="3501"/>
      <c r="C2343" s="7"/>
      <c r="D2343" s="7"/>
      <c r="E2343" s="14">
        <v>550</v>
      </c>
      <c r="F2343" s="7"/>
      <c r="G2343" s="14">
        <v>550</v>
      </c>
      <c r="H2343" s="3523">
        <v>550</v>
      </c>
      <c r="I2343" s="3523"/>
      <c r="J2343" s="7"/>
      <c r="K2343" s="7"/>
      <c r="L2343" s="7"/>
      <c r="M2343" s="7"/>
      <c r="N2343" s="7"/>
      <c r="O2343" s="7"/>
      <c r="P2343" s="7"/>
      <c r="Q2343" s="7"/>
      <c r="R2343" s="14">
        <v>550</v>
      </c>
      <c r="S2343" s="7"/>
      <c r="T2343" s="7"/>
      <c r="U2343" s="14">
        <v>550</v>
      </c>
      <c r="V2343" s="7"/>
      <c r="W2343" s="7"/>
      <c r="X2343" s="7"/>
      <c r="Y2343" s="7"/>
      <c r="Z2343" s="7"/>
      <c r="AA2343" s="7"/>
    </row>
    <row r="2344" spans="1:27" outlineLevel="7">
      <c r="A2344" s="3500" t="s">
        <v>512</v>
      </c>
      <c r="B2344" s="3500"/>
      <c r="C2344" s="7"/>
      <c r="D2344" s="7"/>
      <c r="E2344" s="14">
        <v>550</v>
      </c>
      <c r="F2344" s="7"/>
      <c r="G2344" s="14">
        <v>550</v>
      </c>
      <c r="H2344" s="3523">
        <v>550</v>
      </c>
      <c r="I2344" s="3523"/>
      <c r="J2344" s="7"/>
      <c r="K2344" s="7"/>
      <c r="L2344" s="7"/>
      <c r="M2344" s="7"/>
      <c r="N2344" s="7"/>
      <c r="O2344" s="7"/>
      <c r="P2344" s="7"/>
      <c r="Q2344" s="7"/>
      <c r="R2344" s="14">
        <v>550</v>
      </c>
      <c r="S2344" s="7"/>
      <c r="T2344" s="7"/>
      <c r="U2344" s="14">
        <v>550</v>
      </c>
      <c r="V2344" s="7"/>
      <c r="W2344" s="7"/>
      <c r="X2344" s="7"/>
      <c r="Y2344" s="7"/>
      <c r="Z2344" s="7"/>
      <c r="AA2344" s="7"/>
    </row>
    <row r="2345" spans="1:27" outlineLevel="7">
      <c r="A2345" s="3499" t="s">
        <v>2301</v>
      </c>
      <c r="B2345" s="3499"/>
      <c r="C2345" s="7"/>
      <c r="D2345" s="7"/>
      <c r="E2345" s="14">
        <v>550</v>
      </c>
      <c r="F2345" s="7"/>
      <c r="G2345" s="14">
        <v>550</v>
      </c>
      <c r="H2345" s="3523">
        <v>550</v>
      </c>
      <c r="I2345" s="3523"/>
      <c r="J2345" s="7"/>
      <c r="K2345" s="7"/>
      <c r="L2345" s="7"/>
      <c r="M2345" s="7"/>
      <c r="N2345" s="7"/>
      <c r="O2345" s="7"/>
      <c r="P2345" s="7"/>
      <c r="Q2345" s="7"/>
      <c r="R2345" s="14">
        <v>550</v>
      </c>
      <c r="S2345" s="7"/>
      <c r="T2345" s="7"/>
      <c r="U2345" s="14">
        <v>550</v>
      </c>
      <c r="V2345" s="7"/>
      <c r="W2345" s="7"/>
      <c r="X2345" s="7"/>
      <c r="Y2345" s="7"/>
      <c r="Z2345" s="7"/>
      <c r="AA2345" s="7"/>
    </row>
    <row r="2346" spans="1:27" outlineLevel="6">
      <c r="A2346" s="3501" t="s">
        <v>1129</v>
      </c>
      <c r="B2346" s="3501"/>
      <c r="C2346" s="12"/>
      <c r="D2346" s="12"/>
      <c r="E2346" s="12"/>
      <c r="F2346" s="7"/>
      <c r="G2346" s="7"/>
      <c r="H2346" s="8"/>
      <c r="I2346" s="9"/>
      <c r="J2346" s="7"/>
      <c r="K2346" s="7"/>
      <c r="L2346" s="7"/>
      <c r="M2346" s="7"/>
      <c r="N2346" s="7"/>
      <c r="O2346" s="7"/>
      <c r="P2346" s="7"/>
      <c r="Q2346" s="7"/>
      <c r="R2346" s="14">
        <v>550</v>
      </c>
      <c r="S2346" s="7"/>
      <c r="T2346" s="7"/>
      <c r="U2346" s="14">
        <v>550</v>
      </c>
      <c r="V2346" s="7"/>
      <c r="W2346" s="7"/>
      <c r="X2346" s="7"/>
      <c r="Y2346" s="7"/>
      <c r="Z2346" s="12"/>
      <c r="AA2346" s="14">
        <v>550</v>
      </c>
    </row>
    <row r="2347" spans="1:27" outlineLevel="7">
      <c r="A2347" s="3500" t="s">
        <v>1130</v>
      </c>
      <c r="B2347" s="3500"/>
      <c r="C2347" s="12"/>
      <c r="D2347" s="12"/>
      <c r="E2347" s="12"/>
      <c r="F2347" s="7"/>
      <c r="G2347" s="7"/>
      <c r="H2347" s="8"/>
      <c r="I2347" s="9"/>
      <c r="J2347" s="7"/>
      <c r="K2347" s="7"/>
      <c r="L2347" s="7"/>
      <c r="M2347" s="7"/>
      <c r="N2347" s="7"/>
      <c r="O2347" s="7"/>
      <c r="P2347" s="7"/>
      <c r="Q2347" s="7"/>
      <c r="R2347" s="14">
        <v>550</v>
      </c>
      <c r="S2347" s="7"/>
      <c r="T2347" s="7"/>
      <c r="U2347" s="14">
        <v>550</v>
      </c>
      <c r="V2347" s="7"/>
      <c r="W2347" s="7"/>
      <c r="X2347" s="7"/>
      <c r="Y2347" s="7"/>
      <c r="Z2347" s="12"/>
      <c r="AA2347" s="14">
        <v>550</v>
      </c>
    </row>
    <row r="2348" spans="1:27" outlineLevel="7">
      <c r="A2348" s="3499" t="s">
        <v>2302</v>
      </c>
      <c r="B2348" s="3499"/>
      <c r="C2348" s="12"/>
      <c r="D2348" s="12"/>
      <c r="E2348" s="12"/>
      <c r="F2348" s="7"/>
      <c r="G2348" s="7"/>
      <c r="H2348" s="8"/>
      <c r="I2348" s="9"/>
      <c r="J2348" s="7"/>
      <c r="K2348" s="7"/>
      <c r="L2348" s="7"/>
      <c r="M2348" s="7"/>
      <c r="N2348" s="7"/>
      <c r="O2348" s="7"/>
      <c r="P2348" s="7"/>
      <c r="Q2348" s="7"/>
      <c r="R2348" s="14">
        <v>550</v>
      </c>
      <c r="S2348" s="7"/>
      <c r="T2348" s="7"/>
      <c r="U2348" s="14">
        <v>550</v>
      </c>
      <c r="V2348" s="7"/>
      <c r="W2348" s="7"/>
      <c r="X2348" s="7"/>
      <c r="Y2348" s="7"/>
      <c r="Z2348" s="12"/>
      <c r="AA2348" s="14">
        <v>550</v>
      </c>
    </row>
    <row r="2349" spans="1:27" outlineLevel="6">
      <c r="A2349" s="3501" t="s">
        <v>513</v>
      </c>
      <c r="B2349" s="3501"/>
      <c r="C2349" s="7"/>
      <c r="D2349" s="7"/>
      <c r="E2349" s="14">
        <v>550</v>
      </c>
      <c r="F2349" s="7"/>
      <c r="G2349" s="14">
        <v>550</v>
      </c>
      <c r="H2349" s="3523">
        <v>550</v>
      </c>
      <c r="I2349" s="3523"/>
      <c r="J2349" s="7"/>
      <c r="K2349" s="7"/>
      <c r="L2349" s="7"/>
      <c r="M2349" s="7"/>
      <c r="N2349" s="7"/>
      <c r="O2349" s="7"/>
      <c r="P2349" s="7"/>
      <c r="Q2349" s="7"/>
      <c r="R2349" s="14">
        <v>550</v>
      </c>
      <c r="S2349" s="7"/>
      <c r="T2349" s="7"/>
      <c r="U2349" s="14">
        <v>550</v>
      </c>
      <c r="V2349" s="7"/>
      <c r="W2349" s="7"/>
      <c r="X2349" s="7"/>
      <c r="Y2349" s="7"/>
      <c r="Z2349" s="7"/>
      <c r="AA2349" s="7"/>
    </row>
    <row r="2350" spans="1:27" outlineLevel="7">
      <c r="A2350" s="3500" t="s">
        <v>514</v>
      </c>
      <c r="B2350" s="3500"/>
      <c r="C2350" s="7"/>
      <c r="D2350" s="7"/>
      <c r="E2350" s="14">
        <v>550</v>
      </c>
      <c r="F2350" s="7"/>
      <c r="G2350" s="14">
        <v>550</v>
      </c>
      <c r="H2350" s="3523">
        <v>550</v>
      </c>
      <c r="I2350" s="3523"/>
      <c r="J2350" s="7"/>
      <c r="K2350" s="7"/>
      <c r="L2350" s="7"/>
      <c r="M2350" s="7"/>
      <c r="N2350" s="7"/>
      <c r="O2350" s="7"/>
      <c r="P2350" s="7"/>
      <c r="Q2350" s="7"/>
      <c r="R2350" s="14">
        <v>550</v>
      </c>
      <c r="S2350" s="7"/>
      <c r="T2350" s="7"/>
      <c r="U2350" s="14">
        <v>550</v>
      </c>
      <c r="V2350" s="7"/>
      <c r="W2350" s="7"/>
      <c r="X2350" s="7"/>
      <c r="Y2350" s="7"/>
      <c r="Z2350" s="7"/>
      <c r="AA2350" s="7"/>
    </row>
    <row r="2351" spans="1:27" outlineLevel="7">
      <c r="A2351" s="3499" t="s">
        <v>2303</v>
      </c>
      <c r="B2351" s="3499"/>
      <c r="C2351" s="7"/>
      <c r="D2351" s="7"/>
      <c r="E2351" s="14">
        <v>550</v>
      </c>
      <c r="F2351" s="7"/>
      <c r="G2351" s="14">
        <v>550</v>
      </c>
      <c r="H2351" s="3523">
        <v>550</v>
      </c>
      <c r="I2351" s="3523"/>
      <c r="J2351" s="7"/>
      <c r="K2351" s="7"/>
      <c r="L2351" s="7"/>
      <c r="M2351" s="7"/>
      <c r="N2351" s="7"/>
      <c r="O2351" s="7"/>
      <c r="P2351" s="7"/>
      <c r="Q2351" s="7"/>
      <c r="R2351" s="14">
        <v>550</v>
      </c>
      <c r="S2351" s="7"/>
      <c r="T2351" s="7"/>
      <c r="U2351" s="14">
        <v>550</v>
      </c>
      <c r="V2351" s="7"/>
      <c r="W2351" s="7"/>
      <c r="X2351" s="7"/>
      <c r="Y2351" s="7"/>
      <c r="Z2351" s="7"/>
      <c r="AA2351" s="7"/>
    </row>
    <row r="2352" spans="1:27" outlineLevel="6">
      <c r="A2352" s="3501" t="s">
        <v>515</v>
      </c>
      <c r="B2352" s="3501"/>
      <c r="C2352" s="7"/>
      <c r="D2352" s="7"/>
      <c r="E2352" s="14">
        <v>550</v>
      </c>
      <c r="F2352" s="7"/>
      <c r="G2352" s="14">
        <v>550</v>
      </c>
      <c r="H2352" s="3523">
        <v>550</v>
      </c>
      <c r="I2352" s="3523"/>
      <c r="J2352" s="7"/>
      <c r="K2352" s="7"/>
      <c r="L2352" s="7"/>
      <c r="M2352" s="7"/>
      <c r="N2352" s="7"/>
      <c r="O2352" s="7"/>
      <c r="P2352" s="7"/>
      <c r="Q2352" s="7"/>
      <c r="R2352" s="14">
        <v>550</v>
      </c>
      <c r="S2352" s="7"/>
      <c r="T2352" s="7"/>
      <c r="U2352" s="14">
        <v>550</v>
      </c>
      <c r="V2352" s="7"/>
      <c r="W2352" s="7"/>
      <c r="X2352" s="7"/>
      <c r="Y2352" s="7"/>
      <c r="Z2352" s="7"/>
      <c r="AA2352" s="7"/>
    </row>
    <row r="2353" spans="1:27" outlineLevel="7">
      <c r="A2353" s="3500" t="s">
        <v>516</v>
      </c>
      <c r="B2353" s="3500"/>
      <c r="C2353" s="7"/>
      <c r="D2353" s="7"/>
      <c r="E2353" s="14">
        <v>550</v>
      </c>
      <c r="F2353" s="7"/>
      <c r="G2353" s="14">
        <v>550</v>
      </c>
      <c r="H2353" s="3523">
        <v>550</v>
      </c>
      <c r="I2353" s="3523"/>
      <c r="J2353" s="7"/>
      <c r="K2353" s="7"/>
      <c r="L2353" s="7"/>
      <c r="M2353" s="7"/>
      <c r="N2353" s="7"/>
      <c r="O2353" s="7"/>
      <c r="P2353" s="7"/>
      <c r="Q2353" s="7"/>
      <c r="R2353" s="14">
        <v>550</v>
      </c>
      <c r="S2353" s="7"/>
      <c r="T2353" s="7"/>
      <c r="U2353" s="14">
        <v>550</v>
      </c>
      <c r="V2353" s="7"/>
      <c r="W2353" s="7"/>
      <c r="X2353" s="7"/>
      <c r="Y2353" s="7"/>
      <c r="Z2353" s="7"/>
      <c r="AA2353" s="7"/>
    </row>
    <row r="2354" spans="1:27" outlineLevel="7">
      <c r="A2354" s="3499" t="s">
        <v>2304</v>
      </c>
      <c r="B2354" s="3499"/>
      <c r="C2354" s="7"/>
      <c r="D2354" s="7"/>
      <c r="E2354" s="14">
        <v>550</v>
      </c>
      <c r="F2354" s="7"/>
      <c r="G2354" s="14">
        <v>550</v>
      </c>
      <c r="H2354" s="3523">
        <v>550</v>
      </c>
      <c r="I2354" s="3523"/>
      <c r="J2354" s="7"/>
      <c r="K2354" s="7"/>
      <c r="L2354" s="7"/>
      <c r="M2354" s="7"/>
      <c r="N2354" s="7"/>
      <c r="O2354" s="7"/>
      <c r="P2354" s="7"/>
      <c r="Q2354" s="7"/>
      <c r="R2354" s="14">
        <v>550</v>
      </c>
      <c r="S2354" s="7"/>
      <c r="T2354" s="7"/>
      <c r="U2354" s="14">
        <v>550</v>
      </c>
      <c r="V2354" s="7"/>
      <c r="W2354" s="7"/>
      <c r="X2354" s="7"/>
      <c r="Y2354" s="7"/>
      <c r="Z2354" s="7"/>
      <c r="AA2354" s="7"/>
    </row>
    <row r="2355" spans="1:27" outlineLevel="6">
      <c r="A2355" s="3501" t="s">
        <v>517</v>
      </c>
      <c r="B2355" s="3501"/>
      <c r="C2355" s="7"/>
      <c r="D2355" s="7"/>
      <c r="E2355" s="14">
        <v>550</v>
      </c>
      <c r="F2355" s="7"/>
      <c r="G2355" s="14">
        <v>550</v>
      </c>
      <c r="H2355" s="3523">
        <v>550</v>
      </c>
      <c r="I2355" s="3523"/>
      <c r="J2355" s="7"/>
      <c r="K2355" s="7"/>
      <c r="L2355" s="7"/>
      <c r="M2355" s="7"/>
      <c r="N2355" s="7"/>
      <c r="O2355" s="7"/>
      <c r="P2355" s="7"/>
      <c r="Q2355" s="7"/>
      <c r="R2355" s="14">
        <v>550</v>
      </c>
      <c r="S2355" s="7"/>
      <c r="T2355" s="7"/>
      <c r="U2355" s="14">
        <v>550</v>
      </c>
      <c r="V2355" s="7"/>
      <c r="W2355" s="7"/>
      <c r="X2355" s="7"/>
      <c r="Y2355" s="7"/>
      <c r="Z2355" s="7"/>
      <c r="AA2355" s="7"/>
    </row>
    <row r="2356" spans="1:27" outlineLevel="7">
      <c r="A2356" s="3500" t="s">
        <v>518</v>
      </c>
      <c r="B2356" s="3500"/>
      <c r="C2356" s="7"/>
      <c r="D2356" s="7"/>
      <c r="E2356" s="14">
        <v>550</v>
      </c>
      <c r="F2356" s="7"/>
      <c r="G2356" s="14">
        <v>550</v>
      </c>
      <c r="H2356" s="3523">
        <v>550</v>
      </c>
      <c r="I2356" s="3523"/>
      <c r="J2356" s="7"/>
      <c r="K2356" s="7"/>
      <c r="L2356" s="7"/>
      <c r="M2356" s="7"/>
      <c r="N2356" s="7"/>
      <c r="O2356" s="7"/>
      <c r="P2356" s="7"/>
      <c r="Q2356" s="7"/>
      <c r="R2356" s="14">
        <v>550</v>
      </c>
      <c r="S2356" s="7"/>
      <c r="T2356" s="7"/>
      <c r="U2356" s="14">
        <v>550</v>
      </c>
      <c r="V2356" s="7"/>
      <c r="W2356" s="7"/>
      <c r="X2356" s="7"/>
      <c r="Y2356" s="7"/>
      <c r="Z2356" s="7"/>
      <c r="AA2356" s="7"/>
    </row>
    <row r="2357" spans="1:27" outlineLevel="7">
      <c r="A2357" s="3499" t="s">
        <v>2305</v>
      </c>
      <c r="B2357" s="3499"/>
      <c r="C2357" s="7"/>
      <c r="D2357" s="7"/>
      <c r="E2357" s="14">
        <v>550</v>
      </c>
      <c r="F2357" s="7"/>
      <c r="G2357" s="14">
        <v>550</v>
      </c>
      <c r="H2357" s="3523">
        <v>550</v>
      </c>
      <c r="I2357" s="3523"/>
      <c r="J2357" s="7"/>
      <c r="K2357" s="7"/>
      <c r="L2357" s="7"/>
      <c r="M2357" s="7"/>
      <c r="N2357" s="7"/>
      <c r="O2357" s="7"/>
      <c r="P2357" s="7"/>
      <c r="Q2357" s="7"/>
      <c r="R2357" s="14">
        <v>550</v>
      </c>
      <c r="S2357" s="7"/>
      <c r="T2357" s="7"/>
      <c r="U2357" s="14">
        <v>550</v>
      </c>
      <c r="V2357" s="7"/>
      <c r="W2357" s="7"/>
      <c r="X2357" s="7"/>
      <c r="Y2357" s="7"/>
      <c r="Z2357" s="7"/>
      <c r="AA2357" s="7"/>
    </row>
    <row r="2358" spans="1:27" outlineLevel="6">
      <c r="A2358" s="3501" t="s">
        <v>519</v>
      </c>
      <c r="B2358" s="3501"/>
      <c r="C2358" s="7"/>
      <c r="D2358" s="7"/>
      <c r="E2358" s="14">
        <v>550</v>
      </c>
      <c r="F2358" s="7"/>
      <c r="G2358" s="14">
        <v>550</v>
      </c>
      <c r="H2358" s="3523">
        <v>550</v>
      </c>
      <c r="I2358" s="3523"/>
      <c r="J2358" s="7"/>
      <c r="K2358" s="7"/>
      <c r="L2358" s="7"/>
      <c r="M2358" s="7"/>
      <c r="N2358" s="7"/>
      <c r="O2358" s="7"/>
      <c r="P2358" s="7"/>
      <c r="Q2358" s="7"/>
      <c r="R2358" s="14">
        <v>550</v>
      </c>
      <c r="S2358" s="7"/>
      <c r="T2358" s="7"/>
      <c r="U2358" s="14">
        <v>550</v>
      </c>
      <c r="V2358" s="7"/>
      <c r="W2358" s="7"/>
      <c r="X2358" s="7"/>
      <c r="Y2358" s="7"/>
      <c r="Z2358" s="7"/>
      <c r="AA2358" s="7"/>
    </row>
    <row r="2359" spans="1:27" outlineLevel="7">
      <c r="A2359" s="3500" t="s">
        <v>520</v>
      </c>
      <c r="B2359" s="3500"/>
      <c r="C2359" s="7"/>
      <c r="D2359" s="7"/>
      <c r="E2359" s="14">
        <v>550</v>
      </c>
      <c r="F2359" s="7"/>
      <c r="G2359" s="14">
        <v>550</v>
      </c>
      <c r="H2359" s="3523">
        <v>550</v>
      </c>
      <c r="I2359" s="3523"/>
      <c r="J2359" s="7"/>
      <c r="K2359" s="7"/>
      <c r="L2359" s="7"/>
      <c r="M2359" s="7"/>
      <c r="N2359" s="7"/>
      <c r="O2359" s="7"/>
      <c r="P2359" s="7"/>
      <c r="Q2359" s="7"/>
      <c r="R2359" s="14">
        <v>550</v>
      </c>
      <c r="S2359" s="7"/>
      <c r="T2359" s="7"/>
      <c r="U2359" s="14">
        <v>550</v>
      </c>
      <c r="V2359" s="7"/>
      <c r="W2359" s="7"/>
      <c r="X2359" s="7"/>
      <c r="Y2359" s="7"/>
      <c r="Z2359" s="7"/>
      <c r="AA2359" s="7"/>
    </row>
    <row r="2360" spans="1:27" outlineLevel="7">
      <c r="A2360" s="3499" t="s">
        <v>2306</v>
      </c>
      <c r="B2360" s="3499"/>
      <c r="C2360" s="7"/>
      <c r="D2360" s="7"/>
      <c r="E2360" s="14">
        <v>550</v>
      </c>
      <c r="F2360" s="7"/>
      <c r="G2360" s="14">
        <v>550</v>
      </c>
      <c r="H2360" s="3523">
        <v>550</v>
      </c>
      <c r="I2360" s="3523"/>
      <c r="J2360" s="7"/>
      <c r="K2360" s="7"/>
      <c r="L2360" s="7"/>
      <c r="M2360" s="7"/>
      <c r="N2360" s="7"/>
      <c r="O2360" s="7"/>
      <c r="P2360" s="7"/>
      <c r="Q2360" s="7"/>
      <c r="R2360" s="14">
        <v>550</v>
      </c>
      <c r="S2360" s="7"/>
      <c r="T2360" s="7"/>
      <c r="U2360" s="14">
        <v>550</v>
      </c>
      <c r="V2360" s="7"/>
      <c r="W2360" s="7"/>
      <c r="X2360" s="7"/>
      <c r="Y2360" s="7"/>
      <c r="Z2360" s="7"/>
      <c r="AA2360" s="7"/>
    </row>
    <row r="2361" spans="1:27" outlineLevel="6">
      <c r="A2361" s="3501" t="s">
        <v>1131</v>
      </c>
      <c r="B2361" s="3501"/>
      <c r="C2361" s="12"/>
      <c r="D2361" s="12"/>
      <c r="E2361" s="12"/>
      <c r="F2361" s="7"/>
      <c r="G2361" s="7"/>
      <c r="H2361" s="8"/>
      <c r="I2361" s="9"/>
      <c r="J2361" s="7"/>
      <c r="K2361" s="7"/>
      <c r="L2361" s="7"/>
      <c r="M2361" s="7"/>
      <c r="N2361" s="7"/>
      <c r="O2361" s="7"/>
      <c r="P2361" s="7"/>
      <c r="Q2361" s="7"/>
      <c r="R2361" s="14">
        <v>550</v>
      </c>
      <c r="S2361" s="7"/>
      <c r="T2361" s="7"/>
      <c r="U2361" s="14">
        <v>550</v>
      </c>
      <c r="V2361" s="7"/>
      <c r="W2361" s="7"/>
      <c r="X2361" s="7"/>
      <c r="Y2361" s="7"/>
      <c r="Z2361" s="12"/>
      <c r="AA2361" s="14">
        <v>550</v>
      </c>
    </row>
    <row r="2362" spans="1:27" outlineLevel="7">
      <c r="A2362" s="3500" t="s">
        <v>1132</v>
      </c>
      <c r="B2362" s="3500"/>
      <c r="C2362" s="12"/>
      <c r="D2362" s="12"/>
      <c r="E2362" s="12"/>
      <c r="F2362" s="7"/>
      <c r="G2362" s="7"/>
      <c r="H2362" s="8"/>
      <c r="I2362" s="9"/>
      <c r="J2362" s="7"/>
      <c r="K2362" s="7"/>
      <c r="L2362" s="7"/>
      <c r="M2362" s="7"/>
      <c r="N2362" s="7"/>
      <c r="O2362" s="7"/>
      <c r="P2362" s="7"/>
      <c r="Q2362" s="7"/>
      <c r="R2362" s="14">
        <v>550</v>
      </c>
      <c r="S2362" s="7"/>
      <c r="T2362" s="7"/>
      <c r="U2362" s="14">
        <v>550</v>
      </c>
      <c r="V2362" s="7"/>
      <c r="W2362" s="7"/>
      <c r="X2362" s="7"/>
      <c r="Y2362" s="7"/>
      <c r="Z2362" s="12"/>
      <c r="AA2362" s="14">
        <v>550</v>
      </c>
    </row>
    <row r="2363" spans="1:27" outlineLevel="7">
      <c r="A2363" s="3499" t="s">
        <v>2307</v>
      </c>
      <c r="B2363" s="3499"/>
      <c r="C2363" s="12"/>
      <c r="D2363" s="12"/>
      <c r="E2363" s="12"/>
      <c r="F2363" s="7"/>
      <c r="G2363" s="7"/>
      <c r="H2363" s="8"/>
      <c r="I2363" s="9"/>
      <c r="J2363" s="7"/>
      <c r="K2363" s="7"/>
      <c r="L2363" s="7"/>
      <c r="M2363" s="7"/>
      <c r="N2363" s="7"/>
      <c r="O2363" s="7"/>
      <c r="P2363" s="7"/>
      <c r="Q2363" s="7"/>
      <c r="R2363" s="14">
        <v>550</v>
      </c>
      <c r="S2363" s="7"/>
      <c r="T2363" s="7"/>
      <c r="U2363" s="14">
        <v>550</v>
      </c>
      <c r="V2363" s="7"/>
      <c r="W2363" s="7"/>
      <c r="X2363" s="7"/>
      <c r="Y2363" s="7"/>
      <c r="Z2363" s="12"/>
      <c r="AA2363" s="14">
        <v>550</v>
      </c>
    </row>
    <row r="2364" spans="1:27" outlineLevel="6">
      <c r="A2364" s="3501" t="s">
        <v>1133</v>
      </c>
      <c r="B2364" s="3501"/>
      <c r="C2364" s="12"/>
      <c r="D2364" s="12"/>
      <c r="E2364" s="12"/>
      <c r="F2364" s="7"/>
      <c r="G2364" s="7"/>
      <c r="H2364" s="8"/>
      <c r="I2364" s="9"/>
      <c r="J2364" s="7"/>
      <c r="K2364" s="7"/>
      <c r="L2364" s="7"/>
      <c r="M2364" s="7"/>
      <c r="N2364" s="7"/>
      <c r="O2364" s="7"/>
      <c r="P2364" s="7"/>
      <c r="Q2364" s="7"/>
      <c r="R2364" s="14">
        <v>550</v>
      </c>
      <c r="S2364" s="7"/>
      <c r="T2364" s="7"/>
      <c r="U2364" s="14">
        <v>550</v>
      </c>
      <c r="V2364" s="7"/>
      <c r="W2364" s="7"/>
      <c r="X2364" s="7"/>
      <c r="Y2364" s="7"/>
      <c r="Z2364" s="12"/>
      <c r="AA2364" s="14">
        <v>550</v>
      </c>
    </row>
    <row r="2365" spans="1:27" outlineLevel="7">
      <c r="A2365" s="3500" t="s">
        <v>1134</v>
      </c>
      <c r="B2365" s="3500"/>
      <c r="C2365" s="12"/>
      <c r="D2365" s="12"/>
      <c r="E2365" s="12"/>
      <c r="F2365" s="7"/>
      <c r="G2365" s="7"/>
      <c r="H2365" s="8"/>
      <c r="I2365" s="9"/>
      <c r="J2365" s="7"/>
      <c r="K2365" s="7"/>
      <c r="L2365" s="7"/>
      <c r="M2365" s="7"/>
      <c r="N2365" s="7"/>
      <c r="O2365" s="7"/>
      <c r="P2365" s="7"/>
      <c r="Q2365" s="7"/>
      <c r="R2365" s="14">
        <v>550</v>
      </c>
      <c r="S2365" s="7"/>
      <c r="T2365" s="7"/>
      <c r="U2365" s="14">
        <v>550</v>
      </c>
      <c r="V2365" s="7"/>
      <c r="W2365" s="7"/>
      <c r="X2365" s="7"/>
      <c r="Y2365" s="7"/>
      <c r="Z2365" s="12"/>
      <c r="AA2365" s="14">
        <v>550</v>
      </c>
    </row>
    <row r="2366" spans="1:27" outlineLevel="7">
      <c r="A2366" s="3499" t="s">
        <v>2308</v>
      </c>
      <c r="B2366" s="3499"/>
      <c r="C2366" s="12"/>
      <c r="D2366" s="12"/>
      <c r="E2366" s="12"/>
      <c r="F2366" s="7"/>
      <c r="G2366" s="7"/>
      <c r="H2366" s="8"/>
      <c r="I2366" s="9"/>
      <c r="J2366" s="7"/>
      <c r="K2366" s="7"/>
      <c r="L2366" s="7"/>
      <c r="M2366" s="7"/>
      <c r="N2366" s="7"/>
      <c r="O2366" s="7"/>
      <c r="P2366" s="7"/>
      <c r="Q2366" s="7"/>
      <c r="R2366" s="14">
        <v>550</v>
      </c>
      <c r="S2366" s="7"/>
      <c r="T2366" s="7"/>
      <c r="U2366" s="14">
        <v>550</v>
      </c>
      <c r="V2366" s="7"/>
      <c r="W2366" s="7"/>
      <c r="X2366" s="7"/>
      <c r="Y2366" s="7"/>
      <c r="Z2366" s="12"/>
      <c r="AA2366" s="14">
        <v>550</v>
      </c>
    </row>
    <row r="2367" spans="1:27" outlineLevel="6">
      <c r="A2367" s="3501" t="s">
        <v>521</v>
      </c>
      <c r="B2367" s="3501"/>
      <c r="C2367" s="7"/>
      <c r="D2367" s="7"/>
      <c r="E2367" s="14">
        <v>550</v>
      </c>
      <c r="F2367" s="7"/>
      <c r="G2367" s="14">
        <v>550</v>
      </c>
      <c r="H2367" s="3523">
        <v>550</v>
      </c>
      <c r="I2367" s="3523"/>
      <c r="J2367" s="7"/>
      <c r="K2367" s="7"/>
      <c r="L2367" s="7"/>
      <c r="M2367" s="7"/>
      <c r="N2367" s="7"/>
      <c r="O2367" s="7"/>
      <c r="P2367" s="7"/>
      <c r="Q2367" s="7"/>
      <c r="R2367" s="14">
        <v>550</v>
      </c>
      <c r="S2367" s="7"/>
      <c r="T2367" s="7"/>
      <c r="U2367" s="14">
        <v>550</v>
      </c>
      <c r="V2367" s="7"/>
      <c r="W2367" s="7"/>
      <c r="X2367" s="7"/>
      <c r="Y2367" s="7"/>
      <c r="Z2367" s="7"/>
      <c r="AA2367" s="7"/>
    </row>
    <row r="2368" spans="1:27" outlineLevel="7">
      <c r="A2368" s="3500" t="s">
        <v>522</v>
      </c>
      <c r="B2368" s="3500"/>
      <c r="C2368" s="7"/>
      <c r="D2368" s="7"/>
      <c r="E2368" s="14">
        <v>550</v>
      </c>
      <c r="F2368" s="7"/>
      <c r="G2368" s="14">
        <v>550</v>
      </c>
      <c r="H2368" s="3523">
        <v>550</v>
      </c>
      <c r="I2368" s="3523"/>
      <c r="J2368" s="7"/>
      <c r="K2368" s="7"/>
      <c r="L2368" s="7"/>
      <c r="M2368" s="7"/>
      <c r="N2368" s="7"/>
      <c r="O2368" s="7"/>
      <c r="P2368" s="7"/>
      <c r="Q2368" s="7"/>
      <c r="R2368" s="14">
        <v>550</v>
      </c>
      <c r="S2368" s="7"/>
      <c r="T2368" s="7"/>
      <c r="U2368" s="14">
        <v>550</v>
      </c>
      <c r="V2368" s="7"/>
      <c r="W2368" s="7"/>
      <c r="X2368" s="7"/>
      <c r="Y2368" s="7"/>
      <c r="Z2368" s="7"/>
      <c r="AA2368" s="7"/>
    </row>
    <row r="2369" spans="1:27" outlineLevel="7">
      <c r="A2369" s="3499" t="s">
        <v>2309</v>
      </c>
      <c r="B2369" s="3499"/>
      <c r="C2369" s="7"/>
      <c r="D2369" s="7"/>
      <c r="E2369" s="14">
        <v>550</v>
      </c>
      <c r="F2369" s="7"/>
      <c r="G2369" s="14">
        <v>550</v>
      </c>
      <c r="H2369" s="3523">
        <v>550</v>
      </c>
      <c r="I2369" s="3523"/>
      <c r="J2369" s="7"/>
      <c r="K2369" s="7"/>
      <c r="L2369" s="7"/>
      <c r="M2369" s="7"/>
      <c r="N2369" s="7"/>
      <c r="O2369" s="7"/>
      <c r="P2369" s="7"/>
      <c r="Q2369" s="7"/>
      <c r="R2369" s="14">
        <v>550</v>
      </c>
      <c r="S2369" s="7"/>
      <c r="T2369" s="7"/>
      <c r="U2369" s="14">
        <v>550</v>
      </c>
      <c r="V2369" s="7"/>
      <c r="W2369" s="7"/>
      <c r="X2369" s="7"/>
      <c r="Y2369" s="7"/>
      <c r="Z2369" s="7"/>
      <c r="AA2369" s="7"/>
    </row>
    <row r="2370" spans="1:27" outlineLevel="6">
      <c r="A2370" s="3501" t="s">
        <v>523</v>
      </c>
      <c r="B2370" s="3501"/>
      <c r="C2370" s="7"/>
      <c r="D2370" s="7"/>
      <c r="E2370" s="14">
        <v>550</v>
      </c>
      <c r="F2370" s="7"/>
      <c r="G2370" s="14">
        <v>550</v>
      </c>
      <c r="H2370" s="3523">
        <v>550</v>
      </c>
      <c r="I2370" s="3523"/>
      <c r="J2370" s="7"/>
      <c r="K2370" s="7"/>
      <c r="L2370" s="7"/>
      <c r="M2370" s="7"/>
      <c r="N2370" s="7"/>
      <c r="O2370" s="7"/>
      <c r="P2370" s="7"/>
      <c r="Q2370" s="7"/>
      <c r="R2370" s="14">
        <v>550</v>
      </c>
      <c r="S2370" s="7"/>
      <c r="T2370" s="7"/>
      <c r="U2370" s="14">
        <v>550</v>
      </c>
      <c r="V2370" s="7"/>
      <c r="W2370" s="7"/>
      <c r="X2370" s="7"/>
      <c r="Y2370" s="7"/>
      <c r="Z2370" s="7"/>
      <c r="AA2370" s="7"/>
    </row>
    <row r="2371" spans="1:27" outlineLevel="7">
      <c r="A2371" s="3500" t="s">
        <v>524</v>
      </c>
      <c r="B2371" s="3500"/>
      <c r="C2371" s="7"/>
      <c r="D2371" s="7"/>
      <c r="E2371" s="14">
        <v>550</v>
      </c>
      <c r="F2371" s="7"/>
      <c r="G2371" s="14">
        <v>550</v>
      </c>
      <c r="H2371" s="3523">
        <v>550</v>
      </c>
      <c r="I2371" s="3523"/>
      <c r="J2371" s="7"/>
      <c r="K2371" s="7"/>
      <c r="L2371" s="7"/>
      <c r="M2371" s="7"/>
      <c r="N2371" s="7"/>
      <c r="O2371" s="7"/>
      <c r="P2371" s="7"/>
      <c r="Q2371" s="7"/>
      <c r="R2371" s="14">
        <v>550</v>
      </c>
      <c r="S2371" s="7"/>
      <c r="T2371" s="7"/>
      <c r="U2371" s="14">
        <v>550</v>
      </c>
      <c r="V2371" s="7"/>
      <c r="W2371" s="7"/>
      <c r="X2371" s="7"/>
      <c r="Y2371" s="7"/>
      <c r="Z2371" s="7"/>
      <c r="AA2371" s="7"/>
    </row>
    <row r="2372" spans="1:27" outlineLevel="7">
      <c r="A2372" s="3499" t="s">
        <v>2310</v>
      </c>
      <c r="B2372" s="3499"/>
      <c r="C2372" s="7"/>
      <c r="D2372" s="7"/>
      <c r="E2372" s="14">
        <v>550</v>
      </c>
      <c r="F2372" s="7"/>
      <c r="G2372" s="14">
        <v>550</v>
      </c>
      <c r="H2372" s="3523">
        <v>550</v>
      </c>
      <c r="I2372" s="3523"/>
      <c r="J2372" s="7"/>
      <c r="K2372" s="7"/>
      <c r="L2372" s="7"/>
      <c r="M2372" s="7"/>
      <c r="N2372" s="7"/>
      <c r="O2372" s="7"/>
      <c r="P2372" s="7"/>
      <c r="Q2372" s="7"/>
      <c r="R2372" s="14">
        <v>550</v>
      </c>
      <c r="S2372" s="7"/>
      <c r="T2372" s="7"/>
      <c r="U2372" s="14">
        <v>550</v>
      </c>
      <c r="V2372" s="7"/>
      <c r="W2372" s="7"/>
      <c r="X2372" s="7"/>
      <c r="Y2372" s="7"/>
      <c r="Z2372" s="7"/>
      <c r="AA2372" s="7"/>
    </row>
    <row r="2373" spans="1:27" outlineLevel="6">
      <c r="A2373" s="3501" t="s">
        <v>525</v>
      </c>
      <c r="B2373" s="3501"/>
      <c r="C2373" s="7"/>
      <c r="D2373" s="7"/>
      <c r="E2373" s="14">
        <v>550</v>
      </c>
      <c r="F2373" s="7"/>
      <c r="G2373" s="14">
        <v>550</v>
      </c>
      <c r="H2373" s="3523">
        <v>550</v>
      </c>
      <c r="I2373" s="3523"/>
      <c r="J2373" s="7"/>
      <c r="K2373" s="7"/>
      <c r="L2373" s="7"/>
      <c r="M2373" s="7"/>
      <c r="N2373" s="7"/>
      <c r="O2373" s="7"/>
      <c r="P2373" s="7"/>
      <c r="Q2373" s="7"/>
      <c r="R2373" s="14">
        <v>550</v>
      </c>
      <c r="S2373" s="7"/>
      <c r="T2373" s="7"/>
      <c r="U2373" s="14">
        <v>550</v>
      </c>
      <c r="V2373" s="7"/>
      <c r="W2373" s="7"/>
      <c r="X2373" s="7"/>
      <c r="Y2373" s="7"/>
      <c r="Z2373" s="7"/>
      <c r="AA2373" s="7"/>
    </row>
    <row r="2374" spans="1:27" outlineLevel="7">
      <c r="A2374" s="3500" t="s">
        <v>526</v>
      </c>
      <c r="B2374" s="3500"/>
      <c r="C2374" s="7"/>
      <c r="D2374" s="7"/>
      <c r="E2374" s="14">
        <v>550</v>
      </c>
      <c r="F2374" s="7"/>
      <c r="G2374" s="14">
        <v>550</v>
      </c>
      <c r="H2374" s="3523">
        <v>550</v>
      </c>
      <c r="I2374" s="3523"/>
      <c r="J2374" s="7"/>
      <c r="K2374" s="7"/>
      <c r="L2374" s="7"/>
      <c r="M2374" s="7"/>
      <c r="N2374" s="7"/>
      <c r="O2374" s="7"/>
      <c r="P2374" s="7"/>
      <c r="Q2374" s="7"/>
      <c r="R2374" s="14">
        <v>550</v>
      </c>
      <c r="S2374" s="7"/>
      <c r="T2374" s="7"/>
      <c r="U2374" s="14">
        <v>550</v>
      </c>
      <c r="V2374" s="7"/>
      <c r="W2374" s="7"/>
      <c r="X2374" s="7"/>
      <c r="Y2374" s="7"/>
      <c r="Z2374" s="7"/>
      <c r="AA2374" s="7"/>
    </row>
    <row r="2375" spans="1:27" outlineLevel="7">
      <c r="A2375" s="3499" t="s">
        <v>2311</v>
      </c>
      <c r="B2375" s="3499"/>
      <c r="C2375" s="7"/>
      <c r="D2375" s="7"/>
      <c r="E2375" s="14">
        <v>550</v>
      </c>
      <c r="F2375" s="7"/>
      <c r="G2375" s="14">
        <v>550</v>
      </c>
      <c r="H2375" s="3523">
        <v>550</v>
      </c>
      <c r="I2375" s="3523"/>
      <c r="J2375" s="7"/>
      <c r="K2375" s="7"/>
      <c r="L2375" s="7"/>
      <c r="M2375" s="7"/>
      <c r="N2375" s="7"/>
      <c r="O2375" s="7"/>
      <c r="P2375" s="7"/>
      <c r="Q2375" s="7"/>
      <c r="R2375" s="14">
        <v>550</v>
      </c>
      <c r="S2375" s="7"/>
      <c r="T2375" s="7"/>
      <c r="U2375" s="14">
        <v>550</v>
      </c>
      <c r="V2375" s="7"/>
      <c r="W2375" s="7"/>
      <c r="X2375" s="7"/>
      <c r="Y2375" s="7"/>
      <c r="Z2375" s="7"/>
      <c r="AA2375" s="7"/>
    </row>
    <row r="2376" spans="1:27" outlineLevel="6">
      <c r="A2376" s="3501" t="s">
        <v>527</v>
      </c>
      <c r="B2376" s="3501"/>
      <c r="C2376" s="12"/>
      <c r="D2376" s="14">
        <v>550</v>
      </c>
      <c r="E2376" s="14">
        <v>550</v>
      </c>
      <c r="F2376" s="7"/>
      <c r="G2376" s="14">
        <v>550</v>
      </c>
      <c r="H2376" s="3523">
        <v>550</v>
      </c>
      <c r="I2376" s="3523"/>
      <c r="J2376" s="7"/>
      <c r="K2376" s="7"/>
      <c r="L2376" s="7"/>
      <c r="M2376" s="7"/>
      <c r="N2376" s="7"/>
      <c r="O2376" s="7"/>
      <c r="P2376" s="7"/>
      <c r="Q2376" s="7"/>
      <c r="R2376" s="12"/>
      <c r="S2376" s="7"/>
      <c r="T2376" s="7"/>
      <c r="U2376" s="7"/>
      <c r="V2376" s="7"/>
      <c r="W2376" s="7"/>
      <c r="X2376" s="7"/>
      <c r="Y2376" s="7"/>
      <c r="Z2376" s="12"/>
      <c r="AA2376" s="12"/>
    </row>
    <row r="2377" spans="1:27" outlineLevel="7">
      <c r="A2377" s="3500" t="s">
        <v>528</v>
      </c>
      <c r="B2377" s="3500"/>
      <c r="C2377" s="12"/>
      <c r="D2377" s="14">
        <v>550</v>
      </c>
      <c r="E2377" s="14">
        <v>550</v>
      </c>
      <c r="F2377" s="7"/>
      <c r="G2377" s="14">
        <v>550</v>
      </c>
      <c r="H2377" s="3523">
        <v>550</v>
      </c>
      <c r="I2377" s="3523"/>
      <c r="J2377" s="7"/>
      <c r="K2377" s="7"/>
      <c r="L2377" s="7"/>
      <c r="M2377" s="7"/>
      <c r="N2377" s="7"/>
      <c r="O2377" s="7"/>
      <c r="P2377" s="7"/>
      <c r="Q2377" s="7"/>
      <c r="R2377" s="12"/>
      <c r="S2377" s="7"/>
      <c r="T2377" s="7"/>
      <c r="U2377" s="7"/>
      <c r="V2377" s="7"/>
      <c r="W2377" s="7"/>
      <c r="X2377" s="7"/>
      <c r="Y2377" s="7"/>
      <c r="Z2377" s="12"/>
      <c r="AA2377" s="12"/>
    </row>
    <row r="2378" spans="1:27" outlineLevel="7">
      <c r="A2378" s="3499" t="s">
        <v>2312</v>
      </c>
      <c r="B2378" s="3499"/>
      <c r="C2378" s="12"/>
      <c r="D2378" s="14">
        <v>550</v>
      </c>
      <c r="E2378" s="14">
        <v>550</v>
      </c>
      <c r="F2378" s="7"/>
      <c r="G2378" s="14">
        <v>550</v>
      </c>
      <c r="H2378" s="3523">
        <v>550</v>
      </c>
      <c r="I2378" s="3523"/>
      <c r="J2378" s="7"/>
      <c r="K2378" s="7"/>
      <c r="L2378" s="7"/>
      <c r="M2378" s="7"/>
      <c r="N2378" s="7"/>
      <c r="O2378" s="7"/>
      <c r="P2378" s="7"/>
      <c r="Q2378" s="7"/>
      <c r="R2378" s="12"/>
      <c r="S2378" s="7"/>
      <c r="T2378" s="7"/>
      <c r="U2378" s="7"/>
      <c r="V2378" s="7"/>
      <c r="W2378" s="7"/>
      <c r="X2378" s="7"/>
      <c r="Y2378" s="7"/>
      <c r="Z2378" s="12"/>
      <c r="AA2378" s="12"/>
    </row>
    <row r="2379" spans="1:27" outlineLevel="6">
      <c r="A2379" s="3501" t="s">
        <v>529</v>
      </c>
      <c r="B2379" s="3501"/>
      <c r="C2379" s="7"/>
      <c r="D2379" s="7"/>
      <c r="E2379" s="14">
        <v>550</v>
      </c>
      <c r="F2379" s="7"/>
      <c r="G2379" s="14">
        <v>550</v>
      </c>
      <c r="H2379" s="3523">
        <v>550</v>
      </c>
      <c r="I2379" s="3523"/>
      <c r="J2379" s="7"/>
      <c r="K2379" s="7"/>
      <c r="L2379" s="7"/>
      <c r="M2379" s="7"/>
      <c r="N2379" s="7"/>
      <c r="O2379" s="7"/>
      <c r="P2379" s="7"/>
      <c r="Q2379" s="7"/>
      <c r="R2379" s="14">
        <v>550</v>
      </c>
      <c r="S2379" s="7"/>
      <c r="T2379" s="7"/>
      <c r="U2379" s="14">
        <v>550</v>
      </c>
      <c r="V2379" s="7"/>
      <c r="W2379" s="7"/>
      <c r="X2379" s="7"/>
      <c r="Y2379" s="7"/>
      <c r="Z2379" s="7"/>
      <c r="AA2379" s="7"/>
    </row>
    <row r="2380" spans="1:27" outlineLevel="7">
      <c r="A2380" s="3500" t="s">
        <v>530</v>
      </c>
      <c r="B2380" s="3500"/>
      <c r="C2380" s="7"/>
      <c r="D2380" s="7"/>
      <c r="E2380" s="14">
        <v>550</v>
      </c>
      <c r="F2380" s="7"/>
      <c r="G2380" s="14">
        <v>550</v>
      </c>
      <c r="H2380" s="3523">
        <v>550</v>
      </c>
      <c r="I2380" s="3523"/>
      <c r="J2380" s="7"/>
      <c r="K2380" s="7"/>
      <c r="L2380" s="7"/>
      <c r="M2380" s="7"/>
      <c r="N2380" s="7"/>
      <c r="O2380" s="7"/>
      <c r="P2380" s="7"/>
      <c r="Q2380" s="7"/>
      <c r="R2380" s="14">
        <v>550</v>
      </c>
      <c r="S2380" s="7"/>
      <c r="T2380" s="7"/>
      <c r="U2380" s="14">
        <v>550</v>
      </c>
      <c r="V2380" s="7"/>
      <c r="W2380" s="7"/>
      <c r="X2380" s="7"/>
      <c r="Y2380" s="7"/>
      <c r="Z2380" s="7"/>
      <c r="AA2380" s="7"/>
    </row>
    <row r="2381" spans="1:27" outlineLevel="7">
      <c r="A2381" s="3499" t="s">
        <v>2313</v>
      </c>
      <c r="B2381" s="3499"/>
      <c r="C2381" s="7"/>
      <c r="D2381" s="7"/>
      <c r="E2381" s="14">
        <v>550</v>
      </c>
      <c r="F2381" s="7"/>
      <c r="G2381" s="14">
        <v>550</v>
      </c>
      <c r="H2381" s="3523">
        <v>550</v>
      </c>
      <c r="I2381" s="3523"/>
      <c r="J2381" s="7"/>
      <c r="K2381" s="7"/>
      <c r="L2381" s="7"/>
      <c r="M2381" s="7"/>
      <c r="N2381" s="7"/>
      <c r="O2381" s="7"/>
      <c r="P2381" s="7"/>
      <c r="Q2381" s="7"/>
      <c r="R2381" s="14">
        <v>550</v>
      </c>
      <c r="S2381" s="7"/>
      <c r="T2381" s="7"/>
      <c r="U2381" s="14">
        <v>550</v>
      </c>
      <c r="V2381" s="7"/>
      <c r="W2381" s="7"/>
      <c r="X2381" s="7"/>
      <c r="Y2381" s="7"/>
      <c r="Z2381" s="7"/>
      <c r="AA2381" s="7"/>
    </row>
    <row r="2382" spans="1:27" outlineLevel="6">
      <c r="A2382" s="3501" t="s">
        <v>1135</v>
      </c>
      <c r="B2382" s="3501"/>
      <c r="C2382" s="12"/>
      <c r="D2382" s="12"/>
      <c r="E2382" s="12"/>
      <c r="F2382" s="7"/>
      <c r="G2382" s="7"/>
      <c r="H2382" s="8"/>
      <c r="I2382" s="9"/>
      <c r="J2382" s="7"/>
      <c r="K2382" s="7"/>
      <c r="L2382" s="7"/>
      <c r="M2382" s="7"/>
      <c r="N2382" s="7"/>
      <c r="O2382" s="7"/>
      <c r="P2382" s="7"/>
      <c r="Q2382" s="7"/>
      <c r="R2382" s="14">
        <v>550</v>
      </c>
      <c r="S2382" s="7"/>
      <c r="T2382" s="7"/>
      <c r="U2382" s="14">
        <v>550</v>
      </c>
      <c r="V2382" s="7"/>
      <c r="W2382" s="7"/>
      <c r="X2382" s="7"/>
      <c r="Y2382" s="7"/>
      <c r="Z2382" s="12"/>
      <c r="AA2382" s="14">
        <v>550</v>
      </c>
    </row>
    <row r="2383" spans="1:27" outlineLevel="7">
      <c r="A2383" s="3500" t="s">
        <v>1136</v>
      </c>
      <c r="B2383" s="3500"/>
      <c r="C2383" s="12"/>
      <c r="D2383" s="12"/>
      <c r="E2383" s="12"/>
      <c r="F2383" s="7"/>
      <c r="G2383" s="7"/>
      <c r="H2383" s="8"/>
      <c r="I2383" s="9"/>
      <c r="J2383" s="7"/>
      <c r="K2383" s="7"/>
      <c r="L2383" s="7"/>
      <c r="M2383" s="7"/>
      <c r="N2383" s="7"/>
      <c r="O2383" s="7"/>
      <c r="P2383" s="7"/>
      <c r="Q2383" s="7"/>
      <c r="R2383" s="14">
        <v>550</v>
      </c>
      <c r="S2383" s="7"/>
      <c r="T2383" s="7"/>
      <c r="U2383" s="14">
        <v>550</v>
      </c>
      <c r="V2383" s="7"/>
      <c r="W2383" s="7"/>
      <c r="X2383" s="7"/>
      <c r="Y2383" s="7"/>
      <c r="Z2383" s="12"/>
      <c r="AA2383" s="14">
        <v>550</v>
      </c>
    </row>
    <row r="2384" spans="1:27" outlineLevel="7">
      <c r="A2384" s="3499" t="s">
        <v>2314</v>
      </c>
      <c r="B2384" s="3499"/>
      <c r="C2384" s="12"/>
      <c r="D2384" s="12"/>
      <c r="E2384" s="12"/>
      <c r="F2384" s="7"/>
      <c r="G2384" s="7"/>
      <c r="H2384" s="8"/>
      <c r="I2384" s="9"/>
      <c r="J2384" s="7"/>
      <c r="K2384" s="7"/>
      <c r="L2384" s="7"/>
      <c r="M2384" s="7"/>
      <c r="N2384" s="7"/>
      <c r="O2384" s="7"/>
      <c r="P2384" s="7"/>
      <c r="Q2384" s="7"/>
      <c r="R2384" s="14">
        <v>550</v>
      </c>
      <c r="S2384" s="7"/>
      <c r="T2384" s="7"/>
      <c r="U2384" s="14">
        <v>550</v>
      </c>
      <c r="V2384" s="7"/>
      <c r="W2384" s="7"/>
      <c r="X2384" s="7"/>
      <c r="Y2384" s="7"/>
      <c r="Z2384" s="12"/>
      <c r="AA2384" s="14">
        <v>550</v>
      </c>
    </row>
    <row r="2385" spans="1:27" outlineLevel="6">
      <c r="A2385" s="3501" t="s">
        <v>1137</v>
      </c>
      <c r="B2385" s="3501"/>
      <c r="C2385" s="12"/>
      <c r="D2385" s="12"/>
      <c r="E2385" s="12"/>
      <c r="F2385" s="7"/>
      <c r="G2385" s="7"/>
      <c r="H2385" s="8"/>
      <c r="I2385" s="9"/>
      <c r="J2385" s="7"/>
      <c r="K2385" s="7"/>
      <c r="L2385" s="7"/>
      <c r="M2385" s="7"/>
      <c r="N2385" s="7"/>
      <c r="O2385" s="7"/>
      <c r="P2385" s="7"/>
      <c r="Q2385" s="7"/>
      <c r="R2385" s="14">
        <v>550</v>
      </c>
      <c r="S2385" s="7"/>
      <c r="T2385" s="7"/>
      <c r="U2385" s="14">
        <v>550</v>
      </c>
      <c r="V2385" s="7"/>
      <c r="W2385" s="7"/>
      <c r="X2385" s="7"/>
      <c r="Y2385" s="7"/>
      <c r="Z2385" s="12"/>
      <c r="AA2385" s="14">
        <v>550</v>
      </c>
    </row>
    <row r="2386" spans="1:27" outlineLevel="7">
      <c r="A2386" s="3500" t="s">
        <v>1138</v>
      </c>
      <c r="B2386" s="3500"/>
      <c r="C2386" s="12"/>
      <c r="D2386" s="12"/>
      <c r="E2386" s="12"/>
      <c r="F2386" s="7"/>
      <c r="G2386" s="7"/>
      <c r="H2386" s="8"/>
      <c r="I2386" s="9"/>
      <c r="J2386" s="7"/>
      <c r="K2386" s="7"/>
      <c r="L2386" s="7"/>
      <c r="M2386" s="7"/>
      <c r="N2386" s="7"/>
      <c r="O2386" s="7"/>
      <c r="P2386" s="7"/>
      <c r="Q2386" s="7"/>
      <c r="R2386" s="14">
        <v>550</v>
      </c>
      <c r="S2386" s="7"/>
      <c r="T2386" s="7"/>
      <c r="U2386" s="14">
        <v>550</v>
      </c>
      <c r="V2386" s="7"/>
      <c r="W2386" s="7"/>
      <c r="X2386" s="7"/>
      <c r="Y2386" s="7"/>
      <c r="Z2386" s="12"/>
      <c r="AA2386" s="14">
        <v>550</v>
      </c>
    </row>
    <row r="2387" spans="1:27" outlineLevel="7">
      <c r="A2387" s="3499" t="s">
        <v>2315</v>
      </c>
      <c r="B2387" s="3499"/>
      <c r="C2387" s="12"/>
      <c r="D2387" s="12"/>
      <c r="E2387" s="12"/>
      <c r="F2387" s="7"/>
      <c r="G2387" s="7"/>
      <c r="H2387" s="8"/>
      <c r="I2387" s="9"/>
      <c r="J2387" s="7"/>
      <c r="K2387" s="7"/>
      <c r="L2387" s="7"/>
      <c r="M2387" s="7"/>
      <c r="N2387" s="7"/>
      <c r="O2387" s="7"/>
      <c r="P2387" s="7"/>
      <c r="Q2387" s="7"/>
      <c r="R2387" s="14">
        <v>550</v>
      </c>
      <c r="S2387" s="7"/>
      <c r="T2387" s="7"/>
      <c r="U2387" s="14">
        <v>550</v>
      </c>
      <c r="V2387" s="7"/>
      <c r="W2387" s="7"/>
      <c r="X2387" s="7"/>
      <c r="Y2387" s="7"/>
      <c r="Z2387" s="12"/>
      <c r="AA2387" s="14">
        <v>550</v>
      </c>
    </row>
    <row r="2388" spans="1:27" outlineLevel="6">
      <c r="A2388" s="3501" t="s">
        <v>1139</v>
      </c>
      <c r="B2388" s="3501"/>
      <c r="C2388" s="12"/>
      <c r="D2388" s="12"/>
      <c r="E2388" s="12"/>
      <c r="F2388" s="7"/>
      <c r="G2388" s="7"/>
      <c r="H2388" s="8"/>
      <c r="I2388" s="9"/>
      <c r="J2388" s="7"/>
      <c r="K2388" s="7"/>
      <c r="L2388" s="7"/>
      <c r="M2388" s="7"/>
      <c r="N2388" s="7"/>
      <c r="O2388" s="7"/>
      <c r="P2388" s="7"/>
      <c r="Q2388" s="7"/>
      <c r="R2388" s="14">
        <v>550</v>
      </c>
      <c r="S2388" s="7"/>
      <c r="T2388" s="7"/>
      <c r="U2388" s="14">
        <v>550</v>
      </c>
      <c r="V2388" s="7"/>
      <c r="W2388" s="7"/>
      <c r="X2388" s="7"/>
      <c r="Y2388" s="7"/>
      <c r="Z2388" s="12"/>
      <c r="AA2388" s="14">
        <v>550</v>
      </c>
    </row>
    <row r="2389" spans="1:27" outlineLevel="7">
      <c r="A2389" s="3500" t="s">
        <v>1140</v>
      </c>
      <c r="B2389" s="3500"/>
      <c r="C2389" s="12"/>
      <c r="D2389" s="12"/>
      <c r="E2389" s="12"/>
      <c r="F2389" s="7"/>
      <c r="G2389" s="7"/>
      <c r="H2389" s="8"/>
      <c r="I2389" s="9"/>
      <c r="J2389" s="7"/>
      <c r="K2389" s="7"/>
      <c r="L2389" s="7"/>
      <c r="M2389" s="7"/>
      <c r="N2389" s="7"/>
      <c r="O2389" s="7"/>
      <c r="P2389" s="7"/>
      <c r="Q2389" s="7"/>
      <c r="R2389" s="14">
        <v>550</v>
      </c>
      <c r="S2389" s="7"/>
      <c r="T2389" s="7"/>
      <c r="U2389" s="14">
        <v>550</v>
      </c>
      <c r="V2389" s="7"/>
      <c r="W2389" s="7"/>
      <c r="X2389" s="7"/>
      <c r="Y2389" s="7"/>
      <c r="Z2389" s="12"/>
      <c r="AA2389" s="14">
        <v>550</v>
      </c>
    </row>
    <row r="2390" spans="1:27" outlineLevel="7">
      <c r="A2390" s="3499" t="s">
        <v>2316</v>
      </c>
      <c r="B2390" s="3499"/>
      <c r="C2390" s="12"/>
      <c r="D2390" s="12"/>
      <c r="E2390" s="12"/>
      <c r="F2390" s="7"/>
      <c r="G2390" s="7"/>
      <c r="H2390" s="8"/>
      <c r="I2390" s="9"/>
      <c r="J2390" s="7"/>
      <c r="K2390" s="7"/>
      <c r="L2390" s="7"/>
      <c r="M2390" s="7"/>
      <c r="N2390" s="7"/>
      <c r="O2390" s="7"/>
      <c r="P2390" s="7"/>
      <c r="Q2390" s="7"/>
      <c r="R2390" s="14">
        <v>550</v>
      </c>
      <c r="S2390" s="7"/>
      <c r="T2390" s="7"/>
      <c r="U2390" s="14">
        <v>550</v>
      </c>
      <c r="V2390" s="7"/>
      <c r="W2390" s="7"/>
      <c r="X2390" s="7"/>
      <c r="Y2390" s="7"/>
      <c r="Z2390" s="12"/>
      <c r="AA2390" s="14">
        <v>550</v>
      </c>
    </row>
    <row r="2391" spans="1:27" outlineLevel="6">
      <c r="A2391" s="3501" t="s">
        <v>531</v>
      </c>
      <c r="B2391" s="3501"/>
      <c r="C2391" s="7"/>
      <c r="D2391" s="7"/>
      <c r="E2391" s="14">
        <v>550</v>
      </c>
      <c r="F2391" s="7"/>
      <c r="G2391" s="14">
        <v>550</v>
      </c>
      <c r="H2391" s="3523">
        <v>550</v>
      </c>
      <c r="I2391" s="3523"/>
      <c r="J2391" s="7"/>
      <c r="K2391" s="7"/>
      <c r="L2391" s="7"/>
      <c r="M2391" s="7"/>
      <c r="N2391" s="7"/>
      <c r="O2391" s="7"/>
      <c r="P2391" s="7"/>
      <c r="Q2391" s="7"/>
      <c r="R2391" s="14">
        <v>550</v>
      </c>
      <c r="S2391" s="7"/>
      <c r="T2391" s="7"/>
      <c r="U2391" s="14">
        <v>550</v>
      </c>
      <c r="V2391" s="7"/>
      <c r="W2391" s="7"/>
      <c r="X2391" s="7"/>
      <c r="Y2391" s="7"/>
      <c r="Z2391" s="7"/>
      <c r="AA2391" s="7"/>
    </row>
    <row r="2392" spans="1:27" outlineLevel="7">
      <c r="A2392" s="3500" t="s">
        <v>532</v>
      </c>
      <c r="B2392" s="3500"/>
      <c r="C2392" s="7"/>
      <c r="D2392" s="7"/>
      <c r="E2392" s="14">
        <v>550</v>
      </c>
      <c r="F2392" s="7"/>
      <c r="G2392" s="14">
        <v>550</v>
      </c>
      <c r="H2392" s="3523">
        <v>550</v>
      </c>
      <c r="I2392" s="3523"/>
      <c r="J2392" s="7"/>
      <c r="K2392" s="7"/>
      <c r="L2392" s="7"/>
      <c r="M2392" s="7"/>
      <c r="N2392" s="7"/>
      <c r="O2392" s="7"/>
      <c r="P2392" s="7"/>
      <c r="Q2392" s="7"/>
      <c r="R2392" s="14">
        <v>550</v>
      </c>
      <c r="S2392" s="7"/>
      <c r="T2392" s="7"/>
      <c r="U2392" s="14">
        <v>550</v>
      </c>
      <c r="V2392" s="7"/>
      <c r="W2392" s="7"/>
      <c r="X2392" s="7"/>
      <c r="Y2392" s="7"/>
      <c r="Z2392" s="7"/>
      <c r="AA2392" s="7"/>
    </row>
    <row r="2393" spans="1:27" outlineLevel="7">
      <c r="A2393" s="3499" t="s">
        <v>2317</v>
      </c>
      <c r="B2393" s="3499"/>
      <c r="C2393" s="7"/>
      <c r="D2393" s="7"/>
      <c r="E2393" s="14">
        <v>550</v>
      </c>
      <c r="F2393" s="7"/>
      <c r="G2393" s="14">
        <v>550</v>
      </c>
      <c r="H2393" s="3523">
        <v>550</v>
      </c>
      <c r="I2393" s="3523"/>
      <c r="J2393" s="7"/>
      <c r="K2393" s="7"/>
      <c r="L2393" s="7"/>
      <c r="M2393" s="7"/>
      <c r="N2393" s="7"/>
      <c r="O2393" s="7"/>
      <c r="P2393" s="7"/>
      <c r="Q2393" s="7"/>
      <c r="R2393" s="14">
        <v>550</v>
      </c>
      <c r="S2393" s="7"/>
      <c r="T2393" s="7"/>
      <c r="U2393" s="14">
        <v>550</v>
      </c>
      <c r="V2393" s="7"/>
      <c r="W2393" s="7"/>
      <c r="X2393" s="7"/>
      <c r="Y2393" s="7"/>
      <c r="Z2393" s="7"/>
      <c r="AA2393" s="7"/>
    </row>
    <row r="2394" spans="1:27" outlineLevel="6">
      <c r="A2394" s="3501" t="s">
        <v>533</v>
      </c>
      <c r="B2394" s="3501"/>
      <c r="C2394" s="12"/>
      <c r="D2394" s="14">
        <v>550</v>
      </c>
      <c r="E2394" s="14">
        <v>550</v>
      </c>
      <c r="F2394" s="7"/>
      <c r="G2394" s="14">
        <v>550</v>
      </c>
      <c r="H2394" s="3523">
        <v>550</v>
      </c>
      <c r="I2394" s="3523"/>
      <c r="J2394" s="7"/>
      <c r="K2394" s="7"/>
      <c r="L2394" s="7"/>
      <c r="M2394" s="7"/>
      <c r="N2394" s="7"/>
      <c r="O2394" s="7"/>
      <c r="P2394" s="7"/>
      <c r="Q2394" s="7"/>
      <c r="R2394" s="12"/>
      <c r="S2394" s="7"/>
      <c r="T2394" s="7"/>
      <c r="U2394" s="7"/>
      <c r="V2394" s="7"/>
      <c r="W2394" s="7"/>
      <c r="X2394" s="7"/>
      <c r="Y2394" s="7"/>
      <c r="Z2394" s="12"/>
      <c r="AA2394" s="12"/>
    </row>
    <row r="2395" spans="1:27" outlineLevel="7">
      <c r="A2395" s="3500" t="s">
        <v>534</v>
      </c>
      <c r="B2395" s="3500"/>
      <c r="C2395" s="12"/>
      <c r="D2395" s="14">
        <v>550</v>
      </c>
      <c r="E2395" s="14">
        <v>550</v>
      </c>
      <c r="F2395" s="7"/>
      <c r="G2395" s="14">
        <v>550</v>
      </c>
      <c r="H2395" s="3523">
        <v>550</v>
      </c>
      <c r="I2395" s="3523"/>
      <c r="J2395" s="7"/>
      <c r="K2395" s="7"/>
      <c r="L2395" s="7"/>
      <c r="M2395" s="7"/>
      <c r="N2395" s="7"/>
      <c r="O2395" s="7"/>
      <c r="P2395" s="7"/>
      <c r="Q2395" s="7"/>
      <c r="R2395" s="12"/>
      <c r="S2395" s="7"/>
      <c r="T2395" s="7"/>
      <c r="U2395" s="7"/>
      <c r="V2395" s="7"/>
      <c r="W2395" s="7"/>
      <c r="X2395" s="7"/>
      <c r="Y2395" s="7"/>
      <c r="Z2395" s="12"/>
      <c r="AA2395" s="12"/>
    </row>
    <row r="2396" spans="1:27" outlineLevel="7">
      <c r="A2396" s="3499" t="s">
        <v>2318</v>
      </c>
      <c r="B2396" s="3499"/>
      <c r="C2396" s="12"/>
      <c r="D2396" s="14">
        <v>550</v>
      </c>
      <c r="E2396" s="14">
        <v>550</v>
      </c>
      <c r="F2396" s="7"/>
      <c r="G2396" s="14">
        <v>550</v>
      </c>
      <c r="H2396" s="3523">
        <v>550</v>
      </c>
      <c r="I2396" s="3523"/>
      <c r="J2396" s="7"/>
      <c r="K2396" s="7"/>
      <c r="L2396" s="7"/>
      <c r="M2396" s="7"/>
      <c r="N2396" s="7"/>
      <c r="O2396" s="7"/>
      <c r="P2396" s="7"/>
      <c r="Q2396" s="7"/>
      <c r="R2396" s="12"/>
      <c r="S2396" s="7"/>
      <c r="T2396" s="7"/>
      <c r="U2396" s="7"/>
      <c r="V2396" s="7"/>
      <c r="W2396" s="7"/>
      <c r="X2396" s="7"/>
      <c r="Y2396" s="7"/>
      <c r="Z2396" s="12"/>
      <c r="AA2396" s="12"/>
    </row>
    <row r="2397" spans="1:27" outlineLevel="6">
      <c r="A2397" s="3501" t="s">
        <v>1141</v>
      </c>
      <c r="B2397" s="3501"/>
      <c r="C2397" s="12"/>
      <c r="D2397" s="12"/>
      <c r="E2397" s="12"/>
      <c r="F2397" s="7"/>
      <c r="G2397" s="7"/>
      <c r="H2397" s="8"/>
      <c r="I2397" s="9"/>
      <c r="J2397" s="7"/>
      <c r="K2397" s="7"/>
      <c r="L2397" s="7"/>
      <c r="M2397" s="7"/>
      <c r="N2397" s="7"/>
      <c r="O2397" s="7"/>
      <c r="P2397" s="7"/>
      <c r="Q2397" s="7"/>
      <c r="R2397" s="14">
        <v>550</v>
      </c>
      <c r="S2397" s="7"/>
      <c r="T2397" s="7"/>
      <c r="U2397" s="14">
        <v>550</v>
      </c>
      <c r="V2397" s="7"/>
      <c r="W2397" s="7"/>
      <c r="X2397" s="7"/>
      <c r="Y2397" s="7"/>
      <c r="Z2397" s="12"/>
      <c r="AA2397" s="14">
        <v>550</v>
      </c>
    </row>
    <row r="2398" spans="1:27" outlineLevel="7">
      <c r="A2398" s="3500" t="s">
        <v>1142</v>
      </c>
      <c r="B2398" s="3500"/>
      <c r="C2398" s="12"/>
      <c r="D2398" s="12"/>
      <c r="E2398" s="12"/>
      <c r="F2398" s="7"/>
      <c r="G2398" s="7"/>
      <c r="H2398" s="8"/>
      <c r="I2398" s="9"/>
      <c r="J2398" s="7"/>
      <c r="K2398" s="7"/>
      <c r="L2398" s="7"/>
      <c r="M2398" s="7"/>
      <c r="N2398" s="7"/>
      <c r="O2398" s="7"/>
      <c r="P2398" s="7"/>
      <c r="Q2398" s="7"/>
      <c r="R2398" s="14">
        <v>550</v>
      </c>
      <c r="S2398" s="7"/>
      <c r="T2398" s="7"/>
      <c r="U2398" s="14">
        <v>550</v>
      </c>
      <c r="V2398" s="7"/>
      <c r="W2398" s="7"/>
      <c r="X2398" s="7"/>
      <c r="Y2398" s="7"/>
      <c r="Z2398" s="12"/>
      <c r="AA2398" s="14">
        <v>550</v>
      </c>
    </row>
    <row r="2399" spans="1:27" outlineLevel="7">
      <c r="A2399" s="3499" t="s">
        <v>2319</v>
      </c>
      <c r="B2399" s="3499"/>
      <c r="C2399" s="12"/>
      <c r="D2399" s="12"/>
      <c r="E2399" s="12"/>
      <c r="F2399" s="7"/>
      <c r="G2399" s="7"/>
      <c r="H2399" s="8"/>
      <c r="I2399" s="9"/>
      <c r="J2399" s="7"/>
      <c r="K2399" s="7"/>
      <c r="L2399" s="7"/>
      <c r="M2399" s="7"/>
      <c r="N2399" s="7"/>
      <c r="O2399" s="7"/>
      <c r="P2399" s="7"/>
      <c r="Q2399" s="7"/>
      <c r="R2399" s="14">
        <v>550</v>
      </c>
      <c r="S2399" s="7"/>
      <c r="T2399" s="7"/>
      <c r="U2399" s="14">
        <v>550</v>
      </c>
      <c r="V2399" s="7"/>
      <c r="W2399" s="7"/>
      <c r="X2399" s="7"/>
      <c r="Y2399" s="7"/>
      <c r="Z2399" s="12"/>
      <c r="AA2399" s="14">
        <v>550</v>
      </c>
    </row>
    <row r="2400" spans="1:27" outlineLevel="6">
      <c r="A2400" s="3501" t="s">
        <v>535</v>
      </c>
      <c r="B2400" s="3501"/>
      <c r="C2400" s="7"/>
      <c r="D2400" s="7"/>
      <c r="E2400" s="14">
        <v>550</v>
      </c>
      <c r="F2400" s="7"/>
      <c r="G2400" s="14">
        <v>550</v>
      </c>
      <c r="H2400" s="3523">
        <v>550</v>
      </c>
      <c r="I2400" s="3523"/>
      <c r="J2400" s="7"/>
      <c r="K2400" s="7"/>
      <c r="L2400" s="7"/>
      <c r="M2400" s="7"/>
      <c r="N2400" s="7"/>
      <c r="O2400" s="7"/>
      <c r="P2400" s="7"/>
      <c r="Q2400" s="7"/>
      <c r="R2400" s="14">
        <v>550</v>
      </c>
      <c r="S2400" s="7"/>
      <c r="T2400" s="7"/>
      <c r="U2400" s="14">
        <v>550</v>
      </c>
      <c r="V2400" s="7"/>
      <c r="W2400" s="7"/>
      <c r="X2400" s="7"/>
      <c r="Y2400" s="7"/>
      <c r="Z2400" s="7"/>
      <c r="AA2400" s="7"/>
    </row>
    <row r="2401" spans="1:27" outlineLevel="7">
      <c r="A2401" s="3500" t="s">
        <v>536</v>
      </c>
      <c r="B2401" s="3500"/>
      <c r="C2401" s="7"/>
      <c r="D2401" s="7"/>
      <c r="E2401" s="14">
        <v>550</v>
      </c>
      <c r="F2401" s="7"/>
      <c r="G2401" s="14">
        <v>550</v>
      </c>
      <c r="H2401" s="3523">
        <v>550</v>
      </c>
      <c r="I2401" s="3523"/>
      <c r="J2401" s="7"/>
      <c r="K2401" s="7"/>
      <c r="L2401" s="7"/>
      <c r="M2401" s="7"/>
      <c r="N2401" s="7"/>
      <c r="O2401" s="7"/>
      <c r="P2401" s="7"/>
      <c r="Q2401" s="7"/>
      <c r="R2401" s="14">
        <v>550</v>
      </c>
      <c r="S2401" s="7"/>
      <c r="T2401" s="7"/>
      <c r="U2401" s="14">
        <v>550</v>
      </c>
      <c r="V2401" s="7"/>
      <c r="W2401" s="7"/>
      <c r="X2401" s="7"/>
      <c r="Y2401" s="7"/>
      <c r="Z2401" s="7"/>
      <c r="AA2401" s="7"/>
    </row>
    <row r="2402" spans="1:27" outlineLevel="7">
      <c r="A2402" s="3499" t="s">
        <v>2320</v>
      </c>
      <c r="B2402" s="3499"/>
      <c r="C2402" s="7"/>
      <c r="D2402" s="7"/>
      <c r="E2402" s="14">
        <v>550</v>
      </c>
      <c r="F2402" s="7"/>
      <c r="G2402" s="14">
        <v>550</v>
      </c>
      <c r="H2402" s="3523">
        <v>550</v>
      </c>
      <c r="I2402" s="3523"/>
      <c r="J2402" s="7"/>
      <c r="K2402" s="7"/>
      <c r="L2402" s="7"/>
      <c r="M2402" s="7"/>
      <c r="N2402" s="7"/>
      <c r="O2402" s="7"/>
      <c r="P2402" s="7"/>
      <c r="Q2402" s="7"/>
      <c r="R2402" s="14">
        <v>550</v>
      </c>
      <c r="S2402" s="7"/>
      <c r="T2402" s="7"/>
      <c r="U2402" s="14">
        <v>550</v>
      </c>
      <c r="V2402" s="7"/>
      <c r="W2402" s="7"/>
      <c r="X2402" s="7"/>
      <c r="Y2402" s="7"/>
      <c r="Z2402" s="7"/>
      <c r="AA2402" s="7"/>
    </row>
    <row r="2403" spans="1:27" outlineLevel="6">
      <c r="A2403" s="3501" t="s">
        <v>537</v>
      </c>
      <c r="B2403" s="3501"/>
      <c r="C2403" s="7"/>
      <c r="D2403" s="7"/>
      <c r="E2403" s="14">
        <v>550</v>
      </c>
      <c r="F2403" s="7"/>
      <c r="G2403" s="14">
        <v>550</v>
      </c>
      <c r="H2403" s="3523">
        <v>550</v>
      </c>
      <c r="I2403" s="3523"/>
      <c r="J2403" s="7"/>
      <c r="K2403" s="7"/>
      <c r="L2403" s="7"/>
      <c r="M2403" s="7"/>
      <c r="N2403" s="7"/>
      <c r="O2403" s="7"/>
      <c r="P2403" s="7"/>
      <c r="Q2403" s="7"/>
      <c r="R2403" s="14">
        <v>550</v>
      </c>
      <c r="S2403" s="7"/>
      <c r="T2403" s="7"/>
      <c r="U2403" s="14">
        <v>550</v>
      </c>
      <c r="V2403" s="7"/>
      <c r="W2403" s="7"/>
      <c r="X2403" s="7"/>
      <c r="Y2403" s="7"/>
      <c r="Z2403" s="7"/>
      <c r="AA2403" s="7"/>
    </row>
    <row r="2404" spans="1:27" outlineLevel="7">
      <c r="A2404" s="3500" t="s">
        <v>538</v>
      </c>
      <c r="B2404" s="3500"/>
      <c r="C2404" s="7"/>
      <c r="D2404" s="7"/>
      <c r="E2404" s="14">
        <v>550</v>
      </c>
      <c r="F2404" s="7"/>
      <c r="G2404" s="14">
        <v>550</v>
      </c>
      <c r="H2404" s="3523">
        <v>550</v>
      </c>
      <c r="I2404" s="3523"/>
      <c r="J2404" s="7"/>
      <c r="K2404" s="7"/>
      <c r="L2404" s="7"/>
      <c r="M2404" s="7"/>
      <c r="N2404" s="7"/>
      <c r="O2404" s="7"/>
      <c r="P2404" s="7"/>
      <c r="Q2404" s="7"/>
      <c r="R2404" s="14">
        <v>550</v>
      </c>
      <c r="S2404" s="7"/>
      <c r="T2404" s="7"/>
      <c r="U2404" s="14">
        <v>550</v>
      </c>
      <c r="V2404" s="7"/>
      <c r="W2404" s="7"/>
      <c r="X2404" s="7"/>
      <c r="Y2404" s="7"/>
      <c r="Z2404" s="7"/>
      <c r="AA2404" s="7"/>
    </row>
    <row r="2405" spans="1:27" outlineLevel="7">
      <c r="A2405" s="3499" t="s">
        <v>2321</v>
      </c>
      <c r="B2405" s="3499"/>
      <c r="C2405" s="7"/>
      <c r="D2405" s="7"/>
      <c r="E2405" s="14">
        <v>550</v>
      </c>
      <c r="F2405" s="7"/>
      <c r="G2405" s="14">
        <v>550</v>
      </c>
      <c r="H2405" s="3523">
        <v>550</v>
      </c>
      <c r="I2405" s="3523"/>
      <c r="J2405" s="7"/>
      <c r="K2405" s="7"/>
      <c r="L2405" s="7"/>
      <c r="M2405" s="7"/>
      <c r="N2405" s="7"/>
      <c r="O2405" s="7"/>
      <c r="P2405" s="7"/>
      <c r="Q2405" s="7"/>
      <c r="R2405" s="14">
        <v>550</v>
      </c>
      <c r="S2405" s="7"/>
      <c r="T2405" s="7"/>
      <c r="U2405" s="14">
        <v>550</v>
      </c>
      <c r="V2405" s="7"/>
      <c r="W2405" s="7"/>
      <c r="X2405" s="7"/>
      <c r="Y2405" s="7"/>
      <c r="Z2405" s="7"/>
      <c r="AA2405" s="7"/>
    </row>
    <row r="2406" spans="1:27" outlineLevel="6">
      <c r="A2406" s="3501" t="s">
        <v>1143</v>
      </c>
      <c r="B2406" s="3501"/>
      <c r="C2406" s="12"/>
      <c r="D2406" s="12"/>
      <c r="E2406" s="12"/>
      <c r="F2406" s="7"/>
      <c r="G2406" s="7"/>
      <c r="H2406" s="8"/>
      <c r="I2406" s="9"/>
      <c r="J2406" s="7"/>
      <c r="K2406" s="7"/>
      <c r="L2406" s="7"/>
      <c r="M2406" s="7"/>
      <c r="N2406" s="7"/>
      <c r="O2406" s="7"/>
      <c r="P2406" s="7"/>
      <c r="Q2406" s="7"/>
      <c r="R2406" s="14">
        <v>550</v>
      </c>
      <c r="S2406" s="7"/>
      <c r="T2406" s="7"/>
      <c r="U2406" s="14">
        <v>550</v>
      </c>
      <c r="V2406" s="7"/>
      <c r="W2406" s="7"/>
      <c r="X2406" s="7"/>
      <c r="Y2406" s="7"/>
      <c r="Z2406" s="12"/>
      <c r="AA2406" s="14">
        <v>550</v>
      </c>
    </row>
    <row r="2407" spans="1:27" outlineLevel="7">
      <c r="A2407" s="3500" t="s">
        <v>1144</v>
      </c>
      <c r="B2407" s="3500"/>
      <c r="C2407" s="12"/>
      <c r="D2407" s="12"/>
      <c r="E2407" s="12"/>
      <c r="F2407" s="7"/>
      <c r="G2407" s="7"/>
      <c r="H2407" s="8"/>
      <c r="I2407" s="9"/>
      <c r="J2407" s="7"/>
      <c r="K2407" s="7"/>
      <c r="L2407" s="7"/>
      <c r="M2407" s="7"/>
      <c r="N2407" s="7"/>
      <c r="O2407" s="7"/>
      <c r="P2407" s="7"/>
      <c r="Q2407" s="7"/>
      <c r="R2407" s="14">
        <v>550</v>
      </c>
      <c r="S2407" s="7"/>
      <c r="T2407" s="7"/>
      <c r="U2407" s="14">
        <v>550</v>
      </c>
      <c r="V2407" s="7"/>
      <c r="W2407" s="7"/>
      <c r="X2407" s="7"/>
      <c r="Y2407" s="7"/>
      <c r="Z2407" s="12"/>
      <c r="AA2407" s="14">
        <v>550</v>
      </c>
    </row>
    <row r="2408" spans="1:27" outlineLevel="7">
      <c r="A2408" s="3499" t="s">
        <v>2322</v>
      </c>
      <c r="B2408" s="3499"/>
      <c r="C2408" s="12"/>
      <c r="D2408" s="12"/>
      <c r="E2408" s="12"/>
      <c r="F2408" s="7"/>
      <c r="G2408" s="7"/>
      <c r="H2408" s="8"/>
      <c r="I2408" s="9"/>
      <c r="J2408" s="7"/>
      <c r="K2408" s="7"/>
      <c r="L2408" s="7"/>
      <c r="M2408" s="7"/>
      <c r="N2408" s="7"/>
      <c r="O2408" s="7"/>
      <c r="P2408" s="7"/>
      <c r="Q2408" s="7"/>
      <c r="R2408" s="14">
        <v>550</v>
      </c>
      <c r="S2408" s="7"/>
      <c r="T2408" s="7"/>
      <c r="U2408" s="14">
        <v>550</v>
      </c>
      <c r="V2408" s="7"/>
      <c r="W2408" s="7"/>
      <c r="X2408" s="7"/>
      <c r="Y2408" s="7"/>
      <c r="Z2408" s="12"/>
      <c r="AA2408" s="14">
        <v>550</v>
      </c>
    </row>
    <row r="2409" spans="1:27" outlineLevel="6">
      <c r="A2409" s="3501" t="s">
        <v>539</v>
      </c>
      <c r="B2409" s="3501"/>
      <c r="C2409" s="12"/>
      <c r="D2409" s="12"/>
      <c r="E2409" s="13">
        <v>5046.8599999999997</v>
      </c>
      <c r="F2409" s="7"/>
      <c r="G2409" s="13">
        <v>5046.8599999999997</v>
      </c>
      <c r="H2409" s="3524">
        <v>5046.8599999999997</v>
      </c>
      <c r="I2409" s="3524"/>
      <c r="J2409" s="7"/>
      <c r="K2409" s="7"/>
      <c r="L2409" s="7"/>
      <c r="M2409" s="7"/>
      <c r="N2409" s="7"/>
      <c r="O2409" s="7"/>
      <c r="P2409" s="7"/>
      <c r="Q2409" s="7"/>
      <c r="R2409" s="13">
        <v>14040.58</v>
      </c>
      <c r="S2409" s="7"/>
      <c r="T2409" s="7"/>
      <c r="U2409" s="13">
        <v>14040.58</v>
      </c>
      <c r="V2409" s="7"/>
      <c r="W2409" s="7"/>
      <c r="X2409" s="7"/>
      <c r="Y2409" s="7"/>
      <c r="Z2409" s="12"/>
      <c r="AA2409" s="13">
        <v>8993.7199999999993</v>
      </c>
    </row>
    <row r="2410" spans="1:27" outlineLevel="7">
      <c r="A2410" s="3500" t="s">
        <v>540</v>
      </c>
      <c r="B2410" s="3500"/>
      <c r="C2410" s="7"/>
      <c r="D2410" s="7"/>
      <c r="E2410" s="14">
        <v>550</v>
      </c>
      <c r="F2410" s="7"/>
      <c r="G2410" s="14">
        <v>550</v>
      </c>
      <c r="H2410" s="3523">
        <v>550</v>
      </c>
      <c r="I2410" s="3523"/>
      <c r="J2410" s="7"/>
      <c r="K2410" s="7"/>
      <c r="L2410" s="7"/>
      <c r="M2410" s="7"/>
      <c r="N2410" s="7"/>
      <c r="O2410" s="7"/>
      <c r="P2410" s="7"/>
      <c r="Q2410" s="7"/>
      <c r="R2410" s="14">
        <v>550</v>
      </c>
      <c r="S2410" s="7"/>
      <c r="T2410" s="7"/>
      <c r="U2410" s="14">
        <v>550</v>
      </c>
      <c r="V2410" s="7"/>
      <c r="W2410" s="7"/>
      <c r="X2410" s="7"/>
      <c r="Y2410" s="7"/>
      <c r="Z2410" s="7"/>
      <c r="AA2410" s="7"/>
    </row>
    <row r="2411" spans="1:27" outlineLevel="7">
      <c r="A2411" s="3499" t="s">
        <v>2323</v>
      </c>
      <c r="B2411" s="3499"/>
      <c r="C2411" s="7"/>
      <c r="D2411" s="7"/>
      <c r="E2411" s="14">
        <v>550</v>
      </c>
      <c r="F2411" s="7"/>
      <c r="G2411" s="14">
        <v>550</v>
      </c>
      <c r="H2411" s="3523">
        <v>550</v>
      </c>
      <c r="I2411" s="3523"/>
      <c r="J2411" s="7"/>
      <c r="K2411" s="7"/>
      <c r="L2411" s="7"/>
      <c r="M2411" s="7"/>
      <c r="N2411" s="7"/>
      <c r="O2411" s="7"/>
      <c r="P2411" s="7"/>
      <c r="Q2411" s="7"/>
      <c r="R2411" s="14">
        <v>550</v>
      </c>
      <c r="S2411" s="7"/>
      <c r="T2411" s="7"/>
      <c r="U2411" s="14">
        <v>550</v>
      </c>
      <c r="V2411" s="7"/>
      <c r="W2411" s="7"/>
      <c r="X2411" s="7"/>
      <c r="Y2411" s="7"/>
      <c r="Z2411" s="7"/>
      <c r="AA2411" s="7"/>
    </row>
    <row r="2412" spans="1:27" outlineLevel="7">
      <c r="A2412" s="3500" t="s">
        <v>541</v>
      </c>
      <c r="B2412" s="3500"/>
      <c r="C2412" s="7"/>
      <c r="D2412" s="7"/>
      <c r="E2412" s="13">
        <v>4496.8599999999997</v>
      </c>
      <c r="F2412" s="7"/>
      <c r="G2412" s="13">
        <v>4496.8599999999997</v>
      </c>
      <c r="H2412" s="3524">
        <v>4496.8599999999997</v>
      </c>
      <c r="I2412" s="3524"/>
      <c r="J2412" s="7"/>
      <c r="K2412" s="7"/>
      <c r="L2412" s="7"/>
      <c r="M2412" s="7"/>
      <c r="N2412" s="7"/>
      <c r="O2412" s="7"/>
      <c r="P2412" s="7"/>
      <c r="Q2412" s="7"/>
      <c r="R2412" s="13">
        <v>4496.8599999999997</v>
      </c>
      <c r="S2412" s="7"/>
      <c r="T2412" s="7"/>
      <c r="U2412" s="13">
        <v>4496.8599999999997</v>
      </c>
      <c r="V2412" s="7"/>
      <c r="W2412" s="7"/>
      <c r="X2412" s="7"/>
      <c r="Y2412" s="7"/>
      <c r="Z2412" s="7"/>
      <c r="AA2412" s="7"/>
    </row>
    <row r="2413" spans="1:27" outlineLevel="7">
      <c r="A2413" s="3499" t="s">
        <v>2324</v>
      </c>
      <c r="B2413" s="3499"/>
      <c r="C2413" s="7"/>
      <c r="D2413" s="7"/>
      <c r="E2413" s="13">
        <v>4496.8599999999997</v>
      </c>
      <c r="F2413" s="7"/>
      <c r="G2413" s="13">
        <v>4496.8599999999997</v>
      </c>
      <c r="H2413" s="3524">
        <v>4496.8599999999997</v>
      </c>
      <c r="I2413" s="3524"/>
      <c r="J2413" s="7"/>
      <c r="K2413" s="7"/>
      <c r="L2413" s="7"/>
      <c r="M2413" s="7"/>
      <c r="N2413" s="7"/>
      <c r="O2413" s="7"/>
      <c r="P2413" s="7"/>
      <c r="Q2413" s="7"/>
      <c r="R2413" s="13">
        <v>4496.8599999999997</v>
      </c>
      <c r="S2413" s="7"/>
      <c r="T2413" s="7"/>
      <c r="U2413" s="13">
        <v>4496.8599999999997</v>
      </c>
      <c r="V2413" s="7"/>
      <c r="W2413" s="7"/>
      <c r="X2413" s="7"/>
      <c r="Y2413" s="7"/>
      <c r="Z2413" s="7"/>
      <c r="AA2413" s="7"/>
    </row>
    <row r="2414" spans="1:27" outlineLevel="7">
      <c r="A2414" s="3500" t="s">
        <v>1145</v>
      </c>
      <c r="B2414" s="3500"/>
      <c r="C2414" s="12"/>
      <c r="D2414" s="12"/>
      <c r="E2414" s="12"/>
      <c r="F2414" s="7"/>
      <c r="G2414" s="7"/>
      <c r="H2414" s="8"/>
      <c r="I2414" s="9"/>
      <c r="J2414" s="7"/>
      <c r="K2414" s="7"/>
      <c r="L2414" s="7"/>
      <c r="M2414" s="7"/>
      <c r="N2414" s="7"/>
      <c r="O2414" s="7"/>
      <c r="P2414" s="7"/>
      <c r="Q2414" s="7"/>
      <c r="R2414" s="13">
        <v>4496.8599999999997</v>
      </c>
      <c r="S2414" s="7"/>
      <c r="T2414" s="7"/>
      <c r="U2414" s="13">
        <v>4496.8599999999997</v>
      </c>
      <c r="V2414" s="7"/>
      <c r="W2414" s="7"/>
      <c r="X2414" s="7"/>
      <c r="Y2414" s="7"/>
      <c r="Z2414" s="12"/>
      <c r="AA2414" s="13">
        <v>4496.8599999999997</v>
      </c>
    </row>
    <row r="2415" spans="1:27" outlineLevel="7">
      <c r="A2415" s="3499" t="s">
        <v>2325</v>
      </c>
      <c r="B2415" s="3499"/>
      <c r="C2415" s="12"/>
      <c r="D2415" s="12"/>
      <c r="E2415" s="12"/>
      <c r="F2415" s="7"/>
      <c r="G2415" s="7"/>
      <c r="H2415" s="8"/>
      <c r="I2415" s="9"/>
      <c r="J2415" s="7"/>
      <c r="K2415" s="7"/>
      <c r="L2415" s="7"/>
      <c r="M2415" s="7"/>
      <c r="N2415" s="7"/>
      <c r="O2415" s="7"/>
      <c r="P2415" s="7"/>
      <c r="Q2415" s="7"/>
      <c r="R2415" s="13">
        <v>4496.8599999999997</v>
      </c>
      <c r="S2415" s="7"/>
      <c r="T2415" s="7"/>
      <c r="U2415" s="13">
        <v>4496.8599999999997</v>
      </c>
      <c r="V2415" s="7"/>
      <c r="W2415" s="7"/>
      <c r="X2415" s="7"/>
      <c r="Y2415" s="7"/>
      <c r="Z2415" s="12"/>
      <c r="AA2415" s="13">
        <v>4496.8599999999997</v>
      </c>
    </row>
    <row r="2416" spans="1:27" outlineLevel="7">
      <c r="A2416" s="3500" t="s">
        <v>1146</v>
      </c>
      <c r="B2416" s="3500"/>
      <c r="C2416" s="12"/>
      <c r="D2416" s="12"/>
      <c r="E2416" s="12"/>
      <c r="F2416" s="7"/>
      <c r="G2416" s="7"/>
      <c r="H2416" s="8"/>
      <c r="I2416" s="9"/>
      <c r="J2416" s="7"/>
      <c r="K2416" s="7"/>
      <c r="L2416" s="7"/>
      <c r="M2416" s="7"/>
      <c r="N2416" s="7"/>
      <c r="O2416" s="7"/>
      <c r="P2416" s="7"/>
      <c r="Q2416" s="7"/>
      <c r="R2416" s="13">
        <v>4496.8599999999997</v>
      </c>
      <c r="S2416" s="7"/>
      <c r="T2416" s="7"/>
      <c r="U2416" s="13">
        <v>4496.8599999999997</v>
      </c>
      <c r="V2416" s="7"/>
      <c r="W2416" s="7"/>
      <c r="X2416" s="7"/>
      <c r="Y2416" s="7"/>
      <c r="Z2416" s="12"/>
      <c r="AA2416" s="13">
        <v>4496.8599999999997</v>
      </c>
    </row>
    <row r="2417" spans="1:27" outlineLevel="7">
      <c r="A2417" s="3499" t="s">
        <v>2326</v>
      </c>
      <c r="B2417" s="3499"/>
      <c r="C2417" s="12"/>
      <c r="D2417" s="12"/>
      <c r="E2417" s="12"/>
      <c r="F2417" s="7"/>
      <c r="G2417" s="7"/>
      <c r="H2417" s="8"/>
      <c r="I2417" s="9"/>
      <c r="J2417" s="7"/>
      <c r="K2417" s="7"/>
      <c r="L2417" s="7"/>
      <c r="M2417" s="7"/>
      <c r="N2417" s="7"/>
      <c r="O2417" s="7"/>
      <c r="P2417" s="7"/>
      <c r="Q2417" s="7"/>
      <c r="R2417" s="13">
        <v>4496.8599999999997</v>
      </c>
      <c r="S2417" s="7"/>
      <c r="T2417" s="7"/>
      <c r="U2417" s="13">
        <v>4496.8599999999997</v>
      </c>
      <c r="V2417" s="7"/>
      <c r="W2417" s="7"/>
      <c r="X2417" s="7"/>
      <c r="Y2417" s="7"/>
      <c r="Z2417" s="12"/>
      <c r="AA2417" s="13">
        <v>4496.8599999999997</v>
      </c>
    </row>
    <row r="2418" spans="1:27" outlineLevel="6">
      <c r="A2418" s="3501" t="s">
        <v>1147</v>
      </c>
      <c r="B2418" s="3501"/>
      <c r="C2418" s="12"/>
      <c r="D2418" s="12"/>
      <c r="E2418" s="12"/>
      <c r="F2418" s="7"/>
      <c r="G2418" s="7"/>
      <c r="H2418" s="8"/>
      <c r="I2418" s="9"/>
      <c r="J2418" s="7"/>
      <c r="K2418" s="7"/>
      <c r="L2418" s="7"/>
      <c r="M2418" s="7"/>
      <c r="N2418" s="7"/>
      <c r="O2418" s="7"/>
      <c r="P2418" s="7"/>
      <c r="Q2418" s="7"/>
      <c r="R2418" s="14">
        <v>550</v>
      </c>
      <c r="S2418" s="7"/>
      <c r="T2418" s="7"/>
      <c r="U2418" s="14">
        <v>550</v>
      </c>
      <c r="V2418" s="7"/>
      <c r="W2418" s="7"/>
      <c r="X2418" s="7"/>
      <c r="Y2418" s="7"/>
      <c r="Z2418" s="12"/>
      <c r="AA2418" s="14">
        <v>550</v>
      </c>
    </row>
    <row r="2419" spans="1:27" outlineLevel="7">
      <c r="A2419" s="3500" t="s">
        <v>1148</v>
      </c>
      <c r="B2419" s="3500"/>
      <c r="C2419" s="12"/>
      <c r="D2419" s="12"/>
      <c r="E2419" s="12"/>
      <c r="F2419" s="7"/>
      <c r="G2419" s="7"/>
      <c r="H2419" s="8"/>
      <c r="I2419" s="9"/>
      <c r="J2419" s="7"/>
      <c r="K2419" s="7"/>
      <c r="L2419" s="7"/>
      <c r="M2419" s="7"/>
      <c r="N2419" s="7"/>
      <c r="O2419" s="7"/>
      <c r="P2419" s="7"/>
      <c r="Q2419" s="7"/>
      <c r="R2419" s="14">
        <v>550</v>
      </c>
      <c r="S2419" s="7"/>
      <c r="T2419" s="7"/>
      <c r="U2419" s="14">
        <v>550</v>
      </c>
      <c r="V2419" s="7"/>
      <c r="W2419" s="7"/>
      <c r="X2419" s="7"/>
      <c r="Y2419" s="7"/>
      <c r="Z2419" s="12"/>
      <c r="AA2419" s="14">
        <v>550</v>
      </c>
    </row>
    <row r="2420" spans="1:27" outlineLevel="7">
      <c r="A2420" s="3499" t="s">
        <v>2327</v>
      </c>
      <c r="B2420" s="3499"/>
      <c r="C2420" s="12"/>
      <c r="D2420" s="12"/>
      <c r="E2420" s="12"/>
      <c r="F2420" s="7"/>
      <c r="G2420" s="7"/>
      <c r="H2420" s="8"/>
      <c r="I2420" s="9"/>
      <c r="J2420" s="7"/>
      <c r="K2420" s="7"/>
      <c r="L2420" s="7"/>
      <c r="M2420" s="7"/>
      <c r="N2420" s="7"/>
      <c r="O2420" s="7"/>
      <c r="P2420" s="7"/>
      <c r="Q2420" s="7"/>
      <c r="R2420" s="14">
        <v>550</v>
      </c>
      <c r="S2420" s="7"/>
      <c r="T2420" s="7"/>
      <c r="U2420" s="14">
        <v>550</v>
      </c>
      <c r="V2420" s="7"/>
      <c r="W2420" s="7"/>
      <c r="X2420" s="7"/>
      <c r="Y2420" s="7"/>
      <c r="Z2420" s="12"/>
      <c r="AA2420" s="14">
        <v>550</v>
      </c>
    </row>
    <row r="2421" spans="1:27" outlineLevel="6">
      <c r="A2421" s="3501" t="s">
        <v>1149</v>
      </c>
      <c r="B2421" s="3501"/>
      <c r="C2421" s="12"/>
      <c r="D2421" s="12"/>
      <c r="E2421" s="12"/>
      <c r="F2421" s="7"/>
      <c r="G2421" s="7"/>
      <c r="H2421" s="8"/>
      <c r="I2421" s="9"/>
      <c r="J2421" s="7"/>
      <c r="K2421" s="7"/>
      <c r="L2421" s="7"/>
      <c r="M2421" s="7"/>
      <c r="N2421" s="7"/>
      <c r="O2421" s="7"/>
      <c r="P2421" s="7"/>
      <c r="Q2421" s="7"/>
      <c r="R2421" s="14">
        <v>550</v>
      </c>
      <c r="S2421" s="7"/>
      <c r="T2421" s="7"/>
      <c r="U2421" s="14">
        <v>550</v>
      </c>
      <c r="V2421" s="7"/>
      <c r="W2421" s="7"/>
      <c r="X2421" s="7"/>
      <c r="Y2421" s="7"/>
      <c r="Z2421" s="12"/>
      <c r="AA2421" s="14">
        <v>550</v>
      </c>
    </row>
    <row r="2422" spans="1:27" outlineLevel="7">
      <c r="A2422" s="3500" t="s">
        <v>1150</v>
      </c>
      <c r="B2422" s="3500"/>
      <c r="C2422" s="12"/>
      <c r="D2422" s="12"/>
      <c r="E2422" s="12"/>
      <c r="F2422" s="7"/>
      <c r="G2422" s="7"/>
      <c r="H2422" s="8"/>
      <c r="I2422" s="9"/>
      <c r="J2422" s="7"/>
      <c r="K2422" s="7"/>
      <c r="L2422" s="7"/>
      <c r="M2422" s="7"/>
      <c r="N2422" s="7"/>
      <c r="O2422" s="7"/>
      <c r="P2422" s="7"/>
      <c r="Q2422" s="7"/>
      <c r="R2422" s="14">
        <v>550</v>
      </c>
      <c r="S2422" s="7"/>
      <c r="T2422" s="7"/>
      <c r="U2422" s="14">
        <v>550</v>
      </c>
      <c r="V2422" s="7"/>
      <c r="W2422" s="7"/>
      <c r="X2422" s="7"/>
      <c r="Y2422" s="7"/>
      <c r="Z2422" s="12"/>
      <c r="AA2422" s="14">
        <v>550</v>
      </c>
    </row>
    <row r="2423" spans="1:27" outlineLevel="7">
      <c r="A2423" s="3499" t="s">
        <v>2328</v>
      </c>
      <c r="B2423" s="3499"/>
      <c r="C2423" s="12"/>
      <c r="D2423" s="12"/>
      <c r="E2423" s="12"/>
      <c r="F2423" s="7"/>
      <c r="G2423" s="7"/>
      <c r="H2423" s="8"/>
      <c r="I2423" s="9"/>
      <c r="J2423" s="7"/>
      <c r="K2423" s="7"/>
      <c r="L2423" s="7"/>
      <c r="M2423" s="7"/>
      <c r="N2423" s="7"/>
      <c r="O2423" s="7"/>
      <c r="P2423" s="7"/>
      <c r="Q2423" s="7"/>
      <c r="R2423" s="14">
        <v>550</v>
      </c>
      <c r="S2423" s="7"/>
      <c r="T2423" s="7"/>
      <c r="U2423" s="14">
        <v>550</v>
      </c>
      <c r="V2423" s="7"/>
      <c r="W2423" s="7"/>
      <c r="X2423" s="7"/>
      <c r="Y2423" s="7"/>
      <c r="Z2423" s="12"/>
      <c r="AA2423" s="14">
        <v>550</v>
      </c>
    </row>
    <row r="2424" spans="1:27" outlineLevel="6">
      <c r="A2424" s="3501" t="s">
        <v>542</v>
      </c>
      <c r="B2424" s="3501"/>
      <c r="C2424" s="12"/>
      <c r="D2424" s="14">
        <v>550</v>
      </c>
      <c r="E2424" s="14">
        <v>550</v>
      </c>
      <c r="F2424" s="7"/>
      <c r="G2424" s="14">
        <v>550</v>
      </c>
      <c r="H2424" s="3523">
        <v>550</v>
      </c>
      <c r="I2424" s="3523"/>
      <c r="J2424" s="7"/>
      <c r="K2424" s="7"/>
      <c r="L2424" s="7"/>
      <c r="M2424" s="7"/>
      <c r="N2424" s="7"/>
      <c r="O2424" s="7"/>
      <c r="P2424" s="7"/>
      <c r="Q2424" s="7"/>
      <c r="R2424" s="12"/>
      <c r="S2424" s="7"/>
      <c r="T2424" s="7"/>
      <c r="U2424" s="7"/>
      <c r="V2424" s="7"/>
      <c r="W2424" s="7"/>
      <c r="X2424" s="7"/>
      <c r="Y2424" s="7"/>
      <c r="Z2424" s="12"/>
      <c r="AA2424" s="12"/>
    </row>
    <row r="2425" spans="1:27" outlineLevel="7">
      <c r="A2425" s="3500" t="s">
        <v>543</v>
      </c>
      <c r="B2425" s="3500"/>
      <c r="C2425" s="12"/>
      <c r="D2425" s="14">
        <v>550</v>
      </c>
      <c r="E2425" s="14">
        <v>550</v>
      </c>
      <c r="F2425" s="7"/>
      <c r="G2425" s="14">
        <v>550</v>
      </c>
      <c r="H2425" s="3523">
        <v>550</v>
      </c>
      <c r="I2425" s="3523"/>
      <c r="J2425" s="7"/>
      <c r="K2425" s="7"/>
      <c r="L2425" s="7"/>
      <c r="M2425" s="7"/>
      <c r="N2425" s="7"/>
      <c r="O2425" s="7"/>
      <c r="P2425" s="7"/>
      <c r="Q2425" s="7"/>
      <c r="R2425" s="12"/>
      <c r="S2425" s="7"/>
      <c r="T2425" s="7"/>
      <c r="U2425" s="7"/>
      <c r="V2425" s="7"/>
      <c r="W2425" s="7"/>
      <c r="X2425" s="7"/>
      <c r="Y2425" s="7"/>
      <c r="Z2425" s="12"/>
      <c r="AA2425" s="12"/>
    </row>
    <row r="2426" spans="1:27" outlineLevel="7">
      <c r="A2426" s="3499" t="s">
        <v>2329</v>
      </c>
      <c r="B2426" s="3499"/>
      <c r="C2426" s="12"/>
      <c r="D2426" s="14">
        <v>550</v>
      </c>
      <c r="E2426" s="14">
        <v>550</v>
      </c>
      <c r="F2426" s="7"/>
      <c r="G2426" s="14">
        <v>550</v>
      </c>
      <c r="H2426" s="3523">
        <v>550</v>
      </c>
      <c r="I2426" s="3523"/>
      <c r="J2426" s="7"/>
      <c r="K2426" s="7"/>
      <c r="L2426" s="7"/>
      <c r="M2426" s="7"/>
      <c r="N2426" s="7"/>
      <c r="O2426" s="7"/>
      <c r="P2426" s="7"/>
      <c r="Q2426" s="7"/>
      <c r="R2426" s="12"/>
      <c r="S2426" s="7"/>
      <c r="T2426" s="7"/>
      <c r="U2426" s="7"/>
      <c r="V2426" s="7"/>
      <c r="W2426" s="7"/>
      <c r="X2426" s="7"/>
      <c r="Y2426" s="7"/>
      <c r="Z2426" s="12"/>
      <c r="AA2426" s="12"/>
    </row>
    <row r="2427" spans="1:27" outlineLevel="6">
      <c r="A2427" s="3501" t="s">
        <v>1151</v>
      </c>
      <c r="B2427" s="3501"/>
      <c r="C2427" s="12"/>
      <c r="D2427" s="12"/>
      <c r="E2427" s="12"/>
      <c r="F2427" s="7"/>
      <c r="G2427" s="7"/>
      <c r="H2427" s="8"/>
      <c r="I2427" s="9"/>
      <c r="J2427" s="7"/>
      <c r="K2427" s="7"/>
      <c r="L2427" s="7"/>
      <c r="M2427" s="7"/>
      <c r="N2427" s="7"/>
      <c r="O2427" s="7"/>
      <c r="P2427" s="7"/>
      <c r="Q2427" s="7"/>
      <c r="R2427" s="14">
        <v>550</v>
      </c>
      <c r="S2427" s="7"/>
      <c r="T2427" s="7"/>
      <c r="U2427" s="14">
        <v>550</v>
      </c>
      <c r="V2427" s="7"/>
      <c r="W2427" s="7"/>
      <c r="X2427" s="7"/>
      <c r="Y2427" s="7"/>
      <c r="Z2427" s="12"/>
      <c r="AA2427" s="14">
        <v>550</v>
      </c>
    </row>
    <row r="2428" spans="1:27" outlineLevel="7">
      <c r="A2428" s="3500" t="s">
        <v>1152</v>
      </c>
      <c r="B2428" s="3500"/>
      <c r="C2428" s="12"/>
      <c r="D2428" s="12"/>
      <c r="E2428" s="12"/>
      <c r="F2428" s="7"/>
      <c r="G2428" s="7"/>
      <c r="H2428" s="8"/>
      <c r="I2428" s="9"/>
      <c r="J2428" s="7"/>
      <c r="K2428" s="7"/>
      <c r="L2428" s="7"/>
      <c r="M2428" s="7"/>
      <c r="N2428" s="7"/>
      <c r="O2428" s="7"/>
      <c r="P2428" s="7"/>
      <c r="Q2428" s="7"/>
      <c r="R2428" s="14">
        <v>550</v>
      </c>
      <c r="S2428" s="7"/>
      <c r="T2428" s="7"/>
      <c r="U2428" s="14">
        <v>550</v>
      </c>
      <c r="V2428" s="7"/>
      <c r="W2428" s="7"/>
      <c r="X2428" s="7"/>
      <c r="Y2428" s="7"/>
      <c r="Z2428" s="12"/>
      <c r="AA2428" s="14">
        <v>550</v>
      </c>
    </row>
    <row r="2429" spans="1:27" outlineLevel="7">
      <c r="A2429" s="3499" t="s">
        <v>2330</v>
      </c>
      <c r="B2429" s="3499"/>
      <c r="C2429" s="12"/>
      <c r="D2429" s="12"/>
      <c r="E2429" s="12"/>
      <c r="F2429" s="7"/>
      <c r="G2429" s="7"/>
      <c r="H2429" s="8"/>
      <c r="I2429" s="9"/>
      <c r="J2429" s="7"/>
      <c r="K2429" s="7"/>
      <c r="L2429" s="7"/>
      <c r="M2429" s="7"/>
      <c r="N2429" s="7"/>
      <c r="O2429" s="7"/>
      <c r="P2429" s="7"/>
      <c r="Q2429" s="7"/>
      <c r="R2429" s="14">
        <v>550</v>
      </c>
      <c r="S2429" s="7"/>
      <c r="T2429" s="7"/>
      <c r="U2429" s="14">
        <v>550</v>
      </c>
      <c r="V2429" s="7"/>
      <c r="W2429" s="7"/>
      <c r="X2429" s="7"/>
      <c r="Y2429" s="7"/>
      <c r="Z2429" s="12"/>
      <c r="AA2429" s="14">
        <v>550</v>
      </c>
    </row>
    <row r="2430" spans="1:27" outlineLevel="6">
      <c r="A2430" s="3501" t="s">
        <v>544</v>
      </c>
      <c r="B2430" s="3501"/>
      <c r="C2430" s="7"/>
      <c r="D2430" s="7"/>
      <c r="E2430" s="14">
        <v>550</v>
      </c>
      <c r="F2430" s="7"/>
      <c r="G2430" s="14">
        <v>550</v>
      </c>
      <c r="H2430" s="3523">
        <v>550</v>
      </c>
      <c r="I2430" s="3523"/>
      <c r="J2430" s="7"/>
      <c r="K2430" s="7"/>
      <c r="L2430" s="7"/>
      <c r="M2430" s="7"/>
      <c r="N2430" s="7"/>
      <c r="O2430" s="7"/>
      <c r="P2430" s="7"/>
      <c r="Q2430" s="7"/>
      <c r="R2430" s="14">
        <v>550</v>
      </c>
      <c r="S2430" s="7"/>
      <c r="T2430" s="7"/>
      <c r="U2430" s="14">
        <v>550</v>
      </c>
      <c r="V2430" s="7"/>
      <c r="W2430" s="7"/>
      <c r="X2430" s="7"/>
      <c r="Y2430" s="7"/>
      <c r="Z2430" s="7"/>
      <c r="AA2430" s="7"/>
    </row>
    <row r="2431" spans="1:27" outlineLevel="7">
      <c r="A2431" s="3500" t="s">
        <v>545</v>
      </c>
      <c r="B2431" s="3500"/>
      <c r="C2431" s="7"/>
      <c r="D2431" s="7"/>
      <c r="E2431" s="14">
        <v>550</v>
      </c>
      <c r="F2431" s="7"/>
      <c r="G2431" s="14">
        <v>550</v>
      </c>
      <c r="H2431" s="3523">
        <v>550</v>
      </c>
      <c r="I2431" s="3523"/>
      <c r="J2431" s="7"/>
      <c r="K2431" s="7"/>
      <c r="L2431" s="7"/>
      <c r="M2431" s="7"/>
      <c r="N2431" s="7"/>
      <c r="O2431" s="7"/>
      <c r="P2431" s="7"/>
      <c r="Q2431" s="7"/>
      <c r="R2431" s="14">
        <v>550</v>
      </c>
      <c r="S2431" s="7"/>
      <c r="T2431" s="7"/>
      <c r="U2431" s="14">
        <v>550</v>
      </c>
      <c r="V2431" s="7"/>
      <c r="W2431" s="7"/>
      <c r="X2431" s="7"/>
      <c r="Y2431" s="7"/>
      <c r="Z2431" s="7"/>
      <c r="AA2431" s="7"/>
    </row>
    <row r="2432" spans="1:27" outlineLevel="7">
      <c r="A2432" s="3499" t="s">
        <v>2331</v>
      </c>
      <c r="B2432" s="3499"/>
      <c r="C2432" s="7"/>
      <c r="D2432" s="7"/>
      <c r="E2432" s="14">
        <v>550</v>
      </c>
      <c r="F2432" s="7"/>
      <c r="G2432" s="14">
        <v>550</v>
      </c>
      <c r="H2432" s="3523">
        <v>550</v>
      </c>
      <c r="I2432" s="3523"/>
      <c r="J2432" s="7"/>
      <c r="K2432" s="7"/>
      <c r="L2432" s="7"/>
      <c r="M2432" s="7"/>
      <c r="N2432" s="7"/>
      <c r="O2432" s="7"/>
      <c r="P2432" s="7"/>
      <c r="Q2432" s="7"/>
      <c r="R2432" s="14">
        <v>550</v>
      </c>
      <c r="S2432" s="7"/>
      <c r="T2432" s="7"/>
      <c r="U2432" s="14">
        <v>550</v>
      </c>
      <c r="V2432" s="7"/>
      <c r="W2432" s="7"/>
      <c r="X2432" s="7"/>
      <c r="Y2432" s="7"/>
      <c r="Z2432" s="7"/>
      <c r="AA2432" s="7"/>
    </row>
    <row r="2433" spans="1:27" outlineLevel="6">
      <c r="A2433" s="3501" t="s">
        <v>546</v>
      </c>
      <c r="B2433" s="3501"/>
      <c r="C2433" s="7"/>
      <c r="D2433" s="7"/>
      <c r="E2433" s="14">
        <v>550</v>
      </c>
      <c r="F2433" s="7"/>
      <c r="G2433" s="14">
        <v>550</v>
      </c>
      <c r="H2433" s="3523">
        <v>550</v>
      </c>
      <c r="I2433" s="3523"/>
      <c r="J2433" s="7"/>
      <c r="K2433" s="7"/>
      <c r="L2433" s="7"/>
      <c r="M2433" s="7"/>
      <c r="N2433" s="7"/>
      <c r="O2433" s="7"/>
      <c r="P2433" s="7"/>
      <c r="Q2433" s="7"/>
      <c r="R2433" s="14">
        <v>550</v>
      </c>
      <c r="S2433" s="7"/>
      <c r="T2433" s="7"/>
      <c r="U2433" s="14">
        <v>550</v>
      </c>
      <c r="V2433" s="7"/>
      <c r="W2433" s="7"/>
      <c r="X2433" s="7"/>
      <c r="Y2433" s="7"/>
      <c r="Z2433" s="7"/>
      <c r="AA2433" s="7"/>
    </row>
    <row r="2434" spans="1:27" outlineLevel="7">
      <c r="A2434" s="3500" t="s">
        <v>547</v>
      </c>
      <c r="B2434" s="3500"/>
      <c r="C2434" s="7"/>
      <c r="D2434" s="7"/>
      <c r="E2434" s="14">
        <v>550</v>
      </c>
      <c r="F2434" s="7"/>
      <c r="G2434" s="14">
        <v>550</v>
      </c>
      <c r="H2434" s="3523">
        <v>550</v>
      </c>
      <c r="I2434" s="3523"/>
      <c r="J2434" s="7"/>
      <c r="K2434" s="7"/>
      <c r="L2434" s="7"/>
      <c r="M2434" s="7"/>
      <c r="N2434" s="7"/>
      <c r="O2434" s="7"/>
      <c r="P2434" s="7"/>
      <c r="Q2434" s="7"/>
      <c r="R2434" s="14">
        <v>550</v>
      </c>
      <c r="S2434" s="7"/>
      <c r="T2434" s="7"/>
      <c r="U2434" s="14">
        <v>550</v>
      </c>
      <c r="V2434" s="7"/>
      <c r="W2434" s="7"/>
      <c r="X2434" s="7"/>
      <c r="Y2434" s="7"/>
      <c r="Z2434" s="7"/>
      <c r="AA2434" s="7"/>
    </row>
    <row r="2435" spans="1:27" outlineLevel="7">
      <c r="A2435" s="3499" t="s">
        <v>2332</v>
      </c>
      <c r="B2435" s="3499"/>
      <c r="C2435" s="7"/>
      <c r="D2435" s="7"/>
      <c r="E2435" s="14">
        <v>550</v>
      </c>
      <c r="F2435" s="7"/>
      <c r="G2435" s="14">
        <v>550</v>
      </c>
      <c r="H2435" s="3523">
        <v>550</v>
      </c>
      <c r="I2435" s="3523"/>
      <c r="J2435" s="7"/>
      <c r="K2435" s="7"/>
      <c r="L2435" s="7"/>
      <c r="M2435" s="7"/>
      <c r="N2435" s="7"/>
      <c r="O2435" s="7"/>
      <c r="P2435" s="7"/>
      <c r="Q2435" s="7"/>
      <c r="R2435" s="14">
        <v>550</v>
      </c>
      <c r="S2435" s="7"/>
      <c r="T2435" s="7"/>
      <c r="U2435" s="14">
        <v>550</v>
      </c>
      <c r="V2435" s="7"/>
      <c r="W2435" s="7"/>
      <c r="X2435" s="7"/>
      <c r="Y2435" s="7"/>
      <c r="Z2435" s="7"/>
      <c r="AA2435" s="7"/>
    </row>
    <row r="2436" spans="1:27" outlineLevel="6">
      <c r="A2436" s="3501" t="s">
        <v>1153</v>
      </c>
      <c r="B2436" s="3501"/>
      <c r="C2436" s="12"/>
      <c r="D2436" s="12"/>
      <c r="E2436" s="12"/>
      <c r="F2436" s="7"/>
      <c r="G2436" s="7"/>
      <c r="H2436" s="8"/>
      <c r="I2436" s="9"/>
      <c r="J2436" s="7"/>
      <c r="K2436" s="7"/>
      <c r="L2436" s="7"/>
      <c r="M2436" s="7"/>
      <c r="N2436" s="7"/>
      <c r="O2436" s="7"/>
      <c r="P2436" s="7"/>
      <c r="Q2436" s="7"/>
      <c r="R2436" s="14">
        <v>550</v>
      </c>
      <c r="S2436" s="7"/>
      <c r="T2436" s="7"/>
      <c r="U2436" s="14">
        <v>550</v>
      </c>
      <c r="V2436" s="7"/>
      <c r="W2436" s="7"/>
      <c r="X2436" s="7"/>
      <c r="Y2436" s="7"/>
      <c r="Z2436" s="12"/>
      <c r="AA2436" s="14">
        <v>550</v>
      </c>
    </row>
    <row r="2437" spans="1:27" outlineLevel="7">
      <c r="A2437" s="3500" t="s">
        <v>1154</v>
      </c>
      <c r="B2437" s="3500"/>
      <c r="C2437" s="12"/>
      <c r="D2437" s="12"/>
      <c r="E2437" s="12"/>
      <c r="F2437" s="7"/>
      <c r="G2437" s="7"/>
      <c r="H2437" s="8"/>
      <c r="I2437" s="9"/>
      <c r="J2437" s="7"/>
      <c r="K2437" s="7"/>
      <c r="L2437" s="7"/>
      <c r="M2437" s="7"/>
      <c r="N2437" s="7"/>
      <c r="O2437" s="7"/>
      <c r="P2437" s="7"/>
      <c r="Q2437" s="7"/>
      <c r="R2437" s="14">
        <v>550</v>
      </c>
      <c r="S2437" s="7"/>
      <c r="T2437" s="7"/>
      <c r="U2437" s="14">
        <v>550</v>
      </c>
      <c r="V2437" s="7"/>
      <c r="W2437" s="7"/>
      <c r="X2437" s="7"/>
      <c r="Y2437" s="7"/>
      <c r="Z2437" s="12"/>
      <c r="AA2437" s="14">
        <v>550</v>
      </c>
    </row>
    <row r="2438" spans="1:27" outlineLevel="7">
      <c r="A2438" s="3499" t="s">
        <v>2333</v>
      </c>
      <c r="B2438" s="3499"/>
      <c r="C2438" s="12"/>
      <c r="D2438" s="12"/>
      <c r="E2438" s="12"/>
      <c r="F2438" s="7"/>
      <c r="G2438" s="7"/>
      <c r="H2438" s="8"/>
      <c r="I2438" s="9"/>
      <c r="J2438" s="7"/>
      <c r="K2438" s="7"/>
      <c r="L2438" s="7"/>
      <c r="M2438" s="7"/>
      <c r="N2438" s="7"/>
      <c r="O2438" s="7"/>
      <c r="P2438" s="7"/>
      <c r="Q2438" s="7"/>
      <c r="R2438" s="14">
        <v>550</v>
      </c>
      <c r="S2438" s="7"/>
      <c r="T2438" s="7"/>
      <c r="U2438" s="14">
        <v>550</v>
      </c>
      <c r="V2438" s="7"/>
      <c r="W2438" s="7"/>
      <c r="X2438" s="7"/>
      <c r="Y2438" s="7"/>
      <c r="Z2438" s="12"/>
      <c r="AA2438" s="14">
        <v>550</v>
      </c>
    </row>
    <row r="2439" spans="1:27" outlineLevel="6">
      <c r="A2439" s="3501" t="s">
        <v>1155</v>
      </c>
      <c r="B2439" s="3501"/>
      <c r="C2439" s="12"/>
      <c r="D2439" s="12"/>
      <c r="E2439" s="12"/>
      <c r="F2439" s="7"/>
      <c r="G2439" s="7"/>
      <c r="H2439" s="8"/>
      <c r="I2439" s="9"/>
      <c r="J2439" s="7"/>
      <c r="K2439" s="7"/>
      <c r="L2439" s="7"/>
      <c r="M2439" s="7"/>
      <c r="N2439" s="7"/>
      <c r="O2439" s="7"/>
      <c r="P2439" s="7"/>
      <c r="Q2439" s="7"/>
      <c r="R2439" s="14">
        <v>550</v>
      </c>
      <c r="S2439" s="7"/>
      <c r="T2439" s="7"/>
      <c r="U2439" s="14">
        <v>550</v>
      </c>
      <c r="V2439" s="7"/>
      <c r="W2439" s="7"/>
      <c r="X2439" s="7"/>
      <c r="Y2439" s="7"/>
      <c r="Z2439" s="12"/>
      <c r="AA2439" s="14">
        <v>550</v>
      </c>
    </row>
    <row r="2440" spans="1:27" outlineLevel="7">
      <c r="A2440" s="3500" t="s">
        <v>1156</v>
      </c>
      <c r="B2440" s="3500"/>
      <c r="C2440" s="12"/>
      <c r="D2440" s="12"/>
      <c r="E2440" s="12"/>
      <c r="F2440" s="7"/>
      <c r="G2440" s="7"/>
      <c r="H2440" s="8"/>
      <c r="I2440" s="9"/>
      <c r="J2440" s="7"/>
      <c r="K2440" s="7"/>
      <c r="L2440" s="7"/>
      <c r="M2440" s="7"/>
      <c r="N2440" s="7"/>
      <c r="O2440" s="7"/>
      <c r="P2440" s="7"/>
      <c r="Q2440" s="7"/>
      <c r="R2440" s="14">
        <v>550</v>
      </c>
      <c r="S2440" s="7"/>
      <c r="T2440" s="7"/>
      <c r="U2440" s="14">
        <v>550</v>
      </c>
      <c r="V2440" s="7"/>
      <c r="W2440" s="7"/>
      <c r="X2440" s="7"/>
      <c r="Y2440" s="7"/>
      <c r="Z2440" s="12"/>
      <c r="AA2440" s="14">
        <v>550</v>
      </c>
    </row>
    <row r="2441" spans="1:27" outlineLevel="7">
      <c r="A2441" s="3499" t="s">
        <v>2334</v>
      </c>
      <c r="B2441" s="3499"/>
      <c r="C2441" s="12"/>
      <c r="D2441" s="12"/>
      <c r="E2441" s="12"/>
      <c r="F2441" s="7"/>
      <c r="G2441" s="7"/>
      <c r="H2441" s="8"/>
      <c r="I2441" s="9"/>
      <c r="J2441" s="7"/>
      <c r="K2441" s="7"/>
      <c r="L2441" s="7"/>
      <c r="M2441" s="7"/>
      <c r="N2441" s="7"/>
      <c r="O2441" s="7"/>
      <c r="P2441" s="7"/>
      <c r="Q2441" s="7"/>
      <c r="R2441" s="14">
        <v>550</v>
      </c>
      <c r="S2441" s="7"/>
      <c r="T2441" s="7"/>
      <c r="U2441" s="14">
        <v>550</v>
      </c>
      <c r="V2441" s="7"/>
      <c r="W2441" s="7"/>
      <c r="X2441" s="7"/>
      <c r="Y2441" s="7"/>
      <c r="Z2441" s="12"/>
      <c r="AA2441" s="14">
        <v>550</v>
      </c>
    </row>
    <row r="2442" spans="1:27" outlineLevel="6">
      <c r="A2442" s="3501" t="s">
        <v>1157</v>
      </c>
      <c r="B2442" s="3501"/>
      <c r="C2442" s="12"/>
      <c r="D2442" s="14">
        <v>550</v>
      </c>
      <c r="E2442" s="7"/>
      <c r="F2442" s="7"/>
      <c r="G2442" s="7"/>
      <c r="H2442" s="8"/>
      <c r="I2442" s="9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12"/>
      <c r="AA2442" s="14">
        <v>550</v>
      </c>
    </row>
    <row r="2443" spans="1:27" outlineLevel="7">
      <c r="A2443" s="3500" t="s">
        <v>1158</v>
      </c>
      <c r="B2443" s="3500"/>
      <c r="C2443" s="12"/>
      <c r="D2443" s="14">
        <v>550</v>
      </c>
      <c r="E2443" s="7"/>
      <c r="F2443" s="7"/>
      <c r="G2443" s="7"/>
      <c r="H2443" s="8"/>
      <c r="I2443" s="9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12"/>
      <c r="AA2443" s="14">
        <v>550</v>
      </c>
    </row>
    <row r="2444" spans="1:27" outlineLevel="7">
      <c r="A2444" s="3499" t="s">
        <v>2335</v>
      </c>
      <c r="B2444" s="3499"/>
      <c r="C2444" s="12"/>
      <c r="D2444" s="14">
        <v>550</v>
      </c>
      <c r="E2444" s="7"/>
      <c r="F2444" s="7"/>
      <c r="G2444" s="7"/>
      <c r="H2444" s="8"/>
      <c r="I2444" s="9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12"/>
      <c r="AA2444" s="14">
        <v>550</v>
      </c>
    </row>
    <row r="2445" spans="1:27" outlineLevel="6">
      <c r="A2445" s="3501" t="s">
        <v>548</v>
      </c>
      <c r="B2445" s="3501"/>
      <c r="C2445" s="12"/>
      <c r="D2445" s="14">
        <v>550</v>
      </c>
      <c r="E2445" s="14">
        <v>550</v>
      </c>
      <c r="F2445" s="7"/>
      <c r="G2445" s="14">
        <v>550</v>
      </c>
      <c r="H2445" s="3523">
        <v>550</v>
      </c>
      <c r="I2445" s="3523"/>
      <c r="J2445" s="7"/>
      <c r="K2445" s="7"/>
      <c r="L2445" s="7"/>
      <c r="M2445" s="7"/>
      <c r="N2445" s="7"/>
      <c r="O2445" s="7"/>
      <c r="P2445" s="7"/>
      <c r="Q2445" s="7"/>
      <c r="R2445" s="12"/>
      <c r="S2445" s="7"/>
      <c r="T2445" s="7"/>
      <c r="U2445" s="7"/>
      <c r="V2445" s="7"/>
      <c r="W2445" s="7"/>
      <c r="X2445" s="7"/>
      <c r="Y2445" s="7"/>
      <c r="Z2445" s="12"/>
      <c r="AA2445" s="12"/>
    </row>
    <row r="2446" spans="1:27" outlineLevel="7">
      <c r="A2446" s="3500" t="s">
        <v>549</v>
      </c>
      <c r="B2446" s="3500"/>
      <c r="C2446" s="12"/>
      <c r="D2446" s="14">
        <v>550</v>
      </c>
      <c r="E2446" s="14">
        <v>550</v>
      </c>
      <c r="F2446" s="7"/>
      <c r="G2446" s="14">
        <v>550</v>
      </c>
      <c r="H2446" s="3523">
        <v>550</v>
      </c>
      <c r="I2446" s="3523"/>
      <c r="J2446" s="7"/>
      <c r="K2446" s="7"/>
      <c r="L2446" s="7"/>
      <c r="M2446" s="7"/>
      <c r="N2446" s="7"/>
      <c r="O2446" s="7"/>
      <c r="P2446" s="7"/>
      <c r="Q2446" s="7"/>
      <c r="R2446" s="12"/>
      <c r="S2446" s="7"/>
      <c r="T2446" s="7"/>
      <c r="U2446" s="7"/>
      <c r="V2446" s="7"/>
      <c r="W2446" s="7"/>
      <c r="X2446" s="7"/>
      <c r="Y2446" s="7"/>
      <c r="Z2446" s="12"/>
      <c r="AA2446" s="12"/>
    </row>
    <row r="2447" spans="1:27" outlineLevel="7">
      <c r="A2447" s="3499" t="s">
        <v>2336</v>
      </c>
      <c r="B2447" s="3499"/>
      <c r="C2447" s="12"/>
      <c r="D2447" s="14">
        <v>550</v>
      </c>
      <c r="E2447" s="14">
        <v>550</v>
      </c>
      <c r="F2447" s="7"/>
      <c r="G2447" s="14">
        <v>550</v>
      </c>
      <c r="H2447" s="3523">
        <v>550</v>
      </c>
      <c r="I2447" s="3523"/>
      <c r="J2447" s="7"/>
      <c r="K2447" s="7"/>
      <c r="L2447" s="7"/>
      <c r="M2447" s="7"/>
      <c r="N2447" s="7"/>
      <c r="O2447" s="7"/>
      <c r="P2447" s="7"/>
      <c r="Q2447" s="7"/>
      <c r="R2447" s="12"/>
      <c r="S2447" s="7"/>
      <c r="T2447" s="7"/>
      <c r="U2447" s="7"/>
      <c r="V2447" s="7"/>
      <c r="W2447" s="7"/>
      <c r="X2447" s="7"/>
      <c r="Y2447" s="7"/>
      <c r="Z2447" s="12"/>
      <c r="AA2447" s="12"/>
    </row>
    <row r="2448" spans="1:27" outlineLevel="6">
      <c r="A2448" s="3501" t="s">
        <v>550</v>
      </c>
      <c r="B2448" s="3501"/>
      <c r="C2448" s="12"/>
      <c r="D2448" s="13">
        <v>4295.79</v>
      </c>
      <c r="E2448" s="13">
        <v>4295.79</v>
      </c>
      <c r="F2448" s="7"/>
      <c r="G2448" s="13">
        <v>4295.79</v>
      </c>
      <c r="H2448" s="3524">
        <v>4295.79</v>
      </c>
      <c r="I2448" s="3524"/>
      <c r="J2448" s="7"/>
      <c r="K2448" s="7"/>
      <c r="L2448" s="7"/>
      <c r="M2448" s="7"/>
      <c r="N2448" s="7"/>
      <c r="O2448" s="7"/>
      <c r="P2448" s="7"/>
      <c r="Q2448" s="7"/>
      <c r="R2448" s="12"/>
      <c r="S2448" s="7"/>
      <c r="T2448" s="7"/>
      <c r="U2448" s="7"/>
      <c r="V2448" s="7"/>
      <c r="W2448" s="7"/>
      <c r="X2448" s="7"/>
      <c r="Y2448" s="7"/>
      <c r="Z2448" s="12"/>
      <c r="AA2448" s="12"/>
    </row>
    <row r="2449" spans="1:27" outlineLevel="7">
      <c r="A2449" s="3500" t="s">
        <v>551</v>
      </c>
      <c r="B2449" s="3500"/>
      <c r="C2449" s="12"/>
      <c r="D2449" s="13">
        <v>4295.79</v>
      </c>
      <c r="E2449" s="13">
        <v>4295.79</v>
      </c>
      <c r="F2449" s="7"/>
      <c r="G2449" s="13">
        <v>4295.79</v>
      </c>
      <c r="H2449" s="3524">
        <v>4295.79</v>
      </c>
      <c r="I2449" s="3524"/>
      <c r="J2449" s="7"/>
      <c r="K2449" s="7"/>
      <c r="L2449" s="7"/>
      <c r="M2449" s="7"/>
      <c r="N2449" s="7"/>
      <c r="O2449" s="7"/>
      <c r="P2449" s="7"/>
      <c r="Q2449" s="7"/>
      <c r="R2449" s="12"/>
      <c r="S2449" s="7"/>
      <c r="T2449" s="7"/>
      <c r="U2449" s="7"/>
      <c r="V2449" s="7"/>
      <c r="W2449" s="7"/>
      <c r="X2449" s="7"/>
      <c r="Y2449" s="7"/>
      <c r="Z2449" s="12"/>
      <c r="AA2449" s="12"/>
    </row>
    <row r="2450" spans="1:27" outlineLevel="7">
      <c r="A2450" s="3499" t="s">
        <v>2337</v>
      </c>
      <c r="B2450" s="3499"/>
      <c r="C2450" s="12"/>
      <c r="D2450" s="13">
        <v>4295.79</v>
      </c>
      <c r="E2450" s="13">
        <v>4295.79</v>
      </c>
      <c r="F2450" s="7"/>
      <c r="G2450" s="13">
        <v>4295.79</v>
      </c>
      <c r="H2450" s="3524">
        <v>4295.79</v>
      </c>
      <c r="I2450" s="3524"/>
      <c r="J2450" s="7"/>
      <c r="K2450" s="7"/>
      <c r="L2450" s="7"/>
      <c r="M2450" s="7"/>
      <c r="N2450" s="7"/>
      <c r="O2450" s="7"/>
      <c r="P2450" s="7"/>
      <c r="Q2450" s="7"/>
      <c r="R2450" s="12"/>
      <c r="S2450" s="7"/>
      <c r="T2450" s="7"/>
      <c r="U2450" s="7"/>
      <c r="V2450" s="7"/>
      <c r="W2450" s="7"/>
      <c r="X2450" s="7"/>
      <c r="Y2450" s="7"/>
      <c r="Z2450" s="12"/>
      <c r="AA2450" s="12"/>
    </row>
    <row r="2451" spans="1:27" outlineLevel="6">
      <c r="A2451" s="3501" t="s">
        <v>1159</v>
      </c>
      <c r="B2451" s="3501"/>
      <c r="C2451" s="12"/>
      <c r="D2451" s="12"/>
      <c r="E2451" s="12"/>
      <c r="F2451" s="7"/>
      <c r="G2451" s="7"/>
      <c r="H2451" s="8"/>
      <c r="I2451" s="9"/>
      <c r="J2451" s="7"/>
      <c r="K2451" s="7"/>
      <c r="L2451" s="7"/>
      <c r="M2451" s="7"/>
      <c r="N2451" s="7"/>
      <c r="O2451" s="7"/>
      <c r="P2451" s="7"/>
      <c r="Q2451" s="7"/>
      <c r="R2451" s="14">
        <v>550</v>
      </c>
      <c r="S2451" s="7"/>
      <c r="T2451" s="7"/>
      <c r="U2451" s="14">
        <v>550</v>
      </c>
      <c r="V2451" s="7"/>
      <c r="W2451" s="7"/>
      <c r="X2451" s="7"/>
      <c r="Y2451" s="7"/>
      <c r="Z2451" s="12"/>
      <c r="AA2451" s="14">
        <v>550</v>
      </c>
    </row>
    <row r="2452" spans="1:27" outlineLevel="7">
      <c r="A2452" s="3500" t="s">
        <v>1160</v>
      </c>
      <c r="B2452" s="3500"/>
      <c r="C2452" s="12"/>
      <c r="D2452" s="12"/>
      <c r="E2452" s="12"/>
      <c r="F2452" s="7"/>
      <c r="G2452" s="7"/>
      <c r="H2452" s="8"/>
      <c r="I2452" s="9"/>
      <c r="J2452" s="7"/>
      <c r="K2452" s="7"/>
      <c r="L2452" s="7"/>
      <c r="M2452" s="7"/>
      <c r="N2452" s="7"/>
      <c r="O2452" s="7"/>
      <c r="P2452" s="7"/>
      <c r="Q2452" s="7"/>
      <c r="R2452" s="14">
        <v>550</v>
      </c>
      <c r="S2452" s="7"/>
      <c r="T2452" s="7"/>
      <c r="U2452" s="14">
        <v>550</v>
      </c>
      <c r="V2452" s="7"/>
      <c r="W2452" s="7"/>
      <c r="X2452" s="7"/>
      <c r="Y2452" s="7"/>
      <c r="Z2452" s="12"/>
      <c r="AA2452" s="14">
        <v>550</v>
      </c>
    </row>
    <row r="2453" spans="1:27" outlineLevel="7">
      <c r="A2453" s="3499" t="s">
        <v>2338</v>
      </c>
      <c r="B2453" s="3499"/>
      <c r="C2453" s="12"/>
      <c r="D2453" s="12"/>
      <c r="E2453" s="12"/>
      <c r="F2453" s="7"/>
      <c r="G2453" s="7"/>
      <c r="H2453" s="8"/>
      <c r="I2453" s="9"/>
      <c r="J2453" s="7"/>
      <c r="K2453" s="7"/>
      <c r="L2453" s="7"/>
      <c r="M2453" s="7"/>
      <c r="N2453" s="7"/>
      <c r="O2453" s="7"/>
      <c r="P2453" s="7"/>
      <c r="Q2453" s="7"/>
      <c r="R2453" s="14">
        <v>550</v>
      </c>
      <c r="S2453" s="7"/>
      <c r="T2453" s="7"/>
      <c r="U2453" s="14">
        <v>550</v>
      </c>
      <c r="V2453" s="7"/>
      <c r="W2453" s="7"/>
      <c r="X2453" s="7"/>
      <c r="Y2453" s="7"/>
      <c r="Z2453" s="12"/>
      <c r="AA2453" s="14">
        <v>550</v>
      </c>
    </row>
    <row r="2454" spans="1:27" outlineLevel="6">
      <c r="A2454" s="3501" t="s">
        <v>1161</v>
      </c>
      <c r="B2454" s="3501"/>
      <c r="C2454" s="12"/>
      <c r="D2454" s="12"/>
      <c r="E2454" s="12"/>
      <c r="F2454" s="7"/>
      <c r="G2454" s="7"/>
      <c r="H2454" s="8"/>
      <c r="I2454" s="9"/>
      <c r="J2454" s="7"/>
      <c r="K2454" s="7"/>
      <c r="L2454" s="7"/>
      <c r="M2454" s="7"/>
      <c r="N2454" s="7"/>
      <c r="O2454" s="7"/>
      <c r="P2454" s="7"/>
      <c r="Q2454" s="7"/>
      <c r="R2454" s="14">
        <v>550</v>
      </c>
      <c r="S2454" s="7"/>
      <c r="T2454" s="7"/>
      <c r="U2454" s="14">
        <v>550</v>
      </c>
      <c r="V2454" s="7"/>
      <c r="W2454" s="7"/>
      <c r="X2454" s="7"/>
      <c r="Y2454" s="7"/>
      <c r="Z2454" s="12"/>
      <c r="AA2454" s="14">
        <v>550</v>
      </c>
    </row>
    <row r="2455" spans="1:27" outlineLevel="7">
      <c r="A2455" s="3500" t="s">
        <v>1162</v>
      </c>
      <c r="B2455" s="3500"/>
      <c r="C2455" s="12"/>
      <c r="D2455" s="12"/>
      <c r="E2455" s="12"/>
      <c r="F2455" s="7"/>
      <c r="G2455" s="7"/>
      <c r="H2455" s="8"/>
      <c r="I2455" s="9"/>
      <c r="J2455" s="7"/>
      <c r="K2455" s="7"/>
      <c r="L2455" s="7"/>
      <c r="M2455" s="7"/>
      <c r="N2455" s="7"/>
      <c r="O2455" s="7"/>
      <c r="P2455" s="7"/>
      <c r="Q2455" s="7"/>
      <c r="R2455" s="14">
        <v>550</v>
      </c>
      <c r="S2455" s="7"/>
      <c r="T2455" s="7"/>
      <c r="U2455" s="14">
        <v>550</v>
      </c>
      <c r="V2455" s="7"/>
      <c r="W2455" s="7"/>
      <c r="X2455" s="7"/>
      <c r="Y2455" s="7"/>
      <c r="Z2455" s="12"/>
      <c r="AA2455" s="14">
        <v>550</v>
      </c>
    </row>
    <row r="2456" spans="1:27" outlineLevel="7">
      <c r="A2456" s="3499" t="s">
        <v>2339</v>
      </c>
      <c r="B2456" s="3499"/>
      <c r="C2456" s="12"/>
      <c r="D2456" s="12"/>
      <c r="E2456" s="12"/>
      <c r="F2456" s="7"/>
      <c r="G2456" s="7"/>
      <c r="H2456" s="8"/>
      <c r="I2456" s="9"/>
      <c r="J2456" s="7"/>
      <c r="K2456" s="7"/>
      <c r="L2456" s="7"/>
      <c r="M2456" s="7"/>
      <c r="N2456" s="7"/>
      <c r="O2456" s="7"/>
      <c r="P2456" s="7"/>
      <c r="Q2456" s="7"/>
      <c r="R2456" s="14">
        <v>550</v>
      </c>
      <c r="S2456" s="7"/>
      <c r="T2456" s="7"/>
      <c r="U2456" s="14">
        <v>550</v>
      </c>
      <c r="V2456" s="7"/>
      <c r="W2456" s="7"/>
      <c r="X2456" s="7"/>
      <c r="Y2456" s="7"/>
      <c r="Z2456" s="12"/>
      <c r="AA2456" s="14">
        <v>550</v>
      </c>
    </row>
    <row r="2457" spans="1:27" outlineLevel="6">
      <c r="A2457" s="3501" t="s">
        <v>1163</v>
      </c>
      <c r="B2457" s="3501"/>
      <c r="C2457" s="12"/>
      <c r="D2457" s="12"/>
      <c r="E2457" s="12"/>
      <c r="F2457" s="7"/>
      <c r="G2457" s="7"/>
      <c r="H2457" s="8"/>
      <c r="I2457" s="9"/>
      <c r="J2457" s="7"/>
      <c r="K2457" s="7"/>
      <c r="L2457" s="7"/>
      <c r="M2457" s="7"/>
      <c r="N2457" s="7"/>
      <c r="O2457" s="7"/>
      <c r="P2457" s="7"/>
      <c r="Q2457" s="7"/>
      <c r="R2457" s="14">
        <v>550</v>
      </c>
      <c r="S2457" s="7"/>
      <c r="T2457" s="7"/>
      <c r="U2457" s="14">
        <v>550</v>
      </c>
      <c r="V2457" s="7"/>
      <c r="W2457" s="7"/>
      <c r="X2457" s="7"/>
      <c r="Y2457" s="7"/>
      <c r="Z2457" s="12"/>
      <c r="AA2457" s="14">
        <v>550</v>
      </c>
    </row>
    <row r="2458" spans="1:27" outlineLevel="7">
      <c r="A2458" s="3500" t="s">
        <v>1164</v>
      </c>
      <c r="B2458" s="3500"/>
      <c r="C2458" s="12"/>
      <c r="D2458" s="12"/>
      <c r="E2458" s="12"/>
      <c r="F2458" s="7"/>
      <c r="G2458" s="7"/>
      <c r="H2458" s="8"/>
      <c r="I2458" s="9"/>
      <c r="J2458" s="7"/>
      <c r="K2458" s="7"/>
      <c r="L2458" s="7"/>
      <c r="M2458" s="7"/>
      <c r="N2458" s="7"/>
      <c r="O2458" s="7"/>
      <c r="P2458" s="7"/>
      <c r="Q2458" s="7"/>
      <c r="R2458" s="14">
        <v>550</v>
      </c>
      <c r="S2458" s="7"/>
      <c r="T2458" s="7"/>
      <c r="U2458" s="14">
        <v>550</v>
      </c>
      <c r="V2458" s="7"/>
      <c r="W2458" s="7"/>
      <c r="X2458" s="7"/>
      <c r="Y2458" s="7"/>
      <c r="Z2458" s="12"/>
      <c r="AA2458" s="14">
        <v>550</v>
      </c>
    </row>
    <row r="2459" spans="1:27" outlineLevel="7">
      <c r="A2459" s="3499" t="s">
        <v>2340</v>
      </c>
      <c r="B2459" s="3499"/>
      <c r="C2459" s="12"/>
      <c r="D2459" s="12"/>
      <c r="E2459" s="12"/>
      <c r="F2459" s="7"/>
      <c r="G2459" s="7"/>
      <c r="H2459" s="8"/>
      <c r="I2459" s="9"/>
      <c r="J2459" s="7"/>
      <c r="K2459" s="7"/>
      <c r="L2459" s="7"/>
      <c r="M2459" s="7"/>
      <c r="N2459" s="7"/>
      <c r="O2459" s="7"/>
      <c r="P2459" s="7"/>
      <c r="Q2459" s="7"/>
      <c r="R2459" s="14">
        <v>550</v>
      </c>
      <c r="S2459" s="7"/>
      <c r="T2459" s="7"/>
      <c r="U2459" s="14">
        <v>550</v>
      </c>
      <c r="V2459" s="7"/>
      <c r="W2459" s="7"/>
      <c r="X2459" s="7"/>
      <c r="Y2459" s="7"/>
      <c r="Z2459" s="12"/>
      <c r="AA2459" s="14">
        <v>550</v>
      </c>
    </row>
    <row r="2460" spans="1:27" outlineLevel="6">
      <c r="A2460" s="3501" t="s">
        <v>1165</v>
      </c>
      <c r="B2460" s="3501"/>
      <c r="C2460" s="12"/>
      <c r="D2460" s="12"/>
      <c r="E2460" s="12"/>
      <c r="F2460" s="7"/>
      <c r="G2460" s="7"/>
      <c r="H2460" s="8"/>
      <c r="I2460" s="9"/>
      <c r="J2460" s="7"/>
      <c r="K2460" s="7"/>
      <c r="L2460" s="7"/>
      <c r="M2460" s="7"/>
      <c r="N2460" s="7"/>
      <c r="O2460" s="7"/>
      <c r="P2460" s="7"/>
      <c r="Q2460" s="7"/>
      <c r="R2460" s="14">
        <v>550</v>
      </c>
      <c r="S2460" s="7"/>
      <c r="T2460" s="7"/>
      <c r="U2460" s="14">
        <v>550</v>
      </c>
      <c r="V2460" s="7"/>
      <c r="W2460" s="7"/>
      <c r="X2460" s="7"/>
      <c r="Y2460" s="7"/>
      <c r="Z2460" s="12"/>
      <c r="AA2460" s="14">
        <v>550</v>
      </c>
    </row>
    <row r="2461" spans="1:27" outlineLevel="7">
      <c r="A2461" s="3500" t="s">
        <v>1166</v>
      </c>
      <c r="B2461" s="3500"/>
      <c r="C2461" s="12"/>
      <c r="D2461" s="12"/>
      <c r="E2461" s="12"/>
      <c r="F2461" s="7"/>
      <c r="G2461" s="7"/>
      <c r="H2461" s="8"/>
      <c r="I2461" s="9"/>
      <c r="J2461" s="7"/>
      <c r="K2461" s="7"/>
      <c r="L2461" s="7"/>
      <c r="M2461" s="7"/>
      <c r="N2461" s="7"/>
      <c r="O2461" s="7"/>
      <c r="P2461" s="7"/>
      <c r="Q2461" s="7"/>
      <c r="R2461" s="14">
        <v>550</v>
      </c>
      <c r="S2461" s="7"/>
      <c r="T2461" s="7"/>
      <c r="U2461" s="14">
        <v>550</v>
      </c>
      <c r="V2461" s="7"/>
      <c r="W2461" s="7"/>
      <c r="X2461" s="7"/>
      <c r="Y2461" s="7"/>
      <c r="Z2461" s="12"/>
      <c r="AA2461" s="14">
        <v>550</v>
      </c>
    </row>
    <row r="2462" spans="1:27" outlineLevel="7">
      <c r="A2462" s="3499" t="s">
        <v>2341</v>
      </c>
      <c r="B2462" s="3499"/>
      <c r="C2462" s="12"/>
      <c r="D2462" s="12"/>
      <c r="E2462" s="12"/>
      <c r="F2462" s="7"/>
      <c r="G2462" s="7"/>
      <c r="H2462" s="8"/>
      <c r="I2462" s="9"/>
      <c r="J2462" s="7"/>
      <c r="K2462" s="7"/>
      <c r="L2462" s="7"/>
      <c r="M2462" s="7"/>
      <c r="N2462" s="7"/>
      <c r="O2462" s="7"/>
      <c r="P2462" s="7"/>
      <c r="Q2462" s="7"/>
      <c r="R2462" s="14">
        <v>550</v>
      </c>
      <c r="S2462" s="7"/>
      <c r="T2462" s="7"/>
      <c r="U2462" s="14">
        <v>550</v>
      </c>
      <c r="V2462" s="7"/>
      <c r="W2462" s="7"/>
      <c r="X2462" s="7"/>
      <c r="Y2462" s="7"/>
      <c r="Z2462" s="12"/>
      <c r="AA2462" s="14">
        <v>550</v>
      </c>
    </row>
    <row r="2463" spans="1:27" outlineLevel="6">
      <c r="A2463" s="3501" t="s">
        <v>552</v>
      </c>
      <c r="B2463" s="3501"/>
      <c r="C2463" s="12"/>
      <c r="D2463" s="14">
        <v>550</v>
      </c>
      <c r="E2463" s="14">
        <v>550</v>
      </c>
      <c r="F2463" s="7"/>
      <c r="G2463" s="14">
        <v>550</v>
      </c>
      <c r="H2463" s="3523">
        <v>550</v>
      </c>
      <c r="I2463" s="3523"/>
      <c r="J2463" s="7"/>
      <c r="K2463" s="7"/>
      <c r="L2463" s="7"/>
      <c r="M2463" s="7"/>
      <c r="N2463" s="7"/>
      <c r="O2463" s="7"/>
      <c r="P2463" s="7"/>
      <c r="Q2463" s="7"/>
      <c r="R2463" s="12"/>
      <c r="S2463" s="7"/>
      <c r="T2463" s="7"/>
      <c r="U2463" s="7"/>
      <c r="V2463" s="7"/>
      <c r="W2463" s="7"/>
      <c r="X2463" s="7"/>
      <c r="Y2463" s="7"/>
      <c r="Z2463" s="12"/>
      <c r="AA2463" s="12"/>
    </row>
    <row r="2464" spans="1:27" outlineLevel="7">
      <c r="A2464" s="3500" t="s">
        <v>553</v>
      </c>
      <c r="B2464" s="3500"/>
      <c r="C2464" s="12"/>
      <c r="D2464" s="14">
        <v>550</v>
      </c>
      <c r="E2464" s="14">
        <v>550</v>
      </c>
      <c r="F2464" s="7"/>
      <c r="G2464" s="14">
        <v>550</v>
      </c>
      <c r="H2464" s="3523">
        <v>550</v>
      </c>
      <c r="I2464" s="3523"/>
      <c r="J2464" s="7"/>
      <c r="K2464" s="7"/>
      <c r="L2464" s="7"/>
      <c r="M2464" s="7"/>
      <c r="N2464" s="7"/>
      <c r="O2464" s="7"/>
      <c r="P2464" s="7"/>
      <c r="Q2464" s="7"/>
      <c r="R2464" s="12"/>
      <c r="S2464" s="7"/>
      <c r="T2464" s="7"/>
      <c r="U2464" s="7"/>
      <c r="V2464" s="7"/>
      <c r="W2464" s="7"/>
      <c r="X2464" s="7"/>
      <c r="Y2464" s="7"/>
      <c r="Z2464" s="12"/>
      <c r="AA2464" s="12"/>
    </row>
    <row r="2465" spans="1:27" outlineLevel="7">
      <c r="A2465" s="3499" t="s">
        <v>2342</v>
      </c>
      <c r="B2465" s="3499"/>
      <c r="C2465" s="12"/>
      <c r="D2465" s="14">
        <v>550</v>
      </c>
      <c r="E2465" s="14">
        <v>550</v>
      </c>
      <c r="F2465" s="7"/>
      <c r="G2465" s="14">
        <v>550</v>
      </c>
      <c r="H2465" s="3523">
        <v>550</v>
      </c>
      <c r="I2465" s="3523"/>
      <c r="J2465" s="7"/>
      <c r="K2465" s="7"/>
      <c r="L2465" s="7"/>
      <c r="M2465" s="7"/>
      <c r="N2465" s="7"/>
      <c r="O2465" s="7"/>
      <c r="P2465" s="7"/>
      <c r="Q2465" s="7"/>
      <c r="R2465" s="12"/>
      <c r="S2465" s="7"/>
      <c r="T2465" s="7"/>
      <c r="U2465" s="7"/>
      <c r="V2465" s="7"/>
      <c r="W2465" s="7"/>
      <c r="X2465" s="7"/>
      <c r="Y2465" s="7"/>
      <c r="Z2465" s="12"/>
      <c r="AA2465" s="12"/>
    </row>
    <row r="2466" spans="1:27" outlineLevel="6">
      <c r="A2466" s="3501" t="s">
        <v>1167</v>
      </c>
      <c r="B2466" s="3501"/>
      <c r="C2466" s="12"/>
      <c r="D2466" s="12"/>
      <c r="E2466" s="12"/>
      <c r="F2466" s="7"/>
      <c r="G2466" s="7"/>
      <c r="H2466" s="8"/>
      <c r="I2466" s="9"/>
      <c r="J2466" s="7"/>
      <c r="K2466" s="7"/>
      <c r="L2466" s="7"/>
      <c r="M2466" s="7"/>
      <c r="N2466" s="7"/>
      <c r="O2466" s="7"/>
      <c r="P2466" s="7"/>
      <c r="Q2466" s="7"/>
      <c r="R2466" s="14">
        <v>550</v>
      </c>
      <c r="S2466" s="7"/>
      <c r="T2466" s="7"/>
      <c r="U2466" s="14">
        <v>550</v>
      </c>
      <c r="V2466" s="7"/>
      <c r="W2466" s="7"/>
      <c r="X2466" s="7"/>
      <c r="Y2466" s="7"/>
      <c r="Z2466" s="12"/>
      <c r="AA2466" s="14">
        <v>550</v>
      </c>
    </row>
    <row r="2467" spans="1:27" outlineLevel="7">
      <c r="A2467" s="3500" t="s">
        <v>1168</v>
      </c>
      <c r="B2467" s="3500"/>
      <c r="C2467" s="12"/>
      <c r="D2467" s="12"/>
      <c r="E2467" s="12"/>
      <c r="F2467" s="7"/>
      <c r="G2467" s="7"/>
      <c r="H2467" s="8"/>
      <c r="I2467" s="9"/>
      <c r="J2467" s="7"/>
      <c r="K2467" s="7"/>
      <c r="L2467" s="7"/>
      <c r="M2467" s="7"/>
      <c r="N2467" s="7"/>
      <c r="O2467" s="7"/>
      <c r="P2467" s="7"/>
      <c r="Q2467" s="7"/>
      <c r="R2467" s="14">
        <v>550</v>
      </c>
      <c r="S2467" s="7"/>
      <c r="T2467" s="7"/>
      <c r="U2467" s="14">
        <v>550</v>
      </c>
      <c r="V2467" s="7"/>
      <c r="W2467" s="7"/>
      <c r="X2467" s="7"/>
      <c r="Y2467" s="7"/>
      <c r="Z2467" s="12"/>
      <c r="AA2467" s="14">
        <v>550</v>
      </c>
    </row>
    <row r="2468" spans="1:27" outlineLevel="7">
      <c r="A2468" s="3499" t="s">
        <v>2343</v>
      </c>
      <c r="B2468" s="3499"/>
      <c r="C2468" s="12"/>
      <c r="D2468" s="12"/>
      <c r="E2468" s="12"/>
      <c r="F2468" s="7"/>
      <c r="G2468" s="7"/>
      <c r="H2468" s="8"/>
      <c r="I2468" s="9"/>
      <c r="J2468" s="7"/>
      <c r="K2468" s="7"/>
      <c r="L2468" s="7"/>
      <c r="M2468" s="7"/>
      <c r="N2468" s="7"/>
      <c r="O2468" s="7"/>
      <c r="P2468" s="7"/>
      <c r="Q2468" s="7"/>
      <c r="R2468" s="14">
        <v>550</v>
      </c>
      <c r="S2468" s="7"/>
      <c r="T2468" s="7"/>
      <c r="U2468" s="14">
        <v>550</v>
      </c>
      <c r="V2468" s="7"/>
      <c r="W2468" s="7"/>
      <c r="X2468" s="7"/>
      <c r="Y2468" s="7"/>
      <c r="Z2468" s="12"/>
      <c r="AA2468" s="14">
        <v>550</v>
      </c>
    </row>
    <row r="2469" spans="1:27" outlineLevel="6">
      <c r="A2469" s="3501" t="s">
        <v>554</v>
      </c>
      <c r="B2469" s="3501"/>
      <c r="C2469" s="12"/>
      <c r="D2469" s="14">
        <v>550</v>
      </c>
      <c r="E2469" s="14">
        <v>550</v>
      </c>
      <c r="F2469" s="7"/>
      <c r="G2469" s="14">
        <v>550</v>
      </c>
      <c r="H2469" s="3523">
        <v>550</v>
      </c>
      <c r="I2469" s="3523"/>
      <c r="J2469" s="7"/>
      <c r="K2469" s="7"/>
      <c r="L2469" s="7"/>
      <c r="M2469" s="7"/>
      <c r="N2469" s="7"/>
      <c r="O2469" s="7"/>
      <c r="P2469" s="7"/>
      <c r="Q2469" s="7"/>
      <c r="R2469" s="12"/>
      <c r="S2469" s="7"/>
      <c r="T2469" s="7"/>
      <c r="U2469" s="7"/>
      <c r="V2469" s="7"/>
      <c r="W2469" s="7"/>
      <c r="X2469" s="7"/>
      <c r="Y2469" s="7"/>
      <c r="Z2469" s="12"/>
      <c r="AA2469" s="12"/>
    </row>
    <row r="2470" spans="1:27" outlineLevel="7">
      <c r="A2470" s="3500" t="s">
        <v>555</v>
      </c>
      <c r="B2470" s="3500"/>
      <c r="C2470" s="12"/>
      <c r="D2470" s="14">
        <v>550</v>
      </c>
      <c r="E2470" s="14">
        <v>550</v>
      </c>
      <c r="F2470" s="7"/>
      <c r="G2470" s="14">
        <v>550</v>
      </c>
      <c r="H2470" s="3523">
        <v>550</v>
      </c>
      <c r="I2470" s="3523"/>
      <c r="J2470" s="7"/>
      <c r="K2470" s="7"/>
      <c r="L2470" s="7"/>
      <c r="M2470" s="7"/>
      <c r="N2470" s="7"/>
      <c r="O2470" s="7"/>
      <c r="P2470" s="7"/>
      <c r="Q2470" s="7"/>
      <c r="R2470" s="12"/>
      <c r="S2470" s="7"/>
      <c r="T2470" s="7"/>
      <c r="U2470" s="7"/>
      <c r="V2470" s="7"/>
      <c r="W2470" s="7"/>
      <c r="X2470" s="7"/>
      <c r="Y2470" s="7"/>
      <c r="Z2470" s="12"/>
      <c r="AA2470" s="12"/>
    </row>
    <row r="2471" spans="1:27" outlineLevel="7">
      <c r="A2471" s="3499" t="s">
        <v>2344</v>
      </c>
      <c r="B2471" s="3499"/>
      <c r="C2471" s="12"/>
      <c r="D2471" s="14">
        <v>550</v>
      </c>
      <c r="E2471" s="14">
        <v>550</v>
      </c>
      <c r="F2471" s="7"/>
      <c r="G2471" s="14">
        <v>550</v>
      </c>
      <c r="H2471" s="3523">
        <v>550</v>
      </c>
      <c r="I2471" s="3523"/>
      <c r="J2471" s="7"/>
      <c r="K2471" s="7"/>
      <c r="L2471" s="7"/>
      <c r="M2471" s="7"/>
      <c r="N2471" s="7"/>
      <c r="O2471" s="7"/>
      <c r="P2471" s="7"/>
      <c r="Q2471" s="7"/>
      <c r="R2471" s="12"/>
      <c r="S2471" s="7"/>
      <c r="T2471" s="7"/>
      <c r="U2471" s="7"/>
      <c r="V2471" s="7"/>
      <c r="W2471" s="7"/>
      <c r="X2471" s="7"/>
      <c r="Y2471" s="7"/>
      <c r="Z2471" s="12"/>
      <c r="AA2471" s="12"/>
    </row>
    <row r="2472" spans="1:27" outlineLevel="6">
      <c r="A2472" s="3501" t="s">
        <v>1169</v>
      </c>
      <c r="B2472" s="3501"/>
      <c r="C2472" s="12"/>
      <c r="D2472" s="12"/>
      <c r="E2472" s="12"/>
      <c r="F2472" s="7"/>
      <c r="G2472" s="7"/>
      <c r="H2472" s="8"/>
      <c r="I2472" s="9"/>
      <c r="J2472" s="7"/>
      <c r="K2472" s="7"/>
      <c r="L2472" s="7"/>
      <c r="M2472" s="7"/>
      <c r="N2472" s="7"/>
      <c r="O2472" s="7"/>
      <c r="P2472" s="7"/>
      <c r="Q2472" s="7"/>
      <c r="R2472" s="14">
        <v>550</v>
      </c>
      <c r="S2472" s="7"/>
      <c r="T2472" s="7"/>
      <c r="U2472" s="14">
        <v>550</v>
      </c>
      <c r="V2472" s="7"/>
      <c r="W2472" s="7"/>
      <c r="X2472" s="7"/>
      <c r="Y2472" s="7"/>
      <c r="Z2472" s="12"/>
      <c r="AA2472" s="14">
        <v>550</v>
      </c>
    </row>
    <row r="2473" spans="1:27" outlineLevel="7">
      <c r="A2473" s="3500" t="s">
        <v>1170</v>
      </c>
      <c r="B2473" s="3500"/>
      <c r="C2473" s="12"/>
      <c r="D2473" s="12"/>
      <c r="E2473" s="12"/>
      <c r="F2473" s="7"/>
      <c r="G2473" s="7"/>
      <c r="H2473" s="8"/>
      <c r="I2473" s="9"/>
      <c r="J2473" s="7"/>
      <c r="K2473" s="7"/>
      <c r="L2473" s="7"/>
      <c r="M2473" s="7"/>
      <c r="N2473" s="7"/>
      <c r="O2473" s="7"/>
      <c r="P2473" s="7"/>
      <c r="Q2473" s="7"/>
      <c r="R2473" s="14">
        <v>550</v>
      </c>
      <c r="S2473" s="7"/>
      <c r="T2473" s="7"/>
      <c r="U2473" s="14">
        <v>550</v>
      </c>
      <c r="V2473" s="7"/>
      <c r="W2473" s="7"/>
      <c r="X2473" s="7"/>
      <c r="Y2473" s="7"/>
      <c r="Z2473" s="12"/>
      <c r="AA2473" s="14">
        <v>550</v>
      </c>
    </row>
    <row r="2474" spans="1:27" outlineLevel="7">
      <c r="A2474" s="3499" t="s">
        <v>2345</v>
      </c>
      <c r="B2474" s="3499"/>
      <c r="C2474" s="12"/>
      <c r="D2474" s="12"/>
      <c r="E2474" s="12"/>
      <c r="F2474" s="7"/>
      <c r="G2474" s="7"/>
      <c r="H2474" s="8"/>
      <c r="I2474" s="9"/>
      <c r="J2474" s="7"/>
      <c r="K2474" s="7"/>
      <c r="L2474" s="7"/>
      <c r="M2474" s="7"/>
      <c r="N2474" s="7"/>
      <c r="O2474" s="7"/>
      <c r="P2474" s="7"/>
      <c r="Q2474" s="7"/>
      <c r="R2474" s="14">
        <v>550</v>
      </c>
      <c r="S2474" s="7"/>
      <c r="T2474" s="7"/>
      <c r="U2474" s="14">
        <v>550</v>
      </c>
      <c r="V2474" s="7"/>
      <c r="W2474" s="7"/>
      <c r="X2474" s="7"/>
      <c r="Y2474" s="7"/>
      <c r="Z2474" s="12"/>
      <c r="AA2474" s="14">
        <v>550</v>
      </c>
    </row>
    <row r="2475" spans="1:27" outlineLevel="6">
      <c r="A2475" s="3501" t="s">
        <v>558</v>
      </c>
      <c r="B2475" s="3501"/>
      <c r="C2475" s="12"/>
      <c r="D2475" s="14">
        <v>550</v>
      </c>
      <c r="E2475" s="14">
        <v>550</v>
      </c>
      <c r="F2475" s="7"/>
      <c r="G2475" s="14">
        <v>550</v>
      </c>
      <c r="H2475" s="3523">
        <v>550</v>
      </c>
      <c r="I2475" s="3523"/>
      <c r="J2475" s="7"/>
      <c r="K2475" s="7"/>
      <c r="L2475" s="7"/>
      <c r="M2475" s="7"/>
      <c r="N2475" s="7"/>
      <c r="O2475" s="7"/>
      <c r="P2475" s="7"/>
      <c r="Q2475" s="7"/>
      <c r="R2475" s="12"/>
      <c r="S2475" s="7"/>
      <c r="T2475" s="7"/>
      <c r="U2475" s="7"/>
      <c r="V2475" s="7"/>
      <c r="W2475" s="7"/>
      <c r="X2475" s="7"/>
      <c r="Y2475" s="7"/>
      <c r="Z2475" s="12"/>
      <c r="AA2475" s="12"/>
    </row>
    <row r="2476" spans="1:27" outlineLevel="7">
      <c r="A2476" s="3500" t="s">
        <v>559</v>
      </c>
      <c r="B2476" s="3500"/>
      <c r="C2476" s="12"/>
      <c r="D2476" s="14">
        <v>550</v>
      </c>
      <c r="E2476" s="14">
        <v>550</v>
      </c>
      <c r="F2476" s="7"/>
      <c r="G2476" s="14">
        <v>550</v>
      </c>
      <c r="H2476" s="3523">
        <v>550</v>
      </c>
      <c r="I2476" s="3523"/>
      <c r="J2476" s="7"/>
      <c r="K2476" s="7"/>
      <c r="L2476" s="7"/>
      <c r="M2476" s="7"/>
      <c r="N2476" s="7"/>
      <c r="O2476" s="7"/>
      <c r="P2476" s="7"/>
      <c r="Q2476" s="7"/>
      <c r="R2476" s="12"/>
      <c r="S2476" s="7"/>
      <c r="T2476" s="7"/>
      <c r="U2476" s="7"/>
      <c r="V2476" s="7"/>
      <c r="W2476" s="7"/>
      <c r="X2476" s="7"/>
      <c r="Y2476" s="7"/>
      <c r="Z2476" s="12"/>
      <c r="AA2476" s="12"/>
    </row>
    <row r="2477" spans="1:27" outlineLevel="7">
      <c r="A2477" s="3499" t="s">
        <v>2346</v>
      </c>
      <c r="B2477" s="3499"/>
      <c r="C2477" s="12"/>
      <c r="D2477" s="14">
        <v>550</v>
      </c>
      <c r="E2477" s="14">
        <v>550</v>
      </c>
      <c r="F2477" s="7"/>
      <c r="G2477" s="14">
        <v>550</v>
      </c>
      <c r="H2477" s="3523">
        <v>550</v>
      </c>
      <c r="I2477" s="3523"/>
      <c r="J2477" s="7"/>
      <c r="K2477" s="7"/>
      <c r="L2477" s="7"/>
      <c r="M2477" s="7"/>
      <c r="N2477" s="7"/>
      <c r="O2477" s="7"/>
      <c r="P2477" s="7"/>
      <c r="Q2477" s="7"/>
      <c r="R2477" s="12"/>
      <c r="S2477" s="7"/>
      <c r="T2477" s="7"/>
      <c r="U2477" s="7"/>
      <c r="V2477" s="7"/>
      <c r="W2477" s="7"/>
      <c r="X2477" s="7"/>
      <c r="Y2477" s="7"/>
      <c r="Z2477" s="12"/>
      <c r="AA2477" s="12"/>
    </row>
    <row r="2478" spans="1:27" outlineLevel="6">
      <c r="A2478" s="3501" t="s">
        <v>560</v>
      </c>
      <c r="B2478" s="3501"/>
      <c r="C2478" s="7"/>
      <c r="D2478" s="7"/>
      <c r="E2478" s="14">
        <v>550</v>
      </c>
      <c r="F2478" s="7"/>
      <c r="G2478" s="14">
        <v>550</v>
      </c>
      <c r="H2478" s="3523">
        <v>550</v>
      </c>
      <c r="I2478" s="3523"/>
      <c r="J2478" s="7"/>
      <c r="K2478" s="7"/>
      <c r="L2478" s="7"/>
      <c r="M2478" s="7"/>
      <c r="N2478" s="7"/>
      <c r="O2478" s="7"/>
      <c r="P2478" s="7"/>
      <c r="Q2478" s="7"/>
      <c r="R2478" s="14">
        <v>550</v>
      </c>
      <c r="S2478" s="7"/>
      <c r="T2478" s="7"/>
      <c r="U2478" s="14">
        <v>550</v>
      </c>
      <c r="V2478" s="7"/>
      <c r="W2478" s="7"/>
      <c r="X2478" s="7"/>
      <c r="Y2478" s="7"/>
      <c r="Z2478" s="7"/>
      <c r="AA2478" s="7"/>
    </row>
    <row r="2479" spans="1:27" outlineLevel="7">
      <c r="A2479" s="3500" t="s">
        <v>561</v>
      </c>
      <c r="B2479" s="3500"/>
      <c r="C2479" s="7"/>
      <c r="D2479" s="7"/>
      <c r="E2479" s="14">
        <v>550</v>
      </c>
      <c r="F2479" s="7"/>
      <c r="G2479" s="14">
        <v>550</v>
      </c>
      <c r="H2479" s="3523">
        <v>550</v>
      </c>
      <c r="I2479" s="3523"/>
      <c r="J2479" s="7"/>
      <c r="K2479" s="7"/>
      <c r="L2479" s="7"/>
      <c r="M2479" s="7"/>
      <c r="N2479" s="7"/>
      <c r="O2479" s="7"/>
      <c r="P2479" s="7"/>
      <c r="Q2479" s="7"/>
      <c r="R2479" s="14">
        <v>550</v>
      </c>
      <c r="S2479" s="7"/>
      <c r="T2479" s="7"/>
      <c r="U2479" s="14">
        <v>550</v>
      </c>
      <c r="V2479" s="7"/>
      <c r="W2479" s="7"/>
      <c r="X2479" s="7"/>
      <c r="Y2479" s="7"/>
      <c r="Z2479" s="7"/>
      <c r="AA2479" s="7"/>
    </row>
    <row r="2480" spans="1:27" outlineLevel="7">
      <c r="A2480" s="3499" t="s">
        <v>2347</v>
      </c>
      <c r="B2480" s="3499"/>
      <c r="C2480" s="7"/>
      <c r="D2480" s="7"/>
      <c r="E2480" s="14">
        <v>550</v>
      </c>
      <c r="F2480" s="7"/>
      <c r="G2480" s="14">
        <v>550</v>
      </c>
      <c r="H2480" s="3523">
        <v>550</v>
      </c>
      <c r="I2480" s="3523"/>
      <c r="J2480" s="7"/>
      <c r="K2480" s="7"/>
      <c r="L2480" s="7"/>
      <c r="M2480" s="7"/>
      <c r="N2480" s="7"/>
      <c r="O2480" s="7"/>
      <c r="P2480" s="7"/>
      <c r="Q2480" s="7"/>
      <c r="R2480" s="14">
        <v>550</v>
      </c>
      <c r="S2480" s="7"/>
      <c r="T2480" s="7"/>
      <c r="U2480" s="14">
        <v>550</v>
      </c>
      <c r="V2480" s="7"/>
      <c r="W2480" s="7"/>
      <c r="X2480" s="7"/>
      <c r="Y2480" s="7"/>
      <c r="Z2480" s="7"/>
      <c r="AA2480" s="7"/>
    </row>
    <row r="2481" spans="1:27" outlineLevel="6">
      <c r="A2481" s="3501" t="s">
        <v>562</v>
      </c>
      <c r="B2481" s="3501"/>
      <c r="C2481" s="7"/>
      <c r="D2481" s="7"/>
      <c r="E2481" s="14">
        <v>550</v>
      </c>
      <c r="F2481" s="7"/>
      <c r="G2481" s="14">
        <v>550</v>
      </c>
      <c r="H2481" s="3523">
        <v>550</v>
      </c>
      <c r="I2481" s="3523"/>
      <c r="J2481" s="7"/>
      <c r="K2481" s="7"/>
      <c r="L2481" s="7"/>
      <c r="M2481" s="7"/>
      <c r="N2481" s="7"/>
      <c r="O2481" s="7"/>
      <c r="P2481" s="7"/>
      <c r="Q2481" s="7"/>
      <c r="R2481" s="14">
        <v>550</v>
      </c>
      <c r="S2481" s="7"/>
      <c r="T2481" s="7"/>
      <c r="U2481" s="14">
        <v>550</v>
      </c>
      <c r="V2481" s="7"/>
      <c r="W2481" s="7"/>
      <c r="X2481" s="7"/>
      <c r="Y2481" s="7"/>
      <c r="Z2481" s="7"/>
      <c r="AA2481" s="7"/>
    </row>
    <row r="2482" spans="1:27" outlineLevel="7">
      <c r="A2482" s="3500" t="s">
        <v>563</v>
      </c>
      <c r="B2482" s="3500"/>
      <c r="C2482" s="7"/>
      <c r="D2482" s="7"/>
      <c r="E2482" s="14">
        <v>550</v>
      </c>
      <c r="F2482" s="7"/>
      <c r="G2482" s="14">
        <v>550</v>
      </c>
      <c r="H2482" s="3523">
        <v>550</v>
      </c>
      <c r="I2482" s="3523"/>
      <c r="J2482" s="7"/>
      <c r="K2482" s="7"/>
      <c r="L2482" s="7"/>
      <c r="M2482" s="7"/>
      <c r="N2482" s="7"/>
      <c r="O2482" s="7"/>
      <c r="P2482" s="7"/>
      <c r="Q2482" s="7"/>
      <c r="R2482" s="14">
        <v>550</v>
      </c>
      <c r="S2482" s="7"/>
      <c r="T2482" s="7"/>
      <c r="U2482" s="14">
        <v>550</v>
      </c>
      <c r="V2482" s="7"/>
      <c r="W2482" s="7"/>
      <c r="X2482" s="7"/>
      <c r="Y2482" s="7"/>
      <c r="Z2482" s="7"/>
      <c r="AA2482" s="7"/>
    </row>
    <row r="2483" spans="1:27" outlineLevel="7">
      <c r="A2483" s="3499" t="s">
        <v>2348</v>
      </c>
      <c r="B2483" s="3499"/>
      <c r="C2483" s="7"/>
      <c r="D2483" s="7"/>
      <c r="E2483" s="14">
        <v>550</v>
      </c>
      <c r="F2483" s="7"/>
      <c r="G2483" s="14">
        <v>550</v>
      </c>
      <c r="H2483" s="3523">
        <v>550</v>
      </c>
      <c r="I2483" s="3523"/>
      <c r="J2483" s="7"/>
      <c r="K2483" s="7"/>
      <c r="L2483" s="7"/>
      <c r="M2483" s="7"/>
      <c r="N2483" s="7"/>
      <c r="O2483" s="7"/>
      <c r="P2483" s="7"/>
      <c r="Q2483" s="7"/>
      <c r="R2483" s="14">
        <v>550</v>
      </c>
      <c r="S2483" s="7"/>
      <c r="T2483" s="7"/>
      <c r="U2483" s="14">
        <v>550</v>
      </c>
      <c r="V2483" s="7"/>
      <c r="W2483" s="7"/>
      <c r="X2483" s="7"/>
      <c r="Y2483" s="7"/>
      <c r="Z2483" s="7"/>
      <c r="AA2483" s="7"/>
    </row>
    <row r="2484" spans="1:27" outlineLevel="6">
      <c r="A2484" s="3501" t="s">
        <v>564</v>
      </c>
      <c r="B2484" s="3501"/>
      <c r="C2484" s="12"/>
      <c r="D2484" s="14">
        <v>550</v>
      </c>
      <c r="E2484" s="14">
        <v>550</v>
      </c>
      <c r="F2484" s="7"/>
      <c r="G2484" s="14">
        <v>550</v>
      </c>
      <c r="H2484" s="3523">
        <v>550</v>
      </c>
      <c r="I2484" s="3523"/>
      <c r="J2484" s="7"/>
      <c r="K2484" s="7"/>
      <c r="L2484" s="7"/>
      <c r="M2484" s="7"/>
      <c r="N2484" s="7"/>
      <c r="O2484" s="7"/>
      <c r="P2484" s="7"/>
      <c r="Q2484" s="7"/>
      <c r="R2484" s="12"/>
      <c r="S2484" s="7"/>
      <c r="T2484" s="7"/>
      <c r="U2484" s="7"/>
      <c r="V2484" s="7"/>
      <c r="W2484" s="7"/>
      <c r="X2484" s="7"/>
      <c r="Y2484" s="7"/>
      <c r="Z2484" s="12"/>
      <c r="AA2484" s="12"/>
    </row>
    <row r="2485" spans="1:27" outlineLevel="7">
      <c r="A2485" s="3500" t="s">
        <v>565</v>
      </c>
      <c r="B2485" s="3500"/>
      <c r="C2485" s="12"/>
      <c r="D2485" s="14">
        <v>550</v>
      </c>
      <c r="E2485" s="14">
        <v>550</v>
      </c>
      <c r="F2485" s="7"/>
      <c r="G2485" s="14">
        <v>550</v>
      </c>
      <c r="H2485" s="3523">
        <v>550</v>
      </c>
      <c r="I2485" s="3523"/>
      <c r="J2485" s="7"/>
      <c r="K2485" s="7"/>
      <c r="L2485" s="7"/>
      <c r="M2485" s="7"/>
      <c r="N2485" s="7"/>
      <c r="O2485" s="7"/>
      <c r="P2485" s="7"/>
      <c r="Q2485" s="7"/>
      <c r="R2485" s="12"/>
      <c r="S2485" s="7"/>
      <c r="T2485" s="7"/>
      <c r="U2485" s="7"/>
      <c r="V2485" s="7"/>
      <c r="W2485" s="7"/>
      <c r="X2485" s="7"/>
      <c r="Y2485" s="7"/>
      <c r="Z2485" s="12"/>
      <c r="AA2485" s="12"/>
    </row>
    <row r="2486" spans="1:27" outlineLevel="7">
      <c r="A2486" s="3499" t="s">
        <v>2349</v>
      </c>
      <c r="B2486" s="3499"/>
      <c r="C2486" s="12"/>
      <c r="D2486" s="14">
        <v>550</v>
      </c>
      <c r="E2486" s="14">
        <v>550</v>
      </c>
      <c r="F2486" s="7"/>
      <c r="G2486" s="14">
        <v>550</v>
      </c>
      <c r="H2486" s="3523">
        <v>550</v>
      </c>
      <c r="I2486" s="3523"/>
      <c r="J2486" s="7"/>
      <c r="K2486" s="7"/>
      <c r="L2486" s="7"/>
      <c r="M2486" s="7"/>
      <c r="N2486" s="7"/>
      <c r="O2486" s="7"/>
      <c r="P2486" s="7"/>
      <c r="Q2486" s="7"/>
      <c r="R2486" s="12"/>
      <c r="S2486" s="7"/>
      <c r="T2486" s="7"/>
      <c r="U2486" s="7"/>
      <c r="V2486" s="7"/>
      <c r="W2486" s="7"/>
      <c r="X2486" s="7"/>
      <c r="Y2486" s="7"/>
      <c r="Z2486" s="12"/>
      <c r="AA2486" s="12"/>
    </row>
    <row r="2487" spans="1:27" outlineLevel="6">
      <c r="A2487" s="3501" t="s">
        <v>1171</v>
      </c>
      <c r="B2487" s="3501"/>
      <c r="C2487" s="12"/>
      <c r="D2487" s="14">
        <v>550</v>
      </c>
      <c r="E2487" s="7"/>
      <c r="F2487" s="7"/>
      <c r="G2487" s="7"/>
      <c r="H2487" s="8"/>
      <c r="I2487" s="9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12"/>
      <c r="AA2487" s="14">
        <v>550</v>
      </c>
    </row>
    <row r="2488" spans="1:27" outlineLevel="7">
      <c r="A2488" s="3500" t="s">
        <v>1172</v>
      </c>
      <c r="B2488" s="3500"/>
      <c r="C2488" s="12"/>
      <c r="D2488" s="14">
        <v>550</v>
      </c>
      <c r="E2488" s="7"/>
      <c r="F2488" s="7"/>
      <c r="G2488" s="7"/>
      <c r="H2488" s="8"/>
      <c r="I2488" s="9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12"/>
      <c r="AA2488" s="14">
        <v>550</v>
      </c>
    </row>
    <row r="2489" spans="1:27" outlineLevel="7">
      <c r="A2489" s="3499" t="s">
        <v>2350</v>
      </c>
      <c r="B2489" s="3499"/>
      <c r="C2489" s="12"/>
      <c r="D2489" s="14">
        <v>550</v>
      </c>
      <c r="E2489" s="7"/>
      <c r="F2489" s="7"/>
      <c r="G2489" s="7"/>
      <c r="H2489" s="8"/>
      <c r="I2489" s="9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12"/>
      <c r="AA2489" s="14">
        <v>550</v>
      </c>
    </row>
    <row r="2490" spans="1:27" outlineLevel="6">
      <c r="A2490" s="3501" t="s">
        <v>1173</v>
      </c>
      <c r="B2490" s="3501"/>
      <c r="C2490" s="12"/>
      <c r="D2490" s="12"/>
      <c r="E2490" s="12"/>
      <c r="F2490" s="7"/>
      <c r="G2490" s="7"/>
      <c r="H2490" s="8"/>
      <c r="I2490" s="9"/>
      <c r="J2490" s="7"/>
      <c r="K2490" s="7"/>
      <c r="L2490" s="7"/>
      <c r="M2490" s="7"/>
      <c r="N2490" s="7"/>
      <c r="O2490" s="7"/>
      <c r="P2490" s="7"/>
      <c r="Q2490" s="7"/>
      <c r="R2490" s="14">
        <v>550</v>
      </c>
      <c r="S2490" s="7"/>
      <c r="T2490" s="7"/>
      <c r="U2490" s="14">
        <v>550</v>
      </c>
      <c r="V2490" s="7"/>
      <c r="W2490" s="7"/>
      <c r="X2490" s="7"/>
      <c r="Y2490" s="7"/>
      <c r="Z2490" s="12"/>
      <c r="AA2490" s="14">
        <v>550</v>
      </c>
    </row>
    <row r="2491" spans="1:27" outlineLevel="7">
      <c r="A2491" s="3500" t="s">
        <v>1174</v>
      </c>
      <c r="B2491" s="3500"/>
      <c r="C2491" s="12"/>
      <c r="D2491" s="12"/>
      <c r="E2491" s="12"/>
      <c r="F2491" s="7"/>
      <c r="G2491" s="7"/>
      <c r="H2491" s="8"/>
      <c r="I2491" s="9"/>
      <c r="J2491" s="7"/>
      <c r="K2491" s="7"/>
      <c r="L2491" s="7"/>
      <c r="M2491" s="7"/>
      <c r="N2491" s="7"/>
      <c r="O2491" s="7"/>
      <c r="P2491" s="7"/>
      <c r="Q2491" s="7"/>
      <c r="R2491" s="14">
        <v>550</v>
      </c>
      <c r="S2491" s="7"/>
      <c r="T2491" s="7"/>
      <c r="U2491" s="14">
        <v>550</v>
      </c>
      <c r="V2491" s="7"/>
      <c r="W2491" s="7"/>
      <c r="X2491" s="7"/>
      <c r="Y2491" s="7"/>
      <c r="Z2491" s="12"/>
      <c r="AA2491" s="14">
        <v>550</v>
      </c>
    </row>
    <row r="2492" spans="1:27" outlineLevel="7">
      <c r="A2492" s="3499" t="s">
        <v>2351</v>
      </c>
      <c r="B2492" s="3499"/>
      <c r="C2492" s="12"/>
      <c r="D2492" s="12"/>
      <c r="E2492" s="12"/>
      <c r="F2492" s="7"/>
      <c r="G2492" s="7"/>
      <c r="H2492" s="8"/>
      <c r="I2492" s="9"/>
      <c r="J2492" s="7"/>
      <c r="K2492" s="7"/>
      <c r="L2492" s="7"/>
      <c r="M2492" s="7"/>
      <c r="N2492" s="7"/>
      <c r="O2492" s="7"/>
      <c r="P2492" s="7"/>
      <c r="Q2492" s="7"/>
      <c r="R2492" s="14">
        <v>550</v>
      </c>
      <c r="S2492" s="7"/>
      <c r="T2492" s="7"/>
      <c r="U2492" s="14">
        <v>550</v>
      </c>
      <c r="V2492" s="7"/>
      <c r="W2492" s="7"/>
      <c r="X2492" s="7"/>
      <c r="Y2492" s="7"/>
      <c r="Z2492" s="12"/>
      <c r="AA2492" s="14">
        <v>550</v>
      </c>
    </row>
    <row r="2493" spans="1:27" outlineLevel="6">
      <c r="A2493" s="3501" t="s">
        <v>1175</v>
      </c>
      <c r="B2493" s="3501"/>
      <c r="C2493" s="12"/>
      <c r="D2493" s="12"/>
      <c r="E2493" s="12"/>
      <c r="F2493" s="7"/>
      <c r="G2493" s="7"/>
      <c r="H2493" s="8"/>
      <c r="I2493" s="9"/>
      <c r="J2493" s="7"/>
      <c r="K2493" s="7"/>
      <c r="L2493" s="7"/>
      <c r="M2493" s="7"/>
      <c r="N2493" s="7"/>
      <c r="O2493" s="7"/>
      <c r="P2493" s="7"/>
      <c r="Q2493" s="7"/>
      <c r="R2493" s="13">
        <v>13490.59</v>
      </c>
      <c r="S2493" s="7"/>
      <c r="T2493" s="7"/>
      <c r="U2493" s="13">
        <v>13490.59</v>
      </c>
      <c r="V2493" s="7"/>
      <c r="W2493" s="7"/>
      <c r="X2493" s="7"/>
      <c r="Y2493" s="7"/>
      <c r="Z2493" s="12"/>
      <c r="AA2493" s="13">
        <v>13490.59</v>
      </c>
    </row>
    <row r="2494" spans="1:27" outlineLevel="7">
      <c r="A2494" s="3500" t="s">
        <v>1176</v>
      </c>
      <c r="B2494" s="3500"/>
      <c r="C2494" s="12"/>
      <c r="D2494" s="12"/>
      <c r="E2494" s="12"/>
      <c r="F2494" s="7"/>
      <c r="G2494" s="7"/>
      <c r="H2494" s="8"/>
      <c r="I2494" s="9"/>
      <c r="J2494" s="7"/>
      <c r="K2494" s="7"/>
      <c r="L2494" s="7"/>
      <c r="M2494" s="7"/>
      <c r="N2494" s="7"/>
      <c r="O2494" s="7"/>
      <c r="P2494" s="7"/>
      <c r="Q2494" s="7"/>
      <c r="R2494" s="13">
        <v>13490.59</v>
      </c>
      <c r="S2494" s="7"/>
      <c r="T2494" s="7"/>
      <c r="U2494" s="13">
        <v>13490.59</v>
      </c>
      <c r="V2494" s="7"/>
      <c r="W2494" s="7"/>
      <c r="X2494" s="7"/>
      <c r="Y2494" s="7"/>
      <c r="Z2494" s="12"/>
      <c r="AA2494" s="13">
        <v>13490.59</v>
      </c>
    </row>
    <row r="2495" spans="1:27" outlineLevel="7">
      <c r="A2495" s="3499" t="s">
        <v>2352</v>
      </c>
      <c r="B2495" s="3499"/>
      <c r="C2495" s="12"/>
      <c r="D2495" s="12"/>
      <c r="E2495" s="12"/>
      <c r="F2495" s="7"/>
      <c r="G2495" s="7"/>
      <c r="H2495" s="8"/>
      <c r="I2495" s="9"/>
      <c r="J2495" s="7"/>
      <c r="K2495" s="7"/>
      <c r="L2495" s="7"/>
      <c r="M2495" s="7"/>
      <c r="N2495" s="7"/>
      <c r="O2495" s="7"/>
      <c r="P2495" s="7"/>
      <c r="Q2495" s="7"/>
      <c r="R2495" s="13">
        <v>13490.59</v>
      </c>
      <c r="S2495" s="7"/>
      <c r="T2495" s="7"/>
      <c r="U2495" s="13">
        <v>13490.59</v>
      </c>
      <c r="V2495" s="7"/>
      <c r="W2495" s="7"/>
      <c r="X2495" s="7"/>
      <c r="Y2495" s="7"/>
      <c r="Z2495" s="12"/>
      <c r="AA2495" s="13">
        <v>13490.59</v>
      </c>
    </row>
    <row r="2496" spans="1:27" outlineLevel="6">
      <c r="A2496" s="3501" t="s">
        <v>566</v>
      </c>
      <c r="B2496" s="3501"/>
      <c r="C2496" s="7"/>
      <c r="D2496" s="7"/>
      <c r="E2496" s="14">
        <v>550</v>
      </c>
      <c r="F2496" s="7"/>
      <c r="G2496" s="14">
        <v>550</v>
      </c>
      <c r="H2496" s="3523">
        <v>550</v>
      </c>
      <c r="I2496" s="3523"/>
      <c r="J2496" s="7"/>
      <c r="K2496" s="7"/>
      <c r="L2496" s="7"/>
      <c r="M2496" s="7"/>
      <c r="N2496" s="7"/>
      <c r="O2496" s="7"/>
      <c r="P2496" s="7"/>
      <c r="Q2496" s="7"/>
      <c r="R2496" s="14">
        <v>550</v>
      </c>
      <c r="S2496" s="7"/>
      <c r="T2496" s="7"/>
      <c r="U2496" s="14">
        <v>550</v>
      </c>
      <c r="V2496" s="7"/>
      <c r="W2496" s="7"/>
      <c r="X2496" s="7"/>
      <c r="Y2496" s="7"/>
      <c r="Z2496" s="7"/>
      <c r="AA2496" s="7"/>
    </row>
    <row r="2497" spans="1:27" outlineLevel="7">
      <c r="A2497" s="3500" t="s">
        <v>567</v>
      </c>
      <c r="B2497" s="3500"/>
      <c r="C2497" s="7"/>
      <c r="D2497" s="7"/>
      <c r="E2497" s="14">
        <v>550</v>
      </c>
      <c r="F2497" s="7"/>
      <c r="G2497" s="14">
        <v>550</v>
      </c>
      <c r="H2497" s="3523">
        <v>550</v>
      </c>
      <c r="I2497" s="3523"/>
      <c r="J2497" s="7"/>
      <c r="K2497" s="7"/>
      <c r="L2497" s="7"/>
      <c r="M2497" s="7"/>
      <c r="N2497" s="7"/>
      <c r="O2497" s="7"/>
      <c r="P2497" s="7"/>
      <c r="Q2497" s="7"/>
      <c r="R2497" s="14">
        <v>550</v>
      </c>
      <c r="S2497" s="7"/>
      <c r="T2497" s="7"/>
      <c r="U2497" s="14">
        <v>550</v>
      </c>
      <c r="V2497" s="7"/>
      <c r="W2497" s="7"/>
      <c r="X2497" s="7"/>
      <c r="Y2497" s="7"/>
      <c r="Z2497" s="7"/>
      <c r="AA2497" s="7"/>
    </row>
    <row r="2498" spans="1:27" outlineLevel="7">
      <c r="A2498" s="3499" t="s">
        <v>2353</v>
      </c>
      <c r="B2498" s="3499"/>
      <c r="C2498" s="7"/>
      <c r="D2498" s="7"/>
      <c r="E2498" s="14">
        <v>550</v>
      </c>
      <c r="F2498" s="7"/>
      <c r="G2498" s="14">
        <v>550</v>
      </c>
      <c r="H2498" s="3523">
        <v>550</v>
      </c>
      <c r="I2498" s="3523"/>
      <c r="J2498" s="7"/>
      <c r="K2498" s="7"/>
      <c r="L2498" s="7"/>
      <c r="M2498" s="7"/>
      <c r="N2498" s="7"/>
      <c r="O2498" s="7"/>
      <c r="P2498" s="7"/>
      <c r="Q2498" s="7"/>
      <c r="R2498" s="14">
        <v>550</v>
      </c>
      <c r="S2498" s="7"/>
      <c r="T2498" s="7"/>
      <c r="U2498" s="14">
        <v>550</v>
      </c>
      <c r="V2498" s="7"/>
      <c r="W2498" s="7"/>
      <c r="X2498" s="7"/>
      <c r="Y2498" s="7"/>
      <c r="Z2498" s="7"/>
      <c r="AA2498" s="7"/>
    </row>
    <row r="2499" spans="1:27" outlineLevel="6">
      <c r="A2499" s="3501" t="s">
        <v>1177</v>
      </c>
      <c r="B2499" s="3501"/>
      <c r="C2499" s="12"/>
      <c r="D2499" s="12"/>
      <c r="E2499" s="12"/>
      <c r="F2499" s="7"/>
      <c r="G2499" s="7"/>
      <c r="H2499" s="8"/>
      <c r="I2499" s="9"/>
      <c r="J2499" s="7"/>
      <c r="K2499" s="7"/>
      <c r="L2499" s="7"/>
      <c r="M2499" s="7"/>
      <c r="N2499" s="7"/>
      <c r="O2499" s="7"/>
      <c r="P2499" s="7"/>
      <c r="Q2499" s="7"/>
      <c r="R2499" s="14">
        <v>550</v>
      </c>
      <c r="S2499" s="7"/>
      <c r="T2499" s="7"/>
      <c r="U2499" s="14">
        <v>550</v>
      </c>
      <c r="V2499" s="7"/>
      <c r="W2499" s="7"/>
      <c r="X2499" s="7"/>
      <c r="Y2499" s="7"/>
      <c r="Z2499" s="12"/>
      <c r="AA2499" s="14">
        <v>550</v>
      </c>
    </row>
    <row r="2500" spans="1:27" outlineLevel="7">
      <c r="A2500" s="3500" t="s">
        <v>1178</v>
      </c>
      <c r="B2500" s="3500"/>
      <c r="C2500" s="12"/>
      <c r="D2500" s="12"/>
      <c r="E2500" s="12"/>
      <c r="F2500" s="7"/>
      <c r="G2500" s="7"/>
      <c r="H2500" s="8"/>
      <c r="I2500" s="9"/>
      <c r="J2500" s="7"/>
      <c r="K2500" s="7"/>
      <c r="L2500" s="7"/>
      <c r="M2500" s="7"/>
      <c r="N2500" s="7"/>
      <c r="O2500" s="7"/>
      <c r="P2500" s="7"/>
      <c r="Q2500" s="7"/>
      <c r="R2500" s="14">
        <v>550</v>
      </c>
      <c r="S2500" s="7"/>
      <c r="T2500" s="7"/>
      <c r="U2500" s="14">
        <v>550</v>
      </c>
      <c r="V2500" s="7"/>
      <c r="W2500" s="7"/>
      <c r="X2500" s="7"/>
      <c r="Y2500" s="7"/>
      <c r="Z2500" s="12"/>
      <c r="AA2500" s="14">
        <v>550</v>
      </c>
    </row>
    <row r="2501" spans="1:27" outlineLevel="7">
      <c r="A2501" s="3499" t="s">
        <v>2354</v>
      </c>
      <c r="B2501" s="3499"/>
      <c r="C2501" s="12"/>
      <c r="D2501" s="12"/>
      <c r="E2501" s="12"/>
      <c r="F2501" s="7"/>
      <c r="G2501" s="7"/>
      <c r="H2501" s="8"/>
      <c r="I2501" s="9"/>
      <c r="J2501" s="7"/>
      <c r="K2501" s="7"/>
      <c r="L2501" s="7"/>
      <c r="M2501" s="7"/>
      <c r="N2501" s="7"/>
      <c r="O2501" s="7"/>
      <c r="P2501" s="7"/>
      <c r="Q2501" s="7"/>
      <c r="R2501" s="14">
        <v>550</v>
      </c>
      <c r="S2501" s="7"/>
      <c r="T2501" s="7"/>
      <c r="U2501" s="14">
        <v>550</v>
      </c>
      <c r="V2501" s="7"/>
      <c r="W2501" s="7"/>
      <c r="X2501" s="7"/>
      <c r="Y2501" s="7"/>
      <c r="Z2501" s="12"/>
      <c r="AA2501" s="14">
        <v>550</v>
      </c>
    </row>
    <row r="2502" spans="1:27" outlineLevel="6">
      <c r="A2502" s="3501" t="s">
        <v>568</v>
      </c>
      <c r="B2502" s="3501"/>
      <c r="C2502" s="12"/>
      <c r="D2502" s="14">
        <v>550</v>
      </c>
      <c r="E2502" s="14">
        <v>550</v>
      </c>
      <c r="F2502" s="7"/>
      <c r="G2502" s="14">
        <v>550</v>
      </c>
      <c r="H2502" s="3523">
        <v>550</v>
      </c>
      <c r="I2502" s="3523"/>
      <c r="J2502" s="7"/>
      <c r="K2502" s="7"/>
      <c r="L2502" s="7"/>
      <c r="M2502" s="7"/>
      <c r="N2502" s="7"/>
      <c r="O2502" s="7"/>
      <c r="P2502" s="7"/>
      <c r="Q2502" s="7"/>
      <c r="R2502" s="12"/>
      <c r="S2502" s="7"/>
      <c r="T2502" s="7"/>
      <c r="U2502" s="7"/>
      <c r="V2502" s="7"/>
      <c r="W2502" s="7"/>
      <c r="X2502" s="7"/>
      <c r="Y2502" s="7"/>
      <c r="Z2502" s="12"/>
      <c r="AA2502" s="12"/>
    </row>
    <row r="2503" spans="1:27" outlineLevel="7">
      <c r="A2503" s="3500" t="s">
        <v>569</v>
      </c>
      <c r="B2503" s="3500"/>
      <c r="C2503" s="12"/>
      <c r="D2503" s="14">
        <v>550</v>
      </c>
      <c r="E2503" s="14">
        <v>550</v>
      </c>
      <c r="F2503" s="7"/>
      <c r="G2503" s="14">
        <v>550</v>
      </c>
      <c r="H2503" s="3523">
        <v>550</v>
      </c>
      <c r="I2503" s="3523"/>
      <c r="J2503" s="7"/>
      <c r="K2503" s="7"/>
      <c r="L2503" s="7"/>
      <c r="M2503" s="7"/>
      <c r="N2503" s="7"/>
      <c r="O2503" s="7"/>
      <c r="P2503" s="7"/>
      <c r="Q2503" s="7"/>
      <c r="R2503" s="12"/>
      <c r="S2503" s="7"/>
      <c r="T2503" s="7"/>
      <c r="U2503" s="7"/>
      <c r="V2503" s="7"/>
      <c r="W2503" s="7"/>
      <c r="X2503" s="7"/>
      <c r="Y2503" s="7"/>
      <c r="Z2503" s="12"/>
      <c r="AA2503" s="12"/>
    </row>
    <row r="2504" spans="1:27" outlineLevel="7">
      <c r="A2504" s="3499" t="s">
        <v>2355</v>
      </c>
      <c r="B2504" s="3499"/>
      <c r="C2504" s="12"/>
      <c r="D2504" s="14">
        <v>550</v>
      </c>
      <c r="E2504" s="14">
        <v>550</v>
      </c>
      <c r="F2504" s="7"/>
      <c r="G2504" s="14">
        <v>550</v>
      </c>
      <c r="H2504" s="3523">
        <v>550</v>
      </c>
      <c r="I2504" s="3523"/>
      <c r="J2504" s="7"/>
      <c r="K2504" s="7"/>
      <c r="L2504" s="7"/>
      <c r="M2504" s="7"/>
      <c r="N2504" s="7"/>
      <c r="O2504" s="7"/>
      <c r="P2504" s="7"/>
      <c r="Q2504" s="7"/>
      <c r="R2504" s="12"/>
      <c r="S2504" s="7"/>
      <c r="T2504" s="7"/>
      <c r="U2504" s="7"/>
      <c r="V2504" s="7"/>
      <c r="W2504" s="7"/>
      <c r="X2504" s="7"/>
      <c r="Y2504" s="7"/>
      <c r="Z2504" s="12"/>
      <c r="AA2504" s="12"/>
    </row>
    <row r="2505" spans="1:27" outlineLevel="6">
      <c r="A2505" s="3501" t="s">
        <v>570</v>
      </c>
      <c r="B2505" s="3501"/>
      <c r="C2505" s="12"/>
      <c r="D2505" s="14">
        <v>550</v>
      </c>
      <c r="E2505" s="14">
        <v>550</v>
      </c>
      <c r="F2505" s="7"/>
      <c r="G2505" s="14">
        <v>550</v>
      </c>
      <c r="H2505" s="3523">
        <v>550</v>
      </c>
      <c r="I2505" s="3523"/>
      <c r="J2505" s="7"/>
      <c r="K2505" s="7"/>
      <c r="L2505" s="7"/>
      <c r="M2505" s="7"/>
      <c r="N2505" s="7"/>
      <c r="O2505" s="7"/>
      <c r="P2505" s="7"/>
      <c r="Q2505" s="7"/>
      <c r="R2505" s="12"/>
      <c r="S2505" s="7"/>
      <c r="T2505" s="7"/>
      <c r="U2505" s="7"/>
      <c r="V2505" s="7"/>
      <c r="W2505" s="7"/>
      <c r="X2505" s="7"/>
      <c r="Y2505" s="7"/>
      <c r="Z2505" s="12"/>
      <c r="AA2505" s="12"/>
    </row>
    <row r="2506" spans="1:27" outlineLevel="7">
      <c r="A2506" s="3500" t="s">
        <v>571</v>
      </c>
      <c r="B2506" s="3500"/>
      <c r="C2506" s="12"/>
      <c r="D2506" s="14">
        <v>550</v>
      </c>
      <c r="E2506" s="14">
        <v>550</v>
      </c>
      <c r="F2506" s="7"/>
      <c r="G2506" s="14">
        <v>550</v>
      </c>
      <c r="H2506" s="3523">
        <v>550</v>
      </c>
      <c r="I2506" s="3523"/>
      <c r="J2506" s="7"/>
      <c r="K2506" s="7"/>
      <c r="L2506" s="7"/>
      <c r="M2506" s="7"/>
      <c r="N2506" s="7"/>
      <c r="O2506" s="7"/>
      <c r="P2506" s="7"/>
      <c r="Q2506" s="7"/>
      <c r="R2506" s="12"/>
      <c r="S2506" s="7"/>
      <c r="T2506" s="7"/>
      <c r="U2506" s="7"/>
      <c r="V2506" s="7"/>
      <c r="W2506" s="7"/>
      <c r="X2506" s="7"/>
      <c r="Y2506" s="7"/>
      <c r="Z2506" s="12"/>
      <c r="AA2506" s="12"/>
    </row>
    <row r="2507" spans="1:27" outlineLevel="7">
      <c r="A2507" s="3499" t="s">
        <v>2356</v>
      </c>
      <c r="B2507" s="3499"/>
      <c r="C2507" s="12"/>
      <c r="D2507" s="14">
        <v>550</v>
      </c>
      <c r="E2507" s="14">
        <v>550</v>
      </c>
      <c r="F2507" s="7"/>
      <c r="G2507" s="14">
        <v>550</v>
      </c>
      <c r="H2507" s="3523">
        <v>550</v>
      </c>
      <c r="I2507" s="3523"/>
      <c r="J2507" s="7"/>
      <c r="K2507" s="7"/>
      <c r="L2507" s="7"/>
      <c r="M2507" s="7"/>
      <c r="N2507" s="7"/>
      <c r="O2507" s="7"/>
      <c r="P2507" s="7"/>
      <c r="Q2507" s="7"/>
      <c r="R2507" s="12"/>
      <c r="S2507" s="7"/>
      <c r="T2507" s="7"/>
      <c r="U2507" s="7"/>
      <c r="V2507" s="7"/>
      <c r="W2507" s="7"/>
      <c r="X2507" s="7"/>
      <c r="Y2507" s="7"/>
      <c r="Z2507" s="12"/>
      <c r="AA2507" s="12"/>
    </row>
    <row r="2508" spans="1:27" outlineLevel="6">
      <c r="A2508" s="3501" t="s">
        <v>572</v>
      </c>
      <c r="B2508" s="3501"/>
      <c r="C2508" s="7"/>
      <c r="D2508" s="7"/>
      <c r="E2508" s="14">
        <v>550</v>
      </c>
      <c r="F2508" s="7"/>
      <c r="G2508" s="14">
        <v>550</v>
      </c>
      <c r="H2508" s="3523">
        <v>550</v>
      </c>
      <c r="I2508" s="3523"/>
      <c r="J2508" s="7"/>
      <c r="K2508" s="7"/>
      <c r="L2508" s="7"/>
      <c r="M2508" s="7"/>
      <c r="N2508" s="7"/>
      <c r="O2508" s="7"/>
      <c r="P2508" s="7"/>
      <c r="Q2508" s="7"/>
      <c r="R2508" s="14">
        <v>550</v>
      </c>
      <c r="S2508" s="7"/>
      <c r="T2508" s="7"/>
      <c r="U2508" s="14">
        <v>550</v>
      </c>
      <c r="V2508" s="7"/>
      <c r="W2508" s="7"/>
      <c r="X2508" s="7"/>
      <c r="Y2508" s="7"/>
      <c r="Z2508" s="7"/>
      <c r="AA2508" s="7"/>
    </row>
    <row r="2509" spans="1:27" outlineLevel="7">
      <c r="A2509" s="3500" t="s">
        <v>573</v>
      </c>
      <c r="B2509" s="3500"/>
      <c r="C2509" s="7"/>
      <c r="D2509" s="7"/>
      <c r="E2509" s="14">
        <v>550</v>
      </c>
      <c r="F2509" s="7"/>
      <c r="G2509" s="14">
        <v>550</v>
      </c>
      <c r="H2509" s="3523">
        <v>550</v>
      </c>
      <c r="I2509" s="3523"/>
      <c r="J2509" s="7"/>
      <c r="K2509" s="7"/>
      <c r="L2509" s="7"/>
      <c r="M2509" s="7"/>
      <c r="N2509" s="7"/>
      <c r="O2509" s="7"/>
      <c r="P2509" s="7"/>
      <c r="Q2509" s="7"/>
      <c r="R2509" s="14">
        <v>550</v>
      </c>
      <c r="S2509" s="7"/>
      <c r="T2509" s="7"/>
      <c r="U2509" s="14">
        <v>550</v>
      </c>
      <c r="V2509" s="7"/>
      <c r="W2509" s="7"/>
      <c r="X2509" s="7"/>
      <c r="Y2509" s="7"/>
      <c r="Z2509" s="7"/>
      <c r="AA2509" s="7"/>
    </row>
    <row r="2510" spans="1:27" outlineLevel="7">
      <c r="A2510" s="3499" t="s">
        <v>2357</v>
      </c>
      <c r="B2510" s="3499"/>
      <c r="C2510" s="7"/>
      <c r="D2510" s="7"/>
      <c r="E2510" s="14">
        <v>550</v>
      </c>
      <c r="F2510" s="7"/>
      <c r="G2510" s="14">
        <v>550</v>
      </c>
      <c r="H2510" s="3523">
        <v>550</v>
      </c>
      <c r="I2510" s="3523"/>
      <c r="J2510" s="7"/>
      <c r="K2510" s="7"/>
      <c r="L2510" s="7"/>
      <c r="M2510" s="7"/>
      <c r="N2510" s="7"/>
      <c r="O2510" s="7"/>
      <c r="P2510" s="7"/>
      <c r="Q2510" s="7"/>
      <c r="R2510" s="14">
        <v>550</v>
      </c>
      <c r="S2510" s="7"/>
      <c r="T2510" s="7"/>
      <c r="U2510" s="14">
        <v>550</v>
      </c>
      <c r="V2510" s="7"/>
      <c r="W2510" s="7"/>
      <c r="X2510" s="7"/>
      <c r="Y2510" s="7"/>
      <c r="Z2510" s="7"/>
      <c r="AA2510" s="7"/>
    </row>
    <row r="2511" spans="1:27" outlineLevel="6">
      <c r="A2511" s="3501" t="s">
        <v>574</v>
      </c>
      <c r="B2511" s="3501"/>
      <c r="C2511" s="12"/>
      <c r="D2511" s="14">
        <v>550</v>
      </c>
      <c r="E2511" s="14">
        <v>550</v>
      </c>
      <c r="F2511" s="7"/>
      <c r="G2511" s="14">
        <v>550</v>
      </c>
      <c r="H2511" s="3523">
        <v>550</v>
      </c>
      <c r="I2511" s="3523"/>
      <c r="J2511" s="7"/>
      <c r="K2511" s="7"/>
      <c r="L2511" s="7"/>
      <c r="M2511" s="7"/>
      <c r="N2511" s="7"/>
      <c r="O2511" s="7"/>
      <c r="P2511" s="7"/>
      <c r="Q2511" s="7"/>
      <c r="R2511" s="12"/>
      <c r="S2511" s="7"/>
      <c r="T2511" s="7"/>
      <c r="U2511" s="7"/>
      <c r="V2511" s="7"/>
      <c r="W2511" s="7"/>
      <c r="X2511" s="7"/>
      <c r="Y2511" s="7"/>
      <c r="Z2511" s="12"/>
      <c r="AA2511" s="12"/>
    </row>
    <row r="2512" spans="1:27" outlineLevel="7">
      <c r="A2512" s="3500" t="s">
        <v>575</v>
      </c>
      <c r="B2512" s="3500"/>
      <c r="C2512" s="12"/>
      <c r="D2512" s="14">
        <v>550</v>
      </c>
      <c r="E2512" s="14">
        <v>550</v>
      </c>
      <c r="F2512" s="7"/>
      <c r="G2512" s="14">
        <v>550</v>
      </c>
      <c r="H2512" s="3523">
        <v>550</v>
      </c>
      <c r="I2512" s="3523"/>
      <c r="J2512" s="7"/>
      <c r="K2512" s="7"/>
      <c r="L2512" s="7"/>
      <c r="M2512" s="7"/>
      <c r="N2512" s="7"/>
      <c r="O2512" s="7"/>
      <c r="P2512" s="7"/>
      <c r="Q2512" s="7"/>
      <c r="R2512" s="12"/>
      <c r="S2512" s="7"/>
      <c r="T2512" s="7"/>
      <c r="U2512" s="7"/>
      <c r="V2512" s="7"/>
      <c r="W2512" s="7"/>
      <c r="X2512" s="7"/>
      <c r="Y2512" s="7"/>
      <c r="Z2512" s="12"/>
      <c r="AA2512" s="12"/>
    </row>
    <row r="2513" spans="1:27" outlineLevel="7">
      <c r="A2513" s="3499" t="s">
        <v>2358</v>
      </c>
      <c r="B2513" s="3499"/>
      <c r="C2513" s="12"/>
      <c r="D2513" s="14">
        <v>550</v>
      </c>
      <c r="E2513" s="14">
        <v>550</v>
      </c>
      <c r="F2513" s="7"/>
      <c r="G2513" s="14">
        <v>550</v>
      </c>
      <c r="H2513" s="3523">
        <v>550</v>
      </c>
      <c r="I2513" s="3523"/>
      <c r="J2513" s="7"/>
      <c r="K2513" s="7"/>
      <c r="L2513" s="7"/>
      <c r="M2513" s="7"/>
      <c r="N2513" s="7"/>
      <c r="O2513" s="7"/>
      <c r="P2513" s="7"/>
      <c r="Q2513" s="7"/>
      <c r="R2513" s="12"/>
      <c r="S2513" s="7"/>
      <c r="T2513" s="7"/>
      <c r="U2513" s="7"/>
      <c r="V2513" s="7"/>
      <c r="W2513" s="7"/>
      <c r="X2513" s="7"/>
      <c r="Y2513" s="7"/>
      <c r="Z2513" s="12"/>
      <c r="AA2513" s="12"/>
    </row>
    <row r="2514" spans="1:27" outlineLevel="6">
      <c r="A2514" s="3501" t="s">
        <v>3632</v>
      </c>
      <c r="B2514" s="3501"/>
      <c r="C2514" s="12"/>
      <c r="D2514" s="14">
        <v>550</v>
      </c>
      <c r="E2514" s="7"/>
      <c r="F2514" s="7"/>
      <c r="G2514" s="7"/>
      <c r="H2514" s="8"/>
      <c r="I2514" s="9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12"/>
      <c r="AA2514" s="14">
        <v>550</v>
      </c>
    </row>
    <row r="2515" spans="1:27" outlineLevel="7">
      <c r="A2515" s="3511" t="s">
        <v>1179</v>
      </c>
      <c r="B2515" s="3511"/>
      <c r="C2515" s="12"/>
      <c r="D2515" s="14">
        <v>550</v>
      </c>
      <c r="E2515" s="1398"/>
      <c r="F2515" s="1398"/>
      <c r="G2515" s="1398"/>
      <c r="H2515" s="1399"/>
      <c r="I2515" s="1400"/>
      <c r="J2515" s="1398"/>
      <c r="K2515" s="1398"/>
      <c r="L2515" s="1398"/>
      <c r="M2515" s="1398"/>
      <c r="N2515" s="1398"/>
      <c r="O2515" s="1398"/>
      <c r="P2515" s="1398"/>
      <c r="Q2515" s="1398"/>
      <c r="R2515" s="1398"/>
      <c r="S2515" s="7"/>
      <c r="T2515" s="7"/>
      <c r="U2515" s="7"/>
      <c r="V2515" s="7"/>
      <c r="W2515" s="7"/>
      <c r="X2515" s="7"/>
      <c r="Y2515" s="7"/>
      <c r="Z2515" s="12"/>
      <c r="AA2515" s="14">
        <v>550</v>
      </c>
    </row>
    <row r="2516" spans="1:27" outlineLevel="7">
      <c r="A2516" s="3512" t="s">
        <v>2359</v>
      </c>
      <c r="B2516" s="3512"/>
      <c r="C2516" s="12"/>
      <c r="D2516" s="14">
        <v>550</v>
      </c>
      <c r="E2516" s="1398"/>
      <c r="F2516" s="1398"/>
      <c r="G2516" s="1398"/>
      <c r="H2516" s="1399"/>
      <c r="I2516" s="1400"/>
      <c r="J2516" s="1398"/>
      <c r="K2516" s="1398"/>
      <c r="L2516" s="1398"/>
      <c r="M2516" s="1398"/>
      <c r="N2516" s="1398"/>
      <c r="O2516" s="1398"/>
      <c r="P2516" s="1398"/>
      <c r="Q2516" s="1398"/>
      <c r="R2516" s="1398"/>
      <c r="S2516" s="7"/>
      <c r="T2516" s="7"/>
      <c r="U2516" s="7"/>
      <c r="V2516" s="7"/>
      <c r="W2516" s="7"/>
      <c r="X2516" s="7"/>
      <c r="Y2516" s="7"/>
      <c r="Z2516" s="12"/>
      <c r="AA2516" s="14">
        <v>550</v>
      </c>
    </row>
    <row r="2517" spans="1:27" outlineLevel="6">
      <c r="A2517" s="3501" t="s">
        <v>576</v>
      </c>
      <c r="B2517" s="3501"/>
      <c r="C2517" s="12"/>
      <c r="D2517" s="14">
        <v>550</v>
      </c>
      <c r="E2517" s="14">
        <v>550</v>
      </c>
      <c r="F2517" s="7"/>
      <c r="G2517" s="14">
        <v>550</v>
      </c>
      <c r="H2517" s="3523">
        <v>550</v>
      </c>
      <c r="I2517" s="3523"/>
      <c r="J2517" s="7"/>
      <c r="K2517" s="7"/>
      <c r="L2517" s="7"/>
      <c r="M2517" s="7"/>
      <c r="N2517" s="7"/>
      <c r="O2517" s="7"/>
      <c r="P2517" s="7"/>
      <c r="Q2517" s="7"/>
      <c r="R2517" s="12"/>
      <c r="S2517" s="7"/>
      <c r="T2517" s="7"/>
      <c r="U2517" s="7"/>
      <c r="V2517" s="7"/>
      <c r="W2517" s="7"/>
      <c r="X2517" s="7"/>
      <c r="Y2517" s="7"/>
      <c r="Z2517" s="12"/>
      <c r="AA2517" s="12"/>
    </row>
    <row r="2518" spans="1:27" outlineLevel="7">
      <c r="A2518" s="3500" t="s">
        <v>577</v>
      </c>
      <c r="B2518" s="3500"/>
      <c r="C2518" s="12"/>
      <c r="D2518" s="14">
        <v>550</v>
      </c>
      <c r="E2518" s="14">
        <v>550</v>
      </c>
      <c r="F2518" s="7"/>
      <c r="G2518" s="14">
        <v>550</v>
      </c>
      <c r="H2518" s="3523">
        <v>550</v>
      </c>
      <c r="I2518" s="3523"/>
      <c r="J2518" s="7"/>
      <c r="K2518" s="7"/>
      <c r="L2518" s="7"/>
      <c r="M2518" s="7"/>
      <c r="N2518" s="7"/>
      <c r="O2518" s="7"/>
      <c r="P2518" s="7"/>
      <c r="Q2518" s="7"/>
      <c r="R2518" s="12"/>
      <c r="S2518" s="7"/>
      <c r="T2518" s="7"/>
      <c r="U2518" s="7"/>
      <c r="V2518" s="7"/>
      <c r="W2518" s="7"/>
      <c r="X2518" s="7"/>
      <c r="Y2518" s="7"/>
      <c r="Z2518" s="12"/>
      <c r="AA2518" s="12"/>
    </row>
    <row r="2519" spans="1:27" outlineLevel="7">
      <c r="A2519" s="3499" t="s">
        <v>2360</v>
      </c>
      <c r="B2519" s="3499"/>
      <c r="C2519" s="12"/>
      <c r="D2519" s="14">
        <v>550</v>
      </c>
      <c r="E2519" s="14">
        <v>550</v>
      </c>
      <c r="F2519" s="7"/>
      <c r="G2519" s="14">
        <v>550</v>
      </c>
      <c r="H2519" s="3523">
        <v>550</v>
      </c>
      <c r="I2519" s="3523"/>
      <c r="J2519" s="7"/>
      <c r="K2519" s="7"/>
      <c r="L2519" s="7"/>
      <c r="M2519" s="7"/>
      <c r="N2519" s="7"/>
      <c r="O2519" s="7"/>
      <c r="P2519" s="7"/>
      <c r="Q2519" s="7"/>
      <c r="R2519" s="12"/>
      <c r="S2519" s="7"/>
      <c r="T2519" s="7"/>
      <c r="U2519" s="7"/>
      <c r="V2519" s="7"/>
      <c r="W2519" s="7"/>
      <c r="X2519" s="7"/>
      <c r="Y2519" s="7"/>
      <c r="Z2519" s="12"/>
      <c r="AA2519" s="12"/>
    </row>
    <row r="2520" spans="1:27" outlineLevel="6">
      <c r="A2520" s="3501" t="s">
        <v>578</v>
      </c>
      <c r="B2520" s="3501"/>
      <c r="C2520" s="7"/>
      <c r="D2520" s="7"/>
      <c r="E2520" s="14">
        <v>550</v>
      </c>
      <c r="F2520" s="7"/>
      <c r="G2520" s="14">
        <v>550</v>
      </c>
      <c r="H2520" s="3523">
        <v>550</v>
      </c>
      <c r="I2520" s="3523"/>
      <c r="J2520" s="7"/>
      <c r="K2520" s="7"/>
      <c r="L2520" s="7"/>
      <c r="M2520" s="7"/>
      <c r="N2520" s="7"/>
      <c r="O2520" s="7"/>
      <c r="P2520" s="7"/>
      <c r="Q2520" s="7"/>
      <c r="R2520" s="14">
        <v>550</v>
      </c>
      <c r="S2520" s="7"/>
      <c r="T2520" s="7"/>
      <c r="U2520" s="14">
        <v>550</v>
      </c>
      <c r="V2520" s="7"/>
      <c r="W2520" s="7"/>
      <c r="X2520" s="7"/>
      <c r="Y2520" s="7"/>
      <c r="Z2520" s="7"/>
      <c r="AA2520" s="7"/>
    </row>
    <row r="2521" spans="1:27" outlineLevel="7">
      <c r="A2521" s="3500" t="s">
        <v>579</v>
      </c>
      <c r="B2521" s="3500"/>
      <c r="C2521" s="7"/>
      <c r="D2521" s="7"/>
      <c r="E2521" s="14">
        <v>550</v>
      </c>
      <c r="F2521" s="7"/>
      <c r="G2521" s="14">
        <v>550</v>
      </c>
      <c r="H2521" s="3523">
        <v>550</v>
      </c>
      <c r="I2521" s="3523"/>
      <c r="J2521" s="7"/>
      <c r="K2521" s="7"/>
      <c r="L2521" s="7"/>
      <c r="M2521" s="7"/>
      <c r="N2521" s="7"/>
      <c r="O2521" s="7"/>
      <c r="P2521" s="7"/>
      <c r="Q2521" s="7"/>
      <c r="R2521" s="14">
        <v>550</v>
      </c>
      <c r="S2521" s="7"/>
      <c r="T2521" s="7"/>
      <c r="U2521" s="14">
        <v>550</v>
      </c>
      <c r="V2521" s="7"/>
      <c r="W2521" s="7"/>
      <c r="X2521" s="7"/>
      <c r="Y2521" s="7"/>
      <c r="Z2521" s="7"/>
      <c r="AA2521" s="7"/>
    </row>
    <row r="2522" spans="1:27" outlineLevel="7">
      <c r="A2522" s="3499" t="s">
        <v>2361</v>
      </c>
      <c r="B2522" s="3499"/>
      <c r="C2522" s="7"/>
      <c r="D2522" s="7"/>
      <c r="E2522" s="14">
        <v>550</v>
      </c>
      <c r="F2522" s="7"/>
      <c r="G2522" s="14">
        <v>550</v>
      </c>
      <c r="H2522" s="3523">
        <v>550</v>
      </c>
      <c r="I2522" s="3523"/>
      <c r="J2522" s="7"/>
      <c r="K2522" s="7"/>
      <c r="L2522" s="7"/>
      <c r="M2522" s="7"/>
      <c r="N2522" s="7"/>
      <c r="O2522" s="7"/>
      <c r="P2522" s="7"/>
      <c r="Q2522" s="7"/>
      <c r="R2522" s="14">
        <v>550</v>
      </c>
      <c r="S2522" s="7"/>
      <c r="T2522" s="7"/>
      <c r="U2522" s="14">
        <v>550</v>
      </c>
      <c r="V2522" s="7"/>
      <c r="W2522" s="7"/>
      <c r="X2522" s="7"/>
      <c r="Y2522" s="7"/>
      <c r="Z2522" s="7"/>
      <c r="AA2522" s="7"/>
    </row>
    <row r="2523" spans="1:27" outlineLevel="6">
      <c r="A2523" s="3501" t="s">
        <v>580</v>
      </c>
      <c r="B2523" s="3501"/>
      <c r="C2523" s="7"/>
      <c r="D2523" s="7"/>
      <c r="E2523" s="14">
        <v>550</v>
      </c>
      <c r="F2523" s="7"/>
      <c r="G2523" s="14">
        <v>550</v>
      </c>
      <c r="H2523" s="3523">
        <v>550</v>
      </c>
      <c r="I2523" s="3523"/>
      <c r="J2523" s="7"/>
      <c r="K2523" s="7"/>
      <c r="L2523" s="7"/>
      <c r="M2523" s="7"/>
      <c r="N2523" s="7"/>
      <c r="O2523" s="7"/>
      <c r="P2523" s="7"/>
      <c r="Q2523" s="7"/>
      <c r="R2523" s="14">
        <v>550</v>
      </c>
      <c r="S2523" s="7"/>
      <c r="T2523" s="7"/>
      <c r="U2523" s="14">
        <v>550</v>
      </c>
      <c r="V2523" s="7"/>
      <c r="W2523" s="7"/>
      <c r="X2523" s="7"/>
      <c r="Y2523" s="7"/>
      <c r="Z2523" s="7"/>
      <c r="AA2523" s="7"/>
    </row>
    <row r="2524" spans="1:27" outlineLevel="7">
      <c r="A2524" s="3500" t="s">
        <v>581</v>
      </c>
      <c r="B2524" s="3500"/>
      <c r="C2524" s="7"/>
      <c r="D2524" s="7"/>
      <c r="E2524" s="14">
        <v>550</v>
      </c>
      <c r="F2524" s="7"/>
      <c r="G2524" s="14">
        <v>550</v>
      </c>
      <c r="H2524" s="3523">
        <v>550</v>
      </c>
      <c r="I2524" s="3523"/>
      <c r="J2524" s="7"/>
      <c r="K2524" s="7"/>
      <c r="L2524" s="7"/>
      <c r="M2524" s="7"/>
      <c r="N2524" s="7"/>
      <c r="O2524" s="7"/>
      <c r="P2524" s="7"/>
      <c r="Q2524" s="7"/>
      <c r="R2524" s="14">
        <v>550</v>
      </c>
      <c r="S2524" s="7"/>
      <c r="T2524" s="7"/>
      <c r="U2524" s="14">
        <v>550</v>
      </c>
      <c r="V2524" s="7"/>
      <c r="W2524" s="7"/>
      <c r="X2524" s="7"/>
      <c r="Y2524" s="7"/>
      <c r="Z2524" s="7"/>
      <c r="AA2524" s="7"/>
    </row>
    <row r="2525" spans="1:27" outlineLevel="7">
      <c r="A2525" s="3499" t="s">
        <v>2362</v>
      </c>
      <c r="B2525" s="3499"/>
      <c r="C2525" s="7"/>
      <c r="D2525" s="7"/>
      <c r="E2525" s="14">
        <v>550</v>
      </c>
      <c r="F2525" s="7"/>
      <c r="G2525" s="14">
        <v>550</v>
      </c>
      <c r="H2525" s="3523">
        <v>550</v>
      </c>
      <c r="I2525" s="3523"/>
      <c r="J2525" s="7"/>
      <c r="K2525" s="7"/>
      <c r="L2525" s="7"/>
      <c r="M2525" s="7"/>
      <c r="N2525" s="7"/>
      <c r="O2525" s="7"/>
      <c r="P2525" s="7"/>
      <c r="Q2525" s="7"/>
      <c r="R2525" s="14">
        <v>550</v>
      </c>
      <c r="S2525" s="7"/>
      <c r="T2525" s="7"/>
      <c r="U2525" s="14">
        <v>550</v>
      </c>
      <c r="V2525" s="7"/>
      <c r="W2525" s="7"/>
      <c r="X2525" s="7"/>
      <c r="Y2525" s="7"/>
      <c r="Z2525" s="7"/>
      <c r="AA2525" s="7"/>
    </row>
    <row r="2526" spans="1:27" outlineLevel="6">
      <c r="A2526" s="3501" t="s">
        <v>582</v>
      </c>
      <c r="B2526" s="3501"/>
      <c r="C2526" s="7"/>
      <c r="D2526" s="7"/>
      <c r="E2526" s="14">
        <v>550</v>
      </c>
      <c r="F2526" s="7"/>
      <c r="G2526" s="14">
        <v>550</v>
      </c>
      <c r="H2526" s="3523">
        <v>550</v>
      </c>
      <c r="I2526" s="3523"/>
      <c r="J2526" s="7"/>
      <c r="K2526" s="7"/>
      <c r="L2526" s="7"/>
      <c r="M2526" s="7"/>
      <c r="N2526" s="7"/>
      <c r="O2526" s="7"/>
      <c r="P2526" s="7"/>
      <c r="Q2526" s="7"/>
      <c r="R2526" s="14">
        <v>550</v>
      </c>
      <c r="S2526" s="7"/>
      <c r="T2526" s="7"/>
      <c r="U2526" s="14">
        <v>550</v>
      </c>
      <c r="V2526" s="7"/>
      <c r="W2526" s="7"/>
      <c r="X2526" s="7"/>
      <c r="Y2526" s="7"/>
      <c r="Z2526" s="7"/>
      <c r="AA2526" s="7"/>
    </row>
    <row r="2527" spans="1:27" outlineLevel="7">
      <c r="A2527" s="3500" t="s">
        <v>583</v>
      </c>
      <c r="B2527" s="3500"/>
      <c r="C2527" s="7"/>
      <c r="D2527" s="7"/>
      <c r="E2527" s="14">
        <v>550</v>
      </c>
      <c r="F2527" s="7"/>
      <c r="G2527" s="14">
        <v>550</v>
      </c>
      <c r="H2527" s="3523">
        <v>550</v>
      </c>
      <c r="I2527" s="3523"/>
      <c r="J2527" s="7"/>
      <c r="K2527" s="7"/>
      <c r="L2527" s="7"/>
      <c r="M2527" s="7"/>
      <c r="N2527" s="7"/>
      <c r="O2527" s="7"/>
      <c r="P2527" s="7"/>
      <c r="Q2527" s="7"/>
      <c r="R2527" s="14">
        <v>550</v>
      </c>
      <c r="S2527" s="7"/>
      <c r="T2527" s="7"/>
      <c r="U2527" s="14">
        <v>550</v>
      </c>
      <c r="V2527" s="7"/>
      <c r="W2527" s="7"/>
      <c r="X2527" s="7"/>
      <c r="Y2527" s="7"/>
      <c r="Z2527" s="7"/>
      <c r="AA2527" s="7"/>
    </row>
    <row r="2528" spans="1:27" outlineLevel="7">
      <c r="A2528" s="3499" t="s">
        <v>2363</v>
      </c>
      <c r="B2528" s="3499"/>
      <c r="C2528" s="7"/>
      <c r="D2528" s="7"/>
      <c r="E2528" s="14">
        <v>550</v>
      </c>
      <c r="F2528" s="7"/>
      <c r="G2528" s="14">
        <v>550</v>
      </c>
      <c r="H2528" s="3523">
        <v>550</v>
      </c>
      <c r="I2528" s="3523"/>
      <c r="J2528" s="7"/>
      <c r="K2528" s="7"/>
      <c r="L2528" s="7"/>
      <c r="M2528" s="7"/>
      <c r="N2528" s="7"/>
      <c r="O2528" s="7"/>
      <c r="P2528" s="7"/>
      <c r="Q2528" s="7"/>
      <c r="R2528" s="14">
        <v>550</v>
      </c>
      <c r="S2528" s="7"/>
      <c r="T2528" s="7"/>
      <c r="U2528" s="14">
        <v>550</v>
      </c>
      <c r="V2528" s="7"/>
      <c r="W2528" s="7"/>
      <c r="X2528" s="7"/>
      <c r="Y2528" s="7"/>
      <c r="Z2528" s="7"/>
      <c r="AA2528" s="7"/>
    </row>
    <row r="2529" spans="1:27" outlineLevel="6">
      <c r="A2529" s="3501" t="s">
        <v>584</v>
      </c>
      <c r="B2529" s="3501"/>
      <c r="C2529" s="7"/>
      <c r="D2529" s="7"/>
      <c r="E2529" s="13">
        <v>18537.48</v>
      </c>
      <c r="F2529" s="7"/>
      <c r="G2529" s="13">
        <v>18537.48</v>
      </c>
      <c r="H2529" s="3524">
        <v>18537.48</v>
      </c>
      <c r="I2529" s="3524"/>
      <c r="J2529" s="7"/>
      <c r="K2529" s="7"/>
      <c r="L2529" s="7"/>
      <c r="M2529" s="7"/>
      <c r="N2529" s="7"/>
      <c r="O2529" s="7"/>
      <c r="P2529" s="7"/>
      <c r="Q2529" s="7"/>
      <c r="R2529" s="13">
        <v>18537.48</v>
      </c>
      <c r="S2529" s="7"/>
      <c r="T2529" s="7"/>
      <c r="U2529" s="13">
        <v>18537.48</v>
      </c>
      <c r="V2529" s="7"/>
      <c r="W2529" s="7"/>
      <c r="X2529" s="7"/>
      <c r="Y2529" s="7"/>
      <c r="Z2529" s="7"/>
      <c r="AA2529" s="7"/>
    </row>
    <row r="2530" spans="1:27" outlineLevel="7">
      <c r="A2530" s="3500" t="s">
        <v>585</v>
      </c>
      <c r="B2530" s="3500"/>
      <c r="C2530" s="7"/>
      <c r="D2530" s="7"/>
      <c r="E2530" s="14">
        <v>550</v>
      </c>
      <c r="F2530" s="7"/>
      <c r="G2530" s="14">
        <v>550</v>
      </c>
      <c r="H2530" s="3523">
        <v>550</v>
      </c>
      <c r="I2530" s="3523"/>
      <c r="J2530" s="7"/>
      <c r="K2530" s="7"/>
      <c r="L2530" s="7"/>
      <c r="M2530" s="7"/>
      <c r="N2530" s="7"/>
      <c r="O2530" s="7"/>
      <c r="P2530" s="7"/>
      <c r="Q2530" s="7"/>
      <c r="R2530" s="14">
        <v>550</v>
      </c>
      <c r="S2530" s="7"/>
      <c r="T2530" s="7"/>
      <c r="U2530" s="14">
        <v>550</v>
      </c>
      <c r="V2530" s="7"/>
      <c r="W2530" s="7"/>
      <c r="X2530" s="7"/>
      <c r="Y2530" s="7"/>
      <c r="Z2530" s="7"/>
      <c r="AA2530" s="7"/>
    </row>
    <row r="2531" spans="1:27" outlineLevel="7">
      <c r="A2531" s="3499" t="s">
        <v>2364</v>
      </c>
      <c r="B2531" s="3499"/>
      <c r="C2531" s="7"/>
      <c r="D2531" s="7"/>
      <c r="E2531" s="14">
        <v>550</v>
      </c>
      <c r="F2531" s="7"/>
      <c r="G2531" s="14">
        <v>550</v>
      </c>
      <c r="H2531" s="3523">
        <v>550</v>
      </c>
      <c r="I2531" s="3523"/>
      <c r="J2531" s="7"/>
      <c r="K2531" s="7"/>
      <c r="L2531" s="7"/>
      <c r="M2531" s="7"/>
      <c r="N2531" s="7"/>
      <c r="O2531" s="7"/>
      <c r="P2531" s="7"/>
      <c r="Q2531" s="7"/>
      <c r="R2531" s="14">
        <v>550</v>
      </c>
      <c r="S2531" s="7"/>
      <c r="T2531" s="7"/>
      <c r="U2531" s="14">
        <v>550</v>
      </c>
      <c r="V2531" s="7"/>
      <c r="W2531" s="7"/>
      <c r="X2531" s="7"/>
      <c r="Y2531" s="7"/>
      <c r="Z2531" s="7"/>
      <c r="AA2531" s="7"/>
    </row>
    <row r="2532" spans="1:27" outlineLevel="7">
      <c r="A2532" s="3500" t="s">
        <v>586</v>
      </c>
      <c r="B2532" s="3500"/>
      <c r="C2532" s="7"/>
      <c r="D2532" s="7"/>
      <c r="E2532" s="13">
        <v>4496.8599999999997</v>
      </c>
      <c r="F2532" s="7"/>
      <c r="G2532" s="13">
        <v>4496.8599999999997</v>
      </c>
      <c r="H2532" s="3524">
        <v>4496.8599999999997</v>
      </c>
      <c r="I2532" s="3524"/>
      <c r="J2532" s="7"/>
      <c r="K2532" s="7"/>
      <c r="L2532" s="7"/>
      <c r="M2532" s="7"/>
      <c r="N2532" s="7"/>
      <c r="O2532" s="7"/>
      <c r="P2532" s="7"/>
      <c r="Q2532" s="7"/>
      <c r="R2532" s="13">
        <v>4496.8599999999997</v>
      </c>
      <c r="S2532" s="7"/>
      <c r="T2532" s="7"/>
      <c r="U2532" s="13">
        <v>4496.8599999999997</v>
      </c>
      <c r="V2532" s="7"/>
      <c r="W2532" s="7"/>
      <c r="X2532" s="7"/>
      <c r="Y2532" s="7"/>
      <c r="Z2532" s="7"/>
      <c r="AA2532" s="7"/>
    </row>
    <row r="2533" spans="1:27" outlineLevel="7">
      <c r="A2533" s="3499" t="s">
        <v>2365</v>
      </c>
      <c r="B2533" s="3499"/>
      <c r="C2533" s="7"/>
      <c r="D2533" s="7"/>
      <c r="E2533" s="13">
        <v>4496.8599999999997</v>
      </c>
      <c r="F2533" s="7"/>
      <c r="G2533" s="13">
        <v>4496.8599999999997</v>
      </c>
      <c r="H2533" s="3524">
        <v>4496.8599999999997</v>
      </c>
      <c r="I2533" s="3524"/>
      <c r="J2533" s="7"/>
      <c r="K2533" s="7"/>
      <c r="L2533" s="7"/>
      <c r="M2533" s="7"/>
      <c r="N2533" s="7"/>
      <c r="O2533" s="7"/>
      <c r="P2533" s="7"/>
      <c r="Q2533" s="7"/>
      <c r="R2533" s="13">
        <v>4496.8599999999997</v>
      </c>
      <c r="S2533" s="7"/>
      <c r="T2533" s="7"/>
      <c r="U2533" s="13">
        <v>4496.8599999999997</v>
      </c>
      <c r="V2533" s="7"/>
      <c r="W2533" s="7"/>
      <c r="X2533" s="7"/>
      <c r="Y2533" s="7"/>
      <c r="Z2533" s="7"/>
      <c r="AA2533" s="7"/>
    </row>
    <row r="2534" spans="1:27" outlineLevel="7">
      <c r="A2534" s="3500" t="s">
        <v>587</v>
      </c>
      <c r="B2534" s="3500"/>
      <c r="C2534" s="7"/>
      <c r="D2534" s="7"/>
      <c r="E2534" s="13">
        <v>4496.8599999999997</v>
      </c>
      <c r="F2534" s="7"/>
      <c r="G2534" s="13">
        <v>4496.8599999999997</v>
      </c>
      <c r="H2534" s="3524">
        <v>4496.8599999999997</v>
      </c>
      <c r="I2534" s="3524"/>
      <c r="J2534" s="7"/>
      <c r="K2534" s="7"/>
      <c r="L2534" s="7"/>
      <c r="M2534" s="7"/>
      <c r="N2534" s="7"/>
      <c r="O2534" s="7"/>
      <c r="P2534" s="7"/>
      <c r="Q2534" s="7"/>
      <c r="R2534" s="13">
        <v>4496.8599999999997</v>
      </c>
      <c r="S2534" s="7"/>
      <c r="T2534" s="7"/>
      <c r="U2534" s="13">
        <v>4496.8599999999997</v>
      </c>
      <c r="V2534" s="7"/>
      <c r="W2534" s="7"/>
      <c r="X2534" s="7"/>
      <c r="Y2534" s="7"/>
      <c r="Z2534" s="7"/>
      <c r="AA2534" s="7"/>
    </row>
    <row r="2535" spans="1:27" outlineLevel="7">
      <c r="A2535" s="3499" t="s">
        <v>2366</v>
      </c>
      <c r="B2535" s="3499"/>
      <c r="C2535" s="7"/>
      <c r="D2535" s="7"/>
      <c r="E2535" s="13">
        <v>4496.8599999999997</v>
      </c>
      <c r="F2535" s="7"/>
      <c r="G2535" s="13">
        <v>4496.8599999999997</v>
      </c>
      <c r="H2535" s="3524">
        <v>4496.8599999999997</v>
      </c>
      <c r="I2535" s="3524"/>
      <c r="J2535" s="7"/>
      <c r="K2535" s="7"/>
      <c r="L2535" s="7"/>
      <c r="M2535" s="7"/>
      <c r="N2535" s="7"/>
      <c r="O2535" s="7"/>
      <c r="P2535" s="7"/>
      <c r="Q2535" s="7"/>
      <c r="R2535" s="13">
        <v>4496.8599999999997</v>
      </c>
      <c r="S2535" s="7"/>
      <c r="T2535" s="7"/>
      <c r="U2535" s="13">
        <v>4496.8599999999997</v>
      </c>
      <c r="V2535" s="7"/>
      <c r="W2535" s="7"/>
      <c r="X2535" s="7"/>
      <c r="Y2535" s="7"/>
      <c r="Z2535" s="7"/>
      <c r="AA2535" s="7"/>
    </row>
    <row r="2536" spans="1:27" outlineLevel="7">
      <c r="A2536" s="3500" t="s">
        <v>588</v>
      </c>
      <c r="B2536" s="3500"/>
      <c r="C2536" s="7"/>
      <c r="D2536" s="7"/>
      <c r="E2536" s="13">
        <v>4496.88</v>
      </c>
      <c r="F2536" s="7"/>
      <c r="G2536" s="13">
        <v>4496.88</v>
      </c>
      <c r="H2536" s="3524">
        <v>4496.88</v>
      </c>
      <c r="I2536" s="3524"/>
      <c r="J2536" s="7"/>
      <c r="K2536" s="7"/>
      <c r="L2536" s="7"/>
      <c r="M2536" s="7"/>
      <c r="N2536" s="7"/>
      <c r="O2536" s="7"/>
      <c r="P2536" s="7"/>
      <c r="Q2536" s="7"/>
      <c r="R2536" s="13">
        <v>4496.88</v>
      </c>
      <c r="S2536" s="7"/>
      <c r="T2536" s="7"/>
      <c r="U2536" s="13">
        <v>4496.88</v>
      </c>
      <c r="V2536" s="7"/>
      <c r="W2536" s="7"/>
      <c r="X2536" s="7"/>
      <c r="Y2536" s="7"/>
      <c r="Z2536" s="7"/>
      <c r="AA2536" s="7"/>
    </row>
    <row r="2537" spans="1:27" outlineLevel="7">
      <c r="A2537" s="3499" t="s">
        <v>2367</v>
      </c>
      <c r="B2537" s="3499"/>
      <c r="C2537" s="7"/>
      <c r="D2537" s="7"/>
      <c r="E2537" s="13">
        <v>4496.88</v>
      </c>
      <c r="F2537" s="7"/>
      <c r="G2537" s="13">
        <v>4496.88</v>
      </c>
      <c r="H2537" s="3524">
        <v>4496.88</v>
      </c>
      <c r="I2537" s="3524"/>
      <c r="J2537" s="7"/>
      <c r="K2537" s="7"/>
      <c r="L2537" s="7"/>
      <c r="M2537" s="7"/>
      <c r="N2537" s="7"/>
      <c r="O2537" s="7"/>
      <c r="P2537" s="7"/>
      <c r="Q2537" s="7"/>
      <c r="R2537" s="13">
        <v>4496.88</v>
      </c>
      <c r="S2537" s="7"/>
      <c r="T2537" s="7"/>
      <c r="U2537" s="13">
        <v>4496.88</v>
      </c>
      <c r="V2537" s="7"/>
      <c r="W2537" s="7"/>
      <c r="X2537" s="7"/>
      <c r="Y2537" s="7"/>
      <c r="Z2537" s="7"/>
      <c r="AA2537" s="7"/>
    </row>
    <row r="2538" spans="1:27" outlineLevel="7">
      <c r="A2538" s="3500" t="s">
        <v>589</v>
      </c>
      <c r="B2538" s="3500"/>
      <c r="C2538" s="7"/>
      <c r="D2538" s="7"/>
      <c r="E2538" s="13">
        <v>4496.88</v>
      </c>
      <c r="F2538" s="7"/>
      <c r="G2538" s="13">
        <v>4496.88</v>
      </c>
      <c r="H2538" s="3524">
        <v>4496.88</v>
      </c>
      <c r="I2538" s="3524"/>
      <c r="J2538" s="7"/>
      <c r="K2538" s="7"/>
      <c r="L2538" s="7"/>
      <c r="M2538" s="7"/>
      <c r="N2538" s="7"/>
      <c r="O2538" s="7"/>
      <c r="P2538" s="7"/>
      <c r="Q2538" s="7"/>
      <c r="R2538" s="13">
        <v>4496.88</v>
      </c>
      <c r="S2538" s="7"/>
      <c r="T2538" s="7"/>
      <c r="U2538" s="13">
        <v>4496.88</v>
      </c>
      <c r="V2538" s="7"/>
      <c r="W2538" s="7"/>
      <c r="X2538" s="7"/>
      <c r="Y2538" s="7"/>
      <c r="Z2538" s="7"/>
      <c r="AA2538" s="7"/>
    </row>
    <row r="2539" spans="1:27" outlineLevel="7">
      <c r="A2539" s="3499" t="s">
        <v>2368</v>
      </c>
      <c r="B2539" s="3499"/>
      <c r="C2539" s="7"/>
      <c r="D2539" s="7"/>
      <c r="E2539" s="13">
        <v>4496.88</v>
      </c>
      <c r="F2539" s="7"/>
      <c r="G2539" s="13">
        <v>4496.88</v>
      </c>
      <c r="H2539" s="3524">
        <v>4496.88</v>
      </c>
      <c r="I2539" s="3524"/>
      <c r="J2539" s="7"/>
      <c r="K2539" s="7"/>
      <c r="L2539" s="7"/>
      <c r="M2539" s="7"/>
      <c r="N2539" s="7"/>
      <c r="O2539" s="7"/>
      <c r="P2539" s="7"/>
      <c r="Q2539" s="7"/>
      <c r="R2539" s="13">
        <v>4496.88</v>
      </c>
      <c r="S2539" s="7"/>
      <c r="T2539" s="7"/>
      <c r="U2539" s="13">
        <v>4496.88</v>
      </c>
      <c r="V2539" s="7"/>
      <c r="W2539" s="7"/>
      <c r="X2539" s="7"/>
      <c r="Y2539" s="7"/>
      <c r="Z2539" s="7"/>
      <c r="AA2539" s="7"/>
    </row>
    <row r="2540" spans="1:27" outlineLevel="6">
      <c r="A2540" s="3501" t="s">
        <v>1180</v>
      </c>
      <c r="B2540" s="3501"/>
      <c r="C2540" s="12"/>
      <c r="D2540" s="12"/>
      <c r="E2540" s="12"/>
      <c r="F2540" s="7"/>
      <c r="G2540" s="7"/>
      <c r="H2540" s="8"/>
      <c r="I2540" s="9"/>
      <c r="J2540" s="7"/>
      <c r="K2540" s="7"/>
      <c r="L2540" s="7"/>
      <c r="M2540" s="7"/>
      <c r="N2540" s="7"/>
      <c r="O2540" s="7"/>
      <c r="P2540" s="7"/>
      <c r="Q2540" s="7"/>
      <c r="R2540" s="14">
        <v>550</v>
      </c>
      <c r="S2540" s="7"/>
      <c r="T2540" s="7"/>
      <c r="U2540" s="14">
        <v>550</v>
      </c>
      <c r="V2540" s="7"/>
      <c r="W2540" s="7"/>
      <c r="X2540" s="7"/>
      <c r="Y2540" s="7"/>
      <c r="Z2540" s="12"/>
      <c r="AA2540" s="14">
        <v>550</v>
      </c>
    </row>
    <row r="2541" spans="1:27" outlineLevel="7">
      <c r="A2541" s="3500" t="s">
        <v>1181</v>
      </c>
      <c r="B2541" s="3500"/>
      <c r="C2541" s="12"/>
      <c r="D2541" s="12"/>
      <c r="E2541" s="12"/>
      <c r="F2541" s="7"/>
      <c r="G2541" s="7"/>
      <c r="H2541" s="8"/>
      <c r="I2541" s="9"/>
      <c r="J2541" s="7"/>
      <c r="K2541" s="7"/>
      <c r="L2541" s="7"/>
      <c r="M2541" s="7"/>
      <c r="N2541" s="7"/>
      <c r="O2541" s="7"/>
      <c r="P2541" s="7"/>
      <c r="Q2541" s="7"/>
      <c r="R2541" s="14">
        <v>550</v>
      </c>
      <c r="S2541" s="7"/>
      <c r="T2541" s="7"/>
      <c r="U2541" s="14">
        <v>550</v>
      </c>
      <c r="V2541" s="7"/>
      <c r="W2541" s="7"/>
      <c r="X2541" s="7"/>
      <c r="Y2541" s="7"/>
      <c r="Z2541" s="12"/>
      <c r="AA2541" s="14">
        <v>550</v>
      </c>
    </row>
    <row r="2542" spans="1:27" outlineLevel="7">
      <c r="A2542" s="3499" t="s">
        <v>2369</v>
      </c>
      <c r="B2542" s="3499"/>
      <c r="C2542" s="12"/>
      <c r="D2542" s="12"/>
      <c r="E2542" s="12"/>
      <c r="F2542" s="7"/>
      <c r="G2542" s="7"/>
      <c r="H2542" s="8"/>
      <c r="I2542" s="9"/>
      <c r="J2542" s="7"/>
      <c r="K2542" s="7"/>
      <c r="L2542" s="7"/>
      <c r="M2542" s="7"/>
      <c r="N2542" s="7"/>
      <c r="O2542" s="7"/>
      <c r="P2542" s="7"/>
      <c r="Q2542" s="7"/>
      <c r="R2542" s="14">
        <v>550</v>
      </c>
      <c r="S2542" s="7"/>
      <c r="T2542" s="7"/>
      <c r="U2542" s="14">
        <v>550</v>
      </c>
      <c r="V2542" s="7"/>
      <c r="W2542" s="7"/>
      <c r="X2542" s="7"/>
      <c r="Y2542" s="7"/>
      <c r="Z2542" s="12"/>
      <c r="AA2542" s="14">
        <v>550</v>
      </c>
    </row>
    <row r="2543" spans="1:27" outlineLevel="6">
      <c r="A2543" s="3501" t="s">
        <v>590</v>
      </c>
      <c r="B2543" s="3501"/>
      <c r="C2543" s="12"/>
      <c r="D2543" s="14">
        <v>550</v>
      </c>
      <c r="E2543" s="14">
        <v>550</v>
      </c>
      <c r="F2543" s="7"/>
      <c r="G2543" s="14">
        <v>550</v>
      </c>
      <c r="H2543" s="3523">
        <v>550</v>
      </c>
      <c r="I2543" s="3523"/>
      <c r="J2543" s="7"/>
      <c r="K2543" s="7"/>
      <c r="L2543" s="7"/>
      <c r="M2543" s="7"/>
      <c r="N2543" s="7"/>
      <c r="O2543" s="7"/>
      <c r="P2543" s="7"/>
      <c r="Q2543" s="7"/>
      <c r="R2543" s="12"/>
      <c r="S2543" s="7"/>
      <c r="T2543" s="7"/>
      <c r="U2543" s="7"/>
      <c r="V2543" s="7"/>
      <c r="W2543" s="7"/>
      <c r="X2543" s="7"/>
      <c r="Y2543" s="7"/>
      <c r="Z2543" s="12"/>
      <c r="AA2543" s="12"/>
    </row>
    <row r="2544" spans="1:27" outlineLevel="7">
      <c r="A2544" s="3500" t="s">
        <v>591</v>
      </c>
      <c r="B2544" s="3500"/>
      <c r="C2544" s="12"/>
      <c r="D2544" s="14">
        <v>550</v>
      </c>
      <c r="E2544" s="14">
        <v>550</v>
      </c>
      <c r="F2544" s="7"/>
      <c r="G2544" s="14">
        <v>550</v>
      </c>
      <c r="H2544" s="3523">
        <v>550</v>
      </c>
      <c r="I2544" s="3523"/>
      <c r="J2544" s="7"/>
      <c r="K2544" s="7"/>
      <c r="L2544" s="7"/>
      <c r="M2544" s="7"/>
      <c r="N2544" s="7"/>
      <c r="O2544" s="7"/>
      <c r="P2544" s="7"/>
      <c r="Q2544" s="7"/>
      <c r="R2544" s="12"/>
      <c r="S2544" s="7"/>
      <c r="T2544" s="7"/>
      <c r="U2544" s="7"/>
      <c r="V2544" s="7"/>
      <c r="W2544" s="7"/>
      <c r="X2544" s="7"/>
      <c r="Y2544" s="7"/>
      <c r="Z2544" s="12"/>
      <c r="AA2544" s="12"/>
    </row>
    <row r="2545" spans="1:27" outlineLevel="7">
      <c r="A2545" s="3499" t="s">
        <v>2370</v>
      </c>
      <c r="B2545" s="3499"/>
      <c r="C2545" s="12"/>
      <c r="D2545" s="14">
        <v>550</v>
      </c>
      <c r="E2545" s="14">
        <v>550</v>
      </c>
      <c r="F2545" s="7"/>
      <c r="G2545" s="14">
        <v>550</v>
      </c>
      <c r="H2545" s="3523">
        <v>550</v>
      </c>
      <c r="I2545" s="3523"/>
      <c r="J2545" s="7"/>
      <c r="K2545" s="7"/>
      <c r="L2545" s="7"/>
      <c r="M2545" s="7"/>
      <c r="N2545" s="7"/>
      <c r="O2545" s="7"/>
      <c r="P2545" s="7"/>
      <c r="Q2545" s="7"/>
      <c r="R2545" s="12"/>
      <c r="S2545" s="7"/>
      <c r="T2545" s="7"/>
      <c r="U2545" s="7"/>
      <c r="V2545" s="7"/>
      <c r="W2545" s="7"/>
      <c r="X2545" s="7"/>
      <c r="Y2545" s="7"/>
      <c r="Z2545" s="12"/>
      <c r="AA2545" s="12"/>
    </row>
    <row r="2546" spans="1:27" outlineLevel="6">
      <c r="A2546" s="3501" t="s">
        <v>1182</v>
      </c>
      <c r="B2546" s="3501"/>
      <c r="C2546" s="12"/>
      <c r="D2546" s="12"/>
      <c r="E2546" s="12"/>
      <c r="F2546" s="7"/>
      <c r="G2546" s="7"/>
      <c r="H2546" s="8"/>
      <c r="I2546" s="9"/>
      <c r="J2546" s="7"/>
      <c r="K2546" s="7"/>
      <c r="L2546" s="7"/>
      <c r="M2546" s="7"/>
      <c r="N2546" s="7"/>
      <c r="O2546" s="7"/>
      <c r="P2546" s="7"/>
      <c r="Q2546" s="7"/>
      <c r="R2546" s="14">
        <v>550</v>
      </c>
      <c r="S2546" s="7"/>
      <c r="T2546" s="7"/>
      <c r="U2546" s="14">
        <v>550</v>
      </c>
      <c r="V2546" s="7"/>
      <c r="W2546" s="7"/>
      <c r="X2546" s="7"/>
      <c r="Y2546" s="7"/>
      <c r="Z2546" s="12"/>
      <c r="AA2546" s="14">
        <v>550</v>
      </c>
    </row>
    <row r="2547" spans="1:27" outlineLevel="7">
      <c r="A2547" s="3500" t="s">
        <v>1183</v>
      </c>
      <c r="B2547" s="3500"/>
      <c r="C2547" s="12"/>
      <c r="D2547" s="12"/>
      <c r="E2547" s="12"/>
      <c r="F2547" s="7"/>
      <c r="G2547" s="7"/>
      <c r="H2547" s="8"/>
      <c r="I2547" s="9"/>
      <c r="J2547" s="7"/>
      <c r="K2547" s="7"/>
      <c r="L2547" s="7"/>
      <c r="M2547" s="7"/>
      <c r="N2547" s="7"/>
      <c r="O2547" s="7"/>
      <c r="P2547" s="7"/>
      <c r="Q2547" s="7"/>
      <c r="R2547" s="14">
        <v>550</v>
      </c>
      <c r="S2547" s="7"/>
      <c r="T2547" s="7"/>
      <c r="U2547" s="14">
        <v>550</v>
      </c>
      <c r="V2547" s="7"/>
      <c r="W2547" s="7"/>
      <c r="X2547" s="7"/>
      <c r="Y2547" s="7"/>
      <c r="Z2547" s="12"/>
      <c r="AA2547" s="14">
        <v>550</v>
      </c>
    </row>
    <row r="2548" spans="1:27" outlineLevel="7">
      <c r="A2548" s="3499" t="s">
        <v>2371</v>
      </c>
      <c r="B2548" s="3499"/>
      <c r="C2548" s="12"/>
      <c r="D2548" s="12"/>
      <c r="E2548" s="12"/>
      <c r="F2548" s="7"/>
      <c r="G2548" s="7"/>
      <c r="H2548" s="8"/>
      <c r="I2548" s="9"/>
      <c r="J2548" s="7"/>
      <c r="K2548" s="7"/>
      <c r="L2548" s="7"/>
      <c r="M2548" s="7"/>
      <c r="N2548" s="7"/>
      <c r="O2548" s="7"/>
      <c r="P2548" s="7"/>
      <c r="Q2548" s="7"/>
      <c r="R2548" s="14">
        <v>550</v>
      </c>
      <c r="S2548" s="7"/>
      <c r="T2548" s="7"/>
      <c r="U2548" s="14">
        <v>550</v>
      </c>
      <c r="V2548" s="7"/>
      <c r="W2548" s="7"/>
      <c r="X2548" s="7"/>
      <c r="Y2548" s="7"/>
      <c r="Z2548" s="12"/>
      <c r="AA2548" s="14">
        <v>550</v>
      </c>
    </row>
    <row r="2549" spans="1:27" outlineLevel="6">
      <c r="A2549" s="3501" t="s">
        <v>1184</v>
      </c>
      <c r="B2549" s="3501"/>
      <c r="C2549" s="12"/>
      <c r="D2549" s="12"/>
      <c r="E2549" s="12"/>
      <c r="F2549" s="7"/>
      <c r="G2549" s="7"/>
      <c r="H2549" s="8"/>
      <c r="I2549" s="9"/>
      <c r="J2549" s="7"/>
      <c r="K2549" s="7"/>
      <c r="L2549" s="7"/>
      <c r="M2549" s="7"/>
      <c r="N2549" s="7"/>
      <c r="O2549" s="7"/>
      <c r="P2549" s="7"/>
      <c r="Q2549" s="7"/>
      <c r="R2549" s="14">
        <v>550</v>
      </c>
      <c r="S2549" s="7"/>
      <c r="T2549" s="7"/>
      <c r="U2549" s="14">
        <v>550</v>
      </c>
      <c r="V2549" s="7"/>
      <c r="W2549" s="7"/>
      <c r="X2549" s="7"/>
      <c r="Y2549" s="7"/>
      <c r="Z2549" s="12"/>
      <c r="AA2549" s="14">
        <v>550</v>
      </c>
    </row>
    <row r="2550" spans="1:27" outlineLevel="7">
      <c r="A2550" s="3500" t="s">
        <v>1185</v>
      </c>
      <c r="B2550" s="3500"/>
      <c r="C2550" s="12"/>
      <c r="D2550" s="12"/>
      <c r="E2550" s="12"/>
      <c r="F2550" s="7"/>
      <c r="G2550" s="7"/>
      <c r="H2550" s="8"/>
      <c r="I2550" s="9"/>
      <c r="J2550" s="7"/>
      <c r="K2550" s="7"/>
      <c r="L2550" s="7"/>
      <c r="M2550" s="7"/>
      <c r="N2550" s="7"/>
      <c r="O2550" s="7"/>
      <c r="P2550" s="7"/>
      <c r="Q2550" s="7"/>
      <c r="R2550" s="14">
        <v>550</v>
      </c>
      <c r="S2550" s="7"/>
      <c r="T2550" s="7"/>
      <c r="U2550" s="14">
        <v>550</v>
      </c>
      <c r="V2550" s="7"/>
      <c r="W2550" s="7"/>
      <c r="X2550" s="7"/>
      <c r="Y2550" s="7"/>
      <c r="Z2550" s="12"/>
      <c r="AA2550" s="14">
        <v>550</v>
      </c>
    </row>
    <row r="2551" spans="1:27" outlineLevel="7">
      <c r="A2551" s="3499" t="s">
        <v>2372</v>
      </c>
      <c r="B2551" s="3499"/>
      <c r="C2551" s="12"/>
      <c r="D2551" s="12"/>
      <c r="E2551" s="12"/>
      <c r="F2551" s="7"/>
      <c r="G2551" s="7"/>
      <c r="H2551" s="8"/>
      <c r="I2551" s="9"/>
      <c r="J2551" s="7"/>
      <c r="K2551" s="7"/>
      <c r="L2551" s="7"/>
      <c r="M2551" s="7"/>
      <c r="N2551" s="7"/>
      <c r="O2551" s="7"/>
      <c r="P2551" s="7"/>
      <c r="Q2551" s="7"/>
      <c r="R2551" s="14">
        <v>550</v>
      </c>
      <c r="S2551" s="7"/>
      <c r="T2551" s="7"/>
      <c r="U2551" s="14">
        <v>550</v>
      </c>
      <c r="V2551" s="7"/>
      <c r="W2551" s="7"/>
      <c r="X2551" s="7"/>
      <c r="Y2551" s="7"/>
      <c r="Z2551" s="12"/>
      <c r="AA2551" s="14">
        <v>550</v>
      </c>
    </row>
    <row r="2552" spans="1:27" outlineLevel="6">
      <c r="A2552" s="3501" t="s">
        <v>1186</v>
      </c>
      <c r="B2552" s="3501"/>
      <c r="C2552" s="12"/>
      <c r="D2552" s="12"/>
      <c r="E2552" s="12"/>
      <c r="F2552" s="7"/>
      <c r="G2552" s="7"/>
      <c r="H2552" s="8"/>
      <c r="I2552" s="9"/>
      <c r="J2552" s="7"/>
      <c r="K2552" s="7"/>
      <c r="L2552" s="7"/>
      <c r="M2552" s="7"/>
      <c r="N2552" s="7"/>
      <c r="O2552" s="7"/>
      <c r="P2552" s="7"/>
      <c r="Q2552" s="7"/>
      <c r="R2552" s="14">
        <v>550</v>
      </c>
      <c r="S2552" s="7"/>
      <c r="T2552" s="7"/>
      <c r="U2552" s="14">
        <v>550</v>
      </c>
      <c r="V2552" s="7"/>
      <c r="W2552" s="7"/>
      <c r="X2552" s="7"/>
      <c r="Y2552" s="7"/>
      <c r="Z2552" s="12"/>
      <c r="AA2552" s="14">
        <v>550</v>
      </c>
    </row>
    <row r="2553" spans="1:27" outlineLevel="7">
      <c r="A2553" s="3500" t="s">
        <v>1187</v>
      </c>
      <c r="B2553" s="3500"/>
      <c r="C2553" s="12"/>
      <c r="D2553" s="12"/>
      <c r="E2553" s="12"/>
      <c r="F2553" s="7"/>
      <c r="G2553" s="7"/>
      <c r="H2553" s="8"/>
      <c r="I2553" s="9"/>
      <c r="J2553" s="7"/>
      <c r="K2553" s="7"/>
      <c r="L2553" s="7"/>
      <c r="M2553" s="7"/>
      <c r="N2553" s="7"/>
      <c r="O2553" s="7"/>
      <c r="P2553" s="7"/>
      <c r="Q2553" s="7"/>
      <c r="R2553" s="14">
        <v>550</v>
      </c>
      <c r="S2553" s="7"/>
      <c r="T2553" s="7"/>
      <c r="U2553" s="14">
        <v>550</v>
      </c>
      <c r="V2553" s="7"/>
      <c r="W2553" s="7"/>
      <c r="X2553" s="7"/>
      <c r="Y2553" s="7"/>
      <c r="Z2553" s="12"/>
      <c r="AA2553" s="14">
        <v>550</v>
      </c>
    </row>
    <row r="2554" spans="1:27" outlineLevel="7">
      <c r="A2554" s="3499" t="s">
        <v>2373</v>
      </c>
      <c r="B2554" s="3499"/>
      <c r="C2554" s="12"/>
      <c r="D2554" s="12"/>
      <c r="E2554" s="12"/>
      <c r="F2554" s="7"/>
      <c r="G2554" s="7"/>
      <c r="H2554" s="8"/>
      <c r="I2554" s="9"/>
      <c r="J2554" s="7"/>
      <c r="K2554" s="7"/>
      <c r="L2554" s="7"/>
      <c r="M2554" s="7"/>
      <c r="N2554" s="7"/>
      <c r="O2554" s="7"/>
      <c r="P2554" s="7"/>
      <c r="Q2554" s="7"/>
      <c r="R2554" s="14">
        <v>550</v>
      </c>
      <c r="S2554" s="7"/>
      <c r="T2554" s="7"/>
      <c r="U2554" s="14">
        <v>550</v>
      </c>
      <c r="V2554" s="7"/>
      <c r="W2554" s="7"/>
      <c r="X2554" s="7"/>
      <c r="Y2554" s="7"/>
      <c r="Z2554" s="12"/>
      <c r="AA2554" s="14">
        <v>550</v>
      </c>
    </row>
    <row r="2555" spans="1:27" outlineLevel="6">
      <c r="A2555" s="3501" t="s">
        <v>592</v>
      </c>
      <c r="B2555" s="3501"/>
      <c r="C2555" s="7"/>
      <c r="D2555" s="7"/>
      <c r="E2555" s="14">
        <v>550</v>
      </c>
      <c r="F2555" s="7"/>
      <c r="G2555" s="14">
        <v>550</v>
      </c>
      <c r="H2555" s="3523">
        <v>550</v>
      </c>
      <c r="I2555" s="3523"/>
      <c r="J2555" s="7"/>
      <c r="K2555" s="7"/>
      <c r="L2555" s="7"/>
      <c r="M2555" s="7"/>
      <c r="N2555" s="7"/>
      <c r="O2555" s="7"/>
      <c r="P2555" s="7"/>
      <c r="Q2555" s="7"/>
      <c r="R2555" s="14">
        <v>550</v>
      </c>
      <c r="S2555" s="7"/>
      <c r="T2555" s="7"/>
      <c r="U2555" s="14">
        <v>550</v>
      </c>
      <c r="V2555" s="7"/>
      <c r="W2555" s="7"/>
      <c r="X2555" s="7"/>
      <c r="Y2555" s="7"/>
      <c r="Z2555" s="7"/>
      <c r="AA2555" s="7"/>
    </row>
    <row r="2556" spans="1:27" outlineLevel="7">
      <c r="A2556" s="3500" t="s">
        <v>593</v>
      </c>
      <c r="B2556" s="3500"/>
      <c r="C2556" s="7"/>
      <c r="D2556" s="7"/>
      <c r="E2556" s="14">
        <v>550</v>
      </c>
      <c r="F2556" s="7"/>
      <c r="G2556" s="14">
        <v>550</v>
      </c>
      <c r="H2556" s="3523">
        <v>550</v>
      </c>
      <c r="I2556" s="3523"/>
      <c r="J2556" s="7"/>
      <c r="K2556" s="7"/>
      <c r="L2556" s="7"/>
      <c r="M2556" s="7"/>
      <c r="N2556" s="7"/>
      <c r="O2556" s="7"/>
      <c r="P2556" s="7"/>
      <c r="Q2556" s="7"/>
      <c r="R2556" s="14">
        <v>550</v>
      </c>
      <c r="S2556" s="7"/>
      <c r="T2556" s="7"/>
      <c r="U2556" s="14">
        <v>550</v>
      </c>
      <c r="V2556" s="7"/>
      <c r="W2556" s="7"/>
      <c r="X2556" s="7"/>
      <c r="Y2556" s="7"/>
      <c r="Z2556" s="7"/>
      <c r="AA2556" s="7"/>
    </row>
    <row r="2557" spans="1:27" outlineLevel="7">
      <c r="A2557" s="3499" t="s">
        <v>2374</v>
      </c>
      <c r="B2557" s="3499"/>
      <c r="C2557" s="7"/>
      <c r="D2557" s="7"/>
      <c r="E2557" s="14">
        <v>550</v>
      </c>
      <c r="F2557" s="7"/>
      <c r="G2557" s="14">
        <v>550</v>
      </c>
      <c r="H2557" s="3523">
        <v>550</v>
      </c>
      <c r="I2557" s="3523"/>
      <c r="J2557" s="7"/>
      <c r="K2557" s="7"/>
      <c r="L2557" s="7"/>
      <c r="M2557" s="7"/>
      <c r="N2557" s="7"/>
      <c r="O2557" s="7"/>
      <c r="P2557" s="7"/>
      <c r="Q2557" s="7"/>
      <c r="R2557" s="14">
        <v>550</v>
      </c>
      <c r="S2557" s="7"/>
      <c r="T2557" s="7"/>
      <c r="U2557" s="14">
        <v>550</v>
      </c>
      <c r="V2557" s="7"/>
      <c r="W2557" s="7"/>
      <c r="X2557" s="7"/>
      <c r="Y2557" s="7"/>
      <c r="Z2557" s="7"/>
      <c r="AA2557" s="7"/>
    </row>
    <row r="2558" spans="1:27" outlineLevel="6">
      <c r="A2558" s="3501" t="s">
        <v>594</v>
      </c>
      <c r="B2558" s="3501"/>
      <c r="C2558" s="12"/>
      <c r="D2558" s="14">
        <v>550</v>
      </c>
      <c r="E2558" s="14">
        <v>550</v>
      </c>
      <c r="F2558" s="7"/>
      <c r="G2558" s="14">
        <v>550</v>
      </c>
      <c r="H2558" s="3523">
        <v>550</v>
      </c>
      <c r="I2558" s="3523"/>
      <c r="J2558" s="7"/>
      <c r="K2558" s="7"/>
      <c r="L2558" s="7"/>
      <c r="M2558" s="7"/>
      <c r="N2558" s="7"/>
      <c r="O2558" s="7"/>
      <c r="P2558" s="7"/>
      <c r="Q2558" s="7"/>
      <c r="R2558" s="12"/>
      <c r="S2558" s="7"/>
      <c r="T2558" s="7"/>
      <c r="U2558" s="7"/>
      <c r="V2558" s="7"/>
      <c r="W2558" s="7"/>
      <c r="X2558" s="7"/>
      <c r="Y2558" s="7"/>
      <c r="Z2558" s="12"/>
      <c r="AA2558" s="12"/>
    </row>
    <row r="2559" spans="1:27" outlineLevel="7">
      <c r="A2559" s="3500" t="s">
        <v>595</v>
      </c>
      <c r="B2559" s="3500"/>
      <c r="C2559" s="12"/>
      <c r="D2559" s="14">
        <v>550</v>
      </c>
      <c r="E2559" s="14">
        <v>550</v>
      </c>
      <c r="F2559" s="7"/>
      <c r="G2559" s="14">
        <v>550</v>
      </c>
      <c r="H2559" s="3523">
        <v>550</v>
      </c>
      <c r="I2559" s="3523"/>
      <c r="J2559" s="7"/>
      <c r="K2559" s="7"/>
      <c r="L2559" s="7"/>
      <c r="M2559" s="7"/>
      <c r="N2559" s="7"/>
      <c r="O2559" s="7"/>
      <c r="P2559" s="7"/>
      <c r="Q2559" s="7"/>
      <c r="R2559" s="12"/>
      <c r="S2559" s="7"/>
      <c r="T2559" s="7"/>
      <c r="U2559" s="7"/>
      <c r="V2559" s="7"/>
      <c r="W2559" s="7"/>
      <c r="X2559" s="7"/>
      <c r="Y2559" s="7"/>
      <c r="Z2559" s="12"/>
      <c r="AA2559" s="12"/>
    </row>
    <row r="2560" spans="1:27" outlineLevel="7">
      <c r="A2560" s="3499" t="s">
        <v>2375</v>
      </c>
      <c r="B2560" s="3499"/>
      <c r="C2560" s="12"/>
      <c r="D2560" s="14">
        <v>550</v>
      </c>
      <c r="E2560" s="14">
        <v>550</v>
      </c>
      <c r="F2560" s="7"/>
      <c r="G2560" s="14">
        <v>550</v>
      </c>
      <c r="H2560" s="3523">
        <v>550</v>
      </c>
      <c r="I2560" s="3523"/>
      <c r="J2560" s="7"/>
      <c r="K2560" s="7"/>
      <c r="L2560" s="7"/>
      <c r="M2560" s="7"/>
      <c r="N2560" s="7"/>
      <c r="O2560" s="7"/>
      <c r="P2560" s="7"/>
      <c r="Q2560" s="7"/>
      <c r="R2560" s="12"/>
      <c r="S2560" s="7"/>
      <c r="T2560" s="7"/>
      <c r="U2560" s="7"/>
      <c r="V2560" s="7"/>
      <c r="W2560" s="7"/>
      <c r="X2560" s="7"/>
      <c r="Y2560" s="7"/>
      <c r="Z2560" s="12"/>
      <c r="AA2560" s="12"/>
    </row>
    <row r="2561" spans="1:27" outlineLevel="6">
      <c r="A2561" s="3501" t="s">
        <v>1188</v>
      </c>
      <c r="B2561" s="3501"/>
      <c r="C2561" s="12"/>
      <c r="D2561" s="14">
        <v>550</v>
      </c>
      <c r="E2561" s="7"/>
      <c r="F2561" s="7"/>
      <c r="G2561" s="7"/>
      <c r="H2561" s="8"/>
      <c r="I2561" s="9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12"/>
      <c r="AA2561" s="14">
        <v>550</v>
      </c>
    </row>
    <row r="2562" spans="1:27" outlineLevel="7">
      <c r="A2562" s="3500" t="s">
        <v>1189</v>
      </c>
      <c r="B2562" s="3500"/>
      <c r="C2562" s="12"/>
      <c r="D2562" s="14">
        <v>550</v>
      </c>
      <c r="E2562" s="7"/>
      <c r="F2562" s="7"/>
      <c r="G2562" s="7"/>
      <c r="H2562" s="8"/>
      <c r="I2562" s="9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12"/>
      <c r="AA2562" s="14">
        <v>550</v>
      </c>
    </row>
    <row r="2563" spans="1:27" outlineLevel="7">
      <c r="A2563" s="3499" t="s">
        <v>2376</v>
      </c>
      <c r="B2563" s="3499"/>
      <c r="C2563" s="12"/>
      <c r="D2563" s="14">
        <v>550</v>
      </c>
      <c r="E2563" s="7"/>
      <c r="F2563" s="7"/>
      <c r="G2563" s="7"/>
      <c r="H2563" s="8"/>
      <c r="I2563" s="9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12"/>
      <c r="AA2563" s="14">
        <v>550</v>
      </c>
    </row>
    <row r="2564" spans="1:27" outlineLevel="6">
      <c r="A2564" s="3501" t="s">
        <v>596</v>
      </c>
      <c r="B2564" s="3501"/>
      <c r="C2564" s="7"/>
      <c r="D2564" s="7"/>
      <c r="E2564" s="13">
        <v>6845.61</v>
      </c>
      <c r="F2564" s="7"/>
      <c r="G2564" s="13">
        <v>6845.61</v>
      </c>
      <c r="H2564" s="3524">
        <v>6845.61</v>
      </c>
      <c r="I2564" s="3524"/>
      <c r="J2564" s="7"/>
      <c r="K2564" s="7"/>
      <c r="L2564" s="7"/>
      <c r="M2564" s="7"/>
      <c r="N2564" s="7"/>
      <c r="O2564" s="7"/>
      <c r="P2564" s="7"/>
      <c r="Q2564" s="7"/>
      <c r="R2564" s="13">
        <v>6845.61</v>
      </c>
      <c r="S2564" s="7"/>
      <c r="T2564" s="7"/>
      <c r="U2564" s="13">
        <v>6845.61</v>
      </c>
      <c r="V2564" s="7"/>
      <c r="W2564" s="7"/>
      <c r="X2564" s="7"/>
      <c r="Y2564" s="7"/>
      <c r="Z2564" s="7"/>
      <c r="AA2564" s="7"/>
    </row>
    <row r="2565" spans="1:27" outlineLevel="7">
      <c r="A2565" s="3500" t="s">
        <v>597</v>
      </c>
      <c r="B2565" s="3500"/>
      <c r="C2565" s="7"/>
      <c r="D2565" s="7"/>
      <c r="E2565" s="14">
        <v>550</v>
      </c>
      <c r="F2565" s="7"/>
      <c r="G2565" s="14">
        <v>550</v>
      </c>
      <c r="H2565" s="3523">
        <v>550</v>
      </c>
      <c r="I2565" s="3523"/>
      <c r="J2565" s="7"/>
      <c r="K2565" s="7"/>
      <c r="L2565" s="7"/>
      <c r="M2565" s="7"/>
      <c r="N2565" s="7"/>
      <c r="O2565" s="7"/>
      <c r="P2565" s="7"/>
      <c r="Q2565" s="7"/>
      <c r="R2565" s="14">
        <v>550</v>
      </c>
      <c r="S2565" s="7"/>
      <c r="T2565" s="7"/>
      <c r="U2565" s="14">
        <v>550</v>
      </c>
      <c r="V2565" s="7"/>
      <c r="W2565" s="7"/>
      <c r="X2565" s="7"/>
      <c r="Y2565" s="7"/>
      <c r="Z2565" s="7"/>
      <c r="AA2565" s="7"/>
    </row>
    <row r="2566" spans="1:27" outlineLevel="7">
      <c r="A2566" s="3499" t="s">
        <v>2377</v>
      </c>
      <c r="B2566" s="3499"/>
      <c r="C2566" s="7"/>
      <c r="D2566" s="7"/>
      <c r="E2566" s="14">
        <v>550</v>
      </c>
      <c r="F2566" s="7"/>
      <c r="G2566" s="14">
        <v>550</v>
      </c>
      <c r="H2566" s="3523">
        <v>550</v>
      </c>
      <c r="I2566" s="3523"/>
      <c r="J2566" s="7"/>
      <c r="K2566" s="7"/>
      <c r="L2566" s="7"/>
      <c r="M2566" s="7"/>
      <c r="N2566" s="7"/>
      <c r="O2566" s="7"/>
      <c r="P2566" s="7"/>
      <c r="Q2566" s="7"/>
      <c r="R2566" s="14">
        <v>550</v>
      </c>
      <c r="S2566" s="7"/>
      <c r="T2566" s="7"/>
      <c r="U2566" s="14">
        <v>550</v>
      </c>
      <c r="V2566" s="7"/>
      <c r="W2566" s="7"/>
      <c r="X2566" s="7"/>
      <c r="Y2566" s="7"/>
      <c r="Z2566" s="7"/>
      <c r="AA2566" s="7"/>
    </row>
    <row r="2567" spans="1:27" outlineLevel="7">
      <c r="A2567" s="3500" t="s">
        <v>598</v>
      </c>
      <c r="B2567" s="3500"/>
      <c r="C2567" s="7"/>
      <c r="D2567" s="7"/>
      <c r="E2567" s="13">
        <v>6295.61</v>
      </c>
      <c r="F2567" s="7"/>
      <c r="G2567" s="13">
        <v>6295.61</v>
      </c>
      <c r="H2567" s="3524">
        <v>6295.61</v>
      </c>
      <c r="I2567" s="3524"/>
      <c r="J2567" s="7"/>
      <c r="K2567" s="7"/>
      <c r="L2567" s="7"/>
      <c r="M2567" s="7"/>
      <c r="N2567" s="7"/>
      <c r="O2567" s="7"/>
      <c r="P2567" s="7"/>
      <c r="Q2567" s="7"/>
      <c r="R2567" s="13">
        <v>6295.61</v>
      </c>
      <c r="S2567" s="7"/>
      <c r="T2567" s="7"/>
      <c r="U2567" s="13">
        <v>6295.61</v>
      </c>
      <c r="V2567" s="7"/>
      <c r="W2567" s="7"/>
      <c r="X2567" s="7"/>
      <c r="Y2567" s="7"/>
      <c r="Z2567" s="7"/>
      <c r="AA2567" s="7"/>
    </row>
    <row r="2568" spans="1:27" outlineLevel="7">
      <c r="A2568" s="3499" t="s">
        <v>2378</v>
      </c>
      <c r="B2568" s="3499"/>
      <c r="C2568" s="7"/>
      <c r="D2568" s="7"/>
      <c r="E2568" s="13">
        <v>6295.61</v>
      </c>
      <c r="F2568" s="7"/>
      <c r="G2568" s="13">
        <v>6295.61</v>
      </c>
      <c r="H2568" s="3524">
        <v>6295.61</v>
      </c>
      <c r="I2568" s="3524"/>
      <c r="J2568" s="7"/>
      <c r="K2568" s="7"/>
      <c r="L2568" s="7"/>
      <c r="M2568" s="7"/>
      <c r="N2568" s="7"/>
      <c r="O2568" s="7"/>
      <c r="P2568" s="7"/>
      <c r="Q2568" s="7"/>
      <c r="R2568" s="13">
        <v>6295.61</v>
      </c>
      <c r="S2568" s="7"/>
      <c r="T2568" s="7"/>
      <c r="U2568" s="13">
        <v>6295.61</v>
      </c>
      <c r="V2568" s="7"/>
      <c r="W2568" s="7"/>
      <c r="X2568" s="7"/>
      <c r="Y2568" s="7"/>
      <c r="Z2568" s="7"/>
      <c r="AA2568" s="7"/>
    </row>
    <row r="2569" spans="1:27" outlineLevel="6">
      <c r="A2569" s="3501" t="s">
        <v>1190</v>
      </c>
      <c r="B2569" s="3501"/>
      <c r="C2569" s="12"/>
      <c r="D2569" s="12"/>
      <c r="E2569" s="12"/>
      <c r="F2569" s="7"/>
      <c r="G2569" s="7"/>
      <c r="H2569" s="8"/>
      <c r="I2569" s="9"/>
      <c r="J2569" s="7"/>
      <c r="K2569" s="7"/>
      <c r="L2569" s="7"/>
      <c r="M2569" s="7"/>
      <c r="N2569" s="7"/>
      <c r="O2569" s="7"/>
      <c r="P2569" s="7"/>
      <c r="Q2569" s="7"/>
      <c r="R2569" s="14">
        <v>550</v>
      </c>
      <c r="S2569" s="7"/>
      <c r="T2569" s="7"/>
      <c r="U2569" s="14">
        <v>550</v>
      </c>
      <c r="V2569" s="7"/>
      <c r="W2569" s="7"/>
      <c r="X2569" s="7"/>
      <c r="Y2569" s="7"/>
      <c r="Z2569" s="12"/>
      <c r="AA2569" s="14">
        <v>550</v>
      </c>
    </row>
    <row r="2570" spans="1:27" outlineLevel="7">
      <c r="A2570" s="3500" t="s">
        <v>1191</v>
      </c>
      <c r="B2570" s="3500"/>
      <c r="C2570" s="12"/>
      <c r="D2570" s="12"/>
      <c r="E2570" s="12"/>
      <c r="F2570" s="7"/>
      <c r="G2570" s="7"/>
      <c r="H2570" s="8"/>
      <c r="I2570" s="9"/>
      <c r="J2570" s="7"/>
      <c r="K2570" s="7"/>
      <c r="L2570" s="7"/>
      <c r="M2570" s="7"/>
      <c r="N2570" s="7"/>
      <c r="O2570" s="7"/>
      <c r="P2570" s="7"/>
      <c r="Q2570" s="7"/>
      <c r="R2570" s="14">
        <v>550</v>
      </c>
      <c r="S2570" s="7"/>
      <c r="T2570" s="7"/>
      <c r="U2570" s="14">
        <v>550</v>
      </c>
      <c r="V2570" s="7"/>
      <c r="W2570" s="7"/>
      <c r="X2570" s="7"/>
      <c r="Y2570" s="7"/>
      <c r="Z2570" s="12"/>
      <c r="AA2570" s="14">
        <v>550</v>
      </c>
    </row>
    <row r="2571" spans="1:27" outlineLevel="7">
      <c r="A2571" s="3499" t="s">
        <v>2379</v>
      </c>
      <c r="B2571" s="3499"/>
      <c r="C2571" s="12"/>
      <c r="D2571" s="12"/>
      <c r="E2571" s="12"/>
      <c r="F2571" s="7"/>
      <c r="G2571" s="7"/>
      <c r="H2571" s="8"/>
      <c r="I2571" s="9"/>
      <c r="J2571" s="7"/>
      <c r="K2571" s="7"/>
      <c r="L2571" s="7"/>
      <c r="M2571" s="7"/>
      <c r="N2571" s="7"/>
      <c r="O2571" s="7"/>
      <c r="P2571" s="7"/>
      <c r="Q2571" s="7"/>
      <c r="R2571" s="14">
        <v>550</v>
      </c>
      <c r="S2571" s="7"/>
      <c r="T2571" s="7"/>
      <c r="U2571" s="14">
        <v>550</v>
      </c>
      <c r="V2571" s="7"/>
      <c r="W2571" s="7"/>
      <c r="X2571" s="7"/>
      <c r="Y2571" s="7"/>
      <c r="Z2571" s="12"/>
      <c r="AA2571" s="14">
        <v>550</v>
      </c>
    </row>
    <row r="2572" spans="1:27" outlineLevel="6">
      <c r="A2572" s="3501" t="s">
        <v>599</v>
      </c>
      <c r="B2572" s="3501"/>
      <c r="C2572" s="7"/>
      <c r="D2572" s="7"/>
      <c r="E2572" s="14">
        <v>550</v>
      </c>
      <c r="F2572" s="7"/>
      <c r="G2572" s="14">
        <v>550</v>
      </c>
      <c r="H2572" s="3523">
        <v>550</v>
      </c>
      <c r="I2572" s="3523"/>
      <c r="J2572" s="7"/>
      <c r="K2572" s="7"/>
      <c r="L2572" s="7"/>
      <c r="M2572" s="7"/>
      <c r="N2572" s="7"/>
      <c r="O2572" s="7"/>
      <c r="P2572" s="7"/>
      <c r="Q2572" s="7"/>
      <c r="R2572" s="14">
        <v>550</v>
      </c>
      <c r="S2572" s="7"/>
      <c r="T2572" s="7"/>
      <c r="U2572" s="14">
        <v>550</v>
      </c>
      <c r="V2572" s="7"/>
      <c r="W2572" s="7"/>
      <c r="X2572" s="7"/>
      <c r="Y2572" s="7"/>
      <c r="Z2572" s="7"/>
      <c r="AA2572" s="7"/>
    </row>
    <row r="2573" spans="1:27" outlineLevel="7">
      <c r="A2573" s="3500" t="s">
        <v>600</v>
      </c>
      <c r="B2573" s="3500"/>
      <c r="C2573" s="7"/>
      <c r="D2573" s="7"/>
      <c r="E2573" s="14">
        <v>550</v>
      </c>
      <c r="F2573" s="7"/>
      <c r="G2573" s="14">
        <v>550</v>
      </c>
      <c r="H2573" s="3523">
        <v>550</v>
      </c>
      <c r="I2573" s="3523"/>
      <c r="J2573" s="7"/>
      <c r="K2573" s="7"/>
      <c r="L2573" s="7"/>
      <c r="M2573" s="7"/>
      <c r="N2573" s="7"/>
      <c r="O2573" s="7"/>
      <c r="P2573" s="7"/>
      <c r="Q2573" s="7"/>
      <c r="R2573" s="14">
        <v>550</v>
      </c>
      <c r="S2573" s="7"/>
      <c r="T2573" s="7"/>
      <c r="U2573" s="14">
        <v>550</v>
      </c>
      <c r="V2573" s="7"/>
      <c r="W2573" s="7"/>
      <c r="X2573" s="7"/>
      <c r="Y2573" s="7"/>
      <c r="Z2573" s="7"/>
      <c r="AA2573" s="7"/>
    </row>
    <row r="2574" spans="1:27" outlineLevel="7">
      <c r="A2574" s="3499" t="s">
        <v>2380</v>
      </c>
      <c r="B2574" s="3499"/>
      <c r="C2574" s="7"/>
      <c r="D2574" s="7"/>
      <c r="E2574" s="14">
        <v>550</v>
      </c>
      <c r="F2574" s="7"/>
      <c r="G2574" s="14">
        <v>550</v>
      </c>
      <c r="H2574" s="3523">
        <v>550</v>
      </c>
      <c r="I2574" s="3523"/>
      <c r="J2574" s="7"/>
      <c r="K2574" s="7"/>
      <c r="L2574" s="7"/>
      <c r="M2574" s="7"/>
      <c r="N2574" s="7"/>
      <c r="O2574" s="7"/>
      <c r="P2574" s="7"/>
      <c r="Q2574" s="7"/>
      <c r="R2574" s="14">
        <v>550</v>
      </c>
      <c r="S2574" s="7"/>
      <c r="T2574" s="7"/>
      <c r="U2574" s="14">
        <v>550</v>
      </c>
      <c r="V2574" s="7"/>
      <c r="W2574" s="7"/>
      <c r="X2574" s="7"/>
      <c r="Y2574" s="7"/>
      <c r="Z2574" s="7"/>
      <c r="AA2574" s="7"/>
    </row>
    <row r="2575" spans="1:27" outlineLevel="6">
      <c r="A2575" s="3501" t="s">
        <v>1192</v>
      </c>
      <c r="B2575" s="3501"/>
      <c r="C2575" s="12"/>
      <c r="D2575" s="12"/>
      <c r="E2575" s="12"/>
      <c r="F2575" s="7"/>
      <c r="G2575" s="7"/>
      <c r="H2575" s="8"/>
      <c r="I2575" s="9"/>
      <c r="J2575" s="7"/>
      <c r="K2575" s="7"/>
      <c r="L2575" s="7"/>
      <c r="M2575" s="7"/>
      <c r="N2575" s="7"/>
      <c r="O2575" s="7"/>
      <c r="P2575" s="7"/>
      <c r="Q2575" s="7"/>
      <c r="R2575" s="14">
        <v>550</v>
      </c>
      <c r="S2575" s="7"/>
      <c r="T2575" s="7"/>
      <c r="U2575" s="14">
        <v>550</v>
      </c>
      <c r="V2575" s="7"/>
      <c r="W2575" s="7"/>
      <c r="X2575" s="7"/>
      <c r="Y2575" s="7"/>
      <c r="Z2575" s="12"/>
      <c r="AA2575" s="14">
        <v>550</v>
      </c>
    </row>
    <row r="2576" spans="1:27" outlineLevel="7">
      <c r="A2576" s="3500" t="s">
        <v>1193</v>
      </c>
      <c r="B2576" s="3500"/>
      <c r="C2576" s="12"/>
      <c r="D2576" s="12"/>
      <c r="E2576" s="12"/>
      <c r="F2576" s="7"/>
      <c r="G2576" s="7"/>
      <c r="H2576" s="8"/>
      <c r="I2576" s="9"/>
      <c r="J2576" s="7"/>
      <c r="K2576" s="7"/>
      <c r="L2576" s="7"/>
      <c r="M2576" s="7"/>
      <c r="N2576" s="7"/>
      <c r="O2576" s="7"/>
      <c r="P2576" s="7"/>
      <c r="Q2576" s="7"/>
      <c r="R2576" s="14">
        <v>550</v>
      </c>
      <c r="S2576" s="7"/>
      <c r="T2576" s="7"/>
      <c r="U2576" s="14">
        <v>550</v>
      </c>
      <c r="V2576" s="7"/>
      <c r="W2576" s="7"/>
      <c r="X2576" s="7"/>
      <c r="Y2576" s="7"/>
      <c r="Z2576" s="12"/>
      <c r="AA2576" s="14">
        <v>550</v>
      </c>
    </row>
    <row r="2577" spans="1:27" outlineLevel="7">
      <c r="A2577" s="3499" t="s">
        <v>2381</v>
      </c>
      <c r="B2577" s="3499"/>
      <c r="C2577" s="12"/>
      <c r="D2577" s="12"/>
      <c r="E2577" s="12"/>
      <c r="F2577" s="7"/>
      <c r="G2577" s="7"/>
      <c r="H2577" s="8"/>
      <c r="I2577" s="9"/>
      <c r="J2577" s="7"/>
      <c r="K2577" s="7"/>
      <c r="L2577" s="7"/>
      <c r="M2577" s="7"/>
      <c r="N2577" s="7"/>
      <c r="O2577" s="7"/>
      <c r="P2577" s="7"/>
      <c r="Q2577" s="7"/>
      <c r="R2577" s="14">
        <v>550</v>
      </c>
      <c r="S2577" s="7"/>
      <c r="T2577" s="7"/>
      <c r="U2577" s="14">
        <v>550</v>
      </c>
      <c r="V2577" s="7"/>
      <c r="W2577" s="7"/>
      <c r="X2577" s="7"/>
      <c r="Y2577" s="7"/>
      <c r="Z2577" s="12"/>
      <c r="AA2577" s="14">
        <v>550</v>
      </c>
    </row>
    <row r="2578" spans="1:27" outlineLevel="6">
      <c r="A2578" s="3501" t="s">
        <v>1194</v>
      </c>
      <c r="B2578" s="3501"/>
      <c r="C2578" s="12"/>
      <c r="D2578" s="12"/>
      <c r="E2578" s="12"/>
      <c r="F2578" s="7"/>
      <c r="G2578" s="7"/>
      <c r="H2578" s="8"/>
      <c r="I2578" s="9"/>
      <c r="J2578" s="7"/>
      <c r="K2578" s="7"/>
      <c r="L2578" s="7"/>
      <c r="M2578" s="7"/>
      <c r="N2578" s="7"/>
      <c r="O2578" s="7"/>
      <c r="P2578" s="7"/>
      <c r="Q2578" s="7"/>
      <c r="R2578" s="14">
        <v>550</v>
      </c>
      <c r="S2578" s="7"/>
      <c r="T2578" s="7"/>
      <c r="U2578" s="14">
        <v>550</v>
      </c>
      <c r="V2578" s="7"/>
      <c r="W2578" s="7"/>
      <c r="X2578" s="7"/>
      <c r="Y2578" s="7"/>
      <c r="Z2578" s="12"/>
      <c r="AA2578" s="14">
        <v>550</v>
      </c>
    </row>
    <row r="2579" spans="1:27" outlineLevel="7">
      <c r="A2579" s="3500" t="s">
        <v>1195</v>
      </c>
      <c r="B2579" s="3500"/>
      <c r="C2579" s="12"/>
      <c r="D2579" s="12"/>
      <c r="E2579" s="12"/>
      <c r="F2579" s="7"/>
      <c r="G2579" s="7"/>
      <c r="H2579" s="8"/>
      <c r="I2579" s="9"/>
      <c r="J2579" s="7"/>
      <c r="K2579" s="7"/>
      <c r="L2579" s="7"/>
      <c r="M2579" s="7"/>
      <c r="N2579" s="7"/>
      <c r="O2579" s="7"/>
      <c r="P2579" s="7"/>
      <c r="Q2579" s="7"/>
      <c r="R2579" s="14">
        <v>550</v>
      </c>
      <c r="S2579" s="7"/>
      <c r="T2579" s="7"/>
      <c r="U2579" s="14">
        <v>550</v>
      </c>
      <c r="V2579" s="7"/>
      <c r="W2579" s="7"/>
      <c r="X2579" s="7"/>
      <c r="Y2579" s="7"/>
      <c r="Z2579" s="12"/>
      <c r="AA2579" s="14">
        <v>550</v>
      </c>
    </row>
    <row r="2580" spans="1:27" outlineLevel="7">
      <c r="A2580" s="3499" t="s">
        <v>2382</v>
      </c>
      <c r="B2580" s="3499"/>
      <c r="C2580" s="12"/>
      <c r="D2580" s="12"/>
      <c r="E2580" s="12"/>
      <c r="F2580" s="7"/>
      <c r="G2580" s="7"/>
      <c r="H2580" s="8"/>
      <c r="I2580" s="9"/>
      <c r="J2580" s="7"/>
      <c r="K2580" s="7"/>
      <c r="L2580" s="7"/>
      <c r="M2580" s="7"/>
      <c r="N2580" s="7"/>
      <c r="O2580" s="7"/>
      <c r="P2580" s="7"/>
      <c r="Q2580" s="7"/>
      <c r="R2580" s="14">
        <v>550</v>
      </c>
      <c r="S2580" s="7"/>
      <c r="T2580" s="7"/>
      <c r="U2580" s="14">
        <v>550</v>
      </c>
      <c r="V2580" s="7"/>
      <c r="W2580" s="7"/>
      <c r="X2580" s="7"/>
      <c r="Y2580" s="7"/>
      <c r="Z2580" s="12"/>
      <c r="AA2580" s="14">
        <v>550</v>
      </c>
    </row>
    <row r="2581" spans="1:27" outlineLevel="6">
      <c r="A2581" s="3501" t="s">
        <v>601</v>
      </c>
      <c r="B2581" s="3501"/>
      <c r="C2581" s="7"/>
      <c r="D2581" s="7"/>
      <c r="E2581" s="14">
        <v>550</v>
      </c>
      <c r="F2581" s="7"/>
      <c r="G2581" s="14">
        <v>550</v>
      </c>
      <c r="H2581" s="3523">
        <v>550</v>
      </c>
      <c r="I2581" s="3523"/>
      <c r="J2581" s="7"/>
      <c r="K2581" s="7"/>
      <c r="L2581" s="7"/>
      <c r="M2581" s="7"/>
      <c r="N2581" s="7"/>
      <c r="O2581" s="7"/>
      <c r="P2581" s="7"/>
      <c r="Q2581" s="7"/>
      <c r="R2581" s="14">
        <v>550</v>
      </c>
      <c r="S2581" s="7"/>
      <c r="T2581" s="7"/>
      <c r="U2581" s="14">
        <v>550</v>
      </c>
      <c r="V2581" s="7"/>
      <c r="W2581" s="7"/>
      <c r="X2581" s="7"/>
      <c r="Y2581" s="7"/>
      <c r="Z2581" s="7"/>
      <c r="AA2581" s="7"/>
    </row>
    <row r="2582" spans="1:27" outlineLevel="7">
      <c r="A2582" s="3500" t="s">
        <v>602</v>
      </c>
      <c r="B2582" s="3500"/>
      <c r="C2582" s="7"/>
      <c r="D2582" s="7"/>
      <c r="E2582" s="14">
        <v>550</v>
      </c>
      <c r="F2582" s="7"/>
      <c r="G2582" s="14">
        <v>550</v>
      </c>
      <c r="H2582" s="3523">
        <v>550</v>
      </c>
      <c r="I2582" s="3523"/>
      <c r="J2582" s="7"/>
      <c r="K2582" s="7"/>
      <c r="L2582" s="7"/>
      <c r="M2582" s="7"/>
      <c r="N2582" s="7"/>
      <c r="O2582" s="7"/>
      <c r="P2582" s="7"/>
      <c r="Q2582" s="7"/>
      <c r="R2582" s="14">
        <v>550</v>
      </c>
      <c r="S2582" s="7"/>
      <c r="T2582" s="7"/>
      <c r="U2582" s="14">
        <v>550</v>
      </c>
      <c r="V2582" s="7"/>
      <c r="W2582" s="7"/>
      <c r="X2582" s="7"/>
      <c r="Y2582" s="7"/>
      <c r="Z2582" s="7"/>
      <c r="AA2582" s="7"/>
    </row>
    <row r="2583" spans="1:27" outlineLevel="7">
      <c r="A2583" s="3499" t="s">
        <v>2383</v>
      </c>
      <c r="B2583" s="3499"/>
      <c r="C2583" s="7"/>
      <c r="D2583" s="7"/>
      <c r="E2583" s="14">
        <v>550</v>
      </c>
      <c r="F2583" s="7"/>
      <c r="G2583" s="14">
        <v>550</v>
      </c>
      <c r="H2583" s="3523">
        <v>550</v>
      </c>
      <c r="I2583" s="3523"/>
      <c r="J2583" s="7"/>
      <c r="K2583" s="7"/>
      <c r="L2583" s="7"/>
      <c r="M2583" s="7"/>
      <c r="N2583" s="7"/>
      <c r="O2583" s="7"/>
      <c r="P2583" s="7"/>
      <c r="Q2583" s="7"/>
      <c r="R2583" s="14">
        <v>550</v>
      </c>
      <c r="S2583" s="7"/>
      <c r="T2583" s="7"/>
      <c r="U2583" s="14">
        <v>550</v>
      </c>
      <c r="V2583" s="7"/>
      <c r="W2583" s="7"/>
      <c r="X2583" s="7"/>
      <c r="Y2583" s="7"/>
      <c r="Z2583" s="7"/>
      <c r="AA2583" s="7"/>
    </row>
    <row r="2584" spans="1:27" outlineLevel="6">
      <c r="A2584" s="3501" t="s">
        <v>603</v>
      </c>
      <c r="B2584" s="3501"/>
      <c r="C2584" s="7"/>
      <c r="D2584" s="7"/>
      <c r="E2584" s="14">
        <v>550</v>
      </c>
      <c r="F2584" s="7"/>
      <c r="G2584" s="14">
        <v>550</v>
      </c>
      <c r="H2584" s="3523">
        <v>550</v>
      </c>
      <c r="I2584" s="3523"/>
      <c r="J2584" s="7"/>
      <c r="K2584" s="7"/>
      <c r="L2584" s="7"/>
      <c r="M2584" s="7"/>
      <c r="N2584" s="7"/>
      <c r="O2584" s="7"/>
      <c r="P2584" s="7"/>
      <c r="Q2584" s="7"/>
      <c r="R2584" s="14">
        <v>550</v>
      </c>
      <c r="S2584" s="7"/>
      <c r="T2584" s="7"/>
      <c r="U2584" s="14">
        <v>550</v>
      </c>
      <c r="V2584" s="7"/>
      <c r="W2584" s="7"/>
      <c r="X2584" s="7"/>
      <c r="Y2584" s="7"/>
      <c r="Z2584" s="7"/>
      <c r="AA2584" s="7"/>
    </row>
    <row r="2585" spans="1:27" outlineLevel="7">
      <c r="A2585" s="3500" t="s">
        <v>604</v>
      </c>
      <c r="B2585" s="3500"/>
      <c r="C2585" s="7"/>
      <c r="D2585" s="7"/>
      <c r="E2585" s="14">
        <v>550</v>
      </c>
      <c r="F2585" s="7"/>
      <c r="G2585" s="14">
        <v>550</v>
      </c>
      <c r="H2585" s="3523">
        <v>550</v>
      </c>
      <c r="I2585" s="3523"/>
      <c r="J2585" s="7"/>
      <c r="K2585" s="7"/>
      <c r="L2585" s="7"/>
      <c r="M2585" s="7"/>
      <c r="N2585" s="7"/>
      <c r="O2585" s="7"/>
      <c r="P2585" s="7"/>
      <c r="Q2585" s="7"/>
      <c r="R2585" s="14">
        <v>550</v>
      </c>
      <c r="S2585" s="7"/>
      <c r="T2585" s="7"/>
      <c r="U2585" s="14">
        <v>550</v>
      </c>
      <c r="V2585" s="7"/>
      <c r="W2585" s="7"/>
      <c r="X2585" s="7"/>
      <c r="Y2585" s="7"/>
      <c r="Z2585" s="7"/>
      <c r="AA2585" s="7"/>
    </row>
    <row r="2586" spans="1:27" outlineLevel="7">
      <c r="A2586" s="3499" t="s">
        <v>2384</v>
      </c>
      <c r="B2586" s="3499"/>
      <c r="C2586" s="7"/>
      <c r="D2586" s="7"/>
      <c r="E2586" s="14">
        <v>550</v>
      </c>
      <c r="F2586" s="7"/>
      <c r="G2586" s="14">
        <v>550</v>
      </c>
      <c r="H2586" s="3523">
        <v>550</v>
      </c>
      <c r="I2586" s="3523"/>
      <c r="J2586" s="7"/>
      <c r="K2586" s="7"/>
      <c r="L2586" s="7"/>
      <c r="M2586" s="7"/>
      <c r="N2586" s="7"/>
      <c r="O2586" s="7"/>
      <c r="P2586" s="7"/>
      <c r="Q2586" s="7"/>
      <c r="R2586" s="14">
        <v>550</v>
      </c>
      <c r="S2586" s="7"/>
      <c r="T2586" s="7"/>
      <c r="U2586" s="14">
        <v>550</v>
      </c>
      <c r="V2586" s="7"/>
      <c r="W2586" s="7"/>
      <c r="X2586" s="7"/>
      <c r="Y2586" s="7"/>
      <c r="Z2586" s="7"/>
      <c r="AA2586" s="7"/>
    </row>
    <row r="2587" spans="1:27" outlineLevel="6">
      <c r="A2587" s="3501" t="s">
        <v>605</v>
      </c>
      <c r="B2587" s="3501"/>
      <c r="C2587" s="7"/>
      <c r="D2587" s="7"/>
      <c r="E2587" s="14">
        <v>550</v>
      </c>
      <c r="F2587" s="7"/>
      <c r="G2587" s="14">
        <v>550</v>
      </c>
      <c r="H2587" s="3523">
        <v>550</v>
      </c>
      <c r="I2587" s="3523"/>
      <c r="J2587" s="7"/>
      <c r="K2587" s="7"/>
      <c r="L2587" s="7"/>
      <c r="M2587" s="7"/>
      <c r="N2587" s="7"/>
      <c r="O2587" s="7"/>
      <c r="P2587" s="7"/>
      <c r="Q2587" s="7"/>
      <c r="R2587" s="14">
        <v>550</v>
      </c>
      <c r="S2587" s="7"/>
      <c r="T2587" s="7"/>
      <c r="U2587" s="14">
        <v>550</v>
      </c>
      <c r="V2587" s="7"/>
      <c r="W2587" s="7"/>
      <c r="X2587" s="7"/>
      <c r="Y2587" s="7"/>
      <c r="Z2587" s="7"/>
      <c r="AA2587" s="7"/>
    </row>
    <row r="2588" spans="1:27" outlineLevel="7">
      <c r="A2588" s="3500" t="s">
        <v>606</v>
      </c>
      <c r="B2588" s="3500"/>
      <c r="C2588" s="7"/>
      <c r="D2588" s="7"/>
      <c r="E2588" s="14">
        <v>550</v>
      </c>
      <c r="F2588" s="7"/>
      <c r="G2588" s="14">
        <v>550</v>
      </c>
      <c r="H2588" s="3523">
        <v>550</v>
      </c>
      <c r="I2588" s="3523"/>
      <c r="J2588" s="7"/>
      <c r="K2588" s="7"/>
      <c r="L2588" s="7"/>
      <c r="M2588" s="7"/>
      <c r="N2588" s="7"/>
      <c r="O2588" s="7"/>
      <c r="P2588" s="7"/>
      <c r="Q2588" s="7"/>
      <c r="R2588" s="14">
        <v>550</v>
      </c>
      <c r="S2588" s="7"/>
      <c r="T2588" s="7"/>
      <c r="U2588" s="14">
        <v>550</v>
      </c>
      <c r="V2588" s="7"/>
      <c r="W2588" s="7"/>
      <c r="X2588" s="7"/>
      <c r="Y2588" s="7"/>
      <c r="Z2588" s="7"/>
      <c r="AA2588" s="7"/>
    </row>
    <row r="2589" spans="1:27" outlineLevel="7">
      <c r="A2589" s="3499" t="s">
        <v>2385</v>
      </c>
      <c r="B2589" s="3499"/>
      <c r="C2589" s="7"/>
      <c r="D2589" s="7"/>
      <c r="E2589" s="14">
        <v>550</v>
      </c>
      <c r="F2589" s="7"/>
      <c r="G2589" s="14">
        <v>550</v>
      </c>
      <c r="H2589" s="3523">
        <v>550</v>
      </c>
      <c r="I2589" s="3523"/>
      <c r="J2589" s="7"/>
      <c r="K2589" s="7"/>
      <c r="L2589" s="7"/>
      <c r="M2589" s="7"/>
      <c r="N2589" s="7"/>
      <c r="O2589" s="7"/>
      <c r="P2589" s="7"/>
      <c r="Q2589" s="7"/>
      <c r="R2589" s="14">
        <v>550</v>
      </c>
      <c r="S2589" s="7"/>
      <c r="T2589" s="7"/>
      <c r="U2589" s="14">
        <v>550</v>
      </c>
      <c r="V2589" s="7"/>
      <c r="W2589" s="7"/>
      <c r="X2589" s="7"/>
      <c r="Y2589" s="7"/>
      <c r="Z2589" s="7"/>
      <c r="AA2589" s="7"/>
    </row>
    <row r="2590" spans="1:27" outlineLevel="6">
      <c r="A2590" s="3501" t="s">
        <v>607</v>
      </c>
      <c r="B2590" s="3501"/>
      <c r="C2590" s="7"/>
      <c r="D2590" s="7"/>
      <c r="E2590" s="14">
        <v>550</v>
      </c>
      <c r="F2590" s="7"/>
      <c r="G2590" s="14">
        <v>550</v>
      </c>
      <c r="H2590" s="3523">
        <v>550</v>
      </c>
      <c r="I2590" s="3523"/>
      <c r="J2590" s="7"/>
      <c r="K2590" s="7"/>
      <c r="L2590" s="7"/>
      <c r="M2590" s="7"/>
      <c r="N2590" s="7"/>
      <c r="O2590" s="7"/>
      <c r="P2590" s="7"/>
      <c r="Q2590" s="7"/>
      <c r="R2590" s="14">
        <v>550</v>
      </c>
      <c r="S2590" s="7"/>
      <c r="T2590" s="7"/>
      <c r="U2590" s="14">
        <v>550</v>
      </c>
      <c r="V2590" s="7"/>
      <c r="W2590" s="7"/>
      <c r="X2590" s="7"/>
      <c r="Y2590" s="7"/>
      <c r="Z2590" s="7"/>
      <c r="AA2590" s="7"/>
    </row>
    <row r="2591" spans="1:27" outlineLevel="7">
      <c r="A2591" s="3500" t="s">
        <v>608</v>
      </c>
      <c r="B2591" s="3500"/>
      <c r="C2591" s="7"/>
      <c r="D2591" s="7"/>
      <c r="E2591" s="14">
        <v>550</v>
      </c>
      <c r="F2591" s="7"/>
      <c r="G2591" s="14">
        <v>550</v>
      </c>
      <c r="H2591" s="3523">
        <v>550</v>
      </c>
      <c r="I2591" s="3523"/>
      <c r="J2591" s="7"/>
      <c r="K2591" s="7"/>
      <c r="L2591" s="7"/>
      <c r="M2591" s="7"/>
      <c r="N2591" s="7"/>
      <c r="O2591" s="7"/>
      <c r="P2591" s="7"/>
      <c r="Q2591" s="7"/>
      <c r="R2591" s="14">
        <v>550</v>
      </c>
      <c r="S2591" s="7"/>
      <c r="T2591" s="7"/>
      <c r="U2591" s="14">
        <v>550</v>
      </c>
      <c r="V2591" s="7"/>
      <c r="W2591" s="7"/>
      <c r="X2591" s="7"/>
      <c r="Y2591" s="7"/>
      <c r="Z2591" s="7"/>
      <c r="AA2591" s="7"/>
    </row>
    <row r="2592" spans="1:27" outlineLevel="7">
      <c r="A2592" s="3499" t="s">
        <v>2386</v>
      </c>
      <c r="B2592" s="3499"/>
      <c r="C2592" s="7"/>
      <c r="D2592" s="7"/>
      <c r="E2592" s="14">
        <v>550</v>
      </c>
      <c r="F2592" s="7"/>
      <c r="G2592" s="14">
        <v>550</v>
      </c>
      <c r="H2592" s="3523">
        <v>550</v>
      </c>
      <c r="I2592" s="3523"/>
      <c r="J2592" s="7"/>
      <c r="K2592" s="7"/>
      <c r="L2592" s="7"/>
      <c r="M2592" s="7"/>
      <c r="N2592" s="7"/>
      <c r="O2592" s="7"/>
      <c r="P2592" s="7"/>
      <c r="Q2592" s="7"/>
      <c r="R2592" s="14">
        <v>550</v>
      </c>
      <c r="S2592" s="7"/>
      <c r="T2592" s="7"/>
      <c r="U2592" s="14">
        <v>550</v>
      </c>
      <c r="V2592" s="7"/>
      <c r="W2592" s="7"/>
      <c r="X2592" s="7"/>
      <c r="Y2592" s="7"/>
      <c r="Z2592" s="7"/>
      <c r="AA2592" s="7"/>
    </row>
    <row r="2593" spans="1:27" outlineLevel="6">
      <c r="A2593" s="3501" t="s">
        <v>1196</v>
      </c>
      <c r="B2593" s="3501"/>
      <c r="C2593" s="7"/>
      <c r="D2593" s="7"/>
      <c r="E2593" s="14">
        <v>550</v>
      </c>
      <c r="F2593" s="7"/>
      <c r="G2593" s="7"/>
      <c r="H2593" s="8"/>
      <c r="I2593" s="9"/>
      <c r="J2593" s="7"/>
      <c r="K2593" s="14">
        <v>550</v>
      </c>
      <c r="L2593" s="14">
        <v>550</v>
      </c>
      <c r="M2593" s="7"/>
      <c r="N2593" s="7"/>
      <c r="O2593" s="7"/>
      <c r="P2593" s="7"/>
      <c r="Q2593" s="7"/>
      <c r="R2593" s="14">
        <v>550</v>
      </c>
      <c r="S2593" s="7"/>
      <c r="T2593" s="7"/>
      <c r="U2593" s="14">
        <v>550</v>
      </c>
      <c r="V2593" s="7"/>
      <c r="W2593" s="7"/>
      <c r="X2593" s="7"/>
      <c r="Y2593" s="7"/>
      <c r="Z2593" s="7"/>
      <c r="AA2593" s="7"/>
    </row>
    <row r="2594" spans="1:27" outlineLevel="7">
      <c r="A2594" s="3500" t="s">
        <v>1197</v>
      </c>
      <c r="B2594" s="3500"/>
      <c r="C2594" s="7"/>
      <c r="D2594" s="7"/>
      <c r="E2594" s="14">
        <v>550</v>
      </c>
      <c r="F2594" s="7"/>
      <c r="G2594" s="7"/>
      <c r="H2594" s="8"/>
      <c r="I2594" s="9"/>
      <c r="J2594" s="7"/>
      <c r="K2594" s="14">
        <v>550</v>
      </c>
      <c r="L2594" s="14">
        <v>550</v>
      </c>
      <c r="M2594" s="7"/>
      <c r="N2594" s="7"/>
      <c r="O2594" s="7"/>
      <c r="P2594" s="7"/>
      <c r="Q2594" s="7"/>
      <c r="R2594" s="14">
        <v>550</v>
      </c>
      <c r="S2594" s="7"/>
      <c r="T2594" s="7"/>
      <c r="U2594" s="14">
        <v>550</v>
      </c>
      <c r="V2594" s="7"/>
      <c r="W2594" s="7"/>
      <c r="X2594" s="7"/>
      <c r="Y2594" s="7"/>
      <c r="Z2594" s="7"/>
      <c r="AA2594" s="7"/>
    </row>
    <row r="2595" spans="1:27" outlineLevel="7">
      <c r="A2595" s="3499" t="s">
        <v>2387</v>
      </c>
      <c r="B2595" s="3499"/>
      <c r="C2595" s="7"/>
      <c r="D2595" s="7"/>
      <c r="E2595" s="14">
        <v>550</v>
      </c>
      <c r="F2595" s="7"/>
      <c r="G2595" s="7"/>
      <c r="H2595" s="8"/>
      <c r="I2595" s="9"/>
      <c r="J2595" s="7"/>
      <c r="K2595" s="14">
        <v>550</v>
      </c>
      <c r="L2595" s="14">
        <v>550</v>
      </c>
      <c r="M2595" s="7"/>
      <c r="N2595" s="7"/>
      <c r="O2595" s="7"/>
      <c r="P2595" s="7"/>
      <c r="Q2595" s="7"/>
      <c r="R2595" s="14">
        <v>550</v>
      </c>
      <c r="S2595" s="7"/>
      <c r="T2595" s="7"/>
      <c r="U2595" s="14">
        <v>550</v>
      </c>
      <c r="V2595" s="7"/>
      <c r="W2595" s="7"/>
      <c r="X2595" s="7"/>
      <c r="Y2595" s="7"/>
      <c r="Z2595" s="7"/>
      <c r="AA2595" s="7"/>
    </row>
    <row r="2596" spans="1:27" outlineLevel="6">
      <c r="A2596" s="3501" t="s">
        <v>1198</v>
      </c>
      <c r="B2596" s="3501"/>
      <c r="C2596" s="12"/>
      <c r="D2596" s="12"/>
      <c r="E2596" s="12"/>
      <c r="F2596" s="7"/>
      <c r="G2596" s="7"/>
      <c r="H2596" s="8"/>
      <c r="I2596" s="9"/>
      <c r="J2596" s="7"/>
      <c r="K2596" s="7"/>
      <c r="L2596" s="7"/>
      <c r="M2596" s="7"/>
      <c r="N2596" s="7"/>
      <c r="O2596" s="7"/>
      <c r="P2596" s="7"/>
      <c r="Q2596" s="7"/>
      <c r="R2596" s="14">
        <v>550</v>
      </c>
      <c r="S2596" s="7"/>
      <c r="T2596" s="7"/>
      <c r="U2596" s="14">
        <v>550</v>
      </c>
      <c r="V2596" s="7"/>
      <c r="W2596" s="7"/>
      <c r="X2596" s="7"/>
      <c r="Y2596" s="7"/>
      <c r="Z2596" s="12"/>
      <c r="AA2596" s="14">
        <v>550</v>
      </c>
    </row>
    <row r="2597" spans="1:27" outlineLevel="7">
      <c r="A2597" s="3500" t="s">
        <v>1199</v>
      </c>
      <c r="B2597" s="3500"/>
      <c r="C2597" s="12"/>
      <c r="D2597" s="12"/>
      <c r="E2597" s="12"/>
      <c r="F2597" s="7"/>
      <c r="G2597" s="7"/>
      <c r="H2597" s="8"/>
      <c r="I2597" s="9"/>
      <c r="J2597" s="7"/>
      <c r="K2597" s="7"/>
      <c r="L2597" s="7"/>
      <c r="M2597" s="7"/>
      <c r="N2597" s="7"/>
      <c r="O2597" s="7"/>
      <c r="P2597" s="7"/>
      <c r="Q2597" s="7"/>
      <c r="R2597" s="14">
        <v>550</v>
      </c>
      <c r="S2597" s="7"/>
      <c r="T2597" s="7"/>
      <c r="U2597" s="14">
        <v>550</v>
      </c>
      <c r="V2597" s="7"/>
      <c r="W2597" s="7"/>
      <c r="X2597" s="7"/>
      <c r="Y2597" s="7"/>
      <c r="Z2597" s="12"/>
      <c r="AA2597" s="14">
        <v>550</v>
      </c>
    </row>
    <row r="2598" spans="1:27" outlineLevel="7">
      <c r="A2598" s="3499" t="s">
        <v>2388</v>
      </c>
      <c r="B2598" s="3499"/>
      <c r="C2598" s="12"/>
      <c r="D2598" s="12"/>
      <c r="E2598" s="12"/>
      <c r="F2598" s="7"/>
      <c r="G2598" s="7"/>
      <c r="H2598" s="8"/>
      <c r="I2598" s="9"/>
      <c r="J2598" s="7"/>
      <c r="K2598" s="7"/>
      <c r="L2598" s="7"/>
      <c r="M2598" s="7"/>
      <c r="N2598" s="7"/>
      <c r="O2598" s="7"/>
      <c r="P2598" s="7"/>
      <c r="Q2598" s="7"/>
      <c r="R2598" s="14">
        <v>550</v>
      </c>
      <c r="S2598" s="7"/>
      <c r="T2598" s="7"/>
      <c r="U2598" s="14">
        <v>550</v>
      </c>
      <c r="V2598" s="7"/>
      <c r="W2598" s="7"/>
      <c r="X2598" s="7"/>
      <c r="Y2598" s="7"/>
      <c r="Z2598" s="12"/>
      <c r="AA2598" s="14">
        <v>550</v>
      </c>
    </row>
    <row r="2599" spans="1:27" outlineLevel="6">
      <c r="A2599" s="3501" t="s">
        <v>1200</v>
      </c>
      <c r="B2599" s="3501"/>
      <c r="C2599" s="12"/>
      <c r="D2599" s="12"/>
      <c r="E2599" s="12"/>
      <c r="F2599" s="7"/>
      <c r="G2599" s="7"/>
      <c r="H2599" s="8"/>
      <c r="I2599" s="9"/>
      <c r="J2599" s="7"/>
      <c r="K2599" s="7"/>
      <c r="L2599" s="7"/>
      <c r="M2599" s="7"/>
      <c r="N2599" s="7"/>
      <c r="O2599" s="7"/>
      <c r="P2599" s="7"/>
      <c r="Q2599" s="7"/>
      <c r="R2599" s="14">
        <v>550</v>
      </c>
      <c r="S2599" s="7"/>
      <c r="T2599" s="7"/>
      <c r="U2599" s="14">
        <v>550</v>
      </c>
      <c r="V2599" s="7"/>
      <c r="W2599" s="7"/>
      <c r="X2599" s="7"/>
      <c r="Y2599" s="7"/>
      <c r="Z2599" s="12"/>
      <c r="AA2599" s="14">
        <v>550</v>
      </c>
    </row>
    <row r="2600" spans="1:27" outlineLevel="7">
      <c r="A2600" s="3500" t="s">
        <v>1201</v>
      </c>
      <c r="B2600" s="3500"/>
      <c r="C2600" s="12"/>
      <c r="D2600" s="12"/>
      <c r="E2600" s="12"/>
      <c r="F2600" s="7"/>
      <c r="G2600" s="7"/>
      <c r="H2600" s="8"/>
      <c r="I2600" s="9"/>
      <c r="J2600" s="7"/>
      <c r="K2600" s="7"/>
      <c r="L2600" s="7"/>
      <c r="M2600" s="7"/>
      <c r="N2600" s="7"/>
      <c r="O2600" s="7"/>
      <c r="P2600" s="7"/>
      <c r="Q2600" s="7"/>
      <c r="R2600" s="14">
        <v>550</v>
      </c>
      <c r="S2600" s="7"/>
      <c r="T2600" s="7"/>
      <c r="U2600" s="14">
        <v>550</v>
      </c>
      <c r="V2600" s="7"/>
      <c r="W2600" s="7"/>
      <c r="X2600" s="7"/>
      <c r="Y2600" s="7"/>
      <c r="Z2600" s="12"/>
      <c r="AA2600" s="14">
        <v>550</v>
      </c>
    </row>
    <row r="2601" spans="1:27" outlineLevel="7">
      <c r="A2601" s="3499" t="s">
        <v>2389</v>
      </c>
      <c r="B2601" s="3499"/>
      <c r="C2601" s="12"/>
      <c r="D2601" s="12"/>
      <c r="E2601" s="12"/>
      <c r="F2601" s="7"/>
      <c r="G2601" s="7"/>
      <c r="H2601" s="8"/>
      <c r="I2601" s="9"/>
      <c r="J2601" s="7"/>
      <c r="K2601" s="7"/>
      <c r="L2601" s="7"/>
      <c r="M2601" s="7"/>
      <c r="N2601" s="7"/>
      <c r="O2601" s="7"/>
      <c r="P2601" s="7"/>
      <c r="Q2601" s="7"/>
      <c r="R2601" s="14">
        <v>550</v>
      </c>
      <c r="S2601" s="7"/>
      <c r="T2601" s="7"/>
      <c r="U2601" s="14">
        <v>550</v>
      </c>
      <c r="V2601" s="7"/>
      <c r="W2601" s="7"/>
      <c r="X2601" s="7"/>
      <c r="Y2601" s="7"/>
      <c r="Z2601" s="12"/>
      <c r="AA2601" s="14">
        <v>550</v>
      </c>
    </row>
    <row r="2602" spans="1:27" outlineLevel="6">
      <c r="A2602" s="3501" t="s">
        <v>1202</v>
      </c>
      <c r="B2602" s="3501"/>
      <c r="C2602" s="12"/>
      <c r="D2602" s="12"/>
      <c r="E2602" s="12"/>
      <c r="F2602" s="7"/>
      <c r="G2602" s="7"/>
      <c r="H2602" s="8"/>
      <c r="I2602" s="9"/>
      <c r="J2602" s="7"/>
      <c r="K2602" s="7"/>
      <c r="L2602" s="7"/>
      <c r="M2602" s="7"/>
      <c r="N2602" s="7"/>
      <c r="O2602" s="7"/>
      <c r="P2602" s="7"/>
      <c r="Q2602" s="7"/>
      <c r="R2602" s="14">
        <v>550</v>
      </c>
      <c r="S2602" s="7"/>
      <c r="T2602" s="7"/>
      <c r="U2602" s="14">
        <v>550</v>
      </c>
      <c r="V2602" s="7"/>
      <c r="W2602" s="7"/>
      <c r="X2602" s="7"/>
      <c r="Y2602" s="7"/>
      <c r="Z2602" s="12"/>
      <c r="AA2602" s="14">
        <v>550</v>
      </c>
    </row>
    <row r="2603" spans="1:27" outlineLevel="7">
      <c r="A2603" s="3500" t="s">
        <v>1203</v>
      </c>
      <c r="B2603" s="3500"/>
      <c r="C2603" s="12"/>
      <c r="D2603" s="12"/>
      <c r="E2603" s="12"/>
      <c r="F2603" s="7"/>
      <c r="G2603" s="7"/>
      <c r="H2603" s="8"/>
      <c r="I2603" s="9"/>
      <c r="J2603" s="7"/>
      <c r="K2603" s="7"/>
      <c r="L2603" s="7"/>
      <c r="M2603" s="7"/>
      <c r="N2603" s="7"/>
      <c r="O2603" s="7"/>
      <c r="P2603" s="7"/>
      <c r="Q2603" s="7"/>
      <c r="R2603" s="14">
        <v>550</v>
      </c>
      <c r="S2603" s="7"/>
      <c r="T2603" s="7"/>
      <c r="U2603" s="14">
        <v>550</v>
      </c>
      <c r="V2603" s="7"/>
      <c r="W2603" s="7"/>
      <c r="X2603" s="7"/>
      <c r="Y2603" s="7"/>
      <c r="Z2603" s="12"/>
      <c r="AA2603" s="14">
        <v>550</v>
      </c>
    </row>
    <row r="2604" spans="1:27" outlineLevel="7">
      <c r="A2604" s="3499" t="s">
        <v>2390</v>
      </c>
      <c r="B2604" s="3499"/>
      <c r="C2604" s="12"/>
      <c r="D2604" s="12"/>
      <c r="E2604" s="12"/>
      <c r="F2604" s="7"/>
      <c r="G2604" s="7"/>
      <c r="H2604" s="8"/>
      <c r="I2604" s="9"/>
      <c r="J2604" s="7"/>
      <c r="K2604" s="7"/>
      <c r="L2604" s="7"/>
      <c r="M2604" s="7"/>
      <c r="N2604" s="7"/>
      <c r="O2604" s="7"/>
      <c r="P2604" s="7"/>
      <c r="Q2604" s="7"/>
      <c r="R2604" s="14">
        <v>550</v>
      </c>
      <c r="S2604" s="7"/>
      <c r="T2604" s="7"/>
      <c r="U2604" s="14">
        <v>550</v>
      </c>
      <c r="V2604" s="7"/>
      <c r="W2604" s="7"/>
      <c r="X2604" s="7"/>
      <c r="Y2604" s="7"/>
      <c r="Z2604" s="12"/>
      <c r="AA2604" s="14">
        <v>550</v>
      </c>
    </row>
    <row r="2605" spans="1:27" outlineLevel="6">
      <c r="A2605" s="3501" t="s">
        <v>1204</v>
      </c>
      <c r="B2605" s="3501"/>
      <c r="C2605" s="12"/>
      <c r="D2605" s="13">
        <v>261973.93</v>
      </c>
      <c r="E2605" s="7"/>
      <c r="F2605" s="7"/>
      <c r="G2605" s="7"/>
      <c r="H2605" s="8"/>
      <c r="I2605" s="9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12"/>
      <c r="AA2605" s="13">
        <v>261973.93</v>
      </c>
    </row>
    <row r="2606" spans="1:27" outlineLevel="7">
      <c r="A2606" s="3500" t="s">
        <v>1205</v>
      </c>
      <c r="B2606" s="3500"/>
      <c r="C2606" s="12"/>
      <c r="D2606" s="13">
        <v>261973.93</v>
      </c>
      <c r="E2606" s="7"/>
      <c r="F2606" s="7"/>
      <c r="G2606" s="7"/>
      <c r="H2606" s="8"/>
      <c r="I2606" s="9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12"/>
      <c r="AA2606" s="13">
        <v>261973.93</v>
      </c>
    </row>
    <row r="2607" spans="1:27" outlineLevel="7">
      <c r="A2607" s="3499" t="s">
        <v>2391</v>
      </c>
      <c r="B2607" s="3499"/>
      <c r="C2607" s="12"/>
      <c r="D2607" s="13">
        <v>43662.31</v>
      </c>
      <c r="E2607" s="7"/>
      <c r="F2607" s="7"/>
      <c r="G2607" s="7"/>
      <c r="H2607" s="8"/>
      <c r="I2607" s="9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12"/>
      <c r="AA2607" s="13">
        <v>43662.31</v>
      </c>
    </row>
    <row r="2608" spans="1:27" outlineLevel="7">
      <c r="A2608" s="3499" t="s">
        <v>2392</v>
      </c>
      <c r="B2608" s="3499"/>
      <c r="C2608" s="12"/>
      <c r="D2608" s="13">
        <v>130986.92</v>
      </c>
      <c r="E2608" s="7"/>
      <c r="F2608" s="7"/>
      <c r="G2608" s="7"/>
      <c r="H2608" s="8"/>
      <c r="I2608" s="9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12"/>
      <c r="AA2608" s="13">
        <v>130986.92</v>
      </c>
    </row>
    <row r="2609" spans="1:27" outlineLevel="7">
      <c r="A2609" s="3499" t="s">
        <v>2393</v>
      </c>
      <c r="B2609" s="3499"/>
      <c r="C2609" s="12"/>
      <c r="D2609" s="13">
        <v>87324.7</v>
      </c>
      <c r="E2609" s="7"/>
      <c r="F2609" s="7"/>
      <c r="G2609" s="7"/>
      <c r="H2609" s="8"/>
      <c r="I2609" s="9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12"/>
      <c r="AA2609" s="13">
        <v>87324.7</v>
      </c>
    </row>
    <row r="2610" spans="1:27" outlineLevel="6">
      <c r="A2610" s="3501" t="s">
        <v>1206</v>
      </c>
      <c r="B2610" s="3501"/>
      <c r="C2610" s="12"/>
      <c r="D2610" s="12"/>
      <c r="E2610" s="12"/>
      <c r="F2610" s="7"/>
      <c r="G2610" s="7"/>
      <c r="H2610" s="8"/>
      <c r="I2610" s="9"/>
      <c r="J2610" s="7"/>
      <c r="K2610" s="7"/>
      <c r="L2610" s="7"/>
      <c r="M2610" s="7"/>
      <c r="N2610" s="7"/>
      <c r="O2610" s="7"/>
      <c r="P2610" s="7"/>
      <c r="Q2610" s="7"/>
      <c r="R2610" s="14">
        <v>550</v>
      </c>
      <c r="S2610" s="7"/>
      <c r="T2610" s="7"/>
      <c r="U2610" s="14">
        <v>550</v>
      </c>
      <c r="V2610" s="7"/>
      <c r="W2610" s="7"/>
      <c r="X2610" s="7"/>
      <c r="Y2610" s="7"/>
      <c r="Z2610" s="12"/>
      <c r="AA2610" s="14">
        <v>550</v>
      </c>
    </row>
    <row r="2611" spans="1:27" outlineLevel="7">
      <c r="A2611" s="3500" t="s">
        <v>1207</v>
      </c>
      <c r="B2611" s="3500"/>
      <c r="C2611" s="12"/>
      <c r="D2611" s="12"/>
      <c r="E2611" s="12"/>
      <c r="F2611" s="7"/>
      <c r="G2611" s="7"/>
      <c r="H2611" s="8"/>
      <c r="I2611" s="9"/>
      <c r="J2611" s="7"/>
      <c r="K2611" s="7"/>
      <c r="L2611" s="7"/>
      <c r="M2611" s="7"/>
      <c r="N2611" s="7"/>
      <c r="O2611" s="7"/>
      <c r="P2611" s="7"/>
      <c r="Q2611" s="7"/>
      <c r="R2611" s="14">
        <v>550</v>
      </c>
      <c r="S2611" s="7"/>
      <c r="T2611" s="7"/>
      <c r="U2611" s="14">
        <v>550</v>
      </c>
      <c r="V2611" s="7"/>
      <c r="W2611" s="7"/>
      <c r="X2611" s="7"/>
      <c r="Y2611" s="7"/>
      <c r="Z2611" s="12"/>
      <c r="AA2611" s="14">
        <v>550</v>
      </c>
    </row>
    <row r="2612" spans="1:27" outlineLevel="7">
      <c r="A2612" s="3499" t="s">
        <v>2394</v>
      </c>
      <c r="B2612" s="3499"/>
      <c r="C2612" s="12"/>
      <c r="D2612" s="12"/>
      <c r="E2612" s="12"/>
      <c r="F2612" s="7"/>
      <c r="G2612" s="7"/>
      <c r="H2612" s="8"/>
      <c r="I2612" s="9"/>
      <c r="J2612" s="7"/>
      <c r="K2612" s="7"/>
      <c r="L2612" s="7"/>
      <c r="M2612" s="7"/>
      <c r="N2612" s="7"/>
      <c r="O2612" s="7"/>
      <c r="P2612" s="7"/>
      <c r="Q2612" s="7"/>
      <c r="R2612" s="14">
        <v>550</v>
      </c>
      <c r="S2612" s="7"/>
      <c r="T2612" s="7"/>
      <c r="U2612" s="14">
        <v>550</v>
      </c>
      <c r="V2612" s="7"/>
      <c r="W2612" s="7"/>
      <c r="X2612" s="7"/>
      <c r="Y2612" s="7"/>
      <c r="Z2612" s="12"/>
      <c r="AA2612" s="14">
        <v>550</v>
      </c>
    </row>
    <row r="2613" spans="1:27" outlineLevel="6">
      <c r="A2613" s="3501" t="s">
        <v>1208</v>
      </c>
      <c r="B2613" s="3501"/>
      <c r="C2613" s="12"/>
      <c r="D2613" s="12"/>
      <c r="E2613" s="12"/>
      <c r="F2613" s="7"/>
      <c r="G2613" s="7"/>
      <c r="H2613" s="8"/>
      <c r="I2613" s="9"/>
      <c r="J2613" s="7"/>
      <c r="K2613" s="7"/>
      <c r="L2613" s="7"/>
      <c r="M2613" s="7"/>
      <c r="N2613" s="7"/>
      <c r="O2613" s="7"/>
      <c r="P2613" s="7"/>
      <c r="Q2613" s="7"/>
      <c r="R2613" s="14">
        <v>550</v>
      </c>
      <c r="S2613" s="7"/>
      <c r="T2613" s="7"/>
      <c r="U2613" s="14">
        <v>550</v>
      </c>
      <c r="V2613" s="7"/>
      <c r="W2613" s="7"/>
      <c r="X2613" s="7"/>
      <c r="Y2613" s="7"/>
      <c r="Z2613" s="12"/>
      <c r="AA2613" s="14">
        <v>550</v>
      </c>
    </row>
    <row r="2614" spans="1:27" outlineLevel="7">
      <c r="A2614" s="3500" t="s">
        <v>1209</v>
      </c>
      <c r="B2614" s="3500"/>
      <c r="C2614" s="12"/>
      <c r="D2614" s="12"/>
      <c r="E2614" s="12"/>
      <c r="F2614" s="7"/>
      <c r="G2614" s="7"/>
      <c r="H2614" s="8"/>
      <c r="I2614" s="9"/>
      <c r="J2614" s="7"/>
      <c r="K2614" s="7"/>
      <c r="L2614" s="7"/>
      <c r="M2614" s="7"/>
      <c r="N2614" s="7"/>
      <c r="O2614" s="7"/>
      <c r="P2614" s="7"/>
      <c r="Q2614" s="7"/>
      <c r="R2614" s="14">
        <v>550</v>
      </c>
      <c r="S2614" s="7"/>
      <c r="T2614" s="7"/>
      <c r="U2614" s="14">
        <v>550</v>
      </c>
      <c r="V2614" s="7"/>
      <c r="W2614" s="7"/>
      <c r="X2614" s="7"/>
      <c r="Y2614" s="7"/>
      <c r="Z2614" s="12"/>
      <c r="AA2614" s="14">
        <v>550</v>
      </c>
    </row>
    <row r="2615" spans="1:27" outlineLevel="7">
      <c r="A2615" s="3499" t="s">
        <v>2395</v>
      </c>
      <c r="B2615" s="3499"/>
      <c r="C2615" s="12"/>
      <c r="D2615" s="12"/>
      <c r="E2615" s="12"/>
      <c r="F2615" s="7"/>
      <c r="G2615" s="7"/>
      <c r="H2615" s="8"/>
      <c r="I2615" s="9"/>
      <c r="J2615" s="7"/>
      <c r="K2615" s="7"/>
      <c r="L2615" s="7"/>
      <c r="M2615" s="7"/>
      <c r="N2615" s="7"/>
      <c r="O2615" s="7"/>
      <c r="P2615" s="7"/>
      <c r="Q2615" s="7"/>
      <c r="R2615" s="14">
        <v>550</v>
      </c>
      <c r="S2615" s="7"/>
      <c r="T2615" s="7"/>
      <c r="U2615" s="14">
        <v>550</v>
      </c>
      <c r="V2615" s="7"/>
      <c r="W2615" s="7"/>
      <c r="X2615" s="7"/>
      <c r="Y2615" s="7"/>
      <c r="Z2615" s="12"/>
      <c r="AA2615" s="14">
        <v>550</v>
      </c>
    </row>
    <row r="2616" spans="1:27" outlineLevel="6">
      <c r="A2616" s="3501" t="s">
        <v>609</v>
      </c>
      <c r="B2616" s="3501"/>
      <c r="C2616" s="7"/>
      <c r="D2616" s="7"/>
      <c r="E2616" s="14">
        <v>550</v>
      </c>
      <c r="F2616" s="7"/>
      <c r="G2616" s="14">
        <v>550</v>
      </c>
      <c r="H2616" s="3523">
        <v>550</v>
      </c>
      <c r="I2616" s="3523"/>
      <c r="J2616" s="7"/>
      <c r="K2616" s="7"/>
      <c r="L2616" s="7"/>
      <c r="M2616" s="7"/>
      <c r="N2616" s="7"/>
      <c r="O2616" s="7"/>
      <c r="P2616" s="7"/>
      <c r="Q2616" s="7"/>
      <c r="R2616" s="14">
        <v>550</v>
      </c>
      <c r="S2616" s="7"/>
      <c r="T2616" s="7"/>
      <c r="U2616" s="14">
        <v>550</v>
      </c>
      <c r="V2616" s="7"/>
      <c r="W2616" s="7"/>
      <c r="X2616" s="7"/>
      <c r="Y2616" s="7"/>
      <c r="Z2616" s="7"/>
      <c r="AA2616" s="7"/>
    </row>
    <row r="2617" spans="1:27" outlineLevel="7">
      <c r="A2617" s="3500" t="s">
        <v>610</v>
      </c>
      <c r="B2617" s="3500"/>
      <c r="C2617" s="7"/>
      <c r="D2617" s="7"/>
      <c r="E2617" s="14">
        <v>550</v>
      </c>
      <c r="F2617" s="7"/>
      <c r="G2617" s="14">
        <v>550</v>
      </c>
      <c r="H2617" s="3523">
        <v>550</v>
      </c>
      <c r="I2617" s="3523"/>
      <c r="J2617" s="7"/>
      <c r="K2617" s="7"/>
      <c r="L2617" s="7"/>
      <c r="M2617" s="7"/>
      <c r="N2617" s="7"/>
      <c r="O2617" s="7"/>
      <c r="P2617" s="7"/>
      <c r="Q2617" s="7"/>
      <c r="R2617" s="14">
        <v>550</v>
      </c>
      <c r="S2617" s="7"/>
      <c r="T2617" s="7"/>
      <c r="U2617" s="14">
        <v>550</v>
      </c>
      <c r="V2617" s="7"/>
      <c r="W2617" s="7"/>
      <c r="X2617" s="7"/>
      <c r="Y2617" s="7"/>
      <c r="Z2617" s="7"/>
      <c r="AA2617" s="7"/>
    </row>
    <row r="2618" spans="1:27" outlineLevel="7">
      <c r="A2618" s="3499" t="s">
        <v>2396</v>
      </c>
      <c r="B2618" s="3499"/>
      <c r="C2618" s="7"/>
      <c r="D2618" s="7"/>
      <c r="E2618" s="14">
        <v>550</v>
      </c>
      <c r="F2618" s="7"/>
      <c r="G2618" s="14">
        <v>550</v>
      </c>
      <c r="H2618" s="3523">
        <v>550</v>
      </c>
      <c r="I2618" s="3523"/>
      <c r="J2618" s="7"/>
      <c r="K2618" s="7"/>
      <c r="L2618" s="7"/>
      <c r="M2618" s="7"/>
      <c r="N2618" s="7"/>
      <c r="O2618" s="7"/>
      <c r="P2618" s="7"/>
      <c r="Q2618" s="7"/>
      <c r="R2618" s="14">
        <v>550</v>
      </c>
      <c r="S2618" s="7"/>
      <c r="T2618" s="7"/>
      <c r="U2618" s="14">
        <v>550</v>
      </c>
      <c r="V2618" s="7"/>
      <c r="W2618" s="7"/>
      <c r="X2618" s="7"/>
      <c r="Y2618" s="7"/>
      <c r="Z2618" s="7"/>
      <c r="AA2618" s="7"/>
    </row>
    <row r="2619" spans="1:27" outlineLevel="6">
      <c r="A2619" s="3501" t="s">
        <v>1210</v>
      </c>
      <c r="B2619" s="3501"/>
      <c r="C2619" s="12"/>
      <c r="D2619" s="12"/>
      <c r="E2619" s="12"/>
      <c r="F2619" s="7"/>
      <c r="G2619" s="7"/>
      <c r="H2619" s="8"/>
      <c r="I2619" s="9"/>
      <c r="J2619" s="7"/>
      <c r="K2619" s="7"/>
      <c r="L2619" s="7"/>
      <c r="M2619" s="7"/>
      <c r="N2619" s="7"/>
      <c r="O2619" s="7"/>
      <c r="P2619" s="7"/>
      <c r="Q2619" s="7"/>
      <c r="R2619" s="14">
        <v>550</v>
      </c>
      <c r="S2619" s="7"/>
      <c r="T2619" s="7"/>
      <c r="U2619" s="14">
        <v>550</v>
      </c>
      <c r="V2619" s="7"/>
      <c r="W2619" s="7"/>
      <c r="X2619" s="7"/>
      <c r="Y2619" s="7"/>
      <c r="Z2619" s="12"/>
      <c r="AA2619" s="14">
        <v>550</v>
      </c>
    </row>
    <row r="2620" spans="1:27" outlineLevel="7">
      <c r="A2620" s="3500" t="s">
        <v>1211</v>
      </c>
      <c r="B2620" s="3500"/>
      <c r="C2620" s="12"/>
      <c r="D2620" s="12"/>
      <c r="E2620" s="12"/>
      <c r="F2620" s="7"/>
      <c r="G2620" s="7"/>
      <c r="H2620" s="8"/>
      <c r="I2620" s="9"/>
      <c r="J2620" s="7"/>
      <c r="K2620" s="7"/>
      <c r="L2620" s="7"/>
      <c r="M2620" s="7"/>
      <c r="N2620" s="7"/>
      <c r="O2620" s="7"/>
      <c r="P2620" s="7"/>
      <c r="Q2620" s="7"/>
      <c r="R2620" s="14">
        <v>550</v>
      </c>
      <c r="S2620" s="7"/>
      <c r="T2620" s="7"/>
      <c r="U2620" s="14">
        <v>550</v>
      </c>
      <c r="V2620" s="7"/>
      <c r="W2620" s="7"/>
      <c r="X2620" s="7"/>
      <c r="Y2620" s="7"/>
      <c r="Z2620" s="12"/>
      <c r="AA2620" s="14">
        <v>550</v>
      </c>
    </row>
    <row r="2621" spans="1:27" outlineLevel="7">
      <c r="A2621" s="3499" t="s">
        <v>2397</v>
      </c>
      <c r="B2621" s="3499"/>
      <c r="C2621" s="12"/>
      <c r="D2621" s="12"/>
      <c r="E2621" s="12"/>
      <c r="F2621" s="7"/>
      <c r="G2621" s="7"/>
      <c r="H2621" s="8"/>
      <c r="I2621" s="9"/>
      <c r="J2621" s="7"/>
      <c r="K2621" s="7"/>
      <c r="L2621" s="7"/>
      <c r="M2621" s="7"/>
      <c r="N2621" s="7"/>
      <c r="O2621" s="7"/>
      <c r="P2621" s="7"/>
      <c r="Q2621" s="7"/>
      <c r="R2621" s="14">
        <v>550</v>
      </c>
      <c r="S2621" s="7"/>
      <c r="T2621" s="7"/>
      <c r="U2621" s="14">
        <v>550</v>
      </c>
      <c r="V2621" s="7"/>
      <c r="W2621" s="7"/>
      <c r="X2621" s="7"/>
      <c r="Y2621" s="7"/>
      <c r="Z2621" s="12"/>
      <c r="AA2621" s="14">
        <v>550</v>
      </c>
    </row>
    <row r="2622" spans="1:27" outlineLevel="6">
      <c r="A2622" s="3501" t="s">
        <v>611</v>
      </c>
      <c r="B2622" s="3501"/>
      <c r="C2622" s="7"/>
      <c r="D2622" s="7"/>
      <c r="E2622" s="14">
        <v>550</v>
      </c>
      <c r="F2622" s="7"/>
      <c r="G2622" s="14">
        <v>550</v>
      </c>
      <c r="H2622" s="3523">
        <v>550</v>
      </c>
      <c r="I2622" s="3523"/>
      <c r="J2622" s="7"/>
      <c r="K2622" s="7"/>
      <c r="L2622" s="7"/>
      <c r="M2622" s="7"/>
      <c r="N2622" s="7"/>
      <c r="O2622" s="7"/>
      <c r="P2622" s="7"/>
      <c r="Q2622" s="7"/>
      <c r="R2622" s="14">
        <v>550</v>
      </c>
      <c r="S2622" s="7"/>
      <c r="T2622" s="7"/>
      <c r="U2622" s="14">
        <v>550</v>
      </c>
      <c r="V2622" s="7"/>
      <c r="W2622" s="7"/>
      <c r="X2622" s="7"/>
      <c r="Y2622" s="7"/>
      <c r="Z2622" s="7"/>
      <c r="AA2622" s="7"/>
    </row>
    <row r="2623" spans="1:27" outlineLevel="7">
      <c r="A2623" s="3500" t="s">
        <v>612</v>
      </c>
      <c r="B2623" s="3500"/>
      <c r="C2623" s="7"/>
      <c r="D2623" s="7"/>
      <c r="E2623" s="14">
        <v>550</v>
      </c>
      <c r="F2623" s="7"/>
      <c r="G2623" s="14">
        <v>550</v>
      </c>
      <c r="H2623" s="3523">
        <v>550</v>
      </c>
      <c r="I2623" s="3523"/>
      <c r="J2623" s="7"/>
      <c r="K2623" s="7"/>
      <c r="L2623" s="7"/>
      <c r="M2623" s="7"/>
      <c r="N2623" s="7"/>
      <c r="O2623" s="7"/>
      <c r="P2623" s="7"/>
      <c r="Q2623" s="7"/>
      <c r="R2623" s="14">
        <v>550</v>
      </c>
      <c r="S2623" s="7"/>
      <c r="T2623" s="7"/>
      <c r="U2623" s="14">
        <v>550</v>
      </c>
      <c r="V2623" s="7"/>
      <c r="W2623" s="7"/>
      <c r="X2623" s="7"/>
      <c r="Y2623" s="7"/>
      <c r="Z2623" s="7"/>
      <c r="AA2623" s="7"/>
    </row>
    <row r="2624" spans="1:27" outlineLevel="7">
      <c r="A2624" s="3499" t="s">
        <v>2398</v>
      </c>
      <c r="B2624" s="3499"/>
      <c r="C2624" s="7"/>
      <c r="D2624" s="7"/>
      <c r="E2624" s="14">
        <v>550</v>
      </c>
      <c r="F2624" s="7"/>
      <c r="G2624" s="14">
        <v>550</v>
      </c>
      <c r="H2624" s="3523">
        <v>550</v>
      </c>
      <c r="I2624" s="3523"/>
      <c r="J2624" s="7"/>
      <c r="K2624" s="7"/>
      <c r="L2624" s="7"/>
      <c r="M2624" s="7"/>
      <c r="N2624" s="7"/>
      <c r="O2624" s="7"/>
      <c r="P2624" s="7"/>
      <c r="Q2624" s="7"/>
      <c r="R2624" s="14">
        <v>550</v>
      </c>
      <c r="S2624" s="7"/>
      <c r="T2624" s="7"/>
      <c r="U2624" s="14">
        <v>550</v>
      </c>
      <c r="V2624" s="7"/>
      <c r="W2624" s="7"/>
      <c r="X2624" s="7"/>
      <c r="Y2624" s="7"/>
      <c r="Z2624" s="7"/>
      <c r="AA2624" s="7"/>
    </row>
    <row r="2625" spans="1:27" outlineLevel="6">
      <c r="A2625" s="3501" t="s">
        <v>613</v>
      </c>
      <c r="B2625" s="3501"/>
      <c r="C2625" s="7"/>
      <c r="D2625" s="7"/>
      <c r="E2625" s="14">
        <v>550</v>
      </c>
      <c r="F2625" s="7"/>
      <c r="G2625" s="14">
        <v>550</v>
      </c>
      <c r="H2625" s="3523">
        <v>550</v>
      </c>
      <c r="I2625" s="3523"/>
      <c r="J2625" s="7"/>
      <c r="K2625" s="7"/>
      <c r="L2625" s="7"/>
      <c r="M2625" s="7"/>
      <c r="N2625" s="7"/>
      <c r="O2625" s="7"/>
      <c r="P2625" s="7"/>
      <c r="Q2625" s="7"/>
      <c r="R2625" s="14">
        <v>550</v>
      </c>
      <c r="S2625" s="7"/>
      <c r="T2625" s="7"/>
      <c r="U2625" s="14">
        <v>550</v>
      </c>
      <c r="V2625" s="7"/>
      <c r="W2625" s="7"/>
      <c r="X2625" s="7"/>
      <c r="Y2625" s="7"/>
      <c r="Z2625" s="7"/>
      <c r="AA2625" s="7"/>
    </row>
    <row r="2626" spans="1:27" outlineLevel="7">
      <c r="A2626" s="3500" t="s">
        <v>614</v>
      </c>
      <c r="B2626" s="3500"/>
      <c r="C2626" s="7"/>
      <c r="D2626" s="7"/>
      <c r="E2626" s="14">
        <v>550</v>
      </c>
      <c r="F2626" s="7"/>
      <c r="G2626" s="14">
        <v>550</v>
      </c>
      <c r="H2626" s="3523">
        <v>550</v>
      </c>
      <c r="I2626" s="3523"/>
      <c r="J2626" s="7"/>
      <c r="K2626" s="7"/>
      <c r="L2626" s="7"/>
      <c r="M2626" s="7"/>
      <c r="N2626" s="7"/>
      <c r="O2626" s="7"/>
      <c r="P2626" s="7"/>
      <c r="Q2626" s="7"/>
      <c r="R2626" s="14">
        <v>550</v>
      </c>
      <c r="S2626" s="7"/>
      <c r="T2626" s="7"/>
      <c r="U2626" s="14">
        <v>550</v>
      </c>
      <c r="V2626" s="7"/>
      <c r="W2626" s="7"/>
      <c r="X2626" s="7"/>
      <c r="Y2626" s="7"/>
      <c r="Z2626" s="7"/>
      <c r="AA2626" s="7"/>
    </row>
    <row r="2627" spans="1:27" outlineLevel="7">
      <c r="A2627" s="3499" t="s">
        <v>2399</v>
      </c>
      <c r="B2627" s="3499"/>
      <c r="C2627" s="7"/>
      <c r="D2627" s="7"/>
      <c r="E2627" s="14">
        <v>550</v>
      </c>
      <c r="F2627" s="7"/>
      <c r="G2627" s="14">
        <v>550</v>
      </c>
      <c r="H2627" s="3523">
        <v>550</v>
      </c>
      <c r="I2627" s="3523"/>
      <c r="J2627" s="7"/>
      <c r="K2627" s="7"/>
      <c r="L2627" s="7"/>
      <c r="M2627" s="7"/>
      <c r="N2627" s="7"/>
      <c r="O2627" s="7"/>
      <c r="P2627" s="7"/>
      <c r="Q2627" s="7"/>
      <c r="R2627" s="14">
        <v>550</v>
      </c>
      <c r="S2627" s="7"/>
      <c r="T2627" s="7"/>
      <c r="U2627" s="14">
        <v>550</v>
      </c>
      <c r="V2627" s="7"/>
      <c r="W2627" s="7"/>
      <c r="X2627" s="7"/>
      <c r="Y2627" s="7"/>
      <c r="Z2627" s="7"/>
      <c r="AA2627" s="7"/>
    </row>
    <row r="2628" spans="1:27" outlineLevel="6">
      <c r="A2628" s="3501" t="s">
        <v>1212</v>
      </c>
      <c r="B2628" s="3501"/>
      <c r="C2628" s="12"/>
      <c r="D2628" s="12"/>
      <c r="E2628" s="12"/>
      <c r="F2628" s="7"/>
      <c r="G2628" s="7"/>
      <c r="H2628" s="8"/>
      <c r="I2628" s="9"/>
      <c r="J2628" s="7"/>
      <c r="K2628" s="7"/>
      <c r="L2628" s="7"/>
      <c r="M2628" s="7"/>
      <c r="N2628" s="7"/>
      <c r="O2628" s="7"/>
      <c r="P2628" s="7"/>
      <c r="Q2628" s="7"/>
      <c r="R2628" s="14">
        <v>550</v>
      </c>
      <c r="S2628" s="7"/>
      <c r="T2628" s="7"/>
      <c r="U2628" s="14">
        <v>550</v>
      </c>
      <c r="V2628" s="7"/>
      <c r="W2628" s="7"/>
      <c r="X2628" s="7"/>
      <c r="Y2628" s="7"/>
      <c r="Z2628" s="12"/>
      <c r="AA2628" s="14">
        <v>550</v>
      </c>
    </row>
    <row r="2629" spans="1:27" outlineLevel="7">
      <c r="A2629" s="3500" t="s">
        <v>1213</v>
      </c>
      <c r="B2629" s="3500"/>
      <c r="C2629" s="12"/>
      <c r="D2629" s="12"/>
      <c r="E2629" s="12"/>
      <c r="F2629" s="7"/>
      <c r="G2629" s="7"/>
      <c r="H2629" s="8"/>
      <c r="I2629" s="9"/>
      <c r="J2629" s="7"/>
      <c r="K2629" s="7"/>
      <c r="L2629" s="7"/>
      <c r="M2629" s="7"/>
      <c r="N2629" s="7"/>
      <c r="O2629" s="7"/>
      <c r="P2629" s="7"/>
      <c r="Q2629" s="7"/>
      <c r="R2629" s="14">
        <v>550</v>
      </c>
      <c r="S2629" s="7"/>
      <c r="T2629" s="7"/>
      <c r="U2629" s="14">
        <v>550</v>
      </c>
      <c r="V2629" s="7"/>
      <c r="W2629" s="7"/>
      <c r="X2629" s="7"/>
      <c r="Y2629" s="7"/>
      <c r="Z2629" s="12"/>
      <c r="AA2629" s="14">
        <v>550</v>
      </c>
    </row>
    <row r="2630" spans="1:27" outlineLevel="7">
      <c r="A2630" s="3499" t="s">
        <v>2400</v>
      </c>
      <c r="B2630" s="3499"/>
      <c r="C2630" s="12"/>
      <c r="D2630" s="12"/>
      <c r="E2630" s="12"/>
      <c r="F2630" s="7"/>
      <c r="G2630" s="7"/>
      <c r="H2630" s="8"/>
      <c r="I2630" s="9"/>
      <c r="J2630" s="7"/>
      <c r="K2630" s="7"/>
      <c r="L2630" s="7"/>
      <c r="M2630" s="7"/>
      <c r="N2630" s="7"/>
      <c r="O2630" s="7"/>
      <c r="P2630" s="7"/>
      <c r="Q2630" s="7"/>
      <c r="R2630" s="14">
        <v>550</v>
      </c>
      <c r="S2630" s="7"/>
      <c r="T2630" s="7"/>
      <c r="U2630" s="14">
        <v>550</v>
      </c>
      <c r="V2630" s="7"/>
      <c r="W2630" s="7"/>
      <c r="X2630" s="7"/>
      <c r="Y2630" s="7"/>
      <c r="Z2630" s="12"/>
      <c r="AA2630" s="14">
        <v>550</v>
      </c>
    </row>
    <row r="2631" spans="1:27" outlineLevel="6">
      <c r="A2631" s="3501" t="s">
        <v>1214</v>
      </c>
      <c r="B2631" s="3501"/>
      <c r="C2631" s="12"/>
      <c r="D2631" s="12"/>
      <c r="E2631" s="12"/>
      <c r="F2631" s="7"/>
      <c r="G2631" s="7"/>
      <c r="H2631" s="8"/>
      <c r="I2631" s="9"/>
      <c r="J2631" s="7"/>
      <c r="K2631" s="7"/>
      <c r="L2631" s="7"/>
      <c r="M2631" s="7"/>
      <c r="N2631" s="7"/>
      <c r="O2631" s="7"/>
      <c r="P2631" s="7"/>
      <c r="Q2631" s="7"/>
      <c r="R2631" s="14">
        <v>550</v>
      </c>
      <c r="S2631" s="7"/>
      <c r="T2631" s="7"/>
      <c r="U2631" s="14">
        <v>550</v>
      </c>
      <c r="V2631" s="7"/>
      <c r="W2631" s="7"/>
      <c r="X2631" s="7"/>
      <c r="Y2631" s="7"/>
      <c r="Z2631" s="12"/>
      <c r="AA2631" s="14">
        <v>550</v>
      </c>
    </row>
    <row r="2632" spans="1:27" outlineLevel="7">
      <c r="A2632" s="3500" t="s">
        <v>1215</v>
      </c>
      <c r="B2632" s="3500"/>
      <c r="C2632" s="12"/>
      <c r="D2632" s="12"/>
      <c r="E2632" s="12"/>
      <c r="F2632" s="7"/>
      <c r="G2632" s="7"/>
      <c r="H2632" s="8"/>
      <c r="I2632" s="9"/>
      <c r="J2632" s="7"/>
      <c r="K2632" s="7"/>
      <c r="L2632" s="7"/>
      <c r="M2632" s="7"/>
      <c r="N2632" s="7"/>
      <c r="O2632" s="7"/>
      <c r="P2632" s="7"/>
      <c r="Q2632" s="7"/>
      <c r="R2632" s="14">
        <v>550</v>
      </c>
      <c r="S2632" s="7"/>
      <c r="T2632" s="7"/>
      <c r="U2632" s="14">
        <v>550</v>
      </c>
      <c r="V2632" s="7"/>
      <c r="W2632" s="7"/>
      <c r="X2632" s="7"/>
      <c r="Y2632" s="7"/>
      <c r="Z2632" s="12"/>
      <c r="AA2632" s="14">
        <v>550</v>
      </c>
    </row>
    <row r="2633" spans="1:27" outlineLevel="7">
      <c r="A2633" s="3499" t="s">
        <v>2401</v>
      </c>
      <c r="B2633" s="3499"/>
      <c r="C2633" s="12"/>
      <c r="D2633" s="12"/>
      <c r="E2633" s="12"/>
      <c r="F2633" s="7"/>
      <c r="G2633" s="7"/>
      <c r="H2633" s="8"/>
      <c r="I2633" s="9"/>
      <c r="J2633" s="7"/>
      <c r="K2633" s="7"/>
      <c r="L2633" s="7"/>
      <c r="M2633" s="7"/>
      <c r="N2633" s="7"/>
      <c r="O2633" s="7"/>
      <c r="P2633" s="7"/>
      <c r="Q2633" s="7"/>
      <c r="R2633" s="14">
        <v>550</v>
      </c>
      <c r="S2633" s="7"/>
      <c r="T2633" s="7"/>
      <c r="U2633" s="14">
        <v>550</v>
      </c>
      <c r="V2633" s="7"/>
      <c r="W2633" s="7"/>
      <c r="X2633" s="7"/>
      <c r="Y2633" s="7"/>
      <c r="Z2633" s="12"/>
      <c r="AA2633" s="14">
        <v>550</v>
      </c>
    </row>
    <row r="2634" spans="1:27" outlineLevel="6">
      <c r="A2634" s="3501" t="s">
        <v>1216</v>
      </c>
      <c r="B2634" s="3501"/>
      <c r="C2634" s="7"/>
      <c r="D2634" s="7"/>
      <c r="E2634" s="13">
        <v>25283.33</v>
      </c>
      <c r="F2634" s="13">
        <v>25283.33</v>
      </c>
      <c r="G2634" s="7"/>
      <c r="H2634" s="8"/>
      <c r="I2634" s="9"/>
      <c r="J2634" s="7"/>
      <c r="K2634" s="7"/>
      <c r="L2634" s="7"/>
      <c r="M2634" s="7"/>
      <c r="N2634" s="7"/>
      <c r="O2634" s="7"/>
      <c r="P2634" s="7"/>
      <c r="Q2634" s="7"/>
      <c r="R2634" s="13">
        <v>25283.33</v>
      </c>
      <c r="S2634" s="7"/>
      <c r="T2634" s="7"/>
      <c r="U2634" s="13">
        <v>25283.33</v>
      </c>
      <c r="V2634" s="7"/>
      <c r="W2634" s="7"/>
      <c r="X2634" s="7"/>
      <c r="Y2634" s="7"/>
      <c r="Z2634" s="7"/>
      <c r="AA2634" s="7"/>
    </row>
    <row r="2635" spans="1:27" outlineLevel="7">
      <c r="A2635" s="3500" t="s">
        <v>1217</v>
      </c>
      <c r="B2635" s="3500"/>
      <c r="C2635" s="7"/>
      <c r="D2635" s="7"/>
      <c r="E2635" s="13">
        <v>25283.33</v>
      </c>
      <c r="F2635" s="13">
        <v>25283.33</v>
      </c>
      <c r="G2635" s="7"/>
      <c r="H2635" s="8"/>
      <c r="I2635" s="9"/>
      <c r="J2635" s="7"/>
      <c r="K2635" s="7"/>
      <c r="L2635" s="7"/>
      <c r="M2635" s="7"/>
      <c r="N2635" s="7"/>
      <c r="O2635" s="7"/>
      <c r="P2635" s="7"/>
      <c r="Q2635" s="7"/>
      <c r="R2635" s="13">
        <v>25283.33</v>
      </c>
      <c r="S2635" s="7"/>
      <c r="T2635" s="7"/>
      <c r="U2635" s="13">
        <v>25283.33</v>
      </c>
      <c r="V2635" s="7"/>
      <c r="W2635" s="7"/>
      <c r="X2635" s="7"/>
      <c r="Y2635" s="7"/>
      <c r="Z2635" s="7"/>
      <c r="AA2635" s="7"/>
    </row>
    <row r="2636" spans="1:27" outlineLevel="7">
      <c r="A2636" s="3499" t="s">
        <v>2402</v>
      </c>
      <c r="B2636" s="3499"/>
      <c r="C2636" s="7"/>
      <c r="D2636" s="7"/>
      <c r="E2636" s="13">
        <v>25283.33</v>
      </c>
      <c r="F2636" s="13">
        <v>25283.33</v>
      </c>
      <c r="G2636" s="7"/>
      <c r="H2636" s="8"/>
      <c r="I2636" s="9"/>
      <c r="J2636" s="7"/>
      <c r="K2636" s="7"/>
      <c r="L2636" s="7"/>
      <c r="M2636" s="7"/>
      <c r="N2636" s="7"/>
      <c r="O2636" s="7"/>
      <c r="P2636" s="7"/>
      <c r="Q2636" s="7"/>
      <c r="R2636" s="13">
        <v>25283.33</v>
      </c>
      <c r="S2636" s="7"/>
      <c r="T2636" s="7"/>
      <c r="U2636" s="13">
        <v>25283.33</v>
      </c>
      <c r="V2636" s="7"/>
      <c r="W2636" s="7"/>
      <c r="X2636" s="7"/>
      <c r="Y2636" s="7"/>
      <c r="Z2636" s="7"/>
      <c r="AA2636" s="7"/>
    </row>
    <row r="2637" spans="1:27" outlineLevel="6">
      <c r="A2637" s="3501" t="s">
        <v>615</v>
      </c>
      <c r="B2637" s="3501"/>
      <c r="C2637" s="7"/>
      <c r="D2637" s="7"/>
      <c r="E2637" s="14">
        <v>550</v>
      </c>
      <c r="F2637" s="7"/>
      <c r="G2637" s="14">
        <v>550</v>
      </c>
      <c r="H2637" s="3523">
        <v>550</v>
      </c>
      <c r="I2637" s="3523"/>
      <c r="J2637" s="7"/>
      <c r="K2637" s="7"/>
      <c r="L2637" s="7"/>
      <c r="M2637" s="7"/>
      <c r="N2637" s="7"/>
      <c r="O2637" s="7"/>
      <c r="P2637" s="7"/>
      <c r="Q2637" s="7"/>
      <c r="R2637" s="14">
        <v>550</v>
      </c>
      <c r="S2637" s="7"/>
      <c r="T2637" s="7"/>
      <c r="U2637" s="14">
        <v>550</v>
      </c>
      <c r="V2637" s="7"/>
      <c r="W2637" s="7"/>
      <c r="X2637" s="7"/>
      <c r="Y2637" s="7"/>
      <c r="Z2637" s="7"/>
      <c r="AA2637" s="7"/>
    </row>
    <row r="2638" spans="1:27" outlineLevel="7">
      <c r="A2638" s="3500" t="s">
        <v>616</v>
      </c>
      <c r="B2638" s="3500"/>
      <c r="C2638" s="7"/>
      <c r="D2638" s="7"/>
      <c r="E2638" s="14">
        <v>550</v>
      </c>
      <c r="F2638" s="7"/>
      <c r="G2638" s="14">
        <v>550</v>
      </c>
      <c r="H2638" s="3523">
        <v>550</v>
      </c>
      <c r="I2638" s="3523"/>
      <c r="J2638" s="7"/>
      <c r="K2638" s="7"/>
      <c r="L2638" s="7"/>
      <c r="M2638" s="7"/>
      <c r="N2638" s="7"/>
      <c r="O2638" s="7"/>
      <c r="P2638" s="7"/>
      <c r="Q2638" s="7"/>
      <c r="R2638" s="14">
        <v>550</v>
      </c>
      <c r="S2638" s="7"/>
      <c r="T2638" s="7"/>
      <c r="U2638" s="14">
        <v>550</v>
      </c>
      <c r="V2638" s="7"/>
      <c r="W2638" s="7"/>
      <c r="X2638" s="7"/>
      <c r="Y2638" s="7"/>
      <c r="Z2638" s="7"/>
      <c r="AA2638" s="7"/>
    </row>
    <row r="2639" spans="1:27" outlineLevel="7">
      <c r="A2639" s="3499" t="s">
        <v>2403</v>
      </c>
      <c r="B2639" s="3499"/>
      <c r="C2639" s="7"/>
      <c r="D2639" s="7"/>
      <c r="E2639" s="14">
        <v>550</v>
      </c>
      <c r="F2639" s="7"/>
      <c r="G2639" s="14">
        <v>550</v>
      </c>
      <c r="H2639" s="3523">
        <v>550</v>
      </c>
      <c r="I2639" s="3523"/>
      <c r="J2639" s="7"/>
      <c r="K2639" s="7"/>
      <c r="L2639" s="7"/>
      <c r="M2639" s="7"/>
      <c r="N2639" s="7"/>
      <c r="O2639" s="7"/>
      <c r="P2639" s="7"/>
      <c r="Q2639" s="7"/>
      <c r="R2639" s="14">
        <v>550</v>
      </c>
      <c r="S2639" s="7"/>
      <c r="T2639" s="7"/>
      <c r="U2639" s="14">
        <v>550</v>
      </c>
      <c r="V2639" s="7"/>
      <c r="W2639" s="7"/>
      <c r="X2639" s="7"/>
      <c r="Y2639" s="7"/>
      <c r="Z2639" s="7"/>
      <c r="AA2639" s="7"/>
    </row>
    <row r="2640" spans="1:27" outlineLevel="6">
      <c r="A2640" s="3501" t="s">
        <v>1218</v>
      </c>
      <c r="B2640" s="3501"/>
      <c r="C2640" s="12"/>
      <c r="D2640" s="12"/>
      <c r="E2640" s="12"/>
      <c r="F2640" s="7"/>
      <c r="G2640" s="7"/>
      <c r="H2640" s="8"/>
      <c r="I2640" s="9"/>
      <c r="J2640" s="7"/>
      <c r="K2640" s="7"/>
      <c r="L2640" s="7"/>
      <c r="M2640" s="7"/>
      <c r="N2640" s="7"/>
      <c r="O2640" s="7"/>
      <c r="P2640" s="7"/>
      <c r="Q2640" s="7"/>
      <c r="R2640" s="14">
        <v>550</v>
      </c>
      <c r="S2640" s="7"/>
      <c r="T2640" s="7"/>
      <c r="U2640" s="14">
        <v>550</v>
      </c>
      <c r="V2640" s="7"/>
      <c r="W2640" s="7"/>
      <c r="X2640" s="7"/>
      <c r="Y2640" s="7"/>
      <c r="Z2640" s="12"/>
      <c r="AA2640" s="14">
        <v>550</v>
      </c>
    </row>
    <row r="2641" spans="1:27" outlineLevel="7">
      <c r="A2641" s="3500" t="s">
        <v>1219</v>
      </c>
      <c r="B2641" s="3500"/>
      <c r="C2641" s="12"/>
      <c r="D2641" s="12"/>
      <c r="E2641" s="12"/>
      <c r="F2641" s="7"/>
      <c r="G2641" s="7"/>
      <c r="H2641" s="8"/>
      <c r="I2641" s="9"/>
      <c r="J2641" s="7"/>
      <c r="K2641" s="7"/>
      <c r="L2641" s="7"/>
      <c r="M2641" s="7"/>
      <c r="N2641" s="7"/>
      <c r="O2641" s="7"/>
      <c r="P2641" s="7"/>
      <c r="Q2641" s="7"/>
      <c r="R2641" s="14">
        <v>550</v>
      </c>
      <c r="S2641" s="7"/>
      <c r="T2641" s="7"/>
      <c r="U2641" s="14">
        <v>550</v>
      </c>
      <c r="V2641" s="7"/>
      <c r="W2641" s="7"/>
      <c r="X2641" s="7"/>
      <c r="Y2641" s="7"/>
      <c r="Z2641" s="12"/>
      <c r="AA2641" s="14">
        <v>550</v>
      </c>
    </row>
    <row r="2642" spans="1:27" outlineLevel="7">
      <c r="A2642" s="3499" t="s">
        <v>2404</v>
      </c>
      <c r="B2642" s="3499"/>
      <c r="C2642" s="12"/>
      <c r="D2642" s="12"/>
      <c r="E2642" s="12"/>
      <c r="F2642" s="7"/>
      <c r="G2642" s="7"/>
      <c r="H2642" s="8"/>
      <c r="I2642" s="9"/>
      <c r="J2642" s="7"/>
      <c r="K2642" s="7"/>
      <c r="L2642" s="7"/>
      <c r="M2642" s="7"/>
      <c r="N2642" s="7"/>
      <c r="O2642" s="7"/>
      <c r="P2642" s="7"/>
      <c r="Q2642" s="7"/>
      <c r="R2642" s="14">
        <v>550</v>
      </c>
      <c r="S2642" s="7"/>
      <c r="T2642" s="7"/>
      <c r="U2642" s="14">
        <v>550</v>
      </c>
      <c r="V2642" s="7"/>
      <c r="W2642" s="7"/>
      <c r="X2642" s="7"/>
      <c r="Y2642" s="7"/>
      <c r="Z2642" s="12"/>
      <c r="AA2642" s="14">
        <v>550</v>
      </c>
    </row>
    <row r="2643" spans="1:27" outlineLevel="6">
      <c r="A2643" s="3501" t="s">
        <v>617</v>
      </c>
      <c r="B2643" s="3501"/>
      <c r="C2643" s="7"/>
      <c r="D2643" s="7"/>
      <c r="E2643" s="14">
        <v>550</v>
      </c>
      <c r="F2643" s="7"/>
      <c r="G2643" s="14">
        <v>550</v>
      </c>
      <c r="H2643" s="3523">
        <v>550</v>
      </c>
      <c r="I2643" s="3523"/>
      <c r="J2643" s="7"/>
      <c r="K2643" s="7"/>
      <c r="L2643" s="7"/>
      <c r="M2643" s="7"/>
      <c r="N2643" s="7"/>
      <c r="O2643" s="7"/>
      <c r="P2643" s="7"/>
      <c r="Q2643" s="7"/>
      <c r="R2643" s="14">
        <v>550</v>
      </c>
      <c r="S2643" s="7"/>
      <c r="T2643" s="7"/>
      <c r="U2643" s="14">
        <v>550</v>
      </c>
      <c r="V2643" s="7"/>
      <c r="W2643" s="7"/>
      <c r="X2643" s="7"/>
      <c r="Y2643" s="7"/>
      <c r="Z2643" s="7"/>
      <c r="AA2643" s="7"/>
    </row>
    <row r="2644" spans="1:27" outlineLevel="7">
      <c r="A2644" s="3500" t="s">
        <v>618</v>
      </c>
      <c r="B2644" s="3500"/>
      <c r="C2644" s="7"/>
      <c r="D2644" s="7"/>
      <c r="E2644" s="14">
        <v>550</v>
      </c>
      <c r="F2644" s="7"/>
      <c r="G2644" s="14">
        <v>550</v>
      </c>
      <c r="H2644" s="3523">
        <v>550</v>
      </c>
      <c r="I2644" s="3523"/>
      <c r="J2644" s="7"/>
      <c r="K2644" s="7"/>
      <c r="L2644" s="7"/>
      <c r="M2644" s="7"/>
      <c r="N2644" s="7"/>
      <c r="O2644" s="7"/>
      <c r="P2644" s="7"/>
      <c r="Q2644" s="7"/>
      <c r="R2644" s="14">
        <v>550</v>
      </c>
      <c r="S2644" s="7"/>
      <c r="T2644" s="7"/>
      <c r="U2644" s="14">
        <v>550</v>
      </c>
      <c r="V2644" s="7"/>
      <c r="W2644" s="7"/>
      <c r="X2644" s="7"/>
      <c r="Y2644" s="7"/>
      <c r="Z2644" s="7"/>
      <c r="AA2644" s="7"/>
    </row>
    <row r="2645" spans="1:27" outlineLevel="7">
      <c r="A2645" s="3499" t="s">
        <v>2405</v>
      </c>
      <c r="B2645" s="3499"/>
      <c r="C2645" s="7"/>
      <c r="D2645" s="7"/>
      <c r="E2645" s="14">
        <v>550</v>
      </c>
      <c r="F2645" s="7"/>
      <c r="G2645" s="14">
        <v>550</v>
      </c>
      <c r="H2645" s="3523">
        <v>550</v>
      </c>
      <c r="I2645" s="3523"/>
      <c r="J2645" s="7"/>
      <c r="K2645" s="7"/>
      <c r="L2645" s="7"/>
      <c r="M2645" s="7"/>
      <c r="N2645" s="7"/>
      <c r="O2645" s="7"/>
      <c r="P2645" s="7"/>
      <c r="Q2645" s="7"/>
      <c r="R2645" s="14">
        <v>550</v>
      </c>
      <c r="S2645" s="7"/>
      <c r="T2645" s="7"/>
      <c r="U2645" s="14">
        <v>550</v>
      </c>
      <c r="V2645" s="7"/>
      <c r="W2645" s="7"/>
      <c r="X2645" s="7"/>
      <c r="Y2645" s="7"/>
      <c r="Z2645" s="7"/>
      <c r="AA2645" s="7"/>
    </row>
    <row r="2646" spans="1:27" outlineLevel="6">
      <c r="A2646" s="3501" t="s">
        <v>619</v>
      </c>
      <c r="B2646" s="3501"/>
      <c r="C2646" s="7"/>
      <c r="D2646" s="7"/>
      <c r="E2646" s="14">
        <v>550</v>
      </c>
      <c r="F2646" s="7"/>
      <c r="G2646" s="14">
        <v>550</v>
      </c>
      <c r="H2646" s="3523">
        <v>550</v>
      </c>
      <c r="I2646" s="3523"/>
      <c r="J2646" s="7"/>
      <c r="K2646" s="7"/>
      <c r="L2646" s="7"/>
      <c r="M2646" s="7"/>
      <c r="N2646" s="7"/>
      <c r="O2646" s="7"/>
      <c r="P2646" s="7"/>
      <c r="Q2646" s="7"/>
      <c r="R2646" s="14">
        <v>550</v>
      </c>
      <c r="S2646" s="7"/>
      <c r="T2646" s="7"/>
      <c r="U2646" s="14">
        <v>550</v>
      </c>
      <c r="V2646" s="7"/>
      <c r="W2646" s="7"/>
      <c r="X2646" s="7"/>
      <c r="Y2646" s="7"/>
      <c r="Z2646" s="7"/>
      <c r="AA2646" s="7"/>
    </row>
    <row r="2647" spans="1:27" outlineLevel="7">
      <c r="A2647" s="3500" t="s">
        <v>620</v>
      </c>
      <c r="B2647" s="3500"/>
      <c r="C2647" s="7"/>
      <c r="D2647" s="7"/>
      <c r="E2647" s="14">
        <v>550</v>
      </c>
      <c r="F2647" s="7"/>
      <c r="G2647" s="14">
        <v>550</v>
      </c>
      <c r="H2647" s="3523">
        <v>550</v>
      </c>
      <c r="I2647" s="3523"/>
      <c r="J2647" s="7"/>
      <c r="K2647" s="7"/>
      <c r="L2647" s="7"/>
      <c r="M2647" s="7"/>
      <c r="N2647" s="7"/>
      <c r="O2647" s="7"/>
      <c r="P2647" s="7"/>
      <c r="Q2647" s="7"/>
      <c r="R2647" s="14">
        <v>550</v>
      </c>
      <c r="S2647" s="7"/>
      <c r="T2647" s="7"/>
      <c r="U2647" s="14">
        <v>550</v>
      </c>
      <c r="V2647" s="7"/>
      <c r="W2647" s="7"/>
      <c r="X2647" s="7"/>
      <c r="Y2647" s="7"/>
      <c r="Z2647" s="7"/>
      <c r="AA2647" s="7"/>
    </row>
    <row r="2648" spans="1:27" outlineLevel="7">
      <c r="A2648" s="3499" t="s">
        <v>2406</v>
      </c>
      <c r="B2648" s="3499"/>
      <c r="C2648" s="7"/>
      <c r="D2648" s="7"/>
      <c r="E2648" s="14">
        <v>550</v>
      </c>
      <c r="F2648" s="7"/>
      <c r="G2648" s="14">
        <v>550</v>
      </c>
      <c r="H2648" s="3523">
        <v>550</v>
      </c>
      <c r="I2648" s="3523"/>
      <c r="J2648" s="7"/>
      <c r="K2648" s="7"/>
      <c r="L2648" s="7"/>
      <c r="M2648" s="7"/>
      <c r="N2648" s="7"/>
      <c r="O2648" s="7"/>
      <c r="P2648" s="7"/>
      <c r="Q2648" s="7"/>
      <c r="R2648" s="14">
        <v>550</v>
      </c>
      <c r="S2648" s="7"/>
      <c r="T2648" s="7"/>
      <c r="U2648" s="14">
        <v>550</v>
      </c>
      <c r="V2648" s="7"/>
      <c r="W2648" s="7"/>
      <c r="X2648" s="7"/>
      <c r="Y2648" s="7"/>
      <c r="Z2648" s="7"/>
      <c r="AA2648" s="7"/>
    </row>
    <row r="2649" spans="1:27" outlineLevel="6">
      <c r="A2649" s="3501" t="s">
        <v>621</v>
      </c>
      <c r="B2649" s="3501"/>
      <c r="C2649" s="12"/>
      <c r="D2649" s="14">
        <v>550</v>
      </c>
      <c r="E2649" s="14">
        <v>550</v>
      </c>
      <c r="F2649" s="7"/>
      <c r="G2649" s="14">
        <v>550</v>
      </c>
      <c r="H2649" s="3523">
        <v>550</v>
      </c>
      <c r="I2649" s="3523"/>
      <c r="J2649" s="7"/>
      <c r="K2649" s="7"/>
      <c r="L2649" s="7"/>
      <c r="M2649" s="7"/>
      <c r="N2649" s="7"/>
      <c r="O2649" s="7"/>
      <c r="P2649" s="7"/>
      <c r="Q2649" s="7"/>
      <c r="R2649" s="12"/>
      <c r="S2649" s="7"/>
      <c r="T2649" s="7"/>
      <c r="U2649" s="7"/>
      <c r="V2649" s="7"/>
      <c r="W2649" s="7"/>
      <c r="X2649" s="7"/>
      <c r="Y2649" s="7"/>
      <c r="Z2649" s="12"/>
      <c r="AA2649" s="12"/>
    </row>
    <row r="2650" spans="1:27" outlineLevel="7">
      <c r="A2650" s="3500" t="s">
        <v>622</v>
      </c>
      <c r="B2650" s="3500"/>
      <c r="C2650" s="12"/>
      <c r="D2650" s="14">
        <v>550</v>
      </c>
      <c r="E2650" s="14">
        <v>550</v>
      </c>
      <c r="F2650" s="7"/>
      <c r="G2650" s="14">
        <v>550</v>
      </c>
      <c r="H2650" s="3523">
        <v>550</v>
      </c>
      <c r="I2650" s="3523"/>
      <c r="J2650" s="7"/>
      <c r="K2650" s="7"/>
      <c r="L2650" s="7"/>
      <c r="M2650" s="7"/>
      <c r="N2650" s="7"/>
      <c r="O2650" s="7"/>
      <c r="P2650" s="7"/>
      <c r="Q2650" s="7"/>
      <c r="R2650" s="12"/>
      <c r="S2650" s="7"/>
      <c r="T2650" s="7"/>
      <c r="U2650" s="7"/>
      <c r="V2650" s="7"/>
      <c r="W2650" s="7"/>
      <c r="X2650" s="7"/>
      <c r="Y2650" s="7"/>
      <c r="Z2650" s="12"/>
      <c r="AA2650" s="12"/>
    </row>
    <row r="2651" spans="1:27" outlineLevel="7">
      <c r="A2651" s="3499" t="s">
        <v>2407</v>
      </c>
      <c r="B2651" s="3499"/>
      <c r="C2651" s="12"/>
      <c r="D2651" s="14">
        <v>550</v>
      </c>
      <c r="E2651" s="14">
        <v>550</v>
      </c>
      <c r="F2651" s="7"/>
      <c r="G2651" s="14">
        <v>550</v>
      </c>
      <c r="H2651" s="3523">
        <v>550</v>
      </c>
      <c r="I2651" s="3523"/>
      <c r="J2651" s="7"/>
      <c r="K2651" s="7"/>
      <c r="L2651" s="7"/>
      <c r="M2651" s="7"/>
      <c r="N2651" s="7"/>
      <c r="O2651" s="7"/>
      <c r="P2651" s="7"/>
      <c r="Q2651" s="7"/>
      <c r="R2651" s="12"/>
      <c r="S2651" s="7"/>
      <c r="T2651" s="7"/>
      <c r="U2651" s="7"/>
      <c r="V2651" s="7"/>
      <c r="W2651" s="7"/>
      <c r="X2651" s="7"/>
      <c r="Y2651" s="7"/>
      <c r="Z2651" s="12"/>
      <c r="AA2651" s="12"/>
    </row>
    <row r="2652" spans="1:27" outlineLevel="6">
      <c r="A2652" s="3501" t="s">
        <v>623</v>
      </c>
      <c r="B2652" s="3501"/>
      <c r="C2652" s="7"/>
      <c r="D2652" s="7"/>
      <c r="E2652" s="14">
        <v>550</v>
      </c>
      <c r="F2652" s="7"/>
      <c r="G2652" s="14">
        <v>550</v>
      </c>
      <c r="H2652" s="3523">
        <v>550</v>
      </c>
      <c r="I2652" s="3523"/>
      <c r="J2652" s="7"/>
      <c r="K2652" s="7"/>
      <c r="L2652" s="7"/>
      <c r="M2652" s="7"/>
      <c r="N2652" s="7"/>
      <c r="O2652" s="7"/>
      <c r="P2652" s="7"/>
      <c r="Q2652" s="7"/>
      <c r="R2652" s="14">
        <v>550</v>
      </c>
      <c r="S2652" s="7"/>
      <c r="T2652" s="7"/>
      <c r="U2652" s="14">
        <v>550</v>
      </c>
      <c r="V2652" s="7"/>
      <c r="W2652" s="7"/>
      <c r="X2652" s="7"/>
      <c r="Y2652" s="7"/>
      <c r="Z2652" s="7"/>
      <c r="AA2652" s="7"/>
    </row>
    <row r="2653" spans="1:27" outlineLevel="7">
      <c r="A2653" s="3500" t="s">
        <v>624</v>
      </c>
      <c r="B2653" s="3500"/>
      <c r="C2653" s="7"/>
      <c r="D2653" s="7"/>
      <c r="E2653" s="14">
        <v>550</v>
      </c>
      <c r="F2653" s="7"/>
      <c r="G2653" s="14">
        <v>550</v>
      </c>
      <c r="H2653" s="3523">
        <v>550</v>
      </c>
      <c r="I2653" s="3523"/>
      <c r="J2653" s="7"/>
      <c r="K2653" s="7"/>
      <c r="L2653" s="7"/>
      <c r="M2653" s="7"/>
      <c r="N2653" s="7"/>
      <c r="O2653" s="7"/>
      <c r="P2653" s="7"/>
      <c r="Q2653" s="7"/>
      <c r="R2653" s="14">
        <v>550</v>
      </c>
      <c r="S2653" s="7"/>
      <c r="T2653" s="7"/>
      <c r="U2653" s="14">
        <v>550</v>
      </c>
      <c r="V2653" s="7"/>
      <c r="W2653" s="7"/>
      <c r="X2653" s="7"/>
      <c r="Y2653" s="7"/>
      <c r="Z2653" s="7"/>
      <c r="AA2653" s="7"/>
    </row>
    <row r="2654" spans="1:27" outlineLevel="7">
      <c r="A2654" s="3499" t="s">
        <v>2408</v>
      </c>
      <c r="B2654" s="3499"/>
      <c r="C2654" s="7"/>
      <c r="D2654" s="7"/>
      <c r="E2654" s="14">
        <v>550</v>
      </c>
      <c r="F2654" s="7"/>
      <c r="G2654" s="14">
        <v>550</v>
      </c>
      <c r="H2654" s="3523">
        <v>550</v>
      </c>
      <c r="I2654" s="3523"/>
      <c r="J2654" s="7"/>
      <c r="K2654" s="7"/>
      <c r="L2654" s="7"/>
      <c r="M2654" s="7"/>
      <c r="N2654" s="7"/>
      <c r="O2654" s="7"/>
      <c r="P2654" s="7"/>
      <c r="Q2654" s="7"/>
      <c r="R2654" s="14">
        <v>550</v>
      </c>
      <c r="S2654" s="7"/>
      <c r="T2654" s="7"/>
      <c r="U2654" s="14">
        <v>550</v>
      </c>
      <c r="V2654" s="7"/>
      <c r="W2654" s="7"/>
      <c r="X2654" s="7"/>
      <c r="Y2654" s="7"/>
      <c r="Z2654" s="7"/>
      <c r="AA2654" s="7"/>
    </row>
    <row r="2655" spans="1:27" outlineLevel="6">
      <c r="A2655" s="3501" t="s">
        <v>625</v>
      </c>
      <c r="B2655" s="3501"/>
      <c r="C2655" s="7"/>
      <c r="D2655" s="7"/>
      <c r="E2655" s="14">
        <v>550</v>
      </c>
      <c r="F2655" s="7"/>
      <c r="G2655" s="14">
        <v>550</v>
      </c>
      <c r="H2655" s="3523">
        <v>550</v>
      </c>
      <c r="I2655" s="3523"/>
      <c r="J2655" s="7"/>
      <c r="K2655" s="7"/>
      <c r="L2655" s="7"/>
      <c r="M2655" s="7"/>
      <c r="N2655" s="7"/>
      <c r="O2655" s="7"/>
      <c r="P2655" s="7"/>
      <c r="Q2655" s="7"/>
      <c r="R2655" s="14">
        <v>550</v>
      </c>
      <c r="S2655" s="7"/>
      <c r="T2655" s="7"/>
      <c r="U2655" s="14">
        <v>550</v>
      </c>
      <c r="V2655" s="7"/>
      <c r="W2655" s="7"/>
      <c r="X2655" s="7"/>
      <c r="Y2655" s="7"/>
      <c r="Z2655" s="7"/>
      <c r="AA2655" s="7"/>
    </row>
    <row r="2656" spans="1:27" outlineLevel="7">
      <c r="A2656" s="3500" t="s">
        <v>626</v>
      </c>
      <c r="B2656" s="3500"/>
      <c r="C2656" s="7"/>
      <c r="D2656" s="7"/>
      <c r="E2656" s="14">
        <v>550</v>
      </c>
      <c r="F2656" s="7"/>
      <c r="G2656" s="14">
        <v>550</v>
      </c>
      <c r="H2656" s="3523">
        <v>550</v>
      </c>
      <c r="I2656" s="3523"/>
      <c r="J2656" s="7"/>
      <c r="K2656" s="7"/>
      <c r="L2656" s="7"/>
      <c r="M2656" s="7"/>
      <c r="N2656" s="7"/>
      <c r="O2656" s="7"/>
      <c r="P2656" s="7"/>
      <c r="Q2656" s="7"/>
      <c r="R2656" s="14">
        <v>550</v>
      </c>
      <c r="S2656" s="7"/>
      <c r="T2656" s="7"/>
      <c r="U2656" s="14">
        <v>550</v>
      </c>
      <c r="V2656" s="7"/>
      <c r="W2656" s="7"/>
      <c r="X2656" s="7"/>
      <c r="Y2656" s="7"/>
      <c r="Z2656" s="7"/>
      <c r="AA2656" s="7"/>
    </row>
    <row r="2657" spans="1:27" outlineLevel="7">
      <c r="A2657" s="3499" t="s">
        <v>2409</v>
      </c>
      <c r="B2657" s="3499"/>
      <c r="C2657" s="7"/>
      <c r="D2657" s="7"/>
      <c r="E2657" s="14">
        <v>550</v>
      </c>
      <c r="F2657" s="7"/>
      <c r="G2657" s="14">
        <v>550</v>
      </c>
      <c r="H2657" s="3523">
        <v>550</v>
      </c>
      <c r="I2657" s="3523"/>
      <c r="J2657" s="7"/>
      <c r="K2657" s="7"/>
      <c r="L2657" s="7"/>
      <c r="M2657" s="7"/>
      <c r="N2657" s="7"/>
      <c r="O2657" s="7"/>
      <c r="P2657" s="7"/>
      <c r="Q2657" s="7"/>
      <c r="R2657" s="14">
        <v>550</v>
      </c>
      <c r="S2657" s="7"/>
      <c r="T2657" s="7"/>
      <c r="U2657" s="14">
        <v>550</v>
      </c>
      <c r="V2657" s="7"/>
      <c r="W2657" s="7"/>
      <c r="X2657" s="7"/>
      <c r="Y2657" s="7"/>
      <c r="Z2657" s="7"/>
      <c r="AA2657" s="7"/>
    </row>
    <row r="2658" spans="1:27" outlineLevel="6">
      <c r="A2658" s="3501" t="s">
        <v>627</v>
      </c>
      <c r="B2658" s="3501"/>
      <c r="C2658" s="7"/>
      <c r="D2658" s="7"/>
      <c r="E2658" s="14">
        <v>550</v>
      </c>
      <c r="F2658" s="7"/>
      <c r="G2658" s="14">
        <v>550</v>
      </c>
      <c r="H2658" s="3523">
        <v>550</v>
      </c>
      <c r="I2658" s="3523"/>
      <c r="J2658" s="7"/>
      <c r="K2658" s="7"/>
      <c r="L2658" s="7"/>
      <c r="M2658" s="7"/>
      <c r="N2658" s="7"/>
      <c r="O2658" s="7"/>
      <c r="P2658" s="7"/>
      <c r="Q2658" s="7"/>
      <c r="R2658" s="14">
        <v>550</v>
      </c>
      <c r="S2658" s="7"/>
      <c r="T2658" s="7"/>
      <c r="U2658" s="14">
        <v>550</v>
      </c>
      <c r="V2658" s="7"/>
      <c r="W2658" s="7"/>
      <c r="X2658" s="7"/>
      <c r="Y2658" s="7"/>
      <c r="Z2658" s="7"/>
      <c r="AA2658" s="7"/>
    </row>
    <row r="2659" spans="1:27" outlineLevel="7">
      <c r="A2659" s="3500" t="s">
        <v>628</v>
      </c>
      <c r="B2659" s="3500"/>
      <c r="C2659" s="7"/>
      <c r="D2659" s="7"/>
      <c r="E2659" s="14">
        <v>550</v>
      </c>
      <c r="F2659" s="7"/>
      <c r="G2659" s="14">
        <v>550</v>
      </c>
      <c r="H2659" s="3523">
        <v>550</v>
      </c>
      <c r="I2659" s="3523"/>
      <c r="J2659" s="7"/>
      <c r="K2659" s="7"/>
      <c r="L2659" s="7"/>
      <c r="M2659" s="7"/>
      <c r="N2659" s="7"/>
      <c r="O2659" s="7"/>
      <c r="P2659" s="7"/>
      <c r="Q2659" s="7"/>
      <c r="R2659" s="14">
        <v>550</v>
      </c>
      <c r="S2659" s="7"/>
      <c r="T2659" s="7"/>
      <c r="U2659" s="14">
        <v>550</v>
      </c>
      <c r="V2659" s="7"/>
      <c r="W2659" s="7"/>
      <c r="X2659" s="7"/>
      <c r="Y2659" s="7"/>
      <c r="Z2659" s="7"/>
      <c r="AA2659" s="7"/>
    </row>
    <row r="2660" spans="1:27" outlineLevel="7">
      <c r="A2660" s="3499" t="s">
        <v>2410</v>
      </c>
      <c r="B2660" s="3499"/>
      <c r="C2660" s="7"/>
      <c r="D2660" s="7"/>
      <c r="E2660" s="14">
        <v>550</v>
      </c>
      <c r="F2660" s="7"/>
      <c r="G2660" s="14">
        <v>550</v>
      </c>
      <c r="H2660" s="3523">
        <v>550</v>
      </c>
      <c r="I2660" s="3523"/>
      <c r="J2660" s="7"/>
      <c r="K2660" s="7"/>
      <c r="L2660" s="7"/>
      <c r="M2660" s="7"/>
      <c r="N2660" s="7"/>
      <c r="O2660" s="7"/>
      <c r="P2660" s="7"/>
      <c r="Q2660" s="7"/>
      <c r="R2660" s="14">
        <v>550</v>
      </c>
      <c r="S2660" s="7"/>
      <c r="T2660" s="7"/>
      <c r="U2660" s="14">
        <v>550</v>
      </c>
      <c r="V2660" s="7"/>
      <c r="W2660" s="7"/>
      <c r="X2660" s="7"/>
      <c r="Y2660" s="7"/>
      <c r="Z2660" s="7"/>
      <c r="AA2660" s="7"/>
    </row>
    <row r="2661" spans="1:27" outlineLevel="6">
      <c r="A2661" s="3501" t="s">
        <v>629</v>
      </c>
      <c r="B2661" s="3501"/>
      <c r="C2661" s="7"/>
      <c r="D2661" s="7"/>
      <c r="E2661" s="14">
        <v>550</v>
      </c>
      <c r="F2661" s="7"/>
      <c r="G2661" s="14">
        <v>550</v>
      </c>
      <c r="H2661" s="3523">
        <v>550</v>
      </c>
      <c r="I2661" s="3523"/>
      <c r="J2661" s="7"/>
      <c r="K2661" s="7"/>
      <c r="L2661" s="7"/>
      <c r="M2661" s="7"/>
      <c r="N2661" s="7"/>
      <c r="O2661" s="7"/>
      <c r="P2661" s="7"/>
      <c r="Q2661" s="7"/>
      <c r="R2661" s="14">
        <v>550</v>
      </c>
      <c r="S2661" s="7"/>
      <c r="T2661" s="7"/>
      <c r="U2661" s="14">
        <v>550</v>
      </c>
      <c r="V2661" s="7"/>
      <c r="W2661" s="7"/>
      <c r="X2661" s="7"/>
      <c r="Y2661" s="7"/>
      <c r="Z2661" s="7"/>
      <c r="AA2661" s="7"/>
    </row>
    <row r="2662" spans="1:27" outlineLevel="7">
      <c r="A2662" s="3500" t="s">
        <v>630</v>
      </c>
      <c r="B2662" s="3500"/>
      <c r="C2662" s="7"/>
      <c r="D2662" s="7"/>
      <c r="E2662" s="14">
        <v>550</v>
      </c>
      <c r="F2662" s="7"/>
      <c r="G2662" s="14">
        <v>550</v>
      </c>
      <c r="H2662" s="3523">
        <v>550</v>
      </c>
      <c r="I2662" s="3523"/>
      <c r="J2662" s="7"/>
      <c r="K2662" s="7"/>
      <c r="L2662" s="7"/>
      <c r="M2662" s="7"/>
      <c r="N2662" s="7"/>
      <c r="O2662" s="7"/>
      <c r="P2662" s="7"/>
      <c r="Q2662" s="7"/>
      <c r="R2662" s="14">
        <v>550</v>
      </c>
      <c r="S2662" s="7"/>
      <c r="T2662" s="7"/>
      <c r="U2662" s="14">
        <v>550</v>
      </c>
      <c r="V2662" s="7"/>
      <c r="W2662" s="7"/>
      <c r="X2662" s="7"/>
      <c r="Y2662" s="7"/>
      <c r="Z2662" s="7"/>
      <c r="AA2662" s="7"/>
    </row>
    <row r="2663" spans="1:27" outlineLevel="7">
      <c r="A2663" s="3499" t="s">
        <v>2411</v>
      </c>
      <c r="B2663" s="3499"/>
      <c r="C2663" s="7"/>
      <c r="D2663" s="7"/>
      <c r="E2663" s="14">
        <v>550</v>
      </c>
      <c r="F2663" s="7"/>
      <c r="G2663" s="14">
        <v>550</v>
      </c>
      <c r="H2663" s="3523">
        <v>550</v>
      </c>
      <c r="I2663" s="3523"/>
      <c r="J2663" s="7"/>
      <c r="K2663" s="7"/>
      <c r="L2663" s="7"/>
      <c r="M2663" s="7"/>
      <c r="N2663" s="7"/>
      <c r="O2663" s="7"/>
      <c r="P2663" s="7"/>
      <c r="Q2663" s="7"/>
      <c r="R2663" s="14">
        <v>550</v>
      </c>
      <c r="S2663" s="7"/>
      <c r="T2663" s="7"/>
      <c r="U2663" s="14">
        <v>550</v>
      </c>
      <c r="V2663" s="7"/>
      <c r="W2663" s="7"/>
      <c r="X2663" s="7"/>
      <c r="Y2663" s="7"/>
      <c r="Z2663" s="7"/>
      <c r="AA2663" s="7"/>
    </row>
    <row r="2664" spans="1:27" outlineLevel="6">
      <c r="A2664" s="3501" t="s">
        <v>633</v>
      </c>
      <c r="B2664" s="3501"/>
      <c r="C2664" s="7"/>
      <c r="D2664" s="7"/>
      <c r="E2664" s="14">
        <v>550</v>
      </c>
      <c r="F2664" s="7"/>
      <c r="G2664" s="14">
        <v>550</v>
      </c>
      <c r="H2664" s="3523">
        <v>550</v>
      </c>
      <c r="I2664" s="3523"/>
      <c r="J2664" s="7"/>
      <c r="K2664" s="7"/>
      <c r="L2664" s="7"/>
      <c r="M2664" s="7"/>
      <c r="N2664" s="7"/>
      <c r="O2664" s="7"/>
      <c r="P2664" s="7"/>
      <c r="Q2664" s="7"/>
      <c r="R2664" s="14">
        <v>550</v>
      </c>
      <c r="S2664" s="7"/>
      <c r="T2664" s="7"/>
      <c r="U2664" s="14">
        <v>550</v>
      </c>
      <c r="V2664" s="7"/>
      <c r="W2664" s="7"/>
      <c r="X2664" s="7"/>
      <c r="Y2664" s="7"/>
      <c r="Z2664" s="7"/>
      <c r="AA2664" s="7"/>
    </row>
    <row r="2665" spans="1:27" outlineLevel="7">
      <c r="A2665" s="3500" t="s">
        <v>634</v>
      </c>
      <c r="B2665" s="3500"/>
      <c r="C2665" s="7"/>
      <c r="D2665" s="7"/>
      <c r="E2665" s="14">
        <v>550</v>
      </c>
      <c r="F2665" s="7"/>
      <c r="G2665" s="14">
        <v>550</v>
      </c>
      <c r="H2665" s="3523">
        <v>550</v>
      </c>
      <c r="I2665" s="3523"/>
      <c r="J2665" s="7"/>
      <c r="K2665" s="7"/>
      <c r="L2665" s="7"/>
      <c r="M2665" s="7"/>
      <c r="N2665" s="7"/>
      <c r="O2665" s="7"/>
      <c r="P2665" s="7"/>
      <c r="Q2665" s="7"/>
      <c r="R2665" s="14">
        <v>550</v>
      </c>
      <c r="S2665" s="7"/>
      <c r="T2665" s="7"/>
      <c r="U2665" s="14">
        <v>550</v>
      </c>
      <c r="V2665" s="7"/>
      <c r="W2665" s="7"/>
      <c r="X2665" s="7"/>
      <c r="Y2665" s="7"/>
      <c r="Z2665" s="7"/>
      <c r="AA2665" s="7"/>
    </row>
    <row r="2666" spans="1:27" outlineLevel="7">
      <c r="A2666" s="3499" t="s">
        <v>2412</v>
      </c>
      <c r="B2666" s="3499"/>
      <c r="C2666" s="7"/>
      <c r="D2666" s="7"/>
      <c r="E2666" s="14">
        <v>550</v>
      </c>
      <c r="F2666" s="7"/>
      <c r="G2666" s="14">
        <v>550</v>
      </c>
      <c r="H2666" s="3523">
        <v>550</v>
      </c>
      <c r="I2666" s="3523"/>
      <c r="J2666" s="7"/>
      <c r="K2666" s="7"/>
      <c r="L2666" s="7"/>
      <c r="M2666" s="7"/>
      <c r="N2666" s="7"/>
      <c r="O2666" s="7"/>
      <c r="P2666" s="7"/>
      <c r="Q2666" s="7"/>
      <c r="R2666" s="14">
        <v>550</v>
      </c>
      <c r="S2666" s="7"/>
      <c r="T2666" s="7"/>
      <c r="U2666" s="14">
        <v>550</v>
      </c>
      <c r="V2666" s="7"/>
      <c r="W2666" s="7"/>
      <c r="X2666" s="7"/>
      <c r="Y2666" s="7"/>
      <c r="Z2666" s="7"/>
      <c r="AA2666" s="7"/>
    </row>
    <row r="2667" spans="1:27" outlineLevel="6">
      <c r="A2667" s="3501" t="s">
        <v>637</v>
      </c>
      <c r="B2667" s="3501"/>
      <c r="C2667" s="7"/>
      <c r="D2667" s="7"/>
      <c r="E2667" s="14">
        <v>550</v>
      </c>
      <c r="F2667" s="7"/>
      <c r="G2667" s="14">
        <v>550</v>
      </c>
      <c r="H2667" s="3523">
        <v>550</v>
      </c>
      <c r="I2667" s="3523"/>
      <c r="J2667" s="7"/>
      <c r="K2667" s="7"/>
      <c r="L2667" s="7"/>
      <c r="M2667" s="7"/>
      <c r="N2667" s="7"/>
      <c r="O2667" s="7"/>
      <c r="P2667" s="7"/>
      <c r="Q2667" s="7"/>
      <c r="R2667" s="14">
        <v>550</v>
      </c>
      <c r="S2667" s="7"/>
      <c r="T2667" s="7"/>
      <c r="U2667" s="14">
        <v>550</v>
      </c>
      <c r="V2667" s="7"/>
      <c r="W2667" s="7"/>
      <c r="X2667" s="7"/>
      <c r="Y2667" s="7"/>
      <c r="Z2667" s="7"/>
      <c r="AA2667" s="7"/>
    </row>
    <row r="2668" spans="1:27" outlineLevel="7">
      <c r="A2668" s="3500" t="s">
        <v>638</v>
      </c>
      <c r="B2668" s="3500"/>
      <c r="C2668" s="7"/>
      <c r="D2668" s="7"/>
      <c r="E2668" s="14">
        <v>550</v>
      </c>
      <c r="F2668" s="7"/>
      <c r="G2668" s="14">
        <v>550</v>
      </c>
      <c r="H2668" s="3523">
        <v>550</v>
      </c>
      <c r="I2668" s="3523"/>
      <c r="J2668" s="7"/>
      <c r="K2668" s="7"/>
      <c r="L2668" s="7"/>
      <c r="M2668" s="7"/>
      <c r="N2668" s="7"/>
      <c r="O2668" s="7"/>
      <c r="P2668" s="7"/>
      <c r="Q2668" s="7"/>
      <c r="R2668" s="14">
        <v>550</v>
      </c>
      <c r="S2668" s="7"/>
      <c r="T2668" s="7"/>
      <c r="U2668" s="14">
        <v>550</v>
      </c>
      <c r="V2668" s="7"/>
      <c r="W2668" s="7"/>
      <c r="X2668" s="7"/>
      <c r="Y2668" s="7"/>
      <c r="Z2668" s="7"/>
      <c r="AA2668" s="7"/>
    </row>
    <row r="2669" spans="1:27" outlineLevel="7">
      <c r="A2669" s="3499" t="s">
        <v>2413</v>
      </c>
      <c r="B2669" s="3499"/>
      <c r="C2669" s="7"/>
      <c r="D2669" s="7"/>
      <c r="E2669" s="14">
        <v>550</v>
      </c>
      <c r="F2669" s="7"/>
      <c r="G2669" s="14">
        <v>550</v>
      </c>
      <c r="H2669" s="3523">
        <v>550</v>
      </c>
      <c r="I2669" s="3523"/>
      <c r="J2669" s="7"/>
      <c r="K2669" s="7"/>
      <c r="L2669" s="7"/>
      <c r="M2669" s="7"/>
      <c r="N2669" s="7"/>
      <c r="O2669" s="7"/>
      <c r="P2669" s="7"/>
      <c r="Q2669" s="7"/>
      <c r="R2669" s="14">
        <v>550</v>
      </c>
      <c r="S2669" s="7"/>
      <c r="T2669" s="7"/>
      <c r="U2669" s="14">
        <v>550</v>
      </c>
      <c r="V2669" s="7"/>
      <c r="W2669" s="7"/>
      <c r="X2669" s="7"/>
      <c r="Y2669" s="7"/>
      <c r="Z2669" s="7"/>
      <c r="AA2669" s="7"/>
    </row>
    <row r="2670" spans="1:27" outlineLevel="6">
      <c r="A2670" s="3501" t="s">
        <v>1220</v>
      </c>
      <c r="B2670" s="3501"/>
      <c r="C2670" s="12"/>
      <c r="D2670" s="12"/>
      <c r="E2670" s="12"/>
      <c r="F2670" s="7"/>
      <c r="G2670" s="7"/>
      <c r="H2670" s="8"/>
      <c r="I2670" s="9"/>
      <c r="J2670" s="7"/>
      <c r="K2670" s="7"/>
      <c r="L2670" s="7"/>
      <c r="M2670" s="7"/>
      <c r="N2670" s="7"/>
      <c r="O2670" s="7"/>
      <c r="P2670" s="7"/>
      <c r="Q2670" s="7"/>
      <c r="R2670" s="14">
        <v>550</v>
      </c>
      <c r="S2670" s="7"/>
      <c r="T2670" s="7"/>
      <c r="U2670" s="14">
        <v>550</v>
      </c>
      <c r="V2670" s="7"/>
      <c r="W2670" s="7"/>
      <c r="X2670" s="7"/>
      <c r="Y2670" s="7"/>
      <c r="Z2670" s="12"/>
      <c r="AA2670" s="14">
        <v>550</v>
      </c>
    </row>
    <row r="2671" spans="1:27" outlineLevel="7">
      <c r="A2671" s="3500" t="s">
        <v>1221</v>
      </c>
      <c r="B2671" s="3500"/>
      <c r="C2671" s="12"/>
      <c r="D2671" s="12"/>
      <c r="E2671" s="12"/>
      <c r="F2671" s="7"/>
      <c r="G2671" s="7"/>
      <c r="H2671" s="8"/>
      <c r="I2671" s="9"/>
      <c r="J2671" s="7"/>
      <c r="K2671" s="7"/>
      <c r="L2671" s="7"/>
      <c r="M2671" s="7"/>
      <c r="N2671" s="7"/>
      <c r="O2671" s="7"/>
      <c r="P2671" s="7"/>
      <c r="Q2671" s="7"/>
      <c r="R2671" s="14">
        <v>550</v>
      </c>
      <c r="S2671" s="7"/>
      <c r="T2671" s="7"/>
      <c r="U2671" s="14">
        <v>550</v>
      </c>
      <c r="V2671" s="7"/>
      <c r="W2671" s="7"/>
      <c r="X2671" s="7"/>
      <c r="Y2671" s="7"/>
      <c r="Z2671" s="12"/>
      <c r="AA2671" s="14">
        <v>550</v>
      </c>
    </row>
    <row r="2672" spans="1:27" outlineLevel="7">
      <c r="A2672" s="3499" t="s">
        <v>2414</v>
      </c>
      <c r="B2672" s="3499"/>
      <c r="C2672" s="12"/>
      <c r="D2672" s="12"/>
      <c r="E2672" s="12"/>
      <c r="F2672" s="7"/>
      <c r="G2672" s="7"/>
      <c r="H2672" s="8"/>
      <c r="I2672" s="9"/>
      <c r="J2672" s="7"/>
      <c r="K2672" s="7"/>
      <c r="L2672" s="7"/>
      <c r="M2672" s="7"/>
      <c r="N2672" s="7"/>
      <c r="O2672" s="7"/>
      <c r="P2672" s="7"/>
      <c r="Q2672" s="7"/>
      <c r="R2672" s="14">
        <v>550</v>
      </c>
      <c r="S2672" s="7"/>
      <c r="T2672" s="7"/>
      <c r="U2672" s="14">
        <v>550</v>
      </c>
      <c r="V2672" s="7"/>
      <c r="W2672" s="7"/>
      <c r="X2672" s="7"/>
      <c r="Y2672" s="7"/>
      <c r="Z2672" s="12"/>
      <c r="AA2672" s="14">
        <v>550</v>
      </c>
    </row>
    <row r="2673" spans="1:27" outlineLevel="6">
      <c r="A2673" s="3501" t="s">
        <v>1222</v>
      </c>
      <c r="B2673" s="3501"/>
      <c r="C2673" s="12"/>
      <c r="D2673" s="12"/>
      <c r="E2673" s="12"/>
      <c r="F2673" s="7"/>
      <c r="G2673" s="7"/>
      <c r="H2673" s="8"/>
      <c r="I2673" s="9"/>
      <c r="J2673" s="7"/>
      <c r="K2673" s="7"/>
      <c r="L2673" s="7"/>
      <c r="M2673" s="7"/>
      <c r="N2673" s="7"/>
      <c r="O2673" s="7"/>
      <c r="P2673" s="7"/>
      <c r="Q2673" s="7"/>
      <c r="R2673" s="14">
        <v>550</v>
      </c>
      <c r="S2673" s="7"/>
      <c r="T2673" s="7"/>
      <c r="U2673" s="14">
        <v>550</v>
      </c>
      <c r="V2673" s="7"/>
      <c r="W2673" s="7"/>
      <c r="X2673" s="7"/>
      <c r="Y2673" s="7"/>
      <c r="Z2673" s="12"/>
      <c r="AA2673" s="14">
        <v>550</v>
      </c>
    </row>
    <row r="2674" spans="1:27" outlineLevel="7">
      <c r="A2674" s="3500" t="s">
        <v>1223</v>
      </c>
      <c r="B2674" s="3500"/>
      <c r="C2674" s="12"/>
      <c r="D2674" s="12"/>
      <c r="E2674" s="12"/>
      <c r="F2674" s="7"/>
      <c r="G2674" s="7"/>
      <c r="H2674" s="8"/>
      <c r="I2674" s="9"/>
      <c r="J2674" s="7"/>
      <c r="K2674" s="7"/>
      <c r="L2674" s="7"/>
      <c r="M2674" s="7"/>
      <c r="N2674" s="7"/>
      <c r="O2674" s="7"/>
      <c r="P2674" s="7"/>
      <c r="Q2674" s="7"/>
      <c r="R2674" s="14">
        <v>550</v>
      </c>
      <c r="S2674" s="7"/>
      <c r="T2674" s="7"/>
      <c r="U2674" s="14">
        <v>550</v>
      </c>
      <c r="V2674" s="7"/>
      <c r="W2674" s="7"/>
      <c r="X2674" s="7"/>
      <c r="Y2674" s="7"/>
      <c r="Z2674" s="12"/>
      <c r="AA2674" s="14">
        <v>550</v>
      </c>
    </row>
    <row r="2675" spans="1:27" outlineLevel="7">
      <c r="A2675" s="3499" t="s">
        <v>2415</v>
      </c>
      <c r="B2675" s="3499"/>
      <c r="C2675" s="12"/>
      <c r="D2675" s="12"/>
      <c r="E2675" s="12"/>
      <c r="F2675" s="7"/>
      <c r="G2675" s="7"/>
      <c r="H2675" s="8"/>
      <c r="I2675" s="9"/>
      <c r="J2675" s="7"/>
      <c r="K2675" s="7"/>
      <c r="L2675" s="7"/>
      <c r="M2675" s="7"/>
      <c r="N2675" s="7"/>
      <c r="O2675" s="7"/>
      <c r="P2675" s="7"/>
      <c r="Q2675" s="7"/>
      <c r="R2675" s="14">
        <v>550</v>
      </c>
      <c r="S2675" s="7"/>
      <c r="T2675" s="7"/>
      <c r="U2675" s="14">
        <v>550</v>
      </c>
      <c r="V2675" s="7"/>
      <c r="W2675" s="7"/>
      <c r="X2675" s="7"/>
      <c r="Y2675" s="7"/>
      <c r="Z2675" s="12"/>
      <c r="AA2675" s="14">
        <v>550</v>
      </c>
    </row>
    <row r="2676" spans="1:27" outlineLevel="6">
      <c r="A2676" s="3501" t="s">
        <v>1224</v>
      </c>
      <c r="B2676" s="3501"/>
      <c r="C2676" s="12"/>
      <c r="D2676" s="12"/>
      <c r="E2676" s="12"/>
      <c r="F2676" s="7"/>
      <c r="G2676" s="7"/>
      <c r="H2676" s="8"/>
      <c r="I2676" s="9"/>
      <c r="J2676" s="7"/>
      <c r="K2676" s="7"/>
      <c r="L2676" s="7"/>
      <c r="M2676" s="7"/>
      <c r="N2676" s="7"/>
      <c r="O2676" s="7"/>
      <c r="P2676" s="7"/>
      <c r="Q2676" s="7"/>
      <c r="R2676" s="14">
        <v>550</v>
      </c>
      <c r="S2676" s="7"/>
      <c r="T2676" s="7"/>
      <c r="U2676" s="14">
        <v>550</v>
      </c>
      <c r="V2676" s="7"/>
      <c r="W2676" s="7"/>
      <c r="X2676" s="7"/>
      <c r="Y2676" s="7"/>
      <c r="Z2676" s="12"/>
      <c r="AA2676" s="14">
        <v>550</v>
      </c>
    </row>
    <row r="2677" spans="1:27" outlineLevel="7">
      <c r="A2677" s="3500" t="s">
        <v>1225</v>
      </c>
      <c r="B2677" s="3500"/>
      <c r="C2677" s="12"/>
      <c r="D2677" s="12"/>
      <c r="E2677" s="12"/>
      <c r="F2677" s="7"/>
      <c r="G2677" s="7"/>
      <c r="H2677" s="8"/>
      <c r="I2677" s="9"/>
      <c r="J2677" s="7"/>
      <c r="K2677" s="7"/>
      <c r="L2677" s="7"/>
      <c r="M2677" s="7"/>
      <c r="N2677" s="7"/>
      <c r="O2677" s="7"/>
      <c r="P2677" s="7"/>
      <c r="Q2677" s="7"/>
      <c r="R2677" s="14">
        <v>550</v>
      </c>
      <c r="S2677" s="7"/>
      <c r="T2677" s="7"/>
      <c r="U2677" s="14">
        <v>550</v>
      </c>
      <c r="V2677" s="7"/>
      <c r="W2677" s="7"/>
      <c r="X2677" s="7"/>
      <c r="Y2677" s="7"/>
      <c r="Z2677" s="12"/>
      <c r="AA2677" s="14">
        <v>550</v>
      </c>
    </row>
    <row r="2678" spans="1:27" outlineLevel="7">
      <c r="A2678" s="3499" t="s">
        <v>2416</v>
      </c>
      <c r="B2678" s="3499"/>
      <c r="C2678" s="12"/>
      <c r="D2678" s="12"/>
      <c r="E2678" s="12"/>
      <c r="F2678" s="7"/>
      <c r="G2678" s="7"/>
      <c r="H2678" s="8"/>
      <c r="I2678" s="9"/>
      <c r="J2678" s="7"/>
      <c r="K2678" s="7"/>
      <c r="L2678" s="7"/>
      <c r="M2678" s="7"/>
      <c r="N2678" s="7"/>
      <c r="O2678" s="7"/>
      <c r="P2678" s="7"/>
      <c r="Q2678" s="7"/>
      <c r="R2678" s="14">
        <v>550</v>
      </c>
      <c r="S2678" s="7"/>
      <c r="T2678" s="7"/>
      <c r="U2678" s="14">
        <v>550</v>
      </c>
      <c r="V2678" s="7"/>
      <c r="W2678" s="7"/>
      <c r="X2678" s="7"/>
      <c r="Y2678" s="7"/>
      <c r="Z2678" s="12"/>
      <c r="AA2678" s="14">
        <v>550</v>
      </c>
    </row>
    <row r="2679" spans="1:27" outlineLevel="6">
      <c r="A2679" s="3501" t="s">
        <v>1226</v>
      </c>
      <c r="B2679" s="3501"/>
      <c r="C2679" s="12"/>
      <c r="D2679" s="12"/>
      <c r="E2679" s="12"/>
      <c r="F2679" s="7"/>
      <c r="G2679" s="7"/>
      <c r="H2679" s="8"/>
      <c r="I2679" s="9"/>
      <c r="J2679" s="7"/>
      <c r="K2679" s="7"/>
      <c r="L2679" s="7"/>
      <c r="M2679" s="7"/>
      <c r="N2679" s="7"/>
      <c r="O2679" s="7"/>
      <c r="P2679" s="7"/>
      <c r="Q2679" s="7"/>
      <c r="R2679" s="14">
        <v>550</v>
      </c>
      <c r="S2679" s="7"/>
      <c r="T2679" s="7"/>
      <c r="U2679" s="14">
        <v>550</v>
      </c>
      <c r="V2679" s="7"/>
      <c r="W2679" s="7"/>
      <c r="X2679" s="7"/>
      <c r="Y2679" s="7"/>
      <c r="Z2679" s="12"/>
      <c r="AA2679" s="14">
        <v>550</v>
      </c>
    </row>
    <row r="2680" spans="1:27" outlineLevel="7">
      <c r="A2680" s="3500" t="s">
        <v>1227</v>
      </c>
      <c r="B2680" s="3500"/>
      <c r="C2680" s="12"/>
      <c r="D2680" s="12"/>
      <c r="E2680" s="12"/>
      <c r="F2680" s="7"/>
      <c r="G2680" s="7"/>
      <c r="H2680" s="8"/>
      <c r="I2680" s="9"/>
      <c r="J2680" s="7"/>
      <c r="K2680" s="7"/>
      <c r="L2680" s="7"/>
      <c r="M2680" s="7"/>
      <c r="N2680" s="7"/>
      <c r="O2680" s="7"/>
      <c r="P2680" s="7"/>
      <c r="Q2680" s="7"/>
      <c r="R2680" s="14">
        <v>550</v>
      </c>
      <c r="S2680" s="7"/>
      <c r="T2680" s="7"/>
      <c r="U2680" s="14">
        <v>550</v>
      </c>
      <c r="V2680" s="7"/>
      <c r="W2680" s="7"/>
      <c r="X2680" s="7"/>
      <c r="Y2680" s="7"/>
      <c r="Z2680" s="12"/>
      <c r="AA2680" s="14">
        <v>550</v>
      </c>
    </row>
    <row r="2681" spans="1:27" outlineLevel="7">
      <c r="A2681" s="3499" t="s">
        <v>2417</v>
      </c>
      <c r="B2681" s="3499"/>
      <c r="C2681" s="12"/>
      <c r="D2681" s="12"/>
      <c r="E2681" s="12"/>
      <c r="F2681" s="7"/>
      <c r="G2681" s="7"/>
      <c r="H2681" s="8"/>
      <c r="I2681" s="9"/>
      <c r="J2681" s="7"/>
      <c r="K2681" s="7"/>
      <c r="L2681" s="7"/>
      <c r="M2681" s="7"/>
      <c r="N2681" s="7"/>
      <c r="O2681" s="7"/>
      <c r="P2681" s="7"/>
      <c r="Q2681" s="7"/>
      <c r="R2681" s="14">
        <v>550</v>
      </c>
      <c r="S2681" s="7"/>
      <c r="T2681" s="7"/>
      <c r="U2681" s="14">
        <v>550</v>
      </c>
      <c r="V2681" s="7"/>
      <c r="W2681" s="7"/>
      <c r="X2681" s="7"/>
      <c r="Y2681" s="7"/>
      <c r="Z2681" s="12"/>
      <c r="AA2681" s="14">
        <v>550</v>
      </c>
    </row>
    <row r="2682" spans="1:27" outlineLevel="6">
      <c r="A2682" s="3501" t="s">
        <v>1228</v>
      </c>
      <c r="B2682" s="3501"/>
      <c r="C2682" s="12"/>
      <c r="D2682" s="12"/>
      <c r="E2682" s="12"/>
      <c r="F2682" s="7"/>
      <c r="G2682" s="7"/>
      <c r="H2682" s="8"/>
      <c r="I2682" s="9"/>
      <c r="J2682" s="7"/>
      <c r="K2682" s="7"/>
      <c r="L2682" s="7"/>
      <c r="M2682" s="7"/>
      <c r="N2682" s="7"/>
      <c r="O2682" s="7"/>
      <c r="P2682" s="7"/>
      <c r="Q2682" s="7"/>
      <c r="R2682" s="14">
        <v>550</v>
      </c>
      <c r="S2682" s="7"/>
      <c r="T2682" s="7"/>
      <c r="U2682" s="14">
        <v>550</v>
      </c>
      <c r="V2682" s="7"/>
      <c r="W2682" s="7"/>
      <c r="X2682" s="7"/>
      <c r="Y2682" s="7"/>
      <c r="Z2682" s="12"/>
      <c r="AA2682" s="14">
        <v>550</v>
      </c>
    </row>
    <row r="2683" spans="1:27" outlineLevel="7">
      <c r="A2683" s="3500" t="s">
        <v>1229</v>
      </c>
      <c r="B2683" s="3500"/>
      <c r="C2683" s="12"/>
      <c r="D2683" s="12"/>
      <c r="E2683" s="12"/>
      <c r="F2683" s="7"/>
      <c r="G2683" s="7"/>
      <c r="H2683" s="8"/>
      <c r="I2683" s="9"/>
      <c r="J2683" s="7"/>
      <c r="K2683" s="7"/>
      <c r="L2683" s="7"/>
      <c r="M2683" s="7"/>
      <c r="N2683" s="7"/>
      <c r="O2683" s="7"/>
      <c r="P2683" s="7"/>
      <c r="Q2683" s="7"/>
      <c r="R2683" s="14">
        <v>550</v>
      </c>
      <c r="S2683" s="7"/>
      <c r="T2683" s="7"/>
      <c r="U2683" s="14">
        <v>550</v>
      </c>
      <c r="V2683" s="7"/>
      <c r="W2683" s="7"/>
      <c r="X2683" s="7"/>
      <c r="Y2683" s="7"/>
      <c r="Z2683" s="12"/>
      <c r="AA2683" s="14">
        <v>550</v>
      </c>
    </row>
    <row r="2684" spans="1:27" outlineLevel="7">
      <c r="A2684" s="3499" t="s">
        <v>2418</v>
      </c>
      <c r="B2684" s="3499"/>
      <c r="C2684" s="12"/>
      <c r="D2684" s="12"/>
      <c r="E2684" s="12"/>
      <c r="F2684" s="7"/>
      <c r="G2684" s="7"/>
      <c r="H2684" s="8"/>
      <c r="I2684" s="9"/>
      <c r="J2684" s="7"/>
      <c r="K2684" s="7"/>
      <c r="L2684" s="7"/>
      <c r="M2684" s="7"/>
      <c r="N2684" s="7"/>
      <c r="O2684" s="7"/>
      <c r="P2684" s="7"/>
      <c r="Q2684" s="7"/>
      <c r="R2684" s="14">
        <v>550</v>
      </c>
      <c r="S2684" s="7"/>
      <c r="T2684" s="7"/>
      <c r="U2684" s="14">
        <v>550</v>
      </c>
      <c r="V2684" s="7"/>
      <c r="W2684" s="7"/>
      <c r="X2684" s="7"/>
      <c r="Y2684" s="7"/>
      <c r="Z2684" s="12"/>
      <c r="AA2684" s="14">
        <v>550</v>
      </c>
    </row>
    <row r="2685" spans="1:27" outlineLevel="6">
      <c r="A2685" s="3501" t="s">
        <v>1230</v>
      </c>
      <c r="B2685" s="3501"/>
      <c r="C2685" s="12"/>
      <c r="D2685" s="12"/>
      <c r="E2685" s="12"/>
      <c r="F2685" s="7"/>
      <c r="G2685" s="7"/>
      <c r="H2685" s="8"/>
      <c r="I2685" s="9"/>
      <c r="J2685" s="7"/>
      <c r="K2685" s="7"/>
      <c r="L2685" s="7"/>
      <c r="M2685" s="7"/>
      <c r="N2685" s="7"/>
      <c r="O2685" s="7"/>
      <c r="P2685" s="7"/>
      <c r="Q2685" s="7"/>
      <c r="R2685" s="14">
        <v>550</v>
      </c>
      <c r="S2685" s="7"/>
      <c r="T2685" s="7"/>
      <c r="U2685" s="14">
        <v>550</v>
      </c>
      <c r="V2685" s="7"/>
      <c r="W2685" s="7"/>
      <c r="X2685" s="7"/>
      <c r="Y2685" s="7"/>
      <c r="Z2685" s="12"/>
      <c r="AA2685" s="14">
        <v>550</v>
      </c>
    </row>
    <row r="2686" spans="1:27" outlineLevel="7">
      <c r="A2686" s="3500" t="s">
        <v>1231</v>
      </c>
      <c r="B2686" s="3500"/>
      <c r="C2686" s="12"/>
      <c r="D2686" s="12"/>
      <c r="E2686" s="12"/>
      <c r="F2686" s="7"/>
      <c r="G2686" s="7"/>
      <c r="H2686" s="8"/>
      <c r="I2686" s="9"/>
      <c r="J2686" s="7"/>
      <c r="K2686" s="7"/>
      <c r="L2686" s="7"/>
      <c r="M2686" s="7"/>
      <c r="N2686" s="7"/>
      <c r="O2686" s="7"/>
      <c r="P2686" s="7"/>
      <c r="Q2686" s="7"/>
      <c r="R2686" s="14">
        <v>550</v>
      </c>
      <c r="S2686" s="7"/>
      <c r="T2686" s="7"/>
      <c r="U2686" s="14">
        <v>550</v>
      </c>
      <c r="V2686" s="7"/>
      <c r="W2686" s="7"/>
      <c r="X2686" s="7"/>
      <c r="Y2686" s="7"/>
      <c r="Z2686" s="12"/>
      <c r="AA2686" s="14">
        <v>550</v>
      </c>
    </row>
    <row r="2687" spans="1:27" outlineLevel="7">
      <c r="A2687" s="3499" t="s">
        <v>2419</v>
      </c>
      <c r="B2687" s="3499"/>
      <c r="C2687" s="12"/>
      <c r="D2687" s="12"/>
      <c r="E2687" s="12"/>
      <c r="F2687" s="7"/>
      <c r="G2687" s="7"/>
      <c r="H2687" s="8"/>
      <c r="I2687" s="9"/>
      <c r="J2687" s="7"/>
      <c r="K2687" s="7"/>
      <c r="L2687" s="7"/>
      <c r="M2687" s="7"/>
      <c r="N2687" s="7"/>
      <c r="O2687" s="7"/>
      <c r="P2687" s="7"/>
      <c r="Q2687" s="7"/>
      <c r="R2687" s="14">
        <v>550</v>
      </c>
      <c r="S2687" s="7"/>
      <c r="T2687" s="7"/>
      <c r="U2687" s="14">
        <v>550</v>
      </c>
      <c r="V2687" s="7"/>
      <c r="W2687" s="7"/>
      <c r="X2687" s="7"/>
      <c r="Y2687" s="7"/>
      <c r="Z2687" s="12"/>
      <c r="AA2687" s="14">
        <v>550</v>
      </c>
    </row>
    <row r="2688" spans="1:27" outlineLevel="6">
      <c r="A2688" s="3501" t="s">
        <v>643</v>
      </c>
      <c r="B2688" s="3501"/>
      <c r="C2688" s="7"/>
      <c r="D2688" s="7"/>
      <c r="E2688" s="14">
        <v>550</v>
      </c>
      <c r="F2688" s="7"/>
      <c r="G2688" s="14">
        <v>550</v>
      </c>
      <c r="H2688" s="3523">
        <v>550</v>
      </c>
      <c r="I2688" s="3523"/>
      <c r="J2688" s="7"/>
      <c r="K2688" s="7"/>
      <c r="L2688" s="7"/>
      <c r="M2688" s="7"/>
      <c r="N2688" s="7"/>
      <c r="O2688" s="7"/>
      <c r="P2688" s="7"/>
      <c r="Q2688" s="7"/>
      <c r="R2688" s="14">
        <v>550</v>
      </c>
      <c r="S2688" s="7"/>
      <c r="T2688" s="7"/>
      <c r="U2688" s="14">
        <v>550</v>
      </c>
      <c r="V2688" s="7"/>
      <c r="W2688" s="7"/>
      <c r="X2688" s="7"/>
      <c r="Y2688" s="7"/>
      <c r="Z2688" s="7"/>
      <c r="AA2688" s="7"/>
    </row>
    <row r="2689" spans="1:27" outlineLevel="7">
      <c r="A2689" s="3500" t="s">
        <v>644</v>
      </c>
      <c r="B2689" s="3500"/>
      <c r="C2689" s="7"/>
      <c r="D2689" s="7"/>
      <c r="E2689" s="14">
        <v>550</v>
      </c>
      <c r="F2689" s="7"/>
      <c r="G2689" s="14">
        <v>550</v>
      </c>
      <c r="H2689" s="3523">
        <v>550</v>
      </c>
      <c r="I2689" s="3523"/>
      <c r="J2689" s="7"/>
      <c r="K2689" s="7"/>
      <c r="L2689" s="7"/>
      <c r="M2689" s="7"/>
      <c r="N2689" s="7"/>
      <c r="O2689" s="7"/>
      <c r="P2689" s="7"/>
      <c r="Q2689" s="7"/>
      <c r="R2689" s="14">
        <v>550</v>
      </c>
      <c r="S2689" s="7"/>
      <c r="T2689" s="7"/>
      <c r="U2689" s="14">
        <v>550</v>
      </c>
      <c r="V2689" s="7"/>
      <c r="W2689" s="7"/>
      <c r="X2689" s="7"/>
      <c r="Y2689" s="7"/>
      <c r="Z2689" s="7"/>
      <c r="AA2689" s="7"/>
    </row>
    <row r="2690" spans="1:27" outlineLevel="7">
      <c r="A2690" s="3499" t="s">
        <v>2420</v>
      </c>
      <c r="B2690" s="3499"/>
      <c r="C2690" s="7"/>
      <c r="D2690" s="7"/>
      <c r="E2690" s="14">
        <v>550</v>
      </c>
      <c r="F2690" s="7"/>
      <c r="G2690" s="14">
        <v>550</v>
      </c>
      <c r="H2690" s="3523">
        <v>550</v>
      </c>
      <c r="I2690" s="3523"/>
      <c r="J2690" s="7"/>
      <c r="K2690" s="7"/>
      <c r="L2690" s="7"/>
      <c r="M2690" s="7"/>
      <c r="N2690" s="7"/>
      <c r="O2690" s="7"/>
      <c r="P2690" s="7"/>
      <c r="Q2690" s="7"/>
      <c r="R2690" s="14">
        <v>550</v>
      </c>
      <c r="S2690" s="7"/>
      <c r="T2690" s="7"/>
      <c r="U2690" s="14">
        <v>550</v>
      </c>
      <c r="V2690" s="7"/>
      <c r="W2690" s="7"/>
      <c r="X2690" s="7"/>
      <c r="Y2690" s="7"/>
      <c r="Z2690" s="7"/>
      <c r="AA2690" s="7"/>
    </row>
    <row r="2691" spans="1:27" outlineLevel="6">
      <c r="A2691" s="3501" t="s">
        <v>645</v>
      </c>
      <c r="B2691" s="3501"/>
      <c r="C2691" s="7"/>
      <c r="D2691" s="7"/>
      <c r="E2691" s="14">
        <v>550</v>
      </c>
      <c r="F2691" s="7"/>
      <c r="G2691" s="14">
        <v>550</v>
      </c>
      <c r="H2691" s="3523">
        <v>550</v>
      </c>
      <c r="I2691" s="3523"/>
      <c r="J2691" s="7"/>
      <c r="K2691" s="7"/>
      <c r="L2691" s="7"/>
      <c r="M2691" s="7"/>
      <c r="N2691" s="7"/>
      <c r="O2691" s="7"/>
      <c r="P2691" s="7"/>
      <c r="Q2691" s="7"/>
      <c r="R2691" s="14">
        <v>550</v>
      </c>
      <c r="S2691" s="7"/>
      <c r="T2691" s="7"/>
      <c r="U2691" s="14">
        <v>550</v>
      </c>
      <c r="V2691" s="7"/>
      <c r="W2691" s="7"/>
      <c r="X2691" s="7"/>
      <c r="Y2691" s="7"/>
      <c r="Z2691" s="7"/>
      <c r="AA2691" s="7"/>
    </row>
    <row r="2692" spans="1:27" outlineLevel="7">
      <c r="A2692" s="3500" t="s">
        <v>646</v>
      </c>
      <c r="B2692" s="3500"/>
      <c r="C2692" s="7"/>
      <c r="D2692" s="7"/>
      <c r="E2692" s="14">
        <v>550</v>
      </c>
      <c r="F2692" s="7"/>
      <c r="G2692" s="14">
        <v>550</v>
      </c>
      <c r="H2692" s="3523">
        <v>550</v>
      </c>
      <c r="I2692" s="3523"/>
      <c r="J2692" s="7"/>
      <c r="K2692" s="7"/>
      <c r="L2692" s="7"/>
      <c r="M2692" s="7"/>
      <c r="N2692" s="7"/>
      <c r="O2692" s="7"/>
      <c r="P2692" s="7"/>
      <c r="Q2692" s="7"/>
      <c r="R2692" s="14">
        <v>550</v>
      </c>
      <c r="S2692" s="7"/>
      <c r="T2692" s="7"/>
      <c r="U2692" s="14">
        <v>550</v>
      </c>
      <c r="V2692" s="7"/>
      <c r="W2692" s="7"/>
      <c r="X2692" s="7"/>
      <c r="Y2692" s="7"/>
      <c r="Z2692" s="7"/>
      <c r="AA2692" s="7"/>
    </row>
    <row r="2693" spans="1:27" outlineLevel="7">
      <c r="A2693" s="3499" t="s">
        <v>2421</v>
      </c>
      <c r="B2693" s="3499"/>
      <c r="C2693" s="7"/>
      <c r="D2693" s="7"/>
      <c r="E2693" s="14">
        <v>550</v>
      </c>
      <c r="F2693" s="7"/>
      <c r="G2693" s="14">
        <v>550</v>
      </c>
      <c r="H2693" s="3523">
        <v>550</v>
      </c>
      <c r="I2693" s="3523"/>
      <c r="J2693" s="7"/>
      <c r="K2693" s="7"/>
      <c r="L2693" s="7"/>
      <c r="M2693" s="7"/>
      <c r="N2693" s="7"/>
      <c r="O2693" s="7"/>
      <c r="P2693" s="7"/>
      <c r="Q2693" s="7"/>
      <c r="R2693" s="14">
        <v>550</v>
      </c>
      <c r="S2693" s="7"/>
      <c r="T2693" s="7"/>
      <c r="U2693" s="14">
        <v>550</v>
      </c>
      <c r="V2693" s="7"/>
      <c r="W2693" s="7"/>
      <c r="X2693" s="7"/>
      <c r="Y2693" s="7"/>
      <c r="Z2693" s="7"/>
      <c r="AA2693" s="7"/>
    </row>
    <row r="2694" spans="1:27" outlineLevel="6">
      <c r="A2694" s="3501" t="s">
        <v>647</v>
      </c>
      <c r="B2694" s="3501"/>
      <c r="C2694" s="7"/>
      <c r="D2694" s="7"/>
      <c r="E2694" s="14">
        <v>550</v>
      </c>
      <c r="F2694" s="7"/>
      <c r="G2694" s="14">
        <v>550</v>
      </c>
      <c r="H2694" s="3523">
        <v>550</v>
      </c>
      <c r="I2694" s="3523"/>
      <c r="J2694" s="7"/>
      <c r="K2694" s="7"/>
      <c r="L2694" s="7"/>
      <c r="M2694" s="7"/>
      <c r="N2694" s="7"/>
      <c r="O2694" s="7"/>
      <c r="P2694" s="7"/>
      <c r="Q2694" s="7"/>
      <c r="R2694" s="14">
        <v>550</v>
      </c>
      <c r="S2694" s="7"/>
      <c r="T2694" s="7"/>
      <c r="U2694" s="14">
        <v>550</v>
      </c>
      <c r="V2694" s="7"/>
      <c r="W2694" s="7"/>
      <c r="X2694" s="7"/>
      <c r="Y2694" s="7"/>
      <c r="Z2694" s="7"/>
      <c r="AA2694" s="7"/>
    </row>
    <row r="2695" spans="1:27" outlineLevel="7">
      <c r="A2695" s="3500" t="s">
        <v>648</v>
      </c>
      <c r="B2695" s="3500"/>
      <c r="C2695" s="7"/>
      <c r="D2695" s="7"/>
      <c r="E2695" s="14">
        <v>550</v>
      </c>
      <c r="F2695" s="7"/>
      <c r="G2695" s="14">
        <v>550</v>
      </c>
      <c r="H2695" s="3523">
        <v>550</v>
      </c>
      <c r="I2695" s="3523"/>
      <c r="J2695" s="7"/>
      <c r="K2695" s="7"/>
      <c r="L2695" s="7"/>
      <c r="M2695" s="7"/>
      <c r="N2695" s="7"/>
      <c r="O2695" s="7"/>
      <c r="P2695" s="7"/>
      <c r="Q2695" s="7"/>
      <c r="R2695" s="14">
        <v>550</v>
      </c>
      <c r="S2695" s="7"/>
      <c r="T2695" s="7"/>
      <c r="U2695" s="14">
        <v>550</v>
      </c>
      <c r="V2695" s="7"/>
      <c r="W2695" s="7"/>
      <c r="X2695" s="7"/>
      <c r="Y2695" s="7"/>
      <c r="Z2695" s="7"/>
      <c r="AA2695" s="7"/>
    </row>
    <row r="2696" spans="1:27" outlineLevel="7">
      <c r="A2696" s="3499" t="s">
        <v>2422</v>
      </c>
      <c r="B2696" s="3499"/>
      <c r="C2696" s="7"/>
      <c r="D2696" s="7"/>
      <c r="E2696" s="14">
        <v>550</v>
      </c>
      <c r="F2696" s="7"/>
      <c r="G2696" s="14">
        <v>550</v>
      </c>
      <c r="H2696" s="3523">
        <v>550</v>
      </c>
      <c r="I2696" s="3523"/>
      <c r="J2696" s="7"/>
      <c r="K2696" s="7"/>
      <c r="L2696" s="7"/>
      <c r="M2696" s="7"/>
      <c r="N2696" s="7"/>
      <c r="O2696" s="7"/>
      <c r="P2696" s="7"/>
      <c r="Q2696" s="7"/>
      <c r="R2696" s="14">
        <v>550</v>
      </c>
      <c r="S2696" s="7"/>
      <c r="T2696" s="7"/>
      <c r="U2696" s="14">
        <v>550</v>
      </c>
      <c r="V2696" s="7"/>
      <c r="W2696" s="7"/>
      <c r="X2696" s="7"/>
      <c r="Y2696" s="7"/>
      <c r="Z2696" s="7"/>
      <c r="AA2696" s="7"/>
    </row>
    <row r="2697" spans="1:27" outlineLevel="5">
      <c r="A2697" s="3504" t="s">
        <v>649</v>
      </c>
      <c r="B2697" s="3504"/>
      <c r="C2697" s="53"/>
      <c r="D2697" s="49">
        <v>2373157.5</v>
      </c>
      <c r="E2697" s="49">
        <v>271992.48</v>
      </c>
      <c r="F2697" s="48"/>
      <c r="G2697" s="49">
        <v>271992.48</v>
      </c>
      <c r="H2697" s="3522">
        <v>270643.42</v>
      </c>
      <c r="I2697" s="3522"/>
      <c r="J2697" s="49">
        <v>1349.06</v>
      </c>
      <c r="K2697" s="48"/>
      <c r="L2697" s="48"/>
      <c r="M2697" s="48"/>
      <c r="N2697" s="48"/>
      <c r="O2697" s="48"/>
      <c r="P2697" s="48"/>
      <c r="Q2697" s="48"/>
      <c r="R2697" s="49">
        <v>358821.11</v>
      </c>
      <c r="S2697" s="48"/>
      <c r="T2697" s="48"/>
      <c r="U2697" s="49">
        <v>357472.05</v>
      </c>
      <c r="V2697" s="49">
        <v>1349.06</v>
      </c>
      <c r="W2697" s="49">
        <v>1349.06</v>
      </c>
      <c r="X2697" s="48"/>
      <c r="Y2697" s="48"/>
      <c r="Z2697" s="53"/>
      <c r="AA2697" s="49">
        <v>2459986.13</v>
      </c>
    </row>
    <row r="2698" spans="1:27" outlineLevel="6">
      <c r="A2698" s="3501" t="s">
        <v>650</v>
      </c>
      <c r="B2698" s="3501"/>
      <c r="C2698" s="7"/>
      <c r="D2698" s="7"/>
      <c r="E2698" s="13">
        <v>1100</v>
      </c>
      <c r="F2698" s="7"/>
      <c r="G2698" s="13">
        <v>1100</v>
      </c>
      <c r="H2698" s="3524">
        <v>1100</v>
      </c>
      <c r="I2698" s="3524"/>
      <c r="J2698" s="7"/>
      <c r="K2698" s="7"/>
      <c r="L2698" s="7"/>
      <c r="M2698" s="7"/>
      <c r="N2698" s="7"/>
      <c r="O2698" s="7"/>
      <c r="P2698" s="7"/>
      <c r="Q2698" s="7"/>
      <c r="R2698" s="13">
        <v>1100</v>
      </c>
      <c r="S2698" s="7"/>
      <c r="T2698" s="7"/>
      <c r="U2698" s="13">
        <v>1100</v>
      </c>
      <c r="V2698" s="7"/>
      <c r="W2698" s="7"/>
      <c r="X2698" s="7"/>
      <c r="Y2698" s="7"/>
      <c r="Z2698" s="7"/>
      <c r="AA2698" s="7"/>
    </row>
    <row r="2699" spans="1:27" outlineLevel="7">
      <c r="A2699" s="3500" t="s">
        <v>651</v>
      </c>
      <c r="B2699" s="3500"/>
      <c r="C2699" s="7"/>
      <c r="D2699" s="7"/>
      <c r="E2699" s="14">
        <v>550</v>
      </c>
      <c r="F2699" s="7"/>
      <c r="G2699" s="14">
        <v>550</v>
      </c>
      <c r="H2699" s="3523">
        <v>550</v>
      </c>
      <c r="I2699" s="3523"/>
      <c r="J2699" s="7"/>
      <c r="K2699" s="7"/>
      <c r="L2699" s="7"/>
      <c r="M2699" s="7"/>
      <c r="N2699" s="7"/>
      <c r="O2699" s="7"/>
      <c r="P2699" s="7"/>
      <c r="Q2699" s="7"/>
      <c r="R2699" s="14">
        <v>550</v>
      </c>
      <c r="S2699" s="7"/>
      <c r="T2699" s="7"/>
      <c r="U2699" s="14">
        <v>550</v>
      </c>
      <c r="V2699" s="7"/>
      <c r="W2699" s="7"/>
      <c r="X2699" s="7"/>
      <c r="Y2699" s="7"/>
      <c r="Z2699" s="7"/>
      <c r="AA2699" s="7"/>
    </row>
    <row r="2700" spans="1:27" outlineLevel="7">
      <c r="A2700" s="3499" t="s">
        <v>2423</v>
      </c>
      <c r="B2700" s="3499"/>
      <c r="C2700" s="7"/>
      <c r="D2700" s="7"/>
      <c r="E2700" s="14">
        <v>550</v>
      </c>
      <c r="F2700" s="7"/>
      <c r="G2700" s="14">
        <v>550</v>
      </c>
      <c r="H2700" s="3523">
        <v>550</v>
      </c>
      <c r="I2700" s="3523"/>
      <c r="J2700" s="7"/>
      <c r="K2700" s="7"/>
      <c r="L2700" s="7"/>
      <c r="M2700" s="7"/>
      <c r="N2700" s="7"/>
      <c r="O2700" s="7"/>
      <c r="P2700" s="7"/>
      <c r="Q2700" s="7"/>
      <c r="R2700" s="14">
        <v>550</v>
      </c>
      <c r="S2700" s="7"/>
      <c r="T2700" s="7"/>
      <c r="U2700" s="14">
        <v>550</v>
      </c>
      <c r="V2700" s="7"/>
      <c r="W2700" s="7"/>
      <c r="X2700" s="7"/>
      <c r="Y2700" s="7"/>
      <c r="Z2700" s="7"/>
      <c r="AA2700" s="7"/>
    </row>
    <row r="2701" spans="1:27" outlineLevel="7">
      <c r="A2701" s="3500" t="s">
        <v>652</v>
      </c>
      <c r="B2701" s="3500"/>
      <c r="C2701" s="7"/>
      <c r="D2701" s="7"/>
      <c r="E2701" s="14">
        <v>550</v>
      </c>
      <c r="F2701" s="7"/>
      <c r="G2701" s="14">
        <v>550</v>
      </c>
      <c r="H2701" s="3523">
        <v>550</v>
      </c>
      <c r="I2701" s="3523"/>
      <c r="J2701" s="7"/>
      <c r="K2701" s="7"/>
      <c r="L2701" s="7"/>
      <c r="M2701" s="7"/>
      <c r="N2701" s="7"/>
      <c r="O2701" s="7"/>
      <c r="P2701" s="7"/>
      <c r="Q2701" s="7"/>
      <c r="R2701" s="14">
        <v>550</v>
      </c>
      <c r="S2701" s="7"/>
      <c r="T2701" s="7"/>
      <c r="U2701" s="14">
        <v>550</v>
      </c>
      <c r="V2701" s="7"/>
      <c r="W2701" s="7"/>
      <c r="X2701" s="7"/>
      <c r="Y2701" s="7"/>
      <c r="Z2701" s="7"/>
      <c r="AA2701" s="7"/>
    </row>
    <row r="2702" spans="1:27" outlineLevel="7">
      <c r="A2702" s="3499" t="s">
        <v>2424</v>
      </c>
      <c r="B2702" s="3499"/>
      <c r="C2702" s="7"/>
      <c r="D2702" s="7"/>
      <c r="E2702" s="14">
        <v>550</v>
      </c>
      <c r="F2702" s="7"/>
      <c r="G2702" s="14">
        <v>550</v>
      </c>
      <c r="H2702" s="3523">
        <v>550</v>
      </c>
      <c r="I2702" s="3523"/>
      <c r="J2702" s="7"/>
      <c r="K2702" s="7"/>
      <c r="L2702" s="7"/>
      <c r="M2702" s="7"/>
      <c r="N2702" s="7"/>
      <c r="O2702" s="7"/>
      <c r="P2702" s="7"/>
      <c r="Q2702" s="7"/>
      <c r="R2702" s="14">
        <v>550</v>
      </c>
      <c r="S2702" s="7"/>
      <c r="T2702" s="7"/>
      <c r="U2702" s="14">
        <v>550</v>
      </c>
      <c r="V2702" s="7"/>
      <c r="W2702" s="7"/>
      <c r="X2702" s="7"/>
      <c r="Y2702" s="7"/>
      <c r="Z2702" s="7"/>
      <c r="AA2702" s="7"/>
    </row>
    <row r="2703" spans="1:27" outlineLevel="6">
      <c r="A2703" s="3501" t="s">
        <v>653</v>
      </c>
      <c r="B2703" s="3501"/>
      <c r="C2703" s="12"/>
      <c r="D2703" s="12"/>
      <c r="E2703" s="14">
        <v>550</v>
      </c>
      <c r="F2703" s="7"/>
      <c r="G2703" s="14">
        <v>550</v>
      </c>
      <c r="H2703" s="3523">
        <v>550</v>
      </c>
      <c r="I2703" s="3523"/>
      <c r="J2703" s="7"/>
      <c r="K2703" s="7"/>
      <c r="L2703" s="7"/>
      <c r="M2703" s="7"/>
      <c r="N2703" s="7"/>
      <c r="O2703" s="7"/>
      <c r="P2703" s="7"/>
      <c r="Q2703" s="7"/>
      <c r="R2703" s="13">
        <v>2348.75</v>
      </c>
      <c r="S2703" s="7"/>
      <c r="T2703" s="7"/>
      <c r="U2703" s="13">
        <v>2348.75</v>
      </c>
      <c r="V2703" s="7"/>
      <c r="W2703" s="7"/>
      <c r="X2703" s="7"/>
      <c r="Y2703" s="7"/>
      <c r="Z2703" s="12"/>
      <c r="AA2703" s="13">
        <v>1798.75</v>
      </c>
    </row>
    <row r="2704" spans="1:27" outlineLevel="7">
      <c r="A2704" s="3500" t="s">
        <v>654</v>
      </c>
      <c r="B2704" s="3500"/>
      <c r="C2704" s="7"/>
      <c r="D2704" s="7"/>
      <c r="E2704" s="14">
        <v>550</v>
      </c>
      <c r="F2704" s="7"/>
      <c r="G2704" s="14">
        <v>550</v>
      </c>
      <c r="H2704" s="3523">
        <v>550</v>
      </c>
      <c r="I2704" s="3523"/>
      <c r="J2704" s="7"/>
      <c r="K2704" s="7"/>
      <c r="L2704" s="7"/>
      <c r="M2704" s="7"/>
      <c r="N2704" s="7"/>
      <c r="O2704" s="7"/>
      <c r="P2704" s="7"/>
      <c r="Q2704" s="7"/>
      <c r="R2704" s="14">
        <v>550</v>
      </c>
      <c r="S2704" s="7"/>
      <c r="T2704" s="7"/>
      <c r="U2704" s="14">
        <v>550</v>
      </c>
      <c r="V2704" s="7"/>
      <c r="W2704" s="7"/>
      <c r="X2704" s="7"/>
      <c r="Y2704" s="7"/>
      <c r="Z2704" s="7"/>
      <c r="AA2704" s="7"/>
    </row>
    <row r="2705" spans="1:27" outlineLevel="7">
      <c r="A2705" s="3499" t="s">
        <v>2425</v>
      </c>
      <c r="B2705" s="3499"/>
      <c r="C2705" s="7"/>
      <c r="D2705" s="7"/>
      <c r="E2705" s="14">
        <v>550</v>
      </c>
      <c r="F2705" s="7"/>
      <c r="G2705" s="14">
        <v>550</v>
      </c>
      <c r="H2705" s="3523">
        <v>550</v>
      </c>
      <c r="I2705" s="3523"/>
      <c r="J2705" s="7"/>
      <c r="K2705" s="7"/>
      <c r="L2705" s="7"/>
      <c r="M2705" s="7"/>
      <c r="N2705" s="7"/>
      <c r="O2705" s="7"/>
      <c r="P2705" s="7"/>
      <c r="Q2705" s="7"/>
      <c r="R2705" s="14">
        <v>550</v>
      </c>
      <c r="S2705" s="7"/>
      <c r="T2705" s="7"/>
      <c r="U2705" s="14">
        <v>550</v>
      </c>
      <c r="V2705" s="7"/>
      <c r="W2705" s="7"/>
      <c r="X2705" s="7"/>
      <c r="Y2705" s="7"/>
      <c r="Z2705" s="7"/>
      <c r="AA2705" s="7"/>
    </row>
    <row r="2706" spans="1:27" outlineLevel="7">
      <c r="A2706" s="3500" t="s">
        <v>1232</v>
      </c>
      <c r="B2706" s="3500"/>
      <c r="C2706" s="12"/>
      <c r="D2706" s="12"/>
      <c r="E2706" s="12"/>
      <c r="F2706" s="7"/>
      <c r="G2706" s="7"/>
      <c r="H2706" s="8"/>
      <c r="I2706" s="9"/>
      <c r="J2706" s="7"/>
      <c r="K2706" s="7"/>
      <c r="L2706" s="7"/>
      <c r="M2706" s="7"/>
      <c r="N2706" s="7"/>
      <c r="O2706" s="7"/>
      <c r="P2706" s="7"/>
      <c r="Q2706" s="7"/>
      <c r="R2706" s="13">
        <v>1798.75</v>
      </c>
      <c r="S2706" s="7"/>
      <c r="T2706" s="7"/>
      <c r="U2706" s="13">
        <v>1798.75</v>
      </c>
      <c r="V2706" s="7"/>
      <c r="W2706" s="7"/>
      <c r="X2706" s="7"/>
      <c r="Y2706" s="7"/>
      <c r="Z2706" s="12"/>
      <c r="AA2706" s="13">
        <v>1798.75</v>
      </c>
    </row>
    <row r="2707" spans="1:27" outlineLevel="7">
      <c r="A2707" s="3499" t="s">
        <v>2426</v>
      </c>
      <c r="B2707" s="3499"/>
      <c r="C2707" s="12"/>
      <c r="D2707" s="12"/>
      <c r="E2707" s="12"/>
      <c r="F2707" s="7"/>
      <c r="G2707" s="7"/>
      <c r="H2707" s="8"/>
      <c r="I2707" s="9"/>
      <c r="J2707" s="7"/>
      <c r="K2707" s="7"/>
      <c r="L2707" s="7"/>
      <c r="M2707" s="7"/>
      <c r="N2707" s="7"/>
      <c r="O2707" s="7"/>
      <c r="P2707" s="7"/>
      <c r="Q2707" s="7"/>
      <c r="R2707" s="14">
        <v>449.69</v>
      </c>
      <c r="S2707" s="7"/>
      <c r="T2707" s="7"/>
      <c r="U2707" s="14">
        <v>449.69</v>
      </c>
      <c r="V2707" s="7"/>
      <c r="W2707" s="7"/>
      <c r="X2707" s="7"/>
      <c r="Y2707" s="7"/>
      <c r="Z2707" s="12"/>
      <c r="AA2707" s="14">
        <v>449.69</v>
      </c>
    </row>
    <row r="2708" spans="1:27" outlineLevel="7">
      <c r="A2708" s="3499" t="s">
        <v>2427</v>
      </c>
      <c r="B2708" s="3499"/>
      <c r="C2708" s="12"/>
      <c r="D2708" s="12"/>
      <c r="E2708" s="12"/>
      <c r="F2708" s="7"/>
      <c r="G2708" s="7"/>
      <c r="H2708" s="8"/>
      <c r="I2708" s="9"/>
      <c r="J2708" s="7"/>
      <c r="K2708" s="7"/>
      <c r="L2708" s="7"/>
      <c r="M2708" s="7"/>
      <c r="N2708" s="7"/>
      <c r="O2708" s="7"/>
      <c r="P2708" s="7"/>
      <c r="Q2708" s="7"/>
      <c r="R2708" s="13">
        <v>1349.06</v>
      </c>
      <c r="S2708" s="7"/>
      <c r="T2708" s="7"/>
      <c r="U2708" s="13">
        <v>1349.06</v>
      </c>
      <c r="V2708" s="7"/>
      <c r="W2708" s="7"/>
      <c r="X2708" s="7"/>
      <c r="Y2708" s="7"/>
      <c r="Z2708" s="12"/>
      <c r="AA2708" s="13">
        <v>1349.06</v>
      </c>
    </row>
    <row r="2709" spans="1:27" outlineLevel="6">
      <c r="A2709" s="3501" t="s">
        <v>1233</v>
      </c>
      <c r="B2709" s="3501"/>
      <c r="C2709" s="12"/>
      <c r="D2709" s="13">
        <v>2356292.91</v>
      </c>
      <c r="E2709" s="7"/>
      <c r="F2709" s="7"/>
      <c r="G2709" s="7"/>
      <c r="H2709" s="8"/>
      <c r="I2709" s="9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12"/>
      <c r="AA2709" s="13">
        <v>2356292.91</v>
      </c>
    </row>
    <row r="2710" spans="1:27" outlineLevel="7">
      <c r="A2710" s="3500" t="s">
        <v>1234</v>
      </c>
      <c r="B2710" s="3500"/>
      <c r="C2710" s="12"/>
      <c r="D2710" s="13">
        <v>606621.28</v>
      </c>
      <c r="E2710" s="7"/>
      <c r="F2710" s="7"/>
      <c r="G2710" s="7"/>
      <c r="H2710" s="8"/>
      <c r="I2710" s="9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12"/>
      <c r="AA2710" s="13">
        <v>606621.28</v>
      </c>
    </row>
    <row r="2711" spans="1:27" outlineLevel="7">
      <c r="A2711" s="3499" t="s">
        <v>2428</v>
      </c>
      <c r="B2711" s="3499"/>
      <c r="C2711" s="12"/>
      <c r="D2711" s="13">
        <v>606621.28</v>
      </c>
      <c r="E2711" s="7"/>
      <c r="F2711" s="7"/>
      <c r="G2711" s="7"/>
      <c r="H2711" s="8"/>
      <c r="I2711" s="9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12"/>
      <c r="AA2711" s="13">
        <v>606621.28</v>
      </c>
    </row>
    <row r="2712" spans="1:27" outlineLevel="7">
      <c r="A2712" s="3500" t="s">
        <v>1235</v>
      </c>
      <c r="B2712" s="3500"/>
      <c r="C2712" s="12"/>
      <c r="D2712" s="13">
        <v>836519.44</v>
      </c>
      <c r="E2712" s="7"/>
      <c r="F2712" s="7"/>
      <c r="G2712" s="7"/>
      <c r="H2712" s="8"/>
      <c r="I2712" s="9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12"/>
      <c r="AA2712" s="13">
        <v>836519.44</v>
      </c>
    </row>
    <row r="2713" spans="1:27" outlineLevel="7">
      <c r="A2713" s="3499" t="s">
        <v>2429</v>
      </c>
      <c r="B2713" s="3499"/>
      <c r="C2713" s="12"/>
      <c r="D2713" s="13">
        <v>836519.44</v>
      </c>
      <c r="E2713" s="7"/>
      <c r="F2713" s="7"/>
      <c r="G2713" s="7"/>
      <c r="H2713" s="8"/>
      <c r="I2713" s="9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12"/>
      <c r="AA2713" s="13">
        <v>836519.44</v>
      </c>
    </row>
    <row r="2714" spans="1:27" outlineLevel="7">
      <c r="A2714" s="3500" t="s">
        <v>1236</v>
      </c>
      <c r="B2714" s="3500"/>
      <c r="C2714" s="12"/>
      <c r="D2714" s="13">
        <v>913152.19</v>
      </c>
      <c r="E2714" s="7"/>
      <c r="F2714" s="7"/>
      <c r="G2714" s="7"/>
      <c r="H2714" s="8"/>
      <c r="I2714" s="9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12"/>
      <c r="AA2714" s="13">
        <v>913152.19</v>
      </c>
    </row>
    <row r="2715" spans="1:27" outlineLevel="7">
      <c r="A2715" s="3499" t="s">
        <v>2430</v>
      </c>
      <c r="B2715" s="3499"/>
      <c r="C2715" s="12"/>
      <c r="D2715" s="13">
        <v>913152.19</v>
      </c>
      <c r="E2715" s="7"/>
      <c r="F2715" s="7"/>
      <c r="G2715" s="7"/>
      <c r="H2715" s="8"/>
      <c r="I2715" s="9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12"/>
      <c r="AA2715" s="13">
        <v>913152.19</v>
      </c>
    </row>
    <row r="2716" spans="1:27" outlineLevel="6">
      <c r="A2716" s="3501" t="s">
        <v>655</v>
      </c>
      <c r="B2716" s="3501"/>
      <c r="C2716" s="12"/>
      <c r="D2716" s="14">
        <v>909.55</v>
      </c>
      <c r="E2716" s="14">
        <v>550</v>
      </c>
      <c r="F2716" s="7"/>
      <c r="G2716" s="14">
        <v>550</v>
      </c>
      <c r="H2716" s="3523">
        <v>550</v>
      </c>
      <c r="I2716" s="3523"/>
      <c r="J2716" s="7"/>
      <c r="K2716" s="7"/>
      <c r="L2716" s="7"/>
      <c r="M2716" s="7"/>
      <c r="N2716" s="7"/>
      <c r="O2716" s="7"/>
      <c r="P2716" s="7"/>
      <c r="Q2716" s="7"/>
      <c r="R2716" s="13">
        <v>6496.24</v>
      </c>
      <c r="S2716" s="7"/>
      <c r="T2716" s="7"/>
      <c r="U2716" s="13">
        <v>6496.24</v>
      </c>
      <c r="V2716" s="7"/>
      <c r="W2716" s="7"/>
      <c r="X2716" s="7"/>
      <c r="Y2716" s="7"/>
      <c r="Z2716" s="12"/>
      <c r="AA2716" s="13">
        <v>6855.79</v>
      </c>
    </row>
    <row r="2717" spans="1:27" outlineLevel="7">
      <c r="A2717" s="3500" t="s">
        <v>1237</v>
      </c>
      <c r="B2717" s="3500"/>
      <c r="C2717" s="12"/>
      <c r="D2717" s="12"/>
      <c r="E2717" s="12"/>
      <c r="F2717" s="7"/>
      <c r="G2717" s="7"/>
      <c r="H2717" s="8"/>
      <c r="I2717" s="9"/>
      <c r="J2717" s="7"/>
      <c r="K2717" s="7"/>
      <c r="L2717" s="7"/>
      <c r="M2717" s="7"/>
      <c r="N2717" s="7"/>
      <c r="O2717" s="7"/>
      <c r="P2717" s="7"/>
      <c r="Q2717" s="7"/>
      <c r="R2717" s="14">
        <v>550</v>
      </c>
      <c r="S2717" s="7"/>
      <c r="T2717" s="7"/>
      <c r="U2717" s="14">
        <v>550</v>
      </c>
      <c r="V2717" s="7"/>
      <c r="W2717" s="7"/>
      <c r="X2717" s="7"/>
      <c r="Y2717" s="7"/>
      <c r="Z2717" s="12"/>
      <c r="AA2717" s="14">
        <v>550</v>
      </c>
    </row>
    <row r="2718" spans="1:27" outlineLevel="7">
      <c r="A2718" s="3499" t="s">
        <v>2431</v>
      </c>
      <c r="B2718" s="3499"/>
      <c r="C2718" s="12"/>
      <c r="D2718" s="12"/>
      <c r="E2718" s="12"/>
      <c r="F2718" s="7"/>
      <c r="G2718" s="7"/>
      <c r="H2718" s="8"/>
      <c r="I2718" s="9"/>
      <c r="J2718" s="7"/>
      <c r="K2718" s="7"/>
      <c r="L2718" s="7"/>
      <c r="M2718" s="7"/>
      <c r="N2718" s="7"/>
      <c r="O2718" s="7"/>
      <c r="P2718" s="7"/>
      <c r="Q2718" s="7"/>
      <c r="R2718" s="14">
        <v>550</v>
      </c>
      <c r="S2718" s="7"/>
      <c r="T2718" s="7"/>
      <c r="U2718" s="14">
        <v>550</v>
      </c>
      <c r="V2718" s="7"/>
      <c r="W2718" s="7"/>
      <c r="X2718" s="7"/>
      <c r="Y2718" s="7"/>
      <c r="Z2718" s="12"/>
      <c r="AA2718" s="14">
        <v>550</v>
      </c>
    </row>
    <row r="2719" spans="1:27" outlineLevel="7">
      <c r="A2719" s="3500" t="s">
        <v>1238</v>
      </c>
      <c r="B2719" s="3500"/>
      <c r="C2719" s="12"/>
      <c r="D2719" s="12"/>
      <c r="E2719" s="12"/>
      <c r="F2719" s="7"/>
      <c r="G2719" s="7"/>
      <c r="H2719" s="8"/>
      <c r="I2719" s="9"/>
      <c r="J2719" s="7"/>
      <c r="K2719" s="7"/>
      <c r="L2719" s="7"/>
      <c r="M2719" s="7"/>
      <c r="N2719" s="7"/>
      <c r="O2719" s="7"/>
      <c r="P2719" s="7"/>
      <c r="Q2719" s="7"/>
      <c r="R2719" s="13">
        <v>2698.12</v>
      </c>
      <c r="S2719" s="7"/>
      <c r="T2719" s="7"/>
      <c r="U2719" s="13">
        <v>2698.12</v>
      </c>
      <c r="V2719" s="7"/>
      <c r="W2719" s="7"/>
      <c r="X2719" s="7"/>
      <c r="Y2719" s="7"/>
      <c r="Z2719" s="12"/>
      <c r="AA2719" s="13">
        <v>2698.12</v>
      </c>
    </row>
    <row r="2720" spans="1:27" outlineLevel="7">
      <c r="A2720" s="3499" t="s">
        <v>2432</v>
      </c>
      <c r="B2720" s="3499"/>
      <c r="C2720" s="12"/>
      <c r="D2720" s="12"/>
      <c r="E2720" s="12"/>
      <c r="F2720" s="7"/>
      <c r="G2720" s="7"/>
      <c r="H2720" s="8"/>
      <c r="I2720" s="9"/>
      <c r="J2720" s="7"/>
      <c r="K2720" s="7"/>
      <c r="L2720" s="7"/>
      <c r="M2720" s="7"/>
      <c r="N2720" s="7"/>
      <c r="O2720" s="7"/>
      <c r="P2720" s="7"/>
      <c r="Q2720" s="7"/>
      <c r="R2720" s="13">
        <v>2698.12</v>
      </c>
      <c r="S2720" s="7"/>
      <c r="T2720" s="7"/>
      <c r="U2720" s="13">
        <v>2698.12</v>
      </c>
      <c r="V2720" s="7"/>
      <c r="W2720" s="7"/>
      <c r="X2720" s="7"/>
      <c r="Y2720" s="7"/>
      <c r="Z2720" s="12"/>
      <c r="AA2720" s="13">
        <v>2698.12</v>
      </c>
    </row>
    <row r="2721" spans="1:27" outlineLevel="7">
      <c r="A2721" s="3500" t="s">
        <v>1239</v>
      </c>
      <c r="B2721" s="3500"/>
      <c r="C2721" s="12"/>
      <c r="D2721" s="12"/>
      <c r="E2721" s="12"/>
      <c r="F2721" s="7"/>
      <c r="G2721" s="7"/>
      <c r="H2721" s="8"/>
      <c r="I2721" s="9"/>
      <c r="J2721" s="7"/>
      <c r="K2721" s="7"/>
      <c r="L2721" s="7"/>
      <c r="M2721" s="7"/>
      <c r="N2721" s="7"/>
      <c r="O2721" s="7"/>
      <c r="P2721" s="7"/>
      <c r="Q2721" s="7"/>
      <c r="R2721" s="13">
        <v>2698.12</v>
      </c>
      <c r="S2721" s="7"/>
      <c r="T2721" s="7"/>
      <c r="U2721" s="13">
        <v>2698.12</v>
      </c>
      <c r="V2721" s="7"/>
      <c r="W2721" s="7"/>
      <c r="X2721" s="7"/>
      <c r="Y2721" s="7"/>
      <c r="Z2721" s="12"/>
      <c r="AA2721" s="13">
        <v>2698.12</v>
      </c>
    </row>
    <row r="2722" spans="1:27" outlineLevel="7">
      <c r="A2722" s="3499" t="s">
        <v>2433</v>
      </c>
      <c r="B2722" s="3499"/>
      <c r="C2722" s="12"/>
      <c r="D2722" s="12"/>
      <c r="E2722" s="12"/>
      <c r="F2722" s="7"/>
      <c r="G2722" s="7"/>
      <c r="H2722" s="8"/>
      <c r="I2722" s="9"/>
      <c r="J2722" s="7"/>
      <c r="K2722" s="7"/>
      <c r="L2722" s="7"/>
      <c r="M2722" s="7"/>
      <c r="N2722" s="7"/>
      <c r="O2722" s="7"/>
      <c r="P2722" s="7"/>
      <c r="Q2722" s="7"/>
      <c r="R2722" s="13">
        <v>2698.12</v>
      </c>
      <c r="S2722" s="7"/>
      <c r="T2722" s="7"/>
      <c r="U2722" s="13">
        <v>2698.12</v>
      </c>
      <c r="V2722" s="7"/>
      <c r="W2722" s="7"/>
      <c r="X2722" s="7"/>
      <c r="Y2722" s="7"/>
      <c r="Z2722" s="12"/>
      <c r="AA2722" s="13">
        <v>2698.12</v>
      </c>
    </row>
    <row r="2723" spans="1:27" outlineLevel="7">
      <c r="A2723" s="3500" t="s">
        <v>656</v>
      </c>
      <c r="B2723" s="3500"/>
      <c r="C2723" s="7"/>
      <c r="D2723" s="7"/>
      <c r="E2723" s="14">
        <v>550</v>
      </c>
      <c r="F2723" s="7"/>
      <c r="G2723" s="14">
        <v>550</v>
      </c>
      <c r="H2723" s="3523">
        <v>550</v>
      </c>
      <c r="I2723" s="3523"/>
      <c r="J2723" s="7"/>
      <c r="K2723" s="7"/>
      <c r="L2723" s="7"/>
      <c r="M2723" s="7"/>
      <c r="N2723" s="7"/>
      <c r="O2723" s="7"/>
      <c r="P2723" s="7"/>
      <c r="Q2723" s="7"/>
      <c r="R2723" s="14">
        <v>550</v>
      </c>
      <c r="S2723" s="7"/>
      <c r="T2723" s="7"/>
      <c r="U2723" s="14">
        <v>550</v>
      </c>
      <c r="V2723" s="7"/>
      <c r="W2723" s="7"/>
      <c r="X2723" s="7"/>
      <c r="Y2723" s="7"/>
      <c r="Z2723" s="7"/>
      <c r="AA2723" s="7"/>
    </row>
    <row r="2724" spans="1:27" outlineLevel="7">
      <c r="A2724" s="3499" t="s">
        <v>2434</v>
      </c>
      <c r="B2724" s="3499"/>
      <c r="C2724" s="7"/>
      <c r="D2724" s="7"/>
      <c r="E2724" s="14">
        <v>550</v>
      </c>
      <c r="F2724" s="7"/>
      <c r="G2724" s="14">
        <v>550</v>
      </c>
      <c r="H2724" s="3523">
        <v>550</v>
      </c>
      <c r="I2724" s="3523"/>
      <c r="J2724" s="7"/>
      <c r="K2724" s="7"/>
      <c r="L2724" s="7"/>
      <c r="M2724" s="7"/>
      <c r="N2724" s="7"/>
      <c r="O2724" s="7"/>
      <c r="P2724" s="7"/>
      <c r="Q2724" s="7"/>
      <c r="R2724" s="14">
        <v>550</v>
      </c>
      <c r="S2724" s="7"/>
      <c r="T2724" s="7"/>
      <c r="U2724" s="14">
        <v>550</v>
      </c>
      <c r="V2724" s="7"/>
      <c r="W2724" s="7"/>
      <c r="X2724" s="7"/>
      <c r="Y2724" s="7"/>
      <c r="Z2724" s="7"/>
      <c r="AA2724" s="7"/>
    </row>
    <row r="2725" spans="1:27" outlineLevel="7">
      <c r="A2725" s="3500" t="s">
        <v>1240</v>
      </c>
      <c r="B2725" s="3500"/>
      <c r="C2725" s="12"/>
      <c r="D2725" s="14">
        <v>909.55</v>
      </c>
      <c r="E2725" s="7"/>
      <c r="F2725" s="7"/>
      <c r="G2725" s="7"/>
      <c r="H2725" s="8"/>
      <c r="I2725" s="9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12"/>
      <c r="AA2725" s="14">
        <v>909.55</v>
      </c>
    </row>
    <row r="2726" spans="1:27" outlineLevel="7">
      <c r="A2726" s="3499" t="s">
        <v>2435</v>
      </c>
      <c r="B2726" s="3499"/>
      <c r="C2726" s="12"/>
      <c r="D2726" s="14">
        <v>909.55</v>
      </c>
      <c r="E2726" s="7"/>
      <c r="F2726" s="7"/>
      <c r="G2726" s="7"/>
      <c r="H2726" s="8"/>
      <c r="I2726" s="9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12"/>
      <c r="AA2726" s="14">
        <v>909.55</v>
      </c>
    </row>
    <row r="2727" spans="1:27" outlineLevel="6">
      <c r="A2727" s="3501" t="s">
        <v>657</v>
      </c>
      <c r="B2727" s="3501"/>
      <c r="C2727" s="7"/>
      <c r="D2727" s="7"/>
      <c r="E2727" s="14">
        <v>550</v>
      </c>
      <c r="F2727" s="7"/>
      <c r="G2727" s="14">
        <v>550</v>
      </c>
      <c r="H2727" s="3523">
        <v>550</v>
      </c>
      <c r="I2727" s="3523"/>
      <c r="J2727" s="7"/>
      <c r="K2727" s="7"/>
      <c r="L2727" s="7"/>
      <c r="M2727" s="7"/>
      <c r="N2727" s="7"/>
      <c r="O2727" s="7"/>
      <c r="P2727" s="7"/>
      <c r="Q2727" s="7"/>
      <c r="R2727" s="14">
        <v>550</v>
      </c>
      <c r="S2727" s="7"/>
      <c r="T2727" s="7"/>
      <c r="U2727" s="14">
        <v>550</v>
      </c>
      <c r="V2727" s="7"/>
      <c r="W2727" s="7"/>
      <c r="X2727" s="7"/>
      <c r="Y2727" s="7"/>
      <c r="Z2727" s="7"/>
      <c r="AA2727" s="7"/>
    </row>
    <row r="2728" spans="1:27" outlineLevel="7">
      <c r="A2728" s="3500" t="s">
        <v>658</v>
      </c>
      <c r="B2728" s="3500"/>
      <c r="C2728" s="7"/>
      <c r="D2728" s="7"/>
      <c r="E2728" s="14">
        <v>550</v>
      </c>
      <c r="F2728" s="7"/>
      <c r="G2728" s="14">
        <v>550</v>
      </c>
      <c r="H2728" s="3523">
        <v>550</v>
      </c>
      <c r="I2728" s="3523"/>
      <c r="J2728" s="7"/>
      <c r="K2728" s="7"/>
      <c r="L2728" s="7"/>
      <c r="M2728" s="7"/>
      <c r="N2728" s="7"/>
      <c r="O2728" s="7"/>
      <c r="P2728" s="7"/>
      <c r="Q2728" s="7"/>
      <c r="R2728" s="14">
        <v>550</v>
      </c>
      <c r="S2728" s="7"/>
      <c r="T2728" s="7"/>
      <c r="U2728" s="14">
        <v>550</v>
      </c>
      <c r="V2728" s="7"/>
      <c r="W2728" s="7"/>
      <c r="X2728" s="7"/>
      <c r="Y2728" s="7"/>
      <c r="Z2728" s="7"/>
      <c r="AA2728" s="7"/>
    </row>
    <row r="2729" spans="1:27" outlineLevel="7">
      <c r="A2729" s="3499" t="s">
        <v>2436</v>
      </c>
      <c r="B2729" s="3499"/>
      <c r="C2729" s="7"/>
      <c r="D2729" s="7"/>
      <c r="E2729" s="14">
        <v>550</v>
      </c>
      <c r="F2729" s="7"/>
      <c r="G2729" s="14">
        <v>550</v>
      </c>
      <c r="H2729" s="3523">
        <v>550</v>
      </c>
      <c r="I2729" s="3523"/>
      <c r="J2729" s="7"/>
      <c r="K2729" s="7"/>
      <c r="L2729" s="7"/>
      <c r="M2729" s="7"/>
      <c r="N2729" s="7"/>
      <c r="O2729" s="7"/>
      <c r="P2729" s="7"/>
      <c r="Q2729" s="7"/>
      <c r="R2729" s="14">
        <v>550</v>
      </c>
      <c r="S2729" s="7"/>
      <c r="T2729" s="7"/>
      <c r="U2729" s="14">
        <v>550</v>
      </c>
      <c r="V2729" s="7"/>
      <c r="W2729" s="7"/>
      <c r="X2729" s="7"/>
      <c r="Y2729" s="7"/>
      <c r="Z2729" s="7"/>
      <c r="AA2729" s="7"/>
    </row>
    <row r="2730" spans="1:27" outlineLevel="6">
      <c r="A2730" s="3501" t="s">
        <v>1241</v>
      </c>
      <c r="B2730" s="3501"/>
      <c r="C2730" s="12"/>
      <c r="D2730" s="14">
        <v>550</v>
      </c>
      <c r="E2730" s="7"/>
      <c r="F2730" s="7"/>
      <c r="G2730" s="7"/>
      <c r="H2730" s="8"/>
      <c r="I2730" s="9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12"/>
      <c r="AA2730" s="14">
        <v>550</v>
      </c>
    </row>
    <row r="2731" spans="1:27" outlineLevel="7">
      <c r="A2731" s="3500" t="s">
        <v>1242</v>
      </c>
      <c r="B2731" s="3500"/>
      <c r="C2731" s="12"/>
      <c r="D2731" s="14">
        <v>550</v>
      </c>
      <c r="E2731" s="7"/>
      <c r="F2731" s="7"/>
      <c r="G2731" s="7"/>
      <c r="H2731" s="8"/>
      <c r="I2731" s="9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12"/>
      <c r="AA2731" s="14">
        <v>550</v>
      </c>
    </row>
    <row r="2732" spans="1:27" outlineLevel="7">
      <c r="A2732" s="3499" t="s">
        <v>2437</v>
      </c>
      <c r="B2732" s="3499"/>
      <c r="C2732" s="12"/>
      <c r="D2732" s="14">
        <v>550</v>
      </c>
      <c r="E2732" s="7"/>
      <c r="F2732" s="7"/>
      <c r="G2732" s="7"/>
      <c r="H2732" s="8"/>
      <c r="I2732" s="9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12"/>
      <c r="AA2732" s="14">
        <v>550</v>
      </c>
    </row>
    <row r="2733" spans="1:27" outlineLevel="6">
      <c r="A2733" s="3501" t="s">
        <v>1243</v>
      </c>
      <c r="B2733" s="3501"/>
      <c r="C2733" s="12"/>
      <c r="D2733" s="14">
        <v>550</v>
      </c>
      <c r="E2733" s="7"/>
      <c r="F2733" s="7"/>
      <c r="G2733" s="7"/>
      <c r="H2733" s="8"/>
      <c r="I2733" s="9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12"/>
      <c r="AA2733" s="14">
        <v>550</v>
      </c>
    </row>
    <row r="2734" spans="1:27" outlineLevel="7">
      <c r="A2734" s="3500" t="s">
        <v>1244</v>
      </c>
      <c r="B2734" s="3500"/>
      <c r="C2734" s="12"/>
      <c r="D2734" s="14">
        <v>550</v>
      </c>
      <c r="E2734" s="7"/>
      <c r="F2734" s="7"/>
      <c r="G2734" s="7"/>
      <c r="H2734" s="8"/>
      <c r="I2734" s="9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12"/>
      <c r="AA2734" s="14">
        <v>550</v>
      </c>
    </row>
    <row r="2735" spans="1:27" outlineLevel="7">
      <c r="A2735" s="3499" t="s">
        <v>2438</v>
      </c>
      <c r="B2735" s="3499"/>
      <c r="C2735" s="12"/>
      <c r="D2735" s="14">
        <v>550</v>
      </c>
      <c r="E2735" s="7"/>
      <c r="F2735" s="7"/>
      <c r="G2735" s="7"/>
      <c r="H2735" s="8"/>
      <c r="I2735" s="9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12"/>
      <c r="AA2735" s="14">
        <v>550</v>
      </c>
    </row>
    <row r="2736" spans="1:27" outlineLevel="6">
      <c r="A2736" s="3501" t="s">
        <v>659</v>
      </c>
      <c r="B2736" s="3501"/>
      <c r="C2736" s="12"/>
      <c r="D2736" s="14">
        <v>550</v>
      </c>
      <c r="E2736" s="14">
        <v>550</v>
      </c>
      <c r="F2736" s="7"/>
      <c r="G2736" s="14">
        <v>550</v>
      </c>
      <c r="H2736" s="3523">
        <v>550</v>
      </c>
      <c r="I2736" s="3523"/>
      <c r="J2736" s="7"/>
      <c r="K2736" s="7"/>
      <c r="L2736" s="7"/>
      <c r="M2736" s="7"/>
      <c r="N2736" s="7"/>
      <c r="O2736" s="7"/>
      <c r="P2736" s="7"/>
      <c r="Q2736" s="7"/>
      <c r="R2736" s="12"/>
      <c r="S2736" s="7"/>
      <c r="T2736" s="7"/>
      <c r="U2736" s="7"/>
      <c r="V2736" s="7"/>
      <c r="W2736" s="7"/>
      <c r="X2736" s="7"/>
      <c r="Y2736" s="7"/>
      <c r="Z2736" s="12"/>
      <c r="AA2736" s="12"/>
    </row>
    <row r="2737" spans="1:27" outlineLevel="7">
      <c r="A2737" s="3500" t="s">
        <v>660</v>
      </c>
      <c r="B2737" s="3500"/>
      <c r="C2737" s="12"/>
      <c r="D2737" s="14">
        <v>550</v>
      </c>
      <c r="E2737" s="14">
        <v>550</v>
      </c>
      <c r="F2737" s="7"/>
      <c r="G2737" s="14">
        <v>550</v>
      </c>
      <c r="H2737" s="3523">
        <v>550</v>
      </c>
      <c r="I2737" s="3523"/>
      <c r="J2737" s="7"/>
      <c r="K2737" s="7"/>
      <c r="L2737" s="7"/>
      <c r="M2737" s="7"/>
      <c r="N2737" s="7"/>
      <c r="O2737" s="7"/>
      <c r="P2737" s="7"/>
      <c r="Q2737" s="7"/>
      <c r="R2737" s="12"/>
      <c r="S2737" s="7"/>
      <c r="T2737" s="7"/>
      <c r="U2737" s="7"/>
      <c r="V2737" s="7"/>
      <c r="W2737" s="7"/>
      <c r="X2737" s="7"/>
      <c r="Y2737" s="7"/>
      <c r="Z2737" s="12"/>
      <c r="AA2737" s="12"/>
    </row>
    <row r="2738" spans="1:27" outlineLevel="7">
      <c r="A2738" s="3499" t="s">
        <v>2439</v>
      </c>
      <c r="B2738" s="3499"/>
      <c r="C2738" s="12"/>
      <c r="D2738" s="14">
        <v>550</v>
      </c>
      <c r="E2738" s="14">
        <v>550</v>
      </c>
      <c r="F2738" s="7"/>
      <c r="G2738" s="14">
        <v>550</v>
      </c>
      <c r="H2738" s="3523">
        <v>550</v>
      </c>
      <c r="I2738" s="3523"/>
      <c r="J2738" s="7"/>
      <c r="K2738" s="7"/>
      <c r="L2738" s="7"/>
      <c r="M2738" s="7"/>
      <c r="N2738" s="7"/>
      <c r="O2738" s="7"/>
      <c r="P2738" s="7"/>
      <c r="Q2738" s="7"/>
      <c r="R2738" s="12"/>
      <c r="S2738" s="7"/>
      <c r="T2738" s="7"/>
      <c r="U2738" s="7"/>
      <c r="V2738" s="7"/>
      <c r="W2738" s="7"/>
      <c r="X2738" s="7"/>
      <c r="Y2738" s="7"/>
      <c r="Z2738" s="12"/>
      <c r="AA2738" s="12"/>
    </row>
    <row r="2739" spans="1:27" outlineLevel="6">
      <c r="A2739" s="3501" t="s">
        <v>1245</v>
      </c>
      <c r="B2739" s="3501"/>
      <c r="C2739" s="12"/>
      <c r="D2739" s="12"/>
      <c r="E2739" s="12"/>
      <c r="F2739" s="7"/>
      <c r="G2739" s="7"/>
      <c r="H2739" s="8"/>
      <c r="I2739" s="9"/>
      <c r="J2739" s="7"/>
      <c r="K2739" s="7"/>
      <c r="L2739" s="7"/>
      <c r="M2739" s="7"/>
      <c r="N2739" s="7"/>
      <c r="O2739" s="7"/>
      <c r="P2739" s="7"/>
      <c r="Q2739" s="7"/>
      <c r="R2739" s="14">
        <v>550</v>
      </c>
      <c r="S2739" s="7"/>
      <c r="T2739" s="7"/>
      <c r="U2739" s="14">
        <v>550</v>
      </c>
      <c r="V2739" s="7"/>
      <c r="W2739" s="7"/>
      <c r="X2739" s="7"/>
      <c r="Y2739" s="7"/>
      <c r="Z2739" s="12"/>
      <c r="AA2739" s="14">
        <v>550</v>
      </c>
    </row>
    <row r="2740" spans="1:27" outlineLevel="7">
      <c r="A2740" s="3500" t="s">
        <v>1246</v>
      </c>
      <c r="B2740" s="3500"/>
      <c r="C2740" s="12"/>
      <c r="D2740" s="12"/>
      <c r="E2740" s="12"/>
      <c r="F2740" s="7"/>
      <c r="G2740" s="7"/>
      <c r="H2740" s="8"/>
      <c r="I2740" s="9"/>
      <c r="J2740" s="7"/>
      <c r="K2740" s="7"/>
      <c r="L2740" s="7"/>
      <c r="M2740" s="7"/>
      <c r="N2740" s="7"/>
      <c r="O2740" s="7"/>
      <c r="P2740" s="7"/>
      <c r="Q2740" s="7"/>
      <c r="R2740" s="14">
        <v>550</v>
      </c>
      <c r="S2740" s="7"/>
      <c r="T2740" s="7"/>
      <c r="U2740" s="14">
        <v>550</v>
      </c>
      <c r="V2740" s="7"/>
      <c r="W2740" s="7"/>
      <c r="X2740" s="7"/>
      <c r="Y2740" s="7"/>
      <c r="Z2740" s="12"/>
      <c r="AA2740" s="14">
        <v>550</v>
      </c>
    </row>
    <row r="2741" spans="1:27" outlineLevel="7">
      <c r="A2741" s="3499" t="s">
        <v>2440</v>
      </c>
      <c r="B2741" s="3499"/>
      <c r="C2741" s="12"/>
      <c r="D2741" s="12"/>
      <c r="E2741" s="12"/>
      <c r="F2741" s="7"/>
      <c r="G2741" s="7"/>
      <c r="H2741" s="8"/>
      <c r="I2741" s="9"/>
      <c r="J2741" s="7"/>
      <c r="K2741" s="7"/>
      <c r="L2741" s="7"/>
      <c r="M2741" s="7"/>
      <c r="N2741" s="7"/>
      <c r="O2741" s="7"/>
      <c r="P2741" s="7"/>
      <c r="Q2741" s="7"/>
      <c r="R2741" s="14">
        <v>550</v>
      </c>
      <c r="S2741" s="7"/>
      <c r="T2741" s="7"/>
      <c r="U2741" s="14">
        <v>550</v>
      </c>
      <c r="V2741" s="7"/>
      <c r="W2741" s="7"/>
      <c r="X2741" s="7"/>
      <c r="Y2741" s="7"/>
      <c r="Z2741" s="12"/>
      <c r="AA2741" s="14">
        <v>550</v>
      </c>
    </row>
    <row r="2742" spans="1:27" outlineLevel="6">
      <c r="A2742" s="3501" t="s">
        <v>662</v>
      </c>
      <c r="B2742" s="3501"/>
      <c r="C2742" s="7"/>
      <c r="D2742" s="7"/>
      <c r="E2742" s="14">
        <v>550</v>
      </c>
      <c r="F2742" s="7"/>
      <c r="G2742" s="14">
        <v>550</v>
      </c>
      <c r="H2742" s="3523">
        <v>550</v>
      </c>
      <c r="I2742" s="3523"/>
      <c r="J2742" s="7"/>
      <c r="K2742" s="7"/>
      <c r="L2742" s="7"/>
      <c r="M2742" s="7"/>
      <c r="N2742" s="7"/>
      <c r="O2742" s="7"/>
      <c r="P2742" s="7"/>
      <c r="Q2742" s="7"/>
      <c r="R2742" s="14">
        <v>550</v>
      </c>
      <c r="S2742" s="7"/>
      <c r="T2742" s="7"/>
      <c r="U2742" s="14">
        <v>550</v>
      </c>
      <c r="V2742" s="7"/>
      <c r="W2742" s="7"/>
      <c r="X2742" s="7"/>
      <c r="Y2742" s="7"/>
      <c r="Z2742" s="7"/>
      <c r="AA2742" s="7"/>
    </row>
    <row r="2743" spans="1:27" outlineLevel="7">
      <c r="A2743" s="3500" t="s">
        <v>663</v>
      </c>
      <c r="B2743" s="3500"/>
      <c r="C2743" s="7"/>
      <c r="D2743" s="7"/>
      <c r="E2743" s="14">
        <v>550</v>
      </c>
      <c r="F2743" s="7"/>
      <c r="G2743" s="14">
        <v>550</v>
      </c>
      <c r="H2743" s="3523">
        <v>550</v>
      </c>
      <c r="I2743" s="3523"/>
      <c r="J2743" s="7"/>
      <c r="K2743" s="7"/>
      <c r="L2743" s="7"/>
      <c r="M2743" s="7"/>
      <c r="N2743" s="7"/>
      <c r="O2743" s="7"/>
      <c r="P2743" s="7"/>
      <c r="Q2743" s="7"/>
      <c r="R2743" s="14">
        <v>550</v>
      </c>
      <c r="S2743" s="7"/>
      <c r="T2743" s="7"/>
      <c r="U2743" s="14">
        <v>550</v>
      </c>
      <c r="V2743" s="7"/>
      <c r="W2743" s="7"/>
      <c r="X2743" s="7"/>
      <c r="Y2743" s="7"/>
      <c r="Z2743" s="7"/>
      <c r="AA2743" s="7"/>
    </row>
    <row r="2744" spans="1:27" outlineLevel="7">
      <c r="A2744" s="3499" t="s">
        <v>2441</v>
      </c>
      <c r="B2744" s="3499"/>
      <c r="C2744" s="7"/>
      <c r="D2744" s="7"/>
      <c r="E2744" s="14">
        <v>550</v>
      </c>
      <c r="F2744" s="7"/>
      <c r="G2744" s="14">
        <v>550</v>
      </c>
      <c r="H2744" s="3523">
        <v>550</v>
      </c>
      <c r="I2744" s="3523"/>
      <c r="J2744" s="7"/>
      <c r="K2744" s="7"/>
      <c r="L2744" s="7"/>
      <c r="M2744" s="7"/>
      <c r="N2744" s="7"/>
      <c r="O2744" s="7"/>
      <c r="P2744" s="7"/>
      <c r="Q2744" s="7"/>
      <c r="R2744" s="14">
        <v>550</v>
      </c>
      <c r="S2744" s="7"/>
      <c r="T2744" s="7"/>
      <c r="U2744" s="14">
        <v>550</v>
      </c>
      <c r="V2744" s="7"/>
      <c r="W2744" s="7"/>
      <c r="X2744" s="7"/>
      <c r="Y2744" s="7"/>
      <c r="Z2744" s="7"/>
      <c r="AA2744" s="7"/>
    </row>
    <row r="2745" spans="1:27" outlineLevel="6">
      <c r="A2745" s="3501" t="s">
        <v>1247</v>
      </c>
      <c r="B2745" s="3501"/>
      <c r="C2745" s="12"/>
      <c r="D2745" s="13">
        <v>11606.08</v>
      </c>
      <c r="E2745" s="13">
        <v>5644.85</v>
      </c>
      <c r="F2745" s="7"/>
      <c r="G2745" s="13">
        <v>5644.85</v>
      </c>
      <c r="H2745" s="3524">
        <v>4295.79</v>
      </c>
      <c r="I2745" s="3524"/>
      <c r="J2745" s="13">
        <v>1349.06</v>
      </c>
      <c r="K2745" s="7"/>
      <c r="L2745" s="7"/>
      <c r="M2745" s="7"/>
      <c r="N2745" s="7"/>
      <c r="O2745" s="7"/>
      <c r="P2745" s="7"/>
      <c r="Q2745" s="7"/>
      <c r="R2745" s="12"/>
      <c r="S2745" s="7"/>
      <c r="T2745" s="7"/>
      <c r="U2745" s="7"/>
      <c r="V2745" s="7"/>
      <c r="W2745" s="7"/>
      <c r="X2745" s="7"/>
      <c r="Y2745" s="7"/>
      <c r="Z2745" s="12"/>
      <c r="AA2745" s="13">
        <v>5961.23</v>
      </c>
    </row>
    <row r="2746" spans="1:27" outlineLevel="7">
      <c r="A2746" s="3500" t="s">
        <v>1248</v>
      </c>
      <c r="B2746" s="3500"/>
      <c r="C2746" s="12"/>
      <c r="D2746" s="13">
        <v>11606.08</v>
      </c>
      <c r="E2746" s="13">
        <v>5644.85</v>
      </c>
      <c r="F2746" s="7"/>
      <c r="G2746" s="13">
        <v>5644.85</v>
      </c>
      <c r="H2746" s="3524">
        <v>4295.79</v>
      </c>
      <c r="I2746" s="3524"/>
      <c r="J2746" s="13">
        <v>1349.06</v>
      </c>
      <c r="K2746" s="7"/>
      <c r="L2746" s="7"/>
      <c r="M2746" s="7"/>
      <c r="N2746" s="7"/>
      <c r="O2746" s="7"/>
      <c r="P2746" s="7"/>
      <c r="Q2746" s="7"/>
      <c r="R2746" s="12"/>
      <c r="S2746" s="7"/>
      <c r="T2746" s="7"/>
      <c r="U2746" s="7"/>
      <c r="V2746" s="7"/>
      <c r="W2746" s="7"/>
      <c r="X2746" s="7"/>
      <c r="Y2746" s="7"/>
      <c r="Z2746" s="12"/>
      <c r="AA2746" s="13">
        <v>5961.23</v>
      </c>
    </row>
    <row r="2747" spans="1:27" outlineLevel="7">
      <c r="A2747" s="3499" t="s">
        <v>2442</v>
      </c>
      <c r="B2747" s="3499"/>
      <c r="C2747" s="12"/>
      <c r="D2747" s="13">
        <v>3135.36</v>
      </c>
      <c r="E2747" s="13">
        <v>3135.36</v>
      </c>
      <c r="F2747" s="7"/>
      <c r="G2747" s="13">
        <v>3135.36</v>
      </c>
      <c r="H2747" s="3524">
        <v>3135.36</v>
      </c>
      <c r="I2747" s="3524"/>
      <c r="J2747" s="7"/>
      <c r="K2747" s="7"/>
      <c r="L2747" s="7"/>
      <c r="M2747" s="7"/>
      <c r="N2747" s="7"/>
      <c r="O2747" s="7"/>
      <c r="P2747" s="7"/>
      <c r="Q2747" s="7"/>
      <c r="R2747" s="12"/>
      <c r="S2747" s="7"/>
      <c r="T2747" s="7"/>
      <c r="U2747" s="7"/>
      <c r="V2747" s="7"/>
      <c r="W2747" s="7"/>
      <c r="X2747" s="7"/>
      <c r="Y2747" s="7"/>
      <c r="Z2747" s="12"/>
      <c r="AA2747" s="12"/>
    </row>
    <row r="2748" spans="1:27" outlineLevel="7">
      <c r="A2748" s="3499" t="s">
        <v>2443</v>
      </c>
      <c r="B2748" s="3499"/>
      <c r="C2748" s="12"/>
      <c r="D2748" s="13">
        <v>5335.36</v>
      </c>
      <c r="E2748" s="13">
        <v>1160.43</v>
      </c>
      <c r="F2748" s="7"/>
      <c r="G2748" s="13">
        <v>1160.43</v>
      </c>
      <c r="H2748" s="3524">
        <v>1160.43</v>
      </c>
      <c r="I2748" s="3524"/>
      <c r="J2748" s="7"/>
      <c r="K2748" s="7"/>
      <c r="L2748" s="7"/>
      <c r="M2748" s="7"/>
      <c r="N2748" s="7"/>
      <c r="O2748" s="7"/>
      <c r="P2748" s="7"/>
      <c r="Q2748" s="7"/>
      <c r="R2748" s="12"/>
      <c r="S2748" s="7"/>
      <c r="T2748" s="7"/>
      <c r="U2748" s="7"/>
      <c r="V2748" s="7"/>
      <c r="W2748" s="7"/>
      <c r="X2748" s="7"/>
      <c r="Y2748" s="7"/>
      <c r="Z2748" s="12"/>
      <c r="AA2748" s="13">
        <v>4174.93</v>
      </c>
    </row>
    <row r="2749" spans="1:27" outlineLevel="7">
      <c r="A2749" s="3499" t="s">
        <v>2444</v>
      </c>
      <c r="B2749" s="3499"/>
      <c r="C2749" s="12"/>
      <c r="D2749" s="13">
        <v>3135.36</v>
      </c>
      <c r="E2749" s="13">
        <v>1349.06</v>
      </c>
      <c r="F2749" s="7"/>
      <c r="G2749" s="13">
        <v>1349.06</v>
      </c>
      <c r="H2749" s="8"/>
      <c r="I2749" s="9"/>
      <c r="J2749" s="13">
        <v>1349.06</v>
      </c>
      <c r="K2749" s="7"/>
      <c r="L2749" s="7"/>
      <c r="M2749" s="7"/>
      <c r="N2749" s="7"/>
      <c r="O2749" s="7"/>
      <c r="P2749" s="7"/>
      <c r="Q2749" s="7"/>
      <c r="R2749" s="12"/>
      <c r="S2749" s="7"/>
      <c r="T2749" s="7"/>
      <c r="U2749" s="7"/>
      <c r="V2749" s="7"/>
      <c r="W2749" s="7"/>
      <c r="X2749" s="7"/>
      <c r="Y2749" s="7"/>
      <c r="Z2749" s="12"/>
      <c r="AA2749" s="13">
        <v>1786.3</v>
      </c>
    </row>
    <row r="2750" spans="1:27" outlineLevel="6">
      <c r="A2750" s="3501" t="s">
        <v>666</v>
      </c>
      <c r="B2750" s="3501"/>
      <c r="C2750" s="7"/>
      <c r="D2750" s="7"/>
      <c r="E2750" s="13">
        <v>25475.96</v>
      </c>
      <c r="F2750" s="7"/>
      <c r="G2750" s="13">
        <v>25475.96</v>
      </c>
      <c r="H2750" s="3524">
        <v>25475.96</v>
      </c>
      <c r="I2750" s="3524"/>
      <c r="J2750" s="7"/>
      <c r="K2750" s="7"/>
      <c r="L2750" s="7"/>
      <c r="M2750" s="7"/>
      <c r="N2750" s="7"/>
      <c r="O2750" s="7"/>
      <c r="P2750" s="7"/>
      <c r="Q2750" s="7"/>
      <c r="R2750" s="13">
        <v>25475.96</v>
      </c>
      <c r="S2750" s="7"/>
      <c r="T2750" s="7"/>
      <c r="U2750" s="13">
        <v>24126.9</v>
      </c>
      <c r="V2750" s="13">
        <v>1349.06</v>
      </c>
      <c r="W2750" s="13">
        <v>1349.06</v>
      </c>
      <c r="X2750" s="7"/>
      <c r="Y2750" s="7"/>
      <c r="Z2750" s="7"/>
      <c r="AA2750" s="7"/>
    </row>
    <row r="2751" spans="1:27" outlineLevel="7">
      <c r="A2751" s="3500" t="s">
        <v>668</v>
      </c>
      <c r="B2751" s="3500"/>
      <c r="C2751" s="7"/>
      <c r="D2751" s="7"/>
      <c r="E2751" s="13">
        <v>15170</v>
      </c>
      <c r="F2751" s="7"/>
      <c r="G2751" s="13">
        <v>15170</v>
      </c>
      <c r="H2751" s="3524">
        <v>15170</v>
      </c>
      <c r="I2751" s="3524"/>
      <c r="J2751" s="7"/>
      <c r="K2751" s="7"/>
      <c r="L2751" s="7"/>
      <c r="M2751" s="7"/>
      <c r="N2751" s="7"/>
      <c r="O2751" s="7"/>
      <c r="P2751" s="7"/>
      <c r="Q2751" s="7"/>
      <c r="R2751" s="13">
        <v>15170</v>
      </c>
      <c r="S2751" s="7"/>
      <c r="T2751" s="7"/>
      <c r="U2751" s="13">
        <v>15170</v>
      </c>
      <c r="V2751" s="7"/>
      <c r="W2751" s="7"/>
      <c r="X2751" s="7"/>
      <c r="Y2751" s="7"/>
      <c r="Z2751" s="7"/>
      <c r="AA2751" s="7"/>
    </row>
    <row r="2752" spans="1:27" outlineLevel="7">
      <c r="A2752" s="3499" t="s">
        <v>2445</v>
      </c>
      <c r="B2752" s="3499"/>
      <c r="C2752" s="7"/>
      <c r="D2752" s="7"/>
      <c r="E2752" s="13">
        <v>15170</v>
      </c>
      <c r="F2752" s="7"/>
      <c r="G2752" s="13">
        <v>15170</v>
      </c>
      <c r="H2752" s="3524">
        <v>15170</v>
      </c>
      <c r="I2752" s="3524"/>
      <c r="J2752" s="7"/>
      <c r="K2752" s="7"/>
      <c r="L2752" s="7"/>
      <c r="M2752" s="7"/>
      <c r="N2752" s="7"/>
      <c r="O2752" s="7"/>
      <c r="P2752" s="7"/>
      <c r="Q2752" s="7"/>
      <c r="R2752" s="13">
        <v>15170</v>
      </c>
      <c r="S2752" s="7"/>
      <c r="T2752" s="7"/>
      <c r="U2752" s="13">
        <v>15170</v>
      </c>
      <c r="V2752" s="7"/>
      <c r="W2752" s="7"/>
      <c r="X2752" s="7"/>
      <c r="Y2752" s="7"/>
      <c r="Z2752" s="7"/>
      <c r="AA2752" s="7"/>
    </row>
    <row r="2753" spans="1:27" outlineLevel="7">
      <c r="A2753" s="3500" t="s">
        <v>669</v>
      </c>
      <c r="B2753" s="3500"/>
      <c r="C2753" s="7"/>
      <c r="D2753" s="7"/>
      <c r="E2753" s="13">
        <v>8956.9</v>
      </c>
      <c r="F2753" s="7"/>
      <c r="G2753" s="13">
        <v>8956.9</v>
      </c>
      <c r="H2753" s="3524">
        <v>8956.9</v>
      </c>
      <c r="I2753" s="3524"/>
      <c r="J2753" s="7"/>
      <c r="K2753" s="7"/>
      <c r="L2753" s="7"/>
      <c r="M2753" s="7"/>
      <c r="N2753" s="7"/>
      <c r="O2753" s="7"/>
      <c r="P2753" s="7"/>
      <c r="Q2753" s="7"/>
      <c r="R2753" s="13">
        <v>8956.9</v>
      </c>
      <c r="S2753" s="7"/>
      <c r="T2753" s="7"/>
      <c r="U2753" s="13">
        <v>8956.9</v>
      </c>
      <c r="V2753" s="7"/>
      <c r="W2753" s="7"/>
      <c r="X2753" s="7"/>
      <c r="Y2753" s="7"/>
      <c r="Z2753" s="7"/>
      <c r="AA2753" s="7"/>
    </row>
    <row r="2754" spans="1:27" outlineLevel="7">
      <c r="A2754" s="3499" t="s">
        <v>2446</v>
      </c>
      <c r="B2754" s="3499"/>
      <c r="C2754" s="7"/>
      <c r="D2754" s="7"/>
      <c r="E2754" s="13">
        <v>8956.9</v>
      </c>
      <c r="F2754" s="7"/>
      <c r="G2754" s="13">
        <v>8956.9</v>
      </c>
      <c r="H2754" s="3524">
        <v>8956.9</v>
      </c>
      <c r="I2754" s="3524"/>
      <c r="J2754" s="7"/>
      <c r="K2754" s="7"/>
      <c r="L2754" s="7"/>
      <c r="M2754" s="7"/>
      <c r="N2754" s="7"/>
      <c r="O2754" s="7"/>
      <c r="P2754" s="7"/>
      <c r="Q2754" s="7"/>
      <c r="R2754" s="13">
        <v>8956.9</v>
      </c>
      <c r="S2754" s="7"/>
      <c r="T2754" s="7"/>
      <c r="U2754" s="13">
        <v>8956.9</v>
      </c>
      <c r="V2754" s="7"/>
      <c r="W2754" s="7"/>
      <c r="X2754" s="7"/>
      <c r="Y2754" s="7"/>
      <c r="Z2754" s="7"/>
      <c r="AA2754" s="7"/>
    </row>
    <row r="2755" spans="1:27" outlineLevel="7">
      <c r="A2755" s="3500" t="s">
        <v>670</v>
      </c>
      <c r="B2755" s="3500"/>
      <c r="C2755" s="7"/>
      <c r="D2755" s="7"/>
      <c r="E2755" s="13">
        <v>1349.06</v>
      </c>
      <c r="F2755" s="7"/>
      <c r="G2755" s="13">
        <v>1349.06</v>
      </c>
      <c r="H2755" s="3524">
        <v>1349.06</v>
      </c>
      <c r="I2755" s="3524"/>
      <c r="J2755" s="7"/>
      <c r="K2755" s="7"/>
      <c r="L2755" s="7"/>
      <c r="M2755" s="7"/>
      <c r="N2755" s="7"/>
      <c r="O2755" s="7"/>
      <c r="P2755" s="7"/>
      <c r="Q2755" s="7"/>
      <c r="R2755" s="13">
        <v>1349.06</v>
      </c>
      <c r="S2755" s="7"/>
      <c r="T2755" s="7"/>
      <c r="U2755" s="7"/>
      <c r="V2755" s="13">
        <v>1349.06</v>
      </c>
      <c r="W2755" s="13">
        <v>1349.06</v>
      </c>
      <c r="X2755" s="7"/>
      <c r="Y2755" s="7"/>
      <c r="Z2755" s="7"/>
      <c r="AA2755" s="7"/>
    </row>
    <row r="2756" spans="1:27" outlineLevel="7">
      <c r="A2756" s="3499" t="s">
        <v>2447</v>
      </c>
      <c r="B2756" s="3499"/>
      <c r="C2756" s="7"/>
      <c r="D2756" s="7"/>
      <c r="E2756" s="13">
        <v>1349.06</v>
      </c>
      <c r="F2756" s="7"/>
      <c r="G2756" s="13">
        <v>1349.06</v>
      </c>
      <c r="H2756" s="3524">
        <v>1349.06</v>
      </c>
      <c r="I2756" s="3524"/>
      <c r="J2756" s="7"/>
      <c r="K2756" s="7"/>
      <c r="L2756" s="7"/>
      <c r="M2756" s="7"/>
      <c r="N2756" s="7"/>
      <c r="O2756" s="7"/>
      <c r="P2756" s="7"/>
      <c r="Q2756" s="7"/>
      <c r="R2756" s="13">
        <v>1349.06</v>
      </c>
      <c r="S2756" s="7"/>
      <c r="T2756" s="7"/>
      <c r="U2756" s="7"/>
      <c r="V2756" s="13">
        <v>1349.06</v>
      </c>
      <c r="W2756" s="13">
        <v>1349.06</v>
      </c>
      <c r="X2756" s="7"/>
      <c r="Y2756" s="7"/>
      <c r="Z2756" s="7"/>
      <c r="AA2756" s="7"/>
    </row>
    <row r="2757" spans="1:27" outlineLevel="6">
      <c r="A2757" s="3501" t="s">
        <v>671</v>
      </c>
      <c r="B2757" s="3501"/>
      <c r="C2757" s="12"/>
      <c r="D2757" s="14">
        <v>550</v>
      </c>
      <c r="E2757" s="14">
        <v>550</v>
      </c>
      <c r="F2757" s="7"/>
      <c r="G2757" s="14">
        <v>550</v>
      </c>
      <c r="H2757" s="3523">
        <v>550</v>
      </c>
      <c r="I2757" s="3523"/>
      <c r="J2757" s="7"/>
      <c r="K2757" s="7"/>
      <c r="L2757" s="7"/>
      <c r="M2757" s="7"/>
      <c r="N2757" s="7"/>
      <c r="O2757" s="7"/>
      <c r="P2757" s="7"/>
      <c r="Q2757" s="7"/>
      <c r="R2757" s="12"/>
      <c r="S2757" s="7"/>
      <c r="T2757" s="7"/>
      <c r="U2757" s="7"/>
      <c r="V2757" s="7"/>
      <c r="W2757" s="7"/>
      <c r="X2757" s="7"/>
      <c r="Y2757" s="7"/>
      <c r="Z2757" s="12"/>
      <c r="AA2757" s="12"/>
    </row>
    <row r="2758" spans="1:27" outlineLevel="7">
      <c r="A2758" s="3500" t="s">
        <v>672</v>
      </c>
      <c r="B2758" s="3500"/>
      <c r="C2758" s="12"/>
      <c r="D2758" s="14">
        <v>550</v>
      </c>
      <c r="E2758" s="14">
        <v>550</v>
      </c>
      <c r="F2758" s="7"/>
      <c r="G2758" s="14">
        <v>550</v>
      </c>
      <c r="H2758" s="3523">
        <v>550</v>
      </c>
      <c r="I2758" s="3523"/>
      <c r="J2758" s="7"/>
      <c r="K2758" s="7"/>
      <c r="L2758" s="7"/>
      <c r="M2758" s="7"/>
      <c r="N2758" s="7"/>
      <c r="O2758" s="7"/>
      <c r="P2758" s="7"/>
      <c r="Q2758" s="7"/>
      <c r="R2758" s="12"/>
      <c r="S2758" s="7"/>
      <c r="T2758" s="7"/>
      <c r="U2758" s="7"/>
      <c r="V2758" s="7"/>
      <c r="W2758" s="7"/>
      <c r="X2758" s="7"/>
      <c r="Y2758" s="7"/>
      <c r="Z2758" s="12"/>
      <c r="AA2758" s="12"/>
    </row>
    <row r="2759" spans="1:27" outlineLevel="7">
      <c r="A2759" s="3499" t="s">
        <v>2448</v>
      </c>
      <c r="B2759" s="3499"/>
      <c r="C2759" s="12"/>
      <c r="D2759" s="14">
        <v>550</v>
      </c>
      <c r="E2759" s="14">
        <v>550</v>
      </c>
      <c r="F2759" s="7"/>
      <c r="G2759" s="14">
        <v>550</v>
      </c>
      <c r="H2759" s="3523">
        <v>550</v>
      </c>
      <c r="I2759" s="3523"/>
      <c r="J2759" s="7"/>
      <c r="K2759" s="7"/>
      <c r="L2759" s="7"/>
      <c r="M2759" s="7"/>
      <c r="N2759" s="7"/>
      <c r="O2759" s="7"/>
      <c r="P2759" s="7"/>
      <c r="Q2759" s="7"/>
      <c r="R2759" s="12"/>
      <c r="S2759" s="7"/>
      <c r="T2759" s="7"/>
      <c r="U2759" s="7"/>
      <c r="V2759" s="7"/>
      <c r="W2759" s="7"/>
      <c r="X2759" s="7"/>
      <c r="Y2759" s="7"/>
      <c r="Z2759" s="12"/>
      <c r="AA2759" s="12"/>
    </row>
    <row r="2760" spans="1:27" outlineLevel="6">
      <c r="A2760" s="3501" t="s">
        <v>673</v>
      </c>
      <c r="B2760" s="3501"/>
      <c r="C2760" s="12"/>
      <c r="D2760" s="14">
        <v>550</v>
      </c>
      <c r="E2760" s="14">
        <v>550</v>
      </c>
      <c r="F2760" s="7"/>
      <c r="G2760" s="14">
        <v>550</v>
      </c>
      <c r="H2760" s="3523">
        <v>550</v>
      </c>
      <c r="I2760" s="3523"/>
      <c r="J2760" s="7"/>
      <c r="K2760" s="7"/>
      <c r="L2760" s="7"/>
      <c r="M2760" s="7"/>
      <c r="N2760" s="7"/>
      <c r="O2760" s="7"/>
      <c r="P2760" s="7"/>
      <c r="Q2760" s="7"/>
      <c r="R2760" s="12"/>
      <c r="S2760" s="7"/>
      <c r="T2760" s="7"/>
      <c r="U2760" s="7"/>
      <c r="V2760" s="7"/>
      <c r="W2760" s="7"/>
      <c r="X2760" s="7"/>
      <c r="Y2760" s="7"/>
      <c r="Z2760" s="12"/>
      <c r="AA2760" s="12"/>
    </row>
    <row r="2761" spans="1:27" outlineLevel="7">
      <c r="A2761" s="3500" t="s">
        <v>674</v>
      </c>
      <c r="B2761" s="3500"/>
      <c r="C2761" s="12"/>
      <c r="D2761" s="14">
        <v>550</v>
      </c>
      <c r="E2761" s="14">
        <v>550</v>
      </c>
      <c r="F2761" s="7"/>
      <c r="G2761" s="14">
        <v>550</v>
      </c>
      <c r="H2761" s="3523">
        <v>550</v>
      </c>
      <c r="I2761" s="3523"/>
      <c r="J2761" s="7"/>
      <c r="K2761" s="7"/>
      <c r="L2761" s="7"/>
      <c r="M2761" s="7"/>
      <c r="N2761" s="7"/>
      <c r="O2761" s="7"/>
      <c r="P2761" s="7"/>
      <c r="Q2761" s="7"/>
      <c r="R2761" s="12"/>
      <c r="S2761" s="7"/>
      <c r="T2761" s="7"/>
      <c r="U2761" s="7"/>
      <c r="V2761" s="7"/>
      <c r="W2761" s="7"/>
      <c r="X2761" s="7"/>
      <c r="Y2761" s="7"/>
      <c r="Z2761" s="12"/>
      <c r="AA2761" s="12"/>
    </row>
    <row r="2762" spans="1:27" outlineLevel="7">
      <c r="A2762" s="3499" t="s">
        <v>2449</v>
      </c>
      <c r="B2762" s="3499"/>
      <c r="C2762" s="12"/>
      <c r="D2762" s="14">
        <v>550</v>
      </c>
      <c r="E2762" s="14">
        <v>550</v>
      </c>
      <c r="F2762" s="7"/>
      <c r="G2762" s="14">
        <v>550</v>
      </c>
      <c r="H2762" s="3523">
        <v>550</v>
      </c>
      <c r="I2762" s="3523"/>
      <c r="J2762" s="7"/>
      <c r="K2762" s="7"/>
      <c r="L2762" s="7"/>
      <c r="M2762" s="7"/>
      <c r="N2762" s="7"/>
      <c r="O2762" s="7"/>
      <c r="P2762" s="7"/>
      <c r="Q2762" s="7"/>
      <c r="R2762" s="12"/>
      <c r="S2762" s="7"/>
      <c r="T2762" s="7"/>
      <c r="U2762" s="7"/>
      <c r="V2762" s="7"/>
      <c r="W2762" s="7"/>
      <c r="X2762" s="7"/>
      <c r="Y2762" s="7"/>
      <c r="Z2762" s="12"/>
      <c r="AA2762" s="12"/>
    </row>
    <row r="2763" spans="1:27" outlineLevel="6">
      <c r="A2763" s="3501" t="s">
        <v>675</v>
      </c>
      <c r="B2763" s="3501"/>
      <c r="C2763" s="7"/>
      <c r="D2763" s="7"/>
      <c r="E2763" s="14">
        <v>550</v>
      </c>
      <c r="F2763" s="7"/>
      <c r="G2763" s="14">
        <v>550</v>
      </c>
      <c r="H2763" s="3523">
        <v>550</v>
      </c>
      <c r="I2763" s="3523"/>
      <c r="J2763" s="7"/>
      <c r="K2763" s="7"/>
      <c r="L2763" s="7"/>
      <c r="M2763" s="7"/>
      <c r="N2763" s="7"/>
      <c r="O2763" s="7"/>
      <c r="P2763" s="7"/>
      <c r="Q2763" s="7"/>
      <c r="R2763" s="14">
        <v>550</v>
      </c>
      <c r="S2763" s="7"/>
      <c r="T2763" s="7"/>
      <c r="U2763" s="14">
        <v>550</v>
      </c>
      <c r="V2763" s="7"/>
      <c r="W2763" s="7"/>
      <c r="X2763" s="7"/>
      <c r="Y2763" s="7"/>
      <c r="Z2763" s="7"/>
      <c r="AA2763" s="7"/>
    </row>
    <row r="2764" spans="1:27" outlineLevel="7">
      <c r="A2764" s="3500" t="s">
        <v>676</v>
      </c>
      <c r="B2764" s="3500"/>
      <c r="C2764" s="7"/>
      <c r="D2764" s="7"/>
      <c r="E2764" s="14">
        <v>550</v>
      </c>
      <c r="F2764" s="7"/>
      <c r="G2764" s="14">
        <v>550</v>
      </c>
      <c r="H2764" s="3523">
        <v>550</v>
      </c>
      <c r="I2764" s="3523"/>
      <c r="J2764" s="7"/>
      <c r="K2764" s="7"/>
      <c r="L2764" s="7"/>
      <c r="M2764" s="7"/>
      <c r="N2764" s="7"/>
      <c r="O2764" s="7"/>
      <c r="P2764" s="7"/>
      <c r="Q2764" s="7"/>
      <c r="R2764" s="14">
        <v>550</v>
      </c>
      <c r="S2764" s="7"/>
      <c r="T2764" s="7"/>
      <c r="U2764" s="14">
        <v>550</v>
      </c>
      <c r="V2764" s="7"/>
      <c r="W2764" s="7"/>
      <c r="X2764" s="7"/>
      <c r="Y2764" s="7"/>
      <c r="Z2764" s="7"/>
      <c r="AA2764" s="7"/>
    </row>
    <row r="2765" spans="1:27" outlineLevel="7">
      <c r="A2765" s="3499" t="s">
        <v>2450</v>
      </c>
      <c r="B2765" s="3499"/>
      <c r="C2765" s="7"/>
      <c r="D2765" s="7"/>
      <c r="E2765" s="14">
        <v>550</v>
      </c>
      <c r="F2765" s="7"/>
      <c r="G2765" s="14">
        <v>550</v>
      </c>
      <c r="H2765" s="3523">
        <v>550</v>
      </c>
      <c r="I2765" s="3523"/>
      <c r="J2765" s="7"/>
      <c r="K2765" s="7"/>
      <c r="L2765" s="7"/>
      <c r="M2765" s="7"/>
      <c r="N2765" s="7"/>
      <c r="O2765" s="7"/>
      <c r="P2765" s="7"/>
      <c r="Q2765" s="7"/>
      <c r="R2765" s="14">
        <v>550</v>
      </c>
      <c r="S2765" s="7"/>
      <c r="T2765" s="7"/>
      <c r="U2765" s="14">
        <v>550</v>
      </c>
      <c r="V2765" s="7"/>
      <c r="W2765" s="7"/>
      <c r="X2765" s="7"/>
      <c r="Y2765" s="7"/>
      <c r="Z2765" s="7"/>
      <c r="AA2765" s="7"/>
    </row>
    <row r="2766" spans="1:27" outlineLevel="6">
      <c r="A2766" s="3501" t="s">
        <v>677</v>
      </c>
      <c r="B2766" s="3501"/>
      <c r="C2766" s="12"/>
      <c r="D2766" s="12"/>
      <c r="E2766" s="13">
        <v>200787.18</v>
      </c>
      <c r="F2766" s="7"/>
      <c r="G2766" s="13">
        <v>200787.18</v>
      </c>
      <c r="H2766" s="3524">
        <v>200787.18</v>
      </c>
      <c r="I2766" s="3524"/>
      <c r="J2766" s="7"/>
      <c r="K2766" s="7"/>
      <c r="L2766" s="7"/>
      <c r="M2766" s="7"/>
      <c r="N2766" s="7"/>
      <c r="O2766" s="7"/>
      <c r="P2766" s="7"/>
      <c r="Q2766" s="7"/>
      <c r="R2766" s="13">
        <v>275751.40000000002</v>
      </c>
      <c r="S2766" s="7"/>
      <c r="T2766" s="7"/>
      <c r="U2766" s="13">
        <v>275751.40000000002</v>
      </c>
      <c r="V2766" s="7"/>
      <c r="W2766" s="7"/>
      <c r="X2766" s="7"/>
      <c r="Y2766" s="7"/>
      <c r="Z2766" s="12"/>
      <c r="AA2766" s="13">
        <v>74964.22</v>
      </c>
    </row>
    <row r="2767" spans="1:27" outlineLevel="7">
      <c r="A2767" s="3500" t="s">
        <v>1249</v>
      </c>
      <c r="B2767" s="3500"/>
      <c r="C2767" s="12"/>
      <c r="D2767" s="12"/>
      <c r="E2767" s="12"/>
      <c r="F2767" s="7"/>
      <c r="G2767" s="7"/>
      <c r="H2767" s="8"/>
      <c r="I2767" s="9"/>
      <c r="J2767" s="7"/>
      <c r="K2767" s="7"/>
      <c r="L2767" s="7"/>
      <c r="M2767" s="7"/>
      <c r="N2767" s="7"/>
      <c r="O2767" s="7"/>
      <c r="P2767" s="7"/>
      <c r="Q2767" s="7"/>
      <c r="R2767" s="13">
        <v>74964.22</v>
      </c>
      <c r="S2767" s="7"/>
      <c r="T2767" s="7"/>
      <c r="U2767" s="13">
        <v>74964.22</v>
      </c>
      <c r="V2767" s="7"/>
      <c r="W2767" s="7"/>
      <c r="X2767" s="7"/>
      <c r="Y2767" s="7"/>
      <c r="Z2767" s="12"/>
      <c r="AA2767" s="13">
        <v>74964.22</v>
      </c>
    </row>
    <row r="2768" spans="1:27" outlineLevel="7">
      <c r="A2768" s="3499" t="s">
        <v>2451</v>
      </c>
      <c r="B2768" s="3499"/>
      <c r="C2768" s="12"/>
      <c r="D2768" s="12"/>
      <c r="E2768" s="12"/>
      <c r="F2768" s="7"/>
      <c r="G2768" s="7"/>
      <c r="H2768" s="8"/>
      <c r="I2768" s="9"/>
      <c r="J2768" s="7"/>
      <c r="K2768" s="7"/>
      <c r="L2768" s="7"/>
      <c r="M2768" s="7"/>
      <c r="N2768" s="7"/>
      <c r="O2768" s="7"/>
      <c r="P2768" s="7"/>
      <c r="Q2768" s="7"/>
      <c r="R2768" s="13">
        <v>74964.22</v>
      </c>
      <c r="S2768" s="7"/>
      <c r="T2768" s="7"/>
      <c r="U2768" s="13">
        <v>74964.22</v>
      </c>
      <c r="V2768" s="7"/>
      <c r="W2768" s="7"/>
      <c r="X2768" s="7"/>
      <c r="Y2768" s="7"/>
      <c r="Z2768" s="12"/>
      <c r="AA2768" s="13">
        <v>74964.22</v>
      </c>
    </row>
    <row r="2769" spans="1:27" outlineLevel="7">
      <c r="A2769" s="3500" t="s">
        <v>678</v>
      </c>
      <c r="B2769" s="3500"/>
      <c r="C2769" s="7"/>
      <c r="D2769" s="7"/>
      <c r="E2769" s="13">
        <v>73321.649999999994</v>
      </c>
      <c r="F2769" s="7"/>
      <c r="G2769" s="13">
        <v>73321.649999999994</v>
      </c>
      <c r="H2769" s="3524">
        <v>73321.649999999994</v>
      </c>
      <c r="I2769" s="3524"/>
      <c r="J2769" s="7"/>
      <c r="K2769" s="7"/>
      <c r="L2769" s="7"/>
      <c r="M2769" s="7"/>
      <c r="N2769" s="7"/>
      <c r="O2769" s="7"/>
      <c r="P2769" s="7"/>
      <c r="Q2769" s="7"/>
      <c r="R2769" s="13">
        <v>73321.649999999994</v>
      </c>
      <c r="S2769" s="7"/>
      <c r="T2769" s="7"/>
      <c r="U2769" s="13">
        <v>73321.649999999994</v>
      </c>
      <c r="V2769" s="7"/>
      <c r="W2769" s="7"/>
      <c r="X2769" s="7"/>
      <c r="Y2769" s="7"/>
      <c r="Z2769" s="7"/>
      <c r="AA2769" s="7"/>
    </row>
    <row r="2770" spans="1:27" outlineLevel="7">
      <c r="A2770" s="3499" t="s">
        <v>2452</v>
      </c>
      <c r="B2770" s="3499"/>
      <c r="C2770" s="7"/>
      <c r="D2770" s="7"/>
      <c r="E2770" s="13">
        <v>73321.649999999994</v>
      </c>
      <c r="F2770" s="7"/>
      <c r="G2770" s="13">
        <v>73321.649999999994</v>
      </c>
      <c r="H2770" s="3524">
        <v>73321.649999999994</v>
      </c>
      <c r="I2770" s="3524"/>
      <c r="J2770" s="7"/>
      <c r="K2770" s="7"/>
      <c r="L2770" s="7"/>
      <c r="M2770" s="7"/>
      <c r="N2770" s="7"/>
      <c r="O2770" s="7"/>
      <c r="P2770" s="7"/>
      <c r="Q2770" s="7"/>
      <c r="R2770" s="13">
        <v>73321.649999999994</v>
      </c>
      <c r="S2770" s="7"/>
      <c r="T2770" s="7"/>
      <c r="U2770" s="13">
        <v>73321.649999999994</v>
      </c>
      <c r="V2770" s="7"/>
      <c r="W2770" s="7"/>
      <c r="X2770" s="7"/>
      <c r="Y2770" s="7"/>
      <c r="Z2770" s="7"/>
      <c r="AA2770" s="7"/>
    </row>
    <row r="2771" spans="1:27" outlineLevel="7">
      <c r="A2771" s="3500" t="s">
        <v>679</v>
      </c>
      <c r="B2771" s="3500"/>
      <c r="C2771" s="7"/>
      <c r="D2771" s="7"/>
      <c r="E2771" s="13">
        <v>40453.33</v>
      </c>
      <c r="F2771" s="7"/>
      <c r="G2771" s="13">
        <v>40453.33</v>
      </c>
      <c r="H2771" s="3524">
        <v>40453.33</v>
      </c>
      <c r="I2771" s="3524"/>
      <c r="J2771" s="7"/>
      <c r="K2771" s="7"/>
      <c r="L2771" s="7"/>
      <c r="M2771" s="7"/>
      <c r="N2771" s="7"/>
      <c r="O2771" s="7"/>
      <c r="P2771" s="7"/>
      <c r="Q2771" s="7"/>
      <c r="R2771" s="13">
        <v>40453.33</v>
      </c>
      <c r="S2771" s="7"/>
      <c r="T2771" s="7"/>
      <c r="U2771" s="13">
        <v>40453.33</v>
      </c>
      <c r="V2771" s="7"/>
      <c r="W2771" s="7"/>
      <c r="X2771" s="7"/>
      <c r="Y2771" s="7"/>
      <c r="Z2771" s="7"/>
      <c r="AA2771" s="7"/>
    </row>
    <row r="2772" spans="1:27" outlineLevel="7">
      <c r="A2772" s="3499" t="s">
        <v>2453</v>
      </c>
      <c r="B2772" s="3499"/>
      <c r="C2772" s="7"/>
      <c r="D2772" s="7"/>
      <c r="E2772" s="13">
        <v>40453.33</v>
      </c>
      <c r="F2772" s="7"/>
      <c r="G2772" s="13">
        <v>40453.33</v>
      </c>
      <c r="H2772" s="3524">
        <v>40453.33</v>
      </c>
      <c r="I2772" s="3524"/>
      <c r="J2772" s="7"/>
      <c r="K2772" s="7"/>
      <c r="L2772" s="7"/>
      <c r="M2772" s="7"/>
      <c r="N2772" s="7"/>
      <c r="O2772" s="7"/>
      <c r="P2772" s="7"/>
      <c r="Q2772" s="7"/>
      <c r="R2772" s="13">
        <v>40453.33</v>
      </c>
      <c r="S2772" s="7"/>
      <c r="T2772" s="7"/>
      <c r="U2772" s="13">
        <v>40453.33</v>
      </c>
      <c r="V2772" s="7"/>
      <c r="W2772" s="7"/>
      <c r="X2772" s="7"/>
      <c r="Y2772" s="7"/>
      <c r="Z2772" s="7"/>
      <c r="AA2772" s="7"/>
    </row>
    <row r="2773" spans="1:27" outlineLevel="7">
      <c r="A2773" s="3500" t="s">
        <v>680</v>
      </c>
      <c r="B2773" s="3500"/>
      <c r="C2773" s="7"/>
      <c r="D2773" s="7"/>
      <c r="E2773" s="13">
        <v>87012.2</v>
      </c>
      <c r="F2773" s="7"/>
      <c r="G2773" s="13">
        <v>87012.2</v>
      </c>
      <c r="H2773" s="3524">
        <v>87012.2</v>
      </c>
      <c r="I2773" s="3524"/>
      <c r="J2773" s="7"/>
      <c r="K2773" s="7"/>
      <c r="L2773" s="7"/>
      <c r="M2773" s="7"/>
      <c r="N2773" s="7"/>
      <c r="O2773" s="7"/>
      <c r="P2773" s="7"/>
      <c r="Q2773" s="7"/>
      <c r="R2773" s="13">
        <v>87012.2</v>
      </c>
      <c r="S2773" s="7"/>
      <c r="T2773" s="7"/>
      <c r="U2773" s="13">
        <v>87012.2</v>
      </c>
      <c r="V2773" s="7"/>
      <c r="W2773" s="7"/>
      <c r="X2773" s="7"/>
      <c r="Y2773" s="7"/>
      <c r="Z2773" s="7"/>
      <c r="AA2773" s="7"/>
    </row>
    <row r="2774" spans="1:27" outlineLevel="7">
      <c r="A2774" s="3499" t="s">
        <v>2454</v>
      </c>
      <c r="B2774" s="3499"/>
      <c r="C2774" s="7"/>
      <c r="D2774" s="7"/>
      <c r="E2774" s="13">
        <v>87012.2</v>
      </c>
      <c r="F2774" s="7"/>
      <c r="G2774" s="13">
        <v>87012.2</v>
      </c>
      <c r="H2774" s="3524">
        <v>87012.2</v>
      </c>
      <c r="I2774" s="3524"/>
      <c r="J2774" s="7"/>
      <c r="K2774" s="7"/>
      <c r="L2774" s="7"/>
      <c r="M2774" s="7"/>
      <c r="N2774" s="7"/>
      <c r="O2774" s="7"/>
      <c r="P2774" s="7"/>
      <c r="Q2774" s="7"/>
      <c r="R2774" s="13">
        <v>87012.2</v>
      </c>
      <c r="S2774" s="7"/>
      <c r="T2774" s="7"/>
      <c r="U2774" s="13">
        <v>87012.2</v>
      </c>
      <c r="V2774" s="7"/>
      <c r="W2774" s="7"/>
      <c r="X2774" s="7"/>
      <c r="Y2774" s="7"/>
      <c r="Z2774" s="7"/>
      <c r="AA2774" s="7"/>
    </row>
    <row r="2775" spans="1:27" outlineLevel="6">
      <c r="A2775" s="3501" t="s">
        <v>681</v>
      </c>
      <c r="B2775" s="3501"/>
      <c r="C2775" s="7"/>
      <c r="D2775" s="7"/>
      <c r="E2775" s="14">
        <v>550</v>
      </c>
      <c r="F2775" s="7"/>
      <c r="G2775" s="14">
        <v>550</v>
      </c>
      <c r="H2775" s="3523">
        <v>550</v>
      </c>
      <c r="I2775" s="3523"/>
      <c r="J2775" s="7"/>
      <c r="K2775" s="7"/>
      <c r="L2775" s="7"/>
      <c r="M2775" s="7"/>
      <c r="N2775" s="7"/>
      <c r="O2775" s="7"/>
      <c r="P2775" s="7"/>
      <c r="Q2775" s="7"/>
      <c r="R2775" s="14">
        <v>550</v>
      </c>
      <c r="S2775" s="7"/>
      <c r="T2775" s="7"/>
      <c r="U2775" s="14">
        <v>550</v>
      </c>
      <c r="V2775" s="7"/>
      <c r="W2775" s="7"/>
      <c r="X2775" s="7"/>
      <c r="Y2775" s="7"/>
      <c r="Z2775" s="7"/>
      <c r="AA2775" s="7"/>
    </row>
    <row r="2776" spans="1:27" outlineLevel="7">
      <c r="A2776" s="3500" t="s">
        <v>682</v>
      </c>
      <c r="B2776" s="3500"/>
      <c r="C2776" s="7"/>
      <c r="D2776" s="7"/>
      <c r="E2776" s="14">
        <v>550</v>
      </c>
      <c r="F2776" s="7"/>
      <c r="G2776" s="14">
        <v>550</v>
      </c>
      <c r="H2776" s="3523">
        <v>550</v>
      </c>
      <c r="I2776" s="3523"/>
      <c r="J2776" s="7"/>
      <c r="K2776" s="7"/>
      <c r="L2776" s="7"/>
      <c r="M2776" s="7"/>
      <c r="N2776" s="7"/>
      <c r="O2776" s="7"/>
      <c r="P2776" s="7"/>
      <c r="Q2776" s="7"/>
      <c r="R2776" s="14">
        <v>550</v>
      </c>
      <c r="S2776" s="7"/>
      <c r="T2776" s="7"/>
      <c r="U2776" s="14">
        <v>550</v>
      </c>
      <c r="V2776" s="7"/>
      <c r="W2776" s="7"/>
      <c r="X2776" s="7"/>
      <c r="Y2776" s="7"/>
      <c r="Z2776" s="7"/>
      <c r="AA2776" s="7"/>
    </row>
    <row r="2777" spans="1:27" outlineLevel="7">
      <c r="A2777" s="3499" t="s">
        <v>2455</v>
      </c>
      <c r="B2777" s="3499"/>
      <c r="C2777" s="7"/>
      <c r="D2777" s="7"/>
      <c r="E2777" s="14">
        <v>550</v>
      </c>
      <c r="F2777" s="7"/>
      <c r="G2777" s="14">
        <v>550</v>
      </c>
      <c r="H2777" s="3523">
        <v>550</v>
      </c>
      <c r="I2777" s="3523"/>
      <c r="J2777" s="7"/>
      <c r="K2777" s="7"/>
      <c r="L2777" s="7"/>
      <c r="M2777" s="7"/>
      <c r="N2777" s="7"/>
      <c r="O2777" s="7"/>
      <c r="P2777" s="7"/>
      <c r="Q2777" s="7"/>
      <c r="R2777" s="14">
        <v>550</v>
      </c>
      <c r="S2777" s="7"/>
      <c r="T2777" s="7"/>
      <c r="U2777" s="14">
        <v>550</v>
      </c>
      <c r="V2777" s="7"/>
      <c r="W2777" s="7"/>
      <c r="X2777" s="7"/>
      <c r="Y2777" s="7"/>
      <c r="Z2777" s="7"/>
      <c r="AA2777" s="7"/>
    </row>
    <row r="2778" spans="1:27" outlineLevel="6">
      <c r="A2778" s="3501" t="s">
        <v>683</v>
      </c>
      <c r="B2778" s="3501"/>
      <c r="C2778" s="7"/>
      <c r="D2778" s="7"/>
      <c r="E2778" s="14">
        <v>550</v>
      </c>
      <c r="F2778" s="7"/>
      <c r="G2778" s="14">
        <v>550</v>
      </c>
      <c r="H2778" s="3523">
        <v>550</v>
      </c>
      <c r="I2778" s="3523"/>
      <c r="J2778" s="7"/>
      <c r="K2778" s="7"/>
      <c r="L2778" s="7"/>
      <c r="M2778" s="7"/>
      <c r="N2778" s="7"/>
      <c r="O2778" s="7"/>
      <c r="P2778" s="7"/>
      <c r="Q2778" s="7"/>
      <c r="R2778" s="14">
        <v>550</v>
      </c>
      <c r="S2778" s="7"/>
      <c r="T2778" s="7"/>
      <c r="U2778" s="14">
        <v>550</v>
      </c>
      <c r="V2778" s="7"/>
      <c r="W2778" s="7"/>
      <c r="X2778" s="7"/>
      <c r="Y2778" s="7"/>
      <c r="Z2778" s="7"/>
      <c r="AA2778" s="7"/>
    </row>
    <row r="2779" spans="1:27" outlineLevel="7">
      <c r="A2779" s="3500" t="s">
        <v>684</v>
      </c>
      <c r="B2779" s="3500"/>
      <c r="C2779" s="7"/>
      <c r="D2779" s="7"/>
      <c r="E2779" s="14">
        <v>550</v>
      </c>
      <c r="F2779" s="7"/>
      <c r="G2779" s="14">
        <v>550</v>
      </c>
      <c r="H2779" s="3523">
        <v>550</v>
      </c>
      <c r="I2779" s="3523"/>
      <c r="J2779" s="7"/>
      <c r="K2779" s="7"/>
      <c r="L2779" s="7"/>
      <c r="M2779" s="7"/>
      <c r="N2779" s="7"/>
      <c r="O2779" s="7"/>
      <c r="P2779" s="7"/>
      <c r="Q2779" s="7"/>
      <c r="R2779" s="14">
        <v>550</v>
      </c>
      <c r="S2779" s="7"/>
      <c r="T2779" s="7"/>
      <c r="U2779" s="14">
        <v>550</v>
      </c>
      <c r="V2779" s="7"/>
      <c r="W2779" s="7"/>
      <c r="X2779" s="7"/>
      <c r="Y2779" s="7"/>
      <c r="Z2779" s="7"/>
      <c r="AA2779" s="7"/>
    </row>
    <row r="2780" spans="1:27" outlineLevel="7">
      <c r="A2780" s="3499" t="s">
        <v>2456</v>
      </c>
      <c r="B2780" s="3499"/>
      <c r="C2780" s="7"/>
      <c r="D2780" s="7"/>
      <c r="E2780" s="14">
        <v>550</v>
      </c>
      <c r="F2780" s="7"/>
      <c r="G2780" s="14">
        <v>550</v>
      </c>
      <c r="H2780" s="3523">
        <v>550</v>
      </c>
      <c r="I2780" s="3523"/>
      <c r="J2780" s="7"/>
      <c r="K2780" s="7"/>
      <c r="L2780" s="7"/>
      <c r="M2780" s="7"/>
      <c r="N2780" s="7"/>
      <c r="O2780" s="7"/>
      <c r="P2780" s="7"/>
      <c r="Q2780" s="7"/>
      <c r="R2780" s="14">
        <v>550</v>
      </c>
      <c r="S2780" s="7"/>
      <c r="T2780" s="7"/>
      <c r="U2780" s="14">
        <v>550</v>
      </c>
      <c r="V2780" s="7"/>
      <c r="W2780" s="7"/>
      <c r="X2780" s="7"/>
      <c r="Y2780" s="7"/>
      <c r="Z2780" s="7"/>
      <c r="AA2780" s="7"/>
    </row>
    <row r="2781" spans="1:27" outlineLevel="6">
      <c r="A2781" s="3501" t="s">
        <v>687</v>
      </c>
      <c r="B2781" s="3501"/>
      <c r="C2781" s="7"/>
      <c r="D2781" s="7"/>
      <c r="E2781" s="13">
        <v>10873.41</v>
      </c>
      <c r="F2781" s="7"/>
      <c r="G2781" s="13">
        <v>10873.41</v>
      </c>
      <c r="H2781" s="3524">
        <v>10873.41</v>
      </c>
      <c r="I2781" s="3524"/>
      <c r="J2781" s="7"/>
      <c r="K2781" s="7"/>
      <c r="L2781" s="7"/>
      <c r="M2781" s="7"/>
      <c r="N2781" s="7"/>
      <c r="O2781" s="7"/>
      <c r="P2781" s="7"/>
      <c r="Q2781" s="7"/>
      <c r="R2781" s="13">
        <v>10873.41</v>
      </c>
      <c r="S2781" s="7"/>
      <c r="T2781" s="7"/>
      <c r="U2781" s="13">
        <v>10873.41</v>
      </c>
      <c r="V2781" s="7"/>
      <c r="W2781" s="7"/>
      <c r="X2781" s="7"/>
      <c r="Y2781" s="7"/>
      <c r="Z2781" s="7"/>
      <c r="AA2781" s="7"/>
    </row>
    <row r="2782" spans="1:27" outlineLevel="7">
      <c r="A2782" s="3500" t="s">
        <v>688</v>
      </c>
      <c r="B2782" s="3500"/>
      <c r="C2782" s="7"/>
      <c r="D2782" s="7"/>
      <c r="E2782" s="13">
        <v>10873.41</v>
      </c>
      <c r="F2782" s="7"/>
      <c r="G2782" s="13">
        <v>10873.41</v>
      </c>
      <c r="H2782" s="3524">
        <v>10873.41</v>
      </c>
      <c r="I2782" s="3524"/>
      <c r="J2782" s="7"/>
      <c r="K2782" s="7"/>
      <c r="L2782" s="7"/>
      <c r="M2782" s="7"/>
      <c r="N2782" s="7"/>
      <c r="O2782" s="7"/>
      <c r="P2782" s="7"/>
      <c r="Q2782" s="7"/>
      <c r="R2782" s="13">
        <v>10873.41</v>
      </c>
      <c r="S2782" s="7"/>
      <c r="T2782" s="7"/>
      <c r="U2782" s="13">
        <v>10873.41</v>
      </c>
      <c r="V2782" s="7"/>
      <c r="W2782" s="7"/>
      <c r="X2782" s="7"/>
      <c r="Y2782" s="7"/>
      <c r="Z2782" s="7"/>
      <c r="AA2782" s="7"/>
    </row>
    <row r="2783" spans="1:27" outlineLevel="7">
      <c r="A2783" s="3499" t="s">
        <v>2457</v>
      </c>
      <c r="B2783" s="3499"/>
      <c r="C2783" s="7"/>
      <c r="D2783" s="7"/>
      <c r="E2783" s="13">
        <v>10873.41</v>
      </c>
      <c r="F2783" s="7"/>
      <c r="G2783" s="13">
        <v>10873.41</v>
      </c>
      <c r="H2783" s="3524">
        <v>10873.41</v>
      </c>
      <c r="I2783" s="3524"/>
      <c r="J2783" s="7"/>
      <c r="K2783" s="7"/>
      <c r="L2783" s="7"/>
      <c r="M2783" s="7"/>
      <c r="N2783" s="7"/>
      <c r="O2783" s="7"/>
      <c r="P2783" s="7"/>
      <c r="Q2783" s="7"/>
      <c r="R2783" s="13">
        <v>10873.41</v>
      </c>
      <c r="S2783" s="7"/>
      <c r="T2783" s="7"/>
      <c r="U2783" s="13">
        <v>10873.41</v>
      </c>
      <c r="V2783" s="7"/>
      <c r="W2783" s="7"/>
      <c r="X2783" s="7"/>
      <c r="Y2783" s="7"/>
      <c r="Z2783" s="7"/>
      <c r="AA2783" s="7"/>
    </row>
    <row r="2784" spans="1:27" outlineLevel="6">
      <c r="A2784" s="3501" t="s">
        <v>693</v>
      </c>
      <c r="B2784" s="3501"/>
      <c r="C2784" s="7"/>
      <c r="D2784" s="7"/>
      <c r="E2784" s="14">
        <v>550</v>
      </c>
      <c r="F2784" s="7"/>
      <c r="G2784" s="14">
        <v>550</v>
      </c>
      <c r="H2784" s="3523">
        <v>550</v>
      </c>
      <c r="I2784" s="3523"/>
      <c r="J2784" s="7"/>
      <c r="K2784" s="7"/>
      <c r="L2784" s="7"/>
      <c r="M2784" s="7"/>
      <c r="N2784" s="7"/>
      <c r="O2784" s="7"/>
      <c r="P2784" s="7"/>
      <c r="Q2784" s="7"/>
      <c r="R2784" s="14">
        <v>550</v>
      </c>
      <c r="S2784" s="7"/>
      <c r="T2784" s="7"/>
      <c r="U2784" s="14">
        <v>550</v>
      </c>
      <c r="V2784" s="7"/>
      <c r="W2784" s="7"/>
      <c r="X2784" s="7"/>
      <c r="Y2784" s="7"/>
      <c r="Z2784" s="7"/>
      <c r="AA2784" s="7"/>
    </row>
    <row r="2785" spans="1:27" outlineLevel="7">
      <c r="A2785" s="3500" t="s">
        <v>694</v>
      </c>
      <c r="B2785" s="3500"/>
      <c r="C2785" s="7"/>
      <c r="D2785" s="7"/>
      <c r="E2785" s="14">
        <v>550</v>
      </c>
      <c r="F2785" s="7"/>
      <c r="G2785" s="14">
        <v>550</v>
      </c>
      <c r="H2785" s="3523">
        <v>550</v>
      </c>
      <c r="I2785" s="3523"/>
      <c r="J2785" s="7"/>
      <c r="K2785" s="7"/>
      <c r="L2785" s="7"/>
      <c r="M2785" s="7"/>
      <c r="N2785" s="7"/>
      <c r="O2785" s="7"/>
      <c r="P2785" s="7"/>
      <c r="Q2785" s="7"/>
      <c r="R2785" s="14">
        <v>550</v>
      </c>
      <c r="S2785" s="7"/>
      <c r="T2785" s="7"/>
      <c r="U2785" s="14">
        <v>550</v>
      </c>
      <c r="V2785" s="7"/>
      <c r="W2785" s="7"/>
      <c r="X2785" s="7"/>
      <c r="Y2785" s="7"/>
      <c r="Z2785" s="7"/>
      <c r="AA2785" s="7"/>
    </row>
    <row r="2786" spans="1:27" outlineLevel="7">
      <c r="A2786" s="3499" t="s">
        <v>2458</v>
      </c>
      <c r="B2786" s="3499"/>
      <c r="C2786" s="7"/>
      <c r="D2786" s="7"/>
      <c r="E2786" s="14">
        <v>550</v>
      </c>
      <c r="F2786" s="7"/>
      <c r="G2786" s="14">
        <v>550</v>
      </c>
      <c r="H2786" s="3523">
        <v>550</v>
      </c>
      <c r="I2786" s="3523"/>
      <c r="J2786" s="7"/>
      <c r="K2786" s="7"/>
      <c r="L2786" s="7"/>
      <c r="M2786" s="7"/>
      <c r="N2786" s="7"/>
      <c r="O2786" s="7"/>
      <c r="P2786" s="7"/>
      <c r="Q2786" s="7"/>
      <c r="R2786" s="14">
        <v>550</v>
      </c>
      <c r="S2786" s="7"/>
      <c r="T2786" s="7"/>
      <c r="U2786" s="14">
        <v>550</v>
      </c>
      <c r="V2786" s="7"/>
      <c r="W2786" s="7"/>
      <c r="X2786" s="7"/>
      <c r="Y2786" s="7"/>
      <c r="Z2786" s="7"/>
      <c r="AA2786" s="7"/>
    </row>
    <row r="2787" spans="1:27" outlineLevel="6">
      <c r="A2787" s="3501" t="s">
        <v>695</v>
      </c>
      <c r="B2787" s="3501"/>
      <c r="C2787" s="12"/>
      <c r="D2787" s="13">
        <v>1048.96</v>
      </c>
      <c r="E2787" s="13">
        <v>7470.49</v>
      </c>
      <c r="F2787" s="7"/>
      <c r="G2787" s="13">
        <v>7470.49</v>
      </c>
      <c r="H2787" s="3524">
        <v>7470.49</v>
      </c>
      <c r="I2787" s="3524"/>
      <c r="J2787" s="7"/>
      <c r="K2787" s="7"/>
      <c r="L2787" s="7"/>
      <c r="M2787" s="7"/>
      <c r="N2787" s="7"/>
      <c r="O2787" s="7"/>
      <c r="P2787" s="7"/>
      <c r="Q2787" s="7"/>
      <c r="R2787" s="13">
        <v>11838.53</v>
      </c>
      <c r="S2787" s="7"/>
      <c r="T2787" s="7"/>
      <c r="U2787" s="13">
        <v>11838.53</v>
      </c>
      <c r="V2787" s="7"/>
      <c r="W2787" s="7"/>
      <c r="X2787" s="7"/>
      <c r="Y2787" s="7"/>
      <c r="Z2787" s="12"/>
      <c r="AA2787" s="13">
        <v>5417</v>
      </c>
    </row>
    <row r="2788" spans="1:27" outlineLevel="7">
      <c r="A2788" s="3500" t="s">
        <v>696</v>
      </c>
      <c r="B2788" s="3500"/>
      <c r="C2788" s="12"/>
      <c r="D2788" s="14">
        <v>17.97</v>
      </c>
      <c r="E2788" s="14">
        <v>17.97</v>
      </c>
      <c r="F2788" s="7"/>
      <c r="G2788" s="14">
        <v>17.97</v>
      </c>
      <c r="H2788" s="3523">
        <v>17.97</v>
      </c>
      <c r="I2788" s="3523"/>
      <c r="J2788" s="7"/>
      <c r="K2788" s="7"/>
      <c r="L2788" s="7"/>
      <c r="M2788" s="7"/>
      <c r="N2788" s="7"/>
      <c r="O2788" s="7"/>
      <c r="P2788" s="7"/>
      <c r="Q2788" s="7"/>
      <c r="R2788" s="12"/>
      <c r="S2788" s="7"/>
      <c r="T2788" s="7"/>
      <c r="U2788" s="7"/>
      <c r="V2788" s="7"/>
      <c r="W2788" s="7"/>
      <c r="X2788" s="7"/>
      <c r="Y2788" s="7"/>
      <c r="Z2788" s="12"/>
      <c r="AA2788" s="12"/>
    </row>
    <row r="2789" spans="1:27" outlineLevel="7">
      <c r="A2789" s="3499" t="s">
        <v>2459</v>
      </c>
      <c r="B2789" s="3499"/>
      <c r="C2789" s="12"/>
      <c r="D2789" s="14">
        <v>17.97</v>
      </c>
      <c r="E2789" s="14">
        <v>17.97</v>
      </c>
      <c r="F2789" s="7"/>
      <c r="G2789" s="14">
        <v>17.97</v>
      </c>
      <c r="H2789" s="3523">
        <v>17.97</v>
      </c>
      <c r="I2789" s="3523"/>
      <c r="J2789" s="7"/>
      <c r="K2789" s="7"/>
      <c r="L2789" s="7"/>
      <c r="M2789" s="7"/>
      <c r="N2789" s="7"/>
      <c r="O2789" s="7"/>
      <c r="P2789" s="7"/>
      <c r="Q2789" s="7"/>
      <c r="R2789" s="12"/>
      <c r="S2789" s="7"/>
      <c r="T2789" s="7"/>
      <c r="U2789" s="7"/>
      <c r="V2789" s="7"/>
      <c r="W2789" s="7"/>
      <c r="X2789" s="7"/>
      <c r="Y2789" s="7"/>
      <c r="Z2789" s="12"/>
      <c r="AA2789" s="12"/>
    </row>
    <row r="2790" spans="1:27" outlineLevel="7">
      <c r="A2790" s="3500" t="s">
        <v>699</v>
      </c>
      <c r="B2790" s="3500"/>
      <c r="C2790" s="12"/>
      <c r="D2790" s="13">
        <v>1030.99</v>
      </c>
      <c r="E2790" s="13">
        <v>1030.99</v>
      </c>
      <c r="F2790" s="7"/>
      <c r="G2790" s="13">
        <v>1030.99</v>
      </c>
      <c r="H2790" s="3524">
        <v>1030.99</v>
      </c>
      <c r="I2790" s="3524"/>
      <c r="J2790" s="7"/>
      <c r="K2790" s="7"/>
      <c r="L2790" s="7"/>
      <c r="M2790" s="7"/>
      <c r="N2790" s="7"/>
      <c r="O2790" s="7"/>
      <c r="P2790" s="7"/>
      <c r="Q2790" s="7"/>
      <c r="R2790" s="12"/>
      <c r="S2790" s="7"/>
      <c r="T2790" s="7"/>
      <c r="U2790" s="7"/>
      <c r="V2790" s="7"/>
      <c r="W2790" s="7"/>
      <c r="X2790" s="7"/>
      <c r="Y2790" s="7"/>
      <c r="Z2790" s="12"/>
      <c r="AA2790" s="12"/>
    </row>
    <row r="2791" spans="1:27" outlineLevel="7">
      <c r="A2791" s="3499" t="s">
        <v>2460</v>
      </c>
      <c r="B2791" s="3499"/>
      <c r="C2791" s="12"/>
      <c r="D2791" s="13">
        <v>1030.99</v>
      </c>
      <c r="E2791" s="13">
        <v>1030.99</v>
      </c>
      <c r="F2791" s="7"/>
      <c r="G2791" s="13">
        <v>1030.99</v>
      </c>
      <c r="H2791" s="3524">
        <v>1030.99</v>
      </c>
      <c r="I2791" s="3524"/>
      <c r="J2791" s="7"/>
      <c r="K2791" s="7"/>
      <c r="L2791" s="7"/>
      <c r="M2791" s="7"/>
      <c r="N2791" s="7"/>
      <c r="O2791" s="7"/>
      <c r="P2791" s="7"/>
      <c r="Q2791" s="7"/>
      <c r="R2791" s="12"/>
      <c r="S2791" s="7"/>
      <c r="T2791" s="7"/>
      <c r="U2791" s="7"/>
      <c r="V2791" s="7"/>
      <c r="W2791" s="7"/>
      <c r="X2791" s="7"/>
      <c r="Y2791" s="7"/>
      <c r="Z2791" s="12"/>
      <c r="AA2791" s="12"/>
    </row>
    <row r="2792" spans="1:27" outlineLevel="7">
      <c r="A2792" s="3500" t="s">
        <v>700</v>
      </c>
      <c r="B2792" s="3500"/>
      <c r="C2792" s="7"/>
      <c r="D2792" s="7"/>
      <c r="E2792" s="13">
        <v>2140.5100000000002</v>
      </c>
      <c r="F2792" s="7"/>
      <c r="G2792" s="13">
        <v>2140.5100000000002</v>
      </c>
      <c r="H2792" s="3524">
        <v>2140.5100000000002</v>
      </c>
      <c r="I2792" s="3524"/>
      <c r="J2792" s="7"/>
      <c r="K2792" s="7"/>
      <c r="L2792" s="7"/>
      <c r="M2792" s="7"/>
      <c r="N2792" s="7"/>
      <c r="O2792" s="7"/>
      <c r="P2792" s="7"/>
      <c r="Q2792" s="7"/>
      <c r="R2792" s="13">
        <v>2140.5100000000002</v>
      </c>
      <c r="S2792" s="7"/>
      <c r="T2792" s="7"/>
      <c r="U2792" s="13">
        <v>2140.5100000000002</v>
      </c>
      <c r="V2792" s="7"/>
      <c r="W2792" s="7"/>
      <c r="X2792" s="7"/>
      <c r="Y2792" s="7"/>
      <c r="Z2792" s="7"/>
      <c r="AA2792" s="7"/>
    </row>
    <row r="2793" spans="1:27" outlineLevel="7">
      <c r="A2793" s="3499" t="s">
        <v>2461</v>
      </c>
      <c r="B2793" s="3499"/>
      <c r="C2793" s="7"/>
      <c r="D2793" s="7"/>
      <c r="E2793" s="13">
        <v>2140.5100000000002</v>
      </c>
      <c r="F2793" s="7"/>
      <c r="G2793" s="13">
        <v>2140.5100000000002</v>
      </c>
      <c r="H2793" s="3524">
        <v>2140.5100000000002</v>
      </c>
      <c r="I2793" s="3524"/>
      <c r="J2793" s="7"/>
      <c r="K2793" s="7"/>
      <c r="L2793" s="7"/>
      <c r="M2793" s="7"/>
      <c r="N2793" s="7"/>
      <c r="O2793" s="7"/>
      <c r="P2793" s="7"/>
      <c r="Q2793" s="7"/>
      <c r="R2793" s="13">
        <v>2140.5100000000002</v>
      </c>
      <c r="S2793" s="7"/>
      <c r="T2793" s="7"/>
      <c r="U2793" s="13">
        <v>2140.5100000000002</v>
      </c>
      <c r="V2793" s="7"/>
      <c r="W2793" s="7"/>
      <c r="X2793" s="7"/>
      <c r="Y2793" s="7"/>
      <c r="Z2793" s="7"/>
      <c r="AA2793" s="7"/>
    </row>
    <row r="2794" spans="1:27" outlineLevel="7">
      <c r="A2794" s="3500" t="s">
        <v>701</v>
      </c>
      <c r="B2794" s="3500"/>
      <c r="C2794" s="7"/>
      <c r="D2794" s="7"/>
      <c r="E2794" s="13">
        <v>2140.5100000000002</v>
      </c>
      <c r="F2794" s="7"/>
      <c r="G2794" s="13">
        <v>2140.5100000000002</v>
      </c>
      <c r="H2794" s="3524">
        <v>2140.5100000000002</v>
      </c>
      <c r="I2794" s="3524"/>
      <c r="J2794" s="7"/>
      <c r="K2794" s="7"/>
      <c r="L2794" s="7"/>
      <c r="M2794" s="7"/>
      <c r="N2794" s="7"/>
      <c r="O2794" s="7"/>
      <c r="P2794" s="7"/>
      <c r="Q2794" s="7"/>
      <c r="R2794" s="13">
        <v>2140.5100000000002</v>
      </c>
      <c r="S2794" s="7"/>
      <c r="T2794" s="7"/>
      <c r="U2794" s="13">
        <v>2140.5100000000002</v>
      </c>
      <c r="V2794" s="7"/>
      <c r="W2794" s="7"/>
      <c r="X2794" s="7"/>
      <c r="Y2794" s="7"/>
      <c r="Z2794" s="7"/>
      <c r="AA2794" s="7"/>
    </row>
    <row r="2795" spans="1:27" outlineLevel="7">
      <c r="A2795" s="3499" t="s">
        <v>2461</v>
      </c>
      <c r="B2795" s="3499"/>
      <c r="C2795" s="7"/>
      <c r="D2795" s="7"/>
      <c r="E2795" s="13">
        <v>2140.5100000000002</v>
      </c>
      <c r="F2795" s="7"/>
      <c r="G2795" s="13">
        <v>2140.5100000000002</v>
      </c>
      <c r="H2795" s="3524">
        <v>2140.5100000000002</v>
      </c>
      <c r="I2795" s="3524"/>
      <c r="J2795" s="7"/>
      <c r="K2795" s="7"/>
      <c r="L2795" s="7"/>
      <c r="M2795" s="7"/>
      <c r="N2795" s="7"/>
      <c r="O2795" s="7"/>
      <c r="P2795" s="7"/>
      <c r="Q2795" s="7"/>
      <c r="R2795" s="13">
        <v>2140.5100000000002</v>
      </c>
      <c r="S2795" s="7"/>
      <c r="T2795" s="7"/>
      <c r="U2795" s="13">
        <v>2140.5100000000002</v>
      </c>
      <c r="V2795" s="7"/>
      <c r="W2795" s="7"/>
      <c r="X2795" s="7"/>
      <c r="Y2795" s="7"/>
      <c r="Z2795" s="7"/>
      <c r="AA2795" s="7"/>
    </row>
    <row r="2796" spans="1:27" outlineLevel="7">
      <c r="A2796" s="3500" t="s">
        <v>702</v>
      </c>
      <c r="B2796" s="3500"/>
      <c r="C2796" s="7"/>
      <c r="D2796" s="7"/>
      <c r="E2796" s="13">
        <v>2140.5100000000002</v>
      </c>
      <c r="F2796" s="7"/>
      <c r="G2796" s="13">
        <v>2140.5100000000002</v>
      </c>
      <c r="H2796" s="3524">
        <v>2140.5100000000002</v>
      </c>
      <c r="I2796" s="3524"/>
      <c r="J2796" s="7"/>
      <c r="K2796" s="7"/>
      <c r="L2796" s="7"/>
      <c r="M2796" s="7"/>
      <c r="N2796" s="7"/>
      <c r="O2796" s="7"/>
      <c r="P2796" s="7"/>
      <c r="Q2796" s="7"/>
      <c r="R2796" s="13">
        <v>2140.5100000000002</v>
      </c>
      <c r="S2796" s="7"/>
      <c r="T2796" s="7"/>
      <c r="U2796" s="13">
        <v>2140.5100000000002</v>
      </c>
      <c r="V2796" s="7"/>
      <c r="W2796" s="7"/>
      <c r="X2796" s="7"/>
      <c r="Y2796" s="7"/>
      <c r="Z2796" s="7"/>
      <c r="AA2796" s="7"/>
    </row>
    <row r="2797" spans="1:27" outlineLevel="7">
      <c r="A2797" s="3499" t="s">
        <v>2461</v>
      </c>
      <c r="B2797" s="3499"/>
      <c r="C2797" s="7"/>
      <c r="D2797" s="7"/>
      <c r="E2797" s="13">
        <v>2140.5100000000002</v>
      </c>
      <c r="F2797" s="7"/>
      <c r="G2797" s="13">
        <v>2140.5100000000002</v>
      </c>
      <c r="H2797" s="3524">
        <v>2140.5100000000002</v>
      </c>
      <c r="I2797" s="3524"/>
      <c r="J2797" s="7"/>
      <c r="K2797" s="7"/>
      <c r="L2797" s="7"/>
      <c r="M2797" s="7"/>
      <c r="N2797" s="7"/>
      <c r="O2797" s="7"/>
      <c r="P2797" s="7"/>
      <c r="Q2797" s="7"/>
      <c r="R2797" s="13">
        <v>2140.5100000000002</v>
      </c>
      <c r="S2797" s="7"/>
      <c r="T2797" s="7"/>
      <c r="U2797" s="13">
        <v>2140.5100000000002</v>
      </c>
      <c r="V2797" s="7"/>
      <c r="W2797" s="7"/>
      <c r="X2797" s="7"/>
      <c r="Y2797" s="7"/>
      <c r="Z2797" s="7"/>
      <c r="AA2797" s="7"/>
    </row>
    <row r="2798" spans="1:27" outlineLevel="7">
      <c r="A2798" s="3500" t="s">
        <v>1250</v>
      </c>
      <c r="B2798" s="3500"/>
      <c r="C2798" s="12"/>
      <c r="D2798" s="12"/>
      <c r="E2798" s="12"/>
      <c r="F2798" s="7"/>
      <c r="G2798" s="7"/>
      <c r="H2798" s="8"/>
      <c r="I2798" s="9"/>
      <c r="J2798" s="7"/>
      <c r="K2798" s="7"/>
      <c r="L2798" s="7"/>
      <c r="M2798" s="7"/>
      <c r="N2798" s="7"/>
      <c r="O2798" s="7"/>
      <c r="P2798" s="7"/>
      <c r="Q2798" s="7"/>
      <c r="R2798" s="14">
        <v>550</v>
      </c>
      <c r="S2798" s="7"/>
      <c r="T2798" s="7"/>
      <c r="U2798" s="14">
        <v>550</v>
      </c>
      <c r="V2798" s="7"/>
      <c r="W2798" s="7"/>
      <c r="X2798" s="7"/>
      <c r="Y2798" s="7"/>
      <c r="Z2798" s="12"/>
      <c r="AA2798" s="14">
        <v>550</v>
      </c>
    </row>
    <row r="2799" spans="1:27" outlineLevel="7">
      <c r="A2799" s="3499" t="s">
        <v>2462</v>
      </c>
      <c r="B2799" s="3499"/>
      <c r="C2799" s="12"/>
      <c r="D2799" s="12"/>
      <c r="E2799" s="12"/>
      <c r="F2799" s="7"/>
      <c r="G2799" s="7"/>
      <c r="H2799" s="8"/>
      <c r="I2799" s="9"/>
      <c r="J2799" s="7"/>
      <c r="K2799" s="7"/>
      <c r="L2799" s="7"/>
      <c r="M2799" s="7"/>
      <c r="N2799" s="7"/>
      <c r="O2799" s="7"/>
      <c r="P2799" s="7"/>
      <c r="Q2799" s="7"/>
      <c r="R2799" s="14">
        <v>550</v>
      </c>
      <c r="S2799" s="7"/>
      <c r="T2799" s="7"/>
      <c r="U2799" s="14">
        <v>550</v>
      </c>
      <c r="V2799" s="7"/>
      <c r="W2799" s="7"/>
      <c r="X2799" s="7"/>
      <c r="Y2799" s="7"/>
      <c r="Z2799" s="12"/>
      <c r="AA2799" s="14">
        <v>550</v>
      </c>
    </row>
    <row r="2800" spans="1:27" outlineLevel="7">
      <c r="A2800" s="3500" t="s">
        <v>1251</v>
      </c>
      <c r="B2800" s="3500"/>
      <c r="C2800" s="12"/>
      <c r="D2800" s="12"/>
      <c r="E2800" s="12"/>
      <c r="F2800" s="7"/>
      <c r="G2800" s="7"/>
      <c r="H2800" s="8"/>
      <c r="I2800" s="9"/>
      <c r="J2800" s="7"/>
      <c r="K2800" s="7"/>
      <c r="L2800" s="7"/>
      <c r="M2800" s="7"/>
      <c r="N2800" s="7"/>
      <c r="O2800" s="7"/>
      <c r="P2800" s="7"/>
      <c r="Q2800" s="7"/>
      <c r="R2800" s="13">
        <v>1079.25</v>
      </c>
      <c r="S2800" s="7"/>
      <c r="T2800" s="7"/>
      <c r="U2800" s="13">
        <v>1079.25</v>
      </c>
      <c r="V2800" s="7"/>
      <c r="W2800" s="7"/>
      <c r="X2800" s="7"/>
      <c r="Y2800" s="7"/>
      <c r="Z2800" s="12"/>
      <c r="AA2800" s="13">
        <v>1079.25</v>
      </c>
    </row>
    <row r="2801" spans="1:27" outlineLevel="7">
      <c r="A2801" s="3499" t="s">
        <v>2463</v>
      </c>
      <c r="B2801" s="3499"/>
      <c r="C2801" s="12"/>
      <c r="D2801" s="12"/>
      <c r="E2801" s="12"/>
      <c r="F2801" s="7"/>
      <c r="G2801" s="7"/>
      <c r="H2801" s="8"/>
      <c r="I2801" s="9"/>
      <c r="J2801" s="7"/>
      <c r="K2801" s="7"/>
      <c r="L2801" s="7"/>
      <c r="M2801" s="7"/>
      <c r="N2801" s="7"/>
      <c r="O2801" s="7"/>
      <c r="P2801" s="7"/>
      <c r="Q2801" s="7"/>
      <c r="R2801" s="13">
        <v>1079.25</v>
      </c>
      <c r="S2801" s="7"/>
      <c r="T2801" s="7"/>
      <c r="U2801" s="13">
        <v>1079.25</v>
      </c>
      <c r="V2801" s="7"/>
      <c r="W2801" s="7"/>
      <c r="X2801" s="7"/>
      <c r="Y2801" s="7"/>
      <c r="Z2801" s="12"/>
      <c r="AA2801" s="13">
        <v>1079.25</v>
      </c>
    </row>
    <row r="2802" spans="1:27" outlineLevel="7">
      <c r="A2802" s="3500" t="s">
        <v>1252</v>
      </c>
      <c r="B2802" s="3500"/>
      <c r="C2802" s="12"/>
      <c r="D2802" s="12"/>
      <c r="E2802" s="12"/>
      <c r="F2802" s="7"/>
      <c r="G2802" s="7"/>
      <c r="H2802" s="8"/>
      <c r="I2802" s="9"/>
      <c r="J2802" s="7"/>
      <c r="K2802" s="7"/>
      <c r="L2802" s="7"/>
      <c r="M2802" s="7"/>
      <c r="N2802" s="7"/>
      <c r="O2802" s="7"/>
      <c r="P2802" s="7"/>
      <c r="Q2802" s="7"/>
      <c r="R2802" s="13">
        <v>1079.25</v>
      </c>
      <c r="S2802" s="7"/>
      <c r="T2802" s="7"/>
      <c r="U2802" s="13">
        <v>1079.25</v>
      </c>
      <c r="V2802" s="7"/>
      <c r="W2802" s="7"/>
      <c r="X2802" s="7"/>
      <c r="Y2802" s="7"/>
      <c r="Z2802" s="12"/>
      <c r="AA2802" s="13">
        <v>1079.25</v>
      </c>
    </row>
    <row r="2803" spans="1:27" outlineLevel="7">
      <c r="A2803" s="3499" t="s">
        <v>2464</v>
      </c>
      <c r="B2803" s="3499"/>
      <c r="C2803" s="12"/>
      <c r="D2803" s="12"/>
      <c r="E2803" s="12"/>
      <c r="F2803" s="7"/>
      <c r="G2803" s="7"/>
      <c r="H2803" s="8"/>
      <c r="I2803" s="9"/>
      <c r="J2803" s="7"/>
      <c r="K2803" s="7"/>
      <c r="L2803" s="7"/>
      <c r="M2803" s="7"/>
      <c r="N2803" s="7"/>
      <c r="O2803" s="7"/>
      <c r="P2803" s="7"/>
      <c r="Q2803" s="7"/>
      <c r="R2803" s="13">
        <v>1079.25</v>
      </c>
      <c r="S2803" s="7"/>
      <c r="T2803" s="7"/>
      <c r="U2803" s="13">
        <v>1079.25</v>
      </c>
      <c r="V2803" s="7"/>
      <c r="W2803" s="7"/>
      <c r="X2803" s="7"/>
      <c r="Y2803" s="7"/>
      <c r="Z2803" s="12"/>
      <c r="AA2803" s="13">
        <v>1079.25</v>
      </c>
    </row>
    <row r="2804" spans="1:27" outlineLevel="7">
      <c r="A2804" s="3500" t="s">
        <v>1253</v>
      </c>
      <c r="B2804" s="3500"/>
      <c r="C2804" s="12"/>
      <c r="D2804" s="12"/>
      <c r="E2804" s="12"/>
      <c r="F2804" s="7"/>
      <c r="G2804" s="7"/>
      <c r="H2804" s="8"/>
      <c r="I2804" s="9"/>
      <c r="J2804" s="7"/>
      <c r="K2804" s="7"/>
      <c r="L2804" s="7"/>
      <c r="M2804" s="7"/>
      <c r="N2804" s="7"/>
      <c r="O2804" s="7"/>
      <c r="P2804" s="7"/>
      <c r="Q2804" s="7"/>
      <c r="R2804" s="13">
        <v>1079.25</v>
      </c>
      <c r="S2804" s="7"/>
      <c r="T2804" s="7"/>
      <c r="U2804" s="13">
        <v>1079.25</v>
      </c>
      <c r="V2804" s="7"/>
      <c r="W2804" s="7"/>
      <c r="X2804" s="7"/>
      <c r="Y2804" s="7"/>
      <c r="Z2804" s="12"/>
      <c r="AA2804" s="13">
        <v>1079.25</v>
      </c>
    </row>
    <row r="2805" spans="1:27" outlineLevel="7">
      <c r="A2805" s="3499" t="s">
        <v>2465</v>
      </c>
      <c r="B2805" s="3499"/>
      <c r="C2805" s="12"/>
      <c r="D2805" s="12"/>
      <c r="E2805" s="12"/>
      <c r="F2805" s="7"/>
      <c r="G2805" s="7"/>
      <c r="H2805" s="8"/>
      <c r="I2805" s="9"/>
      <c r="J2805" s="7"/>
      <c r="K2805" s="7"/>
      <c r="L2805" s="7"/>
      <c r="M2805" s="7"/>
      <c r="N2805" s="7"/>
      <c r="O2805" s="7"/>
      <c r="P2805" s="7"/>
      <c r="Q2805" s="7"/>
      <c r="R2805" s="13">
        <v>1079.25</v>
      </c>
      <c r="S2805" s="7"/>
      <c r="T2805" s="7"/>
      <c r="U2805" s="13">
        <v>1079.25</v>
      </c>
      <c r="V2805" s="7"/>
      <c r="W2805" s="7"/>
      <c r="X2805" s="7"/>
      <c r="Y2805" s="7"/>
      <c r="Z2805" s="12"/>
      <c r="AA2805" s="13">
        <v>1079.25</v>
      </c>
    </row>
    <row r="2806" spans="1:27" outlineLevel="7">
      <c r="A2806" s="3500" t="s">
        <v>1254</v>
      </c>
      <c r="B2806" s="3500"/>
      <c r="C2806" s="12"/>
      <c r="D2806" s="12"/>
      <c r="E2806" s="12"/>
      <c r="F2806" s="7"/>
      <c r="G2806" s="7"/>
      <c r="H2806" s="8"/>
      <c r="I2806" s="9"/>
      <c r="J2806" s="7"/>
      <c r="K2806" s="7"/>
      <c r="L2806" s="7"/>
      <c r="M2806" s="7"/>
      <c r="N2806" s="7"/>
      <c r="O2806" s="7"/>
      <c r="P2806" s="7"/>
      <c r="Q2806" s="7"/>
      <c r="R2806" s="14">
        <v>550</v>
      </c>
      <c r="S2806" s="7"/>
      <c r="T2806" s="7"/>
      <c r="U2806" s="14">
        <v>550</v>
      </c>
      <c r="V2806" s="7"/>
      <c r="W2806" s="7"/>
      <c r="X2806" s="7"/>
      <c r="Y2806" s="7"/>
      <c r="Z2806" s="12"/>
      <c r="AA2806" s="14">
        <v>550</v>
      </c>
    </row>
    <row r="2807" spans="1:27" outlineLevel="7">
      <c r="A2807" s="3499" t="s">
        <v>2466</v>
      </c>
      <c r="B2807" s="3499"/>
      <c r="C2807" s="12"/>
      <c r="D2807" s="12"/>
      <c r="E2807" s="12"/>
      <c r="F2807" s="7"/>
      <c r="G2807" s="7"/>
      <c r="H2807" s="8"/>
      <c r="I2807" s="9"/>
      <c r="J2807" s="7"/>
      <c r="K2807" s="7"/>
      <c r="L2807" s="7"/>
      <c r="M2807" s="7"/>
      <c r="N2807" s="7"/>
      <c r="O2807" s="7"/>
      <c r="P2807" s="7"/>
      <c r="Q2807" s="7"/>
      <c r="R2807" s="14">
        <v>550</v>
      </c>
      <c r="S2807" s="7"/>
      <c r="T2807" s="7"/>
      <c r="U2807" s="14">
        <v>550</v>
      </c>
      <c r="V2807" s="7"/>
      <c r="W2807" s="7"/>
      <c r="X2807" s="7"/>
      <c r="Y2807" s="7"/>
      <c r="Z2807" s="12"/>
      <c r="AA2807" s="14">
        <v>550</v>
      </c>
    </row>
    <row r="2808" spans="1:27" outlineLevel="7">
      <c r="A2808" s="3500" t="s">
        <v>1255</v>
      </c>
      <c r="B2808" s="3500"/>
      <c r="C2808" s="12"/>
      <c r="D2808" s="12"/>
      <c r="E2808" s="12"/>
      <c r="F2808" s="7"/>
      <c r="G2808" s="7"/>
      <c r="H2808" s="8"/>
      <c r="I2808" s="9"/>
      <c r="J2808" s="7"/>
      <c r="K2808" s="7"/>
      <c r="L2808" s="7"/>
      <c r="M2808" s="7"/>
      <c r="N2808" s="7"/>
      <c r="O2808" s="7"/>
      <c r="P2808" s="7"/>
      <c r="Q2808" s="7"/>
      <c r="R2808" s="13">
        <v>1079.25</v>
      </c>
      <c r="S2808" s="7"/>
      <c r="T2808" s="7"/>
      <c r="U2808" s="13">
        <v>1079.25</v>
      </c>
      <c r="V2808" s="7"/>
      <c r="W2808" s="7"/>
      <c r="X2808" s="7"/>
      <c r="Y2808" s="7"/>
      <c r="Z2808" s="12"/>
      <c r="AA2808" s="13">
        <v>1079.25</v>
      </c>
    </row>
    <row r="2809" spans="1:27" outlineLevel="7">
      <c r="A2809" s="3499" t="s">
        <v>2467</v>
      </c>
      <c r="B2809" s="3499"/>
      <c r="C2809" s="12"/>
      <c r="D2809" s="12"/>
      <c r="E2809" s="12"/>
      <c r="F2809" s="7"/>
      <c r="G2809" s="7"/>
      <c r="H2809" s="8"/>
      <c r="I2809" s="9"/>
      <c r="J2809" s="7"/>
      <c r="K2809" s="7"/>
      <c r="L2809" s="7"/>
      <c r="M2809" s="7"/>
      <c r="N2809" s="7"/>
      <c r="O2809" s="7"/>
      <c r="P2809" s="7"/>
      <c r="Q2809" s="7"/>
      <c r="R2809" s="13">
        <v>1079.25</v>
      </c>
      <c r="S2809" s="7"/>
      <c r="T2809" s="7"/>
      <c r="U2809" s="13">
        <v>1079.25</v>
      </c>
      <c r="V2809" s="7"/>
      <c r="W2809" s="7"/>
      <c r="X2809" s="7"/>
      <c r="Y2809" s="7"/>
      <c r="Z2809" s="12"/>
      <c r="AA2809" s="13">
        <v>1079.25</v>
      </c>
    </row>
    <row r="2810" spans="1:27" outlineLevel="6">
      <c r="A2810" s="3501" t="s">
        <v>708</v>
      </c>
      <c r="B2810" s="3501"/>
      <c r="C2810" s="7"/>
      <c r="D2810" s="7"/>
      <c r="E2810" s="14">
        <v>550</v>
      </c>
      <c r="F2810" s="7"/>
      <c r="G2810" s="14">
        <v>550</v>
      </c>
      <c r="H2810" s="3523">
        <v>550</v>
      </c>
      <c r="I2810" s="3523"/>
      <c r="J2810" s="7"/>
      <c r="K2810" s="7"/>
      <c r="L2810" s="7"/>
      <c r="M2810" s="7"/>
      <c r="N2810" s="7"/>
      <c r="O2810" s="7"/>
      <c r="P2810" s="7"/>
      <c r="Q2810" s="7"/>
      <c r="R2810" s="14">
        <v>550</v>
      </c>
      <c r="S2810" s="7"/>
      <c r="T2810" s="7"/>
      <c r="U2810" s="14">
        <v>550</v>
      </c>
      <c r="V2810" s="7"/>
      <c r="W2810" s="7"/>
      <c r="X2810" s="7"/>
      <c r="Y2810" s="7"/>
      <c r="Z2810" s="7"/>
      <c r="AA2810" s="7"/>
    </row>
    <row r="2811" spans="1:27" outlineLevel="7">
      <c r="A2811" s="3500" t="s">
        <v>709</v>
      </c>
      <c r="B2811" s="3500"/>
      <c r="C2811" s="7"/>
      <c r="D2811" s="7"/>
      <c r="E2811" s="14">
        <v>550</v>
      </c>
      <c r="F2811" s="7"/>
      <c r="G2811" s="14">
        <v>550</v>
      </c>
      <c r="H2811" s="3523">
        <v>550</v>
      </c>
      <c r="I2811" s="3523"/>
      <c r="J2811" s="7"/>
      <c r="K2811" s="7"/>
      <c r="L2811" s="7"/>
      <c r="M2811" s="7"/>
      <c r="N2811" s="7"/>
      <c r="O2811" s="7"/>
      <c r="P2811" s="7"/>
      <c r="Q2811" s="7"/>
      <c r="R2811" s="14">
        <v>550</v>
      </c>
      <c r="S2811" s="7"/>
      <c r="T2811" s="7"/>
      <c r="U2811" s="14">
        <v>550</v>
      </c>
      <c r="V2811" s="7"/>
      <c r="W2811" s="7"/>
      <c r="X2811" s="7"/>
      <c r="Y2811" s="7"/>
      <c r="Z2811" s="7"/>
      <c r="AA2811" s="7"/>
    </row>
    <row r="2812" spans="1:27" outlineLevel="7">
      <c r="A2812" s="3499" t="s">
        <v>2468</v>
      </c>
      <c r="B2812" s="3499"/>
      <c r="C2812" s="7"/>
      <c r="D2812" s="7"/>
      <c r="E2812" s="14">
        <v>550</v>
      </c>
      <c r="F2812" s="7"/>
      <c r="G2812" s="14">
        <v>550</v>
      </c>
      <c r="H2812" s="3523">
        <v>550</v>
      </c>
      <c r="I2812" s="3523"/>
      <c r="J2812" s="7"/>
      <c r="K2812" s="7"/>
      <c r="L2812" s="7"/>
      <c r="M2812" s="7"/>
      <c r="N2812" s="7"/>
      <c r="O2812" s="7"/>
      <c r="P2812" s="7"/>
      <c r="Q2812" s="7"/>
      <c r="R2812" s="14">
        <v>550</v>
      </c>
      <c r="S2812" s="7"/>
      <c r="T2812" s="7"/>
      <c r="U2812" s="14">
        <v>550</v>
      </c>
      <c r="V2812" s="7"/>
      <c r="W2812" s="7"/>
      <c r="X2812" s="7"/>
      <c r="Y2812" s="7"/>
      <c r="Z2812" s="7"/>
      <c r="AA2812" s="7"/>
    </row>
    <row r="2813" spans="1:27" outlineLevel="6">
      <c r="A2813" s="3501" t="s">
        <v>710</v>
      </c>
      <c r="B2813" s="3501"/>
      <c r="C2813" s="7"/>
      <c r="D2813" s="7"/>
      <c r="E2813" s="14">
        <v>550</v>
      </c>
      <c r="F2813" s="7"/>
      <c r="G2813" s="14">
        <v>550</v>
      </c>
      <c r="H2813" s="3523">
        <v>550</v>
      </c>
      <c r="I2813" s="3523"/>
      <c r="J2813" s="7"/>
      <c r="K2813" s="7"/>
      <c r="L2813" s="7"/>
      <c r="M2813" s="7"/>
      <c r="N2813" s="7"/>
      <c r="O2813" s="7"/>
      <c r="P2813" s="7"/>
      <c r="Q2813" s="7"/>
      <c r="R2813" s="14">
        <v>550</v>
      </c>
      <c r="S2813" s="7"/>
      <c r="T2813" s="7"/>
      <c r="U2813" s="14">
        <v>550</v>
      </c>
      <c r="V2813" s="7"/>
      <c r="W2813" s="7"/>
      <c r="X2813" s="7"/>
      <c r="Y2813" s="7"/>
      <c r="Z2813" s="7"/>
      <c r="AA2813" s="7"/>
    </row>
    <row r="2814" spans="1:27" outlineLevel="7">
      <c r="A2814" s="3500" t="s">
        <v>711</v>
      </c>
      <c r="B2814" s="3500"/>
      <c r="C2814" s="7"/>
      <c r="D2814" s="7"/>
      <c r="E2814" s="14">
        <v>550</v>
      </c>
      <c r="F2814" s="7"/>
      <c r="G2814" s="14">
        <v>550</v>
      </c>
      <c r="H2814" s="3523">
        <v>550</v>
      </c>
      <c r="I2814" s="3523"/>
      <c r="J2814" s="7"/>
      <c r="K2814" s="7"/>
      <c r="L2814" s="7"/>
      <c r="M2814" s="7"/>
      <c r="N2814" s="7"/>
      <c r="O2814" s="7"/>
      <c r="P2814" s="7"/>
      <c r="Q2814" s="7"/>
      <c r="R2814" s="14">
        <v>550</v>
      </c>
      <c r="S2814" s="7"/>
      <c r="T2814" s="7"/>
      <c r="U2814" s="14">
        <v>550</v>
      </c>
      <c r="V2814" s="7"/>
      <c r="W2814" s="7"/>
      <c r="X2814" s="7"/>
      <c r="Y2814" s="7"/>
      <c r="Z2814" s="7"/>
      <c r="AA2814" s="7"/>
    </row>
    <row r="2815" spans="1:27" outlineLevel="7">
      <c r="A2815" s="3499" t="s">
        <v>2469</v>
      </c>
      <c r="B2815" s="3499"/>
      <c r="C2815" s="7"/>
      <c r="D2815" s="7"/>
      <c r="E2815" s="14">
        <v>550</v>
      </c>
      <c r="F2815" s="7"/>
      <c r="G2815" s="14">
        <v>550</v>
      </c>
      <c r="H2815" s="3523">
        <v>550</v>
      </c>
      <c r="I2815" s="3523"/>
      <c r="J2815" s="7"/>
      <c r="K2815" s="7"/>
      <c r="L2815" s="7"/>
      <c r="M2815" s="7"/>
      <c r="N2815" s="7"/>
      <c r="O2815" s="7"/>
      <c r="P2815" s="7"/>
      <c r="Q2815" s="7"/>
      <c r="R2815" s="14">
        <v>550</v>
      </c>
      <c r="S2815" s="7"/>
      <c r="T2815" s="7"/>
      <c r="U2815" s="14">
        <v>550</v>
      </c>
      <c r="V2815" s="7"/>
      <c r="W2815" s="7"/>
      <c r="X2815" s="7"/>
      <c r="Y2815" s="7"/>
      <c r="Z2815" s="7"/>
      <c r="AA2815" s="7"/>
    </row>
    <row r="2816" spans="1:27" outlineLevel="6">
      <c r="A2816" s="3501" t="s">
        <v>712</v>
      </c>
      <c r="B2816" s="3501"/>
      <c r="C2816" s="12"/>
      <c r="D2816" s="12"/>
      <c r="E2816" s="13">
        <v>13490.59</v>
      </c>
      <c r="F2816" s="7"/>
      <c r="G2816" s="13">
        <v>13490.59</v>
      </c>
      <c r="H2816" s="3524">
        <v>13490.59</v>
      </c>
      <c r="I2816" s="3524"/>
      <c r="J2816" s="7"/>
      <c r="K2816" s="7"/>
      <c r="L2816" s="7"/>
      <c r="M2816" s="7"/>
      <c r="N2816" s="7"/>
      <c r="O2816" s="7"/>
      <c r="P2816" s="7"/>
      <c r="Q2816" s="7"/>
      <c r="R2816" s="13">
        <v>14040.59</v>
      </c>
      <c r="S2816" s="7"/>
      <c r="T2816" s="7"/>
      <c r="U2816" s="13">
        <v>14040.59</v>
      </c>
      <c r="V2816" s="7"/>
      <c r="W2816" s="7"/>
      <c r="X2816" s="7"/>
      <c r="Y2816" s="7"/>
      <c r="Z2816" s="12"/>
      <c r="AA2816" s="14">
        <v>550</v>
      </c>
    </row>
    <row r="2817" spans="1:27" outlineLevel="7">
      <c r="A2817" s="3500" t="s">
        <v>1256</v>
      </c>
      <c r="B2817" s="3500"/>
      <c r="C2817" s="12"/>
      <c r="D2817" s="12"/>
      <c r="E2817" s="12"/>
      <c r="F2817" s="7"/>
      <c r="G2817" s="7"/>
      <c r="H2817" s="8"/>
      <c r="I2817" s="9"/>
      <c r="J2817" s="7"/>
      <c r="K2817" s="7"/>
      <c r="L2817" s="7"/>
      <c r="M2817" s="7"/>
      <c r="N2817" s="7"/>
      <c r="O2817" s="7"/>
      <c r="P2817" s="7"/>
      <c r="Q2817" s="7"/>
      <c r="R2817" s="14">
        <v>550</v>
      </c>
      <c r="S2817" s="7"/>
      <c r="T2817" s="7"/>
      <c r="U2817" s="14">
        <v>550</v>
      </c>
      <c r="V2817" s="7"/>
      <c r="W2817" s="7"/>
      <c r="X2817" s="7"/>
      <c r="Y2817" s="7"/>
      <c r="Z2817" s="12"/>
      <c r="AA2817" s="14">
        <v>550</v>
      </c>
    </row>
    <row r="2818" spans="1:27" outlineLevel="7">
      <c r="A2818" s="3499" t="s">
        <v>2470</v>
      </c>
      <c r="B2818" s="3499"/>
      <c r="C2818" s="12"/>
      <c r="D2818" s="12"/>
      <c r="E2818" s="12"/>
      <c r="F2818" s="7"/>
      <c r="G2818" s="7"/>
      <c r="H2818" s="8"/>
      <c r="I2818" s="9"/>
      <c r="J2818" s="7"/>
      <c r="K2818" s="7"/>
      <c r="L2818" s="7"/>
      <c r="M2818" s="7"/>
      <c r="N2818" s="7"/>
      <c r="O2818" s="7"/>
      <c r="P2818" s="7"/>
      <c r="Q2818" s="7"/>
      <c r="R2818" s="14">
        <v>550</v>
      </c>
      <c r="S2818" s="7"/>
      <c r="T2818" s="7"/>
      <c r="U2818" s="14">
        <v>550</v>
      </c>
      <c r="V2818" s="7"/>
      <c r="W2818" s="7"/>
      <c r="X2818" s="7"/>
      <c r="Y2818" s="7"/>
      <c r="Z2818" s="12"/>
      <c r="AA2818" s="14">
        <v>550</v>
      </c>
    </row>
    <row r="2819" spans="1:27" outlineLevel="7">
      <c r="A2819" s="3500" t="s">
        <v>713</v>
      </c>
      <c r="B2819" s="3500"/>
      <c r="C2819" s="7"/>
      <c r="D2819" s="7"/>
      <c r="E2819" s="13">
        <v>4496.8599999999997</v>
      </c>
      <c r="F2819" s="7"/>
      <c r="G2819" s="13">
        <v>4496.8599999999997</v>
      </c>
      <c r="H2819" s="3524">
        <v>4496.8599999999997</v>
      </c>
      <c r="I2819" s="3524"/>
      <c r="J2819" s="7"/>
      <c r="K2819" s="7"/>
      <c r="L2819" s="7"/>
      <c r="M2819" s="7"/>
      <c r="N2819" s="7"/>
      <c r="O2819" s="7"/>
      <c r="P2819" s="7"/>
      <c r="Q2819" s="7"/>
      <c r="R2819" s="13">
        <v>4496.8599999999997</v>
      </c>
      <c r="S2819" s="7"/>
      <c r="T2819" s="7"/>
      <c r="U2819" s="13">
        <v>4496.8599999999997</v>
      </c>
      <c r="V2819" s="7"/>
      <c r="W2819" s="7"/>
      <c r="X2819" s="7"/>
      <c r="Y2819" s="7"/>
      <c r="Z2819" s="7"/>
      <c r="AA2819" s="7"/>
    </row>
    <row r="2820" spans="1:27" outlineLevel="7">
      <c r="A2820" s="3499" t="s">
        <v>2471</v>
      </c>
      <c r="B2820" s="3499"/>
      <c r="C2820" s="7"/>
      <c r="D2820" s="7"/>
      <c r="E2820" s="13">
        <v>4496.8599999999997</v>
      </c>
      <c r="F2820" s="7"/>
      <c r="G2820" s="13">
        <v>4496.8599999999997</v>
      </c>
      <c r="H2820" s="3524">
        <v>4496.8599999999997</v>
      </c>
      <c r="I2820" s="3524"/>
      <c r="J2820" s="7"/>
      <c r="K2820" s="7"/>
      <c r="L2820" s="7"/>
      <c r="M2820" s="7"/>
      <c r="N2820" s="7"/>
      <c r="O2820" s="7"/>
      <c r="P2820" s="7"/>
      <c r="Q2820" s="7"/>
      <c r="R2820" s="13">
        <v>4496.8599999999997</v>
      </c>
      <c r="S2820" s="7"/>
      <c r="T2820" s="7"/>
      <c r="U2820" s="13">
        <v>4496.8599999999997</v>
      </c>
      <c r="V2820" s="7"/>
      <c r="W2820" s="7"/>
      <c r="X2820" s="7"/>
      <c r="Y2820" s="7"/>
      <c r="Z2820" s="7"/>
      <c r="AA2820" s="7"/>
    </row>
    <row r="2821" spans="1:27" outlineLevel="7">
      <c r="A2821" s="3500" t="s">
        <v>714</v>
      </c>
      <c r="B2821" s="3500"/>
      <c r="C2821" s="7"/>
      <c r="D2821" s="7"/>
      <c r="E2821" s="13">
        <v>8993.73</v>
      </c>
      <c r="F2821" s="7"/>
      <c r="G2821" s="13">
        <v>8993.73</v>
      </c>
      <c r="H2821" s="3524">
        <v>8993.73</v>
      </c>
      <c r="I2821" s="3524"/>
      <c r="J2821" s="7"/>
      <c r="K2821" s="7"/>
      <c r="L2821" s="7"/>
      <c r="M2821" s="7"/>
      <c r="N2821" s="7"/>
      <c r="O2821" s="7"/>
      <c r="P2821" s="7"/>
      <c r="Q2821" s="7"/>
      <c r="R2821" s="13">
        <v>8993.73</v>
      </c>
      <c r="S2821" s="7"/>
      <c r="T2821" s="7"/>
      <c r="U2821" s="13">
        <v>8993.73</v>
      </c>
      <c r="V2821" s="7"/>
      <c r="W2821" s="7"/>
      <c r="X2821" s="7"/>
      <c r="Y2821" s="7"/>
      <c r="Z2821" s="7"/>
      <c r="AA2821" s="7"/>
    </row>
    <row r="2822" spans="1:27" outlineLevel="7">
      <c r="A2822" s="3499" t="s">
        <v>2472</v>
      </c>
      <c r="B2822" s="3499"/>
      <c r="C2822" s="7"/>
      <c r="D2822" s="7"/>
      <c r="E2822" s="13">
        <v>8993.73</v>
      </c>
      <c r="F2822" s="7"/>
      <c r="G2822" s="13">
        <v>8993.73</v>
      </c>
      <c r="H2822" s="3524">
        <v>8993.73</v>
      </c>
      <c r="I2822" s="3524"/>
      <c r="J2822" s="7"/>
      <c r="K2822" s="7"/>
      <c r="L2822" s="7"/>
      <c r="M2822" s="7"/>
      <c r="N2822" s="7"/>
      <c r="O2822" s="7"/>
      <c r="P2822" s="7"/>
      <c r="Q2822" s="7"/>
      <c r="R2822" s="13">
        <v>8993.73</v>
      </c>
      <c r="S2822" s="7"/>
      <c r="T2822" s="7"/>
      <c r="U2822" s="13">
        <v>8993.73</v>
      </c>
      <c r="V2822" s="7"/>
      <c r="W2822" s="7"/>
      <c r="X2822" s="7"/>
      <c r="Y2822" s="7"/>
      <c r="Z2822" s="7"/>
      <c r="AA2822" s="7"/>
    </row>
    <row r="2823" spans="1:27" outlineLevel="6">
      <c r="A2823" s="3501" t="s">
        <v>1257</v>
      </c>
      <c r="B2823" s="3501"/>
      <c r="C2823" s="12"/>
      <c r="D2823" s="14">
        <v>550</v>
      </c>
      <c r="E2823" s="7"/>
      <c r="F2823" s="7"/>
      <c r="G2823" s="7"/>
      <c r="H2823" s="8"/>
      <c r="I2823" s="9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12"/>
      <c r="AA2823" s="14">
        <v>550</v>
      </c>
    </row>
    <row r="2824" spans="1:27" outlineLevel="7">
      <c r="A2824" s="3500" t="s">
        <v>1258</v>
      </c>
      <c r="B2824" s="3500"/>
      <c r="C2824" s="12"/>
      <c r="D2824" s="14">
        <v>550</v>
      </c>
      <c r="E2824" s="7"/>
      <c r="F2824" s="7"/>
      <c r="G2824" s="7"/>
      <c r="H2824" s="8"/>
      <c r="I2824" s="9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12"/>
      <c r="AA2824" s="14">
        <v>550</v>
      </c>
    </row>
    <row r="2825" spans="1:27" outlineLevel="7">
      <c r="A2825" s="3499" t="s">
        <v>2473</v>
      </c>
      <c r="B2825" s="3499"/>
      <c r="C2825" s="12"/>
      <c r="D2825" s="14">
        <v>550</v>
      </c>
      <c r="E2825" s="7"/>
      <c r="F2825" s="7"/>
      <c r="G2825" s="7"/>
      <c r="H2825" s="8"/>
      <c r="I2825" s="9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12"/>
      <c r="AA2825" s="14">
        <v>550</v>
      </c>
    </row>
    <row r="2826" spans="1:27" outlineLevel="6">
      <c r="A2826" s="3501" t="s">
        <v>1259</v>
      </c>
      <c r="B2826" s="3501"/>
      <c r="C2826" s="12"/>
      <c r="D2826" s="12"/>
      <c r="E2826" s="12"/>
      <c r="F2826" s="7"/>
      <c r="G2826" s="7"/>
      <c r="H2826" s="8"/>
      <c r="I2826" s="9"/>
      <c r="J2826" s="7"/>
      <c r="K2826" s="7"/>
      <c r="L2826" s="7"/>
      <c r="M2826" s="7"/>
      <c r="N2826" s="7"/>
      <c r="O2826" s="7"/>
      <c r="P2826" s="7"/>
      <c r="Q2826" s="7"/>
      <c r="R2826" s="13">
        <v>5946.23</v>
      </c>
      <c r="S2826" s="7"/>
      <c r="T2826" s="7"/>
      <c r="U2826" s="13">
        <v>5946.23</v>
      </c>
      <c r="V2826" s="7"/>
      <c r="W2826" s="7"/>
      <c r="X2826" s="7"/>
      <c r="Y2826" s="7"/>
      <c r="Z2826" s="12"/>
      <c r="AA2826" s="13">
        <v>5946.23</v>
      </c>
    </row>
    <row r="2827" spans="1:27" outlineLevel="7">
      <c r="A2827" s="3500" t="s">
        <v>1260</v>
      </c>
      <c r="B2827" s="3500"/>
      <c r="C2827" s="12"/>
      <c r="D2827" s="12"/>
      <c r="E2827" s="12"/>
      <c r="F2827" s="7"/>
      <c r="G2827" s="7"/>
      <c r="H2827" s="8"/>
      <c r="I2827" s="9"/>
      <c r="J2827" s="7"/>
      <c r="K2827" s="7"/>
      <c r="L2827" s="7"/>
      <c r="M2827" s="7"/>
      <c r="N2827" s="7"/>
      <c r="O2827" s="7"/>
      <c r="P2827" s="7"/>
      <c r="Q2827" s="7"/>
      <c r="R2827" s="14">
        <v>550</v>
      </c>
      <c r="S2827" s="7"/>
      <c r="T2827" s="7"/>
      <c r="U2827" s="14">
        <v>550</v>
      </c>
      <c r="V2827" s="7"/>
      <c r="W2827" s="7"/>
      <c r="X2827" s="7"/>
      <c r="Y2827" s="7"/>
      <c r="Z2827" s="12"/>
      <c r="AA2827" s="14">
        <v>550</v>
      </c>
    </row>
    <row r="2828" spans="1:27" outlineLevel="7">
      <c r="A2828" s="3499" t="s">
        <v>2474</v>
      </c>
      <c r="B2828" s="3499"/>
      <c r="C2828" s="12"/>
      <c r="D2828" s="12"/>
      <c r="E2828" s="12"/>
      <c r="F2828" s="7"/>
      <c r="G2828" s="7"/>
      <c r="H2828" s="8"/>
      <c r="I2828" s="9"/>
      <c r="J2828" s="7"/>
      <c r="K2828" s="7"/>
      <c r="L2828" s="7"/>
      <c r="M2828" s="7"/>
      <c r="N2828" s="7"/>
      <c r="O2828" s="7"/>
      <c r="P2828" s="7"/>
      <c r="Q2828" s="7"/>
      <c r="R2828" s="14">
        <v>550</v>
      </c>
      <c r="S2828" s="7"/>
      <c r="T2828" s="7"/>
      <c r="U2828" s="14">
        <v>550</v>
      </c>
      <c r="V2828" s="7"/>
      <c r="W2828" s="7"/>
      <c r="X2828" s="7"/>
      <c r="Y2828" s="7"/>
      <c r="Z2828" s="12"/>
      <c r="AA2828" s="14">
        <v>550</v>
      </c>
    </row>
    <row r="2829" spans="1:27" outlineLevel="7">
      <c r="A2829" s="3500" t="s">
        <v>1261</v>
      </c>
      <c r="B2829" s="3500"/>
      <c r="C2829" s="12"/>
      <c r="D2829" s="12"/>
      <c r="E2829" s="12"/>
      <c r="F2829" s="7"/>
      <c r="G2829" s="7"/>
      <c r="H2829" s="8"/>
      <c r="I2829" s="9"/>
      <c r="J2829" s="7"/>
      <c r="K2829" s="7"/>
      <c r="L2829" s="7"/>
      <c r="M2829" s="7"/>
      <c r="N2829" s="7"/>
      <c r="O2829" s="7"/>
      <c r="P2829" s="7"/>
      <c r="Q2829" s="7"/>
      <c r="R2829" s="13">
        <v>5396.23</v>
      </c>
      <c r="S2829" s="7"/>
      <c r="T2829" s="7"/>
      <c r="U2829" s="13">
        <v>5396.23</v>
      </c>
      <c r="V2829" s="7"/>
      <c r="W2829" s="7"/>
      <c r="X2829" s="7"/>
      <c r="Y2829" s="7"/>
      <c r="Z2829" s="12"/>
      <c r="AA2829" s="13">
        <v>5396.23</v>
      </c>
    </row>
    <row r="2830" spans="1:27" outlineLevel="7">
      <c r="A2830" s="3499" t="s">
        <v>2474</v>
      </c>
      <c r="B2830" s="3499"/>
      <c r="C2830" s="12"/>
      <c r="D2830" s="12"/>
      <c r="E2830" s="12"/>
      <c r="F2830" s="7"/>
      <c r="G2830" s="7"/>
      <c r="H2830" s="8"/>
      <c r="I2830" s="9"/>
      <c r="J2830" s="7"/>
      <c r="K2830" s="7"/>
      <c r="L2830" s="7"/>
      <c r="M2830" s="7"/>
      <c r="N2830" s="7"/>
      <c r="O2830" s="7"/>
      <c r="P2830" s="7"/>
      <c r="Q2830" s="7"/>
      <c r="R2830" s="13">
        <v>5396.23</v>
      </c>
      <c r="S2830" s="7"/>
      <c r="T2830" s="7"/>
      <c r="U2830" s="13">
        <v>5396.23</v>
      </c>
      <c r="V2830" s="7"/>
      <c r="W2830" s="7"/>
      <c r="X2830" s="7"/>
      <c r="Y2830" s="7"/>
      <c r="Z2830" s="12"/>
      <c r="AA2830" s="13">
        <v>5396.23</v>
      </c>
    </row>
    <row r="2831" spans="1:27" ht="12.75" customHeight="1" outlineLevel="4">
      <c r="A2831" s="3503" t="s">
        <v>1262</v>
      </c>
      <c r="B2831" s="3503"/>
      <c r="C2831" s="58"/>
      <c r="D2831" s="58">
        <v>2717397.05</v>
      </c>
      <c r="E2831" s="59"/>
      <c r="F2831" s="58"/>
      <c r="G2831" s="58"/>
      <c r="H2831" s="60"/>
      <c r="I2831" s="61"/>
      <c r="J2831" s="58"/>
      <c r="K2831" s="58"/>
      <c r="L2831" s="58"/>
      <c r="M2831" s="59"/>
      <c r="N2831" s="59"/>
      <c r="O2831" s="59"/>
      <c r="P2831" s="58"/>
      <c r="Q2831" s="58"/>
      <c r="R2831" s="59"/>
      <c r="S2831" s="58"/>
      <c r="T2831" s="58"/>
      <c r="U2831" s="59"/>
      <c r="V2831" s="59"/>
      <c r="W2831" s="59"/>
      <c r="X2831" s="62"/>
      <c r="Y2831" s="62"/>
      <c r="Z2831" s="58"/>
      <c r="AA2831" s="58">
        <v>2717397.05</v>
      </c>
    </row>
    <row r="2832" spans="1:27" outlineLevel="5">
      <c r="A2832" s="3504" t="s">
        <v>58</v>
      </c>
      <c r="B2832" s="3504"/>
      <c r="C2832" s="53"/>
      <c r="D2832" s="49">
        <v>2656452.41</v>
      </c>
      <c r="E2832" s="48"/>
      <c r="F2832" s="48"/>
      <c r="G2832" s="48"/>
      <c r="H2832" s="50"/>
      <c r="I2832" s="51"/>
      <c r="J2832" s="48"/>
      <c r="K2832" s="48"/>
      <c r="L2832" s="48"/>
      <c r="M2832" s="48"/>
      <c r="N2832" s="48"/>
      <c r="O2832" s="48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  <c r="Z2832" s="53"/>
      <c r="AA2832" s="49">
        <v>2656452.41</v>
      </c>
    </row>
    <row r="2833" spans="1:27" outlineLevel="6">
      <c r="A2833" s="3501" t="s">
        <v>1263</v>
      </c>
      <c r="B2833" s="3501"/>
      <c r="C2833" s="12"/>
      <c r="D2833" s="13">
        <v>2656452.41</v>
      </c>
      <c r="E2833" s="7"/>
      <c r="F2833" s="7"/>
      <c r="G2833" s="7"/>
      <c r="H2833" s="8"/>
      <c r="I2833" s="9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12"/>
      <c r="AA2833" s="13">
        <v>2656452.41</v>
      </c>
    </row>
    <row r="2834" spans="1:27" outlineLevel="7">
      <c r="A2834" s="3500" t="s">
        <v>1264</v>
      </c>
      <c r="B2834" s="3500"/>
      <c r="C2834" s="12"/>
      <c r="D2834" s="13">
        <v>2656452.41</v>
      </c>
      <c r="E2834" s="7"/>
      <c r="F2834" s="7"/>
      <c r="G2834" s="7"/>
      <c r="H2834" s="8"/>
      <c r="I2834" s="9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12"/>
      <c r="AA2834" s="13">
        <v>2656452.41</v>
      </c>
    </row>
    <row r="2835" spans="1:27" outlineLevel="7">
      <c r="A2835" s="3499" t="s">
        <v>2475</v>
      </c>
      <c r="B2835" s="3499"/>
      <c r="C2835" s="12"/>
      <c r="D2835" s="13">
        <v>2656452.41</v>
      </c>
      <c r="E2835" s="7"/>
      <c r="F2835" s="7"/>
      <c r="G2835" s="7"/>
      <c r="H2835" s="8"/>
      <c r="I2835" s="9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12"/>
      <c r="AA2835" s="13">
        <v>2656452.41</v>
      </c>
    </row>
    <row r="2836" spans="1:27" outlineLevel="5">
      <c r="A2836" s="3504" t="s">
        <v>649</v>
      </c>
      <c r="B2836" s="3504"/>
      <c r="C2836" s="53"/>
      <c r="D2836" s="49">
        <v>60944.639999999999</v>
      </c>
      <c r="E2836" s="48"/>
      <c r="F2836" s="48"/>
      <c r="G2836" s="48"/>
      <c r="H2836" s="50"/>
      <c r="I2836" s="51"/>
      <c r="J2836" s="48"/>
      <c r="K2836" s="48"/>
      <c r="L2836" s="48"/>
      <c r="M2836" s="48"/>
      <c r="N2836" s="48"/>
      <c r="O2836" s="48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  <c r="Z2836" s="53"/>
      <c r="AA2836" s="49">
        <v>60944.639999999999</v>
      </c>
    </row>
    <row r="2837" spans="1:27" outlineLevel="6">
      <c r="A2837" s="3526" t="s">
        <v>1265</v>
      </c>
      <c r="B2837" s="3526"/>
      <c r="C2837" s="12"/>
      <c r="D2837" s="13">
        <v>60944.639999999999</v>
      </c>
      <c r="E2837" s="7"/>
      <c r="F2837" s="7"/>
      <c r="G2837" s="7"/>
      <c r="H2837" s="8"/>
      <c r="I2837" s="9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12"/>
      <c r="AA2837" s="13">
        <v>60944.639999999999</v>
      </c>
    </row>
    <row r="2838" spans="1:27" outlineLevel="7">
      <c r="A2838" s="3527" t="s">
        <v>1266</v>
      </c>
      <c r="B2838" s="3527"/>
      <c r="C2838" s="12"/>
      <c r="D2838" s="13">
        <v>60944.639999999999</v>
      </c>
      <c r="E2838" s="7"/>
      <c r="F2838" s="7"/>
      <c r="G2838" s="7"/>
      <c r="H2838" s="8"/>
      <c r="I2838" s="9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12"/>
      <c r="AA2838" s="13">
        <v>60944.639999999999</v>
      </c>
    </row>
    <row r="2839" spans="1:27" outlineLevel="7">
      <c r="A2839" s="3528" t="s">
        <v>2476</v>
      </c>
      <c r="B2839" s="3528"/>
      <c r="C2839" s="12"/>
      <c r="D2839" s="13">
        <v>60944.639999999999</v>
      </c>
      <c r="E2839" s="7"/>
      <c r="F2839" s="7"/>
      <c r="G2839" s="7"/>
      <c r="H2839" s="8"/>
      <c r="I2839" s="9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12"/>
      <c r="AA2839" s="13">
        <v>60944.639999999999</v>
      </c>
    </row>
    <row r="2840" spans="1:27" ht="12.75" customHeight="1" outlineLevel="4">
      <c r="A2840" s="3503" t="s">
        <v>715</v>
      </c>
      <c r="B2840" s="3503"/>
      <c r="C2840" s="58"/>
      <c r="D2840" s="58">
        <v>534676.57999999996</v>
      </c>
      <c r="E2840" s="59">
        <v>827945.27</v>
      </c>
      <c r="F2840" s="58">
        <v>459604.89</v>
      </c>
      <c r="G2840" s="58">
        <v>368339.53</v>
      </c>
      <c r="H2840" s="60">
        <v>368339.53</v>
      </c>
      <c r="I2840" s="61"/>
      <c r="J2840" s="58"/>
      <c r="K2840" s="58"/>
      <c r="L2840" s="58"/>
      <c r="M2840" s="59"/>
      <c r="N2840" s="59"/>
      <c r="O2840" s="59"/>
      <c r="P2840" s="58">
        <v>0.85</v>
      </c>
      <c r="Q2840" s="58">
        <v>0.85</v>
      </c>
      <c r="R2840" s="59">
        <v>999617.85</v>
      </c>
      <c r="S2840" s="58"/>
      <c r="T2840" s="58"/>
      <c r="U2840" s="59">
        <v>999617.85</v>
      </c>
      <c r="V2840" s="59"/>
      <c r="W2840" s="59"/>
      <c r="X2840" s="62"/>
      <c r="Y2840" s="62"/>
      <c r="Z2840" s="58"/>
      <c r="AA2840" s="58">
        <v>706349.16</v>
      </c>
    </row>
    <row r="2841" spans="1:27" outlineLevel="5">
      <c r="A2841" s="3504" t="s">
        <v>47</v>
      </c>
      <c r="B2841" s="3504"/>
      <c r="C2841" s="53"/>
      <c r="D2841" s="49">
        <v>12169</v>
      </c>
      <c r="E2841" s="48"/>
      <c r="F2841" s="48"/>
      <c r="G2841" s="48"/>
      <c r="H2841" s="50"/>
      <c r="I2841" s="51"/>
      <c r="J2841" s="48"/>
      <c r="K2841" s="48"/>
      <c r="L2841" s="48"/>
      <c r="M2841" s="48"/>
      <c r="N2841" s="48"/>
      <c r="O2841" s="48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  <c r="Z2841" s="53"/>
      <c r="AA2841" s="49">
        <v>12169</v>
      </c>
    </row>
    <row r="2842" spans="1:27" outlineLevel="6">
      <c r="A2842" s="3501" t="s">
        <v>1267</v>
      </c>
      <c r="B2842" s="3501"/>
      <c r="C2842" s="12"/>
      <c r="D2842" s="14">
        <v>550</v>
      </c>
      <c r="E2842" s="7"/>
      <c r="F2842" s="7"/>
      <c r="G2842" s="7"/>
      <c r="H2842" s="8"/>
      <c r="I2842" s="9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12"/>
      <c r="AA2842" s="14">
        <v>550</v>
      </c>
    </row>
    <row r="2843" spans="1:27" outlineLevel="7">
      <c r="A2843" s="3500" t="s">
        <v>1268</v>
      </c>
      <c r="B2843" s="3500"/>
      <c r="C2843" s="12"/>
      <c r="D2843" s="14">
        <v>550</v>
      </c>
      <c r="E2843" s="7"/>
      <c r="F2843" s="7"/>
      <c r="G2843" s="7"/>
      <c r="H2843" s="8"/>
      <c r="I2843" s="9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12"/>
      <c r="AA2843" s="14">
        <v>550</v>
      </c>
    </row>
    <row r="2844" spans="1:27" outlineLevel="7">
      <c r="A2844" s="3499" t="s">
        <v>2477</v>
      </c>
      <c r="B2844" s="3499"/>
      <c r="C2844" s="12"/>
      <c r="D2844" s="14">
        <v>539</v>
      </c>
      <c r="E2844" s="7"/>
      <c r="F2844" s="7"/>
      <c r="G2844" s="7"/>
      <c r="H2844" s="8"/>
      <c r="I2844" s="9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12"/>
      <c r="AA2844" s="14">
        <v>539</v>
      </c>
    </row>
    <row r="2845" spans="1:27" outlineLevel="7">
      <c r="A2845" s="3499" t="s">
        <v>2478</v>
      </c>
      <c r="B2845" s="3499"/>
      <c r="C2845" s="12"/>
      <c r="D2845" s="14">
        <v>11</v>
      </c>
      <c r="E2845" s="7"/>
      <c r="F2845" s="7"/>
      <c r="G2845" s="7"/>
      <c r="H2845" s="8"/>
      <c r="I2845" s="9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12"/>
      <c r="AA2845" s="14">
        <v>11</v>
      </c>
    </row>
    <row r="2846" spans="1:27" outlineLevel="6">
      <c r="A2846" s="3526" t="s">
        <v>1269</v>
      </c>
      <c r="B2846" s="3526"/>
      <c r="C2846" s="1432"/>
      <c r="D2846" s="1444">
        <v>11619</v>
      </c>
      <c r="E2846" s="1434"/>
      <c r="F2846" s="1434"/>
      <c r="G2846" s="1434"/>
      <c r="H2846" s="1435"/>
      <c r="I2846" s="1436"/>
      <c r="J2846" s="1434"/>
      <c r="K2846" s="1434"/>
      <c r="L2846" s="1434"/>
      <c r="M2846" s="1434"/>
      <c r="N2846" s="1434"/>
      <c r="O2846" s="1434"/>
      <c r="P2846" s="1434"/>
      <c r="Q2846" s="1434"/>
      <c r="R2846" s="1434"/>
      <c r="S2846" s="7"/>
      <c r="T2846" s="7"/>
      <c r="U2846" s="7"/>
      <c r="V2846" s="7"/>
      <c r="W2846" s="7"/>
      <c r="X2846" s="7"/>
      <c r="Y2846" s="7"/>
      <c r="Z2846" s="12"/>
      <c r="AA2846" s="13">
        <v>11619</v>
      </c>
    </row>
    <row r="2847" spans="1:27" outlineLevel="7">
      <c r="A2847" s="3527" t="s">
        <v>1270</v>
      </c>
      <c r="B2847" s="3527"/>
      <c r="C2847" s="1432"/>
      <c r="D2847" s="1444">
        <v>11619</v>
      </c>
      <c r="E2847" s="1434"/>
      <c r="F2847" s="1434"/>
      <c r="G2847" s="1434"/>
      <c r="H2847" s="1435"/>
      <c r="I2847" s="1436"/>
      <c r="J2847" s="1434"/>
      <c r="K2847" s="1434"/>
      <c r="L2847" s="1434"/>
      <c r="M2847" s="1434"/>
      <c r="N2847" s="1434"/>
      <c r="O2847" s="1434"/>
      <c r="P2847" s="1434"/>
      <c r="Q2847" s="1434"/>
      <c r="R2847" s="1434"/>
      <c r="S2847" s="7"/>
      <c r="T2847" s="7"/>
      <c r="U2847" s="7"/>
      <c r="V2847" s="7"/>
      <c r="W2847" s="7"/>
      <c r="X2847" s="7"/>
      <c r="Y2847" s="7"/>
      <c r="Z2847" s="12"/>
      <c r="AA2847" s="13">
        <v>11619</v>
      </c>
    </row>
    <row r="2848" spans="1:27" outlineLevel="7">
      <c r="A2848" s="3528" t="s">
        <v>2479</v>
      </c>
      <c r="B2848" s="3528"/>
      <c r="C2848" s="1432"/>
      <c r="D2848" s="1444">
        <v>11619</v>
      </c>
      <c r="E2848" s="1434"/>
      <c r="F2848" s="1434"/>
      <c r="G2848" s="1434"/>
      <c r="H2848" s="1435"/>
      <c r="I2848" s="1436"/>
      <c r="J2848" s="1434"/>
      <c r="K2848" s="1434"/>
      <c r="L2848" s="1434"/>
      <c r="M2848" s="1434"/>
      <c r="N2848" s="1434"/>
      <c r="O2848" s="1434"/>
      <c r="P2848" s="1434"/>
      <c r="Q2848" s="1434"/>
      <c r="R2848" s="1434"/>
      <c r="S2848" s="7"/>
      <c r="T2848" s="7"/>
      <c r="U2848" s="7"/>
      <c r="V2848" s="7"/>
      <c r="W2848" s="7"/>
      <c r="X2848" s="7"/>
      <c r="Y2848" s="7"/>
      <c r="Z2848" s="12"/>
      <c r="AA2848" s="13">
        <v>11619</v>
      </c>
    </row>
    <row r="2849" spans="1:27" outlineLevel="5">
      <c r="A2849" s="3504" t="s">
        <v>58</v>
      </c>
      <c r="B2849" s="3504"/>
      <c r="C2849" s="53"/>
      <c r="D2849" s="53"/>
      <c r="E2849" s="53"/>
      <c r="F2849" s="48"/>
      <c r="G2849" s="48"/>
      <c r="H2849" s="50"/>
      <c r="I2849" s="51"/>
      <c r="J2849" s="48"/>
      <c r="K2849" s="48"/>
      <c r="L2849" s="48"/>
      <c r="M2849" s="48"/>
      <c r="N2849" s="48"/>
      <c r="O2849" s="48"/>
      <c r="P2849" s="48"/>
      <c r="Q2849" s="48"/>
      <c r="R2849" s="49">
        <v>33329.21</v>
      </c>
      <c r="S2849" s="48"/>
      <c r="T2849" s="48"/>
      <c r="U2849" s="49">
        <v>33329.21</v>
      </c>
      <c r="V2849" s="48"/>
      <c r="W2849" s="48"/>
      <c r="X2849" s="48"/>
      <c r="Y2849" s="48"/>
      <c r="Z2849" s="53"/>
      <c r="AA2849" s="49">
        <v>33329.21</v>
      </c>
    </row>
    <row r="2850" spans="1:27" outlineLevel="6">
      <c r="A2850" s="3501" t="s">
        <v>1271</v>
      </c>
      <c r="B2850" s="3501"/>
      <c r="C2850" s="12"/>
      <c r="D2850" s="12"/>
      <c r="E2850" s="12"/>
      <c r="F2850" s="7"/>
      <c r="G2850" s="7"/>
      <c r="H2850" s="8"/>
      <c r="I2850" s="9"/>
      <c r="J2850" s="7"/>
      <c r="K2850" s="7"/>
      <c r="L2850" s="7"/>
      <c r="M2850" s="7"/>
      <c r="N2850" s="7"/>
      <c r="O2850" s="7"/>
      <c r="P2850" s="7"/>
      <c r="Q2850" s="7"/>
      <c r="R2850" s="13">
        <v>17029.169999999998</v>
      </c>
      <c r="S2850" s="7"/>
      <c r="T2850" s="7"/>
      <c r="U2850" s="13">
        <v>17029.169999999998</v>
      </c>
      <c r="V2850" s="7"/>
      <c r="W2850" s="7"/>
      <c r="X2850" s="7"/>
      <c r="Y2850" s="7"/>
      <c r="Z2850" s="12"/>
      <c r="AA2850" s="13">
        <v>17029.169999999998</v>
      </c>
    </row>
    <row r="2851" spans="1:27" outlineLevel="7">
      <c r="A2851" s="3500" t="s">
        <v>1272</v>
      </c>
      <c r="B2851" s="3500"/>
      <c r="C2851" s="12"/>
      <c r="D2851" s="12"/>
      <c r="E2851" s="12"/>
      <c r="F2851" s="7"/>
      <c r="G2851" s="7"/>
      <c r="H2851" s="8"/>
      <c r="I2851" s="9"/>
      <c r="J2851" s="7"/>
      <c r="K2851" s="7"/>
      <c r="L2851" s="7"/>
      <c r="M2851" s="7"/>
      <c r="N2851" s="7"/>
      <c r="O2851" s="7"/>
      <c r="P2851" s="7"/>
      <c r="Q2851" s="7"/>
      <c r="R2851" s="13">
        <v>17029.169999999998</v>
      </c>
      <c r="S2851" s="7"/>
      <c r="T2851" s="7"/>
      <c r="U2851" s="13">
        <v>17029.169999999998</v>
      </c>
      <c r="V2851" s="7"/>
      <c r="W2851" s="7"/>
      <c r="X2851" s="7"/>
      <c r="Y2851" s="7"/>
      <c r="Z2851" s="12"/>
      <c r="AA2851" s="13">
        <v>17029.169999999998</v>
      </c>
    </row>
    <row r="2852" spans="1:27" outlineLevel="7">
      <c r="A2852" s="3499" t="s">
        <v>2480</v>
      </c>
      <c r="B2852" s="3499"/>
      <c r="C2852" s="12"/>
      <c r="D2852" s="12"/>
      <c r="E2852" s="12"/>
      <c r="F2852" s="7"/>
      <c r="G2852" s="7"/>
      <c r="H2852" s="8"/>
      <c r="I2852" s="9"/>
      <c r="J2852" s="7"/>
      <c r="K2852" s="7"/>
      <c r="L2852" s="7"/>
      <c r="M2852" s="7"/>
      <c r="N2852" s="7"/>
      <c r="O2852" s="7"/>
      <c r="P2852" s="7"/>
      <c r="Q2852" s="7"/>
      <c r="R2852" s="13">
        <v>17029.169999999998</v>
      </c>
      <c r="S2852" s="7"/>
      <c r="T2852" s="7"/>
      <c r="U2852" s="13">
        <v>17029.169999999998</v>
      </c>
      <c r="V2852" s="7"/>
      <c r="W2852" s="7"/>
      <c r="X2852" s="7"/>
      <c r="Y2852" s="7"/>
      <c r="Z2852" s="12"/>
      <c r="AA2852" s="13">
        <v>17029.169999999998</v>
      </c>
    </row>
    <row r="2853" spans="1:27" outlineLevel="6">
      <c r="A2853" s="3501" t="s">
        <v>1273</v>
      </c>
      <c r="B2853" s="3501"/>
      <c r="C2853" s="12"/>
      <c r="D2853" s="12"/>
      <c r="E2853" s="12"/>
      <c r="F2853" s="7"/>
      <c r="G2853" s="7"/>
      <c r="H2853" s="8"/>
      <c r="I2853" s="9"/>
      <c r="J2853" s="7"/>
      <c r="K2853" s="7"/>
      <c r="L2853" s="7"/>
      <c r="M2853" s="7"/>
      <c r="N2853" s="7"/>
      <c r="O2853" s="7"/>
      <c r="P2853" s="7"/>
      <c r="Q2853" s="7"/>
      <c r="R2853" s="13">
        <v>16300.04</v>
      </c>
      <c r="S2853" s="7"/>
      <c r="T2853" s="7"/>
      <c r="U2853" s="13">
        <v>16300.04</v>
      </c>
      <c r="V2853" s="7"/>
      <c r="W2853" s="7"/>
      <c r="X2853" s="7"/>
      <c r="Y2853" s="7"/>
      <c r="Z2853" s="12"/>
      <c r="AA2853" s="13">
        <v>16300.04</v>
      </c>
    </row>
    <row r="2854" spans="1:27" outlineLevel="7">
      <c r="A2854" s="3500" t="s">
        <v>1274</v>
      </c>
      <c r="B2854" s="3500"/>
      <c r="C2854" s="12"/>
      <c r="D2854" s="12"/>
      <c r="E2854" s="12"/>
      <c r="F2854" s="7"/>
      <c r="G2854" s="7"/>
      <c r="H2854" s="8"/>
      <c r="I2854" s="9"/>
      <c r="J2854" s="7"/>
      <c r="K2854" s="7"/>
      <c r="L2854" s="7"/>
      <c r="M2854" s="7"/>
      <c r="N2854" s="7"/>
      <c r="O2854" s="7"/>
      <c r="P2854" s="7"/>
      <c r="Q2854" s="7"/>
      <c r="R2854" s="13">
        <v>16300.04</v>
      </c>
      <c r="S2854" s="7"/>
      <c r="T2854" s="7"/>
      <c r="U2854" s="13">
        <v>16300.04</v>
      </c>
      <c r="V2854" s="7"/>
      <c r="W2854" s="7"/>
      <c r="X2854" s="7"/>
      <c r="Y2854" s="7"/>
      <c r="Z2854" s="12"/>
      <c r="AA2854" s="13">
        <v>16300.04</v>
      </c>
    </row>
    <row r="2855" spans="1:27" outlineLevel="7">
      <c r="A2855" s="3499" t="s">
        <v>2481</v>
      </c>
      <c r="B2855" s="3499"/>
      <c r="C2855" s="12"/>
      <c r="D2855" s="12"/>
      <c r="E2855" s="12"/>
      <c r="F2855" s="7"/>
      <c r="G2855" s="7"/>
      <c r="H2855" s="8"/>
      <c r="I2855" s="9"/>
      <c r="J2855" s="7"/>
      <c r="K2855" s="7"/>
      <c r="L2855" s="7"/>
      <c r="M2855" s="7"/>
      <c r="N2855" s="7"/>
      <c r="O2855" s="7"/>
      <c r="P2855" s="7"/>
      <c r="Q2855" s="7"/>
      <c r="R2855" s="13">
        <v>16300.04</v>
      </c>
      <c r="S2855" s="7"/>
      <c r="T2855" s="7"/>
      <c r="U2855" s="13">
        <v>16300.04</v>
      </c>
      <c r="V2855" s="7"/>
      <c r="W2855" s="7"/>
      <c r="X2855" s="7"/>
      <c r="Y2855" s="7"/>
      <c r="Z2855" s="12"/>
      <c r="AA2855" s="13">
        <v>16300.04</v>
      </c>
    </row>
    <row r="2856" spans="1:27" outlineLevel="5">
      <c r="A2856" s="3504" t="s">
        <v>63</v>
      </c>
      <c r="B2856" s="3504"/>
      <c r="C2856" s="53"/>
      <c r="D2856" s="53"/>
      <c r="E2856" s="49">
        <v>63310.41</v>
      </c>
      <c r="F2856" s="48"/>
      <c r="G2856" s="49">
        <v>63309.56</v>
      </c>
      <c r="H2856" s="3522">
        <v>63309.56</v>
      </c>
      <c r="I2856" s="3522"/>
      <c r="J2856" s="48"/>
      <c r="K2856" s="48"/>
      <c r="L2856" s="48"/>
      <c r="M2856" s="48"/>
      <c r="N2856" s="48"/>
      <c r="O2856" s="48"/>
      <c r="P2856" s="52">
        <v>0.85</v>
      </c>
      <c r="Q2856" s="52">
        <v>0.85</v>
      </c>
      <c r="R2856" s="49">
        <v>429863.47</v>
      </c>
      <c r="S2856" s="48"/>
      <c r="T2856" s="48"/>
      <c r="U2856" s="49">
        <v>429863.47</v>
      </c>
      <c r="V2856" s="48"/>
      <c r="W2856" s="48"/>
      <c r="X2856" s="48"/>
      <c r="Y2856" s="48"/>
      <c r="Z2856" s="53"/>
      <c r="AA2856" s="49">
        <v>366553.06</v>
      </c>
    </row>
    <row r="2857" spans="1:27" outlineLevel="6">
      <c r="A2857" s="3501" t="s">
        <v>1275</v>
      </c>
      <c r="B2857" s="3501"/>
      <c r="C2857" s="12"/>
      <c r="D2857" s="12"/>
      <c r="E2857" s="12"/>
      <c r="F2857" s="7"/>
      <c r="G2857" s="7"/>
      <c r="H2857" s="8"/>
      <c r="I2857" s="9"/>
      <c r="J2857" s="7"/>
      <c r="K2857" s="7"/>
      <c r="L2857" s="7"/>
      <c r="M2857" s="7"/>
      <c r="N2857" s="7"/>
      <c r="O2857" s="7"/>
      <c r="P2857" s="7"/>
      <c r="Q2857" s="7"/>
      <c r="R2857" s="13">
        <v>13491</v>
      </c>
      <c r="S2857" s="7"/>
      <c r="T2857" s="7"/>
      <c r="U2857" s="13">
        <v>13491</v>
      </c>
      <c r="V2857" s="7"/>
      <c r="W2857" s="7"/>
      <c r="X2857" s="7"/>
      <c r="Y2857" s="7"/>
      <c r="Z2857" s="12"/>
      <c r="AA2857" s="13">
        <v>13491</v>
      </c>
    </row>
    <row r="2858" spans="1:27" outlineLevel="7">
      <c r="A2858" s="3500" t="s">
        <v>1276</v>
      </c>
      <c r="B2858" s="3500"/>
      <c r="C2858" s="12"/>
      <c r="D2858" s="12"/>
      <c r="E2858" s="12"/>
      <c r="F2858" s="7"/>
      <c r="G2858" s="7"/>
      <c r="H2858" s="8"/>
      <c r="I2858" s="9"/>
      <c r="J2858" s="7"/>
      <c r="K2858" s="7"/>
      <c r="L2858" s="7"/>
      <c r="M2858" s="7"/>
      <c r="N2858" s="7"/>
      <c r="O2858" s="7"/>
      <c r="P2858" s="7"/>
      <c r="Q2858" s="7"/>
      <c r="R2858" s="13">
        <v>13491</v>
      </c>
      <c r="S2858" s="7"/>
      <c r="T2858" s="7"/>
      <c r="U2858" s="13">
        <v>13491</v>
      </c>
      <c r="V2858" s="7"/>
      <c r="W2858" s="7"/>
      <c r="X2858" s="7"/>
      <c r="Y2858" s="7"/>
      <c r="Z2858" s="12"/>
      <c r="AA2858" s="13">
        <v>13491</v>
      </c>
    </row>
    <row r="2859" spans="1:27" outlineLevel="7">
      <c r="A2859" s="3499" t="s">
        <v>2482</v>
      </c>
      <c r="B2859" s="3499"/>
      <c r="C2859" s="12"/>
      <c r="D2859" s="12"/>
      <c r="E2859" s="12"/>
      <c r="F2859" s="7"/>
      <c r="G2859" s="7"/>
      <c r="H2859" s="8"/>
      <c r="I2859" s="9"/>
      <c r="J2859" s="7"/>
      <c r="K2859" s="7"/>
      <c r="L2859" s="7"/>
      <c r="M2859" s="7"/>
      <c r="N2859" s="7"/>
      <c r="O2859" s="7"/>
      <c r="P2859" s="7"/>
      <c r="Q2859" s="7"/>
      <c r="R2859" s="13">
        <v>13491</v>
      </c>
      <c r="S2859" s="7"/>
      <c r="T2859" s="7"/>
      <c r="U2859" s="13">
        <v>13491</v>
      </c>
      <c r="V2859" s="7"/>
      <c r="W2859" s="7"/>
      <c r="X2859" s="7"/>
      <c r="Y2859" s="7"/>
      <c r="Z2859" s="12"/>
      <c r="AA2859" s="13">
        <v>13491</v>
      </c>
    </row>
    <row r="2860" spans="1:27" outlineLevel="6">
      <c r="A2860" s="3501" t="s">
        <v>1277</v>
      </c>
      <c r="B2860" s="3501"/>
      <c r="C2860" s="12"/>
      <c r="D2860" s="12"/>
      <c r="E2860" s="12"/>
      <c r="F2860" s="7"/>
      <c r="G2860" s="7"/>
      <c r="H2860" s="8"/>
      <c r="I2860" s="9"/>
      <c r="J2860" s="7"/>
      <c r="K2860" s="7"/>
      <c r="L2860" s="7"/>
      <c r="M2860" s="7"/>
      <c r="N2860" s="7"/>
      <c r="O2860" s="7"/>
      <c r="P2860" s="7"/>
      <c r="Q2860" s="7"/>
      <c r="R2860" s="13">
        <v>174322.91</v>
      </c>
      <c r="S2860" s="7"/>
      <c r="T2860" s="7"/>
      <c r="U2860" s="13">
        <v>174322.91</v>
      </c>
      <c r="V2860" s="7"/>
      <c r="W2860" s="7"/>
      <c r="X2860" s="7"/>
      <c r="Y2860" s="7"/>
      <c r="Z2860" s="12"/>
      <c r="AA2860" s="13">
        <v>174322.91</v>
      </c>
    </row>
    <row r="2861" spans="1:27" outlineLevel="7">
      <c r="A2861" s="3500" t="s">
        <v>1278</v>
      </c>
      <c r="B2861" s="3500"/>
      <c r="C2861" s="12"/>
      <c r="D2861" s="12"/>
      <c r="E2861" s="12"/>
      <c r="F2861" s="7"/>
      <c r="G2861" s="7"/>
      <c r="H2861" s="8"/>
      <c r="I2861" s="9"/>
      <c r="J2861" s="7"/>
      <c r="K2861" s="7"/>
      <c r="L2861" s="7"/>
      <c r="M2861" s="7"/>
      <c r="N2861" s="7"/>
      <c r="O2861" s="7"/>
      <c r="P2861" s="7"/>
      <c r="Q2861" s="7"/>
      <c r="R2861" s="13">
        <v>174322.91</v>
      </c>
      <c r="S2861" s="7"/>
      <c r="T2861" s="7"/>
      <c r="U2861" s="13">
        <v>174322.91</v>
      </c>
      <c r="V2861" s="7"/>
      <c r="W2861" s="7"/>
      <c r="X2861" s="7"/>
      <c r="Y2861" s="7"/>
      <c r="Z2861" s="12"/>
      <c r="AA2861" s="13">
        <v>174322.91</v>
      </c>
    </row>
    <row r="2862" spans="1:27" outlineLevel="7">
      <c r="A2862" s="3499" t="s">
        <v>2483</v>
      </c>
      <c r="B2862" s="3499"/>
      <c r="C2862" s="12"/>
      <c r="D2862" s="12"/>
      <c r="E2862" s="12"/>
      <c r="F2862" s="7"/>
      <c r="G2862" s="7"/>
      <c r="H2862" s="8"/>
      <c r="I2862" s="9"/>
      <c r="J2862" s="7"/>
      <c r="K2862" s="7"/>
      <c r="L2862" s="7"/>
      <c r="M2862" s="7"/>
      <c r="N2862" s="7"/>
      <c r="O2862" s="7"/>
      <c r="P2862" s="7"/>
      <c r="Q2862" s="7"/>
      <c r="R2862" s="13">
        <v>174322.91</v>
      </c>
      <c r="S2862" s="7"/>
      <c r="T2862" s="7"/>
      <c r="U2862" s="13">
        <v>174322.91</v>
      </c>
      <c r="V2862" s="7"/>
      <c r="W2862" s="7"/>
      <c r="X2862" s="7"/>
      <c r="Y2862" s="7"/>
      <c r="Z2862" s="12"/>
      <c r="AA2862" s="13">
        <v>174322.91</v>
      </c>
    </row>
    <row r="2863" spans="1:27" outlineLevel="6">
      <c r="A2863" s="3501" t="s">
        <v>839</v>
      </c>
      <c r="B2863" s="3501"/>
      <c r="C2863" s="12"/>
      <c r="D2863" s="12"/>
      <c r="E2863" s="12"/>
      <c r="F2863" s="7"/>
      <c r="G2863" s="7"/>
      <c r="H2863" s="8"/>
      <c r="I2863" s="9"/>
      <c r="J2863" s="7"/>
      <c r="K2863" s="7"/>
      <c r="L2863" s="7"/>
      <c r="M2863" s="7"/>
      <c r="N2863" s="7"/>
      <c r="O2863" s="7"/>
      <c r="P2863" s="7"/>
      <c r="Q2863" s="7"/>
      <c r="R2863" s="13">
        <v>12954.16</v>
      </c>
      <c r="S2863" s="7"/>
      <c r="T2863" s="7"/>
      <c r="U2863" s="13">
        <v>12954.16</v>
      </c>
      <c r="V2863" s="7"/>
      <c r="W2863" s="7"/>
      <c r="X2863" s="7"/>
      <c r="Y2863" s="7"/>
      <c r="Z2863" s="12"/>
      <c r="AA2863" s="13">
        <v>12954.16</v>
      </c>
    </row>
    <row r="2864" spans="1:27" outlineLevel="7">
      <c r="A2864" s="3500" t="s">
        <v>1279</v>
      </c>
      <c r="B2864" s="3500"/>
      <c r="C2864" s="12"/>
      <c r="D2864" s="12"/>
      <c r="E2864" s="12"/>
      <c r="F2864" s="7"/>
      <c r="G2864" s="7"/>
      <c r="H2864" s="8"/>
      <c r="I2864" s="9"/>
      <c r="J2864" s="7"/>
      <c r="K2864" s="7"/>
      <c r="L2864" s="7"/>
      <c r="M2864" s="7"/>
      <c r="N2864" s="7"/>
      <c r="O2864" s="7"/>
      <c r="P2864" s="7"/>
      <c r="Q2864" s="7"/>
      <c r="R2864" s="13">
        <v>12954.16</v>
      </c>
      <c r="S2864" s="7"/>
      <c r="T2864" s="7"/>
      <c r="U2864" s="13">
        <v>12954.16</v>
      </c>
      <c r="V2864" s="7"/>
      <c r="W2864" s="7"/>
      <c r="X2864" s="7"/>
      <c r="Y2864" s="7"/>
      <c r="Z2864" s="12"/>
      <c r="AA2864" s="13">
        <v>12954.16</v>
      </c>
    </row>
    <row r="2865" spans="1:27" outlineLevel="7">
      <c r="A2865" s="3499" t="s">
        <v>2484</v>
      </c>
      <c r="B2865" s="3499"/>
      <c r="C2865" s="12"/>
      <c r="D2865" s="12"/>
      <c r="E2865" s="12"/>
      <c r="F2865" s="7"/>
      <c r="G2865" s="7"/>
      <c r="H2865" s="8"/>
      <c r="I2865" s="9"/>
      <c r="J2865" s="7"/>
      <c r="K2865" s="7"/>
      <c r="L2865" s="7"/>
      <c r="M2865" s="7"/>
      <c r="N2865" s="7"/>
      <c r="O2865" s="7"/>
      <c r="P2865" s="7"/>
      <c r="Q2865" s="7"/>
      <c r="R2865" s="13">
        <v>12954.16</v>
      </c>
      <c r="S2865" s="7"/>
      <c r="T2865" s="7"/>
      <c r="U2865" s="13">
        <v>12954.16</v>
      </c>
      <c r="V2865" s="7"/>
      <c r="W2865" s="7"/>
      <c r="X2865" s="7"/>
      <c r="Y2865" s="7"/>
      <c r="Z2865" s="12"/>
      <c r="AA2865" s="13">
        <v>12954.16</v>
      </c>
    </row>
    <row r="2866" spans="1:27" outlineLevel="6">
      <c r="A2866" s="3501" t="s">
        <v>1280</v>
      </c>
      <c r="B2866" s="3501"/>
      <c r="C2866" s="12"/>
      <c r="D2866" s="12"/>
      <c r="E2866" s="12"/>
      <c r="F2866" s="7"/>
      <c r="G2866" s="7"/>
      <c r="H2866" s="8"/>
      <c r="I2866" s="9"/>
      <c r="J2866" s="7"/>
      <c r="K2866" s="7"/>
      <c r="L2866" s="7"/>
      <c r="M2866" s="7"/>
      <c r="N2866" s="7"/>
      <c r="O2866" s="7"/>
      <c r="P2866" s="7"/>
      <c r="Q2866" s="7"/>
      <c r="R2866" s="13">
        <v>114055.51</v>
      </c>
      <c r="S2866" s="7"/>
      <c r="T2866" s="7"/>
      <c r="U2866" s="13">
        <v>114055.51</v>
      </c>
      <c r="V2866" s="7"/>
      <c r="W2866" s="7"/>
      <c r="X2866" s="7"/>
      <c r="Y2866" s="7"/>
      <c r="Z2866" s="12"/>
      <c r="AA2866" s="13">
        <v>114055.51</v>
      </c>
    </row>
    <row r="2867" spans="1:27" outlineLevel="7">
      <c r="A2867" s="3500" t="s">
        <v>1281</v>
      </c>
      <c r="B2867" s="3500"/>
      <c r="C2867" s="12"/>
      <c r="D2867" s="12"/>
      <c r="E2867" s="12"/>
      <c r="F2867" s="7"/>
      <c r="G2867" s="7"/>
      <c r="H2867" s="8"/>
      <c r="I2867" s="9"/>
      <c r="J2867" s="7"/>
      <c r="K2867" s="7"/>
      <c r="L2867" s="7"/>
      <c r="M2867" s="7"/>
      <c r="N2867" s="7"/>
      <c r="O2867" s="7"/>
      <c r="P2867" s="7"/>
      <c r="Q2867" s="7"/>
      <c r="R2867" s="13">
        <v>114055.51</v>
      </c>
      <c r="S2867" s="7"/>
      <c r="T2867" s="7"/>
      <c r="U2867" s="13">
        <v>114055.51</v>
      </c>
      <c r="V2867" s="7"/>
      <c r="W2867" s="7"/>
      <c r="X2867" s="7"/>
      <c r="Y2867" s="7"/>
      <c r="Z2867" s="12"/>
      <c r="AA2867" s="13">
        <v>114055.51</v>
      </c>
    </row>
    <row r="2868" spans="1:27" outlineLevel="7">
      <c r="A2868" s="3499" t="s">
        <v>2485</v>
      </c>
      <c r="B2868" s="3499"/>
      <c r="C2868" s="12"/>
      <c r="D2868" s="12"/>
      <c r="E2868" s="12"/>
      <c r="F2868" s="7"/>
      <c r="G2868" s="7"/>
      <c r="H2868" s="8"/>
      <c r="I2868" s="9"/>
      <c r="J2868" s="7"/>
      <c r="K2868" s="7"/>
      <c r="L2868" s="7"/>
      <c r="M2868" s="7"/>
      <c r="N2868" s="7"/>
      <c r="O2868" s="7"/>
      <c r="P2868" s="7"/>
      <c r="Q2868" s="7"/>
      <c r="R2868" s="13">
        <v>114055.51</v>
      </c>
      <c r="S2868" s="7"/>
      <c r="T2868" s="7"/>
      <c r="U2868" s="13">
        <v>114055.51</v>
      </c>
      <c r="V2868" s="7"/>
      <c r="W2868" s="7"/>
      <c r="X2868" s="7"/>
      <c r="Y2868" s="7"/>
      <c r="Z2868" s="12"/>
      <c r="AA2868" s="13">
        <v>114055.51</v>
      </c>
    </row>
    <row r="2869" spans="1:27" outlineLevel="6">
      <c r="A2869" s="3526" t="s">
        <v>1282</v>
      </c>
      <c r="B2869" s="3526"/>
      <c r="C2869" s="1432"/>
      <c r="D2869" s="1432"/>
      <c r="E2869" s="1432"/>
      <c r="F2869" s="1434"/>
      <c r="G2869" s="1434"/>
      <c r="H2869" s="1435"/>
      <c r="I2869" s="1436"/>
      <c r="J2869" s="1434"/>
      <c r="K2869" s="1434"/>
      <c r="L2869" s="1434"/>
      <c r="M2869" s="1434"/>
      <c r="N2869" s="1434"/>
      <c r="O2869" s="1434"/>
      <c r="P2869" s="1434"/>
      <c r="Q2869" s="1434"/>
      <c r="R2869" s="1444">
        <v>22199.73</v>
      </c>
      <c r="S2869" s="7"/>
      <c r="T2869" s="7"/>
      <c r="U2869" s="13">
        <v>22199.73</v>
      </c>
      <c r="V2869" s="7"/>
      <c r="W2869" s="7"/>
      <c r="X2869" s="7"/>
      <c r="Y2869" s="7"/>
      <c r="Z2869" s="12"/>
      <c r="AA2869" s="13">
        <v>22199.73</v>
      </c>
    </row>
    <row r="2870" spans="1:27" outlineLevel="7">
      <c r="A2870" s="3527" t="s">
        <v>1283</v>
      </c>
      <c r="B2870" s="3527"/>
      <c r="C2870" s="1432"/>
      <c r="D2870" s="1432"/>
      <c r="E2870" s="1432"/>
      <c r="F2870" s="1434"/>
      <c r="G2870" s="1434"/>
      <c r="H2870" s="1435"/>
      <c r="I2870" s="1436"/>
      <c r="J2870" s="1434"/>
      <c r="K2870" s="1434"/>
      <c r="L2870" s="1434"/>
      <c r="M2870" s="1434"/>
      <c r="N2870" s="1434"/>
      <c r="O2870" s="1434"/>
      <c r="P2870" s="1434"/>
      <c r="Q2870" s="1434"/>
      <c r="R2870" s="1444">
        <v>22199.73</v>
      </c>
      <c r="S2870" s="7"/>
      <c r="T2870" s="7"/>
      <c r="U2870" s="13">
        <v>22199.73</v>
      </c>
      <c r="V2870" s="7"/>
      <c r="W2870" s="7"/>
      <c r="X2870" s="7"/>
      <c r="Y2870" s="7"/>
      <c r="Z2870" s="12"/>
      <c r="AA2870" s="13">
        <v>22199.73</v>
      </c>
    </row>
    <row r="2871" spans="1:27" outlineLevel="7">
      <c r="A2871" s="3499" t="s">
        <v>2486</v>
      </c>
      <c r="B2871" s="3499"/>
      <c r="C2871" s="12"/>
      <c r="D2871" s="12"/>
      <c r="E2871" s="12"/>
      <c r="F2871" s="7"/>
      <c r="G2871" s="7"/>
      <c r="H2871" s="8"/>
      <c r="I2871" s="9"/>
      <c r="J2871" s="7"/>
      <c r="K2871" s="7"/>
      <c r="L2871" s="7"/>
      <c r="M2871" s="7"/>
      <c r="N2871" s="7"/>
      <c r="O2871" s="7"/>
      <c r="P2871" s="7"/>
      <c r="Q2871" s="7"/>
      <c r="R2871" s="13">
        <v>22199.73</v>
      </c>
      <c r="S2871" s="7"/>
      <c r="T2871" s="7"/>
      <c r="U2871" s="13">
        <v>22199.73</v>
      </c>
      <c r="V2871" s="7"/>
      <c r="W2871" s="7"/>
      <c r="X2871" s="7"/>
      <c r="Y2871" s="7"/>
      <c r="Z2871" s="12"/>
      <c r="AA2871" s="13">
        <v>22199.73</v>
      </c>
    </row>
    <row r="2872" spans="1:27" outlineLevel="6">
      <c r="A2872" s="3501" t="s">
        <v>720</v>
      </c>
      <c r="B2872" s="3501"/>
      <c r="C2872" s="7"/>
      <c r="D2872" s="7"/>
      <c r="E2872" s="13">
        <v>23832.69</v>
      </c>
      <c r="F2872" s="7"/>
      <c r="G2872" s="13">
        <v>23832.69</v>
      </c>
      <c r="H2872" s="3524">
        <v>23832.69</v>
      </c>
      <c r="I2872" s="3524"/>
      <c r="J2872" s="7"/>
      <c r="K2872" s="7"/>
      <c r="L2872" s="7"/>
      <c r="M2872" s="7"/>
      <c r="N2872" s="7"/>
      <c r="O2872" s="7"/>
      <c r="P2872" s="7"/>
      <c r="Q2872" s="7"/>
      <c r="R2872" s="13">
        <v>23832.69</v>
      </c>
      <c r="S2872" s="7"/>
      <c r="T2872" s="7"/>
      <c r="U2872" s="13">
        <v>23832.69</v>
      </c>
      <c r="V2872" s="7"/>
      <c r="W2872" s="7"/>
      <c r="X2872" s="7"/>
      <c r="Y2872" s="7"/>
      <c r="Z2872" s="7"/>
      <c r="AA2872" s="7"/>
    </row>
    <row r="2873" spans="1:27" outlineLevel="7">
      <c r="A2873" s="3500" t="s">
        <v>721</v>
      </c>
      <c r="B2873" s="3500"/>
      <c r="C2873" s="7"/>
      <c r="D2873" s="7"/>
      <c r="E2873" s="13">
        <v>23832.69</v>
      </c>
      <c r="F2873" s="7"/>
      <c r="G2873" s="13">
        <v>23832.69</v>
      </c>
      <c r="H2873" s="3524">
        <v>23832.69</v>
      </c>
      <c r="I2873" s="3524"/>
      <c r="J2873" s="7"/>
      <c r="K2873" s="7"/>
      <c r="L2873" s="7"/>
      <c r="M2873" s="7"/>
      <c r="N2873" s="7"/>
      <c r="O2873" s="7"/>
      <c r="P2873" s="7"/>
      <c r="Q2873" s="7"/>
      <c r="R2873" s="13">
        <v>23832.69</v>
      </c>
      <c r="S2873" s="7"/>
      <c r="T2873" s="7"/>
      <c r="U2873" s="13">
        <v>23832.69</v>
      </c>
      <c r="V2873" s="7"/>
      <c r="W2873" s="7"/>
      <c r="X2873" s="7"/>
      <c r="Y2873" s="7"/>
      <c r="Z2873" s="7"/>
      <c r="AA2873" s="7"/>
    </row>
    <row r="2874" spans="1:27" outlineLevel="7">
      <c r="A2874" s="3499" t="s">
        <v>2487</v>
      </c>
      <c r="B2874" s="3499"/>
      <c r="C2874" s="7"/>
      <c r="D2874" s="7"/>
      <c r="E2874" s="13">
        <v>23832.69</v>
      </c>
      <c r="F2874" s="7"/>
      <c r="G2874" s="13">
        <v>23832.69</v>
      </c>
      <c r="H2874" s="3524">
        <v>23832.69</v>
      </c>
      <c r="I2874" s="3524"/>
      <c r="J2874" s="7"/>
      <c r="K2874" s="7"/>
      <c r="L2874" s="7"/>
      <c r="M2874" s="7"/>
      <c r="N2874" s="7"/>
      <c r="O2874" s="7"/>
      <c r="P2874" s="7"/>
      <c r="Q2874" s="7"/>
      <c r="R2874" s="13">
        <v>23832.69</v>
      </c>
      <c r="S2874" s="7"/>
      <c r="T2874" s="7"/>
      <c r="U2874" s="13">
        <v>23832.69</v>
      </c>
      <c r="V2874" s="7"/>
      <c r="W2874" s="7"/>
      <c r="X2874" s="7"/>
      <c r="Y2874" s="7"/>
      <c r="Z2874" s="7"/>
      <c r="AA2874" s="7"/>
    </row>
    <row r="2875" spans="1:27" outlineLevel="6">
      <c r="A2875" s="3501" t="s">
        <v>1284</v>
      </c>
      <c r="B2875" s="3501"/>
      <c r="C2875" s="12"/>
      <c r="D2875" s="12"/>
      <c r="E2875" s="12"/>
      <c r="F2875" s="7"/>
      <c r="G2875" s="7"/>
      <c r="H2875" s="8"/>
      <c r="I2875" s="9"/>
      <c r="J2875" s="7"/>
      <c r="K2875" s="7"/>
      <c r="L2875" s="7"/>
      <c r="M2875" s="7"/>
      <c r="N2875" s="7"/>
      <c r="O2875" s="7"/>
      <c r="P2875" s="7"/>
      <c r="Q2875" s="7"/>
      <c r="R2875" s="13">
        <v>23237.73</v>
      </c>
      <c r="S2875" s="7"/>
      <c r="T2875" s="7"/>
      <c r="U2875" s="13">
        <v>23237.73</v>
      </c>
      <c r="V2875" s="7"/>
      <c r="W2875" s="7"/>
      <c r="X2875" s="7"/>
      <c r="Y2875" s="7"/>
      <c r="Z2875" s="12"/>
      <c r="AA2875" s="13">
        <v>23237.73</v>
      </c>
    </row>
    <row r="2876" spans="1:27" outlineLevel="7">
      <c r="A2876" s="3500" t="s">
        <v>1285</v>
      </c>
      <c r="B2876" s="3500"/>
      <c r="C2876" s="12"/>
      <c r="D2876" s="12"/>
      <c r="E2876" s="12"/>
      <c r="F2876" s="7"/>
      <c r="G2876" s="7"/>
      <c r="H2876" s="8"/>
      <c r="I2876" s="9"/>
      <c r="J2876" s="7"/>
      <c r="K2876" s="7"/>
      <c r="L2876" s="7"/>
      <c r="M2876" s="7"/>
      <c r="N2876" s="7"/>
      <c r="O2876" s="7"/>
      <c r="P2876" s="7"/>
      <c r="Q2876" s="7"/>
      <c r="R2876" s="13">
        <v>23237.73</v>
      </c>
      <c r="S2876" s="7"/>
      <c r="T2876" s="7"/>
      <c r="U2876" s="13">
        <v>23237.73</v>
      </c>
      <c r="V2876" s="7"/>
      <c r="W2876" s="7"/>
      <c r="X2876" s="7"/>
      <c r="Y2876" s="7"/>
      <c r="Z2876" s="12"/>
      <c r="AA2876" s="13">
        <v>23237.73</v>
      </c>
    </row>
    <row r="2877" spans="1:27" outlineLevel="7">
      <c r="A2877" s="3499" t="s">
        <v>2488</v>
      </c>
      <c r="B2877" s="3499"/>
      <c r="C2877" s="12"/>
      <c r="D2877" s="12"/>
      <c r="E2877" s="12"/>
      <c r="F2877" s="7"/>
      <c r="G2877" s="7"/>
      <c r="H2877" s="8"/>
      <c r="I2877" s="9"/>
      <c r="J2877" s="7"/>
      <c r="K2877" s="7"/>
      <c r="L2877" s="7"/>
      <c r="M2877" s="7"/>
      <c r="N2877" s="7"/>
      <c r="O2877" s="7"/>
      <c r="P2877" s="7"/>
      <c r="Q2877" s="7"/>
      <c r="R2877" s="13">
        <v>23237.73</v>
      </c>
      <c r="S2877" s="7"/>
      <c r="T2877" s="7"/>
      <c r="U2877" s="13">
        <v>23237.73</v>
      </c>
      <c r="V2877" s="7"/>
      <c r="W2877" s="7"/>
      <c r="X2877" s="7"/>
      <c r="Y2877" s="7"/>
      <c r="Z2877" s="12"/>
      <c r="AA2877" s="13">
        <v>23237.73</v>
      </c>
    </row>
    <row r="2878" spans="1:27" outlineLevel="6">
      <c r="A2878" s="3501" t="s">
        <v>722</v>
      </c>
      <c r="B2878" s="3501"/>
      <c r="C2878" s="7"/>
      <c r="D2878" s="7"/>
      <c r="E2878" s="13">
        <v>24057.72</v>
      </c>
      <c r="F2878" s="7"/>
      <c r="G2878" s="13">
        <v>24057.72</v>
      </c>
      <c r="H2878" s="3524">
        <v>24057.72</v>
      </c>
      <c r="I2878" s="3524"/>
      <c r="J2878" s="7"/>
      <c r="K2878" s="7"/>
      <c r="L2878" s="7"/>
      <c r="M2878" s="7"/>
      <c r="N2878" s="7"/>
      <c r="O2878" s="7"/>
      <c r="P2878" s="7"/>
      <c r="Q2878" s="7"/>
      <c r="R2878" s="13">
        <v>24057.72</v>
      </c>
      <c r="S2878" s="7"/>
      <c r="T2878" s="7"/>
      <c r="U2878" s="13">
        <v>24057.72</v>
      </c>
      <c r="V2878" s="7"/>
      <c r="W2878" s="7"/>
      <c r="X2878" s="7"/>
      <c r="Y2878" s="7"/>
      <c r="Z2878" s="7"/>
      <c r="AA2878" s="7"/>
    </row>
    <row r="2879" spans="1:27" outlineLevel="7">
      <c r="A2879" s="3500" t="s">
        <v>723</v>
      </c>
      <c r="B2879" s="3500"/>
      <c r="C2879" s="7"/>
      <c r="D2879" s="7"/>
      <c r="E2879" s="13">
        <v>24057.72</v>
      </c>
      <c r="F2879" s="7"/>
      <c r="G2879" s="13">
        <v>24057.72</v>
      </c>
      <c r="H2879" s="3524">
        <v>24057.72</v>
      </c>
      <c r="I2879" s="3524"/>
      <c r="J2879" s="7"/>
      <c r="K2879" s="7"/>
      <c r="L2879" s="7"/>
      <c r="M2879" s="7"/>
      <c r="N2879" s="7"/>
      <c r="O2879" s="7"/>
      <c r="P2879" s="7"/>
      <c r="Q2879" s="7"/>
      <c r="R2879" s="13">
        <v>24057.72</v>
      </c>
      <c r="S2879" s="7"/>
      <c r="T2879" s="7"/>
      <c r="U2879" s="13">
        <v>24057.72</v>
      </c>
      <c r="V2879" s="7"/>
      <c r="W2879" s="7"/>
      <c r="X2879" s="7"/>
      <c r="Y2879" s="7"/>
      <c r="Z2879" s="7"/>
      <c r="AA2879" s="7"/>
    </row>
    <row r="2880" spans="1:27" outlineLevel="7">
      <c r="A2880" s="3499" t="s">
        <v>2489</v>
      </c>
      <c r="B2880" s="3499"/>
      <c r="C2880" s="7"/>
      <c r="D2880" s="7"/>
      <c r="E2880" s="13">
        <v>24057.72</v>
      </c>
      <c r="F2880" s="7"/>
      <c r="G2880" s="13">
        <v>24057.72</v>
      </c>
      <c r="H2880" s="3524">
        <v>24057.72</v>
      </c>
      <c r="I2880" s="3524"/>
      <c r="J2880" s="7"/>
      <c r="K2880" s="7"/>
      <c r="L2880" s="7"/>
      <c r="M2880" s="7"/>
      <c r="N2880" s="7"/>
      <c r="O2880" s="7"/>
      <c r="P2880" s="7"/>
      <c r="Q2880" s="7"/>
      <c r="R2880" s="13">
        <v>24057.72</v>
      </c>
      <c r="S2880" s="7"/>
      <c r="T2880" s="7"/>
      <c r="U2880" s="13">
        <v>24057.72</v>
      </c>
      <c r="V2880" s="7"/>
      <c r="W2880" s="7"/>
      <c r="X2880" s="7"/>
      <c r="Y2880" s="7"/>
      <c r="Z2880" s="7"/>
      <c r="AA2880" s="7"/>
    </row>
    <row r="2881" spans="1:27" outlineLevel="6">
      <c r="A2881" s="3501" t="s">
        <v>724</v>
      </c>
      <c r="B2881" s="3501"/>
      <c r="C2881" s="7"/>
      <c r="D2881" s="7"/>
      <c r="E2881" s="13">
        <v>15420</v>
      </c>
      <c r="F2881" s="7"/>
      <c r="G2881" s="13">
        <v>15419.15</v>
      </c>
      <c r="H2881" s="3524">
        <v>15419.15</v>
      </c>
      <c r="I2881" s="3524"/>
      <c r="J2881" s="7"/>
      <c r="K2881" s="7"/>
      <c r="L2881" s="7"/>
      <c r="M2881" s="7"/>
      <c r="N2881" s="7"/>
      <c r="O2881" s="7"/>
      <c r="P2881" s="14">
        <v>0.85</v>
      </c>
      <c r="Q2881" s="14">
        <v>0.85</v>
      </c>
      <c r="R2881" s="13">
        <v>15420</v>
      </c>
      <c r="S2881" s="7"/>
      <c r="T2881" s="7"/>
      <c r="U2881" s="13">
        <v>15420</v>
      </c>
      <c r="V2881" s="7"/>
      <c r="W2881" s="7"/>
      <c r="X2881" s="7"/>
      <c r="Y2881" s="7"/>
      <c r="Z2881" s="7"/>
      <c r="AA2881" s="7"/>
    </row>
    <row r="2882" spans="1:27" outlineLevel="7">
      <c r="A2882" s="3500" t="s">
        <v>725</v>
      </c>
      <c r="B2882" s="3500"/>
      <c r="C2882" s="7"/>
      <c r="D2882" s="7"/>
      <c r="E2882" s="13">
        <v>15420</v>
      </c>
      <c r="F2882" s="7"/>
      <c r="G2882" s="13">
        <v>15419.15</v>
      </c>
      <c r="H2882" s="3524">
        <v>15419.15</v>
      </c>
      <c r="I2882" s="3524"/>
      <c r="J2882" s="7"/>
      <c r="K2882" s="7"/>
      <c r="L2882" s="7"/>
      <c r="M2882" s="7"/>
      <c r="N2882" s="7"/>
      <c r="O2882" s="7"/>
      <c r="P2882" s="14">
        <v>0.85</v>
      </c>
      <c r="Q2882" s="14">
        <v>0.85</v>
      </c>
      <c r="R2882" s="13">
        <v>15420</v>
      </c>
      <c r="S2882" s="7"/>
      <c r="T2882" s="7"/>
      <c r="U2882" s="13">
        <v>15420</v>
      </c>
      <c r="V2882" s="7"/>
      <c r="W2882" s="7"/>
      <c r="X2882" s="7"/>
      <c r="Y2882" s="7"/>
      <c r="Z2882" s="7"/>
      <c r="AA2882" s="7"/>
    </row>
    <row r="2883" spans="1:27" outlineLevel="7">
      <c r="A2883" s="3499" t="s">
        <v>2490</v>
      </c>
      <c r="B2883" s="3499"/>
      <c r="C2883" s="7"/>
      <c r="D2883" s="7"/>
      <c r="E2883" s="13">
        <v>15420</v>
      </c>
      <c r="F2883" s="7"/>
      <c r="G2883" s="13">
        <v>15419.15</v>
      </c>
      <c r="H2883" s="3524">
        <v>15419.15</v>
      </c>
      <c r="I2883" s="3524"/>
      <c r="J2883" s="7"/>
      <c r="K2883" s="7"/>
      <c r="L2883" s="7"/>
      <c r="M2883" s="7"/>
      <c r="N2883" s="7"/>
      <c r="O2883" s="7"/>
      <c r="P2883" s="14">
        <v>0.85</v>
      </c>
      <c r="Q2883" s="14">
        <v>0.85</v>
      </c>
      <c r="R2883" s="13">
        <v>15420</v>
      </c>
      <c r="S2883" s="7"/>
      <c r="T2883" s="7"/>
      <c r="U2883" s="13">
        <v>15420</v>
      </c>
      <c r="V2883" s="7"/>
      <c r="W2883" s="7"/>
      <c r="X2883" s="7"/>
      <c r="Y2883" s="7"/>
      <c r="Z2883" s="7"/>
      <c r="AA2883" s="7"/>
    </row>
    <row r="2884" spans="1:27" outlineLevel="6">
      <c r="A2884" s="3501" t="s">
        <v>1286</v>
      </c>
      <c r="B2884" s="3501"/>
      <c r="C2884" s="12"/>
      <c r="D2884" s="12"/>
      <c r="E2884" s="12"/>
      <c r="F2884" s="7"/>
      <c r="G2884" s="7"/>
      <c r="H2884" s="8"/>
      <c r="I2884" s="9"/>
      <c r="J2884" s="7"/>
      <c r="K2884" s="7"/>
      <c r="L2884" s="7"/>
      <c r="M2884" s="7"/>
      <c r="N2884" s="7"/>
      <c r="O2884" s="7"/>
      <c r="P2884" s="7"/>
      <c r="Q2884" s="7"/>
      <c r="R2884" s="13">
        <v>6292.02</v>
      </c>
      <c r="S2884" s="7"/>
      <c r="T2884" s="7"/>
      <c r="U2884" s="13">
        <v>6292.02</v>
      </c>
      <c r="V2884" s="7"/>
      <c r="W2884" s="7"/>
      <c r="X2884" s="7"/>
      <c r="Y2884" s="7"/>
      <c r="Z2884" s="12"/>
      <c r="AA2884" s="13">
        <v>6292.02</v>
      </c>
    </row>
    <row r="2885" spans="1:27" outlineLevel="7">
      <c r="A2885" s="3500" t="s">
        <v>1287</v>
      </c>
      <c r="B2885" s="3500"/>
      <c r="C2885" s="12"/>
      <c r="D2885" s="12"/>
      <c r="E2885" s="12"/>
      <c r="F2885" s="7"/>
      <c r="G2885" s="7"/>
      <c r="H2885" s="8"/>
      <c r="I2885" s="9"/>
      <c r="J2885" s="7"/>
      <c r="K2885" s="7"/>
      <c r="L2885" s="7"/>
      <c r="M2885" s="7"/>
      <c r="N2885" s="7"/>
      <c r="O2885" s="7"/>
      <c r="P2885" s="7"/>
      <c r="Q2885" s="7"/>
      <c r="R2885" s="13">
        <v>6292.02</v>
      </c>
      <c r="S2885" s="7"/>
      <c r="T2885" s="7"/>
      <c r="U2885" s="13">
        <v>6292.02</v>
      </c>
      <c r="V2885" s="7"/>
      <c r="W2885" s="7"/>
      <c r="X2885" s="7"/>
      <c r="Y2885" s="7"/>
      <c r="Z2885" s="12"/>
      <c r="AA2885" s="13">
        <v>6292.02</v>
      </c>
    </row>
    <row r="2886" spans="1:27" outlineLevel="7">
      <c r="A2886" s="3499" t="s">
        <v>2491</v>
      </c>
      <c r="B2886" s="3499"/>
      <c r="C2886" s="12"/>
      <c r="D2886" s="12"/>
      <c r="E2886" s="12"/>
      <c r="F2886" s="7"/>
      <c r="G2886" s="7"/>
      <c r="H2886" s="8"/>
      <c r="I2886" s="9"/>
      <c r="J2886" s="7"/>
      <c r="K2886" s="7"/>
      <c r="L2886" s="7"/>
      <c r="M2886" s="7"/>
      <c r="N2886" s="7"/>
      <c r="O2886" s="7"/>
      <c r="P2886" s="7"/>
      <c r="Q2886" s="7"/>
      <c r="R2886" s="13">
        <v>6292.02</v>
      </c>
      <c r="S2886" s="7"/>
      <c r="T2886" s="7"/>
      <c r="U2886" s="13">
        <v>6292.02</v>
      </c>
      <c r="V2886" s="7"/>
      <c r="W2886" s="7"/>
      <c r="X2886" s="7"/>
      <c r="Y2886" s="7"/>
      <c r="Z2886" s="12"/>
      <c r="AA2886" s="13">
        <v>6292.02</v>
      </c>
    </row>
    <row r="2887" spans="1:27" outlineLevel="5">
      <c r="A2887" s="3504" t="s">
        <v>649</v>
      </c>
      <c r="B2887" s="3504"/>
      <c r="C2887" s="53"/>
      <c r="D2887" s="49">
        <v>522507.58</v>
      </c>
      <c r="E2887" s="49">
        <v>764634.86</v>
      </c>
      <c r="F2887" s="49">
        <v>459604.89</v>
      </c>
      <c r="G2887" s="49">
        <v>305029.96999999997</v>
      </c>
      <c r="H2887" s="3522">
        <v>305029.96999999997</v>
      </c>
      <c r="I2887" s="3522"/>
      <c r="J2887" s="48"/>
      <c r="K2887" s="48"/>
      <c r="L2887" s="48"/>
      <c r="M2887" s="48"/>
      <c r="N2887" s="48"/>
      <c r="O2887" s="48"/>
      <c r="P2887" s="48"/>
      <c r="Q2887" s="48"/>
      <c r="R2887" s="49">
        <v>536425.17000000004</v>
      </c>
      <c r="S2887" s="48"/>
      <c r="T2887" s="48"/>
      <c r="U2887" s="49">
        <v>536425.17000000004</v>
      </c>
      <c r="V2887" s="48"/>
      <c r="W2887" s="48"/>
      <c r="X2887" s="48"/>
      <c r="Y2887" s="48"/>
      <c r="Z2887" s="53"/>
      <c r="AA2887" s="49">
        <v>294297.89</v>
      </c>
    </row>
    <row r="2888" spans="1:27" outlineLevel="6">
      <c r="A2888" s="3501" t="s">
        <v>1288</v>
      </c>
      <c r="B2888" s="3501"/>
      <c r="C2888" s="12"/>
      <c r="D2888" s="12"/>
      <c r="E2888" s="12"/>
      <c r="F2888" s="7"/>
      <c r="G2888" s="7"/>
      <c r="H2888" s="8"/>
      <c r="I2888" s="9"/>
      <c r="J2888" s="7"/>
      <c r="K2888" s="7"/>
      <c r="L2888" s="7"/>
      <c r="M2888" s="7"/>
      <c r="N2888" s="7"/>
      <c r="O2888" s="7"/>
      <c r="P2888" s="7"/>
      <c r="Q2888" s="7"/>
      <c r="R2888" s="13">
        <v>12621.06</v>
      </c>
      <c r="S2888" s="7"/>
      <c r="T2888" s="7"/>
      <c r="U2888" s="13">
        <v>12621.06</v>
      </c>
      <c r="V2888" s="7"/>
      <c r="W2888" s="7"/>
      <c r="X2888" s="7"/>
      <c r="Y2888" s="7"/>
      <c r="Z2888" s="12"/>
      <c r="AA2888" s="13">
        <v>12621.06</v>
      </c>
    </row>
    <row r="2889" spans="1:27" outlineLevel="7">
      <c r="A2889" s="3500" t="s">
        <v>1289</v>
      </c>
      <c r="B2889" s="3500"/>
      <c r="C2889" s="12"/>
      <c r="D2889" s="12"/>
      <c r="E2889" s="12"/>
      <c r="F2889" s="7"/>
      <c r="G2889" s="7"/>
      <c r="H2889" s="8"/>
      <c r="I2889" s="9"/>
      <c r="J2889" s="7"/>
      <c r="K2889" s="7"/>
      <c r="L2889" s="7"/>
      <c r="M2889" s="7"/>
      <c r="N2889" s="7"/>
      <c r="O2889" s="7"/>
      <c r="P2889" s="7"/>
      <c r="Q2889" s="7"/>
      <c r="R2889" s="13">
        <v>12621.06</v>
      </c>
      <c r="S2889" s="7"/>
      <c r="T2889" s="7"/>
      <c r="U2889" s="13">
        <v>12621.06</v>
      </c>
      <c r="V2889" s="7"/>
      <c r="W2889" s="7"/>
      <c r="X2889" s="7"/>
      <c r="Y2889" s="7"/>
      <c r="Z2889" s="12"/>
      <c r="AA2889" s="13">
        <v>12621.06</v>
      </c>
    </row>
    <row r="2890" spans="1:27" outlineLevel="7">
      <c r="A2890" s="3499" t="s">
        <v>2492</v>
      </c>
      <c r="B2890" s="3499"/>
      <c r="C2890" s="12"/>
      <c r="D2890" s="12"/>
      <c r="E2890" s="12"/>
      <c r="F2890" s="7"/>
      <c r="G2890" s="7"/>
      <c r="H2890" s="8"/>
      <c r="I2890" s="9"/>
      <c r="J2890" s="7"/>
      <c r="K2890" s="7"/>
      <c r="L2890" s="7"/>
      <c r="M2890" s="7"/>
      <c r="N2890" s="7"/>
      <c r="O2890" s="7"/>
      <c r="P2890" s="7"/>
      <c r="Q2890" s="7"/>
      <c r="R2890" s="13">
        <v>12621.06</v>
      </c>
      <c r="S2890" s="7"/>
      <c r="T2890" s="7"/>
      <c r="U2890" s="13">
        <v>12621.06</v>
      </c>
      <c r="V2890" s="7"/>
      <c r="W2890" s="7"/>
      <c r="X2890" s="7"/>
      <c r="Y2890" s="7"/>
      <c r="Z2890" s="12"/>
      <c r="AA2890" s="13">
        <v>12621.06</v>
      </c>
    </row>
    <row r="2891" spans="1:27" outlineLevel="6">
      <c r="A2891" s="3526" t="s">
        <v>1290</v>
      </c>
      <c r="B2891" s="3526"/>
      <c r="C2891" s="1432"/>
      <c r="D2891" s="1444">
        <v>55700.91</v>
      </c>
      <c r="E2891" s="1434"/>
      <c r="F2891" s="1434"/>
      <c r="G2891" s="1434"/>
      <c r="H2891" s="1435"/>
      <c r="I2891" s="1436"/>
      <c r="J2891" s="1434"/>
      <c r="K2891" s="1434"/>
      <c r="L2891" s="1434"/>
      <c r="M2891" s="1434"/>
      <c r="N2891" s="1434"/>
      <c r="O2891" s="1434"/>
      <c r="P2891" s="1434"/>
      <c r="Q2891" s="1434"/>
      <c r="R2891" s="1434"/>
      <c r="S2891" s="7"/>
      <c r="T2891" s="7"/>
      <c r="U2891" s="7"/>
      <c r="V2891" s="7"/>
      <c r="W2891" s="7"/>
      <c r="X2891" s="7"/>
      <c r="Y2891" s="7"/>
      <c r="Z2891" s="12"/>
      <c r="AA2891" s="13">
        <v>55700.91</v>
      </c>
    </row>
    <row r="2892" spans="1:27" outlineLevel="7">
      <c r="A2892" s="3527" t="s">
        <v>1291</v>
      </c>
      <c r="B2892" s="3527"/>
      <c r="C2892" s="1432"/>
      <c r="D2892" s="1444">
        <v>55700.91</v>
      </c>
      <c r="E2892" s="1434"/>
      <c r="F2892" s="1434"/>
      <c r="G2892" s="1434"/>
      <c r="H2892" s="1435"/>
      <c r="I2892" s="1436"/>
      <c r="J2892" s="1434"/>
      <c r="K2892" s="1434"/>
      <c r="L2892" s="1434"/>
      <c r="M2892" s="1434"/>
      <c r="N2892" s="1434"/>
      <c r="O2892" s="1434"/>
      <c r="P2892" s="1434"/>
      <c r="Q2892" s="1434"/>
      <c r="R2892" s="1434"/>
      <c r="S2892" s="7"/>
      <c r="T2892" s="7"/>
      <c r="U2892" s="7"/>
      <c r="V2892" s="7"/>
      <c r="W2892" s="7"/>
      <c r="X2892" s="7"/>
      <c r="Y2892" s="7"/>
      <c r="Z2892" s="12"/>
      <c r="AA2892" s="13">
        <v>55700.91</v>
      </c>
    </row>
    <row r="2893" spans="1:27" outlineLevel="7">
      <c r="A2893" s="3528" t="s">
        <v>2493</v>
      </c>
      <c r="B2893" s="3528"/>
      <c r="C2893" s="1432"/>
      <c r="D2893" s="1444">
        <v>55700.91</v>
      </c>
      <c r="E2893" s="1434"/>
      <c r="F2893" s="1434"/>
      <c r="G2893" s="1434"/>
      <c r="H2893" s="1435"/>
      <c r="I2893" s="1436"/>
      <c r="J2893" s="1434"/>
      <c r="K2893" s="1434"/>
      <c r="L2893" s="1434"/>
      <c r="M2893" s="1434"/>
      <c r="N2893" s="1434"/>
      <c r="O2893" s="1434"/>
      <c r="P2893" s="1434"/>
      <c r="Q2893" s="1434"/>
      <c r="R2893" s="1434"/>
      <c r="S2893" s="7"/>
      <c r="T2893" s="7"/>
      <c r="U2893" s="7"/>
      <c r="V2893" s="7"/>
      <c r="W2893" s="7"/>
      <c r="X2893" s="7"/>
      <c r="Y2893" s="7"/>
      <c r="Z2893" s="12"/>
      <c r="AA2893" s="13">
        <v>55700.91</v>
      </c>
    </row>
    <row r="2894" spans="1:27" outlineLevel="6">
      <c r="A2894" s="3501" t="s">
        <v>657</v>
      </c>
      <c r="B2894" s="3501"/>
      <c r="C2894" s="12"/>
      <c r="D2894" s="12"/>
      <c r="E2894" s="12"/>
      <c r="F2894" s="7"/>
      <c r="G2894" s="7"/>
      <c r="H2894" s="8"/>
      <c r="I2894" s="9"/>
      <c r="J2894" s="7"/>
      <c r="K2894" s="7"/>
      <c r="L2894" s="7"/>
      <c r="M2894" s="7"/>
      <c r="N2894" s="7"/>
      <c r="O2894" s="7"/>
      <c r="P2894" s="7"/>
      <c r="Q2894" s="7"/>
      <c r="R2894" s="13">
        <v>199759.1</v>
      </c>
      <c r="S2894" s="7"/>
      <c r="T2894" s="7"/>
      <c r="U2894" s="13">
        <v>199759.1</v>
      </c>
      <c r="V2894" s="7"/>
      <c r="W2894" s="7"/>
      <c r="X2894" s="7"/>
      <c r="Y2894" s="7"/>
      <c r="Z2894" s="12"/>
      <c r="AA2894" s="13">
        <v>199759.1</v>
      </c>
    </row>
    <row r="2895" spans="1:27" outlineLevel="7">
      <c r="A2895" s="3500" t="s">
        <v>1292</v>
      </c>
      <c r="B2895" s="3500"/>
      <c r="C2895" s="12"/>
      <c r="D2895" s="12"/>
      <c r="E2895" s="12"/>
      <c r="F2895" s="7"/>
      <c r="G2895" s="7"/>
      <c r="H2895" s="8"/>
      <c r="I2895" s="9"/>
      <c r="J2895" s="7"/>
      <c r="K2895" s="7"/>
      <c r="L2895" s="7"/>
      <c r="M2895" s="7"/>
      <c r="N2895" s="7"/>
      <c r="O2895" s="7"/>
      <c r="P2895" s="7"/>
      <c r="Q2895" s="7"/>
      <c r="R2895" s="13">
        <v>199759.1</v>
      </c>
      <c r="S2895" s="7"/>
      <c r="T2895" s="7"/>
      <c r="U2895" s="13">
        <v>199759.1</v>
      </c>
      <c r="V2895" s="7"/>
      <c r="W2895" s="7"/>
      <c r="X2895" s="7"/>
      <c r="Y2895" s="7"/>
      <c r="Z2895" s="12"/>
      <c r="AA2895" s="13">
        <v>199759.1</v>
      </c>
    </row>
    <row r="2896" spans="1:27" outlineLevel="7">
      <c r="A2896" s="3499" t="s">
        <v>2494</v>
      </c>
      <c r="B2896" s="3499"/>
      <c r="C2896" s="12"/>
      <c r="D2896" s="12"/>
      <c r="E2896" s="12"/>
      <c r="F2896" s="7"/>
      <c r="G2896" s="7"/>
      <c r="H2896" s="8"/>
      <c r="I2896" s="9"/>
      <c r="J2896" s="7"/>
      <c r="K2896" s="7"/>
      <c r="L2896" s="7"/>
      <c r="M2896" s="7"/>
      <c r="N2896" s="7"/>
      <c r="O2896" s="7"/>
      <c r="P2896" s="7"/>
      <c r="Q2896" s="7"/>
      <c r="R2896" s="13">
        <v>33293</v>
      </c>
      <c r="S2896" s="7"/>
      <c r="T2896" s="7"/>
      <c r="U2896" s="13">
        <v>33293</v>
      </c>
      <c r="V2896" s="7"/>
      <c r="W2896" s="7"/>
      <c r="X2896" s="7"/>
      <c r="Y2896" s="7"/>
      <c r="Z2896" s="12"/>
      <c r="AA2896" s="13">
        <v>33293</v>
      </c>
    </row>
    <row r="2897" spans="1:27" outlineLevel="7">
      <c r="A2897" s="3499" t="s">
        <v>2495</v>
      </c>
      <c r="B2897" s="3499"/>
      <c r="C2897" s="12"/>
      <c r="D2897" s="12"/>
      <c r="E2897" s="12"/>
      <c r="F2897" s="7"/>
      <c r="G2897" s="7"/>
      <c r="H2897" s="8"/>
      <c r="I2897" s="9"/>
      <c r="J2897" s="7"/>
      <c r="K2897" s="7"/>
      <c r="L2897" s="7"/>
      <c r="M2897" s="7"/>
      <c r="N2897" s="7"/>
      <c r="O2897" s="7"/>
      <c r="P2897" s="7"/>
      <c r="Q2897" s="7"/>
      <c r="R2897" s="13">
        <v>166466.1</v>
      </c>
      <c r="S2897" s="7"/>
      <c r="T2897" s="7"/>
      <c r="U2897" s="13">
        <v>166466.1</v>
      </c>
      <c r="V2897" s="7"/>
      <c r="W2897" s="7"/>
      <c r="X2897" s="7"/>
      <c r="Y2897" s="7"/>
      <c r="Z2897" s="12"/>
      <c r="AA2897" s="13">
        <v>166466.1</v>
      </c>
    </row>
    <row r="2898" spans="1:27" outlineLevel="6">
      <c r="A2898" s="3501" t="s">
        <v>1293</v>
      </c>
      <c r="B2898" s="3501"/>
      <c r="C2898" s="12"/>
      <c r="D2898" s="13">
        <v>7201.78</v>
      </c>
      <c r="E2898" s="7"/>
      <c r="F2898" s="7"/>
      <c r="G2898" s="7"/>
      <c r="H2898" s="8"/>
      <c r="I2898" s="9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12"/>
      <c r="AA2898" s="13">
        <v>7201.78</v>
      </c>
    </row>
    <row r="2899" spans="1:27" outlineLevel="7">
      <c r="A2899" s="3500" t="s">
        <v>1294</v>
      </c>
      <c r="B2899" s="3500"/>
      <c r="C2899" s="12"/>
      <c r="D2899" s="13">
        <v>7201.78</v>
      </c>
      <c r="E2899" s="7"/>
      <c r="F2899" s="7"/>
      <c r="G2899" s="7"/>
      <c r="H2899" s="8"/>
      <c r="I2899" s="9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12"/>
      <c r="AA2899" s="13">
        <v>7201.78</v>
      </c>
    </row>
    <row r="2900" spans="1:27" outlineLevel="7">
      <c r="A2900" s="3499" t="s">
        <v>2496</v>
      </c>
      <c r="B2900" s="3499"/>
      <c r="C2900" s="12"/>
      <c r="D2900" s="13">
        <v>7201.78</v>
      </c>
      <c r="E2900" s="7"/>
      <c r="F2900" s="7"/>
      <c r="G2900" s="7"/>
      <c r="H2900" s="8"/>
      <c r="I2900" s="9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12"/>
      <c r="AA2900" s="13">
        <v>7201.78</v>
      </c>
    </row>
    <row r="2901" spans="1:27" outlineLevel="6">
      <c r="A2901" s="3501" t="s">
        <v>728</v>
      </c>
      <c r="B2901" s="3501"/>
      <c r="C2901" s="7"/>
      <c r="D2901" s="7"/>
      <c r="E2901" s="13">
        <v>12669.66</v>
      </c>
      <c r="F2901" s="7"/>
      <c r="G2901" s="13">
        <v>12669.66</v>
      </c>
      <c r="H2901" s="3524">
        <v>12669.66</v>
      </c>
      <c r="I2901" s="3524"/>
      <c r="J2901" s="7"/>
      <c r="K2901" s="7"/>
      <c r="L2901" s="7"/>
      <c r="M2901" s="7"/>
      <c r="N2901" s="7"/>
      <c r="O2901" s="7"/>
      <c r="P2901" s="7"/>
      <c r="Q2901" s="7"/>
      <c r="R2901" s="13">
        <v>12669.66</v>
      </c>
      <c r="S2901" s="7"/>
      <c r="T2901" s="7"/>
      <c r="U2901" s="13">
        <v>12669.66</v>
      </c>
      <c r="V2901" s="7"/>
      <c r="W2901" s="7"/>
      <c r="X2901" s="7"/>
      <c r="Y2901" s="7"/>
      <c r="Z2901" s="7"/>
      <c r="AA2901" s="7"/>
    </row>
    <row r="2902" spans="1:27" outlineLevel="7">
      <c r="A2902" s="3500" t="s">
        <v>729</v>
      </c>
      <c r="B2902" s="3500"/>
      <c r="C2902" s="7"/>
      <c r="D2902" s="7"/>
      <c r="E2902" s="13">
        <v>12669.66</v>
      </c>
      <c r="F2902" s="7"/>
      <c r="G2902" s="13">
        <v>12669.66</v>
      </c>
      <c r="H2902" s="3524">
        <v>12669.66</v>
      </c>
      <c r="I2902" s="3524"/>
      <c r="J2902" s="7"/>
      <c r="K2902" s="7"/>
      <c r="L2902" s="7"/>
      <c r="M2902" s="7"/>
      <c r="N2902" s="7"/>
      <c r="O2902" s="7"/>
      <c r="P2902" s="7"/>
      <c r="Q2902" s="7"/>
      <c r="R2902" s="13">
        <v>12669.66</v>
      </c>
      <c r="S2902" s="7"/>
      <c r="T2902" s="7"/>
      <c r="U2902" s="13">
        <v>12669.66</v>
      </c>
      <c r="V2902" s="7"/>
      <c r="W2902" s="7"/>
      <c r="X2902" s="7"/>
      <c r="Y2902" s="7"/>
      <c r="Z2902" s="7"/>
      <c r="AA2902" s="7"/>
    </row>
    <row r="2903" spans="1:27" outlineLevel="7">
      <c r="A2903" s="3499" t="s">
        <v>2497</v>
      </c>
      <c r="B2903" s="3499"/>
      <c r="C2903" s="7"/>
      <c r="D2903" s="7"/>
      <c r="E2903" s="13">
        <v>12669.66</v>
      </c>
      <c r="F2903" s="7"/>
      <c r="G2903" s="13">
        <v>12669.66</v>
      </c>
      <c r="H2903" s="3524">
        <v>12669.66</v>
      </c>
      <c r="I2903" s="3524"/>
      <c r="J2903" s="7"/>
      <c r="K2903" s="7"/>
      <c r="L2903" s="7"/>
      <c r="M2903" s="7"/>
      <c r="N2903" s="7"/>
      <c r="O2903" s="7"/>
      <c r="P2903" s="7"/>
      <c r="Q2903" s="7"/>
      <c r="R2903" s="13">
        <v>12669.66</v>
      </c>
      <c r="S2903" s="7"/>
      <c r="T2903" s="7"/>
      <c r="U2903" s="13">
        <v>12669.66</v>
      </c>
      <c r="V2903" s="7"/>
      <c r="W2903" s="7"/>
      <c r="X2903" s="7"/>
      <c r="Y2903" s="7"/>
      <c r="Z2903" s="7"/>
      <c r="AA2903" s="7"/>
    </row>
    <row r="2904" spans="1:27" outlineLevel="6">
      <c r="A2904" s="3501" t="s">
        <v>664</v>
      </c>
      <c r="B2904" s="3501"/>
      <c r="C2904" s="7"/>
      <c r="D2904" s="7"/>
      <c r="E2904" s="13">
        <v>242088.84</v>
      </c>
      <c r="F2904" s="7"/>
      <c r="G2904" s="13">
        <v>242088.84</v>
      </c>
      <c r="H2904" s="3524">
        <v>242088.84</v>
      </c>
      <c r="I2904" s="3524"/>
      <c r="J2904" s="7"/>
      <c r="K2904" s="7"/>
      <c r="L2904" s="7"/>
      <c r="M2904" s="7"/>
      <c r="N2904" s="7"/>
      <c r="O2904" s="7"/>
      <c r="P2904" s="7"/>
      <c r="Q2904" s="7"/>
      <c r="R2904" s="13">
        <v>242088.84</v>
      </c>
      <c r="S2904" s="7"/>
      <c r="T2904" s="7"/>
      <c r="U2904" s="13">
        <v>242088.84</v>
      </c>
      <c r="V2904" s="7"/>
      <c r="W2904" s="7"/>
      <c r="X2904" s="7"/>
      <c r="Y2904" s="7"/>
      <c r="Z2904" s="7"/>
      <c r="AA2904" s="7"/>
    </row>
    <row r="2905" spans="1:27" outlineLevel="7">
      <c r="A2905" s="3500" t="s">
        <v>730</v>
      </c>
      <c r="B2905" s="3500"/>
      <c r="C2905" s="7"/>
      <c r="D2905" s="7"/>
      <c r="E2905" s="13">
        <v>242088.84</v>
      </c>
      <c r="F2905" s="7"/>
      <c r="G2905" s="13">
        <v>242088.84</v>
      </c>
      <c r="H2905" s="3524">
        <v>242088.84</v>
      </c>
      <c r="I2905" s="3524"/>
      <c r="J2905" s="7"/>
      <c r="K2905" s="7"/>
      <c r="L2905" s="7"/>
      <c r="M2905" s="7"/>
      <c r="N2905" s="7"/>
      <c r="O2905" s="7"/>
      <c r="P2905" s="7"/>
      <c r="Q2905" s="7"/>
      <c r="R2905" s="13">
        <v>242088.84</v>
      </c>
      <c r="S2905" s="7"/>
      <c r="T2905" s="7"/>
      <c r="U2905" s="13">
        <v>242088.84</v>
      </c>
      <c r="V2905" s="7"/>
      <c r="W2905" s="7"/>
      <c r="X2905" s="7"/>
      <c r="Y2905" s="7"/>
      <c r="Z2905" s="7"/>
      <c r="AA2905" s="7"/>
    </row>
    <row r="2906" spans="1:27" outlineLevel="7">
      <c r="A2906" s="3499" t="s">
        <v>2498</v>
      </c>
      <c r="B2906" s="3499"/>
      <c r="C2906" s="7"/>
      <c r="D2906" s="7"/>
      <c r="E2906" s="13">
        <v>80696.28</v>
      </c>
      <c r="F2906" s="7"/>
      <c r="G2906" s="13">
        <v>80696.28</v>
      </c>
      <c r="H2906" s="3524">
        <v>80696.28</v>
      </c>
      <c r="I2906" s="3524"/>
      <c r="J2906" s="7"/>
      <c r="K2906" s="7"/>
      <c r="L2906" s="7"/>
      <c r="M2906" s="7"/>
      <c r="N2906" s="7"/>
      <c r="O2906" s="7"/>
      <c r="P2906" s="7"/>
      <c r="Q2906" s="7"/>
      <c r="R2906" s="13">
        <v>80696.28</v>
      </c>
      <c r="S2906" s="7"/>
      <c r="T2906" s="7"/>
      <c r="U2906" s="13">
        <v>80696.28</v>
      </c>
      <c r="V2906" s="7"/>
      <c r="W2906" s="7"/>
      <c r="X2906" s="7"/>
      <c r="Y2906" s="7"/>
      <c r="Z2906" s="7"/>
      <c r="AA2906" s="7"/>
    </row>
    <row r="2907" spans="1:27" outlineLevel="7">
      <c r="A2907" s="3499" t="s">
        <v>2499</v>
      </c>
      <c r="B2907" s="3499"/>
      <c r="C2907" s="7"/>
      <c r="D2907" s="7"/>
      <c r="E2907" s="13">
        <v>161392.56</v>
      </c>
      <c r="F2907" s="7"/>
      <c r="G2907" s="13">
        <v>161392.56</v>
      </c>
      <c r="H2907" s="3524">
        <v>161392.56</v>
      </c>
      <c r="I2907" s="3524"/>
      <c r="J2907" s="7"/>
      <c r="K2907" s="7"/>
      <c r="L2907" s="7"/>
      <c r="M2907" s="7"/>
      <c r="N2907" s="7"/>
      <c r="O2907" s="7"/>
      <c r="P2907" s="7"/>
      <c r="Q2907" s="7"/>
      <c r="R2907" s="13">
        <v>161392.56</v>
      </c>
      <c r="S2907" s="7"/>
      <c r="T2907" s="7"/>
      <c r="U2907" s="13">
        <v>161392.56</v>
      </c>
      <c r="V2907" s="7"/>
      <c r="W2907" s="7"/>
      <c r="X2907" s="7"/>
      <c r="Y2907" s="7"/>
      <c r="Z2907" s="7"/>
      <c r="AA2907" s="7"/>
    </row>
    <row r="2908" spans="1:27" outlineLevel="6">
      <c r="A2908" s="3501" t="s">
        <v>1295</v>
      </c>
      <c r="B2908" s="3501"/>
      <c r="C2908" s="12"/>
      <c r="D2908" s="12"/>
      <c r="E2908" s="12"/>
      <c r="F2908" s="7"/>
      <c r="G2908" s="7"/>
      <c r="H2908" s="8"/>
      <c r="I2908" s="9"/>
      <c r="J2908" s="7"/>
      <c r="K2908" s="7"/>
      <c r="L2908" s="7"/>
      <c r="M2908" s="7"/>
      <c r="N2908" s="7"/>
      <c r="O2908" s="7"/>
      <c r="P2908" s="7"/>
      <c r="Q2908" s="7"/>
      <c r="R2908" s="13">
        <v>5824.01</v>
      </c>
      <c r="S2908" s="7"/>
      <c r="T2908" s="7"/>
      <c r="U2908" s="13">
        <v>5824.01</v>
      </c>
      <c r="V2908" s="7"/>
      <c r="W2908" s="7"/>
      <c r="X2908" s="7"/>
      <c r="Y2908" s="7"/>
      <c r="Z2908" s="12"/>
      <c r="AA2908" s="13">
        <v>5824.01</v>
      </c>
    </row>
    <row r="2909" spans="1:27" outlineLevel="7">
      <c r="A2909" s="3500" t="s">
        <v>1296</v>
      </c>
      <c r="B2909" s="3500"/>
      <c r="C2909" s="12"/>
      <c r="D2909" s="12"/>
      <c r="E2909" s="12"/>
      <c r="F2909" s="7"/>
      <c r="G2909" s="7"/>
      <c r="H2909" s="8"/>
      <c r="I2909" s="9"/>
      <c r="J2909" s="7"/>
      <c r="K2909" s="7"/>
      <c r="L2909" s="7"/>
      <c r="M2909" s="7"/>
      <c r="N2909" s="7"/>
      <c r="O2909" s="7"/>
      <c r="P2909" s="7"/>
      <c r="Q2909" s="7"/>
      <c r="R2909" s="13">
        <v>5824.01</v>
      </c>
      <c r="S2909" s="7"/>
      <c r="T2909" s="7"/>
      <c r="U2909" s="13">
        <v>5824.01</v>
      </c>
      <c r="V2909" s="7"/>
      <c r="W2909" s="7"/>
      <c r="X2909" s="7"/>
      <c r="Y2909" s="7"/>
      <c r="Z2909" s="12"/>
      <c r="AA2909" s="13">
        <v>5824.01</v>
      </c>
    </row>
    <row r="2910" spans="1:27" outlineLevel="7">
      <c r="A2910" s="3499" t="s">
        <v>2500</v>
      </c>
      <c r="B2910" s="3499"/>
      <c r="C2910" s="12"/>
      <c r="D2910" s="12"/>
      <c r="E2910" s="12"/>
      <c r="F2910" s="7"/>
      <c r="G2910" s="7"/>
      <c r="H2910" s="8"/>
      <c r="I2910" s="9"/>
      <c r="J2910" s="7"/>
      <c r="K2910" s="7"/>
      <c r="L2910" s="7"/>
      <c r="M2910" s="7"/>
      <c r="N2910" s="7"/>
      <c r="O2910" s="7"/>
      <c r="P2910" s="7"/>
      <c r="Q2910" s="7"/>
      <c r="R2910" s="13">
        <v>5824.01</v>
      </c>
      <c r="S2910" s="7"/>
      <c r="T2910" s="7"/>
      <c r="U2910" s="13">
        <v>5824.01</v>
      </c>
      <c r="V2910" s="7"/>
      <c r="W2910" s="7"/>
      <c r="X2910" s="7"/>
      <c r="Y2910" s="7"/>
      <c r="Z2910" s="12"/>
      <c r="AA2910" s="13">
        <v>5824.01</v>
      </c>
    </row>
    <row r="2911" spans="1:27" outlineLevel="6">
      <c r="A2911" s="3501" t="s">
        <v>733</v>
      </c>
      <c r="B2911" s="3501"/>
      <c r="C2911" s="7"/>
      <c r="D2911" s="7"/>
      <c r="E2911" s="13">
        <v>37110.269999999997</v>
      </c>
      <c r="F2911" s="7"/>
      <c r="G2911" s="13">
        <v>37110.269999999997</v>
      </c>
      <c r="H2911" s="3524">
        <v>37110.269999999997</v>
      </c>
      <c r="I2911" s="3524"/>
      <c r="J2911" s="7"/>
      <c r="K2911" s="7"/>
      <c r="L2911" s="7"/>
      <c r="M2911" s="7"/>
      <c r="N2911" s="7"/>
      <c r="O2911" s="7"/>
      <c r="P2911" s="7"/>
      <c r="Q2911" s="7"/>
      <c r="R2911" s="13">
        <v>37110.269999999997</v>
      </c>
      <c r="S2911" s="7"/>
      <c r="T2911" s="7"/>
      <c r="U2911" s="13">
        <v>37110.269999999997</v>
      </c>
      <c r="V2911" s="7"/>
      <c r="W2911" s="7"/>
      <c r="X2911" s="7"/>
      <c r="Y2911" s="7"/>
      <c r="Z2911" s="7"/>
      <c r="AA2911" s="7"/>
    </row>
    <row r="2912" spans="1:27" outlineLevel="7">
      <c r="A2912" s="3500" t="s">
        <v>734</v>
      </c>
      <c r="B2912" s="3500"/>
      <c r="C2912" s="7"/>
      <c r="D2912" s="7"/>
      <c r="E2912" s="13">
        <v>37110.269999999997</v>
      </c>
      <c r="F2912" s="7"/>
      <c r="G2912" s="13">
        <v>37110.269999999997</v>
      </c>
      <c r="H2912" s="3524">
        <v>37110.269999999997</v>
      </c>
      <c r="I2912" s="3524"/>
      <c r="J2912" s="7"/>
      <c r="K2912" s="7"/>
      <c r="L2912" s="7"/>
      <c r="M2912" s="7"/>
      <c r="N2912" s="7"/>
      <c r="O2912" s="7"/>
      <c r="P2912" s="7"/>
      <c r="Q2912" s="7"/>
      <c r="R2912" s="13">
        <v>37110.269999999997</v>
      </c>
      <c r="S2912" s="7"/>
      <c r="T2912" s="7"/>
      <c r="U2912" s="13">
        <v>37110.269999999997</v>
      </c>
      <c r="V2912" s="7"/>
      <c r="W2912" s="7"/>
      <c r="X2912" s="7"/>
      <c r="Y2912" s="7"/>
      <c r="Z2912" s="7"/>
      <c r="AA2912" s="7"/>
    </row>
    <row r="2913" spans="1:27" outlineLevel="7">
      <c r="A2913" s="3499" t="s">
        <v>2501</v>
      </c>
      <c r="B2913" s="3499"/>
      <c r="C2913" s="7"/>
      <c r="D2913" s="7"/>
      <c r="E2913" s="13">
        <v>37110.269999999997</v>
      </c>
      <c r="F2913" s="7"/>
      <c r="G2913" s="13">
        <v>37110.269999999997</v>
      </c>
      <c r="H2913" s="3524">
        <v>37110.269999999997</v>
      </c>
      <c r="I2913" s="3524"/>
      <c r="J2913" s="7"/>
      <c r="K2913" s="7"/>
      <c r="L2913" s="7"/>
      <c r="M2913" s="7"/>
      <c r="N2913" s="7"/>
      <c r="O2913" s="7"/>
      <c r="P2913" s="7"/>
      <c r="Q2913" s="7"/>
      <c r="R2913" s="13">
        <v>37110.269999999997</v>
      </c>
      <c r="S2913" s="7"/>
      <c r="T2913" s="7"/>
      <c r="U2913" s="13">
        <v>37110.269999999997</v>
      </c>
      <c r="V2913" s="7"/>
      <c r="W2913" s="7"/>
      <c r="X2913" s="7"/>
      <c r="Y2913" s="7"/>
      <c r="Z2913" s="7"/>
      <c r="AA2913" s="7"/>
    </row>
    <row r="2914" spans="1:27" outlineLevel="6">
      <c r="A2914" s="3501" t="s">
        <v>708</v>
      </c>
      <c r="B2914" s="3501"/>
      <c r="C2914" s="7"/>
      <c r="D2914" s="7"/>
      <c r="E2914" s="13">
        <v>3701.19</v>
      </c>
      <c r="F2914" s="7"/>
      <c r="G2914" s="13">
        <v>3701.19</v>
      </c>
      <c r="H2914" s="3524">
        <v>3701.19</v>
      </c>
      <c r="I2914" s="3524"/>
      <c r="J2914" s="7"/>
      <c r="K2914" s="7"/>
      <c r="L2914" s="7"/>
      <c r="M2914" s="7"/>
      <c r="N2914" s="7"/>
      <c r="O2914" s="7"/>
      <c r="P2914" s="7"/>
      <c r="Q2914" s="7"/>
      <c r="R2914" s="13">
        <v>3701.19</v>
      </c>
      <c r="S2914" s="7"/>
      <c r="T2914" s="7"/>
      <c r="U2914" s="13">
        <v>3701.19</v>
      </c>
      <c r="V2914" s="7"/>
      <c r="W2914" s="7"/>
      <c r="X2914" s="7"/>
      <c r="Y2914" s="7"/>
      <c r="Z2914" s="7"/>
      <c r="AA2914" s="7"/>
    </row>
    <row r="2915" spans="1:27" outlineLevel="7">
      <c r="A2915" s="3500" t="s">
        <v>735</v>
      </c>
      <c r="B2915" s="3500"/>
      <c r="C2915" s="7"/>
      <c r="D2915" s="7"/>
      <c r="E2915" s="13">
        <v>3701.19</v>
      </c>
      <c r="F2915" s="7"/>
      <c r="G2915" s="13">
        <v>3701.19</v>
      </c>
      <c r="H2915" s="3524">
        <v>3701.19</v>
      </c>
      <c r="I2915" s="3524"/>
      <c r="J2915" s="7"/>
      <c r="K2915" s="7"/>
      <c r="L2915" s="7"/>
      <c r="M2915" s="7"/>
      <c r="N2915" s="7"/>
      <c r="O2915" s="7"/>
      <c r="P2915" s="7"/>
      <c r="Q2915" s="7"/>
      <c r="R2915" s="13">
        <v>3701.19</v>
      </c>
      <c r="S2915" s="7"/>
      <c r="T2915" s="7"/>
      <c r="U2915" s="13">
        <v>3701.19</v>
      </c>
      <c r="V2915" s="7"/>
      <c r="W2915" s="7"/>
      <c r="X2915" s="7"/>
      <c r="Y2915" s="7"/>
      <c r="Z2915" s="7"/>
      <c r="AA2915" s="7"/>
    </row>
    <row r="2916" spans="1:27" outlineLevel="7">
      <c r="A2916" s="3499" t="s">
        <v>2502</v>
      </c>
      <c r="B2916" s="3499"/>
      <c r="C2916" s="7"/>
      <c r="D2916" s="7"/>
      <c r="E2916" s="13">
        <v>3701.19</v>
      </c>
      <c r="F2916" s="7"/>
      <c r="G2916" s="13">
        <v>3701.19</v>
      </c>
      <c r="H2916" s="3524">
        <v>3701.19</v>
      </c>
      <c r="I2916" s="3524"/>
      <c r="J2916" s="7"/>
      <c r="K2916" s="7"/>
      <c r="L2916" s="7"/>
      <c r="M2916" s="7"/>
      <c r="N2916" s="7"/>
      <c r="O2916" s="7"/>
      <c r="P2916" s="7"/>
      <c r="Q2916" s="7"/>
      <c r="R2916" s="13">
        <v>3701.19</v>
      </c>
      <c r="S2916" s="7"/>
      <c r="T2916" s="7"/>
      <c r="U2916" s="13">
        <v>3701.19</v>
      </c>
      <c r="V2916" s="7"/>
      <c r="W2916" s="7"/>
      <c r="X2916" s="7"/>
      <c r="Y2916" s="7"/>
      <c r="Z2916" s="7"/>
      <c r="AA2916" s="7"/>
    </row>
    <row r="2917" spans="1:27" outlineLevel="6">
      <c r="A2917" s="3501" t="s">
        <v>736</v>
      </c>
      <c r="B2917" s="3501"/>
      <c r="C2917" s="7"/>
      <c r="D2917" s="7"/>
      <c r="E2917" s="13">
        <v>9460.01</v>
      </c>
      <c r="F2917" s="7"/>
      <c r="G2917" s="13">
        <v>9460.01</v>
      </c>
      <c r="H2917" s="3524">
        <v>9460.01</v>
      </c>
      <c r="I2917" s="3524"/>
      <c r="J2917" s="7"/>
      <c r="K2917" s="7"/>
      <c r="L2917" s="7"/>
      <c r="M2917" s="7"/>
      <c r="N2917" s="7"/>
      <c r="O2917" s="7"/>
      <c r="P2917" s="7"/>
      <c r="Q2917" s="7"/>
      <c r="R2917" s="13">
        <v>9460.01</v>
      </c>
      <c r="S2917" s="7"/>
      <c r="T2917" s="7"/>
      <c r="U2917" s="13">
        <v>9460.01</v>
      </c>
      <c r="V2917" s="7"/>
      <c r="W2917" s="7"/>
      <c r="X2917" s="7"/>
      <c r="Y2917" s="7"/>
      <c r="Z2917" s="7"/>
      <c r="AA2917" s="7"/>
    </row>
    <row r="2918" spans="1:27" outlineLevel="7">
      <c r="A2918" s="3500" t="s">
        <v>737</v>
      </c>
      <c r="B2918" s="3500"/>
      <c r="C2918" s="7"/>
      <c r="D2918" s="7"/>
      <c r="E2918" s="13">
        <v>9460.01</v>
      </c>
      <c r="F2918" s="7"/>
      <c r="G2918" s="13">
        <v>9460.01</v>
      </c>
      <c r="H2918" s="3524">
        <v>9460.01</v>
      </c>
      <c r="I2918" s="3524"/>
      <c r="J2918" s="7"/>
      <c r="K2918" s="7"/>
      <c r="L2918" s="7"/>
      <c r="M2918" s="7"/>
      <c r="N2918" s="7"/>
      <c r="O2918" s="7"/>
      <c r="P2918" s="7"/>
      <c r="Q2918" s="7"/>
      <c r="R2918" s="13">
        <v>9460.01</v>
      </c>
      <c r="S2918" s="7"/>
      <c r="T2918" s="7"/>
      <c r="U2918" s="13">
        <v>9460.01</v>
      </c>
      <c r="V2918" s="7"/>
      <c r="W2918" s="7"/>
      <c r="X2918" s="7"/>
      <c r="Y2918" s="7"/>
      <c r="Z2918" s="7"/>
      <c r="AA2918" s="7"/>
    </row>
    <row r="2919" spans="1:27" outlineLevel="7">
      <c r="A2919" s="3499" t="s">
        <v>2503</v>
      </c>
      <c r="B2919" s="3499"/>
      <c r="C2919" s="7"/>
      <c r="D2919" s="7"/>
      <c r="E2919" s="13">
        <v>9460.01</v>
      </c>
      <c r="F2919" s="7"/>
      <c r="G2919" s="13">
        <v>9460.01</v>
      </c>
      <c r="H2919" s="3524">
        <v>9460.01</v>
      </c>
      <c r="I2919" s="3524"/>
      <c r="J2919" s="7"/>
      <c r="K2919" s="7"/>
      <c r="L2919" s="7"/>
      <c r="M2919" s="7"/>
      <c r="N2919" s="7"/>
      <c r="O2919" s="7"/>
      <c r="P2919" s="7"/>
      <c r="Q2919" s="7"/>
      <c r="R2919" s="13">
        <v>9460.01</v>
      </c>
      <c r="S2919" s="7"/>
      <c r="T2919" s="7"/>
      <c r="U2919" s="13">
        <v>9460.01</v>
      </c>
      <c r="V2919" s="7"/>
      <c r="W2919" s="7"/>
      <c r="X2919" s="7"/>
      <c r="Y2919" s="7"/>
      <c r="Z2919" s="7"/>
      <c r="AA2919" s="7"/>
    </row>
    <row r="2920" spans="1:27" outlineLevel="6">
      <c r="A2920" s="3501" t="s">
        <v>1297</v>
      </c>
      <c r="B2920" s="3501"/>
      <c r="C2920" s="12"/>
      <c r="D2920" s="12"/>
      <c r="E2920" s="12"/>
      <c r="F2920" s="7"/>
      <c r="G2920" s="7"/>
      <c r="H2920" s="8"/>
      <c r="I2920" s="9"/>
      <c r="J2920" s="7"/>
      <c r="K2920" s="7"/>
      <c r="L2920" s="7"/>
      <c r="M2920" s="7"/>
      <c r="N2920" s="7"/>
      <c r="O2920" s="7"/>
      <c r="P2920" s="7"/>
      <c r="Q2920" s="7"/>
      <c r="R2920" s="13">
        <v>13191.03</v>
      </c>
      <c r="S2920" s="7"/>
      <c r="T2920" s="7"/>
      <c r="U2920" s="13">
        <v>13191.03</v>
      </c>
      <c r="V2920" s="7"/>
      <c r="W2920" s="7"/>
      <c r="X2920" s="7"/>
      <c r="Y2920" s="7"/>
      <c r="Z2920" s="12"/>
      <c r="AA2920" s="13">
        <v>13191.03</v>
      </c>
    </row>
    <row r="2921" spans="1:27" outlineLevel="7">
      <c r="A2921" s="3500" t="s">
        <v>1298</v>
      </c>
      <c r="B2921" s="3500"/>
      <c r="C2921" s="12"/>
      <c r="D2921" s="12"/>
      <c r="E2921" s="12"/>
      <c r="F2921" s="7"/>
      <c r="G2921" s="7"/>
      <c r="H2921" s="8"/>
      <c r="I2921" s="9"/>
      <c r="J2921" s="7"/>
      <c r="K2921" s="7"/>
      <c r="L2921" s="7"/>
      <c r="M2921" s="7"/>
      <c r="N2921" s="7"/>
      <c r="O2921" s="7"/>
      <c r="P2921" s="7"/>
      <c r="Q2921" s="7"/>
      <c r="R2921" s="13">
        <v>13191.03</v>
      </c>
      <c r="S2921" s="7"/>
      <c r="T2921" s="7"/>
      <c r="U2921" s="13">
        <v>13191.03</v>
      </c>
      <c r="V2921" s="7"/>
      <c r="W2921" s="7"/>
      <c r="X2921" s="7"/>
      <c r="Y2921" s="7"/>
      <c r="Z2921" s="12"/>
      <c r="AA2921" s="13">
        <v>13191.03</v>
      </c>
    </row>
    <row r="2922" spans="1:27" outlineLevel="7">
      <c r="A2922" s="3499" t="s">
        <v>2504</v>
      </c>
      <c r="B2922" s="3499"/>
      <c r="C2922" s="12"/>
      <c r="D2922" s="12"/>
      <c r="E2922" s="12"/>
      <c r="F2922" s="7"/>
      <c r="G2922" s="7"/>
      <c r="H2922" s="8"/>
      <c r="I2922" s="9"/>
      <c r="J2922" s="7"/>
      <c r="K2922" s="7"/>
      <c r="L2922" s="7"/>
      <c r="M2922" s="7"/>
      <c r="N2922" s="7"/>
      <c r="O2922" s="7"/>
      <c r="P2922" s="7"/>
      <c r="Q2922" s="7"/>
      <c r="R2922" s="13">
        <v>13191.03</v>
      </c>
      <c r="S2922" s="7"/>
      <c r="T2922" s="7"/>
      <c r="U2922" s="13">
        <v>13191.03</v>
      </c>
      <c r="V2922" s="7"/>
      <c r="W2922" s="7"/>
      <c r="X2922" s="7"/>
      <c r="Y2922" s="7"/>
      <c r="Z2922" s="12"/>
      <c r="AA2922" s="13">
        <v>13191.03</v>
      </c>
    </row>
    <row r="2923" spans="1:27" outlineLevel="6">
      <c r="A2923" s="3501" t="s">
        <v>1299</v>
      </c>
      <c r="B2923" s="3501"/>
      <c r="C2923" s="12"/>
      <c r="D2923" s="13">
        <v>459604.89</v>
      </c>
      <c r="E2923" s="13">
        <v>459604.89</v>
      </c>
      <c r="F2923" s="13">
        <v>459604.89</v>
      </c>
      <c r="G2923" s="7"/>
      <c r="H2923" s="8"/>
      <c r="I2923" s="9"/>
      <c r="J2923" s="7"/>
      <c r="K2923" s="7"/>
      <c r="L2923" s="7"/>
      <c r="M2923" s="7"/>
      <c r="N2923" s="7"/>
      <c r="O2923" s="7"/>
      <c r="P2923" s="7"/>
      <c r="Q2923" s="7"/>
      <c r="R2923" s="12"/>
      <c r="S2923" s="7"/>
      <c r="T2923" s="7"/>
      <c r="U2923" s="7"/>
      <c r="V2923" s="7"/>
      <c r="W2923" s="7"/>
      <c r="X2923" s="7"/>
      <c r="Y2923" s="7"/>
      <c r="Z2923" s="12"/>
      <c r="AA2923" s="12"/>
    </row>
    <row r="2924" spans="1:27" outlineLevel="7">
      <c r="A2924" s="3500" t="s">
        <v>1300</v>
      </c>
      <c r="B2924" s="3500"/>
      <c r="C2924" s="12"/>
      <c r="D2924" s="13">
        <v>459604.89</v>
      </c>
      <c r="E2924" s="13">
        <v>459604.89</v>
      </c>
      <c r="F2924" s="13">
        <v>459604.89</v>
      </c>
      <c r="G2924" s="7"/>
      <c r="H2924" s="8"/>
      <c r="I2924" s="9"/>
      <c r="J2924" s="7"/>
      <c r="K2924" s="7"/>
      <c r="L2924" s="7"/>
      <c r="M2924" s="7"/>
      <c r="N2924" s="7"/>
      <c r="O2924" s="7"/>
      <c r="P2924" s="7"/>
      <c r="Q2924" s="7"/>
      <c r="R2924" s="12"/>
      <c r="S2924" s="7"/>
      <c r="T2924" s="7"/>
      <c r="U2924" s="7"/>
      <c r="V2924" s="7"/>
      <c r="W2924" s="7"/>
      <c r="X2924" s="7"/>
      <c r="Y2924" s="7"/>
      <c r="Z2924" s="12"/>
      <c r="AA2924" s="12"/>
    </row>
    <row r="2925" spans="1:27" outlineLevel="7">
      <c r="A2925" s="3499" t="s">
        <v>2505</v>
      </c>
      <c r="B2925" s="3499"/>
      <c r="C2925" s="12"/>
      <c r="D2925" s="13">
        <v>76600</v>
      </c>
      <c r="E2925" s="13">
        <v>76600</v>
      </c>
      <c r="F2925" s="13">
        <v>76600</v>
      </c>
      <c r="G2925" s="7"/>
      <c r="H2925" s="8"/>
      <c r="I2925" s="9"/>
      <c r="J2925" s="7"/>
      <c r="K2925" s="7"/>
      <c r="L2925" s="7"/>
      <c r="M2925" s="7"/>
      <c r="N2925" s="7"/>
      <c r="O2925" s="7"/>
      <c r="P2925" s="7"/>
      <c r="Q2925" s="7"/>
      <c r="R2925" s="12"/>
      <c r="S2925" s="7"/>
      <c r="T2925" s="7"/>
      <c r="U2925" s="7"/>
      <c r="V2925" s="7"/>
      <c r="W2925" s="7"/>
      <c r="X2925" s="7"/>
      <c r="Y2925" s="7"/>
      <c r="Z2925" s="12"/>
      <c r="AA2925" s="12"/>
    </row>
    <row r="2926" spans="1:27" outlineLevel="7">
      <c r="A2926" s="3499" t="s">
        <v>2506</v>
      </c>
      <c r="B2926" s="3499"/>
      <c r="C2926" s="12"/>
      <c r="D2926" s="13">
        <v>153204.89000000001</v>
      </c>
      <c r="E2926" s="13">
        <v>153204.89000000001</v>
      </c>
      <c r="F2926" s="13">
        <v>153204.89000000001</v>
      </c>
      <c r="G2926" s="7"/>
      <c r="H2926" s="8"/>
      <c r="I2926" s="9"/>
      <c r="J2926" s="7"/>
      <c r="K2926" s="7"/>
      <c r="L2926" s="7"/>
      <c r="M2926" s="7"/>
      <c r="N2926" s="7"/>
      <c r="O2926" s="7"/>
      <c r="P2926" s="7"/>
      <c r="Q2926" s="7"/>
      <c r="R2926" s="12"/>
      <c r="S2926" s="7"/>
      <c r="T2926" s="7"/>
      <c r="U2926" s="7"/>
      <c r="V2926" s="7"/>
      <c r="W2926" s="7"/>
      <c r="X2926" s="7"/>
      <c r="Y2926" s="7"/>
      <c r="Z2926" s="12"/>
      <c r="AA2926" s="12"/>
    </row>
    <row r="2927" spans="1:27" outlineLevel="7">
      <c r="A2927" s="3499" t="s">
        <v>2507</v>
      </c>
      <c r="B2927" s="3499"/>
      <c r="C2927" s="12"/>
      <c r="D2927" s="13">
        <v>229800</v>
      </c>
      <c r="E2927" s="13">
        <v>229800</v>
      </c>
      <c r="F2927" s="13">
        <v>229800</v>
      </c>
      <c r="G2927" s="7"/>
      <c r="H2927" s="8"/>
      <c r="I2927" s="9"/>
      <c r="J2927" s="7"/>
      <c r="K2927" s="7"/>
      <c r="L2927" s="7"/>
      <c r="M2927" s="7"/>
      <c r="N2927" s="7"/>
      <c r="O2927" s="7"/>
      <c r="P2927" s="7"/>
      <c r="Q2927" s="7"/>
      <c r="R2927" s="12"/>
      <c r="S2927" s="7"/>
      <c r="T2927" s="7"/>
      <c r="U2927" s="7"/>
      <c r="V2927" s="7"/>
      <c r="W2927" s="7"/>
      <c r="X2927" s="7"/>
      <c r="Y2927" s="7"/>
      <c r="Z2927" s="12"/>
      <c r="AA2927" s="12"/>
    </row>
    <row r="2928" spans="1:27" ht="12.75" customHeight="1" outlineLevel="4">
      <c r="A2928" s="3503" t="s">
        <v>738</v>
      </c>
      <c r="B2928" s="3503"/>
      <c r="C2928" s="58"/>
      <c r="D2928" s="58">
        <v>90973.16</v>
      </c>
      <c r="E2928" s="59">
        <v>25856.16</v>
      </c>
      <c r="F2928" s="58"/>
      <c r="G2928" s="58">
        <v>25856.16</v>
      </c>
      <c r="H2928" s="60">
        <v>25856.16</v>
      </c>
      <c r="I2928" s="61"/>
      <c r="J2928" s="58"/>
      <c r="K2928" s="58"/>
      <c r="L2928" s="58"/>
      <c r="M2928" s="59"/>
      <c r="N2928" s="59"/>
      <c r="O2928" s="59"/>
      <c r="P2928" s="58"/>
      <c r="Q2928" s="58"/>
      <c r="R2928" s="59">
        <v>220020.24</v>
      </c>
      <c r="S2928" s="58"/>
      <c r="T2928" s="58"/>
      <c r="U2928" s="59">
        <v>220020.24</v>
      </c>
      <c r="V2928" s="59"/>
      <c r="W2928" s="59"/>
      <c r="X2928" s="62"/>
      <c r="Y2928" s="62"/>
      <c r="Z2928" s="58"/>
      <c r="AA2928" s="58">
        <v>285137.24</v>
      </c>
    </row>
    <row r="2929" spans="1:27" outlineLevel="5">
      <c r="A2929" s="3504" t="s">
        <v>744</v>
      </c>
      <c r="B2929" s="3504"/>
      <c r="C2929" s="53"/>
      <c r="D2929" s="49">
        <v>21253.45</v>
      </c>
      <c r="E2929" s="48"/>
      <c r="F2929" s="48"/>
      <c r="G2929" s="48"/>
      <c r="H2929" s="50"/>
      <c r="I2929" s="51"/>
      <c r="J2929" s="48"/>
      <c r="K2929" s="48"/>
      <c r="L2929" s="48"/>
      <c r="M2929" s="48"/>
      <c r="N2929" s="48"/>
      <c r="O2929" s="48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  <c r="Z2929" s="53"/>
      <c r="AA2929" s="49">
        <v>21253.45</v>
      </c>
    </row>
    <row r="2930" spans="1:27" outlineLevel="6">
      <c r="A2930" s="3501" t="s">
        <v>1301</v>
      </c>
      <c r="B2930" s="3501"/>
      <c r="C2930" s="12"/>
      <c r="D2930" s="13">
        <v>21253.45</v>
      </c>
      <c r="E2930" s="7"/>
      <c r="F2930" s="7"/>
      <c r="G2930" s="7"/>
      <c r="H2930" s="8"/>
      <c r="I2930" s="9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12"/>
      <c r="AA2930" s="13">
        <v>21253.45</v>
      </c>
    </row>
    <row r="2931" spans="1:27" outlineLevel="7">
      <c r="A2931" s="3500" t="s">
        <v>1302</v>
      </c>
      <c r="B2931" s="3500"/>
      <c r="C2931" s="12"/>
      <c r="D2931" s="13">
        <v>21253.45</v>
      </c>
      <c r="E2931" s="7"/>
      <c r="F2931" s="7"/>
      <c r="G2931" s="7"/>
      <c r="H2931" s="8"/>
      <c r="I2931" s="9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12"/>
      <c r="AA2931" s="13">
        <v>21253.45</v>
      </c>
    </row>
    <row r="2932" spans="1:27" outlineLevel="7">
      <c r="A2932" s="3499" t="s">
        <v>2508</v>
      </c>
      <c r="B2932" s="3499"/>
      <c r="C2932" s="12"/>
      <c r="D2932" s="13">
        <v>21253.45</v>
      </c>
      <c r="E2932" s="7"/>
      <c r="F2932" s="7"/>
      <c r="G2932" s="7"/>
      <c r="H2932" s="8"/>
      <c r="I2932" s="9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12"/>
      <c r="AA2932" s="13">
        <v>21253.45</v>
      </c>
    </row>
    <row r="2933" spans="1:27" outlineLevel="5">
      <c r="A2933" s="3504" t="s">
        <v>47</v>
      </c>
      <c r="B2933" s="3504"/>
      <c r="C2933" s="53"/>
      <c r="D2933" s="49">
        <v>69719.710000000006</v>
      </c>
      <c r="E2933" s="48"/>
      <c r="F2933" s="48"/>
      <c r="G2933" s="48"/>
      <c r="H2933" s="50"/>
      <c r="I2933" s="51"/>
      <c r="J2933" s="48"/>
      <c r="K2933" s="48"/>
      <c r="L2933" s="48"/>
      <c r="M2933" s="48"/>
      <c r="N2933" s="48"/>
      <c r="O2933" s="48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  <c r="Z2933" s="53"/>
      <c r="AA2933" s="49">
        <v>69719.710000000006</v>
      </c>
    </row>
    <row r="2934" spans="1:27" outlineLevel="6">
      <c r="A2934" s="3501" t="s">
        <v>1303</v>
      </c>
      <c r="B2934" s="3501"/>
      <c r="C2934" s="12"/>
      <c r="D2934" s="13">
        <v>57963.96</v>
      </c>
      <c r="E2934" s="7"/>
      <c r="F2934" s="7"/>
      <c r="G2934" s="7"/>
      <c r="H2934" s="8"/>
      <c r="I2934" s="9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12"/>
      <c r="AA2934" s="13">
        <v>57963.96</v>
      </c>
    </row>
    <row r="2935" spans="1:27" outlineLevel="7">
      <c r="A2935" s="3500" t="s">
        <v>1304</v>
      </c>
      <c r="B2935" s="3500"/>
      <c r="C2935" s="12"/>
      <c r="D2935" s="13">
        <v>57963.96</v>
      </c>
      <c r="E2935" s="7"/>
      <c r="F2935" s="7"/>
      <c r="G2935" s="7"/>
      <c r="H2935" s="8"/>
      <c r="I2935" s="9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12"/>
      <c r="AA2935" s="13">
        <v>57963.96</v>
      </c>
    </row>
    <row r="2936" spans="1:27" outlineLevel="7">
      <c r="A2936" s="3499" t="s">
        <v>2509</v>
      </c>
      <c r="B2936" s="3499"/>
      <c r="C2936" s="12"/>
      <c r="D2936" s="13">
        <v>57963.96</v>
      </c>
      <c r="E2936" s="7"/>
      <c r="F2936" s="7"/>
      <c r="G2936" s="7"/>
      <c r="H2936" s="8"/>
      <c r="I2936" s="9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12"/>
      <c r="AA2936" s="13">
        <v>57963.96</v>
      </c>
    </row>
    <row r="2937" spans="1:27" outlineLevel="6">
      <c r="A2937" s="3501" t="s">
        <v>1305</v>
      </c>
      <c r="B2937" s="3501"/>
      <c r="C2937" s="12"/>
      <c r="D2937" s="13">
        <v>11755.75</v>
      </c>
      <c r="E2937" s="7"/>
      <c r="F2937" s="7"/>
      <c r="G2937" s="7"/>
      <c r="H2937" s="8"/>
      <c r="I2937" s="9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12"/>
      <c r="AA2937" s="13">
        <v>11755.75</v>
      </c>
    </row>
    <row r="2938" spans="1:27" outlineLevel="7">
      <c r="A2938" s="3500" t="s">
        <v>1306</v>
      </c>
      <c r="B2938" s="3500"/>
      <c r="C2938" s="12"/>
      <c r="D2938" s="13">
        <v>11755.75</v>
      </c>
      <c r="E2938" s="7"/>
      <c r="F2938" s="7"/>
      <c r="G2938" s="7"/>
      <c r="H2938" s="8"/>
      <c r="I2938" s="9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12"/>
      <c r="AA2938" s="13">
        <v>11755.75</v>
      </c>
    </row>
    <row r="2939" spans="1:27" outlineLevel="7">
      <c r="A2939" s="3499" t="s">
        <v>2510</v>
      </c>
      <c r="B2939" s="3499"/>
      <c r="C2939" s="12"/>
      <c r="D2939" s="13">
        <v>11755.75</v>
      </c>
      <c r="E2939" s="7"/>
      <c r="F2939" s="7"/>
      <c r="G2939" s="7"/>
      <c r="H2939" s="8"/>
      <c r="I2939" s="9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12"/>
      <c r="AA2939" s="13">
        <v>11755.75</v>
      </c>
    </row>
    <row r="2940" spans="1:27" outlineLevel="5">
      <c r="A2940" s="3504" t="s">
        <v>58</v>
      </c>
      <c r="B2940" s="3504"/>
      <c r="C2940" s="53"/>
      <c r="D2940" s="53"/>
      <c r="E2940" s="53"/>
      <c r="F2940" s="48"/>
      <c r="G2940" s="48"/>
      <c r="H2940" s="50"/>
      <c r="I2940" s="51"/>
      <c r="J2940" s="48"/>
      <c r="K2940" s="48"/>
      <c r="L2940" s="48"/>
      <c r="M2940" s="48"/>
      <c r="N2940" s="48"/>
      <c r="O2940" s="48"/>
      <c r="P2940" s="48"/>
      <c r="Q2940" s="48"/>
      <c r="R2940" s="49">
        <v>12716.44</v>
      </c>
      <c r="S2940" s="48"/>
      <c r="T2940" s="48"/>
      <c r="U2940" s="49">
        <v>12716.44</v>
      </c>
      <c r="V2940" s="48"/>
      <c r="W2940" s="48"/>
      <c r="X2940" s="48"/>
      <c r="Y2940" s="48"/>
      <c r="Z2940" s="53"/>
      <c r="AA2940" s="49">
        <v>12716.44</v>
      </c>
    </row>
    <row r="2941" spans="1:27" outlineLevel="6">
      <c r="A2941" s="3501" t="s">
        <v>1307</v>
      </c>
      <c r="B2941" s="3501"/>
      <c r="C2941" s="12"/>
      <c r="D2941" s="12"/>
      <c r="E2941" s="12"/>
      <c r="F2941" s="7"/>
      <c r="G2941" s="7"/>
      <c r="H2941" s="8"/>
      <c r="I2941" s="9"/>
      <c r="J2941" s="7"/>
      <c r="K2941" s="7"/>
      <c r="L2941" s="7"/>
      <c r="M2941" s="7"/>
      <c r="N2941" s="7"/>
      <c r="O2941" s="7"/>
      <c r="P2941" s="7"/>
      <c r="Q2941" s="7"/>
      <c r="R2941" s="13">
        <v>12716.44</v>
      </c>
      <c r="S2941" s="7"/>
      <c r="T2941" s="7"/>
      <c r="U2941" s="13">
        <v>12716.44</v>
      </c>
      <c r="V2941" s="7"/>
      <c r="W2941" s="7"/>
      <c r="X2941" s="7"/>
      <c r="Y2941" s="7"/>
      <c r="Z2941" s="12"/>
      <c r="AA2941" s="13">
        <v>12716.44</v>
      </c>
    </row>
    <row r="2942" spans="1:27" outlineLevel="7">
      <c r="A2942" s="3500" t="s">
        <v>1308</v>
      </c>
      <c r="B2942" s="3500"/>
      <c r="C2942" s="12"/>
      <c r="D2942" s="12"/>
      <c r="E2942" s="12"/>
      <c r="F2942" s="7"/>
      <c r="G2942" s="7"/>
      <c r="H2942" s="8"/>
      <c r="I2942" s="9"/>
      <c r="J2942" s="7"/>
      <c r="K2942" s="7"/>
      <c r="L2942" s="7"/>
      <c r="M2942" s="7"/>
      <c r="N2942" s="7"/>
      <c r="O2942" s="7"/>
      <c r="P2942" s="7"/>
      <c r="Q2942" s="7"/>
      <c r="R2942" s="13">
        <v>12716.44</v>
      </c>
      <c r="S2942" s="7"/>
      <c r="T2942" s="7"/>
      <c r="U2942" s="13">
        <v>12716.44</v>
      </c>
      <c r="V2942" s="7"/>
      <c r="W2942" s="7"/>
      <c r="X2942" s="7"/>
      <c r="Y2942" s="7"/>
      <c r="Z2942" s="12"/>
      <c r="AA2942" s="13">
        <v>12716.44</v>
      </c>
    </row>
    <row r="2943" spans="1:27" outlineLevel="7">
      <c r="A2943" s="3499" t="s">
        <v>2511</v>
      </c>
      <c r="B2943" s="3499"/>
      <c r="C2943" s="12"/>
      <c r="D2943" s="12"/>
      <c r="E2943" s="12"/>
      <c r="F2943" s="7"/>
      <c r="G2943" s="7"/>
      <c r="H2943" s="8"/>
      <c r="I2943" s="9"/>
      <c r="J2943" s="7"/>
      <c r="K2943" s="7"/>
      <c r="L2943" s="7"/>
      <c r="M2943" s="7"/>
      <c r="N2943" s="7"/>
      <c r="O2943" s="7"/>
      <c r="P2943" s="7"/>
      <c r="Q2943" s="7"/>
      <c r="R2943" s="13">
        <v>12716.44</v>
      </c>
      <c r="S2943" s="7"/>
      <c r="T2943" s="7"/>
      <c r="U2943" s="13">
        <v>12716.44</v>
      </c>
      <c r="V2943" s="7"/>
      <c r="W2943" s="7"/>
      <c r="X2943" s="7"/>
      <c r="Y2943" s="7"/>
      <c r="Z2943" s="12"/>
      <c r="AA2943" s="13">
        <v>12716.44</v>
      </c>
    </row>
    <row r="2944" spans="1:27" outlineLevel="5">
      <c r="A2944" s="3504" t="s">
        <v>63</v>
      </c>
      <c r="B2944" s="3504"/>
      <c r="C2944" s="53"/>
      <c r="D2944" s="53"/>
      <c r="E2944" s="53"/>
      <c r="F2944" s="48"/>
      <c r="G2944" s="48"/>
      <c r="H2944" s="50"/>
      <c r="I2944" s="51"/>
      <c r="J2944" s="48"/>
      <c r="K2944" s="48"/>
      <c r="L2944" s="48"/>
      <c r="M2944" s="48"/>
      <c r="N2944" s="48"/>
      <c r="O2944" s="48"/>
      <c r="P2944" s="48"/>
      <c r="Q2944" s="48"/>
      <c r="R2944" s="49">
        <v>99094.85</v>
      </c>
      <c r="S2944" s="48"/>
      <c r="T2944" s="48"/>
      <c r="U2944" s="49">
        <v>99094.85</v>
      </c>
      <c r="V2944" s="48"/>
      <c r="W2944" s="48"/>
      <c r="X2944" s="48"/>
      <c r="Y2944" s="48"/>
      <c r="Z2944" s="53"/>
      <c r="AA2944" s="49">
        <v>99094.85</v>
      </c>
    </row>
    <row r="2945" spans="1:27" outlineLevel="6">
      <c r="A2945" s="3501" t="s">
        <v>1309</v>
      </c>
      <c r="B2945" s="3501"/>
      <c r="C2945" s="12"/>
      <c r="D2945" s="12"/>
      <c r="E2945" s="12"/>
      <c r="F2945" s="7"/>
      <c r="G2945" s="7"/>
      <c r="H2945" s="8"/>
      <c r="I2945" s="9"/>
      <c r="J2945" s="7"/>
      <c r="K2945" s="7"/>
      <c r="L2945" s="7"/>
      <c r="M2945" s="7"/>
      <c r="N2945" s="7"/>
      <c r="O2945" s="7"/>
      <c r="P2945" s="7"/>
      <c r="Q2945" s="7"/>
      <c r="R2945" s="13">
        <v>99094.85</v>
      </c>
      <c r="S2945" s="7"/>
      <c r="T2945" s="7"/>
      <c r="U2945" s="13">
        <v>99094.85</v>
      </c>
      <c r="V2945" s="7"/>
      <c r="W2945" s="7"/>
      <c r="X2945" s="7"/>
      <c r="Y2945" s="7"/>
      <c r="Z2945" s="12"/>
      <c r="AA2945" s="13">
        <v>99094.85</v>
      </c>
    </row>
    <row r="2946" spans="1:27" outlineLevel="7">
      <c r="A2946" s="3500" t="s">
        <v>1310</v>
      </c>
      <c r="B2946" s="3500"/>
      <c r="C2946" s="12"/>
      <c r="D2946" s="12"/>
      <c r="E2946" s="12"/>
      <c r="F2946" s="7"/>
      <c r="G2946" s="7"/>
      <c r="H2946" s="8"/>
      <c r="I2946" s="9"/>
      <c r="J2946" s="7"/>
      <c r="K2946" s="7"/>
      <c r="L2946" s="7"/>
      <c r="M2946" s="7"/>
      <c r="N2946" s="7"/>
      <c r="O2946" s="7"/>
      <c r="P2946" s="7"/>
      <c r="Q2946" s="7"/>
      <c r="R2946" s="13">
        <v>99094.85</v>
      </c>
      <c r="S2946" s="7"/>
      <c r="T2946" s="7"/>
      <c r="U2946" s="13">
        <v>99094.85</v>
      </c>
      <c r="V2946" s="7"/>
      <c r="W2946" s="7"/>
      <c r="X2946" s="7"/>
      <c r="Y2946" s="7"/>
      <c r="Z2946" s="12"/>
      <c r="AA2946" s="13">
        <v>99094.85</v>
      </c>
    </row>
    <row r="2947" spans="1:27" outlineLevel="7">
      <c r="A2947" s="3499" t="s">
        <v>2512</v>
      </c>
      <c r="B2947" s="3499"/>
      <c r="C2947" s="12"/>
      <c r="D2947" s="12"/>
      <c r="E2947" s="12"/>
      <c r="F2947" s="7"/>
      <c r="G2947" s="7"/>
      <c r="H2947" s="8"/>
      <c r="I2947" s="9"/>
      <c r="J2947" s="7"/>
      <c r="K2947" s="7"/>
      <c r="L2947" s="7"/>
      <c r="M2947" s="7"/>
      <c r="N2947" s="7"/>
      <c r="O2947" s="7"/>
      <c r="P2947" s="7"/>
      <c r="Q2947" s="7"/>
      <c r="R2947" s="13">
        <v>39637.94</v>
      </c>
      <c r="S2947" s="7"/>
      <c r="T2947" s="7"/>
      <c r="U2947" s="13">
        <v>39637.94</v>
      </c>
      <c r="V2947" s="7"/>
      <c r="W2947" s="7"/>
      <c r="X2947" s="7"/>
      <c r="Y2947" s="7"/>
      <c r="Z2947" s="12"/>
      <c r="AA2947" s="13">
        <v>39637.94</v>
      </c>
    </row>
    <row r="2948" spans="1:27" outlineLevel="7">
      <c r="A2948" s="3499" t="s">
        <v>2513</v>
      </c>
      <c r="B2948" s="3499"/>
      <c r="C2948" s="12"/>
      <c r="D2948" s="12"/>
      <c r="E2948" s="12"/>
      <c r="F2948" s="7"/>
      <c r="G2948" s="7"/>
      <c r="H2948" s="8"/>
      <c r="I2948" s="9"/>
      <c r="J2948" s="7"/>
      <c r="K2948" s="7"/>
      <c r="L2948" s="7"/>
      <c r="M2948" s="7"/>
      <c r="N2948" s="7"/>
      <c r="O2948" s="7"/>
      <c r="P2948" s="7"/>
      <c r="Q2948" s="7"/>
      <c r="R2948" s="13">
        <v>59456.91</v>
      </c>
      <c r="S2948" s="7"/>
      <c r="T2948" s="7"/>
      <c r="U2948" s="13">
        <v>59456.91</v>
      </c>
      <c r="V2948" s="7"/>
      <c r="W2948" s="7"/>
      <c r="X2948" s="7"/>
      <c r="Y2948" s="7"/>
      <c r="Z2948" s="12"/>
      <c r="AA2948" s="13">
        <v>59456.91</v>
      </c>
    </row>
    <row r="2949" spans="1:27" outlineLevel="5">
      <c r="A2949" s="3504" t="s">
        <v>649</v>
      </c>
      <c r="B2949" s="3504"/>
      <c r="C2949" s="53"/>
      <c r="D2949" s="53"/>
      <c r="E2949" s="49">
        <v>25856.16</v>
      </c>
      <c r="F2949" s="48"/>
      <c r="G2949" s="49">
        <v>25856.16</v>
      </c>
      <c r="H2949" s="3522">
        <v>25856.16</v>
      </c>
      <c r="I2949" s="3522"/>
      <c r="J2949" s="48"/>
      <c r="K2949" s="48"/>
      <c r="L2949" s="48"/>
      <c r="M2949" s="48"/>
      <c r="N2949" s="48"/>
      <c r="O2949" s="48"/>
      <c r="P2949" s="48"/>
      <c r="Q2949" s="48"/>
      <c r="R2949" s="49">
        <v>108208.95</v>
      </c>
      <c r="S2949" s="48"/>
      <c r="T2949" s="48"/>
      <c r="U2949" s="49">
        <v>108208.95</v>
      </c>
      <c r="V2949" s="48"/>
      <c r="W2949" s="48"/>
      <c r="X2949" s="48"/>
      <c r="Y2949" s="48"/>
      <c r="Z2949" s="53"/>
      <c r="AA2949" s="49">
        <v>82352.789999999994</v>
      </c>
    </row>
    <row r="2950" spans="1:27" outlineLevel="6">
      <c r="A2950" s="3501" t="s">
        <v>1311</v>
      </c>
      <c r="B2950" s="3501"/>
      <c r="C2950" s="12"/>
      <c r="D2950" s="12"/>
      <c r="E2950" s="12"/>
      <c r="F2950" s="7"/>
      <c r="G2950" s="7"/>
      <c r="H2950" s="8"/>
      <c r="I2950" s="9"/>
      <c r="J2950" s="7"/>
      <c r="K2950" s="7"/>
      <c r="L2950" s="7"/>
      <c r="M2950" s="7"/>
      <c r="N2950" s="7"/>
      <c r="O2950" s="7"/>
      <c r="P2950" s="7"/>
      <c r="Q2950" s="7"/>
      <c r="R2950" s="13">
        <v>82352.789999999994</v>
      </c>
      <c r="S2950" s="7"/>
      <c r="T2950" s="7"/>
      <c r="U2950" s="13">
        <v>82352.789999999994</v>
      </c>
      <c r="V2950" s="7"/>
      <c r="W2950" s="7"/>
      <c r="X2950" s="7"/>
      <c r="Y2950" s="7"/>
      <c r="Z2950" s="12"/>
      <c r="AA2950" s="13">
        <v>82352.789999999994</v>
      </c>
    </row>
    <row r="2951" spans="1:27" outlineLevel="7">
      <c r="A2951" s="3500" t="s">
        <v>1312</v>
      </c>
      <c r="B2951" s="3500"/>
      <c r="C2951" s="12"/>
      <c r="D2951" s="12"/>
      <c r="E2951" s="12"/>
      <c r="F2951" s="7"/>
      <c r="G2951" s="7"/>
      <c r="H2951" s="8"/>
      <c r="I2951" s="9"/>
      <c r="J2951" s="7"/>
      <c r="K2951" s="7"/>
      <c r="L2951" s="7"/>
      <c r="M2951" s="7"/>
      <c r="N2951" s="7"/>
      <c r="O2951" s="7"/>
      <c r="P2951" s="7"/>
      <c r="Q2951" s="7"/>
      <c r="R2951" s="13">
        <v>82352.789999999994</v>
      </c>
      <c r="S2951" s="7"/>
      <c r="T2951" s="7"/>
      <c r="U2951" s="13">
        <v>82352.789999999994</v>
      </c>
      <c r="V2951" s="7"/>
      <c r="W2951" s="7"/>
      <c r="X2951" s="7"/>
      <c r="Y2951" s="7"/>
      <c r="Z2951" s="12"/>
      <c r="AA2951" s="13">
        <v>82352.789999999994</v>
      </c>
    </row>
    <row r="2952" spans="1:27" outlineLevel="7">
      <c r="A2952" s="3499" t="s">
        <v>2514</v>
      </c>
      <c r="B2952" s="3499"/>
      <c r="C2952" s="12"/>
      <c r="D2952" s="12"/>
      <c r="E2952" s="12"/>
      <c r="F2952" s="7"/>
      <c r="G2952" s="7"/>
      <c r="H2952" s="8"/>
      <c r="I2952" s="9"/>
      <c r="J2952" s="7"/>
      <c r="K2952" s="7"/>
      <c r="L2952" s="7"/>
      <c r="M2952" s="7"/>
      <c r="N2952" s="7"/>
      <c r="O2952" s="7"/>
      <c r="P2952" s="7"/>
      <c r="Q2952" s="7"/>
      <c r="R2952" s="13">
        <v>82352.789999999994</v>
      </c>
      <c r="S2952" s="7"/>
      <c r="T2952" s="7"/>
      <c r="U2952" s="13">
        <v>82352.789999999994</v>
      </c>
      <c r="V2952" s="7"/>
      <c r="W2952" s="7"/>
      <c r="X2952" s="7"/>
      <c r="Y2952" s="7"/>
      <c r="Z2952" s="12"/>
      <c r="AA2952" s="13">
        <v>82352.789999999994</v>
      </c>
    </row>
    <row r="2953" spans="1:27" outlineLevel="6">
      <c r="A2953" s="3501" t="s">
        <v>739</v>
      </c>
      <c r="B2953" s="3501"/>
      <c r="C2953" s="7"/>
      <c r="D2953" s="7"/>
      <c r="E2953" s="13">
        <v>25856.16</v>
      </c>
      <c r="F2953" s="7"/>
      <c r="G2953" s="13">
        <v>25856.16</v>
      </c>
      <c r="H2953" s="3524">
        <v>25856.16</v>
      </c>
      <c r="I2953" s="3524"/>
      <c r="J2953" s="7"/>
      <c r="K2953" s="7"/>
      <c r="L2953" s="7"/>
      <c r="M2953" s="7"/>
      <c r="N2953" s="7"/>
      <c r="O2953" s="7"/>
      <c r="P2953" s="7"/>
      <c r="Q2953" s="7"/>
      <c r="R2953" s="13">
        <v>25856.16</v>
      </c>
      <c r="S2953" s="7"/>
      <c r="T2953" s="7"/>
      <c r="U2953" s="13">
        <v>25856.16</v>
      </c>
      <c r="V2953" s="7"/>
      <c r="W2953" s="7"/>
      <c r="X2953" s="7"/>
      <c r="Y2953" s="7"/>
      <c r="Z2953" s="7"/>
      <c r="AA2953" s="7"/>
    </row>
    <row r="2954" spans="1:27" outlineLevel="7">
      <c r="A2954" s="3500" t="s">
        <v>740</v>
      </c>
      <c r="B2954" s="3500"/>
      <c r="C2954" s="7"/>
      <c r="D2954" s="7"/>
      <c r="E2954" s="13">
        <v>25856.16</v>
      </c>
      <c r="F2954" s="7"/>
      <c r="G2954" s="13">
        <v>25856.16</v>
      </c>
      <c r="H2954" s="3524">
        <v>25856.16</v>
      </c>
      <c r="I2954" s="3524"/>
      <c r="J2954" s="7"/>
      <c r="K2954" s="7"/>
      <c r="L2954" s="7"/>
      <c r="M2954" s="7"/>
      <c r="N2954" s="7"/>
      <c r="O2954" s="7"/>
      <c r="P2954" s="7"/>
      <c r="Q2954" s="7"/>
      <c r="R2954" s="13">
        <v>25856.16</v>
      </c>
      <c r="S2954" s="7"/>
      <c r="T2954" s="7"/>
      <c r="U2954" s="13">
        <v>25856.16</v>
      </c>
      <c r="V2954" s="7"/>
      <c r="W2954" s="7"/>
      <c r="X2954" s="7"/>
      <c r="Y2954" s="7"/>
      <c r="Z2954" s="7"/>
      <c r="AA2954" s="7"/>
    </row>
    <row r="2955" spans="1:27" outlineLevel="7">
      <c r="A2955" s="3499" t="s">
        <v>2515</v>
      </c>
      <c r="B2955" s="3499"/>
      <c r="C2955" s="7"/>
      <c r="D2955" s="7"/>
      <c r="E2955" s="13">
        <v>25856.16</v>
      </c>
      <c r="F2955" s="7"/>
      <c r="G2955" s="13">
        <v>25856.16</v>
      </c>
      <c r="H2955" s="3524">
        <v>25856.16</v>
      </c>
      <c r="I2955" s="3524"/>
      <c r="J2955" s="7"/>
      <c r="K2955" s="7"/>
      <c r="L2955" s="7"/>
      <c r="M2955" s="7"/>
      <c r="N2955" s="7"/>
      <c r="O2955" s="7"/>
      <c r="P2955" s="7"/>
      <c r="Q2955" s="7"/>
      <c r="R2955" s="13">
        <v>25856.16</v>
      </c>
      <c r="S2955" s="7"/>
      <c r="T2955" s="7"/>
      <c r="U2955" s="13">
        <v>25856.16</v>
      </c>
      <c r="V2955" s="7"/>
      <c r="W2955" s="7"/>
      <c r="X2955" s="7"/>
      <c r="Y2955" s="7"/>
      <c r="Z2955" s="7"/>
      <c r="AA2955" s="7"/>
    </row>
    <row r="2956" spans="1:27">
      <c r="A2956" s="3529" t="s">
        <v>21</v>
      </c>
      <c r="B2956" s="3529"/>
      <c r="C2956" s="16">
        <v>81266.55</v>
      </c>
      <c r="D2956" s="16">
        <v>6058702.8300000001</v>
      </c>
      <c r="E2956" s="16">
        <v>2797811.88</v>
      </c>
      <c r="F2956" s="16">
        <v>533973.66</v>
      </c>
      <c r="G2956" s="16">
        <v>924249.42</v>
      </c>
      <c r="H2956" s="3530">
        <v>922900.36</v>
      </c>
      <c r="I2956" s="3530"/>
      <c r="J2956" s="16">
        <v>1349.06</v>
      </c>
      <c r="K2956" s="16">
        <v>10890.22</v>
      </c>
      <c r="L2956" s="16">
        <v>10890.22</v>
      </c>
      <c r="M2956" s="16">
        <v>1328694.5900000001</v>
      </c>
      <c r="N2956" s="16">
        <v>1328694.5900000001</v>
      </c>
      <c r="O2956" s="16">
        <v>1328694.5900000001</v>
      </c>
      <c r="P2956" s="17">
        <v>3.99</v>
      </c>
      <c r="Q2956" s="17">
        <v>3.99</v>
      </c>
      <c r="R2956" s="16">
        <v>3158400.66</v>
      </c>
      <c r="S2956" s="16">
        <v>12847.96</v>
      </c>
      <c r="T2956" s="16">
        <v>12847.96</v>
      </c>
      <c r="U2956" s="16">
        <v>2221303.27</v>
      </c>
      <c r="V2956" s="16">
        <v>924249.42</v>
      </c>
      <c r="W2956" s="16">
        <v>924249.42</v>
      </c>
      <c r="X2956" s="17">
        <v>0.01</v>
      </c>
      <c r="Y2956" s="17">
        <v>0.01</v>
      </c>
      <c r="Z2956" s="16">
        <v>306681.64</v>
      </c>
      <c r="AA2956" s="16">
        <v>6644706.7000000002</v>
      </c>
    </row>
    <row r="2958" spans="1:27">
      <c r="E2958" s="22">
        <f>E2956-E1082</f>
        <v>1328694.5899999999</v>
      </c>
      <c r="R2958" s="22"/>
    </row>
    <row r="2959" spans="1:27">
      <c r="E2959" s="3" t="b">
        <f>E14=E2958</f>
        <v>1</v>
      </c>
    </row>
  </sheetData>
  <autoFilter ref="A15:AG2956">
    <filterColumn colId="0" showButton="0"/>
  </autoFilter>
  <mergeCells count="3952">
    <mergeCell ref="A2955:B2955"/>
    <mergeCell ref="H2955:I2955"/>
    <mergeCell ref="A2956:B2956"/>
    <mergeCell ref="H2956:I2956"/>
    <mergeCell ref="A2950:B2950"/>
    <mergeCell ref="A2951:B2951"/>
    <mergeCell ref="A2952:B2952"/>
    <mergeCell ref="A2953:B2953"/>
    <mergeCell ref="H2953:I2953"/>
    <mergeCell ref="A2954:B2954"/>
    <mergeCell ref="H2954:I2954"/>
    <mergeCell ref="A2945:B2945"/>
    <mergeCell ref="A2946:B2946"/>
    <mergeCell ref="A2947:B2947"/>
    <mergeCell ref="A2948:B2948"/>
    <mergeCell ref="A2949:B2949"/>
    <mergeCell ref="H2949:I2949"/>
    <mergeCell ref="A2939:B2939"/>
    <mergeCell ref="A2940:B2940"/>
    <mergeCell ref="A2941:B2941"/>
    <mergeCell ref="A2942:B2942"/>
    <mergeCell ref="A2943:B2943"/>
    <mergeCell ref="A2944:B2944"/>
    <mergeCell ref="A2933:B2933"/>
    <mergeCell ref="A2934:B2934"/>
    <mergeCell ref="A2935:B2935"/>
    <mergeCell ref="A2936:B2936"/>
    <mergeCell ref="A2937:B2937"/>
    <mergeCell ref="A2938:B2938"/>
    <mergeCell ref="A2928:B2928"/>
    <mergeCell ref="A2929:B2929"/>
    <mergeCell ref="A2930:B2930"/>
    <mergeCell ref="A2931:B2931"/>
    <mergeCell ref="A2932:B2932"/>
    <mergeCell ref="A2922:B2922"/>
    <mergeCell ref="A2923:B2923"/>
    <mergeCell ref="A2924:B2924"/>
    <mergeCell ref="A2925:B2925"/>
    <mergeCell ref="A2926:B2926"/>
    <mergeCell ref="A2927:B2927"/>
    <mergeCell ref="A2918:B2918"/>
    <mergeCell ref="H2918:I2918"/>
    <mergeCell ref="A2919:B2919"/>
    <mergeCell ref="H2919:I2919"/>
    <mergeCell ref="A2920:B2920"/>
    <mergeCell ref="A2921:B2921"/>
    <mergeCell ref="A2915:B2915"/>
    <mergeCell ref="H2915:I2915"/>
    <mergeCell ref="A2916:B2916"/>
    <mergeCell ref="H2916:I2916"/>
    <mergeCell ref="A2917:B2917"/>
    <mergeCell ref="H2917:I2917"/>
    <mergeCell ref="A2912:B2912"/>
    <mergeCell ref="H2912:I2912"/>
    <mergeCell ref="A2913:B2913"/>
    <mergeCell ref="H2913:I2913"/>
    <mergeCell ref="A2914:B2914"/>
    <mergeCell ref="H2914:I2914"/>
    <mergeCell ref="A2907:B2907"/>
    <mergeCell ref="H2907:I2907"/>
    <mergeCell ref="A2908:B2908"/>
    <mergeCell ref="A2909:B2909"/>
    <mergeCell ref="A2910:B2910"/>
    <mergeCell ref="A2911:B2911"/>
    <mergeCell ref="H2911:I2911"/>
    <mergeCell ref="A2904:B2904"/>
    <mergeCell ref="H2904:I2904"/>
    <mergeCell ref="A2905:B2905"/>
    <mergeCell ref="H2905:I2905"/>
    <mergeCell ref="A2906:B2906"/>
    <mergeCell ref="H2906:I2906"/>
    <mergeCell ref="A2900:B2900"/>
    <mergeCell ref="A2901:B2901"/>
    <mergeCell ref="H2901:I2901"/>
    <mergeCell ref="A2902:B2902"/>
    <mergeCell ref="H2902:I2902"/>
    <mergeCell ref="A2903:B2903"/>
    <mergeCell ref="H2903:I2903"/>
    <mergeCell ref="A2894:B2894"/>
    <mergeCell ref="A2895:B2895"/>
    <mergeCell ref="A2896:B2896"/>
    <mergeCell ref="A2897:B2897"/>
    <mergeCell ref="A2898:B2898"/>
    <mergeCell ref="A2899:B2899"/>
    <mergeCell ref="A2888:B2888"/>
    <mergeCell ref="A2889:B2889"/>
    <mergeCell ref="A2890:B2890"/>
    <mergeCell ref="A2891:B2891"/>
    <mergeCell ref="A2892:B2892"/>
    <mergeCell ref="A2893:B2893"/>
    <mergeCell ref="A2883:B2883"/>
    <mergeCell ref="H2883:I2883"/>
    <mergeCell ref="A2884:B2884"/>
    <mergeCell ref="A2885:B2885"/>
    <mergeCell ref="A2886:B2886"/>
    <mergeCell ref="A2887:B2887"/>
    <mergeCell ref="H2887:I2887"/>
    <mergeCell ref="A2880:B2880"/>
    <mergeCell ref="H2880:I2880"/>
    <mergeCell ref="A2881:B2881"/>
    <mergeCell ref="H2881:I2881"/>
    <mergeCell ref="A2882:B2882"/>
    <mergeCell ref="H2882:I2882"/>
    <mergeCell ref="A2875:B2875"/>
    <mergeCell ref="A2876:B2876"/>
    <mergeCell ref="A2877:B2877"/>
    <mergeCell ref="A2878:B2878"/>
    <mergeCell ref="H2878:I2878"/>
    <mergeCell ref="A2879:B2879"/>
    <mergeCell ref="H2879:I2879"/>
    <mergeCell ref="A2871:B2871"/>
    <mergeCell ref="A2872:B2872"/>
    <mergeCell ref="H2872:I2872"/>
    <mergeCell ref="A2873:B2873"/>
    <mergeCell ref="H2873:I2873"/>
    <mergeCell ref="A2874:B2874"/>
    <mergeCell ref="H2874:I2874"/>
    <mergeCell ref="A2865:B2865"/>
    <mergeCell ref="A2866:B2866"/>
    <mergeCell ref="A2867:B2867"/>
    <mergeCell ref="A2868:B2868"/>
    <mergeCell ref="A2869:B2869"/>
    <mergeCell ref="A2870:B2870"/>
    <mergeCell ref="A2859:B2859"/>
    <mergeCell ref="A2860:B2860"/>
    <mergeCell ref="A2861:B2861"/>
    <mergeCell ref="A2862:B2862"/>
    <mergeCell ref="A2863:B2863"/>
    <mergeCell ref="A2864:B2864"/>
    <mergeCell ref="A2854:B2854"/>
    <mergeCell ref="A2855:B2855"/>
    <mergeCell ref="A2856:B2856"/>
    <mergeCell ref="H2856:I2856"/>
    <mergeCell ref="A2857:B2857"/>
    <mergeCell ref="A2858:B2858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7:B2837"/>
    <mergeCell ref="A2838:B2838"/>
    <mergeCell ref="A2839:B2839"/>
    <mergeCell ref="A2840:B2840"/>
    <mergeCell ref="A2841:B2841"/>
    <mergeCell ref="A2831:B2831"/>
    <mergeCell ref="A2832:B2832"/>
    <mergeCell ref="A2833:B2833"/>
    <mergeCell ref="A2834:B2834"/>
    <mergeCell ref="A2835:B2835"/>
    <mergeCell ref="A2836:B2836"/>
    <mergeCell ref="A2825:B2825"/>
    <mergeCell ref="A2826:B2826"/>
    <mergeCell ref="A2827:B2827"/>
    <mergeCell ref="A2828:B2828"/>
    <mergeCell ref="A2829:B2829"/>
    <mergeCell ref="A2830:B2830"/>
    <mergeCell ref="A2821:B2821"/>
    <mergeCell ref="H2821:I2821"/>
    <mergeCell ref="A2822:B2822"/>
    <mergeCell ref="H2822:I2822"/>
    <mergeCell ref="A2823:B2823"/>
    <mergeCell ref="A2824:B2824"/>
    <mergeCell ref="A2817:B2817"/>
    <mergeCell ref="A2818:B2818"/>
    <mergeCell ref="A2819:B2819"/>
    <mergeCell ref="H2819:I2819"/>
    <mergeCell ref="A2820:B2820"/>
    <mergeCell ref="H2820:I2820"/>
    <mergeCell ref="A2814:B2814"/>
    <mergeCell ref="H2814:I2814"/>
    <mergeCell ref="A2815:B2815"/>
    <mergeCell ref="H2815:I2815"/>
    <mergeCell ref="A2816:B2816"/>
    <mergeCell ref="H2816:I2816"/>
    <mergeCell ref="A2811:B2811"/>
    <mergeCell ref="H2811:I2811"/>
    <mergeCell ref="A2812:B2812"/>
    <mergeCell ref="H2812:I2812"/>
    <mergeCell ref="A2813:B2813"/>
    <mergeCell ref="H2813:I2813"/>
    <mergeCell ref="A2806:B2806"/>
    <mergeCell ref="A2807:B2807"/>
    <mergeCell ref="A2808:B2808"/>
    <mergeCell ref="A2809:B2809"/>
    <mergeCell ref="A2810:B2810"/>
    <mergeCell ref="H2810:I2810"/>
    <mergeCell ref="A2800:B2800"/>
    <mergeCell ref="A2801:B2801"/>
    <mergeCell ref="A2802:B2802"/>
    <mergeCell ref="A2803:B2803"/>
    <mergeCell ref="A2804:B2804"/>
    <mergeCell ref="A2805:B2805"/>
    <mergeCell ref="A2796:B2796"/>
    <mergeCell ref="H2796:I2796"/>
    <mergeCell ref="A2797:B2797"/>
    <mergeCell ref="H2797:I2797"/>
    <mergeCell ref="A2798:B2798"/>
    <mergeCell ref="A2799:B2799"/>
    <mergeCell ref="A2793:B2793"/>
    <mergeCell ref="H2793:I2793"/>
    <mergeCell ref="A2794:B2794"/>
    <mergeCell ref="H2794:I2794"/>
    <mergeCell ref="A2795:B2795"/>
    <mergeCell ref="H2795:I2795"/>
    <mergeCell ref="A2790:B2790"/>
    <mergeCell ref="H2790:I2790"/>
    <mergeCell ref="A2791:B2791"/>
    <mergeCell ref="H2791:I2791"/>
    <mergeCell ref="A2792:B2792"/>
    <mergeCell ref="H2792:I2792"/>
    <mergeCell ref="A2787:B2787"/>
    <mergeCell ref="H2787:I2787"/>
    <mergeCell ref="A2788:B2788"/>
    <mergeCell ref="H2788:I2788"/>
    <mergeCell ref="A2789:B2789"/>
    <mergeCell ref="H2789:I2789"/>
    <mergeCell ref="A2784:B2784"/>
    <mergeCell ref="H2784:I2784"/>
    <mergeCell ref="A2785:B2785"/>
    <mergeCell ref="H2785:I2785"/>
    <mergeCell ref="A2786:B2786"/>
    <mergeCell ref="H2786:I2786"/>
    <mergeCell ref="A2781:B2781"/>
    <mergeCell ref="H2781:I2781"/>
    <mergeCell ref="A2782:B2782"/>
    <mergeCell ref="H2782:I2782"/>
    <mergeCell ref="A2783:B2783"/>
    <mergeCell ref="H2783:I2783"/>
    <mergeCell ref="A2778:B2778"/>
    <mergeCell ref="H2778:I2778"/>
    <mergeCell ref="A2779:B2779"/>
    <mergeCell ref="H2779:I2779"/>
    <mergeCell ref="A2780:B2780"/>
    <mergeCell ref="H2780:I2780"/>
    <mergeCell ref="A2775:B2775"/>
    <mergeCell ref="H2775:I2775"/>
    <mergeCell ref="A2776:B2776"/>
    <mergeCell ref="H2776:I2776"/>
    <mergeCell ref="A2777:B2777"/>
    <mergeCell ref="H2777:I2777"/>
    <mergeCell ref="A2772:B2772"/>
    <mergeCell ref="H2772:I2772"/>
    <mergeCell ref="A2773:B2773"/>
    <mergeCell ref="H2773:I2773"/>
    <mergeCell ref="A2774:B2774"/>
    <mergeCell ref="H2774:I2774"/>
    <mergeCell ref="A2769:B2769"/>
    <mergeCell ref="H2769:I2769"/>
    <mergeCell ref="A2770:B2770"/>
    <mergeCell ref="H2770:I2770"/>
    <mergeCell ref="A2771:B2771"/>
    <mergeCell ref="H2771:I2771"/>
    <mergeCell ref="A2765:B2765"/>
    <mergeCell ref="H2765:I2765"/>
    <mergeCell ref="A2766:B2766"/>
    <mergeCell ref="H2766:I2766"/>
    <mergeCell ref="A2767:B2767"/>
    <mergeCell ref="A2768:B2768"/>
    <mergeCell ref="A2762:B2762"/>
    <mergeCell ref="H2762:I2762"/>
    <mergeCell ref="A2763:B2763"/>
    <mergeCell ref="H2763:I2763"/>
    <mergeCell ref="A2764:B2764"/>
    <mergeCell ref="H2764:I2764"/>
    <mergeCell ref="A2759:B2759"/>
    <mergeCell ref="H2759:I2759"/>
    <mergeCell ref="A2760:B2760"/>
    <mergeCell ref="H2760:I2760"/>
    <mergeCell ref="A2761:B2761"/>
    <mergeCell ref="H2761:I2761"/>
    <mergeCell ref="A2756:B2756"/>
    <mergeCell ref="H2756:I2756"/>
    <mergeCell ref="A2757:B2757"/>
    <mergeCell ref="H2757:I2757"/>
    <mergeCell ref="A2758:B2758"/>
    <mergeCell ref="H2758:I2758"/>
    <mergeCell ref="A2753:B2753"/>
    <mergeCell ref="H2753:I2753"/>
    <mergeCell ref="A2754:B2754"/>
    <mergeCell ref="H2754:I2754"/>
    <mergeCell ref="A2755:B2755"/>
    <mergeCell ref="H2755:I2755"/>
    <mergeCell ref="A2749:B2749"/>
    <mergeCell ref="A2750:B2750"/>
    <mergeCell ref="H2750:I2750"/>
    <mergeCell ref="A2751:B2751"/>
    <mergeCell ref="H2751:I2751"/>
    <mergeCell ref="A2752:B2752"/>
    <mergeCell ref="H2752:I2752"/>
    <mergeCell ref="A2746:B2746"/>
    <mergeCell ref="H2746:I2746"/>
    <mergeCell ref="A2747:B2747"/>
    <mergeCell ref="H2747:I2747"/>
    <mergeCell ref="A2748:B2748"/>
    <mergeCell ref="H2748:I2748"/>
    <mergeCell ref="A2743:B2743"/>
    <mergeCell ref="H2743:I2743"/>
    <mergeCell ref="A2744:B2744"/>
    <mergeCell ref="H2744:I2744"/>
    <mergeCell ref="A2745:B2745"/>
    <mergeCell ref="H2745:I2745"/>
    <mergeCell ref="A2738:B2738"/>
    <mergeCell ref="H2738:I2738"/>
    <mergeCell ref="A2739:B2739"/>
    <mergeCell ref="A2740:B2740"/>
    <mergeCell ref="A2741:B2741"/>
    <mergeCell ref="A2742:B2742"/>
    <mergeCell ref="H2742:I2742"/>
    <mergeCell ref="A2734:B2734"/>
    <mergeCell ref="A2735:B2735"/>
    <mergeCell ref="A2736:B2736"/>
    <mergeCell ref="H2736:I2736"/>
    <mergeCell ref="A2737:B2737"/>
    <mergeCell ref="H2737:I2737"/>
    <mergeCell ref="A2729:B2729"/>
    <mergeCell ref="H2729:I2729"/>
    <mergeCell ref="A2730:B2730"/>
    <mergeCell ref="A2731:B2731"/>
    <mergeCell ref="A2732:B2732"/>
    <mergeCell ref="A2733:B2733"/>
    <mergeCell ref="A2725:B2725"/>
    <mergeCell ref="A2726:B2726"/>
    <mergeCell ref="A2727:B2727"/>
    <mergeCell ref="H2727:I2727"/>
    <mergeCell ref="A2728:B2728"/>
    <mergeCell ref="H2728:I2728"/>
    <mergeCell ref="A2721:B2721"/>
    <mergeCell ref="A2722:B2722"/>
    <mergeCell ref="A2723:B2723"/>
    <mergeCell ref="H2723:I2723"/>
    <mergeCell ref="A2724:B2724"/>
    <mergeCell ref="H2724:I2724"/>
    <mergeCell ref="A2716:B2716"/>
    <mergeCell ref="H2716:I2716"/>
    <mergeCell ref="A2717:B2717"/>
    <mergeCell ref="A2718:B2718"/>
    <mergeCell ref="A2719:B2719"/>
    <mergeCell ref="A2720:B2720"/>
    <mergeCell ref="A2710:B2710"/>
    <mergeCell ref="A2711:B2711"/>
    <mergeCell ref="A2712:B2712"/>
    <mergeCell ref="A2713:B2713"/>
    <mergeCell ref="A2714:B2714"/>
    <mergeCell ref="A2715:B2715"/>
    <mergeCell ref="A2705:B2705"/>
    <mergeCell ref="H2705:I2705"/>
    <mergeCell ref="A2706:B2706"/>
    <mergeCell ref="A2707:B2707"/>
    <mergeCell ref="A2708:B2708"/>
    <mergeCell ref="A2709:B2709"/>
    <mergeCell ref="A2702:B2702"/>
    <mergeCell ref="H2702:I2702"/>
    <mergeCell ref="A2703:B2703"/>
    <mergeCell ref="H2703:I2703"/>
    <mergeCell ref="A2704:B2704"/>
    <mergeCell ref="H2704:I2704"/>
    <mergeCell ref="A2699:B2699"/>
    <mergeCell ref="H2699:I2699"/>
    <mergeCell ref="A2700:B2700"/>
    <mergeCell ref="H2700:I2700"/>
    <mergeCell ref="A2701:B2701"/>
    <mergeCell ref="H2701:I2701"/>
    <mergeCell ref="A2696:B2696"/>
    <mergeCell ref="H2696:I2696"/>
    <mergeCell ref="A2697:B2697"/>
    <mergeCell ref="H2697:I2697"/>
    <mergeCell ref="A2698:B2698"/>
    <mergeCell ref="H2698:I2698"/>
    <mergeCell ref="A2693:B2693"/>
    <mergeCell ref="H2693:I2693"/>
    <mergeCell ref="A2694:B2694"/>
    <mergeCell ref="H2694:I2694"/>
    <mergeCell ref="A2695:B2695"/>
    <mergeCell ref="H2695:I2695"/>
    <mergeCell ref="A2690:B2690"/>
    <mergeCell ref="H2690:I2690"/>
    <mergeCell ref="A2691:B2691"/>
    <mergeCell ref="H2691:I2691"/>
    <mergeCell ref="A2692:B2692"/>
    <mergeCell ref="H2692:I2692"/>
    <mergeCell ref="A2686:B2686"/>
    <mergeCell ref="A2687:B2687"/>
    <mergeCell ref="A2688:B2688"/>
    <mergeCell ref="H2688:I2688"/>
    <mergeCell ref="A2689:B2689"/>
    <mergeCell ref="H2689:I2689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9:B2669"/>
    <mergeCell ref="H2669:I2669"/>
    <mergeCell ref="A2670:B2670"/>
    <mergeCell ref="A2671:B2671"/>
    <mergeCell ref="A2672:B2672"/>
    <mergeCell ref="A2673:B2673"/>
    <mergeCell ref="A2666:B2666"/>
    <mergeCell ref="H2666:I2666"/>
    <mergeCell ref="A2667:B2667"/>
    <mergeCell ref="H2667:I2667"/>
    <mergeCell ref="A2668:B2668"/>
    <mergeCell ref="H2668:I2668"/>
    <mergeCell ref="A2663:B2663"/>
    <mergeCell ref="H2663:I2663"/>
    <mergeCell ref="A2664:B2664"/>
    <mergeCell ref="H2664:I2664"/>
    <mergeCell ref="A2665:B2665"/>
    <mergeCell ref="H2665:I2665"/>
    <mergeCell ref="A2660:B2660"/>
    <mergeCell ref="H2660:I2660"/>
    <mergeCell ref="A2661:B2661"/>
    <mergeCell ref="H2661:I2661"/>
    <mergeCell ref="A2662:B2662"/>
    <mergeCell ref="H2662:I2662"/>
    <mergeCell ref="A2657:B2657"/>
    <mergeCell ref="H2657:I2657"/>
    <mergeCell ref="A2658:B2658"/>
    <mergeCell ref="H2658:I2658"/>
    <mergeCell ref="A2659:B2659"/>
    <mergeCell ref="H2659:I2659"/>
    <mergeCell ref="A2654:B2654"/>
    <mergeCell ref="H2654:I2654"/>
    <mergeCell ref="A2655:B2655"/>
    <mergeCell ref="H2655:I2655"/>
    <mergeCell ref="A2656:B2656"/>
    <mergeCell ref="H2656:I2656"/>
    <mergeCell ref="A2651:B2651"/>
    <mergeCell ref="H2651:I2651"/>
    <mergeCell ref="A2652:B2652"/>
    <mergeCell ref="H2652:I2652"/>
    <mergeCell ref="A2653:B2653"/>
    <mergeCell ref="H2653:I2653"/>
    <mergeCell ref="A2648:B2648"/>
    <mergeCell ref="H2648:I2648"/>
    <mergeCell ref="A2649:B2649"/>
    <mergeCell ref="H2649:I2649"/>
    <mergeCell ref="A2650:B2650"/>
    <mergeCell ref="H2650:I2650"/>
    <mergeCell ref="A2645:B2645"/>
    <mergeCell ref="H2645:I2645"/>
    <mergeCell ref="A2646:B2646"/>
    <mergeCell ref="H2646:I2646"/>
    <mergeCell ref="A2647:B2647"/>
    <mergeCell ref="H2647:I2647"/>
    <mergeCell ref="A2641:B2641"/>
    <mergeCell ref="A2642:B2642"/>
    <mergeCell ref="A2643:B2643"/>
    <mergeCell ref="H2643:I2643"/>
    <mergeCell ref="A2644:B2644"/>
    <mergeCell ref="H2644:I2644"/>
    <mergeCell ref="H2637:I2637"/>
    <mergeCell ref="A2638:B2638"/>
    <mergeCell ref="H2638:I2638"/>
    <mergeCell ref="A2639:B2639"/>
    <mergeCell ref="H2639:I2639"/>
    <mergeCell ref="A2640:B2640"/>
    <mergeCell ref="A2632:B2632"/>
    <mergeCell ref="A2633:B2633"/>
    <mergeCell ref="A2634:B2634"/>
    <mergeCell ref="A2635:B2635"/>
    <mergeCell ref="A2636:B2636"/>
    <mergeCell ref="A2637:B2637"/>
    <mergeCell ref="A2627:B2627"/>
    <mergeCell ref="H2627:I2627"/>
    <mergeCell ref="A2628:B2628"/>
    <mergeCell ref="A2629:B2629"/>
    <mergeCell ref="A2630:B2630"/>
    <mergeCell ref="A2631:B2631"/>
    <mergeCell ref="A2624:B2624"/>
    <mergeCell ref="H2624:I2624"/>
    <mergeCell ref="A2625:B2625"/>
    <mergeCell ref="H2625:I2625"/>
    <mergeCell ref="A2626:B2626"/>
    <mergeCell ref="H2626:I2626"/>
    <mergeCell ref="A2619:B2619"/>
    <mergeCell ref="A2620:B2620"/>
    <mergeCell ref="A2621:B2621"/>
    <mergeCell ref="A2622:B2622"/>
    <mergeCell ref="H2622:I2622"/>
    <mergeCell ref="A2623:B2623"/>
    <mergeCell ref="H2623:I2623"/>
    <mergeCell ref="A2615:B2615"/>
    <mergeCell ref="A2616:B2616"/>
    <mergeCell ref="H2616:I2616"/>
    <mergeCell ref="A2617:B2617"/>
    <mergeCell ref="H2617:I2617"/>
    <mergeCell ref="A2618:B2618"/>
    <mergeCell ref="H2618:I2618"/>
    <mergeCell ref="A2609:B2609"/>
    <mergeCell ref="A2610:B2610"/>
    <mergeCell ref="A2611:B2611"/>
    <mergeCell ref="A2612:B2612"/>
    <mergeCell ref="A2613:B2613"/>
    <mergeCell ref="A2614:B2614"/>
    <mergeCell ref="A2603:B2603"/>
    <mergeCell ref="A2604:B2604"/>
    <mergeCell ref="A2605:B2605"/>
    <mergeCell ref="A2606:B2606"/>
    <mergeCell ref="A2607:B2607"/>
    <mergeCell ref="A2608:B2608"/>
    <mergeCell ref="A2597:B2597"/>
    <mergeCell ref="A2598:B2598"/>
    <mergeCell ref="A2599:B2599"/>
    <mergeCell ref="A2600:B2600"/>
    <mergeCell ref="A2601:B2601"/>
    <mergeCell ref="A2602:B2602"/>
    <mergeCell ref="A2592:B2592"/>
    <mergeCell ref="H2592:I2592"/>
    <mergeCell ref="A2593:B2593"/>
    <mergeCell ref="A2594:B2594"/>
    <mergeCell ref="A2595:B2595"/>
    <mergeCell ref="A2596:B2596"/>
    <mergeCell ref="A2589:B2589"/>
    <mergeCell ref="H2589:I2589"/>
    <mergeCell ref="A2590:B2590"/>
    <mergeCell ref="H2590:I2590"/>
    <mergeCell ref="A2591:B2591"/>
    <mergeCell ref="H2591:I2591"/>
    <mergeCell ref="A2586:B2586"/>
    <mergeCell ref="H2586:I2586"/>
    <mergeCell ref="A2587:B2587"/>
    <mergeCell ref="H2587:I2587"/>
    <mergeCell ref="A2588:B2588"/>
    <mergeCell ref="H2588:I2588"/>
    <mergeCell ref="A2583:B2583"/>
    <mergeCell ref="H2583:I2583"/>
    <mergeCell ref="A2584:B2584"/>
    <mergeCell ref="H2584:I2584"/>
    <mergeCell ref="A2585:B2585"/>
    <mergeCell ref="H2585:I2585"/>
    <mergeCell ref="A2579:B2579"/>
    <mergeCell ref="A2580:B2580"/>
    <mergeCell ref="A2581:B2581"/>
    <mergeCell ref="H2581:I2581"/>
    <mergeCell ref="A2582:B2582"/>
    <mergeCell ref="H2582:I2582"/>
    <mergeCell ref="A2574:B2574"/>
    <mergeCell ref="H2574:I2574"/>
    <mergeCell ref="A2575:B2575"/>
    <mergeCell ref="A2576:B2576"/>
    <mergeCell ref="A2577:B2577"/>
    <mergeCell ref="A2578:B2578"/>
    <mergeCell ref="A2569:B2569"/>
    <mergeCell ref="A2570:B2570"/>
    <mergeCell ref="A2571:B2571"/>
    <mergeCell ref="A2572:B2572"/>
    <mergeCell ref="H2572:I2572"/>
    <mergeCell ref="A2573:B2573"/>
    <mergeCell ref="H2573:I2573"/>
    <mergeCell ref="A2566:B2566"/>
    <mergeCell ref="H2566:I2566"/>
    <mergeCell ref="A2567:B2567"/>
    <mergeCell ref="H2567:I2567"/>
    <mergeCell ref="A2568:B2568"/>
    <mergeCell ref="H2568:I2568"/>
    <mergeCell ref="A2561:B2561"/>
    <mergeCell ref="A2562:B2562"/>
    <mergeCell ref="A2563:B2563"/>
    <mergeCell ref="A2564:B2564"/>
    <mergeCell ref="H2564:I2564"/>
    <mergeCell ref="A2565:B2565"/>
    <mergeCell ref="H2565:I2565"/>
    <mergeCell ref="A2558:B2558"/>
    <mergeCell ref="H2558:I2558"/>
    <mergeCell ref="A2559:B2559"/>
    <mergeCell ref="H2559:I2559"/>
    <mergeCell ref="A2560:B2560"/>
    <mergeCell ref="H2560:I2560"/>
    <mergeCell ref="A2554:B2554"/>
    <mergeCell ref="A2555:B2555"/>
    <mergeCell ref="H2555:I2555"/>
    <mergeCell ref="A2556:B2556"/>
    <mergeCell ref="H2556:I2556"/>
    <mergeCell ref="A2557:B2557"/>
    <mergeCell ref="H2557:I2557"/>
    <mergeCell ref="A2548:B2548"/>
    <mergeCell ref="A2549:B2549"/>
    <mergeCell ref="A2550:B2550"/>
    <mergeCell ref="A2551:B2551"/>
    <mergeCell ref="A2552:B2552"/>
    <mergeCell ref="A2553:B2553"/>
    <mergeCell ref="A2544:B2544"/>
    <mergeCell ref="H2544:I2544"/>
    <mergeCell ref="A2545:B2545"/>
    <mergeCell ref="H2545:I2545"/>
    <mergeCell ref="A2546:B2546"/>
    <mergeCell ref="A2547:B2547"/>
    <mergeCell ref="A2539:B2539"/>
    <mergeCell ref="H2539:I2539"/>
    <mergeCell ref="A2540:B2540"/>
    <mergeCell ref="A2541:B2541"/>
    <mergeCell ref="A2542:B2542"/>
    <mergeCell ref="A2543:B2543"/>
    <mergeCell ref="H2543:I2543"/>
    <mergeCell ref="A2536:B2536"/>
    <mergeCell ref="H2536:I2536"/>
    <mergeCell ref="A2537:B2537"/>
    <mergeCell ref="H2537:I2537"/>
    <mergeCell ref="A2538:B2538"/>
    <mergeCell ref="H2538:I2538"/>
    <mergeCell ref="A2533:B2533"/>
    <mergeCell ref="H2533:I2533"/>
    <mergeCell ref="A2534:B2534"/>
    <mergeCell ref="H2534:I2534"/>
    <mergeCell ref="A2535:B2535"/>
    <mergeCell ref="H2535:I2535"/>
    <mergeCell ref="A2530:B2530"/>
    <mergeCell ref="H2530:I2530"/>
    <mergeCell ref="A2531:B2531"/>
    <mergeCell ref="H2531:I2531"/>
    <mergeCell ref="A2532:B2532"/>
    <mergeCell ref="H2532:I2532"/>
    <mergeCell ref="A2527:B2527"/>
    <mergeCell ref="H2527:I2527"/>
    <mergeCell ref="A2528:B2528"/>
    <mergeCell ref="H2528:I2528"/>
    <mergeCell ref="A2529:B2529"/>
    <mergeCell ref="H2529:I2529"/>
    <mergeCell ref="A2524:B2524"/>
    <mergeCell ref="H2524:I2524"/>
    <mergeCell ref="A2525:B2525"/>
    <mergeCell ref="H2525:I2525"/>
    <mergeCell ref="A2526:B2526"/>
    <mergeCell ref="H2526:I2526"/>
    <mergeCell ref="A2521:B2521"/>
    <mergeCell ref="H2521:I2521"/>
    <mergeCell ref="A2522:B2522"/>
    <mergeCell ref="H2522:I2522"/>
    <mergeCell ref="A2523:B2523"/>
    <mergeCell ref="H2523:I2523"/>
    <mergeCell ref="A2518:B2518"/>
    <mergeCell ref="H2518:I2518"/>
    <mergeCell ref="A2519:B2519"/>
    <mergeCell ref="H2519:I2519"/>
    <mergeCell ref="A2520:B2520"/>
    <mergeCell ref="H2520:I2520"/>
    <mergeCell ref="A2513:B2513"/>
    <mergeCell ref="H2513:I2513"/>
    <mergeCell ref="A2514:B2514"/>
    <mergeCell ref="A2515:B2515"/>
    <mergeCell ref="A2516:B2516"/>
    <mergeCell ref="A2517:B2517"/>
    <mergeCell ref="H2517:I2517"/>
    <mergeCell ref="A2510:B2510"/>
    <mergeCell ref="H2510:I2510"/>
    <mergeCell ref="A2511:B2511"/>
    <mergeCell ref="H2511:I2511"/>
    <mergeCell ref="A2512:B2512"/>
    <mergeCell ref="H2512:I2512"/>
    <mergeCell ref="A2507:B2507"/>
    <mergeCell ref="H2507:I2507"/>
    <mergeCell ref="A2508:B2508"/>
    <mergeCell ref="H2508:I2508"/>
    <mergeCell ref="A2509:B2509"/>
    <mergeCell ref="H2509:I2509"/>
    <mergeCell ref="A2504:B2504"/>
    <mergeCell ref="H2504:I2504"/>
    <mergeCell ref="A2505:B2505"/>
    <mergeCell ref="H2505:I2505"/>
    <mergeCell ref="A2506:B2506"/>
    <mergeCell ref="H2506:I2506"/>
    <mergeCell ref="A2499:B2499"/>
    <mergeCell ref="A2500:B2500"/>
    <mergeCell ref="A2501:B2501"/>
    <mergeCell ref="A2502:B2502"/>
    <mergeCell ref="H2502:I2502"/>
    <mergeCell ref="A2503:B2503"/>
    <mergeCell ref="H2503:I2503"/>
    <mergeCell ref="A2495:B2495"/>
    <mergeCell ref="A2496:B2496"/>
    <mergeCell ref="H2496:I2496"/>
    <mergeCell ref="A2497:B2497"/>
    <mergeCell ref="H2497:I2497"/>
    <mergeCell ref="A2498:B2498"/>
    <mergeCell ref="H2498:I2498"/>
    <mergeCell ref="A2489:B2489"/>
    <mergeCell ref="A2490:B2490"/>
    <mergeCell ref="A2491:B2491"/>
    <mergeCell ref="A2492:B2492"/>
    <mergeCell ref="A2493:B2493"/>
    <mergeCell ref="A2494:B2494"/>
    <mergeCell ref="A2485:B2485"/>
    <mergeCell ref="H2485:I2485"/>
    <mergeCell ref="A2486:B2486"/>
    <mergeCell ref="H2486:I2486"/>
    <mergeCell ref="A2487:B2487"/>
    <mergeCell ref="A2488:B2488"/>
    <mergeCell ref="A2482:B2482"/>
    <mergeCell ref="H2482:I2482"/>
    <mergeCell ref="A2483:B2483"/>
    <mergeCell ref="H2483:I2483"/>
    <mergeCell ref="A2484:B2484"/>
    <mergeCell ref="H2484:I2484"/>
    <mergeCell ref="A2479:B2479"/>
    <mergeCell ref="H2479:I2479"/>
    <mergeCell ref="A2480:B2480"/>
    <mergeCell ref="H2480:I2480"/>
    <mergeCell ref="A2481:B2481"/>
    <mergeCell ref="H2481:I2481"/>
    <mergeCell ref="A2476:B2476"/>
    <mergeCell ref="H2476:I2476"/>
    <mergeCell ref="A2477:B2477"/>
    <mergeCell ref="H2477:I2477"/>
    <mergeCell ref="A2478:B2478"/>
    <mergeCell ref="H2478:I2478"/>
    <mergeCell ref="A2471:B2471"/>
    <mergeCell ref="H2471:I2471"/>
    <mergeCell ref="A2472:B2472"/>
    <mergeCell ref="A2473:B2473"/>
    <mergeCell ref="A2474:B2474"/>
    <mergeCell ref="A2475:B2475"/>
    <mergeCell ref="H2475:I2475"/>
    <mergeCell ref="A2466:B2466"/>
    <mergeCell ref="A2467:B2467"/>
    <mergeCell ref="A2468:B2468"/>
    <mergeCell ref="A2469:B2469"/>
    <mergeCell ref="H2469:I2469"/>
    <mergeCell ref="A2470:B2470"/>
    <mergeCell ref="H2470:I2470"/>
    <mergeCell ref="A2463:B2463"/>
    <mergeCell ref="H2463:I2463"/>
    <mergeCell ref="A2464:B2464"/>
    <mergeCell ref="H2464:I2464"/>
    <mergeCell ref="A2465:B2465"/>
    <mergeCell ref="H2465:I2465"/>
    <mergeCell ref="A2457:B2457"/>
    <mergeCell ref="A2458:B2458"/>
    <mergeCell ref="A2459:B2459"/>
    <mergeCell ref="A2460:B2460"/>
    <mergeCell ref="A2461:B2461"/>
    <mergeCell ref="A2462:B2462"/>
    <mergeCell ref="A2451:B2451"/>
    <mergeCell ref="A2452:B2452"/>
    <mergeCell ref="A2453:B2453"/>
    <mergeCell ref="A2454:B2454"/>
    <mergeCell ref="A2455:B2455"/>
    <mergeCell ref="A2456:B2456"/>
    <mergeCell ref="A2448:B2448"/>
    <mergeCell ref="H2448:I2448"/>
    <mergeCell ref="A2449:B2449"/>
    <mergeCell ref="H2449:I2449"/>
    <mergeCell ref="A2450:B2450"/>
    <mergeCell ref="H2450:I2450"/>
    <mergeCell ref="A2444:B2444"/>
    <mergeCell ref="A2445:B2445"/>
    <mergeCell ref="H2445:I2445"/>
    <mergeCell ref="A2446:B2446"/>
    <mergeCell ref="H2446:I2446"/>
    <mergeCell ref="A2447:B2447"/>
    <mergeCell ref="H2447:I2447"/>
    <mergeCell ref="A2438:B2438"/>
    <mergeCell ref="A2439:B2439"/>
    <mergeCell ref="A2440:B2440"/>
    <mergeCell ref="A2441:B2441"/>
    <mergeCell ref="A2442:B2442"/>
    <mergeCell ref="A2443:B2443"/>
    <mergeCell ref="A2434:B2434"/>
    <mergeCell ref="H2434:I2434"/>
    <mergeCell ref="A2435:B2435"/>
    <mergeCell ref="H2435:I2435"/>
    <mergeCell ref="A2436:B2436"/>
    <mergeCell ref="A2437:B2437"/>
    <mergeCell ref="A2431:B2431"/>
    <mergeCell ref="H2431:I2431"/>
    <mergeCell ref="A2432:B2432"/>
    <mergeCell ref="H2432:I2432"/>
    <mergeCell ref="A2433:B2433"/>
    <mergeCell ref="H2433:I2433"/>
    <mergeCell ref="A2426:B2426"/>
    <mergeCell ref="H2426:I2426"/>
    <mergeCell ref="A2427:B2427"/>
    <mergeCell ref="A2428:B2428"/>
    <mergeCell ref="A2429:B2429"/>
    <mergeCell ref="A2430:B2430"/>
    <mergeCell ref="H2430:I2430"/>
    <mergeCell ref="A2422:B2422"/>
    <mergeCell ref="A2423:B2423"/>
    <mergeCell ref="A2424:B2424"/>
    <mergeCell ref="H2424:I2424"/>
    <mergeCell ref="A2425:B2425"/>
    <mergeCell ref="H2425:I2425"/>
    <mergeCell ref="A2416:B2416"/>
    <mergeCell ref="A2417:B2417"/>
    <mergeCell ref="A2418:B2418"/>
    <mergeCell ref="A2419:B2419"/>
    <mergeCell ref="A2420:B2420"/>
    <mergeCell ref="A2421:B2421"/>
    <mergeCell ref="A2412:B2412"/>
    <mergeCell ref="H2412:I2412"/>
    <mergeCell ref="A2413:B2413"/>
    <mergeCell ref="H2413:I2413"/>
    <mergeCell ref="A2414:B2414"/>
    <mergeCell ref="A2415:B2415"/>
    <mergeCell ref="A2408:B2408"/>
    <mergeCell ref="A2409:B2409"/>
    <mergeCell ref="H2409:I2409"/>
    <mergeCell ref="A2410:B2410"/>
    <mergeCell ref="H2410:I2410"/>
    <mergeCell ref="A2411:B2411"/>
    <mergeCell ref="H2411:I2411"/>
    <mergeCell ref="A2404:B2404"/>
    <mergeCell ref="H2404:I2404"/>
    <mergeCell ref="A2405:B2405"/>
    <mergeCell ref="H2405:I2405"/>
    <mergeCell ref="A2406:B2406"/>
    <mergeCell ref="A2407:B2407"/>
    <mergeCell ref="A2401:B2401"/>
    <mergeCell ref="H2401:I2401"/>
    <mergeCell ref="A2402:B2402"/>
    <mergeCell ref="H2402:I2402"/>
    <mergeCell ref="A2403:B2403"/>
    <mergeCell ref="H2403:I2403"/>
    <mergeCell ref="A2396:B2396"/>
    <mergeCell ref="H2396:I2396"/>
    <mergeCell ref="A2397:B2397"/>
    <mergeCell ref="A2398:B2398"/>
    <mergeCell ref="A2399:B2399"/>
    <mergeCell ref="A2400:B2400"/>
    <mergeCell ref="H2400:I2400"/>
    <mergeCell ref="A2393:B2393"/>
    <mergeCell ref="H2393:I2393"/>
    <mergeCell ref="A2394:B2394"/>
    <mergeCell ref="H2394:I2394"/>
    <mergeCell ref="A2395:B2395"/>
    <mergeCell ref="H2395:I2395"/>
    <mergeCell ref="A2388:B2388"/>
    <mergeCell ref="A2389:B2389"/>
    <mergeCell ref="A2390:B2390"/>
    <mergeCell ref="A2391:B2391"/>
    <mergeCell ref="H2391:I2391"/>
    <mergeCell ref="A2392:B2392"/>
    <mergeCell ref="H2392:I2392"/>
    <mergeCell ref="A2382:B2382"/>
    <mergeCell ref="A2383:B2383"/>
    <mergeCell ref="A2384:B2384"/>
    <mergeCell ref="A2385:B2385"/>
    <mergeCell ref="A2386:B2386"/>
    <mergeCell ref="A2387:B2387"/>
    <mergeCell ref="A2379:B2379"/>
    <mergeCell ref="H2379:I2379"/>
    <mergeCell ref="A2380:B2380"/>
    <mergeCell ref="H2380:I2380"/>
    <mergeCell ref="A2381:B2381"/>
    <mergeCell ref="H2381:I2381"/>
    <mergeCell ref="A2376:B2376"/>
    <mergeCell ref="H2376:I2376"/>
    <mergeCell ref="A2377:B2377"/>
    <mergeCell ref="H2377:I2377"/>
    <mergeCell ref="A2378:B2378"/>
    <mergeCell ref="H2378:I2378"/>
    <mergeCell ref="A2373:B2373"/>
    <mergeCell ref="H2373:I2373"/>
    <mergeCell ref="A2374:B2374"/>
    <mergeCell ref="H2374:I2374"/>
    <mergeCell ref="A2375:B2375"/>
    <mergeCell ref="H2375:I2375"/>
    <mergeCell ref="A2370:B2370"/>
    <mergeCell ref="H2370:I2370"/>
    <mergeCell ref="A2371:B2371"/>
    <mergeCell ref="H2371:I2371"/>
    <mergeCell ref="A2372:B2372"/>
    <mergeCell ref="H2372:I2372"/>
    <mergeCell ref="A2367:B2367"/>
    <mergeCell ref="H2367:I2367"/>
    <mergeCell ref="A2368:B2368"/>
    <mergeCell ref="H2368:I2368"/>
    <mergeCell ref="A2369:B2369"/>
    <mergeCell ref="H2369:I2369"/>
    <mergeCell ref="A2361:B2361"/>
    <mergeCell ref="A2362:B2362"/>
    <mergeCell ref="A2363:B2363"/>
    <mergeCell ref="A2364:B2364"/>
    <mergeCell ref="A2365:B2365"/>
    <mergeCell ref="A2366:B2366"/>
    <mergeCell ref="A2358:B2358"/>
    <mergeCell ref="H2358:I2358"/>
    <mergeCell ref="A2359:B2359"/>
    <mergeCell ref="H2359:I2359"/>
    <mergeCell ref="A2360:B2360"/>
    <mergeCell ref="H2360:I2360"/>
    <mergeCell ref="A2355:B2355"/>
    <mergeCell ref="H2355:I2355"/>
    <mergeCell ref="A2356:B2356"/>
    <mergeCell ref="H2356:I2356"/>
    <mergeCell ref="A2357:B2357"/>
    <mergeCell ref="H2357:I2357"/>
    <mergeCell ref="A2352:B2352"/>
    <mergeCell ref="H2352:I2352"/>
    <mergeCell ref="A2353:B2353"/>
    <mergeCell ref="H2353:I2353"/>
    <mergeCell ref="A2354:B2354"/>
    <mergeCell ref="H2354:I2354"/>
    <mergeCell ref="A2348:B2348"/>
    <mergeCell ref="A2349:B2349"/>
    <mergeCell ref="H2349:I2349"/>
    <mergeCell ref="A2350:B2350"/>
    <mergeCell ref="H2350:I2350"/>
    <mergeCell ref="A2351:B2351"/>
    <mergeCell ref="H2351:I2351"/>
    <mergeCell ref="A2344:B2344"/>
    <mergeCell ref="H2344:I2344"/>
    <mergeCell ref="A2345:B2345"/>
    <mergeCell ref="H2345:I2345"/>
    <mergeCell ref="A2346:B2346"/>
    <mergeCell ref="A2347:B2347"/>
    <mergeCell ref="A2339:B2339"/>
    <mergeCell ref="A2340:B2340"/>
    <mergeCell ref="A2341:B2341"/>
    <mergeCell ref="A2342:B2342"/>
    <mergeCell ref="A2343:B2343"/>
    <mergeCell ref="H2343:I2343"/>
    <mergeCell ref="A2333:B2333"/>
    <mergeCell ref="A2334:B2334"/>
    <mergeCell ref="A2335:B2335"/>
    <mergeCell ref="A2336:B2336"/>
    <mergeCell ref="A2337:B2337"/>
    <mergeCell ref="A2338:B2338"/>
    <mergeCell ref="A2329:B2329"/>
    <mergeCell ref="H2329:I2329"/>
    <mergeCell ref="A2330:B2330"/>
    <mergeCell ref="H2330:I2330"/>
    <mergeCell ref="A2331:B2331"/>
    <mergeCell ref="A2332:B2332"/>
    <mergeCell ref="A2326:B2326"/>
    <mergeCell ref="H2326:I2326"/>
    <mergeCell ref="A2327:B2327"/>
    <mergeCell ref="H2327:I2327"/>
    <mergeCell ref="A2328:B2328"/>
    <mergeCell ref="H2328:I2328"/>
    <mergeCell ref="A2323:B2323"/>
    <mergeCell ref="H2323:I2323"/>
    <mergeCell ref="A2324:B2324"/>
    <mergeCell ref="H2324:I2324"/>
    <mergeCell ref="A2325:B2325"/>
    <mergeCell ref="H2325:I2325"/>
    <mergeCell ref="A2320:B2320"/>
    <mergeCell ref="H2320:I2320"/>
    <mergeCell ref="A2321:B2321"/>
    <mergeCell ref="H2321:I2321"/>
    <mergeCell ref="A2322:B2322"/>
    <mergeCell ref="H2322:I2322"/>
    <mergeCell ref="A2317:B2317"/>
    <mergeCell ref="H2317:I2317"/>
    <mergeCell ref="A2318:B2318"/>
    <mergeCell ref="H2318:I2318"/>
    <mergeCell ref="A2319:B2319"/>
    <mergeCell ref="H2319:I2319"/>
    <mergeCell ref="A2314:B2314"/>
    <mergeCell ref="H2314:I2314"/>
    <mergeCell ref="A2315:B2315"/>
    <mergeCell ref="H2315:I2315"/>
    <mergeCell ref="A2316:B2316"/>
    <mergeCell ref="H2316:I2316"/>
    <mergeCell ref="A2311:B2311"/>
    <mergeCell ref="H2311:I2311"/>
    <mergeCell ref="A2312:B2312"/>
    <mergeCell ref="H2312:I2312"/>
    <mergeCell ref="A2313:B2313"/>
    <mergeCell ref="H2313:I2313"/>
    <mergeCell ref="H2307:I2307"/>
    <mergeCell ref="A2308:B2308"/>
    <mergeCell ref="H2308:I2308"/>
    <mergeCell ref="A2309:B2309"/>
    <mergeCell ref="H2309:I2309"/>
    <mergeCell ref="A2310:B2310"/>
    <mergeCell ref="H2310:I2310"/>
    <mergeCell ref="A2302:B2302"/>
    <mergeCell ref="A2303:B2303"/>
    <mergeCell ref="A2304:B2304"/>
    <mergeCell ref="A2305:B2305"/>
    <mergeCell ref="A2306:B2306"/>
    <mergeCell ref="A2307:B2307"/>
    <mergeCell ref="A2298:B2298"/>
    <mergeCell ref="A2299:B2299"/>
    <mergeCell ref="H2299:I2299"/>
    <mergeCell ref="A2300:B2300"/>
    <mergeCell ref="H2300:I2300"/>
    <mergeCell ref="A2301:B2301"/>
    <mergeCell ref="A2293:B2293"/>
    <mergeCell ref="A2294:B2294"/>
    <mergeCell ref="A2295:B2295"/>
    <mergeCell ref="A2296:B2296"/>
    <mergeCell ref="H2296:I2296"/>
    <mergeCell ref="A2297:B2297"/>
    <mergeCell ref="A2289:B2289"/>
    <mergeCell ref="A2290:B2290"/>
    <mergeCell ref="H2290:I2290"/>
    <mergeCell ref="A2291:B2291"/>
    <mergeCell ref="H2291:I2291"/>
    <mergeCell ref="A2292:B2292"/>
    <mergeCell ref="H2292:I2292"/>
    <mergeCell ref="A2285:B2285"/>
    <mergeCell ref="H2285:I2285"/>
    <mergeCell ref="A2286:B2286"/>
    <mergeCell ref="H2286:I2286"/>
    <mergeCell ref="A2287:B2287"/>
    <mergeCell ref="A2288:B2288"/>
    <mergeCell ref="A2282:B2282"/>
    <mergeCell ref="H2282:I2282"/>
    <mergeCell ref="A2283:B2283"/>
    <mergeCell ref="H2283:I2283"/>
    <mergeCell ref="A2284:B2284"/>
    <mergeCell ref="H2284:I2284"/>
    <mergeCell ref="A2279:B2279"/>
    <mergeCell ref="H2279:I2279"/>
    <mergeCell ref="A2280:B2280"/>
    <mergeCell ref="H2280:I2280"/>
    <mergeCell ref="A2281:B2281"/>
    <mergeCell ref="H2281:I2281"/>
    <mergeCell ref="A2276:B2276"/>
    <mergeCell ref="H2276:I2276"/>
    <mergeCell ref="A2277:B2277"/>
    <mergeCell ref="H2277:I2277"/>
    <mergeCell ref="A2278:B2278"/>
    <mergeCell ref="H2278:I2278"/>
    <mergeCell ref="A2271:B2271"/>
    <mergeCell ref="H2271:I2271"/>
    <mergeCell ref="A2272:B2272"/>
    <mergeCell ref="A2273:B2273"/>
    <mergeCell ref="A2274:B2274"/>
    <mergeCell ref="A2275:B2275"/>
    <mergeCell ref="H2275:I2275"/>
    <mergeCell ref="A2268:B2268"/>
    <mergeCell ref="H2268:I2268"/>
    <mergeCell ref="A2269:B2269"/>
    <mergeCell ref="H2269:I2269"/>
    <mergeCell ref="A2270:B2270"/>
    <mergeCell ref="H2270:I2270"/>
    <mergeCell ref="A2265:B2265"/>
    <mergeCell ref="H2265:I2265"/>
    <mergeCell ref="A2266:B2266"/>
    <mergeCell ref="H2266:I2266"/>
    <mergeCell ref="A2267:B2267"/>
    <mergeCell ref="H2267:I2267"/>
    <mergeCell ref="A2262:B2262"/>
    <mergeCell ref="H2262:I2262"/>
    <mergeCell ref="A2263:B2263"/>
    <mergeCell ref="H2263:I2263"/>
    <mergeCell ref="A2264:B2264"/>
    <mergeCell ref="H2264:I2264"/>
    <mergeCell ref="A2259:B2259"/>
    <mergeCell ref="H2259:I2259"/>
    <mergeCell ref="A2260:B2260"/>
    <mergeCell ref="H2260:I2260"/>
    <mergeCell ref="A2261:B2261"/>
    <mergeCell ref="H2261:I2261"/>
    <mergeCell ref="A2254:B2254"/>
    <mergeCell ref="A2255:B2255"/>
    <mergeCell ref="A2256:B2256"/>
    <mergeCell ref="A2257:B2257"/>
    <mergeCell ref="H2257:I2257"/>
    <mergeCell ref="A2258:B2258"/>
    <mergeCell ref="H2258:I2258"/>
    <mergeCell ref="A2248:B2248"/>
    <mergeCell ref="A2249:B2249"/>
    <mergeCell ref="A2250:B2250"/>
    <mergeCell ref="A2251:B2251"/>
    <mergeCell ref="A2252:B2252"/>
    <mergeCell ref="A2253:B2253"/>
    <mergeCell ref="A2244:B2244"/>
    <mergeCell ref="A2245:B2245"/>
    <mergeCell ref="H2245:I2245"/>
    <mergeCell ref="A2246:B2246"/>
    <mergeCell ref="H2246:I2246"/>
    <mergeCell ref="A2247:B2247"/>
    <mergeCell ref="H2247:I2247"/>
    <mergeCell ref="A2240:B2240"/>
    <mergeCell ref="H2240:I2240"/>
    <mergeCell ref="A2241:B2241"/>
    <mergeCell ref="H2241:I2241"/>
    <mergeCell ref="A2242:B2242"/>
    <mergeCell ref="A2243:B2243"/>
    <mergeCell ref="A2237:B2237"/>
    <mergeCell ref="H2237:I2237"/>
    <mergeCell ref="A2238:B2238"/>
    <mergeCell ref="H2238:I2238"/>
    <mergeCell ref="A2239:B2239"/>
    <mergeCell ref="H2239:I2239"/>
    <mergeCell ref="A2234:B2234"/>
    <mergeCell ref="H2234:I2234"/>
    <mergeCell ref="A2235:B2235"/>
    <mergeCell ref="H2235:I2235"/>
    <mergeCell ref="A2236:B2236"/>
    <mergeCell ref="H2236:I2236"/>
    <mergeCell ref="A2231:B2231"/>
    <mergeCell ref="H2231:I2231"/>
    <mergeCell ref="A2232:B2232"/>
    <mergeCell ref="H2232:I2232"/>
    <mergeCell ref="A2233:B2233"/>
    <mergeCell ref="H2233:I2233"/>
    <mergeCell ref="A2226:B2226"/>
    <mergeCell ref="A2227:B2227"/>
    <mergeCell ref="A2228:B2228"/>
    <mergeCell ref="A2229:B2229"/>
    <mergeCell ref="A2230:B2230"/>
    <mergeCell ref="H2230:I2230"/>
    <mergeCell ref="A2222:B2222"/>
    <mergeCell ref="H2222:I2222"/>
    <mergeCell ref="A2223:B2223"/>
    <mergeCell ref="H2223:I2223"/>
    <mergeCell ref="A2224:B2224"/>
    <mergeCell ref="A2225:B2225"/>
    <mergeCell ref="A2219:B2219"/>
    <mergeCell ref="H2219:I2219"/>
    <mergeCell ref="A2220:B2220"/>
    <mergeCell ref="H2220:I2220"/>
    <mergeCell ref="A2221:B2221"/>
    <mergeCell ref="H2221:I2221"/>
    <mergeCell ref="A2214:B2214"/>
    <mergeCell ref="H2214:I2214"/>
    <mergeCell ref="A2215:B2215"/>
    <mergeCell ref="A2216:B2216"/>
    <mergeCell ref="A2217:B2217"/>
    <mergeCell ref="A2218:B2218"/>
    <mergeCell ref="H2218:I2218"/>
    <mergeCell ref="A2210:B2210"/>
    <mergeCell ref="A2211:B2211"/>
    <mergeCell ref="A2212:B2212"/>
    <mergeCell ref="H2212:I2212"/>
    <mergeCell ref="A2213:B2213"/>
    <mergeCell ref="H2213:I2213"/>
    <mergeCell ref="A2204:B2204"/>
    <mergeCell ref="A2205:B2205"/>
    <mergeCell ref="A2206:B2206"/>
    <mergeCell ref="A2207:B2207"/>
    <mergeCell ref="A2208:B2208"/>
    <mergeCell ref="A2209:B2209"/>
    <mergeCell ref="A2199:B2199"/>
    <mergeCell ref="H2199:I2199"/>
    <mergeCell ref="A2200:B2200"/>
    <mergeCell ref="A2201:B2201"/>
    <mergeCell ref="A2202:B2202"/>
    <mergeCell ref="A2203:B2203"/>
    <mergeCell ref="A2194:B2194"/>
    <mergeCell ref="A2195:B2195"/>
    <mergeCell ref="A2196:B2196"/>
    <mergeCell ref="A2197:B2197"/>
    <mergeCell ref="H2197:I2197"/>
    <mergeCell ref="A2198:B2198"/>
    <mergeCell ref="H2198:I2198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9:B2179"/>
    <mergeCell ref="H2179:I2179"/>
    <mergeCell ref="A2180:B2180"/>
    <mergeCell ref="H2180:I2180"/>
    <mergeCell ref="A2181:B2181"/>
    <mergeCell ref="H2181:I2181"/>
    <mergeCell ref="A2173:B2173"/>
    <mergeCell ref="A2174:B2174"/>
    <mergeCell ref="A2175:B2175"/>
    <mergeCell ref="A2176:B2176"/>
    <mergeCell ref="A2177:B2177"/>
    <mergeCell ref="A2178:B2178"/>
    <mergeCell ref="A2167:B2167"/>
    <mergeCell ref="A2168:B2168"/>
    <mergeCell ref="A2169:B2169"/>
    <mergeCell ref="A2170:B2170"/>
    <mergeCell ref="A2171:B2171"/>
    <mergeCell ref="A2172:B2172"/>
    <mergeCell ref="A2163:B2163"/>
    <mergeCell ref="A2164:B2164"/>
    <mergeCell ref="H2164:I2164"/>
    <mergeCell ref="A2165:B2165"/>
    <mergeCell ref="H2165:I2165"/>
    <mergeCell ref="A2166:B2166"/>
    <mergeCell ref="H2166:I2166"/>
    <mergeCell ref="A2159:B2159"/>
    <mergeCell ref="H2159:I2159"/>
    <mergeCell ref="A2160:B2160"/>
    <mergeCell ref="H2160:I2160"/>
    <mergeCell ref="A2161:B2161"/>
    <mergeCell ref="A2162:B2162"/>
    <mergeCell ref="A2156:B2156"/>
    <mergeCell ref="H2156:I2156"/>
    <mergeCell ref="A2157:B2157"/>
    <mergeCell ref="H2157:I2157"/>
    <mergeCell ref="A2158:B2158"/>
    <mergeCell ref="H2158:I2158"/>
    <mergeCell ref="A2151:B2151"/>
    <mergeCell ref="A2152:B2152"/>
    <mergeCell ref="A2153:B2153"/>
    <mergeCell ref="A2154:B2154"/>
    <mergeCell ref="A2155:B2155"/>
    <mergeCell ref="H2155:I2155"/>
    <mergeCell ref="A2147:B2147"/>
    <mergeCell ref="H2147:I2147"/>
    <mergeCell ref="A2148:B2148"/>
    <mergeCell ref="H2148:I2148"/>
    <mergeCell ref="A2149:B2149"/>
    <mergeCell ref="A2150:B2150"/>
    <mergeCell ref="A2142:B2142"/>
    <mergeCell ref="H2142:I2142"/>
    <mergeCell ref="A2143:B2143"/>
    <mergeCell ref="A2144:B2144"/>
    <mergeCell ref="A2145:B2145"/>
    <mergeCell ref="A2146:B2146"/>
    <mergeCell ref="H2146:I2146"/>
    <mergeCell ref="A2137:B2137"/>
    <mergeCell ref="A2138:B2138"/>
    <mergeCell ref="A2139:B2139"/>
    <mergeCell ref="A2140:B2140"/>
    <mergeCell ref="H2140:I2140"/>
    <mergeCell ref="A2141:B2141"/>
    <mergeCell ref="H2141:I2141"/>
    <mergeCell ref="A2134:B2134"/>
    <mergeCell ref="H2134:I2134"/>
    <mergeCell ref="A2135:B2135"/>
    <mergeCell ref="H2135:I2135"/>
    <mergeCell ref="A2136:B2136"/>
    <mergeCell ref="H2136:I2136"/>
    <mergeCell ref="A2130:B2130"/>
    <mergeCell ref="A2131:B2131"/>
    <mergeCell ref="H2131:I2131"/>
    <mergeCell ref="A2132:B2132"/>
    <mergeCell ref="H2132:I2132"/>
    <mergeCell ref="A2133:B2133"/>
    <mergeCell ref="H2133:I2133"/>
    <mergeCell ref="A2124:B2124"/>
    <mergeCell ref="A2125:B2125"/>
    <mergeCell ref="A2126:B2126"/>
    <mergeCell ref="A2127:B2127"/>
    <mergeCell ref="A2128:B2128"/>
    <mergeCell ref="A2129:B2129"/>
    <mergeCell ref="A2120:B2120"/>
    <mergeCell ref="H2120:I2120"/>
    <mergeCell ref="A2121:B2121"/>
    <mergeCell ref="H2121:I2121"/>
    <mergeCell ref="A2122:B2122"/>
    <mergeCell ref="A2123:B2123"/>
    <mergeCell ref="A2117:B2117"/>
    <mergeCell ref="H2117:I2117"/>
    <mergeCell ref="A2118:B2118"/>
    <mergeCell ref="H2118:I2118"/>
    <mergeCell ref="A2119:B2119"/>
    <mergeCell ref="H2119:I2119"/>
    <mergeCell ref="A2112:B2112"/>
    <mergeCell ref="H2112:I2112"/>
    <mergeCell ref="A2113:B2113"/>
    <mergeCell ref="A2114:B2114"/>
    <mergeCell ref="A2115:B2115"/>
    <mergeCell ref="A2116:B2116"/>
    <mergeCell ref="H2116:I2116"/>
    <mergeCell ref="A2109:B2109"/>
    <mergeCell ref="H2109:I2109"/>
    <mergeCell ref="A2110:B2110"/>
    <mergeCell ref="H2110:I2110"/>
    <mergeCell ref="A2111:B2111"/>
    <mergeCell ref="H2111:I2111"/>
    <mergeCell ref="A2106:B2106"/>
    <mergeCell ref="H2106:I2106"/>
    <mergeCell ref="A2107:B2107"/>
    <mergeCell ref="H2107:I2107"/>
    <mergeCell ref="A2108:B2108"/>
    <mergeCell ref="H2108:I2108"/>
    <mergeCell ref="A2101:B2101"/>
    <mergeCell ref="A2102:B2102"/>
    <mergeCell ref="A2103:B2103"/>
    <mergeCell ref="A2104:B2104"/>
    <mergeCell ref="H2104:I2104"/>
    <mergeCell ref="A2105:B2105"/>
    <mergeCell ref="H2105:I2105"/>
    <mergeCell ref="A2098:B2098"/>
    <mergeCell ref="H2098:I2098"/>
    <mergeCell ref="A2099:B2099"/>
    <mergeCell ref="H2099:I2099"/>
    <mergeCell ref="A2100:B2100"/>
    <mergeCell ref="H2100:I2100"/>
    <mergeCell ref="A2095:B2095"/>
    <mergeCell ref="H2095:I2095"/>
    <mergeCell ref="A2096:B2096"/>
    <mergeCell ref="H2096:I2096"/>
    <mergeCell ref="A2097:B2097"/>
    <mergeCell ref="H2097:I2097"/>
    <mergeCell ref="A2091:B2091"/>
    <mergeCell ref="A2092:B2092"/>
    <mergeCell ref="H2092:I2092"/>
    <mergeCell ref="A2093:B2093"/>
    <mergeCell ref="H2093:I2093"/>
    <mergeCell ref="A2094:B2094"/>
    <mergeCell ref="H2094:I2094"/>
    <mergeCell ref="A2087:B2087"/>
    <mergeCell ref="H2087:I2087"/>
    <mergeCell ref="A2088:B2088"/>
    <mergeCell ref="H2088:I2088"/>
    <mergeCell ref="A2089:B2089"/>
    <mergeCell ref="A2090:B2090"/>
    <mergeCell ref="A2084:B2084"/>
    <mergeCell ref="H2084:I2084"/>
    <mergeCell ref="A2085:B2085"/>
    <mergeCell ref="H2085:I2085"/>
    <mergeCell ref="A2086:B2086"/>
    <mergeCell ref="H2086:I2086"/>
    <mergeCell ref="A2079:B2079"/>
    <mergeCell ref="H2079:I2079"/>
    <mergeCell ref="A2080:B2080"/>
    <mergeCell ref="A2081:B2081"/>
    <mergeCell ref="A2082:B2082"/>
    <mergeCell ref="A2083:B2083"/>
    <mergeCell ref="H2083:I2083"/>
    <mergeCell ref="A2074:B2074"/>
    <mergeCell ref="A2075:B2075"/>
    <mergeCell ref="A2076:B2076"/>
    <mergeCell ref="A2077:B2077"/>
    <mergeCell ref="H2077:I2077"/>
    <mergeCell ref="A2078:B2078"/>
    <mergeCell ref="H2078:I2078"/>
    <mergeCell ref="A2070:B2070"/>
    <mergeCell ref="A2071:B2071"/>
    <mergeCell ref="H2071:I2071"/>
    <mergeCell ref="A2072:B2072"/>
    <mergeCell ref="H2072:I2072"/>
    <mergeCell ref="A2073:B2073"/>
    <mergeCell ref="H2073:I2073"/>
    <mergeCell ref="A2066:B2066"/>
    <mergeCell ref="H2066:I2066"/>
    <mergeCell ref="A2067:B2067"/>
    <mergeCell ref="H2067:I2067"/>
    <mergeCell ref="A2068:B2068"/>
    <mergeCell ref="A2069:B2069"/>
    <mergeCell ref="A2063:B2063"/>
    <mergeCell ref="H2063:I2063"/>
    <mergeCell ref="A2064:B2064"/>
    <mergeCell ref="H2064:I2064"/>
    <mergeCell ref="A2065:B2065"/>
    <mergeCell ref="H2065:I2065"/>
    <mergeCell ref="A2060:B2060"/>
    <mergeCell ref="H2060:I2060"/>
    <mergeCell ref="A2061:B2061"/>
    <mergeCell ref="H2061:I2061"/>
    <mergeCell ref="A2062:B2062"/>
    <mergeCell ref="H2062:I2062"/>
    <mergeCell ref="A2057:B2057"/>
    <mergeCell ref="H2057:I2057"/>
    <mergeCell ref="A2058:B2058"/>
    <mergeCell ref="H2058:I2058"/>
    <mergeCell ref="A2059:B2059"/>
    <mergeCell ref="H2059:I2059"/>
    <mergeCell ref="A2054:B2054"/>
    <mergeCell ref="H2054:I2054"/>
    <mergeCell ref="A2055:B2055"/>
    <mergeCell ref="H2055:I2055"/>
    <mergeCell ref="A2056:B2056"/>
    <mergeCell ref="H2056:I2056"/>
    <mergeCell ref="A2049:B2049"/>
    <mergeCell ref="A2050:B2050"/>
    <mergeCell ref="A2051:B2051"/>
    <mergeCell ref="A2052:B2052"/>
    <mergeCell ref="A2053:B2053"/>
    <mergeCell ref="H2053:I2053"/>
    <mergeCell ref="A2045:B2045"/>
    <mergeCell ref="H2045:I2045"/>
    <mergeCell ref="A2046:B2046"/>
    <mergeCell ref="H2046:I2046"/>
    <mergeCell ref="A2047:B2047"/>
    <mergeCell ref="A2048:B2048"/>
    <mergeCell ref="A2040:B2040"/>
    <mergeCell ref="H2040:I2040"/>
    <mergeCell ref="A2041:B2041"/>
    <mergeCell ref="A2042:B2042"/>
    <mergeCell ref="A2043:B2043"/>
    <mergeCell ref="A2044:B2044"/>
    <mergeCell ref="H2044:I2044"/>
    <mergeCell ref="A2037:B2037"/>
    <mergeCell ref="H2037:I2037"/>
    <mergeCell ref="A2038:B2038"/>
    <mergeCell ref="H2038:I2038"/>
    <mergeCell ref="A2039:B2039"/>
    <mergeCell ref="H2039:I2039"/>
    <mergeCell ref="A2032:B2032"/>
    <mergeCell ref="A2033:B2033"/>
    <mergeCell ref="A2034:B2034"/>
    <mergeCell ref="A2035:B2035"/>
    <mergeCell ref="H2035:I2035"/>
    <mergeCell ref="A2036:B2036"/>
    <mergeCell ref="H2036:I2036"/>
    <mergeCell ref="A2028:B2028"/>
    <mergeCell ref="A2029:B2029"/>
    <mergeCell ref="H2029:I2029"/>
    <mergeCell ref="A2030:B2030"/>
    <mergeCell ref="H2030:I2030"/>
    <mergeCell ref="A2031:B2031"/>
    <mergeCell ref="H2031:I2031"/>
    <mergeCell ref="A2024:B2024"/>
    <mergeCell ref="H2024:I2024"/>
    <mergeCell ref="A2025:B2025"/>
    <mergeCell ref="H2025:I2025"/>
    <mergeCell ref="A2026:B2026"/>
    <mergeCell ref="A2027:B2027"/>
    <mergeCell ref="A2021:B2021"/>
    <mergeCell ref="H2021:I2021"/>
    <mergeCell ref="A2022:B2022"/>
    <mergeCell ref="H2022:I2022"/>
    <mergeCell ref="A2023:B2023"/>
    <mergeCell ref="H2023:I2023"/>
    <mergeCell ref="A2018:B2018"/>
    <mergeCell ref="H2018:I2018"/>
    <mergeCell ref="A2019:B2019"/>
    <mergeCell ref="H2019:I2019"/>
    <mergeCell ref="A2020:B2020"/>
    <mergeCell ref="H2020:I2020"/>
    <mergeCell ref="A2013:B2013"/>
    <mergeCell ref="H2013:I2013"/>
    <mergeCell ref="A2014:B2014"/>
    <mergeCell ref="A2015:B2015"/>
    <mergeCell ref="A2016:B2016"/>
    <mergeCell ref="A2017:B2017"/>
    <mergeCell ref="H2017:I2017"/>
    <mergeCell ref="A2009:B2009"/>
    <mergeCell ref="A2010:B2010"/>
    <mergeCell ref="A2011:B2011"/>
    <mergeCell ref="H2011:I2011"/>
    <mergeCell ref="A2012:B2012"/>
    <mergeCell ref="H2012:I2012"/>
    <mergeCell ref="A2004:B2004"/>
    <mergeCell ref="H2004:I2004"/>
    <mergeCell ref="A2005:B2005"/>
    <mergeCell ref="A2006:B2006"/>
    <mergeCell ref="A2007:B2007"/>
    <mergeCell ref="A2008:B2008"/>
    <mergeCell ref="A2001:B2001"/>
    <mergeCell ref="H2001:I2001"/>
    <mergeCell ref="A2002:B2002"/>
    <mergeCell ref="H2002:I2002"/>
    <mergeCell ref="A2003:B2003"/>
    <mergeCell ref="H2003:I2003"/>
    <mergeCell ref="A1998:B1998"/>
    <mergeCell ref="H1998:I1998"/>
    <mergeCell ref="A1999:B1999"/>
    <mergeCell ref="H1999:I1999"/>
    <mergeCell ref="A2000:B2000"/>
    <mergeCell ref="H2000:I2000"/>
    <mergeCell ref="A1995:B1995"/>
    <mergeCell ref="H1995:I1995"/>
    <mergeCell ref="A1996:B1996"/>
    <mergeCell ref="H1996:I1996"/>
    <mergeCell ref="A1997:B1997"/>
    <mergeCell ref="H1997:I1997"/>
    <mergeCell ref="A1992:B1992"/>
    <mergeCell ref="H1992:I1992"/>
    <mergeCell ref="A1993:B1993"/>
    <mergeCell ref="H1993:I1993"/>
    <mergeCell ref="A1994:B1994"/>
    <mergeCell ref="H1994:I1994"/>
    <mergeCell ref="A1989:B1989"/>
    <mergeCell ref="H1989:I1989"/>
    <mergeCell ref="A1990:B1990"/>
    <mergeCell ref="H1990:I1990"/>
    <mergeCell ref="A1991:B1991"/>
    <mergeCell ref="H1991:I1991"/>
    <mergeCell ref="A1986:B1986"/>
    <mergeCell ref="H1986:I1986"/>
    <mergeCell ref="A1987:B1987"/>
    <mergeCell ref="H1987:I1987"/>
    <mergeCell ref="A1988:B1988"/>
    <mergeCell ref="H1988:I1988"/>
    <mergeCell ref="A1982:B1982"/>
    <mergeCell ref="A1983:B1983"/>
    <mergeCell ref="A1984:B1984"/>
    <mergeCell ref="H1984:I1984"/>
    <mergeCell ref="A1985:B1985"/>
    <mergeCell ref="H1985:I1985"/>
    <mergeCell ref="A1976:B1976"/>
    <mergeCell ref="A1977:B1977"/>
    <mergeCell ref="A1978:B1978"/>
    <mergeCell ref="A1979:B1979"/>
    <mergeCell ref="A1980:B1980"/>
    <mergeCell ref="A1981:B1981"/>
    <mergeCell ref="A1971:B1971"/>
    <mergeCell ref="H1971:I1971"/>
    <mergeCell ref="A1972:B1972"/>
    <mergeCell ref="A1973:B1973"/>
    <mergeCell ref="A1974:B1974"/>
    <mergeCell ref="A1975:B1975"/>
    <mergeCell ref="A1968:B1968"/>
    <mergeCell ref="H1968:I1968"/>
    <mergeCell ref="A1969:B1969"/>
    <mergeCell ref="H1969:I1969"/>
    <mergeCell ref="A1970:B1970"/>
    <mergeCell ref="H1970:I1970"/>
    <mergeCell ref="A1963:B1963"/>
    <mergeCell ref="A1964:B1964"/>
    <mergeCell ref="A1965:B1965"/>
    <mergeCell ref="A1966:B1966"/>
    <mergeCell ref="H1966:I1966"/>
    <mergeCell ref="A1967:B1967"/>
    <mergeCell ref="H1967:I1967"/>
    <mergeCell ref="A1960:B1960"/>
    <mergeCell ref="H1960:I1960"/>
    <mergeCell ref="A1961:B1961"/>
    <mergeCell ref="H1961:I1961"/>
    <mergeCell ref="A1962:B1962"/>
    <mergeCell ref="H1962:I1962"/>
    <mergeCell ref="A1956:B1956"/>
    <mergeCell ref="A1957:B1957"/>
    <mergeCell ref="H1957:I1957"/>
    <mergeCell ref="A1958:B1958"/>
    <mergeCell ref="H1958:I1958"/>
    <mergeCell ref="A1959:B1959"/>
    <mergeCell ref="H1959:I1959"/>
    <mergeCell ref="A1952:B1952"/>
    <mergeCell ref="H1952:I1952"/>
    <mergeCell ref="A1953:B1953"/>
    <mergeCell ref="H1953:I1953"/>
    <mergeCell ref="A1954:B1954"/>
    <mergeCell ref="A1955:B1955"/>
    <mergeCell ref="A1949:B1949"/>
    <mergeCell ref="H1949:I1949"/>
    <mergeCell ref="A1950:B1950"/>
    <mergeCell ref="H1950:I1950"/>
    <mergeCell ref="A1951:B1951"/>
    <mergeCell ref="H1951:I1951"/>
    <mergeCell ref="A1944:B1944"/>
    <mergeCell ref="H1944:I1944"/>
    <mergeCell ref="A1945:B1945"/>
    <mergeCell ref="A1946:B1946"/>
    <mergeCell ref="A1947:B1947"/>
    <mergeCell ref="A1948:B1948"/>
    <mergeCell ref="H1948:I1948"/>
    <mergeCell ref="A1939:B1939"/>
    <mergeCell ref="A1940:B1940"/>
    <mergeCell ref="A1941:B1941"/>
    <mergeCell ref="A1942:B1942"/>
    <mergeCell ref="H1942:I1942"/>
    <mergeCell ref="A1943:B1943"/>
    <mergeCell ref="H1943:I1943"/>
    <mergeCell ref="A1936:B1936"/>
    <mergeCell ref="H1936:I1936"/>
    <mergeCell ref="A1937:B1937"/>
    <mergeCell ref="H1937:I1937"/>
    <mergeCell ref="A1938:B1938"/>
    <mergeCell ref="H1938:I1938"/>
    <mergeCell ref="A1933:B1933"/>
    <mergeCell ref="H1933:I1933"/>
    <mergeCell ref="A1934:B1934"/>
    <mergeCell ref="H1934:I1934"/>
    <mergeCell ref="A1935:B1935"/>
    <mergeCell ref="H1935:I1935"/>
    <mergeCell ref="A1930:B1930"/>
    <mergeCell ref="H1930:I1930"/>
    <mergeCell ref="A1931:B1931"/>
    <mergeCell ref="H1931:I1931"/>
    <mergeCell ref="A1932:B1932"/>
    <mergeCell ref="H1932:I1932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9:B1909"/>
    <mergeCell ref="H1909:I1909"/>
    <mergeCell ref="A1910:B1910"/>
    <mergeCell ref="H1910:I1910"/>
    <mergeCell ref="A1911:B1911"/>
    <mergeCell ref="H1911:I1911"/>
    <mergeCell ref="A1903:B1903"/>
    <mergeCell ref="A1904:B1904"/>
    <mergeCell ref="A1905:B1905"/>
    <mergeCell ref="A1906:B1906"/>
    <mergeCell ref="A1907:B1907"/>
    <mergeCell ref="A1908:B1908"/>
    <mergeCell ref="A1899:B1899"/>
    <mergeCell ref="A1900:B1900"/>
    <mergeCell ref="H1900:I1900"/>
    <mergeCell ref="A1901:B1901"/>
    <mergeCell ref="H1901:I1901"/>
    <mergeCell ref="A1902:B1902"/>
    <mergeCell ref="H1902:I1902"/>
    <mergeCell ref="A1895:B1895"/>
    <mergeCell ref="H1895:I1895"/>
    <mergeCell ref="A1896:B1896"/>
    <mergeCell ref="H1896:I1896"/>
    <mergeCell ref="A1897:B1897"/>
    <mergeCell ref="A1898:B1898"/>
    <mergeCell ref="A1892:B1892"/>
    <mergeCell ref="H1892:I1892"/>
    <mergeCell ref="A1893:B1893"/>
    <mergeCell ref="H1893:I1893"/>
    <mergeCell ref="A1894:B1894"/>
    <mergeCell ref="H1894:I1894"/>
    <mergeCell ref="A1889:B1889"/>
    <mergeCell ref="H1889:I1889"/>
    <mergeCell ref="A1890:B1890"/>
    <mergeCell ref="H1890:I1890"/>
    <mergeCell ref="A1891:B1891"/>
    <mergeCell ref="H1891:I1891"/>
    <mergeCell ref="A1884:B1884"/>
    <mergeCell ref="H1884:I1884"/>
    <mergeCell ref="A1885:B1885"/>
    <mergeCell ref="A1886:B1886"/>
    <mergeCell ref="A1887:B1887"/>
    <mergeCell ref="A1888:B1888"/>
    <mergeCell ref="H1888:I1888"/>
    <mergeCell ref="A1881:B1881"/>
    <mergeCell ref="H1881:I1881"/>
    <mergeCell ref="A1882:B1882"/>
    <mergeCell ref="H1882:I1882"/>
    <mergeCell ref="A1883:B1883"/>
    <mergeCell ref="H1883:I1883"/>
    <mergeCell ref="A1878:B1878"/>
    <mergeCell ref="H1878:I1878"/>
    <mergeCell ref="A1879:B1879"/>
    <mergeCell ref="H1879:I1879"/>
    <mergeCell ref="A1880:B1880"/>
    <mergeCell ref="H1880:I1880"/>
    <mergeCell ref="A1875:B1875"/>
    <mergeCell ref="H1875:I1875"/>
    <mergeCell ref="A1876:B1876"/>
    <mergeCell ref="H1876:I1876"/>
    <mergeCell ref="A1877:B1877"/>
    <mergeCell ref="H1877:I1877"/>
    <mergeCell ref="A1872:B1872"/>
    <mergeCell ref="H1872:I1872"/>
    <mergeCell ref="A1873:B1873"/>
    <mergeCell ref="H1873:I1873"/>
    <mergeCell ref="A1874:B1874"/>
    <mergeCell ref="H1874:I1874"/>
    <mergeCell ref="A1867:B1867"/>
    <mergeCell ref="A1868:B1868"/>
    <mergeCell ref="A1869:B1869"/>
    <mergeCell ref="A1870:B1870"/>
    <mergeCell ref="H1870:I1870"/>
    <mergeCell ref="A1871:B1871"/>
    <mergeCell ref="H1871:I1871"/>
    <mergeCell ref="A1861:B1861"/>
    <mergeCell ref="A1862:B1862"/>
    <mergeCell ref="A1863:B1863"/>
    <mergeCell ref="A1864:B1864"/>
    <mergeCell ref="A1865:B1865"/>
    <mergeCell ref="A1866:B1866"/>
    <mergeCell ref="A1857:B1857"/>
    <mergeCell ref="A1858:B1858"/>
    <mergeCell ref="H1858:I1858"/>
    <mergeCell ref="A1859:B1859"/>
    <mergeCell ref="H1859:I1859"/>
    <mergeCell ref="A1860:B1860"/>
    <mergeCell ref="H1860:I1860"/>
    <mergeCell ref="A1851:B1851"/>
    <mergeCell ref="A1852:B1852"/>
    <mergeCell ref="A1853:B1853"/>
    <mergeCell ref="A1854:B1854"/>
    <mergeCell ref="A1855:B1855"/>
    <mergeCell ref="A1856:B1856"/>
    <mergeCell ref="A1847:B1847"/>
    <mergeCell ref="H1847:I1847"/>
    <mergeCell ref="A1848:B1848"/>
    <mergeCell ref="H1848:I1848"/>
    <mergeCell ref="A1849:B1849"/>
    <mergeCell ref="A1850:B1850"/>
    <mergeCell ref="A1844:B1844"/>
    <mergeCell ref="H1844:I1844"/>
    <mergeCell ref="A1845:B1845"/>
    <mergeCell ref="H1845:I1845"/>
    <mergeCell ref="A1846:B1846"/>
    <mergeCell ref="H1846:I1846"/>
    <mergeCell ref="A1841:B1841"/>
    <mergeCell ref="H1841:I1841"/>
    <mergeCell ref="A1842:B1842"/>
    <mergeCell ref="H1842:I1842"/>
    <mergeCell ref="A1843:B1843"/>
    <mergeCell ref="H1843:I1843"/>
    <mergeCell ref="A1838:B1838"/>
    <mergeCell ref="H1838:I1838"/>
    <mergeCell ref="A1839:B1839"/>
    <mergeCell ref="H1839:I1839"/>
    <mergeCell ref="A1840:B1840"/>
    <mergeCell ref="H1840:I1840"/>
    <mergeCell ref="A1835:B1835"/>
    <mergeCell ref="H1835:I1835"/>
    <mergeCell ref="A1836:B1836"/>
    <mergeCell ref="H1836:I1836"/>
    <mergeCell ref="A1837:B1837"/>
    <mergeCell ref="H1837:I1837"/>
    <mergeCell ref="A1830:B1830"/>
    <mergeCell ref="H1830:I1830"/>
    <mergeCell ref="A1831:B1831"/>
    <mergeCell ref="A1832:B1832"/>
    <mergeCell ref="A1833:B1833"/>
    <mergeCell ref="A1834:B1834"/>
    <mergeCell ref="H1834:I1834"/>
    <mergeCell ref="A1827:B1827"/>
    <mergeCell ref="H1827:I1827"/>
    <mergeCell ref="A1828:B1828"/>
    <mergeCell ref="H1828:I1828"/>
    <mergeCell ref="A1829:B1829"/>
    <mergeCell ref="H1829:I1829"/>
    <mergeCell ref="A1822:B1822"/>
    <mergeCell ref="A1823:B1823"/>
    <mergeCell ref="A1824:B1824"/>
    <mergeCell ref="A1825:B1825"/>
    <mergeCell ref="H1825:I1825"/>
    <mergeCell ref="A1826:B1826"/>
    <mergeCell ref="H1826:I1826"/>
    <mergeCell ref="A1816:B1816"/>
    <mergeCell ref="A1817:B1817"/>
    <mergeCell ref="A1818:B1818"/>
    <mergeCell ref="A1819:B1819"/>
    <mergeCell ref="A1820:B1820"/>
    <mergeCell ref="A1821:B1821"/>
    <mergeCell ref="A1813:B1813"/>
    <mergeCell ref="H1813:I1813"/>
    <mergeCell ref="A1814:B1814"/>
    <mergeCell ref="H1814:I1814"/>
    <mergeCell ref="A1815:B1815"/>
    <mergeCell ref="H1815:I1815"/>
    <mergeCell ref="A1807:B1807"/>
    <mergeCell ref="A1808:B1808"/>
    <mergeCell ref="A1809:B1809"/>
    <mergeCell ref="A1810:B1810"/>
    <mergeCell ref="A1811:B1811"/>
    <mergeCell ref="A1812:B1812"/>
    <mergeCell ref="A1804:B1804"/>
    <mergeCell ref="H1804:I1804"/>
    <mergeCell ref="A1805:B1805"/>
    <mergeCell ref="H1805:I1805"/>
    <mergeCell ref="A1806:B1806"/>
    <mergeCell ref="H1806:I1806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8:B1788"/>
    <mergeCell ref="A1789:B1789"/>
    <mergeCell ref="H1789:I1789"/>
    <mergeCell ref="A1790:B1790"/>
    <mergeCell ref="H1790:I1790"/>
    <mergeCell ref="A1791:B1791"/>
    <mergeCell ref="H1791:I1791"/>
    <mergeCell ref="A1784:B1784"/>
    <mergeCell ref="H1784:I1784"/>
    <mergeCell ref="A1785:B1785"/>
    <mergeCell ref="H1785:I1785"/>
    <mergeCell ref="A1786:B1786"/>
    <mergeCell ref="A1787:B1787"/>
    <mergeCell ref="A1781:B1781"/>
    <mergeCell ref="H1781:I1781"/>
    <mergeCell ref="A1782:B1782"/>
    <mergeCell ref="H1782:I1782"/>
    <mergeCell ref="A1783:B1783"/>
    <mergeCell ref="H1783:I1783"/>
    <mergeCell ref="A1778:B1778"/>
    <mergeCell ref="H1778:I1778"/>
    <mergeCell ref="A1779:B1779"/>
    <mergeCell ref="H1779:I1779"/>
    <mergeCell ref="A1780:B1780"/>
    <mergeCell ref="H1780:I1780"/>
    <mergeCell ref="A1775:B1775"/>
    <mergeCell ref="H1775:I1775"/>
    <mergeCell ref="A1776:B1776"/>
    <mergeCell ref="H1776:I1776"/>
    <mergeCell ref="A1777:B1777"/>
    <mergeCell ref="H1777:I1777"/>
    <mergeCell ref="A1770:B1770"/>
    <mergeCell ref="A1771:B1771"/>
    <mergeCell ref="A1772:B1772"/>
    <mergeCell ref="A1773:B1773"/>
    <mergeCell ref="A1774:B1774"/>
    <mergeCell ref="H1774:I1774"/>
    <mergeCell ref="A1766:B1766"/>
    <mergeCell ref="H1766:I1766"/>
    <mergeCell ref="A1767:B1767"/>
    <mergeCell ref="H1767:I1767"/>
    <mergeCell ref="A1768:B1768"/>
    <mergeCell ref="A1769:B1769"/>
    <mergeCell ref="A1763:B1763"/>
    <mergeCell ref="H1763:I1763"/>
    <mergeCell ref="A1764:B1764"/>
    <mergeCell ref="H1764:I1764"/>
    <mergeCell ref="A1765:B1765"/>
    <mergeCell ref="H1765:I1765"/>
    <mergeCell ref="A1760:B1760"/>
    <mergeCell ref="H1760:I1760"/>
    <mergeCell ref="A1761:B1761"/>
    <mergeCell ref="H1761:I1761"/>
    <mergeCell ref="A1762:B1762"/>
    <mergeCell ref="H1762:I1762"/>
    <mergeCell ref="A1755:B1755"/>
    <mergeCell ref="H1755:I1755"/>
    <mergeCell ref="A1756:B1756"/>
    <mergeCell ref="A1757:B1757"/>
    <mergeCell ref="A1758:B1758"/>
    <mergeCell ref="A1759:B1759"/>
    <mergeCell ref="H1759:I1759"/>
    <mergeCell ref="A1750:B1750"/>
    <mergeCell ref="A1751:B1751"/>
    <mergeCell ref="A1752:B1752"/>
    <mergeCell ref="A1753:B1753"/>
    <mergeCell ref="H1753:I1753"/>
    <mergeCell ref="A1754:B1754"/>
    <mergeCell ref="H1754:I1754"/>
    <mergeCell ref="A1744:B1744"/>
    <mergeCell ref="A1745:B1745"/>
    <mergeCell ref="A1746:B1746"/>
    <mergeCell ref="A1747:B1747"/>
    <mergeCell ref="A1748:B1748"/>
    <mergeCell ref="A1749:B1749"/>
    <mergeCell ref="A1741:B1741"/>
    <mergeCell ref="H1741:I1741"/>
    <mergeCell ref="A1742:B1742"/>
    <mergeCell ref="H1742:I1742"/>
    <mergeCell ref="A1743:B1743"/>
    <mergeCell ref="H1743:I1743"/>
    <mergeCell ref="A1738:B1738"/>
    <mergeCell ref="H1738:I1738"/>
    <mergeCell ref="A1739:B1739"/>
    <mergeCell ref="H1739:I1739"/>
    <mergeCell ref="A1740:B1740"/>
    <mergeCell ref="H1740:I1740"/>
    <mergeCell ref="A1735:B1735"/>
    <mergeCell ref="H1735:I1735"/>
    <mergeCell ref="A1736:B1736"/>
    <mergeCell ref="H1736:I1736"/>
    <mergeCell ref="A1737:B1737"/>
    <mergeCell ref="H1737:I1737"/>
    <mergeCell ref="A1730:B1730"/>
    <mergeCell ref="A1731:B1731"/>
    <mergeCell ref="A1732:B1732"/>
    <mergeCell ref="A1733:B1733"/>
    <mergeCell ref="H1733:I1733"/>
    <mergeCell ref="A1734:B1734"/>
    <mergeCell ref="H1734:I1734"/>
    <mergeCell ref="A1726:B1726"/>
    <mergeCell ref="A1727:B1727"/>
    <mergeCell ref="H1727:I1727"/>
    <mergeCell ref="A1728:B1728"/>
    <mergeCell ref="H1728:I1728"/>
    <mergeCell ref="A1729:B1729"/>
    <mergeCell ref="H1729:I1729"/>
    <mergeCell ref="A1722:B1722"/>
    <mergeCell ref="H1722:I1722"/>
    <mergeCell ref="A1723:B1723"/>
    <mergeCell ref="H1723:I1723"/>
    <mergeCell ref="A1724:B1724"/>
    <mergeCell ref="A1725:B1725"/>
    <mergeCell ref="A1719:B1719"/>
    <mergeCell ref="H1719:I1719"/>
    <mergeCell ref="A1720:B1720"/>
    <mergeCell ref="H1720:I1720"/>
    <mergeCell ref="A1721:B1721"/>
    <mergeCell ref="H1721:I1721"/>
    <mergeCell ref="A1714:B1714"/>
    <mergeCell ref="H1714:I1714"/>
    <mergeCell ref="A1715:B1715"/>
    <mergeCell ref="A1716:B1716"/>
    <mergeCell ref="A1717:B1717"/>
    <mergeCell ref="A1718:B1718"/>
    <mergeCell ref="H1718:I1718"/>
    <mergeCell ref="A1710:B1710"/>
    <mergeCell ref="A1711:B1711"/>
    <mergeCell ref="A1712:B1712"/>
    <mergeCell ref="H1712:I1712"/>
    <mergeCell ref="A1713:B1713"/>
    <mergeCell ref="H1713:I1713"/>
    <mergeCell ref="A1704:B1704"/>
    <mergeCell ref="A1705:B1705"/>
    <mergeCell ref="A1706:B1706"/>
    <mergeCell ref="A1707:B1707"/>
    <mergeCell ref="A1708:B1708"/>
    <mergeCell ref="A1709:B1709"/>
    <mergeCell ref="A1699:B1699"/>
    <mergeCell ref="H1699:I1699"/>
    <mergeCell ref="A1700:B1700"/>
    <mergeCell ref="A1701:B1701"/>
    <mergeCell ref="A1702:B1702"/>
    <mergeCell ref="A1703:B1703"/>
    <mergeCell ref="A1694:B1694"/>
    <mergeCell ref="A1695:B1695"/>
    <mergeCell ref="A1696:B1696"/>
    <mergeCell ref="A1697:B1697"/>
    <mergeCell ref="H1697:I1697"/>
    <mergeCell ref="A1698:B1698"/>
    <mergeCell ref="H1698:I1698"/>
    <mergeCell ref="A1691:B1691"/>
    <mergeCell ref="H1691:I1691"/>
    <mergeCell ref="A1692:B1692"/>
    <mergeCell ref="H1692:I1692"/>
    <mergeCell ref="A1693:B1693"/>
    <mergeCell ref="H1693:I1693"/>
    <mergeCell ref="A1685:B1685"/>
    <mergeCell ref="A1686:B1686"/>
    <mergeCell ref="A1687:B1687"/>
    <mergeCell ref="A1688:B1688"/>
    <mergeCell ref="A1689:B1689"/>
    <mergeCell ref="A1690:B1690"/>
    <mergeCell ref="A1679:B1679"/>
    <mergeCell ref="A1680:B1680"/>
    <mergeCell ref="A1681:B1681"/>
    <mergeCell ref="A1682:B1682"/>
    <mergeCell ref="A1683:B1683"/>
    <mergeCell ref="A1684:B1684"/>
    <mergeCell ref="A1676:B1676"/>
    <mergeCell ref="H1676:I1676"/>
    <mergeCell ref="A1677:B1677"/>
    <mergeCell ref="H1677:I1677"/>
    <mergeCell ref="A1678:B1678"/>
    <mergeCell ref="H1678:I1678"/>
    <mergeCell ref="A1673:B1673"/>
    <mergeCell ref="H1673:I1673"/>
    <mergeCell ref="A1674:B1674"/>
    <mergeCell ref="H1674:I1674"/>
    <mergeCell ref="A1675:B1675"/>
    <mergeCell ref="H1675:I1675"/>
    <mergeCell ref="A1670:B1670"/>
    <mergeCell ref="H1670:I1670"/>
    <mergeCell ref="A1671:B1671"/>
    <mergeCell ref="H1671:I1671"/>
    <mergeCell ref="A1672:B1672"/>
    <mergeCell ref="H1672:I1672"/>
    <mergeCell ref="A1666:B1666"/>
    <mergeCell ref="A1667:B1667"/>
    <mergeCell ref="H1667:I1667"/>
    <mergeCell ref="A1668:B1668"/>
    <mergeCell ref="H1668:I1668"/>
    <mergeCell ref="A1669:B1669"/>
    <mergeCell ref="H1669:I1669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4:B1644"/>
    <mergeCell ref="H1644:I1644"/>
    <mergeCell ref="A1645:B1645"/>
    <mergeCell ref="H1645:I1645"/>
    <mergeCell ref="A1646:B1646"/>
    <mergeCell ref="A1647:B1647"/>
    <mergeCell ref="A1641:B1641"/>
    <mergeCell ref="H1641:I1641"/>
    <mergeCell ref="A1642:B1642"/>
    <mergeCell ref="H1642:I1642"/>
    <mergeCell ref="A1643:B1643"/>
    <mergeCell ref="H1643:I1643"/>
    <mergeCell ref="A1638:B1638"/>
    <mergeCell ref="H1638:I1638"/>
    <mergeCell ref="A1639:B1639"/>
    <mergeCell ref="H1639:I1639"/>
    <mergeCell ref="A1640:B1640"/>
    <mergeCell ref="H1640:I1640"/>
    <mergeCell ref="H1634:I1634"/>
    <mergeCell ref="A1635:B1635"/>
    <mergeCell ref="H1635:I1635"/>
    <mergeCell ref="A1636:B1636"/>
    <mergeCell ref="H1636:I1636"/>
    <mergeCell ref="A1637:B1637"/>
    <mergeCell ref="H1637:I1637"/>
    <mergeCell ref="A1629:B1629"/>
    <mergeCell ref="A1630:B1630"/>
    <mergeCell ref="A1631:B1631"/>
    <mergeCell ref="A1632:B1632"/>
    <mergeCell ref="A1633:B1633"/>
    <mergeCell ref="A1634:B1634"/>
    <mergeCell ref="A1624:B1624"/>
    <mergeCell ref="H1624:I1624"/>
    <mergeCell ref="A1625:B1625"/>
    <mergeCell ref="A1626:B1626"/>
    <mergeCell ref="A1627:B1627"/>
    <mergeCell ref="A1628:B1628"/>
    <mergeCell ref="A1621:B1621"/>
    <mergeCell ref="H1621:I1621"/>
    <mergeCell ref="A1622:B1622"/>
    <mergeCell ref="H1622:I1622"/>
    <mergeCell ref="A1623:B1623"/>
    <mergeCell ref="H1623:I1623"/>
    <mergeCell ref="A1616:B1616"/>
    <mergeCell ref="A1617:B1617"/>
    <mergeCell ref="A1618:B1618"/>
    <mergeCell ref="A1619:B1619"/>
    <mergeCell ref="H1619:I1619"/>
    <mergeCell ref="A1620:B1620"/>
    <mergeCell ref="H1620:I1620"/>
    <mergeCell ref="A1613:B1613"/>
    <mergeCell ref="H1613:I1613"/>
    <mergeCell ref="A1614:B1614"/>
    <mergeCell ref="H1614:I1614"/>
    <mergeCell ref="A1615:B1615"/>
    <mergeCell ref="H1615:I1615"/>
    <mergeCell ref="A1610:B1610"/>
    <mergeCell ref="H1610:I1610"/>
    <mergeCell ref="A1611:B1611"/>
    <mergeCell ref="H1611:I1611"/>
    <mergeCell ref="A1612:B1612"/>
    <mergeCell ref="H1612:I1612"/>
    <mergeCell ref="A1606:B1606"/>
    <mergeCell ref="A1607:B1607"/>
    <mergeCell ref="H1607:I1607"/>
    <mergeCell ref="A1608:B1608"/>
    <mergeCell ref="H1608:I1608"/>
    <mergeCell ref="A1609:B1609"/>
    <mergeCell ref="H1609:I1609"/>
    <mergeCell ref="A1602:B1602"/>
    <mergeCell ref="H1602:I1602"/>
    <mergeCell ref="A1603:B1603"/>
    <mergeCell ref="H1603:I1603"/>
    <mergeCell ref="A1604:B1604"/>
    <mergeCell ref="A1605:B1605"/>
    <mergeCell ref="A1599:B1599"/>
    <mergeCell ref="H1599:I1599"/>
    <mergeCell ref="A1600:B1600"/>
    <mergeCell ref="H1600:I1600"/>
    <mergeCell ref="A1601:B1601"/>
    <mergeCell ref="H1601:I1601"/>
    <mergeCell ref="A1594:B1594"/>
    <mergeCell ref="A1595:B1595"/>
    <mergeCell ref="A1596:B1596"/>
    <mergeCell ref="A1597:B1597"/>
    <mergeCell ref="A1598:B1598"/>
    <mergeCell ref="H1598:I1598"/>
    <mergeCell ref="A1590:B1590"/>
    <mergeCell ref="H1590:I1590"/>
    <mergeCell ref="A1591:B1591"/>
    <mergeCell ref="H1591:I1591"/>
    <mergeCell ref="A1592:B1592"/>
    <mergeCell ref="A1593:B1593"/>
    <mergeCell ref="H1586:I1586"/>
    <mergeCell ref="A1587:B1587"/>
    <mergeCell ref="H1587:I1587"/>
    <mergeCell ref="A1588:B1588"/>
    <mergeCell ref="H1588:I1588"/>
    <mergeCell ref="A1589:B1589"/>
    <mergeCell ref="H1589:I1589"/>
    <mergeCell ref="A1581:B1581"/>
    <mergeCell ref="A1582:B1582"/>
    <mergeCell ref="A1583:B1583"/>
    <mergeCell ref="A1584:B1584"/>
    <mergeCell ref="A1585:B1585"/>
    <mergeCell ref="A1586:B1586"/>
    <mergeCell ref="A1577:B1577"/>
    <mergeCell ref="H1577:I1577"/>
    <mergeCell ref="A1578:B1578"/>
    <mergeCell ref="H1578:I1578"/>
    <mergeCell ref="A1579:B1579"/>
    <mergeCell ref="A1580:B1580"/>
    <mergeCell ref="A1572:B1572"/>
    <mergeCell ref="H1572:I1572"/>
    <mergeCell ref="A1573:B1573"/>
    <mergeCell ref="A1574:B1574"/>
    <mergeCell ref="A1575:B1575"/>
    <mergeCell ref="A1576:B1576"/>
    <mergeCell ref="H1576:I1576"/>
    <mergeCell ref="A1569:B1569"/>
    <mergeCell ref="H1569:I1569"/>
    <mergeCell ref="A1570:B1570"/>
    <mergeCell ref="H1570:I1570"/>
    <mergeCell ref="A1571:B1571"/>
    <mergeCell ref="H1571:I1571"/>
    <mergeCell ref="A1565:B1565"/>
    <mergeCell ref="A1566:B1566"/>
    <mergeCell ref="A1567:B1567"/>
    <mergeCell ref="H1567:I1567"/>
    <mergeCell ref="A1568:B1568"/>
    <mergeCell ref="H1568:I1568"/>
    <mergeCell ref="A1560:B1560"/>
    <mergeCell ref="H1560:I1560"/>
    <mergeCell ref="A1561:B1561"/>
    <mergeCell ref="A1562:B1562"/>
    <mergeCell ref="A1563:B1563"/>
    <mergeCell ref="A1564:B1564"/>
    <mergeCell ref="A1557:B1557"/>
    <mergeCell ref="H1557:I1557"/>
    <mergeCell ref="A1558:B1558"/>
    <mergeCell ref="H1558:I1558"/>
    <mergeCell ref="A1559:B1559"/>
    <mergeCell ref="H1559:I1559"/>
    <mergeCell ref="A1554:B1554"/>
    <mergeCell ref="H1554:I1554"/>
    <mergeCell ref="A1555:B1555"/>
    <mergeCell ref="H1555:I1555"/>
    <mergeCell ref="A1556:B1556"/>
    <mergeCell ref="H1556:I1556"/>
    <mergeCell ref="A1550:B1550"/>
    <mergeCell ref="A1551:B1551"/>
    <mergeCell ref="A1552:B1552"/>
    <mergeCell ref="H1552:I1552"/>
    <mergeCell ref="A1553:B1553"/>
    <mergeCell ref="H1553:I1553"/>
    <mergeCell ref="A1545:B1545"/>
    <mergeCell ref="H1545:I1545"/>
    <mergeCell ref="A1546:B1546"/>
    <mergeCell ref="A1547:B1547"/>
    <mergeCell ref="A1548:B1548"/>
    <mergeCell ref="A1549:B1549"/>
    <mergeCell ref="A1542:B1542"/>
    <mergeCell ref="H1542:I1542"/>
    <mergeCell ref="A1543:B1543"/>
    <mergeCell ref="H1543:I1543"/>
    <mergeCell ref="A1544:B1544"/>
    <mergeCell ref="H1544:I1544"/>
    <mergeCell ref="A1538:B1538"/>
    <mergeCell ref="A1539:B1539"/>
    <mergeCell ref="A1540:B1540"/>
    <mergeCell ref="H1540:I1540"/>
    <mergeCell ref="A1541:B1541"/>
    <mergeCell ref="H1541:I1541"/>
    <mergeCell ref="H1534:I1534"/>
    <mergeCell ref="A1535:B1535"/>
    <mergeCell ref="H1535:I1535"/>
    <mergeCell ref="A1536:B1536"/>
    <mergeCell ref="H1536:I1536"/>
    <mergeCell ref="A1537:B1537"/>
    <mergeCell ref="A1529:B1529"/>
    <mergeCell ref="A1530:B1530"/>
    <mergeCell ref="A1531:B1531"/>
    <mergeCell ref="A1532:B1532"/>
    <mergeCell ref="A1533:B1533"/>
    <mergeCell ref="A1534:B1534"/>
    <mergeCell ref="A1524:B1524"/>
    <mergeCell ref="H1524:I1524"/>
    <mergeCell ref="A1525:B1525"/>
    <mergeCell ref="A1526:B1526"/>
    <mergeCell ref="A1527:B1527"/>
    <mergeCell ref="A1528:B1528"/>
    <mergeCell ref="A1521:B1521"/>
    <mergeCell ref="H1521:I1521"/>
    <mergeCell ref="A1522:B1522"/>
    <mergeCell ref="H1522:I1522"/>
    <mergeCell ref="A1523:B1523"/>
    <mergeCell ref="H1523:I1523"/>
    <mergeCell ref="A1518:B1518"/>
    <mergeCell ref="H1518:I1518"/>
    <mergeCell ref="A1519:B1519"/>
    <mergeCell ref="H1519:I1519"/>
    <mergeCell ref="A1520:B1520"/>
    <mergeCell ref="H1520:I1520"/>
    <mergeCell ref="A1513:B1513"/>
    <mergeCell ref="A1514:B1514"/>
    <mergeCell ref="A1515:B1515"/>
    <mergeCell ref="A1516:B1516"/>
    <mergeCell ref="H1516:I1516"/>
    <mergeCell ref="A1517:B1517"/>
    <mergeCell ref="H1517:I1517"/>
    <mergeCell ref="A1510:B1510"/>
    <mergeCell ref="H1510:I1510"/>
    <mergeCell ref="A1511:B1511"/>
    <mergeCell ref="H1511:I1511"/>
    <mergeCell ref="A1512:B1512"/>
    <mergeCell ref="H1512:I1512"/>
    <mergeCell ref="A1507:B1507"/>
    <mergeCell ref="H1507:I1507"/>
    <mergeCell ref="A1508:B1508"/>
    <mergeCell ref="H1508:I1508"/>
    <mergeCell ref="A1509:B1509"/>
    <mergeCell ref="H1509:I1509"/>
    <mergeCell ref="A1504:B1504"/>
    <mergeCell ref="H1504:I1504"/>
    <mergeCell ref="A1505:B1505"/>
    <mergeCell ref="H1505:I1505"/>
    <mergeCell ref="A1506:B1506"/>
    <mergeCell ref="H1506:I1506"/>
    <mergeCell ref="A1500:B1500"/>
    <mergeCell ref="A1501:B1501"/>
    <mergeCell ref="H1501:I1501"/>
    <mergeCell ref="A1502:B1502"/>
    <mergeCell ref="H1502:I1502"/>
    <mergeCell ref="A1503:B1503"/>
    <mergeCell ref="H1503:I1503"/>
    <mergeCell ref="A1496:B1496"/>
    <mergeCell ref="H1496:I1496"/>
    <mergeCell ref="A1497:B1497"/>
    <mergeCell ref="H1497:I1497"/>
    <mergeCell ref="A1498:B1498"/>
    <mergeCell ref="A1499:B1499"/>
    <mergeCell ref="A1493:B1493"/>
    <mergeCell ref="H1493:I1493"/>
    <mergeCell ref="A1494:B1494"/>
    <mergeCell ref="H1494:I1494"/>
    <mergeCell ref="A1495:B1495"/>
    <mergeCell ref="H1495:I1495"/>
    <mergeCell ref="A1490:B1490"/>
    <mergeCell ref="H1490:I1490"/>
    <mergeCell ref="A1491:B1491"/>
    <mergeCell ref="H1491:I1491"/>
    <mergeCell ref="A1492:B1492"/>
    <mergeCell ref="H1492:I1492"/>
    <mergeCell ref="A1487:B1487"/>
    <mergeCell ref="H1487:I1487"/>
    <mergeCell ref="A1488:B1488"/>
    <mergeCell ref="H1488:I1488"/>
    <mergeCell ref="A1489:B1489"/>
    <mergeCell ref="H1489:I1489"/>
    <mergeCell ref="A1484:B1484"/>
    <mergeCell ref="H1484:I1484"/>
    <mergeCell ref="A1485:B1485"/>
    <mergeCell ref="H1485:I1485"/>
    <mergeCell ref="A1486:B1486"/>
    <mergeCell ref="H1486:I1486"/>
    <mergeCell ref="A1481:B1481"/>
    <mergeCell ref="H1481:I1481"/>
    <mergeCell ref="A1482:B1482"/>
    <mergeCell ref="H1482:I1482"/>
    <mergeCell ref="A1483:B1483"/>
    <mergeCell ref="H1483:I1483"/>
    <mergeCell ref="A1476:B1476"/>
    <mergeCell ref="H1476:I1476"/>
    <mergeCell ref="A1477:B1477"/>
    <mergeCell ref="A1478:B1478"/>
    <mergeCell ref="A1479:B1479"/>
    <mergeCell ref="A1480:B1480"/>
    <mergeCell ref="H1480:I1480"/>
    <mergeCell ref="A1471:B1471"/>
    <mergeCell ref="A1472:B1472"/>
    <mergeCell ref="A1473:B1473"/>
    <mergeCell ref="A1474:B1474"/>
    <mergeCell ref="H1474:I1474"/>
    <mergeCell ref="A1475:B1475"/>
    <mergeCell ref="H1475:I1475"/>
    <mergeCell ref="A1465:B1465"/>
    <mergeCell ref="A1466:B1466"/>
    <mergeCell ref="A1467:B1467"/>
    <mergeCell ref="A1468:B1468"/>
    <mergeCell ref="A1469:B1469"/>
    <mergeCell ref="A1470:B1470"/>
    <mergeCell ref="A1462:B1462"/>
    <mergeCell ref="H1462:I1462"/>
    <mergeCell ref="A1463:B1463"/>
    <mergeCell ref="H1463:I1463"/>
    <mergeCell ref="A1464:B1464"/>
    <mergeCell ref="H1464:I1464"/>
    <mergeCell ref="A1459:B1459"/>
    <mergeCell ref="H1459:I1459"/>
    <mergeCell ref="A1460:B1460"/>
    <mergeCell ref="H1460:I1460"/>
    <mergeCell ref="A1461:B1461"/>
    <mergeCell ref="H1461:I1461"/>
    <mergeCell ref="A1455:B1455"/>
    <mergeCell ref="A1456:B1456"/>
    <mergeCell ref="H1456:I1456"/>
    <mergeCell ref="A1457:B1457"/>
    <mergeCell ref="H1457:I1457"/>
    <mergeCell ref="A1458:B1458"/>
    <mergeCell ref="H1458:I1458"/>
    <mergeCell ref="A1451:B1451"/>
    <mergeCell ref="H1451:I1451"/>
    <mergeCell ref="A1452:B1452"/>
    <mergeCell ref="H1452:I1452"/>
    <mergeCell ref="A1453:B1453"/>
    <mergeCell ref="A1454:B1454"/>
    <mergeCell ref="A1448:B1448"/>
    <mergeCell ref="H1448:I1448"/>
    <mergeCell ref="A1449:B1449"/>
    <mergeCell ref="H1449:I1449"/>
    <mergeCell ref="A1450:B1450"/>
    <mergeCell ref="H1450:I1450"/>
    <mergeCell ref="A1443:B1443"/>
    <mergeCell ref="A1444:B1444"/>
    <mergeCell ref="A1445:B1445"/>
    <mergeCell ref="A1446:B1446"/>
    <mergeCell ref="A1447:B1447"/>
    <mergeCell ref="H1447:I1447"/>
    <mergeCell ref="A1439:B1439"/>
    <mergeCell ref="H1439:I1439"/>
    <mergeCell ref="A1440:B1440"/>
    <mergeCell ref="H1440:I1440"/>
    <mergeCell ref="A1441:B1441"/>
    <mergeCell ref="A1442:B1442"/>
    <mergeCell ref="A1434:B1434"/>
    <mergeCell ref="A1435:B1435"/>
    <mergeCell ref="A1436:B1436"/>
    <mergeCell ref="A1437:B1437"/>
    <mergeCell ref="A1438:B1438"/>
    <mergeCell ref="H1438:I1438"/>
    <mergeCell ref="A1430:B1430"/>
    <mergeCell ref="H1430:I1430"/>
    <mergeCell ref="A1431:B1431"/>
    <mergeCell ref="H1431:I1431"/>
    <mergeCell ref="A1432:B1432"/>
    <mergeCell ref="A1433:B1433"/>
    <mergeCell ref="A1425:B1425"/>
    <mergeCell ref="H1425:I1425"/>
    <mergeCell ref="A1426:B1426"/>
    <mergeCell ref="A1427:B1427"/>
    <mergeCell ref="A1428:B1428"/>
    <mergeCell ref="A1429:B1429"/>
    <mergeCell ref="H1429:I1429"/>
    <mergeCell ref="A1422:B1422"/>
    <mergeCell ref="H1422:I1422"/>
    <mergeCell ref="A1423:B1423"/>
    <mergeCell ref="H1423:I1423"/>
    <mergeCell ref="A1424:B1424"/>
    <mergeCell ref="H1424:I1424"/>
    <mergeCell ref="A1419:B1419"/>
    <mergeCell ref="H1419:I1419"/>
    <mergeCell ref="A1420:B1420"/>
    <mergeCell ref="H1420:I1420"/>
    <mergeCell ref="A1421:B1421"/>
    <mergeCell ref="H1421:I1421"/>
    <mergeCell ref="A1416:B1416"/>
    <mergeCell ref="H1416:I1416"/>
    <mergeCell ref="A1417:B1417"/>
    <mergeCell ref="H1417:I1417"/>
    <mergeCell ref="A1418:B1418"/>
    <mergeCell ref="H1418:I1418"/>
    <mergeCell ref="A1413:B1413"/>
    <mergeCell ref="H1413:I1413"/>
    <mergeCell ref="A1414:B1414"/>
    <mergeCell ref="H1414:I1414"/>
    <mergeCell ref="A1415:B1415"/>
    <mergeCell ref="H1415:I1415"/>
    <mergeCell ref="A1410:B1410"/>
    <mergeCell ref="H1410:I1410"/>
    <mergeCell ref="A1411:B1411"/>
    <mergeCell ref="H1411:I1411"/>
    <mergeCell ref="A1412:B1412"/>
    <mergeCell ref="H1412:I1412"/>
    <mergeCell ref="A1406:B1406"/>
    <mergeCell ref="A1407:B1407"/>
    <mergeCell ref="A1408:B1408"/>
    <mergeCell ref="H1408:I1408"/>
    <mergeCell ref="A1409:B1409"/>
    <mergeCell ref="H1409:I1409"/>
    <mergeCell ref="A1401:B1401"/>
    <mergeCell ref="H1401:I1401"/>
    <mergeCell ref="A1402:B1402"/>
    <mergeCell ref="A1403:B1403"/>
    <mergeCell ref="A1404:B1404"/>
    <mergeCell ref="A1405:B1405"/>
    <mergeCell ref="A1396:B1396"/>
    <mergeCell ref="A1397:B1397"/>
    <mergeCell ref="A1398:B1398"/>
    <mergeCell ref="A1399:B1399"/>
    <mergeCell ref="H1399:I1399"/>
    <mergeCell ref="A1400:B1400"/>
    <mergeCell ref="H1400:I1400"/>
    <mergeCell ref="A1393:B1393"/>
    <mergeCell ref="H1393:I1393"/>
    <mergeCell ref="A1394:B1394"/>
    <mergeCell ref="H1394:I1394"/>
    <mergeCell ref="A1395:B1395"/>
    <mergeCell ref="H1395:I1395"/>
    <mergeCell ref="A1387:B1387"/>
    <mergeCell ref="A1388:B1388"/>
    <mergeCell ref="A1389:B1389"/>
    <mergeCell ref="A1390:B1390"/>
    <mergeCell ref="A1391:B1391"/>
    <mergeCell ref="A1392:B1392"/>
    <mergeCell ref="H1382:I1382"/>
    <mergeCell ref="A1383:B1383"/>
    <mergeCell ref="A1384:B1384"/>
    <mergeCell ref="A1385:B1385"/>
    <mergeCell ref="H1385:I1385"/>
    <mergeCell ref="A1386:B1386"/>
    <mergeCell ref="H1386:I1386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367:B1367"/>
    <mergeCell ref="A1368:B1368"/>
    <mergeCell ref="H1368:I1368"/>
    <mergeCell ref="A1369:B1369"/>
    <mergeCell ref="H1369:I1369"/>
    <mergeCell ref="A1370:B1370"/>
    <mergeCell ref="H1370:I1370"/>
    <mergeCell ref="A1363:B1363"/>
    <mergeCell ref="H1363:I1363"/>
    <mergeCell ref="A1364:B1364"/>
    <mergeCell ref="H1364:I1364"/>
    <mergeCell ref="A1365:B1365"/>
    <mergeCell ref="A1366:B1366"/>
    <mergeCell ref="A1360:B1360"/>
    <mergeCell ref="H1360:I1360"/>
    <mergeCell ref="A1361:B1361"/>
    <mergeCell ref="H1361:I1361"/>
    <mergeCell ref="A1362:B1362"/>
    <mergeCell ref="H1362:I1362"/>
    <mergeCell ref="A1355:B1355"/>
    <mergeCell ref="A1356:B1356"/>
    <mergeCell ref="A1357:B1357"/>
    <mergeCell ref="A1358:B1358"/>
    <mergeCell ref="A1359:B1359"/>
    <mergeCell ref="H1359:I1359"/>
    <mergeCell ref="A1352:B1352"/>
    <mergeCell ref="H1352:I1352"/>
    <mergeCell ref="A1353:B1353"/>
    <mergeCell ref="H1353:I1353"/>
    <mergeCell ref="A1354:B1354"/>
    <mergeCell ref="H1354:I1354"/>
    <mergeCell ref="A1349:B1349"/>
    <mergeCell ref="H1349:I1349"/>
    <mergeCell ref="A1350:B1350"/>
    <mergeCell ref="H1350:I1350"/>
    <mergeCell ref="A1351:B1351"/>
    <mergeCell ref="H1351:I1351"/>
    <mergeCell ref="A1346:B1346"/>
    <mergeCell ref="H1346:I1346"/>
    <mergeCell ref="A1347:B1347"/>
    <mergeCell ref="H1347:I1347"/>
    <mergeCell ref="A1348:B1348"/>
    <mergeCell ref="H1348:I1348"/>
    <mergeCell ref="A1341:B1341"/>
    <mergeCell ref="A1342:B1342"/>
    <mergeCell ref="A1343:B1343"/>
    <mergeCell ref="A1344:B1344"/>
    <mergeCell ref="H1344:I1344"/>
    <mergeCell ref="A1345:B1345"/>
    <mergeCell ref="H1345:I1345"/>
    <mergeCell ref="A1336:B1336"/>
    <mergeCell ref="H1336:I1336"/>
    <mergeCell ref="A1337:B1337"/>
    <mergeCell ref="A1338:B1338"/>
    <mergeCell ref="A1339:B1339"/>
    <mergeCell ref="A1340:B1340"/>
    <mergeCell ref="A1333:B1333"/>
    <mergeCell ref="H1333:I1333"/>
    <mergeCell ref="A1334:B1334"/>
    <mergeCell ref="H1334:I1334"/>
    <mergeCell ref="A1335:B1335"/>
    <mergeCell ref="H1335:I1335"/>
    <mergeCell ref="A1330:B1330"/>
    <mergeCell ref="H1330:I1330"/>
    <mergeCell ref="A1331:B1331"/>
    <mergeCell ref="H1331:I1331"/>
    <mergeCell ref="A1332:B1332"/>
    <mergeCell ref="H1332:I1332"/>
    <mergeCell ref="A1327:B1327"/>
    <mergeCell ref="H1327:I1327"/>
    <mergeCell ref="A1328:B1328"/>
    <mergeCell ref="H1328:I1328"/>
    <mergeCell ref="A1329:B1329"/>
    <mergeCell ref="H1329:I1329"/>
    <mergeCell ref="A1324:B1324"/>
    <mergeCell ref="H1324:I1324"/>
    <mergeCell ref="A1325:B1325"/>
    <mergeCell ref="H1325:I1325"/>
    <mergeCell ref="A1326:B1326"/>
    <mergeCell ref="H1326:I1326"/>
    <mergeCell ref="A1319:B1319"/>
    <mergeCell ref="A1320:B1320"/>
    <mergeCell ref="A1321:B1321"/>
    <mergeCell ref="A1322:B1322"/>
    <mergeCell ref="H1322:I1322"/>
    <mergeCell ref="A1323:B1323"/>
    <mergeCell ref="H1323:I1323"/>
    <mergeCell ref="A1313:B1313"/>
    <mergeCell ref="A1314:B1314"/>
    <mergeCell ref="A1315:B1315"/>
    <mergeCell ref="A1316:B1316"/>
    <mergeCell ref="A1317:B1317"/>
    <mergeCell ref="A1318:B1318"/>
    <mergeCell ref="A1310:B1310"/>
    <mergeCell ref="H1310:I1310"/>
    <mergeCell ref="A1311:B1311"/>
    <mergeCell ref="H1311:I1311"/>
    <mergeCell ref="A1312:B1312"/>
    <mergeCell ref="H1312:I1312"/>
    <mergeCell ref="A1307:B1307"/>
    <mergeCell ref="H1307:I1307"/>
    <mergeCell ref="A1308:B1308"/>
    <mergeCell ref="H1308:I1308"/>
    <mergeCell ref="A1309:B1309"/>
    <mergeCell ref="H1309:I1309"/>
    <mergeCell ref="A1304:B1304"/>
    <mergeCell ref="H1304:I1304"/>
    <mergeCell ref="A1305:B1305"/>
    <mergeCell ref="H1305:I1305"/>
    <mergeCell ref="A1306:B1306"/>
    <mergeCell ref="H1306:I1306"/>
    <mergeCell ref="A1301:B1301"/>
    <mergeCell ref="H1301:I1301"/>
    <mergeCell ref="A1302:B1302"/>
    <mergeCell ref="H1302:I1302"/>
    <mergeCell ref="A1303:B1303"/>
    <mergeCell ref="H1303:I1303"/>
    <mergeCell ref="A1295:B1295"/>
    <mergeCell ref="A1296:B1296"/>
    <mergeCell ref="A1297:B1297"/>
    <mergeCell ref="A1298:B1298"/>
    <mergeCell ref="A1299:B1299"/>
    <mergeCell ref="A1300:B1300"/>
    <mergeCell ref="A1289:B1289"/>
    <mergeCell ref="A1290:B1290"/>
    <mergeCell ref="A1291:B1291"/>
    <mergeCell ref="A1292:B1292"/>
    <mergeCell ref="A1293:B1293"/>
    <mergeCell ref="A1294:B1294"/>
    <mergeCell ref="A1283:B1283"/>
    <mergeCell ref="A1284:B1284"/>
    <mergeCell ref="A1285:B1285"/>
    <mergeCell ref="A1286:B1286"/>
    <mergeCell ref="A1287:B1287"/>
    <mergeCell ref="A1288:B1288"/>
    <mergeCell ref="A1280:B1280"/>
    <mergeCell ref="H1280:I1280"/>
    <mergeCell ref="A1281:B1281"/>
    <mergeCell ref="H1281:I1281"/>
    <mergeCell ref="A1282:B1282"/>
    <mergeCell ref="H1282:I1282"/>
    <mergeCell ref="A1274:B1274"/>
    <mergeCell ref="A1275:B1275"/>
    <mergeCell ref="A1276:B1276"/>
    <mergeCell ref="A1277:B1277"/>
    <mergeCell ref="A1278:B1278"/>
    <mergeCell ref="A1279:B1279"/>
    <mergeCell ref="A1268:B1268"/>
    <mergeCell ref="A1269:B1269"/>
    <mergeCell ref="A1270:B1270"/>
    <mergeCell ref="A1271:B1271"/>
    <mergeCell ref="A1272:B1272"/>
    <mergeCell ref="A1273:B1273"/>
    <mergeCell ref="A1265:B1265"/>
    <mergeCell ref="H1265:I1265"/>
    <mergeCell ref="A1266:B1266"/>
    <mergeCell ref="H1266:I1266"/>
    <mergeCell ref="A1267:B1267"/>
    <mergeCell ref="H1267:I1267"/>
    <mergeCell ref="A1262:B1262"/>
    <mergeCell ref="H1262:I1262"/>
    <mergeCell ref="A1263:B1263"/>
    <mergeCell ref="H1263:I1263"/>
    <mergeCell ref="A1264:B1264"/>
    <mergeCell ref="H1264:I1264"/>
    <mergeCell ref="A1259:B1259"/>
    <mergeCell ref="H1259:I1259"/>
    <mergeCell ref="A1260:B1260"/>
    <mergeCell ref="H1260:I1260"/>
    <mergeCell ref="A1261:B1261"/>
    <mergeCell ref="H1261:I1261"/>
    <mergeCell ref="A1253:B1253"/>
    <mergeCell ref="A1254:B1254"/>
    <mergeCell ref="A1255:B1255"/>
    <mergeCell ref="A1256:B1256"/>
    <mergeCell ref="A1257:B1257"/>
    <mergeCell ref="A1258:B1258"/>
    <mergeCell ref="A1250:B1250"/>
    <mergeCell ref="H1250:I1250"/>
    <mergeCell ref="A1251:B1251"/>
    <mergeCell ref="H1251:I1251"/>
    <mergeCell ref="A1252:B1252"/>
    <mergeCell ref="H1252:I1252"/>
    <mergeCell ref="A1244:B1244"/>
    <mergeCell ref="A1245:B1245"/>
    <mergeCell ref="A1246:B1246"/>
    <mergeCell ref="A1247:B1247"/>
    <mergeCell ref="A1248:B1248"/>
    <mergeCell ref="A1249:B1249"/>
    <mergeCell ref="A1241:B1241"/>
    <mergeCell ref="H1241:I1241"/>
    <mergeCell ref="A1242:B1242"/>
    <mergeCell ref="H1242:I1242"/>
    <mergeCell ref="A1243:B1243"/>
    <mergeCell ref="H1243:I1243"/>
    <mergeCell ref="A1237:B1237"/>
    <mergeCell ref="A1238:B1238"/>
    <mergeCell ref="A1239:B1239"/>
    <mergeCell ref="H1239:I1239"/>
    <mergeCell ref="A1240:B1240"/>
    <mergeCell ref="H1240:I1240"/>
    <mergeCell ref="A1234:B1234"/>
    <mergeCell ref="H1234:I1234"/>
    <mergeCell ref="A1235:B1235"/>
    <mergeCell ref="H1235:I1235"/>
    <mergeCell ref="A1236:B1236"/>
    <mergeCell ref="H1236:I1236"/>
    <mergeCell ref="A1231:B1231"/>
    <mergeCell ref="H1231:I1231"/>
    <mergeCell ref="A1232:B1232"/>
    <mergeCell ref="H1232:I1232"/>
    <mergeCell ref="A1233:B1233"/>
    <mergeCell ref="H1233:I1233"/>
    <mergeCell ref="A1228:B1228"/>
    <mergeCell ref="H1228:I1228"/>
    <mergeCell ref="A1229:B1229"/>
    <mergeCell ref="H1229:I1229"/>
    <mergeCell ref="A1230:B1230"/>
    <mergeCell ref="H1230:I1230"/>
    <mergeCell ref="A1225:B1225"/>
    <mergeCell ref="H1225:I1225"/>
    <mergeCell ref="A1226:B1226"/>
    <mergeCell ref="H1226:I1226"/>
    <mergeCell ref="A1227:B1227"/>
    <mergeCell ref="H1227:I1227"/>
    <mergeCell ref="A1221:B1221"/>
    <mergeCell ref="A1222:B1222"/>
    <mergeCell ref="H1222:I1222"/>
    <mergeCell ref="A1223:B1223"/>
    <mergeCell ref="H1223:I1223"/>
    <mergeCell ref="A1224:B1224"/>
    <mergeCell ref="H1224:I1224"/>
    <mergeCell ref="A1217:B1217"/>
    <mergeCell ref="H1217:I1217"/>
    <mergeCell ref="A1218:B1218"/>
    <mergeCell ref="H1218:I1218"/>
    <mergeCell ref="A1219:B1219"/>
    <mergeCell ref="A1220:B1220"/>
    <mergeCell ref="A1214:B1214"/>
    <mergeCell ref="H1214:I1214"/>
    <mergeCell ref="A1215:B1215"/>
    <mergeCell ref="H1215:I1215"/>
    <mergeCell ref="A1216:B1216"/>
    <mergeCell ref="H1216:I1216"/>
    <mergeCell ref="A1209:B1209"/>
    <mergeCell ref="H1209:I1209"/>
    <mergeCell ref="A1210:B1210"/>
    <mergeCell ref="A1211:B1211"/>
    <mergeCell ref="A1212:B1212"/>
    <mergeCell ref="A1213:B1213"/>
    <mergeCell ref="H1213:I1213"/>
    <mergeCell ref="A1205:B1205"/>
    <mergeCell ref="H1205:I1205"/>
    <mergeCell ref="A1206:B1206"/>
    <mergeCell ref="A1207:B1207"/>
    <mergeCell ref="A1208:B1208"/>
    <mergeCell ref="H1208:I1208"/>
    <mergeCell ref="A1202:B1202"/>
    <mergeCell ref="H1202:I1202"/>
    <mergeCell ref="A1203:B1203"/>
    <mergeCell ref="H1203:I1203"/>
    <mergeCell ref="A1204:B1204"/>
    <mergeCell ref="H1204:I1204"/>
    <mergeCell ref="A1199:B1199"/>
    <mergeCell ref="H1199:I1199"/>
    <mergeCell ref="A1200:B1200"/>
    <mergeCell ref="H1200:I1200"/>
    <mergeCell ref="A1201:B1201"/>
    <mergeCell ref="H1201:I1201"/>
    <mergeCell ref="A1196:B1196"/>
    <mergeCell ref="H1196:I1196"/>
    <mergeCell ref="A1197:B1197"/>
    <mergeCell ref="H1197:I1197"/>
    <mergeCell ref="A1198:B1198"/>
    <mergeCell ref="H1198:I1198"/>
    <mergeCell ref="A1192:B1192"/>
    <mergeCell ref="A1193:B1193"/>
    <mergeCell ref="H1193:I1193"/>
    <mergeCell ref="A1194:B1194"/>
    <mergeCell ref="H1194:I1194"/>
    <mergeCell ref="A1195:B1195"/>
    <mergeCell ref="H1195:I1195"/>
    <mergeCell ref="A1188:B1188"/>
    <mergeCell ref="H1188:I1188"/>
    <mergeCell ref="A1189:B1189"/>
    <mergeCell ref="H1189:I1189"/>
    <mergeCell ref="A1190:B1190"/>
    <mergeCell ref="A1191:B1191"/>
    <mergeCell ref="H1184:I1184"/>
    <mergeCell ref="A1185:B1185"/>
    <mergeCell ref="H1185:I1185"/>
    <mergeCell ref="A1186:B1186"/>
    <mergeCell ref="H1186:I1186"/>
    <mergeCell ref="A1187:B1187"/>
    <mergeCell ref="H1187:I1187"/>
    <mergeCell ref="A1179:B1179"/>
    <mergeCell ref="A1180:B1180"/>
    <mergeCell ref="A1181:B1181"/>
    <mergeCell ref="A1182:B1182"/>
    <mergeCell ref="A1183:B1183"/>
    <mergeCell ref="A1184:B1184"/>
    <mergeCell ref="H1175:I1175"/>
    <mergeCell ref="A1176:B1176"/>
    <mergeCell ref="H1176:I1176"/>
    <mergeCell ref="A1177:B1177"/>
    <mergeCell ref="H1177:I1177"/>
    <mergeCell ref="A1178:B1178"/>
    <mergeCell ref="A1170:B1170"/>
    <mergeCell ref="A1171:B1171"/>
    <mergeCell ref="A1172:B1172"/>
    <mergeCell ref="A1173:B1173"/>
    <mergeCell ref="A1174:B1174"/>
    <mergeCell ref="A1175:B1175"/>
    <mergeCell ref="A1167:B1167"/>
    <mergeCell ref="H1167:I1167"/>
    <mergeCell ref="A1168:B1168"/>
    <mergeCell ref="H1168:I1168"/>
    <mergeCell ref="A1169:B1169"/>
    <mergeCell ref="H1169:I1169"/>
    <mergeCell ref="A1162:B1162"/>
    <mergeCell ref="H1162:I1162"/>
    <mergeCell ref="A1163:B1163"/>
    <mergeCell ref="A1164:B1164"/>
    <mergeCell ref="A1165:B1165"/>
    <mergeCell ref="A1166:B1166"/>
    <mergeCell ref="A1158:B1158"/>
    <mergeCell ref="A1159:B1159"/>
    <mergeCell ref="H1159:I1159"/>
    <mergeCell ref="A1160:B1160"/>
    <mergeCell ref="H1160:I1160"/>
    <mergeCell ref="A1161:B1161"/>
    <mergeCell ref="H1161:I1161"/>
    <mergeCell ref="A1154:B1154"/>
    <mergeCell ref="H1154:I1154"/>
    <mergeCell ref="A1155:B1155"/>
    <mergeCell ref="H1155:I1155"/>
    <mergeCell ref="A1156:B1156"/>
    <mergeCell ref="A1157:B1157"/>
    <mergeCell ref="A1151:B1151"/>
    <mergeCell ref="H1151:I1151"/>
    <mergeCell ref="A1152:B1152"/>
    <mergeCell ref="H1152:I1152"/>
    <mergeCell ref="A1153:B1153"/>
    <mergeCell ref="H1153:I1153"/>
    <mergeCell ref="A1146:B1146"/>
    <mergeCell ref="A1147:B1147"/>
    <mergeCell ref="A1148:B1148"/>
    <mergeCell ref="A1149:B1149"/>
    <mergeCell ref="A1150:B1150"/>
    <mergeCell ref="H1150:I1150"/>
    <mergeCell ref="A1141:B1141"/>
    <mergeCell ref="A1142:B1142"/>
    <mergeCell ref="A1143:B1143"/>
    <mergeCell ref="H1143:I1143"/>
    <mergeCell ref="A1144:B1144"/>
    <mergeCell ref="A1145:B1145"/>
    <mergeCell ref="A1135:B1135"/>
    <mergeCell ref="A1136:B1136"/>
    <mergeCell ref="A1137:B1137"/>
    <mergeCell ref="A1138:B1138"/>
    <mergeCell ref="A1139:B1139"/>
    <mergeCell ref="A1140:B1140"/>
    <mergeCell ref="A1129:B1129"/>
    <mergeCell ref="A1130:B1130"/>
    <mergeCell ref="A1131:B1131"/>
    <mergeCell ref="A1132:B1132"/>
    <mergeCell ref="A1133:B1133"/>
    <mergeCell ref="A1134:B1134"/>
    <mergeCell ref="A1125:B1125"/>
    <mergeCell ref="H1125:I1125"/>
    <mergeCell ref="A1126:B1126"/>
    <mergeCell ref="H1126:I1126"/>
    <mergeCell ref="A1127:B1127"/>
    <mergeCell ref="A1128:B1128"/>
    <mergeCell ref="A1122:B1122"/>
    <mergeCell ref="H1122:I1122"/>
    <mergeCell ref="A1123:B1123"/>
    <mergeCell ref="H1123:I1123"/>
    <mergeCell ref="A1124:B1124"/>
    <mergeCell ref="H1124:I1124"/>
    <mergeCell ref="A1117:B1117"/>
    <mergeCell ref="H1117:I1117"/>
    <mergeCell ref="A1118:B1118"/>
    <mergeCell ref="A1119:B1119"/>
    <mergeCell ref="A1120:B1120"/>
    <mergeCell ref="A1121:B1121"/>
    <mergeCell ref="H1121:I1121"/>
    <mergeCell ref="A1114:B1114"/>
    <mergeCell ref="H1114:I1114"/>
    <mergeCell ref="A1115:B1115"/>
    <mergeCell ref="H1115:I1115"/>
    <mergeCell ref="A1116:B1116"/>
    <mergeCell ref="H1116:I1116"/>
    <mergeCell ref="A1109:B1109"/>
    <mergeCell ref="H1109:I1109"/>
    <mergeCell ref="A1110:B1110"/>
    <mergeCell ref="A1111:B1111"/>
    <mergeCell ref="A1112:B1112"/>
    <mergeCell ref="A1113:B1113"/>
    <mergeCell ref="H1113:I1113"/>
    <mergeCell ref="A1105:B1105"/>
    <mergeCell ref="A1106:B1106"/>
    <mergeCell ref="A1107:B1107"/>
    <mergeCell ref="H1107:I1107"/>
    <mergeCell ref="A1108:B1108"/>
    <mergeCell ref="H1108:I1108"/>
    <mergeCell ref="A1100:B1100"/>
    <mergeCell ref="H1100:I1100"/>
    <mergeCell ref="A1101:B1101"/>
    <mergeCell ref="A1102:B1102"/>
    <mergeCell ref="A1103:B1103"/>
    <mergeCell ref="A1104:B1104"/>
    <mergeCell ref="A1094:B1094"/>
    <mergeCell ref="A1095:B1095"/>
    <mergeCell ref="A1096:B1096"/>
    <mergeCell ref="A1097:B1097"/>
    <mergeCell ref="A1098:B1098"/>
    <mergeCell ref="A1099:B1099"/>
    <mergeCell ref="A1088:B1088"/>
    <mergeCell ref="A1089:B1089"/>
    <mergeCell ref="A1090:B1090"/>
    <mergeCell ref="A1091:B1091"/>
    <mergeCell ref="A1092:B1092"/>
    <mergeCell ref="A1093:B1093"/>
    <mergeCell ref="A1084:B1084"/>
    <mergeCell ref="H1084:I1084"/>
    <mergeCell ref="A1085:B1085"/>
    <mergeCell ref="A1086:B1086"/>
    <mergeCell ref="A1087:B1087"/>
    <mergeCell ref="A1080:B1080"/>
    <mergeCell ref="A1081:B1081"/>
    <mergeCell ref="A1082:B1082"/>
    <mergeCell ref="H1082:I1082"/>
    <mergeCell ref="A1083:B1083"/>
    <mergeCell ref="H1083:I1083"/>
    <mergeCell ref="A1074:B1074"/>
    <mergeCell ref="A1075:B1075"/>
    <mergeCell ref="A1076:B1076"/>
    <mergeCell ref="A1077:B1077"/>
    <mergeCell ref="A1078:B1078"/>
    <mergeCell ref="A1079:B1079"/>
    <mergeCell ref="A1068:B1068"/>
    <mergeCell ref="A1069:B1069"/>
    <mergeCell ref="A1070:B1070"/>
    <mergeCell ref="A1071:B1071"/>
    <mergeCell ref="A1072:B1072"/>
    <mergeCell ref="A1073:B1073"/>
    <mergeCell ref="A1062:B1062"/>
    <mergeCell ref="A1063:B1063"/>
    <mergeCell ref="A1064:B1064"/>
    <mergeCell ref="A1065:B1065"/>
    <mergeCell ref="A1066:B1066"/>
    <mergeCell ref="A1067:B1067"/>
    <mergeCell ref="A1056:B1056"/>
    <mergeCell ref="A1057:B1057"/>
    <mergeCell ref="A1058:B1058"/>
    <mergeCell ref="A1059:B1059"/>
    <mergeCell ref="A1060:B1060"/>
    <mergeCell ref="A1061:B1061"/>
    <mergeCell ref="A1050:B1050"/>
    <mergeCell ref="A1051:B1051"/>
    <mergeCell ref="A1052:B1052"/>
    <mergeCell ref="A1053:B1053"/>
    <mergeCell ref="A1054:B1054"/>
    <mergeCell ref="A1055:B1055"/>
    <mergeCell ref="A1044:B1044"/>
    <mergeCell ref="A1045:B1045"/>
    <mergeCell ref="A1046:B1046"/>
    <mergeCell ref="A1047:B1047"/>
    <mergeCell ref="A1048:B1048"/>
    <mergeCell ref="A1049:B1049"/>
    <mergeCell ref="A1038:B1038"/>
    <mergeCell ref="A1039:B1039"/>
    <mergeCell ref="A1040:B1040"/>
    <mergeCell ref="A1041:B1041"/>
    <mergeCell ref="A1042:B1042"/>
    <mergeCell ref="A1043:B1043"/>
    <mergeCell ref="A1032:B1032"/>
    <mergeCell ref="A1033:B1033"/>
    <mergeCell ref="A1034:B1034"/>
    <mergeCell ref="A1035:B1035"/>
    <mergeCell ref="A1036:B1036"/>
    <mergeCell ref="A1037:B1037"/>
    <mergeCell ref="A1026:B1026"/>
    <mergeCell ref="A1027:B1027"/>
    <mergeCell ref="A1028:B1028"/>
    <mergeCell ref="A1029:B1029"/>
    <mergeCell ref="A1030:B1030"/>
    <mergeCell ref="A1031:B1031"/>
    <mergeCell ref="A1020:B1020"/>
    <mergeCell ref="A1021:B1021"/>
    <mergeCell ref="A1022:B1022"/>
    <mergeCell ref="A1023:B1023"/>
    <mergeCell ref="A1024:B1024"/>
    <mergeCell ref="A1025:B1025"/>
    <mergeCell ref="A1014:B1014"/>
    <mergeCell ref="A1015:B1015"/>
    <mergeCell ref="A1016:B1016"/>
    <mergeCell ref="A1017:B1017"/>
    <mergeCell ref="A1018:B1018"/>
    <mergeCell ref="A1019:B1019"/>
    <mergeCell ref="A1008:B1008"/>
    <mergeCell ref="A1009:B1009"/>
    <mergeCell ref="A1010:B1010"/>
    <mergeCell ref="A1011:B1011"/>
    <mergeCell ref="A1012:B1012"/>
    <mergeCell ref="A1013:B1013"/>
    <mergeCell ref="A1002:B1002"/>
    <mergeCell ref="A1003:B1003"/>
    <mergeCell ref="A1004:B1004"/>
    <mergeCell ref="A1005:B1005"/>
    <mergeCell ref="A1006:B1006"/>
    <mergeCell ref="A1007:B1007"/>
    <mergeCell ref="A996:B996"/>
    <mergeCell ref="A997:B997"/>
    <mergeCell ref="A998:B998"/>
    <mergeCell ref="A999:B999"/>
    <mergeCell ref="A1000:B1000"/>
    <mergeCell ref="A1001:B1001"/>
    <mergeCell ref="A990:B990"/>
    <mergeCell ref="A991:B991"/>
    <mergeCell ref="A992:B992"/>
    <mergeCell ref="A993:B993"/>
    <mergeCell ref="A994:B994"/>
    <mergeCell ref="A995:B995"/>
    <mergeCell ref="A984:B984"/>
    <mergeCell ref="A985:B985"/>
    <mergeCell ref="A986:B986"/>
    <mergeCell ref="A987:B987"/>
    <mergeCell ref="A988:B988"/>
    <mergeCell ref="A989:B989"/>
    <mergeCell ref="A978:B978"/>
    <mergeCell ref="A979:B979"/>
    <mergeCell ref="A980:B980"/>
    <mergeCell ref="A981:B981"/>
    <mergeCell ref="A982:B982"/>
    <mergeCell ref="A983:B983"/>
    <mergeCell ref="A972:B972"/>
    <mergeCell ref="A973:B973"/>
    <mergeCell ref="A974:B974"/>
    <mergeCell ref="A975:B975"/>
    <mergeCell ref="A976:B976"/>
    <mergeCell ref="A977:B977"/>
    <mergeCell ref="A966:B966"/>
    <mergeCell ref="A967:B967"/>
    <mergeCell ref="A968:B968"/>
    <mergeCell ref="A969:B969"/>
    <mergeCell ref="A970:B970"/>
    <mergeCell ref="A971:B971"/>
    <mergeCell ref="A960:B960"/>
    <mergeCell ref="A961:B961"/>
    <mergeCell ref="A962:B962"/>
    <mergeCell ref="A963:B963"/>
    <mergeCell ref="A964:B964"/>
    <mergeCell ref="A965:B965"/>
    <mergeCell ref="A954:B954"/>
    <mergeCell ref="A955:B955"/>
    <mergeCell ref="A956:B956"/>
    <mergeCell ref="A957:B957"/>
    <mergeCell ref="A958:B958"/>
    <mergeCell ref="A959:B959"/>
    <mergeCell ref="A948:B948"/>
    <mergeCell ref="A949:B949"/>
    <mergeCell ref="A950:B950"/>
    <mergeCell ref="A951:B951"/>
    <mergeCell ref="A952:B952"/>
    <mergeCell ref="A953:B953"/>
    <mergeCell ref="A942:B942"/>
    <mergeCell ref="A943:B943"/>
    <mergeCell ref="A944:B944"/>
    <mergeCell ref="A945:B945"/>
    <mergeCell ref="A946:B946"/>
    <mergeCell ref="A947:B947"/>
    <mergeCell ref="A936:B936"/>
    <mergeCell ref="A937:B937"/>
    <mergeCell ref="A938:B938"/>
    <mergeCell ref="A939:B939"/>
    <mergeCell ref="A940:B940"/>
    <mergeCell ref="A941:B941"/>
    <mergeCell ref="A930:B930"/>
    <mergeCell ref="A931:B931"/>
    <mergeCell ref="A932:B932"/>
    <mergeCell ref="A933:B933"/>
    <mergeCell ref="A934:B934"/>
    <mergeCell ref="A935:B935"/>
    <mergeCell ref="A924:B924"/>
    <mergeCell ref="A925:B925"/>
    <mergeCell ref="A926:B926"/>
    <mergeCell ref="A927:B927"/>
    <mergeCell ref="A928:B928"/>
    <mergeCell ref="A929:B929"/>
    <mergeCell ref="A918:B918"/>
    <mergeCell ref="A919:B919"/>
    <mergeCell ref="A920:B920"/>
    <mergeCell ref="A921:B921"/>
    <mergeCell ref="A922:B922"/>
    <mergeCell ref="A923:B923"/>
    <mergeCell ref="A912:B912"/>
    <mergeCell ref="A913:B913"/>
    <mergeCell ref="A914:B914"/>
    <mergeCell ref="A915:B915"/>
    <mergeCell ref="A916:B916"/>
    <mergeCell ref="A917:B917"/>
    <mergeCell ref="A906:B906"/>
    <mergeCell ref="A907:B907"/>
    <mergeCell ref="A908:B908"/>
    <mergeCell ref="A909:B909"/>
    <mergeCell ref="A910:B910"/>
    <mergeCell ref="A911:B911"/>
    <mergeCell ref="A900:B900"/>
    <mergeCell ref="A901:B901"/>
    <mergeCell ref="A902:B902"/>
    <mergeCell ref="A903:B903"/>
    <mergeCell ref="A904:B904"/>
    <mergeCell ref="A905:B905"/>
    <mergeCell ref="A894:B894"/>
    <mergeCell ref="A895:B895"/>
    <mergeCell ref="A896:B896"/>
    <mergeCell ref="A897:B897"/>
    <mergeCell ref="A898:B898"/>
    <mergeCell ref="A899:B899"/>
    <mergeCell ref="A888:B888"/>
    <mergeCell ref="A889:B889"/>
    <mergeCell ref="A890:B890"/>
    <mergeCell ref="A891:B891"/>
    <mergeCell ref="A892:B892"/>
    <mergeCell ref="A893:B893"/>
    <mergeCell ref="A882:B882"/>
    <mergeCell ref="A883:B883"/>
    <mergeCell ref="A884:B884"/>
    <mergeCell ref="A885:B885"/>
    <mergeCell ref="A886:B886"/>
    <mergeCell ref="A887:B887"/>
    <mergeCell ref="A876:B876"/>
    <mergeCell ref="A877:B877"/>
    <mergeCell ref="A878:B878"/>
    <mergeCell ref="A879:B879"/>
    <mergeCell ref="A880:B880"/>
    <mergeCell ref="A881:B881"/>
    <mergeCell ref="A870:B870"/>
    <mergeCell ref="A871:B871"/>
    <mergeCell ref="A872:B872"/>
    <mergeCell ref="A873:B873"/>
    <mergeCell ref="A874:B874"/>
    <mergeCell ref="A875:B875"/>
    <mergeCell ref="A864:B864"/>
    <mergeCell ref="A865:B865"/>
    <mergeCell ref="A866:B866"/>
    <mergeCell ref="A867:B867"/>
    <mergeCell ref="A868:B868"/>
    <mergeCell ref="A869:B869"/>
    <mergeCell ref="A858:B858"/>
    <mergeCell ref="A859:B859"/>
    <mergeCell ref="A860:B860"/>
    <mergeCell ref="A861:B861"/>
    <mergeCell ref="A862:B862"/>
    <mergeCell ref="A863:B863"/>
    <mergeCell ref="A852:B852"/>
    <mergeCell ref="A853:B853"/>
    <mergeCell ref="A854:B854"/>
    <mergeCell ref="A855:B855"/>
    <mergeCell ref="A856:B856"/>
    <mergeCell ref="A857:B857"/>
    <mergeCell ref="A846:B846"/>
    <mergeCell ref="A847:B847"/>
    <mergeCell ref="A848:B848"/>
    <mergeCell ref="A849:B849"/>
    <mergeCell ref="A850:B850"/>
    <mergeCell ref="A851:B851"/>
    <mergeCell ref="A840:B840"/>
    <mergeCell ref="A841:B841"/>
    <mergeCell ref="A842:B842"/>
    <mergeCell ref="A843:B843"/>
    <mergeCell ref="A844:B844"/>
    <mergeCell ref="A845:B845"/>
    <mergeCell ref="A834:B834"/>
    <mergeCell ref="A835:B835"/>
    <mergeCell ref="A836:B836"/>
    <mergeCell ref="A837:B837"/>
    <mergeCell ref="A838:B838"/>
    <mergeCell ref="A839:B839"/>
    <mergeCell ref="A828:B828"/>
    <mergeCell ref="A829:B829"/>
    <mergeCell ref="A830:B830"/>
    <mergeCell ref="A831:B831"/>
    <mergeCell ref="A832:B832"/>
    <mergeCell ref="A833:B833"/>
    <mergeCell ref="A822:B822"/>
    <mergeCell ref="A823:B823"/>
    <mergeCell ref="A824:B824"/>
    <mergeCell ref="A825:B825"/>
    <mergeCell ref="A826:B826"/>
    <mergeCell ref="A827:B827"/>
    <mergeCell ref="A816:B816"/>
    <mergeCell ref="A817:B817"/>
    <mergeCell ref="A818:B818"/>
    <mergeCell ref="A819:B819"/>
    <mergeCell ref="A820:B820"/>
    <mergeCell ref="A821:B821"/>
    <mergeCell ref="A810:B810"/>
    <mergeCell ref="A811:B811"/>
    <mergeCell ref="A812:B812"/>
    <mergeCell ref="A813:B813"/>
    <mergeCell ref="A814:B814"/>
    <mergeCell ref="A815:B815"/>
    <mergeCell ref="A804:B804"/>
    <mergeCell ref="A805:B805"/>
    <mergeCell ref="A806:B806"/>
    <mergeCell ref="A807:B807"/>
    <mergeCell ref="A808:B808"/>
    <mergeCell ref="A809:B809"/>
    <mergeCell ref="A798:B798"/>
    <mergeCell ref="A799:B799"/>
    <mergeCell ref="A800:B800"/>
    <mergeCell ref="A801:B801"/>
    <mergeCell ref="A802:B802"/>
    <mergeCell ref="A803:B803"/>
    <mergeCell ref="A792:B792"/>
    <mergeCell ref="A793:B793"/>
    <mergeCell ref="A794:B794"/>
    <mergeCell ref="A795:B795"/>
    <mergeCell ref="A796:B796"/>
    <mergeCell ref="A797:B797"/>
    <mergeCell ref="A786:B786"/>
    <mergeCell ref="A787:B787"/>
    <mergeCell ref="A788:B788"/>
    <mergeCell ref="A789:B789"/>
    <mergeCell ref="A790:B790"/>
    <mergeCell ref="A791:B791"/>
    <mergeCell ref="A780:B780"/>
    <mergeCell ref="A781:B781"/>
    <mergeCell ref="A782:B782"/>
    <mergeCell ref="A783:B783"/>
    <mergeCell ref="A784:B784"/>
    <mergeCell ref="A785:B785"/>
    <mergeCell ref="A774:B774"/>
    <mergeCell ref="A775:B775"/>
    <mergeCell ref="A776:B776"/>
    <mergeCell ref="A777:B777"/>
    <mergeCell ref="A778:B778"/>
    <mergeCell ref="A779:B779"/>
    <mergeCell ref="A768:B768"/>
    <mergeCell ref="A769:B769"/>
    <mergeCell ref="A770:B770"/>
    <mergeCell ref="A771:B771"/>
    <mergeCell ref="A772:B772"/>
    <mergeCell ref="A773:B773"/>
    <mergeCell ref="A762:B762"/>
    <mergeCell ref="A763:B763"/>
    <mergeCell ref="A764:B764"/>
    <mergeCell ref="A765:B765"/>
    <mergeCell ref="A766:B766"/>
    <mergeCell ref="A767:B767"/>
    <mergeCell ref="A756:B756"/>
    <mergeCell ref="A757:B757"/>
    <mergeCell ref="A758:B758"/>
    <mergeCell ref="A759:B759"/>
    <mergeCell ref="A760:B760"/>
    <mergeCell ref="A761:B761"/>
    <mergeCell ref="A750:B750"/>
    <mergeCell ref="A751:B751"/>
    <mergeCell ref="A752:B752"/>
    <mergeCell ref="A753:B753"/>
    <mergeCell ref="A754:B754"/>
    <mergeCell ref="A755:B755"/>
    <mergeCell ref="A744:B744"/>
    <mergeCell ref="A745:B745"/>
    <mergeCell ref="A746:B746"/>
    <mergeCell ref="A747:B747"/>
    <mergeCell ref="A748:B748"/>
    <mergeCell ref="A749:B749"/>
    <mergeCell ref="A738:B738"/>
    <mergeCell ref="A739:B739"/>
    <mergeCell ref="A740:B740"/>
    <mergeCell ref="A741:B741"/>
    <mergeCell ref="A742:B742"/>
    <mergeCell ref="A743:B743"/>
    <mergeCell ref="A732:B732"/>
    <mergeCell ref="A733:B733"/>
    <mergeCell ref="A734:B734"/>
    <mergeCell ref="A735:B735"/>
    <mergeCell ref="A736:B736"/>
    <mergeCell ref="A737:B737"/>
    <mergeCell ref="A726:B726"/>
    <mergeCell ref="A727:B727"/>
    <mergeCell ref="A728:B728"/>
    <mergeCell ref="A729:B729"/>
    <mergeCell ref="A730:B730"/>
    <mergeCell ref="A731:B731"/>
    <mergeCell ref="A720:B720"/>
    <mergeCell ref="A721:B721"/>
    <mergeCell ref="A722:B722"/>
    <mergeCell ref="A723:B723"/>
    <mergeCell ref="A724:B724"/>
    <mergeCell ref="A725:B725"/>
    <mergeCell ref="A714:B714"/>
    <mergeCell ref="A715:B715"/>
    <mergeCell ref="A716:B716"/>
    <mergeCell ref="A717:B717"/>
    <mergeCell ref="A718:B718"/>
    <mergeCell ref="A719:B719"/>
    <mergeCell ref="A708:B708"/>
    <mergeCell ref="A709:B709"/>
    <mergeCell ref="A710:B710"/>
    <mergeCell ref="A711:B711"/>
    <mergeCell ref="A712:B712"/>
    <mergeCell ref="A713:B713"/>
    <mergeCell ref="A702:B702"/>
    <mergeCell ref="A703:B703"/>
    <mergeCell ref="A704:B704"/>
    <mergeCell ref="A705:B705"/>
    <mergeCell ref="A706:B706"/>
    <mergeCell ref="A707:B707"/>
    <mergeCell ref="A696:B696"/>
    <mergeCell ref="A697:B697"/>
    <mergeCell ref="A698:B698"/>
    <mergeCell ref="A699:B699"/>
    <mergeCell ref="A700:B700"/>
    <mergeCell ref="A701:B701"/>
    <mergeCell ref="A690:B690"/>
    <mergeCell ref="A691:B691"/>
    <mergeCell ref="A692:B692"/>
    <mergeCell ref="A693:B693"/>
    <mergeCell ref="A694:B694"/>
    <mergeCell ref="A695:B695"/>
    <mergeCell ref="A684:B684"/>
    <mergeCell ref="A685:B685"/>
    <mergeCell ref="A686:B686"/>
    <mergeCell ref="A687:B687"/>
    <mergeCell ref="A688:B688"/>
    <mergeCell ref="A689:B689"/>
    <mergeCell ref="A678:B678"/>
    <mergeCell ref="A679:B679"/>
    <mergeCell ref="A680:B680"/>
    <mergeCell ref="A681:B681"/>
    <mergeCell ref="A682:B682"/>
    <mergeCell ref="A683:B683"/>
    <mergeCell ref="A672:B672"/>
    <mergeCell ref="A673:B673"/>
    <mergeCell ref="A674:B674"/>
    <mergeCell ref="A675:B675"/>
    <mergeCell ref="A676:B676"/>
    <mergeCell ref="A677:B677"/>
    <mergeCell ref="A666:B666"/>
    <mergeCell ref="A667:B667"/>
    <mergeCell ref="A668:B668"/>
    <mergeCell ref="A669:B669"/>
    <mergeCell ref="A670:B670"/>
    <mergeCell ref="A671:B671"/>
    <mergeCell ref="A660:B660"/>
    <mergeCell ref="A661:B661"/>
    <mergeCell ref="A662:B662"/>
    <mergeCell ref="A663:B663"/>
    <mergeCell ref="A664:B664"/>
    <mergeCell ref="A665:B665"/>
    <mergeCell ref="A654:B654"/>
    <mergeCell ref="A655:B655"/>
    <mergeCell ref="A656:B656"/>
    <mergeCell ref="A657:B657"/>
    <mergeCell ref="A658:B658"/>
    <mergeCell ref="A659:B659"/>
    <mergeCell ref="A648:B648"/>
    <mergeCell ref="A649:B649"/>
    <mergeCell ref="A650:B650"/>
    <mergeCell ref="A651:B651"/>
    <mergeCell ref="A652:B652"/>
    <mergeCell ref="A653:B653"/>
    <mergeCell ref="A642:B642"/>
    <mergeCell ref="A643:B643"/>
    <mergeCell ref="A644:B644"/>
    <mergeCell ref="A645:B645"/>
    <mergeCell ref="A646:B646"/>
    <mergeCell ref="A647:B647"/>
    <mergeCell ref="A636:B636"/>
    <mergeCell ref="A637:B637"/>
    <mergeCell ref="A638:B638"/>
    <mergeCell ref="A639:B639"/>
    <mergeCell ref="A640:B640"/>
    <mergeCell ref="A641:B641"/>
    <mergeCell ref="A630:B630"/>
    <mergeCell ref="A631:B631"/>
    <mergeCell ref="A632:B632"/>
    <mergeCell ref="A633:B633"/>
    <mergeCell ref="A634:B634"/>
    <mergeCell ref="A635:B635"/>
    <mergeCell ref="A624:B624"/>
    <mergeCell ref="A625:B625"/>
    <mergeCell ref="A626:B626"/>
    <mergeCell ref="A627:B627"/>
    <mergeCell ref="A628:B628"/>
    <mergeCell ref="A629:B629"/>
    <mergeCell ref="A618:B618"/>
    <mergeCell ref="A619:B619"/>
    <mergeCell ref="A620:B620"/>
    <mergeCell ref="A621:B621"/>
    <mergeCell ref="A622:B622"/>
    <mergeCell ref="A623:B623"/>
    <mergeCell ref="A612:B612"/>
    <mergeCell ref="A613:B613"/>
    <mergeCell ref="A614:B614"/>
    <mergeCell ref="A615:B615"/>
    <mergeCell ref="A616:B616"/>
    <mergeCell ref="A617:B617"/>
    <mergeCell ref="A606:B606"/>
    <mergeCell ref="A607:B607"/>
    <mergeCell ref="A608:B608"/>
    <mergeCell ref="A609:B609"/>
    <mergeCell ref="A610:B610"/>
    <mergeCell ref="A611:B611"/>
    <mergeCell ref="A600:B600"/>
    <mergeCell ref="A601:B601"/>
    <mergeCell ref="A602:B602"/>
    <mergeCell ref="A603:B603"/>
    <mergeCell ref="A604:B604"/>
    <mergeCell ref="A605:B605"/>
    <mergeCell ref="A594:B594"/>
    <mergeCell ref="A595:B595"/>
    <mergeCell ref="A596:B596"/>
    <mergeCell ref="A597:B597"/>
    <mergeCell ref="A598:B598"/>
    <mergeCell ref="A599:B599"/>
    <mergeCell ref="A588:B588"/>
    <mergeCell ref="A589:B589"/>
    <mergeCell ref="A590:B590"/>
    <mergeCell ref="A591:B591"/>
    <mergeCell ref="A592:B592"/>
    <mergeCell ref="A593:B593"/>
    <mergeCell ref="A582:B582"/>
    <mergeCell ref="A583:B583"/>
    <mergeCell ref="A584:B584"/>
    <mergeCell ref="A585:B585"/>
    <mergeCell ref="A586:B586"/>
    <mergeCell ref="A587:B587"/>
    <mergeCell ref="A576:B576"/>
    <mergeCell ref="A577:B577"/>
    <mergeCell ref="A578:B578"/>
    <mergeCell ref="A579:B579"/>
    <mergeCell ref="A580:B580"/>
    <mergeCell ref="A581:B581"/>
    <mergeCell ref="A570:B570"/>
    <mergeCell ref="A571:B571"/>
    <mergeCell ref="A572:B572"/>
    <mergeCell ref="A573:B573"/>
    <mergeCell ref="A574:B574"/>
    <mergeCell ref="A575:B575"/>
    <mergeCell ref="A564:B564"/>
    <mergeCell ref="A565:B565"/>
    <mergeCell ref="A566:B566"/>
    <mergeCell ref="A567:B567"/>
    <mergeCell ref="A568:B568"/>
    <mergeCell ref="A569:B569"/>
    <mergeCell ref="A558:B558"/>
    <mergeCell ref="A559:B559"/>
    <mergeCell ref="A560:B560"/>
    <mergeCell ref="A561:B561"/>
    <mergeCell ref="A562:B562"/>
    <mergeCell ref="A563:B563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00:B300"/>
    <mergeCell ref="A301:B301"/>
    <mergeCell ref="A302:B302"/>
    <mergeCell ref="A303:B303"/>
    <mergeCell ref="A304:B304"/>
    <mergeCell ref="A305:B305"/>
    <mergeCell ref="A294:B294"/>
    <mergeCell ref="A295:B295"/>
    <mergeCell ref="A296:B296"/>
    <mergeCell ref="A297:B297"/>
    <mergeCell ref="A298:B298"/>
    <mergeCell ref="A299:B299"/>
    <mergeCell ref="A288:B288"/>
    <mergeCell ref="A289:B289"/>
    <mergeCell ref="A290:B290"/>
    <mergeCell ref="A291:B291"/>
    <mergeCell ref="A292:B292"/>
    <mergeCell ref="A293:B293"/>
    <mergeCell ref="A282:B282"/>
    <mergeCell ref="A283:B283"/>
    <mergeCell ref="A284:B284"/>
    <mergeCell ref="A285:B285"/>
    <mergeCell ref="A286:B286"/>
    <mergeCell ref="A287:B287"/>
    <mergeCell ref="A276:B276"/>
    <mergeCell ref="A277:B277"/>
    <mergeCell ref="A278:B278"/>
    <mergeCell ref="A279:B279"/>
    <mergeCell ref="A280:B280"/>
    <mergeCell ref="A281:B281"/>
    <mergeCell ref="A270:B270"/>
    <mergeCell ref="A271:B271"/>
    <mergeCell ref="A272:B272"/>
    <mergeCell ref="A273:B273"/>
    <mergeCell ref="A274:B274"/>
    <mergeCell ref="A275:B275"/>
    <mergeCell ref="A264:B264"/>
    <mergeCell ref="A265:B265"/>
    <mergeCell ref="A266:B266"/>
    <mergeCell ref="A267:B267"/>
    <mergeCell ref="A268:B268"/>
    <mergeCell ref="A269:B269"/>
    <mergeCell ref="A258:B258"/>
    <mergeCell ref="A259:B259"/>
    <mergeCell ref="A260:B260"/>
    <mergeCell ref="A261:B261"/>
    <mergeCell ref="A262:B262"/>
    <mergeCell ref="A263:B263"/>
    <mergeCell ref="A252:B252"/>
    <mergeCell ref="A253:B253"/>
    <mergeCell ref="A254:B254"/>
    <mergeCell ref="A255:B255"/>
    <mergeCell ref="A256:B256"/>
    <mergeCell ref="A257:B257"/>
    <mergeCell ref="A246:B246"/>
    <mergeCell ref="A247:B247"/>
    <mergeCell ref="A248:B248"/>
    <mergeCell ref="A249:B249"/>
    <mergeCell ref="A250:B250"/>
    <mergeCell ref="A251:B251"/>
    <mergeCell ref="A240:B240"/>
    <mergeCell ref="A241:B241"/>
    <mergeCell ref="A242:B242"/>
    <mergeCell ref="A243:B243"/>
    <mergeCell ref="A244:B244"/>
    <mergeCell ref="A245:B245"/>
    <mergeCell ref="A234:B234"/>
    <mergeCell ref="A235:B235"/>
    <mergeCell ref="A236:B236"/>
    <mergeCell ref="A237:B237"/>
    <mergeCell ref="A238:B238"/>
    <mergeCell ref="A239:B239"/>
    <mergeCell ref="A228:B228"/>
    <mergeCell ref="A229:B229"/>
    <mergeCell ref="A230:B230"/>
    <mergeCell ref="A231:B231"/>
    <mergeCell ref="A232:B232"/>
    <mergeCell ref="A233:B233"/>
    <mergeCell ref="A222:B222"/>
    <mergeCell ref="A223:B223"/>
    <mergeCell ref="A224:B224"/>
    <mergeCell ref="A225:B225"/>
    <mergeCell ref="A226:B226"/>
    <mergeCell ref="A227:B227"/>
    <mergeCell ref="A216:B216"/>
    <mergeCell ref="A217:B217"/>
    <mergeCell ref="A218:B218"/>
    <mergeCell ref="A219:B219"/>
    <mergeCell ref="A220:B220"/>
    <mergeCell ref="A221:B221"/>
    <mergeCell ref="A210:B210"/>
    <mergeCell ref="A211:B211"/>
    <mergeCell ref="A212:B212"/>
    <mergeCell ref="A213:B213"/>
    <mergeCell ref="A214:B214"/>
    <mergeCell ref="A215:B215"/>
    <mergeCell ref="A204:B204"/>
    <mergeCell ref="A205:B205"/>
    <mergeCell ref="A206:B206"/>
    <mergeCell ref="A207:B207"/>
    <mergeCell ref="A208:B208"/>
    <mergeCell ref="A209:B209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18:B18"/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A8:AA12"/>
    <mergeCell ref="A9:B9"/>
    <mergeCell ref="A10:B10"/>
    <mergeCell ref="A11:B11"/>
    <mergeCell ref="A12:B12"/>
    <mergeCell ref="A13:B13"/>
    <mergeCell ref="H13:I13"/>
    <mergeCell ref="U8:U12"/>
    <mergeCell ref="V8:V12"/>
    <mergeCell ref="W8:W12"/>
    <mergeCell ref="X8:X12"/>
    <mergeCell ref="Y8:Y12"/>
    <mergeCell ref="Z8:Z12"/>
    <mergeCell ref="O8:O12"/>
    <mergeCell ref="P8:P12"/>
    <mergeCell ref="Q8:Q12"/>
    <mergeCell ref="AP2:AS3"/>
    <mergeCell ref="AS5:AS6"/>
    <mergeCell ref="AS8:AS9"/>
    <mergeCell ref="R8:R12"/>
    <mergeCell ref="S8:S12"/>
    <mergeCell ref="T8:T12"/>
    <mergeCell ref="H8:I12"/>
    <mergeCell ref="J8:J12"/>
    <mergeCell ref="K8:K12"/>
    <mergeCell ref="L8:L12"/>
    <mergeCell ref="M8:M12"/>
    <mergeCell ref="N8:N12"/>
    <mergeCell ref="A1:H1"/>
    <mergeCell ref="A2:H2"/>
    <mergeCell ref="B4:H4"/>
    <mergeCell ref="B6:H6"/>
    <mergeCell ref="A8:B8"/>
    <mergeCell ref="C8:C12"/>
    <mergeCell ref="D8:D12"/>
    <mergeCell ref="E8:E12"/>
    <mergeCell ref="F8:F12"/>
    <mergeCell ref="G8:G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524"/>
  <sheetViews>
    <sheetView zoomScale="85" zoomScaleNormal="85" workbookViewId="0">
      <selection activeCell="D538" sqref="D538"/>
    </sheetView>
  </sheetViews>
  <sheetFormatPr defaultRowHeight="12.75" outlineLevelRow="7" outlineLevelCol="1"/>
  <cols>
    <col min="1" max="1" width="47.28515625" style="3" customWidth="1"/>
    <col min="2" max="2" width="52.5703125" style="3" customWidth="1"/>
    <col min="3" max="3" width="16" style="3" customWidth="1" outlineLevel="1"/>
    <col min="4" max="4" width="17.28515625" style="3" customWidth="1" outlineLevel="1"/>
    <col min="5" max="5" width="16" style="3" customWidth="1"/>
    <col min="6" max="7" width="16" style="3" customWidth="1" outlineLevel="1"/>
    <col min="8" max="8" width="11.42578125" style="3" customWidth="1" outlineLevel="1"/>
    <col min="9" max="9" width="4.5703125" style="3" customWidth="1" outlineLevel="1"/>
    <col min="10" max="12" width="16" style="3" customWidth="1" outlineLevel="1"/>
    <col min="13" max="14" width="16" style="3" customWidth="1"/>
    <col min="15" max="16" width="16" style="3" hidden="1" customWidth="1" outlineLevel="1"/>
    <col min="17" max="17" width="9.140625" customWidth="1" collapsed="1"/>
    <col min="18" max="18" width="9.140625" customWidth="1"/>
    <col min="19" max="19" width="14" customWidth="1"/>
    <col min="20" max="256" width="9.140625" customWidth="1"/>
    <col min="257" max="257" width="16" customWidth="1"/>
    <col min="258" max="258" width="4" customWidth="1"/>
    <col min="259" max="263" width="16" customWidth="1"/>
    <col min="264" max="264" width="11.42578125" customWidth="1"/>
    <col min="265" max="265" width="4.5703125" customWidth="1"/>
    <col min="266" max="272" width="16" customWidth="1"/>
    <col min="273" max="512" width="9.140625" customWidth="1"/>
    <col min="513" max="513" width="16" customWidth="1"/>
    <col min="514" max="514" width="4" customWidth="1"/>
    <col min="515" max="519" width="16" customWidth="1"/>
    <col min="520" max="520" width="11.42578125" customWidth="1"/>
    <col min="521" max="521" width="4.5703125" customWidth="1"/>
    <col min="522" max="528" width="16" customWidth="1"/>
    <col min="529" max="768" width="9.140625" customWidth="1"/>
    <col min="769" max="769" width="16" customWidth="1"/>
    <col min="770" max="770" width="4" customWidth="1"/>
    <col min="771" max="775" width="16" customWidth="1"/>
    <col min="776" max="776" width="11.42578125" customWidth="1"/>
    <col min="777" max="777" width="4.5703125" customWidth="1"/>
    <col min="778" max="784" width="16" customWidth="1"/>
    <col min="785" max="1024" width="9.140625" customWidth="1"/>
    <col min="1025" max="1025" width="16" customWidth="1"/>
    <col min="1026" max="1026" width="4" customWidth="1"/>
    <col min="1027" max="1031" width="16" customWidth="1"/>
    <col min="1032" max="1032" width="11.42578125" customWidth="1"/>
    <col min="1033" max="1033" width="4.5703125" customWidth="1"/>
    <col min="1034" max="1040" width="16" customWidth="1"/>
    <col min="1041" max="1280" width="9.140625" customWidth="1"/>
    <col min="1281" max="1281" width="16" customWidth="1"/>
    <col min="1282" max="1282" width="4" customWidth="1"/>
    <col min="1283" max="1287" width="16" customWidth="1"/>
    <col min="1288" max="1288" width="11.42578125" customWidth="1"/>
    <col min="1289" max="1289" width="4.5703125" customWidth="1"/>
    <col min="1290" max="1296" width="16" customWidth="1"/>
    <col min="1297" max="1536" width="9.140625" customWidth="1"/>
    <col min="1537" max="1537" width="16" customWidth="1"/>
    <col min="1538" max="1538" width="4" customWidth="1"/>
    <col min="1539" max="1543" width="16" customWidth="1"/>
    <col min="1544" max="1544" width="11.42578125" customWidth="1"/>
    <col min="1545" max="1545" width="4.5703125" customWidth="1"/>
    <col min="1546" max="1552" width="16" customWidth="1"/>
    <col min="1553" max="1792" width="9.140625" customWidth="1"/>
    <col min="1793" max="1793" width="16" customWidth="1"/>
    <col min="1794" max="1794" width="4" customWidth="1"/>
    <col min="1795" max="1799" width="16" customWidth="1"/>
    <col min="1800" max="1800" width="11.42578125" customWidth="1"/>
    <col min="1801" max="1801" width="4.5703125" customWidth="1"/>
    <col min="1802" max="1808" width="16" customWidth="1"/>
    <col min="1809" max="2048" width="9.140625" customWidth="1"/>
    <col min="2049" max="2049" width="16" customWidth="1"/>
    <col min="2050" max="2050" width="4" customWidth="1"/>
    <col min="2051" max="2055" width="16" customWidth="1"/>
    <col min="2056" max="2056" width="11.42578125" customWidth="1"/>
    <col min="2057" max="2057" width="4.5703125" customWidth="1"/>
    <col min="2058" max="2064" width="16" customWidth="1"/>
    <col min="2065" max="2304" width="9.140625" customWidth="1"/>
    <col min="2305" max="2305" width="16" customWidth="1"/>
    <col min="2306" max="2306" width="4" customWidth="1"/>
    <col min="2307" max="2311" width="16" customWidth="1"/>
    <col min="2312" max="2312" width="11.42578125" customWidth="1"/>
    <col min="2313" max="2313" width="4.5703125" customWidth="1"/>
    <col min="2314" max="2320" width="16" customWidth="1"/>
    <col min="2321" max="2560" width="9.140625" customWidth="1"/>
    <col min="2561" max="2561" width="16" customWidth="1"/>
    <col min="2562" max="2562" width="4" customWidth="1"/>
    <col min="2563" max="2567" width="16" customWidth="1"/>
    <col min="2568" max="2568" width="11.42578125" customWidth="1"/>
    <col min="2569" max="2569" width="4.5703125" customWidth="1"/>
    <col min="2570" max="2576" width="16" customWidth="1"/>
    <col min="2577" max="2816" width="9.140625" customWidth="1"/>
    <col min="2817" max="2817" width="16" customWidth="1"/>
    <col min="2818" max="2818" width="4" customWidth="1"/>
    <col min="2819" max="2823" width="16" customWidth="1"/>
    <col min="2824" max="2824" width="11.42578125" customWidth="1"/>
    <col min="2825" max="2825" width="4.5703125" customWidth="1"/>
    <col min="2826" max="2832" width="16" customWidth="1"/>
    <col min="2833" max="3072" width="9.140625" customWidth="1"/>
    <col min="3073" max="3073" width="16" customWidth="1"/>
    <col min="3074" max="3074" width="4" customWidth="1"/>
    <col min="3075" max="3079" width="16" customWidth="1"/>
    <col min="3080" max="3080" width="11.42578125" customWidth="1"/>
    <col min="3081" max="3081" width="4.5703125" customWidth="1"/>
    <col min="3082" max="3088" width="16" customWidth="1"/>
    <col min="3089" max="3328" width="9.140625" customWidth="1"/>
    <col min="3329" max="3329" width="16" customWidth="1"/>
    <col min="3330" max="3330" width="4" customWidth="1"/>
    <col min="3331" max="3335" width="16" customWidth="1"/>
    <col min="3336" max="3336" width="11.42578125" customWidth="1"/>
    <col min="3337" max="3337" width="4.5703125" customWidth="1"/>
    <col min="3338" max="3344" width="16" customWidth="1"/>
    <col min="3345" max="3584" width="9.140625" customWidth="1"/>
    <col min="3585" max="3585" width="16" customWidth="1"/>
    <col min="3586" max="3586" width="4" customWidth="1"/>
    <col min="3587" max="3591" width="16" customWidth="1"/>
    <col min="3592" max="3592" width="11.42578125" customWidth="1"/>
    <col min="3593" max="3593" width="4.5703125" customWidth="1"/>
    <col min="3594" max="3600" width="16" customWidth="1"/>
    <col min="3601" max="3840" width="9.140625" customWidth="1"/>
    <col min="3841" max="3841" width="16" customWidth="1"/>
    <col min="3842" max="3842" width="4" customWidth="1"/>
    <col min="3843" max="3847" width="16" customWidth="1"/>
    <col min="3848" max="3848" width="11.42578125" customWidth="1"/>
    <col min="3849" max="3849" width="4.5703125" customWidth="1"/>
    <col min="3850" max="3856" width="16" customWidth="1"/>
    <col min="3857" max="4096" width="9.140625" customWidth="1"/>
    <col min="4097" max="4097" width="16" customWidth="1"/>
    <col min="4098" max="4098" width="4" customWidth="1"/>
    <col min="4099" max="4103" width="16" customWidth="1"/>
    <col min="4104" max="4104" width="11.42578125" customWidth="1"/>
    <col min="4105" max="4105" width="4.5703125" customWidth="1"/>
    <col min="4106" max="4112" width="16" customWidth="1"/>
    <col min="4113" max="4352" width="9.140625" customWidth="1"/>
    <col min="4353" max="4353" width="16" customWidth="1"/>
    <col min="4354" max="4354" width="4" customWidth="1"/>
    <col min="4355" max="4359" width="16" customWidth="1"/>
    <col min="4360" max="4360" width="11.42578125" customWidth="1"/>
    <col min="4361" max="4361" width="4.5703125" customWidth="1"/>
    <col min="4362" max="4368" width="16" customWidth="1"/>
    <col min="4369" max="4608" width="9.140625" customWidth="1"/>
    <col min="4609" max="4609" width="16" customWidth="1"/>
    <col min="4610" max="4610" width="4" customWidth="1"/>
    <col min="4611" max="4615" width="16" customWidth="1"/>
    <col min="4616" max="4616" width="11.42578125" customWidth="1"/>
    <col min="4617" max="4617" width="4.5703125" customWidth="1"/>
    <col min="4618" max="4624" width="16" customWidth="1"/>
    <col min="4625" max="4864" width="9.140625" customWidth="1"/>
    <col min="4865" max="4865" width="16" customWidth="1"/>
    <col min="4866" max="4866" width="4" customWidth="1"/>
    <col min="4867" max="4871" width="16" customWidth="1"/>
    <col min="4872" max="4872" width="11.42578125" customWidth="1"/>
    <col min="4873" max="4873" width="4.5703125" customWidth="1"/>
    <col min="4874" max="4880" width="16" customWidth="1"/>
    <col min="4881" max="5120" width="9.140625" customWidth="1"/>
    <col min="5121" max="5121" width="16" customWidth="1"/>
    <col min="5122" max="5122" width="4" customWidth="1"/>
    <col min="5123" max="5127" width="16" customWidth="1"/>
    <col min="5128" max="5128" width="11.42578125" customWidth="1"/>
    <col min="5129" max="5129" width="4.5703125" customWidth="1"/>
    <col min="5130" max="5136" width="16" customWidth="1"/>
    <col min="5137" max="5376" width="9.140625" customWidth="1"/>
    <col min="5377" max="5377" width="16" customWidth="1"/>
    <col min="5378" max="5378" width="4" customWidth="1"/>
    <col min="5379" max="5383" width="16" customWidth="1"/>
    <col min="5384" max="5384" width="11.42578125" customWidth="1"/>
    <col min="5385" max="5385" width="4.5703125" customWidth="1"/>
    <col min="5386" max="5392" width="16" customWidth="1"/>
    <col min="5393" max="5632" width="9.140625" customWidth="1"/>
    <col min="5633" max="5633" width="16" customWidth="1"/>
    <col min="5634" max="5634" width="4" customWidth="1"/>
    <col min="5635" max="5639" width="16" customWidth="1"/>
    <col min="5640" max="5640" width="11.42578125" customWidth="1"/>
    <col min="5641" max="5641" width="4.5703125" customWidth="1"/>
    <col min="5642" max="5648" width="16" customWidth="1"/>
    <col min="5649" max="5888" width="9.140625" customWidth="1"/>
    <col min="5889" max="5889" width="16" customWidth="1"/>
    <col min="5890" max="5890" width="4" customWidth="1"/>
    <col min="5891" max="5895" width="16" customWidth="1"/>
    <col min="5896" max="5896" width="11.42578125" customWidth="1"/>
    <col min="5897" max="5897" width="4.5703125" customWidth="1"/>
    <col min="5898" max="5904" width="16" customWidth="1"/>
    <col min="5905" max="6144" width="9.140625" customWidth="1"/>
    <col min="6145" max="6145" width="16" customWidth="1"/>
    <col min="6146" max="6146" width="4" customWidth="1"/>
    <col min="6147" max="6151" width="16" customWidth="1"/>
    <col min="6152" max="6152" width="11.42578125" customWidth="1"/>
    <col min="6153" max="6153" width="4.5703125" customWidth="1"/>
    <col min="6154" max="6160" width="16" customWidth="1"/>
    <col min="6161" max="6400" width="9.140625" customWidth="1"/>
    <col min="6401" max="6401" width="16" customWidth="1"/>
    <col min="6402" max="6402" width="4" customWidth="1"/>
    <col min="6403" max="6407" width="16" customWidth="1"/>
    <col min="6408" max="6408" width="11.42578125" customWidth="1"/>
    <col min="6409" max="6409" width="4.5703125" customWidth="1"/>
    <col min="6410" max="6416" width="16" customWidth="1"/>
    <col min="6417" max="6656" width="9.140625" customWidth="1"/>
    <col min="6657" max="6657" width="16" customWidth="1"/>
    <col min="6658" max="6658" width="4" customWidth="1"/>
    <col min="6659" max="6663" width="16" customWidth="1"/>
    <col min="6664" max="6664" width="11.42578125" customWidth="1"/>
    <col min="6665" max="6665" width="4.5703125" customWidth="1"/>
    <col min="6666" max="6672" width="16" customWidth="1"/>
    <col min="6673" max="6912" width="9.140625" customWidth="1"/>
    <col min="6913" max="6913" width="16" customWidth="1"/>
    <col min="6914" max="6914" width="4" customWidth="1"/>
    <col min="6915" max="6919" width="16" customWidth="1"/>
    <col min="6920" max="6920" width="11.42578125" customWidth="1"/>
    <col min="6921" max="6921" width="4.5703125" customWidth="1"/>
    <col min="6922" max="6928" width="16" customWidth="1"/>
    <col min="6929" max="7168" width="9.140625" customWidth="1"/>
    <col min="7169" max="7169" width="16" customWidth="1"/>
    <col min="7170" max="7170" width="4" customWidth="1"/>
    <col min="7171" max="7175" width="16" customWidth="1"/>
    <col min="7176" max="7176" width="11.42578125" customWidth="1"/>
    <col min="7177" max="7177" width="4.5703125" customWidth="1"/>
    <col min="7178" max="7184" width="16" customWidth="1"/>
    <col min="7185" max="7424" width="9.140625" customWidth="1"/>
    <col min="7425" max="7425" width="16" customWidth="1"/>
    <col min="7426" max="7426" width="4" customWidth="1"/>
    <col min="7427" max="7431" width="16" customWidth="1"/>
    <col min="7432" max="7432" width="11.42578125" customWidth="1"/>
    <col min="7433" max="7433" width="4.5703125" customWidth="1"/>
    <col min="7434" max="7440" width="16" customWidth="1"/>
    <col min="7441" max="7680" width="9.140625" customWidth="1"/>
    <col min="7681" max="7681" width="16" customWidth="1"/>
    <col min="7682" max="7682" width="4" customWidth="1"/>
    <col min="7683" max="7687" width="16" customWidth="1"/>
    <col min="7688" max="7688" width="11.42578125" customWidth="1"/>
    <col min="7689" max="7689" width="4.5703125" customWidth="1"/>
    <col min="7690" max="7696" width="16" customWidth="1"/>
    <col min="7697" max="7936" width="9.140625" customWidth="1"/>
    <col min="7937" max="7937" width="16" customWidth="1"/>
    <col min="7938" max="7938" width="4" customWidth="1"/>
    <col min="7939" max="7943" width="16" customWidth="1"/>
    <col min="7944" max="7944" width="11.42578125" customWidth="1"/>
    <col min="7945" max="7945" width="4.5703125" customWidth="1"/>
    <col min="7946" max="7952" width="16" customWidth="1"/>
    <col min="7953" max="8192" width="9.140625" customWidth="1"/>
    <col min="8193" max="8193" width="16" customWidth="1"/>
    <col min="8194" max="8194" width="4" customWidth="1"/>
    <col min="8195" max="8199" width="16" customWidth="1"/>
    <col min="8200" max="8200" width="11.42578125" customWidth="1"/>
    <col min="8201" max="8201" width="4.5703125" customWidth="1"/>
    <col min="8202" max="8208" width="16" customWidth="1"/>
    <col min="8209" max="8448" width="9.140625" customWidth="1"/>
    <col min="8449" max="8449" width="16" customWidth="1"/>
    <col min="8450" max="8450" width="4" customWidth="1"/>
    <col min="8451" max="8455" width="16" customWidth="1"/>
    <col min="8456" max="8456" width="11.42578125" customWidth="1"/>
    <col min="8457" max="8457" width="4.5703125" customWidth="1"/>
    <col min="8458" max="8464" width="16" customWidth="1"/>
    <col min="8465" max="8704" width="9.140625" customWidth="1"/>
    <col min="8705" max="8705" width="16" customWidth="1"/>
    <col min="8706" max="8706" width="4" customWidth="1"/>
    <col min="8707" max="8711" width="16" customWidth="1"/>
    <col min="8712" max="8712" width="11.42578125" customWidth="1"/>
    <col min="8713" max="8713" width="4.5703125" customWidth="1"/>
    <col min="8714" max="8720" width="16" customWidth="1"/>
    <col min="8721" max="8960" width="9.140625" customWidth="1"/>
    <col min="8961" max="8961" width="16" customWidth="1"/>
    <col min="8962" max="8962" width="4" customWidth="1"/>
    <col min="8963" max="8967" width="16" customWidth="1"/>
    <col min="8968" max="8968" width="11.42578125" customWidth="1"/>
    <col min="8969" max="8969" width="4.5703125" customWidth="1"/>
    <col min="8970" max="8976" width="16" customWidth="1"/>
    <col min="8977" max="9216" width="9.140625" customWidth="1"/>
    <col min="9217" max="9217" width="16" customWidth="1"/>
    <col min="9218" max="9218" width="4" customWidth="1"/>
    <col min="9219" max="9223" width="16" customWidth="1"/>
    <col min="9224" max="9224" width="11.42578125" customWidth="1"/>
    <col min="9225" max="9225" width="4.5703125" customWidth="1"/>
    <col min="9226" max="9232" width="16" customWidth="1"/>
    <col min="9233" max="9472" width="9.140625" customWidth="1"/>
    <col min="9473" max="9473" width="16" customWidth="1"/>
    <col min="9474" max="9474" width="4" customWidth="1"/>
    <col min="9475" max="9479" width="16" customWidth="1"/>
    <col min="9480" max="9480" width="11.42578125" customWidth="1"/>
    <col min="9481" max="9481" width="4.5703125" customWidth="1"/>
    <col min="9482" max="9488" width="16" customWidth="1"/>
    <col min="9489" max="9728" width="9.140625" customWidth="1"/>
    <col min="9729" max="9729" width="16" customWidth="1"/>
    <col min="9730" max="9730" width="4" customWidth="1"/>
    <col min="9731" max="9735" width="16" customWidth="1"/>
    <col min="9736" max="9736" width="11.42578125" customWidth="1"/>
    <col min="9737" max="9737" width="4.5703125" customWidth="1"/>
    <col min="9738" max="9744" width="16" customWidth="1"/>
    <col min="9745" max="9984" width="9.140625" customWidth="1"/>
    <col min="9985" max="9985" width="16" customWidth="1"/>
    <col min="9986" max="9986" width="4" customWidth="1"/>
    <col min="9987" max="9991" width="16" customWidth="1"/>
    <col min="9992" max="9992" width="11.42578125" customWidth="1"/>
    <col min="9993" max="9993" width="4.5703125" customWidth="1"/>
    <col min="9994" max="10000" width="16" customWidth="1"/>
    <col min="10001" max="10240" width="9.140625" customWidth="1"/>
    <col min="10241" max="10241" width="16" customWidth="1"/>
    <col min="10242" max="10242" width="4" customWidth="1"/>
    <col min="10243" max="10247" width="16" customWidth="1"/>
    <col min="10248" max="10248" width="11.42578125" customWidth="1"/>
    <col min="10249" max="10249" width="4.5703125" customWidth="1"/>
    <col min="10250" max="10256" width="16" customWidth="1"/>
    <col min="10257" max="10496" width="9.140625" customWidth="1"/>
    <col min="10497" max="10497" width="16" customWidth="1"/>
    <col min="10498" max="10498" width="4" customWidth="1"/>
    <col min="10499" max="10503" width="16" customWidth="1"/>
    <col min="10504" max="10504" width="11.42578125" customWidth="1"/>
    <col min="10505" max="10505" width="4.5703125" customWidth="1"/>
    <col min="10506" max="10512" width="16" customWidth="1"/>
    <col min="10513" max="10752" width="9.140625" customWidth="1"/>
    <col min="10753" max="10753" width="16" customWidth="1"/>
    <col min="10754" max="10754" width="4" customWidth="1"/>
    <col min="10755" max="10759" width="16" customWidth="1"/>
    <col min="10760" max="10760" width="11.42578125" customWidth="1"/>
    <col min="10761" max="10761" width="4.5703125" customWidth="1"/>
    <col min="10762" max="10768" width="16" customWidth="1"/>
    <col min="10769" max="11008" width="9.140625" customWidth="1"/>
    <col min="11009" max="11009" width="16" customWidth="1"/>
    <col min="11010" max="11010" width="4" customWidth="1"/>
    <col min="11011" max="11015" width="16" customWidth="1"/>
    <col min="11016" max="11016" width="11.42578125" customWidth="1"/>
    <col min="11017" max="11017" width="4.5703125" customWidth="1"/>
    <col min="11018" max="11024" width="16" customWidth="1"/>
    <col min="11025" max="11264" width="9.140625" customWidth="1"/>
    <col min="11265" max="11265" width="16" customWidth="1"/>
    <col min="11266" max="11266" width="4" customWidth="1"/>
    <col min="11267" max="11271" width="16" customWidth="1"/>
    <col min="11272" max="11272" width="11.42578125" customWidth="1"/>
    <col min="11273" max="11273" width="4.5703125" customWidth="1"/>
    <col min="11274" max="11280" width="16" customWidth="1"/>
    <col min="11281" max="11520" width="9.140625" customWidth="1"/>
    <col min="11521" max="11521" width="16" customWidth="1"/>
    <col min="11522" max="11522" width="4" customWidth="1"/>
    <col min="11523" max="11527" width="16" customWidth="1"/>
    <col min="11528" max="11528" width="11.42578125" customWidth="1"/>
    <col min="11529" max="11529" width="4.5703125" customWidth="1"/>
    <col min="11530" max="11536" width="16" customWidth="1"/>
    <col min="11537" max="11776" width="9.140625" customWidth="1"/>
    <col min="11777" max="11777" width="16" customWidth="1"/>
    <col min="11778" max="11778" width="4" customWidth="1"/>
    <col min="11779" max="11783" width="16" customWidth="1"/>
    <col min="11784" max="11784" width="11.42578125" customWidth="1"/>
    <col min="11785" max="11785" width="4.5703125" customWidth="1"/>
    <col min="11786" max="11792" width="16" customWidth="1"/>
    <col min="11793" max="12032" width="9.140625" customWidth="1"/>
    <col min="12033" max="12033" width="16" customWidth="1"/>
    <col min="12034" max="12034" width="4" customWidth="1"/>
    <col min="12035" max="12039" width="16" customWidth="1"/>
    <col min="12040" max="12040" width="11.42578125" customWidth="1"/>
    <col min="12041" max="12041" width="4.5703125" customWidth="1"/>
    <col min="12042" max="12048" width="16" customWidth="1"/>
    <col min="12049" max="12288" width="9.140625" customWidth="1"/>
    <col min="12289" max="12289" width="16" customWidth="1"/>
    <col min="12290" max="12290" width="4" customWidth="1"/>
    <col min="12291" max="12295" width="16" customWidth="1"/>
    <col min="12296" max="12296" width="11.42578125" customWidth="1"/>
    <col min="12297" max="12297" width="4.5703125" customWidth="1"/>
    <col min="12298" max="12304" width="16" customWidth="1"/>
    <col min="12305" max="12544" width="9.140625" customWidth="1"/>
    <col min="12545" max="12545" width="16" customWidth="1"/>
    <col min="12546" max="12546" width="4" customWidth="1"/>
    <col min="12547" max="12551" width="16" customWidth="1"/>
    <col min="12552" max="12552" width="11.42578125" customWidth="1"/>
    <col min="12553" max="12553" width="4.5703125" customWidth="1"/>
    <col min="12554" max="12560" width="16" customWidth="1"/>
    <col min="12561" max="12800" width="9.140625" customWidth="1"/>
    <col min="12801" max="12801" width="16" customWidth="1"/>
    <col min="12802" max="12802" width="4" customWidth="1"/>
    <col min="12803" max="12807" width="16" customWidth="1"/>
    <col min="12808" max="12808" width="11.42578125" customWidth="1"/>
    <col min="12809" max="12809" width="4.5703125" customWidth="1"/>
    <col min="12810" max="12816" width="16" customWidth="1"/>
    <col min="12817" max="13056" width="9.140625" customWidth="1"/>
    <col min="13057" max="13057" width="16" customWidth="1"/>
    <col min="13058" max="13058" width="4" customWidth="1"/>
    <col min="13059" max="13063" width="16" customWidth="1"/>
    <col min="13064" max="13064" width="11.42578125" customWidth="1"/>
    <col min="13065" max="13065" width="4.5703125" customWidth="1"/>
    <col min="13066" max="13072" width="16" customWidth="1"/>
    <col min="13073" max="13312" width="9.140625" customWidth="1"/>
    <col min="13313" max="13313" width="16" customWidth="1"/>
    <col min="13314" max="13314" width="4" customWidth="1"/>
    <col min="13315" max="13319" width="16" customWidth="1"/>
    <col min="13320" max="13320" width="11.42578125" customWidth="1"/>
    <col min="13321" max="13321" width="4.5703125" customWidth="1"/>
    <col min="13322" max="13328" width="16" customWidth="1"/>
    <col min="13329" max="13568" width="9.140625" customWidth="1"/>
    <col min="13569" max="13569" width="16" customWidth="1"/>
    <col min="13570" max="13570" width="4" customWidth="1"/>
    <col min="13571" max="13575" width="16" customWidth="1"/>
    <col min="13576" max="13576" width="11.42578125" customWidth="1"/>
    <col min="13577" max="13577" width="4.5703125" customWidth="1"/>
    <col min="13578" max="13584" width="16" customWidth="1"/>
    <col min="13585" max="13824" width="9.140625" customWidth="1"/>
    <col min="13825" max="13825" width="16" customWidth="1"/>
    <col min="13826" max="13826" width="4" customWidth="1"/>
    <col min="13827" max="13831" width="16" customWidth="1"/>
    <col min="13832" max="13832" width="11.42578125" customWidth="1"/>
    <col min="13833" max="13833" width="4.5703125" customWidth="1"/>
    <col min="13834" max="13840" width="16" customWidth="1"/>
    <col min="13841" max="14080" width="9.140625" customWidth="1"/>
    <col min="14081" max="14081" width="16" customWidth="1"/>
    <col min="14082" max="14082" width="4" customWidth="1"/>
    <col min="14083" max="14087" width="16" customWidth="1"/>
    <col min="14088" max="14088" width="11.42578125" customWidth="1"/>
    <col min="14089" max="14089" width="4.5703125" customWidth="1"/>
    <col min="14090" max="14096" width="16" customWidth="1"/>
    <col min="14097" max="14336" width="9.140625" customWidth="1"/>
    <col min="14337" max="14337" width="16" customWidth="1"/>
    <col min="14338" max="14338" width="4" customWidth="1"/>
    <col min="14339" max="14343" width="16" customWidth="1"/>
    <col min="14344" max="14344" width="11.42578125" customWidth="1"/>
    <col min="14345" max="14345" width="4.5703125" customWidth="1"/>
    <col min="14346" max="14352" width="16" customWidth="1"/>
    <col min="14353" max="14592" width="9.140625" customWidth="1"/>
    <col min="14593" max="14593" width="16" customWidth="1"/>
    <col min="14594" max="14594" width="4" customWidth="1"/>
    <col min="14595" max="14599" width="16" customWidth="1"/>
    <col min="14600" max="14600" width="11.42578125" customWidth="1"/>
    <col min="14601" max="14601" width="4.5703125" customWidth="1"/>
    <col min="14602" max="14608" width="16" customWidth="1"/>
    <col min="14609" max="14848" width="9.140625" customWidth="1"/>
    <col min="14849" max="14849" width="16" customWidth="1"/>
    <col min="14850" max="14850" width="4" customWidth="1"/>
    <col min="14851" max="14855" width="16" customWidth="1"/>
    <col min="14856" max="14856" width="11.42578125" customWidth="1"/>
    <col min="14857" max="14857" width="4.5703125" customWidth="1"/>
    <col min="14858" max="14864" width="16" customWidth="1"/>
    <col min="14865" max="15104" width="9.140625" customWidth="1"/>
    <col min="15105" max="15105" width="16" customWidth="1"/>
    <col min="15106" max="15106" width="4" customWidth="1"/>
    <col min="15107" max="15111" width="16" customWidth="1"/>
    <col min="15112" max="15112" width="11.42578125" customWidth="1"/>
    <col min="15113" max="15113" width="4.5703125" customWidth="1"/>
    <col min="15114" max="15120" width="16" customWidth="1"/>
    <col min="15121" max="15360" width="9.140625" customWidth="1"/>
    <col min="15361" max="15361" width="16" customWidth="1"/>
    <col min="15362" max="15362" width="4" customWidth="1"/>
    <col min="15363" max="15367" width="16" customWidth="1"/>
    <col min="15368" max="15368" width="11.42578125" customWidth="1"/>
    <col min="15369" max="15369" width="4.5703125" customWidth="1"/>
    <col min="15370" max="15376" width="16" customWidth="1"/>
    <col min="15377" max="15616" width="9.140625" customWidth="1"/>
    <col min="15617" max="15617" width="16" customWidth="1"/>
    <col min="15618" max="15618" width="4" customWidth="1"/>
    <col min="15619" max="15623" width="16" customWidth="1"/>
    <col min="15624" max="15624" width="11.42578125" customWidth="1"/>
    <col min="15625" max="15625" width="4.5703125" customWidth="1"/>
    <col min="15626" max="15632" width="16" customWidth="1"/>
    <col min="15633" max="15872" width="9.140625" customWidth="1"/>
    <col min="15873" max="15873" width="16" customWidth="1"/>
    <col min="15874" max="15874" width="4" customWidth="1"/>
    <col min="15875" max="15879" width="16" customWidth="1"/>
    <col min="15880" max="15880" width="11.42578125" customWidth="1"/>
    <col min="15881" max="15881" width="4.5703125" customWidth="1"/>
    <col min="15882" max="15888" width="16" customWidth="1"/>
    <col min="15889" max="16128" width="9.140625" customWidth="1"/>
    <col min="16129" max="16129" width="16" customWidth="1"/>
    <col min="16130" max="16130" width="4" customWidth="1"/>
    <col min="16131" max="16135" width="16" customWidth="1"/>
    <col min="16136" max="16136" width="11.42578125" customWidth="1"/>
    <col min="16137" max="16137" width="4.5703125" customWidth="1"/>
    <col min="16138" max="16144" width="16" customWidth="1"/>
    <col min="16145" max="16384" width="9.140625" customWidth="1"/>
  </cols>
  <sheetData>
    <row r="1" spans="1:19">
      <c r="A1" s="3496" t="s">
        <v>29</v>
      </c>
      <c r="B1" s="3496"/>
      <c r="C1" s="3496"/>
      <c r="D1" s="3496"/>
      <c r="E1" s="3496"/>
      <c r="F1" s="3496"/>
      <c r="G1" s="3496"/>
      <c r="H1" s="3496"/>
    </row>
    <row r="2" spans="1:19" ht="15.75">
      <c r="A2" s="3497" t="s">
        <v>1468</v>
      </c>
      <c r="B2" s="3497"/>
      <c r="C2" s="3497"/>
      <c r="D2" s="3497"/>
      <c r="E2" s="3497"/>
      <c r="F2" s="3497"/>
      <c r="G2" s="3497"/>
      <c r="H2" s="3497"/>
    </row>
    <row r="3" spans="1:19" s="3" customFormat="1"/>
    <row r="4" spans="1:19">
      <c r="A4" s="4" t="s">
        <v>31</v>
      </c>
      <c r="B4" s="3498" t="s">
        <v>32</v>
      </c>
      <c r="C4" s="3498"/>
      <c r="D4" s="3498"/>
      <c r="E4" s="3498"/>
      <c r="F4" s="3498"/>
      <c r="G4" s="3498"/>
      <c r="H4" s="3498"/>
    </row>
    <row r="5" spans="1:19" s="3" customFormat="1"/>
    <row r="6" spans="1:19">
      <c r="A6" s="4" t="s">
        <v>33</v>
      </c>
      <c r="B6" s="3498" t="s">
        <v>1314</v>
      </c>
      <c r="C6" s="3498"/>
      <c r="D6" s="3498"/>
      <c r="E6" s="3498"/>
      <c r="F6" s="3498"/>
      <c r="G6" s="3498"/>
      <c r="H6" s="3498"/>
    </row>
    <row r="7" spans="1:19" s="3" customFormat="1"/>
    <row r="8" spans="1:19">
      <c r="A8" s="3492" t="s">
        <v>35</v>
      </c>
      <c r="B8" s="3492"/>
      <c r="C8" s="3492" t="s">
        <v>36</v>
      </c>
      <c r="D8" s="3492" t="s">
        <v>37</v>
      </c>
      <c r="E8" s="3492" t="s">
        <v>38</v>
      </c>
      <c r="F8" s="3493">
        <v>23</v>
      </c>
      <c r="G8" s="3493">
        <v>25</v>
      </c>
      <c r="H8" s="3493">
        <v>26</v>
      </c>
      <c r="I8" s="3493"/>
      <c r="J8" s="3493">
        <v>69</v>
      </c>
      <c r="K8" s="3493">
        <v>70</v>
      </c>
      <c r="L8" s="3493">
        <v>79</v>
      </c>
      <c r="M8" s="3492" t="s">
        <v>39</v>
      </c>
      <c r="N8" s="3493">
        <v>90</v>
      </c>
      <c r="O8" s="3548" t="s">
        <v>40</v>
      </c>
      <c r="P8" s="3551" t="s">
        <v>41</v>
      </c>
    </row>
    <row r="9" spans="1:19">
      <c r="A9" s="3492" t="s">
        <v>1315</v>
      </c>
      <c r="B9" s="3492"/>
      <c r="C9" s="3492"/>
      <c r="D9" s="3492"/>
      <c r="E9" s="3492"/>
      <c r="F9" s="3494"/>
      <c r="G9" s="3494"/>
      <c r="H9" s="3494"/>
      <c r="I9" s="3494"/>
      <c r="J9" s="3494"/>
      <c r="K9" s="3494"/>
      <c r="L9" s="3494"/>
      <c r="M9" s="3492"/>
      <c r="N9" s="3494"/>
      <c r="O9" s="3549"/>
      <c r="P9" s="3552"/>
    </row>
    <row r="10" spans="1:19">
      <c r="A10" s="3492" t="s">
        <v>1316</v>
      </c>
      <c r="B10" s="3492"/>
      <c r="C10" s="3492"/>
      <c r="D10" s="3492"/>
      <c r="E10" s="3492"/>
      <c r="F10" s="3494"/>
      <c r="G10" s="3494"/>
      <c r="H10" s="3494"/>
      <c r="I10" s="3494"/>
      <c r="J10" s="3494"/>
      <c r="K10" s="3494"/>
      <c r="L10" s="3494"/>
      <c r="M10" s="3492"/>
      <c r="N10" s="3494"/>
      <c r="O10" s="3550"/>
      <c r="P10" s="3553"/>
    </row>
    <row r="11" spans="1:19">
      <c r="A11" s="3547">
        <v>20</v>
      </c>
      <c r="B11" s="3547"/>
      <c r="C11" s="20"/>
      <c r="D11" s="20"/>
      <c r="E11" s="18">
        <v>6114158.4900000002</v>
      </c>
      <c r="F11" s="18">
        <v>51758.76</v>
      </c>
      <c r="G11" s="18">
        <v>5737368.71</v>
      </c>
      <c r="H11" s="3505">
        <v>71743.25</v>
      </c>
      <c r="I11" s="3505"/>
      <c r="J11" s="18">
        <v>26585.85</v>
      </c>
      <c r="K11" s="18">
        <v>87455.360000000001</v>
      </c>
      <c r="L11" s="18">
        <v>139246.56</v>
      </c>
      <c r="M11" s="18">
        <v>6114158.4900000002</v>
      </c>
      <c r="N11" s="18">
        <v>6114158.4900000002</v>
      </c>
      <c r="O11" s="25"/>
      <c r="P11" s="6"/>
    </row>
    <row r="12" spans="1:19" outlineLevel="1">
      <c r="A12" s="3495" t="s">
        <v>1317</v>
      </c>
      <c r="B12" s="3495"/>
      <c r="C12" s="20"/>
      <c r="D12" s="20"/>
      <c r="E12" s="18">
        <v>6114158.4900000002</v>
      </c>
      <c r="F12" s="18">
        <v>51758.76</v>
      </c>
      <c r="G12" s="18">
        <v>5737368.71</v>
      </c>
      <c r="H12" s="3505">
        <v>71743.25</v>
      </c>
      <c r="I12" s="3505"/>
      <c r="J12" s="18">
        <v>26585.85</v>
      </c>
      <c r="K12" s="18">
        <v>87455.360000000001</v>
      </c>
      <c r="L12" s="18">
        <v>139246.56</v>
      </c>
      <c r="M12" s="18">
        <v>6114158.4900000002</v>
      </c>
      <c r="N12" s="18">
        <v>6114158.4900000002</v>
      </c>
      <c r="O12" s="25"/>
      <c r="P12" s="6"/>
    </row>
    <row r="13" spans="1:19" outlineLevel="2">
      <c r="A13" s="3546" t="s">
        <v>46</v>
      </c>
      <c r="B13" s="3546"/>
      <c r="C13" s="32"/>
      <c r="D13" s="32"/>
      <c r="E13" s="33">
        <v>2076287.51</v>
      </c>
      <c r="F13" s="33">
        <v>51758.76</v>
      </c>
      <c r="G13" s="33">
        <v>1872216.73</v>
      </c>
      <c r="H13" s="3538">
        <v>39856.620000000003</v>
      </c>
      <c r="I13" s="3538"/>
      <c r="J13" s="33">
        <v>26216.16</v>
      </c>
      <c r="K13" s="33">
        <v>86239.24</v>
      </c>
      <c r="L13" s="34"/>
      <c r="M13" s="33">
        <v>2076287.51</v>
      </c>
      <c r="N13" s="33">
        <v>2076287.51</v>
      </c>
      <c r="O13" s="28"/>
      <c r="P13" s="10"/>
    </row>
    <row r="14" spans="1:19" outlineLevel="3">
      <c r="A14" s="3541" t="s">
        <v>1469</v>
      </c>
      <c r="B14" s="3541"/>
      <c r="C14" s="35"/>
      <c r="D14" s="35"/>
      <c r="E14" s="36">
        <v>19424.63</v>
      </c>
      <c r="F14" s="36">
        <v>7247.25</v>
      </c>
      <c r="G14" s="36">
        <v>11699.27</v>
      </c>
      <c r="H14" s="3533">
        <v>478.11</v>
      </c>
      <c r="I14" s="3533"/>
      <c r="J14" s="37"/>
      <c r="K14" s="37"/>
      <c r="L14" s="37"/>
      <c r="M14" s="36">
        <v>19424.63</v>
      </c>
      <c r="N14" s="36">
        <v>19424.63</v>
      </c>
      <c r="O14" s="29"/>
      <c r="P14" s="11"/>
    </row>
    <row r="15" spans="1:19" hidden="1" outlineLevel="4">
      <c r="A15" s="38" t="s">
        <v>1319</v>
      </c>
      <c r="B15" s="38"/>
      <c r="C15" s="39"/>
      <c r="D15" s="39"/>
      <c r="E15" s="40">
        <v>43.7</v>
      </c>
      <c r="F15" s="41"/>
      <c r="G15" s="40">
        <v>43.7</v>
      </c>
      <c r="H15" s="41"/>
      <c r="I15" s="41"/>
      <c r="J15" s="41"/>
      <c r="K15" s="41"/>
      <c r="L15" s="41"/>
      <c r="M15" s="40">
        <v>43.7</v>
      </c>
      <c r="N15" s="40">
        <v>43.7</v>
      </c>
      <c r="O15" s="30"/>
      <c r="P15" s="12"/>
      <c r="S15">
        <f ca="1">SUMIF($A$188:$B$355,A15,$E$188:$E$355)</f>
        <v>24.04</v>
      </c>
    </row>
    <row r="16" spans="1:19" hidden="1" outlineLevel="4">
      <c r="A16" s="38" t="s">
        <v>1320</v>
      </c>
      <c r="B16" s="38"/>
      <c r="C16" s="39"/>
      <c r="D16" s="39"/>
      <c r="E16" s="42">
        <v>19380.93</v>
      </c>
      <c r="F16" s="42">
        <v>7247.25</v>
      </c>
      <c r="G16" s="42">
        <v>11655.57</v>
      </c>
      <c r="H16" s="3531">
        <v>478.11</v>
      </c>
      <c r="I16" s="3531"/>
      <c r="J16" s="41"/>
      <c r="K16" s="41"/>
      <c r="L16" s="41"/>
      <c r="M16" s="42">
        <v>19380.93</v>
      </c>
      <c r="N16" s="42">
        <v>19380.93</v>
      </c>
      <c r="O16" s="30"/>
      <c r="P16" s="12"/>
    </row>
    <row r="17" spans="1:16" outlineLevel="3" collapsed="1">
      <c r="A17" s="3541" t="s">
        <v>1470</v>
      </c>
      <c r="B17" s="3541"/>
      <c r="C17" s="35"/>
      <c r="D17" s="35"/>
      <c r="E17" s="36">
        <v>1523289.67</v>
      </c>
      <c r="F17" s="36">
        <v>24332.78</v>
      </c>
      <c r="G17" s="36">
        <v>1388451.1</v>
      </c>
      <c r="H17" s="3537">
        <v>24266.55</v>
      </c>
      <c r="I17" s="3537"/>
      <c r="J17" s="37"/>
      <c r="K17" s="36">
        <v>86239.24</v>
      </c>
      <c r="L17" s="37"/>
      <c r="M17" s="36">
        <v>1523289.67</v>
      </c>
      <c r="N17" s="36">
        <v>1523289.67</v>
      </c>
      <c r="O17" s="29"/>
      <c r="P17" s="11"/>
    </row>
    <row r="18" spans="1:16" hidden="1" outlineLevel="4">
      <c r="A18" s="3539" t="s">
        <v>1325</v>
      </c>
      <c r="B18" s="3539"/>
      <c r="C18" s="39"/>
      <c r="D18" s="39"/>
      <c r="E18" s="40">
        <v>9.19</v>
      </c>
      <c r="F18" s="41"/>
      <c r="G18" s="40">
        <v>9.17</v>
      </c>
      <c r="H18" s="3531">
        <v>0.02</v>
      </c>
      <c r="I18" s="3531"/>
      <c r="J18" s="41"/>
      <c r="K18" s="41"/>
      <c r="L18" s="41"/>
      <c r="M18" s="40">
        <v>9.19</v>
      </c>
      <c r="N18" s="40">
        <v>9.19</v>
      </c>
      <c r="O18" s="30"/>
      <c r="P18" s="12"/>
    </row>
    <row r="19" spans="1:16" hidden="1" outlineLevel="4">
      <c r="A19" s="3539" t="s">
        <v>1326</v>
      </c>
      <c r="B19" s="3539"/>
      <c r="C19" s="39"/>
      <c r="D19" s="39"/>
      <c r="E19" s="40">
        <v>10.09</v>
      </c>
      <c r="F19" s="41"/>
      <c r="G19" s="40">
        <v>5.41</v>
      </c>
      <c r="H19" s="3531">
        <v>4.68</v>
      </c>
      <c r="I19" s="3531"/>
      <c r="J19" s="41"/>
      <c r="K19" s="41"/>
      <c r="L19" s="41"/>
      <c r="M19" s="40">
        <v>10.09</v>
      </c>
      <c r="N19" s="40">
        <v>10.09</v>
      </c>
      <c r="O19" s="30"/>
      <c r="P19" s="12"/>
    </row>
    <row r="20" spans="1:16" hidden="1" outlineLevel="4">
      <c r="A20" s="3539" t="s">
        <v>1331</v>
      </c>
      <c r="B20" s="3539"/>
      <c r="C20" s="39"/>
      <c r="D20" s="39"/>
      <c r="E20" s="42">
        <v>73680.22</v>
      </c>
      <c r="F20" s="42">
        <v>1050.19</v>
      </c>
      <c r="G20" s="42">
        <v>67882.7</v>
      </c>
      <c r="H20" s="3531">
        <v>893.29</v>
      </c>
      <c r="I20" s="3531"/>
      <c r="J20" s="41"/>
      <c r="K20" s="42">
        <v>3854.04</v>
      </c>
      <c r="L20" s="41"/>
      <c r="M20" s="42">
        <v>73680.22</v>
      </c>
      <c r="N20" s="42">
        <v>73680.22</v>
      </c>
      <c r="O20" s="30"/>
      <c r="P20" s="12"/>
    </row>
    <row r="21" spans="1:16" hidden="1" outlineLevel="4">
      <c r="A21" s="3539" t="s">
        <v>1332</v>
      </c>
      <c r="B21" s="3539"/>
      <c r="C21" s="39"/>
      <c r="D21" s="39"/>
      <c r="E21" s="42">
        <v>92236.61</v>
      </c>
      <c r="F21" s="42">
        <v>2598.5700000000002</v>
      </c>
      <c r="G21" s="42">
        <v>78131.45</v>
      </c>
      <c r="H21" s="3536">
        <v>1001.91</v>
      </c>
      <c r="I21" s="3536"/>
      <c r="J21" s="41"/>
      <c r="K21" s="42">
        <v>10504.68</v>
      </c>
      <c r="L21" s="41"/>
      <c r="M21" s="42">
        <v>92236.61</v>
      </c>
      <c r="N21" s="42">
        <v>92236.61</v>
      </c>
      <c r="O21" s="30"/>
      <c r="P21" s="12"/>
    </row>
    <row r="22" spans="1:16" hidden="1" outlineLevel="4">
      <c r="A22" s="3539" t="s">
        <v>1338</v>
      </c>
      <c r="B22" s="3539"/>
      <c r="C22" s="39"/>
      <c r="D22" s="39"/>
      <c r="E22" s="40">
        <v>174.81</v>
      </c>
      <c r="F22" s="41"/>
      <c r="G22" s="40">
        <v>23.6</v>
      </c>
      <c r="H22" s="3531">
        <v>151.21</v>
      </c>
      <c r="I22" s="3531"/>
      <c r="J22" s="41"/>
      <c r="K22" s="41"/>
      <c r="L22" s="41"/>
      <c r="M22" s="40">
        <v>174.81</v>
      </c>
      <c r="N22" s="40">
        <v>174.81</v>
      </c>
      <c r="O22" s="30"/>
      <c r="P22" s="12"/>
    </row>
    <row r="23" spans="1:16" hidden="1" outlineLevel="4">
      <c r="A23" s="3539" t="s">
        <v>1362</v>
      </c>
      <c r="B23" s="3539"/>
      <c r="C23" s="39"/>
      <c r="D23" s="39"/>
      <c r="E23" s="42">
        <v>3239.08</v>
      </c>
      <c r="F23" s="40">
        <v>93.77</v>
      </c>
      <c r="G23" s="42">
        <v>3098.11</v>
      </c>
      <c r="H23" s="3531">
        <v>47.2</v>
      </c>
      <c r="I23" s="3531"/>
      <c r="J23" s="41"/>
      <c r="K23" s="41"/>
      <c r="L23" s="41"/>
      <c r="M23" s="42">
        <v>3239.08</v>
      </c>
      <c r="N23" s="42">
        <v>3239.08</v>
      </c>
      <c r="O23" s="30"/>
      <c r="P23" s="12"/>
    </row>
    <row r="24" spans="1:16" hidden="1" outlineLevel="4">
      <c r="A24" s="3539" t="s">
        <v>1363</v>
      </c>
      <c r="B24" s="3539"/>
      <c r="C24" s="39"/>
      <c r="D24" s="39"/>
      <c r="E24" s="42">
        <v>61981.78</v>
      </c>
      <c r="F24" s="41"/>
      <c r="G24" s="42">
        <v>61972.12</v>
      </c>
      <c r="H24" s="3531">
        <v>9.66</v>
      </c>
      <c r="I24" s="3531"/>
      <c r="J24" s="41"/>
      <c r="K24" s="41"/>
      <c r="L24" s="41"/>
      <c r="M24" s="42">
        <v>61981.78</v>
      </c>
      <c r="N24" s="42">
        <v>61981.78</v>
      </c>
      <c r="O24" s="30"/>
      <c r="P24" s="12"/>
    </row>
    <row r="25" spans="1:16" hidden="1" outlineLevel="4">
      <c r="A25" s="3539" t="s">
        <v>1364</v>
      </c>
      <c r="B25" s="3539"/>
      <c r="C25" s="39"/>
      <c r="D25" s="39"/>
      <c r="E25" s="42">
        <v>867835.52</v>
      </c>
      <c r="F25" s="42">
        <v>12369.86</v>
      </c>
      <c r="G25" s="42">
        <v>793144.09</v>
      </c>
      <c r="H25" s="3536">
        <v>10838.79</v>
      </c>
      <c r="I25" s="3536"/>
      <c r="J25" s="41"/>
      <c r="K25" s="42">
        <v>51482.78</v>
      </c>
      <c r="L25" s="41"/>
      <c r="M25" s="42">
        <v>867835.52</v>
      </c>
      <c r="N25" s="42">
        <v>867835.52</v>
      </c>
      <c r="O25" s="30"/>
      <c r="P25" s="12"/>
    </row>
    <row r="26" spans="1:16" hidden="1" outlineLevel="4">
      <c r="A26" s="3539" t="s">
        <v>1381</v>
      </c>
      <c r="B26" s="3539"/>
      <c r="C26" s="39"/>
      <c r="D26" s="39"/>
      <c r="E26" s="42">
        <v>8849.23</v>
      </c>
      <c r="F26" s="40">
        <v>426.72</v>
      </c>
      <c r="G26" s="42">
        <v>4148.3500000000004</v>
      </c>
      <c r="H26" s="3536">
        <v>4274.16</v>
      </c>
      <c r="I26" s="3536"/>
      <c r="J26" s="41"/>
      <c r="K26" s="41"/>
      <c r="L26" s="41"/>
      <c r="M26" s="42">
        <v>8849.23</v>
      </c>
      <c r="N26" s="42">
        <v>8849.23</v>
      </c>
      <c r="O26" s="30"/>
      <c r="P26" s="12"/>
    </row>
    <row r="27" spans="1:16" hidden="1" outlineLevel="4">
      <c r="A27" s="3539" t="s">
        <v>1382</v>
      </c>
      <c r="B27" s="3539"/>
      <c r="C27" s="39"/>
      <c r="D27" s="39"/>
      <c r="E27" s="42">
        <v>42056.24</v>
      </c>
      <c r="F27" s="41"/>
      <c r="G27" s="42">
        <v>39317.47</v>
      </c>
      <c r="H27" s="3536">
        <v>2738.77</v>
      </c>
      <c r="I27" s="3536"/>
      <c r="J27" s="41"/>
      <c r="K27" s="41"/>
      <c r="L27" s="41"/>
      <c r="M27" s="42">
        <v>42056.24</v>
      </c>
      <c r="N27" s="42">
        <v>42056.24</v>
      </c>
      <c r="O27" s="30"/>
      <c r="P27" s="12"/>
    </row>
    <row r="28" spans="1:16" hidden="1" outlineLevel="4">
      <c r="A28" s="3539" t="s">
        <v>1383</v>
      </c>
      <c r="B28" s="3539"/>
      <c r="C28" s="39"/>
      <c r="D28" s="39"/>
      <c r="E28" s="42">
        <v>2484.35</v>
      </c>
      <c r="F28" s="40">
        <v>214.63</v>
      </c>
      <c r="G28" s="42">
        <v>1799.89</v>
      </c>
      <c r="H28" s="3531">
        <v>469.83</v>
      </c>
      <c r="I28" s="3531"/>
      <c r="J28" s="41"/>
      <c r="K28" s="41"/>
      <c r="L28" s="41"/>
      <c r="M28" s="42">
        <v>2484.35</v>
      </c>
      <c r="N28" s="42">
        <v>2484.35</v>
      </c>
      <c r="O28" s="30"/>
      <c r="P28" s="12"/>
    </row>
    <row r="29" spans="1:16" hidden="1" outlineLevel="4">
      <c r="A29" s="3539" t="s">
        <v>1384</v>
      </c>
      <c r="B29" s="3539"/>
      <c r="C29" s="39"/>
      <c r="D29" s="39"/>
      <c r="E29" s="42">
        <v>103456.04</v>
      </c>
      <c r="F29" s="42">
        <v>2162.12</v>
      </c>
      <c r="G29" s="42">
        <v>99927.77</v>
      </c>
      <c r="H29" s="3536">
        <v>1366.15</v>
      </c>
      <c r="I29" s="3536"/>
      <c r="J29" s="41"/>
      <c r="K29" s="41"/>
      <c r="L29" s="41"/>
      <c r="M29" s="42">
        <v>103456.04</v>
      </c>
      <c r="N29" s="42">
        <v>103456.04</v>
      </c>
      <c r="O29" s="30"/>
      <c r="P29" s="12"/>
    </row>
    <row r="30" spans="1:16" hidden="1" outlineLevel="4">
      <c r="A30" s="3539" t="s">
        <v>1385</v>
      </c>
      <c r="B30" s="3539"/>
      <c r="C30" s="39"/>
      <c r="D30" s="39"/>
      <c r="E30" s="40">
        <v>582.87</v>
      </c>
      <c r="F30" s="40">
        <v>17.36</v>
      </c>
      <c r="G30" s="40">
        <v>20.89</v>
      </c>
      <c r="H30" s="3531">
        <v>369.1</v>
      </c>
      <c r="I30" s="3531"/>
      <c r="J30" s="41"/>
      <c r="K30" s="40">
        <v>175.52</v>
      </c>
      <c r="L30" s="41"/>
      <c r="M30" s="40">
        <v>582.87</v>
      </c>
      <c r="N30" s="40">
        <v>582.87</v>
      </c>
      <c r="O30" s="30"/>
      <c r="P30" s="12"/>
    </row>
    <row r="31" spans="1:16" hidden="1" outlineLevel="4">
      <c r="A31" s="3539" t="s">
        <v>1386</v>
      </c>
      <c r="B31" s="3539"/>
      <c r="C31" s="39"/>
      <c r="D31" s="39"/>
      <c r="E31" s="42">
        <v>266693.64</v>
      </c>
      <c r="F31" s="42">
        <v>5399.56</v>
      </c>
      <c r="G31" s="42">
        <v>238970.08</v>
      </c>
      <c r="H31" s="3536">
        <v>2101.7800000000002</v>
      </c>
      <c r="I31" s="3536"/>
      <c r="J31" s="41"/>
      <c r="K31" s="42">
        <v>20222.22</v>
      </c>
      <c r="L31" s="41"/>
      <c r="M31" s="42">
        <v>266693.64</v>
      </c>
      <c r="N31" s="42">
        <v>266693.64</v>
      </c>
      <c r="O31" s="30"/>
      <c r="P31" s="12"/>
    </row>
    <row r="32" spans="1:16" outlineLevel="3" collapsed="1">
      <c r="A32" s="3541" t="s">
        <v>1471</v>
      </c>
      <c r="B32" s="3541"/>
      <c r="C32" s="35"/>
      <c r="D32" s="35"/>
      <c r="E32" s="36">
        <v>37969.31</v>
      </c>
      <c r="F32" s="36">
        <v>12854.52</v>
      </c>
      <c r="G32" s="36">
        <v>23018.49</v>
      </c>
      <c r="H32" s="3537">
        <v>2096.3000000000002</v>
      </c>
      <c r="I32" s="3537"/>
      <c r="J32" s="37"/>
      <c r="K32" s="37"/>
      <c r="L32" s="37"/>
      <c r="M32" s="36">
        <v>37969.31</v>
      </c>
      <c r="N32" s="36">
        <v>37969.31</v>
      </c>
      <c r="O32" s="29"/>
      <c r="P32" s="11"/>
    </row>
    <row r="33" spans="1:16" hidden="1" outlineLevel="4">
      <c r="A33" s="3543" t="s">
        <v>1472</v>
      </c>
      <c r="B33" s="3543"/>
      <c r="C33" s="35"/>
      <c r="D33" s="35"/>
      <c r="E33" s="36">
        <v>3989.18</v>
      </c>
      <c r="F33" s="37"/>
      <c r="G33" s="36">
        <v>3989.18</v>
      </c>
      <c r="H33" s="37"/>
      <c r="I33" s="37"/>
      <c r="J33" s="37"/>
      <c r="K33" s="37"/>
      <c r="L33" s="37"/>
      <c r="M33" s="36">
        <v>3989.18</v>
      </c>
      <c r="N33" s="36">
        <v>3989.18</v>
      </c>
      <c r="O33" s="29"/>
      <c r="P33" s="11"/>
    </row>
    <row r="34" spans="1:16" hidden="1" outlineLevel="5">
      <c r="A34" s="3535" t="s">
        <v>1411</v>
      </c>
      <c r="B34" s="3535"/>
      <c r="C34" s="39"/>
      <c r="D34" s="39"/>
      <c r="E34" s="40">
        <v>235.22</v>
      </c>
      <c r="F34" s="41"/>
      <c r="G34" s="40">
        <v>235.22</v>
      </c>
      <c r="H34" s="41"/>
      <c r="I34" s="41"/>
      <c r="J34" s="41"/>
      <c r="K34" s="41"/>
      <c r="L34" s="41"/>
      <c r="M34" s="40">
        <v>235.22</v>
      </c>
      <c r="N34" s="40">
        <v>235.22</v>
      </c>
      <c r="O34" s="30"/>
      <c r="P34" s="12"/>
    </row>
    <row r="35" spans="1:16" hidden="1" outlineLevel="5">
      <c r="A35" s="3535" t="s">
        <v>1459</v>
      </c>
      <c r="B35" s="3535"/>
      <c r="C35" s="39"/>
      <c r="D35" s="39"/>
      <c r="E35" s="42">
        <v>3753.96</v>
      </c>
      <c r="F35" s="41"/>
      <c r="G35" s="42">
        <v>3753.96</v>
      </c>
      <c r="H35" s="41"/>
      <c r="I35" s="41"/>
      <c r="J35" s="41"/>
      <c r="K35" s="41"/>
      <c r="L35" s="41"/>
      <c r="M35" s="42">
        <v>3753.96</v>
      </c>
      <c r="N35" s="42">
        <v>3753.96</v>
      </c>
      <c r="O35" s="30"/>
      <c r="P35" s="12"/>
    </row>
    <row r="36" spans="1:16" hidden="1" outlineLevel="4">
      <c r="A36" s="3543" t="s">
        <v>1473</v>
      </c>
      <c r="B36" s="3543"/>
      <c r="C36" s="35"/>
      <c r="D36" s="35"/>
      <c r="E36" s="36">
        <v>6196.34</v>
      </c>
      <c r="F36" s="37"/>
      <c r="G36" s="36">
        <v>5492.96</v>
      </c>
      <c r="H36" s="3533">
        <v>703.38</v>
      </c>
      <c r="I36" s="3533"/>
      <c r="J36" s="37"/>
      <c r="K36" s="37"/>
      <c r="L36" s="37"/>
      <c r="M36" s="36">
        <v>6196.34</v>
      </c>
      <c r="N36" s="36">
        <v>6196.34</v>
      </c>
      <c r="O36" s="29"/>
      <c r="P36" s="11"/>
    </row>
    <row r="37" spans="1:16" hidden="1" outlineLevel="5">
      <c r="A37" s="3542" t="s">
        <v>1474</v>
      </c>
      <c r="B37" s="3542"/>
      <c r="C37" s="35"/>
      <c r="D37" s="35"/>
      <c r="E37" s="43">
        <v>638.97</v>
      </c>
      <c r="F37" s="37"/>
      <c r="G37" s="43">
        <v>133.75</v>
      </c>
      <c r="H37" s="3533">
        <v>505.22</v>
      </c>
      <c r="I37" s="3533"/>
      <c r="J37" s="37"/>
      <c r="K37" s="37"/>
      <c r="L37" s="37"/>
      <c r="M37" s="43">
        <v>638.97</v>
      </c>
      <c r="N37" s="43">
        <v>638.97</v>
      </c>
      <c r="O37" s="29"/>
      <c r="P37" s="11"/>
    </row>
    <row r="38" spans="1:16" hidden="1" outlineLevel="6">
      <c r="A38" s="3534" t="s">
        <v>1426</v>
      </c>
      <c r="B38" s="3534"/>
      <c r="C38" s="39"/>
      <c r="D38" s="39"/>
      <c r="E38" s="40">
        <v>84.49</v>
      </c>
      <c r="F38" s="41"/>
      <c r="G38" s="40">
        <v>77.8</v>
      </c>
      <c r="H38" s="3531">
        <v>6.69</v>
      </c>
      <c r="I38" s="3531"/>
      <c r="J38" s="41"/>
      <c r="K38" s="41"/>
      <c r="L38" s="41"/>
      <c r="M38" s="40">
        <v>84.49</v>
      </c>
      <c r="N38" s="40">
        <v>84.49</v>
      </c>
      <c r="O38" s="30"/>
      <c r="P38" s="12"/>
    </row>
    <row r="39" spans="1:16" hidden="1" outlineLevel="6">
      <c r="A39" s="3534" t="s">
        <v>1433</v>
      </c>
      <c r="B39" s="3534"/>
      <c r="C39" s="39"/>
      <c r="D39" s="39"/>
      <c r="E39" s="40">
        <v>498.53</v>
      </c>
      <c r="F39" s="41"/>
      <c r="G39" s="41"/>
      <c r="H39" s="3531">
        <v>498.53</v>
      </c>
      <c r="I39" s="3531"/>
      <c r="J39" s="41"/>
      <c r="K39" s="41"/>
      <c r="L39" s="41"/>
      <c r="M39" s="40">
        <v>498.53</v>
      </c>
      <c r="N39" s="40">
        <v>498.53</v>
      </c>
      <c r="O39" s="30"/>
      <c r="P39" s="12"/>
    </row>
    <row r="40" spans="1:16" hidden="1" outlineLevel="6">
      <c r="A40" s="3534" t="s">
        <v>1436</v>
      </c>
      <c r="B40" s="3534"/>
      <c r="C40" s="39"/>
      <c r="D40" s="39"/>
      <c r="E40" s="40">
        <v>55.95</v>
      </c>
      <c r="F40" s="41"/>
      <c r="G40" s="40">
        <v>55.95</v>
      </c>
      <c r="H40" s="41"/>
      <c r="I40" s="41"/>
      <c r="J40" s="41"/>
      <c r="K40" s="41"/>
      <c r="L40" s="41"/>
      <c r="M40" s="40">
        <v>55.95</v>
      </c>
      <c r="N40" s="40">
        <v>55.95</v>
      </c>
      <c r="O40" s="30"/>
      <c r="P40" s="12"/>
    </row>
    <row r="41" spans="1:16" hidden="1" outlineLevel="5" collapsed="1">
      <c r="A41" s="3535" t="s">
        <v>1427</v>
      </c>
      <c r="B41" s="3535"/>
      <c r="C41" s="39"/>
      <c r="D41" s="39"/>
      <c r="E41" s="40">
        <v>160.32</v>
      </c>
      <c r="F41" s="41"/>
      <c r="G41" s="40">
        <v>160.32</v>
      </c>
      <c r="H41" s="41"/>
      <c r="I41" s="41"/>
      <c r="J41" s="41"/>
      <c r="K41" s="41"/>
      <c r="L41" s="41"/>
      <c r="M41" s="40">
        <v>160.32</v>
      </c>
      <c r="N41" s="40">
        <v>160.32</v>
      </c>
      <c r="O41" s="30"/>
      <c r="P41" s="12"/>
    </row>
    <row r="42" spans="1:16" hidden="1" outlineLevel="5">
      <c r="A42" s="3542" t="s">
        <v>1475</v>
      </c>
      <c r="B42" s="3542"/>
      <c r="C42" s="35"/>
      <c r="D42" s="35"/>
      <c r="E42" s="36">
        <v>5397.05</v>
      </c>
      <c r="F42" s="37"/>
      <c r="G42" s="36">
        <v>5198.8900000000003</v>
      </c>
      <c r="H42" s="3533">
        <v>198.16</v>
      </c>
      <c r="I42" s="3533"/>
      <c r="J42" s="37"/>
      <c r="K42" s="37"/>
      <c r="L42" s="37"/>
      <c r="M42" s="36">
        <v>5397.05</v>
      </c>
      <c r="N42" s="36">
        <v>5397.05</v>
      </c>
      <c r="O42" s="29"/>
      <c r="P42" s="11"/>
    </row>
    <row r="43" spans="1:16" hidden="1" outlineLevel="6">
      <c r="A43" s="3545" t="s">
        <v>1476</v>
      </c>
      <c r="B43" s="3545"/>
      <c r="C43" s="35"/>
      <c r="D43" s="35"/>
      <c r="E43" s="36">
        <v>4593.3500000000004</v>
      </c>
      <c r="F43" s="37"/>
      <c r="G43" s="36">
        <v>4432.75</v>
      </c>
      <c r="H43" s="3533">
        <v>160.6</v>
      </c>
      <c r="I43" s="3533"/>
      <c r="J43" s="37"/>
      <c r="K43" s="37"/>
      <c r="L43" s="37"/>
      <c r="M43" s="36">
        <v>4593.3500000000004</v>
      </c>
      <c r="N43" s="36">
        <v>4593.3500000000004</v>
      </c>
      <c r="O43" s="29"/>
      <c r="P43" s="11"/>
    </row>
    <row r="44" spans="1:16" hidden="1" outlineLevel="7">
      <c r="A44" s="3544" t="s">
        <v>1437</v>
      </c>
      <c r="B44" s="3544"/>
      <c r="C44" s="39"/>
      <c r="D44" s="39"/>
      <c r="E44" s="42">
        <v>4435.12</v>
      </c>
      <c r="F44" s="41"/>
      <c r="G44" s="42">
        <v>4286.79</v>
      </c>
      <c r="H44" s="3531">
        <v>148.33000000000001</v>
      </c>
      <c r="I44" s="3531"/>
      <c r="J44" s="41"/>
      <c r="K44" s="41"/>
      <c r="L44" s="41"/>
      <c r="M44" s="42">
        <v>4435.12</v>
      </c>
      <c r="N44" s="42">
        <v>4435.12</v>
      </c>
      <c r="O44" s="30"/>
      <c r="P44" s="12"/>
    </row>
    <row r="45" spans="1:16" hidden="1" outlineLevel="7">
      <c r="A45" s="3544" t="s">
        <v>1438</v>
      </c>
      <c r="B45" s="3544"/>
      <c r="C45" s="39"/>
      <c r="D45" s="39"/>
      <c r="E45" s="40">
        <v>158.22999999999999</v>
      </c>
      <c r="F45" s="41"/>
      <c r="G45" s="40">
        <v>145.96</v>
      </c>
      <c r="H45" s="3531">
        <v>12.27</v>
      </c>
      <c r="I45" s="3531"/>
      <c r="J45" s="41"/>
      <c r="K45" s="41"/>
      <c r="L45" s="41"/>
      <c r="M45" s="40">
        <v>158.22999999999999</v>
      </c>
      <c r="N45" s="40">
        <v>158.22999999999999</v>
      </c>
      <c r="O45" s="30"/>
      <c r="P45" s="12"/>
    </row>
    <row r="46" spans="1:16" hidden="1" outlineLevel="6" collapsed="1">
      <c r="A46" s="3545" t="s">
        <v>1477</v>
      </c>
      <c r="B46" s="3545"/>
      <c r="C46" s="35"/>
      <c r="D46" s="35"/>
      <c r="E46" s="43">
        <v>803.7</v>
      </c>
      <c r="F46" s="37"/>
      <c r="G46" s="43">
        <v>766.14</v>
      </c>
      <c r="H46" s="3533">
        <v>37.56</v>
      </c>
      <c r="I46" s="3533"/>
      <c r="J46" s="37"/>
      <c r="K46" s="37"/>
      <c r="L46" s="37"/>
      <c r="M46" s="43">
        <v>803.7</v>
      </c>
      <c r="N46" s="43">
        <v>803.7</v>
      </c>
      <c r="O46" s="29"/>
      <c r="P46" s="11"/>
    </row>
    <row r="47" spans="1:16" hidden="1" outlineLevel="7">
      <c r="A47" s="3544" t="s">
        <v>1439</v>
      </c>
      <c r="B47" s="3544"/>
      <c r="C47" s="39"/>
      <c r="D47" s="39"/>
      <c r="E47" s="40">
        <v>67.88</v>
      </c>
      <c r="F47" s="41"/>
      <c r="G47" s="40">
        <v>67.88</v>
      </c>
      <c r="H47" s="41"/>
      <c r="I47" s="41"/>
      <c r="J47" s="41"/>
      <c r="K47" s="41"/>
      <c r="L47" s="41"/>
      <c r="M47" s="40">
        <v>67.88</v>
      </c>
      <c r="N47" s="40">
        <v>67.88</v>
      </c>
      <c r="O47" s="30"/>
      <c r="P47" s="12"/>
    </row>
    <row r="48" spans="1:16" hidden="1" outlineLevel="7">
      <c r="A48" s="3544" t="s">
        <v>1440</v>
      </c>
      <c r="B48" s="3544"/>
      <c r="C48" s="39"/>
      <c r="D48" s="39"/>
      <c r="E48" s="40">
        <v>7.41</v>
      </c>
      <c r="F48" s="41"/>
      <c r="G48" s="40">
        <v>4.47</v>
      </c>
      <c r="H48" s="3531">
        <v>2.94</v>
      </c>
      <c r="I48" s="3531"/>
      <c r="J48" s="41"/>
      <c r="K48" s="41"/>
      <c r="L48" s="41"/>
      <c r="M48" s="40">
        <v>7.41</v>
      </c>
      <c r="N48" s="40">
        <v>7.41</v>
      </c>
      <c r="O48" s="30"/>
      <c r="P48" s="12"/>
    </row>
    <row r="49" spans="1:16" hidden="1" outlineLevel="7">
      <c r="A49" s="3544" t="s">
        <v>1441</v>
      </c>
      <c r="B49" s="3544"/>
      <c r="C49" s="39"/>
      <c r="D49" s="39"/>
      <c r="E49" s="40">
        <v>0.67</v>
      </c>
      <c r="F49" s="41"/>
      <c r="G49" s="41"/>
      <c r="H49" s="3531">
        <v>0.67</v>
      </c>
      <c r="I49" s="3531"/>
      <c r="J49" s="41"/>
      <c r="K49" s="41"/>
      <c r="L49" s="41"/>
      <c r="M49" s="40">
        <v>0.67</v>
      </c>
      <c r="N49" s="40">
        <v>0.67</v>
      </c>
      <c r="O49" s="30"/>
      <c r="P49" s="12"/>
    </row>
    <row r="50" spans="1:16" hidden="1" outlineLevel="7">
      <c r="A50" s="3544" t="s">
        <v>1442</v>
      </c>
      <c r="B50" s="3544"/>
      <c r="C50" s="39"/>
      <c r="D50" s="39"/>
      <c r="E50" s="40">
        <v>689.75</v>
      </c>
      <c r="F50" s="41"/>
      <c r="G50" s="40">
        <v>657.7</v>
      </c>
      <c r="H50" s="3531">
        <v>32.049999999999997</v>
      </c>
      <c r="I50" s="3531"/>
      <c r="J50" s="41"/>
      <c r="K50" s="41"/>
      <c r="L50" s="41"/>
      <c r="M50" s="40">
        <v>689.75</v>
      </c>
      <c r="N50" s="40">
        <v>689.75</v>
      </c>
      <c r="O50" s="30"/>
      <c r="P50" s="12"/>
    </row>
    <row r="51" spans="1:16" hidden="1" outlineLevel="7">
      <c r="A51" s="3544" t="s">
        <v>1443</v>
      </c>
      <c r="B51" s="3544"/>
      <c r="C51" s="39"/>
      <c r="D51" s="39"/>
      <c r="E51" s="40">
        <v>37.99</v>
      </c>
      <c r="F51" s="41"/>
      <c r="G51" s="40">
        <v>36.090000000000003</v>
      </c>
      <c r="H51" s="3531">
        <v>1.9</v>
      </c>
      <c r="I51" s="3531"/>
      <c r="J51" s="41"/>
      <c r="K51" s="41"/>
      <c r="L51" s="41"/>
      <c r="M51" s="40">
        <v>37.99</v>
      </c>
      <c r="N51" s="40">
        <v>37.99</v>
      </c>
      <c r="O51" s="30"/>
      <c r="P51" s="12"/>
    </row>
    <row r="52" spans="1:16" hidden="1" outlineLevel="4" collapsed="1">
      <c r="A52" s="3543" t="s">
        <v>1478</v>
      </c>
      <c r="B52" s="3543"/>
      <c r="C52" s="35"/>
      <c r="D52" s="35"/>
      <c r="E52" s="36">
        <v>27783.79</v>
      </c>
      <c r="F52" s="36">
        <v>12854.52</v>
      </c>
      <c r="G52" s="36">
        <v>13536.35</v>
      </c>
      <c r="H52" s="3537">
        <v>1392.92</v>
      </c>
      <c r="I52" s="3537"/>
      <c r="J52" s="37"/>
      <c r="K52" s="37"/>
      <c r="L52" s="37"/>
      <c r="M52" s="36">
        <v>27783.79</v>
      </c>
      <c r="N52" s="36">
        <v>27783.79</v>
      </c>
      <c r="O52" s="29"/>
      <c r="P52" s="11"/>
    </row>
    <row r="53" spans="1:16" hidden="1" outlineLevel="5">
      <c r="A53" s="3542" t="s">
        <v>1479</v>
      </c>
      <c r="B53" s="3542"/>
      <c r="C53" s="35"/>
      <c r="D53" s="35"/>
      <c r="E53" s="36">
        <v>19075.84</v>
      </c>
      <c r="F53" s="36">
        <v>10599.37</v>
      </c>
      <c r="G53" s="36">
        <v>7729.55</v>
      </c>
      <c r="H53" s="3533">
        <v>746.92</v>
      </c>
      <c r="I53" s="3533"/>
      <c r="J53" s="37"/>
      <c r="K53" s="37"/>
      <c r="L53" s="37"/>
      <c r="M53" s="36">
        <v>19075.84</v>
      </c>
      <c r="N53" s="36">
        <v>19075.84</v>
      </c>
      <c r="O53" s="29"/>
      <c r="P53" s="11"/>
    </row>
    <row r="54" spans="1:16" hidden="1" outlineLevel="6">
      <c r="A54" s="3534" t="s">
        <v>1327</v>
      </c>
      <c r="B54" s="3534"/>
      <c r="C54" s="39"/>
      <c r="D54" s="39"/>
      <c r="E54" s="42">
        <v>15794</v>
      </c>
      <c r="F54" s="42">
        <v>10599.37</v>
      </c>
      <c r="G54" s="42">
        <v>4957.45</v>
      </c>
      <c r="H54" s="3531">
        <v>237.18</v>
      </c>
      <c r="I54" s="3531"/>
      <c r="J54" s="41"/>
      <c r="K54" s="41"/>
      <c r="L54" s="41"/>
      <c r="M54" s="42">
        <v>15794</v>
      </c>
      <c r="N54" s="42">
        <v>15794</v>
      </c>
      <c r="O54" s="30"/>
      <c r="P54" s="12"/>
    </row>
    <row r="55" spans="1:16" hidden="1" outlineLevel="6">
      <c r="A55" s="3534" t="s">
        <v>1328</v>
      </c>
      <c r="B55" s="3534"/>
      <c r="C55" s="39"/>
      <c r="D55" s="39"/>
      <c r="E55" s="42">
        <v>3281.84</v>
      </c>
      <c r="F55" s="41"/>
      <c r="G55" s="42">
        <v>2772.1</v>
      </c>
      <c r="H55" s="3531">
        <v>509.74</v>
      </c>
      <c r="I55" s="3531"/>
      <c r="J55" s="41"/>
      <c r="K55" s="41"/>
      <c r="L55" s="41"/>
      <c r="M55" s="42">
        <v>3281.84</v>
      </c>
      <c r="N55" s="42">
        <v>3281.84</v>
      </c>
      <c r="O55" s="30"/>
      <c r="P55" s="12"/>
    </row>
    <row r="56" spans="1:16" hidden="1" outlineLevel="5" collapsed="1">
      <c r="A56" s="3542" t="s">
        <v>1480</v>
      </c>
      <c r="B56" s="3542"/>
      <c r="C56" s="35"/>
      <c r="D56" s="35"/>
      <c r="E56" s="36">
        <v>1306.73</v>
      </c>
      <c r="F56" s="43">
        <v>148.22999999999999</v>
      </c>
      <c r="G56" s="36">
        <v>1149.3900000000001</v>
      </c>
      <c r="H56" s="3533">
        <v>9.11</v>
      </c>
      <c r="I56" s="3533"/>
      <c r="J56" s="37"/>
      <c r="K56" s="37"/>
      <c r="L56" s="37"/>
      <c r="M56" s="36">
        <v>1306.73</v>
      </c>
      <c r="N56" s="36">
        <v>1306.73</v>
      </c>
      <c r="O56" s="29"/>
      <c r="P56" s="11"/>
    </row>
    <row r="57" spans="1:16" hidden="1" outlineLevel="6">
      <c r="A57" s="3534" t="s">
        <v>1350</v>
      </c>
      <c r="B57" s="3534"/>
      <c r="C57" s="39"/>
      <c r="D57" s="39"/>
      <c r="E57" s="40">
        <v>347.57</v>
      </c>
      <c r="F57" s="41"/>
      <c r="G57" s="40">
        <v>345.14</v>
      </c>
      <c r="H57" s="3531">
        <v>2.4300000000000002</v>
      </c>
      <c r="I57" s="3531"/>
      <c r="J57" s="41"/>
      <c r="K57" s="41"/>
      <c r="L57" s="41"/>
      <c r="M57" s="40">
        <v>347.57</v>
      </c>
      <c r="N57" s="40">
        <v>347.57</v>
      </c>
      <c r="O57" s="30"/>
      <c r="P57" s="12"/>
    </row>
    <row r="58" spans="1:16" hidden="1" outlineLevel="6">
      <c r="A58" s="3534" t="s">
        <v>1352</v>
      </c>
      <c r="B58" s="3534"/>
      <c r="C58" s="39"/>
      <c r="D58" s="39"/>
      <c r="E58" s="40">
        <v>399.04</v>
      </c>
      <c r="F58" s="40">
        <v>148.22999999999999</v>
      </c>
      <c r="G58" s="40">
        <v>245.13</v>
      </c>
      <c r="H58" s="3531">
        <v>5.68</v>
      </c>
      <c r="I58" s="3531"/>
      <c r="J58" s="41"/>
      <c r="K58" s="41"/>
      <c r="L58" s="41"/>
      <c r="M58" s="40">
        <v>399.04</v>
      </c>
      <c r="N58" s="40">
        <v>399.04</v>
      </c>
      <c r="O58" s="30"/>
      <c r="P58" s="12"/>
    </row>
    <row r="59" spans="1:16" hidden="1" outlineLevel="6">
      <c r="A59" s="3534" t="s">
        <v>1354</v>
      </c>
      <c r="B59" s="3534"/>
      <c r="C59" s="39"/>
      <c r="D59" s="39"/>
      <c r="E59" s="40">
        <v>383.26</v>
      </c>
      <c r="F59" s="41"/>
      <c r="G59" s="40">
        <v>383.26</v>
      </c>
      <c r="H59" s="41"/>
      <c r="I59" s="41"/>
      <c r="J59" s="41"/>
      <c r="K59" s="41"/>
      <c r="L59" s="41"/>
      <c r="M59" s="40">
        <v>383.26</v>
      </c>
      <c r="N59" s="40">
        <v>383.26</v>
      </c>
      <c r="O59" s="30"/>
      <c r="P59" s="12"/>
    </row>
    <row r="60" spans="1:16" hidden="1" outlineLevel="6">
      <c r="A60" s="3534" t="s">
        <v>1357</v>
      </c>
      <c r="B60" s="3534"/>
      <c r="C60" s="39"/>
      <c r="D60" s="39"/>
      <c r="E60" s="40">
        <v>176.86</v>
      </c>
      <c r="F60" s="41"/>
      <c r="G60" s="40">
        <v>175.86</v>
      </c>
      <c r="H60" s="3531">
        <v>1</v>
      </c>
      <c r="I60" s="3531"/>
      <c r="J60" s="41"/>
      <c r="K60" s="41"/>
      <c r="L60" s="41"/>
      <c r="M60" s="40">
        <v>176.86</v>
      </c>
      <c r="N60" s="40">
        <v>176.86</v>
      </c>
      <c r="O60" s="30"/>
      <c r="P60" s="12"/>
    </row>
    <row r="61" spans="1:16" hidden="1" outlineLevel="5" collapsed="1">
      <c r="A61" s="3542" t="s">
        <v>1481</v>
      </c>
      <c r="B61" s="3542"/>
      <c r="C61" s="35"/>
      <c r="D61" s="35"/>
      <c r="E61" s="36">
        <v>5443.23</v>
      </c>
      <c r="F61" s="36">
        <v>1926.34</v>
      </c>
      <c r="G61" s="36">
        <v>3159.37</v>
      </c>
      <c r="H61" s="3533">
        <v>357.52</v>
      </c>
      <c r="I61" s="3533"/>
      <c r="J61" s="37"/>
      <c r="K61" s="37"/>
      <c r="L61" s="37"/>
      <c r="M61" s="36">
        <v>5443.23</v>
      </c>
      <c r="N61" s="36">
        <v>5443.23</v>
      </c>
      <c r="O61" s="29"/>
      <c r="P61" s="11"/>
    </row>
    <row r="62" spans="1:16" hidden="1" outlineLevel="6">
      <c r="A62" s="3534" t="s">
        <v>1351</v>
      </c>
      <c r="B62" s="3534"/>
      <c r="C62" s="39"/>
      <c r="D62" s="39"/>
      <c r="E62" s="40">
        <v>175.22</v>
      </c>
      <c r="F62" s="41"/>
      <c r="G62" s="40">
        <v>131.93</v>
      </c>
      <c r="H62" s="3531">
        <v>43.29</v>
      </c>
      <c r="I62" s="3531"/>
      <c r="J62" s="41"/>
      <c r="K62" s="41"/>
      <c r="L62" s="41"/>
      <c r="M62" s="40">
        <v>175.22</v>
      </c>
      <c r="N62" s="40">
        <v>175.22</v>
      </c>
      <c r="O62" s="30"/>
      <c r="P62" s="12"/>
    </row>
    <row r="63" spans="1:16" hidden="1" outlineLevel="6">
      <c r="A63" s="3534" t="s">
        <v>1353</v>
      </c>
      <c r="B63" s="3534"/>
      <c r="C63" s="39"/>
      <c r="D63" s="39"/>
      <c r="E63" s="42">
        <v>3071.39</v>
      </c>
      <c r="F63" s="42">
        <v>1926.34</v>
      </c>
      <c r="G63" s="42">
        <v>1107.9000000000001</v>
      </c>
      <c r="H63" s="3531">
        <v>37.15</v>
      </c>
      <c r="I63" s="3531"/>
      <c r="J63" s="41"/>
      <c r="K63" s="41"/>
      <c r="L63" s="41"/>
      <c r="M63" s="42">
        <v>3071.39</v>
      </c>
      <c r="N63" s="42">
        <v>3071.39</v>
      </c>
      <c r="O63" s="30"/>
      <c r="P63" s="12"/>
    </row>
    <row r="64" spans="1:16" hidden="1" outlineLevel="6">
      <c r="A64" s="3534" t="s">
        <v>1355</v>
      </c>
      <c r="B64" s="3534"/>
      <c r="C64" s="39"/>
      <c r="D64" s="39"/>
      <c r="E64" s="40">
        <v>135.16999999999999</v>
      </c>
      <c r="F64" s="41"/>
      <c r="G64" s="40">
        <v>35.06</v>
      </c>
      <c r="H64" s="3531">
        <v>100.11</v>
      </c>
      <c r="I64" s="3531"/>
      <c r="J64" s="41"/>
      <c r="K64" s="41"/>
      <c r="L64" s="41"/>
      <c r="M64" s="40">
        <v>135.16999999999999</v>
      </c>
      <c r="N64" s="40">
        <v>135.16999999999999</v>
      </c>
      <c r="O64" s="30"/>
      <c r="P64" s="12"/>
    </row>
    <row r="65" spans="1:18" hidden="1" outlineLevel="6">
      <c r="A65" s="3534" t="s">
        <v>1356</v>
      </c>
      <c r="B65" s="3534"/>
      <c r="C65" s="39"/>
      <c r="D65" s="39"/>
      <c r="E65" s="42">
        <v>1944.65</v>
      </c>
      <c r="F65" s="41"/>
      <c r="G65" s="42">
        <v>1770.97</v>
      </c>
      <c r="H65" s="3531">
        <v>173.68</v>
      </c>
      <c r="I65" s="3531"/>
      <c r="J65" s="41"/>
      <c r="K65" s="41"/>
      <c r="L65" s="41"/>
      <c r="M65" s="42">
        <v>1944.65</v>
      </c>
      <c r="N65" s="42">
        <v>1944.65</v>
      </c>
      <c r="O65" s="30"/>
      <c r="P65" s="12"/>
    </row>
    <row r="66" spans="1:18" hidden="1" outlineLevel="6">
      <c r="A66" s="3534" t="s">
        <v>1358</v>
      </c>
      <c r="B66" s="3534"/>
      <c r="C66" s="39"/>
      <c r="D66" s="39"/>
      <c r="E66" s="40">
        <v>37.01</v>
      </c>
      <c r="F66" s="41"/>
      <c r="G66" s="40">
        <v>36.4</v>
      </c>
      <c r="H66" s="3531">
        <v>0.61</v>
      </c>
      <c r="I66" s="3531"/>
      <c r="J66" s="41"/>
      <c r="K66" s="41"/>
      <c r="L66" s="41"/>
      <c r="M66" s="40">
        <v>37.01</v>
      </c>
      <c r="N66" s="40">
        <v>37.01</v>
      </c>
      <c r="O66" s="30"/>
      <c r="P66" s="12"/>
    </row>
    <row r="67" spans="1:18" hidden="1" outlineLevel="6">
      <c r="A67" s="3534" t="s">
        <v>1359</v>
      </c>
      <c r="B67" s="3534"/>
      <c r="C67" s="39"/>
      <c r="D67" s="39"/>
      <c r="E67" s="40">
        <v>69.7</v>
      </c>
      <c r="F67" s="41"/>
      <c r="G67" s="40">
        <v>67.02</v>
      </c>
      <c r="H67" s="3531">
        <v>2.68</v>
      </c>
      <c r="I67" s="3531"/>
      <c r="J67" s="41"/>
      <c r="K67" s="41"/>
      <c r="L67" s="41"/>
      <c r="M67" s="40">
        <v>69.7</v>
      </c>
      <c r="N67" s="40">
        <v>69.7</v>
      </c>
      <c r="O67" s="30"/>
      <c r="P67" s="12"/>
    </row>
    <row r="68" spans="1:18" hidden="1" outlineLevel="6">
      <c r="A68" s="3534" t="s">
        <v>1360</v>
      </c>
      <c r="B68" s="3534"/>
      <c r="C68" s="39"/>
      <c r="D68" s="39"/>
      <c r="E68" s="40">
        <v>10.09</v>
      </c>
      <c r="F68" s="41"/>
      <c r="G68" s="40">
        <v>10.09</v>
      </c>
      <c r="H68" s="41"/>
      <c r="I68" s="41"/>
      <c r="J68" s="41"/>
      <c r="K68" s="41"/>
      <c r="L68" s="41"/>
      <c r="M68" s="40">
        <v>10.09</v>
      </c>
      <c r="N68" s="40">
        <v>10.09</v>
      </c>
      <c r="O68" s="30"/>
      <c r="P68" s="12"/>
    </row>
    <row r="69" spans="1:18" hidden="1" outlineLevel="5" collapsed="1">
      <c r="A69" s="3542" t="s">
        <v>1482</v>
      </c>
      <c r="B69" s="3542"/>
      <c r="C69" s="35"/>
      <c r="D69" s="35"/>
      <c r="E69" s="36">
        <v>1957.99</v>
      </c>
      <c r="F69" s="43">
        <v>180.58</v>
      </c>
      <c r="G69" s="36">
        <v>1498.04</v>
      </c>
      <c r="H69" s="3533">
        <v>279.37</v>
      </c>
      <c r="I69" s="3533"/>
      <c r="J69" s="37"/>
      <c r="K69" s="37"/>
      <c r="L69" s="37"/>
      <c r="M69" s="36">
        <v>1957.99</v>
      </c>
      <c r="N69" s="36">
        <v>1957.99</v>
      </c>
      <c r="O69" s="29"/>
      <c r="P69" s="11"/>
    </row>
    <row r="70" spans="1:18" hidden="1" outlineLevel="6">
      <c r="A70" s="3534" t="s">
        <v>1368</v>
      </c>
      <c r="B70" s="3534"/>
      <c r="C70" s="39"/>
      <c r="D70" s="39"/>
      <c r="E70" s="40">
        <v>153.76</v>
      </c>
      <c r="F70" s="41"/>
      <c r="G70" s="40">
        <v>145.91</v>
      </c>
      <c r="H70" s="3531">
        <v>7.85</v>
      </c>
      <c r="I70" s="3531"/>
      <c r="J70" s="41"/>
      <c r="K70" s="41"/>
      <c r="L70" s="41"/>
      <c r="M70" s="40">
        <v>153.76</v>
      </c>
      <c r="N70" s="40">
        <v>153.76</v>
      </c>
      <c r="O70" s="30"/>
      <c r="P70" s="12"/>
    </row>
    <row r="71" spans="1:18" hidden="1" outlineLevel="6">
      <c r="A71" s="3534" t="s">
        <v>1369</v>
      </c>
      <c r="B71" s="3534"/>
      <c r="C71" s="39"/>
      <c r="D71" s="39"/>
      <c r="E71" s="40">
        <v>84.33</v>
      </c>
      <c r="F71" s="41"/>
      <c r="G71" s="40">
        <v>44.63</v>
      </c>
      <c r="H71" s="3531">
        <v>39.700000000000003</v>
      </c>
      <c r="I71" s="3531"/>
      <c r="J71" s="41"/>
      <c r="K71" s="41"/>
      <c r="L71" s="41"/>
      <c r="M71" s="40">
        <v>84.33</v>
      </c>
      <c r="N71" s="40">
        <v>84.33</v>
      </c>
      <c r="O71" s="30"/>
      <c r="P71" s="12"/>
    </row>
    <row r="72" spans="1:18" hidden="1" outlineLevel="6">
      <c r="A72" s="3534" t="s">
        <v>1370</v>
      </c>
      <c r="B72" s="3534"/>
      <c r="C72" s="39"/>
      <c r="D72" s="39"/>
      <c r="E72" s="40">
        <v>498.17</v>
      </c>
      <c r="F72" s="41"/>
      <c r="G72" s="40">
        <v>457.99</v>
      </c>
      <c r="H72" s="3531">
        <v>40.18</v>
      </c>
      <c r="I72" s="3531"/>
      <c r="J72" s="41"/>
      <c r="K72" s="41"/>
      <c r="L72" s="41"/>
      <c r="M72" s="40">
        <v>498.17</v>
      </c>
      <c r="N72" s="40">
        <v>498.17</v>
      </c>
      <c r="O72" s="30"/>
      <c r="P72" s="12"/>
    </row>
    <row r="73" spans="1:18" hidden="1" outlineLevel="6">
      <c r="A73" s="3534" t="s">
        <v>1371</v>
      </c>
      <c r="B73" s="3534"/>
      <c r="C73" s="39"/>
      <c r="D73" s="39"/>
      <c r="E73" s="40">
        <v>290.06</v>
      </c>
      <c r="F73" s="41"/>
      <c r="G73" s="40">
        <v>173.78</v>
      </c>
      <c r="H73" s="3531">
        <v>116.28</v>
      </c>
      <c r="I73" s="3531"/>
      <c r="J73" s="41"/>
      <c r="K73" s="41"/>
      <c r="L73" s="41"/>
      <c r="M73" s="40">
        <v>290.06</v>
      </c>
      <c r="N73" s="40">
        <v>290.06</v>
      </c>
      <c r="O73" s="30"/>
      <c r="P73" s="12"/>
    </row>
    <row r="74" spans="1:18" hidden="1" outlineLevel="6">
      <c r="A74" s="3534" t="s">
        <v>1372</v>
      </c>
      <c r="B74" s="3534"/>
      <c r="C74" s="39"/>
      <c r="D74" s="39"/>
      <c r="E74" s="40">
        <v>70.37</v>
      </c>
      <c r="F74" s="41"/>
      <c r="G74" s="40">
        <v>28.54</v>
      </c>
      <c r="H74" s="3531">
        <v>41.83</v>
      </c>
      <c r="I74" s="3531"/>
      <c r="J74" s="41"/>
      <c r="K74" s="41"/>
      <c r="L74" s="41"/>
      <c r="M74" s="40">
        <v>70.37</v>
      </c>
      <c r="N74" s="40">
        <v>70.37</v>
      </c>
      <c r="O74" s="30"/>
      <c r="P74" s="12"/>
    </row>
    <row r="75" spans="1:18" hidden="1" outlineLevel="6">
      <c r="A75" s="3534" t="s">
        <v>1373</v>
      </c>
      <c r="B75" s="3534"/>
      <c r="C75" s="39"/>
      <c r="D75" s="39"/>
      <c r="E75" s="40">
        <v>46.21</v>
      </c>
      <c r="F75" s="41"/>
      <c r="G75" s="40">
        <v>46.04</v>
      </c>
      <c r="H75" s="3531">
        <v>0.17</v>
      </c>
      <c r="I75" s="3531"/>
      <c r="J75" s="41"/>
      <c r="K75" s="41"/>
      <c r="L75" s="41"/>
      <c r="M75" s="40">
        <v>46.21</v>
      </c>
      <c r="N75" s="40">
        <v>46.21</v>
      </c>
      <c r="O75" s="30"/>
      <c r="P75" s="12"/>
    </row>
    <row r="76" spans="1:18" hidden="1" outlineLevel="6">
      <c r="A76" s="3534" t="s">
        <v>1374</v>
      </c>
      <c r="B76" s="3534"/>
      <c r="C76" s="39"/>
      <c r="D76" s="39"/>
      <c r="E76" s="40">
        <v>45.32</v>
      </c>
      <c r="F76" s="41"/>
      <c r="G76" s="40">
        <v>34.32</v>
      </c>
      <c r="H76" s="3531">
        <v>11</v>
      </c>
      <c r="I76" s="3531"/>
      <c r="J76" s="41"/>
      <c r="K76" s="41"/>
      <c r="L76" s="41"/>
      <c r="M76" s="40">
        <v>45.32</v>
      </c>
      <c r="N76" s="40">
        <v>45.32</v>
      </c>
      <c r="O76" s="30"/>
      <c r="P76" s="12"/>
    </row>
    <row r="77" spans="1:18" hidden="1" outlineLevel="6">
      <c r="A77" s="3534" t="s">
        <v>1375</v>
      </c>
      <c r="B77" s="3534"/>
      <c r="C77" s="39"/>
      <c r="D77" s="39"/>
      <c r="E77" s="40">
        <v>80.680000000000007</v>
      </c>
      <c r="F77" s="40">
        <v>8.56</v>
      </c>
      <c r="G77" s="40">
        <v>69.62</v>
      </c>
      <c r="H77" s="3531">
        <v>2.5</v>
      </c>
      <c r="I77" s="3531"/>
      <c r="J77" s="41"/>
      <c r="K77" s="41"/>
      <c r="L77" s="41"/>
      <c r="M77" s="40">
        <v>80.680000000000007</v>
      </c>
      <c r="N77" s="40">
        <v>80.680000000000007</v>
      </c>
      <c r="O77" s="30"/>
      <c r="P77" s="12"/>
    </row>
    <row r="78" spans="1:18" hidden="1" outlineLevel="6">
      <c r="A78" s="3534" t="s">
        <v>1376</v>
      </c>
      <c r="B78" s="3534"/>
      <c r="C78" s="39"/>
      <c r="D78" s="39"/>
      <c r="E78" s="40">
        <v>676.56</v>
      </c>
      <c r="F78" s="40">
        <v>172.02</v>
      </c>
      <c r="G78" s="40">
        <v>486.2</v>
      </c>
      <c r="H78" s="3531">
        <v>18.34</v>
      </c>
      <c r="I78" s="3531"/>
      <c r="J78" s="41"/>
      <c r="K78" s="41"/>
      <c r="L78" s="41"/>
      <c r="M78" s="40">
        <v>676.56</v>
      </c>
      <c r="N78" s="40">
        <v>676.56</v>
      </c>
      <c r="O78" s="30"/>
      <c r="P78" s="12"/>
    </row>
    <row r="79" spans="1:18" hidden="1" outlineLevel="6">
      <c r="A79" s="3534" t="s">
        <v>1377</v>
      </c>
      <c r="B79" s="3534"/>
      <c r="C79" s="39"/>
      <c r="D79" s="39"/>
      <c r="E79" s="40">
        <v>12.53</v>
      </c>
      <c r="F79" s="41"/>
      <c r="G79" s="40">
        <v>11.01</v>
      </c>
      <c r="H79" s="3531">
        <v>1.52</v>
      </c>
      <c r="I79" s="3531"/>
      <c r="J79" s="41"/>
      <c r="K79" s="41"/>
      <c r="L79" s="41"/>
      <c r="M79" s="40">
        <v>12.53</v>
      </c>
      <c r="N79" s="40">
        <v>12.53</v>
      </c>
      <c r="O79" s="30"/>
      <c r="P79" s="12"/>
    </row>
    <row r="80" spans="1:18" outlineLevel="3" collapsed="1">
      <c r="A80" s="3541" t="s">
        <v>1483</v>
      </c>
      <c r="B80" s="3541"/>
      <c r="C80" s="35"/>
      <c r="D80" s="35"/>
      <c r="E80" s="36">
        <v>35245.67</v>
      </c>
      <c r="F80" s="43">
        <v>997.61</v>
      </c>
      <c r="G80" s="36">
        <v>28134.75</v>
      </c>
      <c r="H80" s="3537">
        <v>6113.31</v>
      </c>
      <c r="I80" s="3537"/>
      <c r="J80" s="37"/>
      <c r="K80" s="37"/>
      <c r="L80" s="37"/>
      <c r="M80" s="36">
        <v>35245.67</v>
      </c>
      <c r="N80" s="36">
        <v>35245.67</v>
      </c>
      <c r="O80" s="29"/>
      <c r="P80" s="11"/>
      <c r="Q80" s="27"/>
      <c r="R80" s="27"/>
    </row>
    <row r="81" spans="1:16" hidden="1" outlineLevel="4">
      <c r="A81" s="3543" t="s">
        <v>1484</v>
      </c>
      <c r="B81" s="3543"/>
      <c r="C81" s="35"/>
      <c r="D81" s="35"/>
      <c r="E81" s="43">
        <v>506.46</v>
      </c>
      <c r="F81" s="37"/>
      <c r="G81" s="43">
        <v>506.46</v>
      </c>
      <c r="H81" s="37"/>
      <c r="I81" s="37"/>
      <c r="J81" s="37"/>
      <c r="K81" s="37"/>
      <c r="L81" s="37"/>
      <c r="M81" s="43">
        <v>506.46</v>
      </c>
      <c r="N81" s="43">
        <v>506.46</v>
      </c>
      <c r="O81" s="29"/>
      <c r="P81" s="11"/>
    </row>
    <row r="82" spans="1:16" hidden="1" outlineLevel="5">
      <c r="A82" s="3535" t="s">
        <v>1321</v>
      </c>
      <c r="B82" s="3535"/>
      <c r="C82" s="39"/>
      <c r="D82" s="39"/>
      <c r="E82" s="40">
        <v>27.98</v>
      </c>
      <c r="F82" s="41"/>
      <c r="G82" s="40">
        <v>27.98</v>
      </c>
      <c r="H82" s="41"/>
      <c r="I82" s="41"/>
      <c r="J82" s="41"/>
      <c r="K82" s="41"/>
      <c r="L82" s="41"/>
      <c r="M82" s="40">
        <v>27.98</v>
      </c>
      <c r="N82" s="40">
        <v>27.98</v>
      </c>
      <c r="O82" s="30"/>
      <c r="P82" s="12"/>
    </row>
    <row r="83" spans="1:16" hidden="1" outlineLevel="5">
      <c r="A83" s="3535" t="s">
        <v>1322</v>
      </c>
      <c r="B83" s="3535"/>
      <c r="C83" s="39"/>
      <c r="D83" s="39"/>
      <c r="E83" s="40">
        <v>75.61</v>
      </c>
      <c r="F83" s="41"/>
      <c r="G83" s="40">
        <v>75.61</v>
      </c>
      <c r="H83" s="41"/>
      <c r="I83" s="41"/>
      <c r="J83" s="41"/>
      <c r="K83" s="41"/>
      <c r="L83" s="41"/>
      <c r="M83" s="40">
        <v>75.61</v>
      </c>
      <c r="N83" s="40">
        <v>75.61</v>
      </c>
      <c r="O83" s="30"/>
      <c r="P83" s="12"/>
    </row>
    <row r="84" spans="1:16" hidden="1" outlineLevel="5">
      <c r="A84" s="3535" t="s">
        <v>1323</v>
      </c>
      <c r="B84" s="3535"/>
      <c r="C84" s="39"/>
      <c r="D84" s="39"/>
      <c r="E84" s="40">
        <v>402.87</v>
      </c>
      <c r="F84" s="41"/>
      <c r="G84" s="40">
        <v>402.87</v>
      </c>
      <c r="H84" s="41"/>
      <c r="I84" s="41"/>
      <c r="J84" s="41"/>
      <c r="K84" s="41"/>
      <c r="L84" s="41"/>
      <c r="M84" s="40">
        <v>402.87</v>
      </c>
      <c r="N84" s="40">
        <v>402.87</v>
      </c>
      <c r="O84" s="30"/>
      <c r="P84" s="12"/>
    </row>
    <row r="85" spans="1:16" hidden="1" outlineLevel="4">
      <c r="A85" s="3543" t="s">
        <v>1485</v>
      </c>
      <c r="B85" s="3543"/>
      <c r="C85" s="35"/>
      <c r="D85" s="35"/>
      <c r="E85" s="36">
        <v>6212.53</v>
      </c>
      <c r="F85" s="43">
        <v>74.5</v>
      </c>
      <c r="G85" s="36">
        <v>5859.97</v>
      </c>
      <c r="H85" s="3533">
        <v>278.06</v>
      </c>
      <c r="I85" s="3533"/>
      <c r="J85" s="37"/>
      <c r="K85" s="37"/>
      <c r="L85" s="37"/>
      <c r="M85" s="36">
        <v>6212.53</v>
      </c>
      <c r="N85" s="36">
        <v>6212.53</v>
      </c>
      <c r="O85" s="29"/>
      <c r="P85" s="11"/>
    </row>
    <row r="86" spans="1:16" hidden="1" outlineLevel="5">
      <c r="A86" s="3542" t="s">
        <v>1486</v>
      </c>
      <c r="B86" s="3542"/>
      <c r="C86" s="35"/>
      <c r="D86" s="35"/>
      <c r="E86" s="43">
        <v>637.95000000000005</v>
      </c>
      <c r="F86" s="43">
        <v>74.5</v>
      </c>
      <c r="G86" s="43">
        <v>560.94000000000005</v>
      </c>
      <c r="H86" s="3533">
        <v>2.5099999999999998</v>
      </c>
      <c r="I86" s="3533"/>
      <c r="J86" s="37"/>
      <c r="K86" s="37"/>
      <c r="L86" s="37"/>
      <c r="M86" s="43">
        <v>637.95000000000005</v>
      </c>
      <c r="N86" s="43">
        <v>637.95000000000005</v>
      </c>
      <c r="O86" s="29"/>
      <c r="P86" s="11"/>
    </row>
    <row r="87" spans="1:16" hidden="1" outlineLevel="6">
      <c r="A87" s="3534" t="s">
        <v>1333</v>
      </c>
      <c r="B87" s="3534"/>
      <c r="C87" s="39"/>
      <c r="D87" s="39"/>
      <c r="E87" s="40">
        <v>571.04999999999995</v>
      </c>
      <c r="F87" s="40">
        <v>74.5</v>
      </c>
      <c r="G87" s="40">
        <v>494.04</v>
      </c>
      <c r="H87" s="3531">
        <v>2.5099999999999998</v>
      </c>
      <c r="I87" s="3531"/>
      <c r="J87" s="41"/>
      <c r="K87" s="41"/>
      <c r="L87" s="41"/>
      <c r="M87" s="40">
        <v>571.04999999999995</v>
      </c>
      <c r="N87" s="40">
        <v>571.04999999999995</v>
      </c>
      <c r="O87" s="30"/>
      <c r="P87" s="12"/>
    </row>
    <row r="88" spans="1:16" hidden="1" outlineLevel="6">
      <c r="A88" s="3534" t="s">
        <v>1334</v>
      </c>
      <c r="B88" s="3534"/>
      <c r="C88" s="39"/>
      <c r="D88" s="39"/>
      <c r="E88" s="40">
        <v>66.900000000000006</v>
      </c>
      <c r="F88" s="41"/>
      <c r="G88" s="40">
        <v>66.900000000000006</v>
      </c>
      <c r="H88" s="41"/>
      <c r="I88" s="41"/>
      <c r="J88" s="41"/>
      <c r="K88" s="41"/>
      <c r="L88" s="41"/>
      <c r="M88" s="40">
        <v>66.900000000000006</v>
      </c>
      <c r="N88" s="40">
        <v>66.900000000000006</v>
      </c>
      <c r="O88" s="30"/>
      <c r="P88" s="12"/>
    </row>
    <row r="89" spans="1:16" hidden="1" outlineLevel="5" collapsed="1">
      <c r="A89" s="3535" t="s">
        <v>1335</v>
      </c>
      <c r="B89" s="3535"/>
      <c r="C89" s="39"/>
      <c r="D89" s="39"/>
      <c r="E89" s="40">
        <v>72.45</v>
      </c>
      <c r="F89" s="41"/>
      <c r="G89" s="40">
        <v>72.45</v>
      </c>
      <c r="H89" s="41"/>
      <c r="I89" s="41"/>
      <c r="J89" s="41"/>
      <c r="K89" s="41"/>
      <c r="L89" s="41"/>
      <c r="M89" s="40">
        <v>72.45</v>
      </c>
      <c r="N89" s="40">
        <v>72.45</v>
      </c>
      <c r="O89" s="30"/>
      <c r="P89" s="12"/>
    </row>
    <row r="90" spans="1:16" hidden="1" outlineLevel="5">
      <c r="A90" s="3542" t="s">
        <v>1487</v>
      </c>
      <c r="B90" s="3542"/>
      <c r="C90" s="35"/>
      <c r="D90" s="35"/>
      <c r="E90" s="36">
        <v>1239.31</v>
      </c>
      <c r="F90" s="37"/>
      <c r="G90" s="36">
        <v>1239.31</v>
      </c>
      <c r="H90" s="37"/>
      <c r="I90" s="37"/>
      <c r="J90" s="37"/>
      <c r="K90" s="37"/>
      <c r="L90" s="37"/>
      <c r="M90" s="36">
        <v>1239.31</v>
      </c>
      <c r="N90" s="36">
        <v>1239.31</v>
      </c>
      <c r="O90" s="29"/>
      <c r="P90" s="11"/>
    </row>
    <row r="91" spans="1:16" hidden="1" outlineLevel="6">
      <c r="A91" s="3534" t="s">
        <v>1378</v>
      </c>
      <c r="B91" s="3534"/>
      <c r="C91" s="39"/>
      <c r="D91" s="39"/>
      <c r="E91" s="40">
        <v>2.15</v>
      </c>
      <c r="F91" s="41"/>
      <c r="G91" s="40">
        <v>2.15</v>
      </c>
      <c r="H91" s="41"/>
      <c r="I91" s="41"/>
      <c r="J91" s="41"/>
      <c r="K91" s="41"/>
      <c r="L91" s="41"/>
      <c r="M91" s="40">
        <v>2.15</v>
      </c>
      <c r="N91" s="40">
        <v>2.15</v>
      </c>
      <c r="O91" s="30"/>
      <c r="P91" s="12"/>
    </row>
    <row r="92" spans="1:16" hidden="1" outlineLevel="6">
      <c r="A92" s="3534" t="s">
        <v>1379</v>
      </c>
      <c r="B92" s="3534"/>
      <c r="C92" s="39"/>
      <c r="D92" s="39"/>
      <c r="E92" s="40">
        <v>266.95999999999998</v>
      </c>
      <c r="F92" s="41"/>
      <c r="G92" s="40">
        <v>266.95999999999998</v>
      </c>
      <c r="H92" s="41"/>
      <c r="I92" s="41"/>
      <c r="J92" s="41"/>
      <c r="K92" s="41"/>
      <c r="L92" s="41"/>
      <c r="M92" s="40">
        <v>266.95999999999998</v>
      </c>
      <c r="N92" s="40">
        <v>266.95999999999998</v>
      </c>
      <c r="O92" s="30"/>
      <c r="P92" s="12"/>
    </row>
    <row r="93" spans="1:16" hidden="1" outlineLevel="6">
      <c r="A93" s="3534" t="s">
        <v>1380</v>
      </c>
      <c r="B93" s="3534"/>
      <c r="C93" s="39"/>
      <c r="D93" s="39"/>
      <c r="E93" s="40">
        <v>970.2</v>
      </c>
      <c r="F93" s="41"/>
      <c r="G93" s="40">
        <v>970.2</v>
      </c>
      <c r="H93" s="41"/>
      <c r="I93" s="41"/>
      <c r="J93" s="41"/>
      <c r="K93" s="41"/>
      <c r="L93" s="41"/>
      <c r="M93" s="40">
        <v>970.2</v>
      </c>
      <c r="N93" s="40">
        <v>970.2</v>
      </c>
      <c r="O93" s="30"/>
      <c r="P93" s="12"/>
    </row>
    <row r="94" spans="1:16" hidden="1" outlineLevel="5" collapsed="1">
      <c r="A94" s="3535" t="s">
        <v>1339</v>
      </c>
      <c r="B94" s="3535"/>
      <c r="C94" s="39"/>
      <c r="D94" s="39"/>
      <c r="E94" s="42">
        <v>4217.3500000000004</v>
      </c>
      <c r="F94" s="41"/>
      <c r="G94" s="42">
        <v>3977.74</v>
      </c>
      <c r="H94" s="3531">
        <v>239.61</v>
      </c>
      <c r="I94" s="3531"/>
      <c r="J94" s="41"/>
      <c r="K94" s="41"/>
      <c r="L94" s="41"/>
      <c r="M94" s="42">
        <v>4217.3500000000004</v>
      </c>
      <c r="N94" s="42">
        <v>4217.3500000000004</v>
      </c>
      <c r="O94" s="30"/>
      <c r="P94" s="12"/>
    </row>
    <row r="95" spans="1:16" hidden="1" outlineLevel="5">
      <c r="A95" s="3535" t="s">
        <v>1425</v>
      </c>
      <c r="B95" s="3535"/>
      <c r="C95" s="39"/>
      <c r="D95" s="39"/>
      <c r="E95" s="40">
        <v>9.5299999999999994</v>
      </c>
      <c r="F95" s="41"/>
      <c r="G95" s="40">
        <v>9.5299999999999994</v>
      </c>
      <c r="H95" s="41"/>
      <c r="I95" s="41"/>
      <c r="J95" s="41"/>
      <c r="K95" s="41"/>
      <c r="L95" s="41"/>
      <c r="M95" s="40">
        <v>9.5299999999999994</v>
      </c>
      <c r="N95" s="40">
        <v>9.5299999999999994</v>
      </c>
      <c r="O95" s="30"/>
      <c r="P95" s="12"/>
    </row>
    <row r="96" spans="1:16" hidden="1" outlineLevel="5">
      <c r="A96" s="3535" t="s">
        <v>1446</v>
      </c>
      <c r="B96" s="3535"/>
      <c r="C96" s="39"/>
      <c r="D96" s="39"/>
      <c r="E96" s="40">
        <v>35.94</v>
      </c>
      <c r="F96" s="41"/>
      <c r="G96" s="41"/>
      <c r="H96" s="3531">
        <v>35.94</v>
      </c>
      <c r="I96" s="3531"/>
      <c r="J96" s="41"/>
      <c r="K96" s="41"/>
      <c r="L96" s="41"/>
      <c r="M96" s="40">
        <v>35.94</v>
      </c>
      <c r="N96" s="40">
        <v>35.94</v>
      </c>
      <c r="O96" s="30"/>
      <c r="P96" s="12"/>
    </row>
    <row r="97" spans="1:16" hidden="1" outlineLevel="4">
      <c r="A97" s="3543" t="s">
        <v>1488</v>
      </c>
      <c r="B97" s="3543"/>
      <c r="C97" s="35"/>
      <c r="D97" s="35"/>
      <c r="E97" s="36">
        <v>3062.95</v>
      </c>
      <c r="F97" s="43">
        <v>495.78</v>
      </c>
      <c r="G97" s="36">
        <v>1789.37</v>
      </c>
      <c r="H97" s="3533">
        <v>777.8</v>
      </c>
      <c r="I97" s="3533"/>
      <c r="J97" s="37"/>
      <c r="K97" s="37"/>
      <c r="L97" s="37"/>
      <c r="M97" s="36">
        <v>3062.95</v>
      </c>
      <c r="N97" s="36">
        <v>3062.95</v>
      </c>
      <c r="O97" s="29"/>
      <c r="P97" s="11"/>
    </row>
    <row r="98" spans="1:16" hidden="1" outlineLevel="5">
      <c r="A98" s="3535" t="s">
        <v>1329</v>
      </c>
      <c r="B98" s="3535"/>
      <c r="C98" s="39"/>
      <c r="D98" s="39"/>
      <c r="E98" s="40">
        <v>680.52</v>
      </c>
      <c r="F98" s="41"/>
      <c r="G98" s="41"/>
      <c r="H98" s="3531">
        <v>680.52</v>
      </c>
      <c r="I98" s="3531"/>
      <c r="J98" s="41"/>
      <c r="K98" s="41"/>
      <c r="L98" s="41"/>
      <c r="M98" s="40">
        <v>680.52</v>
      </c>
      <c r="N98" s="40">
        <v>680.52</v>
      </c>
      <c r="O98" s="30"/>
      <c r="P98" s="12"/>
    </row>
    <row r="99" spans="1:16" hidden="1" outlineLevel="5">
      <c r="A99" s="3535" t="s">
        <v>1330</v>
      </c>
      <c r="B99" s="3535"/>
      <c r="C99" s="39"/>
      <c r="D99" s="39"/>
      <c r="E99" s="40">
        <v>47.36</v>
      </c>
      <c r="F99" s="41"/>
      <c r="G99" s="41"/>
      <c r="H99" s="3531">
        <v>47.36</v>
      </c>
      <c r="I99" s="3531"/>
      <c r="J99" s="41"/>
      <c r="K99" s="41"/>
      <c r="L99" s="41"/>
      <c r="M99" s="40">
        <v>47.36</v>
      </c>
      <c r="N99" s="40">
        <v>47.36</v>
      </c>
      <c r="O99" s="30"/>
      <c r="P99" s="12"/>
    </row>
    <row r="100" spans="1:16" hidden="1" outlineLevel="5">
      <c r="A100" s="3535" t="s">
        <v>1387</v>
      </c>
      <c r="B100" s="3535"/>
      <c r="C100" s="39"/>
      <c r="D100" s="39"/>
      <c r="E100" s="40">
        <v>880.86</v>
      </c>
      <c r="F100" s="40">
        <v>477.81</v>
      </c>
      <c r="G100" s="40">
        <v>377.87</v>
      </c>
      <c r="H100" s="3531">
        <v>25.18</v>
      </c>
      <c r="I100" s="3531"/>
      <c r="J100" s="41"/>
      <c r="K100" s="41"/>
      <c r="L100" s="41"/>
      <c r="M100" s="40">
        <v>880.86</v>
      </c>
      <c r="N100" s="40">
        <v>880.86</v>
      </c>
      <c r="O100" s="30"/>
      <c r="P100" s="12"/>
    </row>
    <row r="101" spans="1:16" hidden="1" outlineLevel="5">
      <c r="A101" s="3535" t="s">
        <v>1388</v>
      </c>
      <c r="B101" s="3535"/>
      <c r="C101" s="39"/>
      <c r="D101" s="39"/>
      <c r="E101" s="40">
        <v>39.32</v>
      </c>
      <c r="F101" s="40">
        <v>17.97</v>
      </c>
      <c r="G101" s="40">
        <v>20.74</v>
      </c>
      <c r="H101" s="3531">
        <v>0.61</v>
      </c>
      <c r="I101" s="3531"/>
      <c r="J101" s="41"/>
      <c r="K101" s="41"/>
      <c r="L101" s="41"/>
      <c r="M101" s="40">
        <v>39.32</v>
      </c>
      <c r="N101" s="40">
        <v>39.32</v>
      </c>
      <c r="O101" s="30"/>
      <c r="P101" s="12"/>
    </row>
    <row r="102" spans="1:16" hidden="1" outlineLevel="5">
      <c r="A102" s="3535" t="s">
        <v>1389</v>
      </c>
      <c r="B102" s="3535"/>
      <c r="C102" s="39"/>
      <c r="D102" s="39"/>
      <c r="E102" s="42">
        <v>1237.5899999999999</v>
      </c>
      <c r="F102" s="41"/>
      <c r="G102" s="42">
        <v>1237.5899999999999</v>
      </c>
      <c r="H102" s="41"/>
      <c r="I102" s="41"/>
      <c r="J102" s="41"/>
      <c r="K102" s="41"/>
      <c r="L102" s="41"/>
      <c r="M102" s="42">
        <v>1237.5899999999999</v>
      </c>
      <c r="N102" s="42">
        <v>1237.5899999999999</v>
      </c>
      <c r="O102" s="30"/>
      <c r="P102" s="12"/>
    </row>
    <row r="103" spans="1:16" hidden="1" outlineLevel="5">
      <c r="A103" s="3535" t="s">
        <v>1390</v>
      </c>
      <c r="B103" s="3535"/>
      <c r="C103" s="39"/>
      <c r="D103" s="39"/>
      <c r="E103" s="40">
        <v>177.3</v>
      </c>
      <c r="F103" s="41"/>
      <c r="G103" s="40">
        <v>153.16999999999999</v>
      </c>
      <c r="H103" s="3531">
        <v>24.13</v>
      </c>
      <c r="I103" s="3531"/>
      <c r="J103" s="41"/>
      <c r="K103" s="41"/>
      <c r="L103" s="41"/>
      <c r="M103" s="40">
        <v>177.3</v>
      </c>
      <c r="N103" s="40">
        <v>177.3</v>
      </c>
      <c r="O103" s="30"/>
      <c r="P103" s="12"/>
    </row>
    <row r="104" spans="1:16" hidden="1" outlineLevel="4">
      <c r="A104" s="3539" t="s">
        <v>1336</v>
      </c>
      <c r="B104" s="3539"/>
      <c r="C104" s="39"/>
      <c r="D104" s="39"/>
      <c r="E104" s="40">
        <v>232.18</v>
      </c>
      <c r="F104" s="41"/>
      <c r="G104" s="40">
        <v>232.18</v>
      </c>
      <c r="H104" s="41"/>
      <c r="I104" s="41"/>
      <c r="J104" s="41"/>
      <c r="K104" s="41"/>
      <c r="L104" s="41"/>
      <c r="M104" s="40">
        <v>232.18</v>
      </c>
      <c r="N104" s="40">
        <v>232.18</v>
      </c>
      <c r="O104" s="30"/>
      <c r="P104" s="12"/>
    </row>
    <row r="105" spans="1:16" hidden="1" outlineLevel="4">
      <c r="A105" s="3543" t="s">
        <v>1489</v>
      </c>
      <c r="B105" s="3543"/>
      <c r="C105" s="35"/>
      <c r="D105" s="35"/>
      <c r="E105" s="36">
        <v>1323.26</v>
      </c>
      <c r="F105" s="43">
        <v>160.44999999999999</v>
      </c>
      <c r="G105" s="36">
        <v>1009.74</v>
      </c>
      <c r="H105" s="3533">
        <v>153.07</v>
      </c>
      <c r="I105" s="3533"/>
      <c r="J105" s="37"/>
      <c r="K105" s="37"/>
      <c r="L105" s="37"/>
      <c r="M105" s="36">
        <v>1323.26</v>
      </c>
      <c r="N105" s="36">
        <v>1323.26</v>
      </c>
      <c r="O105" s="29"/>
      <c r="P105" s="11"/>
    </row>
    <row r="106" spans="1:16" hidden="1" outlineLevel="5">
      <c r="A106" s="3542" t="s">
        <v>1490</v>
      </c>
      <c r="B106" s="3542"/>
      <c r="C106" s="35"/>
      <c r="D106" s="35"/>
      <c r="E106" s="43">
        <v>791.64</v>
      </c>
      <c r="F106" s="37"/>
      <c r="G106" s="43">
        <v>791.64</v>
      </c>
      <c r="H106" s="37"/>
      <c r="I106" s="37"/>
      <c r="J106" s="37"/>
      <c r="K106" s="37"/>
      <c r="L106" s="37"/>
      <c r="M106" s="43">
        <v>791.64</v>
      </c>
      <c r="N106" s="43">
        <v>791.64</v>
      </c>
      <c r="O106" s="29"/>
      <c r="P106" s="11"/>
    </row>
    <row r="107" spans="1:16" hidden="1" outlineLevel="6">
      <c r="A107" s="3534" t="s">
        <v>1340</v>
      </c>
      <c r="B107" s="3534"/>
      <c r="C107" s="39"/>
      <c r="D107" s="39"/>
      <c r="E107" s="40">
        <v>1.7</v>
      </c>
      <c r="F107" s="41"/>
      <c r="G107" s="40">
        <v>1.7</v>
      </c>
      <c r="H107" s="41"/>
      <c r="I107" s="41"/>
      <c r="J107" s="41"/>
      <c r="K107" s="41"/>
      <c r="L107" s="41"/>
      <c r="M107" s="40">
        <v>1.7</v>
      </c>
      <c r="N107" s="40">
        <v>1.7</v>
      </c>
      <c r="O107" s="30"/>
      <c r="P107" s="12"/>
    </row>
    <row r="108" spans="1:16" hidden="1" outlineLevel="6">
      <c r="A108" s="3534" t="s">
        <v>1341</v>
      </c>
      <c r="B108" s="3534"/>
      <c r="C108" s="39"/>
      <c r="D108" s="39"/>
      <c r="E108" s="40">
        <v>0.8</v>
      </c>
      <c r="F108" s="41"/>
      <c r="G108" s="40">
        <v>0.8</v>
      </c>
      <c r="H108" s="41"/>
      <c r="I108" s="41"/>
      <c r="J108" s="41"/>
      <c r="K108" s="41"/>
      <c r="L108" s="41"/>
      <c r="M108" s="40">
        <v>0.8</v>
      </c>
      <c r="N108" s="40">
        <v>0.8</v>
      </c>
      <c r="O108" s="30"/>
      <c r="P108" s="12"/>
    </row>
    <row r="109" spans="1:16" hidden="1" outlineLevel="6">
      <c r="A109" s="3534" t="s">
        <v>1342</v>
      </c>
      <c r="B109" s="3534"/>
      <c r="C109" s="39"/>
      <c r="D109" s="39"/>
      <c r="E109" s="40">
        <v>136.63</v>
      </c>
      <c r="F109" s="41"/>
      <c r="G109" s="40">
        <v>136.63</v>
      </c>
      <c r="H109" s="41"/>
      <c r="I109" s="41"/>
      <c r="J109" s="41"/>
      <c r="K109" s="41"/>
      <c r="L109" s="41"/>
      <c r="M109" s="40">
        <v>136.63</v>
      </c>
      <c r="N109" s="40">
        <v>136.63</v>
      </c>
      <c r="O109" s="30"/>
      <c r="P109" s="12"/>
    </row>
    <row r="110" spans="1:16" hidden="1" outlineLevel="6">
      <c r="A110" s="3534" t="s">
        <v>1343</v>
      </c>
      <c r="B110" s="3534"/>
      <c r="C110" s="39"/>
      <c r="D110" s="39"/>
      <c r="E110" s="40">
        <v>321.89</v>
      </c>
      <c r="F110" s="41"/>
      <c r="G110" s="40">
        <v>321.89</v>
      </c>
      <c r="H110" s="41"/>
      <c r="I110" s="41"/>
      <c r="J110" s="41"/>
      <c r="K110" s="41"/>
      <c r="L110" s="41"/>
      <c r="M110" s="40">
        <v>321.89</v>
      </c>
      <c r="N110" s="40">
        <v>321.89</v>
      </c>
      <c r="O110" s="30"/>
      <c r="P110" s="12"/>
    </row>
    <row r="111" spans="1:16" hidden="1" outlineLevel="6">
      <c r="A111" s="3534" t="s">
        <v>1344</v>
      </c>
      <c r="B111" s="3534"/>
      <c r="C111" s="39"/>
      <c r="D111" s="39"/>
      <c r="E111" s="40">
        <v>330.62</v>
      </c>
      <c r="F111" s="41"/>
      <c r="G111" s="40">
        <v>330.62</v>
      </c>
      <c r="H111" s="41"/>
      <c r="I111" s="41"/>
      <c r="J111" s="41"/>
      <c r="K111" s="41"/>
      <c r="L111" s="41"/>
      <c r="M111" s="40">
        <v>330.62</v>
      </c>
      <c r="N111" s="40">
        <v>330.62</v>
      </c>
      <c r="O111" s="30"/>
      <c r="P111" s="12"/>
    </row>
    <row r="112" spans="1:16" hidden="1" outlineLevel="5" collapsed="1">
      <c r="A112" s="3542" t="s">
        <v>1491</v>
      </c>
      <c r="B112" s="3542"/>
      <c r="C112" s="35"/>
      <c r="D112" s="35"/>
      <c r="E112" s="43">
        <v>531.62</v>
      </c>
      <c r="F112" s="43">
        <v>160.44999999999999</v>
      </c>
      <c r="G112" s="43">
        <v>218.1</v>
      </c>
      <c r="H112" s="3533">
        <v>153.07</v>
      </c>
      <c r="I112" s="3533"/>
      <c r="J112" s="37"/>
      <c r="K112" s="37"/>
      <c r="L112" s="37"/>
      <c r="M112" s="43">
        <v>531.62</v>
      </c>
      <c r="N112" s="43">
        <v>531.62</v>
      </c>
      <c r="O112" s="29"/>
      <c r="P112" s="11"/>
    </row>
    <row r="113" spans="1:16" hidden="1" outlineLevel="6">
      <c r="A113" s="3534" t="s">
        <v>1345</v>
      </c>
      <c r="B113" s="3534"/>
      <c r="C113" s="39"/>
      <c r="D113" s="39"/>
      <c r="E113" s="40">
        <v>2.48</v>
      </c>
      <c r="F113" s="41"/>
      <c r="G113" s="41"/>
      <c r="H113" s="3531">
        <v>2.48</v>
      </c>
      <c r="I113" s="3531"/>
      <c r="J113" s="41"/>
      <c r="K113" s="41"/>
      <c r="L113" s="41"/>
      <c r="M113" s="40">
        <v>2.48</v>
      </c>
      <c r="N113" s="40">
        <v>2.48</v>
      </c>
      <c r="O113" s="30"/>
      <c r="P113" s="12"/>
    </row>
    <row r="114" spans="1:16" hidden="1" outlineLevel="6">
      <c r="A114" s="3534" t="s">
        <v>1346</v>
      </c>
      <c r="B114" s="3534"/>
      <c r="C114" s="39"/>
      <c r="D114" s="39"/>
      <c r="E114" s="40">
        <v>0.19</v>
      </c>
      <c r="F114" s="41"/>
      <c r="G114" s="41"/>
      <c r="H114" s="3531">
        <v>0.19</v>
      </c>
      <c r="I114" s="3531"/>
      <c r="J114" s="41"/>
      <c r="K114" s="41"/>
      <c r="L114" s="41"/>
      <c r="M114" s="40">
        <v>0.19</v>
      </c>
      <c r="N114" s="40">
        <v>0.19</v>
      </c>
      <c r="O114" s="30"/>
      <c r="P114" s="12"/>
    </row>
    <row r="115" spans="1:16" hidden="1" outlineLevel="6">
      <c r="A115" s="3534" t="s">
        <v>1347</v>
      </c>
      <c r="B115" s="3534"/>
      <c r="C115" s="39"/>
      <c r="D115" s="39"/>
      <c r="E115" s="40">
        <v>4.4800000000000004</v>
      </c>
      <c r="F115" s="41"/>
      <c r="G115" s="40">
        <v>3.07</v>
      </c>
      <c r="H115" s="3531">
        <v>1.41</v>
      </c>
      <c r="I115" s="3531"/>
      <c r="J115" s="41"/>
      <c r="K115" s="41"/>
      <c r="L115" s="41"/>
      <c r="M115" s="40">
        <v>4.4800000000000004</v>
      </c>
      <c r="N115" s="40">
        <v>4.4800000000000004</v>
      </c>
      <c r="O115" s="30"/>
      <c r="P115" s="12"/>
    </row>
    <row r="116" spans="1:16" hidden="1" outlineLevel="6">
      <c r="A116" s="3534" t="s">
        <v>1348</v>
      </c>
      <c r="B116" s="3534"/>
      <c r="C116" s="39"/>
      <c r="D116" s="39"/>
      <c r="E116" s="40">
        <v>265.07</v>
      </c>
      <c r="F116" s="40">
        <v>96.07</v>
      </c>
      <c r="G116" s="40">
        <v>62.44</v>
      </c>
      <c r="H116" s="3531">
        <v>106.56</v>
      </c>
      <c r="I116" s="3531"/>
      <c r="J116" s="41"/>
      <c r="K116" s="41"/>
      <c r="L116" s="41"/>
      <c r="M116" s="40">
        <v>265.07</v>
      </c>
      <c r="N116" s="40">
        <v>265.07</v>
      </c>
      <c r="O116" s="30"/>
      <c r="P116" s="12"/>
    </row>
    <row r="117" spans="1:16" hidden="1" outlineLevel="6">
      <c r="A117" s="3534" t="s">
        <v>1349</v>
      </c>
      <c r="B117" s="3534"/>
      <c r="C117" s="39"/>
      <c r="D117" s="39"/>
      <c r="E117" s="40">
        <v>259.39999999999998</v>
      </c>
      <c r="F117" s="40">
        <v>64.38</v>
      </c>
      <c r="G117" s="40">
        <v>152.59</v>
      </c>
      <c r="H117" s="3531">
        <v>42.43</v>
      </c>
      <c r="I117" s="3531"/>
      <c r="J117" s="41"/>
      <c r="K117" s="41"/>
      <c r="L117" s="41"/>
      <c r="M117" s="40">
        <v>259.39999999999998</v>
      </c>
      <c r="N117" s="40">
        <v>259.39999999999998</v>
      </c>
      <c r="O117" s="30"/>
      <c r="P117" s="12"/>
    </row>
    <row r="118" spans="1:16" hidden="1" outlineLevel="4">
      <c r="A118" s="3543" t="s">
        <v>1492</v>
      </c>
      <c r="B118" s="3543"/>
      <c r="C118" s="35"/>
      <c r="D118" s="35"/>
      <c r="E118" s="36">
        <v>11174.96</v>
      </c>
      <c r="F118" s="43">
        <v>174.71</v>
      </c>
      <c r="G118" s="36">
        <v>10890.99</v>
      </c>
      <c r="H118" s="3533">
        <v>109.26</v>
      </c>
      <c r="I118" s="3533"/>
      <c r="J118" s="37"/>
      <c r="K118" s="37"/>
      <c r="L118" s="37"/>
      <c r="M118" s="36">
        <v>11174.96</v>
      </c>
      <c r="N118" s="36">
        <v>11174.96</v>
      </c>
      <c r="O118" s="29"/>
      <c r="P118" s="11"/>
    </row>
    <row r="119" spans="1:16" hidden="1" outlineLevel="5">
      <c r="A119" s="3535" t="s">
        <v>1324</v>
      </c>
      <c r="B119" s="3535"/>
      <c r="C119" s="39"/>
      <c r="D119" s="39"/>
      <c r="E119" s="40">
        <v>76.64</v>
      </c>
      <c r="F119" s="40">
        <v>57.86</v>
      </c>
      <c r="G119" s="40">
        <v>15.69</v>
      </c>
      <c r="H119" s="3531">
        <v>3.09</v>
      </c>
      <c r="I119" s="3531"/>
      <c r="J119" s="41"/>
      <c r="K119" s="41"/>
      <c r="L119" s="41"/>
      <c r="M119" s="40">
        <v>76.64</v>
      </c>
      <c r="N119" s="40">
        <v>76.64</v>
      </c>
      <c r="O119" s="30"/>
      <c r="P119" s="12"/>
    </row>
    <row r="120" spans="1:16" hidden="1" outlineLevel="5">
      <c r="A120" s="3535" t="s">
        <v>1337</v>
      </c>
      <c r="B120" s="3535"/>
      <c r="C120" s="39"/>
      <c r="D120" s="39"/>
      <c r="E120" s="40">
        <v>67.84</v>
      </c>
      <c r="F120" s="41"/>
      <c r="G120" s="40">
        <v>67.84</v>
      </c>
      <c r="H120" s="41"/>
      <c r="I120" s="41"/>
      <c r="J120" s="41"/>
      <c r="K120" s="41"/>
      <c r="L120" s="41"/>
      <c r="M120" s="40">
        <v>67.84</v>
      </c>
      <c r="N120" s="40">
        <v>67.84</v>
      </c>
      <c r="O120" s="30"/>
      <c r="P120" s="12"/>
    </row>
    <row r="121" spans="1:16" hidden="1" outlineLevel="5">
      <c r="A121" s="3535" t="s">
        <v>1361</v>
      </c>
      <c r="B121" s="3535"/>
      <c r="C121" s="39"/>
      <c r="D121" s="39"/>
      <c r="E121" s="42">
        <v>10388.83</v>
      </c>
      <c r="F121" s="41"/>
      <c r="G121" s="42">
        <v>10388.83</v>
      </c>
      <c r="H121" s="41"/>
      <c r="I121" s="41"/>
      <c r="J121" s="41"/>
      <c r="K121" s="41"/>
      <c r="L121" s="41"/>
      <c r="M121" s="42">
        <v>10388.83</v>
      </c>
      <c r="N121" s="42">
        <v>10388.83</v>
      </c>
      <c r="O121" s="30"/>
      <c r="P121" s="12"/>
    </row>
    <row r="122" spans="1:16" hidden="1" outlineLevel="5">
      <c r="A122" s="3535" t="s">
        <v>1412</v>
      </c>
      <c r="B122" s="3535"/>
      <c r="C122" s="39"/>
      <c r="D122" s="39"/>
      <c r="E122" s="40">
        <v>525.04</v>
      </c>
      <c r="F122" s="40">
        <v>116.85</v>
      </c>
      <c r="G122" s="40">
        <v>330.26</v>
      </c>
      <c r="H122" s="3531">
        <v>77.930000000000007</v>
      </c>
      <c r="I122" s="3531"/>
      <c r="J122" s="41"/>
      <c r="K122" s="41"/>
      <c r="L122" s="41"/>
      <c r="M122" s="40">
        <v>525.04</v>
      </c>
      <c r="N122" s="40">
        <v>525.04</v>
      </c>
      <c r="O122" s="30"/>
      <c r="P122" s="12"/>
    </row>
    <row r="123" spans="1:16" hidden="1" outlineLevel="5">
      <c r="A123" s="3535" t="s">
        <v>1457</v>
      </c>
      <c r="B123" s="3535"/>
      <c r="C123" s="39"/>
      <c r="D123" s="39"/>
      <c r="E123" s="40">
        <v>23.6</v>
      </c>
      <c r="F123" s="41"/>
      <c r="G123" s="40">
        <v>12.3</v>
      </c>
      <c r="H123" s="3531">
        <v>11.3</v>
      </c>
      <c r="I123" s="3531"/>
      <c r="J123" s="41"/>
      <c r="K123" s="41"/>
      <c r="L123" s="41"/>
      <c r="M123" s="40">
        <v>23.6</v>
      </c>
      <c r="N123" s="40">
        <v>23.6</v>
      </c>
      <c r="O123" s="30"/>
      <c r="P123" s="12"/>
    </row>
    <row r="124" spans="1:16" hidden="1" outlineLevel="5">
      <c r="A124" s="3535" t="s">
        <v>1458</v>
      </c>
      <c r="B124" s="3535"/>
      <c r="C124" s="39"/>
      <c r="D124" s="39"/>
      <c r="E124" s="40">
        <v>93.01</v>
      </c>
      <c r="F124" s="41"/>
      <c r="G124" s="40">
        <v>76.069999999999993</v>
      </c>
      <c r="H124" s="3531">
        <v>16.940000000000001</v>
      </c>
      <c r="I124" s="3531"/>
      <c r="J124" s="41"/>
      <c r="K124" s="41"/>
      <c r="L124" s="41"/>
      <c r="M124" s="40">
        <v>93.01</v>
      </c>
      <c r="N124" s="40">
        <v>93.01</v>
      </c>
      <c r="O124" s="30"/>
      <c r="P124" s="12"/>
    </row>
    <row r="125" spans="1:16" hidden="1" outlineLevel="4">
      <c r="A125" s="3539" t="s">
        <v>1428</v>
      </c>
      <c r="B125" s="3539"/>
      <c r="C125" s="39"/>
      <c r="D125" s="39"/>
      <c r="E125" s="40">
        <v>86.53</v>
      </c>
      <c r="F125" s="41"/>
      <c r="G125" s="41"/>
      <c r="H125" s="3531">
        <v>86.53</v>
      </c>
      <c r="I125" s="3531"/>
      <c r="J125" s="41"/>
      <c r="K125" s="41"/>
      <c r="L125" s="41"/>
      <c r="M125" s="40">
        <v>86.53</v>
      </c>
      <c r="N125" s="40">
        <v>86.53</v>
      </c>
      <c r="O125" s="30"/>
      <c r="P125" s="12"/>
    </row>
    <row r="126" spans="1:16" hidden="1" outlineLevel="4">
      <c r="A126" s="3543" t="s">
        <v>1493</v>
      </c>
      <c r="B126" s="3543"/>
      <c r="C126" s="35"/>
      <c r="D126" s="35"/>
      <c r="E126" s="36">
        <v>12646.8</v>
      </c>
      <c r="F126" s="43">
        <v>92.17</v>
      </c>
      <c r="G126" s="36">
        <v>7846.04</v>
      </c>
      <c r="H126" s="3537">
        <v>4708.59</v>
      </c>
      <c r="I126" s="3537"/>
      <c r="J126" s="37"/>
      <c r="K126" s="37"/>
      <c r="L126" s="37"/>
      <c r="M126" s="36">
        <v>12646.8</v>
      </c>
      <c r="N126" s="36">
        <v>12646.8</v>
      </c>
      <c r="O126" s="29"/>
      <c r="P126" s="11"/>
    </row>
    <row r="127" spans="1:16" hidden="1" outlineLevel="5">
      <c r="A127" s="3542" t="s">
        <v>1494</v>
      </c>
      <c r="B127" s="3542"/>
      <c r="C127" s="35"/>
      <c r="D127" s="35"/>
      <c r="E127" s="43">
        <v>655.35</v>
      </c>
      <c r="F127" s="43">
        <v>92.17</v>
      </c>
      <c r="G127" s="43">
        <v>501.67</v>
      </c>
      <c r="H127" s="3533">
        <v>61.51</v>
      </c>
      <c r="I127" s="3533"/>
      <c r="J127" s="37"/>
      <c r="K127" s="37"/>
      <c r="L127" s="37"/>
      <c r="M127" s="43">
        <v>655.35</v>
      </c>
      <c r="N127" s="43">
        <v>655.35</v>
      </c>
      <c r="O127" s="29"/>
      <c r="P127" s="11"/>
    </row>
    <row r="128" spans="1:16" hidden="1" outlineLevel="6">
      <c r="A128" s="3534" t="s">
        <v>1413</v>
      </c>
      <c r="B128" s="3534"/>
      <c r="C128" s="39"/>
      <c r="D128" s="39"/>
      <c r="E128" s="40">
        <v>28.35</v>
      </c>
      <c r="F128" s="41"/>
      <c r="G128" s="41"/>
      <c r="H128" s="3531">
        <v>28.35</v>
      </c>
      <c r="I128" s="3531"/>
      <c r="J128" s="41"/>
      <c r="K128" s="41"/>
      <c r="L128" s="41"/>
      <c r="M128" s="40">
        <v>28.35</v>
      </c>
      <c r="N128" s="40">
        <v>28.35</v>
      </c>
      <c r="O128" s="30"/>
      <c r="P128" s="12"/>
    </row>
    <row r="129" spans="1:16" hidden="1" outlineLevel="6">
      <c r="A129" s="3534" t="s">
        <v>1429</v>
      </c>
      <c r="B129" s="3534"/>
      <c r="C129" s="39"/>
      <c r="D129" s="39"/>
      <c r="E129" s="40">
        <v>77.66</v>
      </c>
      <c r="F129" s="41"/>
      <c r="G129" s="40">
        <v>65.849999999999994</v>
      </c>
      <c r="H129" s="3531">
        <v>11.81</v>
      </c>
      <c r="I129" s="3531"/>
      <c r="J129" s="41"/>
      <c r="K129" s="41"/>
      <c r="L129" s="41"/>
      <c r="M129" s="40">
        <v>77.66</v>
      </c>
      <c r="N129" s="40">
        <v>77.66</v>
      </c>
      <c r="O129" s="30"/>
      <c r="P129" s="12"/>
    </row>
    <row r="130" spans="1:16" hidden="1" outlineLevel="6">
      <c r="A130" s="3534" t="s">
        <v>1430</v>
      </c>
      <c r="B130" s="3534"/>
      <c r="C130" s="39"/>
      <c r="D130" s="39"/>
      <c r="E130" s="40">
        <v>304.24</v>
      </c>
      <c r="F130" s="40">
        <v>92.17</v>
      </c>
      <c r="G130" s="40">
        <v>207.15</v>
      </c>
      <c r="H130" s="3531">
        <v>4.92</v>
      </c>
      <c r="I130" s="3531"/>
      <c r="J130" s="41"/>
      <c r="K130" s="41"/>
      <c r="L130" s="41"/>
      <c r="M130" s="40">
        <v>304.24</v>
      </c>
      <c r="N130" s="40">
        <v>304.24</v>
      </c>
      <c r="O130" s="30"/>
      <c r="P130" s="12"/>
    </row>
    <row r="131" spans="1:16" hidden="1" outlineLevel="6">
      <c r="A131" s="3534" t="s">
        <v>1431</v>
      </c>
      <c r="B131" s="3534"/>
      <c r="C131" s="39"/>
      <c r="D131" s="39"/>
      <c r="E131" s="40">
        <v>201.95</v>
      </c>
      <c r="F131" s="41"/>
      <c r="G131" s="40">
        <v>201.95</v>
      </c>
      <c r="H131" s="41"/>
      <c r="I131" s="41"/>
      <c r="J131" s="41"/>
      <c r="K131" s="41"/>
      <c r="L131" s="41"/>
      <c r="M131" s="40">
        <v>201.95</v>
      </c>
      <c r="N131" s="40">
        <v>201.95</v>
      </c>
      <c r="O131" s="30"/>
      <c r="P131" s="12"/>
    </row>
    <row r="132" spans="1:16" hidden="1" outlineLevel="6">
      <c r="A132" s="3534" t="s">
        <v>1432</v>
      </c>
      <c r="B132" s="3534"/>
      <c r="C132" s="39"/>
      <c r="D132" s="39"/>
      <c r="E132" s="40">
        <v>8.5500000000000007</v>
      </c>
      <c r="F132" s="41"/>
      <c r="G132" s="41"/>
      <c r="H132" s="3531">
        <v>8.5500000000000007</v>
      </c>
      <c r="I132" s="3531"/>
      <c r="J132" s="41"/>
      <c r="K132" s="41"/>
      <c r="L132" s="41"/>
      <c r="M132" s="40">
        <v>8.5500000000000007</v>
      </c>
      <c r="N132" s="40">
        <v>8.5500000000000007</v>
      </c>
      <c r="O132" s="30"/>
      <c r="P132" s="12"/>
    </row>
    <row r="133" spans="1:16" hidden="1" outlineLevel="6">
      <c r="A133" s="3534" t="s">
        <v>1434</v>
      </c>
      <c r="B133" s="3534"/>
      <c r="C133" s="39"/>
      <c r="D133" s="39"/>
      <c r="E133" s="40">
        <v>2.76</v>
      </c>
      <c r="F133" s="41"/>
      <c r="G133" s="40">
        <v>0.47</v>
      </c>
      <c r="H133" s="3531">
        <v>2.29</v>
      </c>
      <c r="I133" s="3531"/>
      <c r="J133" s="41"/>
      <c r="K133" s="41"/>
      <c r="L133" s="41"/>
      <c r="M133" s="40">
        <v>2.76</v>
      </c>
      <c r="N133" s="40">
        <v>2.76</v>
      </c>
      <c r="O133" s="30"/>
      <c r="P133" s="12"/>
    </row>
    <row r="134" spans="1:16" hidden="1" outlineLevel="6">
      <c r="A134" s="3534" t="s">
        <v>1435</v>
      </c>
      <c r="B134" s="3534"/>
      <c r="C134" s="39"/>
      <c r="D134" s="39"/>
      <c r="E134" s="40">
        <v>29.71</v>
      </c>
      <c r="F134" s="41"/>
      <c r="G134" s="40">
        <v>25.82</v>
      </c>
      <c r="H134" s="3531">
        <v>3.89</v>
      </c>
      <c r="I134" s="3531"/>
      <c r="J134" s="41"/>
      <c r="K134" s="41"/>
      <c r="L134" s="41"/>
      <c r="M134" s="40">
        <v>29.71</v>
      </c>
      <c r="N134" s="40">
        <v>29.71</v>
      </c>
      <c r="O134" s="30"/>
      <c r="P134" s="12"/>
    </row>
    <row r="135" spans="1:16" hidden="1" outlineLevel="6">
      <c r="A135" s="3534" t="s">
        <v>1455</v>
      </c>
      <c r="B135" s="3534"/>
      <c r="C135" s="39"/>
      <c r="D135" s="39"/>
      <c r="E135" s="40">
        <v>2.13</v>
      </c>
      <c r="F135" s="41"/>
      <c r="G135" s="40">
        <v>0.43</v>
      </c>
      <c r="H135" s="3531">
        <v>1.7</v>
      </c>
      <c r="I135" s="3531"/>
      <c r="J135" s="41"/>
      <c r="K135" s="41"/>
      <c r="L135" s="41"/>
      <c r="M135" s="40">
        <v>2.13</v>
      </c>
      <c r="N135" s="40">
        <v>2.13</v>
      </c>
      <c r="O135" s="30"/>
      <c r="P135" s="12"/>
    </row>
    <row r="136" spans="1:16" hidden="1" outlineLevel="5" collapsed="1">
      <c r="A136" s="3542" t="s">
        <v>1495</v>
      </c>
      <c r="B136" s="3542"/>
      <c r="C136" s="35"/>
      <c r="D136" s="35"/>
      <c r="E136" s="43">
        <v>713.13</v>
      </c>
      <c r="F136" s="37"/>
      <c r="G136" s="43">
        <v>701.03</v>
      </c>
      <c r="H136" s="3533">
        <v>12.1</v>
      </c>
      <c r="I136" s="3533"/>
      <c r="J136" s="37"/>
      <c r="K136" s="37"/>
      <c r="L136" s="37"/>
      <c r="M136" s="43">
        <v>713.13</v>
      </c>
      <c r="N136" s="43">
        <v>713.13</v>
      </c>
      <c r="O136" s="29"/>
      <c r="P136" s="11"/>
    </row>
    <row r="137" spans="1:16" hidden="1" outlineLevel="6">
      <c r="A137" s="3534" t="s">
        <v>1419</v>
      </c>
      <c r="B137" s="3534"/>
      <c r="C137" s="39"/>
      <c r="D137" s="39"/>
      <c r="E137" s="40">
        <v>143.75</v>
      </c>
      <c r="F137" s="41"/>
      <c r="G137" s="40">
        <v>143.75</v>
      </c>
      <c r="H137" s="41"/>
      <c r="I137" s="41"/>
      <c r="J137" s="41"/>
      <c r="K137" s="41"/>
      <c r="L137" s="41"/>
      <c r="M137" s="40">
        <v>143.75</v>
      </c>
      <c r="N137" s="40">
        <v>143.75</v>
      </c>
      <c r="O137" s="30"/>
      <c r="P137" s="12"/>
    </row>
    <row r="138" spans="1:16" hidden="1" outlineLevel="6">
      <c r="A138" s="3534" t="s">
        <v>1420</v>
      </c>
      <c r="B138" s="3534"/>
      <c r="C138" s="39"/>
      <c r="D138" s="39"/>
      <c r="E138" s="40">
        <v>471.01</v>
      </c>
      <c r="F138" s="41"/>
      <c r="G138" s="40">
        <v>458.91</v>
      </c>
      <c r="H138" s="3531">
        <v>12.1</v>
      </c>
      <c r="I138" s="3531"/>
      <c r="J138" s="41"/>
      <c r="K138" s="41"/>
      <c r="L138" s="41"/>
      <c r="M138" s="40">
        <v>471.01</v>
      </c>
      <c r="N138" s="40">
        <v>471.01</v>
      </c>
      <c r="O138" s="30"/>
      <c r="P138" s="12"/>
    </row>
    <row r="139" spans="1:16" hidden="1" outlineLevel="6">
      <c r="A139" s="3534" t="s">
        <v>1421</v>
      </c>
      <c r="B139" s="3534"/>
      <c r="C139" s="39"/>
      <c r="D139" s="39"/>
      <c r="E139" s="40">
        <v>39.65</v>
      </c>
      <c r="F139" s="41"/>
      <c r="G139" s="40">
        <v>39.65</v>
      </c>
      <c r="H139" s="41"/>
      <c r="I139" s="41"/>
      <c r="J139" s="41"/>
      <c r="K139" s="41"/>
      <c r="L139" s="41"/>
      <c r="M139" s="40">
        <v>39.65</v>
      </c>
      <c r="N139" s="40">
        <v>39.65</v>
      </c>
      <c r="O139" s="30"/>
      <c r="P139" s="12"/>
    </row>
    <row r="140" spans="1:16" hidden="1" outlineLevel="6">
      <c r="A140" s="3534" t="s">
        <v>1422</v>
      </c>
      <c r="B140" s="3534"/>
      <c r="C140" s="39"/>
      <c r="D140" s="39"/>
      <c r="E140" s="40">
        <v>58.72</v>
      </c>
      <c r="F140" s="41"/>
      <c r="G140" s="40">
        <v>58.72</v>
      </c>
      <c r="H140" s="41"/>
      <c r="I140" s="41"/>
      <c r="J140" s="41"/>
      <c r="K140" s="41"/>
      <c r="L140" s="41"/>
      <c r="M140" s="40">
        <v>58.72</v>
      </c>
      <c r="N140" s="40">
        <v>58.72</v>
      </c>
      <c r="O140" s="30"/>
      <c r="P140" s="12"/>
    </row>
    <row r="141" spans="1:16" hidden="1" outlineLevel="5" collapsed="1">
      <c r="A141" s="3542" t="s">
        <v>1496</v>
      </c>
      <c r="B141" s="3542"/>
      <c r="C141" s="35"/>
      <c r="D141" s="35"/>
      <c r="E141" s="43">
        <v>450.71</v>
      </c>
      <c r="F141" s="37"/>
      <c r="G141" s="43">
        <v>120.74</v>
      </c>
      <c r="H141" s="3533">
        <v>329.97</v>
      </c>
      <c r="I141" s="3533"/>
      <c r="J141" s="37"/>
      <c r="K141" s="37"/>
      <c r="L141" s="37"/>
      <c r="M141" s="43">
        <v>450.71</v>
      </c>
      <c r="N141" s="43">
        <v>450.71</v>
      </c>
      <c r="O141" s="29"/>
      <c r="P141" s="11"/>
    </row>
    <row r="142" spans="1:16" hidden="1" outlineLevel="6">
      <c r="A142" s="3534" t="s">
        <v>1423</v>
      </c>
      <c r="B142" s="3534"/>
      <c r="C142" s="39"/>
      <c r="D142" s="39"/>
      <c r="E142" s="40">
        <v>120.74</v>
      </c>
      <c r="F142" s="41"/>
      <c r="G142" s="40">
        <v>120.74</v>
      </c>
      <c r="H142" s="41"/>
      <c r="I142" s="41"/>
      <c r="J142" s="41"/>
      <c r="K142" s="41"/>
      <c r="L142" s="41"/>
      <c r="M142" s="40">
        <v>120.74</v>
      </c>
      <c r="N142" s="40">
        <v>120.74</v>
      </c>
      <c r="O142" s="30"/>
      <c r="P142" s="12"/>
    </row>
    <row r="143" spans="1:16" hidden="1" outlineLevel="6">
      <c r="A143" s="3534" t="s">
        <v>1424</v>
      </c>
      <c r="B143" s="3534"/>
      <c r="C143" s="39"/>
      <c r="D143" s="39"/>
      <c r="E143" s="40">
        <v>329.97</v>
      </c>
      <c r="F143" s="41"/>
      <c r="G143" s="41"/>
      <c r="H143" s="3531">
        <v>329.97</v>
      </c>
      <c r="I143" s="3531"/>
      <c r="J143" s="41"/>
      <c r="K143" s="41"/>
      <c r="L143" s="41"/>
      <c r="M143" s="40">
        <v>329.97</v>
      </c>
      <c r="N143" s="40">
        <v>329.97</v>
      </c>
      <c r="O143" s="30"/>
      <c r="P143" s="12"/>
    </row>
    <row r="144" spans="1:16" hidden="1" outlineLevel="5" collapsed="1">
      <c r="A144" s="3542" t="s">
        <v>1497</v>
      </c>
      <c r="B144" s="3542"/>
      <c r="C144" s="35"/>
      <c r="D144" s="35"/>
      <c r="E144" s="36">
        <v>4216.71</v>
      </c>
      <c r="F144" s="37"/>
      <c r="G144" s="36">
        <v>1061.46</v>
      </c>
      <c r="H144" s="3537">
        <v>3155.25</v>
      </c>
      <c r="I144" s="3537"/>
      <c r="J144" s="37"/>
      <c r="K144" s="37"/>
      <c r="L144" s="37"/>
      <c r="M144" s="36">
        <v>4216.71</v>
      </c>
      <c r="N144" s="36">
        <v>4216.71</v>
      </c>
      <c r="O144" s="29"/>
      <c r="P144" s="11"/>
    </row>
    <row r="145" spans="1:16" hidden="1" outlineLevel="6">
      <c r="A145" s="3534" t="s">
        <v>1414</v>
      </c>
      <c r="B145" s="3534"/>
      <c r="C145" s="39"/>
      <c r="D145" s="39"/>
      <c r="E145" s="42">
        <v>1044.3800000000001</v>
      </c>
      <c r="F145" s="41"/>
      <c r="G145" s="40">
        <v>697.41</v>
      </c>
      <c r="H145" s="3531">
        <v>346.97</v>
      </c>
      <c r="I145" s="3531"/>
      <c r="J145" s="41"/>
      <c r="K145" s="41"/>
      <c r="L145" s="41"/>
      <c r="M145" s="42">
        <v>1044.3800000000001</v>
      </c>
      <c r="N145" s="42">
        <v>1044.3800000000001</v>
      </c>
      <c r="O145" s="30"/>
      <c r="P145" s="12"/>
    </row>
    <row r="146" spans="1:16" hidden="1" outlineLevel="6">
      <c r="A146" s="3534" t="s">
        <v>1415</v>
      </c>
      <c r="B146" s="3534"/>
      <c r="C146" s="39"/>
      <c r="D146" s="39"/>
      <c r="E146" s="40">
        <v>66.33</v>
      </c>
      <c r="F146" s="41"/>
      <c r="G146" s="41"/>
      <c r="H146" s="3531">
        <v>66.33</v>
      </c>
      <c r="I146" s="3531"/>
      <c r="J146" s="41"/>
      <c r="K146" s="41"/>
      <c r="L146" s="41"/>
      <c r="M146" s="40">
        <v>66.33</v>
      </c>
      <c r="N146" s="40">
        <v>66.33</v>
      </c>
      <c r="O146" s="30"/>
      <c r="P146" s="12"/>
    </row>
    <row r="147" spans="1:16" hidden="1" outlineLevel="6">
      <c r="A147" s="3534" t="s">
        <v>1416</v>
      </c>
      <c r="B147" s="3534"/>
      <c r="C147" s="39"/>
      <c r="D147" s="39"/>
      <c r="E147" s="42">
        <v>2545.71</v>
      </c>
      <c r="F147" s="41"/>
      <c r="G147" s="40">
        <v>232.16</v>
      </c>
      <c r="H147" s="3536">
        <v>2313.5500000000002</v>
      </c>
      <c r="I147" s="3536"/>
      <c r="J147" s="41"/>
      <c r="K147" s="41"/>
      <c r="L147" s="41"/>
      <c r="M147" s="42">
        <v>2545.71</v>
      </c>
      <c r="N147" s="42">
        <v>2545.71</v>
      </c>
      <c r="O147" s="30"/>
      <c r="P147" s="12"/>
    </row>
    <row r="148" spans="1:16" hidden="1" outlineLevel="6">
      <c r="A148" s="3534" t="s">
        <v>1417</v>
      </c>
      <c r="B148" s="3534"/>
      <c r="C148" s="39"/>
      <c r="D148" s="39"/>
      <c r="E148" s="40">
        <v>206.16</v>
      </c>
      <c r="F148" s="41"/>
      <c r="G148" s="40">
        <v>104.78</v>
      </c>
      <c r="H148" s="3531">
        <v>101.38</v>
      </c>
      <c r="I148" s="3531"/>
      <c r="J148" s="41"/>
      <c r="K148" s="41"/>
      <c r="L148" s="41"/>
      <c r="M148" s="40">
        <v>206.16</v>
      </c>
      <c r="N148" s="40">
        <v>206.16</v>
      </c>
      <c r="O148" s="30"/>
      <c r="P148" s="12"/>
    </row>
    <row r="149" spans="1:16" hidden="1" outlineLevel="6">
      <c r="A149" s="3534" t="s">
        <v>1418</v>
      </c>
      <c r="B149" s="3534"/>
      <c r="C149" s="39"/>
      <c r="D149" s="39"/>
      <c r="E149" s="40">
        <v>354.13</v>
      </c>
      <c r="F149" s="41"/>
      <c r="G149" s="40">
        <v>27.11</v>
      </c>
      <c r="H149" s="3531">
        <v>327.02</v>
      </c>
      <c r="I149" s="3531"/>
      <c r="J149" s="41"/>
      <c r="K149" s="41"/>
      <c r="L149" s="41"/>
      <c r="M149" s="40">
        <v>354.13</v>
      </c>
      <c r="N149" s="40">
        <v>354.13</v>
      </c>
      <c r="O149" s="30"/>
      <c r="P149" s="12"/>
    </row>
    <row r="150" spans="1:16" hidden="1" outlineLevel="5" collapsed="1">
      <c r="A150" s="3542" t="s">
        <v>1498</v>
      </c>
      <c r="B150" s="3542"/>
      <c r="C150" s="35"/>
      <c r="D150" s="35"/>
      <c r="E150" s="36">
        <v>1196.44</v>
      </c>
      <c r="F150" s="37"/>
      <c r="G150" s="36">
        <v>1180.8800000000001</v>
      </c>
      <c r="H150" s="3533">
        <v>15.56</v>
      </c>
      <c r="I150" s="3533"/>
      <c r="J150" s="37"/>
      <c r="K150" s="37"/>
      <c r="L150" s="37"/>
      <c r="M150" s="36">
        <v>1196.44</v>
      </c>
      <c r="N150" s="36">
        <v>1196.44</v>
      </c>
      <c r="O150" s="29"/>
      <c r="P150" s="11"/>
    </row>
    <row r="151" spans="1:16" hidden="1" outlineLevel="6">
      <c r="A151" s="3534" t="s">
        <v>1365</v>
      </c>
      <c r="B151" s="3534"/>
      <c r="C151" s="39"/>
      <c r="D151" s="39"/>
      <c r="E151" s="40">
        <v>894.94</v>
      </c>
      <c r="F151" s="41"/>
      <c r="G151" s="40">
        <v>892.4</v>
      </c>
      <c r="H151" s="3531">
        <v>2.54</v>
      </c>
      <c r="I151" s="3531"/>
      <c r="J151" s="41"/>
      <c r="K151" s="41"/>
      <c r="L151" s="41"/>
      <c r="M151" s="40">
        <v>894.94</v>
      </c>
      <c r="N151" s="40">
        <v>894.94</v>
      </c>
      <c r="O151" s="30"/>
      <c r="P151" s="12"/>
    </row>
    <row r="152" spans="1:16" hidden="1" outlineLevel="6">
      <c r="A152" s="3534" t="s">
        <v>1366</v>
      </c>
      <c r="B152" s="3534"/>
      <c r="C152" s="39"/>
      <c r="D152" s="39"/>
      <c r="E152" s="40">
        <v>258.33999999999997</v>
      </c>
      <c r="F152" s="41"/>
      <c r="G152" s="40">
        <v>245.32</v>
      </c>
      <c r="H152" s="3531">
        <v>13.02</v>
      </c>
      <c r="I152" s="3531"/>
      <c r="J152" s="41"/>
      <c r="K152" s="41"/>
      <c r="L152" s="41"/>
      <c r="M152" s="40">
        <v>258.33999999999997</v>
      </c>
      <c r="N152" s="40">
        <v>258.33999999999997</v>
      </c>
      <c r="O152" s="30"/>
      <c r="P152" s="12"/>
    </row>
    <row r="153" spans="1:16" hidden="1" outlineLevel="6">
      <c r="A153" s="3534" t="s">
        <v>1367</v>
      </c>
      <c r="B153" s="3534"/>
      <c r="C153" s="39"/>
      <c r="D153" s="39"/>
      <c r="E153" s="40">
        <v>43.16</v>
      </c>
      <c r="F153" s="41"/>
      <c r="G153" s="40">
        <v>43.16</v>
      </c>
      <c r="H153" s="41"/>
      <c r="I153" s="41"/>
      <c r="J153" s="41"/>
      <c r="K153" s="41"/>
      <c r="L153" s="41"/>
      <c r="M153" s="40">
        <v>43.16</v>
      </c>
      <c r="N153" s="40">
        <v>43.16</v>
      </c>
      <c r="O153" s="30"/>
      <c r="P153" s="12"/>
    </row>
    <row r="154" spans="1:16" hidden="1" outlineLevel="5" collapsed="1">
      <c r="A154" s="3535" t="s">
        <v>1444</v>
      </c>
      <c r="B154" s="3535"/>
      <c r="C154" s="39"/>
      <c r="D154" s="39"/>
      <c r="E154" s="40">
        <v>177.93</v>
      </c>
      <c r="F154" s="41"/>
      <c r="G154" s="40">
        <v>177.93</v>
      </c>
      <c r="H154" s="41"/>
      <c r="I154" s="41"/>
      <c r="J154" s="41"/>
      <c r="K154" s="41"/>
      <c r="L154" s="41"/>
      <c r="M154" s="40">
        <v>177.93</v>
      </c>
      <c r="N154" s="40">
        <v>177.93</v>
      </c>
      <c r="O154" s="30"/>
      <c r="P154" s="12"/>
    </row>
    <row r="155" spans="1:16" hidden="1" outlineLevel="5">
      <c r="A155" s="3535" t="s">
        <v>1445</v>
      </c>
      <c r="B155" s="3535"/>
      <c r="C155" s="39"/>
      <c r="D155" s="39"/>
      <c r="E155" s="40">
        <v>127.88</v>
      </c>
      <c r="F155" s="41"/>
      <c r="G155" s="40">
        <v>127.88</v>
      </c>
      <c r="H155" s="41"/>
      <c r="I155" s="41"/>
      <c r="J155" s="41"/>
      <c r="K155" s="41"/>
      <c r="L155" s="41"/>
      <c r="M155" s="40">
        <v>127.88</v>
      </c>
      <c r="N155" s="40">
        <v>127.88</v>
      </c>
      <c r="O155" s="30"/>
      <c r="P155" s="12"/>
    </row>
    <row r="156" spans="1:16" hidden="1" outlineLevel="5">
      <c r="A156" s="3542" t="s">
        <v>1499</v>
      </c>
      <c r="B156" s="3542"/>
      <c r="C156" s="35"/>
      <c r="D156" s="35"/>
      <c r="E156" s="36">
        <v>1745.62</v>
      </c>
      <c r="F156" s="37"/>
      <c r="G156" s="36">
        <v>1257.77</v>
      </c>
      <c r="H156" s="3533">
        <v>487.85</v>
      </c>
      <c r="I156" s="3533"/>
      <c r="J156" s="37"/>
      <c r="K156" s="37"/>
      <c r="L156" s="37"/>
      <c r="M156" s="36">
        <v>1745.62</v>
      </c>
      <c r="N156" s="36">
        <v>1745.62</v>
      </c>
      <c r="O156" s="29"/>
      <c r="P156" s="11"/>
    </row>
    <row r="157" spans="1:16" hidden="1" outlineLevel="6">
      <c r="A157" s="3534" t="s">
        <v>1447</v>
      </c>
      <c r="B157" s="3534"/>
      <c r="C157" s="39"/>
      <c r="D157" s="39"/>
      <c r="E157" s="40">
        <v>974.57</v>
      </c>
      <c r="F157" s="41"/>
      <c r="G157" s="40">
        <v>974.57</v>
      </c>
      <c r="H157" s="41"/>
      <c r="I157" s="41"/>
      <c r="J157" s="41"/>
      <c r="K157" s="41"/>
      <c r="L157" s="41"/>
      <c r="M157" s="40">
        <v>974.57</v>
      </c>
      <c r="N157" s="40">
        <v>974.57</v>
      </c>
      <c r="O157" s="30"/>
      <c r="P157" s="12"/>
    </row>
    <row r="158" spans="1:16" hidden="1" outlineLevel="6">
      <c r="A158" s="3534" t="s">
        <v>1448</v>
      </c>
      <c r="B158" s="3534"/>
      <c r="C158" s="39"/>
      <c r="D158" s="39"/>
      <c r="E158" s="40">
        <v>231.06</v>
      </c>
      <c r="F158" s="41"/>
      <c r="G158" s="40">
        <v>153.44999999999999</v>
      </c>
      <c r="H158" s="3531">
        <v>77.61</v>
      </c>
      <c r="I158" s="3531"/>
      <c r="J158" s="41"/>
      <c r="K158" s="41"/>
      <c r="L158" s="41"/>
      <c r="M158" s="40">
        <v>231.06</v>
      </c>
      <c r="N158" s="40">
        <v>231.06</v>
      </c>
      <c r="O158" s="30"/>
      <c r="P158" s="12"/>
    </row>
    <row r="159" spans="1:16" hidden="1" outlineLevel="6">
      <c r="A159" s="3534" t="s">
        <v>1449</v>
      </c>
      <c r="B159" s="3534"/>
      <c r="C159" s="39"/>
      <c r="D159" s="39"/>
      <c r="E159" s="40">
        <v>17.22</v>
      </c>
      <c r="F159" s="41"/>
      <c r="G159" s="40">
        <v>15.99</v>
      </c>
      <c r="H159" s="3531">
        <v>1.23</v>
      </c>
      <c r="I159" s="3531"/>
      <c r="J159" s="41"/>
      <c r="K159" s="41"/>
      <c r="L159" s="41"/>
      <c r="M159" s="40">
        <v>17.22</v>
      </c>
      <c r="N159" s="40">
        <v>17.22</v>
      </c>
      <c r="O159" s="30"/>
      <c r="P159" s="12"/>
    </row>
    <row r="160" spans="1:16" hidden="1" outlineLevel="6">
      <c r="A160" s="3534" t="s">
        <v>1450</v>
      </c>
      <c r="B160" s="3534"/>
      <c r="C160" s="39"/>
      <c r="D160" s="39"/>
      <c r="E160" s="40">
        <v>176.91</v>
      </c>
      <c r="F160" s="41"/>
      <c r="G160" s="40">
        <v>96.28</v>
      </c>
      <c r="H160" s="3531">
        <v>80.63</v>
      </c>
      <c r="I160" s="3531"/>
      <c r="J160" s="41"/>
      <c r="K160" s="41"/>
      <c r="L160" s="41"/>
      <c r="M160" s="40">
        <v>176.91</v>
      </c>
      <c r="N160" s="40">
        <v>176.91</v>
      </c>
      <c r="O160" s="30"/>
      <c r="P160" s="12"/>
    </row>
    <row r="161" spans="1:16" hidden="1" outlineLevel="6">
      <c r="A161" s="3534" t="s">
        <v>1451</v>
      </c>
      <c r="B161" s="3534"/>
      <c r="C161" s="39"/>
      <c r="D161" s="39"/>
      <c r="E161" s="40">
        <v>325.29000000000002</v>
      </c>
      <c r="F161" s="41"/>
      <c r="G161" s="41"/>
      <c r="H161" s="3531">
        <v>325.29000000000002</v>
      </c>
      <c r="I161" s="3531"/>
      <c r="J161" s="41"/>
      <c r="K161" s="41"/>
      <c r="L161" s="41"/>
      <c r="M161" s="40">
        <v>325.29000000000002</v>
      </c>
      <c r="N161" s="40">
        <v>325.29000000000002</v>
      </c>
      <c r="O161" s="30"/>
      <c r="P161" s="12"/>
    </row>
    <row r="162" spans="1:16" hidden="1" outlineLevel="6">
      <c r="A162" s="3534" t="s">
        <v>1452</v>
      </c>
      <c r="B162" s="3534"/>
      <c r="C162" s="39"/>
      <c r="D162" s="39"/>
      <c r="E162" s="40">
        <v>17.48</v>
      </c>
      <c r="F162" s="41"/>
      <c r="G162" s="40">
        <v>17.48</v>
      </c>
      <c r="H162" s="41"/>
      <c r="I162" s="41"/>
      <c r="J162" s="41"/>
      <c r="K162" s="41"/>
      <c r="L162" s="41"/>
      <c r="M162" s="40">
        <v>17.48</v>
      </c>
      <c r="N162" s="40">
        <v>17.48</v>
      </c>
      <c r="O162" s="30"/>
      <c r="P162" s="12"/>
    </row>
    <row r="163" spans="1:16" hidden="1" outlineLevel="6">
      <c r="A163" s="3534" t="s">
        <v>1453</v>
      </c>
      <c r="B163" s="3534"/>
      <c r="C163" s="39"/>
      <c r="D163" s="39"/>
      <c r="E163" s="40">
        <v>3.09</v>
      </c>
      <c r="F163" s="41"/>
      <c r="G163" s="41"/>
      <c r="H163" s="3531">
        <v>3.09</v>
      </c>
      <c r="I163" s="3531"/>
      <c r="J163" s="41"/>
      <c r="K163" s="41"/>
      <c r="L163" s="41"/>
      <c r="M163" s="40">
        <v>3.09</v>
      </c>
      <c r="N163" s="40">
        <v>3.09</v>
      </c>
      <c r="O163" s="30"/>
      <c r="P163" s="12"/>
    </row>
    <row r="164" spans="1:16" hidden="1" outlineLevel="5" collapsed="1">
      <c r="A164" s="3535" t="s">
        <v>1454</v>
      </c>
      <c r="B164" s="3535"/>
      <c r="C164" s="39"/>
      <c r="D164" s="39"/>
      <c r="E164" s="40">
        <v>118.42</v>
      </c>
      <c r="F164" s="41"/>
      <c r="G164" s="41"/>
      <c r="H164" s="3531">
        <v>118.42</v>
      </c>
      <c r="I164" s="3531"/>
      <c r="J164" s="41"/>
      <c r="K164" s="41"/>
      <c r="L164" s="41"/>
      <c r="M164" s="40">
        <v>118.42</v>
      </c>
      <c r="N164" s="40">
        <v>118.42</v>
      </c>
      <c r="O164" s="30"/>
      <c r="P164" s="12"/>
    </row>
    <row r="165" spans="1:16" hidden="1" outlineLevel="5">
      <c r="A165" s="3535" t="s">
        <v>1456</v>
      </c>
      <c r="B165" s="3535"/>
      <c r="C165" s="39"/>
      <c r="D165" s="39"/>
      <c r="E165" s="42">
        <v>3244.61</v>
      </c>
      <c r="F165" s="41"/>
      <c r="G165" s="42">
        <v>2716.68</v>
      </c>
      <c r="H165" s="3531">
        <v>527.92999999999995</v>
      </c>
      <c r="I165" s="3531"/>
      <c r="J165" s="41"/>
      <c r="K165" s="41"/>
      <c r="L165" s="41"/>
      <c r="M165" s="42">
        <v>3244.61</v>
      </c>
      <c r="N165" s="42">
        <v>3244.61</v>
      </c>
      <c r="O165" s="30"/>
      <c r="P165" s="12"/>
    </row>
    <row r="166" spans="1:16" outlineLevel="3" collapsed="1">
      <c r="A166" s="3541" t="s">
        <v>1500</v>
      </c>
      <c r="B166" s="3541"/>
      <c r="C166" s="35"/>
      <c r="D166" s="35"/>
      <c r="E166" s="36">
        <v>460358.23</v>
      </c>
      <c r="F166" s="36">
        <v>6326.6</v>
      </c>
      <c r="G166" s="36">
        <v>420913.12</v>
      </c>
      <c r="H166" s="3537">
        <v>6902.35</v>
      </c>
      <c r="I166" s="3537"/>
      <c r="J166" s="36">
        <v>26216.16</v>
      </c>
      <c r="K166" s="37"/>
      <c r="L166" s="37"/>
      <c r="M166" s="36">
        <v>460358.23</v>
      </c>
      <c r="N166" s="36">
        <v>460358.23</v>
      </c>
      <c r="O166" s="29"/>
      <c r="P166" s="11"/>
    </row>
    <row r="167" spans="1:16" hidden="1" outlineLevel="4">
      <c r="A167" s="3539" t="s">
        <v>1391</v>
      </c>
      <c r="B167" s="3539"/>
      <c r="C167" s="39"/>
      <c r="D167" s="39"/>
      <c r="E167" s="42">
        <v>69387.72</v>
      </c>
      <c r="F167" s="40">
        <v>939.41</v>
      </c>
      <c r="G167" s="42">
        <v>63247.040000000001</v>
      </c>
      <c r="H167" s="3531">
        <v>803.02</v>
      </c>
      <c r="I167" s="3531"/>
      <c r="J167" s="42">
        <v>4398.25</v>
      </c>
      <c r="K167" s="41"/>
      <c r="L167" s="41"/>
      <c r="M167" s="42">
        <v>69387.72</v>
      </c>
      <c r="N167" s="42">
        <v>69387.72</v>
      </c>
      <c r="O167" s="30"/>
      <c r="P167" s="12"/>
    </row>
    <row r="168" spans="1:16" hidden="1" outlineLevel="4">
      <c r="A168" s="3539" t="s">
        <v>1392</v>
      </c>
      <c r="B168" s="3539"/>
      <c r="C168" s="39"/>
      <c r="D168" s="39"/>
      <c r="E168" s="40">
        <v>451.32</v>
      </c>
      <c r="F168" s="40">
        <v>21.76</v>
      </c>
      <c r="G168" s="40">
        <v>211.56</v>
      </c>
      <c r="H168" s="3531">
        <v>218</v>
      </c>
      <c r="I168" s="3531"/>
      <c r="J168" s="41"/>
      <c r="K168" s="41"/>
      <c r="L168" s="41"/>
      <c r="M168" s="40">
        <v>451.32</v>
      </c>
      <c r="N168" s="40">
        <v>451.32</v>
      </c>
      <c r="O168" s="30"/>
      <c r="P168" s="12"/>
    </row>
    <row r="169" spans="1:16" hidden="1" outlineLevel="4">
      <c r="A169" s="3539" t="s">
        <v>1393</v>
      </c>
      <c r="B169" s="3539"/>
      <c r="C169" s="39"/>
      <c r="D169" s="39"/>
      <c r="E169" s="42">
        <v>2140.5100000000002</v>
      </c>
      <c r="F169" s="41"/>
      <c r="G169" s="42">
        <v>2010.67</v>
      </c>
      <c r="H169" s="3531">
        <v>129.84</v>
      </c>
      <c r="I169" s="3531"/>
      <c r="J169" s="41"/>
      <c r="K169" s="41"/>
      <c r="L169" s="41"/>
      <c r="M169" s="42">
        <v>2140.5100000000002</v>
      </c>
      <c r="N169" s="42">
        <v>2140.5100000000002</v>
      </c>
      <c r="O169" s="30"/>
      <c r="P169" s="12"/>
    </row>
    <row r="170" spans="1:16" hidden="1" outlineLevel="4">
      <c r="A170" s="3539" t="s">
        <v>1394</v>
      </c>
      <c r="B170" s="3539"/>
      <c r="C170" s="39"/>
      <c r="D170" s="39"/>
      <c r="E170" s="40">
        <v>126.65</v>
      </c>
      <c r="F170" s="40">
        <v>10.95</v>
      </c>
      <c r="G170" s="40">
        <v>91.75</v>
      </c>
      <c r="H170" s="3531">
        <v>23.95</v>
      </c>
      <c r="I170" s="3531"/>
      <c r="J170" s="41"/>
      <c r="K170" s="41"/>
      <c r="L170" s="41"/>
      <c r="M170" s="40">
        <v>126.65</v>
      </c>
      <c r="N170" s="40">
        <v>126.65</v>
      </c>
      <c r="O170" s="30"/>
      <c r="P170" s="12"/>
    </row>
    <row r="171" spans="1:16" hidden="1" outlineLevel="4">
      <c r="A171" s="3539" t="s">
        <v>1395</v>
      </c>
      <c r="B171" s="3539"/>
      <c r="C171" s="39"/>
      <c r="D171" s="39"/>
      <c r="E171" s="42">
        <v>5275.48</v>
      </c>
      <c r="F171" s="40">
        <v>109.84</v>
      </c>
      <c r="G171" s="42">
        <v>5095.28</v>
      </c>
      <c r="H171" s="3531">
        <v>70.36</v>
      </c>
      <c r="I171" s="3531"/>
      <c r="J171" s="41"/>
      <c r="K171" s="41"/>
      <c r="L171" s="41"/>
      <c r="M171" s="42">
        <v>5275.48</v>
      </c>
      <c r="N171" s="42">
        <v>5275.48</v>
      </c>
      <c r="O171" s="30"/>
      <c r="P171" s="12"/>
    </row>
    <row r="172" spans="1:16" hidden="1" outlineLevel="4">
      <c r="A172" s="3539" t="s">
        <v>1396</v>
      </c>
      <c r="B172" s="3539"/>
      <c r="C172" s="39"/>
      <c r="D172" s="39"/>
      <c r="E172" s="42">
        <v>298924.15000000002</v>
      </c>
      <c r="F172" s="42">
        <v>3947.5</v>
      </c>
      <c r="G172" s="42">
        <v>272801.63</v>
      </c>
      <c r="H172" s="3536">
        <v>3202.31</v>
      </c>
      <c r="I172" s="3536"/>
      <c r="J172" s="42">
        <v>18972.71</v>
      </c>
      <c r="K172" s="41"/>
      <c r="L172" s="41"/>
      <c r="M172" s="42">
        <v>298924.15000000002</v>
      </c>
      <c r="N172" s="42">
        <v>298924.15000000002</v>
      </c>
      <c r="O172" s="30"/>
      <c r="P172" s="12"/>
    </row>
    <row r="173" spans="1:16" hidden="1" outlineLevel="4">
      <c r="A173" s="3539" t="s">
        <v>1397</v>
      </c>
      <c r="B173" s="3539"/>
      <c r="C173" s="39"/>
      <c r="D173" s="39"/>
      <c r="E173" s="42">
        <v>1710.01</v>
      </c>
      <c r="F173" s="40">
        <v>81.36</v>
      </c>
      <c r="G173" s="40">
        <v>753.89</v>
      </c>
      <c r="H173" s="3531">
        <v>874.76</v>
      </c>
      <c r="I173" s="3531"/>
      <c r="J173" s="41"/>
      <c r="K173" s="41"/>
      <c r="L173" s="41"/>
      <c r="M173" s="42">
        <v>1710.01</v>
      </c>
      <c r="N173" s="42">
        <v>1710.01</v>
      </c>
      <c r="O173" s="30"/>
      <c r="P173" s="12"/>
    </row>
    <row r="174" spans="1:16" hidden="1" outlineLevel="4">
      <c r="A174" s="3539" t="s">
        <v>1398</v>
      </c>
      <c r="B174" s="3539"/>
      <c r="C174" s="39"/>
      <c r="D174" s="39"/>
      <c r="E174" s="42">
        <v>9147.35</v>
      </c>
      <c r="F174" s="41"/>
      <c r="G174" s="42">
        <v>8654.91</v>
      </c>
      <c r="H174" s="3531">
        <v>492.44</v>
      </c>
      <c r="I174" s="3531"/>
      <c r="J174" s="41"/>
      <c r="K174" s="41"/>
      <c r="L174" s="41"/>
      <c r="M174" s="42">
        <v>9147.35</v>
      </c>
      <c r="N174" s="42">
        <v>9147.35</v>
      </c>
      <c r="O174" s="30"/>
      <c r="P174" s="12"/>
    </row>
    <row r="175" spans="1:16" hidden="1" outlineLevel="4">
      <c r="A175" s="3539" t="s">
        <v>1399</v>
      </c>
      <c r="B175" s="3539"/>
      <c r="C175" s="39"/>
      <c r="D175" s="39"/>
      <c r="E175" s="40">
        <v>546.49</v>
      </c>
      <c r="F175" s="40">
        <v>47.21</v>
      </c>
      <c r="G175" s="40">
        <v>395.93</v>
      </c>
      <c r="H175" s="3531">
        <v>103.35</v>
      </c>
      <c r="I175" s="3531"/>
      <c r="J175" s="41"/>
      <c r="K175" s="41"/>
      <c r="L175" s="41"/>
      <c r="M175" s="40">
        <v>546.49</v>
      </c>
      <c r="N175" s="40">
        <v>546.49</v>
      </c>
      <c r="O175" s="30"/>
      <c r="P175" s="12"/>
    </row>
    <row r="176" spans="1:16" hidden="1" outlineLevel="4">
      <c r="A176" s="3539" t="s">
        <v>1400</v>
      </c>
      <c r="B176" s="3539"/>
      <c r="C176" s="39"/>
      <c r="D176" s="39"/>
      <c r="E176" s="42">
        <v>22720.59</v>
      </c>
      <c r="F176" s="40">
        <v>467.27</v>
      </c>
      <c r="G176" s="42">
        <v>21969.75</v>
      </c>
      <c r="H176" s="3531">
        <v>283.57</v>
      </c>
      <c r="I176" s="3531"/>
      <c r="J176" s="41"/>
      <c r="K176" s="41"/>
      <c r="L176" s="41"/>
      <c r="M176" s="42">
        <v>22720.59</v>
      </c>
      <c r="N176" s="42">
        <v>22720.59</v>
      </c>
      <c r="O176" s="30"/>
      <c r="P176" s="12"/>
    </row>
    <row r="177" spans="1:16" hidden="1" outlineLevel="4">
      <c r="A177" s="3539" t="s">
        <v>1401</v>
      </c>
      <c r="B177" s="3539"/>
      <c r="C177" s="39"/>
      <c r="D177" s="39"/>
      <c r="E177" s="42">
        <v>5426.39</v>
      </c>
      <c r="F177" s="40">
        <v>64.14</v>
      </c>
      <c r="G177" s="42">
        <v>4957.53</v>
      </c>
      <c r="H177" s="3531">
        <v>60.43</v>
      </c>
      <c r="I177" s="3531"/>
      <c r="J177" s="40">
        <v>344.29</v>
      </c>
      <c r="K177" s="41"/>
      <c r="L177" s="41"/>
      <c r="M177" s="42">
        <v>5426.39</v>
      </c>
      <c r="N177" s="42">
        <v>5426.39</v>
      </c>
      <c r="O177" s="30"/>
      <c r="P177" s="12"/>
    </row>
    <row r="178" spans="1:16" hidden="1" outlineLevel="4">
      <c r="A178" s="3539" t="s">
        <v>1402</v>
      </c>
      <c r="B178" s="3539"/>
      <c r="C178" s="39"/>
      <c r="D178" s="39"/>
      <c r="E178" s="40">
        <v>35.340000000000003</v>
      </c>
      <c r="F178" s="40">
        <v>1.7</v>
      </c>
      <c r="G178" s="40">
        <v>16.55</v>
      </c>
      <c r="H178" s="3531">
        <v>17.09</v>
      </c>
      <c r="I178" s="3531"/>
      <c r="J178" s="41"/>
      <c r="K178" s="41"/>
      <c r="L178" s="41"/>
      <c r="M178" s="40">
        <v>35.340000000000003</v>
      </c>
      <c r="N178" s="40">
        <v>35.340000000000003</v>
      </c>
      <c r="O178" s="30"/>
      <c r="P178" s="12"/>
    </row>
    <row r="179" spans="1:16" hidden="1" outlineLevel="4">
      <c r="A179" s="3539" t="s">
        <v>1403</v>
      </c>
      <c r="B179" s="3539"/>
      <c r="C179" s="39"/>
      <c r="D179" s="39"/>
      <c r="E179" s="40">
        <v>168.74</v>
      </c>
      <c r="F179" s="41"/>
      <c r="G179" s="40">
        <v>158.02000000000001</v>
      </c>
      <c r="H179" s="3531">
        <v>10.72</v>
      </c>
      <c r="I179" s="3531"/>
      <c r="J179" s="41"/>
      <c r="K179" s="41"/>
      <c r="L179" s="41"/>
      <c r="M179" s="40">
        <v>168.74</v>
      </c>
      <c r="N179" s="40">
        <v>168.74</v>
      </c>
      <c r="O179" s="30"/>
      <c r="P179" s="12"/>
    </row>
    <row r="180" spans="1:16" hidden="1" outlineLevel="4">
      <c r="A180" s="3539" t="s">
        <v>1404</v>
      </c>
      <c r="B180" s="3539"/>
      <c r="C180" s="39"/>
      <c r="D180" s="39"/>
      <c r="E180" s="40">
        <v>9.8800000000000008</v>
      </c>
      <c r="F180" s="40">
        <v>0.86</v>
      </c>
      <c r="G180" s="40">
        <v>7.17</v>
      </c>
      <c r="H180" s="3531">
        <v>1.85</v>
      </c>
      <c r="I180" s="3531"/>
      <c r="J180" s="41"/>
      <c r="K180" s="41"/>
      <c r="L180" s="41"/>
      <c r="M180" s="40">
        <v>9.8800000000000008</v>
      </c>
      <c r="N180" s="40">
        <v>9.8800000000000008</v>
      </c>
      <c r="O180" s="30"/>
      <c r="P180" s="12"/>
    </row>
    <row r="181" spans="1:16" hidden="1" outlineLevel="4">
      <c r="A181" s="3539" t="s">
        <v>1405</v>
      </c>
      <c r="B181" s="3539"/>
      <c r="C181" s="39"/>
      <c r="D181" s="39"/>
      <c r="E181" s="40">
        <v>412.61</v>
      </c>
      <c r="F181" s="40">
        <v>8.6300000000000008</v>
      </c>
      <c r="G181" s="40">
        <v>398.62</v>
      </c>
      <c r="H181" s="3531">
        <v>5.36</v>
      </c>
      <c r="I181" s="3531"/>
      <c r="J181" s="41"/>
      <c r="K181" s="41"/>
      <c r="L181" s="41"/>
      <c r="M181" s="40">
        <v>412.61</v>
      </c>
      <c r="N181" s="40">
        <v>412.61</v>
      </c>
      <c r="O181" s="30"/>
      <c r="P181" s="12"/>
    </row>
    <row r="182" spans="1:16" hidden="1" outlineLevel="4">
      <c r="A182" s="3539" t="s">
        <v>1406</v>
      </c>
      <c r="B182" s="3539"/>
      <c r="C182" s="39"/>
      <c r="D182" s="39"/>
      <c r="E182" s="42">
        <v>39359.980000000003</v>
      </c>
      <c r="F182" s="40">
        <v>544.73</v>
      </c>
      <c r="G182" s="42">
        <v>35938.89</v>
      </c>
      <c r="H182" s="3531">
        <v>375.45</v>
      </c>
      <c r="I182" s="3531"/>
      <c r="J182" s="42">
        <v>2500.91</v>
      </c>
      <c r="K182" s="41"/>
      <c r="L182" s="41"/>
      <c r="M182" s="42">
        <v>39359.980000000003</v>
      </c>
      <c r="N182" s="42">
        <v>39359.980000000003</v>
      </c>
      <c r="O182" s="30"/>
      <c r="P182" s="12"/>
    </row>
    <row r="183" spans="1:16" hidden="1" outlineLevel="4">
      <c r="A183" s="3539" t="s">
        <v>1407</v>
      </c>
      <c r="B183" s="3539"/>
      <c r="C183" s="39"/>
      <c r="D183" s="39"/>
      <c r="E183" s="40">
        <v>256.66000000000003</v>
      </c>
      <c r="F183" s="40">
        <v>12.37</v>
      </c>
      <c r="G183" s="40">
        <v>120.33</v>
      </c>
      <c r="H183" s="3531">
        <v>123.96</v>
      </c>
      <c r="I183" s="3531"/>
      <c r="J183" s="41"/>
      <c r="K183" s="41"/>
      <c r="L183" s="41"/>
      <c r="M183" s="40">
        <v>256.66000000000003</v>
      </c>
      <c r="N183" s="40">
        <v>256.66000000000003</v>
      </c>
      <c r="O183" s="30"/>
      <c r="P183" s="12"/>
    </row>
    <row r="184" spans="1:16" hidden="1" outlineLevel="4">
      <c r="A184" s="3539" t="s">
        <v>1408</v>
      </c>
      <c r="B184" s="3539"/>
      <c r="C184" s="39"/>
      <c r="D184" s="39"/>
      <c r="E184" s="42">
        <v>1194.67</v>
      </c>
      <c r="F184" s="41"/>
      <c r="G184" s="42">
        <v>1136.3699999999999</v>
      </c>
      <c r="H184" s="3531">
        <v>58.3</v>
      </c>
      <c r="I184" s="3531"/>
      <c r="J184" s="41"/>
      <c r="K184" s="41"/>
      <c r="L184" s="41"/>
      <c r="M184" s="42">
        <v>1194.67</v>
      </c>
      <c r="N184" s="42">
        <v>1194.67</v>
      </c>
      <c r="O184" s="30"/>
      <c r="P184" s="12"/>
    </row>
    <row r="185" spans="1:16" hidden="1" outlineLevel="4">
      <c r="A185" s="3539" t="s">
        <v>1409</v>
      </c>
      <c r="B185" s="3539"/>
      <c r="C185" s="39"/>
      <c r="D185" s="39"/>
      <c r="E185" s="40">
        <v>72.069999999999993</v>
      </c>
      <c r="F185" s="40">
        <v>6.23</v>
      </c>
      <c r="G185" s="40">
        <v>52.21</v>
      </c>
      <c r="H185" s="3531">
        <v>13.63</v>
      </c>
      <c r="I185" s="3531"/>
      <c r="J185" s="41"/>
      <c r="K185" s="41"/>
      <c r="L185" s="41"/>
      <c r="M185" s="40">
        <v>72.069999999999993</v>
      </c>
      <c r="N185" s="40">
        <v>72.069999999999993</v>
      </c>
      <c r="O185" s="30"/>
      <c r="P185" s="12"/>
    </row>
    <row r="186" spans="1:16" hidden="1" outlineLevel="4">
      <c r="A186" s="3539" t="s">
        <v>1410</v>
      </c>
      <c r="B186" s="3539"/>
      <c r="C186" s="39"/>
      <c r="D186" s="39"/>
      <c r="E186" s="42">
        <v>2991.62</v>
      </c>
      <c r="F186" s="40">
        <v>62.64</v>
      </c>
      <c r="G186" s="42">
        <v>2895.02</v>
      </c>
      <c r="H186" s="3531">
        <v>33.96</v>
      </c>
      <c r="I186" s="3531"/>
      <c r="J186" s="41"/>
      <c r="K186" s="41"/>
      <c r="L186" s="41"/>
      <c r="M186" s="42">
        <v>2991.62</v>
      </c>
      <c r="N186" s="42">
        <v>2991.62</v>
      </c>
      <c r="O186" s="30"/>
      <c r="P186" s="12"/>
    </row>
    <row r="187" spans="1:16" ht="12.75" customHeight="1" outlineLevel="2" collapsed="1">
      <c r="A187" s="3546" t="s">
        <v>715</v>
      </c>
      <c r="B187" s="3546"/>
      <c r="C187" s="44"/>
      <c r="D187" s="44"/>
      <c r="E187" s="33">
        <v>231993.94</v>
      </c>
      <c r="F187" s="33"/>
      <c r="G187" s="33">
        <v>64304.83</v>
      </c>
      <c r="H187" s="3538">
        <v>27101.919999999998</v>
      </c>
      <c r="I187" s="3538"/>
      <c r="J187" s="33">
        <v>312.54000000000002</v>
      </c>
      <c r="K187" s="33">
        <v>1028.0899999999999</v>
      </c>
      <c r="L187" s="34">
        <v>139246.56</v>
      </c>
      <c r="M187" s="33">
        <v>231993.94</v>
      </c>
      <c r="N187" s="33">
        <v>231993.94</v>
      </c>
      <c r="O187" s="28"/>
      <c r="P187" s="10"/>
    </row>
    <row r="188" spans="1:16" outlineLevel="3">
      <c r="A188" s="3541" t="s">
        <v>1469</v>
      </c>
      <c r="B188" s="3541"/>
      <c r="C188" s="35"/>
      <c r="D188" s="35"/>
      <c r="E188" s="36">
        <v>1726.29</v>
      </c>
      <c r="F188" s="37"/>
      <c r="G188" s="36">
        <v>1461.45</v>
      </c>
      <c r="H188" s="3533">
        <v>264.83999999999997</v>
      </c>
      <c r="I188" s="3533"/>
      <c r="J188" s="37"/>
      <c r="K188" s="37"/>
      <c r="L188" s="37"/>
      <c r="M188" s="36">
        <v>1726.29</v>
      </c>
      <c r="N188" s="36">
        <v>1726.29</v>
      </c>
      <c r="O188" s="29"/>
      <c r="P188" s="11"/>
    </row>
    <row r="189" spans="1:16" hidden="1" outlineLevel="4">
      <c r="A189" s="3539" t="s">
        <v>1319</v>
      </c>
      <c r="B189" s="3539"/>
      <c r="C189" s="39"/>
      <c r="D189" s="39"/>
      <c r="E189" s="40">
        <v>24.04</v>
      </c>
      <c r="F189" s="41"/>
      <c r="G189" s="40">
        <v>24.04</v>
      </c>
      <c r="H189" s="41"/>
      <c r="I189" s="41"/>
      <c r="J189" s="41"/>
      <c r="K189" s="41"/>
      <c r="L189" s="41"/>
      <c r="M189" s="40">
        <v>24.04</v>
      </c>
      <c r="N189" s="40">
        <v>24.04</v>
      </c>
      <c r="O189" s="30"/>
      <c r="P189" s="12"/>
    </row>
    <row r="190" spans="1:16" hidden="1" outlineLevel="4">
      <c r="A190" s="3539" t="s">
        <v>1320</v>
      </c>
      <c r="B190" s="3539"/>
      <c r="C190" s="39"/>
      <c r="D190" s="39"/>
      <c r="E190" s="42">
        <v>1702.25</v>
      </c>
      <c r="F190" s="41"/>
      <c r="G190" s="42">
        <v>1437.41</v>
      </c>
      <c r="H190" s="3531">
        <v>264.83999999999997</v>
      </c>
      <c r="I190" s="3531"/>
      <c r="J190" s="41"/>
      <c r="K190" s="41"/>
      <c r="L190" s="41"/>
      <c r="M190" s="42">
        <v>1702.25</v>
      </c>
      <c r="N190" s="42">
        <v>1702.25</v>
      </c>
      <c r="O190" s="30"/>
      <c r="P190" s="12"/>
    </row>
    <row r="191" spans="1:16" outlineLevel="3" collapsed="1">
      <c r="A191" s="3541" t="s">
        <v>1470</v>
      </c>
      <c r="B191" s="3541"/>
      <c r="C191" s="35"/>
      <c r="D191" s="35"/>
      <c r="E191" s="36">
        <v>50298.25</v>
      </c>
      <c r="F191" s="37"/>
      <c r="G191" s="36">
        <v>31749.33</v>
      </c>
      <c r="H191" s="3537">
        <v>17520.830000000002</v>
      </c>
      <c r="I191" s="3537"/>
      <c r="J191" s="37"/>
      <c r="K191" s="36">
        <v>1028.0899999999999</v>
      </c>
      <c r="L191" s="37"/>
      <c r="M191" s="36">
        <v>50298.25</v>
      </c>
      <c r="N191" s="36">
        <v>50298.25</v>
      </c>
      <c r="O191" s="29"/>
      <c r="P191" s="11"/>
    </row>
    <row r="192" spans="1:16" hidden="1" outlineLevel="4">
      <c r="A192" s="3539" t="s">
        <v>1325</v>
      </c>
      <c r="B192" s="3539"/>
      <c r="C192" s="39"/>
      <c r="D192" s="39"/>
      <c r="E192" s="40">
        <v>4.4400000000000004</v>
      </c>
      <c r="F192" s="41"/>
      <c r="G192" s="40">
        <v>4.43</v>
      </c>
      <c r="H192" s="3531">
        <v>0.01</v>
      </c>
      <c r="I192" s="3531"/>
      <c r="J192" s="41"/>
      <c r="K192" s="41"/>
      <c r="L192" s="41"/>
      <c r="M192" s="40">
        <v>4.4400000000000004</v>
      </c>
      <c r="N192" s="40">
        <v>4.4400000000000004</v>
      </c>
      <c r="O192" s="30"/>
      <c r="P192" s="12"/>
    </row>
    <row r="193" spans="1:16" hidden="1" outlineLevel="4">
      <c r="A193" s="3539" t="s">
        <v>1326</v>
      </c>
      <c r="B193" s="3539"/>
      <c r="C193" s="39"/>
      <c r="D193" s="39"/>
      <c r="E193" s="40">
        <v>5.18</v>
      </c>
      <c r="F193" s="41"/>
      <c r="G193" s="40">
        <v>3.04</v>
      </c>
      <c r="H193" s="3531">
        <v>2.14</v>
      </c>
      <c r="I193" s="3531"/>
      <c r="J193" s="41"/>
      <c r="K193" s="41"/>
      <c r="L193" s="41"/>
      <c r="M193" s="40">
        <v>5.18</v>
      </c>
      <c r="N193" s="40">
        <v>5.18</v>
      </c>
      <c r="O193" s="30"/>
      <c r="P193" s="12"/>
    </row>
    <row r="194" spans="1:16" hidden="1" outlineLevel="4">
      <c r="A194" s="3539" t="s">
        <v>1331</v>
      </c>
      <c r="B194" s="3539"/>
      <c r="C194" s="39"/>
      <c r="D194" s="39"/>
      <c r="E194" s="42">
        <v>1662.87</v>
      </c>
      <c r="F194" s="41"/>
      <c r="G194" s="42">
        <v>1129.8399999999999</v>
      </c>
      <c r="H194" s="3531">
        <v>488.82</v>
      </c>
      <c r="I194" s="3531"/>
      <c r="J194" s="41"/>
      <c r="K194" s="40">
        <v>44.21</v>
      </c>
      <c r="L194" s="41"/>
      <c r="M194" s="42">
        <v>1662.87</v>
      </c>
      <c r="N194" s="42">
        <v>1662.87</v>
      </c>
      <c r="O194" s="30"/>
      <c r="P194" s="12"/>
    </row>
    <row r="195" spans="1:16" hidden="1" outlineLevel="4">
      <c r="A195" s="3539" t="s">
        <v>1332</v>
      </c>
      <c r="B195" s="3539"/>
      <c r="C195" s="39"/>
      <c r="D195" s="39"/>
      <c r="E195" s="42">
        <v>3376.19</v>
      </c>
      <c r="F195" s="41"/>
      <c r="G195" s="42">
        <v>2557</v>
      </c>
      <c r="H195" s="3531">
        <v>661.27</v>
      </c>
      <c r="I195" s="3531"/>
      <c r="J195" s="41"/>
      <c r="K195" s="40">
        <v>157.91999999999999</v>
      </c>
      <c r="L195" s="41"/>
      <c r="M195" s="42">
        <v>3376.19</v>
      </c>
      <c r="N195" s="42">
        <v>3376.19</v>
      </c>
      <c r="O195" s="30"/>
      <c r="P195" s="12"/>
    </row>
    <row r="196" spans="1:16" hidden="1" outlineLevel="4">
      <c r="A196" s="3539" t="s">
        <v>1338</v>
      </c>
      <c r="B196" s="3539"/>
      <c r="C196" s="39"/>
      <c r="D196" s="39"/>
      <c r="E196" s="40">
        <v>115.63</v>
      </c>
      <c r="F196" s="41"/>
      <c r="G196" s="40">
        <v>20.89</v>
      </c>
      <c r="H196" s="3531">
        <v>94.74</v>
      </c>
      <c r="I196" s="3531"/>
      <c r="J196" s="41"/>
      <c r="K196" s="41"/>
      <c r="L196" s="41"/>
      <c r="M196" s="40">
        <v>115.63</v>
      </c>
      <c r="N196" s="40">
        <v>115.63</v>
      </c>
      <c r="O196" s="30"/>
      <c r="P196" s="12"/>
    </row>
    <row r="197" spans="1:16" hidden="1" outlineLevel="4">
      <c r="A197" s="3539" t="s">
        <v>1362</v>
      </c>
      <c r="B197" s="3539"/>
      <c r="C197" s="39"/>
      <c r="D197" s="39"/>
      <c r="E197" s="40">
        <v>93.19</v>
      </c>
      <c r="F197" s="41"/>
      <c r="G197" s="40">
        <v>76.77</v>
      </c>
      <c r="H197" s="3531">
        <v>16.420000000000002</v>
      </c>
      <c r="I197" s="3531"/>
      <c r="J197" s="41"/>
      <c r="K197" s="41"/>
      <c r="L197" s="41"/>
      <c r="M197" s="40">
        <v>93.19</v>
      </c>
      <c r="N197" s="40">
        <v>93.19</v>
      </c>
      <c r="O197" s="30"/>
      <c r="P197" s="12"/>
    </row>
    <row r="198" spans="1:16" hidden="1" outlineLevel="4">
      <c r="A198" s="3539" t="s">
        <v>1363</v>
      </c>
      <c r="B198" s="3539"/>
      <c r="C198" s="39"/>
      <c r="D198" s="39"/>
      <c r="E198" s="40">
        <v>80.66</v>
      </c>
      <c r="F198" s="41"/>
      <c r="G198" s="40">
        <v>77.95</v>
      </c>
      <c r="H198" s="3531">
        <v>2.71</v>
      </c>
      <c r="I198" s="3531"/>
      <c r="J198" s="41"/>
      <c r="K198" s="41"/>
      <c r="L198" s="41"/>
      <c r="M198" s="40">
        <v>80.66</v>
      </c>
      <c r="N198" s="40">
        <v>80.66</v>
      </c>
      <c r="O198" s="30"/>
      <c r="P198" s="12"/>
    </row>
    <row r="199" spans="1:16" hidden="1" outlineLevel="4">
      <c r="A199" s="3539" t="s">
        <v>1364</v>
      </c>
      <c r="B199" s="3539"/>
      <c r="C199" s="39"/>
      <c r="D199" s="39"/>
      <c r="E199" s="42">
        <v>19309.84</v>
      </c>
      <c r="F199" s="41"/>
      <c r="G199" s="42">
        <v>12864.58</v>
      </c>
      <c r="H199" s="3536">
        <v>5962.01</v>
      </c>
      <c r="I199" s="3536"/>
      <c r="J199" s="41"/>
      <c r="K199" s="40">
        <v>483.25</v>
      </c>
      <c r="L199" s="41"/>
      <c r="M199" s="42">
        <v>19309.84</v>
      </c>
      <c r="N199" s="42">
        <v>19309.84</v>
      </c>
      <c r="O199" s="30"/>
      <c r="P199" s="12"/>
    </row>
    <row r="200" spans="1:16" hidden="1" outlineLevel="4">
      <c r="A200" s="3539" t="s">
        <v>1381</v>
      </c>
      <c r="B200" s="3539"/>
      <c r="C200" s="39"/>
      <c r="D200" s="39"/>
      <c r="E200" s="42">
        <v>10399.66</v>
      </c>
      <c r="F200" s="41"/>
      <c r="G200" s="42">
        <v>5122.1499999999996</v>
      </c>
      <c r="H200" s="3536">
        <v>5277.51</v>
      </c>
      <c r="I200" s="3536"/>
      <c r="J200" s="41"/>
      <c r="K200" s="41"/>
      <c r="L200" s="41"/>
      <c r="M200" s="42">
        <v>10399.66</v>
      </c>
      <c r="N200" s="42">
        <v>10399.66</v>
      </c>
      <c r="O200" s="30"/>
      <c r="P200" s="12"/>
    </row>
    <row r="201" spans="1:16" hidden="1" outlineLevel="4">
      <c r="A201" s="3539" t="s">
        <v>1382</v>
      </c>
      <c r="B201" s="3539"/>
      <c r="C201" s="39"/>
      <c r="D201" s="39"/>
      <c r="E201" s="42">
        <v>3673.79</v>
      </c>
      <c r="F201" s="41"/>
      <c r="G201" s="42">
        <v>1543.59</v>
      </c>
      <c r="H201" s="3536">
        <v>2130.1999999999998</v>
      </c>
      <c r="I201" s="3536"/>
      <c r="J201" s="41"/>
      <c r="K201" s="41"/>
      <c r="L201" s="41"/>
      <c r="M201" s="42">
        <v>3673.79</v>
      </c>
      <c r="N201" s="42">
        <v>3673.79</v>
      </c>
      <c r="O201" s="30"/>
      <c r="P201" s="12"/>
    </row>
    <row r="202" spans="1:16" hidden="1" outlineLevel="4">
      <c r="A202" s="3539" t="s">
        <v>1383</v>
      </c>
      <c r="B202" s="3539"/>
      <c r="C202" s="39"/>
      <c r="D202" s="39"/>
      <c r="E202" s="42">
        <v>2802.54</v>
      </c>
      <c r="F202" s="41"/>
      <c r="G202" s="42">
        <v>2222.44</v>
      </c>
      <c r="H202" s="3531">
        <v>580.1</v>
      </c>
      <c r="I202" s="3531"/>
      <c r="J202" s="41"/>
      <c r="K202" s="41"/>
      <c r="L202" s="41"/>
      <c r="M202" s="42">
        <v>2802.54</v>
      </c>
      <c r="N202" s="42">
        <v>2802.54</v>
      </c>
      <c r="O202" s="30"/>
      <c r="P202" s="12"/>
    </row>
    <row r="203" spans="1:16" hidden="1" outlineLevel="4">
      <c r="A203" s="3539" t="s">
        <v>1384</v>
      </c>
      <c r="B203" s="3539"/>
      <c r="C203" s="39"/>
      <c r="D203" s="39"/>
      <c r="E203" s="42">
        <v>2263.9299999999998</v>
      </c>
      <c r="F203" s="41"/>
      <c r="G203" s="42">
        <v>1611.89</v>
      </c>
      <c r="H203" s="3531">
        <v>652.04</v>
      </c>
      <c r="I203" s="3531"/>
      <c r="J203" s="41"/>
      <c r="K203" s="41"/>
      <c r="L203" s="41"/>
      <c r="M203" s="42">
        <v>2263.9299999999998</v>
      </c>
      <c r="N203" s="42">
        <v>2263.9299999999998</v>
      </c>
      <c r="O203" s="30"/>
      <c r="P203" s="12"/>
    </row>
    <row r="204" spans="1:16" hidden="1" outlineLevel="4">
      <c r="A204" s="3539" t="s">
        <v>1385</v>
      </c>
      <c r="B204" s="3539"/>
      <c r="C204" s="39"/>
      <c r="D204" s="39"/>
      <c r="E204" s="40">
        <v>439.02</v>
      </c>
      <c r="F204" s="41"/>
      <c r="G204" s="40">
        <v>11.22</v>
      </c>
      <c r="H204" s="3531">
        <v>427.8</v>
      </c>
      <c r="I204" s="3531"/>
      <c r="J204" s="41"/>
      <c r="K204" s="41"/>
      <c r="L204" s="41"/>
      <c r="M204" s="40">
        <v>439.02</v>
      </c>
      <c r="N204" s="40">
        <v>439.02</v>
      </c>
      <c r="O204" s="30"/>
      <c r="P204" s="12"/>
    </row>
    <row r="205" spans="1:16" hidden="1" outlineLevel="4">
      <c r="A205" s="3539" t="s">
        <v>1386</v>
      </c>
      <c r="B205" s="3539"/>
      <c r="C205" s="39"/>
      <c r="D205" s="39"/>
      <c r="E205" s="42">
        <v>6071.31</v>
      </c>
      <c r="F205" s="41"/>
      <c r="G205" s="42">
        <v>4503.54</v>
      </c>
      <c r="H205" s="3536">
        <v>1225.06</v>
      </c>
      <c r="I205" s="3536"/>
      <c r="J205" s="41"/>
      <c r="K205" s="40">
        <v>342.71</v>
      </c>
      <c r="L205" s="41"/>
      <c r="M205" s="42">
        <v>6071.31</v>
      </c>
      <c r="N205" s="42">
        <v>6071.31</v>
      </c>
      <c r="O205" s="30"/>
      <c r="P205" s="12"/>
    </row>
    <row r="206" spans="1:16" outlineLevel="3" collapsed="1">
      <c r="A206" s="3541" t="s">
        <v>1471</v>
      </c>
      <c r="B206" s="3541"/>
      <c r="C206" s="35"/>
      <c r="D206" s="35"/>
      <c r="E206" s="36">
        <v>7411.06</v>
      </c>
      <c r="F206" s="37"/>
      <c r="G206" s="36">
        <v>6260.75</v>
      </c>
      <c r="H206" s="3537">
        <v>1150.31</v>
      </c>
      <c r="I206" s="3537"/>
      <c r="J206" s="37"/>
      <c r="K206" s="37"/>
      <c r="L206" s="37"/>
      <c r="M206" s="36">
        <v>7411.06</v>
      </c>
      <c r="N206" s="36">
        <v>7411.06</v>
      </c>
      <c r="O206" s="29"/>
      <c r="P206" s="11"/>
    </row>
    <row r="207" spans="1:16" hidden="1" outlineLevel="4">
      <c r="A207" s="3543" t="s">
        <v>1472</v>
      </c>
      <c r="B207" s="3543"/>
      <c r="C207" s="35"/>
      <c r="D207" s="35"/>
      <c r="E207" s="36">
        <v>2189.39</v>
      </c>
      <c r="F207" s="37"/>
      <c r="G207" s="36">
        <v>2189.39</v>
      </c>
      <c r="H207" s="37"/>
      <c r="I207" s="37"/>
      <c r="J207" s="37"/>
      <c r="K207" s="37"/>
      <c r="L207" s="37"/>
      <c r="M207" s="36">
        <v>2189.39</v>
      </c>
      <c r="N207" s="36">
        <v>2189.39</v>
      </c>
      <c r="O207" s="29"/>
      <c r="P207" s="11"/>
    </row>
    <row r="208" spans="1:16" hidden="1" outlineLevel="5">
      <c r="A208" s="3535" t="s">
        <v>1411</v>
      </c>
      <c r="B208" s="3535"/>
      <c r="C208" s="39"/>
      <c r="D208" s="39"/>
      <c r="E208" s="40">
        <v>123.66</v>
      </c>
      <c r="F208" s="41"/>
      <c r="G208" s="40">
        <v>123.66</v>
      </c>
      <c r="H208" s="41"/>
      <c r="I208" s="41"/>
      <c r="J208" s="41"/>
      <c r="K208" s="41"/>
      <c r="L208" s="41"/>
      <c r="M208" s="40">
        <v>123.66</v>
      </c>
      <c r="N208" s="40">
        <v>123.66</v>
      </c>
      <c r="O208" s="30"/>
      <c r="P208" s="12"/>
    </row>
    <row r="209" spans="1:16" hidden="1" outlineLevel="5">
      <c r="A209" s="3535" t="s">
        <v>1459</v>
      </c>
      <c r="B209" s="3535"/>
      <c r="C209" s="39"/>
      <c r="D209" s="39"/>
      <c r="E209" s="42">
        <v>2065.73</v>
      </c>
      <c r="F209" s="41"/>
      <c r="G209" s="42">
        <v>2065.73</v>
      </c>
      <c r="H209" s="41"/>
      <c r="I209" s="41"/>
      <c r="J209" s="41"/>
      <c r="K209" s="41"/>
      <c r="L209" s="41"/>
      <c r="M209" s="42">
        <v>2065.73</v>
      </c>
      <c r="N209" s="42">
        <v>2065.73</v>
      </c>
      <c r="O209" s="30"/>
      <c r="P209" s="12"/>
    </row>
    <row r="210" spans="1:16" hidden="1" outlineLevel="4">
      <c r="A210" s="3543" t="s">
        <v>1473</v>
      </c>
      <c r="B210" s="3543"/>
      <c r="C210" s="35"/>
      <c r="D210" s="35"/>
      <c r="E210" s="43">
        <v>627.01</v>
      </c>
      <c r="F210" s="37"/>
      <c r="G210" s="43">
        <v>267.77999999999997</v>
      </c>
      <c r="H210" s="3533">
        <v>359.23</v>
      </c>
      <c r="I210" s="3533"/>
      <c r="J210" s="37"/>
      <c r="K210" s="37"/>
      <c r="L210" s="37"/>
      <c r="M210" s="43">
        <v>627.01</v>
      </c>
      <c r="N210" s="43">
        <v>627.01</v>
      </c>
      <c r="O210" s="29"/>
      <c r="P210" s="11"/>
    </row>
    <row r="211" spans="1:16" hidden="1" outlineLevel="5">
      <c r="A211" s="3542" t="s">
        <v>1474</v>
      </c>
      <c r="B211" s="3542"/>
      <c r="C211" s="35"/>
      <c r="D211" s="35"/>
      <c r="E211" s="43">
        <v>333.37</v>
      </c>
      <c r="F211" s="37"/>
      <c r="G211" s="43">
        <v>56.63</v>
      </c>
      <c r="H211" s="3533">
        <v>276.74</v>
      </c>
      <c r="I211" s="3533"/>
      <c r="J211" s="37"/>
      <c r="K211" s="37"/>
      <c r="L211" s="37"/>
      <c r="M211" s="43">
        <v>333.37</v>
      </c>
      <c r="N211" s="43">
        <v>333.37</v>
      </c>
      <c r="O211" s="29"/>
      <c r="P211" s="11"/>
    </row>
    <row r="212" spans="1:16" hidden="1" outlineLevel="6">
      <c r="A212" s="3534" t="s">
        <v>1426</v>
      </c>
      <c r="B212" s="3534"/>
      <c r="C212" s="39"/>
      <c r="D212" s="39"/>
      <c r="E212" s="40">
        <v>32.11</v>
      </c>
      <c r="F212" s="41"/>
      <c r="G212" s="40">
        <v>29.58</v>
      </c>
      <c r="H212" s="3531">
        <v>2.5299999999999998</v>
      </c>
      <c r="I212" s="3531"/>
      <c r="J212" s="41"/>
      <c r="K212" s="41"/>
      <c r="L212" s="41"/>
      <c r="M212" s="40">
        <v>32.11</v>
      </c>
      <c r="N212" s="40">
        <v>32.11</v>
      </c>
      <c r="O212" s="30"/>
      <c r="P212" s="12"/>
    </row>
    <row r="213" spans="1:16" hidden="1" outlineLevel="6">
      <c r="A213" s="3534" t="s">
        <v>1433</v>
      </c>
      <c r="B213" s="3534"/>
      <c r="C213" s="39"/>
      <c r="D213" s="39"/>
      <c r="E213" s="40">
        <v>274.20999999999998</v>
      </c>
      <c r="F213" s="41"/>
      <c r="G213" s="41"/>
      <c r="H213" s="3531">
        <v>274.20999999999998</v>
      </c>
      <c r="I213" s="3531"/>
      <c r="J213" s="41"/>
      <c r="K213" s="41"/>
      <c r="L213" s="41"/>
      <c r="M213" s="40">
        <v>274.20999999999998</v>
      </c>
      <c r="N213" s="40">
        <v>274.20999999999998</v>
      </c>
      <c r="O213" s="30"/>
      <c r="P213" s="12"/>
    </row>
    <row r="214" spans="1:16" hidden="1" outlineLevel="6">
      <c r="A214" s="3534" t="s">
        <v>1436</v>
      </c>
      <c r="B214" s="3534"/>
      <c r="C214" s="39"/>
      <c r="D214" s="39"/>
      <c r="E214" s="40">
        <v>27.05</v>
      </c>
      <c r="F214" s="41"/>
      <c r="G214" s="40">
        <v>27.05</v>
      </c>
      <c r="H214" s="41"/>
      <c r="I214" s="41"/>
      <c r="J214" s="41"/>
      <c r="K214" s="41"/>
      <c r="L214" s="41"/>
      <c r="M214" s="40">
        <v>27.05</v>
      </c>
      <c r="N214" s="40">
        <v>27.05</v>
      </c>
      <c r="O214" s="30"/>
      <c r="P214" s="12"/>
    </row>
    <row r="215" spans="1:16" hidden="1" outlineLevel="5" collapsed="1">
      <c r="A215" s="3535" t="s">
        <v>1427</v>
      </c>
      <c r="B215" s="3535"/>
      <c r="C215" s="39"/>
      <c r="D215" s="39"/>
      <c r="E215" s="40">
        <v>74.97</v>
      </c>
      <c r="F215" s="41"/>
      <c r="G215" s="40">
        <v>74.97</v>
      </c>
      <c r="H215" s="41"/>
      <c r="I215" s="41"/>
      <c r="J215" s="41"/>
      <c r="K215" s="41"/>
      <c r="L215" s="41"/>
      <c r="M215" s="40">
        <v>74.97</v>
      </c>
      <c r="N215" s="40">
        <v>74.97</v>
      </c>
      <c r="O215" s="30"/>
      <c r="P215" s="12"/>
    </row>
    <row r="216" spans="1:16" hidden="1" outlineLevel="5">
      <c r="A216" s="3542" t="s">
        <v>1475</v>
      </c>
      <c r="B216" s="3542"/>
      <c r="C216" s="35"/>
      <c r="D216" s="35"/>
      <c r="E216" s="43">
        <v>218.67</v>
      </c>
      <c r="F216" s="37"/>
      <c r="G216" s="43">
        <v>136.18</v>
      </c>
      <c r="H216" s="3533">
        <v>82.49</v>
      </c>
      <c r="I216" s="3533"/>
      <c r="J216" s="37"/>
      <c r="K216" s="37"/>
      <c r="L216" s="37"/>
      <c r="M216" s="43">
        <v>218.67</v>
      </c>
      <c r="N216" s="43">
        <v>218.67</v>
      </c>
      <c r="O216" s="29"/>
      <c r="P216" s="11"/>
    </row>
    <row r="217" spans="1:16" hidden="1" outlineLevel="6">
      <c r="A217" s="3545" t="s">
        <v>1476</v>
      </c>
      <c r="B217" s="3545"/>
      <c r="C217" s="35"/>
      <c r="D217" s="35"/>
      <c r="E217" s="43">
        <v>142.78</v>
      </c>
      <c r="F217" s="37"/>
      <c r="G217" s="43">
        <v>77.67</v>
      </c>
      <c r="H217" s="3533">
        <v>65.11</v>
      </c>
      <c r="I217" s="3533"/>
      <c r="J217" s="37"/>
      <c r="K217" s="37"/>
      <c r="L217" s="37"/>
      <c r="M217" s="43">
        <v>142.78</v>
      </c>
      <c r="N217" s="43">
        <v>142.78</v>
      </c>
      <c r="O217" s="29"/>
      <c r="P217" s="11"/>
    </row>
    <row r="218" spans="1:16" hidden="1" outlineLevel="7">
      <c r="A218" s="3544" t="s">
        <v>1437</v>
      </c>
      <c r="B218" s="3544"/>
      <c r="C218" s="39"/>
      <c r="D218" s="39"/>
      <c r="E218" s="40">
        <v>82.59</v>
      </c>
      <c r="F218" s="41"/>
      <c r="G218" s="40">
        <v>22.15</v>
      </c>
      <c r="H218" s="3531">
        <v>60.44</v>
      </c>
      <c r="I218" s="3531"/>
      <c r="J218" s="41"/>
      <c r="K218" s="41"/>
      <c r="L218" s="41"/>
      <c r="M218" s="40">
        <v>82.59</v>
      </c>
      <c r="N218" s="40">
        <v>82.59</v>
      </c>
      <c r="O218" s="30"/>
      <c r="P218" s="12"/>
    </row>
    <row r="219" spans="1:16" hidden="1" outlineLevel="7">
      <c r="A219" s="3544" t="s">
        <v>1438</v>
      </c>
      <c r="B219" s="3544"/>
      <c r="C219" s="39"/>
      <c r="D219" s="39"/>
      <c r="E219" s="40">
        <v>60.19</v>
      </c>
      <c r="F219" s="41"/>
      <c r="G219" s="40">
        <v>55.52</v>
      </c>
      <c r="H219" s="3531">
        <v>4.67</v>
      </c>
      <c r="I219" s="3531"/>
      <c r="J219" s="41"/>
      <c r="K219" s="41"/>
      <c r="L219" s="41"/>
      <c r="M219" s="40">
        <v>60.19</v>
      </c>
      <c r="N219" s="40">
        <v>60.19</v>
      </c>
      <c r="O219" s="30"/>
      <c r="P219" s="12"/>
    </row>
    <row r="220" spans="1:16" hidden="1" outlineLevel="6">
      <c r="A220" s="3545" t="s">
        <v>1477</v>
      </c>
      <c r="B220" s="3545"/>
      <c r="C220" s="35"/>
      <c r="D220" s="35"/>
      <c r="E220" s="43">
        <v>75.89</v>
      </c>
      <c r="F220" s="37"/>
      <c r="G220" s="43">
        <v>58.51</v>
      </c>
      <c r="H220" s="3533">
        <v>17.38</v>
      </c>
      <c r="I220" s="3533"/>
      <c r="J220" s="37"/>
      <c r="K220" s="37"/>
      <c r="L220" s="37"/>
      <c r="M220" s="43">
        <v>75.89</v>
      </c>
      <c r="N220" s="43">
        <v>75.89</v>
      </c>
      <c r="O220" s="29"/>
      <c r="P220" s="11"/>
    </row>
    <row r="221" spans="1:16" hidden="1" outlineLevel="7">
      <c r="A221" s="3544" t="s">
        <v>1439</v>
      </c>
      <c r="B221" s="3544"/>
      <c r="C221" s="39"/>
      <c r="D221" s="39"/>
      <c r="E221" s="40">
        <v>27.11</v>
      </c>
      <c r="F221" s="41"/>
      <c r="G221" s="40">
        <v>27.11</v>
      </c>
      <c r="H221" s="41"/>
      <c r="I221" s="41"/>
      <c r="J221" s="41"/>
      <c r="K221" s="41"/>
      <c r="L221" s="41"/>
      <c r="M221" s="40">
        <v>27.11</v>
      </c>
      <c r="N221" s="40">
        <v>27.11</v>
      </c>
      <c r="O221" s="30"/>
      <c r="P221" s="12"/>
    </row>
    <row r="222" spans="1:16" hidden="1" outlineLevel="7">
      <c r="A222" s="3544" t="s">
        <v>1440</v>
      </c>
      <c r="B222" s="3544"/>
      <c r="C222" s="39"/>
      <c r="D222" s="39"/>
      <c r="E222" s="40">
        <v>3.91</v>
      </c>
      <c r="F222" s="41"/>
      <c r="G222" s="40">
        <v>2.65</v>
      </c>
      <c r="H222" s="3531">
        <v>1.26</v>
      </c>
      <c r="I222" s="3531"/>
      <c r="J222" s="41"/>
      <c r="K222" s="41"/>
      <c r="L222" s="41"/>
      <c r="M222" s="40">
        <v>3.91</v>
      </c>
      <c r="N222" s="40">
        <v>3.91</v>
      </c>
      <c r="O222" s="30"/>
      <c r="P222" s="12"/>
    </row>
    <row r="223" spans="1:16" hidden="1" outlineLevel="7">
      <c r="A223" s="3544" t="s">
        <v>1442</v>
      </c>
      <c r="B223" s="3544"/>
      <c r="C223" s="39"/>
      <c r="D223" s="39"/>
      <c r="E223" s="40">
        <v>19.87</v>
      </c>
      <c r="F223" s="41"/>
      <c r="G223" s="40">
        <v>4.99</v>
      </c>
      <c r="H223" s="3531">
        <v>14.88</v>
      </c>
      <c r="I223" s="3531"/>
      <c r="J223" s="41"/>
      <c r="K223" s="41"/>
      <c r="L223" s="41"/>
      <c r="M223" s="40">
        <v>19.87</v>
      </c>
      <c r="N223" s="40">
        <v>19.87</v>
      </c>
      <c r="O223" s="30"/>
      <c r="P223" s="12"/>
    </row>
    <row r="224" spans="1:16" hidden="1" outlineLevel="7">
      <c r="A224" s="3544" t="s">
        <v>1443</v>
      </c>
      <c r="B224" s="3544"/>
      <c r="C224" s="39"/>
      <c r="D224" s="39"/>
      <c r="E224" s="40">
        <v>25</v>
      </c>
      <c r="F224" s="41"/>
      <c r="G224" s="40">
        <v>23.76</v>
      </c>
      <c r="H224" s="3531">
        <v>1.24</v>
      </c>
      <c r="I224" s="3531"/>
      <c r="J224" s="41"/>
      <c r="K224" s="41"/>
      <c r="L224" s="41"/>
      <c r="M224" s="40">
        <v>25</v>
      </c>
      <c r="N224" s="40">
        <v>25</v>
      </c>
      <c r="O224" s="30"/>
      <c r="P224" s="12"/>
    </row>
    <row r="225" spans="1:16" hidden="1" outlineLevel="4">
      <c r="A225" s="3543" t="s">
        <v>1478</v>
      </c>
      <c r="B225" s="3543"/>
      <c r="C225" s="35"/>
      <c r="D225" s="35"/>
      <c r="E225" s="36">
        <v>4594.66</v>
      </c>
      <c r="F225" s="37"/>
      <c r="G225" s="36">
        <v>3803.58</v>
      </c>
      <c r="H225" s="3533">
        <v>791.08</v>
      </c>
      <c r="I225" s="3533"/>
      <c r="J225" s="37"/>
      <c r="K225" s="37"/>
      <c r="L225" s="37"/>
      <c r="M225" s="36">
        <v>4594.66</v>
      </c>
      <c r="N225" s="36">
        <v>4594.66</v>
      </c>
      <c r="O225" s="29"/>
      <c r="P225" s="11"/>
    </row>
    <row r="226" spans="1:16" hidden="1" outlineLevel="5">
      <c r="A226" s="3542" t="s">
        <v>1479</v>
      </c>
      <c r="B226" s="3542"/>
      <c r="C226" s="35"/>
      <c r="D226" s="35"/>
      <c r="E226" s="36">
        <v>1987.96</v>
      </c>
      <c r="F226" s="37"/>
      <c r="G226" s="36">
        <v>1569.29</v>
      </c>
      <c r="H226" s="3533">
        <v>418.67</v>
      </c>
      <c r="I226" s="3533"/>
      <c r="J226" s="37"/>
      <c r="K226" s="37"/>
      <c r="L226" s="37"/>
      <c r="M226" s="36">
        <v>1987.96</v>
      </c>
      <c r="N226" s="36">
        <v>1987.96</v>
      </c>
      <c r="O226" s="29"/>
      <c r="P226" s="11"/>
    </row>
    <row r="227" spans="1:16" hidden="1" outlineLevel="6">
      <c r="A227" s="3534" t="s">
        <v>1327</v>
      </c>
      <c r="B227" s="3534"/>
      <c r="C227" s="39"/>
      <c r="D227" s="39"/>
      <c r="E227" s="42">
        <v>1626.41</v>
      </c>
      <c r="F227" s="41"/>
      <c r="G227" s="42">
        <v>1496.12</v>
      </c>
      <c r="H227" s="3531">
        <v>130.29</v>
      </c>
      <c r="I227" s="3531"/>
      <c r="J227" s="41"/>
      <c r="K227" s="41"/>
      <c r="L227" s="41"/>
      <c r="M227" s="42">
        <v>1626.41</v>
      </c>
      <c r="N227" s="42">
        <v>1626.41</v>
      </c>
      <c r="O227" s="30"/>
      <c r="P227" s="12"/>
    </row>
    <row r="228" spans="1:16" hidden="1" outlineLevel="6">
      <c r="A228" s="3534" t="s">
        <v>1328</v>
      </c>
      <c r="B228" s="3534"/>
      <c r="C228" s="39"/>
      <c r="D228" s="39"/>
      <c r="E228" s="40">
        <v>361.55</v>
      </c>
      <c r="F228" s="41"/>
      <c r="G228" s="40">
        <v>73.17</v>
      </c>
      <c r="H228" s="3531">
        <v>288.38</v>
      </c>
      <c r="I228" s="3531"/>
      <c r="J228" s="41"/>
      <c r="K228" s="41"/>
      <c r="L228" s="41"/>
      <c r="M228" s="40">
        <v>361.55</v>
      </c>
      <c r="N228" s="40">
        <v>361.55</v>
      </c>
      <c r="O228" s="30"/>
      <c r="P228" s="12"/>
    </row>
    <row r="229" spans="1:16" hidden="1" outlineLevel="5" collapsed="1">
      <c r="A229" s="3542" t="s">
        <v>1480</v>
      </c>
      <c r="B229" s="3542"/>
      <c r="C229" s="35"/>
      <c r="D229" s="35"/>
      <c r="E229" s="43">
        <v>429.69</v>
      </c>
      <c r="F229" s="37"/>
      <c r="G229" s="43">
        <v>426.91</v>
      </c>
      <c r="H229" s="3533">
        <v>2.78</v>
      </c>
      <c r="I229" s="3533"/>
      <c r="J229" s="37"/>
      <c r="K229" s="37"/>
      <c r="L229" s="37"/>
      <c r="M229" s="43">
        <v>429.69</v>
      </c>
      <c r="N229" s="43">
        <v>429.69</v>
      </c>
      <c r="O229" s="29"/>
      <c r="P229" s="11"/>
    </row>
    <row r="230" spans="1:16" hidden="1" outlineLevel="6">
      <c r="A230" s="3534" t="s">
        <v>1352</v>
      </c>
      <c r="B230" s="3534"/>
      <c r="C230" s="39"/>
      <c r="D230" s="39"/>
      <c r="E230" s="40">
        <v>120.24</v>
      </c>
      <c r="F230" s="41"/>
      <c r="G230" s="40">
        <v>118.11</v>
      </c>
      <c r="H230" s="3531">
        <v>2.13</v>
      </c>
      <c r="I230" s="3531"/>
      <c r="J230" s="41"/>
      <c r="K230" s="41"/>
      <c r="L230" s="41"/>
      <c r="M230" s="40">
        <v>120.24</v>
      </c>
      <c r="N230" s="40">
        <v>120.24</v>
      </c>
      <c r="O230" s="30"/>
      <c r="P230" s="12"/>
    </row>
    <row r="231" spans="1:16" hidden="1" outlineLevel="6">
      <c r="A231" s="3534" t="s">
        <v>1354</v>
      </c>
      <c r="B231" s="3534"/>
      <c r="C231" s="39"/>
      <c r="D231" s="39"/>
      <c r="E231" s="40">
        <v>222.58</v>
      </c>
      <c r="F231" s="41"/>
      <c r="G231" s="40">
        <v>222.58</v>
      </c>
      <c r="H231" s="41"/>
      <c r="I231" s="41"/>
      <c r="J231" s="41"/>
      <c r="K231" s="41"/>
      <c r="L231" s="41"/>
      <c r="M231" s="40">
        <v>222.58</v>
      </c>
      <c r="N231" s="40">
        <v>222.58</v>
      </c>
      <c r="O231" s="30"/>
      <c r="P231" s="12"/>
    </row>
    <row r="232" spans="1:16" hidden="1" outlineLevel="6">
      <c r="A232" s="3534" t="s">
        <v>1357</v>
      </c>
      <c r="B232" s="3534"/>
      <c r="C232" s="39"/>
      <c r="D232" s="39"/>
      <c r="E232" s="40">
        <v>86.87</v>
      </c>
      <c r="F232" s="41"/>
      <c r="G232" s="40">
        <v>86.22</v>
      </c>
      <c r="H232" s="3531">
        <v>0.65</v>
      </c>
      <c r="I232" s="3531"/>
      <c r="J232" s="41"/>
      <c r="K232" s="41"/>
      <c r="L232" s="41"/>
      <c r="M232" s="40">
        <v>86.87</v>
      </c>
      <c r="N232" s="40">
        <v>86.87</v>
      </c>
      <c r="O232" s="30"/>
      <c r="P232" s="12"/>
    </row>
    <row r="233" spans="1:16" hidden="1" outlineLevel="5" collapsed="1">
      <c r="A233" s="3542" t="s">
        <v>1481</v>
      </c>
      <c r="B233" s="3542"/>
      <c r="C233" s="35"/>
      <c r="D233" s="35"/>
      <c r="E233" s="36">
        <v>1294.99</v>
      </c>
      <c r="F233" s="37"/>
      <c r="G233" s="36">
        <v>1061.07</v>
      </c>
      <c r="H233" s="3533">
        <v>233.92</v>
      </c>
      <c r="I233" s="3533"/>
      <c r="J233" s="37"/>
      <c r="K233" s="37"/>
      <c r="L233" s="37"/>
      <c r="M233" s="36">
        <v>1294.99</v>
      </c>
      <c r="N233" s="36">
        <v>1294.99</v>
      </c>
      <c r="O233" s="29"/>
      <c r="P233" s="11"/>
    </row>
    <row r="234" spans="1:16" hidden="1" outlineLevel="6">
      <c r="A234" s="3534" t="s">
        <v>1351</v>
      </c>
      <c r="B234" s="3534"/>
      <c r="C234" s="39"/>
      <c r="D234" s="39"/>
      <c r="E234" s="40">
        <v>29.27</v>
      </c>
      <c r="F234" s="41"/>
      <c r="G234" s="40">
        <v>6.55</v>
      </c>
      <c r="H234" s="3531">
        <v>22.72</v>
      </c>
      <c r="I234" s="3531"/>
      <c r="J234" s="41"/>
      <c r="K234" s="41"/>
      <c r="L234" s="41"/>
      <c r="M234" s="40">
        <v>29.27</v>
      </c>
      <c r="N234" s="40">
        <v>29.27</v>
      </c>
      <c r="O234" s="30"/>
      <c r="P234" s="12"/>
    </row>
    <row r="235" spans="1:16" hidden="1" outlineLevel="6">
      <c r="A235" s="3534" t="s">
        <v>1353</v>
      </c>
      <c r="B235" s="3534"/>
      <c r="C235" s="39"/>
      <c r="D235" s="39"/>
      <c r="E235" s="40">
        <v>807.26</v>
      </c>
      <c r="F235" s="41"/>
      <c r="G235" s="40">
        <v>779.69</v>
      </c>
      <c r="H235" s="3531">
        <v>27.57</v>
      </c>
      <c r="I235" s="3531"/>
      <c r="J235" s="41"/>
      <c r="K235" s="41"/>
      <c r="L235" s="41"/>
      <c r="M235" s="40">
        <v>807.26</v>
      </c>
      <c r="N235" s="40">
        <v>807.26</v>
      </c>
      <c r="O235" s="30"/>
      <c r="P235" s="12"/>
    </row>
    <row r="236" spans="1:16" hidden="1" outlineLevel="6">
      <c r="A236" s="3534" t="s">
        <v>1355</v>
      </c>
      <c r="B236" s="3534"/>
      <c r="C236" s="39"/>
      <c r="D236" s="39"/>
      <c r="E236" s="40">
        <v>58.89</v>
      </c>
      <c r="F236" s="41"/>
      <c r="G236" s="40">
        <v>15.76</v>
      </c>
      <c r="H236" s="3531">
        <v>43.13</v>
      </c>
      <c r="I236" s="3531"/>
      <c r="J236" s="41"/>
      <c r="K236" s="41"/>
      <c r="L236" s="41"/>
      <c r="M236" s="40">
        <v>58.89</v>
      </c>
      <c r="N236" s="40">
        <v>58.89</v>
      </c>
      <c r="O236" s="30"/>
      <c r="P236" s="12"/>
    </row>
    <row r="237" spans="1:16" hidden="1" outlineLevel="6">
      <c r="A237" s="3534" t="s">
        <v>1356</v>
      </c>
      <c r="B237" s="3534"/>
      <c r="C237" s="39"/>
      <c r="D237" s="39"/>
      <c r="E237" s="40">
        <v>291.77999999999997</v>
      </c>
      <c r="F237" s="41"/>
      <c r="G237" s="40">
        <v>151.66</v>
      </c>
      <c r="H237" s="3531">
        <v>140.12</v>
      </c>
      <c r="I237" s="3531"/>
      <c r="J237" s="41"/>
      <c r="K237" s="41"/>
      <c r="L237" s="41"/>
      <c r="M237" s="40">
        <v>291.77999999999997</v>
      </c>
      <c r="N237" s="40">
        <v>291.77999999999997</v>
      </c>
      <c r="O237" s="30"/>
      <c r="P237" s="12"/>
    </row>
    <row r="238" spans="1:16" hidden="1" outlineLevel="6">
      <c r="A238" s="3534" t="s">
        <v>1358</v>
      </c>
      <c r="B238" s="3534"/>
      <c r="C238" s="39"/>
      <c r="D238" s="39"/>
      <c r="E238" s="40">
        <v>16.09</v>
      </c>
      <c r="F238" s="41"/>
      <c r="G238" s="40">
        <v>15.71</v>
      </c>
      <c r="H238" s="3531">
        <v>0.38</v>
      </c>
      <c r="I238" s="3531"/>
      <c r="J238" s="41"/>
      <c r="K238" s="41"/>
      <c r="L238" s="41"/>
      <c r="M238" s="40">
        <v>16.09</v>
      </c>
      <c r="N238" s="40">
        <v>16.09</v>
      </c>
      <c r="O238" s="30"/>
      <c r="P238" s="12"/>
    </row>
    <row r="239" spans="1:16" hidden="1" outlineLevel="6">
      <c r="A239" s="3534" t="s">
        <v>1359</v>
      </c>
      <c r="B239" s="3534"/>
      <c r="C239" s="39"/>
      <c r="D239" s="39"/>
      <c r="E239" s="40">
        <v>80.77</v>
      </c>
      <c r="F239" s="41"/>
      <c r="G239" s="40">
        <v>80.77</v>
      </c>
      <c r="H239" s="41"/>
      <c r="I239" s="41"/>
      <c r="J239" s="41"/>
      <c r="K239" s="41"/>
      <c r="L239" s="41"/>
      <c r="M239" s="40">
        <v>80.77</v>
      </c>
      <c r="N239" s="40">
        <v>80.77</v>
      </c>
      <c r="O239" s="30"/>
      <c r="P239" s="12"/>
    </row>
    <row r="240" spans="1:16" hidden="1" outlineLevel="6">
      <c r="A240" s="3534" t="s">
        <v>1360</v>
      </c>
      <c r="B240" s="3534"/>
      <c r="C240" s="39"/>
      <c r="D240" s="39"/>
      <c r="E240" s="40">
        <v>10.93</v>
      </c>
      <c r="F240" s="41"/>
      <c r="G240" s="40">
        <v>10.93</v>
      </c>
      <c r="H240" s="41"/>
      <c r="I240" s="41"/>
      <c r="J240" s="41"/>
      <c r="K240" s="41"/>
      <c r="L240" s="41"/>
      <c r="M240" s="40">
        <v>10.93</v>
      </c>
      <c r="N240" s="40">
        <v>10.93</v>
      </c>
      <c r="O240" s="30"/>
      <c r="P240" s="12"/>
    </row>
    <row r="241" spans="1:16" hidden="1" outlineLevel="5" collapsed="1">
      <c r="A241" s="3542" t="s">
        <v>1482</v>
      </c>
      <c r="B241" s="3542"/>
      <c r="C241" s="35"/>
      <c r="D241" s="35"/>
      <c r="E241" s="43">
        <v>882.02</v>
      </c>
      <c r="F241" s="37"/>
      <c r="G241" s="43">
        <v>746.31</v>
      </c>
      <c r="H241" s="3533">
        <v>135.71</v>
      </c>
      <c r="I241" s="3533"/>
      <c r="J241" s="37"/>
      <c r="K241" s="37"/>
      <c r="L241" s="37"/>
      <c r="M241" s="43">
        <v>882.02</v>
      </c>
      <c r="N241" s="43">
        <v>882.02</v>
      </c>
      <c r="O241" s="29"/>
      <c r="P241" s="11"/>
    </row>
    <row r="242" spans="1:16" hidden="1" outlineLevel="6">
      <c r="A242" s="3534" t="s">
        <v>1368</v>
      </c>
      <c r="B242" s="3534"/>
      <c r="C242" s="39"/>
      <c r="D242" s="39"/>
      <c r="E242" s="40">
        <v>68.16</v>
      </c>
      <c r="F242" s="41"/>
      <c r="G242" s="40">
        <v>64.680000000000007</v>
      </c>
      <c r="H242" s="3531">
        <v>3.48</v>
      </c>
      <c r="I242" s="3531"/>
      <c r="J242" s="41"/>
      <c r="K242" s="41"/>
      <c r="L242" s="41"/>
      <c r="M242" s="40">
        <v>68.16</v>
      </c>
      <c r="N242" s="40">
        <v>68.16</v>
      </c>
      <c r="O242" s="30"/>
      <c r="P242" s="12"/>
    </row>
    <row r="243" spans="1:16" hidden="1" outlineLevel="6">
      <c r="A243" s="3534" t="s">
        <v>1369</v>
      </c>
      <c r="B243" s="3534"/>
      <c r="C243" s="39"/>
      <c r="D243" s="39"/>
      <c r="E243" s="40">
        <v>37.47</v>
      </c>
      <c r="F243" s="41"/>
      <c r="G243" s="40">
        <v>19.57</v>
      </c>
      <c r="H243" s="3531">
        <v>17.899999999999999</v>
      </c>
      <c r="I243" s="3531"/>
      <c r="J243" s="41"/>
      <c r="K243" s="41"/>
      <c r="L243" s="41"/>
      <c r="M243" s="40">
        <v>37.47</v>
      </c>
      <c r="N243" s="40">
        <v>37.47</v>
      </c>
      <c r="O243" s="30"/>
      <c r="P243" s="12"/>
    </row>
    <row r="244" spans="1:16" hidden="1" outlineLevel="6">
      <c r="A244" s="3534" t="s">
        <v>1370</v>
      </c>
      <c r="B244" s="3534"/>
      <c r="C244" s="39"/>
      <c r="D244" s="39"/>
      <c r="E244" s="40">
        <v>279.5</v>
      </c>
      <c r="F244" s="41"/>
      <c r="G244" s="40">
        <v>255.27</v>
      </c>
      <c r="H244" s="3531">
        <v>24.23</v>
      </c>
      <c r="I244" s="3531"/>
      <c r="J244" s="41"/>
      <c r="K244" s="41"/>
      <c r="L244" s="41"/>
      <c r="M244" s="40">
        <v>279.5</v>
      </c>
      <c r="N244" s="40">
        <v>279.5</v>
      </c>
      <c r="O244" s="30"/>
      <c r="P244" s="12"/>
    </row>
    <row r="245" spans="1:16" hidden="1" outlineLevel="6">
      <c r="A245" s="3534" t="s">
        <v>1371</v>
      </c>
      <c r="B245" s="3534"/>
      <c r="C245" s="39"/>
      <c r="D245" s="39"/>
      <c r="E245" s="40">
        <v>107.58</v>
      </c>
      <c r="F245" s="41"/>
      <c r="G245" s="40">
        <v>56.06</v>
      </c>
      <c r="H245" s="3531">
        <v>51.52</v>
      </c>
      <c r="I245" s="3531"/>
      <c r="J245" s="41"/>
      <c r="K245" s="41"/>
      <c r="L245" s="41"/>
      <c r="M245" s="40">
        <v>107.58</v>
      </c>
      <c r="N245" s="40">
        <v>107.58</v>
      </c>
      <c r="O245" s="30"/>
      <c r="P245" s="12"/>
    </row>
    <row r="246" spans="1:16" hidden="1" outlineLevel="6">
      <c r="A246" s="3534" t="s">
        <v>1372</v>
      </c>
      <c r="B246" s="3534"/>
      <c r="C246" s="39"/>
      <c r="D246" s="39"/>
      <c r="E246" s="40">
        <v>34.32</v>
      </c>
      <c r="F246" s="41"/>
      <c r="G246" s="40">
        <v>13.22</v>
      </c>
      <c r="H246" s="3531">
        <v>21.1</v>
      </c>
      <c r="I246" s="3531"/>
      <c r="J246" s="41"/>
      <c r="K246" s="41"/>
      <c r="L246" s="41"/>
      <c r="M246" s="40">
        <v>34.32</v>
      </c>
      <c r="N246" s="40">
        <v>34.32</v>
      </c>
      <c r="O246" s="30"/>
      <c r="P246" s="12"/>
    </row>
    <row r="247" spans="1:16" hidden="1" outlineLevel="6">
      <c r="A247" s="3534" t="s">
        <v>1373</v>
      </c>
      <c r="B247" s="3534"/>
      <c r="C247" s="39"/>
      <c r="D247" s="39"/>
      <c r="E247" s="40">
        <v>24.23</v>
      </c>
      <c r="F247" s="41"/>
      <c r="G247" s="40">
        <v>24.18</v>
      </c>
      <c r="H247" s="3531">
        <v>0.05</v>
      </c>
      <c r="I247" s="3531"/>
      <c r="J247" s="41"/>
      <c r="K247" s="41"/>
      <c r="L247" s="41"/>
      <c r="M247" s="40">
        <v>24.23</v>
      </c>
      <c r="N247" s="40">
        <v>24.23</v>
      </c>
      <c r="O247" s="30"/>
      <c r="P247" s="12"/>
    </row>
    <row r="248" spans="1:16" hidden="1" outlineLevel="6">
      <c r="A248" s="3534" t="s">
        <v>1374</v>
      </c>
      <c r="B248" s="3534"/>
      <c r="C248" s="39"/>
      <c r="D248" s="39"/>
      <c r="E248" s="40">
        <v>27.91</v>
      </c>
      <c r="F248" s="41"/>
      <c r="G248" s="40">
        <v>22.6</v>
      </c>
      <c r="H248" s="3531">
        <v>5.31</v>
      </c>
      <c r="I248" s="3531"/>
      <c r="J248" s="41"/>
      <c r="K248" s="41"/>
      <c r="L248" s="41"/>
      <c r="M248" s="40">
        <v>27.91</v>
      </c>
      <c r="N248" s="40">
        <v>27.91</v>
      </c>
      <c r="O248" s="30"/>
      <c r="P248" s="12"/>
    </row>
    <row r="249" spans="1:16" hidden="1" outlineLevel="6">
      <c r="A249" s="3534" t="s">
        <v>1375</v>
      </c>
      <c r="B249" s="3534"/>
      <c r="C249" s="39"/>
      <c r="D249" s="39"/>
      <c r="E249" s="40">
        <v>44.02</v>
      </c>
      <c r="F249" s="41"/>
      <c r="G249" s="40">
        <v>42.74</v>
      </c>
      <c r="H249" s="3531">
        <v>1.28</v>
      </c>
      <c r="I249" s="3531"/>
      <c r="J249" s="41"/>
      <c r="K249" s="41"/>
      <c r="L249" s="41"/>
      <c r="M249" s="40">
        <v>44.02</v>
      </c>
      <c r="N249" s="40">
        <v>44.02</v>
      </c>
      <c r="O249" s="30"/>
      <c r="P249" s="12"/>
    </row>
    <row r="250" spans="1:16" hidden="1" outlineLevel="6">
      <c r="A250" s="3534" t="s">
        <v>1376</v>
      </c>
      <c r="B250" s="3534"/>
      <c r="C250" s="39"/>
      <c r="D250" s="39"/>
      <c r="E250" s="40">
        <v>245.27</v>
      </c>
      <c r="F250" s="41"/>
      <c r="G250" s="40">
        <v>235.49</v>
      </c>
      <c r="H250" s="3531">
        <v>9.7799999999999994</v>
      </c>
      <c r="I250" s="3531"/>
      <c r="J250" s="41"/>
      <c r="K250" s="41"/>
      <c r="L250" s="41"/>
      <c r="M250" s="40">
        <v>245.27</v>
      </c>
      <c r="N250" s="40">
        <v>245.27</v>
      </c>
      <c r="O250" s="30"/>
      <c r="P250" s="12"/>
    </row>
    <row r="251" spans="1:16" hidden="1" outlineLevel="6">
      <c r="A251" s="3534" t="s">
        <v>1377</v>
      </c>
      <c r="B251" s="3534"/>
      <c r="C251" s="39"/>
      <c r="D251" s="39"/>
      <c r="E251" s="40">
        <v>13.56</v>
      </c>
      <c r="F251" s="41"/>
      <c r="G251" s="40">
        <v>12.5</v>
      </c>
      <c r="H251" s="3531">
        <v>1.06</v>
      </c>
      <c r="I251" s="3531"/>
      <c r="J251" s="41"/>
      <c r="K251" s="41"/>
      <c r="L251" s="41"/>
      <c r="M251" s="40">
        <v>13.56</v>
      </c>
      <c r="N251" s="40">
        <v>13.56</v>
      </c>
      <c r="O251" s="30"/>
      <c r="P251" s="12"/>
    </row>
    <row r="252" spans="1:16" outlineLevel="3" collapsed="1">
      <c r="A252" s="3541" t="s">
        <v>1483</v>
      </c>
      <c r="B252" s="3541"/>
      <c r="C252" s="35"/>
      <c r="D252" s="35"/>
      <c r="E252" s="36">
        <v>158062.73000000001</v>
      </c>
      <c r="F252" s="37"/>
      <c r="G252" s="36">
        <v>15479.1</v>
      </c>
      <c r="H252" s="3537">
        <v>3337.07</v>
      </c>
      <c r="I252" s="3537"/>
      <c r="J252" s="37"/>
      <c r="K252" s="37"/>
      <c r="L252" s="36">
        <v>139246.56</v>
      </c>
      <c r="M252" s="36">
        <v>158062.73000000001</v>
      </c>
      <c r="N252" s="36">
        <v>158062.73000000001</v>
      </c>
      <c r="O252" s="29"/>
      <c r="P252" s="11"/>
    </row>
    <row r="253" spans="1:16" hidden="1" outlineLevel="4">
      <c r="A253" s="3543" t="s">
        <v>1484</v>
      </c>
      <c r="B253" s="3543"/>
      <c r="C253" s="35"/>
      <c r="D253" s="35"/>
      <c r="E253" s="43">
        <v>328.38</v>
      </c>
      <c r="F253" s="37"/>
      <c r="G253" s="43">
        <v>328.38</v>
      </c>
      <c r="H253" s="37"/>
      <c r="I253" s="37"/>
      <c r="J253" s="37"/>
      <c r="K253" s="37"/>
      <c r="L253" s="37"/>
      <c r="M253" s="43">
        <v>328.38</v>
      </c>
      <c r="N253" s="43">
        <v>328.38</v>
      </c>
      <c r="O253" s="29"/>
      <c r="P253" s="11"/>
    </row>
    <row r="254" spans="1:16" hidden="1" outlineLevel="5">
      <c r="A254" s="3535" t="s">
        <v>1321</v>
      </c>
      <c r="B254" s="3535"/>
      <c r="C254" s="39"/>
      <c r="D254" s="39"/>
      <c r="E254" s="40">
        <v>9.3000000000000007</v>
      </c>
      <c r="F254" s="41"/>
      <c r="G254" s="40">
        <v>9.3000000000000007</v>
      </c>
      <c r="H254" s="41"/>
      <c r="I254" s="41"/>
      <c r="J254" s="41"/>
      <c r="K254" s="41"/>
      <c r="L254" s="41"/>
      <c r="M254" s="40">
        <v>9.3000000000000007</v>
      </c>
      <c r="N254" s="40">
        <v>9.3000000000000007</v>
      </c>
      <c r="O254" s="30"/>
      <c r="P254" s="12"/>
    </row>
    <row r="255" spans="1:16" hidden="1" outlineLevel="5">
      <c r="A255" s="3535" t="s">
        <v>1322</v>
      </c>
      <c r="B255" s="3535"/>
      <c r="C255" s="39"/>
      <c r="D255" s="39"/>
      <c r="E255" s="40">
        <v>40.159999999999997</v>
      </c>
      <c r="F255" s="41"/>
      <c r="G255" s="40">
        <v>40.159999999999997</v>
      </c>
      <c r="H255" s="41"/>
      <c r="I255" s="41"/>
      <c r="J255" s="41"/>
      <c r="K255" s="41"/>
      <c r="L255" s="41"/>
      <c r="M255" s="40">
        <v>40.159999999999997</v>
      </c>
      <c r="N255" s="40">
        <v>40.159999999999997</v>
      </c>
      <c r="O255" s="30"/>
      <c r="P255" s="12"/>
    </row>
    <row r="256" spans="1:16" hidden="1" outlineLevel="5">
      <c r="A256" s="3535" t="s">
        <v>1323</v>
      </c>
      <c r="B256" s="3535"/>
      <c r="C256" s="39"/>
      <c r="D256" s="39"/>
      <c r="E256" s="40">
        <v>278.92</v>
      </c>
      <c r="F256" s="41"/>
      <c r="G256" s="40">
        <v>278.92</v>
      </c>
      <c r="H256" s="41"/>
      <c r="I256" s="41"/>
      <c r="J256" s="41"/>
      <c r="K256" s="41"/>
      <c r="L256" s="41"/>
      <c r="M256" s="40">
        <v>278.92</v>
      </c>
      <c r="N256" s="40">
        <v>278.92</v>
      </c>
      <c r="O256" s="30"/>
      <c r="P256" s="12"/>
    </row>
    <row r="257" spans="1:16" hidden="1" outlineLevel="4">
      <c r="A257" s="3543" t="s">
        <v>1485</v>
      </c>
      <c r="B257" s="3543"/>
      <c r="C257" s="35"/>
      <c r="D257" s="35"/>
      <c r="E257" s="36">
        <v>1120.6400000000001</v>
      </c>
      <c r="F257" s="37"/>
      <c r="G257" s="43">
        <v>982.74</v>
      </c>
      <c r="H257" s="3533">
        <v>137.9</v>
      </c>
      <c r="I257" s="3533"/>
      <c r="J257" s="37"/>
      <c r="K257" s="37"/>
      <c r="L257" s="37"/>
      <c r="M257" s="36">
        <v>1120.6400000000001</v>
      </c>
      <c r="N257" s="36">
        <v>1120.6400000000001</v>
      </c>
      <c r="O257" s="29"/>
      <c r="P257" s="11"/>
    </row>
    <row r="258" spans="1:16" hidden="1" outlineLevel="5">
      <c r="A258" s="3542" t="s">
        <v>1486</v>
      </c>
      <c r="B258" s="3542"/>
      <c r="C258" s="35"/>
      <c r="D258" s="35"/>
      <c r="E258" s="43">
        <v>355.47</v>
      </c>
      <c r="F258" s="37"/>
      <c r="G258" s="43">
        <v>354.06</v>
      </c>
      <c r="H258" s="3533">
        <v>1.41</v>
      </c>
      <c r="I258" s="3533"/>
      <c r="J258" s="37"/>
      <c r="K258" s="37"/>
      <c r="L258" s="37"/>
      <c r="M258" s="43">
        <v>355.47</v>
      </c>
      <c r="N258" s="43">
        <v>355.47</v>
      </c>
      <c r="O258" s="29"/>
      <c r="P258" s="11"/>
    </row>
    <row r="259" spans="1:16" hidden="1" outlineLevel="6">
      <c r="A259" s="3534" t="s">
        <v>1333</v>
      </c>
      <c r="B259" s="3534"/>
      <c r="C259" s="39"/>
      <c r="D259" s="39"/>
      <c r="E259" s="40">
        <v>311.45999999999998</v>
      </c>
      <c r="F259" s="41"/>
      <c r="G259" s="40">
        <v>310.05</v>
      </c>
      <c r="H259" s="3531">
        <v>1.41</v>
      </c>
      <c r="I259" s="3531"/>
      <c r="J259" s="41"/>
      <c r="K259" s="41"/>
      <c r="L259" s="41"/>
      <c r="M259" s="40">
        <v>311.45999999999998</v>
      </c>
      <c r="N259" s="40">
        <v>311.45999999999998</v>
      </c>
      <c r="O259" s="30"/>
      <c r="P259" s="12"/>
    </row>
    <row r="260" spans="1:16" hidden="1" outlineLevel="6">
      <c r="A260" s="3534" t="s">
        <v>1334</v>
      </c>
      <c r="B260" s="3534"/>
      <c r="C260" s="39"/>
      <c r="D260" s="39"/>
      <c r="E260" s="40">
        <v>44.01</v>
      </c>
      <c r="F260" s="41"/>
      <c r="G260" s="40">
        <v>44.01</v>
      </c>
      <c r="H260" s="41"/>
      <c r="I260" s="41"/>
      <c r="J260" s="41"/>
      <c r="K260" s="41"/>
      <c r="L260" s="41"/>
      <c r="M260" s="40">
        <v>44.01</v>
      </c>
      <c r="N260" s="40">
        <v>44.01</v>
      </c>
      <c r="O260" s="30"/>
      <c r="P260" s="12"/>
    </row>
    <row r="261" spans="1:16" hidden="1" outlineLevel="5" collapsed="1">
      <c r="A261" s="3535" t="s">
        <v>1335</v>
      </c>
      <c r="B261" s="3535"/>
      <c r="C261" s="39"/>
      <c r="D261" s="39"/>
      <c r="E261" s="40">
        <v>89.45</v>
      </c>
      <c r="F261" s="41"/>
      <c r="G261" s="40">
        <v>89.45</v>
      </c>
      <c r="H261" s="41"/>
      <c r="I261" s="41"/>
      <c r="J261" s="41"/>
      <c r="K261" s="41"/>
      <c r="L261" s="41"/>
      <c r="M261" s="40">
        <v>89.45</v>
      </c>
      <c r="N261" s="40">
        <v>89.45</v>
      </c>
      <c r="O261" s="30"/>
      <c r="P261" s="12"/>
    </row>
    <row r="262" spans="1:16" hidden="1" outlineLevel="5">
      <c r="A262" s="3542" t="s">
        <v>1487</v>
      </c>
      <c r="B262" s="3542"/>
      <c r="C262" s="35"/>
      <c r="D262" s="35"/>
      <c r="E262" s="43">
        <v>451.44</v>
      </c>
      <c r="F262" s="37"/>
      <c r="G262" s="43">
        <v>451.44</v>
      </c>
      <c r="H262" s="37"/>
      <c r="I262" s="37"/>
      <c r="J262" s="37"/>
      <c r="K262" s="37"/>
      <c r="L262" s="37"/>
      <c r="M262" s="43">
        <v>451.44</v>
      </c>
      <c r="N262" s="43">
        <v>451.44</v>
      </c>
      <c r="O262" s="29"/>
      <c r="P262" s="11"/>
    </row>
    <row r="263" spans="1:16" hidden="1" outlineLevel="6">
      <c r="A263" s="3534" t="s">
        <v>1379</v>
      </c>
      <c r="B263" s="3534"/>
      <c r="C263" s="39"/>
      <c r="D263" s="39"/>
      <c r="E263" s="40">
        <v>229.45</v>
      </c>
      <c r="F263" s="41"/>
      <c r="G263" s="40">
        <v>229.45</v>
      </c>
      <c r="H263" s="41"/>
      <c r="I263" s="41"/>
      <c r="J263" s="41"/>
      <c r="K263" s="41"/>
      <c r="L263" s="41"/>
      <c r="M263" s="40">
        <v>229.45</v>
      </c>
      <c r="N263" s="40">
        <v>229.45</v>
      </c>
      <c r="O263" s="30"/>
      <c r="P263" s="12"/>
    </row>
    <row r="264" spans="1:16" hidden="1" outlineLevel="6">
      <c r="A264" s="3534" t="s">
        <v>1380</v>
      </c>
      <c r="B264" s="3534"/>
      <c r="C264" s="39"/>
      <c r="D264" s="39"/>
      <c r="E264" s="40">
        <v>221.99</v>
      </c>
      <c r="F264" s="41"/>
      <c r="G264" s="40">
        <v>221.99</v>
      </c>
      <c r="H264" s="41"/>
      <c r="I264" s="41"/>
      <c r="J264" s="41"/>
      <c r="K264" s="41"/>
      <c r="L264" s="41"/>
      <c r="M264" s="40">
        <v>221.99</v>
      </c>
      <c r="N264" s="40">
        <v>221.99</v>
      </c>
      <c r="O264" s="30"/>
      <c r="P264" s="12"/>
    </row>
    <row r="265" spans="1:16" hidden="1" outlineLevel="5" collapsed="1">
      <c r="A265" s="3535" t="s">
        <v>1339</v>
      </c>
      <c r="B265" s="3535"/>
      <c r="C265" s="39"/>
      <c r="D265" s="39"/>
      <c r="E265" s="40">
        <v>205.66</v>
      </c>
      <c r="F265" s="41"/>
      <c r="G265" s="40">
        <v>87.79</v>
      </c>
      <c r="H265" s="3531">
        <v>117.87</v>
      </c>
      <c r="I265" s="3531"/>
      <c r="J265" s="41"/>
      <c r="K265" s="41"/>
      <c r="L265" s="41"/>
      <c r="M265" s="40">
        <v>205.66</v>
      </c>
      <c r="N265" s="40">
        <v>205.66</v>
      </c>
      <c r="O265" s="30"/>
      <c r="P265" s="12"/>
    </row>
    <row r="266" spans="1:16" hidden="1" outlineLevel="5">
      <c r="A266" s="3535" t="s">
        <v>1446</v>
      </c>
      <c r="B266" s="3535"/>
      <c r="C266" s="39"/>
      <c r="D266" s="39"/>
      <c r="E266" s="40">
        <v>18.62</v>
      </c>
      <c r="F266" s="41"/>
      <c r="G266" s="41"/>
      <c r="H266" s="3531">
        <v>18.62</v>
      </c>
      <c r="I266" s="3531"/>
      <c r="J266" s="41"/>
      <c r="K266" s="41"/>
      <c r="L266" s="41"/>
      <c r="M266" s="40">
        <v>18.62</v>
      </c>
      <c r="N266" s="40">
        <v>18.62</v>
      </c>
      <c r="O266" s="30"/>
      <c r="P266" s="12"/>
    </row>
    <row r="267" spans="1:16" hidden="1" outlineLevel="4">
      <c r="A267" s="3543" t="s">
        <v>1488</v>
      </c>
      <c r="B267" s="3543"/>
      <c r="C267" s="35"/>
      <c r="D267" s="35"/>
      <c r="E267" s="36">
        <v>1201.25</v>
      </c>
      <c r="F267" s="37"/>
      <c r="G267" s="43">
        <v>769.24</v>
      </c>
      <c r="H267" s="3533">
        <v>432.01</v>
      </c>
      <c r="I267" s="3533"/>
      <c r="J267" s="37"/>
      <c r="K267" s="37"/>
      <c r="L267" s="37"/>
      <c r="M267" s="36">
        <v>1201.25</v>
      </c>
      <c r="N267" s="36">
        <v>1201.25</v>
      </c>
      <c r="O267" s="29"/>
      <c r="P267" s="11"/>
    </row>
    <row r="268" spans="1:16" hidden="1" outlineLevel="5">
      <c r="A268" s="3535" t="s">
        <v>1329</v>
      </c>
      <c r="B268" s="3535"/>
      <c r="C268" s="39"/>
      <c r="D268" s="39"/>
      <c r="E268" s="40">
        <v>378.16</v>
      </c>
      <c r="F268" s="41"/>
      <c r="G268" s="41"/>
      <c r="H268" s="3531">
        <v>378.16</v>
      </c>
      <c r="I268" s="3531"/>
      <c r="J268" s="41"/>
      <c r="K268" s="41"/>
      <c r="L268" s="41"/>
      <c r="M268" s="40">
        <v>378.16</v>
      </c>
      <c r="N268" s="40">
        <v>378.16</v>
      </c>
      <c r="O268" s="30"/>
      <c r="P268" s="12"/>
    </row>
    <row r="269" spans="1:16" hidden="1" outlineLevel="5">
      <c r="A269" s="3535" t="s">
        <v>1330</v>
      </c>
      <c r="B269" s="3535"/>
      <c r="C269" s="39"/>
      <c r="D269" s="39"/>
      <c r="E269" s="40">
        <v>26.76</v>
      </c>
      <c r="F269" s="41"/>
      <c r="G269" s="41"/>
      <c r="H269" s="3531">
        <v>26.76</v>
      </c>
      <c r="I269" s="3531"/>
      <c r="J269" s="41"/>
      <c r="K269" s="41"/>
      <c r="L269" s="41"/>
      <c r="M269" s="40">
        <v>26.76</v>
      </c>
      <c r="N269" s="40">
        <v>26.76</v>
      </c>
      <c r="O269" s="30"/>
      <c r="P269" s="12"/>
    </row>
    <row r="270" spans="1:16" hidden="1" outlineLevel="5">
      <c r="A270" s="3535" t="s">
        <v>1387</v>
      </c>
      <c r="B270" s="3535"/>
      <c r="C270" s="39"/>
      <c r="D270" s="39"/>
      <c r="E270" s="40">
        <v>88.6</v>
      </c>
      <c r="F270" s="41"/>
      <c r="G270" s="40">
        <v>74.83</v>
      </c>
      <c r="H270" s="3531">
        <v>13.77</v>
      </c>
      <c r="I270" s="3531"/>
      <c r="J270" s="41"/>
      <c r="K270" s="41"/>
      <c r="L270" s="41"/>
      <c r="M270" s="40">
        <v>88.6</v>
      </c>
      <c r="N270" s="40">
        <v>88.6</v>
      </c>
      <c r="O270" s="30"/>
      <c r="P270" s="12"/>
    </row>
    <row r="271" spans="1:16" hidden="1" outlineLevel="5">
      <c r="A271" s="3535" t="s">
        <v>1388</v>
      </c>
      <c r="B271" s="3535"/>
      <c r="C271" s="39"/>
      <c r="D271" s="39"/>
      <c r="E271" s="40">
        <v>4.67</v>
      </c>
      <c r="F271" s="41"/>
      <c r="G271" s="40">
        <v>4.3600000000000003</v>
      </c>
      <c r="H271" s="3531">
        <v>0.31</v>
      </c>
      <c r="I271" s="3531"/>
      <c r="J271" s="41"/>
      <c r="K271" s="41"/>
      <c r="L271" s="41"/>
      <c r="M271" s="40">
        <v>4.67</v>
      </c>
      <c r="N271" s="40">
        <v>4.67</v>
      </c>
      <c r="O271" s="30"/>
      <c r="P271" s="12"/>
    </row>
    <row r="272" spans="1:16" hidden="1" outlineLevel="5">
      <c r="A272" s="3535" t="s">
        <v>1389</v>
      </c>
      <c r="B272" s="3535"/>
      <c r="C272" s="39"/>
      <c r="D272" s="39"/>
      <c r="E272" s="40">
        <v>686.75</v>
      </c>
      <c r="F272" s="41"/>
      <c r="G272" s="40">
        <v>686.75</v>
      </c>
      <c r="H272" s="41"/>
      <c r="I272" s="41"/>
      <c r="J272" s="41"/>
      <c r="K272" s="41"/>
      <c r="L272" s="41"/>
      <c r="M272" s="40">
        <v>686.75</v>
      </c>
      <c r="N272" s="40">
        <v>686.75</v>
      </c>
      <c r="O272" s="30"/>
      <c r="P272" s="12"/>
    </row>
    <row r="273" spans="1:16" hidden="1" outlineLevel="5">
      <c r="A273" s="3535" t="s">
        <v>1390</v>
      </c>
      <c r="B273" s="3535"/>
      <c r="C273" s="39"/>
      <c r="D273" s="39"/>
      <c r="E273" s="40">
        <v>16.309999999999999</v>
      </c>
      <c r="F273" s="41"/>
      <c r="G273" s="40">
        <v>3.3</v>
      </c>
      <c r="H273" s="3531">
        <v>13.01</v>
      </c>
      <c r="I273" s="3531"/>
      <c r="J273" s="41"/>
      <c r="K273" s="41"/>
      <c r="L273" s="41"/>
      <c r="M273" s="40">
        <v>16.309999999999999</v>
      </c>
      <c r="N273" s="40">
        <v>16.309999999999999</v>
      </c>
      <c r="O273" s="30"/>
      <c r="P273" s="12"/>
    </row>
    <row r="274" spans="1:16" hidden="1" outlineLevel="4">
      <c r="A274" s="3539" t="s">
        <v>1336</v>
      </c>
      <c r="B274" s="3539"/>
      <c r="C274" s="39"/>
      <c r="D274" s="39"/>
      <c r="E274" s="40">
        <v>246.47</v>
      </c>
      <c r="F274" s="41"/>
      <c r="G274" s="40">
        <v>246.47</v>
      </c>
      <c r="H274" s="41"/>
      <c r="I274" s="41"/>
      <c r="J274" s="41"/>
      <c r="K274" s="41"/>
      <c r="L274" s="41"/>
      <c r="M274" s="40">
        <v>246.47</v>
      </c>
      <c r="N274" s="40">
        <v>246.47</v>
      </c>
      <c r="O274" s="30"/>
      <c r="P274" s="12"/>
    </row>
    <row r="275" spans="1:16" hidden="1" outlineLevel="4">
      <c r="A275" s="3543" t="s">
        <v>1489</v>
      </c>
      <c r="B275" s="3543"/>
      <c r="C275" s="35"/>
      <c r="D275" s="35"/>
      <c r="E275" s="43">
        <v>497.98</v>
      </c>
      <c r="F275" s="37"/>
      <c r="G275" s="43">
        <v>401.12</v>
      </c>
      <c r="H275" s="3533">
        <v>96.86</v>
      </c>
      <c r="I275" s="3533"/>
      <c r="J275" s="37"/>
      <c r="K275" s="37"/>
      <c r="L275" s="37"/>
      <c r="M275" s="43">
        <v>497.98</v>
      </c>
      <c r="N275" s="43">
        <v>497.98</v>
      </c>
      <c r="O275" s="29"/>
      <c r="P275" s="11"/>
    </row>
    <row r="276" spans="1:16" hidden="1" outlineLevel="5">
      <c r="A276" s="3542" t="s">
        <v>1490</v>
      </c>
      <c r="B276" s="3542"/>
      <c r="C276" s="35"/>
      <c r="D276" s="35"/>
      <c r="E276" s="43">
        <v>310.19</v>
      </c>
      <c r="F276" s="37"/>
      <c r="G276" s="43">
        <v>310.19</v>
      </c>
      <c r="H276" s="37"/>
      <c r="I276" s="37"/>
      <c r="J276" s="37"/>
      <c r="K276" s="37"/>
      <c r="L276" s="37"/>
      <c r="M276" s="43">
        <v>310.19</v>
      </c>
      <c r="N276" s="43">
        <v>310.19</v>
      </c>
      <c r="O276" s="29"/>
      <c r="P276" s="11"/>
    </row>
    <row r="277" spans="1:16" hidden="1" outlineLevel="6">
      <c r="A277" s="3534" t="s">
        <v>1341</v>
      </c>
      <c r="B277" s="3534"/>
      <c r="C277" s="39"/>
      <c r="D277" s="39"/>
      <c r="E277" s="40">
        <v>0.35</v>
      </c>
      <c r="F277" s="41"/>
      <c r="G277" s="40">
        <v>0.35</v>
      </c>
      <c r="H277" s="41"/>
      <c r="I277" s="41"/>
      <c r="J277" s="41"/>
      <c r="K277" s="41"/>
      <c r="L277" s="41"/>
      <c r="M277" s="40">
        <v>0.35</v>
      </c>
      <c r="N277" s="40">
        <v>0.35</v>
      </c>
      <c r="O277" s="30"/>
      <c r="P277" s="12"/>
    </row>
    <row r="278" spans="1:16" hidden="1" outlineLevel="6">
      <c r="A278" s="3534" t="s">
        <v>1342</v>
      </c>
      <c r="B278" s="3534"/>
      <c r="C278" s="39"/>
      <c r="D278" s="39"/>
      <c r="E278" s="40">
        <v>45.18</v>
      </c>
      <c r="F278" s="41"/>
      <c r="G278" s="40">
        <v>45.18</v>
      </c>
      <c r="H278" s="41"/>
      <c r="I278" s="41"/>
      <c r="J278" s="41"/>
      <c r="K278" s="41"/>
      <c r="L278" s="41"/>
      <c r="M278" s="40">
        <v>45.18</v>
      </c>
      <c r="N278" s="40">
        <v>45.18</v>
      </c>
      <c r="O278" s="30"/>
      <c r="P278" s="12"/>
    </row>
    <row r="279" spans="1:16" hidden="1" outlineLevel="6">
      <c r="A279" s="3534" t="s">
        <v>1343</v>
      </c>
      <c r="B279" s="3534"/>
      <c r="C279" s="39"/>
      <c r="D279" s="39"/>
      <c r="E279" s="40">
        <v>130.66999999999999</v>
      </c>
      <c r="F279" s="41"/>
      <c r="G279" s="40">
        <v>130.66999999999999</v>
      </c>
      <c r="H279" s="41"/>
      <c r="I279" s="41"/>
      <c r="J279" s="41"/>
      <c r="K279" s="41"/>
      <c r="L279" s="41"/>
      <c r="M279" s="40">
        <v>130.66999999999999</v>
      </c>
      <c r="N279" s="40">
        <v>130.66999999999999</v>
      </c>
      <c r="O279" s="30"/>
      <c r="P279" s="12"/>
    </row>
    <row r="280" spans="1:16" hidden="1" outlineLevel="6">
      <c r="A280" s="3534" t="s">
        <v>1344</v>
      </c>
      <c r="B280" s="3534"/>
      <c r="C280" s="39"/>
      <c r="D280" s="39"/>
      <c r="E280" s="40">
        <v>133.99</v>
      </c>
      <c r="F280" s="41"/>
      <c r="G280" s="40">
        <v>133.99</v>
      </c>
      <c r="H280" s="41"/>
      <c r="I280" s="41"/>
      <c r="J280" s="41"/>
      <c r="K280" s="41"/>
      <c r="L280" s="41"/>
      <c r="M280" s="40">
        <v>133.99</v>
      </c>
      <c r="N280" s="40">
        <v>133.99</v>
      </c>
      <c r="O280" s="30"/>
      <c r="P280" s="12"/>
    </row>
    <row r="281" spans="1:16" hidden="1" outlineLevel="5" collapsed="1">
      <c r="A281" s="3542" t="s">
        <v>1491</v>
      </c>
      <c r="B281" s="3542"/>
      <c r="C281" s="35"/>
      <c r="D281" s="35"/>
      <c r="E281" s="43">
        <v>187.79</v>
      </c>
      <c r="F281" s="37"/>
      <c r="G281" s="43">
        <v>90.93</v>
      </c>
      <c r="H281" s="3533">
        <v>96.86</v>
      </c>
      <c r="I281" s="3533"/>
      <c r="J281" s="37"/>
      <c r="K281" s="37"/>
      <c r="L281" s="37"/>
      <c r="M281" s="43">
        <v>187.79</v>
      </c>
      <c r="N281" s="43">
        <v>187.79</v>
      </c>
      <c r="O281" s="29"/>
      <c r="P281" s="11"/>
    </row>
    <row r="282" spans="1:16" hidden="1" outlineLevel="6">
      <c r="A282" s="3534" t="s">
        <v>1345</v>
      </c>
      <c r="B282" s="3534"/>
      <c r="C282" s="39"/>
      <c r="D282" s="39"/>
      <c r="E282" s="40">
        <v>1.54</v>
      </c>
      <c r="F282" s="41"/>
      <c r="G282" s="41"/>
      <c r="H282" s="3531">
        <v>1.54</v>
      </c>
      <c r="I282" s="3531"/>
      <c r="J282" s="41"/>
      <c r="K282" s="41"/>
      <c r="L282" s="41"/>
      <c r="M282" s="40">
        <v>1.54</v>
      </c>
      <c r="N282" s="40">
        <v>1.54</v>
      </c>
      <c r="O282" s="30"/>
      <c r="P282" s="12"/>
    </row>
    <row r="283" spans="1:16" hidden="1" outlineLevel="6">
      <c r="A283" s="3534" t="s">
        <v>1346</v>
      </c>
      <c r="B283" s="3534"/>
      <c r="C283" s="39"/>
      <c r="D283" s="39"/>
      <c r="E283" s="40">
        <v>0.12</v>
      </c>
      <c r="F283" s="41"/>
      <c r="G283" s="41"/>
      <c r="H283" s="3531">
        <v>0.12</v>
      </c>
      <c r="I283" s="3531"/>
      <c r="J283" s="41"/>
      <c r="K283" s="41"/>
      <c r="L283" s="41"/>
      <c r="M283" s="40">
        <v>0.12</v>
      </c>
      <c r="N283" s="40">
        <v>0.12</v>
      </c>
      <c r="O283" s="30"/>
      <c r="P283" s="12"/>
    </row>
    <row r="284" spans="1:16" hidden="1" outlineLevel="6">
      <c r="A284" s="3534" t="s">
        <v>1347</v>
      </c>
      <c r="B284" s="3534"/>
      <c r="C284" s="39"/>
      <c r="D284" s="39"/>
      <c r="E284" s="40">
        <v>1.57</v>
      </c>
      <c r="F284" s="41"/>
      <c r="G284" s="40">
        <v>0.88</v>
      </c>
      <c r="H284" s="3531">
        <v>0.69</v>
      </c>
      <c r="I284" s="3531"/>
      <c r="J284" s="41"/>
      <c r="K284" s="41"/>
      <c r="L284" s="41"/>
      <c r="M284" s="40">
        <v>1.57</v>
      </c>
      <c r="N284" s="40">
        <v>1.57</v>
      </c>
      <c r="O284" s="30"/>
      <c r="P284" s="12"/>
    </row>
    <row r="285" spans="1:16" hidden="1" outlineLevel="6">
      <c r="A285" s="3534" t="s">
        <v>1348</v>
      </c>
      <c r="B285" s="3534"/>
      <c r="C285" s="39"/>
      <c r="D285" s="39"/>
      <c r="E285" s="40">
        <v>93.01</v>
      </c>
      <c r="F285" s="41"/>
      <c r="G285" s="40">
        <v>25.68</v>
      </c>
      <c r="H285" s="3531">
        <v>67.33</v>
      </c>
      <c r="I285" s="3531"/>
      <c r="J285" s="41"/>
      <c r="K285" s="41"/>
      <c r="L285" s="41"/>
      <c r="M285" s="40">
        <v>93.01</v>
      </c>
      <c r="N285" s="40">
        <v>93.01</v>
      </c>
      <c r="O285" s="30"/>
      <c r="P285" s="12"/>
    </row>
    <row r="286" spans="1:16" hidden="1" outlineLevel="6">
      <c r="A286" s="3534" t="s">
        <v>1349</v>
      </c>
      <c r="B286" s="3534"/>
      <c r="C286" s="39"/>
      <c r="D286" s="39"/>
      <c r="E286" s="40">
        <v>91.55</v>
      </c>
      <c r="F286" s="41"/>
      <c r="G286" s="40">
        <v>64.37</v>
      </c>
      <c r="H286" s="3531">
        <v>27.18</v>
      </c>
      <c r="I286" s="3531"/>
      <c r="J286" s="41"/>
      <c r="K286" s="41"/>
      <c r="L286" s="41"/>
      <c r="M286" s="40">
        <v>91.55</v>
      </c>
      <c r="N286" s="40">
        <v>91.55</v>
      </c>
      <c r="O286" s="30"/>
      <c r="P286" s="12"/>
    </row>
    <row r="287" spans="1:16" hidden="1" outlineLevel="4">
      <c r="A287" s="3543" t="s">
        <v>1492</v>
      </c>
      <c r="B287" s="3543"/>
      <c r="C287" s="35"/>
      <c r="D287" s="35"/>
      <c r="E287" s="36">
        <v>8396.2099999999991</v>
      </c>
      <c r="F287" s="37"/>
      <c r="G287" s="36">
        <v>8305.4</v>
      </c>
      <c r="H287" s="3533">
        <v>90.81</v>
      </c>
      <c r="I287" s="3533"/>
      <c r="J287" s="37"/>
      <c r="K287" s="37"/>
      <c r="L287" s="37"/>
      <c r="M287" s="36">
        <v>8396.2099999999991</v>
      </c>
      <c r="N287" s="36">
        <v>8396.2099999999991</v>
      </c>
      <c r="O287" s="29"/>
      <c r="P287" s="11"/>
    </row>
    <row r="288" spans="1:16" hidden="1" outlineLevel="5">
      <c r="A288" s="3535" t="s">
        <v>1324</v>
      </c>
      <c r="B288" s="3535"/>
      <c r="C288" s="39"/>
      <c r="D288" s="39"/>
      <c r="E288" s="40">
        <v>9.5500000000000007</v>
      </c>
      <c r="F288" s="41"/>
      <c r="G288" s="40">
        <v>7.74</v>
      </c>
      <c r="H288" s="3531">
        <v>1.81</v>
      </c>
      <c r="I288" s="3531"/>
      <c r="J288" s="41"/>
      <c r="K288" s="41"/>
      <c r="L288" s="41"/>
      <c r="M288" s="40">
        <v>9.5500000000000007</v>
      </c>
      <c r="N288" s="40">
        <v>9.5500000000000007</v>
      </c>
      <c r="O288" s="30"/>
      <c r="P288" s="12"/>
    </row>
    <row r="289" spans="1:16" hidden="1" outlineLevel="5">
      <c r="A289" s="3535" t="s">
        <v>1337</v>
      </c>
      <c r="B289" s="3535"/>
      <c r="C289" s="39"/>
      <c r="D289" s="39"/>
      <c r="E289" s="40">
        <v>53.44</v>
      </c>
      <c r="F289" s="41"/>
      <c r="G289" s="40">
        <v>53.44</v>
      </c>
      <c r="H289" s="41"/>
      <c r="I289" s="41"/>
      <c r="J289" s="41"/>
      <c r="K289" s="41"/>
      <c r="L289" s="41"/>
      <c r="M289" s="40">
        <v>53.44</v>
      </c>
      <c r="N289" s="40">
        <v>53.44</v>
      </c>
      <c r="O289" s="30"/>
      <c r="P289" s="12"/>
    </row>
    <row r="290" spans="1:16" hidden="1" outlineLevel="5">
      <c r="A290" s="3535" t="s">
        <v>1361</v>
      </c>
      <c r="B290" s="3535"/>
      <c r="C290" s="39"/>
      <c r="D290" s="39"/>
      <c r="E290" s="42">
        <v>8028.94</v>
      </c>
      <c r="F290" s="41"/>
      <c r="G290" s="42">
        <v>8028.94</v>
      </c>
      <c r="H290" s="41"/>
      <c r="I290" s="41"/>
      <c r="J290" s="41"/>
      <c r="K290" s="41"/>
      <c r="L290" s="41"/>
      <c r="M290" s="42">
        <v>8028.94</v>
      </c>
      <c r="N290" s="42">
        <v>8028.94</v>
      </c>
      <c r="O290" s="30"/>
      <c r="P290" s="12"/>
    </row>
    <row r="291" spans="1:16" hidden="1" outlineLevel="5">
      <c r="A291" s="3535" t="s">
        <v>1412</v>
      </c>
      <c r="B291" s="3535"/>
      <c r="C291" s="39"/>
      <c r="D291" s="39"/>
      <c r="E291" s="40">
        <v>178.09</v>
      </c>
      <c r="F291" s="41"/>
      <c r="G291" s="40">
        <v>115.48</v>
      </c>
      <c r="H291" s="3531">
        <v>62.61</v>
      </c>
      <c r="I291" s="3531"/>
      <c r="J291" s="41"/>
      <c r="K291" s="41"/>
      <c r="L291" s="41"/>
      <c r="M291" s="40">
        <v>178.09</v>
      </c>
      <c r="N291" s="40">
        <v>178.09</v>
      </c>
      <c r="O291" s="30"/>
      <c r="P291" s="12"/>
    </row>
    <row r="292" spans="1:16" hidden="1" outlineLevel="5">
      <c r="A292" s="3535" t="s">
        <v>1457</v>
      </c>
      <c r="B292" s="3535"/>
      <c r="C292" s="39"/>
      <c r="D292" s="39"/>
      <c r="E292" s="40">
        <v>11.36</v>
      </c>
      <c r="F292" s="41"/>
      <c r="G292" s="40">
        <v>5.88</v>
      </c>
      <c r="H292" s="3531">
        <v>5.48</v>
      </c>
      <c r="I292" s="3531"/>
      <c r="J292" s="41"/>
      <c r="K292" s="41"/>
      <c r="L292" s="41"/>
      <c r="M292" s="40">
        <v>11.36</v>
      </c>
      <c r="N292" s="40">
        <v>11.36</v>
      </c>
      <c r="O292" s="30"/>
      <c r="P292" s="12"/>
    </row>
    <row r="293" spans="1:16" hidden="1" outlineLevel="5">
      <c r="A293" s="3535" t="s">
        <v>1458</v>
      </c>
      <c r="B293" s="3535"/>
      <c r="C293" s="39"/>
      <c r="D293" s="39"/>
      <c r="E293" s="40">
        <v>114.83</v>
      </c>
      <c r="F293" s="41"/>
      <c r="G293" s="40">
        <v>93.92</v>
      </c>
      <c r="H293" s="3531">
        <v>20.91</v>
      </c>
      <c r="I293" s="3531"/>
      <c r="J293" s="41"/>
      <c r="K293" s="41"/>
      <c r="L293" s="41"/>
      <c r="M293" s="40">
        <v>114.83</v>
      </c>
      <c r="N293" s="40">
        <v>114.83</v>
      </c>
      <c r="O293" s="30"/>
      <c r="P293" s="12"/>
    </row>
    <row r="294" spans="1:16" hidden="1" outlineLevel="4">
      <c r="A294" s="3539" t="s">
        <v>1428</v>
      </c>
      <c r="B294" s="3539"/>
      <c r="C294" s="39"/>
      <c r="D294" s="39"/>
      <c r="E294" s="40">
        <v>68.38</v>
      </c>
      <c r="F294" s="41"/>
      <c r="G294" s="41"/>
      <c r="H294" s="3531">
        <v>68.38</v>
      </c>
      <c r="I294" s="3531"/>
      <c r="J294" s="41"/>
      <c r="K294" s="41"/>
      <c r="L294" s="41"/>
      <c r="M294" s="40">
        <v>68.38</v>
      </c>
      <c r="N294" s="40">
        <v>68.38</v>
      </c>
      <c r="O294" s="30"/>
      <c r="P294" s="12"/>
    </row>
    <row r="295" spans="1:16" hidden="1" outlineLevel="4">
      <c r="A295" s="3539" t="s">
        <v>1460</v>
      </c>
      <c r="B295" s="3539"/>
      <c r="C295" s="39"/>
      <c r="D295" s="39"/>
      <c r="E295" s="42">
        <v>139246.56</v>
      </c>
      <c r="F295" s="41"/>
      <c r="G295" s="41"/>
      <c r="H295" s="41"/>
      <c r="I295" s="41"/>
      <c r="J295" s="41"/>
      <c r="K295" s="41"/>
      <c r="L295" s="42">
        <v>139246.56</v>
      </c>
      <c r="M295" s="42">
        <v>139246.56</v>
      </c>
      <c r="N295" s="42">
        <v>139246.56</v>
      </c>
      <c r="O295" s="30"/>
      <c r="P295" s="12"/>
    </row>
    <row r="296" spans="1:16" hidden="1" outlineLevel="4">
      <c r="A296" s="3543" t="s">
        <v>1493</v>
      </c>
      <c r="B296" s="3543"/>
      <c r="C296" s="35"/>
      <c r="D296" s="35"/>
      <c r="E296" s="36">
        <v>6956.86</v>
      </c>
      <c r="F296" s="37"/>
      <c r="G296" s="36">
        <v>4445.75</v>
      </c>
      <c r="H296" s="3537">
        <v>2511.11</v>
      </c>
      <c r="I296" s="3537"/>
      <c r="J296" s="37"/>
      <c r="K296" s="37"/>
      <c r="L296" s="37"/>
      <c r="M296" s="36">
        <v>6956.86</v>
      </c>
      <c r="N296" s="36">
        <v>6956.86</v>
      </c>
      <c r="O296" s="29"/>
      <c r="P296" s="11"/>
    </row>
    <row r="297" spans="1:16" hidden="1" outlineLevel="5">
      <c r="A297" s="3542" t="s">
        <v>1494</v>
      </c>
      <c r="B297" s="3542"/>
      <c r="C297" s="35"/>
      <c r="D297" s="35"/>
      <c r="E297" s="43">
        <v>301.27999999999997</v>
      </c>
      <c r="F297" s="37"/>
      <c r="G297" s="43">
        <v>264.94</v>
      </c>
      <c r="H297" s="3533">
        <v>36.340000000000003</v>
      </c>
      <c r="I297" s="3533"/>
      <c r="J297" s="37"/>
      <c r="K297" s="37"/>
      <c r="L297" s="37"/>
      <c r="M297" s="43">
        <v>301.27999999999997</v>
      </c>
      <c r="N297" s="43">
        <v>301.27999999999997</v>
      </c>
      <c r="O297" s="29"/>
      <c r="P297" s="11"/>
    </row>
    <row r="298" spans="1:16" hidden="1" outlineLevel="6">
      <c r="A298" s="3534" t="s">
        <v>1413</v>
      </c>
      <c r="B298" s="3534"/>
      <c r="C298" s="39"/>
      <c r="D298" s="39"/>
      <c r="E298" s="40">
        <v>12.32</v>
      </c>
      <c r="F298" s="41"/>
      <c r="G298" s="41"/>
      <c r="H298" s="3531">
        <v>12.32</v>
      </c>
      <c r="I298" s="3531"/>
      <c r="J298" s="41"/>
      <c r="K298" s="41"/>
      <c r="L298" s="41"/>
      <c r="M298" s="40">
        <v>12.32</v>
      </c>
      <c r="N298" s="40">
        <v>12.32</v>
      </c>
      <c r="O298" s="30"/>
      <c r="P298" s="12"/>
    </row>
    <row r="299" spans="1:16" hidden="1" outlineLevel="6">
      <c r="A299" s="3534" t="s">
        <v>1429</v>
      </c>
      <c r="B299" s="3534"/>
      <c r="C299" s="39"/>
      <c r="D299" s="39"/>
      <c r="E299" s="40">
        <v>7.64</v>
      </c>
      <c r="F299" s="41"/>
      <c r="G299" s="40">
        <v>1.5</v>
      </c>
      <c r="H299" s="3531">
        <v>6.14</v>
      </c>
      <c r="I299" s="3531"/>
      <c r="J299" s="41"/>
      <c r="K299" s="41"/>
      <c r="L299" s="41"/>
      <c r="M299" s="40">
        <v>7.64</v>
      </c>
      <c r="N299" s="40">
        <v>7.64</v>
      </c>
      <c r="O299" s="30"/>
      <c r="P299" s="12"/>
    </row>
    <row r="300" spans="1:16" hidden="1" outlineLevel="6">
      <c r="A300" s="3534" t="s">
        <v>1430</v>
      </c>
      <c r="B300" s="3534"/>
      <c r="C300" s="39"/>
      <c r="D300" s="39"/>
      <c r="E300" s="40">
        <v>68.040000000000006</v>
      </c>
      <c r="F300" s="41"/>
      <c r="G300" s="40">
        <v>65.44</v>
      </c>
      <c r="H300" s="3531">
        <v>2.6</v>
      </c>
      <c r="I300" s="3531"/>
      <c r="J300" s="41"/>
      <c r="K300" s="41"/>
      <c r="L300" s="41"/>
      <c r="M300" s="40">
        <v>68.040000000000006</v>
      </c>
      <c r="N300" s="40">
        <v>68.040000000000006</v>
      </c>
      <c r="O300" s="30"/>
      <c r="P300" s="12"/>
    </row>
    <row r="301" spans="1:16" hidden="1" outlineLevel="6">
      <c r="A301" s="3534" t="s">
        <v>1431</v>
      </c>
      <c r="B301" s="3534"/>
      <c r="C301" s="39"/>
      <c r="D301" s="39"/>
      <c r="E301" s="40">
        <v>182.31</v>
      </c>
      <c r="F301" s="41"/>
      <c r="G301" s="40">
        <v>182.31</v>
      </c>
      <c r="H301" s="41"/>
      <c r="I301" s="41"/>
      <c r="J301" s="41"/>
      <c r="K301" s="41"/>
      <c r="L301" s="41"/>
      <c r="M301" s="40">
        <v>182.31</v>
      </c>
      <c r="N301" s="40">
        <v>182.31</v>
      </c>
      <c r="O301" s="30"/>
      <c r="P301" s="12"/>
    </row>
    <row r="302" spans="1:16" hidden="1" outlineLevel="6">
      <c r="A302" s="3534" t="s">
        <v>1432</v>
      </c>
      <c r="B302" s="3534"/>
      <c r="C302" s="39"/>
      <c r="D302" s="39"/>
      <c r="E302" s="40">
        <v>10.56</v>
      </c>
      <c r="F302" s="41"/>
      <c r="G302" s="41"/>
      <c r="H302" s="3531">
        <v>10.56</v>
      </c>
      <c r="I302" s="3531"/>
      <c r="J302" s="41"/>
      <c r="K302" s="41"/>
      <c r="L302" s="41"/>
      <c r="M302" s="40">
        <v>10.56</v>
      </c>
      <c r="N302" s="40">
        <v>10.56</v>
      </c>
      <c r="O302" s="30"/>
      <c r="P302" s="12"/>
    </row>
    <row r="303" spans="1:16" hidden="1" outlineLevel="6">
      <c r="A303" s="3534" t="s">
        <v>1434</v>
      </c>
      <c r="B303" s="3534"/>
      <c r="C303" s="39"/>
      <c r="D303" s="39"/>
      <c r="E303" s="40">
        <v>1.44</v>
      </c>
      <c r="F303" s="41"/>
      <c r="G303" s="40">
        <v>0.23</v>
      </c>
      <c r="H303" s="3531">
        <v>1.21</v>
      </c>
      <c r="I303" s="3531"/>
      <c r="J303" s="41"/>
      <c r="K303" s="41"/>
      <c r="L303" s="41"/>
      <c r="M303" s="40">
        <v>1.44</v>
      </c>
      <c r="N303" s="40">
        <v>1.44</v>
      </c>
      <c r="O303" s="30"/>
      <c r="P303" s="12"/>
    </row>
    <row r="304" spans="1:16" hidden="1" outlineLevel="6">
      <c r="A304" s="3534" t="s">
        <v>1435</v>
      </c>
      <c r="B304" s="3534"/>
      <c r="C304" s="39"/>
      <c r="D304" s="39"/>
      <c r="E304" s="40">
        <v>17.89</v>
      </c>
      <c r="F304" s="41"/>
      <c r="G304" s="40">
        <v>15.46</v>
      </c>
      <c r="H304" s="3531">
        <v>2.4300000000000002</v>
      </c>
      <c r="I304" s="3531"/>
      <c r="J304" s="41"/>
      <c r="K304" s="41"/>
      <c r="L304" s="41"/>
      <c r="M304" s="40">
        <v>17.89</v>
      </c>
      <c r="N304" s="40">
        <v>17.89</v>
      </c>
      <c r="O304" s="30"/>
      <c r="P304" s="12"/>
    </row>
    <row r="305" spans="1:16" hidden="1" outlineLevel="6">
      <c r="A305" s="3534" t="s">
        <v>1455</v>
      </c>
      <c r="B305" s="3534"/>
      <c r="C305" s="39"/>
      <c r="D305" s="39"/>
      <c r="E305" s="40">
        <v>1.08</v>
      </c>
      <c r="F305" s="41"/>
      <c r="G305" s="41"/>
      <c r="H305" s="3531">
        <v>1.08</v>
      </c>
      <c r="I305" s="3531"/>
      <c r="J305" s="41"/>
      <c r="K305" s="41"/>
      <c r="L305" s="41"/>
      <c r="M305" s="40">
        <v>1.08</v>
      </c>
      <c r="N305" s="40">
        <v>1.08</v>
      </c>
      <c r="O305" s="30"/>
      <c r="P305" s="12"/>
    </row>
    <row r="306" spans="1:16" hidden="1" outlineLevel="5" collapsed="1">
      <c r="A306" s="3542" t="s">
        <v>1495</v>
      </c>
      <c r="B306" s="3542"/>
      <c r="C306" s="35"/>
      <c r="D306" s="35"/>
      <c r="E306" s="43">
        <v>377.07</v>
      </c>
      <c r="F306" s="37"/>
      <c r="G306" s="43">
        <v>377.07</v>
      </c>
      <c r="H306" s="37"/>
      <c r="I306" s="37"/>
      <c r="J306" s="37"/>
      <c r="K306" s="37"/>
      <c r="L306" s="37"/>
      <c r="M306" s="43">
        <v>377.07</v>
      </c>
      <c r="N306" s="43">
        <v>377.07</v>
      </c>
      <c r="O306" s="29"/>
      <c r="P306" s="11"/>
    </row>
    <row r="307" spans="1:16" hidden="1" outlineLevel="6">
      <c r="A307" s="3534" t="s">
        <v>1419</v>
      </c>
      <c r="B307" s="3534"/>
      <c r="C307" s="39"/>
      <c r="D307" s="39"/>
      <c r="E307" s="40">
        <v>75.41</v>
      </c>
      <c r="F307" s="41"/>
      <c r="G307" s="40">
        <v>75.41</v>
      </c>
      <c r="H307" s="41"/>
      <c r="I307" s="41"/>
      <c r="J307" s="41"/>
      <c r="K307" s="41"/>
      <c r="L307" s="41"/>
      <c r="M307" s="40">
        <v>75.41</v>
      </c>
      <c r="N307" s="40">
        <v>75.41</v>
      </c>
      <c r="O307" s="30"/>
      <c r="P307" s="12"/>
    </row>
    <row r="308" spans="1:16" hidden="1" outlineLevel="6">
      <c r="A308" s="3534" t="s">
        <v>1420</v>
      </c>
      <c r="B308" s="3534"/>
      <c r="C308" s="39"/>
      <c r="D308" s="39"/>
      <c r="E308" s="40">
        <v>246.17</v>
      </c>
      <c r="F308" s="41"/>
      <c r="G308" s="40">
        <v>246.17</v>
      </c>
      <c r="H308" s="41"/>
      <c r="I308" s="41"/>
      <c r="J308" s="41"/>
      <c r="K308" s="41"/>
      <c r="L308" s="41"/>
      <c r="M308" s="40">
        <v>246.17</v>
      </c>
      <c r="N308" s="40">
        <v>246.17</v>
      </c>
      <c r="O308" s="30"/>
      <c r="P308" s="12"/>
    </row>
    <row r="309" spans="1:16" hidden="1" outlineLevel="6">
      <c r="A309" s="3534" t="s">
        <v>1421</v>
      </c>
      <c r="B309" s="3534"/>
      <c r="C309" s="39"/>
      <c r="D309" s="39"/>
      <c r="E309" s="40">
        <v>25.36</v>
      </c>
      <c r="F309" s="41"/>
      <c r="G309" s="40">
        <v>25.36</v>
      </c>
      <c r="H309" s="41"/>
      <c r="I309" s="41"/>
      <c r="J309" s="41"/>
      <c r="K309" s="41"/>
      <c r="L309" s="41"/>
      <c r="M309" s="40">
        <v>25.36</v>
      </c>
      <c r="N309" s="40">
        <v>25.36</v>
      </c>
      <c r="O309" s="30"/>
      <c r="P309" s="12"/>
    </row>
    <row r="310" spans="1:16" hidden="1" outlineLevel="6">
      <c r="A310" s="3534" t="s">
        <v>1422</v>
      </c>
      <c r="B310" s="3534"/>
      <c r="C310" s="39"/>
      <c r="D310" s="39"/>
      <c r="E310" s="40">
        <v>30.13</v>
      </c>
      <c r="F310" s="41"/>
      <c r="G310" s="40">
        <v>30.13</v>
      </c>
      <c r="H310" s="41"/>
      <c r="I310" s="41"/>
      <c r="J310" s="41"/>
      <c r="K310" s="41"/>
      <c r="L310" s="41"/>
      <c r="M310" s="40">
        <v>30.13</v>
      </c>
      <c r="N310" s="40">
        <v>30.13</v>
      </c>
      <c r="O310" s="30"/>
      <c r="P310" s="12"/>
    </row>
    <row r="311" spans="1:16" hidden="1" outlineLevel="5" collapsed="1">
      <c r="A311" s="3542" t="s">
        <v>1496</v>
      </c>
      <c r="B311" s="3542"/>
      <c r="C311" s="35"/>
      <c r="D311" s="35"/>
      <c r="E311" s="43">
        <v>149.09</v>
      </c>
      <c r="F311" s="37"/>
      <c r="G311" s="43">
        <v>149.09</v>
      </c>
      <c r="H311" s="37"/>
      <c r="I311" s="37"/>
      <c r="J311" s="37"/>
      <c r="K311" s="37"/>
      <c r="L311" s="37"/>
      <c r="M311" s="43">
        <v>149.09</v>
      </c>
      <c r="N311" s="43">
        <v>149.09</v>
      </c>
      <c r="O311" s="29"/>
      <c r="P311" s="11"/>
    </row>
    <row r="312" spans="1:16" hidden="1" outlineLevel="6">
      <c r="A312" s="3534" t="s">
        <v>1423</v>
      </c>
      <c r="B312" s="3534"/>
      <c r="C312" s="39"/>
      <c r="D312" s="39"/>
      <c r="E312" s="40">
        <v>149.09</v>
      </c>
      <c r="F312" s="41"/>
      <c r="G312" s="40">
        <v>149.09</v>
      </c>
      <c r="H312" s="41"/>
      <c r="I312" s="41"/>
      <c r="J312" s="41"/>
      <c r="K312" s="41"/>
      <c r="L312" s="41"/>
      <c r="M312" s="40">
        <v>149.09</v>
      </c>
      <c r="N312" s="40">
        <v>149.09</v>
      </c>
      <c r="O312" s="30"/>
      <c r="P312" s="12"/>
    </row>
    <row r="313" spans="1:16" hidden="1" outlineLevel="5" collapsed="1">
      <c r="A313" s="3542" t="s">
        <v>1497</v>
      </c>
      <c r="B313" s="3542"/>
      <c r="C313" s="35"/>
      <c r="D313" s="35"/>
      <c r="E313" s="36">
        <v>2396.67</v>
      </c>
      <c r="F313" s="37"/>
      <c r="G313" s="43">
        <v>576.98</v>
      </c>
      <c r="H313" s="3537">
        <v>1819.69</v>
      </c>
      <c r="I313" s="3537"/>
      <c r="J313" s="37"/>
      <c r="K313" s="37"/>
      <c r="L313" s="37"/>
      <c r="M313" s="36">
        <v>2396.67</v>
      </c>
      <c r="N313" s="36">
        <v>2396.67</v>
      </c>
      <c r="O313" s="29"/>
      <c r="P313" s="11"/>
    </row>
    <row r="314" spans="1:16" hidden="1" outlineLevel="6">
      <c r="A314" s="3534" t="s">
        <v>1414</v>
      </c>
      <c r="B314" s="3534"/>
      <c r="C314" s="39"/>
      <c r="D314" s="39"/>
      <c r="E314" s="40">
        <v>540.04</v>
      </c>
      <c r="F314" s="41"/>
      <c r="G314" s="40">
        <v>347.82</v>
      </c>
      <c r="H314" s="3531">
        <v>192.22</v>
      </c>
      <c r="I314" s="3531"/>
      <c r="J314" s="41"/>
      <c r="K314" s="41"/>
      <c r="L314" s="41"/>
      <c r="M314" s="40">
        <v>540.04</v>
      </c>
      <c r="N314" s="40">
        <v>540.04</v>
      </c>
      <c r="O314" s="30"/>
      <c r="P314" s="12"/>
    </row>
    <row r="315" spans="1:16" hidden="1" outlineLevel="6">
      <c r="A315" s="3534" t="s">
        <v>1415</v>
      </c>
      <c r="B315" s="3534"/>
      <c r="C315" s="39"/>
      <c r="D315" s="39"/>
      <c r="E315" s="40">
        <v>36.49</v>
      </c>
      <c r="F315" s="41"/>
      <c r="G315" s="41"/>
      <c r="H315" s="3531">
        <v>36.49</v>
      </c>
      <c r="I315" s="3531"/>
      <c r="J315" s="41"/>
      <c r="K315" s="41"/>
      <c r="L315" s="41"/>
      <c r="M315" s="40">
        <v>36.49</v>
      </c>
      <c r="N315" s="40">
        <v>36.49</v>
      </c>
      <c r="O315" s="30"/>
      <c r="P315" s="12"/>
    </row>
    <row r="316" spans="1:16" hidden="1" outlineLevel="6">
      <c r="A316" s="3534" t="s">
        <v>1416</v>
      </c>
      <c r="B316" s="3534"/>
      <c r="C316" s="39"/>
      <c r="D316" s="39"/>
      <c r="E316" s="42">
        <v>1410.14</v>
      </c>
      <c r="F316" s="41"/>
      <c r="G316" s="40">
        <v>123.27</v>
      </c>
      <c r="H316" s="3536">
        <v>1286.8699999999999</v>
      </c>
      <c r="I316" s="3536"/>
      <c r="J316" s="41"/>
      <c r="K316" s="41"/>
      <c r="L316" s="41"/>
      <c r="M316" s="42">
        <v>1410.14</v>
      </c>
      <c r="N316" s="42">
        <v>1410.14</v>
      </c>
      <c r="O316" s="30"/>
      <c r="P316" s="12"/>
    </row>
    <row r="317" spans="1:16" hidden="1" outlineLevel="6">
      <c r="A317" s="3534" t="s">
        <v>1417</v>
      </c>
      <c r="B317" s="3534"/>
      <c r="C317" s="39"/>
      <c r="D317" s="39"/>
      <c r="E317" s="40">
        <v>143.28</v>
      </c>
      <c r="F317" s="41"/>
      <c r="G317" s="40">
        <v>87.09</v>
      </c>
      <c r="H317" s="3531">
        <v>56.19</v>
      </c>
      <c r="I317" s="3531"/>
      <c r="J317" s="41"/>
      <c r="K317" s="41"/>
      <c r="L317" s="41"/>
      <c r="M317" s="40">
        <v>143.28</v>
      </c>
      <c r="N317" s="40">
        <v>143.28</v>
      </c>
      <c r="O317" s="30"/>
      <c r="P317" s="12"/>
    </row>
    <row r="318" spans="1:16" hidden="1" outlineLevel="6">
      <c r="A318" s="3534" t="s">
        <v>1418</v>
      </c>
      <c r="B318" s="3534"/>
      <c r="C318" s="39"/>
      <c r="D318" s="39"/>
      <c r="E318" s="40">
        <v>266.72000000000003</v>
      </c>
      <c r="F318" s="41"/>
      <c r="G318" s="40">
        <v>18.8</v>
      </c>
      <c r="H318" s="3531">
        <v>247.92</v>
      </c>
      <c r="I318" s="3531"/>
      <c r="J318" s="41"/>
      <c r="K318" s="41"/>
      <c r="L318" s="41"/>
      <c r="M318" s="40">
        <v>266.72000000000003</v>
      </c>
      <c r="N318" s="40">
        <v>266.72000000000003</v>
      </c>
      <c r="O318" s="30"/>
      <c r="P318" s="12"/>
    </row>
    <row r="319" spans="1:16" hidden="1" outlineLevel="5" collapsed="1">
      <c r="A319" s="3542" t="s">
        <v>1498</v>
      </c>
      <c r="B319" s="3542"/>
      <c r="C319" s="35"/>
      <c r="D319" s="35"/>
      <c r="E319" s="43">
        <v>729.29</v>
      </c>
      <c r="F319" s="37"/>
      <c r="G319" s="43">
        <v>719.58</v>
      </c>
      <c r="H319" s="3533">
        <v>9.7100000000000009</v>
      </c>
      <c r="I319" s="3533"/>
      <c r="J319" s="37"/>
      <c r="K319" s="37"/>
      <c r="L319" s="37"/>
      <c r="M319" s="43">
        <v>729.29</v>
      </c>
      <c r="N319" s="43">
        <v>729.29</v>
      </c>
      <c r="O319" s="29"/>
      <c r="P319" s="11"/>
    </row>
    <row r="320" spans="1:16" hidden="1" outlineLevel="6">
      <c r="A320" s="3534" t="s">
        <v>1365</v>
      </c>
      <c r="B320" s="3534"/>
      <c r="C320" s="39"/>
      <c r="D320" s="39"/>
      <c r="E320" s="40">
        <v>562.72</v>
      </c>
      <c r="F320" s="41"/>
      <c r="G320" s="40">
        <v>561.57000000000005</v>
      </c>
      <c r="H320" s="3531">
        <v>1.1499999999999999</v>
      </c>
      <c r="I320" s="3531"/>
      <c r="J320" s="41"/>
      <c r="K320" s="41"/>
      <c r="L320" s="41"/>
      <c r="M320" s="40">
        <v>562.72</v>
      </c>
      <c r="N320" s="40">
        <v>562.72</v>
      </c>
      <c r="O320" s="30"/>
      <c r="P320" s="12"/>
    </row>
    <row r="321" spans="1:16" hidden="1" outlineLevel="6">
      <c r="A321" s="3534" t="s">
        <v>1366</v>
      </c>
      <c r="B321" s="3534"/>
      <c r="C321" s="39"/>
      <c r="D321" s="39"/>
      <c r="E321" s="40">
        <v>164.72</v>
      </c>
      <c r="F321" s="41"/>
      <c r="G321" s="40">
        <v>156.16</v>
      </c>
      <c r="H321" s="3531">
        <v>8.56</v>
      </c>
      <c r="I321" s="3531"/>
      <c r="J321" s="41"/>
      <c r="K321" s="41"/>
      <c r="L321" s="41"/>
      <c r="M321" s="40">
        <v>164.72</v>
      </c>
      <c r="N321" s="40">
        <v>164.72</v>
      </c>
      <c r="O321" s="30"/>
      <c r="P321" s="12"/>
    </row>
    <row r="322" spans="1:16" hidden="1" outlineLevel="6">
      <c r="A322" s="3534" t="s">
        <v>1367</v>
      </c>
      <c r="B322" s="3534"/>
      <c r="C322" s="39"/>
      <c r="D322" s="39"/>
      <c r="E322" s="40">
        <v>1.85</v>
      </c>
      <c r="F322" s="41"/>
      <c r="G322" s="40">
        <v>1.85</v>
      </c>
      <c r="H322" s="41"/>
      <c r="I322" s="41"/>
      <c r="J322" s="41"/>
      <c r="K322" s="41"/>
      <c r="L322" s="41"/>
      <c r="M322" s="40">
        <v>1.85</v>
      </c>
      <c r="N322" s="40">
        <v>1.85</v>
      </c>
      <c r="O322" s="30"/>
      <c r="P322" s="12"/>
    </row>
    <row r="323" spans="1:16" hidden="1" outlineLevel="5" collapsed="1">
      <c r="A323" s="3535" t="s">
        <v>1444</v>
      </c>
      <c r="B323" s="3535"/>
      <c r="C323" s="39"/>
      <c r="D323" s="39"/>
      <c r="E323" s="40">
        <v>84.54</v>
      </c>
      <c r="F323" s="41"/>
      <c r="G323" s="40">
        <v>84.54</v>
      </c>
      <c r="H323" s="41"/>
      <c r="I323" s="41"/>
      <c r="J323" s="41"/>
      <c r="K323" s="41"/>
      <c r="L323" s="41"/>
      <c r="M323" s="40">
        <v>84.54</v>
      </c>
      <c r="N323" s="40">
        <v>84.54</v>
      </c>
      <c r="O323" s="30"/>
      <c r="P323" s="12"/>
    </row>
    <row r="324" spans="1:16" hidden="1" outlineLevel="5">
      <c r="A324" s="3535" t="s">
        <v>1445</v>
      </c>
      <c r="B324" s="3535"/>
      <c r="C324" s="39"/>
      <c r="D324" s="39"/>
      <c r="E324" s="40">
        <v>73.959999999999994</v>
      </c>
      <c r="F324" s="41"/>
      <c r="G324" s="40">
        <v>73.959999999999994</v>
      </c>
      <c r="H324" s="41"/>
      <c r="I324" s="41"/>
      <c r="J324" s="41"/>
      <c r="K324" s="41"/>
      <c r="L324" s="41"/>
      <c r="M324" s="40">
        <v>73.959999999999994</v>
      </c>
      <c r="N324" s="40">
        <v>73.959999999999994</v>
      </c>
      <c r="O324" s="30"/>
      <c r="P324" s="12"/>
    </row>
    <row r="325" spans="1:16" hidden="1" outlineLevel="5">
      <c r="A325" s="3542" t="s">
        <v>1499</v>
      </c>
      <c r="B325" s="3542"/>
      <c r="C325" s="35"/>
      <c r="D325" s="35"/>
      <c r="E325" s="43">
        <v>962.4</v>
      </c>
      <c r="F325" s="37"/>
      <c r="G325" s="43">
        <v>692.97</v>
      </c>
      <c r="H325" s="3533">
        <v>269.43</v>
      </c>
      <c r="I325" s="3533"/>
      <c r="J325" s="37"/>
      <c r="K325" s="37"/>
      <c r="L325" s="37"/>
      <c r="M325" s="43">
        <v>962.4</v>
      </c>
      <c r="N325" s="43">
        <v>962.4</v>
      </c>
      <c r="O325" s="29"/>
      <c r="P325" s="11"/>
    </row>
    <row r="326" spans="1:16" hidden="1" outlineLevel="6">
      <c r="A326" s="3534" t="s">
        <v>1447</v>
      </c>
      <c r="B326" s="3534"/>
      <c r="C326" s="39"/>
      <c r="D326" s="39"/>
      <c r="E326" s="40">
        <v>540.83000000000004</v>
      </c>
      <c r="F326" s="41"/>
      <c r="G326" s="40">
        <v>540.83000000000004</v>
      </c>
      <c r="H326" s="41"/>
      <c r="I326" s="41"/>
      <c r="J326" s="41"/>
      <c r="K326" s="41"/>
      <c r="L326" s="41"/>
      <c r="M326" s="40">
        <v>540.83000000000004</v>
      </c>
      <c r="N326" s="40">
        <v>540.83000000000004</v>
      </c>
      <c r="O326" s="30"/>
      <c r="P326" s="12"/>
    </row>
    <row r="327" spans="1:16" hidden="1" outlineLevel="6">
      <c r="A327" s="3534" t="s">
        <v>1448</v>
      </c>
      <c r="B327" s="3534"/>
      <c r="C327" s="39"/>
      <c r="D327" s="39"/>
      <c r="E327" s="40">
        <v>124.71</v>
      </c>
      <c r="F327" s="41"/>
      <c r="G327" s="40">
        <v>84.23</v>
      </c>
      <c r="H327" s="3531">
        <v>40.479999999999997</v>
      </c>
      <c r="I327" s="3531"/>
      <c r="J327" s="41"/>
      <c r="K327" s="41"/>
      <c r="L327" s="41"/>
      <c r="M327" s="40">
        <v>124.71</v>
      </c>
      <c r="N327" s="40">
        <v>124.71</v>
      </c>
      <c r="O327" s="30"/>
      <c r="P327" s="12"/>
    </row>
    <row r="328" spans="1:16" hidden="1" outlineLevel="6">
      <c r="A328" s="3534" t="s">
        <v>1449</v>
      </c>
      <c r="B328" s="3534"/>
      <c r="C328" s="39"/>
      <c r="D328" s="39"/>
      <c r="E328" s="40">
        <v>9.8000000000000007</v>
      </c>
      <c r="F328" s="41"/>
      <c r="G328" s="40">
        <v>9.1</v>
      </c>
      <c r="H328" s="3531">
        <v>0.7</v>
      </c>
      <c r="I328" s="3531"/>
      <c r="J328" s="41"/>
      <c r="K328" s="41"/>
      <c r="L328" s="41"/>
      <c r="M328" s="40">
        <v>9.8000000000000007</v>
      </c>
      <c r="N328" s="40">
        <v>9.8000000000000007</v>
      </c>
      <c r="O328" s="30"/>
      <c r="P328" s="12"/>
    </row>
    <row r="329" spans="1:16" hidden="1" outlineLevel="6">
      <c r="A329" s="3534" t="s">
        <v>1450</v>
      </c>
      <c r="B329" s="3534"/>
      <c r="C329" s="39"/>
      <c r="D329" s="39"/>
      <c r="E329" s="40">
        <v>98.11</v>
      </c>
      <c r="F329" s="41"/>
      <c r="G329" s="40">
        <v>52.94</v>
      </c>
      <c r="H329" s="3531">
        <v>45.17</v>
      </c>
      <c r="I329" s="3531"/>
      <c r="J329" s="41"/>
      <c r="K329" s="41"/>
      <c r="L329" s="41"/>
      <c r="M329" s="40">
        <v>98.11</v>
      </c>
      <c r="N329" s="40">
        <v>98.11</v>
      </c>
      <c r="O329" s="30"/>
      <c r="P329" s="12"/>
    </row>
    <row r="330" spans="1:16" hidden="1" outlineLevel="6">
      <c r="A330" s="3534" t="s">
        <v>1451</v>
      </c>
      <c r="B330" s="3534"/>
      <c r="C330" s="39"/>
      <c r="D330" s="39"/>
      <c r="E330" s="40">
        <v>180.82</v>
      </c>
      <c r="F330" s="41"/>
      <c r="G330" s="41"/>
      <c r="H330" s="3531">
        <v>180.82</v>
      </c>
      <c r="I330" s="3531"/>
      <c r="J330" s="41"/>
      <c r="K330" s="41"/>
      <c r="L330" s="41"/>
      <c r="M330" s="40">
        <v>180.82</v>
      </c>
      <c r="N330" s="40">
        <v>180.82</v>
      </c>
      <c r="O330" s="30"/>
      <c r="P330" s="12"/>
    </row>
    <row r="331" spans="1:16" hidden="1" outlineLevel="6">
      <c r="A331" s="3534" t="s">
        <v>1452</v>
      </c>
      <c r="B331" s="3534"/>
      <c r="C331" s="39"/>
      <c r="D331" s="39"/>
      <c r="E331" s="40">
        <v>5.87</v>
      </c>
      <c r="F331" s="41"/>
      <c r="G331" s="40">
        <v>5.87</v>
      </c>
      <c r="H331" s="41"/>
      <c r="I331" s="41"/>
      <c r="J331" s="41"/>
      <c r="K331" s="41"/>
      <c r="L331" s="41"/>
      <c r="M331" s="40">
        <v>5.87</v>
      </c>
      <c r="N331" s="40">
        <v>5.87</v>
      </c>
      <c r="O331" s="30"/>
      <c r="P331" s="12"/>
    </row>
    <row r="332" spans="1:16" hidden="1" outlineLevel="6">
      <c r="A332" s="3534" t="s">
        <v>1453</v>
      </c>
      <c r="B332" s="3534"/>
      <c r="C332" s="39"/>
      <c r="D332" s="39"/>
      <c r="E332" s="40">
        <v>2.2599999999999998</v>
      </c>
      <c r="F332" s="41"/>
      <c r="G332" s="41"/>
      <c r="H332" s="3531">
        <v>2.2599999999999998</v>
      </c>
      <c r="I332" s="3531"/>
      <c r="J332" s="41"/>
      <c r="K332" s="41"/>
      <c r="L332" s="41"/>
      <c r="M332" s="40">
        <v>2.2599999999999998</v>
      </c>
      <c r="N332" s="40">
        <v>2.2599999999999998</v>
      </c>
      <c r="O332" s="30"/>
      <c r="P332" s="12"/>
    </row>
    <row r="333" spans="1:16" hidden="1" outlineLevel="5" collapsed="1">
      <c r="A333" s="3535" t="s">
        <v>1454</v>
      </c>
      <c r="B333" s="3535"/>
      <c r="C333" s="39"/>
      <c r="D333" s="39"/>
      <c r="E333" s="40">
        <v>90.52</v>
      </c>
      <c r="F333" s="41"/>
      <c r="G333" s="41"/>
      <c r="H333" s="3531">
        <v>90.52</v>
      </c>
      <c r="I333" s="3531"/>
      <c r="J333" s="41"/>
      <c r="K333" s="41"/>
      <c r="L333" s="41"/>
      <c r="M333" s="40">
        <v>90.52</v>
      </c>
      <c r="N333" s="40">
        <v>90.52</v>
      </c>
      <c r="O333" s="30"/>
      <c r="P333" s="12"/>
    </row>
    <row r="334" spans="1:16" hidden="1" outlineLevel="5">
      <c r="A334" s="3535" t="s">
        <v>1456</v>
      </c>
      <c r="B334" s="3535"/>
      <c r="C334" s="39"/>
      <c r="D334" s="39"/>
      <c r="E334" s="42">
        <v>1792.04</v>
      </c>
      <c r="F334" s="41"/>
      <c r="G334" s="42">
        <v>1506.62</v>
      </c>
      <c r="H334" s="3531">
        <v>285.42</v>
      </c>
      <c r="I334" s="3531"/>
      <c r="J334" s="41"/>
      <c r="K334" s="41"/>
      <c r="L334" s="41"/>
      <c r="M334" s="42">
        <v>1792.04</v>
      </c>
      <c r="N334" s="42">
        <v>1792.04</v>
      </c>
      <c r="O334" s="30"/>
      <c r="P334" s="12"/>
    </row>
    <row r="335" spans="1:16" outlineLevel="3" collapsed="1">
      <c r="A335" s="3541" t="s">
        <v>1500</v>
      </c>
      <c r="B335" s="3541"/>
      <c r="C335" s="35"/>
      <c r="D335" s="35"/>
      <c r="E335" s="36">
        <v>14495.61</v>
      </c>
      <c r="F335" s="37"/>
      <c r="G335" s="36">
        <v>9354.2000000000007</v>
      </c>
      <c r="H335" s="3537">
        <v>4828.87</v>
      </c>
      <c r="I335" s="3537"/>
      <c r="J335" s="43">
        <v>312.54000000000002</v>
      </c>
      <c r="K335" s="37"/>
      <c r="L335" s="37"/>
      <c r="M335" s="36">
        <v>14495.61</v>
      </c>
      <c r="N335" s="36">
        <v>14495.61</v>
      </c>
      <c r="O335" s="29"/>
      <c r="P335" s="11"/>
    </row>
    <row r="336" spans="1:16" hidden="1" outlineLevel="4">
      <c r="A336" s="3539" t="s">
        <v>1391</v>
      </c>
      <c r="B336" s="3539"/>
      <c r="C336" s="39"/>
      <c r="D336" s="39"/>
      <c r="E336" s="42">
        <v>1592.25</v>
      </c>
      <c r="F336" s="41"/>
      <c r="G336" s="42">
        <v>1078.07</v>
      </c>
      <c r="H336" s="3531">
        <v>461.74</v>
      </c>
      <c r="I336" s="3531"/>
      <c r="J336" s="40">
        <v>52.44</v>
      </c>
      <c r="K336" s="41"/>
      <c r="L336" s="41"/>
      <c r="M336" s="42">
        <v>1592.25</v>
      </c>
      <c r="N336" s="42">
        <v>1592.25</v>
      </c>
      <c r="O336" s="30"/>
      <c r="P336" s="12"/>
    </row>
    <row r="337" spans="1:16" hidden="1" outlineLevel="4">
      <c r="A337" s="3539" t="s">
        <v>1392</v>
      </c>
      <c r="B337" s="3539"/>
      <c r="C337" s="39"/>
      <c r="D337" s="39"/>
      <c r="E337" s="40">
        <v>530.46</v>
      </c>
      <c r="F337" s="41"/>
      <c r="G337" s="40">
        <v>261.27999999999997</v>
      </c>
      <c r="H337" s="3531">
        <v>269.18</v>
      </c>
      <c r="I337" s="3531"/>
      <c r="J337" s="41"/>
      <c r="K337" s="41"/>
      <c r="L337" s="41"/>
      <c r="M337" s="40">
        <v>530.46</v>
      </c>
      <c r="N337" s="40">
        <v>530.46</v>
      </c>
      <c r="O337" s="30"/>
      <c r="P337" s="12"/>
    </row>
    <row r="338" spans="1:16" hidden="1" outlineLevel="4">
      <c r="A338" s="3539" t="s">
        <v>1393</v>
      </c>
      <c r="B338" s="3539"/>
      <c r="C338" s="39"/>
      <c r="D338" s="39"/>
      <c r="E338" s="40">
        <v>181.99</v>
      </c>
      <c r="F338" s="41"/>
      <c r="G338" s="40">
        <v>85.51</v>
      </c>
      <c r="H338" s="3531">
        <v>96.48</v>
      </c>
      <c r="I338" s="3531"/>
      <c r="J338" s="41"/>
      <c r="K338" s="41"/>
      <c r="L338" s="41"/>
      <c r="M338" s="40">
        <v>181.99</v>
      </c>
      <c r="N338" s="40">
        <v>181.99</v>
      </c>
      <c r="O338" s="30"/>
      <c r="P338" s="12"/>
    </row>
    <row r="339" spans="1:16" hidden="1" outlineLevel="4">
      <c r="A339" s="3539" t="s">
        <v>1394</v>
      </c>
      <c r="B339" s="3539"/>
      <c r="C339" s="39"/>
      <c r="D339" s="39"/>
      <c r="E339" s="40">
        <v>142.87</v>
      </c>
      <c r="F339" s="41"/>
      <c r="G339" s="40">
        <v>113.28</v>
      </c>
      <c r="H339" s="3531">
        <v>29.59</v>
      </c>
      <c r="I339" s="3531"/>
      <c r="J339" s="41"/>
      <c r="K339" s="41"/>
      <c r="L339" s="41"/>
      <c r="M339" s="40">
        <v>142.87</v>
      </c>
      <c r="N339" s="40">
        <v>142.87</v>
      </c>
      <c r="O339" s="30"/>
      <c r="P339" s="12"/>
    </row>
    <row r="340" spans="1:16" hidden="1" outlineLevel="4">
      <c r="A340" s="3539" t="s">
        <v>1395</v>
      </c>
      <c r="B340" s="3539"/>
      <c r="C340" s="39"/>
      <c r="D340" s="39"/>
      <c r="E340" s="40">
        <v>114.3</v>
      </c>
      <c r="F340" s="41"/>
      <c r="G340" s="40">
        <v>80.849999999999994</v>
      </c>
      <c r="H340" s="3531">
        <v>33.450000000000003</v>
      </c>
      <c r="I340" s="3531"/>
      <c r="J340" s="41"/>
      <c r="K340" s="41"/>
      <c r="L340" s="41"/>
      <c r="M340" s="40">
        <v>114.3</v>
      </c>
      <c r="N340" s="40">
        <v>114.3</v>
      </c>
      <c r="O340" s="30"/>
      <c r="P340" s="12"/>
    </row>
    <row r="341" spans="1:16" hidden="1" outlineLevel="4">
      <c r="A341" s="3539" t="s">
        <v>1396</v>
      </c>
      <c r="B341" s="3539"/>
      <c r="C341" s="39"/>
      <c r="D341" s="39"/>
      <c r="E341" s="42">
        <v>6612.99</v>
      </c>
      <c r="F341" s="41"/>
      <c r="G341" s="42">
        <v>4620.34</v>
      </c>
      <c r="H341" s="3536">
        <v>1766.45</v>
      </c>
      <c r="I341" s="3536"/>
      <c r="J341" s="40">
        <v>226.2</v>
      </c>
      <c r="K341" s="41"/>
      <c r="L341" s="41"/>
      <c r="M341" s="42">
        <v>6612.99</v>
      </c>
      <c r="N341" s="42">
        <v>6612.99</v>
      </c>
      <c r="O341" s="30"/>
      <c r="P341" s="12"/>
    </row>
    <row r="342" spans="1:16" hidden="1" outlineLevel="4">
      <c r="A342" s="3539" t="s">
        <v>1397</v>
      </c>
      <c r="B342" s="3539"/>
      <c r="C342" s="39"/>
      <c r="D342" s="39"/>
      <c r="E342" s="42">
        <v>2010.95</v>
      </c>
      <c r="F342" s="41"/>
      <c r="G342" s="40">
        <v>930.87</v>
      </c>
      <c r="H342" s="3536">
        <v>1080.08</v>
      </c>
      <c r="I342" s="3536"/>
      <c r="J342" s="41"/>
      <c r="K342" s="41"/>
      <c r="L342" s="41"/>
      <c r="M342" s="42">
        <v>2010.95</v>
      </c>
      <c r="N342" s="42">
        <v>2010.95</v>
      </c>
      <c r="O342" s="30"/>
      <c r="P342" s="12"/>
    </row>
    <row r="343" spans="1:16" hidden="1" outlineLevel="4">
      <c r="A343" s="3539" t="s">
        <v>1398</v>
      </c>
      <c r="B343" s="3539"/>
      <c r="C343" s="39"/>
      <c r="D343" s="39"/>
      <c r="E343" s="40">
        <v>691.75</v>
      </c>
      <c r="F343" s="41"/>
      <c r="G343" s="40">
        <v>345.8</v>
      </c>
      <c r="H343" s="3531">
        <v>345.95</v>
      </c>
      <c r="I343" s="3531"/>
      <c r="J343" s="41"/>
      <c r="K343" s="41"/>
      <c r="L343" s="41"/>
      <c r="M343" s="40">
        <v>691.75</v>
      </c>
      <c r="N343" s="40">
        <v>691.75</v>
      </c>
      <c r="O343" s="30"/>
      <c r="P343" s="12"/>
    </row>
    <row r="344" spans="1:16" hidden="1" outlineLevel="4">
      <c r="A344" s="3539" t="s">
        <v>1399</v>
      </c>
      <c r="B344" s="3539"/>
      <c r="C344" s="39"/>
      <c r="D344" s="39"/>
      <c r="E344" s="40">
        <v>616.5</v>
      </c>
      <c r="F344" s="41"/>
      <c r="G344" s="40">
        <v>488.92</v>
      </c>
      <c r="H344" s="3531">
        <v>127.58</v>
      </c>
      <c r="I344" s="3531"/>
      <c r="J344" s="41"/>
      <c r="K344" s="41"/>
      <c r="L344" s="41"/>
      <c r="M344" s="40">
        <v>616.5</v>
      </c>
      <c r="N344" s="40">
        <v>616.5</v>
      </c>
      <c r="O344" s="30"/>
      <c r="P344" s="12"/>
    </row>
    <row r="345" spans="1:16" hidden="1" outlineLevel="4">
      <c r="A345" s="3539" t="s">
        <v>1400</v>
      </c>
      <c r="B345" s="3539"/>
      <c r="C345" s="39"/>
      <c r="D345" s="39"/>
      <c r="E345" s="40">
        <v>467.61</v>
      </c>
      <c r="F345" s="41"/>
      <c r="G345" s="40">
        <v>337.88</v>
      </c>
      <c r="H345" s="3531">
        <v>129.72999999999999</v>
      </c>
      <c r="I345" s="3531"/>
      <c r="J345" s="41"/>
      <c r="K345" s="41"/>
      <c r="L345" s="41"/>
      <c r="M345" s="40">
        <v>467.61</v>
      </c>
      <c r="N345" s="40">
        <v>467.61</v>
      </c>
      <c r="O345" s="30"/>
      <c r="P345" s="12"/>
    </row>
    <row r="346" spans="1:16" hidden="1" outlineLevel="4">
      <c r="A346" s="3539" t="s">
        <v>1401</v>
      </c>
      <c r="B346" s="3539"/>
      <c r="C346" s="39"/>
      <c r="D346" s="39"/>
      <c r="E346" s="40">
        <v>121.77</v>
      </c>
      <c r="F346" s="41"/>
      <c r="G346" s="40">
        <v>82.87</v>
      </c>
      <c r="H346" s="3531">
        <v>34.799999999999997</v>
      </c>
      <c r="I346" s="3531"/>
      <c r="J346" s="40">
        <v>4.0999999999999996</v>
      </c>
      <c r="K346" s="41"/>
      <c r="L346" s="41"/>
      <c r="M346" s="40">
        <v>121.77</v>
      </c>
      <c r="N346" s="40">
        <v>121.77</v>
      </c>
      <c r="O346" s="30"/>
      <c r="P346" s="12"/>
    </row>
    <row r="347" spans="1:16" hidden="1" outlineLevel="4">
      <c r="A347" s="3539" t="s">
        <v>1402</v>
      </c>
      <c r="B347" s="3539"/>
      <c r="C347" s="39"/>
      <c r="D347" s="39"/>
      <c r="E347" s="40">
        <v>41.63</v>
      </c>
      <c r="F347" s="41"/>
      <c r="G347" s="40">
        <v>20.5</v>
      </c>
      <c r="H347" s="3531">
        <v>21.13</v>
      </c>
      <c r="I347" s="3531"/>
      <c r="J347" s="41"/>
      <c r="K347" s="41"/>
      <c r="L347" s="41"/>
      <c r="M347" s="40">
        <v>41.63</v>
      </c>
      <c r="N347" s="40">
        <v>41.63</v>
      </c>
      <c r="O347" s="30"/>
      <c r="P347" s="12"/>
    </row>
    <row r="348" spans="1:16" hidden="1" outlineLevel="4">
      <c r="A348" s="3539" t="s">
        <v>1403</v>
      </c>
      <c r="B348" s="3539"/>
      <c r="C348" s="39"/>
      <c r="D348" s="39"/>
      <c r="E348" s="40">
        <v>15.36</v>
      </c>
      <c r="F348" s="41"/>
      <c r="G348" s="40">
        <v>7.09</v>
      </c>
      <c r="H348" s="3531">
        <v>8.27</v>
      </c>
      <c r="I348" s="3531"/>
      <c r="J348" s="41"/>
      <c r="K348" s="41"/>
      <c r="L348" s="41"/>
      <c r="M348" s="40">
        <v>15.36</v>
      </c>
      <c r="N348" s="40">
        <v>15.36</v>
      </c>
      <c r="O348" s="30"/>
      <c r="P348" s="12"/>
    </row>
    <row r="349" spans="1:16" hidden="1" outlineLevel="4">
      <c r="A349" s="3539" t="s">
        <v>1404</v>
      </c>
      <c r="B349" s="3539"/>
      <c r="C349" s="39"/>
      <c r="D349" s="39"/>
      <c r="E349" s="40">
        <v>11.18</v>
      </c>
      <c r="F349" s="41"/>
      <c r="G349" s="40">
        <v>8.9</v>
      </c>
      <c r="H349" s="3531">
        <v>2.2799999999999998</v>
      </c>
      <c r="I349" s="3531"/>
      <c r="J349" s="41"/>
      <c r="K349" s="41"/>
      <c r="L349" s="41"/>
      <c r="M349" s="40">
        <v>11.18</v>
      </c>
      <c r="N349" s="40">
        <v>11.18</v>
      </c>
      <c r="O349" s="30"/>
      <c r="P349" s="12"/>
    </row>
    <row r="350" spans="1:16" hidden="1" outlineLevel="4">
      <c r="A350" s="3539" t="s">
        <v>1405</v>
      </c>
      <c r="B350" s="3539"/>
      <c r="C350" s="39"/>
      <c r="D350" s="39"/>
      <c r="E350" s="40">
        <v>7.87</v>
      </c>
      <c r="F350" s="41"/>
      <c r="G350" s="40">
        <v>5.45</v>
      </c>
      <c r="H350" s="3531">
        <v>2.42</v>
      </c>
      <c r="I350" s="3531"/>
      <c r="J350" s="41"/>
      <c r="K350" s="41"/>
      <c r="L350" s="41"/>
      <c r="M350" s="40">
        <v>7.87</v>
      </c>
      <c r="N350" s="40">
        <v>7.87</v>
      </c>
      <c r="O350" s="30"/>
      <c r="P350" s="12"/>
    </row>
    <row r="351" spans="1:16" hidden="1" outlineLevel="4">
      <c r="A351" s="3539" t="s">
        <v>1406</v>
      </c>
      <c r="B351" s="3539"/>
      <c r="C351" s="39"/>
      <c r="D351" s="39"/>
      <c r="E351" s="40">
        <v>814.42</v>
      </c>
      <c r="F351" s="41"/>
      <c r="G351" s="40">
        <v>589.70000000000005</v>
      </c>
      <c r="H351" s="3531">
        <v>194.92</v>
      </c>
      <c r="I351" s="3531"/>
      <c r="J351" s="40">
        <v>29.8</v>
      </c>
      <c r="K351" s="41"/>
      <c r="L351" s="41"/>
      <c r="M351" s="40">
        <v>814.42</v>
      </c>
      <c r="N351" s="40">
        <v>814.42</v>
      </c>
      <c r="O351" s="30"/>
      <c r="P351" s="12"/>
    </row>
    <row r="352" spans="1:16" hidden="1" outlineLevel="4">
      <c r="A352" s="3539" t="s">
        <v>1407</v>
      </c>
      <c r="B352" s="3539"/>
      <c r="C352" s="39"/>
      <c r="D352" s="39"/>
      <c r="E352" s="40">
        <v>301.62</v>
      </c>
      <c r="F352" s="41"/>
      <c r="G352" s="40">
        <v>148.55000000000001</v>
      </c>
      <c r="H352" s="3531">
        <v>153.07</v>
      </c>
      <c r="I352" s="3531"/>
      <c r="J352" s="41"/>
      <c r="K352" s="41"/>
      <c r="L352" s="41"/>
      <c r="M352" s="40">
        <v>301.62</v>
      </c>
      <c r="N352" s="40">
        <v>301.62</v>
      </c>
      <c r="O352" s="30"/>
      <c r="P352" s="12"/>
    </row>
    <row r="353" spans="1:16" hidden="1" outlineLevel="4">
      <c r="A353" s="3539" t="s">
        <v>1408</v>
      </c>
      <c r="B353" s="3539"/>
      <c r="C353" s="39"/>
      <c r="D353" s="39"/>
      <c r="E353" s="40">
        <v>80.08</v>
      </c>
      <c r="F353" s="41"/>
      <c r="G353" s="40">
        <v>40.01</v>
      </c>
      <c r="H353" s="3531">
        <v>40.07</v>
      </c>
      <c r="I353" s="3531"/>
      <c r="J353" s="41"/>
      <c r="K353" s="41"/>
      <c r="L353" s="41"/>
      <c r="M353" s="40">
        <v>80.08</v>
      </c>
      <c r="N353" s="40">
        <v>80.08</v>
      </c>
      <c r="O353" s="30"/>
      <c r="P353" s="12"/>
    </row>
    <row r="354" spans="1:16" hidden="1" outlineLevel="4">
      <c r="A354" s="3539" t="s">
        <v>1409</v>
      </c>
      <c r="B354" s="3539"/>
      <c r="C354" s="39"/>
      <c r="D354" s="39"/>
      <c r="E354" s="40">
        <v>81.239999999999995</v>
      </c>
      <c r="F354" s="41"/>
      <c r="G354" s="40">
        <v>64.430000000000007</v>
      </c>
      <c r="H354" s="3531">
        <v>16.809999999999999</v>
      </c>
      <c r="I354" s="3531"/>
      <c r="J354" s="41"/>
      <c r="K354" s="41"/>
      <c r="L354" s="41"/>
      <c r="M354" s="40">
        <v>81.239999999999995</v>
      </c>
      <c r="N354" s="40">
        <v>81.239999999999995</v>
      </c>
      <c r="O354" s="30"/>
      <c r="P354" s="12"/>
    </row>
    <row r="355" spans="1:16" hidden="1" outlineLevel="4">
      <c r="A355" s="3539" t="s">
        <v>1410</v>
      </c>
      <c r="B355" s="3539"/>
      <c r="C355" s="39"/>
      <c r="D355" s="39"/>
      <c r="E355" s="40">
        <v>58.77</v>
      </c>
      <c r="F355" s="41"/>
      <c r="G355" s="40">
        <v>43.9</v>
      </c>
      <c r="H355" s="3531">
        <v>14.87</v>
      </c>
      <c r="I355" s="3531"/>
      <c r="J355" s="41"/>
      <c r="K355" s="41"/>
      <c r="L355" s="41"/>
      <c r="M355" s="40">
        <v>58.77</v>
      </c>
      <c r="N355" s="40">
        <v>58.77</v>
      </c>
      <c r="O355" s="30"/>
      <c r="P355" s="12"/>
    </row>
    <row r="356" spans="1:16" ht="12.75" customHeight="1" outlineLevel="2" collapsed="1">
      <c r="A356" s="3546" t="s">
        <v>738</v>
      </c>
      <c r="B356" s="3546"/>
      <c r="C356" s="44"/>
      <c r="D356" s="44"/>
      <c r="E356" s="33">
        <v>3805877.04</v>
      </c>
      <c r="F356" s="33"/>
      <c r="G356" s="33">
        <v>3800847.15</v>
      </c>
      <c r="H356" s="3538">
        <v>4784.71</v>
      </c>
      <c r="I356" s="3538"/>
      <c r="J356" s="33">
        <v>57.15</v>
      </c>
      <c r="K356" s="33">
        <v>188.03</v>
      </c>
      <c r="L356" s="34"/>
      <c r="M356" s="33">
        <v>3805877.04</v>
      </c>
      <c r="N356" s="33">
        <v>3805877.04</v>
      </c>
      <c r="O356" s="28"/>
      <c r="P356" s="10"/>
    </row>
    <row r="357" spans="1:16" outlineLevel="3">
      <c r="A357" s="3541" t="s">
        <v>1469</v>
      </c>
      <c r="B357" s="3541"/>
      <c r="C357" s="35"/>
      <c r="D357" s="35"/>
      <c r="E357" s="36">
        <v>15829.93</v>
      </c>
      <c r="F357" s="37"/>
      <c r="G357" s="36">
        <v>15769.49</v>
      </c>
      <c r="H357" s="3533">
        <v>60.44</v>
      </c>
      <c r="I357" s="3533"/>
      <c r="J357" s="37"/>
      <c r="K357" s="37"/>
      <c r="L357" s="37"/>
      <c r="M357" s="36">
        <v>15829.93</v>
      </c>
      <c r="N357" s="36">
        <v>15829.93</v>
      </c>
      <c r="O357" s="29"/>
      <c r="P357" s="11"/>
    </row>
    <row r="358" spans="1:16" hidden="1" outlineLevel="4">
      <c r="A358" s="3539" t="s">
        <v>1319</v>
      </c>
      <c r="B358" s="3539"/>
      <c r="C358" s="39"/>
      <c r="D358" s="39"/>
      <c r="E358" s="40">
        <v>5.83</v>
      </c>
      <c r="F358" s="41"/>
      <c r="G358" s="40">
        <v>5.83</v>
      </c>
      <c r="H358" s="41"/>
      <c r="I358" s="41"/>
      <c r="J358" s="41"/>
      <c r="K358" s="41"/>
      <c r="L358" s="41"/>
      <c r="M358" s="40">
        <v>5.83</v>
      </c>
      <c r="N358" s="40">
        <v>5.83</v>
      </c>
      <c r="O358" s="30"/>
      <c r="P358" s="12"/>
    </row>
    <row r="359" spans="1:16" hidden="1" outlineLevel="4">
      <c r="A359" s="3539" t="s">
        <v>1320</v>
      </c>
      <c r="B359" s="3539"/>
      <c r="C359" s="39"/>
      <c r="D359" s="39"/>
      <c r="E359" s="42">
        <v>15824.1</v>
      </c>
      <c r="F359" s="41"/>
      <c r="G359" s="42">
        <v>15763.66</v>
      </c>
      <c r="H359" s="3531">
        <v>60.44</v>
      </c>
      <c r="I359" s="3531"/>
      <c r="J359" s="41"/>
      <c r="K359" s="41"/>
      <c r="L359" s="41"/>
      <c r="M359" s="42">
        <v>15824.1</v>
      </c>
      <c r="N359" s="42">
        <v>15824.1</v>
      </c>
      <c r="O359" s="30"/>
      <c r="P359" s="12"/>
    </row>
    <row r="360" spans="1:16" outlineLevel="3" collapsed="1">
      <c r="A360" s="3541" t="s">
        <v>1470</v>
      </c>
      <c r="B360" s="3541"/>
      <c r="C360" s="35"/>
      <c r="D360" s="35"/>
      <c r="E360" s="36">
        <v>2885982.06</v>
      </c>
      <c r="F360" s="37"/>
      <c r="G360" s="36">
        <v>2882991.46</v>
      </c>
      <c r="H360" s="3537">
        <v>2802.57</v>
      </c>
      <c r="I360" s="3537"/>
      <c r="J360" s="37"/>
      <c r="K360" s="43">
        <v>188.03</v>
      </c>
      <c r="L360" s="37"/>
      <c r="M360" s="36">
        <v>2885982.06</v>
      </c>
      <c r="N360" s="36">
        <v>2885982.06</v>
      </c>
      <c r="O360" s="29"/>
      <c r="P360" s="11"/>
    </row>
    <row r="361" spans="1:16" hidden="1" outlineLevel="4">
      <c r="A361" s="3539" t="s">
        <v>1325</v>
      </c>
      <c r="B361" s="3539"/>
      <c r="C361" s="39"/>
      <c r="D361" s="39"/>
      <c r="E361" s="40">
        <v>0.86</v>
      </c>
      <c r="F361" s="41"/>
      <c r="G361" s="40">
        <v>0.86</v>
      </c>
      <c r="H361" s="41"/>
      <c r="I361" s="41"/>
      <c r="J361" s="41"/>
      <c r="K361" s="41"/>
      <c r="L361" s="41"/>
      <c r="M361" s="40">
        <v>0.86</v>
      </c>
      <c r="N361" s="40">
        <v>0.86</v>
      </c>
      <c r="O361" s="30"/>
      <c r="P361" s="12"/>
    </row>
    <row r="362" spans="1:16" hidden="1" outlineLevel="4">
      <c r="A362" s="3539" t="s">
        <v>1326</v>
      </c>
      <c r="B362" s="3539"/>
      <c r="C362" s="39"/>
      <c r="D362" s="39"/>
      <c r="E362" s="42">
        <v>2265.1999999999998</v>
      </c>
      <c r="F362" s="41"/>
      <c r="G362" s="42">
        <v>2264.63</v>
      </c>
      <c r="H362" s="3531">
        <v>0.56999999999999995</v>
      </c>
      <c r="I362" s="3531"/>
      <c r="J362" s="41"/>
      <c r="K362" s="41"/>
      <c r="L362" s="41"/>
      <c r="M362" s="42">
        <v>2265.1999999999998</v>
      </c>
      <c r="N362" s="42">
        <v>2265.1999999999998</v>
      </c>
      <c r="O362" s="30"/>
      <c r="P362" s="12"/>
    </row>
    <row r="363" spans="1:16" hidden="1" outlineLevel="4">
      <c r="A363" s="3539" t="s">
        <v>1331</v>
      </c>
      <c r="B363" s="3539"/>
      <c r="C363" s="39"/>
      <c r="D363" s="39"/>
      <c r="E363" s="42">
        <v>125085.27</v>
      </c>
      <c r="F363" s="41"/>
      <c r="G363" s="42">
        <v>124957.66</v>
      </c>
      <c r="H363" s="3531">
        <v>113.86</v>
      </c>
      <c r="I363" s="3531"/>
      <c r="J363" s="41"/>
      <c r="K363" s="40">
        <v>13.75</v>
      </c>
      <c r="L363" s="41"/>
      <c r="M363" s="42">
        <v>125085.27</v>
      </c>
      <c r="N363" s="42">
        <v>125085.27</v>
      </c>
      <c r="O363" s="30"/>
      <c r="P363" s="12"/>
    </row>
    <row r="364" spans="1:16" hidden="1" outlineLevel="4">
      <c r="A364" s="3539" t="s">
        <v>1332</v>
      </c>
      <c r="B364" s="3539"/>
      <c r="C364" s="39"/>
      <c r="D364" s="39"/>
      <c r="E364" s="42">
        <v>147135.59</v>
      </c>
      <c r="F364" s="41"/>
      <c r="G364" s="42">
        <v>146962.07</v>
      </c>
      <c r="H364" s="3531">
        <v>128.29</v>
      </c>
      <c r="I364" s="3531"/>
      <c r="J364" s="41"/>
      <c r="K364" s="40">
        <v>45.23</v>
      </c>
      <c r="L364" s="41"/>
      <c r="M364" s="42">
        <v>147135.59</v>
      </c>
      <c r="N364" s="42">
        <v>147135.59</v>
      </c>
      <c r="O364" s="30"/>
      <c r="P364" s="12"/>
    </row>
    <row r="365" spans="1:16" hidden="1" outlineLevel="4">
      <c r="A365" s="3539" t="s">
        <v>1338</v>
      </c>
      <c r="B365" s="3539"/>
      <c r="C365" s="39"/>
      <c r="D365" s="39"/>
      <c r="E365" s="40">
        <v>24.83</v>
      </c>
      <c r="F365" s="41"/>
      <c r="G365" s="40">
        <v>1.95</v>
      </c>
      <c r="H365" s="3531">
        <v>22.88</v>
      </c>
      <c r="I365" s="3531"/>
      <c r="J365" s="41"/>
      <c r="K365" s="41"/>
      <c r="L365" s="41"/>
      <c r="M365" s="40">
        <v>24.83</v>
      </c>
      <c r="N365" s="40">
        <v>24.83</v>
      </c>
      <c r="O365" s="30"/>
      <c r="P365" s="12"/>
    </row>
    <row r="366" spans="1:16" hidden="1" outlineLevel="4">
      <c r="A366" s="3539" t="s">
        <v>1362</v>
      </c>
      <c r="B366" s="3539"/>
      <c r="C366" s="39"/>
      <c r="D366" s="39"/>
      <c r="E366" s="42">
        <v>15678.35</v>
      </c>
      <c r="F366" s="41"/>
      <c r="G366" s="42">
        <v>15672.49</v>
      </c>
      <c r="H366" s="3531">
        <v>5.86</v>
      </c>
      <c r="I366" s="3531"/>
      <c r="J366" s="41"/>
      <c r="K366" s="41"/>
      <c r="L366" s="41"/>
      <c r="M366" s="42">
        <v>15678.35</v>
      </c>
      <c r="N366" s="42">
        <v>15678.35</v>
      </c>
      <c r="O366" s="30"/>
      <c r="P366" s="12"/>
    </row>
    <row r="367" spans="1:16" hidden="1" outlineLevel="4">
      <c r="A367" s="3539" t="s">
        <v>1363</v>
      </c>
      <c r="B367" s="3539"/>
      <c r="C367" s="39"/>
      <c r="D367" s="39"/>
      <c r="E367" s="40">
        <v>15.7</v>
      </c>
      <c r="F367" s="41"/>
      <c r="G367" s="40">
        <v>15.11</v>
      </c>
      <c r="H367" s="3531">
        <v>0.59</v>
      </c>
      <c r="I367" s="3531"/>
      <c r="J367" s="41"/>
      <c r="K367" s="41"/>
      <c r="L367" s="41"/>
      <c r="M367" s="40">
        <v>15.7</v>
      </c>
      <c r="N367" s="40">
        <v>15.7</v>
      </c>
      <c r="O367" s="30"/>
      <c r="P367" s="12"/>
    </row>
    <row r="368" spans="1:16" hidden="1" outlineLevel="4">
      <c r="A368" s="3539" t="s">
        <v>1364</v>
      </c>
      <c r="B368" s="3539"/>
      <c r="C368" s="39"/>
      <c r="D368" s="39"/>
      <c r="E368" s="42">
        <v>1477077.4</v>
      </c>
      <c r="F368" s="41"/>
      <c r="G368" s="42">
        <v>1475610</v>
      </c>
      <c r="H368" s="3536">
        <v>1375.74</v>
      </c>
      <c r="I368" s="3536"/>
      <c r="J368" s="41"/>
      <c r="K368" s="40">
        <v>91.66</v>
      </c>
      <c r="L368" s="41"/>
      <c r="M368" s="42">
        <v>1477077.4</v>
      </c>
      <c r="N368" s="42">
        <v>1477077.4</v>
      </c>
      <c r="O368" s="30"/>
      <c r="P368" s="12"/>
    </row>
    <row r="369" spans="1:16" hidden="1" outlineLevel="4">
      <c r="A369" s="3539" t="s">
        <v>1381</v>
      </c>
      <c r="B369" s="3539"/>
      <c r="C369" s="39"/>
      <c r="D369" s="39"/>
      <c r="E369" s="42">
        <v>192201.42</v>
      </c>
      <c r="F369" s="41"/>
      <c r="G369" s="42">
        <v>191946.71</v>
      </c>
      <c r="H369" s="3531">
        <v>254.71</v>
      </c>
      <c r="I369" s="3531"/>
      <c r="J369" s="41"/>
      <c r="K369" s="41"/>
      <c r="L369" s="41"/>
      <c r="M369" s="42">
        <v>192201.42</v>
      </c>
      <c r="N369" s="42">
        <v>192201.42</v>
      </c>
      <c r="O369" s="30"/>
      <c r="P369" s="12"/>
    </row>
    <row r="370" spans="1:16" hidden="1" outlineLevel="4">
      <c r="A370" s="3539" t="s">
        <v>1382</v>
      </c>
      <c r="B370" s="3539"/>
      <c r="C370" s="39"/>
      <c r="D370" s="39"/>
      <c r="E370" s="42">
        <v>82576.84</v>
      </c>
      <c r="F370" s="41"/>
      <c r="G370" s="42">
        <v>82242.66</v>
      </c>
      <c r="H370" s="3531">
        <v>334.18</v>
      </c>
      <c r="I370" s="3531"/>
      <c r="J370" s="41"/>
      <c r="K370" s="41"/>
      <c r="L370" s="41"/>
      <c r="M370" s="42">
        <v>82576.84</v>
      </c>
      <c r="N370" s="42">
        <v>82576.84</v>
      </c>
      <c r="O370" s="30"/>
      <c r="P370" s="12"/>
    </row>
    <row r="371" spans="1:16" hidden="1" outlineLevel="4">
      <c r="A371" s="3539" t="s">
        <v>1383</v>
      </c>
      <c r="B371" s="3539"/>
      <c r="C371" s="39"/>
      <c r="D371" s="39"/>
      <c r="E371" s="42">
        <v>76834.31</v>
      </c>
      <c r="F371" s="41"/>
      <c r="G371" s="42">
        <v>76806.3</v>
      </c>
      <c r="H371" s="3531">
        <v>28.01</v>
      </c>
      <c r="I371" s="3531"/>
      <c r="J371" s="41"/>
      <c r="K371" s="41"/>
      <c r="L371" s="41"/>
      <c r="M371" s="42">
        <v>76834.31</v>
      </c>
      <c r="N371" s="42">
        <v>76834.31</v>
      </c>
      <c r="O371" s="30"/>
      <c r="P371" s="12"/>
    </row>
    <row r="372" spans="1:16" hidden="1" outlineLevel="4">
      <c r="A372" s="3539" t="s">
        <v>1384</v>
      </c>
      <c r="B372" s="3539"/>
      <c r="C372" s="39"/>
      <c r="D372" s="39"/>
      <c r="E372" s="42">
        <v>196661.09</v>
      </c>
      <c r="F372" s="41"/>
      <c r="G372" s="42">
        <v>196467.17</v>
      </c>
      <c r="H372" s="3531">
        <v>193.92</v>
      </c>
      <c r="I372" s="3531"/>
      <c r="J372" s="41"/>
      <c r="K372" s="41"/>
      <c r="L372" s="41"/>
      <c r="M372" s="42">
        <v>196661.09</v>
      </c>
      <c r="N372" s="42">
        <v>196661.09</v>
      </c>
      <c r="O372" s="30"/>
      <c r="P372" s="12"/>
    </row>
    <row r="373" spans="1:16" hidden="1" outlineLevel="4">
      <c r="A373" s="3539" t="s">
        <v>1385</v>
      </c>
      <c r="B373" s="3539"/>
      <c r="C373" s="39"/>
      <c r="D373" s="39"/>
      <c r="E373" s="40">
        <v>53.34</v>
      </c>
      <c r="F373" s="41"/>
      <c r="G373" s="40">
        <v>4.76</v>
      </c>
      <c r="H373" s="3531">
        <v>48.58</v>
      </c>
      <c r="I373" s="3531"/>
      <c r="J373" s="41"/>
      <c r="K373" s="41"/>
      <c r="L373" s="41"/>
      <c r="M373" s="40">
        <v>53.34</v>
      </c>
      <c r="N373" s="40">
        <v>53.34</v>
      </c>
      <c r="O373" s="30"/>
      <c r="P373" s="12"/>
    </row>
    <row r="374" spans="1:16" hidden="1" outlineLevel="4">
      <c r="A374" s="3539" t="s">
        <v>1386</v>
      </c>
      <c r="B374" s="3539"/>
      <c r="C374" s="39"/>
      <c r="D374" s="39"/>
      <c r="E374" s="42">
        <v>570371.86</v>
      </c>
      <c r="F374" s="41"/>
      <c r="G374" s="42">
        <v>570039.09</v>
      </c>
      <c r="H374" s="3531">
        <v>295.38</v>
      </c>
      <c r="I374" s="3531"/>
      <c r="J374" s="41"/>
      <c r="K374" s="40">
        <v>37.39</v>
      </c>
      <c r="L374" s="41"/>
      <c r="M374" s="42">
        <v>570371.86</v>
      </c>
      <c r="N374" s="42">
        <v>570371.86</v>
      </c>
      <c r="O374" s="30"/>
      <c r="P374" s="12"/>
    </row>
    <row r="375" spans="1:16" outlineLevel="3" collapsed="1">
      <c r="A375" s="3541" t="s">
        <v>1471</v>
      </c>
      <c r="B375" s="3541"/>
      <c r="C375" s="35"/>
      <c r="D375" s="35"/>
      <c r="E375" s="36">
        <v>12877.67</v>
      </c>
      <c r="F375" s="37"/>
      <c r="G375" s="36">
        <v>12541.94</v>
      </c>
      <c r="H375" s="3533">
        <v>335.73</v>
      </c>
      <c r="I375" s="3533"/>
      <c r="J375" s="37"/>
      <c r="K375" s="37"/>
      <c r="L375" s="37"/>
      <c r="M375" s="36">
        <v>12877.67</v>
      </c>
      <c r="N375" s="36">
        <v>12877.67</v>
      </c>
      <c r="O375" s="29"/>
      <c r="P375" s="11"/>
    </row>
    <row r="376" spans="1:16" hidden="1" outlineLevel="4">
      <c r="A376" s="3543" t="s">
        <v>1472</v>
      </c>
      <c r="B376" s="3543"/>
      <c r="C376" s="35"/>
      <c r="D376" s="35"/>
      <c r="E376" s="43">
        <v>371.15</v>
      </c>
      <c r="F376" s="37"/>
      <c r="G376" s="43">
        <v>371.15</v>
      </c>
      <c r="H376" s="37"/>
      <c r="I376" s="37"/>
      <c r="J376" s="37"/>
      <c r="K376" s="37"/>
      <c r="L376" s="37"/>
      <c r="M376" s="43">
        <v>371.15</v>
      </c>
      <c r="N376" s="43">
        <v>371.15</v>
      </c>
      <c r="O376" s="29"/>
      <c r="P376" s="11"/>
    </row>
    <row r="377" spans="1:16" hidden="1" outlineLevel="5">
      <c r="A377" s="3535" t="s">
        <v>1411</v>
      </c>
      <c r="B377" s="3535"/>
      <c r="C377" s="39"/>
      <c r="D377" s="39"/>
      <c r="E377" s="40">
        <v>10.62</v>
      </c>
      <c r="F377" s="41"/>
      <c r="G377" s="40">
        <v>10.62</v>
      </c>
      <c r="H377" s="41"/>
      <c r="I377" s="41"/>
      <c r="J377" s="41"/>
      <c r="K377" s="41"/>
      <c r="L377" s="41"/>
      <c r="M377" s="40">
        <v>10.62</v>
      </c>
      <c r="N377" s="40">
        <v>10.62</v>
      </c>
      <c r="O377" s="30"/>
      <c r="P377" s="12"/>
    </row>
    <row r="378" spans="1:16" hidden="1" outlineLevel="5">
      <c r="A378" s="3535" t="s">
        <v>1459</v>
      </c>
      <c r="B378" s="3535"/>
      <c r="C378" s="39"/>
      <c r="D378" s="39"/>
      <c r="E378" s="40">
        <v>360.53</v>
      </c>
      <c r="F378" s="41"/>
      <c r="G378" s="40">
        <v>360.53</v>
      </c>
      <c r="H378" s="41"/>
      <c r="I378" s="41"/>
      <c r="J378" s="41"/>
      <c r="K378" s="41"/>
      <c r="L378" s="41"/>
      <c r="M378" s="40">
        <v>360.53</v>
      </c>
      <c r="N378" s="40">
        <v>360.53</v>
      </c>
      <c r="O378" s="30"/>
      <c r="P378" s="12"/>
    </row>
    <row r="379" spans="1:16" hidden="1" outlineLevel="4">
      <c r="A379" s="3543" t="s">
        <v>1473</v>
      </c>
      <c r="B379" s="3543"/>
      <c r="C379" s="35"/>
      <c r="D379" s="35"/>
      <c r="E379" s="43">
        <v>331.09</v>
      </c>
      <c r="F379" s="37"/>
      <c r="G379" s="43">
        <v>232.09</v>
      </c>
      <c r="H379" s="3533">
        <v>99</v>
      </c>
      <c r="I379" s="3533"/>
      <c r="J379" s="37"/>
      <c r="K379" s="37"/>
      <c r="L379" s="37"/>
      <c r="M379" s="43">
        <v>331.09</v>
      </c>
      <c r="N379" s="43">
        <v>331.09</v>
      </c>
      <c r="O379" s="29"/>
      <c r="P379" s="11"/>
    </row>
    <row r="380" spans="1:16" hidden="1" outlineLevel="5">
      <c r="A380" s="3542" t="s">
        <v>1474</v>
      </c>
      <c r="B380" s="3542"/>
      <c r="C380" s="35"/>
      <c r="D380" s="35"/>
      <c r="E380" s="43">
        <v>94.37</v>
      </c>
      <c r="F380" s="37"/>
      <c r="G380" s="43">
        <v>25.89</v>
      </c>
      <c r="H380" s="3533">
        <v>68.48</v>
      </c>
      <c r="I380" s="3533"/>
      <c r="J380" s="37"/>
      <c r="K380" s="37"/>
      <c r="L380" s="37"/>
      <c r="M380" s="43">
        <v>94.37</v>
      </c>
      <c r="N380" s="43">
        <v>94.37</v>
      </c>
      <c r="O380" s="29"/>
      <c r="P380" s="11"/>
    </row>
    <row r="381" spans="1:16" hidden="1" outlineLevel="6">
      <c r="A381" s="3534" t="s">
        <v>1426</v>
      </c>
      <c r="B381" s="3534"/>
      <c r="C381" s="39"/>
      <c r="D381" s="39"/>
      <c r="E381" s="40">
        <v>22.4</v>
      </c>
      <c r="F381" s="41"/>
      <c r="G381" s="40">
        <v>20.62</v>
      </c>
      <c r="H381" s="3531">
        <v>1.78</v>
      </c>
      <c r="I381" s="3531"/>
      <c r="J381" s="41"/>
      <c r="K381" s="41"/>
      <c r="L381" s="41"/>
      <c r="M381" s="40">
        <v>22.4</v>
      </c>
      <c r="N381" s="40">
        <v>22.4</v>
      </c>
      <c r="O381" s="30"/>
      <c r="P381" s="12"/>
    </row>
    <row r="382" spans="1:16" hidden="1" outlineLevel="6">
      <c r="A382" s="3534" t="s">
        <v>1433</v>
      </c>
      <c r="B382" s="3534"/>
      <c r="C382" s="39"/>
      <c r="D382" s="39"/>
      <c r="E382" s="40">
        <v>66.7</v>
      </c>
      <c r="F382" s="41"/>
      <c r="G382" s="41"/>
      <c r="H382" s="3531">
        <v>66.7</v>
      </c>
      <c r="I382" s="3531"/>
      <c r="J382" s="41"/>
      <c r="K382" s="41"/>
      <c r="L382" s="41"/>
      <c r="M382" s="40">
        <v>66.7</v>
      </c>
      <c r="N382" s="40">
        <v>66.7</v>
      </c>
      <c r="O382" s="30"/>
      <c r="P382" s="12"/>
    </row>
    <row r="383" spans="1:16" hidden="1" outlineLevel="6">
      <c r="A383" s="3534" t="s">
        <v>1436</v>
      </c>
      <c r="B383" s="3534"/>
      <c r="C383" s="39"/>
      <c r="D383" s="39"/>
      <c r="E383" s="40">
        <v>5.27</v>
      </c>
      <c r="F383" s="41"/>
      <c r="G383" s="40">
        <v>5.27</v>
      </c>
      <c r="H383" s="41"/>
      <c r="I383" s="41"/>
      <c r="J383" s="41"/>
      <c r="K383" s="41"/>
      <c r="L383" s="41"/>
      <c r="M383" s="40">
        <v>5.27</v>
      </c>
      <c r="N383" s="40">
        <v>5.27</v>
      </c>
      <c r="O383" s="30"/>
      <c r="P383" s="12"/>
    </row>
    <row r="384" spans="1:16" hidden="1" outlineLevel="5" collapsed="1">
      <c r="A384" s="3535" t="s">
        <v>1427</v>
      </c>
      <c r="B384" s="3535"/>
      <c r="C384" s="39"/>
      <c r="D384" s="39"/>
      <c r="E384" s="40">
        <v>24.35</v>
      </c>
      <c r="F384" s="41"/>
      <c r="G384" s="40">
        <v>24.35</v>
      </c>
      <c r="H384" s="41"/>
      <c r="I384" s="41"/>
      <c r="J384" s="41"/>
      <c r="K384" s="41"/>
      <c r="L384" s="41"/>
      <c r="M384" s="40">
        <v>24.35</v>
      </c>
      <c r="N384" s="40">
        <v>24.35</v>
      </c>
      <c r="O384" s="30"/>
      <c r="P384" s="12"/>
    </row>
    <row r="385" spans="1:16" hidden="1" outlineLevel="5">
      <c r="A385" s="3542" t="s">
        <v>1475</v>
      </c>
      <c r="B385" s="3542"/>
      <c r="C385" s="35"/>
      <c r="D385" s="35"/>
      <c r="E385" s="43">
        <v>212.37</v>
      </c>
      <c r="F385" s="37"/>
      <c r="G385" s="43">
        <v>181.85</v>
      </c>
      <c r="H385" s="3533">
        <v>30.52</v>
      </c>
      <c r="I385" s="3533"/>
      <c r="J385" s="37"/>
      <c r="K385" s="37"/>
      <c r="L385" s="37"/>
      <c r="M385" s="43">
        <v>212.37</v>
      </c>
      <c r="N385" s="43">
        <v>212.37</v>
      </c>
      <c r="O385" s="29"/>
      <c r="P385" s="11"/>
    </row>
    <row r="386" spans="1:16" hidden="1" outlineLevel="6">
      <c r="A386" s="3545" t="s">
        <v>1476</v>
      </c>
      <c r="B386" s="3545"/>
      <c r="C386" s="35"/>
      <c r="D386" s="35"/>
      <c r="E386" s="43">
        <v>157.63999999999999</v>
      </c>
      <c r="F386" s="37"/>
      <c r="G386" s="43">
        <v>133.03</v>
      </c>
      <c r="H386" s="3533">
        <v>24.61</v>
      </c>
      <c r="I386" s="3533"/>
      <c r="J386" s="37"/>
      <c r="K386" s="37"/>
      <c r="L386" s="37"/>
      <c r="M386" s="43">
        <v>157.63999999999999</v>
      </c>
      <c r="N386" s="43">
        <v>157.63999999999999</v>
      </c>
      <c r="O386" s="29"/>
      <c r="P386" s="11"/>
    </row>
    <row r="387" spans="1:16" hidden="1" outlineLevel="7">
      <c r="A387" s="3544" t="s">
        <v>1437</v>
      </c>
      <c r="B387" s="3544"/>
      <c r="C387" s="39"/>
      <c r="D387" s="39"/>
      <c r="E387" s="40">
        <v>115.68</v>
      </c>
      <c r="F387" s="41"/>
      <c r="G387" s="40">
        <v>94.32</v>
      </c>
      <c r="H387" s="3531">
        <v>21.36</v>
      </c>
      <c r="I387" s="3531"/>
      <c r="J387" s="41"/>
      <c r="K387" s="41"/>
      <c r="L387" s="41"/>
      <c r="M387" s="40">
        <v>115.68</v>
      </c>
      <c r="N387" s="40">
        <v>115.68</v>
      </c>
      <c r="O387" s="30"/>
      <c r="P387" s="12"/>
    </row>
    <row r="388" spans="1:16" hidden="1" outlineLevel="7">
      <c r="A388" s="3544" t="s">
        <v>1438</v>
      </c>
      <c r="B388" s="3544"/>
      <c r="C388" s="39"/>
      <c r="D388" s="39"/>
      <c r="E388" s="40">
        <v>41.96</v>
      </c>
      <c r="F388" s="41"/>
      <c r="G388" s="40">
        <v>38.71</v>
      </c>
      <c r="H388" s="3531">
        <v>3.25</v>
      </c>
      <c r="I388" s="3531"/>
      <c r="J388" s="41"/>
      <c r="K388" s="41"/>
      <c r="L388" s="41"/>
      <c r="M388" s="40">
        <v>41.96</v>
      </c>
      <c r="N388" s="40">
        <v>41.96</v>
      </c>
      <c r="O388" s="30"/>
      <c r="P388" s="12"/>
    </row>
    <row r="389" spans="1:16" hidden="1" outlineLevel="6">
      <c r="A389" s="3545" t="s">
        <v>1477</v>
      </c>
      <c r="B389" s="3545"/>
      <c r="C389" s="35"/>
      <c r="D389" s="35"/>
      <c r="E389" s="43">
        <v>54.73</v>
      </c>
      <c r="F389" s="37"/>
      <c r="G389" s="43">
        <v>48.82</v>
      </c>
      <c r="H389" s="3533">
        <v>5.91</v>
      </c>
      <c r="I389" s="3533"/>
      <c r="J389" s="37"/>
      <c r="K389" s="37"/>
      <c r="L389" s="37"/>
      <c r="M389" s="43">
        <v>54.73</v>
      </c>
      <c r="N389" s="43">
        <v>54.73</v>
      </c>
      <c r="O389" s="29"/>
      <c r="P389" s="11"/>
    </row>
    <row r="390" spans="1:16" hidden="1" outlineLevel="7">
      <c r="A390" s="3544" t="s">
        <v>1439</v>
      </c>
      <c r="B390" s="3544"/>
      <c r="C390" s="39"/>
      <c r="D390" s="39"/>
      <c r="E390" s="40">
        <v>17.41</v>
      </c>
      <c r="F390" s="41"/>
      <c r="G390" s="40">
        <v>17.41</v>
      </c>
      <c r="H390" s="41"/>
      <c r="I390" s="41"/>
      <c r="J390" s="41"/>
      <c r="K390" s="41"/>
      <c r="L390" s="41"/>
      <c r="M390" s="40">
        <v>17.41</v>
      </c>
      <c r="N390" s="40">
        <v>17.41</v>
      </c>
      <c r="O390" s="30"/>
      <c r="P390" s="12"/>
    </row>
    <row r="391" spans="1:16" hidden="1" outlineLevel="7">
      <c r="A391" s="3544" t="s">
        <v>1440</v>
      </c>
      <c r="B391" s="3544"/>
      <c r="C391" s="39"/>
      <c r="D391" s="39"/>
      <c r="E391" s="40">
        <v>0.75</v>
      </c>
      <c r="F391" s="41"/>
      <c r="G391" s="40">
        <v>0.59</v>
      </c>
      <c r="H391" s="3531">
        <v>0.16</v>
      </c>
      <c r="I391" s="3531"/>
      <c r="J391" s="41"/>
      <c r="K391" s="41"/>
      <c r="L391" s="41"/>
      <c r="M391" s="40">
        <v>0.75</v>
      </c>
      <c r="N391" s="40">
        <v>0.75</v>
      </c>
      <c r="O391" s="30"/>
      <c r="P391" s="12"/>
    </row>
    <row r="392" spans="1:16" hidden="1" outlineLevel="7">
      <c r="A392" s="3544" t="s">
        <v>1442</v>
      </c>
      <c r="B392" s="3544"/>
      <c r="C392" s="39"/>
      <c r="D392" s="39"/>
      <c r="E392" s="40">
        <v>31.75</v>
      </c>
      <c r="F392" s="41"/>
      <c r="G392" s="40">
        <v>26.23</v>
      </c>
      <c r="H392" s="3531">
        <v>5.52</v>
      </c>
      <c r="I392" s="3531"/>
      <c r="J392" s="41"/>
      <c r="K392" s="41"/>
      <c r="L392" s="41"/>
      <c r="M392" s="40">
        <v>31.75</v>
      </c>
      <c r="N392" s="40">
        <v>31.75</v>
      </c>
      <c r="O392" s="30"/>
      <c r="P392" s="12"/>
    </row>
    <row r="393" spans="1:16" hidden="1" outlineLevel="7">
      <c r="A393" s="3544" t="s">
        <v>1443</v>
      </c>
      <c r="B393" s="3544"/>
      <c r="C393" s="39"/>
      <c r="D393" s="39"/>
      <c r="E393" s="40">
        <v>4.82</v>
      </c>
      <c r="F393" s="41"/>
      <c r="G393" s="40">
        <v>4.59</v>
      </c>
      <c r="H393" s="3531">
        <v>0.23</v>
      </c>
      <c r="I393" s="3531"/>
      <c r="J393" s="41"/>
      <c r="K393" s="41"/>
      <c r="L393" s="41"/>
      <c r="M393" s="40">
        <v>4.82</v>
      </c>
      <c r="N393" s="40">
        <v>4.82</v>
      </c>
      <c r="O393" s="30"/>
      <c r="P393" s="12"/>
    </row>
    <row r="394" spans="1:16" hidden="1" outlineLevel="4">
      <c r="A394" s="3543" t="s">
        <v>1478</v>
      </c>
      <c r="B394" s="3543"/>
      <c r="C394" s="35"/>
      <c r="D394" s="35"/>
      <c r="E394" s="36">
        <v>12175.43</v>
      </c>
      <c r="F394" s="37"/>
      <c r="G394" s="36">
        <v>11938.7</v>
      </c>
      <c r="H394" s="3533">
        <v>236.73</v>
      </c>
      <c r="I394" s="3533"/>
      <c r="J394" s="37"/>
      <c r="K394" s="37"/>
      <c r="L394" s="37"/>
      <c r="M394" s="36">
        <v>12175.43</v>
      </c>
      <c r="N394" s="36">
        <v>12175.43</v>
      </c>
      <c r="O394" s="29"/>
      <c r="P394" s="11"/>
    </row>
    <row r="395" spans="1:16" hidden="1" outlineLevel="5">
      <c r="A395" s="3542" t="s">
        <v>1479</v>
      </c>
      <c r="B395" s="3542"/>
      <c r="C395" s="35"/>
      <c r="D395" s="35"/>
      <c r="E395" s="36">
        <v>2859.53</v>
      </c>
      <c r="F395" s="37"/>
      <c r="G395" s="36">
        <v>2754.22</v>
      </c>
      <c r="H395" s="3533">
        <v>105.31</v>
      </c>
      <c r="I395" s="3533"/>
      <c r="J395" s="37"/>
      <c r="K395" s="37"/>
      <c r="L395" s="37"/>
      <c r="M395" s="36">
        <v>2859.53</v>
      </c>
      <c r="N395" s="36">
        <v>2859.53</v>
      </c>
      <c r="O395" s="29"/>
      <c r="P395" s="11"/>
    </row>
    <row r="396" spans="1:16" hidden="1" outlineLevel="6">
      <c r="A396" s="3534" t="s">
        <v>1327</v>
      </c>
      <c r="B396" s="3534"/>
      <c r="C396" s="39"/>
      <c r="D396" s="39"/>
      <c r="E396" s="40">
        <v>866.99</v>
      </c>
      <c r="F396" s="41"/>
      <c r="G396" s="40">
        <v>834.87</v>
      </c>
      <c r="H396" s="3531">
        <v>32.119999999999997</v>
      </c>
      <c r="I396" s="3531"/>
      <c r="J396" s="41"/>
      <c r="K396" s="41"/>
      <c r="L396" s="41"/>
      <c r="M396" s="40">
        <v>866.99</v>
      </c>
      <c r="N396" s="40">
        <v>866.99</v>
      </c>
      <c r="O396" s="30"/>
      <c r="P396" s="12"/>
    </row>
    <row r="397" spans="1:16" hidden="1" outlineLevel="6">
      <c r="A397" s="3534" t="s">
        <v>1328</v>
      </c>
      <c r="B397" s="3534"/>
      <c r="C397" s="39"/>
      <c r="D397" s="39"/>
      <c r="E397" s="42">
        <v>1992.54</v>
      </c>
      <c r="F397" s="41"/>
      <c r="G397" s="42">
        <v>1919.35</v>
      </c>
      <c r="H397" s="3531">
        <v>73.19</v>
      </c>
      <c r="I397" s="3531"/>
      <c r="J397" s="41"/>
      <c r="K397" s="41"/>
      <c r="L397" s="41"/>
      <c r="M397" s="42">
        <v>1992.54</v>
      </c>
      <c r="N397" s="42">
        <v>1992.54</v>
      </c>
      <c r="O397" s="30"/>
      <c r="P397" s="12"/>
    </row>
    <row r="398" spans="1:16" hidden="1" outlineLevel="5" collapsed="1">
      <c r="A398" s="3542" t="s">
        <v>1480</v>
      </c>
      <c r="B398" s="3542"/>
      <c r="C398" s="35"/>
      <c r="D398" s="35"/>
      <c r="E398" s="43">
        <v>173.34</v>
      </c>
      <c r="F398" s="37"/>
      <c r="G398" s="43">
        <v>172.16</v>
      </c>
      <c r="H398" s="3533">
        <v>1.18</v>
      </c>
      <c r="I398" s="3533"/>
      <c r="J398" s="37"/>
      <c r="K398" s="37"/>
      <c r="L398" s="37"/>
      <c r="M398" s="43">
        <v>173.34</v>
      </c>
      <c r="N398" s="43">
        <v>173.34</v>
      </c>
      <c r="O398" s="29"/>
      <c r="P398" s="11"/>
    </row>
    <row r="399" spans="1:16" hidden="1" outlineLevel="6">
      <c r="A399" s="3534" t="s">
        <v>1352</v>
      </c>
      <c r="B399" s="3534"/>
      <c r="C399" s="39"/>
      <c r="D399" s="39"/>
      <c r="E399" s="40">
        <v>41.02</v>
      </c>
      <c r="F399" s="41"/>
      <c r="G399" s="40">
        <v>39.99</v>
      </c>
      <c r="H399" s="3531">
        <v>1.03</v>
      </c>
      <c r="I399" s="3531"/>
      <c r="J399" s="41"/>
      <c r="K399" s="41"/>
      <c r="L399" s="41"/>
      <c r="M399" s="40">
        <v>41.02</v>
      </c>
      <c r="N399" s="40">
        <v>41.02</v>
      </c>
      <c r="O399" s="30"/>
      <c r="P399" s="12"/>
    </row>
    <row r="400" spans="1:16" hidden="1" outlineLevel="6">
      <c r="A400" s="3534" t="s">
        <v>1354</v>
      </c>
      <c r="B400" s="3534"/>
      <c r="C400" s="39"/>
      <c r="D400" s="39"/>
      <c r="E400" s="40">
        <v>109.42</v>
      </c>
      <c r="F400" s="41"/>
      <c r="G400" s="40">
        <v>109.42</v>
      </c>
      <c r="H400" s="41"/>
      <c r="I400" s="41"/>
      <c r="J400" s="41"/>
      <c r="K400" s="41"/>
      <c r="L400" s="41"/>
      <c r="M400" s="40">
        <v>109.42</v>
      </c>
      <c r="N400" s="40">
        <v>109.42</v>
      </c>
      <c r="O400" s="30"/>
      <c r="P400" s="12"/>
    </row>
    <row r="401" spans="1:16" hidden="1" outlineLevel="6">
      <c r="A401" s="3534" t="s">
        <v>1357</v>
      </c>
      <c r="B401" s="3534"/>
      <c r="C401" s="39"/>
      <c r="D401" s="39"/>
      <c r="E401" s="40">
        <v>22.9</v>
      </c>
      <c r="F401" s="41"/>
      <c r="G401" s="40">
        <v>22.75</v>
      </c>
      <c r="H401" s="3531">
        <v>0.15</v>
      </c>
      <c r="I401" s="3531"/>
      <c r="J401" s="41"/>
      <c r="K401" s="41"/>
      <c r="L401" s="41"/>
      <c r="M401" s="40">
        <v>22.9</v>
      </c>
      <c r="N401" s="40">
        <v>22.9</v>
      </c>
      <c r="O401" s="30"/>
      <c r="P401" s="12"/>
    </row>
    <row r="402" spans="1:16" hidden="1" outlineLevel="5" collapsed="1">
      <c r="A402" s="3542" t="s">
        <v>1481</v>
      </c>
      <c r="B402" s="3542"/>
      <c r="C402" s="35"/>
      <c r="D402" s="35"/>
      <c r="E402" s="36">
        <v>1639.54</v>
      </c>
      <c r="F402" s="37"/>
      <c r="G402" s="36">
        <v>1572.84</v>
      </c>
      <c r="H402" s="3533">
        <v>66.7</v>
      </c>
      <c r="I402" s="3533"/>
      <c r="J402" s="37"/>
      <c r="K402" s="37"/>
      <c r="L402" s="37"/>
      <c r="M402" s="36">
        <v>1639.54</v>
      </c>
      <c r="N402" s="36">
        <v>1639.54</v>
      </c>
      <c r="O402" s="29"/>
      <c r="P402" s="11"/>
    </row>
    <row r="403" spans="1:16" hidden="1" outlineLevel="6">
      <c r="A403" s="3534" t="s">
        <v>1351</v>
      </c>
      <c r="B403" s="3534"/>
      <c r="C403" s="39"/>
      <c r="D403" s="39"/>
      <c r="E403" s="40">
        <v>60.9</v>
      </c>
      <c r="F403" s="41"/>
      <c r="G403" s="40">
        <v>51.62</v>
      </c>
      <c r="H403" s="3531">
        <v>9.2799999999999994</v>
      </c>
      <c r="I403" s="3531"/>
      <c r="J403" s="41"/>
      <c r="K403" s="41"/>
      <c r="L403" s="41"/>
      <c r="M403" s="40">
        <v>60.9</v>
      </c>
      <c r="N403" s="40">
        <v>60.9</v>
      </c>
      <c r="O403" s="30"/>
      <c r="P403" s="12"/>
    </row>
    <row r="404" spans="1:16" hidden="1" outlineLevel="6">
      <c r="A404" s="3534" t="s">
        <v>1353</v>
      </c>
      <c r="B404" s="3534"/>
      <c r="C404" s="39"/>
      <c r="D404" s="39"/>
      <c r="E404" s="40">
        <v>156.71</v>
      </c>
      <c r="F404" s="41"/>
      <c r="G404" s="40">
        <v>152.26</v>
      </c>
      <c r="H404" s="3531">
        <v>4.45</v>
      </c>
      <c r="I404" s="3531"/>
      <c r="J404" s="41"/>
      <c r="K404" s="41"/>
      <c r="L404" s="41"/>
      <c r="M404" s="40">
        <v>156.71</v>
      </c>
      <c r="N404" s="40">
        <v>156.71</v>
      </c>
      <c r="O404" s="30"/>
      <c r="P404" s="12"/>
    </row>
    <row r="405" spans="1:16" hidden="1" outlineLevel="6">
      <c r="A405" s="3534" t="s">
        <v>1355</v>
      </c>
      <c r="B405" s="3534"/>
      <c r="C405" s="39"/>
      <c r="D405" s="39"/>
      <c r="E405" s="40">
        <v>41.44</v>
      </c>
      <c r="F405" s="41"/>
      <c r="G405" s="40">
        <v>8.92</v>
      </c>
      <c r="H405" s="3531">
        <v>32.520000000000003</v>
      </c>
      <c r="I405" s="3531"/>
      <c r="J405" s="41"/>
      <c r="K405" s="41"/>
      <c r="L405" s="41"/>
      <c r="M405" s="40">
        <v>41.44</v>
      </c>
      <c r="N405" s="40">
        <v>41.44</v>
      </c>
      <c r="O405" s="30"/>
      <c r="P405" s="12"/>
    </row>
    <row r="406" spans="1:16" hidden="1" outlineLevel="6">
      <c r="A406" s="3534" t="s">
        <v>1356</v>
      </c>
      <c r="B406" s="3534"/>
      <c r="C406" s="39"/>
      <c r="D406" s="39"/>
      <c r="E406" s="42">
        <v>1373.64</v>
      </c>
      <c r="F406" s="41"/>
      <c r="G406" s="42">
        <v>1353.28</v>
      </c>
      <c r="H406" s="3531">
        <v>20.36</v>
      </c>
      <c r="I406" s="3531"/>
      <c r="J406" s="41"/>
      <c r="K406" s="41"/>
      <c r="L406" s="41"/>
      <c r="M406" s="42">
        <v>1373.64</v>
      </c>
      <c r="N406" s="42">
        <v>1373.64</v>
      </c>
      <c r="O406" s="30"/>
      <c r="P406" s="12"/>
    </row>
    <row r="407" spans="1:16" hidden="1" outlineLevel="6">
      <c r="A407" s="3534" t="s">
        <v>1358</v>
      </c>
      <c r="B407" s="3534"/>
      <c r="C407" s="39"/>
      <c r="D407" s="39"/>
      <c r="E407" s="40">
        <v>2.13</v>
      </c>
      <c r="F407" s="41"/>
      <c r="G407" s="40">
        <v>2.04</v>
      </c>
      <c r="H407" s="3531">
        <v>0.09</v>
      </c>
      <c r="I407" s="3531"/>
      <c r="J407" s="41"/>
      <c r="K407" s="41"/>
      <c r="L407" s="41"/>
      <c r="M407" s="40">
        <v>2.13</v>
      </c>
      <c r="N407" s="40">
        <v>2.13</v>
      </c>
      <c r="O407" s="30"/>
      <c r="P407" s="12"/>
    </row>
    <row r="408" spans="1:16" hidden="1" outlineLevel="6">
      <c r="A408" s="3534" t="s">
        <v>1359</v>
      </c>
      <c r="B408" s="3534"/>
      <c r="C408" s="39"/>
      <c r="D408" s="39"/>
      <c r="E408" s="40">
        <v>3.9</v>
      </c>
      <c r="F408" s="41"/>
      <c r="G408" s="40">
        <v>3.9</v>
      </c>
      <c r="H408" s="41"/>
      <c r="I408" s="41"/>
      <c r="J408" s="41"/>
      <c r="K408" s="41"/>
      <c r="L408" s="41"/>
      <c r="M408" s="40">
        <v>3.9</v>
      </c>
      <c r="N408" s="40">
        <v>3.9</v>
      </c>
      <c r="O408" s="30"/>
      <c r="P408" s="12"/>
    </row>
    <row r="409" spans="1:16" hidden="1" outlineLevel="6">
      <c r="A409" s="3534" t="s">
        <v>1360</v>
      </c>
      <c r="B409" s="3534"/>
      <c r="C409" s="39"/>
      <c r="D409" s="39"/>
      <c r="E409" s="40">
        <v>0.82</v>
      </c>
      <c r="F409" s="41"/>
      <c r="G409" s="40">
        <v>0.82</v>
      </c>
      <c r="H409" s="41"/>
      <c r="I409" s="41"/>
      <c r="J409" s="41"/>
      <c r="K409" s="41"/>
      <c r="L409" s="41"/>
      <c r="M409" s="40">
        <v>0.82</v>
      </c>
      <c r="N409" s="40">
        <v>0.82</v>
      </c>
      <c r="O409" s="30"/>
      <c r="P409" s="12"/>
    </row>
    <row r="410" spans="1:16" hidden="1" outlineLevel="5" collapsed="1">
      <c r="A410" s="3542" t="s">
        <v>1482</v>
      </c>
      <c r="B410" s="3542"/>
      <c r="C410" s="35"/>
      <c r="D410" s="35"/>
      <c r="E410" s="36">
        <v>7503.02</v>
      </c>
      <c r="F410" s="37"/>
      <c r="G410" s="36">
        <v>7439.48</v>
      </c>
      <c r="H410" s="3533">
        <v>63.54</v>
      </c>
      <c r="I410" s="3533"/>
      <c r="J410" s="37"/>
      <c r="K410" s="37"/>
      <c r="L410" s="37"/>
      <c r="M410" s="36">
        <v>7503.02</v>
      </c>
      <c r="N410" s="36">
        <v>7503.02</v>
      </c>
      <c r="O410" s="29"/>
      <c r="P410" s="11"/>
    </row>
    <row r="411" spans="1:16" hidden="1" outlineLevel="6">
      <c r="A411" s="3534" t="s">
        <v>1368</v>
      </c>
      <c r="B411" s="3534"/>
      <c r="C411" s="39"/>
      <c r="D411" s="39"/>
      <c r="E411" s="40">
        <v>51.41</v>
      </c>
      <c r="F411" s="41"/>
      <c r="G411" s="40">
        <v>48.78</v>
      </c>
      <c r="H411" s="3531">
        <v>2.63</v>
      </c>
      <c r="I411" s="3531"/>
      <c r="J411" s="41"/>
      <c r="K411" s="41"/>
      <c r="L411" s="41"/>
      <c r="M411" s="40">
        <v>51.41</v>
      </c>
      <c r="N411" s="40">
        <v>51.41</v>
      </c>
      <c r="O411" s="30"/>
      <c r="P411" s="12"/>
    </row>
    <row r="412" spans="1:16" hidden="1" outlineLevel="6">
      <c r="A412" s="3534" t="s">
        <v>1369</v>
      </c>
      <c r="B412" s="3534"/>
      <c r="C412" s="39"/>
      <c r="D412" s="39"/>
      <c r="E412" s="40">
        <v>11.79</v>
      </c>
      <c r="F412" s="41"/>
      <c r="G412" s="40">
        <v>5.35</v>
      </c>
      <c r="H412" s="3531">
        <v>6.44</v>
      </c>
      <c r="I412" s="3531"/>
      <c r="J412" s="41"/>
      <c r="K412" s="41"/>
      <c r="L412" s="41"/>
      <c r="M412" s="40">
        <v>11.79</v>
      </c>
      <c r="N412" s="40">
        <v>11.79</v>
      </c>
      <c r="O412" s="30"/>
      <c r="P412" s="12"/>
    </row>
    <row r="413" spans="1:16" hidden="1" outlineLevel="6">
      <c r="A413" s="3534" t="s">
        <v>1370</v>
      </c>
      <c r="B413" s="3534"/>
      <c r="C413" s="39"/>
      <c r="D413" s="39"/>
      <c r="E413" s="40">
        <v>68.849999999999994</v>
      </c>
      <c r="F413" s="41"/>
      <c r="G413" s="40">
        <v>65.33</v>
      </c>
      <c r="H413" s="3531">
        <v>3.52</v>
      </c>
      <c r="I413" s="3531"/>
      <c r="J413" s="41"/>
      <c r="K413" s="41"/>
      <c r="L413" s="41"/>
      <c r="M413" s="40">
        <v>68.849999999999994</v>
      </c>
      <c r="N413" s="40">
        <v>68.849999999999994</v>
      </c>
      <c r="O413" s="30"/>
      <c r="P413" s="12"/>
    </row>
    <row r="414" spans="1:16" hidden="1" outlineLevel="6">
      <c r="A414" s="3534" t="s">
        <v>1371</v>
      </c>
      <c r="B414" s="3534"/>
      <c r="C414" s="39"/>
      <c r="D414" s="39"/>
      <c r="E414" s="42">
        <v>7251.26</v>
      </c>
      <c r="F414" s="41"/>
      <c r="G414" s="42">
        <v>7212.43</v>
      </c>
      <c r="H414" s="3531">
        <v>38.83</v>
      </c>
      <c r="I414" s="3531"/>
      <c r="J414" s="41"/>
      <c r="K414" s="41"/>
      <c r="L414" s="41"/>
      <c r="M414" s="42">
        <v>7251.26</v>
      </c>
      <c r="N414" s="42">
        <v>7251.26</v>
      </c>
      <c r="O414" s="30"/>
      <c r="P414" s="12"/>
    </row>
    <row r="415" spans="1:16" hidden="1" outlineLevel="6">
      <c r="A415" s="3534" t="s">
        <v>1372</v>
      </c>
      <c r="B415" s="3534"/>
      <c r="C415" s="39"/>
      <c r="D415" s="39"/>
      <c r="E415" s="40">
        <v>12.66</v>
      </c>
      <c r="F415" s="41"/>
      <c r="G415" s="40">
        <v>4.58</v>
      </c>
      <c r="H415" s="3531">
        <v>8.08</v>
      </c>
      <c r="I415" s="3531"/>
      <c r="J415" s="41"/>
      <c r="K415" s="41"/>
      <c r="L415" s="41"/>
      <c r="M415" s="40">
        <v>12.66</v>
      </c>
      <c r="N415" s="40">
        <v>12.66</v>
      </c>
      <c r="O415" s="30"/>
      <c r="P415" s="12"/>
    </row>
    <row r="416" spans="1:16" hidden="1" outlineLevel="6">
      <c r="A416" s="3534" t="s">
        <v>1373</v>
      </c>
      <c r="B416" s="3534"/>
      <c r="C416" s="39"/>
      <c r="D416" s="39"/>
      <c r="E416" s="40">
        <v>6.55</v>
      </c>
      <c r="F416" s="41"/>
      <c r="G416" s="40">
        <v>6.52</v>
      </c>
      <c r="H416" s="3531">
        <v>0.03</v>
      </c>
      <c r="I416" s="3531"/>
      <c r="J416" s="41"/>
      <c r="K416" s="41"/>
      <c r="L416" s="41"/>
      <c r="M416" s="40">
        <v>6.55</v>
      </c>
      <c r="N416" s="40">
        <v>6.55</v>
      </c>
      <c r="O416" s="30"/>
      <c r="P416" s="12"/>
    </row>
    <row r="417" spans="1:16" hidden="1" outlineLevel="6">
      <c r="A417" s="3534" t="s">
        <v>1374</v>
      </c>
      <c r="B417" s="3534"/>
      <c r="C417" s="39"/>
      <c r="D417" s="39"/>
      <c r="E417" s="40">
        <v>10.23</v>
      </c>
      <c r="F417" s="41"/>
      <c r="G417" s="40">
        <v>9.17</v>
      </c>
      <c r="H417" s="3531">
        <v>1.06</v>
      </c>
      <c r="I417" s="3531"/>
      <c r="J417" s="41"/>
      <c r="K417" s="41"/>
      <c r="L417" s="41"/>
      <c r="M417" s="40">
        <v>10.23</v>
      </c>
      <c r="N417" s="40">
        <v>10.23</v>
      </c>
      <c r="O417" s="30"/>
      <c r="P417" s="12"/>
    </row>
    <row r="418" spans="1:16" hidden="1" outlineLevel="6">
      <c r="A418" s="3534" t="s">
        <v>1375</v>
      </c>
      <c r="B418" s="3534"/>
      <c r="C418" s="39"/>
      <c r="D418" s="39"/>
      <c r="E418" s="40">
        <v>19.41</v>
      </c>
      <c r="F418" s="41"/>
      <c r="G418" s="40">
        <v>19.100000000000001</v>
      </c>
      <c r="H418" s="3531">
        <v>0.31</v>
      </c>
      <c r="I418" s="3531"/>
      <c r="J418" s="41"/>
      <c r="K418" s="41"/>
      <c r="L418" s="41"/>
      <c r="M418" s="40">
        <v>19.41</v>
      </c>
      <c r="N418" s="40">
        <v>19.41</v>
      </c>
      <c r="O418" s="30"/>
      <c r="P418" s="12"/>
    </row>
    <row r="419" spans="1:16" hidden="1" outlineLevel="6">
      <c r="A419" s="3534" t="s">
        <v>1376</v>
      </c>
      <c r="B419" s="3534"/>
      <c r="C419" s="39"/>
      <c r="D419" s="39"/>
      <c r="E419" s="40">
        <v>69.05</v>
      </c>
      <c r="F419" s="41"/>
      <c r="G419" s="40">
        <v>67.010000000000005</v>
      </c>
      <c r="H419" s="3531">
        <v>2.04</v>
      </c>
      <c r="I419" s="3531"/>
      <c r="J419" s="41"/>
      <c r="K419" s="41"/>
      <c r="L419" s="41"/>
      <c r="M419" s="40">
        <v>69.05</v>
      </c>
      <c r="N419" s="40">
        <v>69.05</v>
      </c>
      <c r="O419" s="30"/>
      <c r="P419" s="12"/>
    </row>
    <row r="420" spans="1:16" hidden="1" outlineLevel="6">
      <c r="A420" s="3534" t="s">
        <v>1377</v>
      </c>
      <c r="B420" s="3534"/>
      <c r="C420" s="39"/>
      <c r="D420" s="39"/>
      <c r="E420" s="40">
        <v>1.81</v>
      </c>
      <c r="F420" s="41"/>
      <c r="G420" s="40">
        <v>1.21</v>
      </c>
      <c r="H420" s="3531">
        <v>0.6</v>
      </c>
      <c r="I420" s="3531"/>
      <c r="J420" s="41"/>
      <c r="K420" s="41"/>
      <c r="L420" s="41"/>
      <c r="M420" s="40">
        <v>1.81</v>
      </c>
      <c r="N420" s="40">
        <v>1.81</v>
      </c>
      <c r="O420" s="30"/>
      <c r="P420" s="12"/>
    </row>
    <row r="421" spans="1:16" outlineLevel="3" collapsed="1">
      <c r="A421" s="3541" t="s">
        <v>1483</v>
      </c>
      <c r="B421" s="3541"/>
      <c r="C421" s="35"/>
      <c r="D421" s="35"/>
      <c r="E421" s="36">
        <v>16929.18</v>
      </c>
      <c r="F421" s="37"/>
      <c r="G421" s="36">
        <v>16151.42</v>
      </c>
      <c r="H421" s="3533">
        <v>777.76</v>
      </c>
      <c r="I421" s="3533"/>
      <c r="J421" s="37"/>
      <c r="K421" s="37"/>
      <c r="L421" s="37"/>
      <c r="M421" s="36">
        <v>16929.18</v>
      </c>
      <c r="N421" s="36">
        <v>16929.18</v>
      </c>
      <c r="O421" s="29"/>
      <c r="P421" s="11"/>
    </row>
    <row r="422" spans="1:16" hidden="1" outlineLevel="4">
      <c r="A422" s="3543" t="s">
        <v>1484</v>
      </c>
      <c r="B422" s="3543"/>
      <c r="C422" s="35"/>
      <c r="D422" s="35"/>
      <c r="E422" s="43">
        <v>73.59</v>
      </c>
      <c r="F422" s="37"/>
      <c r="G422" s="43">
        <v>73.59</v>
      </c>
      <c r="H422" s="37"/>
      <c r="I422" s="37"/>
      <c r="J422" s="37"/>
      <c r="K422" s="37"/>
      <c r="L422" s="37"/>
      <c r="M422" s="43">
        <v>73.59</v>
      </c>
      <c r="N422" s="43">
        <v>73.59</v>
      </c>
      <c r="O422" s="29"/>
      <c r="P422" s="11"/>
    </row>
    <row r="423" spans="1:16" hidden="1" outlineLevel="5">
      <c r="A423" s="3535" t="s">
        <v>1321</v>
      </c>
      <c r="B423" s="3535"/>
      <c r="C423" s="39"/>
      <c r="D423" s="39"/>
      <c r="E423" s="40">
        <v>2.5499999999999998</v>
      </c>
      <c r="F423" s="41"/>
      <c r="G423" s="40">
        <v>2.5499999999999998</v>
      </c>
      <c r="H423" s="41"/>
      <c r="I423" s="41"/>
      <c r="J423" s="41"/>
      <c r="K423" s="41"/>
      <c r="L423" s="41"/>
      <c r="M423" s="40">
        <v>2.5499999999999998</v>
      </c>
      <c r="N423" s="40">
        <v>2.5499999999999998</v>
      </c>
      <c r="O423" s="30"/>
      <c r="P423" s="12"/>
    </row>
    <row r="424" spans="1:16" hidden="1" outlineLevel="5">
      <c r="A424" s="3535" t="s">
        <v>1322</v>
      </c>
      <c r="B424" s="3535"/>
      <c r="C424" s="39"/>
      <c r="D424" s="39"/>
      <c r="E424" s="40">
        <v>9.7799999999999994</v>
      </c>
      <c r="F424" s="41"/>
      <c r="G424" s="40">
        <v>9.7799999999999994</v>
      </c>
      <c r="H424" s="41"/>
      <c r="I424" s="41"/>
      <c r="J424" s="41"/>
      <c r="K424" s="41"/>
      <c r="L424" s="41"/>
      <c r="M424" s="40">
        <v>9.7799999999999994</v>
      </c>
      <c r="N424" s="40">
        <v>9.7799999999999994</v>
      </c>
      <c r="O424" s="30"/>
      <c r="P424" s="12"/>
    </row>
    <row r="425" spans="1:16" hidden="1" outlineLevel="5">
      <c r="A425" s="3535" t="s">
        <v>1323</v>
      </c>
      <c r="B425" s="3535"/>
      <c r="C425" s="39"/>
      <c r="D425" s="39"/>
      <c r="E425" s="40">
        <v>61.26</v>
      </c>
      <c r="F425" s="41"/>
      <c r="G425" s="40">
        <v>61.26</v>
      </c>
      <c r="H425" s="41"/>
      <c r="I425" s="41"/>
      <c r="J425" s="41"/>
      <c r="K425" s="41"/>
      <c r="L425" s="41"/>
      <c r="M425" s="40">
        <v>61.26</v>
      </c>
      <c r="N425" s="40">
        <v>61.26</v>
      </c>
      <c r="O425" s="30"/>
      <c r="P425" s="12"/>
    </row>
    <row r="426" spans="1:16" hidden="1" outlineLevel="4">
      <c r="A426" s="3543" t="s">
        <v>1485</v>
      </c>
      <c r="B426" s="3543"/>
      <c r="C426" s="35"/>
      <c r="D426" s="35"/>
      <c r="E426" s="36">
        <v>12704.35</v>
      </c>
      <c r="F426" s="37"/>
      <c r="G426" s="36">
        <v>12658.09</v>
      </c>
      <c r="H426" s="3533">
        <v>46.26</v>
      </c>
      <c r="I426" s="3533"/>
      <c r="J426" s="37"/>
      <c r="K426" s="37"/>
      <c r="L426" s="37"/>
      <c r="M426" s="36">
        <v>12704.35</v>
      </c>
      <c r="N426" s="36">
        <v>12704.35</v>
      </c>
      <c r="O426" s="29"/>
      <c r="P426" s="11"/>
    </row>
    <row r="427" spans="1:16" hidden="1" outlineLevel="5">
      <c r="A427" s="3542" t="s">
        <v>1486</v>
      </c>
      <c r="B427" s="3542"/>
      <c r="C427" s="35"/>
      <c r="D427" s="35"/>
      <c r="E427" s="43">
        <v>71.989999999999995</v>
      </c>
      <c r="F427" s="37"/>
      <c r="G427" s="43">
        <v>71.790000000000006</v>
      </c>
      <c r="H427" s="3533">
        <v>0.2</v>
      </c>
      <c r="I427" s="3533"/>
      <c r="J427" s="37"/>
      <c r="K427" s="37"/>
      <c r="L427" s="37"/>
      <c r="M427" s="43">
        <v>71.989999999999995</v>
      </c>
      <c r="N427" s="43">
        <v>71.989999999999995</v>
      </c>
      <c r="O427" s="29"/>
      <c r="P427" s="11"/>
    </row>
    <row r="428" spans="1:16" hidden="1" outlineLevel="6">
      <c r="A428" s="3534" t="s">
        <v>1333</v>
      </c>
      <c r="B428" s="3534"/>
      <c r="C428" s="39"/>
      <c r="D428" s="39"/>
      <c r="E428" s="40">
        <v>63.41</v>
      </c>
      <c r="F428" s="41"/>
      <c r="G428" s="40">
        <v>63.21</v>
      </c>
      <c r="H428" s="3531">
        <v>0.2</v>
      </c>
      <c r="I428" s="3531"/>
      <c r="J428" s="41"/>
      <c r="K428" s="41"/>
      <c r="L428" s="41"/>
      <c r="M428" s="40">
        <v>63.41</v>
      </c>
      <c r="N428" s="40">
        <v>63.41</v>
      </c>
      <c r="O428" s="30"/>
      <c r="P428" s="12"/>
    </row>
    <row r="429" spans="1:16" hidden="1" outlineLevel="6">
      <c r="A429" s="3534" t="s">
        <v>1334</v>
      </c>
      <c r="B429" s="3534"/>
      <c r="C429" s="39"/>
      <c r="D429" s="39"/>
      <c r="E429" s="40">
        <v>8.58</v>
      </c>
      <c r="F429" s="41"/>
      <c r="G429" s="40">
        <v>8.58</v>
      </c>
      <c r="H429" s="41"/>
      <c r="I429" s="41"/>
      <c r="J429" s="41"/>
      <c r="K429" s="41"/>
      <c r="L429" s="41"/>
      <c r="M429" s="40">
        <v>8.58</v>
      </c>
      <c r="N429" s="40">
        <v>8.58</v>
      </c>
      <c r="O429" s="30"/>
      <c r="P429" s="12"/>
    </row>
    <row r="430" spans="1:16" hidden="1" outlineLevel="5" collapsed="1">
      <c r="A430" s="3535" t="s">
        <v>1335</v>
      </c>
      <c r="B430" s="3535"/>
      <c r="C430" s="39"/>
      <c r="D430" s="39"/>
      <c r="E430" s="40">
        <v>4.32</v>
      </c>
      <c r="F430" s="41"/>
      <c r="G430" s="40">
        <v>4.32</v>
      </c>
      <c r="H430" s="41"/>
      <c r="I430" s="41"/>
      <c r="J430" s="41"/>
      <c r="K430" s="41"/>
      <c r="L430" s="41"/>
      <c r="M430" s="40">
        <v>4.32</v>
      </c>
      <c r="N430" s="40">
        <v>4.32</v>
      </c>
      <c r="O430" s="30"/>
      <c r="P430" s="12"/>
    </row>
    <row r="431" spans="1:16" hidden="1" outlineLevel="5">
      <c r="A431" s="3542" t="s">
        <v>1487</v>
      </c>
      <c r="B431" s="3542"/>
      <c r="C431" s="35"/>
      <c r="D431" s="35"/>
      <c r="E431" s="43">
        <v>71.33</v>
      </c>
      <c r="F431" s="37"/>
      <c r="G431" s="43">
        <v>71.33</v>
      </c>
      <c r="H431" s="37"/>
      <c r="I431" s="37"/>
      <c r="J431" s="37"/>
      <c r="K431" s="37"/>
      <c r="L431" s="37"/>
      <c r="M431" s="43">
        <v>71.33</v>
      </c>
      <c r="N431" s="43">
        <v>71.33</v>
      </c>
      <c r="O431" s="29"/>
      <c r="P431" s="11"/>
    </row>
    <row r="432" spans="1:16" hidden="1" outlineLevel="6">
      <c r="A432" s="3534" t="s">
        <v>1379</v>
      </c>
      <c r="B432" s="3534"/>
      <c r="C432" s="39"/>
      <c r="D432" s="39"/>
      <c r="E432" s="40">
        <v>30.36</v>
      </c>
      <c r="F432" s="41"/>
      <c r="G432" s="40">
        <v>30.36</v>
      </c>
      <c r="H432" s="41"/>
      <c r="I432" s="41"/>
      <c r="J432" s="41"/>
      <c r="K432" s="41"/>
      <c r="L432" s="41"/>
      <c r="M432" s="40">
        <v>30.36</v>
      </c>
      <c r="N432" s="40">
        <v>30.36</v>
      </c>
      <c r="O432" s="30"/>
      <c r="P432" s="12"/>
    </row>
    <row r="433" spans="1:16" hidden="1" outlineLevel="6">
      <c r="A433" s="3534" t="s">
        <v>1380</v>
      </c>
      <c r="B433" s="3534"/>
      <c r="C433" s="39"/>
      <c r="D433" s="39"/>
      <c r="E433" s="40">
        <v>40.97</v>
      </c>
      <c r="F433" s="41"/>
      <c r="G433" s="40">
        <v>40.97</v>
      </c>
      <c r="H433" s="41"/>
      <c r="I433" s="41"/>
      <c r="J433" s="41"/>
      <c r="K433" s="41"/>
      <c r="L433" s="41"/>
      <c r="M433" s="40">
        <v>40.97</v>
      </c>
      <c r="N433" s="40">
        <v>40.97</v>
      </c>
      <c r="O433" s="30"/>
      <c r="P433" s="12"/>
    </row>
    <row r="434" spans="1:16" hidden="1" outlineLevel="5" collapsed="1">
      <c r="A434" s="3535" t="s">
        <v>1339</v>
      </c>
      <c r="B434" s="3535"/>
      <c r="C434" s="39"/>
      <c r="D434" s="39"/>
      <c r="E434" s="42">
        <v>12552.23</v>
      </c>
      <c r="F434" s="41"/>
      <c r="G434" s="42">
        <v>12510.65</v>
      </c>
      <c r="H434" s="3531">
        <v>41.58</v>
      </c>
      <c r="I434" s="3531"/>
      <c r="J434" s="41"/>
      <c r="K434" s="41"/>
      <c r="L434" s="41"/>
      <c r="M434" s="42">
        <v>12552.23</v>
      </c>
      <c r="N434" s="42">
        <v>12552.23</v>
      </c>
      <c r="O434" s="30"/>
      <c r="P434" s="12"/>
    </row>
    <row r="435" spans="1:16" hidden="1" outlineLevel="5">
      <c r="A435" s="3535" t="s">
        <v>1446</v>
      </c>
      <c r="B435" s="3535"/>
      <c r="C435" s="39"/>
      <c r="D435" s="39"/>
      <c r="E435" s="40">
        <v>4.4800000000000004</v>
      </c>
      <c r="F435" s="41"/>
      <c r="G435" s="41"/>
      <c r="H435" s="3531">
        <v>4.4800000000000004</v>
      </c>
      <c r="I435" s="3531"/>
      <c r="J435" s="41"/>
      <c r="K435" s="41"/>
      <c r="L435" s="41"/>
      <c r="M435" s="40">
        <v>4.4800000000000004</v>
      </c>
      <c r="N435" s="40">
        <v>4.4800000000000004</v>
      </c>
      <c r="O435" s="30"/>
      <c r="P435" s="12"/>
    </row>
    <row r="436" spans="1:16" hidden="1" outlineLevel="4">
      <c r="A436" s="3543" t="s">
        <v>1488</v>
      </c>
      <c r="B436" s="3543"/>
      <c r="C436" s="35"/>
      <c r="D436" s="35"/>
      <c r="E436" s="43">
        <v>422.87</v>
      </c>
      <c r="F436" s="37"/>
      <c r="G436" s="43">
        <v>317.73</v>
      </c>
      <c r="H436" s="3533">
        <v>105.14</v>
      </c>
      <c r="I436" s="3533"/>
      <c r="J436" s="37"/>
      <c r="K436" s="37"/>
      <c r="L436" s="37"/>
      <c r="M436" s="43">
        <v>422.87</v>
      </c>
      <c r="N436" s="43">
        <v>422.87</v>
      </c>
      <c r="O436" s="29"/>
      <c r="P436" s="11"/>
    </row>
    <row r="437" spans="1:16" hidden="1" outlineLevel="5">
      <c r="A437" s="3535" t="s">
        <v>1329</v>
      </c>
      <c r="B437" s="3535"/>
      <c r="C437" s="39"/>
      <c r="D437" s="39"/>
      <c r="E437" s="40">
        <v>91.82</v>
      </c>
      <c r="F437" s="41"/>
      <c r="G437" s="41"/>
      <c r="H437" s="3531">
        <v>91.82</v>
      </c>
      <c r="I437" s="3531"/>
      <c r="J437" s="41"/>
      <c r="K437" s="41"/>
      <c r="L437" s="41"/>
      <c r="M437" s="40">
        <v>91.82</v>
      </c>
      <c r="N437" s="40">
        <v>91.82</v>
      </c>
      <c r="O437" s="30"/>
      <c r="P437" s="12"/>
    </row>
    <row r="438" spans="1:16" hidden="1" outlineLevel="5">
      <c r="A438" s="3535" t="s">
        <v>1330</v>
      </c>
      <c r="B438" s="3535"/>
      <c r="C438" s="39"/>
      <c r="D438" s="39"/>
      <c r="E438" s="40">
        <v>6.78</v>
      </c>
      <c r="F438" s="41"/>
      <c r="G438" s="41"/>
      <c r="H438" s="3531">
        <v>6.78</v>
      </c>
      <c r="I438" s="3531"/>
      <c r="J438" s="41"/>
      <c r="K438" s="41"/>
      <c r="L438" s="41"/>
      <c r="M438" s="40">
        <v>6.78</v>
      </c>
      <c r="N438" s="40">
        <v>6.78</v>
      </c>
      <c r="O438" s="30"/>
      <c r="P438" s="12"/>
    </row>
    <row r="439" spans="1:16" hidden="1" outlineLevel="5">
      <c r="A439" s="3535" t="s">
        <v>1387</v>
      </c>
      <c r="B439" s="3535"/>
      <c r="C439" s="39"/>
      <c r="D439" s="39"/>
      <c r="E439" s="40">
        <v>81.459999999999994</v>
      </c>
      <c r="F439" s="41"/>
      <c r="G439" s="40">
        <v>78.180000000000007</v>
      </c>
      <c r="H439" s="3531">
        <v>3.28</v>
      </c>
      <c r="I439" s="3531"/>
      <c r="J439" s="41"/>
      <c r="K439" s="41"/>
      <c r="L439" s="41"/>
      <c r="M439" s="40">
        <v>81.459999999999994</v>
      </c>
      <c r="N439" s="40">
        <v>81.459999999999994</v>
      </c>
      <c r="O439" s="30"/>
      <c r="P439" s="12"/>
    </row>
    <row r="440" spans="1:16" hidden="1" outlineLevel="5">
      <c r="A440" s="3535" t="s">
        <v>1388</v>
      </c>
      <c r="B440" s="3535"/>
      <c r="C440" s="39"/>
      <c r="D440" s="39"/>
      <c r="E440" s="40">
        <v>1.69</v>
      </c>
      <c r="F440" s="41"/>
      <c r="G440" s="40">
        <v>1.67</v>
      </c>
      <c r="H440" s="3531">
        <v>0.02</v>
      </c>
      <c r="I440" s="3531"/>
      <c r="J440" s="41"/>
      <c r="K440" s="41"/>
      <c r="L440" s="41"/>
      <c r="M440" s="40">
        <v>1.69</v>
      </c>
      <c r="N440" s="40">
        <v>1.69</v>
      </c>
      <c r="O440" s="30"/>
      <c r="P440" s="12"/>
    </row>
    <row r="441" spans="1:16" hidden="1" outlineLevel="5">
      <c r="A441" s="3535" t="s">
        <v>1389</v>
      </c>
      <c r="B441" s="3535"/>
      <c r="C441" s="39"/>
      <c r="D441" s="39"/>
      <c r="E441" s="40">
        <v>166.62</v>
      </c>
      <c r="F441" s="41"/>
      <c r="G441" s="40">
        <v>166.62</v>
      </c>
      <c r="H441" s="41"/>
      <c r="I441" s="41"/>
      <c r="J441" s="41"/>
      <c r="K441" s="41"/>
      <c r="L441" s="41"/>
      <c r="M441" s="40">
        <v>166.62</v>
      </c>
      <c r="N441" s="40">
        <v>166.62</v>
      </c>
      <c r="O441" s="30"/>
      <c r="P441" s="12"/>
    </row>
    <row r="442" spans="1:16" hidden="1" outlineLevel="5">
      <c r="A442" s="3535" t="s">
        <v>1390</v>
      </c>
      <c r="B442" s="3535"/>
      <c r="C442" s="39"/>
      <c r="D442" s="39"/>
      <c r="E442" s="40">
        <v>74.5</v>
      </c>
      <c r="F442" s="41"/>
      <c r="G442" s="40">
        <v>71.260000000000005</v>
      </c>
      <c r="H442" s="3531">
        <v>3.24</v>
      </c>
      <c r="I442" s="3531"/>
      <c r="J442" s="41"/>
      <c r="K442" s="41"/>
      <c r="L442" s="41"/>
      <c r="M442" s="40">
        <v>74.5</v>
      </c>
      <c r="N442" s="40">
        <v>74.5</v>
      </c>
      <c r="O442" s="30"/>
      <c r="P442" s="12"/>
    </row>
    <row r="443" spans="1:16" hidden="1" outlineLevel="4">
      <c r="A443" s="3539" t="s">
        <v>1336</v>
      </c>
      <c r="B443" s="3539"/>
      <c r="C443" s="39"/>
      <c r="D443" s="39"/>
      <c r="E443" s="40">
        <v>19.34</v>
      </c>
      <c r="F443" s="41"/>
      <c r="G443" s="40">
        <v>19.34</v>
      </c>
      <c r="H443" s="41"/>
      <c r="I443" s="41"/>
      <c r="J443" s="41"/>
      <c r="K443" s="41"/>
      <c r="L443" s="41"/>
      <c r="M443" s="40">
        <v>19.34</v>
      </c>
      <c r="N443" s="40">
        <v>19.34</v>
      </c>
      <c r="O443" s="30"/>
      <c r="P443" s="12"/>
    </row>
    <row r="444" spans="1:16" hidden="1" outlineLevel="4">
      <c r="A444" s="3543" t="s">
        <v>1489</v>
      </c>
      <c r="B444" s="3543"/>
      <c r="C444" s="35"/>
      <c r="D444" s="35"/>
      <c r="E444" s="43">
        <v>215.21</v>
      </c>
      <c r="F444" s="37"/>
      <c r="G444" s="43">
        <v>194.54</v>
      </c>
      <c r="H444" s="3533">
        <v>20.67</v>
      </c>
      <c r="I444" s="3533"/>
      <c r="J444" s="37"/>
      <c r="K444" s="37"/>
      <c r="L444" s="37"/>
      <c r="M444" s="43">
        <v>215.21</v>
      </c>
      <c r="N444" s="43">
        <v>215.21</v>
      </c>
      <c r="O444" s="29"/>
      <c r="P444" s="11"/>
    </row>
    <row r="445" spans="1:16" hidden="1" outlineLevel="5">
      <c r="A445" s="3542" t="s">
        <v>1490</v>
      </c>
      <c r="B445" s="3542"/>
      <c r="C445" s="35"/>
      <c r="D445" s="35"/>
      <c r="E445" s="43">
        <v>84.55</v>
      </c>
      <c r="F445" s="37"/>
      <c r="G445" s="43">
        <v>84.55</v>
      </c>
      <c r="H445" s="37"/>
      <c r="I445" s="37"/>
      <c r="J445" s="37"/>
      <c r="K445" s="37"/>
      <c r="L445" s="37"/>
      <c r="M445" s="43">
        <v>84.55</v>
      </c>
      <c r="N445" s="43">
        <v>84.55</v>
      </c>
      <c r="O445" s="29"/>
      <c r="P445" s="11"/>
    </row>
    <row r="446" spans="1:16" hidden="1" outlineLevel="6">
      <c r="A446" s="3534" t="s">
        <v>1341</v>
      </c>
      <c r="B446" s="3534"/>
      <c r="C446" s="39"/>
      <c r="D446" s="39"/>
      <c r="E446" s="40">
        <v>7.0000000000000007E-2</v>
      </c>
      <c r="F446" s="41"/>
      <c r="G446" s="40">
        <v>7.0000000000000007E-2</v>
      </c>
      <c r="H446" s="41"/>
      <c r="I446" s="41"/>
      <c r="J446" s="41"/>
      <c r="K446" s="41"/>
      <c r="L446" s="41"/>
      <c r="M446" s="40">
        <v>7.0000000000000007E-2</v>
      </c>
      <c r="N446" s="40">
        <v>7.0000000000000007E-2</v>
      </c>
      <c r="O446" s="30"/>
      <c r="P446" s="12"/>
    </row>
    <row r="447" spans="1:16" hidden="1" outlineLevel="6">
      <c r="A447" s="3534" t="s">
        <v>1342</v>
      </c>
      <c r="B447" s="3534"/>
      <c r="C447" s="39"/>
      <c r="D447" s="39"/>
      <c r="E447" s="40">
        <v>12.34</v>
      </c>
      <c r="F447" s="41"/>
      <c r="G447" s="40">
        <v>12.34</v>
      </c>
      <c r="H447" s="41"/>
      <c r="I447" s="41"/>
      <c r="J447" s="41"/>
      <c r="K447" s="41"/>
      <c r="L447" s="41"/>
      <c r="M447" s="40">
        <v>12.34</v>
      </c>
      <c r="N447" s="40">
        <v>12.34</v>
      </c>
      <c r="O447" s="30"/>
      <c r="P447" s="12"/>
    </row>
    <row r="448" spans="1:16" hidden="1" outlineLevel="6">
      <c r="A448" s="3534" t="s">
        <v>1343</v>
      </c>
      <c r="B448" s="3534"/>
      <c r="C448" s="39"/>
      <c r="D448" s="39"/>
      <c r="E448" s="40">
        <v>35.72</v>
      </c>
      <c r="F448" s="41"/>
      <c r="G448" s="40">
        <v>35.72</v>
      </c>
      <c r="H448" s="41"/>
      <c r="I448" s="41"/>
      <c r="J448" s="41"/>
      <c r="K448" s="41"/>
      <c r="L448" s="41"/>
      <c r="M448" s="40">
        <v>35.72</v>
      </c>
      <c r="N448" s="40">
        <v>35.72</v>
      </c>
      <c r="O448" s="30"/>
      <c r="P448" s="12"/>
    </row>
    <row r="449" spans="1:16" hidden="1" outlineLevel="6">
      <c r="A449" s="3534" t="s">
        <v>1344</v>
      </c>
      <c r="B449" s="3534"/>
      <c r="C449" s="39"/>
      <c r="D449" s="39"/>
      <c r="E449" s="40">
        <v>36.42</v>
      </c>
      <c r="F449" s="41"/>
      <c r="G449" s="40">
        <v>36.42</v>
      </c>
      <c r="H449" s="41"/>
      <c r="I449" s="41"/>
      <c r="J449" s="41"/>
      <c r="K449" s="41"/>
      <c r="L449" s="41"/>
      <c r="M449" s="40">
        <v>36.42</v>
      </c>
      <c r="N449" s="40">
        <v>36.42</v>
      </c>
      <c r="O449" s="30"/>
      <c r="P449" s="12"/>
    </row>
    <row r="450" spans="1:16" hidden="1" outlineLevel="5" collapsed="1">
      <c r="A450" s="3542" t="s">
        <v>1491</v>
      </c>
      <c r="B450" s="3542"/>
      <c r="C450" s="35"/>
      <c r="D450" s="35"/>
      <c r="E450" s="43">
        <v>130.66</v>
      </c>
      <c r="F450" s="37"/>
      <c r="G450" s="43">
        <v>109.99</v>
      </c>
      <c r="H450" s="3533">
        <v>20.67</v>
      </c>
      <c r="I450" s="3533"/>
      <c r="J450" s="37"/>
      <c r="K450" s="37"/>
      <c r="L450" s="37"/>
      <c r="M450" s="43">
        <v>130.66</v>
      </c>
      <c r="N450" s="43">
        <v>130.66</v>
      </c>
      <c r="O450" s="29"/>
      <c r="P450" s="11"/>
    </row>
    <row r="451" spans="1:16" hidden="1" outlineLevel="6">
      <c r="A451" s="3534" t="s">
        <v>1345</v>
      </c>
      <c r="B451" s="3534"/>
      <c r="C451" s="39"/>
      <c r="D451" s="39"/>
      <c r="E451" s="40">
        <v>0.38</v>
      </c>
      <c r="F451" s="41"/>
      <c r="G451" s="41"/>
      <c r="H451" s="3531">
        <v>0.38</v>
      </c>
      <c r="I451" s="3531"/>
      <c r="J451" s="41"/>
      <c r="K451" s="41"/>
      <c r="L451" s="41"/>
      <c r="M451" s="40">
        <v>0.38</v>
      </c>
      <c r="N451" s="40">
        <v>0.38</v>
      </c>
      <c r="O451" s="30"/>
      <c r="P451" s="12"/>
    </row>
    <row r="452" spans="1:16" hidden="1" outlineLevel="6">
      <c r="A452" s="3534" t="s">
        <v>1346</v>
      </c>
      <c r="B452" s="3534"/>
      <c r="C452" s="39"/>
      <c r="D452" s="39"/>
      <c r="E452" s="40">
        <v>0.03</v>
      </c>
      <c r="F452" s="41"/>
      <c r="G452" s="41"/>
      <c r="H452" s="3531">
        <v>0.03</v>
      </c>
      <c r="I452" s="3531"/>
      <c r="J452" s="41"/>
      <c r="K452" s="41"/>
      <c r="L452" s="41"/>
      <c r="M452" s="40">
        <v>0.03</v>
      </c>
      <c r="N452" s="40">
        <v>0.03</v>
      </c>
      <c r="O452" s="30"/>
      <c r="P452" s="12"/>
    </row>
    <row r="453" spans="1:16" hidden="1" outlineLevel="6">
      <c r="A453" s="3534" t="s">
        <v>1347</v>
      </c>
      <c r="B453" s="3534"/>
      <c r="C453" s="39"/>
      <c r="D453" s="39"/>
      <c r="E453" s="40">
        <v>0.64</v>
      </c>
      <c r="F453" s="41"/>
      <c r="G453" s="40">
        <v>0.5</v>
      </c>
      <c r="H453" s="3531">
        <v>0.14000000000000001</v>
      </c>
      <c r="I453" s="3531"/>
      <c r="J453" s="41"/>
      <c r="K453" s="41"/>
      <c r="L453" s="41"/>
      <c r="M453" s="40">
        <v>0.64</v>
      </c>
      <c r="N453" s="40">
        <v>0.64</v>
      </c>
      <c r="O453" s="30"/>
      <c r="P453" s="12"/>
    </row>
    <row r="454" spans="1:16" hidden="1" outlineLevel="6">
      <c r="A454" s="3534" t="s">
        <v>1348</v>
      </c>
      <c r="B454" s="3534"/>
      <c r="C454" s="39"/>
      <c r="D454" s="39"/>
      <c r="E454" s="40">
        <v>49.43</v>
      </c>
      <c r="F454" s="41"/>
      <c r="G454" s="40">
        <v>35.36</v>
      </c>
      <c r="H454" s="3531">
        <v>14.07</v>
      </c>
      <c r="I454" s="3531"/>
      <c r="J454" s="41"/>
      <c r="K454" s="41"/>
      <c r="L454" s="41"/>
      <c r="M454" s="40">
        <v>49.43</v>
      </c>
      <c r="N454" s="40">
        <v>49.43</v>
      </c>
      <c r="O454" s="30"/>
      <c r="P454" s="12"/>
    </row>
    <row r="455" spans="1:16" hidden="1" outlineLevel="6">
      <c r="A455" s="3534" t="s">
        <v>1349</v>
      </c>
      <c r="B455" s="3534"/>
      <c r="C455" s="39"/>
      <c r="D455" s="39"/>
      <c r="E455" s="40">
        <v>80.180000000000007</v>
      </c>
      <c r="F455" s="41"/>
      <c r="G455" s="40">
        <v>74.13</v>
      </c>
      <c r="H455" s="3531">
        <v>6.05</v>
      </c>
      <c r="I455" s="3531"/>
      <c r="J455" s="41"/>
      <c r="K455" s="41"/>
      <c r="L455" s="41"/>
      <c r="M455" s="40">
        <v>80.180000000000007</v>
      </c>
      <c r="N455" s="40">
        <v>80.180000000000007</v>
      </c>
      <c r="O455" s="30"/>
      <c r="P455" s="12"/>
    </row>
    <row r="456" spans="1:16" hidden="1" outlineLevel="4">
      <c r="A456" s="3543" t="s">
        <v>1492</v>
      </c>
      <c r="B456" s="3543"/>
      <c r="C456" s="35"/>
      <c r="D456" s="35"/>
      <c r="E456" s="36">
        <v>1823.19</v>
      </c>
      <c r="F456" s="37"/>
      <c r="G456" s="36">
        <v>1810.29</v>
      </c>
      <c r="H456" s="3533">
        <v>12.9</v>
      </c>
      <c r="I456" s="3533"/>
      <c r="J456" s="37"/>
      <c r="K456" s="37"/>
      <c r="L456" s="37"/>
      <c r="M456" s="36">
        <v>1823.19</v>
      </c>
      <c r="N456" s="36">
        <v>1823.19</v>
      </c>
      <c r="O456" s="29"/>
      <c r="P456" s="11"/>
    </row>
    <row r="457" spans="1:16" hidden="1" outlineLevel="5">
      <c r="A457" s="3535" t="s">
        <v>1324</v>
      </c>
      <c r="B457" s="3535"/>
      <c r="C457" s="39"/>
      <c r="D457" s="39"/>
      <c r="E457" s="40">
        <v>9.33</v>
      </c>
      <c r="F457" s="41"/>
      <c r="G457" s="40">
        <v>8.93</v>
      </c>
      <c r="H457" s="3531">
        <v>0.4</v>
      </c>
      <c r="I457" s="3531"/>
      <c r="J457" s="41"/>
      <c r="K457" s="41"/>
      <c r="L457" s="41"/>
      <c r="M457" s="40">
        <v>9.33</v>
      </c>
      <c r="N457" s="40">
        <v>9.33</v>
      </c>
      <c r="O457" s="30"/>
      <c r="P457" s="12"/>
    </row>
    <row r="458" spans="1:16" hidden="1" outlineLevel="5">
      <c r="A458" s="3535" t="s">
        <v>1337</v>
      </c>
      <c r="B458" s="3535"/>
      <c r="C458" s="39"/>
      <c r="D458" s="39"/>
      <c r="E458" s="40">
        <v>8.43</v>
      </c>
      <c r="F458" s="41"/>
      <c r="G458" s="40">
        <v>8.43</v>
      </c>
      <c r="H458" s="41"/>
      <c r="I458" s="41"/>
      <c r="J458" s="41"/>
      <c r="K458" s="41"/>
      <c r="L458" s="41"/>
      <c r="M458" s="40">
        <v>8.43</v>
      </c>
      <c r="N458" s="40">
        <v>8.43</v>
      </c>
      <c r="O458" s="30"/>
      <c r="P458" s="12"/>
    </row>
    <row r="459" spans="1:16" hidden="1" outlineLevel="5">
      <c r="A459" s="3535" t="s">
        <v>1361</v>
      </c>
      <c r="B459" s="3535"/>
      <c r="C459" s="39"/>
      <c r="D459" s="39"/>
      <c r="E459" s="42">
        <v>1311.96</v>
      </c>
      <c r="F459" s="41"/>
      <c r="G459" s="42">
        <v>1311.96</v>
      </c>
      <c r="H459" s="41"/>
      <c r="I459" s="41"/>
      <c r="J459" s="41"/>
      <c r="K459" s="41"/>
      <c r="L459" s="41"/>
      <c r="M459" s="42">
        <v>1311.96</v>
      </c>
      <c r="N459" s="42">
        <v>1311.96</v>
      </c>
      <c r="O459" s="30"/>
      <c r="P459" s="12"/>
    </row>
    <row r="460" spans="1:16" hidden="1" outlineLevel="5">
      <c r="A460" s="3535" t="s">
        <v>1412</v>
      </c>
      <c r="B460" s="3535"/>
      <c r="C460" s="39"/>
      <c r="D460" s="39"/>
      <c r="E460" s="40">
        <v>483.63</v>
      </c>
      <c r="F460" s="41"/>
      <c r="G460" s="40">
        <v>474.32</v>
      </c>
      <c r="H460" s="3531">
        <v>9.31</v>
      </c>
      <c r="I460" s="3531"/>
      <c r="J460" s="41"/>
      <c r="K460" s="41"/>
      <c r="L460" s="41"/>
      <c r="M460" s="40">
        <v>483.63</v>
      </c>
      <c r="N460" s="40">
        <v>483.63</v>
      </c>
      <c r="O460" s="30"/>
      <c r="P460" s="12"/>
    </row>
    <row r="461" spans="1:16" hidden="1" outlineLevel="5">
      <c r="A461" s="3535" t="s">
        <v>1457</v>
      </c>
      <c r="B461" s="3535"/>
      <c r="C461" s="39"/>
      <c r="D461" s="39"/>
      <c r="E461" s="40">
        <v>4.3</v>
      </c>
      <c r="F461" s="41"/>
      <c r="G461" s="40">
        <v>2.12</v>
      </c>
      <c r="H461" s="3531">
        <v>2.1800000000000002</v>
      </c>
      <c r="I461" s="3531"/>
      <c r="J461" s="41"/>
      <c r="K461" s="41"/>
      <c r="L461" s="41"/>
      <c r="M461" s="40">
        <v>4.3</v>
      </c>
      <c r="N461" s="40">
        <v>4.3</v>
      </c>
      <c r="O461" s="30"/>
      <c r="P461" s="12"/>
    </row>
    <row r="462" spans="1:16" hidden="1" outlineLevel="5">
      <c r="A462" s="3535" t="s">
        <v>1458</v>
      </c>
      <c r="B462" s="3535"/>
      <c r="C462" s="39"/>
      <c r="D462" s="39"/>
      <c r="E462" s="40">
        <v>5.54</v>
      </c>
      <c r="F462" s="41"/>
      <c r="G462" s="40">
        <v>4.53</v>
      </c>
      <c r="H462" s="3531">
        <v>1.01</v>
      </c>
      <c r="I462" s="3531"/>
      <c r="J462" s="41"/>
      <c r="K462" s="41"/>
      <c r="L462" s="41"/>
      <c r="M462" s="40">
        <v>5.54</v>
      </c>
      <c r="N462" s="40">
        <v>5.54</v>
      </c>
      <c r="O462" s="30"/>
      <c r="P462" s="12"/>
    </row>
    <row r="463" spans="1:16" hidden="1" outlineLevel="4">
      <c r="A463" s="3539" t="s">
        <v>1428</v>
      </c>
      <c r="B463" s="3539"/>
      <c r="C463" s="39"/>
      <c r="D463" s="39"/>
      <c r="E463" s="40">
        <v>10.74</v>
      </c>
      <c r="F463" s="41"/>
      <c r="G463" s="41"/>
      <c r="H463" s="3531">
        <v>10.74</v>
      </c>
      <c r="I463" s="3531"/>
      <c r="J463" s="41"/>
      <c r="K463" s="41"/>
      <c r="L463" s="41"/>
      <c r="M463" s="40">
        <v>10.74</v>
      </c>
      <c r="N463" s="40">
        <v>10.74</v>
      </c>
      <c r="O463" s="30"/>
      <c r="P463" s="12"/>
    </row>
    <row r="464" spans="1:16" hidden="1" outlineLevel="4">
      <c r="A464" s="3543" t="s">
        <v>1493</v>
      </c>
      <c r="B464" s="3543"/>
      <c r="C464" s="35"/>
      <c r="D464" s="35"/>
      <c r="E464" s="36">
        <v>1659.89</v>
      </c>
      <c r="F464" s="37"/>
      <c r="G464" s="36">
        <v>1077.8399999999999</v>
      </c>
      <c r="H464" s="3533">
        <v>582.04999999999995</v>
      </c>
      <c r="I464" s="3533"/>
      <c r="J464" s="37"/>
      <c r="K464" s="37"/>
      <c r="L464" s="37"/>
      <c r="M464" s="36">
        <v>1659.89</v>
      </c>
      <c r="N464" s="36">
        <v>1659.89</v>
      </c>
      <c r="O464" s="29"/>
      <c r="P464" s="11"/>
    </row>
    <row r="465" spans="1:16" hidden="1" outlineLevel="5">
      <c r="A465" s="3542" t="s">
        <v>1494</v>
      </c>
      <c r="B465" s="3542"/>
      <c r="C465" s="35"/>
      <c r="D465" s="35"/>
      <c r="E465" s="43">
        <v>162.38999999999999</v>
      </c>
      <c r="F465" s="37"/>
      <c r="G465" s="43">
        <v>152.52000000000001</v>
      </c>
      <c r="H465" s="3533">
        <v>9.8699999999999992</v>
      </c>
      <c r="I465" s="3533"/>
      <c r="J465" s="37"/>
      <c r="K465" s="37"/>
      <c r="L465" s="37"/>
      <c r="M465" s="43">
        <v>162.38999999999999</v>
      </c>
      <c r="N465" s="43">
        <v>162.38999999999999</v>
      </c>
      <c r="O465" s="29"/>
      <c r="P465" s="11"/>
    </row>
    <row r="466" spans="1:16" hidden="1" outlineLevel="6">
      <c r="A466" s="3534" t="s">
        <v>1413</v>
      </c>
      <c r="B466" s="3534"/>
      <c r="C466" s="39"/>
      <c r="D466" s="39"/>
      <c r="E466" s="40">
        <v>5.92</v>
      </c>
      <c r="F466" s="41"/>
      <c r="G466" s="41"/>
      <c r="H466" s="3531">
        <v>5.92</v>
      </c>
      <c r="I466" s="3531"/>
      <c r="J466" s="41"/>
      <c r="K466" s="41"/>
      <c r="L466" s="41"/>
      <c r="M466" s="40">
        <v>5.92</v>
      </c>
      <c r="N466" s="40">
        <v>5.92</v>
      </c>
      <c r="O466" s="30"/>
      <c r="P466" s="12"/>
    </row>
    <row r="467" spans="1:16" hidden="1" outlineLevel="6">
      <c r="A467" s="3534" t="s">
        <v>1429</v>
      </c>
      <c r="B467" s="3534"/>
      <c r="C467" s="39"/>
      <c r="D467" s="39"/>
      <c r="E467" s="40">
        <v>34.880000000000003</v>
      </c>
      <c r="F467" s="41"/>
      <c r="G467" s="40">
        <v>33.450000000000003</v>
      </c>
      <c r="H467" s="3531">
        <v>1.43</v>
      </c>
      <c r="I467" s="3531"/>
      <c r="J467" s="41"/>
      <c r="K467" s="41"/>
      <c r="L467" s="41"/>
      <c r="M467" s="40">
        <v>34.880000000000003</v>
      </c>
      <c r="N467" s="40">
        <v>34.880000000000003</v>
      </c>
      <c r="O467" s="30"/>
      <c r="P467" s="12"/>
    </row>
    <row r="468" spans="1:16" hidden="1" outlineLevel="6">
      <c r="A468" s="3534" t="s">
        <v>1430</v>
      </c>
      <c r="B468" s="3534"/>
      <c r="C468" s="39"/>
      <c r="D468" s="39"/>
      <c r="E468" s="40">
        <v>26.64</v>
      </c>
      <c r="F468" s="41"/>
      <c r="G468" s="40">
        <v>26.08</v>
      </c>
      <c r="H468" s="3531">
        <v>0.56000000000000005</v>
      </c>
      <c r="I468" s="3531"/>
      <c r="J468" s="41"/>
      <c r="K468" s="41"/>
      <c r="L468" s="41"/>
      <c r="M468" s="40">
        <v>26.64</v>
      </c>
      <c r="N468" s="40">
        <v>26.64</v>
      </c>
      <c r="O468" s="30"/>
      <c r="P468" s="12"/>
    </row>
    <row r="469" spans="1:16" hidden="1" outlineLevel="6">
      <c r="A469" s="3534" t="s">
        <v>1431</v>
      </c>
      <c r="B469" s="3534"/>
      <c r="C469" s="39"/>
      <c r="D469" s="39"/>
      <c r="E469" s="40">
        <v>8.8000000000000007</v>
      </c>
      <c r="F469" s="41"/>
      <c r="G469" s="40">
        <v>8.8000000000000007</v>
      </c>
      <c r="H469" s="41"/>
      <c r="I469" s="41"/>
      <c r="J469" s="41"/>
      <c r="K469" s="41"/>
      <c r="L469" s="41"/>
      <c r="M469" s="40">
        <v>8.8000000000000007</v>
      </c>
      <c r="N469" s="40">
        <v>8.8000000000000007</v>
      </c>
      <c r="O469" s="30"/>
      <c r="P469" s="12"/>
    </row>
    <row r="470" spans="1:16" hidden="1" outlineLevel="6">
      <c r="A470" s="3534" t="s">
        <v>1432</v>
      </c>
      <c r="B470" s="3534"/>
      <c r="C470" s="39"/>
      <c r="D470" s="39"/>
      <c r="E470" s="40">
        <v>0.51</v>
      </c>
      <c r="F470" s="41"/>
      <c r="G470" s="41"/>
      <c r="H470" s="3531">
        <v>0.51</v>
      </c>
      <c r="I470" s="3531"/>
      <c r="J470" s="41"/>
      <c r="K470" s="41"/>
      <c r="L470" s="41"/>
      <c r="M470" s="40">
        <v>0.51</v>
      </c>
      <c r="N470" s="40">
        <v>0.51</v>
      </c>
      <c r="O470" s="30"/>
      <c r="P470" s="12"/>
    </row>
    <row r="471" spans="1:16" hidden="1" outlineLevel="6">
      <c r="A471" s="3534" t="s">
        <v>1434</v>
      </c>
      <c r="B471" s="3534"/>
      <c r="C471" s="39"/>
      <c r="D471" s="39"/>
      <c r="E471" s="40">
        <v>1.5</v>
      </c>
      <c r="F471" s="41"/>
      <c r="G471" s="40">
        <v>1.0900000000000001</v>
      </c>
      <c r="H471" s="3531">
        <v>0.41</v>
      </c>
      <c r="I471" s="3531"/>
      <c r="J471" s="41"/>
      <c r="K471" s="41"/>
      <c r="L471" s="41"/>
      <c r="M471" s="40">
        <v>1.5</v>
      </c>
      <c r="N471" s="40">
        <v>1.5</v>
      </c>
      <c r="O471" s="30"/>
      <c r="P471" s="12"/>
    </row>
    <row r="472" spans="1:16" hidden="1" outlineLevel="6">
      <c r="A472" s="3534" t="s">
        <v>1435</v>
      </c>
      <c r="B472" s="3534"/>
      <c r="C472" s="39"/>
      <c r="D472" s="39"/>
      <c r="E472" s="40">
        <v>83.68</v>
      </c>
      <c r="F472" s="41"/>
      <c r="G472" s="40">
        <v>83.1</v>
      </c>
      <c r="H472" s="3531">
        <v>0.57999999999999996</v>
      </c>
      <c r="I472" s="3531"/>
      <c r="J472" s="41"/>
      <c r="K472" s="41"/>
      <c r="L472" s="41"/>
      <c r="M472" s="40">
        <v>83.68</v>
      </c>
      <c r="N472" s="40">
        <v>83.68</v>
      </c>
      <c r="O472" s="30"/>
      <c r="P472" s="12"/>
    </row>
    <row r="473" spans="1:16" hidden="1" outlineLevel="6">
      <c r="A473" s="3534" t="s">
        <v>1455</v>
      </c>
      <c r="B473" s="3534"/>
      <c r="C473" s="39"/>
      <c r="D473" s="39"/>
      <c r="E473" s="40">
        <v>0.46</v>
      </c>
      <c r="F473" s="41"/>
      <c r="G473" s="41"/>
      <c r="H473" s="3531">
        <v>0.46</v>
      </c>
      <c r="I473" s="3531"/>
      <c r="J473" s="41"/>
      <c r="K473" s="41"/>
      <c r="L473" s="41"/>
      <c r="M473" s="40">
        <v>0.46</v>
      </c>
      <c r="N473" s="40">
        <v>0.46</v>
      </c>
      <c r="O473" s="30"/>
      <c r="P473" s="12"/>
    </row>
    <row r="474" spans="1:16" hidden="1" outlineLevel="5" collapsed="1">
      <c r="A474" s="3542" t="s">
        <v>1495</v>
      </c>
      <c r="B474" s="3542"/>
      <c r="C474" s="35"/>
      <c r="D474" s="35"/>
      <c r="E474" s="43">
        <v>60.28</v>
      </c>
      <c r="F474" s="37"/>
      <c r="G474" s="43">
        <v>60.28</v>
      </c>
      <c r="H474" s="37"/>
      <c r="I474" s="37"/>
      <c r="J474" s="37"/>
      <c r="K474" s="37"/>
      <c r="L474" s="37"/>
      <c r="M474" s="43">
        <v>60.28</v>
      </c>
      <c r="N474" s="43">
        <v>60.28</v>
      </c>
      <c r="O474" s="29"/>
      <c r="P474" s="11"/>
    </row>
    <row r="475" spans="1:16" hidden="1" outlineLevel="6">
      <c r="A475" s="3534" t="s">
        <v>1419</v>
      </c>
      <c r="B475" s="3534"/>
      <c r="C475" s="39"/>
      <c r="D475" s="39"/>
      <c r="E475" s="40">
        <v>21.94</v>
      </c>
      <c r="F475" s="41"/>
      <c r="G475" s="40">
        <v>21.94</v>
      </c>
      <c r="H475" s="41"/>
      <c r="I475" s="41"/>
      <c r="J475" s="41"/>
      <c r="K475" s="41"/>
      <c r="L475" s="41"/>
      <c r="M475" s="40">
        <v>21.94</v>
      </c>
      <c r="N475" s="40">
        <v>21.94</v>
      </c>
      <c r="O475" s="30"/>
      <c r="P475" s="12"/>
    </row>
    <row r="476" spans="1:16" hidden="1" outlineLevel="6">
      <c r="A476" s="3534" t="s">
        <v>1420</v>
      </c>
      <c r="B476" s="3534"/>
      <c r="C476" s="39"/>
      <c r="D476" s="39"/>
      <c r="E476" s="40">
        <v>22.25</v>
      </c>
      <c r="F476" s="41"/>
      <c r="G476" s="40">
        <v>22.25</v>
      </c>
      <c r="H476" s="41"/>
      <c r="I476" s="41"/>
      <c r="J476" s="41"/>
      <c r="K476" s="41"/>
      <c r="L476" s="41"/>
      <c r="M476" s="40">
        <v>22.25</v>
      </c>
      <c r="N476" s="40">
        <v>22.25</v>
      </c>
      <c r="O476" s="30"/>
      <c r="P476" s="12"/>
    </row>
    <row r="477" spans="1:16" hidden="1" outlineLevel="6">
      <c r="A477" s="3534" t="s">
        <v>1421</v>
      </c>
      <c r="B477" s="3534"/>
      <c r="C477" s="39"/>
      <c r="D477" s="39"/>
      <c r="E477" s="40">
        <v>6.94</v>
      </c>
      <c r="F477" s="41"/>
      <c r="G477" s="40">
        <v>6.94</v>
      </c>
      <c r="H477" s="41"/>
      <c r="I477" s="41"/>
      <c r="J477" s="41"/>
      <c r="K477" s="41"/>
      <c r="L477" s="41"/>
      <c r="M477" s="40">
        <v>6.94</v>
      </c>
      <c r="N477" s="40">
        <v>6.94</v>
      </c>
      <c r="O477" s="30"/>
      <c r="P477" s="12"/>
    </row>
    <row r="478" spans="1:16" hidden="1" outlineLevel="6">
      <c r="A478" s="3534" t="s">
        <v>1422</v>
      </c>
      <c r="B478" s="3534"/>
      <c r="C478" s="39"/>
      <c r="D478" s="39"/>
      <c r="E478" s="40">
        <v>9.15</v>
      </c>
      <c r="F478" s="41"/>
      <c r="G478" s="40">
        <v>9.15</v>
      </c>
      <c r="H478" s="41"/>
      <c r="I478" s="41"/>
      <c r="J478" s="41"/>
      <c r="K478" s="41"/>
      <c r="L478" s="41"/>
      <c r="M478" s="40">
        <v>9.15</v>
      </c>
      <c r="N478" s="40">
        <v>9.15</v>
      </c>
      <c r="O478" s="30"/>
      <c r="P478" s="12"/>
    </row>
    <row r="479" spans="1:16" hidden="1" outlineLevel="5" collapsed="1">
      <c r="A479" s="3542" t="s">
        <v>1496</v>
      </c>
      <c r="B479" s="3542"/>
      <c r="C479" s="35"/>
      <c r="D479" s="35"/>
      <c r="E479" s="43">
        <v>7.19</v>
      </c>
      <c r="F479" s="37"/>
      <c r="G479" s="43">
        <v>7.19</v>
      </c>
      <c r="H479" s="37"/>
      <c r="I479" s="37"/>
      <c r="J479" s="37"/>
      <c r="K479" s="37"/>
      <c r="L479" s="37"/>
      <c r="M479" s="43">
        <v>7.19</v>
      </c>
      <c r="N479" s="43">
        <v>7.19</v>
      </c>
      <c r="O479" s="29"/>
      <c r="P479" s="11"/>
    </row>
    <row r="480" spans="1:16" hidden="1" outlineLevel="6">
      <c r="A480" s="3534" t="s">
        <v>1423</v>
      </c>
      <c r="B480" s="3534"/>
      <c r="C480" s="39"/>
      <c r="D480" s="39"/>
      <c r="E480" s="40">
        <v>7.19</v>
      </c>
      <c r="F480" s="41"/>
      <c r="G480" s="40">
        <v>7.19</v>
      </c>
      <c r="H480" s="41"/>
      <c r="I480" s="41"/>
      <c r="J480" s="41"/>
      <c r="K480" s="41"/>
      <c r="L480" s="41"/>
      <c r="M480" s="40">
        <v>7.19</v>
      </c>
      <c r="N480" s="40">
        <v>7.19</v>
      </c>
      <c r="O480" s="30"/>
      <c r="P480" s="12"/>
    </row>
    <row r="481" spans="1:16" hidden="1" outlineLevel="5" collapsed="1">
      <c r="A481" s="3542" t="s">
        <v>1497</v>
      </c>
      <c r="B481" s="3542"/>
      <c r="C481" s="35"/>
      <c r="D481" s="35"/>
      <c r="E481" s="43">
        <v>563.55999999999995</v>
      </c>
      <c r="F481" s="37"/>
      <c r="G481" s="43">
        <v>143.16</v>
      </c>
      <c r="H481" s="3533">
        <v>420.4</v>
      </c>
      <c r="I481" s="3533"/>
      <c r="J481" s="37"/>
      <c r="K481" s="37"/>
      <c r="L481" s="37"/>
      <c r="M481" s="43">
        <v>563.55999999999995</v>
      </c>
      <c r="N481" s="43">
        <v>563.55999999999995</v>
      </c>
      <c r="O481" s="29"/>
      <c r="P481" s="11"/>
    </row>
    <row r="482" spans="1:16" hidden="1" outlineLevel="6">
      <c r="A482" s="3534" t="s">
        <v>1414</v>
      </c>
      <c r="B482" s="3534"/>
      <c r="C482" s="39"/>
      <c r="D482" s="39"/>
      <c r="E482" s="40">
        <v>145.63</v>
      </c>
      <c r="F482" s="41"/>
      <c r="G482" s="40">
        <v>99.01</v>
      </c>
      <c r="H482" s="3531">
        <v>46.62</v>
      </c>
      <c r="I482" s="3531"/>
      <c r="J482" s="41"/>
      <c r="K482" s="41"/>
      <c r="L482" s="41"/>
      <c r="M482" s="40">
        <v>145.63</v>
      </c>
      <c r="N482" s="40">
        <v>145.63</v>
      </c>
      <c r="O482" s="30"/>
      <c r="P482" s="12"/>
    </row>
    <row r="483" spans="1:16" hidden="1" outlineLevel="6">
      <c r="A483" s="3534" t="s">
        <v>1415</v>
      </c>
      <c r="B483" s="3534"/>
      <c r="C483" s="39"/>
      <c r="D483" s="39"/>
      <c r="E483" s="40">
        <v>8.86</v>
      </c>
      <c r="F483" s="41"/>
      <c r="G483" s="41"/>
      <c r="H483" s="3531">
        <v>8.86</v>
      </c>
      <c r="I483" s="3531"/>
      <c r="J483" s="41"/>
      <c r="K483" s="41"/>
      <c r="L483" s="41"/>
      <c r="M483" s="40">
        <v>8.86</v>
      </c>
      <c r="N483" s="40">
        <v>8.86</v>
      </c>
      <c r="O483" s="30"/>
      <c r="P483" s="12"/>
    </row>
    <row r="484" spans="1:16" hidden="1" outlineLevel="6">
      <c r="A484" s="3534" t="s">
        <v>1416</v>
      </c>
      <c r="B484" s="3534"/>
      <c r="C484" s="39"/>
      <c r="D484" s="39"/>
      <c r="E484" s="40">
        <v>341.99</v>
      </c>
      <c r="F484" s="41"/>
      <c r="G484" s="40">
        <v>31.32</v>
      </c>
      <c r="H484" s="3531">
        <v>310.67</v>
      </c>
      <c r="I484" s="3531"/>
      <c r="J484" s="41"/>
      <c r="K484" s="41"/>
      <c r="L484" s="41"/>
      <c r="M484" s="40">
        <v>341.99</v>
      </c>
      <c r="N484" s="40">
        <v>341.99</v>
      </c>
      <c r="O484" s="30"/>
      <c r="P484" s="12"/>
    </row>
    <row r="485" spans="1:16" hidden="1" outlineLevel="6">
      <c r="A485" s="3534" t="s">
        <v>1417</v>
      </c>
      <c r="B485" s="3534"/>
      <c r="C485" s="39"/>
      <c r="D485" s="39"/>
      <c r="E485" s="40">
        <v>24.31</v>
      </c>
      <c r="F485" s="41"/>
      <c r="G485" s="40">
        <v>10.67</v>
      </c>
      <c r="H485" s="3531">
        <v>13.64</v>
      </c>
      <c r="I485" s="3531"/>
      <c r="J485" s="41"/>
      <c r="K485" s="41"/>
      <c r="L485" s="41"/>
      <c r="M485" s="40">
        <v>24.31</v>
      </c>
      <c r="N485" s="40">
        <v>24.31</v>
      </c>
      <c r="O485" s="30"/>
      <c r="P485" s="12"/>
    </row>
    <row r="486" spans="1:16" hidden="1" outlineLevel="6">
      <c r="A486" s="3534" t="s">
        <v>1418</v>
      </c>
      <c r="B486" s="3534"/>
      <c r="C486" s="39"/>
      <c r="D486" s="39"/>
      <c r="E486" s="40">
        <v>42.77</v>
      </c>
      <c r="F486" s="41"/>
      <c r="G486" s="40">
        <v>2.16</v>
      </c>
      <c r="H486" s="3531">
        <v>40.61</v>
      </c>
      <c r="I486" s="3531"/>
      <c r="J486" s="41"/>
      <c r="K486" s="41"/>
      <c r="L486" s="41"/>
      <c r="M486" s="40">
        <v>42.77</v>
      </c>
      <c r="N486" s="40">
        <v>42.77</v>
      </c>
      <c r="O486" s="30"/>
      <c r="P486" s="12"/>
    </row>
    <row r="487" spans="1:16" hidden="1" outlineLevel="5" collapsed="1">
      <c r="A487" s="3542" t="s">
        <v>1498</v>
      </c>
      <c r="B487" s="3542"/>
      <c r="C487" s="35"/>
      <c r="D487" s="35"/>
      <c r="E487" s="43">
        <v>140.33000000000001</v>
      </c>
      <c r="F487" s="37"/>
      <c r="G487" s="43">
        <v>138.11000000000001</v>
      </c>
      <c r="H487" s="3533">
        <v>2.2200000000000002</v>
      </c>
      <c r="I487" s="3533"/>
      <c r="J487" s="37"/>
      <c r="K487" s="37"/>
      <c r="L487" s="37"/>
      <c r="M487" s="43">
        <v>140.33000000000001</v>
      </c>
      <c r="N487" s="43">
        <v>140.33000000000001</v>
      </c>
      <c r="O487" s="29"/>
      <c r="P487" s="11"/>
    </row>
    <row r="488" spans="1:16" hidden="1" outlineLevel="6">
      <c r="A488" s="3534" t="s">
        <v>1365</v>
      </c>
      <c r="B488" s="3534"/>
      <c r="C488" s="39"/>
      <c r="D488" s="39"/>
      <c r="E488" s="40">
        <v>101.7</v>
      </c>
      <c r="F488" s="41"/>
      <c r="G488" s="40">
        <v>101.15</v>
      </c>
      <c r="H488" s="3531">
        <v>0.55000000000000004</v>
      </c>
      <c r="I488" s="3531"/>
      <c r="J488" s="41"/>
      <c r="K488" s="41"/>
      <c r="L488" s="41"/>
      <c r="M488" s="40">
        <v>101.7</v>
      </c>
      <c r="N488" s="40">
        <v>101.7</v>
      </c>
      <c r="O488" s="30"/>
      <c r="P488" s="12"/>
    </row>
    <row r="489" spans="1:16" hidden="1" outlineLevel="6">
      <c r="A489" s="3534" t="s">
        <v>1366</v>
      </c>
      <c r="B489" s="3534"/>
      <c r="C489" s="39"/>
      <c r="D489" s="39"/>
      <c r="E489" s="40">
        <v>37.28</v>
      </c>
      <c r="F489" s="41"/>
      <c r="G489" s="40">
        <v>35.61</v>
      </c>
      <c r="H489" s="3531">
        <v>1.67</v>
      </c>
      <c r="I489" s="3531"/>
      <c r="J489" s="41"/>
      <c r="K489" s="41"/>
      <c r="L489" s="41"/>
      <c r="M489" s="40">
        <v>37.28</v>
      </c>
      <c r="N489" s="40">
        <v>37.28</v>
      </c>
      <c r="O489" s="30"/>
      <c r="P489" s="12"/>
    </row>
    <row r="490" spans="1:16" hidden="1" outlineLevel="6">
      <c r="A490" s="3534" t="s">
        <v>1367</v>
      </c>
      <c r="B490" s="3534"/>
      <c r="C490" s="39"/>
      <c r="D490" s="39"/>
      <c r="E490" s="40">
        <v>1.35</v>
      </c>
      <c r="F490" s="41"/>
      <c r="G490" s="40">
        <v>1.35</v>
      </c>
      <c r="H490" s="41"/>
      <c r="I490" s="41"/>
      <c r="J490" s="41"/>
      <c r="K490" s="41"/>
      <c r="L490" s="41"/>
      <c r="M490" s="40">
        <v>1.35</v>
      </c>
      <c r="N490" s="40">
        <v>1.35</v>
      </c>
      <c r="O490" s="30"/>
      <c r="P490" s="12"/>
    </row>
    <row r="491" spans="1:16" hidden="1" outlineLevel="5" collapsed="1">
      <c r="A491" s="3535" t="s">
        <v>1444</v>
      </c>
      <c r="B491" s="3535"/>
      <c r="C491" s="39"/>
      <c r="D491" s="39"/>
      <c r="E491" s="40">
        <v>22.3</v>
      </c>
      <c r="F491" s="41"/>
      <c r="G491" s="40">
        <v>22.3</v>
      </c>
      <c r="H491" s="41"/>
      <c r="I491" s="41"/>
      <c r="J491" s="41"/>
      <c r="K491" s="41"/>
      <c r="L491" s="41"/>
      <c r="M491" s="40">
        <v>22.3</v>
      </c>
      <c r="N491" s="40">
        <v>22.3</v>
      </c>
      <c r="O491" s="30"/>
      <c r="P491" s="12"/>
    </row>
    <row r="492" spans="1:16" hidden="1" outlineLevel="5">
      <c r="A492" s="3535" t="s">
        <v>1445</v>
      </c>
      <c r="B492" s="3535"/>
      <c r="C492" s="39"/>
      <c r="D492" s="39"/>
      <c r="E492" s="40">
        <v>17.93</v>
      </c>
      <c r="F492" s="41"/>
      <c r="G492" s="40">
        <v>17.93</v>
      </c>
      <c r="H492" s="41"/>
      <c r="I492" s="41"/>
      <c r="J492" s="41"/>
      <c r="K492" s="41"/>
      <c r="L492" s="41"/>
      <c r="M492" s="40">
        <v>17.93</v>
      </c>
      <c r="N492" s="40">
        <v>17.93</v>
      </c>
      <c r="O492" s="30"/>
      <c r="P492" s="12"/>
    </row>
    <row r="493" spans="1:16" hidden="1" outlineLevel="5">
      <c r="A493" s="3542" t="s">
        <v>1499</v>
      </c>
      <c r="B493" s="3542"/>
      <c r="C493" s="35"/>
      <c r="D493" s="35"/>
      <c r="E493" s="43">
        <v>235.28</v>
      </c>
      <c r="F493" s="37"/>
      <c r="G493" s="43">
        <v>169.85</v>
      </c>
      <c r="H493" s="3533">
        <v>65.430000000000007</v>
      </c>
      <c r="I493" s="3533"/>
      <c r="J493" s="37"/>
      <c r="K493" s="37"/>
      <c r="L493" s="37"/>
      <c r="M493" s="43">
        <v>235.28</v>
      </c>
      <c r="N493" s="43">
        <v>235.28</v>
      </c>
      <c r="O493" s="29"/>
      <c r="P493" s="11"/>
    </row>
    <row r="494" spans="1:16" hidden="1" outlineLevel="6">
      <c r="A494" s="3534" t="s">
        <v>1447</v>
      </c>
      <c r="B494" s="3534"/>
      <c r="C494" s="39"/>
      <c r="D494" s="39"/>
      <c r="E494" s="40">
        <v>131.88</v>
      </c>
      <c r="F494" s="41"/>
      <c r="G494" s="40">
        <v>131.88</v>
      </c>
      <c r="H494" s="41"/>
      <c r="I494" s="41"/>
      <c r="J494" s="41"/>
      <c r="K494" s="41"/>
      <c r="L494" s="41"/>
      <c r="M494" s="40">
        <v>131.88</v>
      </c>
      <c r="N494" s="40">
        <v>131.88</v>
      </c>
      <c r="O494" s="30"/>
      <c r="P494" s="12"/>
    </row>
    <row r="495" spans="1:16" hidden="1" outlineLevel="6">
      <c r="A495" s="3534" t="s">
        <v>1448</v>
      </c>
      <c r="B495" s="3534"/>
      <c r="C495" s="39"/>
      <c r="D495" s="39"/>
      <c r="E495" s="40">
        <v>30.95</v>
      </c>
      <c r="F495" s="41"/>
      <c r="G495" s="40">
        <v>20.6</v>
      </c>
      <c r="H495" s="3531">
        <v>10.35</v>
      </c>
      <c r="I495" s="3531"/>
      <c r="J495" s="41"/>
      <c r="K495" s="41"/>
      <c r="L495" s="41"/>
      <c r="M495" s="40">
        <v>30.95</v>
      </c>
      <c r="N495" s="40">
        <v>30.95</v>
      </c>
      <c r="O495" s="30"/>
      <c r="P495" s="12"/>
    </row>
    <row r="496" spans="1:16" hidden="1" outlineLevel="6">
      <c r="A496" s="3534" t="s">
        <v>1449</v>
      </c>
      <c r="B496" s="3534"/>
      <c r="C496" s="39"/>
      <c r="D496" s="39"/>
      <c r="E496" s="40">
        <v>2.38</v>
      </c>
      <c r="F496" s="41"/>
      <c r="G496" s="40">
        <v>2.21</v>
      </c>
      <c r="H496" s="3531">
        <v>0.17</v>
      </c>
      <c r="I496" s="3531"/>
      <c r="J496" s="41"/>
      <c r="K496" s="41"/>
      <c r="L496" s="41"/>
      <c r="M496" s="40">
        <v>2.38</v>
      </c>
      <c r="N496" s="40">
        <v>2.38</v>
      </c>
      <c r="O496" s="30"/>
      <c r="P496" s="12"/>
    </row>
    <row r="497" spans="1:16" hidden="1" outlineLevel="6">
      <c r="A497" s="3534" t="s">
        <v>1450</v>
      </c>
      <c r="B497" s="3534"/>
      <c r="C497" s="39"/>
      <c r="D497" s="39"/>
      <c r="E497" s="40">
        <v>24.2</v>
      </c>
      <c r="F497" s="41"/>
      <c r="G497" s="40">
        <v>13.16</v>
      </c>
      <c r="H497" s="3531">
        <v>11.04</v>
      </c>
      <c r="I497" s="3531"/>
      <c r="J497" s="41"/>
      <c r="K497" s="41"/>
      <c r="L497" s="41"/>
      <c r="M497" s="40">
        <v>24.2</v>
      </c>
      <c r="N497" s="40">
        <v>24.2</v>
      </c>
      <c r="O497" s="30"/>
      <c r="P497" s="12"/>
    </row>
    <row r="498" spans="1:16" hidden="1" outlineLevel="6">
      <c r="A498" s="3534" t="s">
        <v>1451</v>
      </c>
      <c r="B498" s="3534"/>
      <c r="C498" s="39"/>
      <c r="D498" s="39"/>
      <c r="E498" s="40">
        <v>43.43</v>
      </c>
      <c r="F498" s="41"/>
      <c r="G498" s="41"/>
      <c r="H498" s="3531">
        <v>43.43</v>
      </c>
      <c r="I498" s="3531"/>
      <c r="J498" s="41"/>
      <c r="K498" s="41"/>
      <c r="L498" s="41"/>
      <c r="M498" s="40">
        <v>43.43</v>
      </c>
      <c r="N498" s="40">
        <v>43.43</v>
      </c>
      <c r="O498" s="30"/>
      <c r="P498" s="12"/>
    </row>
    <row r="499" spans="1:16" hidden="1" outlineLevel="6">
      <c r="A499" s="3534" t="s">
        <v>1452</v>
      </c>
      <c r="B499" s="3534"/>
      <c r="C499" s="39"/>
      <c r="D499" s="39"/>
      <c r="E499" s="40">
        <v>2</v>
      </c>
      <c r="F499" s="41"/>
      <c r="G499" s="40">
        <v>2</v>
      </c>
      <c r="H499" s="41"/>
      <c r="I499" s="41"/>
      <c r="J499" s="41"/>
      <c r="K499" s="41"/>
      <c r="L499" s="41"/>
      <c r="M499" s="40">
        <v>2</v>
      </c>
      <c r="N499" s="40">
        <v>2</v>
      </c>
      <c r="O499" s="30"/>
      <c r="P499" s="12"/>
    </row>
    <row r="500" spans="1:16" hidden="1" outlineLevel="6">
      <c r="A500" s="3534" t="s">
        <v>1453</v>
      </c>
      <c r="B500" s="3534"/>
      <c r="C500" s="39"/>
      <c r="D500" s="39"/>
      <c r="E500" s="40">
        <v>0.44</v>
      </c>
      <c r="F500" s="41"/>
      <c r="G500" s="41"/>
      <c r="H500" s="3531">
        <v>0.44</v>
      </c>
      <c r="I500" s="3531"/>
      <c r="J500" s="41"/>
      <c r="K500" s="41"/>
      <c r="L500" s="41"/>
      <c r="M500" s="40">
        <v>0.44</v>
      </c>
      <c r="N500" s="40">
        <v>0.44</v>
      </c>
      <c r="O500" s="30"/>
      <c r="P500" s="12"/>
    </row>
    <row r="501" spans="1:16" hidden="1" outlineLevel="5" collapsed="1">
      <c r="A501" s="3535" t="s">
        <v>1454</v>
      </c>
      <c r="B501" s="3535"/>
      <c r="C501" s="39"/>
      <c r="D501" s="39"/>
      <c r="E501" s="40">
        <v>14.7</v>
      </c>
      <c r="F501" s="41"/>
      <c r="G501" s="41"/>
      <c r="H501" s="3531">
        <v>14.7</v>
      </c>
      <c r="I501" s="3531"/>
      <c r="J501" s="41"/>
      <c r="K501" s="41"/>
      <c r="L501" s="41"/>
      <c r="M501" s="40">
        <v>14.7</v>
      </c>
      <c r="N501" s="40">
        <v>14.7</v>
      </c>
      <c r="O501" s="30"/>
      <c r="P501" s="12"/>
    </row>
    <row r="502" spans="1:16" hidden="1" outlineLevel="5">
      <c r="A502" s="3535" t="s">
        <v>1456</v>
      </c>
      <c r="B502" s="3535"/>
      <c r="C502" s="39"/>
      <c r="D502" s="39"/>
      <c r="E502" s="40">
        <v>435.93</v>
      </c>
      <c r="F502" s="41"/>
      <c r="G502" s="40">
        <v>366.5</v>
      </c>
      <c r="H502" s="3531">
        <v>69.430000000000007</v>
      </c>
      <c r="I502" s="3531"/>
      <c r="J502" s="41"/>
      <c r="K502" s="41"/>
      <c r="L502" s="41"/>
      <c r="M502" s="40">
        <v>435.93</v>
      </c>
      <c r="N502" s="40">
        <v>435.93</v>
      </c>
      <c r="O502" s="30"/>
      <c r="P502" s="12"/>
    </row>
    <row r="503" spans="1:16" outlineLevel="3" collapsed="1">
      <c r="A503" s="3541" t="s">
        <v>1500</v>
      </c>
      <c r="B503" s="3541"/>
      <c r="C503" s="35"/>
      <c r="D503" s="35"/>
      <c r="E503" s="36">
        <v>874258.2</v>
      </c>
      <c r="F503" s="37"/>
      <c r="G503" s="36">
        <v>873392.84</v>
      </c>
      <c r="H503" s="3533">
        <v>808.21</v>
      </c>
      <c r="I503" s="3533"/>
      <c r="J503" s="43">
        <v>57.15</v>
      </c>
      <c r="K503" s="37"/>
      <c r="L503" s="37"/>
      <c r="M503" s="36">
        <v>874258.2</v>
      </c>
      <c r="N503" s="36">
        <v>874258.2</v>
      </c>
      <c r="O503" s="29"/>
      <c r="P503" s="11"/>
    </row>
    <row r="504" spans="1:16" hidden="1" outlineLevel="4">
      <c r="A504" s="3539" t="s">
        <v>1391</v>
      </c>
      <c r="B504" s="3539"/>
      <c r="C504" s="39"/>
      <c r="D504" s="39"/>
      <c r="E504" s="42">
        <v>120141.19</v>
      </c>
      <c r="F504" s="41"/>
      <c r="G504" s="42">
        <v>120028</v>
      </c>
      <c r="H504" s="3531">
        <v>103.61</v>
      </c>
      <c r="I504" s="3531"/>
      <c r="J504" s="40">
        <v>9.58</v>
      </c>
      <c r="K504" s="41"/>
      <c r="L504" s="41"/>
      <c r="M504" s="42">
        <v>120141.19</v>
      </c>
      <c r="N504" s="42">
        <v>120141.19</v>
      </c>
      <c r="O504" s="30"/>
      <c r="P504" s="12"/>
    </row>
    <row r="505" spans="1:16" hidden="1" outlineLevel="4">
      <c r="A505" s="3539" t="s">
        <v>1392</v>
      </c>
      <c r="B505" s="3539"/>
      <c r="C505" s="39"/>
      <c r="D505" s="39"/>
      <c r="E505" s="42">
        <v>9802.26</v>
      </c>
      <c r="F505" s="41"/>
      <c r="G505" s="42">
        <v>9789.2999999999993</v>
      </c>
      <c r="H505" s="3531">
        <v>12.96</v>
      </c>
      <c r="I505" s="3531"/>
      <c r="J505" s="41"/>
      <c r="K505" s="41"/>
      <c r="L505" s="41"/>
      <c r="M505" s="42">
        <v>9802.26</v>
      </c>
      <c r="N505" s="42">
        <v>9802.26</v>
      </c>
      <c r="O505" s="30"/>
      <c r="P505" s="12"/>
    </row>
    <row r="506" spans="1:16" hidden="1" outlineLevel="4">
      <c r="A506" s="3539" t="s">
        <v>1393</v>
      </c>
      <c r="B506" s="3539"/>
      <c r="C506" s="39"/>
      <c r="D506" s="39"/>
      <c r="E506" s="42">
        <v>3790.19</v>
      </c>
      <c r="F506" s="41"/>
      <c r="G506" s="42">
        <v>3773.74</v>
      </c>
      <c r="H506" s="3531">
        <v>16.45</v>
      </c>
      <c r="I506" s="3531"/>
      <c r="J506" s="41"/>
      <c r="K506" s="41"/>
      <c r="L506" s="41"/>
      <c r="M506" s="42">
        <v>3790.19</v>
      </c>
      <c r="N506" s="42">
        <v>3790.19</v>
      </c>
      <c r="O506" s="30"/>
      <c r="P506" s="12"/>
    </row>
    <row r="507" spans="1:16" hidden="1" outlineLevel="4">
      <c r="A507" s="3539" t="s">
        <v>1394</v>
      </c>
      <c r="B507" s="3539"/>
      <c r="C507" s="39"/>
      <c r="D507" s="39"/>
      <c r="E507" s="42">
        <v>3918.48</v>
      </c>
      <c r="F507" s="41"/>
      <c r="G507" s="42">
        <v>3917.08</v>
      </c>
      <c r="H507" s="3531">
        <v>1.4</v>
      </c>
      <c r="I507" s="3531"/>
      <c r="J507" s="41"/>
      <c r="K507" s="41"/>
      <c r="L507" s="41"/>
      <c r="M507" s="42">
        <v>3918.48</v>
      </c>
      <c r="N507" s="42">
        <v>3918.48</v>
      </c>
      <c r="O507" s="30"/>
      <c r="P507" s="12"/>
    </row>
    <row r="508" spans="1:16" hidden="1" outlineLevel="4">
      <c r="A508" s="3539" t="s">
        <v>1395</v>
      </c>
      <c r="B508" s="3539"/>
      <c r="C508" s="39"/>
      <c r="D508" s="39"/>
      <c r="E508" s="42">
        <v>10027.1</v>
      </c>
      <c r="F508" s="41"/>
      <c r="G508" s="42">
        <v>10016.91</v>
      </c>
      <c r="H508" s="3531">
        <v>10.19</v>
      </c>
      <c r="I508" s="3531"/>
      <c r="J508" s="41"/>
      <c r="K508" s="41"/>
      <c r="L508" s="41"/>
      <c r="M508" s="42">
        <v>10027.1</v>
      </c>
      <c r="N508" s="42">
        <v>10027.1</v>
      </c>
      <c r="O508" s="30"/>
      <c r="P508" s="12"/>
    </row>
    <row r="509" spans="1:16" hidden="1" outlineLevel="4">
      <c r="A509" s="3539" t="s">
        <v>1396</v>
      </c>
      <c r="B509" s="3539"/>
      <c r="C509" s="39"/>
      <c r="D509" s="39"/>
      <c r="E509" s="42">
        <v>518227.42</v>
      </c>
      <c r="F509" s="41"/>
      <c r="G509" s="42">
        <v>517768.54</v>
      </c>
      <c r="H509" s="3531">
        <v>417.51</v>
      </c>
      <c r="I509" s="3531"/>
      <c r="J509" s="40">
        <v>41.37</v>
      </c>
      <c r="K509" s="41"/>
      <c r="L509" s="41"/>
      <c r="M509" s="42">
        <v>518227.42</v>
      </c>
      <c r="N509" s="42">
        <v>518227.42</v>
      </c>
      <c r="O509" s="30"/>
      <c r="P509" s="12"/>
    </row>
    <row r="510" spans="1:16" hidden="1" outlineLevel="4">
      <c r="A510" s="3539" t="s">
        <v>1397</v>
      </c>
      <c r="B510" s="3539"/>
      <c r="C510" s="39"/>
      <c r="D510" s="39"/>
      <c r="E510" s="42">
        <v>33686.550000000003</v>
      </c>
      <c r="F510" s="41"/>
      <c r="G510" s="42">
        <v>33634.44</v>
      </c>
      <c r="H510" s="3531">
        <v>52.11</v>
      </c>
      <c r="I510" s="3531"/>
      <c r="J510" s="41"/>
      <c r="K510" s="41"/>
      <c r="L510" s="41"/>
      <c r="M510" s="42">
        <v>33686.550000000003</v>
      </c>
      <c r="N510" s="42">
        <v>33686.550000000003</v>
      </c>
      <c r="O510" s="30"/>
      <c r="P510" s="12"/>
    </row>
    <row r="511" spans="1:16" hidden="1" outlineLevel="4">
      <c r="A511" s="3539" t="s">
        <v>1398</v>
      </c>
      <c r="B511" s="3539"/>
      <c r="C511" s="39"/>
      <c r="D511" s="39"/>
      <c r="E511" s="42">
        <v>18389.82</v>
      </c>
      <c r="F511" s="41"/>
      <c r="G511" s="42">
        <v>18324.84</v>
      </c>
      <c r="H511" s="3531">
        <v>64.98</v>
      </c>
      <c r="I511" s="3531"/>
      <c r="J511" s="41"/>
      <c r="K511" s="41"/>
      <c r="L511" s="41"/>
      <c r="M511" s="42">
        <v>18389.82</v>
      </c>
      <c r="N511" s="42">
        <v>18389.82</v>
      </c>
      <c r="O511" s="30"/>
      <c r="P511" s="12"/>
    </row>
    <row r="512" spans="1:16" hidden="1" outlineLevel="4">
      <c r="A512" s="3539" t="s">
        <v>1399</v>
      </c>
      <c r="B512" s="3539"/>
      <c r="C512" s="39"/>
      <c r="D512" s="39"/>
      <c r="E512" s="42">
        <v>16903.48</v>
      </c>
      <c r="F512" s="41"/>
      <c r="G512" s="42">
        <v>16897.330000000002</v>
      </c>
      <c r="H512" s="3531">
        <v>6.15</v>
      </c>
      <c r="I512" s="3531"/>
      <c r="J512" s="41"/>
      <c r="K512" s="41"/>
      <c r="L512" s="41"/>
      <c r="M512" s="42">
        <v>16903.48</v>
      </c>
      <c r="N512" s="42">
        <v>16903.48</v>
      </c>
      <c r="O512" s="30"/>
      <c r="P512" s="12"/>
    </row>
    <row r="513" spans="1:16" hidden="1" outlineLevel="4">
      <c r="A513" s="3539" t="s">
        <v>1400</v>
      </c>
      <c r="B513" s="3539"/>
      <c r="C513" s="39"/>
      <c r="D513" s="39"/>
      <c r="E513" s="42">
        <v>43398.07</v>
      </c>
      <c r="F513" s="41"/>
      <c r="G513" s="42">
        <v>43356.86</v>
      </c>
      <c r="H513" s="3531">
        <v>41.21</v>
      </c>
      <c r="I513" s="3531"/>
      <c r="J513" s="41"/>
      <c r="K513" s="41"/>
      <c r="L513" s="41"/>
      <c r="M513" s="42">
        <v>43398.07</v>
      </c>
      <c r="N513" s="42">
        <v>43398.07</v>
      </c>
      <c r="O513" s="30"/>
      <c r="P513" s="12"/>
    </row>
    <row r="514" spans="1:16" hidden="1" outlineLevel="4">
      <c r="A514" s="3539" t="s">
        <v>1401</v>
      </c>
      <c r="B514" s="3539"/>
      <c r="C514" s="39"/>
      <c r="D514" s="39"/>
      <c r="E514" s="42">
        <v>9421.73</v>
      </c>
      <c r="F514" s="41"/>
      <c r="G514" s="42">
        <v>9413.26</v>
      </c>
      <c r="H514" s="3531">
        <v>7.72</v>
      </c>
      <c r="I514" s="3531"/>
      <c r="J514" s="40">
        <v>0.75</v>
      </c>
      <c r="K514" s="41"/>
      <c r="L514" s="41"/>
      <c r="M514" s="42">
        <v>9421.73</v>
      </c>
      <c r="N514" s="42">
        <v>9421.73</v>
      </c>
      <c r="O514" s="30"/>
      <c r="P514" s="12"/>
    </row>
    <row r="515" spans="1:16" hidden="1" outlineLevel="4">
      <c r="A515" s="3539" t="s">
        <v>1402</v>
      </c>
      <c r="B515" s="3539"/>
      <c r="C515" s="39"/>
      <c r="D515" s="39"/>
      <c r="E515" s="40">
        <v>768.74</v>
      </c>
      <c r="F515" s="41"/>
      <c r="G515" s="40">
        <v>767.69</v>
      </c>
      <c r="H515" s="3531">
        <v>1.05</v>
      </c>
      <c r="I515" s="3531"/>
      <c r="J515" s="41"/>
      <c r="K515" s="41"/>
      <c r="L515" s="41"/>
      <c r="M515" s="40">
        <v>768.74</v>
      </c>
      <c r="N515" s="40">
        <v>768.74</v>
      </c>
      <c r="O515" s="30"/>
      <c r="P515" s="12"/>
    </row>
    <row r="516" spans="1:16" hidden="1" outlineLevel="4">
      <c r="A516" s="3539" t="s">
        <v>1403</v>
      </c>
      <c r="B516" s="3539"/>
      <c r="C516" s="39"/>
      <c r="D516" s="39"/>
      <c r="E516" s="40">
        <v>354.5</v>
      </c>
      <c r="F516" s="41"/>
      <c r="G516" s="40">
        <v>353.25</v>
      </c>
      <c r="H516" s="3531">
        <v>1.25</v>
      </c>
      <c r="I516" s="3531"/>
      <c r="J516" s="41"/>
      <c r="K516" s="41"/>
      <c r="L516" s="41"/>
      <c r="M516" s="40">
        <v>354.5</v>
      </c>
      <c r="N516" s="40">
        <v>354.5</v>
      </c>
      <c r="O516" s="30"/>
      <c r="P516" s="12"/>
    </row>
    <row r="517" spans="1:16" hidden="1" outlineLevel="4">
      <c r="A517" s="3539" t="s">
        <v>1404</v>
      </c>
      <c r="B517" s="3539"/>
      <c r="C517" s="39"/>
      <c r="D517" s="39"/>
      <c r="E517" s="40">
        <v>307.18</v>
      </c>
      <c r="F517" s="41"/>
      <c r="G517" s="40">
        <v>307.10000000000002</v>
      </c>
      <c r="H517" s="3531">
        <v>0.08</v>
      </c>
      <c r="I517" s="3531"/>
      <c r="J517" s="41"/>
      <c r="K517" s="41"/>
      <c r="L517" s="41"/>
      <c r="M517" s="40">
        <v>307.18</v>
      </c>
      <c r="N517" s="40">
        <v>307.18</v>
      </c>
      <c r="O517" s="30"/>
      <c r="P517" s="12"/>
    </row>
    <row r="518" spans="1:16" hidden="1" outlineLevel="4">
      <c r="A518" s="3539" t="s">
        <v>1405</v>
      </c>
      <c r="B518" s="3539"/>
      <c r="C518" s="39"/>
      <c r="D518" s="39"/>
      <c r="E518" s="40">
        <v>780.71</v>
      </c>
      <c r="F518" s="41"/>
      <c r="G518" s="40">
        <v>780.41</v>
      </c>
      <c r="H518" s="3531">
        <v>0.3</v>
      </c>
      <c r="I518" s="3531"/>
      <c r="J518" s="41"/>
      <c r="K518" s="41"/>
      <c r="L518" s="41"/>
      <c r="M518" s="40">
        <v>780.71</v>
      </c>
      <c r="N518" s="40">
        <v>780.71</v>
      </c>
      <c r="O518" s="30"/>
      <c r="P518" s="12"/>
    </row>
    <row r="519" spans="1:16" hidden="1" outlineLevel="4">
      <c r="A519" s="3539" t="s">
        <v>1406</v>
      </c>
      <c r="B519" s="3539"/>
      <c r="C519" s="39"/>
      <c r="D519" s="39"/>
      <c r="E519" s="42">
        <v>68305.210000000006</v>
      </c>
      <c r="F519" s="41"/>
      <c r="G519" s="42">
        <v>68249.33</v>
      </c>
      <c r="H519" s="3531">
        <v>50.43</v>
      </c>
      <c r="I519" s="3531"/>
      <c r="J519" s="40">
        <v>5.45</v>
      </c>
      <c r="K519" s="41"/>
      <c r="L519" s="41"/>
      <c r="M519" s="42">
        <v>68305.210000000006</v>
      </c>
      <c r="N519" s="42">
        <v>68305.210000000006</v>
      </c>
      <c r="O519" s="30"/>
      <c r="P519" s="12"/>
    </row>
    <row r="520" spans="1:16" hidden="1" outlineLevel="4">
      <c r="A520" s="3539" t="s">
        <v>1407</v>
      </c>
      <c r="B520" s="3539"/>
      <c r="C520" s="39"/>
      <c r="D520" s="39"/>
      <c r="E520" s="42">
        <v>5573.87</v>
      </c>
      <c r="F520" s="41"/>
      <c r="G520" s="42">
        <v>5566.5</v>
      </c>
      <c r="H520" s="3531">
        <v>7.37</v>
      </c>
      <c r="I520" s="3531"/>
      <c r="J520" s="41"/>
      <c r="K520" s="41"/>
      <c r="L520" s="41"/>
      <c r="M520" s="42">
        <v>5573.87</v>
      </c>
      <c r="N520" s="42">
        <v>5573.87</v>
      </c>
      <c r="O520" s="30"/>
      <c r="P520" s="12"/>
    </row>
    <row r="521" spans="1:16" hidden="1" outlineLevel="4">
      <c r="A521" s="3539" t="s">
        <v>1408</v>
      </c>
      <c r="B521" s="3539"/>
      <c r="C521" s="39"/>
      <c r="D521" s="39"/>
      <c r="E521" s="42">
        <v>2569.6</v>
      </c>
      <c r="F521" s="41"/>
      <c r="G521" s="42">
        <v>2561.88</v>
      </c>
      <c r="H521" s="3531">
        <v>7.72</v>
      </c>
      <c r="I521" s="3531"/>
      <c r="J521" s="41"/>
      <c r="K521" s="41"/>
      <c r="L521" s="41"/>
      <c r="M521" s="42">
        <v>2569.6</v>
      </c>
      <c r="N521" s="42">
        <v>2569.6</v>
      </c>
      <c r="O521" s="30"/>
      <c r="P521" s="12"/>
    </row>
    <row r="522" spans="1:16" hidden="1" outlineLevel="4">
      <c r="A522" s="3539" t="s">
        <v>1409</v>
      </c>
      <c r="B522" s="3539"/>
      <c r="C522" s="39"/>
      <c r="D522" s="39"/>
      <c r="E522" s="42">
        <v>2228.21</v>
      </c>
      <c r="F522" s="41"/>
      <c r="G522" s="42">
        <v>2227.38</v>
      </c>
      <c r="H522" s="3531">
        <v>0.83</v>
      </c>
      <c r="I522" s="3531"/>
      <c r="J522" s="41"/>
      <c r="K522" s="41"/>
      <c r="L522" s="41"/>
      <c r="M522" s="42">
        <v>2228.21</v>
      </c>
      <c r="N522" s="42">
        <v>2228.21</v>
      </c>
      <c r="O522" s="30"/>
      <c r="P522" s="12"/>
    </row>
    <row r="523" spans="1:16" hidden="1" outlineLevel="4">
      <c r="A523" s="3539" t="s">
        <v>1410</v>
      </c>
      <c r="B523" s="3539"/>
      <c r="C523" s="39"/>
      <c r="D523" s="39"/>
      <c r="E523" s="42">
        <v>5663.89</v>
      </c>
      <c r="F523" s="41"/>
      <c r="G523" s="42">
        <v>5659</v>
      </c>
      <c r="H523" s="3531">
        <v>4.8899999999999997</v>
      </c>
      <c r="I523" s="3531"/>
      <c r="J523" s="41"/>
      <c r="K523" s="41"/>
      <c r="L523" s="41"/>
      <c r="M523" s="42">
        <v>5663.89</v>
      </c>
      <c r="N523" s="42">
        <v>5663.89</v>
      </c>
      <c r="O523" s="30"/>
      <c r="P523" s="12"/>
    </row>
    <row r="524" spans="1:16" collapsed="1">
      <c r="A524" s="3540" t="s">
        <v>1501</v>
      </c>
      <c r="B524" s="3540"/>
      <c r="C524" s="45"/>
      <c r="D524" s="45"/>
      <c r="E524" s="46">
        <v>6114158.4900000002</v>
      </c>
      <c r="F524" s="46">
        <v>51758.76</v>
      </c>
      <c r="G524" s="46">
        <v>5737368.71</v>
      </c>
      <c r="H524" s="3532">
        <v>71743.25</v>
      </c>
      <c r="I524" s="3532"/>
      <c r="J524" s="46">
        <v>26585.85</v>
      </c>
      <c r="K524" s="46">
        <v>87455.360000000001</v>
      </c>
      <c r="L524" s="47">
        <v>139246.56</v>
      </c>
      <c r="M524" s="46">
        <v>6114158.4900000002</v>
      </c>
      <c r="N524" s="46">
        <v>6114158.4900000002</v>
      </c>
      <c r="O524" s="31"/>
      <c r="P524" s="23"/>
    </row>
  </sheetData>
  <mergeCells count="922">
    <mergeCell ref="M8:M10"/>
    <mergeCell ref="N8:N10"/>
    <mergeCell ref="O8:O10"/>
    <mergeCell ref="P8:P10"/>
    <mergeCell ref="J8:J10"/>
    <mergeCell ref="K8:K10"/>
    <mergeCell ref="L8:L10"/>
    <mergeCell ref="A8:B8"/>
    <mergeCell ref="C8:C10"/>
    <mergeCell ref="D8:D10"/>
    <mergeCell ref="E8:E10"/>
    <mergeCell ref="A19:B19"/>
    <mergeCell ref="A20:B20"/>
    <mergeCell ref="A21:B21"/>
    <mergeCell ref="A17:B17"/>
    <mergeCell ref="A18:B18"/>
    <mergeCell ref="A13:B13"/>
    <mergeCell ref="A9:B9"/>
    <mergeCell ref="A10:B10"/>
    <mergeCell ref="A11:B11"/>
    <mergeCell ref="A12:B12"/>
    <mergeCell ref="A14:B14"/>
    <mergeCell ref="A29:B29"/>
    <mergeCell ref="A30:B30"/>
    <mergeCell ref="A31:B31"/>
    <mergeCell ref="A26:B26"/>
    <mergeCell ref="A27:B27"/>
    <mergeCell ref="A28:B28"/>
    <mergeCell ref="A22:B22"/>
    <mergeCell ref="A23:B23"/>
    <mergeCell ref="A24:B24"/>
    <mergeCell ref="A25:B25"/>
    <mergeCell ref="A38:B38"/>
    <mergeCell ref="A39:B39"/>
    <mergeCell ref="A40:B40"/>
    <mergeCell ref="A41:B41"/>
    <mergeCell ref="A35:B35"/>
    <mergeCell ref="A36:B36"/>
    <mergeCell ref="A37:B37"/>
    <mergeCell ref="A32:B32"/>
    <mergeCell ref="A33:B33"/>
    <mergeCell ref="A34:B34"/>
    <mergeCell ref="A48:B48"/>
    <mergeCell ref="A49:B49"/>
    <mergeCell ref="A50:B50"/>
    <mergeCell ref="A45:B45"/>
    <mergeCell ref="A46:B46"/>
    <mergeCell ref="A47:B47"/>
    <mergeCell ref="A42:B42"/>
    <mergeCell ref="A43:B43"/>
    <mergeCell ref="A44:B44"/>
    <mergeCell ref="A57:B57"/>
    <mergeCell ref="A58:B58"/>
    <mergeCell ref="A59:B59"/>
    <mergeCell ref="A54:B54"/>
    <mergeCell ref="A55:B55"/>
    <mergeCell ref="A56:B56"/>
    <mergeCell ref="A51:B51"/>
    <mergeCell ref="A52:B52"/>
    <mergeCell ref="A53:B53"/>
    <mergeCell ref="A66:B66"/>
    <mergeCell ref="A67:B67"/>
    <mergeCell ref="A68:B68"/>
    <mergeCell ref="A63:B63"/>
    <mergeCell ref="A64:B64"/>
    <mergeCell ref="A65:B65"/>
    <mergeCell ref="A60:B60"/>
    <mergeCell ref="A61:B61"/>
    <mergeCell ref="A62:B62"/>
    <mergeCell ref="A75:B75"/>
    <mergeCell ref="A76:B76"/>
    <mergeCell ref="A77:B77"/>
    <mergeCell ref="A72:B72"/>
    <mergeCell ref="A73:B73"/>
    <mergeCell ref="A74:B74"/>
    <mergeCell ref="A69:B69"/>
    <mergeCell ref="A70:B70"/>
    <mergeCell ref="A71:B71"/>
    <mergeCell ref="A84:B84"/>
    <mergeCell ref="A85:B85"/>
    <mergeCell ref="A86:B86"/>
    <mergeCell ref="A81:B81"/>
    <mergeCell ref="A82:B82"/>
    <mergeCell ref="A83:B83"/>
    <mergeCell ref="A78:B78"/>
    <mergeCell ref="A79:B79"/>
    <mergeCell ref="A80:B80"/>
    <mergeCell ref="A93:B93"/>
    <mergeCell ref="A94:B94"/>
    <mergeCell ref="A95:B95"/>
    <mergeCell ref="A90:B90"/>
    <mergeCell ref="A91:B91"/>
    <mergeCell ref="A92:B92"/>
    <mergeCell ref="A87:B87"/>
    <mergeCell ref="A88:B88"/>
    <mergeCell ref="A89:B89"/>
    <mergeCell ref="A102:B102"/>
    <mergeCell ref="A103:B103"/>
    <mergeCell ref="A104:B104"/>
    <mergeCell ref="A99:B99"/>
    <mergeCell ref="A100:B100"/>
    <mergeCell ref="A101:B101"/>
    <mergeCell ref="A96:B96"/>
    <mergeCell ref="A97:B97"/>
    <mergeCell ref="A98:B98"/>
    <mergeCell ref="A113:B113"/>
    <mergeCell ref="A114:B114"/>
    <mergeCell ref="A115:B115"/>
    <mergeCell ref="A109:B109"/>
    <mergeCell ref="A110:B110"/>
    <mergeCell ref="A111:B111"/>
    <mergeCell ref="A112:B112"/>
    <mergeCell ref="A105:B105"/>
    <mergeCell ref="A106:B106"/>
    <mergeCell ref="A107:B107"/>
    <mergeCell ref="A108:B108"/>
    <mergeCell ref="A124:B124"/>
    <mergeCell ref="A125:B125"/>
    <mergeCell ref="A126:B126"/>
    <mergeCell ref="A127:B127"/>
    <mergeCell ref="A120:B120"/>
    <mergeCell ref="A121:B121"/>
    <mergeCell ref="A122:B122"/>
    <mergeCell ref="A123:B123"/>
    <mergeCell ref="A116:B116"/>
    <mergeCell ref="A117:B117"/>
    <mergeCell ref="A118:B118"/>
    <mergeCell ref="A119:B119"/>
    <mergeCell ref="A134:B134"/>
    <mergeCell ref="A135:B135"/>
    <mergeCell ref="A136:B136"/>
    <mergeCell ref="A137:B137"/>
    <mergeCell ref="A131:B131"/>
    <mergeCell ref="A132:B132"/>
    <mergeCell ref="A133:B133"/>
    <mergeCell ref="A128:B128"/>
    <mergeCell ref="A129:B129"/>
    <mergeCell ref="A130:B130"/>
    <mergeCell ref="A145:B145"/>
    <mergeCell ref="A146:B146"/>
    <mergeCell ref="A147:B147"/>
    <mergeCell ref="A148:B148"/>
    <mergeCell ref="A149:B149"/>
    <mergeCell ref="A142:B142"/>
    <mergeCell ref="A143:B143"/>
    <mergeCell ref="A144:B144"/>
    <mergeCell ref="A138:B138"/>
    <mergeCell ref="A139:B139"/>
    <mergeCell ref="A140:B140"/>
    <mergeCell ref="A141:B141"/>
    <mergeCell ref="A157:B157"/>
    <mergeCell ref="A158:B158"/>
    <mergeCell ref="A159:B159"/>
    <mergeCell ref="A153:B153"/>
    <mergeCell ref="A154:B154"/>
    <mergeCell ref="A155:B155"/>
    <mergeCell ref="A156:B156"/>
    <mergeCell ref="A150:B150"/>
    <mergeCell ref="A151:B151"/>
    <mergeCell ref="A152:B152"/>
    <mergeCell ref="A166:B166"/>
    <mergeCell ref="A167:B167"/>
    <mergeCell ref="A168:B168"/>
    <mergeCell ref="A169:B169"/>
    <mergeCell ref="A163:B163"/>
    <mergeCell ref="A164:B164"/>
    <mergeCell ref="A165:B165"/>
    <mergeCell ref="A160:B160"/>
    <mergeCell ref="A161:B161"/>
    <mergeCell ref="A162:B162"/>
    <mergeCell ref="A176:B176"/>
    <mergeCell ref="A177:B177"/>
    <mergeCell ref="A178:B178"/>
    <mergeCell ref="A173:B173"/>
    <mergeCell ref="A174:B174"/>
    <mergeCell ref="A175:B175"/>
    <mergeCell ref="A170:B170"/>
    <mergeCell ref="A171:B171"/>
    <mergeCell ref="A172:B172"/>
    <mergeCell ref="A186:B186"/>
    <mergeCell ref="A187:B187"/>
    <mergeCell ref="A183:B183"/>
    <mergeCell ref="A184:B184"/>
    <mergeCell ref="A185:B185"/>
    <mergeCell ref="A179:B179"/>
    <mergeCell ref="A180:B180"/>
    <mergeCell ref="A181:B181"/>
    <mergeCell ref="A182:B182"/>
    <mergeCell ref="A194:B194"/>
    <mergeCell ref="A195:B195"/>
    <mergeCell ref="A196:B196"/>
    <mergeCell ref="A191:B191"/>
    <mergeCell ref="A192:B192"/>
    <mergeCell ref="A193:B193"/>
    <mergeCell ref="A188:B188"/>
    <mergeCell ref="A189:B189"/>
    <mergeCell ref="A190:B190"/>
    <mergeCell ref="A203:B203"/>
    <mergeCell ref="A204:B204"/>
    <mergeCell ref="A205:B205"/>
    <mergeCell ref="A200:B200"/>
    <mergeCell ref="A201:B201"/>
    <mergeCell ref="A202:B202"/>
    <mergeCell ref="A197:B197"/>
    <mergeCell ref="A198:B198"/>
    <mergeCell ref="A199:B199"/>
    <mergeCell ref="A212:B212"/>
    <mergeCell ref="A213:B213"/>
    <mergeCell ref="A214:B214"/>
    <mergeCell ref="A209:B209"/>
    <mergeCell ref="A210:B210"/>
    <mergeCell ref="A211:B211"/>
    <mergeCell ref="A206:B206"/>
    <mergeCell ref="A207:B207"/>
    <mergeCell ref="A208:B208"/>
    <mergeCell ref="A221:B221"/>
    <mergeCell ref="A222:B222"/>
    <mergeCell ref="A223:B223"/>
    <mergeCell ref="A218:B218"/>
    <mergeCell ref="A219:B219"/>
    <mergeCell ref="A220:B220"/>
    <mergeCell ref="A215:B215"/>
    <mergeCell ref="A216:B216"/>
    <mergeCell ref="A217:B217"/>
    <mergeCell ref="A230:B230"/>
    <mergeCell ref="A231:B231"/>
    <mergeCell ref="A232:B232"/>
    <mergeCell ref="A227:B227"/>
    <mergeCell ref="A228:B228"/>
    <mergeCell ref="A229:B229"/>
    <mergeCell ref="A224:B224"/>
    <mergeCell ref="A225:B225"/>
    <mergeCell ref="A226:B226"/>
    <mergeCell ref="A239:B239"/>
    <mergeCell ref="A240:B240"/>
    <mergeCell ref="A241:B241"/>
    <mergeCell ref="A236:B236"/>
    <mergeCell ref="A237:B237"/>
    <mergeCell ref="A238:B238"/>
    <mergeCell ref="A233:B233"/>
    <mergeCell ref="A234:B234"/>
    <mergeCell ref="A235:B235"/>
    <mergeCell ref="A249:B249"/>
    <mergeCell ref="A250:B250"/>
    <mergeCell ref="A251:B251"/>
    <mergeCell ref="A245:B245"/>
    <mergeCell ref="A246:B246"/>
    <mergeCell ref="A247:B247"/>
    <mergeCell ref="A248:B248"/>
    <mergeCell ref="A242:B242"/>
    <mergeCell ref="A243:B243"/>
    <mergeCell ref="A244:B244"/>
    <mergeCell ref="A258:B258"/>
    <mergeCell ref="A259:B259"/>
    <mergeCell ref="A260:B260"/>
    <mergeCell ref="A261:B261"/>
    <mergeCell ref="A255:B255"/>
    <mergeCell ref="A256:B256"/>
    <mergeCell ref="A257:B257"/>
    <mergeCell ref="A252:B252"/>
    <mergeCell ref="A253:B253"/>
    <mergeCell ref="A254:B254"/>
    <mergeCell ref="A269:B269"/>
    <mergeCell ref="A270:B270"/>
    <mergeCell ref="A271:B271"/>
    <mergeCell ref="A266:B266"/>
    <mergeCell ref="A267:B267"/>
    <mergeCell ref="A268:B268"/>
    <mergeCell ref="A262:B262"/>
    <mergeCell ref="A263:B263"/>
    <mergeCell ref="A264:B264"/>
    <mergeCell ref="A265:B265"/>
    <mergeCell ref="A279:B279"/>
    <mergeCell ref="A280:B280"/>
    <mergeCell ref="A281:B281"/>
    <mergeCell ref="A275:B275"/>
    <mergeCell ref="A276:B276"/>
    <mergeCell ref="A277:B277"/>
    <mergeCell ref="A278:B278"/>
    <mergeCell ref="A272:B272"/>
    <mergeCell ref="A273:B273"/>
    <mergeCell ref="A274:B274"/>
    <mergeCell ref="A290:B290"/>
    <mergeCell ref="A291:B291"/>
    <mergeCell ref="A292:B292"/>
    <mergeCell ref="A293:B293"/>
    <mergeCell ref="A287:B287"/>
    <mergeCell ref="A288:B288"/>
    <mergeCell ref="A289:B289"/>
    <mergeCell ref="A282:B282"/>
    <mergeCell ref="A283:B283"/>
    <mergeCell ref="A284:B284"/>
    <mergeCell ref="A285:B285"/>
    <mergeCell ref="A286:B286"/>
    <mergeCell ref="A300:B300"/>
    <mergeCell ref="A301:B301"/>
    <mergeCell ref="A302:B302"/>
    <mergeCell ref="A297:B297"/>
    <mergeCell ref="A298:B298"/>
    <mergeCell ref="A299:B299"/>
    <mergeCell ref="A294:B294"/>
    <mergeCell ref="A295:B295"/>
    <mergeCell ref="A296:B296"/>
    <mergeCell ref="A310:B310"/>
    <mergeCell ref="A311:B311"/>
    <mergeCell ref="A312:B312"/>
    <mergeCell ref="A307:B307"/>
    <mergeCell ref="A308:B308"/>
    <mergeCell ref="A309:B309"/>
    <mergeCell ref="A303:B303"/>
    <mergeCell ref="A304:B304"/>
    <mergeCell ref="A305:B305"/>
    <mergeCell ref="A306:B306"/>
    <mergeCell ref="A320:B320"/>
    <mergeCell ref="A321:B321"/>
    <mergeCell ref="A322:B322"/>
    <mergeCell ref="A316:B316"/>
    <mergeCell ref="A317:B317"/>
    <mergeCell ref="A318:B318"/>
    <mergeCell ref="A319:B319"/>
    <mergeCell ref="A313:B313"/>
    <mergeCell ref="A314:B314"/>
    <mergeCell ref="A315:B315"/>
    <mergeCell ref="A329:B329"/>
    <mergeCell ref="A330:B330"/>
    <mergeCell ref="A331:B331"/>
    <mergeCell ref="A326:B326"/>
    <mergeCell ref="A327:B327"/>
    <mergeCell ref="A328:B328"/>
    <mergeCell ref="A323:B323"/>
    <mergeCell ref="A324:B324"/>
    <mergeCell ref="A325:B325"/>
    <mergeCell ref="A338:B338"/>
    <mergeCell ref="A339:B339"/>
    <mergeCell ref="A340:B340"/>
    <mergeCell ref="A335:B335"/>
    <mergeCell ref="A336:B336"/>
    <mergeCell ref="A337:B337"/>
    <mergeCell ref="A332:B332"/>
    <mergeCell ref="A333:B333"/>
    <mergeCell ref="A334:B334"/>
    <mergeCell ref="A347:B347"/>
    <mergeCell ref="A348:B348"/>
    <mergeCell ref="A349:B349"/>
    <mergeCell ref="A344:B344"/>
    <mergeCell ref="A345:B345"/>
    <mergeCell ref="A346:B346"/>
    <mergeCell ref="A341:B341"/>
    <mergeCell ref="A342:B342"/>
    <mergeCell ref="A343:B343"/>
    <mergeCell ref="A356:B356"/>
    <mergeCell ref="A357:B357"/>
    <mergeCell ref="A353:B353"/>
    <mergeCell ref="A354:B354"/>
    <mergeCell ref="A355:B355"/>
    <mergeCell ref="A350:B350"/>
    <mergeCell ref="A351:B351"/>
    <mergeCell ref="A352:B352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82:B382"/>
    <mergeCell ref="A383:B383"/>
    <mergeCell ref="A384:B384"/>
    <mergeCell ref="A385:B385"/>
    <mergeCell ref="A379:B379"/>
    <mergeCell ref="A380:B380"/>
    <mergeCell ref="A381:B381"/>
    <mergeCell ref="A376:B376"/>
    <mergeCell ref="A377:B377"/>
    <mergeCell ref="A378:B378"/>
    <mergeCell ref="A392:B392"/>
    <mergeCell ref="A393:B393"/>
    <mergeCell ref="A394:B394"/>
    <mergeCell ref="A389:B389"/>
    <mergeCell ref="A390:B390"/>
    <mergeCell ref="A391:B391"/>
    <mergeCell ref="A386:B386"/>
    <mergeCell ref="A387:B387"/>
    <mergeCell ref="A388:B388"/>
    <mergeCell ref="A403:B403"/>
    <mergeCell ref="A404:B404"/>
    <mergeCell ref="A405:B405"/>
    <mergeCell ref="A399:B399"/>
    <mergeCell ref="A400:B400"/>
    <mergeCell ref="A401:B401"/>
    <mergeCell ref="A402:B402"/>
    <mergeCell ref="A395:B395"/>
    <mergeCell ref="A396:B396"/>
    <mergeCell ref="A397:B397"/>
    <mergeCell ref="A398:B398"/>
    <mergeCell ref="A412:B412"/>
    <mergeCell ref="A413:B413"/>
    <mergeCell ref="A414:B414"/>
    <mergeCell ref="A415:B415"/>
    <mergeCell ref="A409:B409"/>
    <mergeCell ref="A410:B410"/>
    <mergeCell ref="A411:B411"/>
    <mergeCell ref="A406:B406"/>
    <mergeCell ref="A407:B407"/>
    <mergeCell ref="A408:B408"/>
    <mergeCell ref="A420:B420"/>
    <mergeCell ref="A421:B421"/>
    <mergeCell ref="A422:B422"/>
    <mergeCell ref="A423:B423"/>
    <mergeCell ref="A424:B424"/>
    <mergeCell ref="A416:B416"/>
    <mergeCell ref="A417:B417"/>
    <mergeCell ref="A418:B418"/>
    <mergeCell ref="A419:B419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20:B520"/>
    <mergeCell ref="H16:I16"/>
    <mergeCell ref="H17:I17"/>
    <mergeCell ref="H18:I18"/>
    <mergeCell ref="A1:H1"/>
    <mergeCell ref="A2:H2"/>
    <mergeCell ref="B4:H4"/>
    <mergeCell ref="B6:H6"/>
    <mergeCell ref="F8:F10"/>
    <mergeCell ref="G8:G10"/>
    <mergeCell ref="H8:I10"/>
    <mergeCell ref="H11:I11"/>
    <mergeCell ref="H12:I12"/>
    <mergeCell ref="H13:I13"/>
    <mergeCell ref="H14:I14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H42:I42"/>
    <mergeCell ref="H43:I43"/>
    <mergeCell ref="H44:I44"/>
    <mergeCell ref="H45:I45"/>
    <mergeCell ref="H46:I46"/>
    <mergeCell ref="H48:I48"/>
    <mergeCell ref="H31:I31"/>
    <mergeCell ref="H32:I32"/>
    <mergeCell ref="H36:I36"/>
    <mergeCell ref="H37:I37"/>
    <mergeCell ref="H38:I38"/>
    <mergeCell ref="H39:I39"/>
    <mergeCell ref="H55:I55"/>
    <mergeCell ref="H56:I56"/>
    <mergeCell ref="H57:I57"/>
    <mergeCell ref="H58:I58"/>
    <mergeCell ref="H60:I60"/>
    <mergeCell ref="H61:I61"/>
    <mergeCell ref="H49:I49"/>
    <mergeCell ref="H50:I50"/>
    <mergeCell ref="H51:I51"/>
    <mergeCell ref="H52:I52"/>
    <mergeCell ref="H53:I53"/>
    <mergeCell ref="H54:I54"/>
    <mergeCell ref="H69:I69"/>
    <mergeCell ref="H70:I70"/>
    <mergeCell ref="H71:I71"/>
    <mergeCell ref="H72:I72"/>
    <mergeCell ref="H73:I73"/>
    <mergeCell ref="H74:I74"/>
    <mergeCell ref="H62:I62"/>
    <mergeCell ref="H63:I63"/>
    <mergeCell ref="H64:I64"/>
    <mergeCell ref="H65:I65"/>
    <mergeCell ref="H66:I66"/>
    <mergeCell ref="H67:I67"/>
    <mergeCell ref="H85:I85"/>
    <mergeCell ref="H86:I86"/>
    <mergeCell ref="H87:I87"/>
    <mergeCell ref="H94:I94"/>
    <mergeCell ref="H96:I96"/>
    <mergeCell ref="H97:I97"/>
    <mergeCell ref="H75:I75"/>
    <mergeCell ref="H76:I76"/>
    <mergeCell ref="H77:I77"/>
    <mergeCell ref="H78:I78"/>
    <mergeCell ref="H79:I79"/>
    <mergeCell ref="H80:I80"/>
    <mergeCell ref="H112:I112"/>
    <mergeCell ref="H113:I113"/>
    <mergeCell ref="H114:I114"/>
    <mergeCell ref="H115:I115"/>
    <mergeCell ref="H116:I116"/>
    <mergeCell ref="H117:I117"/>
    <mergeCell ref="H98:I98"/>
    <mergeCell ref="H99:I99"/>
    <mergeCell ref="H100:I100"/>
    <mergeCell ref="H101:I101"/>
    <mergeCell ref="H103:I103"/>
    <mergeCell ref="H105:I105"/>
    <mergeCell ref="H126:I126"/>
    <mergeCell ref="H127:I127"/>
    <mergeCell ref="H128:I128"/>
    <mergeCell ref="H129:I129"/>
    <mergeCell ref="H130:I130"/>
    <mergeCell ref="H132:I132"/>
    <mergeCell ref="H118:I118"/>
    <mergeCell ref="H119:I119"/>
    <mergeCell ref="H122:I122"/>
    <mergeCell ref="H123:I123"/>
    <mergeCell ref="H124:I124"/>
    <mergeCell ref="H125:I125"/>
    <mergeCell ref="H143:I143"/>
    <mergeCell ref="H144:I144"/>
    <mergeCell ref="H145:I145"/>
    <mergeCell ref="H146:I146"/>
    <mergeCell ref="H147:I147"/>
    <mergeCell ref="H148:I148"/>
    <mergeCell ref="H133:I133"/>
    <mergeCell ref="H134:I134"/>
    <mergeCell ref="H135:I135"/>
    <mergeCell ref="H136:I136"/>
    <mergeCell ref="H138:I138"/>
    <mergeCell ref="H141:I141"/>
    <mergeCell ref="H159:I159"/>
    <mergeCell ref="H160:I160"/>
    <mergeCell ref="H161:I161"/>
    <mergeCell ref="H163:I163"/>
    <mergeCell ref="H164:I164"/>
    <mergeCell ref="H165:I165"/>
    <mergeCell ref="H149:I149"/>
    <mergeCell ref="H150:I150"/>
    <mergeCell ref="H151:I151"/>
    <mergeCell ref="H152:I152"/>
    <mergeCell ref="H156:I156"/>
    <mergeCell ref="H158:I158"/>
    <mergeCell ref="H172:I172"/>
    <mergeCell ref="H173:I173"/>
    <mergeCell ref="H174:I174"/>
    <mergeCell ref="H175:I175"/>
    <mergeCell ref="H176:I176"/>
    <mergeCell ref="H177:I177"/>
    <mergeCell ref="H166:I166"/>
    <mergeCell ref="H167:I167"/>
    <mergeCell ref="H168:I168"/>
    <mergeCell ref="H169:I169"/>
    <mergeCell ref="H170:I170"/>
    <mergeCell ref="H171:I171"/>
    <mergeCell ref="H184:I184"/>
    <mergeCell ref="H185:I185"/>
    <mergeCell ref="H186:I186"/>
    <mergeCell ref="H187:I187"/>
    <mergeCell ref="H188:I188"/>
    <mergeCell ref="H190:I190"/>
    <mergeCell ref="H178:I178"/>
    <mergeCell ref="H179:I179"/>
    <mergeCell ref="H180:I180"/>
    <mergeCell ref="H181:I181"/>
    <mergeCell ref="H182:I182"/>
    <mergeCell ref="H183:I183"/>
    <mergeCell ref="H197:I197"/>
    <mergeCell ref="H198:I198"/>
    <mergeCell ref="H199:I199"/>
    <mergeCell ref="H200:I200"/>
    <mergeCell ref="H201:I201"/>
    <mergeCell ref="H202:I202"/>
    <mergeCell ref="H191:I191"/>
    <mergeCell ref="H192:I192"/>
    <mergeCell ref="H193:I193"/>
    <mergeCell ref="H194:I194"/>
    <mergeCell ref="H195:I195"/>
    <mergeCell ref="H196:I196"/>
    <mergeCell ref="H212:I212"/>
    <mergeCell ref="H213:I213"/>
    <mergeCell ref="H216:I216"/>
    <mergeCell ref="H217:I217"/>
    <mergeCell ref="H218:I218"/>
    <mergeCell ref="H219:I219"/>
    <mergeCell ref="H203:I203"/>
    <mergeCell ref="H204:I204"/>
    <mergeCell ref="H205:I205"/>
    <mergeCell ref="H206:I206"/>
    <mergeCell ref="H210:I210"/>
    <mergeCell ref="H211:I211"/>
    <mergeCell ref="H227:I227"/>
    <mergeCell ref="H228:I228"/>
    <mergeCell ref="H229:I229"/>
    <mergeCell ref="H230:I230"/>
    <mergeCell ref="H232:I232"/>
    <mergeCell ref="H233:I233"/>
    <mergeCell ref="H220:I220"/>
    <mergeCell ref="H222:I222"/>
    <mergeCell ref="H223:I223"/>
    <mergeCell ref="H224:I224"/>
    <mergeCell ref="H225:I225"/>
    <mergeCell ref="H226:I226"/>
    <mergeCell ref="H242:I242"/>
    <mergeCell ref="H243:I243"/>
    <mergeCell ref="H244:I244"/>
    <mergeCell ref="H245:I245"/>
    <mergeCell ref="H246:I246"/>
    <mergeCell ref="H247:I247"/>
    <mergeCell ref="H234:I234"/>
    <mergeCell ref="H235:I235"/>
    <mergeCell ref="H236:I236"/>
    <mergeCell ref="H237:I237"/>
    <mergeCell ref="H238:I238"/>
    <mergeCell ref="H241:I241"/>
    <mergeCell ref="H258:I258"/>
    <mergeCell ref="H259:I259"/>
    <mergeCell ref="H265:I265"/>
    <mergeCell ref="H266:I266"/>
    <mergeCell ref="H267:I267"/>
    <mergeCell ref="H268:I268"/>
    <mergeCell ref="H248:I248"/>
    <mergeCell ref="H249:I249"/>
    <mergeCell ref="H250:I250"/>
    <mergeCell ref="H251:I251"/>
    <mergeCell ref="H252:I252"/>
    <mergeCell ref="H257:I257"/>
    <mergeCell ref="H282:I282"/>
    <mergeCell ref="H283:I283"/>
    <mergeCell ref="H284:I284"/>
    <mergeCell ref="H285:I285"/>
    <mergeCell ref="H286:I286"/>
    <mergeCell ref="H287:I287"/>
    <mergeCell ref="H269:I269"/>
    <mergeCell ref="H270:I270"/>
    <mergeCell ref="H271:I271"/>
    <mergeCell ref="H273:I273"/>
    <mergeCell ref="H275:I275"/>
    <mergeCell ref="H281:I281"/>
    <mergeCell ref="H297:I297"/>
    <mergeCell ref="H298:I298"/>
    <mergeCell ref="H299:I299"/>
    <mergeCell ref="H300:I300"/>
    <mergeCell ref="H302:I302"/>
    <mergeCell ref="H303:I303"/>
    <mergeCell ref="H288:I288"/>
    <mergeCell ref="H291:I291"/>
    <mergeCell ref="H292:I292"/>
    <mergeCell ref="H293:I293"/>
    <mergeCell ref="H294:I294"/>
    <mergeCell ref="H296:I296"/>
    <mergeCell ref="H317:I317"/>
    <mergeCell ref="H318:I318"/>
    <mergeCell ref="H319:I319"/>
    <mergeCell ref="H320:I320"/>
    <mergeCell ref="H321:I321"/>
    <mergeCell ref="H325:I325"/>
    <mergeCell ref="H304:I304"/>
    <mergeCell ref="H305:I305"/>
    <mergeCell ref="H313:I313"/>
    <mergeCell ref="H314:I314"/>
    <mergeCell ref="H315:I315"/>
    <mergeCell ref="H316:I316"/>
    <mergeCell ref="H334:I334"/>
    <mergeCell ref="H335:I335"/>
    <mergeCell ref="H336:I336"/>
    <mergeCell ref="H337:I337"/>
    <mergeCell ref="H338:I338"/>
    <mergeCell ref="H339:I339"/>
    <mergeCell ref="H327:I327"/>
    <mergeCell ref="H328:I328"/>
    <mergeCell ref="H329:I329"/>
    <mergeCell ref="H330:I330"/>
    <mergeCell ref="H332:I332"/>
    <mergeCell ref="H333:I333"/>
    <mergeCell ref="H346:I346"/>
    <mergeCell ref="H347:I347"/>
    <mergeCell ref="H348:I348"/>
    <mergeCell ref="H349:I349"/>
    <mergeCell ref="H350:I350"/>
    <mergeCell ref="H351:I351"/>
    <mergeCell ref="H340:I340"/>
    <mergeCell ref="H341:I341"/>
    <mergeCell ref="H342:I342"/>
    <mergeCell ref="H343:I343"/>
    <mergeCell ref="H344:I344"/>
    <mergeCell ref="H345:I345"/>
    <mergeCell ref="H359:I359"/>
    <mergeCell ref="H360:I360"/>
    <mergeCell ref="H362:I362"/>
    <mergeCell ref="H363:I363"/>
    <mergeCell ref="H364:I364"/>
    <mergeCell ref="H365:I365"/>
    <mergeCell ref="H352:I352"/>
    <mergeCell ref="H353:I353"/>
    <mergeCell ref="H354:I354"/>
    <mergeCell ref="H355:I355"/>
    <mergeCell ref="H356:I356"/>
    <mergeCell ref="H357:I357"/>
    <mergeCell ref="H372:I372"/>
    <mergeCell ref="H373:I373"/>
    <mergeCell ref="H374:I374"/>
    <mergeCell ref="H375:I375"/>
    <mergeCell ref="H379:I379"/>
    <mergeCell ref="H380:I380"/>
    <mergeCell ref="H366:I366"/>
    <mergeCell ref="H367:I367"/>
    <mergeCell ref="H368:I368"/>
    <mergeCell ref="H369:I369"/>
    <mergeCell ref="H370:I370"/>
    <mergeCell ref="H371:I371"/>
    <mergeCell ref="H389:I389"/>
    <mergeCell ref="H391:I391"/>
    <mergeCell ref="H392:I392"/>
    <mergeCell ref="H393:I393"/>
    <mergeCell ref="H394:I394"/>
    <mergeCell ref="H395:I395"/>
    <mergeCell ref="H381:I381"/>
    <mergeCell ref="H382:I382"/>
    <mergeCell ref="H385:I385"/>
    <mergeCell ref="H386:I386"/>
    <mergeCell ref="H387:I387"/>
    <mergeCell ref="H388:I388"/>
    <mergeCell ref="H403:I403"/>
    <mergeCell ref="H404:I404"/>
    <mergeCell ref="H405:I405"/>
    <mergeCell ref="H406:I406"/>
    <mergeCell ref="H407:I407"/>
    <mergeCell ref="H410:I410"/>
    <mergeCell ref="H396:I396"/>
    <mergeCell ref="H397:I397"/>
    <mergeCell ref="H398:I398"/>
    <mergeCell ref="H399:I399"/>
    <mergeCell ref="H401:I401"/>
    <mergeCell ref="H402:I402"/>
    <mergeCell ref="H417:I417"/>
    <mergeCell ref="H418:I418"/>
    <mergeCell ref="H419:I419"/>
    <mergeCell ref="H420:I420"/>
    <mergeCell ref="H421:I421"/>
    <mergeCell ref="H426:I426"/>
    <mergeCell ref="H411:I411"/>
    <mergeCell ref="H412:I412"/>
    <mergeCell ref="H413:I413"/>
    <mergeCell ref="H414:I414"/>
    <mergeCell ref="H415:I415"/>
    <mergeCell ref="H416:I416"/>
    <mergeCell ref="H435:I435"/>
    <mergeCell ref="H436:I436"/>
    <mergeCell ref="H437:I437"/>
    <mergeCell ref="H438:I438"/>
    <mergeCell ref="H439:I439"/>
    <mergeCell ref="H440:I440"/>
    <mergeCell ref="H427:I427"/>
    <mergeCell ref="A428:B428"/>
    <mergeCell ref="H428:I428"/>
    <mergeCell ref="A429:B429"/>
    <mergeCell ref="A430:B430"/>
    <mergeCell ref="H434:I434"/>
    <mergeCell ref="A437:B437"/>
    <mergeCell ref="A438:B438"/>
    <mergeCell ref="A439:B439"/>
    <mergeCell ref="A440:B440"/>
    <mergeCell ref="H454:I454"/>
    <mergeCell ref="H455:I455"/>
    <mergeCell ref="H456:I456"/>
    <mergeCell ref="H457:I457"/>
    <mergeCell ref="H460:I460"/>
    <mergeCell ref="H461:I461"/>
    <mergeCell ref="H442:I442"/>
    <mergeCell ref="H444:I444"/>
    <mergeCell ref="H450:I450"/>
    <mergeCell ref="H451:I451"/>
    <mergeCell ref="H452:I452"/>
    <mergeCell ref="H453:I453"/>
    <mergeCell ref="H468:I468"/>
    <mergeCell ref="H470:I470"/>
    <mergeCell ref="H471:I471"/>
    <mergeCell ref="H472:I472"/>
    <mergeCell ref="H473:I473"/>
    <mergeCell ref="H481:I481"/>
    <mergeCell ref="H462:I462"/>
    <mergeCell ref="H463:I463"/>
    <mergeCell ref="H464:I464"/>
    <mergeCell ref="H465:I465"/>
    <mergeCell ref="H466:I466"/>
    <mergeCell ref="H467:I467"/>
    <mergeCell ref="H488:I488"/>
    <mergeCell ref="H489:I489"/>
    <mergeCell ref="H493:I493"/>
    <mergeCell ref="H495:I495"/>
    <mergeCell ref="H496:I496"/>
    <mergeCell ref="H497:I497"/>
    <mergeCell ref="H482:I482"/>
    <mergeCell ref="H483:I483"/>
    <mergeCell ref="H484:I484"/>
    <mergeCell ref="H485:I485"/>
    <mergeCell ref="H486:I486"/>
    <mergeCell ref="H487:I487"/>
    <mergeCell ref="H505:I505"/>
    <mergeCell ref="H506:I506"/>
    <mergeCell ref="H507:I507"/>
    <mergeCell ref="H508:I508"/>
    <mergeCell ref="H509:I509"/>
    <mergeCell ref="H510:I510"/>
    <mergeCell ref="H498:I498"/>
    <mergeCell ref="H500:I500"/>
    <mergeCell ref="H501:I501"/>
    <mergeCell ref="H502:I502"/>
    <mergeCell ref="H503:I503"/>
    <mergeCell ref="H504:I504"/>
    <mergeCell ref="H523:I523"/>
    <mergeCell ref="H524:I524"/>
    <mergeCell ref="H517:I517"/>
    <mergeCell ref="H518:I518"/>
    <mergeCell ref="H519:I519"/>
    <mergeCell ref="H520:I520"/>
    <mergeCell ref="H521:I521"/>
    <mergeCell ref="H522:I522"/>
    <mergeCell ref="H511:I511"/>
    <mergeCell ref="H512:I512"/>
    <mergeCell ref="H513:I513"/>
    <mergeCell ref="H514:I514"/>
    <mergeCell ref="H515:I515"/>
    <mergeCell ref="H516:I51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T143"/>
  <sheetViews>
    <sheetView zoomScale="55" zoomScaleNormal="55" workbookViewId="0">
      <selection activeCell="T31" sqref="T31"/>
    </sheetView>
  </sheetViews>
  <sheetFormatPr defaultRowHeight="15"/>
  <cols>
    <col min="1" max="1" width="5.5703125" style="1118" customWidth="1"/>
    <col min="2" max="2" width="32.42578125" style="1118" customWidth="1"/>
    <col min="3" max="3" width="24.85546875" style="1118" customWidth="1"/>
    <col min="4" max="4" width="17" style="1118" customWidth="1"/>
    <col min="5" max="5" width="18.7109375" style="1118" customWidth="1"/>
    <col min="6" max="6" width="21.5703125" style="1119" customWidth="1"/>
    <col min="7" max="7" width="14.7109375" style="2358" customWidth="1"/>
    <col min="8" max="8" width="13.85546875" style="2358" customWidth="1"/>
    <col min="9" max="12" width="9.140625" style="2358"/>
    <col min="13" max="13" width="10.42578125" style="2358" bestFit="1" customWidth="1"/>
    <col min="14" max="14" width="9.140625" style="2358"/>
    <col min="15" max="15" width="11.5703125" style="2358" bestFit="1" customWidth="1"/>
    <col min="16" max="19" width="9.140625" style="2358"/>
    <col min="20" max="20" width="14.42578125" style="2358" bestFit="1" customWidth="1"/>
    <col min="21" max="256" width="9.140625" style="2358"/>
    <col min="257" max="257" width="5.5703125" style="2358" customWidth="1"/>
    <col min="258" max="258" width="32.42578125" style="2358" customWidth="1"/>
    <col min="259" max="259" width="24.85546875" style="2358" customWidth="1"/>
    <col min="260" max="260" width="17" style="2358" customWidth="1"/>
    <col min="261" max="261" width="18.7109375" style="2358" customWidth="1"/>
    <col min="262" max="262" width="21.5703125" style="2358" customWidth="1"/>
    <col min="263" max="263" width="14.7109375" style="2358" customWidth="1"/>
    <col min="264" max="264" width="13.85546875" style="2358" customWidth="1"/>
    <col min="265" max="268" width="9.140625" style="2358"/>
    <col min="269" max="269" width="10.42578125" style="2358" bestFit="1" customWidth="1"/>
    <col min="270" max="270" width="9.140625" style="2358"/>
    <col min="271" max="271" width="11.5703125" style="2358" bestFit="1" customWidth="1"/>
    <col min="272" max="512" width="9.140625" style="2358"/>
    <col min="513" max="513" width="5.5703125" style="2358" customWidth="1"/>
    <col min="514" max="514" width="32.42578125" style="2358" customWidth="1"/>
    <col min="515" max="515" width="24.85546875" style="2358" customWidth="1"/>
    <col min="516" max="516" width="17" style="2358" customWidth="1"/>
    <col min="517" max="517" width="18.7109375" style="2358" customWidth="1"/>
    <col min="518" max="518" width="21.5703125" style="2358" customWidth="1"/>
    <col min="519" max="519" width="14.7109375" style="2358" customWidth="1"/>
    <col min="520" max="520" width="13.85546875" style="2358" customWidth="1"/>
    <col min="521" max="524" width="9.140625" style="2358"/>
    <col min="525" max="525" width="10.42578125" style="2358" bestFit="1" customWidth="1"/>
    <col min="526" max="526" width="9.140625" style="2358"/>
    <col min="527" max="527" width="11.5703125" style="2358" bestFit="1" customWidth="1"/>
    <col min="528" max="768" width="9.140625" style="2358"/>
    <col min="769" max="769" width="5.5703125" style="2358" customWidth="1"/>
    <col min="770" max="770" width="32.42578125" style="2358" customWidth="1"/>
    <col min="771" max="771" width="24.85546875" style="2358" customWidth="1"/>
    <col min="772" max="772" width="17" style="2358" customWidth="1"/>
    <col min="773" max="773" width="18.7109375" style="2358" customWidth="1"/>
    <col min="774" max="774" width="21.5703125" style="2358" customWidth="1"/>
    <col min="775" max="775" width="14.7109375" style="2358" customWidth="1"/>
    <col min="776" max="776" width="13.85546875" style="2358" customWidth="1"/>
    <col min="777" max="780" width="9.140625" style="2358"/>
    <col min="781" max="781" width="10.42578125" style="2358" bestFit="1" customWidth="1"/>
    <col min="782" max="782" width="9.140625" style="2358"/>
    <col min="783" max="783" width="11.5703125" style="2358" bestFit="1" customWidth="1"/>
    <col min="784" max="1024" width="9.140625" style="2358"/>
    <col min="1025" max="1025" width="5.5703125" style="2358" customWidth="1"/>
    <col min="1026" max="1026" width="32.42578125" style="2358" customWidth="1"/>
    <col min="1027" max="1027" width="24.85546875" style="2358" customWidth="1"/>
    <col min="1028" max="1028" width="17" style="2358" customWidth="1"/>
    <col min="1029" max="1029" width="18.7109375" style="2358" customWidth="1"/>
    <col min="1030" max="1030" width="21.5703125" style="2358" customWidth="1"/>
    <col min="1031" max="1031" width="14.7109375" style="2358" customWidth="1"/>
    <col min="1032" max="1032" width="13.85546875" style="2358" customWidth="1"/>
    <col min="1033" max="1036" width="9.140625" style="2358"/>
    <col min="1037" max="1037" width="10.42578125" style="2358" bestFit="1" customWidth="1"/>
    <col min="1038" max="1038" width="9.140625" style="2358"/>
    <col min="1039" max="1039" width="11.5703125" style="2358" bestFit="1" customWidth="1"/>
    <col min="1040" max="1280" width="9.140625" style="2358"/>
    <col min="1281" max="1281" width="5.5703125" style="2358" customWidth="1"/>
    <col min="1282" max="1282" width="32.42578125" style="2358" customWidth="1"/>
    <col min="1283" max="1283" width="24.85546875" style="2358" customWidth="1"/>
    <col min="1284" max="1284" width="17" style="2358" customWidth="1"/>
    <col min="1285" max="1285" width="18.7109375" style="2358" customWidth="1"/>
    <col min="1286" max="1286" width="21.5703125" style="2358" customWidth="1"/>
    <col min="1287" max="1287" width="14.7109375" style="2358" customWidth="1"/>
    <col min="1288" max="1288" width="13.85546875" style="2358" customWidth="1"/>
    <col min="1289" max="1292" width="9.140625" style="2358"/>
    <col min="1293" max="1293" width="10.42578125" style="2358" bestFit="1" customWidth="1"/>
    <col min="1294" max="1294" width="9.140625" style="2358"/>
    <col min="1295" max="1295" width="11.5703125" style="2358" bestFit="1" customWidth="1"/>
    <col min="1296" max="1536" width="9.140625" style="2358"/>
    <col min="1537" max="1537" width="5.5703125" style="2358" customWidth="1"/>
    <col min="1538" max="1538" width="32.42578125" style="2358" customWidth="1"/>
    <col min="1539" max="1539" width="24.85546875" style="2358" customWidth="1"/>
    <col min="1540" max="1540" width="17" style="2358" customWidth="1"/>
    <col min="1541" max="1541" width="18.7109375" style="2358" customWidth="1"/>
    <col min="1542" max="1542" width="21.5703125" style="2358" customWidth="1"/>
    <col min="1543" max="1543" width="14.7109375" style="2358" customWidth="1"/>
    <col min="1544" max="1544" width="13.85546875" style="2358" customWidth="1"/>
    <col min="1545" max="1548" width="9.140625" style="2358"/>
    <col min="1549" max="1549" width="10.42578125" style="2358" bestFit="1" customWidth="1"/>
    <col min="1550" max="1550" width="9.140625" style="2358"/>
    <col min="1551" max="1551" width="11.5703125" style="2358" bestFit="1" customWidth="1"/>
    <col min="1552" max="1792" width="9.140625" style="2358"/>
    <col min="1793" max="1793" width="5.5703125" style="2358" customWidth="1"/>
    <col min="1794" max="1794" width="32.42578125" style="2358" customWidth="1"/>
    <col min="1795" max="1795" width="24.85546875" style="2358" customWidth="1"/>
    <col min="1796" max="1796" width="17" style="2358" customWidth="1"/>
    <col min="1797" max="1797" width="18.7109375" style="2358" customWidth="1"/>
    <col min="1798" max="1798" width="21.5703125" style="2358" customWidth="1"/>
    <col min="1799" max="1799" width="14.7109375" style="2358" customWidth="1"/>
    <col min="1800" max="1800" width="13.85546875" style="2358" customWidth="1"/>
    <col min="1801" max="1804" width="9.140625" style="2358"/>
    <col min="1805" max="1805" width="10.42578125" style="2358" bestFit="1" customWidth="1"/>
    <col min="1806" max="1806" width="9.140625" style="2358"/>
    <col min="1807" max="1807" width="11.5703125" style="2358" bestFit="1" customWidth="1"/>
    <col min="1808" max="2048" width="9.140625" style="2358"/>
    <col min="2049" max="2049" width="5.5703125" style="2358" customWidth="1"/>
    <col min="2050" max="2050" width="32.42578125" style="2358" customWidth="1"/>
    <col min="2051" max="2051" width="24.85546875" style="2358" customWidth="1"/>
    <col min="2052" max="2052" width="17" style="2358" customWidth="1"/>
    <col min="2053" max="2053" width="18.7109375" style="2358" customWidth="1"/>
    <col min="2054" max="2054" width="21.5703125" style="2358" customWidth="1"/>
    <col min="2055" max="2055" width="14.7109375" style="2358" customWidth="1"/>
    <col min="2056" max="2056" width="13.85546875" style="2358" customWidth="1"/>
    <col min="2057" max="2060" width="9.140625" style="2358"/>
    <col min="2061" max="2061" width="10.42578125" style="2358" bestFit="1" customWidth="1"/>
    <col min="2062" max="2062" width="9.140625" style="2358"/>
    <col min="2063" max="2063" width="11.5703125" style="2358" bestFit="1" customWidth="1"/>
    <col min="2064" max="2304" width="9.140625" style="2358"/>
    <col min="2305" max="2305" width="5.5703125" style="2358" customWidth="1"/>
    <col min="2306" max="2306" width="32.42578125" style="2358" customWidth="1"/>
    <col min="2307" max="2307" width="24.85546875" style="2358" customWidth="1"/>
    <col min="2308" max="2308" width="17" style="2358" customWidth="1"/>
    <col min="2309" max="2309" width="18.7109375" style="2358" customWidth="1"/>
    <col min="2310" max="2310" width="21.5703125" style="2358" customWidth="1"/>
    <col min="2311" max="2311" width="14.7109375" style="2358" customWidth="1"/>
    <col min="2312" max="2312" width="13.85546875" style="2358" customWidth="1"/>
    <col min="2313" max="2316" width="9.140625" style="2358"/>
    <col min="2317" max="2317" width="10.42578125" style="2358" bestFit="1" customWidth="1"/>
    <col min="2318" max="2318" width="9.140625" style="2358"/>
    <col min="2319" max="2319" width="11.5703125" style="2358" bestFit="1" customWidth="1"/>
    <col min="2320" max="2560" width="9.140625" style="2358"/>
    <col min="2561" max="2561" width="5.5703125" style="2358" customWidth="1"/>
    <col min="2562" max="2562" width="32.42578125" style="2358" customWidth="1"/>
    <col min="2563" max="2563" width="24.85546875" style="2358" customWidth="1"/>
    <col min="2564" max="2564" width="17" style="2358" customWidth="1"/>
    <col min="2565" max="2565" width="18.7109375" style="2358" customWidth="1"/>
    <col min="2566" max="2566" width="21.5703125" style="2358" customWidth="1"/>
    <col min="2567" max="2567" width="14.7109375" style="2358" customWidth="1"/>
    <col min="2568" max="2568" width="13.85546875" style="2358" customWidth="1"/>
    <col min="2569" max="2572" width="9.140625" style="2358"/>
    <col min="2573" max="2573" width="10.42578125" style="2358" bestFit="1" customWidth="1"/>
    <col min="2574" max="2574" width="9.140625" style="2358"/>
    <col min="2575" max="2575" width="11.5703125" style="2358" bestFit="1" customWidth="1"/>
    <col min="2576" max="2816" width="9.140625" style="2358"/>
    <col min="2817" max="2817" width="5.5703125" style="2358" customWidth="1"/>
    <col min="2818" max="2818" width="32.42578125" style="2358" customWidth="1"/>
    <col min="2819" max="2819" width="24.85546875" style="2358" customWidth="1"/>
    <col min="2820" max="2820" width="17" style="2358" customWidth="1"/>
    <col min="2821" max="2821" width="18.7109375" style="2358" customWidth="1"/>
    <col min="2822" max="2822" width="21.5703125" style="2358" customWidth="1"/>
    <col min="2823" max="2823" width="14.7109375" style="2358" customWidth="1"/>
    <col min="2824" max="2824" width="13.85546875" style="2358" customWidth="1"/>
    <col min="2825" max="2828" width="9.140625" style="2358"/>
    <col min="2829" max="2829" width="10.42578125" style="2358" bestFit="1" customWidth="1"/>
    <col min="2830" max="2830" width="9.140625" style="2358"/>
    <col min="2831" max="2831" width="11.5703125" style="2358" bestFit="1" customWidth="1"/>
    <col min="2832" max="3072" width="9.140625" style="2358"/>
    <col min="3073" max="3073" width="5.5703125" style="2358" customWidth="1"/>
    <col min="3074" max="3074" width="32.42578125" style="2358" customWidth="1"/>
    <col min="3075" max="3075" width="24.85546875" style="2358" customWidth="1"/>
    <col min="3076" max="3076" width="17" style="2358" customWidth="1"/>
    <col min="3077" max="3077" width="18.7109375" style="2358" customWidth="1"/>
    <col min="3078" max="3078" width="21.5703125" style="2358" customWidth="1"/>
    <col min="3079" max="3079" width="14.7109375" style="2358" customWidth="1"/>
    <col min="3080" max="3080" width="13.85546875" style="2358" customWidth="1"/>
    <col min="3081" max="3084" width="9.140625" style="2358"/>
    <col min="3085" max="3085" width="10.42578125" style="2358" bestFit="1" customWidth="1"/>
    <col min="3086" max="3086" width="9.140625" style="2358"/>
    <col min="3087" max="3087" width="11.5703125" style="2358" bestFit="1" customWidth="1"/>
    <col min="3088" max="3328" width="9.140625" style="2358"/>
    <col min="3329" max="3329" width="5.5703125" style="2358" customWidth="1"/>
    <col min="3330" max="3330" width="32.42578125" style="2358" customWidth="1"/>
    <col min="3331" max="3331" width="24.85546875" style="2358" customWidth="1"/>
    <col min="3332" max="3332" width="17" style="2358" customWidth="1"/>
    <col min="3333" max="3333" width="18.7109375" style="2358" customWidth="1"/>
    <col min="3334" max="3334" width="21.5703125" style="2358" customWidth="1"/>
    <col min="3335" max="3335" width="14.7109375" style="2358" customWidth="1"/>
    <col min="3336" max="3336" width="13.85546875" style="2358" customWidth="1"/>
    <col min="3337" max="3340" width="9.140625" style="2358"/>
    <col min="3341" max="3341" width="10.42578125" style="2358" bestFit="1" customWidth="1"/>
    <col min="3342" max="3342" width="9.140625" style="2358"/>
    <col min="3343" max="3343" width="11.5703125" style="2358" bestFit="1" customWidth="1"/>
    <col min="3344" max="3584" width="9.140625" style="2358"/>
    <col min="3585" max="3585" width="5.5703125" style="2358" customWidth="1"/>
    <col min="3586" max="3586" width="32.42578125" style="2358" customWidth="1"/>
    <col min="3587" max="3587" width="24.85546875" style="2358" customWidth="1"/>
    <col min="3588" max="3588" width="17" style="2358" customWidth="1"/>
    <col min="3589" max="3589" width="18.7109375" style="2358" customWidth="1"/>
    <col min="3590" max="3590" width="21.5703125" style="2358" customWidth="1"/>
    <col min="3591" max="3591" width="14.7109375" style="2358" customWidth="1"/>
    <col min="3592" max="3592" width="13.85546875" style="2358" customWidth="1"/>
    <col min="3593" max="3596" width="9.140625" style="2358"/>
    <col min="3597" max="3597" width="10.42578125" style="2358" bestFit="1" customWidth="1"/>
    <col min="3598" max="3598" width="9.140625" style="2358"/>
    <col min="3599" max="3599" width="11.5703125" style="2358" bestFit="1" customWidth="1"/>
    <col min="3600" max="3840" width="9.140625" style="2358"/>
    <col min="3841" max="3841" width="5.5703125" style="2358" customWidth="1"/>
    <col min="3842" max="3842" width="32.42578125" style="2358" customWidth="1"/>
    <col min="3843" max="3843" width="24.85546875" style="2358" customWidth="1"/>
    <col min="3844" max="3844" width="17" style="2358" customWidth="1"/>
    <col min="3845" max="3845" width="18.7109375" style="2358" customWidth="1"/>
    <col min="3846" max="3846" width="21.5703125" style="2358" customWidth="1"/>
    <col min="3847" max="3847" width="14.7109375" style="2358" customWidth="1"/>
    <col min="3848" max="3848" width="13.85546875" style="2358" customWidth="1"/>
    <col min="3849" max="3852" width="9.140625" style="2358"/>
    <col min="3853" max="3853" width="10.42578125" style="2358" bestFit="1" customWidth="1"/>
    <col min="3854" max="3854" width="9.140625" style="2358"/>
    <col min="3855" max="3855" width="11.5703125" style="2358" bestFit="1" customWidth="1"/>
    <col min="3856" max="4096" width="9.140625" style="2358"/>
    <col min="4097" max="4097" width="5.5703125" style="2358" customWidth="1"/>
    <col min="4098" max="4098" width="32.42578125" style="2358" customWidth="1"/>
    <col min="4099" max="4099" width="24.85546875" style="2358" customWidth="1"/>
    <col min="4100" max="4100" width="17" style="2358" customWidth="1"/>
    <col min="4101" max="4101" width="18.7109375" style="2358" customWidth="1"/>
    <col min="4102" max="4102" width="21.5703125" style="2358" customWidth="1"/>
    <col min="4103" max="4103" width="14.7109375" style="2358" customWidth="1"/>
    <col min="4104" max="4104" width="13.85546875" style="2358" customWidth="1"/>
    <col min="4105" max="4108" width="9.140625" style="2358"/>
    <col min="4109" max="4109" width="10.42578125" style="2358" bestFit="1" customWidth="1"/>
    <col min="4110" max="4110" width="9.140625" style="2358"/>
    <col min="4111" max="4111" width="11.5703125" style="2358" bestFit="1" customWidth="1"/>
    <col min="4112" max="4352" width="9.140625" style="2358"/>
    <col min="4353" max="4353" width="5.5703125" style="2358" customWidth="1"/>
    <col min="4354" max="4354" width="32.42578125" style="2358" customWidth="1"/>
    <col min="4355" max="4355" width="24.85546875" style="2358" customWidth="1"/>
    <col min="4356" max="4356" width="17" style="2358" customWidth="1"/>
    <col min="4357" max="4357" width="18.7109375" style="2358" customWidth="1"/>
    <col min="4358" max="4358" width="21.5703125" style="2358" customWidth="1"/>
    <col min="4359" max="4359" width="14.7109375" style="2358" customWidth="1"/>
    <col min="4360" max="4360" width="13.85546875" style="2358" customWidth="1"/>
    <col min="4361" max="4364" width="9.140625" style="2358"/>
    <col min="4365" max="4365" width="10.42578125" style="2358" bestFit="1" customWidth="1"/>
    <col min="4366" max="4366" width="9.140625" style="2358"/>
    <col min="4367" max="4367" width="11.5703125" style="2358" bestFit="1" customWidth="1"/>
    <col min="4368" max="4608" width="9.140625" style="2358"/>
    <col min="4609" max="4609" width="5.5703125" style="2358" customWidth="1"/>
    <col min="4610" max="4610" width="32.42578125" style="2358" customWidth="1"/>
    <col min="4611" max="4611" width="24.85546875" style="2358" customWidth="1"/>
    <col min="4612" max="4612" width="17" style="2358" customWidth="1"/>
    <col min="4613" max="4613" width="18.7109375" style="2358" customWidth="1"/>
    <col min="4614" max="4614" width="21.5703125" style="2358" customWidth="1"/>
    <col min="4615" max="4615" width="14.7109375" style="2358" customWidth="1"/>
    <col min="4616" max="4616" width="13.85546875" style="2358" customWidth="1"/>
    <col min="4617" max="4620" width="9.140625" style="2358"/>
    <col min="4621" max="4621" width="10.42578125" style="2358" bestFit="1" customWidth="1"/>
    <col min="4622" max="4622" width="9.140625" style="2358"/>
    <col min="4623" max="4623" width="11.5703125" style="2358" bestFit="1" customWidth="1"/>
    <col min="4624" max="4864" width="9.140625" style="2358"/>
    <col min="4865" max="4865" width="5.5703125" style="2358" customWidth="1"/>
    <col min="4866" max="4866" width="32.42578125" style="2358" customWidth="1"/>
    <col min="4867" max="4867" width="24.85546875" style="2358" customWidth="1"/>
    <col min="4868" max="4868" width="17" style="2358" customWidth="1"/>
    <col min="4869" max="4869" width="18.7109375" style="2358" customWidth="1"/>
    <col min="4870" max="4870" width="21.5703125" style="2358" customWidth="1"/>
    <col min="4871" max="4871" width="14.7109375" style="2358" customWidth="1"/>
    <col min="4872" max="4872" width="13.85546875" style="2358" customWidth="1"/>
    <col min="4873" max="4876" width="9.140625" style="2358"/>
    <col min="4877" max="4877" width="10.42578125" style="2358" bestFit="1" customWidth="1"/>
    <col min="4878" max="4878" width="9.140625" style="2358"/>
    <col min="4879" max="4879" width="11.5703125" style="2358" bestFit="1" customWidth="1"/>
    <col min="4880" max="5120" width="9.140625" style="2358"/>
    <col min="5121" max="5121" width="5.5703125" style="2358" customWidth="1"/>
    <col min="5122" max="5122" width="32.42578125" style="2358" customWidth="1"/>
    <col min="5123" max="5123" width="24.85546875" style="2358" customWidth="1"/>
    <col min="5124" max="5124" width="17" style="2358" customWidth="1"/>
    <col min="5125" max="5125" width="18.7109375" style="2358" customWidth="1"/>
    <col min="5126" max="5126" width="21.5703125" style="2358" customWidth="1"/>
    <col min="5127" max="5127" width="14.7109375" style="2358" customWidth="1"/>
    <col min="5128" max="5128" width="13.85546875" style="2358" customWidth="1"/>
    <col min="5129" max="5132" width="9.140625" style="2358"/>
    <col min="5133" max="5133" width="10.42578125" style="2358" bestFit="1" customWidth="1"/>
    <col min="5134" max="5134" width="9.140625" style="2358"/>
    <col min="5135" max="5135" width="11.5703125" style="2358" bestFit="1" customWidth="1"/>
    <col min="5136" max="5376" width="9.140625" style="2358"/>
    <col min="5377" max="5377" width="5.5703125" style="2358" customWidth="1"/>
    <col min="5378" max="5378" width="32.42578125" style="2358" customWidth="1"/>
    <col min="5379" max="5379" width="24.85546875" style="2358" customWidth="1"/>
    <col min="5380" max="5380" width="17" style="2358" customWidth="1"/>
    <col min="5381" max="5381" width="18.7109375" style="2358" customWidth="1"/>
    <col min="5382" max="5382" width="21.5703125" style="2358" customWidth="1"/>
    <col min="5383" max="5383" width="14.7109375" style="2358" customWidth="1"/>
    <col min="5384" max="5384" width="13.85546875" style="2358" customWidth="1"/>
    <col min="5385" max="5388" width="9.140625" style="2358"/>
    <col min="5389" max="5389" width="10.42578125" style="2358" bestFit="1" customWidth="1"/>
    <col min="5390" max="5390" width="9.140625" style="2358"/>
    <col min="5391" max="5391" width="11.5703125" style="2358" bestFit="1" customWidth="1"/>
    <col min="5392" max="5632" width="9.140625" style="2358"/>
    <col min="5633" max="5633" width="5.5703125" style="2358" customWidth="1"/>
    <col min="5634" max="5634" width="32.42578125" style="2358" customWidth="1"/>
    <col min="5635" max="5635" width="24.85546875" style="2358" customWidth="1"/>
    <col min="5636" max="5636" width="17" style="2358" customWidth="1"/>
    <col min="5637" max="5637" width="18.7109375" style="2358" customWidth="1"/>
    <col min="5638" max="5638" width="21.5703125" style="2358" customWidth="1"/>
    <col min="5639" max="5639" width="14.7109375" style="2358" customWidth="1"/>
    <col min="5640" max="5640" width="13.85546875" style="2358" customWidth="1"/>
    <col min="5641" max="5644" width="9.140625" style="2358"/>
    <col min="5645" max="5645" width="10.42578125" style="2358" bestFit="1" customWidth="1"/>
    <col min="5646" max="5646" width="9.140625" style="2358"/>
    <col min="5647" max="5647" width="11.5703125" style="2358" bestFit="1" customWidth="1"/>
    <col min="5648" max="5888" width="9.140625" style="2358"/>
    <col min="5889" max="5889" width="5.5703125" style="2358" customWidth="1"/>
    <col min="5890" max="5890" width="32.42578125" style="2358" customWidth="1"/>
    <col min="5891" max="5891" width="24.85546875" style="2358" customWidth="1"/>
    <col min="5892" max="5892" width="17" style="2358" customWidth="1"/>
    <col min="5893" max="5893" width="18.7109375" style="2358" customWidth="1"/>
    <col min="5894" max="5894" width="21.5703125" style="2358" customWidth="1"/>
    <col min="5895" max="5895" width="14.7109375" style="2358" customWidth="1"/>
    <col min="5896" max="5896" width="13.85546875" style="2358" customWidth="1"/>
    <col min="5897" max="5900" width="9.140625" style="2358"/>
    <col min="5901" max="5901" width="10.42578125" style="2358" bestFit="1" customWidth="1"/>
    <col min="5902" max="5902" width="9.140625" style="2358"/>
    <col min="5903" max="5903" width="11.5703125" style="2358" bestFit="1" customWidth="1"/>
    <col min="5904" max="6144" width="9.140625" style="2358"/>
    <col min="6145" max="6145" width="5.5703125" style="2358" customWidth="1"/>
    <col min="6146" max="6146" width="32.42578125" style="2358" customWidth="1"/>
    <col min="6147" max="6147" width="24.85546875" style="2358" customWidth="1"/>
    <col min="6148" max="6148" width="17" style="2358" customWidth="1"/>
    <col min="6149" max="6149" width="18.7109375" style="2358" customWidth="1"/>
    <col min="6150" max="6150" width="21.5703125" style="2358" customWidth="1"/>
    <col min="6151" max="6151" width="14.7109375" style="2358" customWidth="1"/>
    <col min="6152" max="6152" width="13.85546875" style="2358" customWidth="1"/>
    <col min="6153" max="6156" width="9.140625" style="2358"/>
    <col min="6157" max="6157" width="10.42578125" style="2358" bestFit="1" customWidth="1"/>
    <col min="6158" max="6158" width="9.140625" style="2358"/>
    <col min="6159" max="6159" width="11.5703125" style="2358" bestFit="1" customWidth="1"/>
    <col min="6160" max="6400" width="9.140625" style="2358"/>
    <col min="6401" max="6401" width="5.5703125" style="2358" customWidth="1"/>
    <col min="6402" max="6402" width="32.42578125" style="2358" customWidth="1"/>
    <col min="6403" max="6403" width="24.85546875" style="2358" customWidth="1"/>
    <col min="6404" max="6404" width="17" style="2358" customWidth="1"/>
    <col min="6405" max="6405" width="18.7109375" style="2358" customWidth="1"/>
    <col min="6406" max="6406" width="21.5703125" style="2358" customWidth="1"/>
    <col min="6407" max="6407" width="14.7109375" style="2358" customWidth="1"/>
    <col min="6408" max="6408" width="13.85546875" style="2358" customWidth="1"/>
    <col min="6409" max="6412" width="9.140625" style="2358"/>
    <col min="6413" max="6413" width="10.42578125" style="2358" bestFit="1" customWidth="1"/>
    <col min="6414" max="6414" width="9.140625" style="2358"/>
    <col min="6415" max="6415" width="11.5703125" style="2358" bestFit="1" customWidth="1"/>
    <col min="6416" max="6656" width="9.140625" style="2358"/>
    <col min="6657" max="6657" width="5.5703125" style="2358" customWidth="1"/>
    <col min="6658" max="6658" width="32.42578125" style="2358" customWidth="1"/>
    <col min="6659" max="6659" width="24.85546875" style="2358" customWidth="1"/>
    <col min="6660" max="6660" width="17" style="2358" customWidth="1"/>
    <col min="6661" max="6661" width="18.7109375" style="2358" customWidth="1"/>
    <col min="6662" max="6662" width="21.5703125" style="2358" customWidth="1"/>
    <col min="6663" max="6663" width="14.7109375" style="2358" customWidth="1"/>
    <col min="6664" max="6664" width="13.85546875" style="2358" customWidth="1"/>
    <col min="6665" max="6668" width="9.140625" style="2358"/>
    <col min="6669" max="6669" width="10.42578125" style="2358" bestFit="1" customWidth="1"/>
    <col min="6670" max="6670" width="9.140625" style="2358"/>
    <col min="6671" max="6671" width="11.5703125" style="2358" bestFit="1" customWidth="1"/>
    <col min="6672" max="6912" width="9.140625" style="2358"/>
    <col min="6913" max="6913" width="5.5703125" style="2358" customWidth="1"/>
    <col min="6914" max="6914" width="32.42578125" style="2358" customWidth="1"/>
    <col min="6915" max="6915" width="24.85546875" style="2358" customWidth="1"/>
    <col min="6916" max="6916" width="17" style="2358" customWidth="1"/>
    <col min="6917" max="6917" width="18.7109375" style="2358" customWidth="1"/>
    <col min="6918" max="6918" width="21.5703125" style="2358" customWidth="1"/>
    <col min="6919" max="6919" width="14.7109375" style="2358" customWidth="1"/>
    <col min="6920" max="6920" width="13.85546875" style="2358" customWidth="1"/>
    <col min="6921" max="6924" width="9.140625" style="2358"/>
    <col min="6925" max="6925" width="10.42578125" style="2358" bestFit="1" customWidth="1"/>
    <col min="6926" max="6926" width="9.140625" style="2358"/>
    <col min="6927" max="6927" width="11.5703125" style="2358" bestFit="1" customWidth="1"/>
    <col min="6928" max="7168" width="9.140625" style="2358"/>
    <col min="7169" max="7169" width="5.5703125" style="2358" customWidth="1"/>
    <col min="7170" max="7170" width="32.42578125" style="2358" customWidth="1"/>
    <col min="7171" max="7171" width="24.85546875" style="2358" customWidth="1"/>
    <col min="7172" max="7172" width="17" style="2358" customWidth="1"/>
    <col min="7173" max="7173" width="18.7109375" style="2358" customWidth="1"/>
    <col min="7174" max="7174" width="21.5703125" style="2358" customWidth="1"/>
    <col min="7175" max="7175" width="14.7109375" style="2358" customWidth="1"/>
    <col min="7176" max="7176" width="13.85546875" style="2358" customWidth="1"/>
    <col min="7177" max="7180" width="9.140625" style="2358"/>
    <col min="7181" max="7181" width="10.42578125" style="2358" bestFit="1" customWidth="1"/>
    <col min="7182" max="7182" width="9.140625" style="2358"/>
    <col min="7183" max="7183" width="11.5703125" style="2358" bestFit="1" customWidth="1"/>
    <col min="7184" max="7424" width="9.140625" style="2358"/>
    <col min="7425" max="7425" width="5.5703125" style="2358" customWidth="1"/>
    <col min="7426" max="7426" width="32.42578125" style="2358" customWidth="1"/>
    <col min="7427" max="7427" width="24.85546875" style="2358" customWidth="1"/>
    <col min="7428" max="7428" width="17" style="2358" customWidth="1"/>
    <col min="7429" max="7429" width="18.7109375" style="2358" customWidth="1"/>
    <col min="7430" max="7430" width="21.5703125" style="2358" customWidth="1"/>
    <col min="7431" max="7431" width="14.7109375" style="2358" customWidth="1"/>
    <col min="7432" max="7432" width="13.85546875" style="2358" customWidth="1"/>
    <col min="7433" max="7436" width="9.140625" style="2358"/>
    <col min="7437" max="7437" width="10.42578125" style="2358" bestFit="1" customWidth="1"/>
    <col min="7438" max="7438" width="9.140625" style="2358"/>
    <col min="7439" max="7439" width="11.5703125" style="2358" bestFit="1" customWidth="1"/>
    <col min="7440" max="7680" width="9.140625" style="2358"/>
    <col min="7681" max="7681" width="5.5703125" style="2358" customWidth="1"/>
    <col min="7682" max="7682" width="32.42578125" style="2358" customWidth="1"/>
    <col min="7683" max="7683" width="24.85546875" style="2358" customWidth="1"/>
    <col min="7684" max="7684" width="17" style="2358" customWidth="1"/>
    <col min="7685" max="7685" width="18.7109375" style="2358" customWidth="1"/>
    <col min="7686" max="7686" width="21.5703125" style="2358" customWidth="1"/>
    <col min="7687" max="7687" width="14.7109375" style="2358" customWidth="1"/>
    <col min="7688" max="7688" width="13.85546875" style="2358" customWidth="1"/>
    <col min="7689" max="7692" width="9.140625" style="2358"/>
    <col min="7693" max="7693" width="10.42578125" style="2358" bestFit="1" customWidth="1"/>
    <col min="7694" max="7694" width="9.140625" style="2358"/>
    <col min="7695" max="7695" width="11.5703125" style="2358" bestFit="1" customWidth="1"/>
    <col min="7696" max="7936" width="9.140625" style="2358"/>
    <col min="7937" max="7937" width="5.5703125" style="2358" customWidth="1"/>
    <col min="7938" max="7938" width="32.42578125" style="2358" customWidth="1"/>
    <col min="7939" max="7939" width="24.85546875" style="2358" customWidth="1"/>
    <col min="7940" max="7940" width="17" style="2358" customWidth="1"/>
    <col min="7941" max="7941" width="18.7109375" style="2358" customWidth="1"/>
    <col min="7942" max="7942" width="21.5703125" style="2358" customWidth="1"/>
    <col min="7943" max="7943" width="14.7109375" style="2358" customWidth="1"/>
    <col min="7944" max="7944" width="13.85546875" style="2358" customWidth="1"/>
    <col min="7945" max="7948" width="9.140625" style="2358"/>
    <col min="7949" max="7949" width="10.42578125" style="2358" bestFit="1" customWidth="1"/>
    <col min="7950" max="7950" width="9.140625" style="2358"/>
    <col min="7951" max="7951" width="11.5703125" style="2358" bestFit="1" customWidth="1"/>
    <col min="7952" max="8192" width="9.140625" style="2358"/>
    <col min="8193" max="8193" width="5.5703125" style="2358" customWidth="1"/>
    <col min="8194" max="8194" width="32.42578125" style="2358" customWidth="1"/>
    <col min="8195" max="8195" width="24.85546875" style="2358" customWidth="1"/>
    <col min="8196" max="8196" width="17" style="2358" customWidth="1"/>
    <col min="8197" max="8197" width="18.7109375" style="2358" customWidth="1"/>
    <col min="8198" max="8198" width="21.5703125" style="2358" customWidth="1"/>
    <col min="8199" max="8199" width="14.7109375" style="2358" customWidth="1"/>
    <col min="8200" max="8200" width="13.85546875" style="2358" customWidth="1"/>
    <col min="8201" max="8204" width="9.140625" style="2358"/>
    <col min="8205" max="8205" width="10.42578125" style="2358" bestFit="1" customWidth="1"/>
    <col min="8206" max="8206" width="9.140625" style="2358"/>
    <col min="8207" max="8207" width="11.5703125" style="2358" bestFit="1" customWidth="1"/>
    <col min="8208" max="8448" width="9.140625" style="2358"/>
    <col min="8449" max="8449" width="5.5703125" style="2358" customWidth="1"/>
    <col min="8450" max="8450" width="32.42578125" style="2358" customWidth="1"/>
    <col min="8451" max="8451" width="24.85546875" style="2358" customWidth="1"/>
    <col min="8452" max="8452" width="17" style="2358" customWidth="1"/>
    <col min="8453" max="8453" width="18.7109375" style="2358" customWidth="1"/>
    <col min="8454" max="8454" width="21.5703125" style="2358" customWidth="1"/>
    <col min="8455" max="8455" width="14.7109375" style="2358" customWidth="1"/>
    <col min="8456" max="8456" width="13.85546875" style="2358" customWidth="1"/>
    <col min="8457" max="8460" width="9.140625" style="2358"/>
    <col min="8461" max="8461" width="10.42578125" style="2358" bestFit="1" customWidth="1"/>
    <col min="8462" max="8462" width="9.140625" style="2358"/>
    <col min="8463" max="8463" width="11.5703125" style="2358" bestFit="1" customWidth="1"/>
    <col min="8464" max="8704" width="9.140625" style="2358"/>
    <col min="8705" max="8705" width="5.5703125" style="2358" customWidth="1"/>
    <col min="8706" max="8706" width="32.42578125" style="2358" customWidth="1"/>
    <col min="8707" max="8707" width="24.85546875" style="2358" customWidth="1"/>
    <col min="8708" max="8708" width="17" style="2358" customWidth="1"/>
    <col min="8709" max="8709" width="18.7109375" style="2358" customWidth="1"/>
    <col min="8710" max="8710" width="21.5703125" style="2358" customWidth="1"/>
    <col min="8711" max="8711" width="14.7109375" style="2358" customWidth="1"/>
    <col min="8712" max="8712" width="13.85546875" style="2358" customWidth="1"/>
    <col min="8713" max="8716" width="9.140625" style="2358"/>
    <col min="8717" max="8717" width="10.42578125" style="2358" bestFit="1" customWidth="1"/>
    <col min="8718" max="8718" width="9.140625" style="2358"/>
    <col min="8719" max="8719" width="11.5703125" style="2358" bestFit="1" customWidth="1"/>
    <col min="8720" max="8960" width="9.140625" style="2358"/>
    <col min="8961" max="8961" width="5.5703125" style="2358" customWidth="1"/>
    <col min="8962" max="8962" width="32.42578125" style="2358" customWidth="1"/>
    <col min="8963" max="8963" width="24.85546875" style="2358" customWidth="1"/>
    <col min="8964" max="8964" width="17" style="2358" customWidth="1"/>
    <col min="8965" max="8965" width="18.7109375" style="2358" customWidth="1"/>
    <col min="8966" max="8966" width="21.5703125" style="2358" customWidth="1"/>
    <col min="8967" max="8967" width="14.7109375" style="2358" customWidth="1"/>
    <col min="8968" max="8968" width="13.85546875" style="2358" customWidth="1"/>
    <col min="8969" max="8972" width="9.140625" style="2358"/>
    <col min="8973" max="8973" width="10.42578125" style="2358" bestFit="1" customWidth="1"/>
    <col min="8974" max="8974" width="9.140625" style="2358"/>
    <col min="8975" max="8975" width="11.5703125" style="2358" bestFit="1" customWidth="1"/>
    <col min="8976" max="9216" width="9.140625" style="2358"/>
    <col min="9217" max="9217" width="5.5703125" style="2358" customWidth="1"/>
    <col min="9218" max="9218" width="32.42578125" style="2358" customWidth="1"/>
    <col min="9219" max="9219" width="24.85546875" style="2358" customWidth="1"/>
    <col min="9220" max="9220" width="17" style="2358" customWidth="1"/>
    <col min="9221" max="9221" width="18.7109375" style="2358" customWidth="1"/>
    <col min="9222" max="9222" width="21.5703125" style="2358" customWidth="1"/>
    <col min="9223" max="9223" width="14.7109375" style="2358" customWidth="1"/>
    <col min="9224" max="9224" width="13.85546875" style="2358" customWidth="1"/>
    <col min="9225" max="9228" width="9.140625" style="2358"/>
    <col min="9229" max="9229" width="10.42578125" style="2358" bestFit="1" customWidth="1"/>
    <col min="9230" max="9230" width="9.140625" style="2358"/>
    <col min="9231" max="9231" width="11.5703125" style="2358" bestFit="1" customWidth="1"/>
    <col min="9232" max="9472" width="9.140625" style="2358"/>
    <col min="9473" max="9473" width="5.5703125" style="2358" customWidth="1"/>
    <col min="9474" max="9474" width="32.42578125" style="2358" customWidth="1"/>
    <col min="9475" max="9475" width="24.85546875" style="2358" customWidth="1"/>
    <col min="9476" max="9476" width="17" style="2358" customWidth="1"/>
    <col min="9477" max="9477" width="18.7109375" style="2358" customWidth="1"/>
    <col min="9478" max="9478" width="21.5703125" style="2358" customWidth="1"/>
    <col min="9479" max="9479" width="14.7109375" style="2358" customWidth="1"/>
    <col min="9480" max="9480" width="13.85546875" style="2358" customWidth="1"/>
    <col min="9481" max="9484" width="9.140625" style="2358"/>
    <col min="9485" max="9485" width="10.42578125" style="2358" bestFit="1" customWidth="1"/>
    <col min="9486" max="9486" width="9.140625" style="2358"/>
    <col min="9487" max="9487" width="11.5703125" style="2358" bestFit="1" customWidth="1"/>
    <col min="9488" max="9728" width="9.140625" style="2358"/>
    <col min="9729" max="9729" width="5.5703125" style="2358" customWidth="1"/>
    <col min="9730" max="9730" width="32.42578125" style="2358" customWidth="1"/>
    <col min="9731" max="9731" width="24.85546875" style="2358" customWidth="1"/>
    <col min="9732" max="9732" width="17" style="2358" customWidth="1"/>
    <col min="9733" max="9733" width="18.7109375" style="2358" customWidth="1"/>
    <col min="9734" max="9734" width="21.5703125" style="2358" customWidth="1"/>
    <col min="9735" max="9735" width="14.7109375" style="2358" customWidth="1"/>
    <col min="9736" max="9736" width="13.85546875" style="2358" customWidth="1"/>
    <col min="9737" max="9740" width="9.140625" style="2358"/>
    <col min="9741" max="9741" width="10.42578125" style="2358" bestFit="1" customWidth="1"/>
    <col min="9742" max="9742" width="9.140625" style="2358"/>
    <col min="9743" max="9743" width="11.5703125" style="2358" bestFit="1" customWidth="1"/>
    <col min="9744" max="9984" width="9.140625" style="2358"/>
    <col min="9985" max="9985" width="5.5703125" style="2358" customWidth="1"/>
    <col min="9986" max="9986" width="32.42578125" style="2358" customWidth="1"/>
    <col min="9987" max="9987" width="24.85546875" style="2358" customWidth="1"/>
    <col min="9988" max="9988" width="17" style="2358" customWidth="1"/>
    <col min="9989" max="9989" width="18.7109375" style="2358" customWidth="1"/>
    <col min="9990" max="9990" width="21.5703125" style="2358" customWidth="1"/>
    <col min="9991" max="9991" width="14.7109375" style="2358" customWidth="1"/>
    <col min="9992" max="9992" width="13.85546875" style="2358" customWidth="1"/>
    <col min="9993" max="9996" width="9.140625" style="2358"/>
    <col min="9997" max="9997" width="10.42578125" style="2358" bestFit="1" customWidth="1"/>
    <col min="9998" max="9998" width="9.140625" style="2358"/>
    <col min="9999" max="9999" width="11.5703125" style="2358" bestFit="1" customWidth="1"/>
    <col min="10000" max="10240" width="9.140625" style="2358"/>
    <col min="10241" max="10241" width="5.5703125" style="2358" customWidth="1"/>
    <col min="10242" max="10242" width="32.42578125" style="2358" customWidth="1"/>
    <col min="10243" max="10243" width="24.85546875" style="2358" customWidth="1"/>
    <col min="10244" max="10244" width="17" style="2358" customWidth="1"/>
    <col min="10245" max="10245" width="18.7109375" style="2358" customWidth="1"/>
    <col min="10246" max="10246" width="21.5703125" style="2358" customWidth="1"/>
    <col min="10247" max="10247" width="14.7109375" style="2358" customWidth="1"/>
    <col min="10248" max="10248" width="13.85546875" style="2358" customWidth="1"/>
    <col min="10249" max="10252" width="9.140625" style="2358"/>
    <col min="10253" max="10253" width="10.42578125" style="2358" bestFit="1" customWidth="1"/>
    <col min="10254" max="10254" width="9.140625" style="2358"/>
    <col min="10255" max="10255" width="11.5703125" style="2358" bestFit="1" customWidth="1"/>
    <col min="10256" max="10496" width="9.140625" style="2358"/>
    <col min="10497" max="10497" width="5.5703125" style="2358" customWidth="1"/>
    <col min="10498" max="10498" width="32.42578125" style="2358" customWidth="1"/>
    <col min="10499" max="10499" width="24.85546875" style="2358" customWidth="1"/>
    <col min="10500" max="10500" width="17" style="2358" customWidth="1"/>
    <col min="10501" max="10501" width="18.7109375" style="2358" customWidth="1"/>
    <col min="10502" max="10502" width="21.5703125" style="2358" customWidth="1"/>
    <col min="10503" max="10503" width="14.7109375" style="2358" customWidth="1"/>
    <col min="10504" max="10504" width="13.85546875" style="2358" customWidth="1"/>
    <col min="10505" max="10508" width="9.140625" style="2358"/>
    <col min="10509" max="10509" width="10.42578125" style="2358" bestFit="1" customWidth="1"/>
    <col min="10510" max="10510" width="9.140625" style="2358"/>
    <col min="10511" max="10511" width="11.5703125" style="2358" bestFit="1" customWidth="1"/>
    <col min="10512" max="10752" width="9.140625" style="2358"/>
    <col min="10753" max="10753" width="5.5703125" style="2358" customWidth="1"/>
    <col min="10754" max="10754" width="32.42578125" style="2358" customWidth="1"/>
    <col min="10755" max="10755" width="24.85546875" style="2358" customWidth="1"/>
    <col min="10756" max="10756" width="17" style="2358" customWidth="1"/>
    <col min="10757" max="10757" width="18.7109375" style="2358" customWidth="1"/>
    <col min="10758" max="10758" width="21.5703125" style="2358" customWidth="1"/>
    <col min="10759" max="10759" width="14.7109375" style="2358" customWidth="1"/>
    <col min="10760" max="10760" width="13.85546875" style="2358" customWidth="1"/>
    <col min="10761" max="10764" width="9.140625" style="2358"/>
    <col min="10765" max="10765" width="10.42578125" style="2358" bestFit="1" customWidth="1"/>
    <col min="10766" max="10766" width="9.140625" style="2358"/>
    <col min="10767" max="10767" width="11.5703125" style="2358" bestFit="1" customWidth="1"/>
    <col min="10768" max="11008" width="9.140625" style="2358"/>
    <col min="11009" max="11009" width="5.5703125" style="2358" customWidth="1"/>
    <col min="11010" max="11010" width="32.42578125" style="2358" customWidth="1"/>
    <col min="11011" max="11011" width="24.85546875" style="2358" customWidth="1"/>
    <col min="11012" max="11012" width="17" style="2358" customWidth="1"/>
    <col min="11013" max="11013" width="18.7109375" style="2358" customWidth="1"/>
    <col min="11014" max="11014" width="21.5703125" style="2358" customWidth="1"/>
    <col min="11015" max="11015" width="14.7109375" style="2358" customWidth="1"/>
    <col min="11016" max="11016" width="13.85546875" style="2358" customWidth="1"/>
    <col min="11017" max="11020" width="9.140625" style="2358"/>
    <col min="11021" max="11021" width="10.42578125" style="2358" bestFit="1" customWidth="1"/>
    <col min="11022" max="11022" width="9.140625" style="2358"/>
    <col min="11023" max="11023" width="11.5703125" style="2358" bestFit="1" customWidth="1"/>
    <col min="11024" max="11264" width="9.140625" style="2358"/>
    <col min="11265" max="11265" width="5.5703125" style="2358" customWidth="1"/>
    <col min="11266" max="11266" width="32.42578125" style="2358" customWidth="1"/>
    <col min="11267" max="11267" width="24.85546875" style="2358" customWidth="1"/>
    <col min="11268" max="11268" width="17" style="2358" customWidth="1"/>
    <col min="11269" max="11269" width="18.7109375" style="2358" customWidth="1"/>
    <col min="11270" max="11270" width="21.5703125" style="2358" customWidth="1"/>
    <col min="11271" max="11271" width="14.7109375" style="2358" customWidth="1"/>
    <col min="11272" max="11272" width="13.85546875" style="2358" customWidth="1"/>
    <col min="11273" max="11276" width="9.140625" style="2358"/>
    <col min="11277" max="11277" width="10.42578125" style="2358" bestFit="1" customWidth="1"/>
    <col min="11278" max="11278" width="9.140625" style="2358"/>
    <col min="11279" max="11279" width="11.5703125" style="2358" bestFit="1" customWidth="1"/>
    <col min="11280" max="11520" width="9.140625" style="2358"/>
    <col min="11521" max="11521" width="5.5703125" style="2358" customWidth="1"/>
    <col min="11522" max="11522" width="32.42578125" style="2358" customWidth="1"/>
    <col min="11523" max="11523" width="24.85546875" style="2358" customWidth="1"/>
    <col min="11524" max="11524" width="17" style="2358" customWidth="1"/>
    <col min="11525" max="11525" width="18.7109375" style="2358" customWidth="1"/>
    <col min="11526" max="11526" width="21.5703125" style="2358" customWidth="1"/>
    <col min="11527" max="11527" width="14.7109375" style="2358" customWidth="1"/>
    <col min="11528" max="11528" width="13.85546875" style="2358" customWidth="1"/>
    <col min="11529" max="11532" width="9.140625" style="2358"/>
    <col min="11533" max="11533" width="10.42578125" style="2358" bestFit="1" customWidth="1"/>
    <col min="11534" max="11534" width="9.140625" style="2358"/>
    <col min="11535" max="11535" width="11.5703125" style="2358" bestFit="1" customWidth="1"/>
    <col min="11536" max="11776" width="9.140625" style="2358"/>
    <col min="11777" max="11777" width="5.5703125" style="2358" customWidth="1"/>
    <col min="11778" max="11778" width="32.42578125" style="2358" customWidth="1"/>
    <col min="11779" max="11779" width="24.85546875" style="2358" customWidth="1"/>
    <col min="11780" max="11780" width="17" style="2358" customWidth="1"/>
    <col min="11781" max="11781" width="18.7109375" style="2358" customWidth="1"/>
    <col min="11782" max="11782" width="21.5703125" style="2358" customWidth="1"/>
    <col min="11783" max="11783" width="14.7109375" style="2358" customWidth="1"/>
    <col min="11784" max="11784" width="13.85546875" style="2358" customWidth="1"/>
    <col min="11785" max="11788" width="9.140625" style="2358"/>
    <col min="11789" max="11789" width="10.42578125" style="2358" bestFit="1" customWidth="1"/>
    <col min="11790" max="11790" width="9.140625" style="2358"/>
    <col min="11791" max="11791" width="11.5703125" style="2358" bestFit="1" customWidth="1"/>
    <col min="11792" max="12032" width="9.140625" style="2358"/>
    <col min="12033" max="12033" width="5.5703125" style="2358" customWidth="1"/>
    <col min="12034" max="12034" width="32.42578125" style="2358" customWidth="1"/>
    <col min="12035" max="12035" width="24.85546875" style="2358" customWidth="1"/>
    <col min="12036" max="12036" width="17" style="2358" customWidth="1"/>
    <col min="12037" max="12037" width="18.7109375" style="2358" customWidth="1"/>
    <col min="12038" max="12038" width="21.5703125" style="2358" customWidth="1"/>
    <col min="12039" max="12039" width="14.7109375" style="2358" customWidth="1"/>
    <col min="12040" max="12040" width="13.85546875" style="2358" customWidth="1"/>
    <col min="12041" max="12044" width="9.140625" style="2358"/>
    <col min="12045" max="12045" width="10.42578125" style="2358" bestFit="1" customWidth="1"/>
    <col min="12046" max="12046" width="9.140625" style="2358"/>
    <col min="12047" max="12047" width="11.5703125" style="2358" bestFit="1" customWidth="1"/>
    <col min="12048" max="12288" width="9.140625" style="2358"/>
    <col min="12289" max="12289" width="5.5703125" style="2358" customWidth="1"/>
    <col min="12290" max="12290" width="32.42578125" style="2358" customWidth="1"/>
    <col min="12291" max="12291" width="24.85546875" style="2358" customWidth="1"/>
    <col min="12292" max="12292" width="17" style="2358" customWidth="1"/>
    <col min="12293" max="12293" width="18.7109375" style="2358" customWidth="1"/>
    <col min="12294" max="12294" width="21.5703125" style="2358" customWidth="1"/>
    <col min="12295" max="12295" width="14.7109375" style="2358" customWidth="1"/>
    <col min="12296" max="12296" width="13.85546875" style="2358" customWidth="1"/>
    <col min="12297" max="12300" width="9.140625" style="2358"/>
    <col min="12301" max="12301" width="10.42578125" style="2358" bestFit="1" customWidth="1"/>
    <col min="12302" max="12302" width="9.140625" style="2358"/>
    <col min="12303" max="12303" width="11.5703125" style="2358" bestFit="1" customWidth="1"/>
    <col min="12304" max="12544" width="9.140625" style="2358"/>
    <col min="12545" max="12545" width="5.5703125" style="2358" customWidth="1"/>
    <col min="12546" max="12546" width="32.42578125" style="2358" customWidth="1"/>
    <col min="12547" max="12547" width="24.85546875" style="2358" customWidth="1"/>
    <col min="12548" max="12548" width="17" style="2358" customWidth="1"/>
    <col min="12549" max="12549" width="18.7109375" style="2358" customWidth="1"/>
    <col min="12550" max="12550" width="21.5703125" style="2358" customWidth="1"/>
    <col min="12551" max="12551" width="14.7109375" style="2358" customWidth="1"/>
    <col min="12552" max="12552" width="13.85546875" style="2358" customWidth="1"/>
    <col min="12553" max="12556" width="9.140625" style="2358"/>
    <col min="12557" max="12557" width="10.42578125" style="2358" bestFit="1" customWidth="1"/>
    <col min="12558" max="12558" width="9.140625" style="2358"/>
    <col min="12559" max="12559" width="11.5703125" style="2358" bestFit="1" customWidth="1"/>
    <col min="12560" max="12800" width="9.140625" style="2358"/>
    <col min="12801" max="12801" width="5.5703125" style="2358" customWidth="1"/>
    <col min="12802" max="12802" width="32.42578125" style="2358" customWidth="1"/>
    <col min="12803" max="12803" width="24.85546875" style="2358" customWidth="1"/>
    <col min="12804" max="12804" width="17" style="2358" customWidth="1"/>
    <col min="12805" max="12805" width="18.7109375" style="2358" customWidth="1"/>
    <col min="12806" max="12806" width="21.5703125" style="2358" customWidth="1"/>
    <col min="12807" max="12807" width="14.7109375" style="2358" customWidth="1"/>
    <col min="12808" max="12808" width="13.85546875" style="2358" customWidth="1"/>
    <col min="12809" max="12812" width="9.140625" style="2358"/>
    <col min="12813" max="12813" width="10.42578125" style="2358" bestFit="1" customWidth="1"/>
    <col min="12814" max="12814" width="9.140625" style="2358"/>
    <col min="12815" max="12815" width="11.5703125" style="2358" bestFit="1" customWidth="1"/>
    <col min="12816" max="13056" width="9.140625" style="2358"/>
    <col min="13057" max="13057" width="5.5703125" style="2358" customWidth="1"/>
    <col min="13058" max="13058" width="32.42578125" style="2358" customWidth="1"/>
    <col min="13059" max="13059" width="24.85546875" style="2358" customWidth="1"/>
    <col min="13060" max="13060" width="17" style="2358" customWidth="1"/>
    <col min="13061" max="13061" width="18.7109375" style="2358" customWidth="1"/>
    <col min="13062" max="13062" width="21.5703125" style="2358" customWidth="1"/>
    <col min="13063" max="13063" width="14.7109375" style="2358" customWidth="1"/>
    <col min="13064" max="13064" width="13.85546875" style="2358" customWidth="1"/>
    <col min="13065" max="13068" width="9.140625" style="2358"/>
    <col min="13069" max="13069" width="10.42578125" style="2358" bestFit="1" customWidth="1"/>
    <col min="13070" max="13070" width="9.140625" style="2358"/>
    <col min="13071" max="13071" width="11.5703125" style="2358" bestFit="1" customWidth="1"/>
    <col min="13072" max="13312" width="9.140625" style="2358"/>
    <col min="13313" max="13313" width="5.5703125" style="2358" customWidth="1"/>
    <col min="13314" max="13314" width="32.42578125" style="2358" customWidth="1"/>
    <col min="13315" max="13315" width="24.85546875" style="2358" customWidth="1"/>
    <col min="13316" max="13316" width="17" style="2358" customWidth="1"/>
    <col min="13317" max="13317" width="18.7109375" style="2358" customWidth="1"/>
    <col min="13318" max="13318" width="21.5703125" style="2358" customWidth="1"/>
    <col min="13319" max="13319" width="14.7109375" style="2358" customWidth="1"/>
    <col min="13320" max="13320" width="13.85546875" style="2358" customWidth="1"/>
    <col min="13321" max="13324" width="9.140625" style="2358"/>
    <col min="13325" max="13325" width="10.42578125" style="2358" bestFit="1" customWidth="1"/>
    <col min="13326" max="13326" width="9.140625" style="2358"/>
    <col min="13327" max="13327" width="11.5703125" style="2358" bestFit="1" customWidth="1"/>
    <col min="13328" max="13568" width="9.140625" style="2358"/>
    <col min="13569" max="13569" width="5.5703125" style="2358" customWidth="1"/>
    <col min="13570" max="13570" width="32.42578125" style="2358" customWidth="1"/>
    <col min="13571" max="13571" width="24.85546875" style="2358" customWidth="1"/>
    <col min="13572" max="13572" width="17" style="2358" customWidth="1"/>
    <col min="13573" max="13573" width="18.7109375" style="2358" customWidth="1"/>
    <col min="13574" max="13574" width="21.5703125" style="2358" customWidth="1"/>
    <col min="13575" max="13575" width="14.7109375" style="2358" customWidth="1"/>
    <col min="13576" max="13576" width="13.85546875" style="2358" customWidth="1"/>
    <col min="13577" max="13580" width="9.140625" style="2358"/>
    <col min="13581" max="13581" width="10.42578125" style="2358" bestFit="1" customWidth="1"/>
    <col min="13582" max="13582" width="9.140625" style="2358"/>
    <col min="13583" max="13583" width="11.5703125" style="2358" bestFit="1" customWidth="1"/>
    <col min="13584" max="13824" width="9.140625" style="2358"/>
    <col min="13825" max="13825" width="5.5703125" style="2358" customWidth="1"/>
    <col min="13826" max="13826" width="32.42578125" style="2358" customWidth="1"/>
    <col min="13827" max="13827" width="24.85546875" style="2358" customWidth="1"/>
    <col min="13828" max="13828" width="17" style="2358" customWidth="1"/>
    <col min="13829" max="13829" width="18.7109375" style="2358" customWidth="1"/>
    <col min="13830" max="13830" width="21.5703125" style="2358" customWidth="1"/>
    <col min="13831" max="13831" width="14.7109375" style="2358" customWidth="1"/>
    <col min="13832" max="13832" width="13.85546875" style="2358" customWidth="1"/>
    <col min="13833" max="13836" width="9.140625" style="2358"/>
    <col min="13837" max="13837" width="10.42578125" style="2358" bestFit="1" customWidth="1"/>
    <col min="13838" max="13838" width="9.140625" style="2358"/>
    <col min="13839" max="13839" width="11.5703125" style="2358" bestFit="1" customWidth="1"/>
    <col min="13840" max="14080" width="9.140625" style="2358"/>
    <col min="14081" max="14081" width="5.5703125" style="2358" customWidth="1"/>
    <col min="14082" max="14082" width="32.42578125" style="2358" customWidth="1"/>
    <col min="14083" max="14083" width="24.85546875" style="2358" customWidth="1"/>
    <col min="14084" max="14084" width="17" style="2358" customWidth="1"/>
    <col min="14085" max="14085" width="18.7109375" style="2358" customWidth="1"/>
    <col min="14086" max="14086" width="21.5703125" style="2358" customWidth="1"/>
    <col min="14087" max="14087" width="14.7109375" style="2358" customWidth="1"/>
    <col min="14088" max="14088" width="13.85546875" style="2358" customWidth="1"/>
    <col min="14089" max="14092" width="9.140625" style="2358"/>
    <col min="14093" max="14093" width="10.42578125" style="2358" bestFit="1" customWidth="1"/>
    <col min="14094" max="14094" width="9.140625" style="2358"/>
    <col min="14095" max="14095" width="11.5703125" style="2358" bestFit="1" customWidth="1"/>
    <col min="14096" max="14336" width="9.140625" style="2358"/>
    <col min="14337" max="14337" width="5.5703125" style="2358" customWidth="1"/>
    <col min="14338" max="14338" width="32.42578125" style="2358" customWidth="1"/>
    <col min="14339" max="14339" width="24.85546875" style="2358" customWidth="1"/>
    <col min="14340" max="14340" width="17" style="2358" customWidth="1"/>
    <col min="14341" max="14341" width="18.7109375" style="2358" customWidth="1"/>
    <col min="14342" max="14342" width="21.5703125" style="2358" customWidth="1"/>
    <col min="14343" max="14343" width="14.7109375" style="2358" customWidth="1"/>
    <col min="14344" max="14344" width="13.85546875" style="2358" customWidth="1"/>
    <col min="14345" max="14348" width="9.140625" style="2358"/>
    <col min="14349" max="14349" width="10.42578125" style="2358" bestFit="1" customWidth="1"/>
    <col min="14350" max="14350" width="9.140625" style="2358"/>
    <col min="14351" max="14351" width="11.5703125" style="2358" bestFit="1" customWidth="1"/>
    <col min="14352" max="14592" width="9.140625" style="2358"/>
    <col min="14593" max="14593" width="5.5703125" style="2358" customWidth="1"/>
    <col min="14594" max="14594" width="32.42578125" style="2358" customWidth="1"/>
    <col min="14595" max="14595" width="24.85546875" style="2358" customWidth="1"/>
    <col min="14596" max="14596" width="17" style="2358" customWidth="1"/>
    <col min="14597" max="14597" width="18.7109375" style="2358" customWidth="1"/>
    <col min="14598" max="14598" width="21.5703125" style="2358" customWidth="1"/>
    <col min="14599" max="14599" width="14.7109375" style="2358" customWidth="1"/>
    <col min="14600" max="14600" width="13.85546875" style="2358" customWidth="1"/>
    <col min="14601" max="14604" width="9.140625" style="2358"/>
    <col min="14605" max="14605" width="10.42578125" style="2358" bestFit="1" customWidth="1"/>
    <col min="14606" max="14606" width="9.140625" style="2358"/>
    <col min="14607" max="14607" width="11.5703125" style="2358" bestFit="1" customWidth="1"/>
    <col min="14608" max="14848" width="9.140625" style="2358"/>
    <col min="14849" max="14849" width="5.5703125" style="2358" customWidth="1"/>
    <col min="14850" max="14850" width="32.42578125" style="2358" customWidth="1"/>
    <col min="14851" max="14851" width="24.85546875" style="2358" customWidth="1"/>
    <col min="14852" max="14852" width="17" style="2358" customWidth="1"/>
    <col min="14853" max="14853" width="18.7109375" style="2358" customWidth="1"/>
    <col min="14854" max="14854" width="21.5703125" style="2358" customWidth="1"/>
    <col min="14855" max="14855" width="14.7109375" style="2358" customWidth="1"/>
    <col min="14856" max="14856" width="13.85546875" style="2358" customWidth="1"/>
    <col min="14857" max="14860" width="9.140625" style="2358"/>
    <col min="14861" max="14861" width="10.42578125" style="2358" bestFit="1" customWidth="1"/>
    <col min="14862" max="14862" width="9.140625" style="2358"/>
    <col min="14863" max="14863" width="11.5703125" style="2358" bestFit="1" customWidth="1"/>
    <col min="14864" max="15104" width="9.140625" style="2358"/>
    <col min="15105" max="15105" width="5.5703125" style="2358" customWidth="1"/>
    <col min="15106" max="15106" width="32.42578125" style="2358" customWidth="1"/>
    <col min="15107" max="15107" width="24.85546875" style="2358" customWidth="1"/>
    <col min="15108" max="15108" width="17" style="2358" customWidth="1"/>
    <col min="15109" max="15109" width="18.7109375" style="2358" customWidth="1"/>
    <col min="15110" max="15110" width="21.5703125" style="2358" customWidth="1"/>
    <col min="15111" max="15111" width="14.7109375" style="2358" customWidth="1"/>
    <col min="15112" max="15112" width="13.85546875" style="2358" customWidth="1"/>
    <col min="15113" max="15116" width="9.140625" style="2358"/>
    <col min="15117" max="15117" width="10.42578125" style="2358" bestFit="1" customWidth="1"/>
    <col min="15118" max="15118" width="9.140625" style="2358"/>
    <col min="15119" max="15119" width="11.5703125" style="2358" bestFit="1" customWidth="1"/>
    <col min="15120" max="15360" width="9.140625" style="2358"/>
    <col min="15361" max="15361" width="5.5703125" style="2358" customWidth="1"/>
    <col min="15362" max="15362" width="32.42578125" style="2358" customWidth="1"/>
    <col min="15363" max="15363" width="24.85546875" style="2358" customWidth="1"/>
    <col min="15364" max="15364" width="17" style="2358" customWidth="1"/>
    <col min="15365" max="15365" width="18.7109375" style="2358" customWidth="1"/>
    <col min="15366" max="15366" width="21.5703125" style="2358" customWidth="1"/>
    <col min="15367" max="15367" width="14.7109375" style="2358" customWidth="1"/>
    <col min="15368" max="15368" width="13.85546875" style="2358" customWidth="1"/>
    <col min="15369" max="15372" width="9.140625" style="2358"/>
    <col min="15373" max="15373" width="10.42578125" style="2358" bestFit="1" customWidth="1"/>
    <col min="15374" max="15374" width="9.140625" style="2358"/>
    <col min="15375" max="15375" width="11.5703125" style="2358" bestFit="1" customWidth="1"/>
    <col min="15376" max="15616" width="9.140625" style="2358"/>
    <col min="15617" max="15617" width="5.5703125" style="2358" customWidth="1"/>
    <col min="15618" max="15618" width="32.42578125" style="2358" customWidth="1"/>
    <col min="15619" max="15619" width="24.85546875" style="2358" customWidth="1"/>
    <col min="15620" max="15620" width="17" style="2358" customWidth="1"/>
    <col min="15621" max="15621" width="18.7109375" style="2358" customWidth="1"/>
    <col min="15622" max="15622" width="21.5703125" style="2358" customWidth="1"/>
    <col min="15623" max="15623" width="14.7109375" style="2358" customWidth="1"/>
    <col min="15624" max="15624" width="13.85546875" style="2358" customWidth="1"/>
    <col min="15625" max="15628" width="9.140625" style="2358"/>
    <col min="15629" max="15629" width="10.42578125" style="2358" bestFit="1" customWidth="1"/>
    <col min="15630" max="15630" width="9.140625" style="2358"/>
    <col min="15631" max="15631" width="11.5703125" style="2358" bestFit="1" customWidth="1"/>
    <col min="15632" max="15872" width="9.140625" style="2358"/>
    <col min="15873" max="15873" width="5.5703125" style="2358" customWidth="1"/>
    <col min="15874" max="15874" width="32.42578125" style="2358" customWidth="1"/>
    <col min="15875" max="15875" width="24.85546875" style="2358" customWidth="1"/>
    <col min="15876" max="15876" width="17" style="2358" customWidth="1"/>
    <col min="15877" max="15877" width="18.7109375" style="2358" customWidth="1"/>
    <col min="15878" max="15878" width="21.5703125" style="2358" customWidth="1"/>
    <col min="15879" max="15879" width="14.7109375" style="2358" customWidth="1"/>
    <col min="15880" max="15880" width="13.85546875" style="2358" customWidth="1"/>
    <col min="15881" max="15884" width="9.140625" style="2358"/>
    <col min="15885" max="15885" width="10.42578125" style="2358" bestFit="1" customWidth="1"/>
    <col min="15886" max="15886" width="9.140625" style="2358"/>
    <col min="15887" max="15887" width="11.5703125" style="2358" bestFit="1" customWidth="1"/>
    <col min="15888" max="16128" width="9.140625" style="2358"/>
    <col min="16129" max="16129" width="5.5703125" style="2358" customWidth="1"/>
    <col min="16130" max="16130" width="32.42578125" style="2358" customWidth="1"/>
    <col min="16131" max="16131" width="24.85546875" style="2358" customWidth="1"/>
    <col min="16132" max="16132" width="17" style="2358" customWidth="1"/>
    <col min="16133" max="16133" width="18.7109375" style="2358" customWidth="1"/>
    <col min="16134" max="16134" width="21.5703125" style="2358" customWidth="1"/>
    <col min="16135" max="16135" width="14.7109375" style="2358" customWidth="1"/>
    <col min="16136" max="16136" width="13.85546875" style="2358" customWidth="1"/>
    <col min="16137" max="16140" width="9.140625" style="2358"/>
    <col min="16141" max="16141" width="10.42578125" style="2358" bestFit="1" customWidth="1"/>
    <col min="16142" max="16142" width="9.140625" style="2358"/>
    <col min="16143" max="16143" width="11.5703125" style="2358" bestFit="1" customWidth="1"/>
    <col min="16144" max="16384" width="9.140625" style="2358"/>
  </cols>
  <sheetData>
    <row r="1" spans="1:20" ht="15.75">
      <c r="F1" s="2413" t="s">
        <v>3941</v>
      </c>
    </row>
    <row r="2" spans="1:20" ht="15.75">
      <c r="F2" s="2413" t="s">
        <v>3942</v>
      </c>
    </row>
    <row r="3" spans="1:20" ht="61.5" customHeight="1">
      <c r="A3" s="2994" t="s">
        <v>3943</v>
      </c>
      <c r="B3" s="2994"/>
      <c r="C3" s="2994"/>
      <c r="D3" s="2994"/>
      <c r="E3" s="2994"/>
      <c r="F3" s="2994"/>
      <c r="G3" s="2994"/>
      <c r="H3" s="2994"/>
    </row>
    <row r="4" spans="1:20" ht="48.75" customHeight="1">
      <c r="A4" s="3047" t="s">
        <v>3944</v>
      </c>
      <c r="B4" s="3047"/>
      <c r="C4" s="3047"/>
      <c r="D4" s="3047"/>
      <c r="E4" s="3047"/>
      <c r="F4" s="3047"/>
      <c r="G4" s="3047"/>
      <c r="H4" s="3047"/>
    </row>
    <row r="5" spans="1:20" ht="61.5" customHeight="1">
      <c r="A5" s="2414" t="s">
        <v>3735</v>
      </c>
      <c r="B5" s="2414" t="s">
        <v>3883</v>
      </c>
      <c r="C5" s="3567" t="s">
        <v>3736</v>
      </c>
      <c r="D5" s="3568"/>
      <c r="E5" s="3568"/>
      <c r="F5" s="3569"/>
      <c r="G5" s="3571" t="s">
        <v>3945</v>
      </c>
      <c r="H5" s="3571"/>
      <c r="M5" s="2415"/>
    </row>
    <row r="6" spans="1:20" ht="39" customHeight="1">
      <c r="A6" s="2416" t="s">
        <v>3</v>
      </c>
      <c r="B6" s="3565" t="s">
        <v>3894</v>
      </c>
      <c r="C6" s="3567" t="s">
        <v>3749</v>
      </c>
      <c r="D6" s="3568"/>
      <c r="E6" s="3568"/>
      <c r="F6" s="3568"/>
      <c r="G6" s="2418">
        <v>2986.91</v>
      </c>
      <c r="H6" s="2419"/>
      <c r="O6" s="2420"/>
    </row>
    <row r="7" spans="1:20" ht="37.5" customHeight="1">
      <c r="A7" s="2421" t="s">
        <v>8</v>
      </c>
      <c r="B7" s="3566"/>
      <c r="C7" s="3567" t="s">
        <v>3750</v>
      </c>
      <c r="D7" s="3568"/>
      <c r="E7" s="3568"/>
      <c r="F7" s="3569"/>
      <c r="G7" s="2418">
        <v>15052.09</v>
      </c>
      <c r="H7" s="2419"/>
      <c r="O7" s="2420"/>
    </row>
    <row r="8" spans="1:20" ht="39" customHeight="1">
      <c r="A8" s="2416" t="s">
        <v>3</v>
      </c>
      <c r="B8" s="3565" t="s">
        <v>3895</v>
      </c>
      <c r="C8" s="3567" t="s">
        <v>3896</v>
      </c>
      <c r="D8" s="3568"/>
      <c r="E8" s="3568"/>
      <c r="F8" s="3569"/>
      <c r="G8" s="2418">
        <f>G6</f>
        <v>2986.91</v>
      </c>
      <c r="H8" s="2419"/>
      <c r="P8" s="2415">
        <f>G6+G7</f>
        <v>18039</v>
      </c>
    </row>
    <row r="9" spans="1:20" ht="37.5" customHeight="1">
      <c r="A9" s="2421" t="s">
        <v>8</v>
      </c>
      <c r="B9" s="3566"/>
      <c r="C9" s="3570" t="s">
        <v>3750</v>
      </c>
      <c r="D9" s="3570"/>
      <c r="E9" s="3570"/>
      <c r="F9" s="3570"/>
      <c r="G9" s="2418">
        <f>G7</f>
        <v>15052.09</v>
      </c>
      <c r="H9" s="2419"/>
    </row>
    <row r="10" spans="1:20" ht="31.5" customHeight="1">
      <c r="A10" s="3561" t="s">
        <v>3946</v>
      </c>
      <c r="B10" s="3562"/>
      <c r="C10" s="3562"/>
      <c r="D10" s="3562"/>
      <c r="E10" s="3562"/>
      <c r="F10" s="3562"/>
      <c r="G10" s="3562"/>
      <c r="H10" s="3563"/>
      <c r="T10" s="2959">
        <f>P8*49000</f>
        <v>883911000</v>
      </c>
    </row>
    <row r="11" spans="1:20" ht="45.75" customHeight="1">
      <c r="A11" s="3048" t="s">
        <v>0</v>
      </c>
      <c r="B11" s="3029" t="s">
        <v>3849</v>
      </c>
      <c r="C11" s="3028" t="s">
        <v>3850</v>
      </c>
      <c r="D11" s="3029" t="s">
        <v>3851</v>
      </c>
      <c r="E11" s="3029" t="s">
        <v>3852</v>
      </c>
      <c r="F11" s="3029" t="s">
        <v>3853</v>
      </c>
      <c r="G11" s="3047" t="s">
        <v>3947</v>
      </c>
      <c r="H11" s="3047"/>
    </row>
    <row r="12" spans="1:20" ht="47.25" customHeight="1">
      <c r="A12" s="3048"/>
      <c r="B12" s="3029"/>
      <c r="C12" s="3028"/>
      <c r="D12" s="3029"/>
      <c r="E12" s="3029"/>
      <c r="F12" s="3029"/>
      <c r="G12" s="2407" t="s">
        <v>3948</v>
      </c>
      <c r="H12" s="2407" t="s">
        <v>3949</v>
      </c>
    </row>
    <row r="13" spans="1:20">
      <c r="A13" s="2423">
        <v>1</v>
      </c>
      <c r="B13" s="2423">
        <v>2</v>
      </c>
      <c r="C13" s="3560">
        <v>3</v>
      </c>
      <c r="D13" s="3560"/>
      <c r="E13" s="3560"/>
      <c r="F13" s="3560"/>
      <c r="G13" s="2423">
        <v>4</v>
      </c>
      <c r="H13" s="2423">
        <v>5</v>
      </c>
    </row>
    <row r="14" spans="1:20">
      <c r="A14" s="3028">
        <v>1</v>
      </c>
      <c r="B14" s="3028" t="s">
        <v>2952</v>
      </c>
      <c r="C14" s="3035" t="s">
        <v>3859</v>
      </c>
      <c r="D14" s="3028" t="s">
        <v>2949</v>
      </c>
      <c r="E14" s="3029" t="s">
        <v>2950</v>
      </c>
      <c r="F14" s="2369" t="s">
        <v>3860</v>
      </c>
      <c r="G14" s="2425">
        <v>0</v>
      </c>
      <c r="H14" s="2426" t="s">
        <v>3823</v>
      </c>
    </row>
    <row r="15" spans="1:20">
      <c r="A15" s="3028"/>
      <c r="B15" s="3028"/>
      <c r="C15" s="3035"/>
      <c r="D15" s="3028"/>
      <c r="E15" s="3029"/>
      <c r="F15" s="2369" t="s">
        <v>3861</v>
      </c>
      <c r="G15" s="2425">
        <v>0</v>
      </c>
      <c r="H15" s="2426" t="s">
        <v>3823</v>
      </c>
    </row>
    <row r="16" spans="1:20">
      <c r="A16" s="3028"/>
      <c r="B16" s="3028"/>
      <c r="C16" s="3035"/>
      <c r="D16" s="3028"/>
      <c r="E16" s="3029"/>
      <c r="F16" s="2369" t="s">
        <v>3862</v>
      </c>
      <c r="G16" s="2425">
        <v>0</v>
      </c>
      <c r="H16" s="2426" t="s">
        <v>3823</v>
      </c>
    </row>
    <row r="17" spans="1:8">
      <c r="A17" s="3028"/>
      <c r="B17" s="3028"/>
      <c r="C17" s="3035"/>
      <c r="D17" s="3028"/>
      <c r="E17" s="3029"/>
      <c r="F17" s="2369" t="s">
        <v>3863</v>
      </c>
      <c r="G17" s="2425">
        <v>0</v>
      </c>
      <c r="H17" s="2426" t="s">
        <v>3823</v>
      </c>
    </row>
    <row r="18" spans="1:8">
      <c r="A18" s="3028"/>
      <c r="B18" s="3028"/>
      <c r="C18" s="3035"/>
      <c r="D18" s="3028"/>
      <c r="E18" s="3029"/>
      <c r="F18" s="2315" t="s">
        <v>3864</v>
      </c>
      <c r="G18" s="2425">
        <v>0</v>
      </c>
      <c r="H18" s="2426" t="s">
        <v>3823</v>
      </c>
    </row>
    <row r="19" spans="1:8">
      <c r="A19" s="3028"/>
      <c r="B19" s="3028"/>
      <c r="C19" s="3035"/>
      <c r="D19" s="3028"/>
      <c r="E19" s="3029"/>
      <c r="F19" s="2315" t="s">
        <v>3865</v>
      </c>
      <c r="G19" s="2425">
        <v>0</v>
      </c>
      <c r="H19" s="2426" t="s">
        <v>3823</v>
      </c>
    </row>
    <row r="20" spans="1:8">
      <c r="A20" s="3028"/>
      <c r="B20" s="3028"/>
      <c r="C20" s="3035"/>
      <c r="D20" s="3028"/>
      <c r="E20" s="3029" t="s">
        <v>2957</v>
      </c>
      <c r="F20" s="2369" t="s">
        <v>3860</v>
      </c>
      <c r="G20" s="2425">
        <v>0</v>
      </c>
      <c r="H20" s="2427">
        <v>626875.99</v>
      </c>
    </row>
    <row r="21" spans="1:8">
      <c r="A21" s="3028"/>
      <c r="B21" s="3028"/>
      <c r="C21" s="3035"/>
      <c r="D21" s="3028"/>
      <c r="E21" s="3029"/>
      <c r="F21" s="2369" t="s">
        <v>3861</v>
      </c>
      <c r="G21" s="2425">
        <v>0</v>
      </c>
      <c r="H21" s="2426" t="s">
        <v>3823</v>
      </c>
    </row>
    <row r="22" spans="1:8">
      <c r="A22" s="3028"/>
      <c r="B22" s="3028"/>
      <c r="C22" s="3035"/>
      <c r="D22" s="3028"/>
      <c r="E22" s="3029"/>
      <c r="F22" s="2369" t="s">
        <v>3862</v>
      </c>
      <c r="G22" s="2425">
        <v>0</v>
      </c>
      <c r="H22" s="2426" t="s">
        <v>3823</v>
      </c>
    </row>
    <row r="23" spans="1:8">
      <c r="A23" s="3028"/>
      <c r="B23" s="3028"/>
      <c r="C23" s="3035"/>
      <c r="D23" s="3028"/>
      <c r="E23" s="3029"/>
      <c r="F23" s="2369" t="s">
        <v>3863</v>
      </c>
      <c r="G23" s="2425">
        <v>0</v>
      </c>
      <c r="H23" s="2426" t="s">
        <v>3823</v>
      </c>
    </row>
    <row r="24" spans="1:8">
      <c r="A24" s="3028"/>
      <c r="B24" s="3028"/>
      <c r="C24" s="3035"/>
      <c r="D24" s="3028"/>
      <c r="E24" s="3029"/>
      <c r="F24" s="2315" t="s">
        <v>3864</v>
      </c>
      <c r="G24" s="2425">
        <v>0</v>
      </c>
      <c r="H24" s="2426" t="s">
        <v>3823</v>
      </c>
    </row>
    <row r="25" spans="1:8">
      <c r="A25" s="3028"/>
      <c r="B25" s="3028"/>
      <c r="C25" s="3035"/>
      <c r="D25" s="3028"/>
      <c r="E25" s="3029"/>
      <c r="F25" s="2315" t="s">
        <v>3865</v>
      </c>
      <c r="G25" s="2425">
        <v>0</v>
      </c>
      <c r="H25" s="2426" t="s">
        <v>3823</v>
      </c>
    </row>
    <row r="26" spans="1:8">
      <c r="A26" s="3028"/>
      <c r="B26" s="3028"/>
      <c r="C26" s="3035"/>
      <c r="D26" s="3028" t="s">
        <v>2954</v>
      </c>
      <c r="E26" s="3029" t="s">
        <v>2950</v>
      </c>
      <c r="F26" s="2369" t="s">
        <v>3860</v>
      </c>
      <c r="G26" s="2425">
        <v>0</v>
      </c>
      <c r="H26" s="2426" t="s">
        <v>3823</v>
      </c>
    </row>
    <row r="27" spans="1:8">
      <c r="A27" s="3028"/>
      <c r="B27" s="3028"/>
      <c r="C27" s="3035"/>
      <c r="D27" s="3028"/>
      <c r="E27" s="3029"/>
      <c r="F27" s="2369" t="s">
        <v>3861</v>
      </c>
      <c r="G27" s="2425">
        <v>0</v>
      </c>
      <c r="H27" s="2426" t="s">
        <v>3823</v>
      </c>
    </row>
    <row r="28" spans="1:8">
      <c r="A28" s="3028"/>
      <c r="B28" s="3028"/>
      <c r="C28" s="3035"/>
      <c r="D28" s="3028"/>
      <c r="E28" s="3029"/>
      <c r="F28" s="2369" t="s">
        <v>3862</v>
      </c>
      <c r="G28" s="2425">
        <v>0</v>
      </c>
      <c r="H28" s="2426" t="s">
        <v>3823</v>
      </c>
    </row>
    <row r="29" spans="1:8">
      <c r="A29" s="3028"/>
      <c r="B29" s="3028"/>
      <c r="C29" s="3035"/>
      <c r="D29" s="3028"/>
      <c r="E29" s="3029"/>
      <c r="F29" s="2369" t="s">
        <v>3863</v>
      </c>
      <c r="G29" s="2425">
        <v>0</v>
      </c>
      <c r="H29" s="2426" t="s">
        <v>3823</v>
      </c>
    </row>
    <row r="30" spans="1:8">
      <c r="A30" s="3028"/>
      <c r="B30" s="3028"/>
      <c r="C30" s="3035"/>
      <c r="D30" s="3028"/>
      <c r="E30" s="3029"/>
      <c r="F30" s="2315" t="s">
        <v>3864</v>
      </c>
      <c r="G30" s="2425">
        <v>0</v>
      </c>
      <c r="H30" s="2426" t="s">
        <v>3823</v>
      </c>
    </row>
    <row r="31" spans="1:8">
      <c r="A31" s="3028"/>
      <c r="B31" s="3028"/>
      <c r="C31" s="3035"/>
      <c r="D31" s="3028"/>
      <c r="E31" s="3029"/>
      <c r="F31" s="2315" t="s">
        <v>3865</v>
      </c>
      <c r="G31" s="2425">
        <v>0</v>
      </c>
      <c r="H31" s="2426" t="s">
        <v>3823</v>
      </c>
    </row>
    <row r="32" spans="1:8">
      <c r="A32" s="3028"/>
      <c r="B32" s="3028"/>
      <c r="C32" s="3035"/>
      <c r="D32" s="3028"/>
      <c r="E32" s="3029" t="s">
        <v>2957</v>
      </c>
      <c r="F32" s="2369" t="s">
        <v>3860</v>
      </c>
      <c r="G32" s="2425">
        <v>0</v>
      </c>
      <c r="H32" s="2426" t="s">
        <v>3823</v>
      </c>
    </row>
    <row r="33" spans="1:8">
      <c r="A33" s="3028"/>
      <c r="B33" s="3028"/>
      <c r="C33" s="3035"/>
      <c r="D33" s="3028"/>
      <c r="E33" s="3029"/>
      <c r="F33" s="2369" t="s">
        <v>3861</v>
      </c>
      <c r="G33" s="2425">
        <v>0</v>
      </c>
      <c r="H33" s="2426" t="s">
        <v>3823</v>
      </c>
    </row>
    <row r="34" spans="1:8">
      <c r="A34" s="3028"/>
      <c r="B34" s="3028"/>
      <c r="C34" s="3035"/>
      <c r="D34" s="3028"/>
      <c r="E34" s="3029"/>
      <c r="F34" s="2369" t="s">
        <v>3862</v>
      </c>
      <c r="G34" s="2425">
        <v>0</v>
      </c>
      <c r="H34" s="2426" t="s">
        <v>3823</v>
      </c>
    </row>
    <row r="35" spans="1:8">
      <c r="A35" s="3028"/>
      <c r="B35" s="3028"/>
      <c r="C35" s="3035"/>
      <c r="D35" s="3028"/>
      <c r="E35" s="3029"/>
      <c r="F35" s="2369" t="s">
        <v>3863</v>
      </c>
      <c r="G35" s="2425">
        <v>0</v>
      </c>
      <c r="H35" s="2426" t="s">
        <v>3823</v>
      </c>
    </row>
    <row r="36" spans="1:8">
      <c r="A36" s="3028"/>
      <c r="B36" s="3028"/>
      <c r="C36" s="3035"/>
      <c r="D36" s="3028"/>
      <c r="E36" s="3029"/>
      <c r="F36" s="2315" t="s">
        <v>3864</v>
      </c>
      <c r="G36" s="2425">
        <v>0</v>
      </c>
      <c r="H36" s="2426" t="s">
        <v>3823</v>
      </c>
    </row>
    <row r="37" spans="1:8">
      <c r="A37" s="3028"/>
      <c r="B37" s="3028"/>
      <c r="C37" s="3035"/>
      <c r="D37" s="3028"/>
      <c r="E37" s="3029"/>
      <c r="F37" s="2315" t="s">
        <v>3865</v>
      </c>
      <c r="G37" s="2425">
        <v>0</v>
      </c>
      <c r="H37" s="2426" t="s">
        <v>3823</v>
      </c>
    </row>
    <row r="38" spans="1:8">
      <c r="A38" s="3028">
        <v>2</v>
      </c>
      <c r="B38" s="3028" t="s">
        <v>2948</v>
      </c>
      <c r="C38" s="3035" t="s">
        <v>3859</v>
      </c>
      <c r="D38" s="3028" t="s">
        <v>2949</v>
      </c>
      <c r="E38" s="3029" t="s">
        <v>2950</v>
      </c>
      <c r="F38" s="2369" t="s">
        <v>3860</v>
      </c>
      <c r="G38" s="2425">
        <v>0</v>
      </c>
      <c r="H38" s="2426" t="s">
        <v>3823</v>
      </c>
    </row>
    <row r="39" spans="1:8">
      <c r="A39" s="3028"/>
      <c r="B39" s="3028"/>
      <c r="C39" s="3035"/>
      <c r="D39" s="3028"/>
      <c r="E39" s="3029"/>
      <c r="F39" s="2369" t="s">
        <v>3861</v>
      </c>
      <c r="G39" s="2425">
        <v>0</v>
      </c>
      <c r="H39" s="2426" t="s">
        <v>3823</v>
      </c>
    </row>
    <row r="40" spans="1:8">
      <c r="A40" s="3028"/>
      <c r="B40" s="3028"/>
      <c r="C40" s="3035"/>
      <c r="D40" s="3028"/>
      <c r="E40" s="3029"/>
      <c r="F40" s="2369" t="s">
        <v>3862</v>
      </c>
      <c r="G40" s="2425">
        <v>0</v>
      </c>
      <c r="H40" s="2426" t="s">
        <v>3823</v>
      </c>
    </row>
    <row r="41" spans="1:8">
      <c r="A41" s="3028"/>
      <c r="B41" s="3028"/>
      <c r="C41" s="3035"/>
      <c r="D41" s="3028"/>
      <c r="E41" s="3029"/>
      <c r="F41" s="2369" t="s">
        <v>3863</v>
      </c>
      <c r="G41" s="2425">
        <v>0</v>
      </c>
      <c r="H41" s="2426" t="s">
        <v>3823</v>
      </c>
    </row>
    <row r="42" spans="1:8">
      <c r="A42" s="3028"/>
      <c r="B42" s="3028"/>
      <c r="C42" s="3035"/>
      <c r="D42" s="3028"/>
      <c r="E42" s="3029"/>
      <c r="F42" s="2315" t="s">
        <v>3864</v>
      </c>
      <c r="G42" s="2425">
        <v>0</v>
      </c>
      <c r="H42" s="2426" t="s">
        <v>3823</v>
      </c>
    </row>
    <row r="43" spans="1:8">
      <c r="A43" s="3028"/>
      <c r="B43" s="3028"/>
      <c r="C43" s="3035"/>
      <c r="D43" s="3028"/>
      <c r="E43" s="3029"/>
      <c r="F43" s="2315" t="s">
        <v>3865</v>
      </c>
      <c r="G43" s="2425">
        <v>0</v>
      </c>
      <c r="H43" s="2426" t="s">
        <v>3823</v>
      </c>
    </row>
    <row r="44" spans="1:8">
      <c r="A44" s="3028"/>
      <c r="B44" s="3028"/>
      <c r="C44" s="3035"/>
      <c r="D44" s="3028"/>
      <c r="E44" s="3029" t="s">
        <v>2957</v>
      </c>
      <c r="F44" s="2369" t="s">
        <v>3860</v>
      </c>
      <c r="G44" s="2425">
        <v>0</v>
      </c>
      <c r="H44" s="2427">
        <v>531427.22</v>
      </c>
    </row>
    <row r="45" spans="1:8">
      <c r="A45" s="3028"/>
      <c r="B45" s="3028"/>
      <c r="C45" s="3035"/>
      <c r="D45" s="3028"/>
      <c r="E45" s="3029"/>
      <c r="F45" s="2369" t="s">
        <v>3861</v>
      </c>
      <c r="G45" s="2425">
        <v>0</v>
      </c>
      <c r="H45" s="2427">
        <v>747729.47</v>
      </c>
    </row>
    <row r="46" spans="1:8">
      <c r="A46" s="3028"/>
      <c r="B46" s="3028"/>
      <c r="C46" s="3035"/>
      <c r="D46" s="3028"/>
      <c r="E46" s="3029"/>
      <c r="F46" s="2369" t="s">
        <v>3862</v>
      </c>
      <c r="G46" s="2425">
        <v>0</v>
      </c>
      <c r="H46" s="2426" t="s">
        <v>3823</v>
      </c>
    </row>
    <row r="47" spans="1:8">
      <c r="A47" s="3028"/>
      <c r="B47" s="3028"/>
      <c r="C47" s="3035"/>
      <c r="D47" s="3028"/>
      <c r="E47" s="3029"/>
      <c r="F47" s="2369" t="s">
        <v>3863</v>
      </c>
      <c r="G47" s="2425">
        <v>0</v>
      </c>
      <c r="H47" s="2426" t="s">
        <v>3823</v>
      </c>
    </row>
    <row r="48" spans="1:8">
      <c r="A48" s="3028"/>
      <c r="B48" s="3028"/>
      <c r="C48" s="3035"/>
      <c r="D48" s="3028"/>
      <c r="E48" s="3029"/>
      <c r="F48" s="2315" t="s">
        <v>3864</v>
      </c>
      <c r="G48" s="2425">
        <v>0</v>
      </c>
      <c r="H48" s="2426" t="s">
        <v>3823</v>
      </c>
    </row>
    <row r="49" spans="1:8">
      <c r="A49" s="3028"/>
      <c r="B49" s="3028"/>
      <c r="C49" s="3035"/>
      <c r="D49" s="3028"/>
      <c r="E49" s="3029"/>
      <c r="F49" s="2315" t="s">
        <v>3865</v>
      </c>
      <c r="G49" s="2425">
        <v>0</v>
      </c>
      <c r="H49" s="2426" t="s">
        <v>3823</v>
      </c>
    </row>
    <row r="50" spans="1:8">
      <c r="A50" s="3028"/>
      <c r="B50" s="3028"/>
      <c r="C50" s="3035"/>
      <c r="D50" s="3028" t="s">
        <v>2954</v>
      </c>
      <c r="E50" s="3029" t="s">
        <v>2950</v>
      </c>
      <c r="F50" s="2369" t="s">
        <v>3860</v>
      </c>
      <c r="G50" s="2425">
        <v>0</v>
      </c>
      <c r="H50" s="2427">
        <v>719141.18</v>
      </c>
    </row>
    <row r="51" spans="1:8">
      <c r="A51" s="3028"/>
      <c r="B51" s="3028"/>
      <c r="C51" s="3035"/>
      <c r="D51" s="3028"/>
      <c r="E51" s="3029"/>
      <c r="F51" s="2369" t="s">
        <v>3861</v>
      </c>
      <c r="G51" s="2425">
        <v>0</v>
      </c>
      <c r="H51" s="2426" t="s">
        <v>3823</v>
      </c>
    </row>
    <row r="52" spans="1:8">
      <c r="A52" s="3028"/>
      <c r="B52" s="3028"/>
      <c r="C52" s="3035"/>
      <c r="D52" s="3028"/>
      <c r="E52" s="3029"/>
      <c r="F52" s="2369" t="s">
        <v>3862</v>
      </c>
      <c r="G52" s="2425">
        <v>0</v>
      </c>
      <c r="H52" s="2426" t="s">
        <v>3823</v>
      </c>
    </row>
    <row r="53" spans="1:8">
      <c r="A53" s="3028"/>
      <c r="B53" s="3028"/>
      <c r="C53" s="3035"/>
      <c r="D53" s="3028"/>
      <c r="E53" s="3029"/>
      <c r="F53" s="2369" t="s">
        <v>3863</v>
      </c>
      <c r="G53" s="2425">
        <v>0</v>
      </c>
      <c r="H53" s="2426" t="s">
        <v>3823</v>
      </c>
    </row>
    <row r="54" spans="1:8">
      <c r="A54" s="3028"/>
      <c r="B54" s="3028"/>
      <c r="C54" s="3035"/>
      <c r="D54" s="3028"/>
      <c r="E54" s="3029"/>
      <c r="F54" s="2315" t="s">
        <v>3864</v>
      </c>
      <c r="G54" s="2425">
        <v>0</v>
      </c>
      <c r="H54" s="2426" t="s">
        <v>3823</v>
      </c>
    </row>
    <row r="55" spans="1:8">
      <c r="A55" s="3028"/>
      <c r="B55" s="3028"/>
      <c r="C55" s="3035"/>
      <c r="D55" s="3028"/>
      <c r="E55" s="3029"/>
      <c r="F55" s="2315" t="s">
        <v>3865</v>
      </c>
      <c r="G55" s="2425">
        <v>0</v>
      </c>
      <c r="H55" s="2426" t="s">
        <v>3823</v>
      </c>
    </row>
    <row r="56" spans="1:8">
      <c r="A56" s="3028"/>
      <c r="B56" s="3028"/>
      <c r="C56" s="3035"/>
      <c r="D56" s="3028"/>
      <c r="E56" s="3029" t="s">
        <v>2957</v>
      </c>
      <c r="F56" s="2369" t="s">
        <v>3860</v>
      </c>
      <c r="G56" s="2425">
        <v>0</v>
      </c>
      <c r="H56" s="2427">
        <v>431154.84</v>
      </c>
    </row>
    <row r="57" spans="1:8">
      <c r="A57" s="3028"/>
      <c r="B57" s="3028"/>
      <c r="C57" s="3035"/>
      <c r="D57" s="3028"/>
      <c r="E57" s="3029"/>
      <c r="F57" s="2369" t="s">
        <v>3861</v>
      </c>
      <c r="G57" s="2425">
        <v>0</v>
      </c>
      <c r="H57" s="2426" t="s">
        <v>3823</v>
      </c>
    </row>
    <row r="58" spans="1:8">
      <c r="A58" s="3028"/>
      <c r="B58" s="3028"/>
      <c r="C58" s="3035"/>
      <c r="D58" s="3028"/>
      <c r="E58" s="3029"/>
      <c r="F58" s="2369" t="s">
        <v>3862</v>
      </c>
      <c r="G58" s="2425">
        <v>0</v>
      </c>
      <c r="H58" s="2426" t="s">
        <v>3823</v>
      </c>
    </row>
    <row r="59" spans="1:8">
      <c r="A59" s="3028"/>
      <c r="B59" s="3028"/>
      <c r="C59" s="3035"/>
      <c r="D59" s="3028"/>
      <c r="E59" s="3029"/>
      <c r="F59" s="2369" t="s">
        <v>3863</v>
      </c>
      <c r="G59" s="2425">
        <v>0</v>
      </c>
      <c r="H59" s="2426" t="s">
        <v>3823</v>
      </c>
    </row>
    <row r="60" spans="1:8">
      <c r="A60" s="3028"/>
      <c r="B60" s="3028"/>
      <c r="C60" s="3035"/>
      <c r="D60" s="3028"/>
      <c r="E60" s="3029"/>
      <c r="F60" s="2369" t="s">
        <v>3864</v>
      </c>
      <c r="G60" s="2425">
        <v>0</v>
      </c>
      <c r="H60" s="2426" t="s">
        <v>3823</v>
      </c>
    </row>
    <row r="61" spans="1:8">
      <c r="A61" s="3011"/>
      <c r="B61" s="3011"/>
      <c r="C61" s="3564"/>
      <c r="D61" s="3011"/>
      <c r="E61" s="3013"/>
      <c r="F61" s="2378" t="s">
        <v>3865</v>
      </c>
      <c r="G61" s="2428">
        <v>0</v>
      </c>
      <c r="H61" s="2426" t="s">
        <v>3823</v>
      </c>
    </row>
    <row r="62" spans="1:8" ht="36.75" customHeight="1">
      <c r="A62" s="3561" t="s">
        <v>3950</v>
      </c>
      <c r="B62" s="3562"/>
      <c r="C62" s="3562"/>
      <c r="D62" s="3562"/>
      <c r="E62" s="3562"/>
      <c r="F62" s="3562"/>
      <c r="G62" s="3562"/>
      <c r="H62" s="3563"/>
    </row>
    <row r="63" spans="1:8" ht="50.25" customHeight="1">
      <c r="A63" s="3048" t="s">
        <v>0</v>
      </c>
      <c r="B63" s="3029" t="s">
        <v>3849</v>
      </c>
      <c r="C63" s="3028" t="s">
        <v>3850</v>
      </c>
      <c r="D63" s="3029" t="s">
        <v>3851</v>
      </c>
      <c r="E63" s="3029" t="s">
        <v>3852</v>
      </c>
      <c r="F63" s="3029" t="s">
        <v>3853</v>
      </c>
      <c r="G63" s="3047" t="s">
        <v>3947</v>
      </c>
      <c r="H63" s="3047"/>
    </row>
    <row r="64" spans="1:8" ht="45">
      <c r="A64" s="3048"/>
      <c r="B64" s="3029"/>
      <c r="C64" s="3028"/>
      <c r="D64" s="3029"/>
      <c r="E64" s="3029"/>
      <c r="F64" s="3029"/>
      <c r="G64" s="2407" t="s">
        <v>3948</v>
      </c>
      <c r="H64" s="2407" t="s">
        <v>3949</v>
      </c>
    </row>
    <row r="65" spans="1:8">
      <c r="A65" s="2423">
        <v>1</v>
      </c>
      <c r="B65" s="2423">
        <v>2</v>
      </c>
      <c r="C65" s="3560">
        <v>3</v>
      </c>
      <c r="D65" s="3560"/>
      <c r="E65" s="3560"/>
      <c r="F65" s="3560"/>
      <c r="G65" s="2423">
        <v>4</v>
      </c>
      <c r="H65" s="2423">
        <v>5</v>
      </c>
    </row>
    <row r="66" spans="1:8">
      <c r="A66" s="3028">
        <v>1</v>
      </c>
      <c r="B66" s="3028" t="s">
        <v>2952</v>
      </c>
      <c r="C66" s="3035" t="s">
        <v>3859</v>
      </c>
      <c r="D66" s="3028" t="s">
        <v>2949</v>
      </c>
      <c r="E66" s="3029" t="s">
        <v>2950</v>
      </c>
      <c r="F66" s="2369" t="s">
        <v>3860</v>
      </c>
      <c r="G66" s="2425">
        <v>0</v>
      </c>
      <c r="H66" s="2426" t="s">
        <v>3823</v>
      </c>
    </row>
    <row r="67" spans="1:8">
      <c r="A67" s="3028"/>
      <c r="B67" s="3028"/>
      <c r="C67" s="3035"/>
      <c r="D67" s="3028"/>
      <c r="E67" s="3029"/>
      <c r="F67" s="2369" t="s">
        <v>3861</v>
      </c>
      <c r="G67" s="2425">
        <v>0</v>
      </c>
      <c r="H67" s="2426" t="s">
        <v>3823</v>
      </c>
    </row>
    <row r="68" spans="1:8">
      <c r="A68" s="3028"/>
      <c r="B68" s="3028"/>
      <c r="C68" s="3035"/>
      <c r="D68" s="3028"/>
      <c r="E68" s="3029"/>
      <c r="F68" s="2369" t="s">
        <v>3862</v>
      </c>
      <c r="G68" s="2425">
        <v>0</v>
      </c>
      <c r="H68" s="2426" t="s">
        <v>3823</v>
      </c>
    </row>
    <row r="69" spans="1:8">
      <c r="A69" s="3028"/>
      <c r="B69" s="3028"/>
      <c r="C69" s="3035"/>
      <c r="D69" s="3028"/>
      <c r="E69" s="3029"/>
      <c r="F69" s="2369" t="s">
        <v>3863</v>
      </c>
      <c r="G69" s="2425">
        <v>0</v>
      </c>
      <c r="H69" s="2426" t="s">
        <v>3823</v>
      </c>
    </row>
    <row r="70" spans="1:8">
      <c r="A70" s="3028"/>
      <c r="B70" s="3028"/>
      <c r="C70" s="3035"/>
      <c r="D70" s="3028"/>
      <c r="E70" s="3029"/>
      <c r="F70" s="2315" t="s">
        <v>3864</v>
      </c>
      <c r="G70" s="2425">
        <v>0</v>
      </c>
      <c r="H70" s="2426" t="s">
        <v>3823</v>
      </c>
    </row>
    <row r="71" spans="1:8">
      <c r="A71" s="3028"/>
      <c r="B71" s="3028"/>
      <c r="C71" s="3035"/>
      <c r="D71" s="3028"/>
      <c r="E71" s="3029"/>
      <c r="F71" s="2315" t="s">
        <v>3865</v>
      </c>
      <c r="G71" s="2425">
        <v>0</v>
      </c>
      <c r="H71" s="2426" t="s">
        <v>3823</v>
      </c>
    </row>
    <row r="72" spans="1:8">
      <c r="A72" s="3028"/>
      <c r="B72" s="3028"/>
      <c r="C72" s="3035"/>
      <c r="D72" s="3028"/>
      <c r="E72" s="3029" t="s">
        <v>2957</v>
      </c>
      <c r="F72" s="2369" t="s">
        <v>3860</v>
      </c>
      <c r="G72" s="2425">
        <v>0</v>
      </c>
      <c r="H72" s="2426" t="s">
        <v>3823</v>
      </c>
    </row>
    <row r="73" spans="1:8">
      <c r="A73" s="3028"/>
      <c r="B73" s="3028"/>
      <c r="C73" s="3035"/>
      <c r="D73" s="3028"/>
      <c r="E73" s="3029"/>
      <c r="F73" s="2369" t="s">
        <v>3861</v>
      </c>
      <c r="G73" s="2425">
        <v>0</v>
      </c>
      <c r="H73" s="2426" t="s">
        <v>3823</v>
      </c>
    </row>
    <row r="74" spans="1:8">
      <c r="A74" s="3028"/>
      <c r="B74" s="3028"/>
      <c r="C74" s="3035"/>
      <c r="D74" s="3028"/>
      <c r="E74" s="3029"/>
      <c r="F74" s="2369" t="s">
        <v>3862</v>
      </c>
      <c r="G74" s="2425">
        <v>0</v>
      </c>
      <c r="H74" s="2426" t="s">
        <v>3823</v>
      </c>
    </row>
    <row r="75" spans="1:8">
      <c r="A75" s="3028"/>
      <c r="B75" s="3028"/>
      <c r="C75" s="3035"/>
      <c r="D75" s="3028"/>
      <c r="E75" s="3029"/>
      <c r="F75" s="2369" t="s">
        <v>3863</v>
      </c>
      <c r="G75" s="2425">
        <v>0</v>
      </c>
      <c r="H75" s="2426" t="s">
        <v>3823</v>
      </c>
    </row>
    <row r="76" spans="1:8">
      <c r="A76" s="3028"/>
      <c r="B76" s="3028"/>
      <c r="C76" s="3035"/>
      <c r="D76" s="3028"/>
      <c r="E76" s="3029"/>
      <c r="F76" s="2315" t="s">
        <v>3864</v>
      </c>
      <c r="G76" s="2425">
        <v>0</v>
      </c>
      <c r="H76" s="2426" t="s">
        <v>3823</v>
      </c>
    </row>
    <row r="77" spans="1:8">
      <c r="A77" s="3028"/>
      <c r="B77" s="3028"/>
      <c r="C77" s="3035"/>
      <c r="D77" s="3028"/>
      <c r="E77" s="3029"/>
      <c r="F77" s="2315" t="s">
        <v>3865</v>
      </c>
      <c r="G77" s="2425">
        <v>0</v>
      </c>
      <c r="H77" s="2426" t="s">
        <v>3823</v>
      </c>
    </row>
    <row r="78" spans="1:8">
      <c r="A78" s="3028"/>
      <c r="B78" s="3028"/>
      <c r="C78" s="3035"/>
      <c r="D78" s="3028" t="s">
        <v>2954</v>
      </c>
      <c r="E78" s="3029" t="s">
        <v>2950</v>
      </c>
      <c r="F78" s="2369" t="s">
        <v>3860</v>
      </c>
      <c r="G78" s="2425">
        <v>0</v>
      </c>
      <c r="H78" s="2427">
        <v>1307592.3400000001</v>
      </c>
    </row>
    <row r="79" spans="1:8">
      <c r="A79" s="3028"/>
      <c r="B79" s="3028"/>
      <c r="C79" s="3035"/>
      <c r="D79" s="3028"/>
      <c r="E79" s="3029"/>
      <c r="F79" s="2369" t="s">
        <v>3861</v>
      </c>
      <c r="G79" s="2425">
        <v>0</v>
      </c>
      <c r="H79" s="2426" t="s">
        <v>3823</v>
      </c>
    </row>
    <row r="80" spans="1:8">
      <c r="A80" s="3028"/>
      <c r="B80" s="3028"/>
      <c r="C80" s="3035"/>
      <c r="D80" s="3028"/>
      <c r="E80" s="3029"/>
      <c r="F80" s="2369" t="s">
        <v>3862</v>
      </c>
      <c r="G80" s="2425">
        <v>0</v>
      </c>
      <c r="H80" s="2426" t="s">
        <v>3823</v>
      </c>
    </row>
    <row r="81" spans="1:8">
      <c r="A81" s="3028"/>
      <c r="B81" s="3028"/>
      <c r="C81" s="3035"/>
      <c r="D81" s="3028"/>
      <c r="E81" s="3029"/>
      <c r="F81" s="2369" t="s">
        <v>3863</v>
      </c>
      <c r="G81" s="2425">
        <v>0</v>
      </c>
      <c r="H81" s="2426" t="s">
        <v>3823</v>
      </c>
    </row>
    <row r="82" spans="1:8">
      <c r="A82" s="3028"/>
      <c r="B82" s="3028"/>
      <c r="C82" s="3035"/>
      <c r="D82" s="3028"/>
      <c r="E82" s="3029"/>
      <c r="F82" s="2315" t="s">
        <v>3864</v>
      </c>
      <c r="G82" s="2425">
        <v>0</v>
      </c>
      <c r="H82" s="2426" t="s">
        <v>3823</v>
      </c>
    </row>
    <row r="83" spans="1:8">
      <c r="A83" s="3028"/>
      <c r="B83" s="3028"/>
      <c r="C83" s="3035"/>
      <c r="D83" s="3028"/>
      <c r="E83" s="3029"/>
      <c r="F83" s="2315" t="s">
        <v>3865</v>
      </c>
      <c r="G83" s="2425">
        <v>0</v>
      </c>
      <c r="H83" s="2426" t="s">
        <v>3823</v>
      </c>
    </row>
    <row r="84" spans="1:8">
      <c r="A84" s="3028"/>
      <c r="B84" s="3028"/>
      <c r="C84" s="3035"/>
      <c r="D84" s="3028"/>
      <c r="E84" s="3029" t="s">
        <v>2957</v>
      </c>
      <c r="F84" s="2369" t="s">
        <v>3860</v>
      </c>
      <c r="G84" s="2425">
        <v>0</v>
      </c>
      <c r="H84" s="2426" t="s">
        <v>3823</v>
      </c>
    </row>
    <row r="85" spans="1:8">
      <c r="A85" s="3028"/>
      <c r="B85" s="3028"/>
      <c r="C85" s="3035"/>
      <c r="D85" s="3028"/>
      <c r="E85" s="3029"/>
      <c r="F85" s="2369" t="s">
        <v>3861</v>
      </c>
      <c r="G85" s="2425">
        <v>0</v>
      </c>
      <c r="H85" s="2426" t="s">
        <v>3823</v>
      </c>
    </row>
    <row r="86" spans="1:8">
      <c r="A86" s="3028"/>
      <c r="B86" s="3028"/>
      <c r="C86" s="3035"/>
      <c r="D86" s="3028"/>
      <c r="E86" s="3029"/>
      <c r="F86" s="2369" t="s">
        <v>3862</v>
      </c>
      <c r="G86" s="2425">
        <v>0</v>
      </c>
      <c r="H86" s="2426" t="s">
        <v>3823</v>
      </c>
    </row>
    <row r="87" spans="1:8">
      <c r="A87" s="3028"/>
      <c r="B87" s="3028"/>
      <c r="C87" s="3035"/>
      <c r="D87" s="3028"/>
      <c r="E87" s="3029"/>
      <c r="F87" s="2369" t="s">
        <v>3863</v>
      </c>
      <c r="G87" s="2425">
        <v>0</v>
      </c>
      <c r="H87" s="2426" t="s">
        <v>3823</v>
      </c>
    </row>
    <row r="88" spans="1:8">
      <c r="A88" s="3028"/>
      <c r="B88" s="3028"/>
      <c r="C88" s="3035"/>
      <c r="D88" s="3028"/>
      <c r="E88" s="3029"/>
      <c r="F88" s="2315" t="s">
        <v>3864</v>
      </c>
      <c r="G88" s="2425">
        <v>0</v>
      </c>
      <c r="H88" s="2426" t="s">
        <v>3823</v>
      </c>
    </row>
    <row r="89" spans="1:8">
      <c r="A89" s="3028"/>
      <c r="B89" s="3028"/>
      <c r="C89" s="3035"/>
      <c r="D89" s="3028"/>
      <c r="E89" s="3029"/>
      <c r="F89" s="2315" t="s">
        <v>3865</v>
      </c>
      <c r="G89" s="2425">
        <v>0</v>
      </c>
      <c r="H89" s="2426" t="s">
        <v>3823</v>
      </c>
    </row>
    <row r="90" spans="1:8">
      <c r="A90" s="3028">
        <v>2</v>
      </c>
      <c r="B90" s="3028" t="s">
        <v>2948</v>
      </c>
      <c r="C90" s="3035" t="s">
        <v>3859</v>
      </c>
      <c r="D90" s="3028" t="s">
        <v>2949</v>
      </c>
      <c r="E90" s="3029" t="s">
        <v>2950</v>
      </c>
      <c r="F90" s="2369" t="s">
        <v>3860</v>
      </c>
      <c r="G90" s="2425">
        <v>0</v>
      </c>
      <c r="H90" s="2426" t="s">
        <v>3823</v>
      </c>
    </row>
    <row r="91" spans="1:8">
      <c r="A91" s="3028"/>
      <c r="B91" s="3028"/>
      <c r="C91" s="3035"/>
      <c r="D91" s="3028"/>
      <c r="E91" s="3029"/>
      <c r="F91" s="2369" t="s">
        <v>3861</v>
      </c>
      <c r="G91" s="2425">
        <v>0</v>
      </c>
      <c r="H91" s="2426" t="s">
        <v>3823</v>
      </c>
    </row>
    <row r="92" spans="1:8">
      <c r="A92" s="3028"/>
      <c r="B92" s="3028"/>
      <c r="C92" s="3035"/>
      <c r="D92" s="3028"/>
      <c r="E92" s="3029"/>
      <c r="F92" s="2369" t="s">
        <v>3862</v>
      </c>
      <c r="G92" s="2425">
        <v>0</v>
      </c>
      <c r="H92" s="2426" t="s">
        <v>3823</v>
      </c>
    </row>
    <row r="93" spans="1:8">
      <c r="A93" s="3028"/>
      <c r="B93" s="3028"/>
      <c r="C93" s="3035"/>
      <c r="D93" s="3028"/>
      <c r="E93" s="3029"/>
      <c r="F93" s="2369" t="s">
        <v>3863</v>
      </c>
      <c r="G93" s="2425">
        <v>0</v>
      </c>
      <c r="H93" s="2426" t="s">
        <v>3823</v>
      </c>
    </row>
    <row r="94" spans="1:8">
      <c r="A94" s="3028"/>
      <c r="B94" s="3028"/>
      <c r="C94" s="3035"/>
      <c r="D94" s="3028"/>
      <c r="E94" s="3029"/>
      <c r="F94" s="2315" t="s">
        <v>3864</v>
      </c>
      <c r="G94" s="2425">
        <v>0</v>
      </c>
      <c r="H94" s="2426" t="s">
        <v>3823</v>
      </c>
    </row>
    <row r="95" spans="1:8">
      <c r="A95" s="3028"/>
      <c r="B95" s="3028"/>
      <c r="C95" s="3035"/>
      <c r="D95" s="3028"/>
      <c r="E95" s="3029"/>
      <c r="F95" s="2315" t="s">
        <v>3865</v>
      </c>
      <c r="G95" s="2425">
        <v>0</v>
      </c>
      <c r="H95" s="2426" t="s">
        <v>3823</v>
      </c>
    </row>
    <row r="96" spans="1:8">
      <c r="A96" s="3028"/>
      <c r="B96" s="3028"/>
      <c r="C96" s="3035"/>
      <c r="D96" s="3028"/>
      <c r="E96" s="3029" t="s">
        <v>2957</v>
      </c>
      <c r="F96" s="2369" t="s">
        <v>3860</v>
      </c>
      <c r="G96" s="2425">
        <v>0</v>
      </c>
      <c r="H96" s="2426" t="s">
        <v>3823</v>
      </c>
    </row>
    <row r="97" spans="1:8">
      <c r="A97" s="3028"/>
      <c r="B97" s="3028"/>
      <c r="C97" s="3035"/>
      <c r="D97" s="3028"/>
      <c r="E97" s="3029"/>
      <c r="F97" s="2369" t="s">
        <v>3861</v>
      </c>
      <c r="G97" s="2425">
        <v>0</v>
      </c>
      <c r="H97" s="2426" t="s">
        <v>3951</v>
      </c>
    </row>
    <row r="98" spans="1:8">
      <c r="A98" s="3028"/>
      <c r="B98" s="3028"/>
      <c r="C98" s="3035"/>
      <c r="D98" s="3028"/>
      <c r="E98" s="3029"/>
      <c r="F98" s="2369" t="s">
        <v>3862</v>
      </c>
      <c r="G98" s="2425">
        <v>0</v>
      </c>
      <c r="H98" s="2426" t="s">
        <v>3823</v>
      </c>
    </row>
    <row r="99" spans="1:8">
      <c r="A99" s="3028"/>
      <c r="B99" s="3028"/>
      <c r="C99" s="3035"/>
      <c r="D99" s="3028"/>
      <c r="E99" s="3029"/>
      <c r="F99" s="2369" t="s">
        <v>3863</v>
      </c>
      <c r="G99" s="2425">
        <v>0</v>
      </c>
      <c r="H99" s="2426" t="s">
        <v>3823</v>
      </c>
    </row>
    <row r="100" spans="1:8">
      <c r="A100" s="3028"/>
      <c r="B100" s="3028"/>
      <c r="C100" s="3035"/>
      <c r="D100" s="3028"/>
      <c r="E100" s="3029"/>
      <c r="F100" s="2315" t="s">
        <v>3864</v>
      </c>
      <c r="G100" s="2425">
        <v>0</v>
      </c>
      <c r="H100" s="2426" t="s">
        <v>3823</v>
      </c>
    </row>
    <row r="101" spans="1:8">
      <c r="A101" s="3028"/>
      <c r="B101" s="3028"/>
      <c r="C101" s="3035"/>
      <c r="D101" s="3028"/>
      <c r="E101" s="3029"/>
      <c r="F101" s="2315" t="s">
        <v>3865</v>
      </c>
      <c r="G101" s="2425">
        <v>0</v>
      </c>
      <c r="H101" s="2426" t="s">
        <v>3823</v>
      </c>
    </row>
    <row r="102" spans="1:8">
      <c r="A102" s="3028"/>
      <c r="B102" s="3028"/>
      <c r="C102" s="3035"/>
      <c r="D102" s="3028" t="s">
        <v>2954</v>
      </c>
      <c r="E102" s="3029" t="s">
        <v>2950</v>
      </c>
      <c r="F102" s="2369" t="s">
        <v>3860</v>
      </c>
      <c r="G102" s="2425">
        <v>0</v>
      </c>
      <c r="H102" s="2427">
        <v>716067.9</v>
      </c>
    </row>
    <row r="103" spans="1:8">
      <c r="A103" s="3028"/>
      <c r="B103" s="3028"/>
      <c r="C103" s="3035"/>
      <c r="D103" s="3028"/>
      <c r="E103" s="3029"/>
      <c r="F103" s="2369" t="s">
        <v>3861</v>
      </c>
      <c r="G103" s="2425">
        <v>0</v>
      </c>
      <c r="H103" s="2426" t="s">
        <v>3952</v>
      </c>
    </row>
    <row r="104" spans="1:8">
      <c r="A104" s="3028"/>
      <c r="B104" s="3028"/>
      <c r="C104" s="3035"/>
      <c r="D104" s="3028"/>
      <c r="E104" s="3029"/>
      <c r="F104" s="2369" t="s">
        <v>3862</v>
      </c>
      <c r="G104" s="2425">
        <v>0</v>
      </c>
      <c r="H104" s="2426" t="s">
        <v>3823</v>
      </c>
    </row>
    <row r="105" spans="1:8">
      <c r="A105" s="3028"/>
      <c r="B105" s="3028"/>
      <c r="C105" s="3035"/>
      <c r="D105" s="3028"/>
      <c r="E105" s="3029"/>
      <c r="F105" s="2369" t="s">
        <v>3863</v>
      </c>
      <c r="G105" s="2425">
        <v>0</v>
      </c>
      <c r="H105" s="2426" t="s">
        <v>3823</v>
      </c>
    </row>
    <row r="106" spans="1:8">
      <c r="A106" s="3028"/>
      <c r="B106" s="3028"/>
      <c r="C106" s="3035"/>
      <c r="D106" s="3028"/>
      <c r="E106" s="3029"/>
      <c r="F106" s="2315" t="s">
        <v>3864</v>
      </c>
      <c r="G106" s="2425">
        <v>0</v>
      </c>
      <c r="H106" s="2426" t="s">
        <v>3823</v>
      </c>
    </row>
    <row r="107" spans="1:8">
      <c r="A107" s="3028"/>
      <c r="B107" s="3028"/>
      <c r="C107" s="3035"/>
      <c r="D107" s="3028"/>
      <c r="E107" s="3029"/>
      <c r="F107" s="2315" t="s">
        <v>3865</v>
      </c>
      <c r="G107" s="2425">
        <v>0</v>
      </c>
      <c r="H107" s="2426" t="s">
        <v>3823</v>
      </c>
    </row>
    <row r="108" spans="1:8">
      <c r="A108" s="3028"/>
      <c r="B108" s="3028"/>
      <c r="C108" s="3035"/>
      <c r="D108" s="3028"/>
      <c r="E108" s="3029" t="s">
        <v>2957</v>
      </c>
      <c r="F108" s="2369" t="s">
        <v>3860</v>
      </c>
      <c r="G108" s="2425">
        <v>0</v>
      </c>
      <c r="H108" s="2426" t="s">
        <v>3823</v>
      </c>
    </row>
    <row r="109" spans="1:8">
      <c r="A109" s="3028"/>
      <c r="B109" s="3028"/>
      <c r="C109" s="3035"/>
      <c r="D109" s="3028"/>
      <c r="E109" s="3029"/>
      <c r="F109" s="2369" t="s">
        <v>3861</v>
      </c>
      <c r="G109" s="2425">
        <v>0</v>
      </c>
      <c r="H109" s="2426" t="s">
        <v>3823</v>
      </c>
    </row>
    <row r="110" spans="1:8">
      <c r="A110" s="3028"/>
      <c r="B110" s="3028"/>
      <c r="C110" s="3035"/>
      <c r="D110" s="3028"/>
      <c r="E110" s="3029"/>
      <c r="F110" s="2369" t="s">
        <v>3862</v>
      </c>
      <c r="G110" s="2425">
        <v>0</v>
      </c>
      <c r="H110" s="2426" t="s">
        <v>3823</v>
      </c>
    </row>
    <row r="111" spans="1:8">
      <c r="A111" s="3028"/>
      <c r="B111" s="3028"/>
      <c r="C111" s="3035"/>
      <c r="D111" s="3028"/>
      <c r="E111" s="3029"/>
      <c r="F111" s="2369" t="s">
        <v>3863</v>
      </c>
      <c r="G111" s="2425">
        <v>0</v>
      </c>
      <c r="H111" s="2426" t="s">
        <v>3823</v>
      </c>
    </row>
    <row r="112" spans="1:8">
      <c r="A112" s="3028"/>
      <c r="B112" s="3028"/>
      <c r="C112" s="3035"/>
      <c r="D112" s="3028"/>
      <c r="E112" s="3029"/>
      <c r="F112" s="2369" t="s">
        <v>3864</v>
      </c>
      <c r="G112" s="2425">
        <v>0</v>
      </c>
      <c r="H112" s="2426" t="s">
        <v>3823</v>
      </c>
    </row>
    <row r="113" spans="1:8">
      <c r="A113" s="3028"/>
      <c r="B113" s="3028"/>
      <c r="C113" s="3035"/>
      <c r="D113" s="3028"/>
      <c r="E113" s="3029"/>
      <c r="F113" s="2369" t="s">
        <v>3865</v>
      </c>
      <c r="G113" s="2425">
        <v>0</v>
      </c>
      <c r="H113" s="2426" t="s">
        <v>3823</v>
      </c>
    </row>
    <row r="114" spans="1:8" ht="37.5" customHeight="1">
      <c r="A114" s="3555" t="s">
        <v>3953</v>
      </c>
      <c r="B114" s="3556"/>
      <c r="C114" s="3556"/>
      <c r="D114" s="3556"/>
      <c r="E114" s="3556"/>
      <c r="F114" s="3556"/>
      <c r="G114" s="3556"/>
      <c r="H114" s="3557"/>
    </row>
    <row r="115" spans="1:8" ht="52.5" customHeight="1">
      <c r="A115" s="3077" t="s">
        <v>0</v>
      </c>
      <c r="B115" s="3558" t="s">
        <v>3849</v>
      </c>
      <c r="C115" s="3558"/>
      <c r="D115" s="3558"/>
      <c r="E115" s="3078" t="s">
        <v>3866</v>
      </c>
      <c r="F115" s="3559" t="s">
        <v>3867</v>
      </c>
      <c r="G115" s="3047" t="s">
        <v>3947</v>
      </c>
      <c r="H115" s="3047"/>
    </row>
    <row r="116" spans="1:8" ht="49.5" customHeight="1">
      <c r="A116" s="3077"/>
      <c r="B116" s="3558"/>
      <c r="C116" s="3558"/>
      <c r="D116" s="3558"/>
      <c r="E116" s="3078"/>
      <c r="F116" s="3559"/>
      <c r="G116" s="2407" t="s">
        <v>3948</v>
      </c>
      <c r="H116" s="2407" t="s">
        <v>3949</v>
      </c>
    </row>
    <row r="117" spans="1:8" ht="15.75">
      <c r="A117" s="2429">
        <v>1</v>
      </c>
      <c r="B117" s="3554">
        <v>2</v>
      </c>
      <c r="C117" s="3554"/>
      <c r="D117" s="3554"/>
      <c r="E117" s="3554">
        <v>3</v>
      </c>
      <c r="F117" s="3554"/>
      <c r="G117" s="2423">
        <v>4</v>
      </c>
      <c r="H117" s="2423">
        <v>5</v>
      </c>
    </row>
    <row r="118" spans="1:8" ht="15.75">
      <c r="A118" s="3077">
        <v>1</v>
      </c>
      <c r="B118" s="3077" t="s">
        <v>2952</v>
      </c>
      <c r="C118" s="3077"/>
      <c r="D118" s="3077"/>
      <c r="E118" s="3078" t="s">
        <v>3871</v>
      </c>
      <c r="F118" s="2431" t="s">
        <v>2629</v>
      </c>
      <c r="G118" s="2432">
        <v>0</v>
      </c>
      <c r="H118" s="2426" t="s">
        <v>3823</v>
      </c>
    </row>
    <row r="119" spans="1:8" ht="15.75">
      <c r="A119" s="3077"/>
      <c r="B119" s="3077"/>
      <c r="C119" s="3077"/>
      <c r="D119" s="3077"/>
      <c r="E119" s="3078"/>
      <c r="F119" s="2431" t="s">
        <v>2631</v>
      </c>
      <c r="G119" s="2432">
        <v>0</v>
      </c>
      <c r="H119" s="2426" t="s">
        <v>3823</v>
      </c>
    </row>
    <row r="120" spans="1:8" ht="15.75">
      <c r="A120" s="3077"/>
      <c r="B120" s="3077"/>
      <c r="C120" s="3077"/>
      <c r="D120" s="3077"/>
      <c r="E120" s="3078"/>
      <c r="F120" s="2431" t="s">
        <v>2633</v>
      </c>
      <c r="G120" s="2432">
        <v>0</v>
      </c>
      <c r="H120" s="2426" t="s">
        <v>3823</v>
      </c>
    </row>
    <row r="121" spans="1:8" ht="15.75">
      <c r="A121" s="3077"/>
      <c r="B121" s="3077"/>
      <c r="C121" s="3077"/>
      <c r="D121" s="3077"/>
      <c r="E121" s="3078"/>
      <c r="F121" s="2431" t="s">
        <v>2635</v>
      </c>
      <c r="G121" s="2432">
        <v>0</v>
      </c>
      <c r="H121" s="2426" t="s">
        <v>3823</v>
      </c>
    </row>
    <row r="122" spans="1:8" ht="15.75">
      <c r="A122" s="3077"/>
      <c r="B122" s="3077"/>
      <c r="C122" s="3077"/>
      <c r="D122" s="3077"/>
      <c r="E122" s="3078"/>
      <c r="F122" s="2431" t="s">
        <v>2639</v>
      </c>
      <c r="G122" s="2432">
        <v>0</v>
      </c>
      <c r="H122" s="2426" t="s">
        <v>3823</v>
      </c>
    </row>
    <row r="123" spans="1:8" ht="15.75">
      <c r="A123" s="3077"/>
      <c r="B123" s="3077"/>
      <c r="C123" s="3077"/>
      <c r="D123" s="3077"/>
      <c r="E123" s="3078"/>
      <c r="F123" s="2431" t="s">
        <v>3872</v>
      </c>
      <c r="G123" s="2432">
        <v>0</v>
      </c>
      <c r="H123" s="2426" t="s">
        <v>3823</v>
      </c>
    </row>
    <row r="124" spans="1:8" ht="15.75">
      <c r="A124" s="3077"/>
      <c r="B124" s="3077"/>
      <c r="C124" s="3077"/>
      <c r="D124" s="3077"/>
      <c r="E124" s="3078" t="s">
        <v>3873</v>
      </c>
      <c r="F124" s="2431" t="s">
        <v>2629</v>
      </c>
      <c r="G124" s="2432">
        <v>0</v>
      </c>
      <c r="H124" s="2426" t="s">
        <v>3823</v>
      </c>
    </row>
    <row r="125" spans="1:8" ht="15.75">
      <c r="A125" s="3077"/>
      <c r="B125" s="3077"/>
      <c r="C125" s="3077"/>
      <c r="D125" s="3077"/>
      <c r="E125" s="3078"/>
      <c r="F125" s="2431" t="s">
        <v>2631</v>
      </c>
      <c r="G125" s="2432">
        <v>0</v>
      </c>
      <c r="H125" s="2426" t="s">
        <v>3823</v>
      </c>
    </row>
    <row r="126" spans="1:8" ht="15.75">
      <c r="A126" s="3077"/>
      <c r="B126" s="3077"/>
      <c r="C126" s="3077"/>
      <c r="D126" s="3077"/>
      <c r="E126" s="3078"/>
      <c r="F126" s="2431" t="s">
        <v>2633</v>
      </c>
      <c r="G126" s="2432">
        <v>0</v>
      </c>
      <c r="H126" s="2426" t="s">
        <v>3823</v>
      </c>
    </row>
    <row r="127" spans="1:8" ht="15.75">
      <c r="A127" s="3077"/>
      <c r="B127" s="3077"/>
      <c r="C127" s="3077"/>
      <c r="D127" s="3077"/>
      <c r="E127" s="3078"/>
      <c r="F127" s="2431" t="s">
        <v>2635</v>
      </c>
      <c r="G127" s="2432">
        <v>0</v>
      </c>
      <c r="H127" s="2426" t="s">
        <v>3823</v>
      </c>
    </row>
    <row r="128" spans="1:8" ht="15.75">
      <c r="A128" s="3077"/>
      <c r="B128" s="3077"/>
      <c r="C128" s="3077"/>
      <c r="D128" s="3077"/>
      <c r="E128" s="3078"/>
      <c r="F128" s="2431" t="s">
        <v>2639</v>
      </c>
      <c r="G128" s="2432">
        <v>0</v>
      </c>
      <c r="H128" s="2426" t="s">
        <v>3823</v>
      </c>
    </row>
    <row r="129" spans="1:8" ht="15.75">
      <c r="A129" s="3077"/>
      <c r="B129" s="3077"/>
      <c r="C129" s="3077"/>
      <c r="D129" s="3077"/>
      <c r="E129" s="3078"/>
      <c r="F129" s="2431" t="s">
        <v>3872</v>
      </c>
      <c r="G129" s="2432">
        <v>0</v>
      </c>
      <c r="H129" s="2426" t="s">
        <v>3823</v>
      </c>
    </row>
    <row r="130" spans="1:8" ht="15.75">
      <c r="A130" s="3077">
        <v>2</v>
      </c>
      <c r="B130" s="3079" t="s">
        <v>2948</v>
      </c>
      <c r="C130" s="3079"/>
      <c r="D130" s="3079"/>
      <c r="E130" s="3078" t="s">
        <v>3871</v>
      </c>
      <c r="F130" s="2431" t="s">
        <v>2629</v>
      </c>
      <c r="G130" s="2432">
        <v>0</v>
      </c>
      <c r="H130" s="2427">
        <v>13089.01</v>
      </c>
    </row>
    <row r="131" spans="1:8" ht="15.75">
      <c r="A131" s="3077"/>
      <c r="B131" s="3079"/>
      <c r="C131" s="3079"/>
      <c r="D131" s="3079"/>
      <c r="E131" s="3078"/>
      <c r="F131" s="2431" t="s">
        <v>2631</v>
      </c>
      <c r="G131" s="2432">
        <v>0</v>
      </c>
      <c r="H131" s="2427">
        <v>4248.6000000000004</v>
      </c>
    </row>
    <row r="132" spans="1:8" ht="15.75">
      <c r="A132" s="3077"/>
      <c r="B132" s="3079"/>
      <c r="C132" s="3079"/>
      <c r="D132" s="3079"/>
      <c r="E132" s="3078"/>
      <c r="F132" s="2431" t="s">
        <v>2633</v>
      </c>
      <c r="G132" s="2432">
        <v>0</v>
      </c>
      <c r="H132" s="2426" t="s">
        <v>3823</v>
      </c>
    </row>
    <row r="133" spans="1:8" ht="15.75">
      <c r="A133" s="3077"/>
      <c r="B133" s="3079"/>
      <c r="C133" s="3079"/>
      <c r="D133" s="3079"/>
      <c r="E133" s="3078"/>
      <c r="F133" s="2431" t="s">
        <v>2635</v>
      </c>
      <c r="G133" s="2432">
        <v>0</v>
      </c>
      <c r="H133" s="2427">
        <v>907.82</v>
      </c>
    </row>
    <row r="134" spans="1:8" ht="15.75">
      <c r="A134" s="3077"/>
      <c r="B134" s="3079"/>
      <c r="C134" s="3079"/>
      <c r="D134" s="3079"/>
      <c r="E134" s="3078"/>
      <c r="F134" s="2431" t="s">
        <v>2639</v>
      </c>
      <c r="G134" s="2432">
        <v>0</v>
      </c>
      <c r="H134" s="2426" t="s">
        <v>3823</v>
      </c>
    </row>
    <row r="135" spans="1:8" ht="15.75">
      <c r="A135" s="3077"/>
      <c r="B135" s="3079"/>
      <c r="C135" s="3079"/>
      <c r="D135" s="3079"/>
      <c r="E135" s="3078"/>
      <c r="F135" s="2431" t="s">
        <v>3872</v>
      </c>
      <c r="G135" s="2432">
        <v>0</v>
      </c>
      <c r="H135" s="2426" t="s">
        <v>3823</v>
      </c>
    </row>
    <row r="136" spans="1:8" ht="15.75">
      <c r="A136" s="3077"/>
      <c r="B136" s="3079"/>
      <c r="C136" s="3079"/>
      <c r="D136" s="3079"/>
      <c r="E136" s="3078" t="s">
        <v>3873</v>
      </c>
      <c r="F136" s="2431" t="s">
        <v>2629</v>
      </c>
      <c r="G136" s="2432">
        <v>0</v>
      </c>
      <c r="H136" s="2426" t="s">
        <v>3823</v>
      </c>
    </row>
    <row r="137" spans="1:8" ht="15.75">
      <c r="A137" s="3077"/>
      <c r="B137" s="3079"/>
      <c r="C137" s="3079"/>
      <c r="D137" s="3079"/>
      <c r="E137" s="3078"/>
      <c r="F137" s="2431" t="s">
        <v>2631</v>
      </c>
      <c r="G137" s="2432">
        <v>0</v>
      </c>
      <c r="H137" s="2426" t="s">
        <v>3823</v>
      </c>
    </row>
    <row r="138" spans="1:8" ht="15.75">
      <c r="A138" s="3077"/>
      <c r="B138" s="3079"/>
      <c r="C138" s="3079"/>
      <c r="D138" s="3079"/>
      <c r="E138" s="3078"/>
      <c r="F138" s="2431" t="s">
        <v>2633</v>
      </c>
      <c r="G138" s="2432">
        <v>0</v>
      </c>
      <c r="H138" s="2426" t="s">
        <v>3823</v>
      </c>
    </row>
    <row r="139" spans="1:8" ht="15.75">
      <c r="A139" s="3077"/>
      <c r="B139" s="3079"/>
      <c r="C139" s="3079"/>
      <c r="D139" s="3079"/>
      <c r="E139" s="3078"/>
      <c r="F139" s="2431" t="s">
        <v>2635</v>
      </c>
      <c r="G139" s="2432">
        <v>0</v>
      </c>
      <c r="H139" s="2426" t="s">
        <v>3823</v>
      </c>
    </row>
    <row r="140" spans="1:8" ht="15.75">
      <c r="A140" s="3077"/>
      <c r="B140" s="3079"/>
      <c r="C140" s="3079"/>
      <c r="D140" s="3079"/>
      <c r="E140" s="3078"/>
      <c r="F140" s="2431" t="s">
        <v>2639</v>
      </c>
      <c r="G140" s="2432">
        <v>0</v>
      </c>
      <c r="H140" s="2426" t="s">
        <v>3823</v>
      </c>
    </row>
    <row r="141" spans="1:8" ht="15.75">
      <c r="A141" s="3077"/>
      <c r="B141" s="3079"/>
      <c r="C141" s="3079"/>
      <c r="D141" s="3079"/>
      <c r="E141" s="3078"/>
      <c r="F141" s="2431" t="s">
        <v>3872</v>
      </c>
      <c r="G141" s="2432">
        <v>0</v>
      </c>
      <c r="H141" s="2426" t="s">
        <v>3823</v>
      </c>
    </row>
    <row r="142" spans="1:8" ht="15.75">
      <c r="A142" s="2313"/>
      <c r="B142" s="2314"/>
      <c r="C142" s="2314"/>
      <c r="D142" s="2314"/>
      <c r="E142" s="2314"/>
      <c r="F142" s="2314"/>
    </row>
    <row r="143" spans="1:8">
      <c r="A143" s="2331"/>
      <c r="B143" s="2331"/>
      <c r="C143" s="2331"/>
      <c r="D143" s="2331"/>
      <c r="E143" s="2331"/>
      <c r="F143" s="2334"/>
    </row>
  </sheetData>
  <mergeCells count="80">
    <mergeCell ref="A3:H3"/>
    <mergeCell ref="A4:H4"/>
    <mergeCell ref="C5:F5"/>
    <mergeCell ref="G5:H5"/>
    <mergeCell ref="B6:B7"/>
    <mergeCell ref="C6:F6"/>
    <mergeCell ref="C7:F7"/>
    <mergeCell ref="B8:B9"/>
    <mergeCell ref="C8:F8"/>
    <mergeCell ref="C9:F9"/>
    <mergeCell ref="A10:H10"/>
    <mergeCell ref="A11:A12"/>
    <mergeCell ref="B11:B12"/>
    <mergeCell ref="C11:C12"/>
    <mergeCell ref="D11:D12"/>
    <mergeCell ref="E11:E12"/>
    <mergeCell ref="F11:F12"/>
    <mergeCell ref="G11:H11"/>
    <mergeCell ref="C13:F13"/>
    <mergeCell ref="A14:A37"/>
    <mergeCell ref="B14:B37"/>
    <mergeCell ref="C14:C37"/>
    <mergeCell ref="D14:D25"/>
    <mergeCell ref="E14:E19"/>
    <mergeCell ref="E20:E25"/>
    <mergeCell ref="D26:D37"/>
    <mergeCell ref="E26:E31"/>
    <mergeCell ref="E32:E37"/>
    <mergeCell ref="A38:A61"/>
    <mergeCell ref="B38:B61"/>
    <mergeCell ref="C38:C61"/>
    <mergeCell ref="D38:D49"/>
    <mergeCell ref="E38:E43"/>
    <mergeCell ref="E44:E49"/>
    <mergeCell ref="D50:D61"/>
    <mergeCell ref="E50:E55"/>
    <mergeCell ref="E56:E61"/>
    <mergeCell ref="A62:H62"/>
    <mergeCell ref="A63:A64"/>
    <mergeCell ref="B63:B64"/>
    <mergeCell ref="C63:C64"/>
    <mergeCell ref="D63:D64"/>
    <mergeCell ref="E63:E64"/>
    <mergeCell ref="F63:F64"/>
    <mergeCell ref="G63:H63"/>
    <mergeCell ref="C65:F65"/>
    <mergeCell ref="A66:A89"/>
    <mergeCell ref="B66:B89"/>
    <mergeCell ref="C66:C89"/>
    <mergeCell ref="D66:D77"/>
    <mergeCell ref="E66:E71"/>
    <mergeCell ref="E72:E77"/>
    <mergeCell ref="D78:D89"/>
    <mergeCell ref="E78:E83"/>
    <mergeCell ref="E84:E89"/>
    <mergeCell ref="A90:A113"/>
    <mergeCell ref="B90:B113"/>
    <mergeCell ref="C90:C113"/>
    <mergeCell ref="D90:D101"/>
    <mergeCell ref="E90:E95"/>
    <mergeCell ref="E96:E101"/>
    <mergeCell ref="D102:D113"/>
    <mergeCell ref="E102:E107"/>
    <mergeCell ref="E108:E113"/>
    <mergeCell ref="A114:H114"/>
    <mergeCell ref="A115:A116"/>
    <mergeCell ref="B115:D116"/>
    <mergeCell ref="E115:E116"/>
    <mergeCell ref="F115:F116"/>
    <mergeCell ref="G115:H115"/>
    <mergeCell ref="A130:A141"/>
    <mergeCell ref="B130:D141"/>
    <mergeCell ref="E130:E135"/>
    <mergeCell ref="E136:E141"/>
    <mergeCell ref="B117:D117"/>
    <mergeCell ref="E117:F117"/>
    <mergeCell ref="A118:A129"/>
    <mergeCell ref="B118:D129"/>
    <mergeCell ref="E118:E123"/>
    <mergeCell ref="E124:E129"/>
  </mergeCells>
  <pageMargins left="0.7" right="0.7" top="0.75" bottom="0.75" header="0.3" footer="0.3"/>
  <pageSetup paperSize="9" scale="56" orientation="portrait" horizontalDpi="0" verticalDpi="0" r:id="rId1"/>
  <rowBreaks count="1" manualBreakCount="1">
    <brk id="63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O143"/>
  <sheetViews>
    <sheetView zoomScale="70" zoomScaleNormal="70" workbookViewId="0">
      <selection activeCell="A4" sqref="A4:H4"/>
    </sheetView>
  </sheetViews>
  <sheetFormatPr defaultRowHeight="15"/>
  <cols>
    <col min="1" max="1" width="5.5703125" style="1118" customWidth="1"/>
    <col min="2" max="2" width="32.42578125" style="1118" customWidth="1"/>
    <col min="3" max="3" width="24.85546875" style="1118" customWidth="1"/>
    <col min="4" max="4" width="17" style="1118" customWidth="1"/>
    <col min="5" max="5" width="18.7109375" style="1118" customWidth="1"/>
    <col min="6" max="6" width="21.5703125" style="1119" customWidth="1"/>
    <col min="7" max="7" width="14.7109375" style="2358" customWidth="1"/>
    <col min="8" max="8" width="15.140625" style="2358" customWidth="1"/>
    <col min="9" max="9" width="9.7109375" style="2358" bestFit="1" customWidth="1"/>
    <col min="10" max="10" width="9.140625" style="2358"/>
    <col min="11" max="11" width="12.42578125" style="2358" customWidth="1"/>
    <col min="12" max="13" width="9.140625" style="2358"/>
    <col min="14" max="14" width="13.42578125" style="2358" bestFit="1" customWidth="1"/>
    <col min="15" max="256" width="9.140625" style="2358"/>
    <col min="257" max="257" width="5.5703125" style="2358" customWidth="1"/>
    <col min="258" max="258" width="32.42578125" style="2358" customWidth="1"/>
    <col min="259" max="259" width="24.85546875" style="2358" customWidth="1"/>
    <col min="260" max="260" width="17" style="2358" customWidth="1"/>
    <col min="261" max="261" width="18.7109375" style="2358" customWidth="1"/>
    <col min="262" max="262" width="21.5703125" style="2358" customWidth="1"/>
    <col min="263" max="263" width="14.7109375" style="2358" customWidth="1"/>
    <col min="264" max="264" width="15.140625" style="2358" customWidth="1"/>
    <col min="265" max="265" width="9.7109375" style="2358" bestFit="1" customWidth="1"/>
    <col min="266" max="266" width="9.140625" style="2358"/>
    <col min="267" max="267" width="12.42578125" style="2358" customWidth="1"/>
    <col min="268" max="512" width="9.140625" style="2358"/>
    <col min="513" max="513" width="5.5703125" style="2358" customWidth="1"/>
    <col min="514" max="514" width="32.42578125" style="2358" customWidth="1"/>
    <col min="515" max="515" width="24.85546875" style="2358" customWidth="1"/>
    <col min="516" max="516" width="17" style="2358" customWidth="1"/>
    <col min="517" max="517" width="18.7109375" style="2358" customWidth="1"/>
    <col min="518" max="518" width="21.5703125" style="2358" customWidth="1"/>
    <col min="519" max="519" width="14.7109375" style="2358" customWidth="1"/>
    <col min="520" max="520" width="15.140625" style="2358" customWidth="1"/>
    <col min="521" max="521" width="9.7109375" style="2358" bestFit="1" customWidth="1"/>
    <col min="522" max="522" width="9.140625" style="2358"/>
    <col min="523" max="523" width="12.42578125" style="2358" customWidth="1"/>
    <col min="524" max="768" width="9.140625" style="2358"/>
    <col min="769" max="769" width="5.5703125" style="2358" customWidth="1"/>
    <col min="770" max="770" width="32.42578125" style="2358" customWidth="1"/>
    <col min="771" max="771" width="24.85546875" style="2358" customWidth="1"/>
    <col min="772" max="772" width="17" style="2358" customWidth="1"/>
    <col min="773" max="773" width="18.7109375" style="2358" customWidth="1"/>
    <col min="774" max="774" width="21.5703125" style="2358" customWidth="1"/>
    <col min="775" max="775" width="14.7109375" style="2358" customWidth="1"/>
    <col min="776" max="776" width="15.140625" style="2358" customWidth="1"/>
    <col min="777" max="777" width="9.7109375" style="2358" bestFit="1" customWidth="1"/>
    <col min="778" max="778" width="9.140625" style="2358"/>
    <col min="779" max="779" width="12.42578125" style="2358" customWidth="1"/>
    <col min="780" max="1024" width="9.140625" style="2358"/>
    <col min="1025" max="1025" width="5.5703125" style="2358" customWidth="1"/>
    <col min="1026" max="1026" width="32.42578125" style="2358" customWidth="1"/>
    <col min="1027" max="1027" width="24.85546875" style="2358" customWidth="1"/>
    <col min="1028" max="1028" width="17" style="2358" customWidth="1"/>
    <col min="1029" max="1029" width="18.7109375" style="2358" customWidth="1"/>
    <col min="1030" max="1030" width="21.5703125" style="2358" customWidth="1"/>
    <col min="1031" max="1031" width="14.7109375" style="2358" customWidth="1"/>
    <col min="1032" max="1032" width="15.140625" style="2358" customWidth="1"/>
    <col min="1033" max="1033" width="9.7109375" style="2358" bestFit="1" customWidth="1"/>
    <col min="1034" max="1034" width="9.140625" style="2358"/>
    <col min="1035" max="1035" width="12.42578125" style="2358" customWidth="1"/>
    <col min="1036" max="1280" width="9.140625" style="2358"/>
    <col min="1281" max="1281" width="5.5703125" style="2358" customWidth="1"/>
    <col min="1282" max="1282" width="32.42578125" style="2358" customWidth="1"/>
    <col min="1283" max="1283" width="24.85546875" style="2358" customWidth="1"/>
    <col min="1284" max="1284" width="17" style="2358" customWidth="1"/>
    <col min="1285" max="1285" width="18.7109375" style="2358" customWidth="1"/>
    <col min="1286" max="1286" width="21.5703125" style="2358" customWidth="1"/>
    <col min="1287" max="1287" width="14.7109375" style="2358" customWidth="1"/>
    <col min="1288" max="1288" width="15.140625" style="2358" customWidth="1"/>
    <col min="1289" max="1289" width="9.7109375" style="2358" bestFit="1" customWidth="1"/>
    <col min="1290" max="1290" width="9.140625" style="2358"/>
    <col min="1291" max="1291" width="12.42578125" style="2358" customWidth="1"/>
    <col min="1292" max="1536" width="9.140625" style="2358"/>
    <col min="1537" max="1537" width="5.5703125" style="2358" customWidth="1"/>
    <col min="1538" max="1538" width="32.42578125" style="2358" customWidth="1"/>
    <col min="1539" max="1539" width="24.85546875" style="2358" customWidth="1"/>
    <col min="1540" max="1540" width="17" style="2358" customWidth="1"/>
    <col min="1541" max="1541" width="18.7109375" style="2358" customWidth="1"/>
    <col min="1542" max="1542" width="21.5703125" style="2358" customWidth="1"/>
    <col min="1543" max="1543" width="14.7109375" style="2358" customWidth="1"/>
    <col min="1544" max="1544" width="15.140625" style="2358" customWidth="1"/>
    <col min="1545" max="1545" width="9.7109375" style="2358" bestFit="1" customWidth="1"/>
    <col min="1546" max="1546" width="9.140625" style="2358"/>
    <col min="1547" max="1547" width="12.42578125" style="2358" customWidth="1"/>
    <col min="1548" max="1792" width="9.140625" style="2358"/>
    <col min="1793" max="1793" width="5.5703125" style="2358" customWidth="1"/>
    <col min="1794" max="1794" width="32.42578125" style="2358" customWidth="1"/>
    <col min="1795" max="1795" width="24.85546875" style="2358" customWidth="1"/>
    <col min="1796" max="1796" width="17" style="2358" customWidth="1"/>
    <col min="1797" max="1797" width="18.7109375" style="2358" customWidth="1"/>
    <col min="1798" max="1798" width="21.5703125" style="2358" customWidth="1"/>
    <col min="1799" max="1799" width="14.7109375" style="2358" customWidth="1"/>
    <col min="1800" max="1800" width="15.140625" style="2358" customWidth="1"/>
    <col min="1801" max="1801" width="9.7109375" style="2358" bestFit="1" customWidth="1"/>
    <col min="1802" max="1802" width="9.140625" style="2358"/>
    <col min="1803" max="1803" width="12.42578125" style="2358" customWidth="1"/>
    <col min="1804" max="2048" width="9.140625" style="2358"/>
    <col min="2049" max="2049" width="5.5703125" style="2358" customWidth="1"/>
    <col min="2050" max="2050" width="32.42578125" style="2358" customWidth="1"/>
    <col min="2051" max="2051" width="24.85546875" style="2358" customWidth="1"/>
    <col min="2052" max="2052" width="17" style="2358" customWidth="1"/>
    <col min="2053" max="2053" width="18.7109375" style="2358" customWidth="1"/>
    <col min="2054" max="2054" width="21.5703125" style="2358" customWidth="1"/>
    <col min="2055" max="2055" width="14.7109375" style="2358" customWidth="1"/>
    <col min="2056" max="2056" width="15.140625" style="2358" customWidth="1"/>
    <col min="2057" max="2057" width="9.7109375" style="2358" bestFit="1" customWidth="1"/>
    <col min="2058" max="2058" width="9.140625" style="2358"/>
    <col min="2059" max="2059" width="12.42578125" style="2358" customWidth="1"/>
    <col min="2060" max="2304" width="9.140625" style="2358"/>
    <col min="2305" max="2305" width="5.5703125" style="2358" customWidth="1"/>
    <col min="2306" max="2306" width="32.42578125" style="2358" customWidth="1"/>
    <col min="2307" max="2307" width="24.85546875" style="2358" customWidth="1"/>
    <col min="2308" max="2308" width="17" style="2358" customWidth="1"/>
    <col min="2309" max="2309" width="18.7109375" style="2358" customWidth="1"/>
    <col min="2310" max="2310" width="21.5703125" style="2358" customWidth="1"/>
    <col min="2311" max="2311" width="14.7109375" style="2358" customWidth="1"/>
    <col min="2312" max="2312" width="15.140625" style="2358" customWidth="1"/>
    <col min="2313" max="2313" width="9.7109375" style="2358" bestFit="1" customWidth="1"/>
    <col min="2314" max="2314" width="9.140625" style="2358"/>
    <col min="2315" max="2315" width="12.42578125" style="2358" customWidth="1"/>
    <col min="2316" max="2560" width="9.140625" style="2358"/>
    <col min="2561" max="2561" width="5.5703125" style="2358" customWidth="1"/>
    <col min="2562" max="2562" width="32.42578125" style="2358" customWidth="1"/>
    <col min="2563" max="2563" width="24.85546875" style="2358" customWidth="1"/>
    <col min="2564" max="2564" width="17" style="2358" customWidth="1"/>
    <col min="2565" max="2565" width="18.7109375" style="2358" customWidth="1"/>
    <col min="2566" max="2566" width="21.5703125" style="2358" customWidth="1"/>
    <col min="2567" max="2567" width="14.7109375" style="2358" customWidth="1"/>
    <col min="2568" max="2568" width="15.140625" style="2358" customWidth="1"/>
    <col min="2569" max="2569" width="9.7109375" style="2358" bestFit="1" customWidth="1"/>
    <col min="2570" max="2570" width="9.140625" style="2358"/>
    <col min="2571" max="2571" width="12.42578125" style="2358" customWidth="1"/>
    <col min="2572" max="2816" width="9.140625" style="2358"/>
    <col min="2817" max="2817" width="5.5703125" style="2358" customWidth="1"/>
    <col min="2818" max="2818" width="32.42578125" style="2358" customWidth="1"/>
    <col min="2819" max="2819" width="24.85546875" style="2358" customWidth="1"/>
    <col min="2820" max="2820" width="17" style="2358" customWidth="1"/>
    <col min="2821" max="2821" width="18.7109375" style="2358" customWidth="1"/>
    <col min="2822" max="2822" width="21.5703125" style="2358" customWidth="1"/>
    <col min="2823" max="2823" width="14.7109375" style="2358" customWidth="1"/>
    <col min="2824" max="2824" width="15.140625" style="2358" customWidth="1"/>
    <col min="2825" max="2825" width="9.7109375" style="2358" bestFit="1" customWidth="1"/>
    <col min="2826" max="2826" width="9.140625" style="2358"/>
    <col min="2827" max="2827" width="12.42578125" style="2358" customWidth="1"/>
    <col min="2828" max="3072" width="9.140625" style="2358"/>
    <col min="3073" max="3073" width="5.5703125" style="2358" customWidth="1"/>
    <col min="3074" max="3074" width="32.42578125" style="2358" customWidth="1"/>
    <col min="3075" max="3075" width="24.85546875" style="2358" customWidth="1"/>
    <col min="3076" max="3076" width="17" style="2358" customWidth="1"/>
    <col min="3077" max="3077" width="18.7109375" style="2358" customWidth="1"/>
    <col min="3078" max="3078" width="21.5703125" style="2358" customWidth="1"/>
    <col min="3079" max="3079" width="14.7109375" style="2358" customWidth="1"/>
    <col min="3080" max="3080" width="15.140625" style="2358" customWidth="1"/>
    <col min="3081" max="3081" width="9.7109375" style="2358" bestFit="1" customWidth="1"/>
    <col min="3082" max="3082" width="9.140625" style="2358"/>
    <col min="3083" max="3083" width="12.42578125" style="2358" customWidth="1"/>
    <col min="3084" max="3328" width="9.140625" style="2358"/>
    <col min="3329" max="3329" width="5.5703125" style="2358" customWidth="1"/>
    <col min="3330" max="3330" width="32.42578125" style="2358" customWidth="1"/>
    <col min="3331" max="3331" width="24.85546875" style="2358" customWidth="1"/>
    <col min="3332" max="3332" width="17" style="2358" customWidth="1"/>
    <col min="3333" max="3333" width="18.7109375" style="2358" customWidth="1"/>
    <col min="3334" max="3334" width="21.5703125" style="2358" customWidth="1"/>
    <col min="3335" max="3335" width="14.7109375" style="2358" customWidth="1"/>
    <col min="3336" max="3336" width="15.140625" style="2358" customWidth="1"/>
    <col min="3337" max="3337" width="9.7109375" style="2358" bestFit="1" customWidth="1"/>
    <col min="3338" max="3338" width="9.140625" style="2358"/>
    <col min="3339" max="3339" width="12.42578125" style="2358" customWidth="1"/>
    <col min="3340" max="3584" width="9.140625" style="2358"/>
    <col min="3585" max="3585" width="5.5703125" style="2358" customWidth="1"/>
    <col min="3586" max="3586" width="32.42578125" style="2358" customWidth="1"/>
    <col min="3587" max="3587" width="24.85546875" style="2358" customWidth="1"/>
    <col min="3588" max="3588" width="17" style="2358" customWidth="1"/>
    <col min="3589" max="3589" width="18.7109375" style="2358" customWidth="1"/>
    <col min="3590" max="3590" width="21.5703125" style="2358" customWidth="1"/>
    <col min="3591" max="3591" width="14.7109375" style="2358" customWidth="1"/>
    <col min="3592" max="3592" width="15.140625" style="2358" customWidth="1"/>
    <col min="3593" max="3593" width="9.7109375" style="2358" bestFit="1" customWidth="1"/>
    <col min="3594" max="3594" width="9.140625" style="2358"/>
    <col min="3595" max="3595" width="12.42578125" style="2358" customWidth="1"/>
    <col min="3596" max="3840" width="9.140625" style="2358"/>
    <col min="3841" max="3841" width="5.5703125" style="2358" customWidth="1"/>
    <col min="3842" max="3842" width="32.42578125" style="2358" customWidth="1"/>
    <col min="3843" max="3843" width="24.85546875" style="2358" customWidth="1"/>
    <col min="3844" max="3844" width="17" style="2358" customWidth="1"/>
    <col min="3845" max="3845" width="18.7109375" style="2358" customWidth="1"/>
    <col min="3846" max="3846" width="21.5703125" style="2358" customWidth="1"/>
    <col min="3847" max="3847" width="14.7109375" style="2358" customWidth="1"/>
    <col min="3848" max="3848" width="15.140625" style="2358" customWidth="1"/>
    <col min="3849" max="3849" width="9.7109375" style="2358" bestFit="1" customWidth="1"/>
    <col min="3850" max="3850" width="9.140625" style="2358"/>
    <col min="3851" max="3851" width="12.42578125" style="2358" customWidth="1"/>
    <col min="3852" max="4096" width="9.140625" style="2358"/>
    <col min="4097" max="4097" width="5.5703125" style="2358" customWidth="1"/>
    <col min="4098" max="4098" width="32.42578125" style="2358" customWidth="1"/>
    <col min="4099" max="4099" width="24.85546875" style="2358" customWidth="1"/>
    <col min="4100" max="4100" width="17" style="2358" customWidth="1"/>
    <col min="4101" max="4101" width="18.7109375" style="2358" customWidth="1"/>
    <col min="4102" max="4102" width="21.5703125" style="2358" customWidth="1"/>
    <col min="4103" max="4103" width="14.7109375" style="2358" customWidth="1"/>
    <col min="4104" max="4104" width="15.140625" style="2358" customWidth="1"/>
    <col min="4105" max="4105" width="9.7109375" style="2358" bestFit="1" customWidth="1"/>
    <col min="4106" max="4106" width="9.140625" style="2358"/>
    <col min="4107" max="4107" width="12.42578125" style="2358" customWidth="1"/>
    <col min="4108" max="4352" width="9.140625" style="2358"/>
    <col min="4353" max="4353" width="5.5703125" style="2358" customWidth="1"/>
    <col min="4354" max="4354" width="32.42578125" style="2358" customWidth="1"/>
    <col min="4355" max="4355" width="24.85546875" style="2358" customWidth="1"/>
    <col min="4356" max="4356" width="17" style="2358" customWidth="1"/>
    <col min="4357" max="4357" width="18.7109375" style="2358" customWidth="1"/>
    <col min="4358" max="4358" width="21.5703125" style="2358" customWidth="1"/>
    <col min="4359" max="4359" width="14.7109375" style="2358" customWidth="1"/>
    <col min="4360" max="4360" width="15.140625" style="2358" customWidth="1"/>
    <col min="4361" max="4361" width="9.7109375" style="2358" bestFit="1" customWidth="1"/>
    <col min="4362" max="4362" width="9.140625" style="2358"/>
    <col min="4363" max="4363" width="12.42578125" style="2358" customWidth="1"/>
    <col min="4364" max="4608" width="9.140625" style="2358"/>
    <col min="4609" max="4609" width="5.5703125" style="2358" customWidth="1"/>
    <col min="4610" max="4610" width="32.42578125" style="2358" customWidth="1"/>
    <col min="4611" max="4611" width="24.85546875" style="2358" customWidth="1"/>
    <col min="4612" max="4612" width="17" style="2358" customWidth="1"/>
    <col min="4613" max="4613" width="18.7109375" style="2358" customWidth="1"/>
    <col min="4614" max="4614" width="21.5703125" style="2358" customWidth="1"/>
    <col min="4615" max="4615" width="14.7109375" style="2358" customWidth="1"/>
    <col min="4616" max="4616" width="15.140625" style="2358" customWidth="1"/>
    <col min="4617" max="4617" width="9.7109375" style="2358" bestFit="1" customWidth="1"/>
    <col min="4618" max="4618" width="9.140625" style="2358"/>
    <col min="4619" max="4619" width="12.42578125" style="2358" customWidth="1"/>
    <col min="4620" max="4864" width="9.140625" style="2358"/>
    <col min="4865" max="4865" width="5.5703125" style="2358" customWidth="1"/>
    <col min="4866" max="4866" width="32.42578125" style="2358" customWidth="1"/>
    <col min="4867" max="4867" width="24.85546875" style="2358" customWidth="1"/>
    <col min="4868" max="4868" width="17" style="2358" customWidth="1"/>
    <col min="4869" max="4869" width="18.7109375" style="2358" customWidth="1"/>
    <col min="4870" max="4870" width="21.5703125" style="2358" customWidth="1"/>
    <col min="4871" max="4871" width="14.7109375" style="2358" customWidth="1"/>
    <col min="4872" max="4872" width="15.140625" style="2358" customWidth="1"/>
    <col min="4873" max="4873" width="9.7109375" style="2358" bestFit="1" customWidth="1"/>
    <col min="4874" max="4874" width="9.140625" style="2358"/>
    <col min="4875" max="4875" width="12.42578125" style="2358" customWidth="1"/>
    <col min="4876" max="5120" width="9.140625" style="2358"/>
    <col min="5121" max="5121" width="5.5703125" style="2358" customWidth="1"/>
    <col min="5122" max="5122" width="32.42578125" style="2358" customWidth="1"/>
    <col min="5123" max="5123" width="24.85546875" style="2358" customWidth="1"/>
    <col min="5124" max="5124" width="17" style="2358" customWidth="1"/>
    <col min="5125" max="5125" width="18.7109375" style="2358" customWidth="1"/>
    <col min="5126" max="5126" width="21.5703125" style="2358" customWidth="1"/>
    <col min="5127" max="5127" width="14.7109375" style="2358" customWidth="1"/>
    <col min="5128" max="5128" width="15.140625" style="2358" customWidth="1"/>
    <col min="5129" max="5129" width="9.7109375" style="2358" bestFit="1" customWidth="1"/>
    <col min="5130" max="5130" width="9.140625" style="2358"/>
    <col min="5131" max="5131" width="12.42578125" style="2358" customWidth="1"/>
    <col min="5132" max="5376" width="9.140625" style="2358"/>
    <col min="5377" max="5377" width="5.5703125" style="2358" customWidth="1"/>
    <col min="5378" max="5378" width="32.42578125" style="2358" customWidth="1"/>
    <col min="5379" max="5379" width="24.85546875" style="2358" customWidth="1"/>
    <col min="5380" max="5380" width="17" style="2358" customWidth="1"/>
    <col min="5381" max="5381" width="18.7109375" style="2358" customWidth="1"/>
    <col min="5382" max="5382" width="21.5703125" style="2358" customWidth="1"/>
    <col min="5383" max="5383" width="14.7109375" style="2358" customWidth="1"/>
    <col min="5384" max="5384" width="15.140625" style="2358" customWidth="1"/>
    <col min="5385" max="5385" width="9.7109375" style="2358" bestFit="1" customWidth="1"/>
    <col min="5386" max="5386" width="9.140625" style="2358"/>
    <col min="5387" max="5387" width="12.42578125" style="2358" customWidth="1"/>
    <col min="5388" max="5632" width="9.140625" style="2358"/>
    <col min="5633" max="5633" width="5.5703125" style="2358" customWidth="1"/>
    <col min="5634" max="5634" width="32.42578125" style="2358" customWidth="1"/>
    <col min="5635" max="5635" width="24.85546875" style="2358" customWidth="1"/>
    <col min="5636" max="5636" width="17" style="2358" customWidth="1"/>
    <col min="5637" max="5637" width="18.7109375" style="2358" customWidth="1"/>
    <col min="5638" max="5638" width="21.5703125" style="2358" customWidth="1"/>
    <col min="5639" max="5639" width="14.7109375" style="2358" customWidth="1"/>
    <col min="5640" max="5640" width="15.140625" style="2358" customWidth="1"/>
    <col min="5641" max="5641" width="9.7109375" style="2358" bestFit="1" customWidth="1"/>
    <col min="5642" max="5642" width="9.140625" style="2358"/>
    <col min="5643" max="5643" width="12.42578125" style="2358" customWidth="1"/>
    <col min="5644" max="5888" width="9.140625" style="2358"/>
    <col min="5889" max="5889" width="5.5703125" style="2358" customWidth="1"/>
    <col min="5890" max="5890" width="32.42578125" style="2358" customWidth="1"/>
    <col min="5891" max="5891" width="24.85546875" style="2358" customWidth="1"/>
    <col min="5892" max="5892" width="17" style="2358" customWidth="1"/>
    <col min="5893" max="5893" width="18.7109375" style="2358" customWidth="1"/>
    <col min="5894" max="5894" width="21.5703125" style="2358" customWidth="1"/>
    <col min="5895" max="5895" width="14.7109375" style="2358" customWidth="1"/>
    <col min="5896" max="5896" width="15.140625" style="2358" customWidth="1"/>
    <col min="5897" max="5897" width="9.7109375" style="2358" bestFit="1" customWidth="1"/>
    <col min="5898" max="5898" width="9.140625" style="2358"/>
    <col min="5899" max="5899" width="12.42578125" style="2358" customWidth="1"/>
    <col min="5900" max="6144" width="9.140625" style="2358"/>
    <col min="6145" max="6145" width="5.5703125" style="2358" customWidth="1"/>
    <col min="6146" max="6146" width="32.42578125" style="2358" customWidth="1"/>
    <col min="6147" max="6147" width="24.85546875" style="2358" customWidth="1"/>
    <col min="6148" max="6148" width="17" style="2358" customWidth="1"/>
    <col min="6149" max="6149" width="18.7109375" style="2358" customWidth="1"/>
    <col min="6150" max="6150" width="21.5703125" style="2358" customWidth="1"/>
    <col min="6151" max="6151" width="14.7109375" style="2358" customWidth="1"/>
    <col min="6152" max="6152" width="15.140625" style="2358" customWidth="1"/>
    <col min="6153" max="6153" width="9.7109375" style="2358" bestFit="1" customWidth="1"/>
    <col min="6154" max="6154" width="9.140625" style="2358"/>
    <col min="6155" max="6155" width="12.42578125" style="2358" customWidth="1"/>
    <col min="6156" max="6400" width="9.140625" style="2358"/>
    <col min="6401" max="6401" width="5.5703125" style="2358" customWidth="1"/>
    <col min="6402" max="6402" width="32.42578125" style="2358" customWidth="1"/>
    <col min="6403" max="6403" width="24.85546875" style="2358" customWidth="1"/>
    <col min="6404" max="6404" width="17" style="2358" customWidth="1"/>
    <col min="6405" max="6405" width="18.7109375" style="2358" customWidth="1"/>
    <col min="6406" max="6406" width="21.5703125" style="2358" customWidth="1"/>
    <col min="6407" max="6407" width="14.7109375" style="2358" customWidth="1"/>
    <col min="6408" max="6408" width="15.140625" style="2358" customWidth="1"/>
    <col min="6409" max="6409" width="9.7109375" style="2358" bestFit="1" customWidth="1"/>
    <col min="6410" max="6410" width="9.140625" style="2358"/>
    <col min="6411" max="6411" width="12.42578125" style="2358" customWidth="1"/>
    <col min="6412" max="6656" width="9.140625" style="2358"/>
    <col min="6657" max="6657" width="5.5703125" style="2358" customWidth="1"/>
    <col min="6658" max="6658" width="32.42578125" style="2358" customWidth="1"/>
    <col min="6659" max="6659" width="24.85546875" style="2358" customWidth="1"/>
    <col min="6660" max="6660" width="17" style="2358" customWidth="1"/>
    <col min="6661" max="6661" width="18.7109375" style="2358" customWidth="1"/>
    <col min="6662" max="6662" width="21.5703125" style="2358" customWidth="1"/>
    <col min="6663" max="6663" width="14.7109375" style="2358" customWidth="1"/>
    <col min="6664" max="6664" width="15.140625" style="2358" customWidth="1"/>
    <col min="6665" max="6665" width="9.7109375" style="2358" bestFit="1" customWidth="1"/>
    <col min="6666" max="6666" width="9.140625" style="2358"/>
    <col min="6667" max="6667" width="12.42578125" style="2358" customWidth="1"/>
    <col min="6668" max="6912" width="9.140625" style="2358"/>
    <col min="6913" max="6913" width="5.5703125" style="2358" customWidth="1"/>
    <col min="6914" max="6914" width="32.42578125" style="2358" customWidth="1"/>
    <col min="6915" max="6915" width="24.85546875" style="2358" customWidth="1"/>
    <col min="6916" max="6916" width="17" style="2358" customWidth="1"/>
    <col min="6917" max="6917" width="18.7109375" style="2358" customWidth="1"/>
    <col min="6918" max="6918" width="21.5703125" style="2358" customWidth="1"/>
    <col min="6919" max="6919" width="14.7109375" style="2358" customWidth="1"/>
    <col min="6920" max="6920" width="15.140625" style="2358" customWidth="1"/>
    <col min="6921" max="6921" width="9.7109375" style="2358" bestFit="1" customWidth="1"/>
    <col min="6922" max="6922" width="9.140625" style="2358"/>
    <col min="6923" max="6923" width="12.42578125" style="2358" customWidth="1"/>
    <col min="6924" max="7168" width="9.140625" style="2358"/>
    <col min="7169" max="7169" width="5.5703125" style="2358" customWidth="1"/>
    <col min="7170" max="7170" width="32.42578125" style="2358" customWidth="1"/>
    <col min="7171" max="7171" width="24.85546875" style="2358" customWidth="1"/>
    <col min="7172" max="7172" width="17" style="2358" customWidth="1"/>
    <col min="7173" max="7173" width="18.7109375" style="2358" customWidth="1"/>
    <col min="7174" max="7174" width="21.5703125" style="2358" customWidth="1"/>
    <col min="7175" max="7175" width="14.7109375" style="2358" customWidth="1"/>
    <col min="7176" max="7176" width="15.140625" style="2358" customWidth="1"/>
    <col min="7177" max="7177" width="9.7109375" style="2358" bestFit="1" customWidth="1"/>
    <col min="7178" max="7178" width="9.140625" style="2358"/>
    <col min="7179" max="7179" width="12.42578125" style="2358" customWidth="1"/>
    <col min="7180" max="7424" width="9.140625" style="2358"/>
    <col min="7425" max="7425" width="5.5703125" style="2358" customWidth="1"/>
    <col min="7426" max="7426" width="32.42578125" style="2358" customWidth="1"/>
    <col min="7427" max="7427" width="24.85546875" style="2358" customWidth="1"/>
    <col min="7428" max="7428" width="17" style="2358" customWidth="1"/>
    <col min="7429" max="7429" width="18.7109375" style="2358" customWidth="1"/>
    <col min="7430" max="7430" width="21.5703125" style="2358" customWidth="1"/>
    <col min="7431" max="7431" width="14.7109375" style="2358" customWidth="1"/>
    <col min="7432" max="7432" width="15.140625" style="2358" customWidth="1"/>
    <col min="7433" max="7433" width="9.7109375" style="2358" bestFit="1" customWidth="1"/>
    <col min="7434" max="7434" width="9.140625" style="2358"/>
    <col min="7435" max="7435" width="12.42578125" style="2358" customWidth="1"/>
    <col min="7436" max="7680" width="9.140625" style="2358"/>
    <col min="7681" max="7681" width="5.5703125" style="2358" customWidth="1"/>
    <col min="7682" max="7682" width="32.42578125" style="2358" customWidth="1"/>
    <col min="7683" max="7683" width="24.85546875" style="2358" customWidth="1"/>
    <col min="7684" max="7684" width="17" style="2358" customWidth="1"/>
    <col min="7685" max="7685" width="18.7109375" style="2358" customWidth="1"/>
    <col min="7686" max="7686" width="21.5703125" style="2358" customWidth="1"/>
    <col min="7687" max="7687" width="14.7109375" style="2358" customWidth="1"/>
    <col min="7688" max="7688" width="15.140625" style="2358" customWidth="1"/>
    <col min="7689" max="7689" width="9.7109375" style="2358" bestFit="1" customWidth="1"/>
    <col min="7690" max="7690" width="9.140625" style="2358"/>
    <col min="7691" max="7691" width="12.42578125" style="2358" customWidth="1"/>
    <col min="7692" max="7936" width="9.140625" style="2358"/>
    <col min="7937" max="7937" width="5.5703125" style="2358" customWidth="1"/>
    <col min="7938" max="7938" width="32.42578125" style="2358" customWidth="1"/>
    <col min="7939" max="7939" width="24.85546875" style="2358" customWidth="1"/>
    <col min="7940" max="7940" width="17" style="2358" customWidth="1"/>
    <col min="7941" max="7941" width="18.7109375" style="2358" customWidth="1"/>
    <col min="7942" max="7942" width="21.5703125" style="2358" customWidth="1"/>
    <col min="7943" max="7943" width="14.7109375" style="2358" customWidth="1"/>
    <col min="7944" max="7944" width="15.140625" style="2358" customWidth="1"/>
    <col min="7945" max="7945" width="9.7109375" style="2358" bestFit="1" customWidth="1"/>
    <col min="7946" max="7946" width="9.140625" style="2358"/>
    <col min="7947" max="7947" width="12.42578125" style="2358" customWidth="1"/>
    <col min="7948" max="8192" width="9.140625" style="2358"/>
    <col min="8193" max="8193" width="5.5703125" style="2358" customWidth="1"/>
    <col min="8194" max="8194" width="32.42578125" style="2358" customWidth="1"/>
    <col min="8195" max="8195" width="24.85546875" style="2358" customWidth="1"/>
    <col min="8196" max="8196" width="17" style="2358" customWidth="1"/>
    <col min="8197" max="8197" width="18.7109375" style="2358" customWidth="1"/>
    <col min="8198" max="8198" width="21.5703125" style="2358" customWidth="1"/>
    <col min="8199" max="8199" width="14.7109375" style="2358" customWidth="1"/>
    <col min="8200" max="8200" width="15.140625" style="2358" customWidth="1"/>
    <col min="8201" max="8201" width="9.7109375" style="2358" bestFit="1" customWidth="1"/>
    <col min="8202" max="8202" width="9.140625" style="2358"/>
    <col min="8203" max="8203" width="12.42578125" style="2358" customWidth="1"/>
    <col min="8204" max="8448" width="9.140625" style="2358"/>
    <col min="8449" max="8449" width="5.5703125" style="2358" customWidth="1"/>
    <col min="8450" max="8450" width="32.42578125" style="2358" customWidth="1"/>
    <col min="8451" max="8451" width="24.85546875" style="2358" customWidth="1"/>
    <col min="8452" max="8452" width="17" style="2358" customWidth="1"/>
    <col min="8453" max="8453" width="18.7109375" style="2358" customWidth="1"/>
    <col min="8454" max="8454" width="21.5703125" style="2358" customWidth="1"/>
    <col min="8455" max="8455" width="14.7109375" style="2358" customWidth="1"/>
    <col min="8456" max="8456" width="15.140625" style="2358" customWidth="1"/>
    <col min="8457" max="8457" width="9.7109375" style="2358" bestFit="1" customWidth="1"/>
    <col min="8458" max="8458" width="9.140625" style="2358"/>
    <col min="8459" max="8459" width="12.42578125" style="2358" customWidth="1"/>
    <col min="8460" max="8704" width="9.140625" style="2358"/>
    <col min="8705" max="8705" width="5.5703125" style="2358" customWidth="1"/>
    <col min="8706" max="8706" width="32.42578125" style="2358" customWidth="1"/>
    <col min="8707" max="8707" width="24.85546875" style="2358" customWidth="1"/>
    <col min="8708" max="8708" width="17" style="2358" customWidth="1"/>
    <col min="8709" max="8709" width="18.7109375" style="2358" customWidth="1"/>
    <col min="8710" max="8710" width="21.5703125" style="2358" customWidth="1"/>
    <col min="8711" max="8711" width="14.7109375" style="2358" customWidth="1"/>
    <col min="8712" max="8712" width="15.140625" style="2358" customWidth="1"/>
    <col min="8713" max="8713" width="9.7109375" style="2358" bestFit="1" customWidth="1"/>
    <col min="8714" max="8714" width="9.140625" style="2358"/>
    <col min="8715" max="8715" width="12.42578125" style="2358" customWidth="1"/>
    <col min="8716" max="8960" width="9.140625" style="2358"/>
    <col min="8961" max="8961" width="5.5703125" style="2358" customWidth="1"/>
    <col min="8962" max="8962" width="32.42578125" style="2358" customWidth="1"/>
    <col min="8963" max="8963" width="24.85546875" style="2358" customWidth="1"/>
    <col min="8964" max="8964" width="17" style="2358" customWidth="1"/>
    <col min="8965" max="8965" width="18.7109375" style="2358" customWidth="1"/>
    <col min="8966" max="8966" width="21.5703125" style="2358" customWidth="1"/>
    <col min="8967" max="8967" width="14.7109375" style="2358" customWidth="1"/>
    <col min="8968" max="8968" width="15.140625" style="2358" customWidth="1"/>
    <col min="8969" max="8969" width="9.7109375" style="2358" bestFit="1" customWidth="1"/>
    <col min="8970" max="8970" width="9.140625" style="2358"/>
    <col min="8971" max="8971" width="12.42578125" style="2358" customWidth="1"/>
    <col min="8972" max="9216" width="9.140625" style="2358"/>
    <col min="9217" max="9217" width="5.5703125" style="2358" customWidth="1"/>
    <col min="9218" max="9218" width="32.42578125" style="2358" customWidth="1"/>
    <col min="9219" max="9219" width="24.85546875" style="2358" customWidth="1"/>
    <col min="9220" max="9220" width="17" style="2358" customWidth="1"/>
    <col min="9221" max="9221" width="18.7109375" style="2358" customWidth="1"/>
    <col min="9222" max="9222" width="21.5703125" style="2358" customWidth="1"/>
    <col min="9223" max="9223" width="14.7109375" style="2358" customWidth="1"/>
    <col min="9224" max="9224" width="15.140625" style="2358" customWidth="1"/>
    <col min="9225" max="9225" width="9.7109375" style="2358" bestFit="1" customWidth="1"/>
    <col min="9226" max="9226" width="9.140625" style="2358"/>
    <col min="9227" max="9227" width="12.42578125" style="2358" customWidth="1"/>
    <col min="9228" max="9472" width="9.140625" style="2358"/>
    <col min="9473" max="9473" width="5.5703125" style="2358" customWidth="1"/>
    <col min="9474" max="9474" width="32.42578125" style="2358" customWidth="1"/>
    <col min="9475" max="9475" width="24.85546875" style="2358" customWidth="1"/>
    <col min="9476" max="9476" width="17" style="2358" customWidth="1"/>
    <col min="9477" max="9477" width="18.7109375" style="2358" customWidth="1"/>
    <col min="9478" max="9478" width="21.5703125" style="2358" customWidth="1"/>
    <col min="9479" max="9479" width="14.7109375" style="2358" customWidth="1"/>
    <col min="9480" max="9480" width="15.140625" style="2358" customWidth="1"/>
    <col min="9481" max="9481" width="9.7109375" style="2358" bestFit="1" customWidth="1"/>
    <col min="9482" max="9482" width="9.140625" style="2358"/>
    <col min="9483" max="9483" width="12.42578125" style="2358" customWidth="1"/>
    <col min="9484" max="9728" width="9.140625" style="2358"/>
    <col min="9729" max="9729" width="5.5703125" style="2358" customWidth="1"/>
    <col min="9730" max="9730" width="32.42578125" style="2358" customWidth="1"/>
    <col min="9731" max="9731" width="24.85546875" style="2358" customWidth="1"/>
    <col min="9732" max="9732" width="17" style="2358" customWidth="1"/>
    <col min="9733" max="9733" width="18.7109375" style="2358" customWidth="1"/>
    <col min="9734" max="9734" width="21.5703125" style="2358" customWidth="1"/>
    <col min="9735" max="9735" width="14.7109375" style="2358" customWidth="1"/>
    <col min="9736" max="9736" width="15.140625" style="2358" customWidth="1"/>
    <col min="9737" max="9737" width="9.7109375" style="2358" bestFit="1" customWidth="1"/>
    <col min="9738" max="9738" width="9.140625" style="2358"/>
    <col min="9739" max="9739" width="12.42578125" style="2358" customWidth="1"/>
    <col min="9740" max="9984" width="9.140625" style="2358"/>
    <col min="9985" max="9985" width="5.5703125" style="2358" customWidth="1"/>
    <col min="9986" max="9986" width="32.42578125" style="2358" customWidth="1"/>
    <col min="9987" max="9987" width="24.85546875" style="2358" customWidth="1"/>
    <col min="9988" max="9988" width="17" style="2358" customWidth="1"/>
    <col min="9989" max="9989" width="18.7109375" style="2358" customWidth="1"/>
    <col min="9990" max="9990" width="21.5703125" style="2358" customWidth="1"/>
    <col min="9991" max="9991" width="14.7109375" style="2358" customWidth="1"/>
    <col min="9992" max="9992" width="15.140625" style="2358" customWidth="1"/>
    <col min="9993" max="9993" width="9.7109375" style="2358" bestFit="1" customWidth="1"/>
    <col min="9994" max="9994" width="9.140625" style="2358"/>
    <col min="9995" max="9995" width="12.42578125" style="2358" customWidth="1"/>
    <col min="9996" max="10240" width="9.140625" style="2358"/>
    <col min="10241" max="10241" width="5.5703125" style="2358" customWidth="1"/>
    <col min="10242" max="10242" width="32.42578125" style="2358" customWidth="1"/>
    <col min="10243" max="10243" width="24.85546875" style="2358" customWidth="1"/>
    <col min="10244" max="10244" width="17" style="2358" customWidth="1"/>
    <col min="10245" max="10245" width="18.7109375" style="2358" customWidth="1"/>
    <col min="10246" max="10246" width="21.5703125" style="2358" customWidth="1"/>
    <col min="10247" max="10247" width="14.7109375" style="2358" customWidth="1"/>
    <col min="10248" max="10248" width="15.140625" style="2358" customWidth="1"/>
    <col min="10249" max="10249" width="9.7109375" style="2358" bestFit="1" customWidth="1"/>
    <col min="10250" max="10250" width="9.140625" style="2358"/>
    <col min="10251" max="10251" width="12.42578125" style="2358" customWidth="1"/>
    <col min="10252" max="10496" width="9.140625" style="2358"/>
    <col min="10497" max="10497" width="5.5703125" style="2358" customWidth="1"/>
    <col min="10498" max="10498" width="32.42578125" style="2358" customWidth="1"/>
    <col min="10499" max="10499" width="24.85546875" style="2358" customWidth="1"/>
    <col min="10500" max="10500" width="17" style="2358" customWidth="1"/>
    <col min="10501" max="10501" width="18.7109375" style="2358" customWidth="1"/>
    <col min="10502" max="10502" width="21.5703125" style="2358" customWidth="1"/>
    <col min="10503" max="10503" width="14.7109375" style="2358" customWidth="1"/>
    <col min="10504" max="10504" width="15.140625" style="2358" customWidth="1"/>
    <col min="10505" max="10505" width="9.7109375" style="2358" bestFit="1" customWidth="1"/>
    <col min="10506" max="10506" width="9.140625" style="2358"/>
    <col min="10507" max="10507" width="12.42578125" style="2358" customWidth="1"/>
    <col min="10508" max="10752" width="9.140625" style="2358"/>
    <col min="10753" max="10753" width="5.5703125" style="2358" customWidth="1"/>
    <col min="10754" max="10754" width="32.42578125" style="2358" customWidth="1"/>
    <col min="10755" max="10755" width="24.85546875" style="2358" customWidth="1"/>
    <col min="10756" max="10756" width="17" style="2358" customWidth="1"/>
    <col min="10757" max="10757" width="18.7109375" style="2358" customWidth="1"/>
    <col min="10758" max="10758" width="21.5703125" style="2358" customWidth="1"/>
    <col min="10759" max="10759" width="14.7109375" style="2358" customWidth="1"/>
    <col min="10760" max="10760" width="15.140625" style="2358" customWidth="1"/>
    <col min="10761" max="10761" width="9.7109375" style="2358" bestFit="1" customWidth="1"/>
    <col min="10762" max="10762" width="9.140625" style="2358"/>
    <col min="10763" max="10763" width="12.42578125" style="2358" customWidth="1"/>
    <col min="10764" max="11008" width="9.140625" style="2358"/>
    <col min="11009" max="11009" width="5.5703125" style="2358" customWidth="1"/>
    <col min="11010" max="11010" width="32.42578125" style="2358" customWidth="1"/>
    <col min="11011" max="11011" width="24.85546875" style="2358" customWidth="1"/>
    <col min="11012" max="11012" width="17" style="2358" customWidth="1"/>
    <col min="11013" max="11013" width="18.7109375" style="2358" customWidth="1"/>
    <col min="11014" max="11014" width="21.5703125" style="2358" customWidth="1"/>
    <col min="11015" max="11015" width="14.7109375" style="2358" customWidth="1"/>
    <col min="11016" max="11016" width="15.140625" style="2358" customWidth="1"/>
    <col min="11017" max="11017" width="9.7109375" style="2358" bestFit="1" customWidth="1"/>
    <col min="11018" max="11018" width="9.140625" style="2358"/>
    <col min="11019" max="11019" width="12.42578125" style="2358" customWidth="1"/>
    <col min="11020" max="11264" width="9.140625" style="2358"/>
    <col min="11265" max="11265" width="5.5703125" style="2358" customWidth="1"/>
    <col min="11266" max="11266" width="32.42578125" style="2358" customWidth="1"/>
    <col min="11267" max="11267" width="24.85546875" style="2358" customWidth="1"/>
    <col min="11268" max="11268" width="17" style="2358" customWidth="1"/>
    <col min="11269" max="11269" width="18.7109375" style="2358" customWidth="1"/>
    <col min="11270" max="11270" width="21.5703125" style="2358" customWidth="1"/>
    <col min="11271" max="11271" width="14.7109375" style="2358" customWidth="1"/>
    <col min="11272" max="11272" width="15.140625" style="2358" customWidth="1"/>
    <col min="11273" max="11273" width="9.7109375" style="2358" bestFit="1" customWidth="1"/>
    <col min="11274" max="11274" width="9.140625" style="2358"/>
    <col min="11275" max="11275" width="12.42578125" style="2358" customWidth="1"/>
    <col min="11276" max="11520" width="9.140625" style="2358"/>
    <col min="11521" max="11521" width="5.5703125" style="2358" customWidth="1"/>
    <col min="11522" max="11522" width="32.42578125" style="2358" customWidth="1"/>
    <col min="11523" max="11523" width="24.85546875" style="2358" customWidth="1"/>
    <col min="11524" max="11524" width="17" style="2358" customWidth="1"/>
    <col min="11525" max="11525" width="18.7109375" style="2358" customWidth="1"/>
    <col min="11526" max="11526" width="21.5703125" style="2358" customWidth="1"/>
    <col min="11527" max="11527" width="14.7109375" style="2358" customWidth="1"/>
    <col min="11528" max="11528" width="15.140625" style="2358" customWidth="1"/>
    <col min="11529" max="11529" width="9.7109375" style="2358" bestFit="1" customWidth="1"/>
    <col min="11530" max="11530" width="9.140625" style="2358"/>
    <col min="11531" max="11531" width="12.42578125" style="2358" customWidth="1"/>
    <col min="11532" max="11776" width="9.140625" style="2358"/>
    <col min="11777" max="11777" width="5.5703125" style="2358" customWidth="1"/>
    <col min="11778" max="11778" width="32.42578125" style="2358" customWidth="1"/>
    <col min="11779" max="11779" width="24.85546875" style="2358" customWidth="1"/>
    <col min="11780" max="11780" width="17" style="2358" customWidth="1"/>
    <col min="11781" max="11781" width="18.7109375" style="2358" customWidth="1"/>
    <col min="11782" max="11782" width="21.5703125" style="2358" customWidth="1"/>
    <col min="11783" max="11783" width="14.7109375" style="2358" customWidth="1"/>
    <col min="11784" max="11784" width="15.140625" style="2358" customWidth="1"/>
    <col min="11785" max="11785" width="9.7109375" style="2358" bestFit="1" customWidth="1"/>
    <col min="11786" max="11786" width="9.140625" style="2358"/>
    <col min="11787" max="11787" width="12.42578125" style="2358" customWidth="1"/>
    <col min="11788" max="12032" width="9.140625" style="2358"/>
    <col min="12033" max="12033" width="5.5703125" style="2358" customWidth="1"/>
    <col min="12034" max="12034" width="32.42578125" style="2358" customWidth="1"/>
    <col min="12035" max="12035" width="24.85546875" style="2358" customWidth="1"/>
    <col min="12036" max="12036" width="17" style="2358" customWidth="1"/>
    <col min="12037" max="12037" width="18.7109375" style="2358" customWidth="1"/>
    <col min="12038" max="12038" width="21.5703125" style="2358" customWidth="1"/>
    <col min="12039" max="12039" width="14.7109375" style="2358" customWidth="1"/>
    <col min="12040" max="12040" width="15.140625" style="2358" customWidth="1"/>
    <col min="12041" max="12041" width="9.7109375" style="2358" bestFit="1" customWidth="1"/>
    <col min="12042" max="12042" width="9.140625" style="2358"/>
    <col min="12043" max="12043" width="12.42578125" style="2358" customWidth="1"/>
    <col min="12044" max="12288" width="9.140625" style="2358"/>
    <col min="12289" max="12289" width="5.5703125" style="2358" customWidth="1"/>
    <col min="12290" max="12290" width="32.42578125" style="2358" customWidth="1"/>
    <col min="12291" max="12291" width="24.85546875" style="2358" customWidth="1"/>
    <col min="12292" max="12292" width="17" style="2358" customWidth="1"/>
    <col min="12293" max="12293" width="18.7109375" style="2358" customWidth="1"/>
    <col min="12294" max="12294" width="21.5703125" style="2358" customWidth="1"/>
    <col min="12295" max="12295" width="14.7109375" style="2358" customWidth="1"/>
    <col min="12296" max="12296" width="15.140625" style="2358" customWidth="1"/>
    <col min="12297" max="12297" width="9.7109375" style="2358" bestFit="1" customWidth="1"/>
    <col min="12298" max="12298" width="9.140625" style="2358"/>
    <col min="12299" max="12299" width="12.42578125" style="2358" customWidth="1"/>
    <col min="12300" max="12544" width="9.140625" style="2358"/>
    <col min="12545" max="12545" width="5.5703125" style="2358" customWidth="1"/>
    <col min="12546" max="12546" width="32.42578125" style="2358" customWidth="1"/>
    <col min="12547" max="12547" width="24.85546875" style="2358" customWidth="1"/>
    <col min="12548" max="12548" width="17" style="2358" customWidth="1"/>
    <col min="12549" max="12549" width="18.7109375" style="2358" customWidth="1"/>
    <col min="12550" max="12550" width="21.5703125" style="2358" customWidth="1"/>
    <col min="12551" max="12551" width="14.7109375" style="2358" customWidth="1"/>
    <col min="12552" max="12552" width="15.140625" style="2358" customWidth="1"/>
    <col min="12553" max="12553" width="9.7109375" style="2358" bestFit="1" customWidth="1"/>
    <col min="12554" max="12554" width="9.140625" style="2358"/>
    <col min="12555" max="12555" width="12.42578125" style="2358" customWidth="1"/>
    <col min="12556" max="12800" width="9.140625" style="2358"/>
    <col min="12801" max="12801" width="5.5703125" style="2358" customWidth="1"/>
    <col min="12802" max="12802" width="32.42578125" style="2358" customWidth="1"/>
    <col min="12803" max="12803" width="24.85546875" style="2358" customWidth="1"/>
    <col min="12804" max="12804" width="17" style="2358" customWidth="1"/>
    <col min="12805" max="12805" width="18.7109375" style="2358" customWidth="1"/>
    <col min="12806" max="12806" width="21.5703125" style="2358" customWidth="1"/>
    <col min="12807" max="12807" width="14.7109375" style="2358" customWidth="1"/>
    <col min="12808" max="12808" width="15.140625" style="2358" customWidth="1"/>
    <col min="12809" max="12809" width="9.7109375" style="2358" bestFit="1" customWidth="1"/>
    <col min="12810" max="12810" width="9.140625" style="2358"/>
    <col min="12811" max="12811" width="12.42578125" style="2358" customWidth="1"/>
    <col min="12812" max="13056" width="9.140625" style="2358"/>
    <col min="13057" max="13057" width="5.5703125" style="2358" customWidth="1"/>
    <col min="13058" max="13058" width="32.42578125" style="2358" customWidth="1"/>
    <col min="13059" max="13059" width="24.85546875" style="2358" customWidth="1"/>
    <col min="13060" max="13060" width="17" style="2358" customWidth="1"/>
    <col min="13061" max="13061" width="18.7109375" style="2358" customWidth="1"/>
    <col min="13062" max="13062" width="21.5703125" style="2358" customWidth="1"/>
    <col min="13063" max="13063" width="14.7109375" style="2358" customWidth="1"/>
    <col min="13064" max="13064" width="15.140625" style="2358" customWidth="1"/>
    <col min="13065" max="13065" width="9.7109375" style="2358" bestFit="1" customWidth="1"/>
    <col min="13066" max="13066" width="9.140625" style="2358"/>
    <col min="13067" max="13067" width="12.42578125" style="2358" customWidth="1"/>
    <col min="13068" max="13312" width="9.140625" style="2358"/>
    <col min="13313" max="13313" width="5.5703125" style="2358" customWidth="1"/>
    <col min="13314" max="13314" width="32.42578125" style="2358" customWidth="1"/>
    <col min="13315" max="13315" width="24.85546875" style="2358" customWidth="1"/>
    <col min="13316" max="13316" width="17" style="2358" customWidth="1"/>
    <col min="13317" max="13317" width="18.7109375" style="2358" customWidth="1"/>
    <col min="13318" max="13318" width="21.5703125" style="2358" customWidth="1"/>
    <col min="13319" max="13319" width="14.7109375" style="2358" customWidth="1"/>
    <col min="13320" max="13320" width="15.140625" style="2358" customWidth="1"/>
    <col min="13321" max="13321" width="9.7109375" style="2358" bestFit="1" customWidth="1"/>
    <col min="13322" max="13322" width="9.140625" style="2358"/>
    <col min="13323" max="13323" width="12.42578125" style="2358" customWidth="1"/>
    <col min="13324" max="13568" width="9.140625" style="2358"/>
    <col min="13569" max="13569" width="5.5703125" style="2358" customWidth="1"/>
    <col min="13570" max="13570" width="32.42578125" style="2358" customWidth="1"/>
    <col min="13571" max="13571" width="24.85546875" style="2358" customWidth="1"/>
    <col min="13572" max="13572" width="17" style="2358" customWidth="1"/>
    <col min="13573" max="13573" width="18.7109375" style="2358" customWidth="1"/>
    <col min="13574" max="13574" width="21.5703125" style="2358" customWidth="1"/>
    <col min="13575" max="13575" width="14.7109375" style="2358" customWidth="1"/>
    <col min="13576" max="13576" width="15.140625" style="2358" customWidth="1"/>
    <col min="13577" max="13577" width="9.7109375" style="2358" bestFit="1" customWidth="1"/>
    <col min="13578" max="13578" width="9.140625" style="2358"/>
    <col min="13579" max="13579" width="12.42578125" style="2358" customWidth="1"/>
    <col min="13580" max="13824" width="9.140625" style="2358"/>
    <col min="13825" max="13825" width="5.5703125" style="2358" customWidth="1"/>
    <col min="13826" max="13826" width="32.42578125" style="2358" customWidth="1"/>
    <col min="13827" max="13827" width="24.85546875" style="2358" customWidth="1"/>
    <col min="13828" max="13828" width="17" style="2358" customWidth="1"/>
    <col min="13829" max="13829" width="18.7109375" style="2358" customWidth="1"/>
    <col min="13830" max="13830" width="21.5703125" style="2358" customWidth="1"/>
    <col min="13831" max="13831" width="14.7109375" style="2358" customWidth="1"/>
    <col min="13832" max="13832" width="15.140625" style="2358" customWidth="1"/>
    <col min="13833" max="13833" width="9.7109375" style="2358" bestFit="1" customWidth="1"/>
    <col min="13834" max="13834" width="9.140625" style="2358"/>
    <col min="13835" max="13835" width="12.42578125" style="2358" customWidth="1"/>
    <col min="13836" max="14080" width="9.140625" style="2358"/>
    <col min="14081" max="14081" width="5.5703125" style="2358" customWidth="1"/>
    <col min="14082" max="14082" width="32.42578125" style="2358" customWidth="1"/>
    <col min="14083" max="14083" width="24.85546875" style="2358" customWidth="1"/>
    <col min="14084" max="14084" width="17" style="2358" customWidth="1"/>
    <col min="14085" max="14085" width="18.7109375" style="2358" customWidth="1"/>
    <col min="14086" max="14086" width="21.5703125" style="2358" customWidth="1"/>
    <col min="14087" max="14087" width="14.7109375" style="2358" customWidth="1"/>
    <col min="14088" max="14088" width="15.140625" style="2358" customWidth="1"/>
    <col min="14089" max="14089" width="9.7109375" style="2358" bestFit="1" customWidth="1"/>
    <col min="14090" max="14090" width="9.140625" style="2358"/>
    <col min="14091" max="14091" width="12.42578125" style="2358" customWidth="1"/>
    <col min="14092" max="14336" width="9.140625" style="2358"/>
    <col min="14337" max="14337" width="5.5703125" style="2358" customWidth="1"/>
    <col min="14338" max="14338" width="32.42578125" style="2358" customWidth="1"/>
    <col min="14339" max="14339" width="24.85546875" style="2358" customWidth="1"/>
    <col min="14340" max="14340" width="17" style="2358" customWidth="1"/>
    <col min="14341" max="14341" width="18.7109375" style="2358" customWidth="1"/>
    <col min="14342" max="14342" width="21.5703125" style="2358" customWidth="1"/>
    <col min="14343" max="14343" width="14.7109375" style="2358" customWidth="1"/>
    <col min="14344" max="14344" width="15.140625" style="2358" customWidth="1"/>
    <col min="14345" max="14345" width="9.7109375" style="2358" bestFit="1" customWidth="1"/>
    <col min="14346" max="14346" width="9.140625" style="2358"/>
    <col min="14347" max="14347" width="12.42578125" style="2358" customWidth="1"/>
    <col min="14348" max="14592" width="9.140625" style="2358"/>
    <col min="14593" max="14593" width="5.5703125" style="2358" customWidth="1"/>
    <col min="14594" max="14594" width="32.42578125" style="2358" customWidth="1"/>
    <col min="14595" max="14595" width="24.85546875" style="2358" customWidth="1"/>
    <col min="14596" max="14596" width="17" style="2358" customWidth="1"/>
    <col min="14597" max="14597" width="18.7109375" style="2358" customWidth="1"/>
    <col min="14598" max="14598" width="21.5703125" style="2358" customWidth="1"/>
    <col min="14599" max="14599" width="14.7109375" style="2358" customWidth="1"/>
    <col min="14600" max="14600" width="15.140625" style="2358" customWidth="1"/>
    <col min="14601" max="14601" width="9.7109375" style="2358" bestFit="1" customWidth="1"/>
    <col min="14602" max="14602" width="9.140625" style="2358"/>
    <col min="14603" max="14603" width="12.42578125" style="2358" customWidth="1"/>
    <col min="14604" max="14848" width="9.140625" style="2358"/>
    <col min="14849" max="14849" width="5.5703125" style="2358" customWidth="1"/>
    <col min="14850" max="14850" width="32.42578125" style="2358" customWidth="1"/>
    <col min="14851" max="14851" width="24.85546875" style="2358" customWidth="1"/>
    <col min="14852" max="14852" width="17" style="2358" customWidth="1"/>
    <col min="14853" max="14853" width="18.7109375" style="2358" customWidth="1"/>
    <col min="14854" max="14854" width="21.5703125" style="2358" customWidth="1"/>
    <col min="14855" max="14855" width="14.7109375" style="2358" customWidth="1"/>
    <col min="14856" max="14856" width="15.140625" style="2358" customWidth="1"/>
    <col min="14857" max="14857" width="9.7109375" style="2358" bestFit="1" customWidth="1"/>
    <col min="14858" max="14858" width="9.140625" style="2358"/>
    <col min="14859" max="14859" width="12.42578125" style="2358" customWidth="1"/>
    <col min="14860" max="15104" width="9.140625" style="2358"/>
    <col min="15105" max="15105" width="5.5703125" style="2358" customWidth="1"/>
    <col min="15106" max="15106" width="32.42578125" style="2358" customWidth="1"/>
    <col min="15107" max="15107" width="24.85546875" style="2358" customWidth="1"/>
    <col min="15108" max="15108" width="17" style="2358" customWidth="1"/>
    <col min="15109" max="15109" width="18.7109375" style="2358" customWidth="1"/>
    <col min="15110" max="15110" width="21.5703125" style="2358" customWidth="1"/>
    <col min="15111" max="15111" width="14.7109375" style="2358" customWidth="1"/>
    <col min="15112" max="15112" width="15.140625" style="2358" customWidth="1"/>
    <col min="15113" max="15113" width="9.7109375" style="2358" bestFit="1" customWidth="1"/>
    <col min="15114" max="15114" width="9.140625" style="2358"/>
    <col min="15115" max="15115" width="12.42578125" style="2358" customWidth="1"/>
    <col min="15116" max="15360" width="9.140625" style="2358"/>
    <col min="15361" max="15361" width="5.5703125" style="2358" customWidth="1"/>
    <col min="15362" max="15362" width="32.42578125" style="2358" customWidth="1"/>
    <col min="15363" max="15363" width="24.85546875" style="2358" customWidth="1"/>
    <col min="15364" max="15364" width="17" style="2358" customWidth="1"/>
    <col min="15365" max="15365" width="18.7109375" style="2358" customWidth="1"/>
    <col min="15366" max="15366" width="21.5703125" style="2358" customWidth="1"/>
    <col min="15367" max="15367" width="14.7109375" style="2358" customWidth="1"/>
    <col min="15368" max="15368" width="15.140625" style="2358" customWidth="1"/>
    <col min="15369" max="15369" width="9.7109375" style="2358" bestFit="1" customWidth="1"/>
    <col min="15370" max="15370" width="9.140625" style="2358"/>
    <col min="15371" max="15371" width="12.42578125" style="2358" customWidth="1"/>
    <col min="15372" max="15616" width="9.140625" style="2358"/>
    <col min="15617" max="15617" width="5.5703125" style="2358" customWidth="1"/>
    <col min="15618" max="15618" width="32.42578125" style="2358" customWidth="1"/>
    <col min="15619" max="15619" width="24.85546875" style="2358" customWidth="1"/>
    <col min="15620" max="15620" width="17" style="2358" customWidth="1"/>
    <col min="15621" max="15621" width="18.7109375" style="2358" customWidth="1"/>
    <col min="15622" max="15622" width="21.5703125" style="2358" customWidth="1"/>
    <col min="15623" max="15623" width="14.7109375" style="2358" customWidth="1"/>
    <col min="15624" max="15624" width="15.140625" style="2358" customWidth="1"/>
    <col min="15625" max="15625" width="9.7109375" style="2358" bestFit="1" customWidth="1"/>
    <col min="15626" max="15626" width="9.140625" style="2358"/>
    <col min="15627" max="15627" width="12.42578125" style="2358" customWidth="1"/>
    <col min="15628" max="15872" width="9.140625" style="2358"/>
    <col min="15873" max="15873" width="5.5703125" style="2358" customWidth="1"/>
    <col min="15874" max="15874" width="32.42578125" style="2358" customWidth="1"/>
    <col min="15875" max="15875" width="24.85546875" style="2358" customWidth="1"/>
    <col min="15876" max="15876" width="17" style="2358" customWidth="1"/>
    <col min="15877" max="15877" width="18.7109375" style="2358" customWidth="1"/>
    <col min="15878" max="15878" width="21.5703125" style="2358" customWidth="1"/>
    <col min="15879" max="15879" width="14.7109375" style="2358" customWidth="1"/>
    <col min="15880" max="15880" width="15.140625" style="2358" customWidth="1"/>
    <col min="15881" max="15881" width="9.7109375" style="2358" bestFit="1" customWidth="1"/>
    <col min="15882" max="15882" width="9.140625" style="2358"/>
    <col min="15883" max="15883" width="12.42578125" style="2358" customWidth="1"/>
    <col min="15884" max="16128" width="9.140625" style="2358"/>
    <col min="16129" max="16129" width="5.5703125" style="2358" customWidth="1"/>
    <col min="16130" max="16130" width="32.42578125" style="2358" customWidth="1"/>
    <col min="16131" max="16131" width="24.85546875" style="2358" customWidth="1"/>
    <col min="16132" max="16132" width="17" style="2358" customWidth="1"/>
    <col min="16133" max="16133" width="18.7109375" style="2358" customWidth="1"/>
    <col min="16134" max="16134" width="21.5703125" style="2358" customWidth="1"/>
    <col min="16135" max="16135" width="14.7109375" style="2358" customWidth="1"/>
    <col min="16136" max="16136" width="15.140625" style="2358" customWidth="1"/>
    <col min="16137" max="16137" width="9.7109375" style="2358" bestFit="1" customWidth="1"/>
    <col min="16138" max="16138" width="9.140625" style="2358"/>
    <col min="16139" max="16139" width="12.42578125" style="2358" customWidth="1"/>
    <col min="16140" max="16384" width="9.140625" style="2358"/>
  </cols>
  <sheetData>
    <row r="1" spans="1:15" ht="15.75">
      <c r="F1" s="2413" t="s">
        <v>3956</v>
      </c>
    </row>
    <row r="2" spans="1:15" ht="15.75">
      <c r="F2" s="2413" t="s">
        <v>3942</v>
      </c>
    </row>
    <row r="4" spans="1:15" ht="87.75" customHeight="1">
      <c r="A4" s="3572" t="s">
        <v>3957</v>
      </c>
      <c r="B4" s="3572"/>
      <c r="C4" s="3572"/>
      <c r="D4" s="3572"/>
      <c r="E4" s="3572"/>
      <c r="F4" s="3572"/>
      <c r="G4" s="3572"/>
      <c r="H4" s="3572"/>
    </row>
    <row r="5" spans="1:15" ht="56.25" customHeight="1">
      <c r="A5" s="3561" t="s">
        <v>3958</v>
      </c>
      <c r="B5" s="3562"/>
      <c r="C5" s="3562"/>
      <c r="D5" s="3562"/>
      <c r="E5" s="3562"/>
      <c r="F5" s="3562"/>
      <c r="G5" s="3562"/>
      <c r="H5" s="3563"/>
    </row>
    <row r="6" spans="1:15" ht="39" customHeight="1">
      <c r="A6" s="2452" t="s">
        <v>3735</v>
      </c>
      <c r="B6" s="2452" t="s">
        <v>3883</v>
      </c>
      <c r="C6" s="3573" t="s">
        <v>3736</v>
      </c>
      <c r="D6" s="3574"/>
      <c r="E6" s="3574"/>
      <c r="F6" s="3575"/>
      <c r="G6" s="3571" t="s">
        <v>3959</v>
      </c>
      <c r="H6" s="3571"/>
    </row>
    <row r="7" spans="1:15" ht="39" customHeight="1">
      <c r="A7" s="2417" t="s">
        <v>3</v>
      </c>
      <c r="B7" s="3565" t="s">
        <v>3894</v>
      </c>
      <c r="C7" s="3567" t="s">
        <v>3749</v>
      </c>
      <c r="D7" s="3568"/>
      <c r="E7" s="3568"/>
      <c r="F7" s="3568"/>
      <c r="G7" s="2453">
        <v>194.95</v>
      </c>
      <c r="H7" s="2419"/>
      <c r="K7" s="2454"/>
      <c r="L7" s="2415">
        <f>G7+G8</f>
        <v>1177.3599999999999</v>
      </c>
      <c r="N7" s="2960">
        <f>L7*49000</f>
        <v>57690639.999999993</v>
      </c>
    </row>
    <row r="8" spans="1:15" ht="37.5" customHeight="1">
      <c r="A8" s="2422" t="s">
        <v>8</v>
      </c>
      <c r="B8" s="3566"/>
      <c r="C8" s="3567" t="s">
        <v>3750</v>
      </c>
      <c r="D8" s="3568"/>
      <c r="E8" s="3568"/>
      <c r="F8" s="3568"/>
      <c r="G8" s="2453">
        <v>982.41</v>
      </c>
      <c r="H8" s="2419"/>
    </row>
    <row r="9" spans="1:15" ht="39" customHeight="1">
      <c r="A9" s="2417" t="s">
        <v>3</v>
      </c>
      <c r="B9" s="3565" t="s">
        <v>3895</v>
      </c>
      <c r="C9" s="3567" t="s">
        <v>3896</v>
      </c>
      <c r="D9" s="3568"/>
      <c r="E9" s="3568"/>
      <c r="F9" s="3568"/>
      <c r="G9" s="2453">
        <f>G7</f>
        <v>194.95</v>
      </c>
      <c r="H9" s="2419"/>
      <c r="N9" s="2358" t="str">
        <f>C7</f>
        <v>Подготовка и выдача сетевой организацией технических условий (ТУ) Заявителю</v>
      </c>
      <c r="O9" s="2358" t="str">
        <f>C8</f>
        <v>Проверка сетевой организацией выполнения Заявителем ТУ (включая процедуры, предусмотренные подпунктами "г" - "е" пункта 7 Правил ТП)</v>
      </c>
    </row>
    <row r="10" spans="1:15" ht="37.5" customHeight="1">
      <c r="A10" s="2422" t="s">
        <v>8</v>
      </c>
      <c r="B10" s="3566"/>
      <c r="C10" s="3570" t="s">
        <v>3750</v>
      </c>
      <c r="D10" s="3570"/>
      <c r="E10" s="3570"/>
      <c r="F10" s="3576"/>
      <c r="G10" s="2453">
        <f>G8</f>
        <v>982.41</v>
      </c>
      <c r="H10" s="2419"/>
    </row>
    <row r="11" spans="1:15" ht="57" customHeight="1">
      <c r="A11" s="3561" t="s">
        <v>3960</v>
      </c>
      <c r="B11" s="3562"/>
      <c r="C11" s="3562"/>
      <c r="D11" s="3562"/>
      <c r="E11" s="3562"/>
      <c r="F11" s="3562"/>
      <c r="G11" s="3562"/>
      <c r="H11" s="3563"/>
      <c r="I11" s="2455"/>
    </row>
    <row r="12" spans="1:15" ht="52.5" customHeight="1">
      <c r="A12" s="3053" t="s">
        <v>0</v>
      </c>
      <c r="B12" s="3037" t="s">
        <v>3849</v>
      </c>
      <c r="C12" s="3036" t="s">
        <v>3850</v>
      </c>
      <c r="D12" s="3037" t="s">
        <v>3851</v>
      </c>
      <c r="E12" s="3037" t="s">
        <v>3852</v>
      </c>
      <c r="F12" s="3037" t="s">
        <v>3853</v>
      </c>
      <c r="G12" s="3047" t="s">
        <v>3947</v>
      </c>
      <c r="H12" s="3047"/>
      <c r="I12" s="2456"/>
      <c r="J12" s="2456"/>
      <c r="K12" s="2456"/>
      <c r="L12" s="2456"/>
      <c r="M12" s="2456"/>
      <c r="N12" s="2456"/>
    </row>
    <row r="13" spans="1:15" ht="49.5" customHeight="1">
      <c r="A13" s="3048"/>
      <c r="B13" s="3029"/>
      <c r="C13" s="3028"/>
      <c r="D13" s="3029"/>
      <c r="E13" s="3029"/>
      <c r="F13" s="3029"/>
      <c r="G13" s="2410" t="s">
        <v>3948</v>
      </c>
      <c r="H13" s="2410" t="s">
        <v>3949</v>
      </c>
      <c r="I13" s="2456"/>
      <c r="J13" s="2457"/>
      <c r="K13" s="2457"/>
      <c r="L13" s="2457"/>
      <c r="M13" s="2457"/>
      <c r="N13" s="2457"/>
    </row>
    <row r="14" spans="1:15">
      <c r="A14" s="2424">
        <v>1</v>
      </c>
      <c r="B14" s="2424">
        <v>2</v>
      </c>
      <c r="C14" s="3560">
        <v>3</v>
      </c>
      <c r="D14" s="3560"/>
      <c r="E14" s="3560"/>
      <c r="F14" s="3560"/>
      <c r="G14" s="2424">
        <v>4</v>
      </c>
      <c r="H14" s="2424">
        <v>5</v>
      </c>
      <c r="I14" s="2457"/>
      <c r="J14" s="2457"/>
      <c r="K14" s="2457"/>
      <c r="L14" s="2457"/>
      <c r="M14" s="2457"/>
      <c r="N14" s="2457"/>
    </row>
    <row r="15" spans="1:15">
      <c r="A15" s="3028">
        <v>1</v>
      </c>
      <c r="B15" s="3028" t="s">
        <v>2952</v>
      </c>
      <c r="C15" s="3035" t="s">
        <v>3859</v>
      </c>
      <c r="D15" s="3028" t="s">
        <v>2949</v>
      </c>
      <c r="E15" s="3029" t="s">
        <v>2950</v>
      </c>
      <c r="F15" s="2411" t="s">
        <v>3860</v>
      </c>
      <c r="G15" s="2425">
        <v>0</v>
      </c>
      <c r="H15" s="2426" t="s">
        <v>3823</v>
      </c>
    </row>
    <row r="16" spans="1:15">
      <c r="A16" s="3028"/>
      <c r="B16" s="3028"/>
      <c r="C16" s="3035"/>
      <c r="D16" s="3028"/>
      <c r="E16" s="3029"/>
      <c r="F16" s="2411" t="s">
        <v>3861</v>
      </c>
      <c r="G16" s="2425">
        <v>0</v>
      </c>
      <c r="H16" s="2426" t="s">
        <v>3823</v>
      </c>
    </row>
    <row r="17" spans="1:8">
      <c r="A17" s="3028"/>
      <c r="B17" s="3028"/>
      <c r="C17" s="3035"/>
      <c r="D17" s="3028"/>
      <c r="E17" s="3029"/>
      <c r="F17" s="2411" t="s">
        <v>3862</v>
      </c>
      <c r="G17" s="2425">
        <v>0</v>
      </c>
      <c r="H17" s="2426" t="s">
        <v>3823</v>
      </c>
    </row>
    <row r="18" spans="1:8">
      <c r="A18" s="3028"/>
      <c r="B18" s="3028"/>
      <c r="C18" s="3035"/>
      <c r="D18" s="3028"/>
      <c r="E18" s="3029"/>
      <c r="F18" s="2411" t="s">
        <v>3863</v>
      </c>
      <c r="G18" s="2425">
        <v>0</v>
      </c>
      <c r="H18" s="2426" t="s">
        <v>3823</v>
      </c>
    </row>
    <row r="19" spans="1:8">
      <c r="A19" s="3028"/>
      <c r="B19" s="3028"/>
      <c r="C19" s="3035"/>
      <c r="D19" s="3028"/>
      <c r="E19" s="3029"/>
      <c r="F19" s="2412" t="s">
        <v>3864</v>
      </c>
      <c r="G19" s="2425">
        <v>0</v>
      </c>
      <c r="H19" s="2426" t="s">
        <v>3823</v>
      </c>
    </row>
    <row r="20" spans="1:8">
      <c r="A20" s="3028"/>
      <c r="B20" s="3028"/>
      <c r="C20" s="3035"/>
      <c r="D20" s="3028"/>
      <c r="E20" s="3029"/>
      <c r="F20" s="2412" t="s">
        <v>3865</v>
      </c>
      <c r="G20" s="2425">
        <v>0</v>
      </c>
      <c r="H20" s="2426" t="s">
        <v>3823</v>
      </c>
    </row>
    <row r="21" spans="1:8">
      <c r="A21" s="3028"/>
      <c r="B21" s="3028"/>
      <c r="C21" s="3035"/>
      <c r="D21" s="3028"/>
      <c r="E21" s="3029" t="s">
        <v>2957</v>
      </c>
      <c r="F21" s="2411" t="s">
        <v>3860</v>
      </c>
      <c r="G21" s="2425">
        <v>0</v>
      </c>
      <c r="H21" s="2427">
        <v>9822.4599999999991</v>
      </c>
    </row>
    <row r="22" spans="1:8">
      <c r="A22" s="3028"/>
      <c r="B22" s="3028"/>
      <c r="C22" s="3035"/>
      <c r="D22" s="3028"/>
      <c r="E22" s="3029"/>
      <c r="F22" s="2411" t="s">
        <v>3861</v>
      </c>
      <c r="G22" s="2425">
        <v>0</v>
      </c>
      <c r="H22" s="2426" t="s">
        <v>3823</v>
      </c>
    </row>
    <row r="23" spans="1:8">
      <c r="A23" s="3028"/>
      <c r="B23" s="3028"/>
      <c r="C23" s="3035"/>
      <c r="D23" s="3028"/>
      <c r="E23" s="3029"/>
      <c r="F23" s="2411" t="s">
        <v>3862</v>
      </c>
      <c r="G23" s="2425">
        <v>0</v>
      </c>
      <c r="H23" s="2426" t="s">
        <v>3823</v>
      </c>
    </row>
    <row r="24" spans="1:8">
      <c r="A24" s="3028"/>
      <c r="B24" s="3028"/>
      <c r="C24" s="3035"/>
      <c r="D24" s="3028"/>
      <c r="E24" s="3029"/>
      <c r="F24" s="2411" t="s">
        <v>3863</v>
      </c>
      <c r="G24" s="2425">
        <v>0</v>
      </c>
      <c r="H24" s="2426" t="s">
        <v>3823</v>
      </c>
    </row>
    <row r="25" spans="1:8">
      <c r="A25" s="3028"/>
      <c r="B25" s="3028"/>
      <c r="C25" s="3035"/>
      <c r="D25" s="3028"/>
      <c r="E25" s="3029"/>
      <c r="F25" s="2412" t="s">
        <v>3864</v>
      </c>
      <c r="G25" s="2425">
        <v>0</v>
      </c>
      <c r="H25" s="2426" t="s">
        <v>3823</v>
      </c>
    </row>
    <row r="26" spans="1:8">
      <c r="A26" s="3028"/>
      <c r="B26" s="3028"/>
      <c r="C26" s="3035"/>
      <c r="D26" s="3028"/>
      <c r="E26" s="3029"/>
      <c r="F26" s="2412" t="s">
        <v>3865</v>
      </c>
      <c r="G26" s="2425">
        <v>0</v>
      </c>
      <c r="H26" s="2426" t="s">
        <v>3823</v>
      </c>
    </row>
    <row r="27" spans="1:8">
      <c r="A27" s="3028"/>
      <c r="B27" s="3028"/>
      <c r="C27" s="3035"/>
      <c r="D27" s="3028" t="s">
        <v>2954</v>
      </c>
      <c r="E27" s="3029" t="s">
        <v>2950</v>
      </c>
      <c r="F27" s="2411" t="s">
        <v>3860</v>
      </c>
      <c r="G27" s="2425">
        <v>0</v>
      </c>
      <c r="H27" s="2426" t="s">
        <v>3823</v>
      </c>
    </row>
    <row r="28" spans="1:8">
      <c r="A28" s="3028"/>
      <c r="B28" s="3028"/>
      <c r="C28" s="3035"/>
      <c r="D28" s="3028"/>
      <c r="E28" s="3029"/>
      <c r="F28" s="2411" t="s">
        <v>3861</v>
      </c>
      <c r="G28" s="2425">
        <v>0</v>
      </c>
      <c r="H28" s="2426" t="s">
        <v>3823</v>
      </c>
    </row>
    <row r="29" spans="1:8">
      <c r="A29" s="3028"/>
      <c r="B29" s="3028"/>
      <c r="C29" s="3035"/>
      <c r="D29" s="3028"/>
      <c r="E29" s="3029"/>
      <c r="F29" s="2411" t="s">
        <v>3862</v>
      </c>
      <c r="G29" s="2425">
        <v>0</v>
      </c>
      <c r="H29" s="2426" t="s">
        <v>3823</v>
      </c>
    </row>
    <row r="30" spans="1:8">
      <c r="A30" s="3028"/>
      <c r="B30" s="3028"/>
      <c r="C30" s="3035"/>
      <c r="D30" s="3028"/>
      <c r="E30" s="3029"/>
      <c r="F30" s="2411" t="s">
        <v>3863</v>
      </c>
      <c r="G30" s="2425">
        <v>0</v>
      </c>
      <c r="H30" s="2426" t="s">
        <v>3823</v>
      </c>
    </row>
    <row r="31" spans="1:8">
      <c r="A31" s="3028"/>
      <c r="B31" s="3028"/>
      <c r="C31" s="3035"/>
      <c r="D31" s="3028"/>
      <c r="E31" s="3029"/>
      <c r="F31" s="2412" t="s">
        <v>3864</v>
      </c>
      <c r="G31" s="2425">
        <v>0</v>
      </c>
      <c r="H31" s="2426" t="s">
        <v>3823</v>
      </c>
    </row>
    <row r="32" spans="1:8">
      <c r="A32" s="3028"/>
      <c r="B32" s="3028"/>
      <c r="C32" s="3035"/>
      <c r="D32" s="3028"/>
      <c r="E32" s="3029"/>
      <c r="F32" s="2412" t="s">
        <v>3865</v>
      </c>
      <c r="G32" s="2425">
        <v>0</v>
      </c>
      <c r="H32" s="2426" t="s">
        <v>3823</v>
      </c>
    </row>
    <row r="33" spans="1:8">
      <c r="A33" s="3028"/>
      <c r="B33" s="3028"/>
      <c r="C33" s="3035"/>
      <c r="D33" s="3028"/>
      <c r="E33" s="3029" t="s">
        <v>2957</v>
      </c>
      <c r="F33" s="2411" t="s">
        <v>3860</v>
      </c>
      <c r="G33" s="2425">
        <v>0</v>
      </c>
      <c r="H33" s="2426" t="s">
        <v>3823</v>
      </c>
    </row>
    <row r="34" spans="1:8">
      <c r="A34" s="3028"/>
      <c r="B34" s="3028"/>
      <c r="C34" s="3035"/>
      <c r="D34" s="3028"/>
      <c r="E34" s="3029"/>
      <c r="F34" s="2411" t="s">
        <v>3861</v>
      </c>
      <c r="G34" s="2425">
        <v>0</v>
      </c>
      <c r="H34" s="2426" t="s">
        <v>3823</v>
      </c>
    </row>
    <row r="35" spans="1:8">
      <c r="A35" s="3028"/>
      <c r="B35" s="3028"/>
      <c r="C35" s="3035"/>
      <c r="D35" s="3028"/>
      <c r="E35" s="3029"/>
      <c r="F35" s="2411" t="s">
        <v>3862</v>
      </c>
      <c r="G35" s="2425">
        <v>0</v>
      </c>
      <c r="H35" s="2426" t="s">
        <v>3823</v>
      </c>
    </row>
    <row r="36" spans="1:8">
      <c r="A36" s="3028"/>
      <c r="B36" s="3028"/>
      <c r="C36" s="3035"/>
      <c r="D36" s="3028"/>
      <c r="E36" s="3029"/>
      <c r="F36" s="2411" t="s">
        <v>3863</v>
      </c>
      <c r="G36" s="2425">
        <v>0</v>
      </c>
      <c r="H36" s="2426" t="s">
        <v>3823</v>
      </c>
    </row>
    <row r="37" spans="1:8">
      <c r="A37" s="3028"/>
      <c r="B37" s="3028"/>
      <c r="C37" s="3035"/>
      <c r="D37" s="3028"/>
      <c r="E37" s="3029"/>
      <c r="F37" s="2412" t="s">
        <v>3864</v>
      </c>
      <c r="G37" s="2425">
        <v>0</v>
      </c>
      <c r="H37" s="2426" t="s">
        <v>3823</v>
      </c>
    </row>
    <row r="38" spans="1:8">
      <c r="A38" s="3028"/>
      <c r="B38" s="3028"/>
      <c r="C38" s="3035"/>
      <c r="D38" s="3028"/>
      <c r="E38" s="3029"/>
      <c r="F38" s="2412" t="s">
        <v>3865</v>
      </c>
      <c r="G38" s="2425">
        <v>0</v>
      </c>
      <c r="H38" s="2426" t="s">
        <v>3823</v>
      </c>
    </row>
    <row r="39" spans="1:8">
      <c r="A39" s="3028">
        <v>2</v>
      </c>
      <c r="B39" s="3028" t="s">
        <v>2948</v>
      </c>
      <c r="C39" s="3035" t="s">
        <v>3859</v>
      </c>
      <c r="D39" s="3028" t="s">
        <v>2949</v>
      </c>
      <c r="E39" s="3029" t="s">
        <v>2950</v>
      </c>
      <c r="F39" s="2411" t="s">
        <v>3860</v>
      </c>
      <c r="G39" s="2425">
        <v>0</v>
      </c>
      <c r="H39" s="2426" t="s">
        <v>3823</v>
      </c>
    </row>
    <row r="40" spans="1:8">
      <c r="A40" s="3028"/>
      <c r="B40" s="3028"/>
      <c r="C40" s="3035"/>
      <c r="D40" s="3028"/>
      <c r="E40" s="3029"/>
      <c r="F40" s="2411" t="s">
        <v>3861</v>
      </c>
      <c r="G40" s="2425">
        <v>0</v>
      </c>
      <c r="H40" s="2426" t="s">
        <v>3823</v>
      </c>
    </row>
    <row r="41" spans="1:8">
      <c r="A41" s="3028"/>
      <c r="B41" s="3028"/>
      <c r="C41" s="3035"/>
      <c r="D41" s="3028"/>
      <c r="E41" s="3029"/>
      <c r="F41" s="2411" t="s">
        <v>3862</v>
      </c>
      <c r="G41" s="2425">
        <v>0</v>
      </c>
      <c r="H41" s="2426" t="s">
        <v>3823</v>
      </c>
    </row>
    <row r="42" spans="1:8">
      <c r="A42" s="3028"/>
      <c r="B42" s="3028"/>
      <c r="C42" s="3035"/>
      <c r="D42" s="3028"/>
      <c r="E42" s="3029"/>
      <c r="F42" s="2411" t="s">
        <v>3863</v>
      </c>
      <c r="G42" s="2425">
        <v>0</v>
      </c>
      <c r="H42" s="2426" t="s">
        <v>3823</v>
      </c>
    </row>
    <row r="43" spans="1:8">
      <c r="A43" s="3028"/>
      <c r="B43" s="3028"/>
      <c r="C43" s="3035"/>
      <c r="D43" s="3028"/>
      <c r="E43" s="3029"/>
      <c r="F43" s="2412" t="s">
        <v>3864</v>
      </c>
      <c r="G43" s="2425">
        <v>0</v>
      </c>
      <c r="H43" s="2426" t="s">
        <v>3823</v>
      </c>
    </row>
    <row r="44" spans="1:8">
      <c r="A44" s="3028"/>
      <c r="B44" s="3028"/>
      <c r="C44" s="3035"/>
      <c r="D44" s="3028"/>
      <c r="E44" s="3029"/>
      <c r="F44" s="2412" t="s">
        <v>3865</v>
      </c>
      <c r="G44" s="2425">
        <v>0</v>
      </c>
      <c r="H44" s="2426" t="s">
        <v>3823</v>
      </c>
    </row>
    <row r="45" spans="1:8">
      <c r="A45" s="3028"/>
      <c r="B45" s="3028"/>
      <c r="C45" s="3035"/>
      <c r="D45" s="3028"/>
      <c r="E45" s="3029" t="s">
        <v>2957</v>
      </c>
      <c r="F45" s="2411" t="s">
        <v>3860</v>
      </c>
      <c r="G45" s="2425">
        <v>0</v>
      </c>
      <c r="H45" s="2427">
        <v>7364.27</v>
      </c>
    </row>
    <row r="46" spans="1:8">
      <c r="A46" s="3028"/>
      <c r="B46" s="3028"/>
      <c r="C46" s="3035"/>
      <c r="D46" s="3028"/>
      <c r="E46" s="3029"/>
      <c r="F46" s="2411" t="s">
        <v>3861</v>
      </c>
      <c r="G46" s="2425">
        <v>0</v>
      </c>
      <c r="H46" s="2427">
        <v>2651.64</v>
      </c>
    </row>
    <row r="47" spans="1:8">
      <c r="A47" s="3028"/>
      <c r="B47" s="3028"/>
      <c r="C47" s="3035"/>
      <c r="D47" s="3028"/>
      <c r="E47" s="3029"/>
      <c r="F47" s="2411" t="s">
        <v>3862</v>
      </c>
      <c r="G47" s="2425">
        <v>0</v>
      </c>
      <c r="H47" s="2426" t="s">
        <v>3823</v>
      </c>
    </row>
    <row r="48" spans="1:8">
      <c r="A48" s="3028"/>
      <c r="B48" s="3028"/>
      <c r="C48" s="3035"/>
      <c r="D48" s="3028"/>
      <c r="E48" s="3029"/>
      <c r="F48" s="2411" t="s">
        <v>3863</v>
      </c>
      <c r="G48" s="2425">
        <v>0</v>
      </c>
      <c r="H48" s="2426" t="s">
        <v>3823</v>
      </c>
    </row>
    <row r="49" spans="1:8">
      <c r="A49" s="3028"/>
      <c r="B49" s="3028"/>
      <c r="C49" s="3035"/>
      <c r="D49" s="3028"/>
      <c r="E49" s="3029"/>
      <c r="F49" s="2412" t="s">
        <v>3864</v>
      </c>
      <c r="G49" s="2425">
        <v>0</v>
      </c>
      <c r="H49" s="2426" t="s">
        <v>3823</v>
      </c>
    </row>
    <row r="50" spans="1:8">
      <c r="A50" s="3028"/>
      <c r="B50" s="3028"/>
      <c r="C50" s="3035"/>
      <c r="D50" s="3028"/>
      <c r="E50" s="3029"/>
      <c r="F50" s="2412" t="s">
        <v>3865</v>
      </c>
      <c r="G50" s="2425">
        <v>0</v>
      </c>
      <c r="H50" s="2426" t="s">
        <v>3823</v>
      </c>
    </row>
    <row r="51" spans="1:8">
      <c r="A51" s="3028"/>
      <c r="B51" s="3028"/>
      <c r="C51" s="3035"/>
      <c r="D51" s="3028" t="s">
        <v>2954</v>
      </c>
      <c r="E51" s="3029" t="s">
        <v>2950</v>
      </c>
      <c r="F51" s="2411" t="s">
        <v>3860</v>
      </c>
      <c r="G51" s="2425">
        <v>0</v>
      </c>
      <c r="H51" s="2427">
        <v>8792.59</v>
      </c>
    </row>
    <row r="52" spans="1:8">
      <c r="A52" s="3028"/>
      <c r="B52" s="3028"/>
      <c r="C52" s="3035"/>
      <c r="D52" s="3028"/>
      <c r="E52" s="3029"/>
      <c r="F52" s="2411" t="s">
        <v>3861</v>
      </c>
      <c r="G52" s="2425">
        <v>0</v>
      </c>
      <c r="H52" s="2426" t="s">
        <v>3823</v>
      </c>
    </row>
    <row r="53" spans="1:8">
      <c r="A53" s="3028"/>
      <c r="B53" s="3028"/>
      <c r="C53" s="3035"/>
      <c r="D53" s="3028"/>
      <c r="E53" s="3029"/>
      <c r="F53" s="2411" t="s">
        <v>3862</v>
      </c>
      <c r="G53" s="2425">
        <v>0</v>
      </c>
      <c r="H53" s="2426" t="s">
        <v>3823</v>
      </c>
    </row>
    <row r="54" spans="1:8">
      <c r="A54" s="3028"/>
      <c r="B54" s="3028"/>
      <c r="C54" s="3035"/>
      <c r="D54" s="3028"/>
      <c r="E54" s="3029"/>
      <c r="F54" s="2411" t="s">
        <v>3863</v>
      </c>
      <c r="G54" s="2425">
        <v>0</v>
      </c>
      <c r="H54" s="2426" t="s">
        <v>3823</v>
      </c>
    </row>
    <row r="55" spans="1:8">
      <c r="A55" s="3028"/>
      <c r="B55" s="3028"/>
      <c r="C55" s="3035"/>
      <c r="D55" s="3028"/>
      <c r="E55" s="3029"/>
      <c r="F55" s="2412" t="s">
        <v>3864</v>
      </c>
      <c r="G55" s="2425">
        <v>0</v>
      </c>
      <c r="H55" s="2426" t="s">
        <v>3823</v>
      </c>
    </row>
    <row r="56" spans="1:8">
      <c r="A56" s="3028"/>
      <c r="B56" s="3028"/>
      <c r="C56" s="3035"/>
      <c r="D56" s="3028"/>
      <c r="E56" s="3029"/>
      <c r="F56" s="2412" t="s">
        <v>3865</v>
      </c>
      <c r="G56" s="2425">
        <v>0</v>
      </c>
      <c r="H56" s="2426" t="s">
        <v>3823</v>
      </c>
    </row>
    <row r="57" spans="1:8">
      <c r="A57" s="3028"/>
      <c r="B57" s="3028"/>
      <c r="C57" s="3035"/>
      <c r="D57" s="3028"/>
      <c r="E57" s="3029" t="s">
        <v>2957</v>
      </c>
      <c r="F57" s="2411" t="s">
        <v>3860</v>
      </c>
      <c r="G57" s="2425">
        <v>0</v>
      </c>
      <c r="H57" s="2427">
        <v>13326.6</v>
      </c>
    </row>
    <row r="58" spans="1:8">
      <c r="A58" s="3028"/>
      <c r="B58" s="3028"/>
      <c r="C58" s="3035"/>
      <c r="D58" s="3028"/>
      <c r="E58" s="3029"/>
      <c r="F58" s="2411" t="s">
        <v>3861</v>
      </c>
      <c r="G58" s="2425">
        <v>0</v>
      </c>
      <c r="H58" s="2426" t="s">
        <v>3823</v>
      </c>
    </row>
    <row r="59" spans="1:8">
      <c r="A59" s="3028"/>
      <c r="B59" s="3028"/>
      <c r="C59" s="3035"/>
      <c r="D59" s="3028"/>
      <c r="E59" s="3029"/>
      <c r="F59" s="2411" t="s">
        <v>3862</v>
      </c>
      <c r="G59" s="2425">
        <v>0</v>
      </c>
      <c r="H59" s="2426" t="s">
        <v>3823</v>
      </c>
    </row>
    <row r="60" spans="1:8">
      <c r="A60" s="3028"/>
      <c r="B60" s="3028"/>
      <c r="C60" s="3035"/>
      <c r="D60" s="3028"/>
      <c r="E60" s="3029"/>
      <c r="F60" s="2411" t="s">
        <v>3863</v>
      </c>
      <c r="G60" s="2425">
        <v>0</v>
      </c>
      <c r="H60" s="2426" t="s">
        <v>3823</v>
      </c>
    </row>
    <row r="61" spans="1:8">
      <c r="A61" s="3028"/>
      <c r="B61" s="3028"/>
      <c r="C61" s="3035"/>
      <c r="D61" s="3028"/>
      <c r="E61" s="3029"/>
      <c r="F61" s="2411" t="s">
        <v>3864</v>
      </c>
      <c r="G61" s="2425">
        <v>0</v>
      </c>
      <c r="H61" s="2426" t="s">
        <v>3823</v>
      </c>
    </row>
    <row r="62" spans="1:8">
      <c r="A62" s="3028"/>
      <c r="B62" s="3028"/>
      <c r="C62" s="3035"/>
      <c r="D62" s="3028"/>
      <c r="E62" s="3029"/>
      <c r="F62" s="2411" t="s">
        <v>3865</v>
      </c>
      <c r="G62" s="2425">
        <v>0</v>
      </c>
      <c r="H62" s="2426" t="s">
        <v>3823</v>
      </c>
    </row>
    <row r="63" spans="1:8" ht="51.75" customHeight="1">
      <c r="A63" s="3047" t="s">
        <v>3961</v>
      </c>
      <c r="B63" s="3047"/>
      <c r="C63" s="3047"/>
      <c r="D63" s="3047"/>
      <c r="E63" s="3047"/>
      <c r="F63" s="3047"/>
      <c r="G63" s="3047"/>
      <c r="H63" s="3047"/>
    </row>
    <row r="64" spans="1:8" ht="48.75" customHeight="1">
      <c r="A64" s="3053" t="s">
        <v>0</v>
      </c>
      <c r="B64" s="3037" t="s">
        <v>3849</v>
      </c>
      <c r="C64" s="3036" t="s">
        <v>3850</v>
      </c>
      <c r="D64" s="3037" t="s">
        <v>3851</v>
      </c>
      <c r="E64" s="3037" t="s">
        <v>3852</v>
      </c>
      <c r="F64" s="3037" t="s">
        <v>3853</v>
      </c>
      <c r="G64" s="3047" t="s">
        <v>3947</v>
      </c>
      <c r="H64" s="3047"/>
    </row>
    <row r="65" spans="1:8" ht="44.25" customHeight="1">
      <c r="A65" s="3048"/>
      <c r="B65" s="3029"/>
      <c r="C65" s="3028"/>
      <c r="D65" s="3029"/>
      <c r="E65" s="3029"/>
      <c r="F65" s="3029"/>
      <c r="G65" s="2410" t="s">
        <v>3948</v>
      </c>
      <c r="H65" s="2410" t="s">
        <v>3949</v>
      </c>
    </row>
    <row r="66" spans="1:8">
      <c r="A66" s="2424">
        <v>1</v>
      </c>
      <c r="B66" s="2424">
        <v>2</v>
      </c>
      <c r="C66" s="3560">
        <v>3</v>
      </c>
      <c r="D66" s="3560"/>
      <c r="E66" s="3560"/>
      <c r="F66" s="3560"/>
      <c r="G66" s="2424">
        <v>4</v>
      </c>
      <c r="H66" s="2424">
        <v>5</v>
      </c>
    </row>
    <row r="67" spans="1:8">
      <c r="A67" s="3028">
        <v>1</v>
      </c>
      <c r="B67" s="3028" t="s">
        <v>2952</v>
      </c>
      <c r="C67" s="3035" t="s">
        <v>3859</v>
      </c>
      <c r="D67" s="3028" t="s">
        <v>2949</v>
      </c>
      <c r="E67" s="3029" t="s">
        <v>2950</v>
      </c>
      <c r="F67" s="2411" t="s">
        <v>3860</v>
      </c>
      <c r="G67" s="2425">
        <v>0</v>
      </c>
      <c r="H67" s="2426" t="s">
        <v>3823</v>
      </c>
    </row>
    <row r="68" spans="1:8">
      <c r="A68" s="3028"/>
      <c r="B68" s="3028"/>
      <c r="C68" s="3035"/>
      <c r="D68" s="3028"/>
      <c r="E68" s="3029"/>
      <c r="F68" s="2411" t="s">
        <v>3861</v>
      </c>
      <c r="G68" s="2425">
        <v>0</v>
      </c>
      <c r="H68" s="2426" t="s">
        <v>3823</v>
      </c>
    </row>
    <row r="69" spans="1:8">
      <c r="A69" s="3028"/>
      <c r="B69" s="3028"/>
      <c r="C69" s="3035"/>
      <c r="D69" s="3028"/>
      <c r="E69" s="3029"/>
      <c r="F69" s="2411" t="s">
        <v>3862</v>
      </c>
      <c r="G69" s="2425">
        <v>0</v>
      </c>
      <c r="H69" s="2426" t="s">
        <v>3823</v>
      </c>
    </row>
    <row r="70" spans="1:8">
      <c r="A70" s="3028"/>
      <c r="B70" s="3028"/>
      <c r="C70" s="3035"/>
      <c r="D70" s="3028"/>
      <c r="E70" s="3029"/>
      <c r="F70" s="2411" t="s">
        <v>3863</v>
      </c>
      <c r="G70" s="2425">
        <v>0</v>
      </c>
      <c r="H70" s="2426" t="s">
        <v>3823</v>
      </c>
    </row>
    <row r="71" spans="1:8">
      <c r="A71" s="3028"/>
      <c r="B71" s="3028"/>
      <c r="C71" s="3035"/>
      <c r="D71" s="3028"/>
      <c r="E71" s="3029"/>
      <c r="F71" s="2412" t="s">
        <v>3864</v>
      </c>
      <c r="G71" s="2425">
        <v>0</v>
      </c>
      <c r="H71" s="2426" t="s">
        <v>3823</v>
      </c>
    </row>
    <row r="72" spans="1:8">
      <c r="A72" s="3028"/>
      <c r="B72" s="3028"/>
      <c r="C72" s="3035"/>
      <c r="D72" s="3028"/>
      <c r="E72" s="3029"/>
      <c r="F72" s="2412" t="s">
        <v>3865</v>
      </c>
      <c r="G72" s="2425">
        <v>0</v>
      </c>
      <c r="H72" s="2426" t="s">
        <v>3823</v>
      </c>
    </row>
    <row r="73" spans="1:8">
      <c r="A73" s="3028"/>
      <c r="B73" s="3028"/>
      <c r="C73" s="3035"/>
      <c r="D73" s="3028"/>
      <c r="E73" s="3029" t="s">
        <v>2957</v>
      </c>
      <c r="F73" s="2411" t="s">
        <v>3860</v>
      </c>
      <c r="G73" s="2425">
        <v>0</v>
      </c>
      <c r="H73" s="2426" t="s">
        <v>3823</v>
      </c>
    </row>
    <row r="74" spans="1:8">
      <c r="A74" s="3028"/>
      <c r="B74" s="3028"/>
      <c r="C74" s="3035"/>
      <c r="D74" s="3028"/>
      <c r="E74" s="3029"/>
      <c r="F74" s="2411" t="s">
        <v>3861</v>
      </c>
      <c r="G74" s="2425">
        <v>0</v>
      </c>
      <c r="H74" s="2426" t="s">
        <v>3823</v>
      </c>
    </row>
    <row r="75" spans="1:8">
      <c r="A75" s="3028"/>
      <c r="B75" s="3028"/>
      <c r="C75" s="3035"/>
      <c r="D75" s="3028"/>
      <c r="E75" s="3029"/>
      <c r="F75" s="2411" t="s">
        <v>3862</v>
      </c>
      <c r="G75" s="2425">
        <v>0</v>
      </c>
      <c r="H75" s="2426" t="s">
        <v>3823</v>
      </c>
    </row>
    <row r="76" spans="1:8">
      <c r="A76" s="3028"/>
      <c r="B76" s="3028"/>
      <c r="C76" s="3035"/>
      <c r="D76" s="3028"/>
      <c r="E76" s="3029"/>
      <c r="F76" s="2411" t="s">
        <v>3863</v>
      </c>
      <c r="G76" s="2425">
        <v>0</v>
      </c>
      <c r="H76" s="2426" t="s">
        <v>3823</v>
      </c>
    </row>
    <row r="77" spans="1:8">
      <c r="A77" s="3028"/>
      <c r="B77" s="3028"/>
      <c r="C77" s="3035"/>
      <c r="D77" s="3028"/>
      <c r="E77" s="3029"/>
      <c r="F77" s="2412" t="s">
        <v>3864</v>
      </c>
      <c r="G77" s="2425">
        <v>0</v>
      </c>
      <c r="H77" s="2426" t="s">
        <v>3823</v>
      </c>
    </row>
    <row r="78" spans="1:8">
      <c r="A78" s="3028"/>
      <c r="B78" s="3028"/>
      <c r="C78" s="3035"/>
      <c r="D78" s="3028"/>
      <c r="E78" s="3029"/>
      <c r="F78" s="2412" t="s">
        <v>3865</v>
      </c>
      <c r="G78" s="2425">
        <v>0</v>
      </c>
      <c r="H78" s="2426" t="s">
        <v>3823</v>
      </c>
    </row>
    <row r="79" spans="1:8">
      <c r="A79" s="3028"/>
      <c r="B79" s="3028"/>
      <c r="C79" s="3035"/>
      <c r="D79" s="3028" t="s">
        <v>2954</v>
      </c>
      <c r="E79" s="3029" t="s">
        <v>2950</v>
      </c>
      <c r="F79" s="2411" t="s">
        <v>3860</v>
      </c>
      <c r="G79" s="2425">
        <v>0</v>
      </c>
      <c r="H79" s="2427">
        <v>1457.68</v>
      </c>
    </row>
    <row r="80" spans="1:8">
      <c r="A80" s="3028"/>
      <c r="B80" s="3028"/>
      <c r="C80" s="3035"/>
      <c r="D80" s="3028"/>
      <c r="E80" s="3029"/>
      <c r="F80" s="2411" t="s">
        <v>3861</v>
      </c>
      <c r="G80" s="2425">
        <v>0</v>
      </c>
      <c r="H80" s="2426" t="s">
        <v>3823</v>
      </c>
    </row>
    <row r="81" spans="1:8">
      <c r="A81" s="3028"/>
      <c r="B81" s="3028"/>
      <c r="C81" s="3035"/>
      <c r="D81" s="3028"/>
      <c r="E81" s="3029"/>
      <c r="F81" s="2411" t="s">
        <v>3862</v>
      </c>
      <c r="G81" s="2425">
        <v>0</v>
      </c>
      <c r="H81" s="2426" t="s">
        <v>3823</v>
      </c>
    </row>
    <row r="82" spans="1:8">
      <c r="A82" s="3028"/>
      <c r="B82" s="3028"/>
      <c r="C82" s="3035"/>
      <c r="D82" s="3028"/>
      <c r="E82" s="3029"/>
      <c r="F82" s="2411" t="s">
        <v>3863</v>
      </c>
      <c r="G82" s="2425">
        <v>0</v>
      </c>
      <c r="H82" s="2426" t="s">
        <v>3823</v>
      </c>
    </row>
    <row r="83" spans="1:8">
      <c r="A83" s="3028"/>
      <c r="B83" s="3028"/>
      <c r="C83" s="3035"/>
      <c r="D83" s="3028"/>
      <c r="E83" s="3029"/>
      <c r="F83" s="2412" t="s">
        <v>3864</v>
      </c>
      <c r="G83" s="2425">
        <v>0</v>
      </c>
      <c r="H83" s="2426" t="s">
        <v>3823</v>
      </c>
    </row>
    <row r="84" spans="1:8">
      <c r="A84" s="3028"/>
      <c r="B84" s="3028"/>
      <c r="C84" s="3035"/>
      <c r="D84" s="3028"/>
      <c r="E84" s="3029"/>
      <c r="F84" s="2412" t="s">
        <v>3865</v>
      </c>
      <c r="G84" s="2425">
        <v>0</v>
      </c>
      <c r="H84" s="2426" t="s">
        <v>3823</v>
      </c>
    </row>
    <row r="85" spans="1:8">
      <c r="A85" s="3028"/>
      <c r="B85" s="3028"/>
      <c r="C85" s="3035"/>
      <c r="D85" s="3028"/>
      <c r="E85" s="3029" t="s">
        <v>2957</v>
      </c>
      <c r="F85" s="2411" t="s">
        <v>3860</v>
      </c>
      <c r="G85" s="2425">
        <v>0</v>
      </c>
      <c r="H85" s="2426" t="s">
        <v>3823</v>
      </c>
    </row>
    <row r="86" spans="1:8">
      <c r="A86" s="3028"/>
      <c r="B86" s="3028"/>
      <c r="C86" s="3035"/>
      <c r="D86" s="3028"/>
      <c r="E86" s="3029"/>
      <c r="F86" s="2411" t="s">
        <v>3861</v>
      </c>
      <c r="G86" s="2425">
        <v>0</v>
      </c>
      <c r="H86" s="2426" t="s">
        <v>3823</v>
      </c>
    </row>
    <row r="87" spans="1:8">
      <c r="A87" s="3028"/>
      <c r="B87" s="3028"/>
      <c r="C87" s="3035"/>
      <c r="D87" s="3028"/>
      <c r="E87" s="3029"/>
      <c r="F87" s="2411" t="s">
        <v>3862</v>
      </c>
      <c r="G87" s="2425">
        <v>0</v>
      </c>
      <c r="H87" s="2426" t="s">
        <v>3823</v>
      </c>
    </row>
    <row r="88" spans="1:8">
      <c r="A88" s="3028"/>
      <c r="B88" s="3028"/>
      <c r="C88" s="3035"/>
      <c r="D88" s="3028"/>
      <c r="E88" s="3029"/>
      <c r="F88" s="2411" t="s">
        <v>3863</v>
      </c>
      <c r="G88" s="2425">
        <v>0</v>
      </c>
      <c r="H88" s="2426" t="s">
        <v>3823</v>
      </c>
    </row>
    <row r="89" spans="1:8">
      <c r="A89" s="3028"/>
      <c r="B89" s="3028"/>
      <c r="C89" s="3035"/>
      <c r="D89" s="3028"/>
      <c r="E89" s="3029"/>
      <c r="F89" s="2412" t="s">
        <v>3864</v>
      </c>
      <c r="G89" s="2425">
        <v>0</v>
      </c>
      <c r="H89" s="2426" t="s">
        <v>3823</v>
      </c>
    </row>
    <row r="90" spans="1:8">
      <c r="A90" s="3028"/>
      <c r="B90" s="3028"/>
      <c r="C90" s="3035"/>
      <c r="D90" s="3028"/>
      <c r="E90" s="3029"/>
      <c r="F90" s="2412" t="s">
        <v>3865</v>
      </c>
      <c r="G90" s="2425">
        <v>0</v>
      </c>
      <c r="H90" s="2426" t="s">
        <v>3823</v>
      </c>
    </row>
    <row r="91" spans="1:8">
      <c r="A91" s="3028">
        <v>2</v>
      </c>
      <c r="B91" s="3028" t="s">
        <v>2948</v>
      </c>
      <c r="C91" s="3035" t="s">
        <v>3859</v>
      </c>
      <c r="D91" s="3028" t="s">
        <v>2949</v>
      </c>
      <c r="E91" s="3029" t="s">
        <v>2950</v>
      </c>
      <c r="F91" s="2411" t="s">
        <v>3860</v>
      </c>
      <c r="G91" s="2425">
        <v>0</v>
      </c>
      <c r="H91" s="2426" t="s">
        <v>3823</v>
      </c>
    </row>
    <row r="92" spans="1:8">
      <c r="A92" s="3028"/>
      <c r="B92" s="3028"/>
      <c r="C92" s="3035"/>
      <c r="D92" s="3028"/>
      <c r="E92" s="3029"/>
      <c r="F92" s="2411" t="s">
        <v>3861</v>
      </c>
      <c r="G92" s="2425">
        <v>0</v>
      </c>
      <c r="H92" s="2426" t="s">
        <v>3823</v>
      </c>
    </row>
    <row r="93" spans="1:8">
      <c r="A93" s="3028"/>
      <c r="B93" s="3028"/>
      <c r="C93" s="3035"/>
      <c r="D93" s="3028"/>
      <c r="E93" s="3029"/>
      <c r="F93" s="2411" t="s">
        <v>3862</v>
      </c>
      <c r="G93" s="2425">
        <v>0</v>
      </c>
      <c r="H93" s="2426" t="s">
        <v>3823</v>
      </c>
    </row>
    <row r="94" spans="1:8">
      <c r="A94" s="3028"/>
      <c r="B94" s="3028"/>
      <c r="C94" s="3035"/>
      <c r="D94" s="3028"/>
      <c r="E94" s="3029"/>
      <c r="F94" s="2411" t="s">
        <v>3863</v>
      </c>
      <c r="G94" s="2425">
        <v>0</v>
      </c>
      <c r="H94" s="2426" t="s">
        <v>3823</v>
      </c>
    </row>
    <row r="95" spans="1:8">
      <c r="A95" s="3028"/>
      <c r="B95" s="3028"/>
      <c r="C95" s="3035"/>
      <c r="D95" s="3028"/>
      <c r="E95" s="3029"/>
      <c r="F95" s="2412" t="s">
        <v>3864</v>
      </c>
      <c r="G95" s="2425">
        <v>0</v>
      </c>
      <c r="H95" s="2426" t="s">
        <v>3823</v>
      </c>
    </row>
    <row r="96" spans="1:8">
      <c r="A96" s="3028"/>
      <c r="B96" s="3028"/>
      <c r="C96" s="3035"/>
      <c r="D96" s="3028"/>
      <c r="E96" s="3029"/>
      <c r="F96" s="2412" t="s">
        <v>3865</v>
      </c>
      <c r="G96" s="2425">
        <v>0</v>
      </c>
      <c r="H96" s="2426" t="s">
        <v>3823</v>
      </c>
    </row>
    <row r="97" spans="1:8">
      <c r="A97" s="3028"/>
      <c r="B97" s="3028"/>
      <c r="C97" s="3035"/>
      <c r="D97" s="3028"/>
      <c r="E97" s="3029" t="s">
        <v>2957</v>
      </c>
      <c r="F97" s="2411" t="s">
        <v>3860</v>
      </c>
      <c r="G97" s="2425">
        <v>0</v>
      </c>
      <c r="H97" s="2426" t="s">
        <v>3823</v>
      </c>
    </row>
    <row r="98" spans="1:8">
      <c r="A98" s="3028"/>
      <c r="B98" s="3028"/>
      <c r="C98" s="3035"/>
      <c r="D98" s="3028"/>
      <c r="E98" s="3029"/>
      <c r="F98" s="2411" t="s">
        <v>3861</v>
      </c>
      <c r="G98" s="2425">
        <v>0</v>
      </c>
      <c r="H98" s="2427">
        <v>348.5</v>
      </c>
    </row>
    <row r="99" spans="1:8">
      <c r="A99" s="3028"/>
      <c r="B99" s="3028"/>
      <c r="C99" s="3035"/>
      <c r="D99" s="3028"/>
      <c r="E99" s="3029"/>
      <c r="F99" s="2411" t="s">
        <v>3862</v>
      </c>
      <c r="G99" s="2425">
        <v>0</v>
      </c>
      <c r="H99" s="2426" t="s">
        <v>3823</v>
      </c>
    </row>
    <row r="100" spans="1:8">
      <c r="A100" s="3028"/>
      <c r="B100" s="3028"/>
      <c r="C100" s="3035"/>
      <c r="D100" s="3028"/>
      <c r="E100" s="3029"/>
      <c r="F100" s="2411" t="s">
        <v>3863</v>
      </c>
      <c r="G100" s="2425">
        <v>0</v>
      </c>
      <c r="H100" s="2426" t="s">
        <v>3823</v>
      </c>
    </row>
    <row r="101" spans="1:8">
      <c r="A101" s="3028"/>
      <c r="B101" s="3028"/>
      <c r="C101" s="3035"/>
      <c r="D101" s="3028"/>
      <c r="E101" s="3029"/>
      <c r="F101" s="2412" t="s">
        <v>3864</v>
      </c>
      <c r="G101" s="2425">
        <v>0</v>
      </c>
      <c r="H101" s="2426" t="s">
        <v>3823</v>
      </c>
    </row>
    <row r="102" spans="1:8">
      <c r="A102" s="3028"/>
      <c r="B102" s="3028"/>
      <c r="C102" s="3035"/>
      <c r="D102" s="3028"/>
      <c r="E102" s="3029"/>
      <c r="F102" s="2412" t="s">
        <v>3865</v>
      </c>
      <c r="G102" s="2425">
        <v>0</v>
      </c>
      <c r="H102" s="2426" t="s">
        <v>3823</v>
      </c>
    </row>
    <row r="103" spans="1:8">
      <c r="A103" s="3028"/>
      <c r="B103" s="3028"/>
      <c r="C103" s="3035"/>
      <c r="D103" s="3028" t="s">
        <v>2954</v>
      </c>
      <c r="E103" s="3029" t="s">
        <v>2950</v>
      </c>
      <c r="F103" s="2411" t="s">
        <v>3860</v>
      </c>
      <c r="G103" s="2425">
        <v>0</v>
      </c>
      <c r="H103" s="2427">
        <v>26408.02</v>
      </c>
    </row>
    <row r="104" spans="1:8">
      <c r="A104" s="3028"/>
      <c r="B104" s="3028"/>
      <c r="C104" s="3035"/>
      <c r="D104" s="3028"/>
      <c r="E104" s="3029"/>
      <c r="F104" s="2411" t="s">
        <v>3861</v>
      </c>
      <c r="G104" s="2425">
        <v>0</v>
      </c>
      <c r="H104" s="2426" t="s">
        <v>3962</v>
      </c>
    </row>
    <row r="105" spans="1:8">
      <c r="A105" s="3028"/>
      <c r="B105" s="3028"/>
      <c r="C105" s="3035"/>
      <c r="D105" s="3028"/>
      <c r="E105" s="3029"/>
      <c r="F105" s="2411" t="s">
        <v>3862</v>
      </c>
      <c r="G105" s="2425">
        <v>0</v>
      </c>
      <c r="H105" s="2426" t="s">
        <v>3823</v>
      </c>
    </row>
    <row r="106" spans="1:8">
      <c r="A106" s="3028"/>
      <c r="B106" s="3028"/>
      <c r="C106" s="3035"/>
      <c r="D106" s="3028"/>
      <c r="E106" s="3029"/>
      <c r="F106" s="2411" t="s">
        <v>3863</v>
      </c>
      <c r="G106" s="2425">
        <v>0</v>
      </c>
      <c r="H106" s="2426" t="s">
        <v>3823</v>
      </c>
    </row>
    <row r="107" spans="1:8">
      <c r="A107" s="3028"/>
      <c r="B107" s="3028"/>
      <c r="C107" s="3035"/>
      <c r="D107" s="3028"/>
      <c r="E107" s="3029"/>
      <c r="F107" s="2412" t="s">
        <v>3864</v>
      </c>
      <c r="G107" s="2425">
        <v>0</v>
      </c>
      <c r="H107" s="2426" t="s">
        <v>3823</v>
      </c>
    </row>
    <row r="108" spans="1:8">
      <c r="A108" s="3028"/>
      <c r="B108" s="3028"/>
      <c r="C108" s="3035"/>
      <c r="D108" s="3028"/>
      <c r="E108" s="3029"/>
      <c r="F108" s="2412" t="s">
        <v>3865</v>
      </c>
      <c r="G108" s="2425">
        <v>0</v>
      </c>
      <c r="H108" s="2426" t="s">
        <v>3823</v>
      </c>
    </row>
    <row r="109" spans="1:8">
      <c r="A109" s="3028"/>
      <c r="B109" s="3028"/>
      <c r="C109" s="3035"/>
      <c r="D109" s="3028"/>
      <c r="E109" s="3029" t="s">
        <v>2957</v>
      </c>
      <c r="F109" s="2411" t="s">
        <v>3860</v>
      </c>
      <c r="G109" s="2425">
        <v>0</v>
      </c>
      <c r="H109" s="2426" t="s">
        <v>3823</v>
      </c>
    </row>
    <row r="110" spans="1:8">
      <c r="A110" s="3028"/>
      <c r="B110" s="3028"/>
      <c r="C110" s="3035"/>
      <c r="D110" s="3028"/>
      <c r="E110" s="3029"/>
      <c r="F110" s="2411" t="s">
        <v>3861</v>
      </c>
      <c r="G110" s="2425">
        <v>0</v>
      </c>
      <c r="H110" s="2426" t="s">
        <v>3823</v>
      </c>
    </row>
    <row r="111" spans="1:8">
      <c r="A111" s="3028"/>
      <c r="B111" s="3028"/>
      <c r="C111" s="3035"/>
      <c r="D111" s="3028"/>
      <c r="E111" s="3029"/>
      <c r="F111" s="2411" t="s">
        <v>3862</v>
      </c>
      <c r="G111" s="2425">
        <v>0</v>
      </c>
      <c r="H111" s="2426" t="s">
        <v>3823</v>
      </c>
    </row>
    <row r="112" spans="1:8">
      <c r="A112" s="3028"/>
      <c r="B112" s="3028"/>
      <c r="C112" s="3035"/>
      <c r="D112" s="3028"/>
      <c r="E112" s="3029"/>
      <c r="F112" s="2411" t="s">
        <v>3863</v>
      </c>
      <c r="G112" s="2425">
        <v>0</v>
      </c>
      <c r="H112" s="2426" t="s">
        <v>3823</v>
      </c>
    </row>
    <row r="113" spans="1:8">
      <c r="A113" s="3028"/>
      <c r="B113" s="3028"/>
      <c r="C113" s="3035"/>
      <c r="D113" s="3028"/>
      <c r="E113" s="3029"/>
      <c r="F113" s="2411" t="s">
        <v>3864</v>
      </c>
      <c r="G113" s="2425">
        <v>0</v>
      </c>
      <c r="H113" s="2426" t="s">
        <v>3823</v>
      </c>
    </row>
    <row r="114" spans="1:8">
      <c r="A114" s="3028"/>
      <c r="B114" s="3028"/>
      <c r="C114" s="3035"/>
      <c r="D114" s="3028"/>
      <c r="E114" s="3029"/>
      <c r="F114" s="2411" t="s">
        <v>3865</v>
      </c>
      <c r="G114" s="2425">
        <v>0</v>
      </c>
      <c r="H114" s="2426" t="s">
        <v>3823</v>
      </c>
    </row>
    <row r="115" spans="1:8" ht="66.75" customHeight="1">
      <c r="A115" s="3079" t="s">
        <v>3963</v>
      </c>
      <c r="B115" s="3079"/>
      <c r="C115" s="3079"/>
      <c r="D115" s="3079"/>
      <c r="E115" s="3079"/>
      <c r="F115" s="3079"/>
      <c r="G115" s="3079"/>
      <c r="H115" s="3079"/>
    </row>
    <row r="116" spans="1:8" ht="51.75" customHeight="1">
      <c r="A116" s="3077" t="s">
        <v>0</v>
      </c>
      <c r="B116" s="3558" t="s">
        <v>3849</v>
      </c>
      <c r="C116" s="3558"/>
      <c r="D116" s="3558"/>
      <c r="E116" s="3078" t="s">
        <v>3866</v>
      </c>
      <c r="F116" s="3559" t="s">
        <v>3867</v>
      </c>
      <c r="G116" s="3047" t="s">
        <v>3947</v>
      </c>
      <c r="H116" s="3047"/>
    </row>
    <row r="117" spans="1:8" ht="47.25" customHeight="1">
      <c r="A117" s="3077"/>
      <c r="B117" s="3558"/>
      <c r="C117" s="3558"/>
      <c r="D117" s="3558"/>
      <c r="E117" s="3078"/>
      <c r="F117" s="3559"/>
      <c r="G117" s="2410" t="s">
        <v>3948</v>
      </c>
      <c r="H117" s="2410" t="s">
        <v>3949</v>
      </c>
    </row>
    <row r="118" spans="1:8" ht="15.75">
      <c r="A118" s="2430">
        <v>1</v>
      </c>
      <c r="B118" s="3554">
        <v>2</v>
      </c>
      <c r="C118" s="3554"/>
      <c r="D118" s="3554"/>
      <c r="E118" s="3554">
        <v>3</v>
      </c>
      <c r="F118" s="3554"/>
      <c r="G118" s="2424">
        <v>4</v>
      </c>
      <c r="H118" s="2424">
        <v>5</v>
      </c>
    </row>
    <row r="119" spans="1:8" ht="15.75">
      <c r="A119" s="3077">
        <v>1</v>
      </c>
      <c r="B119" s="3077" t="s">
        <v>2952</v>
      </c>
      <c r="C119" s="3077"/>
      <c r="D119" s="3077"/>
      <c r="E119" s="3078" t="s">
        <v>3871</v>
      </c>
      <c r="F119" s="2431" t="s">
        <v>2629</v>
      </c>
      <c r="G119" s="2432">
        <v>0</v>
      </c>
      <c r="H119" s="2426" t="s">
        <v>3823</v>
      </c>
    </row>
    <row r="120" spans="1:8" ht="15.75">
      <c r="A120" s="3077"/>
      <c r="B120" s="3077"/>
      <c r="C120" s="3077"/>
      <c r="D120" s="3077"/>
      <c r="E120" s="3078"/>
      <c r="F120" s="2431" t="s">
        <v>2631</v>
      </c>
      <c r="G120" s="2432">
        <v>0</v>
      </c>
      <c r="H120" s="2426" t="s">
        <v>3823</v>
      </c>
    </row>
    <row r="121" spans="1:8" ht="15.75">
      <c r="A121" s="3077"/>
      <c r="B121" s="3077"/>
      <c r="C121" s="3077"/>
      <c r="D121" s="3077"/>
      <c r="E121" s="3078"/>
      <c r="F121" s="2431" t="s">
        <v>2633</v>
      </c>
      <c r="G121" s="2432">
        <v>0</v>
      </c>
      <c r="H121" s="2426" t="s">
        <v>3823</v>
      </c>
    </row>
    <row r="122" spans="1:8" ht="15.75">
      <c r="A122" s="3077"/>
      <c r="B122" s="3077"/>
      <c r="C122" s="3077"/>
      <c r="D122" s="3077"/>
      <c r="E122" s="3078"/>
      <c r="F122" s="2431" t="s">
        <v>2635</v>
      </c>
      <c r="G122" s="2432">
        <v>0</v>
      </c>
      <c r="H122" s="2426" t="s">
        <v>3823</v>
      </c>
    </row>
    <row r="123" spans="1:8" ht="15.75">
      <c r="A123" s="3077"/>
      <c r="B123" s="3077"/>
      <c r="C123" s="3077"/>
      <c r="D123" s="3077"/>
      <c r="E123" s="3078"/>
      <c r="F123" s="2431" t="s">
        <v>2639</v>
      </c>
      <c r="G123" s="2432">
        <v>0</v>
      </c>
      <c r="H123" s="2426" t="s">
        <v>3823</v>
      </c>
    </row>
    <row r="124" spans="1:8" ht="15.75">
      <c r="A124" s="3077"/>
      <c r="B124" s="3077"/>
      <c r="C124" s="3077"/>
      <c r="D124" s="3077"/>
      <c r="E124" s="3078"/>
      <c r="F124" s="2431" t="s">
        <v>3872</v>
      </c>
      <c r="G124" s="2432">
        <v>0</v>
      </c>
      <c r="H124" s="2426" t="s">
        <v>3823</v>
      </c>
    </row>
    <row r="125" spans="1:8" ht="15.75">
      <c r="A125" s="3077"/>
      <c r="B125" s="3077"/>
      <c r="C125" s="3077"/>
      <c r="D125" s="3077"/>
      <c r="E125" s="3078" t="s">
        <v>3873</v>
      </c>
      <c r="F125" s="2431" t="s">
        <v>2629</v>
      </c>
      <c r="G125" s="2432">
        <v>0</v>
      </c>
      <c r="H125" s="2426" t="s">
        <v>3823</v>
      </c>
    </row>
    <row r="126" spans="1:8" ht="15.75">
      <c r="A126" s="3077"/>
      <c r="B126" s="3077"/>
      <c r="C126" s="3077"/>
      <c r="D126" s="3077"/>
      <c r="E126" s="3078"/>
      <c r="F126" s="2431" t="s">
        <v>2631</v>
      </c>
      <c r="G126" s="2432">
        <v>0</v>
      </c>
      <c r="H126" s="2426" t="s">
        <v>3823</v>
      </c>
    </row>
    <row r="127" spans="1:8" ht="15.75">
      <c r="A127" s="3077"/>
      <c r="B127" s="3077"/>
      <c r="C127" s="3077"/>
      <c r="D127" s="3077"/>
      <c r="E127" s="3078"/>
      <c r="F127" s="2431" t="s">
        <v>2633</v>
      </c>
      <c r="G127" s="2432">
        <v>0</v>
      </c>
      <c r="H127" s="2426" t="s">
        <v>3823</v>
      </c>
    </row>
    <row r="128" spans="1:8" ht="15.75">
      <c r="A128" s="3077"/>
      <c r="B128" s="3077"/>
      <c r="C128" s="3077"/>
      <c r="D128" s="3077"/>
      <c r="E128" s="3078"/>
      <c r="F128" s="2431" t="s">
        <v>2635</v>
      </c>
      <c r="G128" s="2432">
        <v>0</v>
      </c>
      <c r="H128" s="2426" t="s">
        <v>3823</v>
      </c>
    </row>
    <row r="129" spans="1:8" ht="15.75">
      <c r="A129" s="3077"/>
      <c r="B129" s="3077"/>
      <c r="C129" s="3077"/>
      <c r="D129" s="3077"/>
      <c r="E129" s="3078"/>
      <c r="F129" s="2431" t="s">
        <v>2639</v>
      </c>
      <c r="G129" s="2432">
        <v>0</v>
      </c>
      <c r="H129" s="2426" t="s">
        <v>3823</v>
      </c>
    </row>
    <row r="130" spans="1:8" ht="15.75">
      <c r="A130" s="3077"/>
      <c r="B130" s="3077"/>
      <c r="C130" s="3077"/>
      <c r="D130" s="3077"/>
      <c r="E130" s="3078"/>
      <c r="F130" s="2431" t="s">
        <v>3872</v>
      </c>
      <c r="G130" s="2432">
        <v>0</v>
      </c>
      <c r="H130" s="2426" t="s">
        <v>3823</v>
      </c>
    </row>
    <row r="131" spans="1:8" ht="15.75">
      <c r="A131" s="3077">
        <v>2</v>
      </c>
      <c r="B131" s="3079" t="s">
        <v>2948</v>
      </c>
      <c r="C131" s="3079"/>
      <c r="D131" s="3079"/>
      <c r="E131" s="3078" t="s">
        <v>3871</v>
      </c>
      <c r="F131" s="2431" t="s">
        <v>2629</v>
      </c>
      <c r="G131" s="2432">
        <v>0</v>
      </c>
      <c r="H131" s="2427">
        <v>13089.01</v>
      </c>
    </row>
    <row r="132" spans="1:8" ht="15.75">
      <c r="A132" s="3077"/>
      <c r="B132" s="3079"/>
      <c r="C132" s="3079"/>
      <c r="D132" s="3079"/>
      <c r="E132" s="3078"/>
      <c r="F132" s="2431" t="s">
        <v>2631</v>
      </c>
      <c r="G132" s="2432">
        <v>0</v>
      </c>
      <c r="H132" s="2427">
        <v>4248.6000000000004</v>
      </c>
    </row>
    <row r="133" spans="1:8" ht="15.75">
      <c r="A133" s="3077"/>
      <c r="B133" s="3079"/>
      <c r="C133" s="3079"/>
      <c r="D133" s="3079"/>
      <c r="E133" s="3078"/>
      <c r="F133" s="2431" t="s">
        <v>2633</v>
      </c>
      <c r="G133" s="2432">
        <v>0</v>
      </c>
      <c r="H133" s="2426" t="s">
        <v>3823</v>
      </c>
    </row>
    <row r="134" spans="1:8" ht="15.75">
      <c r="A134" s="3077"/>
      <c r="B134" s="3079"/>
      <c r="C134" s="3079"/>
      <c r="D134" s="3079"/>
      <c r="E134" s="3078"/>
      <c r="F134" s="2431" t="s">
        <v>2635</v>
      </c>
      <c r="G134" s="2432">
        <v>0</v>
      </c>
      <c r="H134" s="2427">
        <v>907.82</v>
      </c>
    </row>
    <row r="135" spans="1:8" ht="15.75">
      <c r="A135" s="3077"/>
      <c r="B135" s="3079"/>
      <c r="C135" s="3079"/>
      <c r="D135" s="3079"/>
      <c r="E135" s="3078"/>
      <c r="F135" s="2431" t="s">
        <v>2639</v>
      </c>
      <c r="G135" s="2432">
        <v>0</v>
      </c>
      <c r="H135" s="2426" t="s">
        <v>3823</v>
      </c>
    </row>
    <row r="136" spans="1:8" ht="15.75">
      <c r="A136" s="3077"/>
      <c r="B136" s="3079"/>
      <c r="C136" s="3079"/>
      <c r="D136" s="3079"/>
      <c r="E136" s="3078"/>
      <c r="F136" s="2431" t="s">
        <v>3872</v>
      </c>
      <c r="G136" s="2432">
        <v>0</v>
      </c>
      <c r="H136" s="2426" t="s">
        <v>3823</v>
      </c>
    </row>
    <row r="137" spans="1:8" ht="15.75">
      <c r="A137" s="3077"/>
      <c r="B137" s="3079"/>
      <c r="C137" s="3079"/>
      <c r="D137" s="3079"/>
      <c r="E137" s="3078" t="s">
        <v>3873</v>
      </c>
      <c r="F137" s="2431" t="s">
        <v>2629</v>
      </c>
      <c r="G137" s="2432">
        <v>0</v>
      </c>
      <c r="H137" s="2426" t="s">
        <v>3823</v>
      </c>
    </row>
    <row r="138" spans="1:8" ht="15.75">
      <c r="A138" s="3077"/>
      <c r="B138" s="3079"/>
      <c r="C138" s="3079"/>
      <c r="D138" s="3079"/>
      <c r="E138" s="3078"/>
      <c r="F138" s="2431" t="s">
        <v>2631</v>
      </c>
      <c r="G138" s="2432">
        <v>0</v>
      </c>
      <c r="H138" s="2426" t="s">
        <v>3823</v>
      </c>
    </row>
    <row r="139" spans="1:8" ht="15.75">
      <c r="A139" s="3077"/>
      <c r="B139" s="3079"/>
      <c r="C139" s="3079"/>
      <c r="D139" s="3079"/>
      <c r="E139" s="3078"/>
      <c r="F139" s="2431" t="s">
        <v>2633</v>
      </c>
      <c r="G139" s="2432">
        <v>0</v>
      </c>
      <c r="H139" s="2426" t="s">
        <v>3823</v>
      </c>
    </row>
    <row r="140" spans="1:8" ht="15.75">
      <c r="A140" s="3077"/>
      <c r="B140" s="3079"/>
      <c r="C140" s="3079"/>
      <c r="D140" s="3079"/>
      <c r="E140" s="3078"/>
      <c r="F140" s="2431" t="s">
        <v>2635</v>
      </c>
      <c r="G140" s="2432">
        <v>0</v>
      </c>
      <c r="H140" s="2426" t="s">
        <v>3823</v>
      </c>
    </row>
    <row r="141" spans="1:8" ht="15.75">
      <c r="A141" s="3077"/>
      <c r="B141" s="3079"/>
      <c r="C141" s="3079"/>
      <c r="D141" s="3079"/>
      <c r="E141" s="3078"/>
      <c r="F141" s="2431" t="s">
        <v>2639</v>
      </c>
      <c r="G141" s="2432">
        <v>0</v>
      </c>
      <c r="H141" s="2426" t="s">
        <v>3823</v>
      </c>
    </row>
    <row r="142" spans="1:8" ht="15.75">
      <c r="A142" s="3077"/>
      <c r="B142" s="3079"/>
      <c r="C142" s="3079"/>
      <c r="D142" s="3079"/>
      <c r="E142" s="3078"/>
      <c r="F142" s="2431" t="s">
        <v>3872</v>
      </c>
      <c r="G142" s="2432">
        <v>0</v>
      </c>
      <c r="H142" s="2426" t="s">
        <v>3823</v>
      </c>
    </row>
    <row r="143" spans="1:8">
      <c r="A143" s="2331"/>
      <c r="B143" s="2331"/>
      <c r="C143" s="2331"/>
      <c r="D143" s="2331"/>
      <c r="E143" s="2331"/>
      <c r="F143" s="2334"/>
    </row>
  </sheetData>
  <mergeCells count="80">
    <mergeCell ref="A131:A142"/>
    <mergeCell ref="B131:D142"/>
    <mergeCell ref="E131:E136"/>
    <mergeCell ref="E137:E142"/>
    <mergeCell ref="B118:D118"/>
    <mergeCell ref="E118:F118"/>
    <mergeCell ref="A119:A130"/>
    <mergeCell ref="B119:D130"/>
    <mergeCell ref="E119:E124"/>
    <mergeCell ref="E125:E130"/>
    <mergeCell ref="A115:H115"/>
    <mergeCell ref="A116:A117"/>
    <mergeCell ref="B116:D117"/>
    <mergeCell ref="E116:E117"/>
    <mergeCell ref="F116:F117"/>
    <mergeCell ref="G116:H116"/>
    <mergeCell ref="A91:A114"/>
    <mergeCell ref="B91:B114"/>
    <mergeCell ref="C91:C114"/>
    <mergeCell ref="D91:D102"/>
    <mergeCell ref="E91:E96"/>
    <mergeCell ref="E97:E102"/>
    <mergeCell ref="D103:D114"/>
    <mergeCell ref="E103:E108"/>
    <mergeCell ref="E109:E114"/>
    <mergeCell ref="C66:F66"/>
    <mergeCell ref="A67:A90"/>
    <mergeCell ref="B67:B90"/>
    <mergeCell ref="C67:C90"/>
    <mergeCell ref="D67:D78"/>
    <mergeCell ref="E67:E72"/>
    <mergeCell ref="E73:E78"/>
    <mergeCell ref="D79:D90"/>
    <mergeCell ref="E79:E84"/>
    <mergeCell ref="E85:E90"/>
    <mergeCell ref="A63:H63"/>
    <mergeCell ref="A64:A65"/>
    <mergeCell ref="B64:B65"/>
    <mergeCell ref="C64:C65"/>
    <mergeCell ref="D64:D65"/>
    <mergeCell ref="E64:E65"/>
    <mergeCell ref="F64:F65"/>
    <mergeCell ref="G64:H64"/>
    <mergeCell ref="A39:A62"/>
    <mergeCell ref="B39:B62"/>
    <mergeCell ref="C39:C62"/>
    <mergeCell ref="D39:D50"/>
    <mergeCell ref="E39:E44"/>
    <mergeCell ref="E45:E50"/>
    <mergeCell ref="D51:D62"/>
    <mergeCell ref="E51:E56"/>
    <mergeCell ref="E57:E62"/>
    <mergeCell ref="C14:F14"/>
    <mergeCell ref="A15:A38"/>
    <mergeCell ref="B15:B38"/>
    <mergeCell ref="C15:C38"/>
    <mergeCell ref="D15:D26"/>
    <mergeCell ref="E15:E20"/>
    <mergeCell ref="E21:E26"/>
    <mergeCell ref="D27:D38"/>
    <mergeCell ref="E27:E32"/>
    <mergeCell ref="E33:E38"/>
    <mergeCell ref="B9:B10"/>
    <mergeCell ref="C9:F9"/>
    <mergeCell ref="C10:F10"/>
    <mergeCell ref="A11:H11"/>
    <mergeCell ref="A12:A13"/>
    <mergeCell ref="B12:B13"/>
    <mergeCell ref="C12:C13"/>
    <mergeCell ref="D12:D13"/>
    <mergeCell ref="E12:E13"/>
    <mergeCell ref="F12:F13"/>
    <mergeCell ref="G12:H12"/>
    <mergeCell ref="A4:H4"/>
    <mergeCell ref="A5:H5"/>
    <mergeCell ref="C6:F6"/>
    <mergeCell ref="G6:H6"/>
    <mergeCell ref="B7:B8"/>
    <mergeCell ref="C7:F7"/>
    <mergeCell ref="C8:F8"/>
  </mergeCells>
  <pageMargins left="0.7" right="0.7" top="0.75" bottom="0.75" header="0.3" footer="0.3"/>
  <pageSetup paperSize="9" scale="54" orientation="portrait" horizontalDpi="0" verticalDpi="0" r:id="rId1"/>
  <colBreaks count="1" manualBreakCount="1">
    <brk id="9" max="14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44"/>
  <sheetViews>
    <sheetView topLeftCell="A7" zoomScale="70" zoomScaleNormal="70" workbookViewId="0">
      <selection activeCell="Y59" sqref="Y59"/>
    </sheetView>
  </sheetViews>
  <sheetFormatPr defaultRowHeight="12.75" outlineLevelRow="7" outlineLevelCol="1"/>
  <cols>
    <col min="1" max="1" width="16" style="3" customWidth="1"/>
    <col min="2" max="2" width="66" style="3" customWidth="1"/>
    <col min="3" max="5" width="16" style="3" customWidth="1"/>
    <col min="6" max="7" width="16" style="3" hidden="1" customWidth="1" outlineLevel="1"/>
    <col min="8" max="8" width="11.42578125" style="3" hidden="1" customWidth="1" outlineLevel="1"/>
    <col min="9" max="9" width="4.5703125" style="3" hidden="1" customWidth="1" outlineLevel="1"/>
    <col min="10" max="12" width="16" style="3" hidden="1" customWidth="1" outlineLevel="1"/>
    <col min="13" max="13" width="16" style="3" customWidth="1" collapsed="1"/>
    <col min="14" max="14" width="16" style="3" hidden="1" customWidth="1" outlineLevel="1"/>
    <col min="15" max="15" width="16" style="3" hidden="1" customWidth="1" collapsed="1"/>
    <col min="16" max="16" width="16" style="3" hidden="1" customWidth="1"/>
    <col min="17" max="17" width="9.140625" customWidth="1"/>
    <col min="18" max="18" width="24.28515625" customWidth="1"/>
    <col min="19" max="256" width="9.140625" customWidth="1"/>
    <col min="257" max="257" width="16" customWidth="1"/>
    <col min="258" max="258" width="37.28515625" customWidth="1"/>
    <col min="259" max="263" width="16" customWidth="1"/>
    <col min="264" max="264" width="11.42578125" customWidth="1"/>
    <col min="265" max="265" width="4.5703125" customWidth="1"/>
    <col min="266" max="272" width="16" customWidth="1"/>
    <col min="273" max="512" width="9.140625" customWidth="1"/>
    <col min="513" max="513" width="16" customWidth="1"/>
    <col min="514" max="514" width="37.28515625" customWidth="1"/>
    <col min="515" max="519" width="16" customWidth="1"/>
    <col min="520" max="520" width="11.42578125" customWidth="1"/>
    <col min="521" max="521" width="4.5703125" customWidth="1"/>
    <col min="522" max="528" width="16" customWidth="1"/>
    <col min="529" max="768" width="9.140625" customWidth="1"/>
    <col min="769" max="769" width="16" customWidth="1"/>
    <col min="770" max="770" width="37.28515625" customWidth="1"/>
    <col min="771" max="775" width="16" customWidth="1"/>
    <col min="776" max="776" width="11.42578125" customWidth="1"/>
    <col min="777" max="777" width="4.5703125" customWidth="1"/>
    <col min="778" max="784" width="16" customWidth="1"/>
    <col min="785" max="1024" width="9.140625" customWidth="1"/>
    <col min="1025" max="1025" width="16" customWidth="1"/>
    <col min="1026" max="1026" width="37.28515625" customWidth="1"/>
    <col min="1027" max="1031" width="16" customWidth="1"/>
    <col min="1032" max="1032" width="11.42578125" customWidth="1"/>
    <col min="1033" max="1033" width="4.5703125" customWidth="1"/>
    <col min="1034" max="1040" width="16" customWidth="1"/>
    <col min="1041" max="1280" width="9.140625" customWidth="1"/>
    <col min="1281" max="1281" width="16" customWidth="1"/>
    <col min="1282" max="1282" width="37.28515625" customWidth="1"/>
    <col min="1283" max="1287" width="16" customWidth="1"/>
    <col min="1288" max="1288" width="11.42578125" customWidth="1"/>
    <col min="1289" max="1289" width="4.5703125" customWidth="1"/>
    <col min="1290" max="1296" width="16" customWidth="1"/>
    <col min="1297" max="1536" width="9.140625" customWidth="1"/>
    <col min="1537" max="1537" width="16" customWidth="1"/>
    <col min="1538" max="1538" width="37.28515625" customWidth="1"/>
    <col min="1539" max="1543" width="16" customWidth="1"/>
    <col min="1544" max="1544" width="11.42578125" customWidth="1"/>
    <col min="1545" max="1545" width="4.5703125" customWidth="1"/>
    <col min="1546" max="1552" width="16" customWidth="1"/>
    <col min="1553" max="1792" width="9.140625" customWidth="1"/>
    <col min="1793" max="1793" width="16" customWidth="1"/>
    <col min="1794" max="1794" width="37.28515625" customWidth="1"/>
    <col min="1795" max="1799" width="16" customWidth="1"/>
    <col min="1800" max="1800" width="11.42578125" customWidth="1"/>
    <col min="1801" max="1801" width="4.5703125" customWidth="1"/>
    <col min="1802" max="1808" width="16" customWidth="1"/>
    <col min="1809" max="2048" width="9.140625" customWidth="1"/>
    <col min="2049" max="2049" width="16" customWidth="1"/>
    <col min="2050" max="2050" width="37.28515625" customWidth="1"/>
    <col min="2051" max="2055" width="16" customWidth="1"/>
    <col min="2056" max="2056" width="11.42578125" customWidth="1"/>
    <col min="2057" max="2057" width="4.5703125" customWidth="1"/>
    <col min="2058" max="2064" width="16" customWidth="1"/>
    <col min="2065" max="2304" width="9.140625" customWidth="1"/>
    <col min="2305" max="2305" width="16" customWidth="1"/>
    <col min="2306" max="2306" width="37.28515625" customWidth="1"/>
    <col min="2307" max="2311" width="16" customWidth="1"/>
    <col min="2312" max="2312" width="11.42578125" customWidth="1"/>
    <col min="2313" max="2313" width="4.5703125" customWidth="1"/>
    <col min="2314" max="2320" width="16" customWidth="1"/>
    <col min="2321" max="2560" width="9.140625" customWidth="1"/>
    <col min="2561" max="2561" width="16" customWidth="1"/>
    <col min="2562" max="2562" width="37.28515625" customWidth="1"/>
    <col min="2563" max="2567" width="16" customWidth="1"/>
    <col min="2568" max="2568" width="11.42578125" customWidth="1"/>
    <col min="2569" max="2569" width="4.5703125" customWidth="1"/>
    <col min="2570" max="2576" width="16" customWidth="1"/>
    <col min="2577" max="2816" width="9.140625" customWidth="1"/>
    <col min="2817" max="2817" width="16" customWidth="1"/>
    <col min="2818" max="2818" width="37.28515625" customWidth="1"/>
    <col min="2819" max="2823" width="16" customWidth="1"/>
    <col min="2824" max="2824" width="11.42578125" customWidth="1"/>
    <col min="2825" max="2825" width="4.5703125" customWidth="1"/>
    <col min="2826" max="2832" width="16" customWidth="1"/>
    <col min="2833" max="3072" width="9.140625" customWidth="1"/>
    <col min="3073" max="3073" width="16" customWidth="1"/>
    <col min="3074" max="3074" width="37.28515625" customWidth="1"/>
    <col min="3075" max="3079" width="16" customWidth="1"/>
    <col min="3080" max="3080" width="11.42578125" customWidth="1"/>
    <col min="3081" max="3081" width="4.5703125" customWidth="1"/>
    <col min="3082" max="3088" width="16" customWidth="1"/>
    <col min="3089" max="3328" width="9.140625" customWidth="1"/>
    <col min="3329" max="3329" width="16" customWidth="1"/>
    <col min="3330" max="3330" width="37.28515625" customWidth="1"/>
    <col min="3331" max="3335" width="16" customWidth="1"/>
    <col min="3336" max="3336" width="11.42578125" customWidth="1"/>
    <col min="3337" max="3337" width="4.5703125" customWidth="1"/>
    <col min="3338" max="3344" width="16" customWidth="1"/>
    <col min="3345" max="3584" width="9.140625" customWidth="1"/>
    <col min="3585" max="3585" width="16" customWidth="1"/>
    <col min="3586" max="3586" width="37.28515625" customWidth="1"/>
    <col min="3587" max="3591" width="16" customWidth="1"/>
    <col min="3592" max="3592" width="11.42578125" customWidth="1"/>
    <col min="3593" max="3593" width="4.5703125" customWidth="1"/>
    <col min="3594" max="3600" width="16" customWidth="1"/>
    <col min="3601" max="3840" width="9.140625" customWidth="1"/>
    <col min="3841" max="3841" width="16" customWidth="1"/>
    <col min="3842" max="3842" width="37.28515625" customWidth="1"/>
    <col min="3843" max="3847" width="16" customWidth="1"/>
    <col min="3848" max="3848" width="11.42578125" customWidth="1"/>
    <col min="3849" max="3849" width="4.5703125" customWidth="1"/>
    <col min="3850" max="3856" width="16" customWidth="1"/>
    <col min="3857" max="4096" width="9.140625" customWidth="1"/>
    <col min="4097" max="4097" width="16" customWidth="1"/>
    <col min="4098" max="4098" width="37.28515625" customWidth="1"/>
    <col min="4099" max="4103" width="16" customWidth="1"/>
    <col min="4104" max="4104" width="11.42578125" customWidth="1"/>
    <col min="4105" max="4105" width="4.5703125" customWidth="1"/>
    <col min="4106" max="4112" width="16" customWidth="1"/>
    <col min="4113" max="4352" width="9.140625" customWidth="1"/>
    <col min="4353" max="4353" width="16" customWidth="1"/>
    <col min="4354" max="4354" width="37.28515625" customWidth="1"/>
    <col min="4355" max="4359" width="16" customWidth="1"/>
    <col min="4360" max="4360" width="11.42578125" customWidth="1"/>
    <col min="4361" max="4361" width="4.5703125" customWidth="1"/>
    <col min="4362" max="4368" width="16" customWidth="1"/>
    <col min="4369" max="4608" width="9.140625" customWidth="1"/>
    <col min="4609" max="4609" width="16" customWidth="1"/>
    <col min="4610" max="4610" width="37.28515625" customWidth="1"/>
    <col min="4611" max="4615" width="16" customWidth="1"/>
    <col min="4616" max="4616" width="11.42578125" customWidth="1"/>
    <col min="4617" max="4617" width="4.5703125" customWidth="1"/>
    <col min="4618" max="4624" width="16" customWidth="1"/>
    <col min="4625" max="4864" width="9.140625" customWidth="1"/>
    <col min="4865" max="4865" width="16" customWidth="1"/>
    <col min="4866" max="4866" width="37.28515625" customWidth="1"/>
    <col min="4867" max="4871" width="16" customWidth="1"/>
    <col min="4872" max="4872" width="11.42578125" customWidth="1"/>
    <col min="4873" max="4873" width="4.5703125" customWidth="1"/>
    <col min="4874" max="4880" width="16" customWidth="1"/>
    <col min="4881" max="5120" width="9.140625" customWidth="1"/>
    <col min="5121" max="5121" width="16" customWidth="1"/>
    <col min="5122" max="5122" width="37.28515625" customWidth="1"/>
    <col min="5123" max="5127" width="16" customWidth="1"/>
    <col min="5128" max="5128" width="11.42578125" customWidth="1"/>
    <col min="5129" max="5129" width="4.5703125" customWidth="1"/>
    <col min="5130" max="5136" width="16" customWidth="1"/>
    <col min="5137" max="5376" width="9.140625" customWidth="1"/>
    <col min="5377" max="5377" width="16" customWidth="1"/>
    <col min="5378" max="5378" width="37.28515625" customWidth="1"/>
    <col min="5379" max="5383" width="16" customWidth="1"/>
    <col min="5384" max="5384" width="11.42578125" customWidth="1"/>
    <col min="5385" max="5385" width="4.5703125" customWidth="1"/>
    <col min="5386" max="5392" width="16" customWidth="1"/>
    <col min="5393" max="5632" width="9.140625" customWidth="1"/>
    <col min="5633" max="5633" width="16" customWidth="1"/>
    <col min="5634" max="5634" width="37.28515625" customWidth="1"/>
    <col min="5635" max="5639" width="16" customWidth="1"/>
    <col min="5640" max="5640" width="11.42578125" customWidth="1"/>
    <col min="5641" max="5641" width="4.5703125" customWidth="1"/>
    <col min="5642" max="5648" width="16" customWidth="1"/>
    <col min="5649" max="5888" width="9.140625" customWidth="1"/>
    <col min="5889" max="5889" width="16" customWidth="1"/>
    <col min="5890" max="5890" width="37.28515625" customWidth="1"/>
    <col min="5891" max="5895" width="16" customWidth="1"/>
    <col min="5896" max="5896" width="11.42578125" customWidth="1"/>
    <col min="5897" max="5897" width="4.5703125" customWidth="1"/>
    <col min="5898" max="5904" width="16" customWidth="1"/>
    <col min="5905" max="6144" width="9.140625" customWidth="1"/>
    <col min="6145" max="6145" width="16" customWidth="1"/>
    <col min="6146" max="6146" width="37.28515625" customWidth="1"/>
    <col min="6147" max="6151" width="16" customWidth="1"/>
    <col min="6152" max="6152" width="11.42578125" customWidth="1"/>
    <col min="6153" max="6153" width="4.5703125" customWidth="1"/>
    <col min="6154" max="6160" width="16" customWidth="1"/>
    <col min="6161" max="6400" width="9.140625" customWidth="1"/>
    <col min="6401" max="6401" width="16" customWidth="1"/>
    <col min="6402" max="6402" width="37.28515625" customWidth="1"/>
    <col min="6403" max="6407" width="16" customWidth="1"/>
    <col min="6408" max="6408" width="11.42578125" customWidth="1"/>
    <col min="6409" max="6409" width="4.5703125" customWidth="1"/>
    <col min="6410" max="6416" width="16" customWidth="1"/>
    <col min="6417" max="6656" width="9.140625" customWidth="1"/>
    <col min="6657" max="6657" width="16" customWidth="1"/>
    <col min="6658" max="6658" width="37.28515625" customWidth="1"/>
    <col min="6659" max="6663" width="16" customWidth="1"/>
    <col min="6664" max="6664" width="11.42578125" customWidth="1"/>
    <col min="6665" max="6665" width="4.5703125" customWidth="1"/>
    <col min="6666" max="6672" width="16" customWidth="1"/>
    <col min="6673" max="6912" width="9.140625" customWidth="1"/>
    <col min="6913" max="6913" width="16" customWidth="1"/>
    <col min="6914" max="6914" width="37.28515625" customWidth="1"/>
    <col min="6915" max="6919" width="16" customWidth="1"/>
    <col min="6920" max="6920" width="11.42578125" customWidth="1"/>
    <col min="6921" max="6921" width="4.5703125" customWidth="1"/>
    <col min="6922" max="6928" width="16" customWidth="1"/>
    <col min="6929" max="7168" width="9.140625" customWidth="1"/>
    <col min="7169" max="7169" width="16" customWidth="1"/>
    <col min="7170" max="7170" width="37.28515625" customWidth="1"/>
    <col min="7171" max="7175" width="16" customWidth="1"/>
    <col min="7176" max="7176" width="11.42578125" customWidth="1"/>
    <col min="7177" max="7177" width="4.5703125" customWidth="1"/>
    <col min="7178" max="7184" width="16" customWidth="1"/>
    <col min="7185" max="7424" width="9.140625" customWidth="1"/>
    <col min="7425" max="7425" width="16" customWidth="1"/>
    <col min="7426" max="7426" width="37.28515625" customWidth="1"/>
    <col min="7427" max="7431" width="16" customWidth="1"/>
    <col min="7432" max="7432" width="11.42578125" customWidth="1"/>
    <col min="7433" max="7433" width="4.5703125" customWidth="1"/>
    <col min="7434" max="7440" width="16" customWidth="1"/>
    <col min="7441" max="7680" width="9.140625" customWidth="1"/>
    <col min="7681" max="7681" width="16" customWidth="1"/>
    <col min="7682" max="7682" width="37.28515625" customWidth="1"/>
    <col min="7683" max="7687" width="16" customWidth="1"/>
    <col min="7688" max="7688" width="11.42578125" customWidth="1"/>
    <col min="7689" max="7689" width="4.5703125" customWidth="1"/>
    <col min="7690" max="7696" width="16" customWidth="1"/>
    <col min="7697" max="7936" width="9.140625" customWidth="1"/>
    <col min="7937" max="7937" width="16" customWidth="1"/>
    <col min="7938" max="7938" width="37.28515625" customWidth="1"/>
    <col min="7939" max="7943" width="16" customWidth="1"/>
    <col min="7944" max="7944" width="11.42578125" customWidth="1"/>
    <col min="7945" max="7945" width="4.5703125" customWidth="1"/>
    <col min="7946" max="7952" width="16" customWidth="1"/>
    <col min="7953" max="8192" width="9.140625" customWidth="1"/>
    <col min="8193" max="8193" width="16" customWidth="1"/>
    <col min="8194" max="8194" width="37.28515625" customWidth="1"/>
    <col min="8195" max="8199" width="16" customWidth="1"/>
    <col min="8200" max="8200" width="11.42578125" customWidth="1"/>
    <col min="8201" max="8201" width="4.5703125" customWidth="1"/>
    <col min="8202" max="8208" width="16" customWidth="1"/>
    <col min="8209" max="8448" width="9.140625" customWidth="1"/>
    <col min="8449" max="8449" width="16" customWidth="1"/>
    <col min="8450" max="8450" width="37.28515625" customWidth="1"/>
    <col min="8451" max="8455" width="16" customWidth="1"/>
    <col min="8456" max="8456" width="11.42578125" customWidth="1"/>
    <col min="8457" max="8457" width="4.5703125" customWidth="1"/>
    <col min="8458" max="8464" width="16" customWidth="1"/>
    <col min="8465" max="8704" width="9.140625" customWidth="1"/>
    <col min="8705" max="8705" width="16" customWidth="1"/>
    <col min="8706" max="8706" width="37.28515625" customWidth="1"/>
    <col min="8707" max="8711" width="16" customWidth="1"/>
    <col min="8712" max="8712" width="11.42578125" customWidth="1"/>
    <col min="8713" max="8713" width="4.5703125" customWidth="1"/>
    <col min="8714" max="8720" width="16" customWidth="1"/>
    <col min="8721" max="8960" width="9.140625" customWidth="1"/>
    <col min="8961" max="8961" width="16" customWidth="1"/>
    <col min="8962" max="8962" width="37.28515625" customWidth="1"/>
    <col min="8963" max="8967" width="16" customWidth="1"/>
    <col min="8968" max="8968" width="11.42578125" customWidth="1"/>
    <col min="8969" max="8969" width="4.5703125" customWidth="1"/>
    <col min="8970" max="8976" width="16" customWidth="1"/>
    <col min="8977" max="9216" width="9.140625" customWidth="1"/>
    <col min="9217" max="9217" width="16" customWidth="1"/>
    <col min="9218" max="9218" width="37.28515625" customWidth="1"/>
    <col min="9219" max="9223" width="16" customWidth="1"/>
    <col min="9224" max="9224" width="11.42578125" customWidth="1"/>
    <col min="9225" max="9225" width="4.5703125" customWidth="1"/>
    <col min="9226" max="9232" width="16" customWidth="1"/>
    <col min="9233" max="9472" width="9.140625" customWidth="1"/>
    <col min="9473" max="9473" width="16" customWidth="1"/>
    <col min="9474" max="9474" width="37.28515625" customWidth="1"/>
    <col min="9475" max="9479" width="16" customWidth="1"/>
    <col min="9480" max="9480" width="11.42578125" customWidth="1"/>
    <col min="9481" max="9481" width="4.5703125" customWidth="1"/>
    <col min="9482" max="9488" width="16" customWidth="1"/>
    <col min="9489" max="9728" width="9.140625" customWidth="1"/>
    <col min="9729" max="9729" width="16" customWidth="1"/>
    <col min="9730" max="9730" width="37.28515625" customWidth="1"/>
    <col min="9731" max="9735" width="16" customWidth="1"/>
    <col min="9736" max="9736" width="11.42578125" customWidth="1"/>
    <col min="9737" max="9737" width="4.5703125" customWidth="1"/>
    <col min="9738" max="9744" width="16" customWidth="1"/>
    <col min="9745" max="9984" width="9.140625" customWidth="1"/>
    <col min="9985" max="9985" width="16" customWidth="1"/>
    <col min="9986" max="9986" width="37.28515625" customWidth="1"/>
    <col min="9987" max="9991" width="16" customWidth="1"/>
    <col min="9992" max="9992" width="11.42578125" customWidth="1"/>
    <col min="9993" max="9993" width="4.5703125" customWidth="1"/>
    <col min="9994" max="10000" width="16" customWidth="1"/>
    <col min="10001" max="10240" width="9.140625" customWidth="1"/>
    <col min="10241" max="10241" width="16" customWidth="1"/>
    <col min="10242" max="10242" width="37.28515625" customWidth="1"/>
    <col min="10243" max="10247" width="16" customWidth="1"/>
    <col min="10248" max="10248" width="11.42578125" customWidth="1"/>
    <col min="10249" max="10249" width="4.5703125" customWidth="1"/>
    <col min="10250" max="10256" width="16" customWidth="1"/>
    <col min="10257" max="10496" width="9.140625" customWidth="1"/>
    <col min="10497" max="10497" width="16" customWidth="1"/>
    <col min="10498" max="10498" width="37.28515625" customWidth="1"/>
    <col min="10499" max="10503" width="16" customWidth="1"/>
    <col min="10504" max="10504" width="11.42578125" customWidth="1"/>
    <col min="10505" max="10505" width="4.5703125" customWidth="1"/>
    <col min="10506" max="10512" width="16" customWidth="1"/>
    <col min="10513" max="10752" width="9.140625" customWidth="1"/>
    <col min="10753" max="10753" width="16" customWidth="1"/>
    <col min="10754" max="10754" width="37.28515625" customWidth="1"/>
    <col min="10755" max="10759" width="16" customWidth="1"/>
    <col min="10760" max="10760" width="11.42578125" customWidth="1"/>
    <col min="10761" max="10761" width="4.5703125" customWidth="1"/>
    <col min="10762" max="10768" width="16" customWidth="1"/>
    <col min="10769" max="11008" width="9.140625" customWidth="1"/>
    <col min="11009" max="11009" width="16" customWidth="1"/>
    <col min="11010" max="11010" width="37.28515625" customWidth="1"/>
    <col min="11011" max="11015" width="16" customWidth="1"/>
    <col min="11016" max="11016" width="11.42578125" customWidth="1"/>
    <col min="11017" max="11017" width="4.5703125" customWidth="1"/>
    <col min="11018" max="11024" width="16" customWidth="1"/>
    <col min="11025" max="11264" width="9.140625" customWidth="1"/>
    <col min="11265" max="11265" width="16" customWidth="1"/>
    <col min="11266" max="11266" width="37.28515625" customWidth="1"/>
    <col min="11267" max="11271" width="16" customWidth="1"/>
    <col min="11272" max="11272" width="11.42578125" customWidth="1"/>
    <col min="11273" max="11273" width="4.5703125" customWidth="1"/>
    <col min="11274" max="11280" width="16" customWidth="1"/>
    <col min="11281" max="11520" width="9.140625" customWidth="1"/>
    <col min="11521" max="11521" width="16" customWidth="1"/>
    <col min="11522" max="11522" width="37.28515625" customWidth="1"/>
    <col min="11523" max="11527" width="16" customWidth="1"/>
    <col min="11528" max="11528" width="11.42578125" customWidth="1"/>
    <col min="11529" max="11529" width="4.5703125" customWidth="1"/>
    <col min="11530" max="11536" width="16" customWidth="1"/>
    <col min="11537" max="11776" width="9.140625" customWidth="1"/>
    <col min="11777" max="11777" width="16" customWidth="1"/>
    <col min="11778" max="11778" width="37.28515625" customWidth="1"/>
    <col min="11779" max="11783" width="16" customWidth="1"/>
    <col min="11784" max="11784" width="11.42578125" customWidth="1"/>
    <col min="11785" max="11785" width="4.5703125" customWidth="1"/>
    <col min="11786" max="11792" width="16" customWidth="1"/>
    <col min="11793" max="12032" width="9.140625" customWidth="1"/>
    <col min="12033" max="12033" width="16" customWidth="1"/>
    <col min="12034" max="12034" width="37.28515625" customWidth="1"/>
    <col min="12035" max="12039" width="16" customWidth="1"/>
    <col min="12040" max="12040" width="11.42578125" customWidth="1"/>
    <col min="12041" max="12041" width="4.5703125" customWidth="1"/>
    <col min="12042" max="12048" width="16" customWidth="1"/>
    <col min="12049" max="12288" width="9.140625" customWidth="1"/>
    <col min="12289" max="12289" width="16" customWidth="1"/>
    <col min="12290" max="12290" width="37.28515625" customWidth="1"/>
    <col min="12291" max="12295" width="16" customWidth="1"/>
    <col min="12296" max="12296" width="11.42578125" customWidth="1"/>
    <col min="12297" max="12297" width="4.5703125" customWidth="1"/>
    <col min="12298" max="12304" width="16" customWidth="1"/>
    <col min="12305" max="12544" width="9.140625" customWidth="1"/>
    <col min="12545" max="12545" width="16" customWidth="1"/>
    <col min="12546" max="12546" width="37.28515625" customWidth="1"/>
    <col min="12547" max="12551" width="16" customWidth="1"/>
    <col min="12552" max="12552" width="11.42578125" customWidth="1"/>
    <col min="12553" max="12553" width="4.5703125" customWidth="1"/>
    <col min="12554" max="12560" width="16" customWidth="1"/>
    <col min="12561" max="12800" width="9.140625" customWidth="1"/>
    <col min="12801" max="12801" width="16" customWidth="1"/>
    <col min="12802" max="12802" width="37.28515625" customWidth="1"/>
    <col min="12803" max="12807" width="16" customWidth="1"/>
    <col min="12808" max="12808" width="11.42578125" customWidth="1"/>
    <col min="12809" max="12809" width="4.5703125" customWidth="1"/>
    <col min="12810" max="12816" width="16" customWidth="1"/>
    <col min="12817" max="13056" width="9.140625" customWidth="1"/>
    <col min="13057" max="13057" width="16" customWidth="1"/>
    <col min="13058" max="13058" width="37.28515625" customWidth="1"/>
    <col min="13059" max="13063" width="16" customWidth="1"/>
    <col min="13064" max="13064" width="11.42578125" customWidth="1"/>
    <col min="13065" max="13065" width="4.5703125" customWidth="1"/>
    <col min="13066" max="13072" width="16" customWidth="1"/>
    <col min="13073" max="13312" width="9.140625" customWidth="1"/>
    <col min="13313" max="13313" width="16" customWidth="1"/>
    <col min="13314" max="13314" width="37.28515625" customWidth="1"/>
    <col min="13315" max="13319" width="16" customWidth="1"/>
    <col min="13320" max="13320" width="11.42578125" customWidth="1"/>
    <col min="13321" max="13321" width="4.5703125" customWidth="1"/>
    <col min="13322" max="13328" width="16" customWidth="1"/>
    <col min="13329" max="13568" width="9.140625" customWidth="1"/>
    <col min="13569" max="13569" width="16" customWidth="1"/>
    <col min="13570" max="13570" width="37.28515625" customWidth="1"/>
    <col min="13571" max="13575" width="16" customWidth="1"/>
    <col min="13576" max="13576" width="11.42578125" customWidth="1"/>
    <col min="13577" max="13577" width="4.5703125" customWidth="1"/>
    <col min="13578" max="13584" width="16" customWidth="1"/>
    <col min="13585" max="13824" width="9.140625" customWidth="1"/>
    <col min="13825" max="13825" width="16" customWidth="1"/>
    <col min="13826" max="13826" width="37.28515625" customWidth="1"/>
    <col min="13827" max="13831" width="16" customWidth="1"/>
    <col min="13832" max="13832" width="11.42578125" customWidth="1"/>
    <col min="13833" max="13833" width="4.5703125" customWidth="1"/>
    <col min="13834" max="13840" width="16" customWidth="1"/>
    <col min="13841" max="14080" width="9.140625" customWidth="1"/>
    <col min="14081" max="14081" width="16" customWidth="1"/>
    <col min="14082" max="14082" width="37.28515625" customWidth="1"/>
    <col min="14083" max="14087" width="16" customWidth="1"/>
    <col min="14088" max="14088" width="11.42578125" customWidth="1"/>
    <col min="14089" max="14089" width="4.5703125" customWidth="1"/>
    <col min="14090" max="14096" width="16" customWidth="1"/>
    <col min="14097" max="14336" width="9.140625" customWidth="1"/>
    <col min="14337" max="14337" width="16" customWidth="1"/>
    <col min="14338" max="14338" width="37.28515625" customWidth="1"/>
    <col min="14339" max="14343" width="16" customWidth="1"/>
    <col min="14344" max="14344" width="11.42578125" customWidth="1"/>
    <col min="14345" max="14345" width="4.5703125" customWidth="1"/>
    <col min="14346" max="14352" width="16" customWidth="1"/>
    <col min="14353" max="14592" width="9.140625" customWidth="1"/>
    <col min="14593" max="14593" width="16" customWidth="1"/>
    <col min="14594" max="14594" width="37.28515625" customWidth="1"/>
    <col min="14595" max="14599" width="16" customWidth="1"/>
    <col min="14600" max="14600" width="11.42578125" customWidth="1"/>
    <col min="14601" max="14601" width="4.5703125" customWidth="1"/>
    <col min="14602" max="14608" width="16" customWidth="1"/>
    <col min="14609" max="14848" width="9.140625" customWidth="1"/>
    <col min="14849" max="14849" width="16" customWidth="1"/>
    <col min="14850" max="14850" width="37.28515625" customWidth="1"/>
    <col min="14851" max="14855" width="16" customWidth="1"/>
    <col min="14856" max="14856" width="11.42578125" customWidth="1"/>
    <col min="14857" max="14857" width="4.5703125" customWidth="1"/>
    <col min="14858" max="14864" width="16" customWidth="1"/>
    <col min="14865" max="15104" width="9.140625" customWidth="1"/>
    <col min="15105" max="15105" width="16" customWidth="1"/>
    <col min="15106" max="15106" width="37.28515625" customWidth="1"/>
    <col min="15107" max="15111" width="16" customWidth="1"/>
    <col min="15112" max="15112" width="11.42578125" customWidth="1"/>
    <col min="15113" max="15113" width="4.5703125" customWidth="1"/>
    <col min="15114" max="15120" width="16" customWidth="1"/>
    <col min="15121" max="15360" width="9.140625" customWidth="1"/>
    <col min="15361" max="15361" width="16" customWidth="1"/>
    <col min="15362" max="15362" width="37.28515625" customWidth="1"/>
    <col min="15363" max="15367" width="16" customWidth="1"/>
    <col min="15368" max="15368" width="11.42578125" customWidth="1"/>
    <col min="15369" max="15369" width="4.5703125" customWidth="1"/>
    <col min="15370" max="15376" width="16" customWidth="1"/>
    <col min="15377" max="15616" width="9.140625" customWidth="1"/>
    <col min="15617" max="15617" width="16" customWidth="1"/>
    <col min="15618" max="15618" width="37.28515625" customWidth="1"/>
    <col min="15619" max="15623" width="16" customWidth="1"/>
    <col min="15624" max="15624" width="11.42578125" customWidth="1"/>
    <col min="15625" max="15625" width="4.5703125" customWidth="1"/>
    <col min="15626" max="15632" width="16" customWidth="1"/>
    <col min="15633" max="15872" width="9.140625" customWidth="1"/>
    <col min="15873" max="15873" width="16" customWidth="1"/>
    <col min="15874" max="15874" width="37.28515625" customWidth="1"/>
    <col min="15875" max="15879" width="16" customWidth="1"/>
    <col min="15880" max="15880" width="11.42578125" customWidth="1"/>
    <col min="15881" max="15881" width="4.5703125" customWidth="1"/>
    <col min="15882" max="15888" width="16" customWidth="1"/>
    <col min="15889" max="16128" width="9.140625" customWidth="1"/>
    <col min="16129" max="16129" width="16" customWidth="1"/>
    <col min="16130" max="16130" width="37.28515625" customWidth="1"/>
    <col min="16131" max="16135" width="16" customWidth="1"/>
    <col min="16136" max="16136" width="11.42578125" customWidth="1"/>
    <col min="16137" max="16137" width="4.5703125" customWidth="1"/>
    <col min="16138" max="16144" width="16" customWidth="1"/>
    <col min="16145" max="16384" width="9.140625" customWidth="1"/>
  </cols>
  <sheetData>
    <row r="1" spans="1:16">
      <c r="A1" s="3496" t="s">
        <v>29</v>
      </c>
      <c r="B1" s="3496"/>
      <c r="C1" s="3496"/>
      <c r="D1" s="3496"/>
      <c r="E1" s="3496"/>
      <c r="F1" s="3496"/>
      <c r="G1" s="3496"/>
      <c r="H1" s="3496"/>
    </row>
    <row r="2" spans="1:16" ht="15.75">
      <c r="A2" s="3497" t="s">
        <v>4256</v>
      </c>
      <c r="B2" s="3497"/>
      <c r="C2" s="3497"/>
      <c r="D2" s="3497"/>
      <c r="E2" s="3497"/>
      <c r="F2" s="3497"/>
      <c r="G2" s="3497"/>
      <c r="H2" s="3497"/>
    </row>
    <row r="3" spans="1:16" s="3" customFormat="1"/>
    <row r="4" spans="1:16" ht="25.5">
      <c r="A4" s="2852" t="s">
        <v>31</v>
      </c>
      <c r="B4" s="3498" t="s">
        <v>32</v>
      </c>
      <c r="C4" s="3498"/>
      <c r="D4" s="3498"/>
      <c r="E4" s="3498"/>
      <c r="F4" s="3498"/>
      <c r="G4" s="3498"/>
      <c r="H4" s="3498"/>
    </row>
    <row r="5" spans="1:16" s="3" customFormat="1"/>
    <row r="6" spans="1:16">
      <c r="A6" s="2852" t="s">
        <v>33</v>
      </c>
      <c r="B6" s="3498" t="s">
        <v>1314</v>
      </c>
      <c r="C6" s="3498"/>
      <c r="D6" s="3498"/>
      <c r="E6" s="3498"/>
      <c r="F6" s="3498"/>
      <c r="G6" s="3498"/>
      <c r="H6" s="3498"/>
    </row>
    <row r="7" spans="1:16" s="3" customFormat="1"/>
    <row r="8" spans="1:16" ht="13.5">
      <c r="A8" s="3577" t="s">
        <v>35</v>
      </c>
      <c r="B8" s="3577"/>
      <c r="C8" s="3577" t="s">
        <v>36</v>
      </c>
      <c r="D8" s="3577" t="s">
        <v>37</v>
      </c>
      <c r="E8" s="3577" t="s">
        <v>38</v>
      </c>
      <c r="F8" s="3578">
        <v>23</v>
      </c>
      <c r="G8" s="3578">
        <v>25</v>
      </c>
      <c r="H8" s="3578">
        <v>26</v>
      </c>
      <c r="I8" s="3578"/>
      <c r="J8" s="3578">
        <v>69</v>
      </c>
      <c r="K8" s="3578">
        <v>70</v>
      </c>
      <c r="L8" s="3578">
        <v>79</v>
      </c>
      <c r="M8" s="3577" t="s">
        <v>39</v>
      </c>
      <c r="N8" s="3587">
        <v>90</v>
      </c>
      <c r="O8" s="3585" t="s">
        <v>40</v>
      </c>
      <c r="P8" s="3585" t="s">
        <v>41</v>
      </c>
    </row>
    <row r="9" spans="1:16" ht="13.5">
      <c r="A9" s="3577" t="s">
        <v>1315</v>
      </c>
      <c r="B9" s="3577"/>
      <c r="C9" s="3577"/>
      <c r="D9" s="3577"/>
      <c r="E9" s="3577"/>
      <c r="F9" s="3579"/>
      <c r="G9" s="3579"/>
      <c r="H9" s="3579"/>
      <c r="I9" s="3579"/>
      <c r="J9" s="3579"/>
      <c r="K9" s="3579"/>
      <c r="L9" s="3579"/>
      <c r="M9" s="3577"/>
      <c r="N9" s="3588"/>
      <c r="O9" s="3585"/>
      <c r="P9" s="3585"/>
    </row>
    <row r="10" spans="1:16" ht="13.5">
      <c r="A10" s="3577" t="s">
        <v>1316</v>
      </c>
      <c r="B10" s="3577"/>
      <c r="C10" s="3577"/>
      <c r="D10" s="3577"/>
      <c r="E10" s="3577"/>
      <c r="F10" s="3579"/>
      <c r="G10" s="3579"/>
      <c r="H10" s="3579"/>
      <c r="I10" s="3579"/>
      <c r="J10" s="3579"/>
      <c r="K10" s="3579"/>
      <c r="L10" s="3579"/>
      <c r="M10" s="3577"/>
      <c r="N10" s="3588"/>
      <c r="O10" s="3585"/>
      <c r="P10" s="3585"/>
    </row>
    <row r="11" spans="1:16" ht="13.5">
      <c r="A11" s="3586">
        <v>20</v>
      </c>
      <c r="B11" s="3586"/>
      <c r="C11" s="2863"/>
      <c r="D11" s="2863"/>
      <c r="E11" s="2864">
        <v>3061112.05</v>
      </c>
      <c r="F11" s="2864">
        <v>12081.35</v>
      </c>
      <c r="G11" s="2864">
        <v>2880518.19</v>
      </c>
      <c r="H11" s="3581">
        <v>68670.73</v>
      </c>
      <c r="I11" s="3581"/>
      <c r="J11" s="2864">
        <v>12388.23</v>
      </c>
      <c r="K11" s="2864">
        <v>40927.58</v>
      </c>
      <c r="L11" s="2864">
        <v>46525.97</v>
      </c>
      <c r="M11" s="2864">
        <v>3061112.05</v>
      </c>
      <c r="N11" s="2858">
        <v>3061112.05</v>
      </c>
      <c r="O11" s="2857"/>
      <c r="P11" s="2857"/>
    </row>
    <row r="12" spans="1:16" ht="13.5" outlineLevel="1">
      <c r="A12" s="3580" t="s">
        <v>4257</v>
      </c>
      <c r="B12" s="3580"/>
      <c r="C12" s="2863"/>
      <c r="D12" s="2863"/>
      <c r="E12" s="2864">
        <v>3061112.05</v>
      </c>
      <c r="F12" s="2864">
        <v>12081.35</v>
      </c>
      <c r="G12" s="2864">
        <v>2880518.19</v>
      </c>
      <c r="H12" s="3581">
        <v>68670.73</v>
      </c>
      <c r="I12" s="3581"/>
      <c r="J12" s="2864">
        <v>12388.23</v>
      </c>
      <c r="K12" s="2864">
        <v>40927.58</v>
      </c>
      <c r="L12" s="2864">
        <v>46525.97</v>
      </c>
      <c r="M12" s="2864">
        <v>3061112.05</v>
      </c>
      <c r="N12" s="2862">
        <v>3061112.05</v>
      </c>
      <c r="O12" s="2861"/>
      <c r="P12" s="2861"/>
    </row>
    <row r="13" spans="1:16" ht="13.5" outlineLevel="2">
      <c r="A13" s="3582" t="s">
        <v>1512</v>
      </c>
      <c r="B13" s="3582"/>
      <c r="C13" s="2863"/>
      <c r="D13" s="2863"/>
      <c r="E13" s="2864">
        <v>3061112.05</v>
      </c>
      <c r="F13" s="2864">
        <v>12081.35</v>
      </c>
      <c r="G13" s="2864">
        <v>2880518.19</v>
      </c>
      <c r="H13" s="3581">
        <v>68670.73</v>
      </c>
      <c r="I13" s="3581"/>
      <c r="J13" s="2864">
        <v>12388.23</v>
      </c>
      <c r="K13" s="2864">
        <v>40927.58</v>
      </c>
      <c r="L13" s="2864">
        <v>46525.97</v>
      </c>
      <c r="M13" s="2864">
        <v>3061112.05</v>
      </c>
      <c r="N13" s="2862">
        <v>3061112.05</v>
      </c>
      <c r="O13" s="2861"/>
      <c r="P13" s="2861"/>
    </row>
    <row r="14" spans="1:16" ht="13.5" outlineLevel="3">
      <c r="A14" s="3583" t="s">
        <v>46</v>
      </c>
      <c r="B14" s="3583"/>
      <c r="C14" s="2868"/>
      <c r="D14" s="2868"/>
      <c r="E14" s="2869">
        <v>148662.95000000001</v>
      </c>
      <c r="F14" s="2869">
        <v>12081.35</v>
      </c>
      <c r="G14" s="2869">
        <v>63311.63</v>
      </c>
      <c r="H14" s="3584">
        <v>23291.09</v>
      </c>
      <c r="I14" s="3584"/>
      <c r="J14" s="2869">
        <v>11613.71</v>
      </c>
      <c r="K14" s="2869">
        <v>38365.17</v>
      </c>
      <c r="L14" s="2870"/>
      <c r="M14" s="2869">
        <v>148662.95000000001</v>
      </c>
      <c r="N14" s="2858">
        <v>148662.95000000001</v>
      </c>
      <c r="O14" s="2857"/>
      <c r="P14" s="2857"/>
    </row>
    <row r="15" spans="1:16" outlineLevel="4">
      <c r="A15" s="3592" t="s">
        <v>1469</v>
      </c>
      <c r="B15" s="3592"/>
      <c r="C15" s="2861"/>
      <c r="D15" s="2861"/>
      <c r="E15" s="2862">
        <v>4443.8900000000003</v>
      </c>
      <c r="F15" s="2862">
        <v>2196.48</v>
      </c>
      <c r="G15" s="2862">
        <v>1906.23</v>
      </c>
      <c r="H15" s="3593">
        <v>341.18</v>
      </c>
      <c r="I15" s="3593"/>
      <c r="J15" s="2865"/>
      <c r="K15" s="2865"/>
      <c r="L15" s="2865"/>
      <c r="M15" s="2862">
        <v>4443.8900000000003</v>
      </c>
      <c r="N15" s="2858">
        <v>4443.8900000000003</v>
      </c>
      <c r="O15" s="2857"/>
      <c r="P15" s="2857"/>
    </row>
    <row r="16" spans="1:16" outlineLevel="4">
      <c r="A16" s="3592" t="s">
        <v>1470</v>
      </c>
      <c r="B16" s="3592"/>
      <c r="C16" s="2861"/>
      <c r="D16" s="2861"/>
      <c r="E16" s="2862">
        <v>83952.639999999999</v>
      </c>
      <c r="F16" s="2862">
        <v>3451.13</v>
      </c>
      <c r="G16" s="2862">
        <v>29397.48</v>
      </c>
      <c r="H16" s="3594">
        <v>12738.86</v>
      </c>
      <c r="I16" s="3594"/>
      <c r="J16" s="2865"/>
      <c r="K16" s="2862">
        <v>38365.17</v>
      </c>
      <c r="L16" s="2865"/>
      <c r="M16" s="2862">
        <v>83952.639999999999</v>
      </c>
      <c r="N16" s="2858">
        <v>83952.639999999999</v>
      </c>
      <c r="O16" s="2857"/>
      <c r="P16" s="2857"/>
    </row>
    <row r="17" spans="1:16" outlineLevel="4">
      <c r="A17" s="3595" t="s">
        <v>1471</v>
      </c>
      <c r="B17" s="3595"/>
      <c r="C17" s="2857"/>
      <c r="D17" s="2857"/>
      <c r="E17" s="2858">
        <v>14907.18</v>
      </c>
      <c r="F17" s="2858">
        <v>5190.8599999999997</v>
      </c>
      <c r="G17" s="2858">
        <v>7182.12</v>
      </c>
      <c r="H17" s="3596">
        <v>2534.1999999999998</v>
      </c>
      <c r="I17" s="3596"/>
      <c r="J17" s="2859"/>
      <c r="K17" s="2859"/>
      <c r="L17" s="2859"/>
      <c r="M17" s="2858">
        <v>14907.18</v>
      </c>
      <c r="N17" s="2858">
        <v>14907.18</v>
      </c>
      <c r="O17" s="2857"/>
      <c r="P17" s="2857"/>
    </row>
    <row r="18" spans="1:16" outlineLevel="5">
      <c r="A18" s="3589" t="s">
        <v>1472</v>
      </c>
      <c r="B18" s="3589"/>
      <c r="C18" s="2857"/>
      <c r="D18" s="2857"/>
      <c r="E18" s="2858">
        <v>2652.44</v>
      </c>
      <c r="F18" s="2859"/>
      <c r="G18" s="2858">
        <v>2652.44</v>
      </c>
      <c r="H18" s="2859"/>
      <c r="I18" s="2859"/>
      <c r="J18" s="2859"/>
      <c r="K18" s="2859"/>
      <c r="L18" s="2859"/>
      <c r="M18" s="2858">
        <v>2652.44</v>
      </c>
      <c r="N18" s="2858">
        <v>2652.44</v>
      </c>
      <c r="O18" s="2857"/>
      <c r="P18" s="2857"/>
    </row>
    <row r="19" spans="1:16" outlineLevel="5">
      <c r="A19" s="3589" t="s">
        <v>1473</v>
      </c>
      <c r="B19" s="3589"/>
      <c r="C19" s="2857"/>
      <c r="D19" s="2857"/>
      <c r="E19" s="2858">
        <v>1354.57</v>
      </c>
      <c r="F19" s="2859"/>
      <c r="G19" s="2860">
        <v>795.33</v>
      </c>
      <c r="H19" s="3590">
        <v>559.24</v>
      </c>
      <c r="I19" s="3590"/>
      <c r="J19" s="2859"/>
      <c r="K19" s="2859"/>
      <c r="L19" s="2859"/>
      <c r="M19" s="2858">
        <v>1354.57</v>
      </c>
      <c r="N19" s="2858">
        <v>1354.57</v>
      </c>
      <c r="O19" s="2857"/>
      <c r="P19" s="2857"/>
    </row>
    <row r="20" spans="1:16" outlineLevel="6">
      <c r="A20" s="3591" t="s">
        <v>1474</v>
      </c>
      <c r="B20" s="3591"/>
      <c r="C20" s="2857"/>
      <c r="D20" s="2857"/>
      <c r="E20" s="2860">
        <v>815.44</v>
      </c>
      <c r="F20" s="2859"/>
      <c r="G20" s="2860">
        <v>454.09</v>
      </c>
      <c r="H20" s="3590">
        <v>361.35</v>
      </c>
      <c r="I20" s="3590"/>
      <c r="J20" s="2859"/>
      <c r="K20" s="2859"/>
      <c r="L20" s="2859"/>
      <c r="M20" s="2860">
        <v>815.44</v>
      </c>
      <c r="N20" s="2860">
        <v>815.44</v>
      </c>
      <c r="O20" s="2857"/>
      <c r="P20" s="2857"/>
    </row>
    <row r="21" spans="1:16" outlineLevel="6">
      <c r="A21" s="3591" t="s">
        <v>1475</v>
      </c>
      <c r="B21" s="3591"/>
      <c r="C21" s="2857"/>
      <c r="D21" s="2857"/>
      <c r="E21" s="2860">
        <v>539.13</v>
      </c>
      <c r="F21" s="2859"/>
      <c r="G21" s="2860">
        <v>341.24</v>
      </c>
      <c r="H21" s="3590">
        <v>197.89</v>
      </c>
      <c r="I21" s="3590"/>
      <c r="J21" s="2859"/>
      <c r="K21" s="2859"/>
      <c r="L21" s="2859"/>
      <c r="M21" s="2860">
        <v>539.13</v>
      </c>
      <c r="N21" s="2860">
        <v>539.13</v>
      </c>
      <c r="O21" s="2857"/>
      <c r="P21" s="2857"/>
    </row>
    <row r="22" spans="1:16" outlineLevel="7">
      <c r="A22" s="3597" t="s">
        <v>1476</v>
      </c>
      <c r="B22" s="3597"/>
      <c r="C22" s="2857"/>
      <c r="D22" s="2857"/>
      <c r="E22" s="2860">
        <v>161</v>
      </c>
      <c r="F22" s="2859"/>
      <c r="G22" s="2860">
        <v>26.83</v>
      </c>
      <c r="H22" s="3590">
        <v>134.16999999999999</v>
      </c>
      <c r="I22" s="3590"/>
      <c r="J22" s="2859"/>
      <c r="K22" s="2859"/>
      <c r="L22" s="2859"/>
      <c r="M22" s="2860">
        <v>161</v>
      </c>
      <c r="N22" s="2860">
        <v>161</v>
      </c>
      <c r="O22" s="2857"/>
      <c r="P22" s="2857"/>
    </row>
    <row r="23" spans="1:16" outlineLevel="7">
      <c r="A23" s="3597" t="s">
        <v>1477</v>
      </c>
      <c r="B23" s="3597"/>
      <c r="C23" s="2857"/>
      <c r="D23" s="2857"/>
      <c r="E23" s="2860">
        <v>378.13</v>
      </c>
      <c r="F23" s="2859"/>
      <c r="G23" s="2860">
        <v>314.41000000000003</v>
      </c>
      <c r="H23" s="3590">
        <v>63.72</v>
      </c>
      <c r="I23" s="3590"/>
      <c r="J23" s="2859"/>
      <c r="K23" s="2859"/>
      <c r="L23" s="2859"/>
      <c r="M23" s="2860">
        <v>378.13</v>
      </c>
      <c r="N23" s="2860">
        <v>378.13</v>
      </c>
      <c r="O23" s="2857"/>
      <c r="P23" s="2857"/>
    </row>
    <row r="24" spans="1:16" outlineLevel="5">
      <c r="A24" s="3589" t="s">
        <v>1478</v>
      </c>
      <c r="B24" s="3589"/>
      <c r="C24" s="2857"/>
      <c r="D24" s="2857"/>
      <c r="E24" s="2858">
        <v>10900.17</v>
      </c>
      <c r="F24" s="2858">
        <v>5190.8599999999997</v>
      </c>
      <c r="G24" s="2858">
        <v>3734.35</v>
      </c>
      <c r="H24" s="3596">
        <v>1974.96</v>
      </c>
      <c r="I24" s="3596"/>
      <c r="J24" s="2859"/>
      <c r="K24" s="2859"/>
      <c r="L24" s="2859"/>
      <c r="M24" s="2858">
        <v>10900.17</v>
      </c>
      <c r="N24" s="2858">
        <v>10900.17</v>
      </c>
      <c r="O24" s="2857"/>
      <c r="P24" s="2857"/>
    </row>
    <row r="25" spans="1:16" outlineLevel="6">
      <c r="A25" s="3591" t="s">
        <v>1479</v>
      </c>
      <c r="B25" s="3591"/>
      <c r="C25" s="2857"/>
      <c r="D25" s="2857"/>
      <c r="E25" s="2858">
        <v>6239.36</v>
      </c>
      <c r="F25" s="2858">
        <v>3799.71</v>
      </c>
      <c r="G25" s="2858">
        <v>1922.65</v>
      </c>
      <c r="H25" s="3590">
        <v>517</v>
      </c>
      <c r="I25" s="3590"/>
      <c r="J25" s="2859"/>
      <c r="K25" s="2859"/>
      <c r="L25" s="2859"/>
      <c r="M25" s="2858">
        <v>6239.36</v>
      </c>
      <c r="N25" s="2858">
        <v>6239.36</v>
      </c>
      <c r="O25" s="2857"/>
      <c r="P25" s="2857"/>
    </row>
    <row r="26" spans="1:16" outlineLevel="6">
      <c r="A26" s="3591" t="s">
        <v>1480</v>
      </c>
      <c r="B26" s="3591"/>
      <c r="C26" s="2857"/>
      <c r="D26" s="2857"/>
      <c r="E26" s="2860">
        <v>928.13</v>
      </c>
      <c r="F26" s="2860">
        <v>531.5</v>
      </c>
      <c r="G26" s="2860">
        <v>389.39</v>
      </c>
      <c r="H26" s="3590">
        <v>7.24</v>
      </c>
      <c r="I26" s="3590"/>
      <c r="J26" s="2859"/>
      <c r="K26" s="2859"/>
      <c r="L26" s="2859"/>
      <c r="M26" s="2860">
        <v>928.13</v>
      </c>
      <c r="N26" s="2860">
        <v>928.13</v>
      </c>
      <c r="O26" s="2857"/>
      <c r="P26" s="2857"/>
    </row>
    <row r="27" spans="1:16" outlineLevel="6">
      <c r="A27" s="3591" t="s">
        <v>1481</v>
      </c>
      <c r="B27" s="3591"/>
      <c r="C27" s="2857"/>
      <c r="D27" s="2857"/>
      <c r="E27" s="2858">
        <v>1155.4000000000001</v>
      </c>
      <c r="F27" s="2860">
        <v>668.01</v>
      </c>
      <c r="G27" s="2860">
        <v>303.26</v>
      </c>
      <c r="H27" s="3590">
        <v>184.13</v>
      </c>
      <c r="I27" s="3590"/>
      <c r="J27" s="2859"/>
      <c r="K27" s="2859"/>
      <c r="L27" s="2859"/>
      <c r="M27" s="2858">
        <v>1155.4000000000001</v>
      </c>
      <c r="N27" s="2858">
        <v>1155.4000000000001</v>
      </c>
      <c r="O27" s="2857"/>
      <c r="P27" s="2857"/>
    </row>
    <row r="28" spans="1:16" outlineLevel="6">
      <c r="A28" s="3591" t="s">
        <v>1482</v>
      </c>
      <c r="B28" s="3591"/>
      <c r="C28" s="2857"/>
      <c r="D28" s="2857"/>
      <c r="E28" s="2858">
        <v>2577.2800000000002</v>
      </c>
      <c r="F28" s="2860">
        <v>191.64</v>
      </c>
      <c r="G28" s="2858">
        <v>1119.05</v>
      </c>
      <c r="H28" s="3596">
        <v>1266.5899999999999</v>
      </c>
      <c r="I28" s="3596"/>
      <c r="J28" s="2859"/>
      <c r="K28" s="2859"/>
      <c r="L28" s="2859"/>
      <c r="M28" s="2858">
        <v>2577.2800000000002</v>
      </c>
      <c r="N28" s="2858">
        <v>2577.2800000000002</v>
      </c>
      <c r="O28" s="2857"/>
      <c r="P28" s="2857"/>
    </row>
    <row r="29" spans="1:16" outlineLevel="4">
      <c r="A29" s="3595" t="s">
        <v>1483</v>
      </c>
      <c r="B29" s="3595"/>
      <c r="C29" s="2857"/>
      <c r="D29" s="2857"/>
      <c r="E29" s="2858">
        <v>19955.759999999998</v>
      </c>
      <c r="F29" s="2860">
        <v>199.26</v>
      </c>
      <c r="G29" s="2858">
        <v>15918.43</v>
      </c>
      <c r="H29" s="3596">
        <v>3838.07</v>
      </c>
      <c r="I29" s="3596"/>
      <c r="J29" s="2859"/>
      <c r="K29" s="2859"/>
      <c r="L29" s="2859"/>
      <c r="M29" s="2858">
        <v>19955.759999999998</v>
      </c>
      <c r="N29" s="2858">
        <v>19955.759999999998</v>
      </c>
      <c r="O29" s="2857"/>
      <c r="P29" s="2857"/>
    </row>
    <row r="30" spans="1:16" outlineLevel="5">
      <c r="A30" s="3589" t="s">
        <v>1484</v>
      </c>
      <c r="B30" s="3589"/>
      <c r="C30" s="2857"/>
      <c r="D30" s="2857"/>
      <c r="E30" s="2860">
        <v>426.45</v>
      </c>
      <c r="F30" s="2859"/>
      <c r="G30" s="2860">
        <v>426.45</v>
      </c>
      <c r="H30" s="2859"/>
      <c r="I30" s="2859"/>
      <c r="J30" s="2859"/>
      <c r="K30" s="2859"/>
      <c r="L30" s="2859"/>
      <c r="M30" s="2860">
        <v>426.45</v>
      </c>
      <c r="N30" s="2860">
        <v>426.45</v>
      </c>
      <c r="O30" s="2857"/>
      <c r="P30" s="2857"/>
    </row>
    <row r="31" spans="1:16" outlineLevel="5">
      <c r="A31" s="3589" t="s">
        <v>1485</v>
      </c>
      <c r="B31" s="3589"/>
      <c r="C31" s="2857"/>
      <c r="D31" s="2857"/>
      <c r="E31" s="2860">
        <v>537.92999999999995</v>
      </c>
      <c r="F31" s="2859"/>
      <c r="G31" s="2860">
        <v>296.45</v>
      </c>
      <c r="H31" s="3590">
        <v>241.48</v>
      </c>
      <c r="I31" s="3590"/>
      <c r="J31" s="2859"/>
      <c r="K31" s="2859"/>
      <c r="L31" s="2859"/>
      <c r="M31" s="2860">
        <v>537.92999999999995</v>
      </c>
      <c r="N31" s="2860">
        <v>537.92999999999995</v>
      </c>
      <c r="O31" s="2857"/>
      <c r="P31" s="2857"/>
    </row>
    <row r="32" spans="1:16" outlineLevel="6">
      <c r="A32" s="3591" t="s">
        <v>1486</v>
      </c>
      <c r="B32" s="3591"/>
      <c r="C32" s="2857"/>
      <c r="D32" s="2857"/>
      <c r="E32" s="2860">
        <v>53.92</v>
      </c>
      <c r="F32" s="2859"/>
      <c r="G32" s="2860">
        <v>51.6</v>
      </c>
      <c r="H32" s="3590">
        <v>2.3199999999999998</v>
      </c>
      <c r="I32" s="3590"/>
      <c r="J32" s="2859"/>
      <c r="K32" s="2859"/>
      <c r="L32" s="2859"/>
      <c r="M32" s="2860">
        <v>53.92</v>
      </c>
      <c r="N32" s="2860">
        <v>53.92</v>
      </c>
      <c r="O32" s="2857"/>
      <c r="P32" s="2857"/>
    </row>
    <row r="33" spans="1:16" outlineLevel="5">
      <c r="A33" s="3589" t="s">
        <v>1488</v>
      </c>
      <c r="B33" s="3589"/>
      <c r="C33" s="2857"/>
      <c r="D33" s="2857"/>
      <c r="E33" s="2858">
        <v>1577.93</v>
      </c>
      <c r="F33" s="2860">
        <v>141.35</v>
      </c>
      <c r="G33" s="2860">
        <v>901.35</v>
      </c>
      <c r="H33" s="3590">
        <v>535.23</v>
      </c>
      <c r="I33" s="3590"/>
      <c r="J33" s="2859"/>
      <c r="K33" s="2859"/>
      <c r="L33" s="2859"/>
      <c r="M33" s="2858">
        <v>1577.93</v>
      </c>
      <c r="N33" s="2858">
        <v>1577.93</v>
      </c>
      <c r="O33" s="2857"/>
      <c r="P33" s="2857"/>
    </row>
    <row r="34" spans="1:16" outlineLevel="5">
      <c r="A34" s="3589" t="s">
        <v>1489</v>
      </c>
      <c r="B34" s="3589"/>
      <c r="C34" s="2857"/>
      <c r="D34" s="2857"/>
      <c r="E34" s="2860">
        <v>573.72</v>
      </c>
      <c r="F34" s="2859"/>
      <c r="G34" s="2860">
        <v>485.06</v>
      </c>
      <c r="H34" s="3590">
        <v>88.66</v>
      </c>
      <c r="I34" s="3590"/>
      <c r="J34" s="2859"/>
      <c r="K34" s="2859"/>
      <c r="L34" s="2859"/>
      <c r="M34" s="2860">
        <v>573.72</v>
      </c>
      <c r="N34" s="2860">
        <v>573.72</v>
      </c>
      <c r="O34" s="2857"/>
      <c r="P34" s="2857"/>
    </row>
    <row r="35" spans="1:16" outlineLevel="6">
      <c r="A35" s="3591" t="s">
        <v>1490</v>
      </c>
      <c r="B35" s="3591"/>
      <c r="C35" s="2857"/>
      <c r="D35" s="2857"/>
      <c r="E35" s="2860">
        <v>436.44</v>
      </c>
      <c r="F35" s="2859"/>
      <c r="G35" s="2860">
        <v>436.44</v>
      </c>
      <c r="H35" s="2859"/>
      <c r="I35" s="2859"/>
      <c r="J35" s="2859"/>
      <c r="K35" s="2859"/>
      <c r="L35" s="2859"/>
      <c r="M35" s="2860">
        <v>436.44</v>
      </c>
      <c r="N35" s="2860">
        <v>436.44</v>
      </c>
      <c r="O35" s="2857"/>
      <c r="P35" s="2857"/>
    </row>
    <row r="36" spans="1:16" outlineLevel="6">
      <c r="A36" s="3591" t="s">
        <v>1491</v>
      </c>
      <c r="B36" s="3591"/>
      <c r="C36" s="2857"/>
      <c r="D36" s="2857"/>
      <c r="E36" s="2860">
        <v>137.28</v>
      </c>
      <c r="F36" s="2859"/>
      <c r="G36" s="2860">
        <v>48.62</v>
      </c>
      <c r="H36" s="3590">
        <v>88.66</v>
      </c>
      <c r="I36" s="3590"/>
      <c r="J36" s="2859"/>
      <c r="K36" s="2859"/>
      <c r="L36" s="2859"/>
      <c r="M36" s="2860">
        <v>137.28</v>
      </c>
      <c r="N36" s="2860">
        <v>137.28</v>
      </c>
      <c r="O36" s="2857"/>
      <c r="P36" s="2857"/>
    </row>
    <row r="37" spans="1:16" outlineLevel="5">
      <c r="A37" s="3589" t="s">
        <v>1492</v>
      </c>
      <c r="B37" s="3589"/>
      <c r="C37" s="2857"/>
      <c r="D37" s="2857"/>
      <c r="E37" s="2858">
        <v>9254.57</v>
      </c>
      <c r="F37" s="2860">
        <v>57.91</v>
      </c>
      <c r="G37" s="2858">
        <v>9149.16</v>
      </c>
      <c r="H37" s="3590">
        <v>47.5</v>
      </c>
      <c r="I37" s="3590"/>
      <c r="J37" s="2859"/>
      <c r="K37" s="2859"/>
      <c r="L37" s="2859"/>
      <c r="M37" s="2858">
        <v>9254.57</v>
      </c>
      <c r="N37" s="2858">
        <v>9254.57</v>
      </c>
      <c r="O37" s="2857"/>
      <c r="P37" s="2857"/>
    </row>
    <row r="38" spans="1:16" outlineLevel="5">
      <c r="A38" s="3589" t="s">
        <v>1493</v>
      </c>
      <c r="B38" s="3589"/>
      <c r="C38" s="2857"/>
      <c r="D38" s="2857"/>
      <c r="E38" s="2858">
        <v>7512.31</v>
      </c>
      <c r="F38" s="2859"/>
      <c r="G38" s="2858">
        <v>4659.96</v>
      </c>
      <c r="H38" s="3596">
        <v>2852.35</v>
      </c>
      <c r="I38" s="3596"/>
      <c r="J38" s="2859"/>
      <c r="K38" s="2859"/>
      <c r="L38" s="2859"/>
      <c r="M38" s="2858">
        <v>7512.31</v>
      </c>
      <c r="N38" s="2858">
        <v>7512.31</v>
      </c>
      <c r="O38" s="2857"/>
      <c r="P38" s="2857"/>
    </row>
    <row r="39" spans="1:16" outlineLevel="6">
      <c r="A39" s="3591" t="s">
        <v>1494</v>
      </c>
      <c r="B39" s="3591"/>
      <c r="C39" s="2857"/>
      <c r="D39" s="2857"/>
      <c r="E39" s="2860">
        <v>172.3</v>
      </c>
      <c r="F39" s="2859"/>
      <c r="G39" s="2860">
        <v>133.82</v>
      </c>
      <c r="H39" s="3590">
        <v>38.479999999999997</v>
      </c>
      <c r="I39" s="3590"/>
      <c r="J39" s="2859"/>
      <c r="K39" s="2859"/>
      <c r="L39" s="2859"/>
      <c r="M39" s="2860">
        <v>172.3</v>
      </c>
      <c r="N39" s="2860">
        <v>172.3</v>
      </c>
      <c r="O39" s="2857"/>
      <c r="P39" s="2857"/>
    </row>
    <row r="40" spans="1:16" outlineLevel="6">
      <c r="A40" s="3591" t="s">
        <v>1495</v>
      </c>
      <c r="B40" s="3591"/>
      <c r="C40" s="2857"/>
      <c r="D40" s="2857"/>
      <c r="E40" s="2860">
        <v>574.15</v>
      </c>
      <c r="F40" s="2859"/>
      <c r="G40" s="2860">
        <v>574.15</v>
      </c>
      <c r="H40" s="2859"/>
      <c r="I40" s="2859"/>
      <c r="J40" s="2859"/>
      <c r="K40" s="2859"/>
      <c r="L40" s="2859"/>
      <c r="M40" s="2860">
        <v>574.15</v>
      </c>
      <c r="N40" s="2860">
        <v>574.15</v>
      </c>
      <c r="O40" s="2857"/>
      <c r="P40" s="2857"/>
    </row>
    <row r="41" spans="1:16" outlineLevel="6">
      <c r="A41" s="3591" t="s">
        <v>1497</v>
      </c>
      <c r="B41" s="3591"/>
      <c r="C41" s="2857"/>
      <c r="D41" s="2857"/>
      <c r="E41" s="2858">
        <v>2668.98</v>
      </c>
      <c r="F41" s="2859"/>
      <c r="G41" s="2860">
        <v>708.52</v>
      </c>
      <c r="H41" s="3596">
        <v>1960.46</v>
      </c>
      <c r="I41" s="3596"/>
      <c r="J41" s="2859"/>
      <c r="K41" s="2859"/>
      <c r="L41" s="2859"/>
      <c r="M41" s="2858">
        <v>2668.98</v>
      </c>
      <c r="N41" s="2858">
        <v>2668.98</v>
      </c>
      <c r="O41" s="2857"/>
      <c r="P41" s="2857"/>
    </row>
    <row r="42" spans="1:16" outlineLevel="6">
      <c r="A42" s="3591" t="s">
        <v>1498</v>
      </c>
      <c r="B42" s="3591"/>
      <c r="C42" s="2857"/>
      <c r="D42" s="2857"/>
      <c r="E42" s="2860">
        <v>458.61</v>
      </c>
      <c r="F42" s="2859"/>
      <c r="G42" s="2860">
        <v>387.01</v>
      </c>
      <c r="H42" s="3590">
        <v>71.599999999999994</v>
      </c>
      <c r="I42" s="3590"/>
      <c r="J42" s="2859"/>
      <c r="K42" s="2859"/>
      <c r="L42" s="2859"/>
      <c r="M42" s="2860">
        <v>458.61</v>
      </c>
      <c r="N42" s="2860">
        <v>458.61</v>
      </c>
      <c r="O42" s="2857"/>
      <c r="P42" s="2857"/>
    </row>
    <row r="43" spans="1:16" outlineLevel="6">
      <c r="A43" s="3591" t="s">
        <v>1499</v>
      </c>
      <c r="B43" s="3591"/>
      <c r="C43" s="2857"/>
      <c r="D43" s="2857"/>
      <c r="E43" s="2858">
        <v>1211.42</v>
      </c>
      <c r="F43" s="2859"/>
      <c r="G43" s="2860">
        <v>877.75</v>
      </c>
      <c r="H43" s="3590">
        <v>333.67</v>
      </c>
      <c r="I43" s="3590"/>
      <c r="J43" s="2859"/>
      <c r="K43" s="2859"/>
      <c r="L43" s="2859"/>
      <c r="M43" s="2858">
        <v>1211.42</v>
      </c>
      <c r="N43" s="2858">
        <v>1211.42</v>
      </c>
      <c r="O43" s="2857"/>
      <c r="P43" s="2857"/>
    </row>
    <row r="44" spans="1:16" outlineLevel="4">
      <c r="A44" s="3595" t="s">
        <v>1500</v>
      </c>
      <c r="B44" s="3595"/>
      <c r="C44" s="2857"/>
      <c r="D44" s="2857"/>
      <c r="E44" s="2858">
        <v>25403.48</v>
      </c>
      <c r="F44" s="2858">
        <v>1043.6199999999999</v>
      </c>
      <c r="G44" s="2858">
        <v>8907.3700000000008</v>
      </c>
      <c r="H44" s="3596">
        <v>3838.78</v>
      </c>
      <c r="I44" s="3596"/>
      <c r="J44" s="2858">
        <v>11613.71</v>
      </c>
      <c r="K44" s="2859"/>
      <c r="L44" s="2859"/>
      <c r="M44" s="2858">
        <v>25403.48</v>
      </c>
      <c r="N44" s="2858">
        <v>25403.48</v>
      </c>
      <c r="O44" s="2857"/>
      <c r="P44" s="2857"/>
    </row>
    <row r="45" spans="1:16" ht="13.5" outlineLevel="3">
      <c r="A45" s="3583" t="s">
        <v>715</v>
      </c>
      <c r="B45" s="3583"/>
      <c r="C45" s="2868"/>
      <c r="D45" s="2868"/>
      <c r="E45" s="2869">
        <v>2417130.87</v>
      </c>
      <c r="F45" s="2870"/>
      <c r="G45" s="2869">
        <v>2323966.83</v>
      </c>
      <c r="H45" s="3584">
        <v>43523.11</v>
      </c>
      <c r="I45" s="3584"/>
      <c r="J45" s="2871">
        <v>722.77</v>
      </c>
      <c r="K45" s="2869">
        <v>2392.19</v>
      </c>
      <c r="L45" s="2869">
        <v>46525.97</v>
      </c>
      <c r="M45" s="2869">
        <v>2417130.87</v>
      </c>
      <c r="N45" s="2858">
        <v>2417130.87</v>
      </c>
      <c r="O45" s="2857"/>
      <c r="P45" s="2857"/>
    </row>
    <row r="46" spans="1:16" outlineLevel="4">
      <c r="A46" s="3595" t="s">
        <v>1469</v>
      </c>
      <c r="B46" s="3595"/>
      <c r="C46" s="2857"/>
      <c r="D46" s="2857"/>
      <c r="E46" s="2858">
        <v>15643.65</v>
      </c>
      <c r="F46" s="2859"/>
      <c r="G46" s="2858">
        <v>15006.06</v>
      </c>
      <c r="H46" s="3590">
        <v>637.59</v>
      </c>
      <c r="I46" s="3590"/>
      <c r="J46" s="2859"/>
      <c r="K46" s="2859"/>
      <c r="L46" s="2859"/>
      <c r="M46" s="2858">
        <v>15643.65</v>
      </c>
      <c r="N46" s="2858">
        <v>15643.65</v>
      </c>
      <c r="O46" s="2857"/>
      <c r="P46" s="2857"/>
    </row>
    <row r="47" spans="1:16" outlineLevel="4">
      <c r="A47" s="3595" t="s">
        <v>1470</v>
      </c>
      <c r="B47" s="3595"/>
      <c r="C47" s="2857"/>
      <c r="D47" s="2857"/>
      <c r="E47" s="2858">
        <v>1732177.65</v>
      </c>
      <c r="F47" s="2859"/>
      <c r="G47" s="2858">
        <v>1705597.84</v>
      </c>
      <c r="H47" s="3596">
        <v>24187.62</v>
      </c>
      <c r="I47" s="3596"/>
      <c r="J47" s="2859"/>
      <c r="K47" s="2858">
        <v>2392.19</v>
      </c>
      <c r="L47" s="2859"/>
      <c r="M47" s="2858">
        <v>1732177.65</v>
      </c>
      <c r="N47" s="2858">
        <v>1732177.65</v>
      </c>
      <c r="O47" s="2857"/>
      <c r="P47" s="2857"/>
    </row>
    <row r="48" spans="1:16" outlineLevel="4">
      <c r="A48" s="3595" t="s">
        <v>1471</v>
      </c>
      <c r="B48" s="3595"/>
      <c r="C48" s="2857"/>
      <c r="D48" s="2857"/>
      <c r="E48" s="2858">
        <v>43571.73</v>
      </c>
      <c r="F48" s="2859"/>
      <c r="G48" s="2858">
        <v>39298.51</v>
      </c>
      <c r="H48" s="3596">
        <v>4273.22</v>
      </c>
      <c r="I48" s="3596"/>
      <c r="J48" s="2859"/>
      <c r="K48" s="2859"/>
      <c r="L48" s="2859"/>
      <c r="M48" s="2858">
        <v>43571.73</v>
      </c>
      <c r="N48" s="2858">
        <v>43571.73</v>
      </c>
      <c r="O48" s="2857"/>
      <c r="P48" s="2857"/>
    </row>
    <row r="49" spans="1:16" outlineLevel="5">
      <c r="A49" s="3589" t="s">
        <v>1472</v>
      </c>
      <c r="B49" s="3589"/>
      <c r="C49" s="2857"/>
      <c r="D49" s="2857"/>
      <c r="E49" s="2858">
        <v>2941.5</v>
      </c>
      <c r="F49" s="2859"/>
      <c r="G49" s="2858">
        <v>2941.5</v>
      </c>
      <c r="H49" s="2859"/>
      <c r="I49" s="2859"/>
      <c r="J49" s="2859"/>
      <c r="K49" s="2859"/>
      <c r="L49" s="2859"/>
      <c r="M49" s="2858">
        <v>2941.5</v>
      </c>
      <c r="N49" s="2858">
        <v>2941.5</v>
      </c>
      <c r="O49" s="2857"/>
      <c r="P49" s="2857"/>
    </row>
    <row r="50" spans="1:16" outlineLevel="5">
      <c r="A50" s="3589" t="s">
        <v>1473</v>
      </c>
      <c r="B50" s="3589"/>
      <c r="C50" s="2857"/>
      <c r="D50" s="2857"/>
      <c r="E50" s="2858">
        <v>16715.18</v>
      </c>
      <c r="F50" s="2859"/>
      <c r="G50" s="2858">
        <v>15350.85</v>
      </c>
      <c r="H50" s="3596">
        <v>1364.33</v>
      </c>
      <c r="I50" s="3596"/>
      <c r="J50" s="2859"/>
      <c r="K50" s="2859"/>
      <c r="L50" s="2859"/>
      <c r="M50" s="2858">
        <v>16715.18</v>
      </c>
      <c r="N50" s="2858">
        <v>16715.18</v>
      </c>
      <c r="O50" s="2857"/>
      <c r="P50" s="2857"/>
    </row>
    <row r="51" spans="1:16" outlineLevel="6">
      <c r="A51" s="3591" t="s">
        <v>1474</v>
      </c>
      <c r="B51" s="3591"/>
      <c r="C51" s="2857"/>
      <c r="D51" s="2857"/>
      <c r="E51" s="2858">
        <v>2340.4299999999998</v>
      </c>
      <c r="F51" s="2859"/>
      <c r="G51" s="2858">
        <v>1567.51</v>
      </c>
      <c r="H51" s="3590">
        <v>772.92</v>
      </c>
      <c r="I51" s="3590"/>
      <c r="J51" s="2859"/>
      <c r="K51" s="2859"/>
      <c r="L51" s="2859"/>
      <c r="M51" s="2858">
        <v>2340.4299999999998</v>
      </c>
      <c r="N51" s="2858">
        <v>2340.4299999999998</v>
      </c>
      <c r="O51" s="2857"/>
      <c r="P51" s="2857"/>
    </row>
    <row r="52" spans="1:16" outlineLevel="6">
      <c r="A52" s="3591" t="s">
        <v>1475</v>
      </c>
      <c r="B52" s="3591"/>
      <c r="C52" s="2857"/>
      <c r="D52" s="2857"/>
      <c r="E52" s="2858">
        <v>14374.75</v>
      </c>
      <c r="F52" s="2859"/>
      <c r="G52" s="2858">
        <v>13783.34</v>
      </c>
      <c r="H52" s="3590">
        <v>591.41</v>
      </c>
      <c r="I52" s="3590"/>
      <c r="J52" s="2859"/>
      <c r="K52" s="2859"/>
      <c r="L52" s="2859"/>
      <c r="M52" s="2858">
        <v>14374.75</v>
      </c>
      <c r="N52" s="2858">
        <v>14374.75</v>
      </c>
      <c r="O52" s="2857"/>
      <c r="P52" s="2857"/>
    </row>
    <row r="53" spans="1:16" outlineLevel="7">
      <c r="A53" s="3597" t="s">
        <v>1476</v>
      </c>
      <c r="B53" s="3597"/>
      <c r="C53" s="2857"/>
      <c r="D53" s="2857"/>
      <c r="E53" s="2858">
        <v>8065.88</v>
      </c>
      <c r="F53" s="2859"/>
      <c r="G53" s="2858">
        <v>7586.69</v>
      </c>
      <c r="H53" s="3590">
        <v>479.19</v>
      </c>
      <c r="I53" s="3590"/>
      <c r="J53" s="2859"/>
      <c r="K53" s="2859"/>
      <c r="L53" s="2859"/>
      <c r="M53" s="2858">
        <v>8065.88</v>
      </c>
      <c r="N53" s="2858">
        <v>8065.88</v>
      </c>
      <c r="O53" s="2857"/>
      <c r="P53" s="2857"/>
    </row>
    <row r="54" spans="1:16" outlineLevel="7">
      <c r="A54" s="3597" t="s">
        <v>1477</v>
      </c>
      <c r="B54" s="3597"/>
      <c r="C54" s="2857"/>
      <c r="D54" s="2857"/>
      <c r="E54" s="2858">
        <v>6308.87</v>
      </c>
      <c r="F54" s="2859"/>
      <c r="G54" s="2858">
        <v>6196.65</v>
      </c>
      <c r="H54" s="3590">
        <v>112.22</v>
      </c>
      <c r="I54" s="3590"/>
      <c r="J54" s="2859"/>
      <c r="K54" s="2859"/>
      <c r="L54" s="2859"/>
      <c r="M54" s="2858">
        <v>6308.87</v>
      </c>
      <c r="N54" s="2858">
        <v>6308.87</v>
      </c>
      <c r="O54" s="2857"/>
      <c r="P54" s="2857"/>
    </row>
    <row r="55" spans="1:16" outlineLevel="5">
      <c r="A55" s="3589" t="s">
        <v>1478</v>
      </c>
      <c r="B55" s="3589"/>
      <c r="C55" s="2857"/>
      <c r="D55" s="2857"/>
      <c r="E55" s="2858">
        <v>23915.05</v>
      </c>
      <c r="F55" s="2859"/>
      <c r="G55" s="2858">
        <v>21006.16</v>
      </c>
      <c r="H55" s="3596">
        <v>2908.89</v>
      </c>
      <c r="I55" s="3596"/>
      <c r="J55" s="2859"/>
      <c r="K55" s="2859"/>
      <c r="L55" s="2859"/>
      <c r="M55" s="2858">
        <v>23915.05</v>
      </c>
      <c r="N55" s="2858">
        <v>23915.05</v>
      </c>
      <c r="O55" s="2857"/>
      <c r="P55" s="2857"/>
    </row>
    <row r="56" spans="1:16" outlineLevel="6">
      <c r="A56" s="3591" t="s">
        <v>1479</v>
      </c>
      <c r="B56" s="3591"/>
      <c r="C56" s="2857"/>
      <c r="D56" s="2857"/>
      <c r="E56" s="2858">
        <v>15464.05</v>
      </c>
      <c r="F56" s="2859"/>
      <c r="G56" s="2858">
        <v>14428.03</v>
      </c>
      <c r="H56" s="3596">
        <v>1036.02</v>
      </c>
      <c r="I56" s="3596"/>
      <c r="J56" s="2859"/>
      <c r="K56" s="2859"/>
      <c r="L56" s="2859"/>
      <c r="M56" s="2858">
        <v>15464.05</v>
      </c>
      <c r="N56" s="2858">
        <v>15464.05</v>
      </c>
      <c r="O56" s="2857"/>
      <c r="P56" s="2857"/>
    </row>
    <row r="57" spans="1:16" outlineLevel="6">
      <c r="A57" s="3591" t="s">
        <v>1480</v>
      </c>
      <c r="B57" s="3591"/>
      <c r="C57" s="2857"/>
      <c r="D57" s="2857"/>
      <c r="E57" s="2858">
        <v>1203.1099999999999</v>
      </c>
      <c r="F57" s="2859"/>
      <c r="G57" s="2858">
        <v>1189.78</v>
      </c>
      <c r="H57" s="3590">
        <v>13.33</v>
      </c>
      <c r="I57" s="3590"/>
      <c r="J57" s="2859"/>
      <c r="K57" s="2859"/>
      <c r="L57" s="2859"/>
      <c r="M57" s="2858">
        <v>1203.1099999999999</v>
      </c>
      <c r="N57" s="2858">
        <v>1203.1099999999999</v>
      </c>
      <c r="O57" s="2857"/>
      <c r="P57" s="2857"/>
    </row>
    <row r="58" spans="1:16" outlineLevel="6">
      <c r="A58" s="3591" t="s">
        <v>1481</v>
      </c>
      <c r="B58" s="3591"/>
      <c r="C58" s="2857"/>
      <c r="D58" s="2857"/>
      <c r="E58" s="2858">
        <v>2558.48</v>
      </c>
      <c r="F58" s="2859"/>
      <c r="G58" s="2858">
        <v>2185.35</v>
      </c>
      <c r="H58" s="3590">
        <v>373.13</v>
      </c>
      <c r="I58" s="3590"/>
      <c r="J58" s="2859"/>
      <c r="K58" s="2859"/>
      <c r="L58" s="2859"/>
      <c r="M58" s="2858">
        <v>2558.48</v>
      </c>
      <c r="N58" s="2858">
        <v>2558.48</v>
      </c>
      <c r="O58" s="2857"/>
      <c r="P58" s="2857"/>
    </row>
    <row r="59" spans="1:16" outlineLevel="6">
      <c r="A59" s="3591" t="s">
        <v>1482</v>
      </c>
      <c r="B59" s="3591"/>
      <c r="C59" s="2857"/>
      <c r="D59" s="2857"/>
      <c r="E59" s="2858">
        <v>4689.41</v>
      </c>
      <c r="F59" s="2859"/>
      <c r="G59" s="2858">
        <v>3203</v>
      </c>
      <c r="H59" s="3596">
        <v>1486.41</v>
      </c>
      <c r="I59" s="3596"/>
      <c r="J59" s="2859"/>
      <c r="K59" s="2859"/>
      <c r="L59" s="2859"/>
      <c r="M59" s="2858">
        <v>4689.41</v>
      </c>
      <c r="N59" s="2858">
        <v>4689.41</v>
      </c>
      <c r="O59" s="2857"/>
      <c r="P59" s="2857"/>
    </row>
    <row r="60" spans="1:16" outlineLevel="4">
      <c r="A60" s="3595" t="s">
        <v>1483</v>
      </c>
      <c r="B60" s="3595"/>
      <c r="C60" s="2857"/>
      <c r="D60" s="2857"/>
      <c r="E60" s="2858">
        <v>106611.25</v>
      </c>
      <c r="F60" s="2859"/>
      <c r="G60" s="2858">
        <v>52937.56</v>
      </c>
      <c r="H60" s="3596">
        <v>7147.72</v>
      </c>
      <c r="I60" s="3596"/>
      <c r="J60" s="2859"/>
      <c r="K60" s="2859"/>
      <c r="L60" s="2858">
        <v>46525.97</v>
      </c>
      <c r="M60" s="2858">
        <v>106611.25</v>
      </c>
      <c r="N60" s="2858">
        <v>106611.25</v>
      </c>
      <c r="O60" s="2857"/>
      <c r="P60" s="2857"/>
    </row>
    <row r="61" spans="1:16" outlineLevel="5">
      <c r="A61" s="3589" t="s">
        <v>1484</v>
      </c>
      <c r="B61" s="3589"/>
      <c r="C61" s="2857"/>
      <c r="D61" s="2857"/>
      <c r="E61" s="2860">
        <v>832.7</v>
      </c>
      <c r="F61" s="2859"/>
      <c r="G61" s="2860">
        <v>832.7</v>
      </c>
      <c r="H61" s="2859"/>
      <c r="I61" s="2859"/>
      <c r="J61" s="2859"/>
      <c r="K61" s="2859"/>
      <c r="L61" s="2859"/>
      <c r="M61" s="2860">
        <v>832.7</v>
      </c>
      <c r="N61" s="2860">
        <v>832.7</v>
      </c>
      <c r="O61" s="2857"/>
      <c r="P61" s="2857"/>
    </row>
    <row r="62" spans="1:16" outlineLevel="5">
      <c r="A62" s="3589" t="s">
        <v>1485</v>
      </c>
      <c r="B62" s="3589"/>
      <c r="C62" s="2857"/>
      <c r="D62" s="2857"/>
      <c r="E62" s="2858">
        <v>12093.4</v>
      </c>
      <c r="F62" s="2859"/>
      <c r="G62" s="2858">
        <v>11635.46</v>
      </c>
      <c r="H62" s="3590">
        <v>457.94</v>
      </c>
      <c r="I62" s="3590"/>
      <c r="J62" s="2859"/>
      <c r="K62" s="2859"/>
      <c r="L62" s="2859"/>
      <c r="M62" s="2858">
        <v>12093.4</v>
      </c>
      <c r="N62" s="2858">
        <v>12093.4</v>
      </c>
      <c r="O62" s="2857"/>
      <c r="P62" s="2857"/>
    </row>
    <row r="63" spans="1:16" outlineLevel="6">
      <c r="A63" s="3591" t="s">
        <v>1486</v>
      </c>
      <c r="B63" s="3591"/>
      <c r="C63" s="2857"/>
      <c r="D63" s="2857"/>
      <c r="E63" s="2860">
        <v>201.42</v>
      </c>
      <c r="F63" s="2859"/>
      <c r="G63" s="2860">
        <v>196.89</v>
      </c>
      <c r="H63" s="3590">
        <v>4.53</v>
      </c>
      <c r="I63" s="3590"/>
      <c r="J63" s="2859"/>
      <c r="K63" s="2859"/>
      <c r="L63" s="2859"/>
      <c r="M63" s="2860">
        <v>201.42</v>
      </c>
      <c r="N63" s="2860">
        <v>201.42</v>
      </c>
      <c r="O63" s="2857"/>
      <c r="P63" s="2857"/>
    </row>
    <row r="64" spans="1:16" outlineLevel="5">
      <c r="A64" s="3589" t="s">
        <v>1488</v>
      </c>
      <c r="B64" s="3589"/>
      <c r="C64" s="2857"/>
      <c r="D64" s="2857"/>
      <c r="E64" s="2858">
        <v>3239.09</v>
      </c>
      <c r="F64" s="2859"/>
      <c r="G64" s="2858">
        <v>2246.04</v>
      </c>
      <c r="H64" s="3590">
        <v>993.05</v>
      </c>
      <c r="I64" s="3590"/>
      <c r="J64" s="2859"/>
      <c r="K64" s="2859"/>
      <c r="L64" s="2859"/>
      <c r="M64" s="2858">
        <v>3239.09</v>
      </c>
      <c r="N64" s="2858">
        <v>3239.09</v>
      </c>
      <c r="O64" s="2857"/>
      <c r="P64" s="2857"/>
    </row>
    <row r="65" spans="1:16" outlineLevel="5">
      <c r="A65" s="3589" t="s">
        <v>1489</v>
      </c>
      <c r="B65" s="3589"/>
      <c r="C65" s="2857"/>
      <c r="D65" s="2857"/>
      <c r="E65" s="2858">
        <v>9612.0400000000009</v>
      </c>
      <c r="F65" s="2859"/>
      <c r="G65" s="2858">
        <v>9452.34</v>
      </c>
      <c r="H65" s="3590">
        <v>159.69999999999999</v>
      </c>
      <c r="I65" s="3590"/>
      <c r="J65" s="2859"/>
      <c r="K65" s="2859"/>
      <c r="L65" s="2859"/>
      <c r="M65" s="2858">
        <v>9612.0400000000009</v>
      </c>
      <c r="N65" s="2858">
        <v>9612.0400000000009</v>
      </c>
      <c r="O65" s="2857"/>
      <c r="P65" s="2857"/>
    </row>
    <row r="66" spans="1:16" outlineLevel="6">
      <c r="A66" s="3591" t="s">
        <v>1490</v>
      </c>
      <c r="B66" s="3591"/>
      <c r="C66" s="2857"/>
      <c r="D66" s="2857"/>
      <c r="E66" s="2858">
        <v>9207.48</v>
      </c>
      <c r="F66" s="2859"/>
      <c r="G66" s="2858">
        <v>9207.48</v>
      </c>
      <c r="H66" s="2859"/>
      <c r="I66" s="2859"/>
      <c r="J66" s="2859"/>
      <c r="K66" s="2859"/>
      <c r="L66" s="2859"/>
      <c r="M66" s="2858">
        <v>9207.48</v>
      </c>
      <c r="N66" s="2858">
        <v>9207.48</v>
      </c>
      <c r="O66" s="2857"/>
      <c r="P66" s="2857"/>
    </row>
    <row r="67" spans="1:16" outlineLevel="6">
      <c r="A67" s="3591" t="s">
        <v>1491</v>
      </c>
      <c r="B67" s="3591"/>
      <c r="C67" s="2857"/>
      <c r="D67" s="2857"/>
      <c r="E67" s="2860">
        <v>404.56</v>
      </c>
      <c r="F67" s="2859"/>
      <c r="G67" s="2860">
        <v>244.86</v>
      </c>
      <c r="H67" s="3590">
        <v>159.69999999999999</v>
      </c>
      <c r="I67" s="3590"/>
      <c r="J67" s="2859"/>
      <c r="K67" s="2859"/>
      <c r="L67" s="2859"/>
      <c r="M67" s="2860">
        <v>404.56</v>
      </c>
      <c r="N67" s="2860">
        <v>404.56</v>
      </c>
      <c r="O67" s="2857"/>
      <c r="P67" s="2857"/>
    </row>
    <row r="68" spans="1:16" outlineLevel="5">
      <c r="A68" s="3589" t="s">
        <v>1492</v>
      </c>
      <c r="B68" s="3589"/>
      <c r="C68" s="2857"/>
      <c r="D68" s="2857"/>
      <c r="E68" s="2858">
        <v>20083.93</v>
      </c>
      <c r="F68" s="2859"/>
      <c r="G68" s="2858">
        <v>19978.830000000002</v>
      </c>
      <c r="H68" s="3590">
        <v>105.1</v>
      </c>
      <c r="I68" s="3590"/>
      <c r="J68" s="2859"/>
      <c r="K68" s="2859"/>
      <c r="L68" s="2859"/>
      <c r="M68" s="2858">
        <v>20083.93</v>
      </c>
      <c r="N68" s="2858">
        <v>20083.93</v>
      </c>
      <c r="O68" s="2857"/>
      <c r="P68" s="2857"/>
    </row>
    <row r="69" spans="1:16" outlineLevel="5">
      <c r="A69" s="3589" t="s">
        <v>1493</v>
      </c>
      <c r="B69" s="3589"/>
      <c r="C69" s="2857"/>
      <c r="D69" s="2857"/>
      <c r="E69" s="2858">
        <v>14069.78</v>
      </c>
      <c r="F69" s="2859"/>
      <c r="G69" s="2858">
        <v>8792.19</v>
      </c>
      <c r="H69" s="3596">
        <v>5277.59</v>
      </c>
      <c r="I69" s="3596"/>
      <c r="J69" s="2859"/>
      <c r="K69" s="2859"/>
      <c r="L69" s="2859"/>
      <c r="M69" s="2858">
        <v>14069.78</v>
      </c>
      <c r="N69" s="2858">
        <v>14069.78</v>
      </c>
      <c r="O69" s="2857"/>
      <c r="P69" s="2857"/>
    </row>
    <row r="70" spans="1:16" outlineLevel="6">
      <c r="A70" s="3591" t="s">
        <v>1494</v>
      </c>
      <c r="B70" s="3591"/>
      <c r="C70" s="2857"/>
      <c r="D70" s="2857"/>
      <c r="E70" s="2860">
        <v>824.78</v>
      </c>
      <c r="F70" s="2859"/>
      <c r="G70" s="2860">
        <v>738.07</v>
      </c>
      <c r="H70" s="3590">
        <v>86.71</v>
      </c>
      <c r="I70" s="3590"/>
      <c r="J70" s="2859"/>
      <c r="K70" s="2859"/>
      <c r="L70" s="2859"/>
      <c r="M70" s="2860">
        <v>824.78</v>
      </c>
      <c r="N70" s="2860">
        <v>824.78</v>
      </c>
      <c r="O70" s="2857"/>
      <c r="P70" s="2857"/>
    </row>
    <row r="71" spans="1:16" outlineLevel="6">
      <c r="A71" s="3591" t="s">
        <v>1495</v>
      </c>
      <c r="B71" s="3591"/>
      <c r="C71" s="2857"/>
      <c r="D71" s="2857"/>
      <c r="E71" s="2860">
        <v>653.75</v>
      </c>
      <c r="F71" s="2859"/>
      <c r="G71" s="2860">
        <v>653.75</v>
      </c>
      <c r="H71" s="2859"/>
      <c r="I71" s="2859"/>
      <c r="J71" s="2859"/>
      <c r="K71" s="2859"/>
      <c r="L71" s="2859"/>
      <c r="M71" s="2860">
        <v>653.75</v>
      </c>
      <c r="N71" s="2860">
        <v>653.75</v>
      </c>
      <c r="O71" s="2857"/>
      <c r="P71" s="2857"/>
    </row>
    <row r="72" spans="1:16" outlineLevel="6">
      <c r="A72" s="3591" t="s">
        <v>1497</v>
      </c>
      <c r="B72" s="3591"/>
      <c r="C72" s="2857"/>
      <c r="D72" s="2857"/>
      <c r="E72" s="2858">
        <v>4992.45</v>
      </c>
      <c r="F72" s="2859"/>
      <c r="G72" s="2858">
        <v>1353.73</v>
      </c>
      <c r="H72" s="3596">
        <v>3638.72</v>
      </c>
      <c r="I72" s="3596"/>
      <c r="J72" s="2859"/>
      <c r="K72" s="2859"/>
      <c r="L72" s="2859"/>
      <c r="M72" s="2858">
        <v>4992.45</v>
      </c>
      <c r="N72" s="2858">
        <v>4992.45</v>
      </c>
      <c r="O72" s="2857"/>
      <c r="P72" s="2857"/>
    </row>
    <row r="73" spans="1:16" outlineLevel="6">
      <c r="A73" s="3591" t="s">
        <v>1498</v>
      </c>
      <c r="B73" s="3591"/>
      <c r="C73" s="2857"/>
      <c r="D73" s="2857"/>
      <c r="E73" s="2860">
        <v>841.33</v>
      </c>
      <c r="F73" s="2859"/>
      <c r="G73" s="2860">
        <v>706.76</v>
      </c>
      <c r="H73" s="3590">
        <v>134.57</v>
      </c>
      <c r="I73" s="3590"/>
      <c r="J73" s="2859"/>
      <c r="K73" s="2859"/>
      <c r="L73" s="2859"/>
      <c r="M73" s="2860">
        <v>841.33</v>
      </c>
      <c r="N73" s="2860">
        <v>841.33</v>
      </c>
      <c r="O73" s="2857"/>
      <c r="P73" s="2857"/>
    </row>
    <row r="74" spans="1:16" outlineLevel="6">
      <c r="A74" s="3591" t="s">
        <v>1499</v>
      </c>
      <c r="B74" s="3591"/>
      <c r="C74" s="2857"/>
      <c r="D74" s="2857"/>
      <c r="E74" s="2858">
        <v>2238.12</v>
      </c>
      <c r="F74" s="2859"/>
      <c r="G74" s="2858">
        <v>1609.4</v>
      </c>
      <c r="H74" s="3590">
        <v>628.72</v>
      </c>
      <c r="I74" s="3590"/>
      <c r="J74" s="2859"/>
      <c r="K74" s="2859"/>
      <c r="L74" s="2859"/>
      <c r="M74" s="2858">
        <v>2238.12</v>
      </c>
      <c r="N74" s="2858">
        <v>2238.12</v>
      </c>
      <c r="O74" s="2857"/>
      <c r="P74" s="2857"/>
    </row>
    <row r="75" spans="1:16" outlineLevel="4">
      <c r="A75" s="3595" t="s">
        <v>1500</v>
      </c>
      <c r="B75" s="3595"/>
      <c r="C75" s="2857"/>
      <c r="D75" s="2857"/>
      <c r="E75" s="2858">
        <v>519126.59</v>
      </c>
      <c r="F75" s="2859"/>
      <c r="G75" s="2858">
        <v>511126.86</v>
      </c>
      <c r="H75" s="3596">
        <v>7276.96</v>
      </c>
      <c r="I75" s="3596"/>
      <c r="J75" s="2860">
        <v>722.77</v>
      </c>
      <c r="K75" s="2859"/>
      <c r="L75" s="2859"/>
      <c r="M75" s="2858">
        <v>519126.59</v>
      </c>
      <c r="N75" s="2858">
        <v>519126.59</v>
      </c>
      <c r="O75" s="2857"/>
      <c r="P75" s="2857"/>
    </row>
    <row r="76" spans="1:16" ht="13.5" outlineLevel="3">
      <c r="A76" s="3583" t="s">
        <v>738</v>
      </c>
      <c r="B76" s="3583"/>
      <c r="C76" s="2868"/>
      <c r="D76" s="2868"/>
      <c r="E76" s="2869">
        <v>495318.23</v>
      </c>
      <c r="F76" s="2870"/>
      <c r="G76" s="2869">
        <v>493239.73</v>
      </c>
      <c r="H76" s="3584">
        <v>1856.53</v>
      </c>
      <c r="I76" s="3584"/>
      <c r="J76" s="2871">
        <v>51.75</v>
      </c>
      <c r="K76" s="2871">
        <v>170.22</v>
      </c>
      <c r="L76" s="2870"/>
      <c r="M76" s="2869">
        <v>495318.23</v>
      </c>
      <c r="N76" s="2858">
        <v>495318.23</v>
      </c>
      <c r="O76" s="2857"/>
      <c r="P76" s="2857"/>
    </row>
    <row r="77" spans="1:16" outlineLevel="4">
      <c r="A77" s="3595" t="s">
        <v>1469</v>
      </c>
      <c r="B77" s="3595"/>
      <c r="C77" s="2857"/>
      <c r="D77" s="2857"/>
      <c r="E77" s="2858">
        <v>2327.94</v>
      </c>
      <c r="F77" s="2859"/>
      <c r="G77" s="2858">
        <v>2303.4699999999998</v>
      </c>
      <c r="H77" s="3590">
        <v>24.47</v>
      </c>
      <c r="I77" s="3590"/>
      <c r="J77" s="2859"/>
      <c r="K77" s="2859"/>
      <c r="L77" s="2859"/>
      <c r="M77" s="2858">
        <v>2327.94</v>
      </c>
      <c r="N77" s="2858">
        <v>2327.94</v>
      </c>
      <c r="O77" s="2857"/>
      <c r="P77" s="2857"/>
    </row>
    <row r="78" spans="1:16" outlineLevel="4">
      <c r="A78" s="3595" t="s">
        <v>1470</v>
      </c>
      <c r="B78" s="3595"/>
      <c r="C78" s="2857"/>
      <c r="D78" s="2857"/>
      <c r="E78" s="2858">
        <v>336424</v>
      </c>
      <c r="F78" s="2859"/>
      <c r="G78" s="2858">
        <v>335186.42</v>
      </c>
      <c r="H78" s="3596">
        <v>1067.3599999999999</v>
      </c>
      <c r="I78" s="3596"/>
      <c r="J78" s="2859"/>
      <c r="K78" s="2860">
        <v>170.22</v>
      </c>
      <c r="L78" s="2859"/>
      <c r="M78" s="2858">
        <v>336424</v>
      </c>
      <c r="N78" s="2858">
        <v>336424</v>
      </c>
      <c r="O78" s="2857"/>
      <c r="P78" s="2857"/>
    </row>
    <row r="79" spans="1:16" outlineLevel="4">
      <c r="A79" s="3595" t="s">
        <v>1471</v>
      </c>
      <c r="B79" s="3595"/>
      <c r="C79" s="2857"/>
      <c r="D79" s="2857"/>
      <c r="E79" s="2858">
        <v>28291.17</v>
      </c>
      <c r="F79" s="2859"/>
      <c r="G79" s="2858">
        <v>28109.79</v>
      </c>
      <c r="H79" s="3590">
        <v>181.38</v>
      </c>
      <c r="I79" s="3590"/>
      <c r="J79" s="2859"/>
      <c r="K79" s="2859"/>
      <c r="L79" s="2859"/>
      <c r="M79" s="2858">
        <v>28291.17</v>
      </c>
      <c r="N79" s="2858">
        <v>28291.17</v>
      </c>
      <c r="O79" s="2857"/>
      <c r="P79" s="2857"/>
    </row>
    <row r="80" spans="1:16" outlineLevel="5">
      <c r="A80" s="3589" t="s">
        <v>1472</v>
      </c>
      <c r="B80" s="3589"/>
      <c r="C80" s="2857"/>
      <c r="D80" s="2857"/>
      <c r="E80" s="2860">
        <v>30.8</v>
      </c>
      <c r="F80" s="2859"/>
      <c r="G80" s="2860">
        <v>30.8</v>
      </c>
      <c r="H80" s="2859"/>
      <c r="I80" s="2859"/>
      <c r="J80" s="2859"/>
      <c r="K80" s="2859"/>
      <c r="L80" s="2859"/>
      <c r="M80" s="2860">
        <v>30.8</v>
      </c>
      <c r="N80" s="2860">
        <v>30.8</v>
      </c>
      <c r="O80" s="2857"/>
      <c r="P80" s="2857"/>
    </row>
    <row r="81" spans="1:16" outlineLevel="5">
      <c r="A81" s="3589" t="s">
        <v>1473</v>
      </c>
      <c r="B81" s="3589"/>
      <c r="C81" s="2857"/>
      <c r="D81" s="2857"/>
      <c r="E81" s="2860">
        <v>281.8</v>
      </c>
      <c r="F81" s="2859"/>
      <c r="G81" s="2860">
        <v>197.53</v>
      </c>
      <c r="H81" s="3590">
        <v>84.27</v>
      </c>
      <c r="I81" s="3590"/>
      <c r="J81" s="2859"/>
      <c r="K81" s="2859"/>
      <c r="L81" s="2859"/>
      <c r="M81" s="2860">
        <v>281.8</v>
      </c>
      <c r="N81" s="2860">
        <v>281.8</v>
      </c>
      <c r="O81" s="2857"/>
      <c r="P81" s="2857"/>
    </row>
    <row r="82" spans="1:16" outlineLevel="6">
      <c r="A82" s="3591" t="s">
        <v>1474</v>
      </c>
      <c r="B82" s="3591"/>
      <c r="C82" s="2857"/>
      <c r="D82" s="2857"/>
      <c r="E82" s="2860">
        <v>267.92</v>
      </c>
      <c r="F82" s="2859"/>
      <c r="G82" s="2860">
        <v>195.5</v>
      </c>
      <c r="H82" s="3590">
        <v>72.42</v>
      </c>
      <c r="I82" s="3590"/>
      <c r="J82" s="2859"/>
      <c r="K82" s="2859"/>
      <c r="L82" s="2859"/>
      <c r="M82" s="2860">
        <v>267.92</v>
      </c>
      <c r="N82" s="2860">
        <v>267.92</v>
      </c>
      <c r="O82" s="2857"/>
      <c r="P82" s="2857"/>
    </row>
    <row r="83" spans="1:16" outlineLevel="6">
      <c r="A83" s="3591" t="s">
        <v>1475</v>
      </c>
      <c r="B83" s="3591"/>
      <c r="C83" s="2857"/>
      <c r="D83" s="2857"/>
      <c r="E83" s="2860">
        <v>13.88</v>
      </c>
      <c r="F83" s="2859"/>
      <c r="G83" s="2860">
        <v>2.0299999999999998</v>
      </c>
      <c r="H83" s="3590">
        <v>11.85</v>
      </c>
      <c r="I83" s="3590"/>
      <c r="J83" s="2859"/>
      <c r="K83" s="2859"/>
      <c r="L83" s="2859"/>
      <c r="M83" s="2860">
        <v>13.88</v>
      </c>
      <c r="N83" s="2860">
        <v>13.88</v>
      </c>
      <c r="O83" s="2857"/>
      <c r="P83" s="2857"/>
    </row>
    <row r="84" spans="1:16" outlineLevel="7">
      <c r="A84" s="3597" t="s">
        <v>1476</v>
      </c>
      <c r="B84" s="3597"/>
      <c r="C84" s="2857"/>
      <c r="D84" s="2857"/>
      <c r="E84" s="2860">
        <v>12.33</v>
      </c>
      <c r="F84" s="2859"/>
      <c r="G84" s="2860">
        <v>1.87</v>
      </c>
      <c r="H84" s="3590">
        <v>10.46</v>
      </c>
      <c r="I84" s="3590"/>
      <c r="J84" s="2859"/>
      <c r="K84" s="2859"/>
      <c r="L84" s="2859"/>
      <c r="M84" s="2860">
        <v>12.33</v>
      </c>
      <c r="N84" s="2860">
        <v>12.33</v>
      </c>
      <c r="O84" s="2857"/>
      <c r="P84" s="2857"/>
    </row>
    <row r="85" spans="1:16" outlineLevel="7">
      <c r="A85" s="3597" t="s">
        <v>1477</v>
      </c>
      <c r="B85" s="3597"/>
      <c r="C85" s="2857"/>
      <c r="D85" s="2857"/>
      <c r="E85" s="2860">
        <v>1.55</v>
      </c>
      <c r="F85" s="2859"/>
      <c r="G85" s="2860">
        <v>0.16</v>
      </c>
      <c r="H85" s="3590">
        <v>1.39</v>
      </c>
      <c r="I85" s="3590"/>
      <c r="J85" s="2859"/>
      <c r="K85" s="2859"/>
      <c r="L85" s="2859"/>
      <c r="M85" s="2860">
        <v>1.55</v>
      </c>
      <c r="N85" s="2860">
        <v>1.55</v>
      </c>
      <c r="O85" s="2857"/>
      <c r="P85" s="2857"/>
    </row>
    <row r="86" spans="1:16" outlineLevel="5">
      <c r="A86" s="3589" t="s">
        <v>1478</v>
      </c>
      <c r="B86" s="3589"/>
      <c r="C86" s="2857"/>
      <c r="D86" s="2857"/>
      <c r="E86" s="2858">
        <v>27978.57</v>
      </c>
      <c r="F86" s="2859"/>
      <c r="G86" s="2858">
        <v>27881.46</v>
      </c>
      <c r="H86" s="3590">
        <v>97.11</v>
      </c>
      <c r="I86" s="3590"/>
      <c r="J86" s="2859"/>
      <c r="K86" s="2859"/>
      <c r="L86" s="2859"/>
      <c r="M86" s="2858">
        <v>27978.57</v>
      </c>
      <c r="N86" s="2858">
        <v>27978.57</v>
      </c>
      <c r="O86" s="2857"/>
      <c r="P86" s="2857"/>
    </row>
    <row r="87" spans="1:16" outlineLevel="6">
      <c r="A87" s="3591" t="s">
        <v>1479</v>
      </c>
      <c r="B87" s="3591"/>
      <c r="C87" s="2857"/>
      <c r="D87" s="2857"/>
      <c r="E87" s="2860">
        <v>516.36</v>
      </c>
      <c r="F87" s="2859"/>
      <c r="G87" s="2860">
        <v>471.76</v>
      </c>
      <c r="H87" s="3590">
        <v>44.6</v>
      </c>
      <c r="I87" s="3590"/>
      <c r="J87" s="2859"/>
      <c r="K87" s="2859"/>
      <c r="L87" s="2859"/>
      <c r="M87" s="2860">
        <v>516.36</v>
      </c>
      <c r="N87" s="2860">
        <v>516.36</v>
      </c>
      <c r="O87" s="2857"/>
      <c r="P87" s="2857"/>
    </row>
    <row r="88" spans="1:16" outlineLevel="6">
      <c r="A88" s="3591" t="s">
        <v>1480</v>
      </c>
      <c r="B88" s="3591"/>
      <c r="C88" s="2857"/>
      <c r="D88" s="2857"/>
      <c r="E88" s="2860">
        <v>83.58</v>
      </c>
      <c r="F88" s="2859"/>
      <c r="G88" s="2860">
        <v>82.56</v>
      </c>
      <c r="H88" s="3590">
        <v>1.02</v>
      </c>
      <c r="I88" s="3590"/>
      <c r="J88" s="2859"/>
      <c r="K88" s="2859"/>
      <c r="L88" s="2859"/>
      <c r="M88" s="2860">
        <v>83.58</v>
      </c>
      <c r="N88" s="2860">
        <v>83.58</v>
      </c>
      <c r="O88" s="2857"/>
      <c r="P88" s="2857"/>
    </row>
    <row r="89" spans="1:16" outlineLevel="6">
      <c r="A89" s="3591" t="s">
        <v>1481</v>
      </c>
      <c r="B89" s="3591"/>
      <c r="C89" s="2857"/>
      <c r="D89" s="2857"/>
      <c r="E89" s="2860">
        <v>24.54</v>
      </c>
      <c r="F89" s="2859"/>
      <c r="G89" s="2860">
        <v>6.36</v>
      </c>
      <c r="H89" s="3590">
        <v>18.18</v>
      </c>
      <c r="I89" s="3590"/>
      <c r="J89" s="2859"/>
      <c r="K89" s="2859"/>
      <c r="L89" s="2859"/>
      <c r="M89" s="2860">
        <v>24.54</v>
      </c>
      <c r="N89" s="2860">
        <v>24.54</v>
      </c>
      <c r="O89" s="2857"/>
      <c r="P89" s="2857"/>
    </row>
    <row r="90" spans="1:16" outlineLevel="6">
      <c r="A90" s="3591" t="s">
        <v>1482</v>
      </c>
      <c r="B90" s="3591"/>
      <c r="C90" s="2857"/>
      <c r="D90" s="2857"/>
      <c r="E90" s="2858">
        <v>27354.09</v>
      </c>
      <c r="F90" s="2859"/>
      <c r="G90" s="2858">
        <v>27320.78</v>
      </c>
      <c r="H90" s="3590">
        <v>33.31</v>
      </c>
      <c r="I90" s="3590"/>
      <c r="J90" s="2859"/>
      <c r="K90" s="2859"/>
      <c r="L90" s="2859"/>
      <c r="M90" s="2858">
        <v>27354.09</v>
      </c>
      <c r="N90" s="2858">
        <v>27354.09</v>
      </c>
      <c r="O90" s="2857"/>
      <c r="P90" s="2857"/>
    </row>
    <row r="91" spans="1:16" outlineLevel="4">
      <c r="A91" s="3595" t="s">
        <v>1483</v>
      </c>
      <c r="B91" s="3595"/>
      <c r="C91" s="2857"/>
      <c r="D91" s="2857"/>
      <c r="E91" s="2858">
        <v>2624.74</v>
      </c>
      <c r="F91" s="2859"/>
      <c r="G91" s="2858">
        <v>2364.9499999999998</v>
      </c>
      <c r="H91" s="3590">
        <v>259.79000000000002</v>
      </c>
      <c r="I91" s="3590"/>
      <c r="J91" s="2859"/>
      <c r="K91" s="2859"/>
      <c r="L91" s="2859"/>
      <c r="M91" s="2858">
        <v>2624.74</v>
      </c>
      <c r="N91" s="2858">
        <v>2624.74</v>
      </c>
      <c r="O91" s="2857"/>
      <c r="P91" s="2857"/>
    </row>
    <row r="92" spans="1:16" outlineLevel="5">
      <c r="A92" s="3589" t="s">
        <v>1484</v>
      </c>
      <c r="B92" s="3589"/>
      <c r="C92" s="2857"/>
      <c r="D92" s="2857"/>
      <c r="E92" s="2860">
        <v>26.07</v>
      </c>
      <c r="F92" s="2859"/>
      <c r="G92" s="2860">
        <v>26.07</v>
      </c>
      <c r="H92" s="2859"/>
      <c r="I92" s="2859"/>
      <c r="J92" s="2859"/>
      <c r="K92" s="2859"/>
      <c r="L92" s="2859"/>
      <c r="M92" s="2860">
        <v>26.07</v>
      </c>
      <c r="N92" s="2860">
        <v>26.07</v>
      </c>
      <c r="O92" s="2857"/>
      <c r="P92" s="2857"/>
    </row>
    <row r="93" spans="1:16" outlineLevel="5">
      <c r="A93" s="3589" t="s">
        <v>1485</v>
      </c>
      <c r="B93" s="3589"/>
      <c r="C93" s="2857"/>
      <c r="D93" s="2857"/>
      <c r="E93" s="2860">
        <v>17.64</v>
      </c>
      <c r="F93" s="2859"/>
      <c r="G93" s="2860">
        <v>16.57</v>
      </c>
      <c r="H93" s="3590">
        <v>1.07</v>
      </c>
      <c r="I93" s="3590"/>
      <c r="J93" s="2859"/>
      <c r="K93" s="2859"/>
      <c r="L93" s="2859"/>
      <c r="M93" s="2860">
        <v>17.64</v>
      </c>
      <c r="N93" s="2860">
        <v>17.64</v>
      </c>
      <c r="O93" s="2857"/>
      <c r="P93" s="2857"/>
    </row>
    <row r="94" spans="1:16" outlineLevel="6">
      <c r="A94" s="3591" t="s">
        <v>1486</v>
      </c>
      <c r="B94" s="3591"/>
      <c r="C94" s="2857"/>
      <c r="D94" s="2857"/>
      <c r="E94" s="2860">
        <v>16.75</v>
      </c>
      <c r="F94" s="2859"/>
      <c r="G94" s="2860">
        <v>16.57</v>
      </c>
      <c r="H94" s="3590">
        <v>0.18</v>
      </c>
      <c r="I94" s="3590"/>
      <c r="J94" s="2859"/>
      <c r="K94" s="2859"/>
      <c r="L94" s="2859"/>
      <c r="M94" s="2860">
        <v>16.75</v>
      </c>
      <c r="N94" s="2860">
        <v>16.75</v>
      </c>
      <c r="O94" s="2857"/>
      <c r="P94" s="2857"/>
    </row>
    <row r="95" spans="1:16" outlineLevel="5">
      <c r="A95" s="3589" t="s">
        <v>1488</v>
      </c>
      <c r="B95" s="3589"/>
      <c r="C95" s="2857"/>
      <c r="D95" s="2857"/>
      <c r="E95" s="2860">
        <v>109.86</v>
      </c>
      <c r="F95" s="2859"/>
      <c r="G95" s="2860">
        <v>74.05</v>
      </c>
      <c r="H95" s="3590">
        <v>35.81</v>
      </c>
      <c r="I95" s="3590"/>
      <c r="J95" s="2859"/>
      <c r="K95" s="2859"/>
      <c r="L95" s="2859"/>
      <c r="M95" s="2860">
        <v>109.86</v>
      </c>
      <c r="N95" s="2860">
        <v>109.86</v>
      </c>
      <c r="O95" s="2857"/>
      <c r="P95" s="2857"/>
    </row>
    <row r="96" spans="1:16" outlineLevel="5">
      <c r="A96" s="3589" t="s">
        <v>1489</v>
      </c>
      <c r="B96" s="3589"/>
      <c r="C96" s="2857"/>
      <c r="D96" s="2857"/>
      <c r="E96" s="2860">
        <v>52.81</v>
      </c>
      <c r="F96" s="2859"/>
      <c r="G96" s="2860">
        <v>48.87</v>
      </c>
      <c r="H96" s="3590">
        <v>3.94</v>
      </c>
      <c r="I96" s="3590"/>
      <c r="J96" s="2859"/>
      <c r="K96" s="2859"/>
      <c r="L96" s="2859"/>
      <c r="M96" s="2860">
        <v>52.81</v>
      </c>
      <c r="N96" s="2860">
        <v>52.81</v>
      </c>
      <c r="O96" s="2857"/>
      <c r="P96" s="2857"/>
    </row>
    <row r="97" spans="1:18" outlineLevel="6">
      <c r="A97" s="3591" t="s">
        <v>1490</v>
      </c>
      <c r="B97" s="3591"/>
      <c r="C97" s="2857"/>
      <c r="D97" s="2857"/>
      <c r="E97" s="2860">
        <v>44.27</v>
      </c>
      <c r="F97" s="2859"/>
      <c r="G97" s="2860">
        <v>44.27</v>
      </c>
      <c r="H97" s="2859"/>
      <c r="I97" s="2859"/>
      <c r="J97" s="2859"/>
      <c r="K97" s="2859"/>
      <c r="L97" s="2859"/>
      <c r="M97" s="2860">
        <v>44.27</v>
      </c>
      <c r="N97" s="2860">
        <v>44.27</v>
      </c>
      <c r="O97" s="2857"/>
      <c r="P97" s="2857"/>
    </row>
    <row r="98" spans="1:18" outlineLevel="6">
      <c r="A98" s="3591" t="s">
        <v>1491</v>
      </c>
      <c r="B98" s="3591"/>
      <c r="C98" s="2857"/>
      <c r="D98" s="2857"/>
      <c r="E98" s="2860">
        <v>8.5399999999999991</v>
      </c>
      <c r="F98" s="2859"/>
      <c r="G98" s="2860">
        <v>4.5999999999999996</v>
      </c>
      <c r="H98" s="3590">
        <v>3.94</v>
      </c>
      <c r="I98" s="3590"/>
      <c r="J98" s="2859"/>
      <c r="K98" s="2859"/>
      <c r="L98" s="2859"/>
      <c r="M98" s="2860">
        <v>8.5399999999999991</v>
      </c>
      <c r="N98" s="2860">
        <v>8.5399999999999991</v>
      </c>
      <c r="O98" s="2857"/>
      <c r="P98" s="2857"/>
    </row>
    <row r="99" spans="1:18" outlineLevel="5">
      <c r="A99" s="3589" t="s">
        <v>1492</v>
      </c>
      <c r="B99" s="3589"/>
      <c r="C99" s="2857"/>
      <c r="D99" s="2857"/>
      <c r="E99" s="2858">
        <v>1896.35</v>
      </c>
      <c r="F99" s="2859"/>
      <c r="G99" s="2858">
        <v>1886.39</v>
      </c>
      <c r="H99" s="3590">
        <v>9.9600000000000009</v>
      </c>
      <c r="I99" s="3590"/>
      <c r="J99" s="2859"/>
      <c r="K99" s="2859"/>
      <c r="L99" s="2859"/>
      <c r="M99" s="2858">
        <v>1896.35</v>
      </c>
      <c r="N99" s="2858">
        <v>1896.35</v>
      </c>
      <c r="O99" s="2857"/>
      <c r="P99" s="2857"/>
    </row>
    <row r="100" spans="1:18" outlineLevel="5">
      <c r="A100" s="3589" t="s">
        <v>1493</v>
      </c>
      <c r="B100" s="3589"/>
      <c r="C100" s="2857"/>
      <c r="D100" s="2857"/>
      <c r="E100" s="2860">
        <v>507.59</v>
      </c>
      <c r="F100" s="2859"/>
      <c r="G100" s="2860">
        <v>313</v>
      </c>
      <c r="H100" s="3590">
        <v>194.59</v>
      </c>
      <c r="I100" s="3590"/>
      <c r="J100" s="2859"/>
      <c r="K100" s="2859"/>
      <c r="L100" s="2859"/>
      <c r="M100" s="2860">
        <v>507.59</v>
      </c>
      <c r="N100" s="2860">
        <v>507.59</v>
      </c>
      <c r="O100" s="2857"/>
      <c r="P100" s="2857"/>
    </row>
    <row r="101" spans="1:18" outlineLevel="6">
      <c r="A101" s="3591" t="s">
        <v>1494</v>
      </c>
      <c r="B101" s="3591"/>
      <c r="C101" s="2857"/>
      <c r="D101" s="2857"/>
      <c r="E101" s="2860">
        <v>14.47</v>
      </c>
      <c r="F101" s="2859"/>
      <c r="G101" s="2860">
        <v>9.4499999999999993</v>
      </c>
      <c r="H101" s="3590">
        <v>5.0199999999999996</v>
      </c>
      <c r="I101" s="3590"/>
      <c r="J101" s="2859"/>
      <c r="K101" s="2859"/>
      <c r="L101" s="2859"/>
      <c r="M101" s="2860">
        <v>14.47</v>
      </c>
      <c r="N101" s="2860">
        <v>14.47</v>
      </c>
      <c r="O101" s="2857"/>
      <c r="P101" s="2857"/>
    </row>
    <row r="102" spans="1:18" outlineLevel="6">
      <c r="A102" s="3591" t="s">
        <v>1495</v>
      </c>
      <c r="B102" s="3591"/>
      <c r="C102" s="2857"/>
      <c r="D102" s="2857"/>
      <c r="E102" s="2860">
        <v>14.14</v>
      </c>
      <c r="F102" s="2859"/>
      <c r="G102" s="2860">
        <v>14.14</v>
      </c>
      <c r="H102" s="2859"/>
      <c r="I102" s="2859"/>
      <c r="J102" s="2859"/>
      <c r="K102" s="2859"/>
      <c r="L102" s="2859"/>
      <c r="M102" s="2860">
        <v>14.14</v>
      </c>
      <c r="N102" s="2860">
        <v>14.14</v>
      </c>
      <c r="O102" s="2857"/>
      <c r="P102" s="2857"/>
    </row>
    <row r="103" spans="1:18" outlineLevel="6">
      <c r="A103" s="3591" t="s">
        <v>1497</v>
      </c>
      <c r="B103" s="3591"/>
      <c r="C103" s="2857"/>
      <c r="D103" s="2857"/>
      <c r="E103" s="2860">
        <v>185.44</v>
      </c>
      <c r="F103" s="2859"/>
      <c r="G103" s="2860">
        <v>49.81</v>
      </c>
      <c r="H103" s="3590">
        <v>135.63</v>
      </c>
      <c r="I103" s="3590"/>
      <c r="J103" s="2859"/>
      <c r="K103" s="2859"/>
      <c r="L103" s="2859"/>
      <c r="M103" s="2860">
        <v>185.44</v>
      </c>
      <c r="N103" s="2860">
        <v>185.44</v>
      </c>
      <c r="O103" s="2857"/>
      <c r="P103" s="2857"/>
    </row>
    <row r="104" spans="1:18" outlineLevel="6">
      <c r="A104" s="3591" t="s">
        <v>1498</v>
      </c>
      <c r="B104" s="3591"/>
      <c r="C104" s="2857"/>
      <c r="D104" s="2857"/>
      <c r="E104" s="2860">
        <v>36.729999999999997</v>
      </c>
      <c r="F104" s="2859"/>
      <c r="G104" s="2860">
        <v>30.61</v>
      </c>
      <c r="H104" s="3590">
        <v>6.12</v>
      </c>
      <c r="I104" s="3590"/>
      <c r="J104" s="2859"/>
      <c r="K104" s="2859"/>
      <c r="L104" s="2859"/>
      <c r="M104" s="2860">
        <v>36.729999999999997</v>
      </c>
      <c r="N104" s="2860">
        <v>36.729999999999997</v>
      </c>
      <c r="O104" s="2857"/>
      <c r="P104" s="2857"/>
    </row>
    <row r="105" spans="1:18" outlineLevel="6">
      <c r="A105" s="3591" t="s">
        <v>1499</v>
      </c>
      <c r="B105" s="3591"/>
      <c r="C105" s="2857"/>
      <c r="D105" s="2857"/>
      <c r="E105" s="2860">
        <v>81.12</v>
      </c>
      <c r="F105" s="2859"/>
      <c r="G105" s="2860">
        <v>58.02</v>
      </c>
      <c r="H105" s="3590">
        <v>23.1</v>
      </c>
      <c r="I105" s="3590"/>
      <c r="J105" s="2859"/>
      <c r="K105" s="2859"/>
      <c r="L105" s="2859"/>
      <c r="M105" s="2860">
        <v>81.12</v>
      </c>
      <c r="N105" s="2860">
        <v>81.12</v>
      </c>
      <c r="O105" s="2857"/>
      <c r="P105" s="2857"/>
    </row>
    <row r="106" spans="1:18" outlineLevel="4">
      <c r="A106" s="3595" t="s">
        <v>1500</v>
      </c>
      <c r="B106" s="3595"/>
      <c r="C106" s="2857"/>
      <c r="D106" s="2857"/>
      <c r="E106" s="2858">
        <v>125650.38</v>
      </c>
      <c r="F106" s="2859"/>
      <c r="G106" s="2858">
        <v>125275.1</v>
      </c>
      <c r="H106" s="3590">
        <v>323.52999999999997</v>
      </c>
      <c r="I106" s="3590"/>
      <c r="J106" s="2860">
        <v>51.75</v>
      </c>
      <c r="K106" s="2859"/>
      <c r="L106" s="2859"/>
      <c r="M106" s="2858">
        <v>125650.38</v>
      </c>
      <c r="N106" s="2858">
        <v>125650.38</v>
      </c>
      <c r="O106" s="2857"/>
      <c r="P106" s="2857"/>
    </row>
    <row r="107" spans="1:18" ht="13.5">
      <c r="A107" s="3601" t="s">
        <v>21</v>
      </c>
      <c r="B107" s="3601"/>
      <c r="C107" s="2863"/>
      <c r="D107" s="2863"/>
      <c r="E107" s="2864">
        <v>3061112.05</v>
      </c>
      <c r="F107" s="2864">
        <v>12081.35</v>
      </c>
      <c r="G107" s="2864">
        <v>2880518.19</v>
      </c>
      <c r="H107" s="3581">
        <v>68670.73</v>
      </c>
      <c r="I107" s="3581"/>
      <c r="J107" s="2864">
        <v>12388.23</v>
      </c>
      <c r="K107" s="2864">
        <v>40927.58</v>
      </c>
      <c r="L107" s="2864">
        <v>46525.97</v>
      </c>
      <c r="M107" s="2864">
        <v>3061112.05</v>
      </c>
      <c r="N107" s="2862">
        <v>3061112.05</v>
      </c>
      <c r="O107" s="2861"/>
      <c r="P107" s="2861"/>
    </row>
    <row r="110" spans="1:18">
      <c r="C110" s="2875" t="s">
        <v>4258</v>
      </c>
      <c r="D110" s="2876" t="s">
        <v>3654</v>
      </c>
      <c r="E110" s="2876" t="s">
        <v>4259</v>
      </c>
      <c r="F110" s="2876"/>
      <c r="G110" s="2876"/>
      <c r="H110" s="2876"/>
      <c r="I110" s="2876"/>
      <c r="J110" s="2876"/>
      <c r="K110" s="2876"/>
      <c r="L110" s="2876"/>
      <c r="M110" s="2876" t="s">
        <v>4260</v>
      </c>
      <c r="R110" s="1416" t="s">
        <v>4261</v>
      </c>
    </row>
    <row r="111" spans="1:18" ht="15">
      <c r="A111" s="3598" t="s">
        <v>1469</v>
      </c>
      <c r="B111" s="3598"/>
      <c r="C111" s="2873">
        <f ca="1">SUMIF($A$15:$B$44,A111,$E$15:$E$44)</f>
        <v>4443.8900000000003</v>
      </c>
      <c r="D111" s="2874">
        <f ca="1">SUMIF($A$46:$B$75,A111,$E$46:$E$75)</f>
        <v>15643.65</v>
      </c>
      <c r="E111" s="2874">
        <f ca="1">SUMIF($A$77:$B$106,A111,$E$77:$E$106)</f>
        <v>2327.94</v>
      </c>
      <c r="F111" s="2866"/>
      <c r="G111" s="2866"/>
      <c r="H111" s="2866"/>
      <c r="I111" s="2866"/>
      <c r="J111" s="2866"/>
      <c r="K111" s="2866"/>
      <c r="L111" s="2866"/>
      <c r="M111" s="2874">
        <f ca="1">SUM(C111:E111)</f>
        <v>22415.48</v>
      </c>
      <c r="R111" s="2874">
        <f ca="1">M111*2</f>
        <v>44830.96</v>
      </c>
    </row>
    <row r="112" spans="1:18" ht="15">
      <c r="A112" s="3598" t="s">
        <v>1470</v>
      </c>
      <c r="B112" s="3598"/>
      <c r="C112" s="2873">
        <f t="shared" ref="C112:C140" ca="1" si="0">SUMIF($A$15:$B$44,A112,$E$15:$E$44)</f>
        <v>83952.639999999999</v>
      </c>
      <c r="D112" s="2874">
        <f t="shared" ref="D112:D140" ca="1" si="1">SUMIF($A$46:$B$75,A112,$E$46:$E$75)</f>
        <v>1732177.65</v>
      </c>
      <c r="E112" s="2874">
        <f t="shared" ref="E112:E140" ca="1" si="2">SUMIF($A$77:$B$106,A112,$E$77:$E$106)</f>
        <v>336424</v>
      </c>
      <c r="F112" s="2866"/>
      <c r="G112" s="2866"/>
      <c r="H112" s="2866"/>
      <c r="I112" s="2866"/>
      <c r="J112" s="2866"/>
      <c r="K112" s="2866"/>
      <c r="L112" s="2866"/>
      <c r="M112" s="2874">
        <f t="shared" ref="M112:M140" ca="1" si="3">SUM(C112:E112)</f>
        <v>2152554.29</v>
      </c>
      <c r="R112" s="2874">
        <f t="shared" ref="R112:R140" ca="1" si="4">M112*2</f>
        <v>4305108.58</v>
      </c>
    </row>
    <row r="113" spans="1:18" ht="15">
      <c r="A113" s="3598" t="s">
        <v>1471</v>
      </c>
      <c r="B113" s="3598"/>
      <c r="C113" s="2873">
        <f t="shared" ca="1" si="0"/>
        <v>14907.18</v>
      </c>
      <c r="D113" s="2874">
        <f t="shared" ca="1" si="1"/>
        <v>43571.73</v>
      </c>
      <c r="E113" s="2874">
        <f t="shared" ca="1" si="2"/>
        <v>28291.17</v>
      </c>
      <c r="F113" s="2866"/>
      <c r="G113" s="2866"/>
      <c r="H113" s="2866"/>
      <c r="I113" s="2866"/>
      <c r="J113" s="2866"/>
      <c r="K113" s="2866"/>
      <c r="L113" s="2866"/>
      <c r="M113" s="2874">
        <f t="shared" ca="1" si="3"/>
        <v>86770.08</v>
      </c>
      <c r="R113" s="2874">
        <f t="shared" ca="1" si="4"/>
        <v>173540.16</v>
      </c>
    </row>
    <row r="114" spans="1:18" ht="13.5">
      <c r="A114" s="3599" t="s">
        <v>1472</v>
      </c>
      <c r="B114" s="3599"/>
      <c r="C114" s="2867">
        <f t="shared" ca="1" si="0"/>
        <v>2652.44</v>
      </c>
      <c r="D114" s="2872">
        <f t="shared" ca="1" si="1"/>
        <v>2941.5</v>
      </c>
      <c r="E114" s="2872">
        <f t="shared" ca="1" si="2"/>
        <v>30.8</v>
      </c>
      <c r="M114" s="2872">
        <f t="shared" ca="1" si="3"/>
        <v>5624.7400000000007</v>
      </c>
      <c r="R114" s="2872">
        <f t="shared" ca="1" si="4"/>
        <v>11249.480000000001</v>
      </c>
    </row>
    <row r="115" spans="1:18" ht="13.5">
      <c r="A115" s="3599" t="s">
        <v>1473</v>
      </c>
      <c r="B115" s="3599"/>
      <c r="C115" s="2867">
        <f t="shared" ca="1" si="0"/>
        <v>1354.57</v>
      </c>
      <c r="D115" s="2872">
        <f t="shared" ca="1" si="1"/>
        <v>16715.18</v>
      </c>
      <c r="E115" s="2872">
        <f t="shared" ca="1" si="2"/>
        <v>281.8</v>
      </c>
      <c r="M115" s="2872">
        <f t="shared" ca="1" si="3"/>
        <v>18351.55</v>
      </c>
      <c r="R115" s="2872">
        <f t="shared" ca="1" si="4"/>
        <v>36703.1</v>
      </c>
    </row>
    <row r="116" spans="1:18" ht="13.5">
      <c r="A116" s="3600" t="s">
        <v>1474</v>
      </c>
      <c r="B116" s="3600"/>
      <c r="C116" s="2867">
        <f t="shared" ca="1" si="0"/>
        <v>815.44</v>
      </c>
      <c r="D116" s="2872">
        <f t="shared" ca="1" si="1"/>
        <v>2340.4299999999998</v>
      </c>
      <c r="E116" s="2872">
        <f t="shared" ca="1" si="2"/>
        <v>267.92</v>
      </c>
      <c r="M116" s="2872">
        <f t="shared" ca="1" si="3"/>
        <v>3423.79</v>
      </c>
      <c r="R116" s="2872">
        <f t="shared" ca="1" si="4"/>
        <v>6847.58</v>
      </c>
    </row>
    <row r="117" spans="1:18" ht="13.5">
      <c r="A117" s="3600" t="s">
        <v>1475</v>
      </c>
      <c r="B117" s="3600"/>
      <c r="C117" s="2867">
        <f t="shared" ca="1" si="0"/>
        <v>539.13</v>
      </c>
      <c r="D117" s="2872">
        <f t="shared" ca="1" si="1"/>
        <v>14374.75</v>
      </c>
      <c r="E117" s="2872">
        <f t="shared" ca="1" si="2"/>
        <v>13.88</v>
      </c>
      <c r="M117" s="2872">
        <f t="shared" ca="1" si="3"/>
        <v>14927.759999999998</v>
      </c>
      <c r="R117" s="2872">
        <f t="shared" ca="1" si="4"/>
        <v>29855.519999999997</v>
      </c>
    </row>
    <row r="118" spans="1:18" ht="13.5">
      <c r="A118" s="3603" t="s">
        <v>1476</v>
      </c>
      <c r="B118" s="3603"/>
      <c r="C118" s="2867">
        <f t="shared" ca="1" si="0"/>
        <v>161</v>
      </c>
      <c r="D118" s="2872">
        <f t="shared" ca="1" si="1"/>
        <v>8065.88</v>
      </c>
      <c r="E118" s="2872">
        <f t="shared" ca="1" si="2"/>
        <v>12.33</v>
      </c>
      <c r="M118" s="2872">
        <f t="shared" ca="1" si="3"/>
        <v>8239.2100000000009</v>
      </c>
      <c r="R118" s="2872">
        <f t="shared" ca="1" si="4"/>
        <v>16478.420000000002</v>
      </c>
    </row>
    <row r="119" spans="1:18" ht="13.5">
      <c r="A119" s="3603" t="s">
        <v>1477</v>
      </c>
      <c r="B119" s="3603"/>
      <c r="C119" s="2867">
        <f t="shared" ca="1" si="0"/>
        <v>378.13</v>
      </c>
      <c r="D119" s="2872">
        <f t="shared" ca="1" si="1"/>
        <v>6308.87</v>
      </c>
      <c r="E119" s="2872">
        <f t="shared" ca="1" si="2"/>
        <v>1.55</v>
      </c>
      <c r="M119" s="2872">
        <f t="shared" ca="1" si="3"/>
        <v>6688.55</v>
      </c>
      <c r="R119" s="2872">
        <f t="shared" ca="1" si="4"/>
        <v>13377.1</v>
      </c>
    </row>
    <row r="120" spans="1:18" ht="13.5">
      <c r="A120" s="3599" t="s">
        <v>1478</v>
      </c>
      <c r="B120" s="3599"/>
      <c r="C120" s="2867">
        <f t="shared" ca="1" si="0"/>
        <v>10900.17</v>
      </c>
      <c r="D120" s="2872">
        <f t="shared" ca="1" si="1"/>
        <v>23915.05</v>
      </c>
      <c r="E120" s="2872">
        <f t="shared" ca="1" si="2"/>
        <v>27978.57</v>
      </c>
      <c r="M120" s="2872">
        <f t="shared" ca="1" si="3"/>
        <v>62793.79</v>
      </c>
      <c r="R120" s="2872">
        <f t="shared" ca="1" si="4"/>
        <v>125587.58</v>
      </c>
    </row>
    <row r="121" spans="1:18" ht="13.5">
      <c r="A121" s="3600" t="s">
        <v>1479</v>
      </c>
      <c r="B121" s="3600"/>
      <c r="C121" s="2867">
        <f t="shared" ca="1" si="0"/>
        <v>6239.36</v>
      </c>
      <c r="D121" s="2872">
        <f t="shared" ca="1" si="1"/>
        <v>15464.05</v>
      </c>
      <c r="E121" s="2872">
        <f t="shared" ca="1" si="2"/>
        <v>516.36</v>
      </c>
      <c r="M121" s="2872">
        <f t="shared" ca="1" si="3"/>
        <v>22219.77</v>
      </c>
      <c r="R121" s="2872">
        <f t="shared" ca="1" si="4"/>
        <v>44439.54</v>
      </c>
    </row>
    <row r="122" spans="1:18" ht="13.5">
      <c r="A122" s="3600" t="s">
        <v>1480</v>
      </c>
      <c r="B122" s="3600"/>
      <c r="C122" s="2867">
        <f t="shared" ca="1" si="0"/>
        <v>928.13</v>
      </c>
      <c r="D122" s="2872">
        <f t="shared" ca="1" si="1"/>
        <v>1203.1099999999999</v>
      </c>
      <c r="E122" s="2872">
        <f t="shared" ca="1" si="2"/>
        <v>83.58</v>
      </c>
      <c r="M122" s="2872">
        <f t="shared" ca="1" si="3"/>
        <v>2214.8199999999997</v>
      </c>
      <c r="R122" s="2872">
        <f t="shared" ca="1" si="4"/>
        <v>4429.6399999999994</v>
      </c>
    </row>
    <row r="123" spans="1:18" ht="13.5">
      <c r="A123" s="3600" t="s">
        <v>1481</v>
      </c>
      <c r="B123" s="3600"/>
      <c r="C123" s="2867">
        <f t="shared" ca="1" si="0"/>
        <v>1155.4000000000001</v>
      </c>
      <c r="D123" s="2872">
        <f t="shared" ca="1" si="1"/>
        <v>2558.48</v>
      </c>
      <c r="E123" s="2872">
        <f t="shared" ca="1" si="2"/>
        <v>24.54</v>
      </c>
      <c r="M123" s="2872">
        <f t="shared" ca="1" si="3"/>
        <v>3738.42</v>
      </c>
      <c r="R123" s="2872">
        <f t="shared" ca="1" si="4"/>
        <v>7476.84</v>
      </c>
    </row>
    <row r="124" spans="1:18" ht="13.5">
      <c r="A124" s="3600" t="s">
        <v>1482</v>
      </c>
      <c r="B124" s="3600"/>
      <c r="C124" s="2867">
        <f t="shared" ca="1" si="0"/>
        <v>2577.2800000000002</v>
      </c>
      <c r="D124" s="2872">
        <f t="shared" ca="1" si="1"/>
        <v>4689.41</v>
      </c>
      <c r="E124" s="2872">
        <f t="shared" ca="1" si="2"/>
        <v>27354.09</v>
      </c>
      <c r="M124" s="2872">
        <f t="shared" ca="1" si="3"/>
        <v>34620.78</v>
      </c>
      <c r="R124" s="2872">
        <f t="shared" ca="1" si="4"/>
        <v>69241.56</v>
      </c>
    </row>
    <row r="125" spans="1:18" ht="13.5">
      <c r="A125" s="3602" t="s">
        <v>1483</v>
      </c>
      <c r="B125" s="3602"/>
      <c r="C125" s="2867">
        <f t="shared" ca="1" si="0"/>
        <v>19955.759999999998</v>
      </c>
      <c r="D125" s="2872">
        <f t="shared" ca="1" si="1"/>
        <v>106611.25</v>
      </c>
      <c r="E125" s="2872">
        <f t="shared" ca="1" si="2"/>
        <v>2624.74</v>
      </c>
      <c r="M125" s="2872">
        <f t="shared" ca="1" si="3"/>
        <v>129191.75</v>
      </c>
      <c r="R125" s="2872">
        <f t="shared" ca="1" si="4"/>
        <v>258383.5</v>
      </c>
    </row>
    <row r="126" spans="1:18" ht="13.5">
      <c r="A126" s="3599" t="s">
        <v>1484</v>
      </c>
      <c r="B126" s="3599"/>
      <c r="C126" s="2867">
        <f t="shared" ca="1" si="0"/>
        <v>426.45</v>
      </c>
      <c r="D126" s="2872">
        <f t="shared" ca="1" si="1"/>
        <v>832.7</v>
      </c>
      <c r="E126" s="2872">
        <f t="shared" ca="1" si="2"/>
        <v>26.07</v>
      </c>
      <c r="M126" s="2872">
        <f t="shared" ca="1" si="3"/>
        <v>1285.22</v>
      </c>
      <c r="R126" s="2872">
        <f t="shared" ca="1" si="4"/>
        <v>2570.44</v>
      </c>
    </row>
    <row r="127" spans="1:18" ht="13.5">
      <c r="A127" s="3599" t="s">
        <v>1485</v>
      </c>
      <c r="B127" s="3599"/>
      <c r="C127" s="2867">
        <f t="shared" ca="1" si="0"/>
        <v>537.92999999999995</v>
      </c>
      <c r="D127" s="2872">
        <f t="shared" ca="1" si="1"/>
        <v>12093.4</v>
      </c>
      <c r="E127" s="2872">
        <f t="shared" ca="1" si="2"/>
        <v>17.64</v>
      </c>
      <c r="M127" s="2872">
        <f t="shared" ca="1" si="3"/>
        <v>12648.97</v>
      </c>
      <c r="R127" s="2872">
        <f t="shared" ca="1" si="4"/>
        <v>25297.94</v>
      </c>
    </row>
    <row r="128" spans="1:18" ht="13.5">
      <c r="A128" s="3600" t="s">
        <v>1486</v>
      </c>
      <c r="B128" s="3600"/>
      <c r="C128" s="2867">
        <f t="shared" ca="1" si="0"/>
        <v>53.92</v>
      </c>
      <c r="D128" s="2872">
        <f t="shared" ca="1" si="1"/>
        <v>201.42</v>
      </c>
      <c r="E128" s="2872">
        <f t="shared" ca="1" si="2"/>
        <v>16.75</v>
      </c>
      <c r="M128" s="2872">
        <f t="shared" ca="1" si="3"/>
        <v>272.08999999999997</v>
      </c>
      <c r="R128" s="2872">
        <f t="shared" ca="1" si="4"/>
        <v>544.17999999999995</v>
      </c>
    </row>
    <row r="129" spans="1:18" ht="13.5">
      <c r="A129" s="3599" t="s">
        <v>1488</v>
      </c>
      <c r="B129" s="3599"/>
      <c r="C129" s="2867">
        <f t="shared" ca="1" si="0"/>
        <v>1577.93</v>
      </c>
      <c r="D129" s="2872">
        <f t="shared" ca="1" si="1"/>
        <v>3239.09</v>
      </c>
      <c r="E129" s="2872">
        <f t="shared" ca="1" si="2"/>
        <v>109.86</v>
      </c>
      <c r="M129" s="2872">
        <f t="shared" ca="1" si="3"/>
        <v>4926.88</v>
      </c>
      <c r="R129" s="2872">
        <f t="shared" ca="1" si="4"/>
        <v>9853.76</v>
      </c>
    </row>
    <row r="130" spans="1:18" ht="13.5">
      <c r="A130" s="3599" t="s">
        <v>1489</v>
      </c>
      <c r="B130" s="3599"/>
      <c r="C130" s="2867">
        <f t="shared" ca="1" si="0"/>
        <v>573.72</v>
      </c>
      <c r="D130" s="2872">
        <f t="shared" ca="1" si="1"/>
        <v>9612.0400000000009</v>
      </c>
      <c r="E130" s="2872">
        <f t="shared" ca="1" si="2"/>
        <v>52.81</v>
      </c>
      <c r="M130" s="2872">
        <f t="shared" ca="1" si="3"/>
        <v>10238.57</v>
      </c>
      <c r="R130" s="2872">
        <f t="shared" ca="1" si="4"/>
        <v>20477.14</v>
      </c>
    </row>
    <row r="131" spans="1:18" ht="13.5">
      <c r="A131" s="3600" t="s">
        <v>1490</v>
      </c>
      <c r="B131" s="3600"/>
      <c r="C131" s="2867">
        <f t="shared" ca="1" si="0"/>
        <v>436.44</v>
      </c>
      <c r="D131" s="2872">
        <f t="shared" ca="1" si="1"/>
        <v>9207.48</v>
      </c>
      <c r="E131" s="2872">
        <f t="shared" ca="1" si="2"/>
        <v>44.27</v>
      </c>
      <c r="M131" s="2872">
        <f t="shared" ca="1" si="3"/>
        <v>9688.19</v>
      </c>
      <c r="R131" s="2872">
        <f t="shared" ca="1" si="4"/>
        <v>19376.38</v>
      </c>
    </row>
    <row r="132" spans="1:18" ht="13.5">
      <c r="A132" s="3600" t="s">
        <v>1491</v>
      </c>
      <c r="B132" s="3600"/>
      <c r="C132" s="2867">
        <f t="shared" ca="1" si="0"/>
        <v>137.28</v>
      </c>
      <c r="D132" s="2872">
        <f t="shared" ca="1" si="1"/>
        <v>404.56</v>
      </c>
      <c r="E132" s="2872">
        <f t="shared" ca="1" si="2"/>
        <v>8.5399999999999991</v>
      </c>
      <c r="M132" s="2872">
        <f t="shared" ca="1" si="3"/>
        <v>550.38</v>
      </c>
      <c r="R132" s="2872">
        <f t="shared" ca="1" si="4"/>
        <v>1100.76</v>
      </c>
    </row>
    <row r="133" spans="1:18" ht="13.5">
      <c r="A133" s="3599" t="s">
        <v>1492</v>
      </c>
      <c r="B133" s="3599"/>
      <c r="C133" s="2867">
        <f t="shared" ca="1" si="0"/>
        <v>9254.57</v>
      </c>
      <c r="D133" s="2872">
        <f t="shared" ca="1" si="1"/>
        <v>20083.93</v>
      </c>
      <c r="E133" s="2872">
        <f t="shared" ca="1" si="2"/>
        <v>1896.35</v>
      </c>
      <c r="M133" s="2872">
        <f t="shared" ca="1" si="3"/>
        <v>31234.85</v>
      </c>
      <c r="R133" s="2872">
        <f t="shared" ca="1" si="4"/>
        <v>62469.7</v>
      </c>
    </row>
    <row r="134" spans="1:18" ht="13.5">
      <c r="A134" s="3599" t="s">
        <v>1493</v>
      </c>
      <c r="B134" s="3599"/>
      <c r="C134" s="2867">
        <f t="shared" ca="1" si="0"/>
        <v>7512.31</v>
      </c>
      <c r="D134" s="2872">
        <f t="shared" ca="1" si="1"/>
        <v>14069.78</v>
      </c>
      <c r="E134" s="2872">
        <f t="shared" ca="1" si="2"/>
        <v>507.59</v>
      </c>
      <c r="M134" s="2872">
        <f t="shared" ca="1" si="3"/>
        <v>22089.68</v>
      </c>
      <c r="R134" s="2872">
        <f t="shared" ca="1" si="4"/>
        <v>44179.360000000001</v>
      </c>
    </row>
    <row r="135" spans="1:18" ht="13.5">
      <c r="A135" s="3600" t="s">
        <v>1494</v>
      </c>
      <c r="B135" s="3600"/>
      <c r="C135" s="2867">
        <f t="shared" ca="1" si="0"/>
        <v>172.3</v>
      </c>
      <c r="D135" s="2872">
        <f t="shared" ca="1" si="1"/>
        <v>824.78</v>
      </c>
      <c r="E135" s="2872">
        <f t="shared" ca="1" si="2"/>
        <v>14.47</v>
      </c>
      <c r="M135" s="2872">
        <f t="shared" ca="1" si="3"/>
        <v>1011.55</v>
      </c>
      <c r="R135" s="2872">
        <f t="shared" ca="1" si="4"/>
        <v>2023.1</v>
      </c>
    </row>
    <row r="136" spans="1:18" ht="13.5">
      <c r="A136" s="3600" t="s">
        <v>1495</v>
      </c>
      <c r="B136" s="3600"/>
      <c r="C136" s="2867">
        <f t="shared" ca="1" si="0"/>
        <v>574.15</v>
      </c>
      <c r="D136" s="2872">
        <f t="shared" ca="1" si="1"/>
        <v>653.75</v>
      </c>
      <c r="E136" s="2872">
        <f t="shared" ca="1" si="2"/>
        <v>14.14</v>
      </c>
      <c r="M136" s="2872">
        <f t="shared" ca="1" si="3"/>
        <v>1242.0400000000002</v>
      </c>
      <c r="R136" s="2872">
        <f t="shared" ca="1" si="4"/>
        <v>2484.0800000000004</v>
      </c>
    </row>
    <row r="137" spans="1:18" ht="13.5">
      <c r="A137" s="3600" t="s">
        <v>1497</v>
      </c>
      <c r="B137" s="3600"/>
      <c r="C137" s="2867">
        <f t="shared" ca="1" si="0"/>
        <v>2668.98</v>
      </c>
      <c r="D137" s="2872">
        <f t="shared" ca="1" si="1"/>
        <v>4992.45</v>
      </c>
      <c r="E137" s="2872">
        <f t="shared" ca="1" si="2"/>
        <v>185.44</v>
      </c>
      <c r="M137" s="2872">
        <f t="shared" ca="1" si="3"/>
        <v>7846.87</v>
      </c>
      <c r="R137" s="2872">
        <f t="shared" ca="1" si="4"/>
        <v>15693.74</v>
      </c>
    </row>
    <row r="138" spans="1:18" ht="13.5">
      <c r="A138" s="3600" t="s">
        <v>1498</v>
      </c>
      <c r="B138" s="3600"/>
      <c r="C138" s="2867">
        <f t="shared" ca="1" si="0"/>
        <v>458.61</v>
      </c>
      <c r="D138" s="2872">
        <f t="shared" ca="1" si="1"/>
        <v>841.33</v>
      </c>
      <c r="E138" s="2872">
        <f t="shared" ca="1" si="2"/>
        <v>36.729999999999997</v>
      </c>
      <c r="M138" s="2872">
        <f t="shared" ca="1" si="3"/>
        <v>1336.67</v>
      </c>
      <c r="R138" s="2872">
        <f t="shared" ca="1" si="4"/>
        <v>2673.34</v>
      </c>
    </row>
    <row r="139" spans="1:18" ht="13.5">
      <c r="A139" s="3600" t="s">
        <v>1499</v>
      </c>
      <c r="B139" s="3600"/>
      <c r="C139" s="2867">
        <f t="shared" ca="1" si="0"/>
        <v>1211.42</v>
      </c>
      <c r="D139" s="2872">
        <f t="shared" ca="1" si="1"/>
        <v>2238.12</v>
      </c>
      <c r="E139" s="2872">
        <f t="shared" ca="1" si="2"/>
        <v>81.12</v>
      </c>
      <c r="M139" s="2872">
        <f t="shared" ca="1" si="3"/>
        <v>3530.66</v>
      </c>
      <c r="R139" s="2872">
        <f t="shared" ca="1" si="4"/>
        <v>7061.32</v>
      </c>
    </row>
    <row r="140" spans="1:18" ht="13.5">
      <c r="A140" s="3602" t="s">
        <v>1500</v>
      </c>
      <c r="B140" s="3602"/>
      <c r="C140" s="2867">
        <f t="shared" ca="1" si="0"/>
        <v>25403.48</v>
      </c>
      <c r="D140" s="2872">
        <f t="shared" ca="1" si="1"/>
        <v>519126.59</v>
      </c>
      <c r="E140" s="2872">
        <f t="shared" ca="1" si="2"/>
        <v>125650.38</v>
      </c>
      <c r="M140" s="2872">
        <f t="shared" ca="1" si="3"/>
        <v>670180.45000000007</v>
      </c>
      <c r="R140" s="2872">
        <f t="shared" ca="1" si="4"/>
        <v>1340360.9000000001</v>
      </c>
    </row>
    <row r="141" spans="1:18">
      <c r="C141" s="22"/>
      <c r="D141" s="22"/>
      <c r="E141" s="22"/>
    </row>
    <row r="143" spans="1:18">
      <c r="C143" s="22">
        <f ca="1">C111+C112+C113+C125+C140</f>
        <v>148662.94999999998</v>
      </c>
      <c r="D143" s="22">
        <f t="shared" ref="D143:E143" ca="1" si="5">D111+D112+D113+D125+D140</f>
        <v>2417130.8699999996</v>
      </c>
      <c r="E143" s="22">
        <f t="shared" ca="1" si="5"/>
        <v>495318.23</v>
      </c>
      <c r="M143" s="22">
        <f t="shared" ref="M143" ca="1" si="6">M111+M112+M113+M125+M140</f>
        <v>3061112.0500000003</v>
      </c>
      <c r="R143" s="22">
        <f ca="1">R111+R112+R113+R125+R140</f>
        <v>6122224.1000000006</v>
      </c>
    </row>
    <row r="144" spans="1:18">
      <c r="C144" s="22"/>
    </row>
  </sheetData>
  <mergeCells count="232"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05:B105"/>
    <mergeCell ref="H105:I105"/>
    <mergeCell ref="A106:B106"/>
    <mergeCell ref="H106:I106"/>
    <mergeCell ref="A107:B107"/>
    <mergeCell ref="H107:I107"/>
    <mergeCell ref="A101:B101"/>
    <mergeCell ref="H101:I101"/>
    <mergeCell ref="A102:B102"/>
    <mergeCell ref="A103:B103"/>
    <mergeCell ref="H103:I103"/>
    <mergeCell ref="A104:B104"/>
    <mergeCell ref="H104:I104"/>
    <mergeCell ref="A97:B97"/>
    <mergeCell ref="A98:B98"/>
    <mergeCell ref="H98:I98"/>
    <mergeCell ref="A99:B99"/>
    <mergeCell ref="H99:I99"/>
    <mergeCell ref="A100:B100"/>
    <mergeCell ref="H100:I100"/>
    <mergeCell ref="A94:B94"/>
    <mergeCell ref="H94:I94"/>
    <mergeCell ref="A95:B95"/>
    <mergeCell ref="H95:I95"/>
    <mergeCell ref="A96:B96"/>
    <mergeCell ref="H96:I96"/>
    <mergeCell ref="A90:B90"/>
    <mergeCell ref="H90:I90"/>
    <mergeCell ref="A91:B91"/>
    <mergeCell ref="H91:I91"/>
    <mergeCell ref="A92:B92"/>
    <mergeCell ref="A93:B93"/>
    <mergeCell ref="H93:I93"/>
    <mergeCell ref="A87:B87"/>
    <mergeCell ref="H87:I87"/>
    <mergeCell ref="A88:B88"/>
    <mergeCell ref="H88:I88"/>
    <mergeCell ref="A89:B89"/>
    <mergeCell ref="H89:I89"/>
    <mergeCell ref="A84:B84"/>
    <mergeCell ref="H84:I84"/>
    <mergeCell ref="A85:B85"/>
    <mergeCell ref="H85:I85"/>
    <mergeCell ref="A86:B86"/>
    <mergeCell ref="H86:I86"/>
    <mergeCell ref="A80:B80"/>
    <mergeCell ref="A81:B81"/>
    <mergeCell ref="H81:I81"/>
    <mergeCell ref="A82:B82"/>
    <mergeCell ref="H82:I82"/>
    <mergeCell ref="A83:B83"/>
    <mergeCell ref="H83:I83"/>
    <mergeCell ref="A77:B77"/>
    <mergeCell ref="H77:I77"/>
    <mergeCell ref="A78:B78"/>
    <mergeCell ref="H78:I78"/>
    <mergeCell ref="A79:B79"/>
    <mergeCell ref="H79:I79"/>
    <mergeCell ref="A74:B74"/>
    <mergeCell ref="H74:I74"/>
    <mergeCell ref="A75:B75"/>
    <mergeCell ref="H75:I75"/>
    <mergeCell ref="A76:B76"/>
    <mergeCell ref="H76:I76"/>
    <mergeCell ref="A70:B70"/>
    <mergeCell ref="H70:I70"/>
    <mergeCell ref="A71:B71"/>
    <mergeCell ref="A72:B72"/>
    <mergeCell ref="H72:I72"/>
    <mergeCell ref="A73:B73"/>
    <mergeCell ref="H73:I73"/>
    <mergeCell ref="A66:B66"/>
    <mergeCell ref="A67:B67"/>
    <mergeCell ref="H67:I67"/>
    <mergeCell ref="A68:B68"/>
    <mergeCell ref="H68:I68"/>
    <mergeCell ref="A69:B69"/>
    <mergeCell ref="H69:I69"/>
    <mergeCell ref="A63:B63"/>
    <mergeCell ref="H63:I63"/>
    <mergeCell ref="A64:B64"/>
    <mergeCell ref="H64:I64"/>
    <mergeCell ref="A65:B65"/>
    <mergeCell ref="H65:I65"/>
    <mergeCell ref="A59:B59"/>
    <mergeCell ref="H59:I59"/>
    <mergeCell ref="A60:B60"/>
    <mergeCell ref="H60:I60"/>
    <mergeCell ref="A61:B61"/>
    <mergeCell ref="A62:B62"/>
    <mergeCell ref="H62:I62"/>
    <mergeCell ref="A56:B56"/>
    <mergeCell ref="H56:I56"/>
    <mergeCell ref="A57:B57"/>
    <mergeCell ref="H57:I57"/>
    <mergeCell ref="A58:B58"/>
    <mergeCell ref="H58:I58"/>
    <mergeCell ref="A53:B53"/>
    <mergeCell ref="H53:I53"/>
    <mergeCell ref="A54:B54"/>
    <mergeCell ref="H54:I54"/>
    <mergeCell ref="A55:B55"/>
    <mergeCell ref="H55:I55"/>
    <mergeCell ref="A49:B49"/>
    <mergeCell ref="A50:B50"/>
    <mergeCell ref="H50:I50"/>
    <mergeCell ref="A51:B51"/>
    <mergeCell ref="H51:I51"/>
    <mergeCell ref="A52:B52"/>
    <mergeCell ref="H52:I52"/>
    <mergeCell ref="A46:B46"/>
    <mergeCell ref="H46:I46"/>
    <mergeCell ref="A47:B47"/>
    <mergeCell ref="H47:I47"/>
    <mergeCell ref="A48:B48"/>
    <mergeCell ref="H48:I48"/>
    <mergeCell ref="A43:B43"/>
    <mergeCell ref="H43:I43"/>
    <mergeCell ref="A44:B44"/>
    <mergeCell ref="H44:I44"/>
    <mergeCell ref="A45:B45"/>
    <mergeCell ref="H45:I45"/>
    <mergeCell ref="A39:B39"/>
    <mergeCell ref="H39:I39"/>
    <mergeCell ref="A40:B40"/>
    <mergeCell ref="A41:B41"/>
    <mergeCell ref="H41:I41"/>
    <mergeCell ref="A42:B42"/>
    <mergeCell ref="H42:I42"/>
    <mergeCell ref="A35:B35"/>
    <mergeCell ref="A36:B36"/>
    <mergeCell ref="H36:I36"/>
    <mergeCell ref="A37:B37"/>
    <mergeCell ref="H37:I37"/>
    <mergeCell ref="A38:B38"/>
    <mergeCell ref="H38:I38"/>
    <mergeCell ref="A32:B32"/>
    <mergeCell ref="H32:I32"/>
    <mergeCell ref="A33:B33"/>
    <mergeCell ref="H33:I33"/>
    <mergeCell ref="A34:B34"/>
    <mergeCell ref="H34:I34"/>
    <mergeCell ref="A28:B28"/>
    <mergeCell ref="H28:I28"/>
    <mergeCell ref="A29:B29"/>
    <mergeCell ref="H29:I29"/>
    <mergeCell ref="A30:B30"/>
    <mergeCell ref="A31:B31"/>
    <mergeCell ref="H31:I31"/>
    <mergeCell ref="A25:B25"/>
    <mergeCell ref="H25:I25"/>
    <mergeCell ref="A26:B26"/>
    <mergeCell ref="H26:I26"/>
    <mergeCell ref="A27:B27"/>
    <mergeCell ref="H27:I27"/>
    <mergeCell ref="A22:B22"/>
    <mergeCell ref="H22:I22"/>
    <mergeCell ref="A23:B23"/>
    <mergeCell ref="H23:I23"/>
    <mergeCell ref="A24:B24"/>
    <mergeCell ref="H24:I24"/>
    <mergeCell ref="A18:B18"/>
    <mergeCell ref="A19:B19"/>
    <mergeCell ref="H19:I19"/>
    <mergeCell ref="A20:B20"/>
    <mergeCell ref="H20:I20"/>
    <mergeCell ref="A21:B21"/>
    <mergeCell ref="H21:I21"/>
    <mergeCell ref="A15:B15"/>
    <mergeCell ref="H15:I15"/>
    <mergeCell ref="A16:B16"/>
    <mergeCell ref="H16:I16"/>
    <mergeCell ref="A17:B17"/>
    <mergeCell ref="H17:I17"/>
    <mergeCell ref="A12:B12"/>
    <mergeCell ref="H12:I12"/>
    <mergeCell ref="A13:B13"/>
    <mergeCell ref="H13:I13"/>
    <mergeCell ref="A14:B14"/>
    <mergeCell ref="H14:I14"/>
    <mergeCell ref="O8:O10"/>
    <mergeCell ref="P8:P10"/>
    <mergeCell ref="A9:B9"/>
    <mergeCell ref="A10:B10"/>
    <mergeCell ref="A11:B11"/>
    <mergeCell ref="H11:I11"/>
    <mergeCell ref="H8:I10"/>
    <mergeCell ref="J8:J10"/>
    <mergeCell ref="K8:K10"/>
    <mergeCell ref="L8:L10"/>
    <mergeCell ref="M8:M10"/>
    <mergeCell ref="N8:N10"/>
    <mergeCell ref="A1:H1"/>
    <mergeCell ref="A2:H2"/>
    <mergeCell ref="B4:H4"/>
    <mergeCell ref="B6:H6"/>
    <mergeCell ref="A8:B8"/>
    <mergeCell ref="C8:C10"/>
    <mergeCell ref="D8:D10"/>
    <mergeCell ref="E8:E10"/>
    <mergeCell ref="F8:F10"/>
    <mergeCell ref="G8:G1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</sheetPr>
  <dimension ref="A1:AJ109"/>
  <sheetViews>
    <sheetView topLeftCell="A5" zoomScale="55" zoomScaleNormal="55" workbookViewId="0">
      <selection activeCell="U59" sqref="U59"/>
    </sheetView>
  </sheetViews>
  <sheetFormatPr defaultRowHeight="12.75" outlineLevelRow="1"/>
  <cols>
    <col min="8" max="8" width="9.28515625" bestFit="1" customWidth="1"/>
    <col min="9" max="9" width="10" bestFit="1" customWidth="1"/>
    <col min="10" max="10" width="9.28515625" bestFit="1" customWidth="1"/>
    <col min="11" max="11" width="10" bestFit="1" customWidth="1"/>
    <col min="12" max="18" width="9.28515625" bestFit="1" customWidth="1"/>
    <col min="19" max="19" width="11" bestFit="1" customWidth="1"/>
    <col min="20" max="20" width="12.5703125" bestFit="1" customWidth="1"/>
    <col min="21" max="21" width="11" bestFit="1" customWidth="1"/>
    <col min="22" max="22" width="10.5703125" customWidth="1"/>
    <col min="23" max="25" width="9.28515625" bestFit="1" customWidth="1"/>
    <col min="26" max="26" width="13.28515625" bestFit="1" customWidth="1"/>
    <col min="27" max="29" width="14.85546875" bestFit="1" customWidth="1"/>
    <col min="30" max="30" width="13.7109375" bestFit="1" customWidth="1"/>
    <col min="31" max="33" width="10.7109375" customWidth="1"/>
    <col min="34" max="34" width="12.5703125" customWidth="1"/>
    <col min="35" max="35" width="10.7109375" customWidth="1"/>
    <col min="36" max="36" width="11.7109375" customWidth="1"/>
  </cols>
  <sheetData>
    <row r="1" spans="1:31" ht="31.5" thickBot="1">
      <c r="O1" s="3604" t="s">
        <v>4268</v>
      </c>
      <c r="P1" s="3604"/>
      <c r="Q1" s="3604"/>
      <c r="R1" s="3604"/>
      <c r="S1" s="3604"/>
      <c r="T1" s="3604"/>
      <c r="U1" s="3604"/>
      <c r="V1" s="3604"/>
      <c r="W1" s="3604"/>
      <c r="X1" s="3604"/>
      <c r="Y1" s="3604"/>
      <c r="Z1" s="3604"/>
    </row>
    <row r="2" spans="1:31" ht="15">
      <c r="A2" s="3623"/>
      <c r="B2" s="3623"/>
      <c r="C2" s="3623"/>
      <c r="D2" s="3623"/>
      <c r="E2" s="3623"/>
      <c r="F2" s="3623"/>
      <c r="G2" s="3624" t="s">
        <v>3966</v>
      </c>
      <c r="H2" s="3625"/>
      <c r="I2" s="3625"/>
      <c r="J2" s="3625"/>
      <c r="K2" s="3625"/>
      <c r="L2" s="3625"/>
      <c r="M2" s="3625"/>
      <c r="N2" s="3625"/>
      <c r="O2" s="3625"/>
      <c r="P2" s="3625"/>
      <c r="Q2" s="3625"/>
      <c r="R2" s="3625"/>
      <c r="S2" s="3625"/>
      <c r="T2" s="3625"/>
      <c r="U2" s="3625"/>
      <c r="V2" s="3625"/>
      <c r="W2" s="3625"/>
      <c r="X2" s="3625"/>
      <c r="Y2" s="3625"/>
      <c r="Z2" s="3625"/>
      <c r="AA2" s="3625"/>
      <c r="AB2" s="3625"/>
      <c r="AC2" s="3625"/>
      <c r="AD2" s="3625"/>
      <c r="AE2" s="3625"/>
    </row>
    <row r="3" spans="1:31" ht="60">
      <c r="A3" s="3160" t="s">
        <v>0</v>
      </c>
      <c r="B3" s="3121" t="s">
        <v>3849</v>
      </c>
      <c r="C3" s="3611" t="s">
        <v>3850</v>
      </c>
      <c r="D3" s="3121" t="s">
        <v>3851</v>
      </c>
      <c r="E3" s="3121" t="s">
        <v>3852</v>
      </c>
      <c r="F3" s="3121" t="s">
        <v>4266</v>
      </c>
      <c r="G3" s="3626" t="s">
        <v>3854</v>
      </c>
      <c r="H3" s="3627" t="s">
        <v>3855</v>
      </c>
      <c r="I3" s="3628"/>
      <c r="J3" s="3628"/>
      <c r="K3" s="3629"/>
      <c r="L3" s="3627" t="s">
        <v>3856</v>
      </c>
      <c r="M3" s="3628"/>
      <c r="N3" s="3628"/>
      <c r="O3" s="3629"/>
      <c r="P3" s="3630" t="s">
        <v>3857</v>
      </c>
      <c r="Q3" s="3630"/>
      <c r="R3" s="3631"/>
      <c r="S3" s="3630" t="s">
        <v>3978</v>
      </c>
      <c r="T3" s="3630"/>
      <c r="U3" s="3630"/>
      <c r="V3" s="3632" t="s">
        <v>3858</v>
      </c>
      <c r="W3" s="3633"/>
      <c r="X3" s="3633"/>
      <c r="Y3" s="3634"/>
      <c r="Z3" s="3631" t="s">
        <v>4267</v>
      </c>
      <c r="AA3" s="3635"/>
      <c r="AB3" s="3636"/>
      <c r="AC3" s="2899" t="s">
        <v>3980</v>
      </c>
      <c r="AD3" s="2930" t="s">
        <v>3974</v>
      </c>
      <c r="AE3" s="2931" t="s">
        <v>3975</v>
      </c>
    </row>
    <row r="4" spans="1:31" ht="15.75" thickBot="1">
      <c r="A4" s="3160"/>
      <c r="B4" s="3121"/>
      <c r="C4" s="3611"/>
      <c r="D4" s="3121"/>
      <c r="E4" s="3121"/>
      <c r="F4" s="3121"/>
      <c r="G4" s="3626"/>
      <c r="H4" s="2900">
        <v>2014</v>
      </c>
      <c r="I4" s="2901">
        <v>2015</v>
      </c>
      <c r="J4" s="2901">
        <v>2016</v>
      </c>
      <c r="K4" s="2901" t="s">
        <v>2553</v>
      </c>
      <c r="L4" s="2901">
        <v>2014</v>
      </c>
      <c r="M4" s="2901">
        <v>2015</v>
      </c>
      <c r="N4" s="2901">
        <v>2016</v>
      </c>
      <c r="O4" s="2901" t="s">
        <v>2553</v>
      </c>
      <c r="P4" s="2901">
        <v>2014</v>
      </c>
      <c r="Q4" s="2901">
        <v>2015</v>
      </c>
      <c r="R4" s="2902">
        <v>2016</v>
      </c>
      <c r="S4" s="2887">
        <v>2014</v>
      </c>
      <c r="T4" s="2887">
        <v>2015</v>
      </c>
      <c r="U4" s="2887">
        <v>2016</v>
      </c>
      <c r="V4" s="2901">
        <v>2015</v>
      </c>
      <c r="W4" s="2901">
        <v>2016</v>
      </c>
      <c r="X4" s="2901">
        <v>2017</v>
      </c>
      <c r="Y4" s="2901">
        <v>2018</v>
      </c>
      <c r="Z4" s="2901">
        <v>2014</v>
      </c>
      <c r="AA4" s="2901">
        <v>2015</v>
      </c>
      <c r="AB4" s="2901">
        <v>2016</v>
      </c>
      <c r="AC4" s="2889" t="s">
        <v>3981</v>
      </c>
      <c r="AD4" s="2889" t="s">
        <v>3976</v>
      </c>
      <c r="AE4" s="2706" t="s">
        <v>3977</v>
      </c>
    </row>
    <row r="5" spans="1:31" ht="15">
      <c r="A5" s="2913">
        <v>1</v>
      </c>
      <c r="B5" s="2913">
        <v>2</v>
      </c>
      <c r="C5" s="3615">
        <v>3</v>
      </c>
      <c r="D5" s="3615"/>
      <c r="E5" s="3615"/>
      <c r="F5" s="3615"/>
      <c r="G5" s="2905">
        <v>4</v>
      </c>
      <c r="H5" s="3616">
        <v>5</v>
      </c>
      <c r="I5" s="3617"/>
      <c r="J5" s="3617"/>
      <c r="K5" s="3618"/>
      <c r="L5" s="3616">
        <v>6</v>
      </c>
      <c r="M5" s="3617"/>
      <c r="N5" s="3617"/>
      <c r="O5" s="3618"/>
      <c r="P5" s="3616">
        <v>7</v>
      </c>
      <c r="Q5" s="3617"/>
      <c r="R5" s="3619"/>
      <c r="S5" s="3620">
        <v>8</v>
      </c>
      <c r="T5" s="3621"/>
      <c r="U5" s="3622"/>
      <c r="V5" s="3612">
        <v>9</v>
      </c>
      <c r="W5" s="3613"/>
      <c r="X5" s="3613"/>
      <c r="Y5" s="3614"/>
      <c r="Z5" s="3612">
        <v>10</v>
      </c>
      <c r="AA5" s="3613"/>
      <c r="AB5" s="3614"/>
      <c r="AC5" s="2891">
        <v>11</v>
      </c>
      <c r="AD5" s="2891">
        <v>12</v>
      </c>
      <c r="AE5" s="2919">
        <v>13</v>
      </c>
    </row>
    <row r="6" spans="1:31" ht="30" hidden="1" outlineLevel="1">
      <c r="A6" s="3608"/>
      <c r="B6" s="3611" t="s">
        <v>2952</v>
      </c>
      <c r="C6" s="3611" t="s">
        <v>3859</v>
      </c>
      <c r="D6" s="3611" t="s">
        <v>2949</v>
      </c>
      <c r="E6" s="3121" t="s">
        <v>2950</v>
      </c>
      <c r="F6" s="2914" t="s">
        <v>3860</v>
      </c>
      <c r="G6" s="2906"/>
      <c r="H6" s="2904"/>
      <c r="I6" s="2904"/>
      <c r="J6" s="2904"/>
      <c r="K6" s="2904"/>
      <c r="L6" s="2904"/>
      <c r="M6" s="2904"/>
      <c r="N6" s="2904"/>
      <c r="O6" s="2904"/>
      <c r="P6" s="2904"/>
      <c r="Q6" s="2904"/>
      <c r="R6" s="2904"/>
      <c r="S6" s="2706"/>
      <c r="T6" s="2706"/>
      <c r="U6" s="2706"/>
      <c r="V6" s="2709"/>
      <c r="W6" s="2709"/>
      <c r="X6" s="2709"/>
      <c r="Y6" s="2709"/>
      <c r="Z6" s="2709"/>
      <c r="AA6" s="2709"/>
      <c r="AB6" s="2709"/>
      <c r="AC6" s="2709"/>
      <c r="AD6" s="2709"/>
      <c r="AE6" s="2706"/>
    </row>
    <row r="7" spans="1:31" ht="15" hidden="1" outlineLevel="1">
      <c r="A7" s="3609"/>
      <c r="B7" s="3611"/>
      <c r="C7" s="3611"/>
      <c r="D7" s="3611"/>
      <c r="E7" s="3121"/>
      <c r="F7" s="2914" t="s">
        <v>3861</v>
      </c>
      <c r="G7" s="2907"/>
      <c r="H7" s="2904"/>
      <c r="I7" s="2904"/>
      <c r="J7" s="2904"/>
      <c r="K7" s="2904"/>
      <c r="L7" s="2904"/>
      <c r="M7" s="2904"/>
      <c r="N7" s="2904"/>
      <c r="O7" s="2904"/>
      <c r="P7" s="2904"/>
      <c r="Q7" s="2904"/>
      <c r="R7" s="2904"/>
      <c r="S7" s="2706"/>
      <c r="T7" s="2706"/>
      <c r="U7" s="2706"/>
      <c r="V7" s="2709"/>
      <c r="W7" s="2709"/>
      <c r="X7" s="2709"/>
      <c r="Y7" s="2709"/>
      <c r="Z7" s="2709"/>
      <c r="AA7" s="2709"/>
      <c r="AB7" s="2709"/>
      <c r="AC7" s="2709"/>
      <c r="AD7" s="2709"/>
      <c r="AE7" s="2706"/>
    </row>
    <row r="8" spans="1:31" ht="15" hidden="1" outlineLevel="1">
      <c r="A8" s="3609"/>
      <c r="B8" s="3611"/>
      <c r="C8" s="3611"/>
      <c r="D8" s="3611"/>
      <c r="E8" s="3121"/>
      <c r="F8" s="2914" t="s">
        <v>3862</v>
      </c>
      <c r="G8" s="2907"/>
      <c r="H8" s="2904"/>
      <c r="I8" s="2904"/>
      <c r="J8" s="2904"/>
      <c r="K8" s="2904"/>
      <c r="L8" s="2904"/>
      <c r="M8" s="2904"/>
      <c r="N8" s="2904"/>
      <c r="O8" s="2904"/>
      <c r="P8" s="2904"/>
      <c r="Q8" s="2904"/>
      <c r="R8" s="2904"/>
      <c r="S8" s="2706"/>
      <c r="T8" s="2706"/>
      <c r="U8" s="2706"/>
      <c r="V8" s="2709"/>
      <c r="W8" s="2709"/>
      <c r="X8" s="2709"/>
      <c r="Y8" s="2709"/>
      <c r="Z8" s="2709"/>
      <c r="AA8" s="2709"/>
      <c r="AB8" s="2709"/>
      <c r="AC8" s="2709"/>
      <c r="AD8" s="2709"/>
      <c r="AE8" s="2706"/>
    </row>
    <row r="9" spans="1:31" ht="15" hidden="1" outlineLevel="1">
      <c r="A9" s="3609"/>
      <c r="B9" s="3611"/>
      <c r="C9" s="3611"/>
      <c r="D9" s="3611"/>
      <c r="E9" s="3121"/>
      <c r="F9" s="2914" t="s">
        <v>3863</v>
      </c>
      <c r="G9" s="2907"/>
      <c r="H9" s="2904"/>
      <c r="I9" s="2904"/>
      <c r="J9" s="2904"/>
      <c r="K9" s="2904"/>
      <c r="L9" s="2904"/>
      <c r="M9" s="2904"/>
      <c r="N9" s="2904"/>
      <c r="O9" s="2904"/>
      <c r="P9" s="2904"/>
      <c r="Q9" s="2904"/>
      <c r="R9" s="2904"/>
      <c r="S9" s="2706"/>
      <c r="T9" s="2706"/>
      <c r="U9" s="2706"/>
      <c r="V9" s="2709"/>
      <c r="W9" s="2709"/>
      <c r="X9" s="2709"/>
      <c r="Y9" s="2709"/>
      <c r="Z9" s="2709"/>
      <c r="AA9" s="2709"/>
      <c r="AB9" s="2709"/>
      <c r="AC9" s="2709"/>
      <c r="AD9" s="2709"/>
      <c r="AE9" s="2706"/>
    </row>
    <row r="10" spans="1:31" ht="15" hidden="1" outlineLevel="1">
      <c r="A10" s="3609"/>
      <c r="B10" s="3611"/>
      <c r="C10" s="3611"/>
      <c r="D10" s="3611"/>
      <c r="E10" s="3121"/>
      <c r="F10" s="2887" t="s">
        <v>3864</v>
      </c>
      <c r="G10" s="2908"/>
      <c r="H10" s="2904"/>
      <c r="I10" s="2904"/>
      <c r="J10" s="2904"/>
      <c r="K10" s="2904"/>
      <c r="L10" s="2904"/>
      <c r="M10" s="2904"/>
      <c r="N10" s="2904"/>
      <c r="O10" s="2904"/>
      <c r="P10" s="2904"/>
      <c r="Q10" s="2904"/>
      <c r="R10" s="2904"/>
      <c r="S10" s="2706"/>
      <c r="T10" s="2706"/>
      <c r="U10" s="2706"/>
      <c r="V10" s="2709"/>
      <c r="W10" s="2709"/>
      <c r="X10" s="2709"/>
      <c r="Y10" s="2709"/>
      <c r="Z10" s="2709"/>
      <c r="AA10" s="2709"/>
      <c r="AB10" s="2709"/>
      <c r="AC10" s="2709"/>
      <c r="AD10" s="2709"/>
      <c r="AE10" s="2706"/>
    </row>
    <row r="11" spans="1:31" ht="30" hidden="1" outlineLevel="1">
      <c r="A11" s="3609"/>
      <c r="B11" s="3611"/>
      <c r="C11" s="3611"/>
      <c r="D11" s="3611"/>
      <c r="E11" s="3121"/>
      <c r="F11" s="2887" t="s">
        <v>3865</v>
      </c>
      <c r="G11" s="2909"/>
      <c r="H11" s="2904"/>
      <c r="I11" s="2904"/>
      <c r="J11" s="2904"/>
      <c r="K11" s="2904"/>
      <c r="L11" s="2904"/>
      <c r="M11" s="2904"/>
      <c r="N11" s="2904"/>
      <c r="O11" s="2904"/>
      <c r="P11" s="2904"/>
      <c r="Q11" s="2904"/>
      <c r="R11" s="2904"/>
      <c r="S11" s="2706"/>
      <c r="T11" s="2706"/>
      <c r="U11" s="2706"/>
      <c r="V11" s="2709"/>
      <c r="W11" s="2709"/>
      <c r="X11" s="2709"/>
      <c r="Y11" s="2709"/>
      <c r="Z11" s="2709"/>
      <c r="AA11" s="2709"/>
      <c r="AB11" s="2709"/>
      <c r="AC11" s="2709"/>
      <c r="AD11" s="2709"/>
      <c r="AE11" s="2706"/>
    </row>
    <row r="12" spans="1:31" ht="30" hidden="1" outlineLevel="1">
      <c r="A12" s="3609"/>
      <c r="B12" s="3611"/>
      <c r="C12" s="3611"/>
      <c r="D12" s="3611"/>
      <c r="E12" s="3121" t="s">
        <v>2957</v>
      </c>
      <c r="F12" s="2914" t="s">
        <v>3860</v>
      </c>
      <c r="G12" s="2910"/>
      <c r="H12" s="2904"/>
      <c r="I12" s="2904"/>
      <c r="J12" s="2904"/>
      <c r="K12" s="2904"/>
      <c r="L12" s="2904"/>
      <c r="M12" s="2904"/>
      <c r="N12" s="2904"/>
      <c r="O12" s="2904"/>
      <c r="P12" s="2904"/>
      <c r="Q12" s="2904"/>
      <c r="R12" s="2904"/>
      <c r="S12" s="2920"/>
      <c r="T12" s="2920"/>
      <c r="U12" s="2920"/>
      <c r="V12" s="2709"/>
      <c r="W12" s="2709"/>
      <c r="X12" s="2709"/>
      <c r="Y12" s="2709"/>
      <c r="Z12" s="2903">
        <v>0</v>
      </c>
      <c r="AA12" s="2903">
        <v>0</v>
      </c>
      <c r="AB12" s="2903">
        <v>0</v>
      </c>
      <c r="AC12" s="2903">
        <v>0</v>
      </c>
      <c r="AD12" s="2903">
        <v>0</v>
      </c>
      <c r="AE12" s="2920"/>
    </row>
    <row r="13" spans="1:31" ht="15" hidden="1" outlineLevel="1">
      <c r="A13" s="3609"/>
      <c r="B13" s="3611"/>
      <c r="C13" s="3611"/>
      <c r="D13" s="3611"/>
      <c r="E13" s="3121"/>
      <c r="F13" s="2914" t="s">
        <v>3861</v>
      </c>
      <c r="G13" s="2907"/>
      <c r="H13" s="2904"/>
      <c r="I13" s="2904"/>
      <c r="J13" s="2904"/>
      <c r="K13" s="2904"/>
      <c r="L13" s="2904"/>
      <c r="M13" s="2904"/>
      <c r="N13" s="2904"/>
      <c r="O13" s="2904"/>
      <c r="P13" s="2904"/>
      <c r="Q13" s="2904"/>
      <c r="R13" s="2904"/>
      <c r="S13" s="2706"/>
      <c r="T13" s="2706"/>
      <c r="U13" s="2706"/>
      <c r="V13" s="2709"/>
      <c r="W13" s="2709"/>
      <c r="X13" s="2709"/>
      <c r="Y13" s="2709"/>
      <c r="Z13" s="2709"/>
      <c r="AA13" s="2709"/>
      <c r="AB13" s="2709"/>
      <c r="AC13" s="2709"/>
      <c r="AD13" s="2709"/>
      <c r="AE13" s="2706"/>
    </row>
    <row r="14" spans="1:31" ht="15" hidden="1" outlineLevel="1">
      <c r="A14" s="3609"/>
      <c r="B14" s="3611"/>
      <c r="C14" s="3611"/>
      <c r="D14" s="3611"/>
      <c r="E14" s="3121"/>
      <c r="F14" s="2914" t="s">
        <v>3862</v>
      </c>
      <c r="G14" s="2907"/>
      <c r="H14" s="2904"/>
      <c r="I14" s="2904"/>
      <c r="J14" s="2904"/>
      <c r="K14" s="2904"/>
      <c r="L14" s="2904"/>
      <c r="M14" s="2904"/>
      <c r="N14" s="2904"/>
      <c r="O14" s="2904"/>
      <c r="P14" s="2904"/>
      <c r="Q14" s="2904"/>
      <c r="R14" s="2904"/>
      <c r="S14" s="2706"/>
      <c r="T14" s="2706"/>
      <c r="U14" s="2706"/>
      <c r="V14" s="2709"/>
      <c r="W14" s="2709"/>
      <c r="X14" s="2709"/>
      <c r="Y14" s="2709"/>
      <c r="Z14" s="2709"/>
      <c r="AA14" s="2709"/>
      <c r="AB14" s="2709"/>
      <c r="AC14" s="2709"/>
      <c r="AD14" s="2709"/>
      <c r="AE14" s="2706"/>
    </row>
    <row r="15" spans="1:31" ht="15" hidden="1" outlineLevel="1">
      <c r="A15" s="3609"/>
      <c r="B15" s="3611"/>
      <c r="C15" s="3611"/>
      <c r="D15" s="3611"/>
      <c r="E15" s="3121"/>
      <c r="F15" s="2914" t="s">
        <v>3863</v>
      </c>
      <c r="G15" s="2907"/>
      <c r="H15" s="2904"/>
      <c r="I15" s="2904"/>
      <c r="J15" s="2904"/>
      <c r="K15" s="2904"/>
      <c r="L15" s="2904"/>
      <c r="M15" s="2904"/>
      <c r="N15" s="2904"/>
      <c r="O15" s="2904"/>
      <c r="P15" s="2904"/>
      <c r="Q15" s="2904"/>
      <c r="R15" s="2904"/>
      <c r="S15" s="2706"/>
      <c r="T15" s="2706"/>
      <c r="U15" s="2706"/>
      <c r="V15" s="2709"/>
      <c r="W15" s="2709"/>
      <c r="X15" s="2709"/>
      <c r="Y15" s="2709"/>
      <c r="Z15" s="2709"/>
      <c r="AA15" s="2709"/>
      <c r="AB15" s="2709"/>
      <c r="AC15" s="2709"/>
      <c r="AD15" s="2709"/>
      <c r="AE15" s="2706"/>
    </row>
    <row r="16" spans="1:31" ht="15" hidden="1" outlineLevel="1">
      <c r="A16" s="3609"/>
      <c r="B16" s="3611"/>
      <c r="C16" s="3611"/>
      <c r="D16" s="3611"/>
      <c r="E16" s="3121"/>
      <c r="F16" s="2887" t="s">
        <v>3864</v>
      </c>
      <c r="G16" s="2908"/>
      <c r="H16" s="2904"/>
      <c r="I16" s="2904"/>
      <c r="J16" s="2904"/>
      <c r="K16" s="2904"/>
      <c r="L16" s="2904"/>
      <c r="M16" s="2904"/>
      <c r="N16" s="2904"/>
      <c r="O16" s="2904"/>
      <c r="P16" s="2904"/>
      <c r="Q16" s="2904"/>
      <c r="R16" s="2904"/>
      <c r="S16" s="2706"/>
      <c r="T16" s="2706"/>
      <c r="U16" s="2706"/>
      <c r="V16" s="2709"/>
      <c r="W16" s="2709"/>
      <c r="X16" s="2709"/>
      <c r="Y16" s="2709"/>
      <c r="Z16" s="2709"/>
      <c r="AA16" s="2709"/>
      <c r="AB16" s="2709"/>
      <c r="AC16" s="2709"/>
      <c r="AD16" s="2709"/>
      <c r="AE16" s="2706"/>
    </row>
    <row r="17" spans="1:31" ht="30" hidden="1" outlineLevel="1">
      <c r="A17" s="3609"/>
      <c r="B17" s="3611"/>
      <c r="C17" s="3611"/>
      <c r="D17" s="3611"/>
      <c r="E17" s="3121"/>
      <c r="F17" s="2887" t="s">
        <v>3865</v>
      </c>
      <c r="G17" s="2909"/>
      <c r="H17" s="2904"/>
      <c r="I17" s="2904"/>
      <c r="J17" s="2904"/>
      <c r="K17" s="2904"/>
      <c r="L17" s="2904"/>
      <c r="M17" s="2904"/>
      <c r="N17" s="2904"/>
      <c r="O17" s="2904"/>
      <c r="P17" s="2904"/>
      <c r="Q17" s="2904"/>
      <c r="R17" s="2904"/>
      <c r="S17" s="2706"/>
      <c r="T17" s="2706"/>
      <c r="U17" s="2706"/>
      <c r="V17" s="2709"/>
      <c r="W17" s="2709"/>
      <c r="X17" s="2709"/>
      <c r="Y17" s="2709"/>
      <c r="Z17" s="2709"/>
      <c r="AA17" s="2709"/>
      <c r="AB17" s="2709"/>
      <c r="AC17" s="2709"/>
      <c r="AD17" s="2709"/>
      <c r="AE17" s="2706"/>
    </row>
    <row r="18" spans="1:31" ht="30" collapsed="1">
      <c r="A18" s="3609"/>
      <c r="B18" s="3611"/>
      <c r="C18" s="3611"/>
      <c r="D18" s="3611" t="s">
        <v>2954</v>
      </c>
      <c r="E18" s="3121" t="s">
        <v>2950</v>
      </c>
      <c r="F18" s="2914" t="s">
        <v>3860</v>
      </c>
      <c r="G18" s="2910"/>
      <c r="H18" s="2927"/>
      <c r="I18" s="2915">
        <v>385</v>
      </c>
      <c r="J18" s="2915"/>
      <c r="K18" s="2915">
        <v>385</v>
      </c>
      <c r="L18" s="2915"/>
      <c r="M18" s="2915">
        <v>345.36</v>
      </c>
      <c r="N18" s="2915"/>
      <c r="O18" s="2915">
        <v>345.36</v>
      </c>
      <c r="P18" s="2915"/>
      <c r="Q18" s="2915">
        <v>427.93105000000003</v>
      </c>
      <c r="R18" s="2915"/>
      <c r="S18" s="2928"/>
      <c r="T18" s="2921">
        <v>1111509.2207792208</v>
      </c>
      <c r="U18" s="2921"/>
      <c r="V18" s="2916">
        <v>1.0549999999999999</v>
      </c>
      <c r="W18" s="2916">
        <v>1.0529999999999999</v>
      </c>
      <c r="X18" s="2916">
        <v>1.0640000000000001</v>
      </c>
      <c r="Y18" s="2916">
        <v>1.05</v>
      </c>
      <c r="Z18" s="2916"/>
      <c r="AA18" s="2916">
        <v>1307592.3408316365</v>
      </c>
      <c r="AB18" s="2916"/>
      <c r="AC18" s="2916">
        <v>1307592.3408316365</v>
      </c>
      <c r="AD18" s="2917">
        <v>1307592.3408316365</v>
      </c>
      <c r="AE18" s="2917">
        <v>1457.6761964911398</v>
      </c>
    </row>
    <row r="19" spans="1:31" ht="15" hidden="1" outlineLevel="1">
      <c r="A19" s="3609"/>
      <c r="B19" s="3611"/>
      <c r="C19" s="3611"/>
      <c r="D19" s="3611"/>
      <c r="E19" s="3121"/>
      <c r="F19" s="2914" t="s">
        <v>3861</v>
      </c>
      <c r="G19" s="2907"/>
      <c r="H19" s="2915"/>
      <c r="I19" s="2915"/>
      <c r="J19" s="2915"/>
      <c r="K19" s="2915"/>
      <c r="L19" s="2915"/>
      <c r="M19" s="2915"/>
      <c r="N19" s="2915"/>
      <c r="O19" s="2915"/>
      <c r="P19" s="2915"/>
      <c r="Q19" s="2915"/>
      <c r="R19" s="2915"/>
      <c r="S19" s="2921"/>
      <c r="T19" s="2921"/>
      <c r="U19" s="2921"/>
      <c r="V19" s="2916"/>
      <c r="W19" s="2916"/>
      <c r="X19" s="2916"/>
      <c r="Y19" s="2916"/>
      <c r="Z19" s="2916"/>
      <c r="AA19" s="2916"/>
      <c r="AB19" s="2916"/>
      <c r="AC19" s="2916"/>
      <c r="AD19" s="2916"/>
      <c r="AE19" s="2921"/>
    </row>
    <row r="20" spans="1:31" ht="15" hidden="1" outlineLevel="1">
      <c r="A20" s="3609"/>
      <c r="B20" s="3611"/>
      <c r="C20" s="3611"/>
      <c r="D20" s="3611"/>
      <c r="E20" s="3121"/>
      <c r="F20" s="2914" t="s">
        <v>3862</v>
      </c>
      <c r="G20" s="2907"/>
      <c r="H20" s="2915"/>
      <c r="I20" s="2915"/>
      <c r="J20" s="2915"/>
      <c r="K20" s="2915"/>
      <c r="L20" s="2915"/>
      <c r="M20" s="2915"/>
      <c r="N20" s="2915"/>
      <c r="O20" s="2915"/>
      <c r="P20" s="2915"/>
      <c r="Q20" s="2915"/>
      <c r="R20" s="2915"/>
      <c r="S20" s="2921"/>
      <c r="T20" s="2921"/>
      <c r="U20" s="2921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21"/>
    </row>
    <row r="21" spans="1:31" ht="15" hidden="1" outlineLevel="1">
      <c r="A21" s="3609"/>
      <c r="B21" s="3611"/>
      <c r="C21" s="3611"/>
      <c r="D21" s="3611"/>
      <c r="E21" s="3121"/>
      <c r="F21" s="2914" t="s">
        <v>3863</v>
      </c>
      <c r="G21" s="2907"/>
      <c r="H21" s="2915"/>
      <c r="I21" s="2915"/>
      <c r="J21" s="2915"/>
      <c r="K21" s="2915"/>
      <c r="L21" s="2915"/>
      <c r="M21" s="2915"/>
      <c r="N21" s="2915"/>
      <c r="O21" s="2915"/>
      <c r="P21" s="2915"/>
      <c r="Q21" s="2915"/>
      <c r="R21" s="2915"/>
      <c r="S21" s="2921"/>
      <c r="T21" s="2921"/>
      <c r="U21" s="2921"/>
      <c r="V21" s="2916"/>
      <c r="W21" s="2916"/>
      <c r="X21" s="2916"/>
      <c r="Y21" s="2916"/>
      <c r="Z21" s="2916"/>
      <c r="AA21" s="2916"/>
      <c r="AB21" s="2916"/>
      <c r="AC21" s="2916"/>
      <c r="AD21" s="2916"/>
      <c r="AE21" s="2921"/>
    </row>
    <row r="22" spans="1:31" ht="15" hidden="1" outlineLevel="1">
      <c r="A22" s="3609"/>
      <c r="B22" s="3611"/>
      <c r="C22" s="3611"/>
      <c r="D22" s="3611"/>
      <c r="E22" s="3121"/>
      <c r="F22" s="2887" t="s">
        <v>3864</v>
      </c>
      <c r="G22" s="2908"/>
      <c r="H22" s="2915"/>
      <c r="I22" s="2915"/>
      <c r="J22" s="2915"/>
      <c r="K22" s="2915"/>
      <c r="L22" s="2915"/>
      <c r="M22" s="2915"/>
      <c r="N22" s="2915"/>
      <c r="O22" s="2915"/>
      <c r="P22" s="2915"/>
      <c r="Q22" s="2915"/>
      <c r="R22" s="2915"/>
      <c r="S22" s="2921"/>
      <c r="T22" s="2921"/>
      <c r="U22" s="2921"/>
      <c r="V22" s="2916"/>
      <c r="W22" s="2916"/>
      <c r="X22" s="2916"/>
      <c r="Y22" s="2916"/>
      <c r="Z22" s="2916"/>
      <c r="AA22" s="2916"/>
      <c r="AB22" s="2916"/>
      <c r="AC22" s="2916"/>
      <c r="AD22" s="2916"/>
      <c r="AE22" s="2921"/>
    </row>
    <row r="23" spans="1:31" ht="30" hidden="1" outlineLevel="1">
      <c r="A23" s="3609"/>
      <c r="B23" s="3611"/>
      <c r="C23" s="3611"/>
      <c r="D23" s="3611"/>
      <c r="E23" s="3121"/>
      <c r="F23" s="2887" t="s">
        <v>3865</v>
      </c>
      <c r="G23" s="2909"/>
      <c r="H23" s="2915"/>
      <c r="I23" s="2915"/>
      <c r="J23" s="2915"/>
      <c r="K23" s="2915"/>
      <c r="L23" s="2915"/>
      <c r="M23" s="2915"/>
      <c r="N23" s="2915"/>
      <c r="O23" s="2915"/>
      <c r="P23" s="2915"/>
      <c r="Q23" s="2915"/>
      <c r="R23" s="2915"/>
      <c r="S23" s="2921"/>
      <c r="T23" s="2921"/>
      <c r="U23" s="2921"/>
      <c r="V23" s="2916"/>
      <c r="W23" s="2916"/>
      <c r="X23" s="2916"/>
      <c r="Y23" s="2916"/>
      <c r="Z23" s="2916"/>
      <c r="AA23" s="2916"/>
      <c r="AB23" s="2916"/>
      <c r="AC23" s="2916"/>
      <c r="AD23" s="2916"/>
      <c r="AE23" s="2921"/>
    </row>
    <row r="24" spans="1:31" ht="30" hidden="1" outlineLevel="1">
      <c r="A24" s="3609"/>
      <c r="B24" s="3611"/>
      <c r="C24" s="3611"/>
      <c r="D24" s="3611"/>
      <c r="E24" s="3121" t="s">
        <v>2957</v>
      </c>
      <c r="F24" s="2914" t="s">
        <v>3860</v>
      </c>
      <c r="G24" s="2910"/>
      <c r="H24" s="2915"/>
      <c r="I24" s="2915"/>
      <c r="J24" s="2915"/>
      <c r="K24" s="2915"/>
      <c r="L24" s="2915"/>
      <c r="M24" s="2915"/>
      <c r="N24" s="2915"/>
      <c r="O24" s="2915"/>
      <c r="P24" s="2915"/>
      <c r="Q24" s="2915"/>
      <c r="R24" s="2915"/>
      <c r="S24" s="2921"/>
      <c r="T24" s="2921"/>
      <c r="U24" s="2921"/>
      <c r="V24" s="2916"/>
      <c r="W24" s="2916"/>
      <c r="X24" s="2916"/>
      <c r="Y24" s="2916"/>
      <c r="Z24" s="2916"/>
      <c r="AA24" s="2916"/>
      <c r="AB24" s="2916"/>
      <c r="AC24" s="2916"/>
      <c r="AD24" s="2916"/>
      <c r="AE24" s="2921"/>
    </row>
    <row r="25" spans="1:31" ht="15" hidden="1" outlineLevel="1">
      <c r="A25" s="3609"/>
      <c r="B25" s="3611"/>
      <c r="C25" s="3611"/>
      <c r="D25" s="3611"/>
      <c r="E25" s="3121"/>
      <c r="F25" s="2914" t="s">
        <v>3861</v>
      </c>
      <c r="G25" s="2907"/>
      <c r="H25" s="2915"/>
      <c r="I25" s="2915"/>
      <c r="J25" s="2915"/>
      <c r="K25" s="2915"/>
      <c r="L25" s="2915"/>
      <c r="M25" s="2915"/>
      <c r="N25" s="2915"/>
      <c r="O25" s="2915"/>
      <c r="P25" s="2915"/>
      <c r="Q25" s="2915"/>
      <c r="R25" s="2915"/>
      <c r="S25" s="2921"/>
      <c r="T25" s="2921"/>
      <c r="U25" s="2921"/>
      <c r="V25" s="2916"/>
      <c r="W25" s="2916"/>
      <c r="X25" s="2916"/>
      <c r="Y25" s="2916"/>
      <c r="Z25" s="2916"/>
      <c r="AA25" s="2916"/>
      <c r="AB25" s="2916"/>
      <c r="AC25" s="2916"/>
      <c r="AD25" s="2916"/>
      <c r="AE25" s="2921"/>
    </row>
    <row r="26" spans="1:31" ht="15" hidden="1" outlineLevel="1">
      <c r="A26" s="3609"/>
      <c r="B26" s="3611"/>
      <c r="C26" s="3611"/>
      <c r="D26" s="3611"/>
      <c r="E26" s="3121"/>
      <c r="F26" s="2914" t="s">
        <v>3862</v>
      </c>
      <c r="G26" s="2907"/>
      <c r="H26" s="2915"/>
      <c r="I26" s="2915"/>
      <c r="J26" s="2915"/>
      <c r="K26" s="2915"/>
      <c r="L26" s="2915"/>
      <c r="M26" s="2915"/>
      <c r="N26" s="2915"/>
      <c r="O26" s="2915"/>
      <c r="P26" s="2915"/>
      <c r="Q26" s="2915"/>
      <c r="R26" s="2915"/>
      <c r="S26" s="2921"/>
      <c r="T26" s="2921"/>
      <c r="U26" s="2921"/>
      <c r="V26" s="2916"/>
      <c r="W26" s="2916"/>
      <c r="X26" s="2916"/>
      <c r="Y26" s="2916"/>
      <c r="Z26" s="2916"/>
      <c r="AA26" s="2916"/>
      <c r="AB26" s="2916"/>
      <c r="AC26" s="2916"/>
      <c r="AD26" s="2916"/>
      <c r="AE26" s="2921"/>
    </row>
    <row r="27" spans="1:31" ht="15" hidden="1" outlineLevel="1">
      <c r="A27" s="3609"/>
      <c r="B27" s="3611"/>
      <c r="C27" s="3611"/>
      <c r="D27" s="3611"/>
      <c r="E27" s="3121"/>
      <c r="F27" s="2914" t="s">
        <v>3863</v>
      </c>
      <c r="G27" s="2907"/>
      <c r="H27" s="2915"/>
      <c r="I27" s="2915"/>
      <c r="J27" s="2915"/>
      <c r="K27" s="2915"/>
      <c r="L27" s="2915"/>
      <c r="M27" s="2915"/>
      <c r="N27" s="2915"/>
      <c r="O27" s="2915"/>
      <c r="P27" s="2915"/>
      <c r="Q27" s="2915"/>
      <c r="R27" s="2915"/>
      <c r="S27" s="2921"/>
      <c r="T27" s="2921"/>
      <c r="U27" s="2921"/>
      <c r="V27" s="2916"/>
      <c r="W27" s="2916"/>
      <c r="X27" s="2916"/>
      <c r="Y27" s="2916"/>
      <c r="Z27" s="2916"/>
      <c r="AA27" s="2916"/>
      <c r="AB27" s="2916"/>
      <c r="AC27" s="2916"/>
      <c r="AD27" s="2916"/>
      <c r="AE27" s="2921"/>
    </row>
    <row r="28" spans="1:31" ht="15" hidden="1" outlineLevel="1">
      <c r="A28" s="3609"/>
      <c r="B28" s="3611"/>
      <c r="C28" s="3611"/>
      <c r="D28" s="3611"/>
      <c r="E28" s="3121"/>
      <c r="F28" s="2887" t="s">
        <v>3864</v>
      </c>
      <c r="G28" s="2908"/>
      <c r="H28" s="2915"/>
      <c r="I28" s="2915"/>
      <c r="J28" s="2915"/>
      <c r="K28" s="2915"/>
      <c r="L28" s="2915"/>
      <c r="M28" s="2915"/>
      <c r="N28" s="2915"/>
      <c r="O28" s="2915"/>
      <c r="P28" s="2915"/>
      <c r="Q28" s="2915"/>
      <c r="R28" s="2915"/>
      <c r="S28" s="2921"/>
      <c r="T28" s="2921"/>
      <c r="U28" s="2921"/>
      <c r="V28" s="2916"/>
      <c r="W28" s="2916"/>
      <c r="X28" s="2916"/>
      <c r="Y28" s="2916"/>
      <c r="Z28" s="2916"/>
      <c r="AA28" s="2916"/>
      <c r="AB28" s="2916"/>
      <c r="AC28" s="2916"/>
      <c r="AD28" s="2916"/>
      <c r="AE28" s="2921"/>
    </row>
    <row r="29" spans="1:31" ht="30" hidden="1" outlineLevel="1">
      <c r="A29" s="3610"/>
      <c r="B29" s="3611"/>
      <c r="C29" s="3611"/>
      <c r="D29" s="3611"/>
      <c r="E29" s="3121"/>
      <c r="F29" s="2887" t="s">
        <v>3865</v>
      </c>
      <c r="G29" s="2909"/>
      <c r="H29" s="2915"/>
      <c r="I29" s="2915"/>
      <c r="J29" s="2915"/>
      <c r="K29" s="2915"/>
      <c r="L29" s="2915"/>
      <c r="M29" s="2915"/>
      <c r="N29" s="2915"/>
      <c r="O29" s="2915"/>
      <c r="P29" s="2915"/>
      <c r="Q29" s="2915"/>
      <c r="R29" s="2915"/>
      <c r="S29" s="2921"/>
      <c r="T29" s="2921"/>
      <c r="U29" s="2921"/>
      <c r="V29" s="2916"/>
      <c r="W29" s="2916"/>
      <c r="X29" s="2916"/>
      <c r="Y29" s="2916"/>
      <c r="Z29" s="2916"/>
      <c r="AA29" s="2916"/>
      <c r="AB29" s="2916"/>
      <c r="AC29" s="2916"/>
      <c r="AD29" s="2916"/>
      <c r="AE29" s="2921"/>
    </row>
    <row r="30" spans="1:31" ht="30" hidden="1" outlineLevel="1">
      <c r="A30" s="3608"/>
      <c r="B30" s="3611" t="s">
        <v>2948</v>
      </c>
      <c r="C30" s="3611" t="s">
        <v>3859</v>
      </c>
      <c r="D30" s="3611" t="s">
        <v>2949</v>
      </c>
      <c r="E30" s="3121" t="s">
        <v>2950</v>
      </c>
      <c r="F30" s="2914" t="s">
        <v>3860</v>
      </c>
      <c r="G30" s="2910"/>
      <c r="H30" s="2915"/>
      <c r="I30" s="2915"/>
      <c r="J30" s="2915"/>
      <c r="K30" s="2915"/>
      <c r="L30" s="2915"/>
      <c r="M30" s="2915"/>
      <c r="N30" s="2915"/>
      <c r="O30" s="2915"/>
      <c r="P30" s="2915"/>
      <c r="Q30" s="2915"/>
      <c r="R30" s="2915"/>
      <c r="S30" s="2921"/>
      <c r="T30" s="2921"/>
      <c r="U30" s="2921"/>
      <c r="V30" s="2916"/>
      <c r="W30" s="2916"/>
      <c r="X30" s="2916"/>
      <c r="Y30" s="2916"/>
      <c r="Z30" s="2916"/>
      <c r="AA30" s="2916"/>
      <c r="AB30" s="2916"/>
      <c r="AC30" s="2916"/>
      <c r="AD30" s="2916"/>
      <c r="AE30" s="2921"/>
    </row>
    <row r="31" spans="1:31" ht="15" hidden="1" outlineLevel="1">
      <c r="A31" s="3609"/>
      <c r="B31" s="3611"/>
      <c r="C31" s="3611"/>
      <c r="D31" s="3611"/>
      <c r="E31" s="3121"/>
      <c r="F31" s="2914" t="s">
        <v>3861</v>
      </c>
      <c r="G31" s="2907"/>
      <c r="H31" s="2915"/>
      <c r="I31" s="2915"/>
      <c r="J31" s="2915"/>
      <c r="K31" s="2915"/>
      <c r="L31" s="2915"/>
      <c r="M31" s="2915"/>
      <c r="N31" s="2915"/>
      <c r="O31" s="2915"/>
      <c r="P31" s="2915"/>
      <c r="Q31" s="2915"/>
      <c r="R31" s="2915"/>
      <c r="S31" s="2921"/>
      <c r="T31" s="2921"/>
      <c r="U31" s="2921"/>
      <c r="V31" s="2916"/>
      <c r="W31" s="2916"/>
      <c r="X31" s="2916"/>
      <c r="Y31" s="2916"/>
      <c r="Z31" s="2916"/>
      <c r="AA31" s="2916"/>
      <c r="AB31" s="2916"/>
      <c r="AC31" s="2916"/>
      <c r="AD31" s="2916"/>
      <c r="AE31" s="2921"/>
    </row>
    <row r="32" spans="1:31" ht="15" hidden="1" outlineLevel="1">
      <c r="A32" s="3609"/>
      <c r="B32" s="3611"/>
      <c r="C32" s="3611"/>
      <c r="D32" s="3611"/>
      <c r="E32" s="3121"/>
      <c r="F32" s="2914" t="s">
        <v>3862</v>
      </c>
      <c r="G32" s="2907"/>
      <c r="H32" s="2915"/>
      <c r="I32" s="2915"/>
      <c r="J32" s="2915"/>
      <c r="K32" s="2915"/>
      <c r="L32" s="2915"/>
      <c r="M32" s="2915"/>
      <c r="N32" s="2915"/>
      <c r="O32" s="2915"/>
      <c r="P32" s="2915"/>
      <c r="Q32" s="2915"/>
      <c r="R32" s="2915"/>
      <c r="S32" s="2921"/>
      <c r="T32" s="2921"/>
      <c r="U32" s="2921"/>
      <c r="V32" s="2916"/>
      <c r="W32" s="2916"/>
      <c r="X32" s="2916"/>
      <c r="Y32" s="2916"/>
      <c r="Z32" s="2916"/>
      <c r="AA32" s="2916"/>
      <c r="AB32" s="2916"/>
      <c r="AC32" s="2916"/>
      <c r="AD32" s="2916"/>
      <c r="AE32" s="2921"/>
    </row>
    <row r="33" spans="1:31" ht="15" hidden="1" outlineLevel="1">
      <c r="A33" s="3609"/>
      <c r="B33" s="3611"/>
      <c r="C33" s="3611"/>
      <c r="D33" s="3611"/>
      <c r="E33" s="3121"/>
      <c r="F33" s="2914" t="s">
        <v>3863</v>
      </c>
      <c r="G33" s="2907"/>
      <c r="H33" s="2915"/>
      <c r="I33" s="2915"/>
      <c r="J33" s="2915"/>
      <c r="K33" s="2915"/>
      <c r="L33" s="2915"/>
      <c r="M33" s="2915"/>
      <c r="N33" s="2915"/>
      <c r="O33" s="2915"/>
      <c r="P33" s="2915"/>
      <c r="Q33" s="2915"/>
      <c r="R33" s="2915"/>
      <c r="S33" s="2921"/>
      <c r="T33" s="2921"/>
      <c r="U33" s="2921"/>
      <c r="V33" s="2916"/>
      <c r="W33" s="2916"/>
      <c r="X33" s="2916"/>
      <c r="Y33" s="2916"/>
      <c r="Z33" s="2916"/>
      <c r="AA33" s="2916"/>
      <c r="AB33" s="2916"/>
      <c r="AC33" s="2916"/>
      <c r="AD33" s="2916"/>
      <c r="AE33" s="2921"/>
    </row>
    <row r="34" spans="1:31" ht="15" hidden="1" outlineLevel="1">
      <c r="A34" s="3609"/>
      <c r="B34" s="3611"/>
      <c r="C34" s="3611"/>
      <c r="D34" s="3611"/>
      <c r="E34" s="3121"/>
      <c r="F34" s="2887" t="s">
        <v>3864</v>
      </c>
      <c r="G34" s="2908"/>
      <c r="H34" s="2915"/>
      <c r="I34" s="2915"/>
      <c r="J34" s="2915"/>
      <c r="K34" s="2915"/>
      <c r="L34" s="2915"/>
      <c r="M34" s="2915"/>
      <c r="N34" s="2915"/>
      <c r="O34" s="2915"/>
      <c r="P34" s="2915"/>
      <c r="Q34" s="2915"/>
      <c r="R34" s="2915"/>
      <c r="S34" s="2921"/>
      <c r="T34" s="2921"/>
      <c r="U34" s="2921"/>
      <c r="V34" s="2916"/>
      <c r="W34" s="2916"/>
      <c r="X34" s="2916"/>
      <c r="Y34" s="2916"/>
      <c r="Z34" s="2916"/>
      <c r="AA34" s="2916"/>
      <c r="AB34" s="2916"/>
      <c r="AC34" s="2916"/>
      <c r="AD34" s="2916"/>
      <c r="AE34" s="2921"/>
    </row>
    <row r="35" spans="1:31" ht="30" hidden="1" outlineLevel="1">
      <c r="A35" s="3609"/>
      <c r="B35" s="3611"/>
      <c r="C35" s="3611"/>
      <c r="D35" s="3611"/>
      <c r="E35" s="3121"/>
      <c r="F35" s="2887" t="s">
        <v>3865</v>
      </c>
      <c r="G35" s="2909"/>
      <c r="H35" s="2915"/>
      <c r="I35" s="2915"/>
      <c r="J35" s="2915"/>
      <c r="K35" s="2915"/>
      <c r="L35" s="2915"/>
      <c r="M35" s="2915"/>
      <c r="N35" s="2915"/>
      <c r="O35" s="2915"/>
      <c r="P35" s="2915"/>
      <c r="Q35" s="2915"/>
      <c r="R35" s="2915"/>
      <c r="S35" s="2921"/>
      <c r="T35" s="2921"/>
      <c r="U35" s="2921"/>
      <c r="V35" s="2916"/>
      <c r="W35" s="2916"/>
      <c r="X35" s="2916"/>
      <c r="Y35" s="2916"/>
      <c r="Z35" s="2916"/>
      <c r="AA35" s="2916"/>
      <c r="AB35" s="2916"/>
      <c r="AC35" s="2916"/>
      <c r="AD35" s="2916"/>
      <c r="AE35" s="2921"/>
    </row>
    <row r="36" spans="1:31" ht="30" hidden="1" outlineLevel="1">
      <c r="A36" s="3609"/>
      <c r="B36" s="3611"/>
      <c r="C36" s="3611"/>
      <c r="D36" s="3611"/>
      <c r="E36" s="3121" t="s">
        <v>2957</v>
      </c>
      <c r="F36" s="2914" t="s">
        <v>3860</v>
      </c>
      <c r="G36" s="2910"/>
      <c r="H36" s="2915"/>
      <c r="I36" s="2915"/>
      <c r="J36" s="2915"/>
      <c r="K36" s="2915"/>
      <c r="L36" s="2915"/>
      <c r="M36" s="2915"/>
      <c r="N36" s="2915"/>
      <c r="O36" s="2915"/>
      <c r="P36" s="2915"/>
      <c r="Q36" s="2915"/>
      <c r="R36" s="2915"/>
      <c r="S36" s="2921"/>
      <c r="T36" s="2921"/>
      <c r="U36" s="2921"/>
      <c r="V36" s="2916"/>
      <c r="W36" s="2916"/>
      <c r="X36" s="2916"/>
      <c r="Y36" s="2916"/>
      <c r="Z36" s="2916">
        <v>0</v>
      </c>
      <c r="AA36" s="2916">
        <v>0</v>
      </c>
      <c r="AB36" s="2916">
        <v>0</v>
      </c>
      <c r="AC36" s="2916">
        <v>0</v>
      </c>
      <c r="AD36" s="2916">
        <v>0</v>
      </c>
      <c r="AE36" s="2921"/>
    </row>
    <row r="37" spans="1:31" ht="15" collapsed="1">
      <c r="A37" s="3609"/>
      <c r="B37" s="3611"/>
      <c r="C37" s="3611"/>
      <c r="D37" s="3611"/>
      <c r="E37" s="3121"/>
      <c r="F37" s="2914" t="s">
        <v>3861</v>
      </c>
      <c r="G37" s="2907"/>
      <c r="H37" s="2915"/>
      <c r="I37" s="2915"/>
      <c r="J37" s="2915">
        <v>474.00000000000006</v>
      </c>
      <c r="K37" s="2915">
        <v>474.00000000000006</v>
      </c>
      <c r="L37" s="2915"/>
      <c r="M37" s="2915"/>
      <c r="N37" s="2918">
        <v>1488</v>
      </c>
      <c r="O37" s="2918">
        <v>1488</v>
      </c>
      <c r="P37" s="2915"/>
      <c r="Q37" s="2915"/>
      <c r="R37" s="2915">
        <v>464.16136</v>
      </c>
      <c r="S37" s="2921"/>
      <c r="T37" s="2921"/>
      <c r="U37" s="2921">
        <v>979243.37552742602</v>
      </c>
      <c r="V37" s="2916">
        <v>1.0549999999999999</v>
      </c>
      <c r="W37" s="2916">
        <v>1.0529999999999999</v>
      </c>
      <c r="X37" s="2916">
        <v>1.0640000000000001</v>
      </c>
      <c r="Y37" s="2916">
        <v>1.05</v>
      </c>
      <c r="Z37" s="2916"/>
      <c r="AA37" s="2916"/>
      <c r="AB37" s="2916">
        <v>1094010.6991392404</v>
      </c>
      <c r="AC37" s="2916">
        <v>1094010.6991392404</v>
      </c>
      <c r="AD37" s="2917">
        <v>1094010.6991392404</v>
      </c>
      <c r="AE37" s="2917">
        <v>348.49534367741938</v>
      </c>
    </row>
    <row r="38" spans="1:31" ht="15">
      <c r="A38" s="3609"/>
      <c r="B38" s="3611"/>
      <c r="C38" s="3611"/>
      <c r="D38" s="3611"/>
      <c r="E38" s="3121"/>
      <c r="F38" s="2914" t="s">
        <v>3862</v>
      </c>
      <c r="G38" s="2907"/>
      <c r="H38" s="2915"/>
      <c r="I38" s="2915"/>
      <c r="J38" s="2915"/>
      <c r="K38" s="2915"/>
      <c r="L38" s="2915"/>
      <c r="M38" s="2915"/>
      <c r="N38" s="2915"/>
      <c r="O38" s="2915"/>
      <c r="P38" s="2915"/>
      <c r="Q38" s="2915"/>
      <c r="R38" s="2915"/>
      <c r="S38" s="2921"/>
      <c r="T38" s="2921"/>
      <c r="U38" s="2921"/>
      <c r="V38" s="2916"/>
      <c r="W38" s="2916"/>
      <c r="X38" s="2916"/>
      <c r="Y38" s="2916"/>
      <c r="Z38" s="2916"/>
      <c r="AA38" s="2916"/>
      <c r="AB38" s="2916"/>
      <c r="AC38" s="2916"/>
      <c r="AD38" s="2916"/>
      <c r="AE38" s="2921"/>
    </row>
    <row r="39" spans="1:31" ht="15">
      <c r="A39" s="3609"/>
      <c r="B39" s="3611"/>
      <c r="C39" s="3611"/>
      <c r="D39" s="3611"/>
      <c r="E39" s="3121"/>
      <c r="F39" s="2914" t="s">
        <v>3863</v>
      </c>
      <c r="G39" s="2907"/>
      <c r="H39" s="2915"/>
      <c r="I39" s="2915"/>
      <c r="J39" s="2915"/>
      <c r="K39" s="2915"/>
      <c r="L39" s="2915"/>
      <c r="M39" s="2915"/>
      <c r="N39" s="2915"/>
      <c r="O39" s="2915"/>
      <c r="P39" s="2915"/>
      <c r="Q39" s="2915"/>
      <c r="R39" s="2915"/>
      <c r="S39" s="2921"/>
      <c r="T39" s="2921"/>
      <c r="U39" s="2921"/>
      <c r="V39" s="2916">
        <v>1.0549999999999999</v>
      </c>
      <c r="W39" s="2916">
        <v>1.0529999999999999</v>
      </c>
      <c r="X39" s="2916">
        <v>1.0640000000000001</v>
      </c>
      <c r="Y39" s="2916">
        <v>1.05</v>
      </c>
      <c r="Z39" s="2916"/>
      <c r="AA39" s="2916"/>
      <c r="AB39" s="2916"/>
      <c r="AC39" s="2916"/>
      <c r="AD39" s="2916"/>
      <c r="AE39" s="2921"/>
    </row>
    <row r="40" spans="1:31" ht="15">
      <c r="A40" s="3609"/>
      <c r="B40" s="3611"/>
      <c r="C40" s="3611"/>
      <c r="D40" s="3611"/>
      <c r="E40" s="3121"/>
      <c r="F40" s="2887" t="s">
        <v>3864</v>
      </c>
      <c r="G40" s="2908"/>
      <c r="H40" s="2915"/>
      <c r="I40" s="2915"/>
      <c r="J40" s="2915"/>
      <c r="K40" s="2915"/>
      <c r="L40" s="2915"/>
      <c r="M40" s="2915"/>
      <c r="N40" s="2915"/>
      <c r="O40" s="2915"/>
      <c r="P40" s="2915"/>
      <c r="Q40" s="2915"/>
      <c r="R40" s="2915"/>
      <c r="S40" s="2921"/>
      <c r="T40" s="2921"/>
      <c r="U40" s="2921"/>
      <c r="V40" s="2916">
        <v>1.0549999999999999</v>
      </c>
      <c r="W40" s="2916">
        <v>1.0529999999999999</v>
      </c>
      <c r="X40" s="2916">
        <v>1.0640000000000001</v>
      </c>
      <c r="Y40" s="2916">
        <v>1.05</v>
      </c>
      <c r="Z40" s="2916"/>
      <c r="AA40" s="2916"/>
      <c r="AB40" s="2916"/>
      <c r="AC40" s="2916"/>
      <c r="AD40" s="2916"/>
      <c r="AE40" s="2921"/>
    </row>
    <row r="41" spans="1:31" ht="30">
      <c r="A41" s="3609"/>
      <c r="B41" s="3611"/>
      <c r="C41" s="3611"/>
      <c r="D41" s="3611"/>
      <c r="E41" s="3121"/>
      <c r="F41" s="2887" t="s">
        <v>3865</v>
      </c>
      <c r="G41" s="2909"/>
      <c r="H41" s="2915"/>
      <c r="I41" s="2915"/>
      <c r="J41" s="2915"/>
      <c r="K41" s="2915"/>
      <c r="L41" s="2915"/>
      <c r="M41" s="2915"/>
      <c r="N41" s="2915"/>
      <c r="O41" s="2915"/>
      <c r="P41" s="2915"/>
      <c r="Q41" s="2915"/>
      <c r="R41" s="2915"/>
      <c r="S41" s="2921"/>
      <c r="T41" s="2921"/>
      <c r="U41" s="2921"/>
      <c r="V41" s="2916">
        <v>1.0549999999999999</v>
      </c>
      <c r="W41" s="2916">
        <v>1.0529999999999999</v>
      </c>
      <c r="X41" s="2916">
        <v>1.0640000000000001</v>
      </c>
      <c r="Y41" s="2916">
        <v>1.05</v>
      </c>
      <c r="Z41" s="2916"/>
      <c r="AA41" s="2916"/>
      <c r="AB41" s="2916"/>
      <c r="AC41" s="2916"/>
      <c r="AD41" s="2916"/>
      <c r="AE41" s="2921"/>
    </row>
    <row r="42" spans="1:31" ht="30">
      <c r="A42" s="3609"/>
      <c r="B42" s="3611"/>
      <c r="C42" s="3611"/>
      <c r="D42" s="3611" t="s">
        <v>2954</v>
      </c>
      <c r="E42" s="3121" t="s">
        <v>2950</v>
      </c>
      <c r="F42" s="2914" t="s">
        <v>3860</v>
      </c>
      <c r="G42" s="2910"/>
      <c r="H42" s="2915">
        <v>9409</v>
      </c>
      <c r="I42" s="2915">
        <v>10655.999999999998</v>
      </c>
      <c r="J42" s="2915">
        <v>1797</v>
      </c>
      <c r="K42" s="2915">
        <v>21862</v>
      </c>
      <c r="L42" s="2915">
        <v>390.2</v>
      </c>
      <c r="M42" s="2915">
        <v>162.6</v>
      </c>
      <c r="N42" s="2915">
        <v>40</v>
      </c>
      <c r="O42" s="2915">
        <v>592.79999999999995</v>
      </c>
      <c r="P42" s="2918">
        <v>4068.0176799999999</v>
      </c>
      <c r="Q42" s="2915">
        <v>7012.9063659999993</v>
      </c>
      <c r="R42" s="2915">
        <v>1346.92227</v>
      </c>
      <c r="S42" s="2921">
        <v>432353.88245297049</v>
      </c>
      <c r="T42" s="2921">
        <v>658118.08990240237</v>
      </c>
      <c r="U42" s="2921">
        <v>749539.38230383978</v>
      </c>
      <c r="V42" s="2916">
        <v>1.0549999999999999</v>
      </c>
      <c r="W42" s="2916">
        <v>1.0529999999999999</v>
      </c>
      <c r="X42" s="2916">
        <v>1.0640000000000001</v>
      </c>
      <c r="Y42" s="2916">
        <v>1.05</v>
      </c>
      <c r="Z42" s="2916">
        <v>536600.55936696008</v>
      </c>
      <c r="AA42" s="2916">
        <v>774217.75513102906</v>
      </c>
      <c r="AB42" s="2916">
        <v>837385.39790984988</v>
      </c>
      <c r="AC42" s="2916">
        <v>2148203.712407839</v>
      </c>
      <c r="AD42" s="2917">
        <v>716067.9041359463</v>
      </c>
      <c r="AE42" s="2917">
        <v>26408.023819534512</v>
      </c>
    </row>
    <row r="43" spans="1:31" ht="15">
      <c r="A43" s="3609"/>
      <c r="B43" s="3611"/>
      <c r="C43" s="3611"/>
      <c r="D43" s="3611"/>
      <c r="E43" s="3121"/>
      <c r="F43" s="2914" t="s">
        <v>3861</v>
      </c>
      <c r="G43" s="2907"/>
      <c r="H43" s="2915"/>
      <c r="I43" s="2915"/>
      <c r="J43" s="2915">
        <v>2952</v>
      </c>
      <c r="K43" s="2915">
        <v>2952</v>
      </c>
      <c r="L43" s="2915"/>
      <c r="M43" s="2915"/>
      <c r="N43" s="2918">
        <v>1488</v>
      </c>
      <c r="O43" s="2918">
        <v>1488</v>
      </c>
      <c r="P43" s="2915"/>
      <c r="Q43" s="2915"/>
      <c r="R43" s="2915">
        <v>2890.72642</v>
      </c>
      <c r="S43" s="2921"/>
      <c r="T43" s="2921"/>
      <c r="U43" s="2921">
        <v>979243.36720867211</v>
      </c>
      <c r="V43" s="2916">
        <v>1.0549999999999999</v>
      </c>
      <c r="W43" s="2916">
        <v>1.0529999999999999</v>
      </c>
      <c r="X43" s="2916">
        <v>1.0640000000000001</v>
      </c>
      <c r="Y43" s="2916">
        <v>1.05</v>
      </c>
      <c r="Z43" s="2916"/>
      <c r="AA43" s="2916"/>
      <c r="AB43" s="2916">
        <v>1094010.6898455287</v>
      </c>
      <c r="AC43" s="2916">
        <v>1094010.6898455287</v>
      </c>
      <c r="AD43" s="2917">
        <v>1094010.6898455287</v>
      </c>
      <c r="AE43" s="2917">
        <v>2170.3760459838713</v>
      </c>
    </row>
    <row r="44" spans="1:31" ht="15" outlineLevel="1">
      <c r="A44" s="3609"/>
      <c r="B44" s="3611"/>
      <c r="C44" s="3611"/>
      <c r="D44" s="3611"/>
      <c r="E44" s="3121"/>
      <c r="F44" s="2914" t="s">
        <v>3862</v>
      </c>
      <c r="G44" s="2907"/>
      <c r="H44" s="2915"/>
      <c r="I44" s="2915"/>
      <c r="J44" s="2915"/>
      <c r="K44" s="2915"/>
      <c r="L44" s="2915"/>
      <c r="M44" s="2915"/>
      <c r="N44" s="2915"/>
      <c r="O44" s="2915"/>
      <c r="P44" s="2915"/>
      <c r="Q44" s="2915"/>
      <c r="R44" s="2915"/>
      <c r="S44" s="2921"/>
      <c r="T44" s="2921"/>
      <c r="U44" s="2921"/>
      <c r="V44" s="2916"/>
      <c r="W44" s="2916"/>
      <c r="X44" s="2916"/>
      <c r="Y44" s="2916"/>
      <c r="Z44" s="2916"/>
      <c r="AA44" s="2916"/>
      <c r="AB44" s="2916"/>
      <c r="AC44" s="2916"/>
      <c r="AD44" s="2916"/>
      <c r="AE44" s="2921"/>
    </row>
    <row r="45" spans="1:31" ht="15" outlineLevel="1">
      <c r="A45" s="3609"/>
      <c r="B45" s="3611"/>
      <c r="C45" s="3611"/>
      <c r="D45" s="3611"/>
      <c r="E45" s="3121"/>
      <c r="F45" s="2914" t="s">
        <v>3863</v>
      </c>
      <c r="G45" s="2907"/>
      <c r="H45" s="2915"/>
      <c r="I45" s="2915"/>
      <c r="J45" s="2915"/>
      <c r="K45" s="2915"/>
      <c r="L45" s="2915"/>
      <c r="M45" s="2915"/>
      <c r="N45" s="2915"/>
      <c r="O45" s="2915"/>
      <c r="P45" s="2915"/>
      <c r="Q45" s="2915"/>
      <c r="R45" s="2915"/>
      <c r="S45" s="2921"/>
      <c r="T45" s="2921"/>
      <c r="U45" s="2921"/>
      <c r="V45" s="2916"/>
      <c r="W45" s="2916"/>
      <c r="X45" s="2916"/>
      <c r="Y45" s="2916"/>
      <c r="Z45" s="2916"/>
      <c r="AA45" s="2916"/>
      <c r="AB45" s="2916"/>
      <c r="AC45" s="2916"/>
      <c r="AD45" s="2916"/>
      <c r="AE45" s="2921"/>
    </row>
    <row r="46" spans="1:31" ht="15" outlineLevel="1">
      <c r="A46" s="3609"/>
      <c r="B46" s="3611"/>
      <c r="C46" s="3611"/>
      <c r="D46" s="3611"/>
      <c r="E46" s="3121"/>
      <c r="F46" s="2887" t="s">
        <v>3864</v>
      </c>
      <c r="G46" s="2908"/>
      <c r="H46" s="2915"/>
      <c r="I46" s="2915"/>
      <c r="J46" s="2915"/>
      <c r="K46" s="2915"/>
      <c r="L46" s="2915"/>
      <c r="M46" s="2915"/>
      <c r="N46" s="2915"/>
      <c r="O46" s="2915"/>
      <c r="P46" s="2915"/>
      <c r="Q46" s="2915"/>
      <c r="R46" s="2915"/>
      <c r="S46" s="2921"/>
      <c r="T46" s="2921"/>
      <c r="U46" s="2921"/>
      <c r="V46" s="2916"/>
      <c r="W46" s="2916"/>
      <c r="X46" s="2916"/>
      <c r="Y46" s="2916"/>
      <c r="Z46" s="2916"/>
      <c r="AA46" s="2916"/>
      <c r="AB46" s="2916"/>
      <c r="AC46" s="2916"/>
      <c r="AD46" s="2916"/>
      <c r="AE46" s="2921"/>
    </row>
    <row r="47" spans="1:31" ht="30" outlineLevel="1">
      <c r="A47" s="3609"/>
      <c r="B47" s="3611"/>
      <c r="C47" s="3611"/>
      <c r="D47" s="3611"/>
      <c r="E47" s="3121"/>
      <c r="F47" s="2887" t="s">
        <v>3865</v>
      </c>
      <c r="G47" s="2909"/>
      <c r="H47" s="2915"/>
      <c r="I47" s="2915"/>
      <c r="J47" s="2915"/>
      <c r="K47" s="2915"/>
      <c r="L47" s="2915"/>
      <c r="M47" s="2915"/>
      <c r="N47" s="2915"/>
      <c r="O47" s="2915"/>
      <c r="P47" s="2915"/>
      <c r="Q47" s="2915"/>
      <c r="R47" s="2915"/>
      <c r="S47" s="2921"/>
      <c r="T47" s="2921"/>
      <c r="U47" s="2921"/>
      <c r="V47" s="2916"/>
      <c r="W47" s="2916"/>
      <c r="X47" s="2916"/>
      <c r="Y47" s="2916"/>
      <c r="Z47" s="2916"/>
      <c r="AA47" s="2916"/>
      <c r="AB47" s="2916"/>
      <c r="AC47" s="2916"/>
      <c r="AD47" s="2916"/>
      <c r="AE47" s="2921"/>
    </row>
    <row r="48" spans="1:31" ht="30" outlineLevel="1">
      <c r="A48" s="3609"/>
      <c r="B48" s="3611"/>
      <c r="C48" s="3611"/>
      <c r="D48" s="3611"/>
      <c r="E48" s="3121" t="s">
        <v>2957</v>
      </c>
      <c r="F48" s="2914" t="s">
        <v>3860</v>
      </c>
      <c r="G48" s="2910"/>
      <c r="H48" s="2915"/>
      <c r="I48" s="2915"/>
      <c r="J48" s="2915"/>
      <c r="K48" s="2915"/>
      <c r="L48" s="2915"/>
      <c r="M48" s="2915"/>
      <c r="N48" s="2915"/>
      <c r="O48" s="2915"/>
      <c r="P48" s="2915"/>
      <c r="Q48" s="2915"/>
      <c r="R48" s="2915"/>
      <c r="S48" s="2921"/>
      <c r="T48" s="2921"/>
      <c r="U48" s="2921"/>
      <c r="V48" s="2916"/>
      <c r="W48" s="2916"/>
      <c r="X48" s="2916"/>
      <c r="Y48" s="2916"/>
      <c r="Z48" s="2916"/>
      <c r="AA48" s="2916"/>
      <c r="AB48" s="2916"/>
      <c r="AC48" s="2916">
        <v>0</v>
      </c>
      <c r="AD48" s="2916">
        <v>0</v>
      </c>
      <c r="AE48" s="2921"/>
    </row>
    <row r="49" spans="1:36" ht="15" outlineLevel="1">
      <c r="A49" s="3609"/>
      <c r="B49" s="3611"/>
      <c r="C49" s="3611"/>
      <c r="D49" s="3611"/>
      <c r="E49" s="3121"/>
      <c r="F49" s="2914" t="s">
        <v>3861</v>
      </c>
      <c r="G49" s="2907"/>
      <c r="H49" s="2915"/>
      <c r="I49" s="2915"/>
      <c r="J49" s="2915"/>
      <c r="K49" s="2915"/>
      <c r="L49" s="2915"/>
      <c r="M49" s="2915"/>
      <c r="N49" s="2915"/>
      <c r="O49" s="2915"/>
      <c r="P49" s="2915"/>
      <c r="Q49" s="2915"/>
      <c r="R49" s="2915"/>
      <c r="S49" s="2921"/>
      <c r="T49" s="2921"/>
      <c r="U49" s="2921"/>
      <c r="V49" s="2916"/>
      <c r="W49" s="2916"/>
      <c r="X49" s="2916"/>
      <c r="Y49" s="2916"/>
      <c r="Z49" s="2916"/>
      <c r="AA49" s="2916"/>
      <c r="AB49" s="2916"/>
      <c r="AC49" s="2916"/>
      <c r="AD49" s="2916"/>
      <c r="AE49" s="2921"/>
    </row>
    <row r="50" spans="1:36" ht="15" outlineLevel="1">
      <c r="A50" s="3609"/>
      <c r="B50" s="3611"/>
      <c r="C50" s="3611"/>
      <c r="D50" s="3611"/>
      <c r="E50" s="3121"/>
      <c r="F50" s="2914" t="s">
        <v>3862</v>
      </c>
      <c r="G50" s="2907"/>
      <c r="H50" s="2915"/>
      <c r="I50" s="2915"/>
      <c r="J50" s="2915"/>
      <c r="K50" s="2915"/>
      <c r="L50" s="2915"/>
      <c r="M50" s="2915"/>
      <c r="N50" s="2915"/>
      <c r="O50" s="2915"/>
      <c r="P50" s="2915"/>
      <c r="Q50" s="2915"/>
      <c r="R50" s="2915"/>
      <c r="S50" s="2921"/>
      <c r="T50" s="2921"/>
      <c r="U50" s="2921"/>
      <c r="V50" s="2916"/>
      <c r="W50" s="2916"/>
      <c r="X50" s="2916"/>
      <c r="Y50" s="2916"/>
      <c r="Z50" s="2916"/>
      <c r="AA50" s="2916"/>
      <c r="AB50" s="2916"/>
      <c r="AC50" s="2916"/>
      <c r="AD50" s="2916"/>
      <c r="AE50" s="2921"/>
    </row>
    <row r="51" spans="1:36" ht="15" outlineLevel="1">
      <c r="A51" s="3609"/>
      <c r="B51" s="3611"/>
      <c r="C51" s="3611"/>
      <c r="D51" s="3611"/>
      <c r="E51" s="3121"/>
      <c r="F51" s="2914" t="s">
        <v>3863</v>
      </c>
      <c r="G51" s="2907"/>
      <c r="H51" s="2915"/>
      <c r="I51" s="2915"/>
      <c r="J51" s="2915"/>
      <c r="K51" s="2915"/>
      <c r="L51" s="2915"/>
      <c r="M51" s="2915"/>
      <c r="N51" s="2915"/>
      <c r="O51" s="2915"/>
      <c r="P51" s="2915"/>
      <c r="Q51" s="2915"/>
      <c r="R51" s="2915"/>
      <c r="S51" s="2921"/>
      <c r="T51" s="2921"/>
      <c r="U51" s="2921"/>
      <c r="V51" s="2916"/>
      <c r="W51" s="2916"/>
      <c r="X51" s="2916"/>
      <c r="Y51" s="2916"/>
      <c r="Z51" s="2916"/>
      <c r="AA51" s="2916"/>
      <c r="AB51" s="2916"/>
      <c r="AC51" s="2916"/>
      <c r="AD51" s="2916"/>
      <c r="AE51" s="2921"/>
    </row>
    <row r="52" spans="1:36" ht="15" outlineLevel="1">
      <c r="A52" s="3609"/>
      <c r="B52" s="3611"/>
      <c r="C52" s="3611"/>
      <c r="D52" s="3611"/>
      <c r="E52" s="3121"/>
      <c r="F52" s="2914" t="s">
        <v>3864</v>
      </c>
      <c r="G52" s="2907"/>
      <c r="H52" s="2915"/>
      <c r="I52" s="2915"/>
      <c r="J52" s="2915"/>
      <c r="K52" s="2915"/>
      <c r="L52" s="2915"/>
      <c r="M52" s="2915"/>
      <c r="N52" s="2915"/>
      <c r="O52" s="2915"/>
      <c r="P52" s="2915"/>
      <c r="Q52" s="2915"/>
      <c r="R52" s="2915"/>
      <c r="S52" s="2921"/>
      <c r="T52" s="2921"/>
      <c r="U52" s="2921"/>
      <c r="V52" s="2916"/>
      <c r="W52" s="2916"/>
      <c r="X52" s="2916"/>
      <c r="Y52" s="2916"/>
      <c r="Z52" s="2916"/>
      <c r="AA52" s="2916"/>
      <c r="AB52" s="2916"/>
      <c r="AC52" s="2916"/>
      <c r="AD52" s="2916"/>
      <c r="AE52" s="2921"/>
    </row>
    <row r="53" spans="1:36" ht="30" outlineLevel="1">
      <c r="A53" s="3610"/>
      <c r="B53" s="3611"/>
      <c r="C53" s="3611"/>
      <c r="D53" s="3611"/>
      <c r="E53" s="3121"/>
      <c r="F53" s="2914" t="s">
        <v>3865</v>
      </c>
      <c r="G53" s="2911"/>
      <c r="H53" s="2915"/>
      <c r="I53" s="2915"/>
      <c r="J53" s="2915"/>
      <c r="K53" s="2915"/>
      <c r="L53" s="2915"/>
      <c r="M53" s="2915"/>
      <c r="N53" s="2915"/>
      <c r="O53" s="2915"/>
      <c r="P53" s="2915"/>
      <c r="Q53" s="2915"/>
      <c r="R53" s="2915"/>
      <c r="S53" s="2921"/>
      <c r="T53" s="2921"/>
      <c r="U53" s="2921"/>
      <c r="V53" s="2916"/>
      <c r="W53" s="2916"/>
      <c r="X53" s="2916"/>
      <c r="Y53" s="2916"/>
      <c r="Z53" s="2916"/>
      <c r="AA53" s="2916"/>
      <c r="AB53" s="2916"/>
      <c r="AC53" s="2916"/>
      <c r="AD53" s="2916"/>
      <c r="AE53" s="2921"/>
    </row>
    <row r="54" spans="1:36" ht="15">
      <c r="A54" s="2709"/>
      <c r="B54" s="2709" t="s">
        <v>3984</v>
      </c>
      <c r="C54" s="2709"/>
      <c r="D54" s="2709"/>
      <c r="E54" s="2709"/>
      <c r="F54" s="2709"/>
      <c r="G54" s="2912"/>
      <c r="H54" s="2916">
        <f>SUM(H18:H53)</f>
        <v>9409</v>
      </c>
      <c r="I54" s="2916">
        <f t="shared" ref="I54:J54" si="0">SUM(I18:I53)</f>
        <v>11040.999999999998</v>
      </c>
      <c r="J54" s="2916">
        <f t="shared" si="0"/>
        <v>5223</v>
      </c>
      <c r="K54" s="2915">
        <f>SUM(H54:J54)</f>
        <v>25673</v>
      </c>
      <c r="L54" s="2916">
        <f>SUM(L18:L53)</f>
        <v>390.2</v>
      </c>
      <c r="M54" s="2916">
        <f t="shared" ref="M54" si="1">SUM(M18:M53)</f>
        <v>507.96000000000004</v>
      </c>
      <c r="N54" s="2916">
        <f t="shared" ref="N54" si="2">SUM(N18:N53)</f>
        <v>3016</v>
      </c>
      <c r="O54" s="2915">
        <f>SUM(L54:N54)</f>
        <v>3914.16</v>
      </c>
      <c r="P54" s="2916">
        <f>SUM(P18:P53)</f>
        <v>4068.0176799999999</v>
      </c>
      <c r="Q54" s="2916">
        <f t="shared" ref="Q54" si="3">SUM(Q18:Q53)</f>
        <v>7440.8374159999994</v>
      </c>
      <c r="R54" s="2916">
        <f t="shared" ref="R54" si="4">SUM(R18:R53)</f>
        <v>4701.81005</v>
      </c>
      <c r="S54" s="2921">
        <v>432353.88245297049</v>
      </c>
      <c r="T54" s="2921">
        <v>673927.85218730185</v>
      </c>
      <c r="U54" s="2921">
        <v>900212.53111238754</v>
      </c>
      <c r="V54" s="2916">
        <v>1.0549999999999999</v>
      </c>
      <c r="W54" s="2916">
        <v>1.0529999999999999</v>
      </c>
      <c r="X54" s="2916">
        <v>1.0640000000000001</v>
      </c>
      <c r="Y54" s="2916">
        <v>1.05</v>
      </c>
      <c r="Z54" s="2916">
        <f>S54*V54*W54*X54*Y54</f>
        <v>536600.55936696008</v>
      </c>
      <c r="AA54" s="2916">
        <f t="shared" ref="AA54" si="5">T54*W54*X54*Y54</f>
        <v>792816.54287622729</v>
      </c>
      <c r="AB54" s="2916">
        <f t="shared" ref="AB54" si="6">U54*X54*Y54</f>
        <v>1005717.4397587595</v>
      </c>
      <c r="AC54" s="2916">
        <f>Z54+AA54+AB54</f>
        <v>2335134.5420019468</v>
      </c>
      <c r="AD54" s="2916">
        <f>AC54/3</f>
        <v>778378.18066731561</v>
      </c>
      <c r="AE54" s="2921">
        <f>(AD54*K54/1000)/O54</f>
        <v>5105.3873710507487</v>
      </c>
    </row>
    <row r="56" spans="1:36" ht="31.5" thickBot="1">
      <c r="J56" s="3604" t="s">
        <v>4270</v>
      </c>
      <c r="K56" s="3604"/>
      <c r="L56" s="3604"/>
      <c r="M56" s="3604"/>
      <c r="N56" s="3604"/>
      <c r="O56" s="3604"/>
      <c r="P56" s="3604"/>
      <c r="Q56" s="3604"/>
      <c r="R56" s="3604"/>
      <c r="S56" s="3604"/>
      <c r="T56" s="3604"/>
      <c r="U56" s="3604"/>
    </row>
    <row r="57" spans="1:36" ht="18.75">
      <c r="A57" s="3131"/>
      <c r="B57" s="3131"/>
      <c r="C57" s="3131"/>
      <c r="D57" s="3131"/>
      <c r="E57" s="3131"/>
      <c r="F57" s="3131"/>
      <c r="G57" s="3000" t="s">
        <v>3966</v>
      </c>
      <c r="H57" s="3000"/>
      <c r="I57" s="3000"/>
      <c r="J57" s="3000"/>
      <c r="K57" s="3000"/>
      <c r="L57" s="3000"/>
      <c r="M57" s="3000"/>
      <c r="N57" s="3000"/>
      <c r="O57" s="3000"/>
      <c r="P57" s="3000"/>
      <c r="Q57" s="3000"/>
      <c r="R57" s="3000"/>
      <c r="S57" s="3000"/>
      <c r="T57" s="3000"/>
      <c r="U57" s="3001"/>
      <c r="V57" s="1118"/>
      <c r="W57" s="1118"/>
      <c r="X57" s="1118"/>
      <c r="Y57" s="1118"/>
      <c r="Z57" s="1118"/>
      <c r="AA57" s="1118"/>
      <c r="AB57" s="1118"/>
      <c r="AC57" s="1118"/>
      <c r="AD57" s="1118"/>
      <c r="AE57" s="1118"/>
      <c r="AF57" s="1118"/>
      <c r="AG57" s="1118"/>
      <c r="AH57" s="1118"/>
      <c r="AI57" s="1118"/>
      <c r="AJ57" s="1118"/>
    </row>
    <row r="58" spans="1:36" ht="75">
      <c r="A58" s="3211" t="s">
        <v>0</v>
      </c>
      <c r="B58" s="3209" t="s">
        <v>3849</v>
      </c>
      <c r="C58" s="3210" t="s">
        <v>3850</v>
      </c>
      <c r="D58" s="3209" t="s">
        <v>3851</v>
      </c>
      <c r="E58" s="3209" t="s">
        <v>3852</v>
      </c>
      <c r="F58" s="3209" t="s">
        <v>3853</v>
      </c>
      <c r="G58" s="3607" t="s">
        <v>3854</v>
      </c>
      <c r="H58" s="3004" t="s">
        <v>3855</v>
      </c>
      <c r="I58" s="3005"/>
      <c r="J58" s="3005"/>
      <c r="K58" s="3005"/>
      <c r="L58" s="3006"/>
      <c r="M58" s="3004" t="s">
        <v>3856</v>
      </c>
      <c r="N58" s="3005"/>
      <c r="O58" s="3005"/>
      <c r="P58" s="3005"/>
      <c r="Q58" s="3006"/>
      <c r="R58" s="3004" t="s">
        <v>3857</v>
      </c>
      <c r="S58" s="3005"/>
      <c r="T58" s="3005"/>
      <c r="U58" s="3006"/>
      <c r="V58" s="3099" t="s">
        <v>3978</v>
      </c>
      <c r="W58" s="3100"/>
      <c r="X58" s="3100"/>
      <c r="Y58" s="3101"/>
      <c r="Z58" s="3093" t="s">
        <v>3858</v>
      </c>
      <c r="AA58" s="3093"/>
      <c r="AB58" s="3093"/>
      <c r="AC58" s="3093"/>
      <c r="AD58" s="3102" t="s">
        <v>3979</v>
      </c>
      <c r="AE58" s="3103"/>
      <c r="AF58" s="3103"/>
      <c r="AG58" s="3104"/>
      <c r="AH58" s="2779" t="s">
        <v>3980</v>
      </c>
      <c r="AI58" s="2500" t="s">
        <v>3974</v>
      </c>
      <c r="AJ58" s="2500" t="s">
        <v>3975</v>
      </c>
    </row>
    <row r="59" spans="1:36" ht="90.75" thickBot="1">
      <c r="A59" s="3211"/>
      <c r="B59" s="3209"/>
      <c r="C59" s="3210"/>
      <c r="D59" s="3209"/>
      <c r="E59" s="3209"/>
      <c r="F59" s="3209"/>
      <c r="G59" s="3215"/>
      <c r="H59" s="2379">
        <v>2015</v>
      </c>
      <c r="I59" s="2882">
        <v>2016</v>
      </c>
      <c r="J59" s="2882">
        <v>2017</v>
      </c>
      <c r="K59" s="2882" t="s">
        <v>3925</v>
      </c>
      <c r="L59" s="2508" t="s">
        <v>2559</v>
      </c>
      <c r="M59" s="2882">
        <f>H59</f>
        <v>2015</v>
      </c>
      <c r="N59" s="2882">
        <f>I59</f>
        <v>2016</v>
      </c>
      <c r="O59" s="2882">
        <f>J59</f>
        <v>2017</v>
      </c>
      <c r="P59" s="2882">
        <f>P1</f>
        <v>0</v>
      </c>
      <c r="Q59" s="2508" t="s">
        <v>2559</v>
      </c>
      <c r="R59" s="2882">
        <f>H59</f>
        <v>2015</v>
      </c>
      <c r="S59" s="2882">
        <f>I59</f>
        <v>2016</v>
      </c>
      <c r="T59" s="2380">
        <f>J59</f>
        <v>2017</v>
      </c>
      <c r="U59" s="2380">
        <f>U1</f>
        <v>0</v>
      </c>
      <c r="V59" s="2496">
        <f>R59</f>
        <v>2015</v>
      </c>
      <c r="W59" s="2496">
        <f>S59</f>
        <v>2016</v>
      </c>
      <c r="X59" s="2496">
        <f>T59</f>
        <v>2017</v>
      </c>
      <c r="Y59" s="2496" t="str">
        <f>K59</f>
        <v>План (в случае отсутствия факта за 3 года)</v>
      </c>
      <c r="Z59" s="2885">
        <v>2016</v>
      </c>
      <c r="AA59" s="2885">
        <v>2017</v>
      </c>
      <c r="AB59" s="2885">
        <v>2018</v>
      </c>
      <c r="AC59" s="2924">
        <v>2019</v>
      </c>
      <c r="AD59" s="2503">
        <f>V59</f>
        <v>2015</v>
      </c>
      <c r="AE59" s="2503">
        <f>W59</f>
        <v>2016</v>
      </c>
      <c r="AF59" s="2503">
        <f>X59</f>
        <v>2017</v>
      </c>
      <c r="AG59" s="2503" t="str">
        <f>Y59</f>
        <v>План (в случае отсутствия факта за 3 года)</v>
      </c>
      <c r="AH59" s="2497" t="s">
        <v>3981</v>
      </c>
      <c r="AI59" s="2505" t="s">
        <v>3976</v>
      </c>
      <c r="AJ59" s="2505" t="s">
        <v>3977</v>
      </c>
    </row>
    <row r="60" spans="1:36" ht="15.75" thickBot="1">
      <c r="A60" s="2922">
        <v>1</v>
      </c>
      <c r="B60" s="2922">
        <v>2</v>
      </c>
      <c r="C60" s="3207">
        <v>3</v>
      </c>
      <c r="D60" s="3207"/>
      <c r="E60" s="3207"/>
      <c r="F60" s="3207"/>
      <c r="G60" s="2888">
        <v>4</v>
      </c>
      <c r="H60" s="3017">
        <v>5</v>
      </c>
      <c r="I60" s="3018"/>
      <c r="J60" s="3018"/>
      <c r="K60" s="3019"/>
      <c r="L60" s="2883"/>
      <c r="M60" s="3017">
        <v>6</v>
      </c>
      <c r="N60" s="3018"/>
      <c r="O60" s="3018"/>
      <c r="P60" s="3019"/>
      <c r="Q60" s="2883"/>
      <c r="R60" s="3020">
        <v>7</v>
      </c>
      <c r="S60" s="3018"/>
      <c r="T60" s="3018"/>
      <c r="U60" s="3021"/>
      <c r="V60" s="3108">
        <v>8</v>
      </c>
      <c r="W60" s="3022"/>
      <c r="X60" s="3022"/>
      <c r="Y60" s="2884"/>
      <c r="Z60" s="3022">
        <v>9</v>
      </c>
      <c r="AA60" s="3022"/>
      <c r="AB60" s="3022"/>
      <c r="AC60" s="3109"/>
      <c r="AD60" s="3105">
        <v>10</v>
      </c>
      <c r="AE60" s="3106"/>
      <c r="AF60" s="3106"/>
      <c r="AG60" s="3107"/>
      <c r="AH60" s="2498">
        <v>11</v>
      </c>
      <c r="AI60" s="2498">
        <v>12</v>
      </c>
      <c r="AJ60" s="2499">
        <v>13</v>
      </c>
    </row>
    <row r="61" spans="1:36" ht="30" hidden="1" outlineLevel="1">
      <c r="A61" s="3148"/>
      <c r="B61" s="3210" t="s">
        <v>2952</v>
      </c>
      <c r="C61" s="3208" t="s">
        <v>3859</v>
      </c>
      <c r="D61" s="3210" t="s">
        <v>2949</v>
      </c>
      <c r="E61" s="3209" t="s">
        <v>2950</v>
      </c>
      <c r="F61" s="2923" t="s">
        <v>3860</v>
      </c>
      <c r="G61" s="2923"/>
      <c r="H61" s="2790"/>
      <c r="I61" s="2791"/>
      <c r="J61" s="2791"/>
      <c r="K61" s="2791"/>
      <c r="L61" s="2791"/>
      <c r="M61" s="2791"/>
      <c r="N61" s="2791"/>
      <c r="O61" s="2791"/>
      <c r="P61" s="2791"/>
      <c r="Q61" s="2791"/>
      <c r="R61" s="2792"/>
      <c r="S61" s="2792"/>
      <c r="T61" s="2793"/>
      <c r="U61" s="2792"/>
      <c r="V61" s="2504" t="s">
        <v>4269</v>
      </c>
      <c r="W61" s="2504" t="s">
        <v>4269</v>
      </c>
      <c r="X61" s="2504" t="s">
        <v>4269</v>
      </c>
      <c r="Y61" s="2504" t="s">
        <v>4269</v>
      </c>
      <c r="Z61" s="2596">
        <v>1.0528</v>
      </c>
      <c r="AA61" s="2565">
        <v>1.06395203770775</v>
      </c>
      <c r="AB61" s="2565">
        <v>1.05001869746847</v>
      </c>
      <c r="AC61" s="2565">
        <v>1.0469610363690101</v>
      </c>
      <c r="AD61" s="2444" t="s">
        <v>4269</v>
      </c>
      <c r="AE61" s="2444" t="s">
        <v>4269</v>
      </c>
      <c r="AF61" s="2444" t="s">
        <v>4269</v>
      </c>
      <c r="AG61" s="2319" t="s">
        <v>4269</v>
      </c>
      <c r="AH61" s="2444"/>
      <c r="AI61" s="2777"/>
      <c r="AJ61" s="2778" t="s">
        <v>4269</v>
      </c>
    </row>
    <row r="62" spans="1:36" ht="15" hidden="1" outlineLevel="1">
      <c r="A62" s="3605"/>
      <c r="B62" s="3210"/>
      <c r="C62" s="3208"/>
      <c r="D62" s="3210"/>
      <c r="E62" s="3209"/>
      <c r="F62" s="2923" t="s">
        <v>3861</v>
      </c>
      <c r="G62" s="2923"/>
      <c r="H62" s="2794"/>
      <c r="I62" s="2795"/>
      <c r="J62" s="2795"/>
      <c r="K62" s="2795"/>
      <c r="L62" s="2795"/>
      <c r="M62" s="2795"/>
      <c r="N62" s="2795"/>
      <c r="O62" s="2795"/>
      <c r="P62" s="2795"/>
      <c r="Q62" s="2795"/>
      <c r="R62" s="2733"/>
      <c r="S62" s="2733"/>
      <c r="T62" s="2796"/>
      <c r="U62" s="2733"/>
      <c r="V62" s="2504" t="s">
        <v>4269</v>
      </c>
      <c r="W62" s="2504" t="s">
        <v>4269</v>
      </c>
      <c r="X62" s="2504" t="s">
        <v>4269</v>
      </c>
      <c r="Y62" s="2504" t="s">
        <v>4269</v>
      </c>
      <c r="Z62" s="2567"/>
      <c r="AA62" s="2567"/>
      <c r="AB62" s="2567"/>
      <c r="AC62" s="2567"/>
      <c r="AD62" s="2444" t="s">
        <v>4269</v>
      </c>
      <c r="AE62" s="2444" t="s">
        <v>4269</v>
      </c>
      <c r="AF62" s="2444" t="s">
        <v>4269</v>
      </c>
      <c r="AG62" s="2319"/>
      <c r="AH62" s="2444"/>
      <c r="AI62" s="2777"/>
      <c r="AJ62" s="2778" t="s">
        <v>4269</v>
      </c>
    </row>
    <row r="63" spans="1:36" ht="15" hidden="1" outlineLevel="1">
      <c r="A63" s="3605"/>
      <c r="B63" s="3210"/>
      <c r="C63" s="3208"/>
      <c r="D63" s="3210"/>
      <c r="E63" s="3209"/>
      <c r="F63" s="2923" t="s">
        <v>3862</v>
      </c>
      <c r="G63" s="2923"/>
      <c r="H63" s="2794"/>
      <c r="I63" s="2795"/>
      <c r="J63" s="2795"/>
      <c r="K63" s="2795"/>
      <c r="L63" s="2795"/>
      <c r="M63" s="2795"/>
      <c r="N63" s="2795"/>
      <c r="O63" s="2795"/>
      <c r="P63" s="2795"/>
      <c r="Q63" s="2795"/>
      <c r="R63" s="2733"/>
      <c r="S63" s="2733"/>
      <c r="T63" s="2796"/>
      <c r="U63" s="2733"/>
      <c r="V63" s="2504" t="s">
        <v>4269</v>
      </c>
      <c r="W63" s="2504" t="s">
        <v>4269</v>
      </c>
      <c r="X63" s="2504" t="s">
        <v>4269</v>
      </c>
      <c r="Y63" s="2504" t="s">
        <v>4269</v>
      </c>
      <c r="Z63" s="2567"/>
      <c r="AA63" s="2567"/>
      <c r="AB63" s="2567"/>
      <c r="AC63" s="2567"/>
      <c r="AD63" s="2444" t="s">
        <v>4269</v>
      </c>
      <c r="AE63" s="2444" t="s">
        <v>4269</v>
      </c>
      <c r="AF63" s="2444" t="s">
        <v>4269</v>
      </c>
      <c r="AG63" s="2319"/>
      <c r="AH63" s="2444"/>
      <c r="AI63" s="2777"/>
      <c r="AJ63" s="2778" t="s">
        <v>4269</v>
      </c>
    </row>
    <row r="64" spans="1:36" ht="15" hidden="1" outlineLevel="1">
      <c r="A64" s="3605"/>
      <c r="B64" s="3210"/>
      <c r="C64" s="3208"/>
      <c r="D64" s="3210"/>
      <c r="E64" s="3209"/>
      <c r="F64" s="2923" t="s">
        <v>3863</v>
      </c>
      <c r="G64" s="2923"/>
      <c r="H64" s="2794"/>
      <c r="I64" s="2795"/>
      <c r="J64" s="2795"/>
      <c r="K64" s="2795"/>
      <c r="L64" s="2795"/>
      <c r="M64" s="2795"/>
      <c r="N64" s="2795"/>
      <c r="O64" s="2795"/>
      <c r="P64" s="2795"/>
      <c r="Q64" s="2795"/>
      <c r="R64" s="2733"/>
      <c r="S64" s="2733"/>
      <c r="T64" s="2796"/>
      <c r="U64" s="2733"/>
      <c r="V64" s="2504" t="s">
        <v>4269</v>
      </c>
      <c r="W64" s="2504" t="s">
        <v>4269</v>
      </c>
      <c r="X64" s="2504" t="s">
        <v>4269</v>
      </c>
      <c r="Y64" s="2504" t="s">
        <v>4269</v>
      </c>
      <c r="Z64" s="2567"/>
      <c r="AA64" s="2567"/>
      <c r="AB64" s="2567"/>
      <c r="AC64" s="2567"/>
      <c r="AD64" s="2444" t="s">
        <v>4269</v>
      </c>
      <c r="AE64" s="2444" t="s">
        <v>4269</v>
      </c>
      <c r="AF64" s="2444" t="s">
        <v>4269</v>
      </c>
      <c r="AG64" s="2319"/>
      <c r="AH64" s="2444"/>
      <c r="AI64" s="2777"/>
      <c r="AJ64" s="2778" t="s">
        <v>4269</v>
      </c>
    </row>
    <row r="65" spans="1:36" ht="15" hidden="1" outlineLevel="1">
      <c r="A65" s="3605"/>
      <c r="B65" s="3210"/>
      <c r="C65" s="3208"/>
      <c r="D65" s="3210"/>
      <c r="E65" s="3209"/>
      <c r="F65" s="2590" t="s">
        <v>3864</v>
      </c>
      <c r="G65" s="2590"/>
      <c r="H65" s="2794"/>
      <c r="I65" s="2795"/>
      <c r="J65" s="2795"/>
      <c r="K65" s="2795"/>
      <c r="L65" s="2795"/>
      <c r="M65" s="2795"/>
      <c r="N65" s="2795"/>
      <c r="O65" s="2795"/>
      <c r="P65" s="2795"/>
      <c r="Q65" s="2795"/>
      <c r="R65" s="2733"/>
      <c r="S65" s="2733"/>
      <c r="T65" s="2796"/>
      <c r="U65" s="2733"/>
      <c r="V65" s="2504" t="s">
        <v>4269</v>
      </c>
      <c r="W65" s="2504" t="s">
        <v>4269</v>
      </c>
      <c r="X65" s="2504" t="s">
        <v>4269</v>
      </c>
      <c r="Y65" s="2504" t="s">
        <v>4269</v>
      </c>
      <c r="Z65" s="2567"/>
      <c r="AA65" s="2567"/>
      <c r="AB65" s="2567"/>
      <c r="AC65" s="2567"/>
      <c r="AD65" s="2444" t="s">
        <v>4269</v>
      </c>
      <c r="AE65" s="2444" t="s">
        <v>4269</v>
      </c>
      <c r="AF65" s="2444" t="s">
        <v>4269</v>
      </c>
      <c r="AG65" s="2319"/>
      <c r="AH65" s="2444"/>
      <c r="AI65" s="2777"/>
      <c r="AJ65" s="2778" t="s">
        <v>4269</v>
      </c>
    </row>
    <row r="66" spans="1:36" ht="30" hidden="1" outlineLevel="1">
      <c r="A66" s="3605"/>
      <c r="B66" s="3210"/>
      <c r="C66" s="3208"/>
      <c r="D66" s="3210"/>
      <c r="E66" s="3209"/>
      <c r="F66" s="2590" t="s">
        <v>3865</v>
      </c>
      <c r="G66" s="2590"/>
      <c r="H66" s="2794"/>
      <c r="I66" s="2795"/>
      <c r="J66" s="2795"/>
      <c r="K66" s="2795"/>
      <c r="L66" s="2795"/>
      <c r="M66" s="2795"/>
      <c r="N66" s="2795"/>
      <c r="O66" s="2797"/>
      <c r="P66" s="2797"/>
      <c r="Q66" s="2797"/>
      <c r="R66" s="2733"/>
      <c r="S66" s="2733"/>
      <c r="T66" s="2796"/>
      <c r="U66" s="2733"/>
      <c r="V66" s="2504" t="s">
        <v>4269</v>
      </c>
      <c r="W66" s="2504" t="s">
        <v>4269</v>
      </c>
      <c r="X66" s="2504" t="s">
        <v>4269</v>
      </c>
      <c r="Y66" s="2504" t="s">
        <v>4269</v>
      </c>
      <c r="Z66" s="2567"/>
      <c r="AA66" s="2567"/>
      <c r="AB66" s="2567"/>
      <c r="AC66" s="2567"/>
      <c r="AD66" s="2444" t="s">
        <v>4269</v>
      </c>
      <c r="AE66" s="2444" t="s">
        <v>4269</v>
      </c>
      <c r="AF66" s="2444" t="s">
        <v>4269</v>
      </c>
      <c r="AG66" s="2319"/>
      <c r="AH66" s="2444"/>
      <c r="AI66" s="2777"/>
      <c r="AJ66" s="2778" t="s">
        <v>4269</v>
      </c>
    </row>
    <row r="67" spans="1:36" ht="30" hidden="1" outlineLevel="1">
      <c r="A67" s="3605"/>
      <c r="B67" s="3210"/>
      <c r="C67" s="3208"/>
      <c r="D67" s="3210"/>
      <c r="E67" s="3209" t="s">
        <v>2946</v>
      </c>
      <c r="F67" s="2923" t="s">
        <v>3860</v>
      </c>
      <c r="G67" s="2923"/>
      <c r="H67" s="2794"/>
      <c r="I67" s="2795"/>
      <c r="J67" s="2795"/>
      <c r="K67" s="2795"/>
      <c r="L67" s="2795"/>
      <c r="M67" s="2795"/>
      <c r="N67" s="2795"/>
      <c r="O67" s="2795"/>
      <c r="P67" s="2795"/>
      <c r="Q67" s="2795"/>
      <c r="R67" s="2733"/>
      <c r="S67" s="2733"/>
      <c r="T67" s="2796"/>
      <c r="U67" s="2733"/>
      <c r="V67" s="2504" t="s">
        <v>4269</v>
      </c>
      <c r="W67" s="2504" t="s">
        <v>4269</v>
      </c>
      <c r="X67" s="2504" t="s">
        <v>4269</v>
      </c>
      <c r="Y67" s="2504" t="s">
        <v>4269</v>
      </c>
      <c r="Z67" s="2567"/>
      <c r="AA67" s="2567"/>
      <c r="AB67" s="2567"/>
      <c r="AC67" s="2567"/>
      <c r="AD67" s="2444" t="s">
        <v>4269</v>
      </c>
      <c r="AE67" s="2444" t="s">
        <v>4269</v>
      </c>
      <c r="AF67" s="2444" t="s">
        <v>4269</v>
      </c>
      <c r="AG67" s="2319"/>
      <c r="AH67" s="2444"/>
      <c r="AI67" s="2777"/>
      <c r="AJ67" s="2778" t="s">
        <v>4269</v>
      </c>
    </row>
    <row r="68" spans="1:36" ht="15" hidden="1" outlineLevel="1">
      <c r="A68" s="3605"/>
      <c r="B68" s="3210"/>
      <c r="C68" s="3208"/>
      <c r="D68" s="3210"/>
      <c r="E68" s="3209"/>
      <c r="F68" s="2923" t="s">
        <v>3861</v>
      </c>
      <c r="G68" s="2923"/>
      <c r="H68" s="2794"/>
      <c r="I68" s="2795"/>
      <c r="J68" s="2795"/>
      <c r="K68" s="2795"/>
      <c r="L68" s="2795"/>
      <c r="M68" s="2795"/>
      <c r="N68" s="2795"/>
      <c r="O68" s="2795"/>
      <c r="P68" s="2795"/>
      <c r="Q68" s="2795"/>
      <c r="R68" s="2733"/>
      <c r="S68" s="2733"/>
      <c r="T68" s="2796"/>
      <c r="U68" s="2733"/>
      <c r="V68" s="2504" t="s">
        <v>4269</v>
      </c>
      <c r="W68" s="2504" t="s">
        <v>4269</v>
      </c>
      <c r="X68" s="2504" t="s">
        <v>4269</v>
      </c>
      <c r="Y68" s="2504" t="s">
        <v>4269</v>
      </c>
      <c r="Z68" s="2567"/>
      <c r="AA68" s="2567"/>
      <c r="AB68" s="2567"/>
      <c r="AC68" s="2567"/>
      <c r="AD68" s="2444" t="s">
        <v>4269</v>
      </c>
      <c r="AE68" s="2444" t="s">
        <v>4269</v>
      </c>
      <c r="AF68" s="2444" t="s">
        <v>4269</v>
      </c>
      <c r="AG68" s="2319"/>
      <c r="AH68" s="2444"/>
      <c r="AI68" s="2777"/>
      <c r="AJ68" s="2778" t="s">
        <v>4269</v>
      </c>
    </row>
    <row r="69" spans="1:36" ht="15" hidden="1" outlineLevel="1">
      <c r="A69" s="3605"/>
      <c r="B69" s="3210"/>
      <c r="C69" s="3208"/>
      <c r="D69" s="3210"/>
      <c r="E69" s="3209"/>
      <c r="F69" s="2923" t="s">
        <v>3862</v>
      </c>
      <c r="G69" s="2923"/>
      <c r="H69" s="2794"/>
      <c r="I69" s="2795"/>
      <c r="J69" s="2795"/>
      <c r="K69" s="2795"/>
      <c r="L69" s="2795"/>
      <c r="M69" s="2795"/>
      <c r="N69" s="2795"/>
      <c r="O69" s="2795"/>
      <c r="P69" s="2795"/>
      <c r="Q69" s="2795"/>
      <c r="R69" s="2733"/>
      <c r="S69" s="2733"/>
      <c r="T69" s="2796"/>
      <c r="U69" s="2733"/>
      <c r="V69" s="2504" t="s">
        <v>4269</v>
      </c>
      <c r="W69" s="2504" t="s">
        <v>4269</v>
      </c>
      <c r="X69" s="2504" t="s">
        <v>4269</v>
      </c>
      <c r="Y69" s="2504" t="s">
        <v>4269</v>
      </c>
      <c r="Z69" s="2567"/>
      <c r="AA69" s="2567"/>
      <c r="AB69" s="2567"/>
      <c r="AC69" s="2567"/>
      <c r="AD69" s="2444" t="s">
        <v>4269</v>
      </c>
      <c r="AE69" s="2444" t="s">
        <v>4269</v>
      </c>
      <c r="AF69" s="2444" t="s">
        <v>4269</v>
      </c>
      <c r="AG69" s="2319"/>
      <c r="AH69" s="2444"/>
      <c r="AI69" s="2777"/>
      <c r="AJ69" s="2778" t="s">
        <v>4269</v>
      </c>
    </row>
    <row r="70" spans="1:36" ht="15" hidden="1" outlineLevel="1">
      <c r="A70" s="3605"/>
      <c r="B70" s="3210"/>
      <c r="C70" s="3208"/>
      <c r="D70" s="3210"/>
      <c r="E70" s="3209"/>
      <c r="F70" s="2923" t="s">
        <v>3863</v>
      </c>
      <c r="G70" s="2923"/>
      <c r="H70" s="2798"/>
      <c r="I70" s="2799"/>
      <c r="J70" s="2799"/>
      <c r="K70" s="2799"/>
      <c r="L70" s="2799"/>
      <c r="M70" s="2799"/>
      <c r="N70" s="2799"/>
      <c r="O70" s="2733"/>
      <c r="P70" s="2733"/>
      <c r="Q70" s="2733"/>
      <c r="R70" s="2733"/>
      <c r="S70" s="2733"/>
      <c r="T70" s="2796"/>
      <c r="U70" s="2733"/>
      <c r="V70" s="2504" t="s">
        <v>4269</v>
      </c>
      <c r="W70" s="2504" t="s">
        <v>4269</v>
      </c>
      <c r="X70" s="2504" t="s">
        <v>4269</v>
      </c>
      <c r="Y70" s="2504" t="s">
        <v>4269</v>
      </c>
      <c r="Z70" s="2567"/>
      <c r="AA70" s="2567"/>
      <c r="AB70" s="2567"/>
      <c r="AC70" s="2567"/>
      <c r="AD70" s="2444" t="s">
        <v>4269</v>
      </c>
      <c r="AE70" s="2444" t="s">
        <v>4269</v>
      </c>
      <c r="AF70" s="2444" t="s">
        <v>4269</v>
      </c>
      <c r="AG70" s="2319"/>
      <c r="AH70" s="2444"/>
      <c r="AI70" s="2777"/>
      <c r="AJ70" s="2778" t="s">
        <v>4269</v>
      </c>
    </row>
    <row r="71" spans="1:36" ht="15" hidden="1" outlineLevel="1">
      <c r="A71" s="3605"/>
      <c r="B71" s="3210"/>
      <c r="C71" s="3208"/>
      <c r="D71" s="3210"/>
      <c r="E71" s="3209"/>
      <c r="F71" s="2590" t="s">
        <v>3864</v>
      </c>
      <c r="G71" s="2590"/>
      <c r="H71" s="2798"/>
      <c r="I71" s="2799"/>
      <c r="J71" s="2799"/>
      <c r="K71" s="2799"/>
      <c r="L71" s="2799"/>
      <c r="M71" s="2799"/>
      <c r="N71" s="2799"/>
      <c r="O71" s="2733"/>
      <c r="P71" s="2733"/>
      <c r="Q71" s="2733"/>
      <c r="R71" s="2733"/>
      <c r="S71" s="2733"/>
      <c r="T71" s="2796"/>
      <c r="U71" s="2733"/>
      <c r="V71" s="2504" t="s">
        <v>4269</v>
      </c>
      <c r="W71" s="2504" t="s">
        <v>4269</v>
      </c>
      <c r="X71" s="2504" t="s">
        <v>4269</v>
      </c>
      <c r="Y71" s="2504" t="s">
        <v>4269</v>
      </c>
      <c r="Z71" s="2567"/>
      <c r="AA71" s="2567"/>
      <c r="AB71" s="2567"/>
      <c r="AC71" s="2567"/>
      <c r="AD71" s="2444" t="s">
        <v>4269</v>
      </c>
      <c r="AE71" s="2444" t="s">
        <v>4269</v>
      </c>
      <c r="AF71" s="2444" t="s">
        <v>4269</v>
      </c>
      <c r="AG71" s="2319"/>
      <c r="AH71" s="2444"/>
      <c r="AI71" s="2777"/>
      <c r="AJ71" s="2778" t="s">
        <v>4269</v>
      </c>
    </row>
    <row r="72" spans="1:36" ht="30" hidden="1" outlineLevel="1">
      <c r="A72" s="3605"/>
      <c r="B72" s="3210"/>
      <c r="C72" s="3208"/>
      <c r="D72" s="3210"/>
      <c r="E72" s="3209"/>
      <c r="F72" s="2590" t="s">
        <v>3865</v>
      </c>
      <c r="G72" s="2590"/>
      <c r="H72" s="2798"/>
      <c r="I72" s="2799"/>
      <c r="J72" s="2799"/>
      <c r="K72" s="2799"/>
      <c r="L72" s="2799"/>
      <c r="M72" s="2799"/>
      <c r="N72" s="2799"/>
      <c r="O72" s="2733"/>
      <c r="P72" s="2733"/>
      <c r="Q72" s="2733"/>
      <c r="R72" s="2733"/>
      <c r="S72" s="2733"/>
      <c r="T72" s="2796"/>
      <c r="U72" s="2733"/>
      <c r="V72" s="2504" t="s">
        <v>4269</v>
      </c>
      <c r="W72" s="2504" t="s">
        <v>4269</v>
      </c>
      <c r="X72" s="2504" t="s">
        <v>4269</v>
      </c>
      <c r="Y72" s="2504" t="s">
        <v>4269</v>
      </c>
      <c r="Z72" s="2567"/>
      <c r="AA72" s="2567"/>
      <c r="AB72" s="2567"/>
      <c r="AC72" s="2567"/>
      <c r="AD72" s="2444" t="s">
        <v>4269</v>
      </c>
      <c r="AE72" s="2444" t="s">
        <v>4269</v>
      </c>
      <c r="AF72" s="2444" t="s">
        <v>4269</v>
      </c>
      <c r="AG72" s="2319"/>
      <c r="AH72" s="2444"/>
      <c r="AI72" s="2777"/>
      <c r="AJ72" s="2778" t="s">
        <v>4269</v>
      </c>
    </row>
    <row r="73" spans="1:36" ht="30" collapsed="1">
      <c r="A73" s="3605"/>
      <c r="B73" s="3210"/>
      <c r="C73" s="3208"/>
      <c r="D73" s="3210" t="s">
        <v>2954</v>
      </c>
      <c r="E73" s="3209" t="s">
        <v>2950</v>
      </c>
      <c r="F73" s="2923" t="s">
        <v>3860</v>
      </c>
      <c r="G73" s="2923"/>
      <c r="H73" s="2798">
        <v>385</v>
      </c>
      <c r="I73" s="2799"/>
      <c r="J73" s="2926">
        <v>110</v>
      </c>
      <c r="K73" s="2799"/>
      <c r="L73" s="2800">
        <v>495</v>
      </c>
      <c r="M73" s="2799">
        <v>345.36</v>
      </c>
      <c r="N73" s="2799"/>
      <c r="O73" s="2799">
        <v>15</v>
      </c>
      <c r="P73" s="2733"/>
      <c r="Q73" s="2800">
        <v>360.36</v>
      </c>
      <c r="R73" s="2733">
        <v>427.93105000000003</v>
      </c>
      <c r="S73" s="2733"/>
      <c r="T73" s="2799">
        <v>103.95427000000001</v>
      </c>
      <c r="U73" s="2733"/>
      <c r="V73" s="2781">
        <v>1111509.2207792208</v>
      </c>
      <c r="W73" s="2781" t="s">
        <v>4269</v>
      </c>
      <c r="X73" s="2925">
        <v>945038.81818181823</v>
      </c>
      <c r="Y73" s="2504" t="s">
        <v>4269</v>
      </c>
      <c r="Z73" s="2932">
        <v>1.0528</v>
      </c>
      <c r="AA73" s="2932">
        <v>1.06395203770775</v>
      </c>
      <c r="AB73" s="2932">
        <v>1.05001869746847</v>
      </c>
      <c r="AC73" s="2932">
        <v>1.0469610363690101</v>
      </c>
      <c r="AD73" s="2507">
        <v>1368700.8867437521</v>
      </c>
      <c r="AE73" s="2507" t="s">
        <v>4269</v>
      </c>
      <c r="AF73" s="2507">
        <v>1038908.2611444097</v>
      </c>
      <c r="AG73" s="2319"/>
      <c r="AH73" s="2507">
        <v>2407609.1478881617</v>
      </c>
      <c r="AI73" s="2780">
        <v>1203804.5739440809</v>
      </c>
      <c r="AJ73" s="2782">
        <v>1653.5777114616496</v>
      </c>
    </row>
    <row r="74" spans="1:36" ht="15" hidden="1" outlineLevel="1">
      <c r="A74" s="3605"/>
      <c r="B74" s="3210"/>
      <c r="C74" s="3208"/>
      <c r="D74" s="3210"/>
      <c r="E74" s="3209"/>
      <c r="F74" s="2923" t="s">
        <v>3861</v>
      </c>
      <c r="G74" s="2923"/>
      <c r="H74" s="2798"/>
      <c r="I74" s="2799"/>
      <c r="J74" s="2799"/>
      <c r="K74" s="2799"/>
      <c r="L74" s="2799"/>
      <c r="M74" s="2799"/>
      <c r="N74" s="2799"/>
      <c r="O74" s="2733"/>
      <c r="P74" s="2733"/>
      <c r="Q74" s="2733"/>
      <c r="R74" s="2733"/>
      <c r="S74" s="2733"/>
      <c r="T74" s="2796"/>
      <c r="U74" s="2733"/>
      <c r="V74" s="2781" t="s">
        <v>4269</v>
      </c>
      <c r="W74" s="2781" t="s">
        <v>4269</v>
      </c>
      <c r="X74" s="2781" t="s">
        <v>4269</v>
      </c>
      <c r="Y74" s="2504" t="s">
        <v>4269</v>
      </c>
      <c r="Z74" s="2932"/>
      <c r="AA74" s="2932"/>
      <c r="AB74" s="2932"/>
      <c r="AC74" s="2932"/>
      <c r="AD74" s="2507" t="s">
        <v>4269</v>
      </c>
      <c r="AE74" s="2507" t="s">
        <v>4269</v>
      </c>
      <c r="AF74" s="2507" t="s">
        <v>4269</v>
      </c>
      <c r="AG74" s="2319"/>
      <c r="AH74" s="2507"/>
      <c r="AI74" s="2780"/>
      <c r="AJ74" s="2782" t="s">
        <v>4269</v>
      </c>
    </row>
    <row r="75" spans="1:36" ht="15" hidden="1" outlineLevel="1">
      <c r="A75" s="3605"/>
      <c r="B75" s="3210"/>
      <c r="C75" s="3208"/>
      <c r="D75" s="3210"/>
      <c r="E75" s="3209"/>
      <c r="F75" s="2923" t="s">
        <v>3862</v>
      </c>
      <c r="G75" s="2923"/>
      <c r="H75" s="2798"/>
      <c r="I75" s="2799"/>
      <c r="J75" s="2799"/>
      <c r="K75" s="2799"/>
      <c r="L75" s="2799"/>
      <c r="M75" s="2799"/>
      <c r="N75" s="2799"/>
      <c r="O75" s="2733"/>
      <c r="P75" s="2733"/>
      <c r="Q75" s="2733"/>
      <c r="R75" s="2733"/>
      <c r="S75" s="2733"/>
      <c r="T75" s="2796"/>
      <c r="U75" s="2733"/>
      <c r="V75" s="2781" t="s">
        <v>4269</v>
      </c>
      <c r="W75" s="2781" t="s">
        <v>4269</v>
      </c>
      <c r="X75" s="2781" t="s">
        <v>4269</v>
      </c>
      <c r="Y75" s="2504" t="s">
        <v>4269</v>
      </c>
      <c r="Z75" s="2932"/>
      <c r="AA75" s="2932"/>
      <c r="AB75" s="2932"/>
      <c r="AC75" s="2932"/>
      <c r="AD75" s="2507" t="s">
        <v>4269</v>
      </c>
      <c r="AE75" s="2507" t="s">
        <v>4269</v>
      </c>
      <c r="AF75" s="2507" t="s">
        <v>4269</v>
      </c>
      <c r="AG75" s="2319"/>
      <c r="AH75" s="2507"/>
      <c r="AI75" s="2780"/>
      <c r="AJ75" s="2782" t="s">
        <v>4269</v>
      </c>
    </row>
    <row r="76" spans="1:36" ht="15" hidden="1" outlineLevel="1">
      <c r="A76" s="3605"/>
      <c r="B76" s="3210"/>
      <c r="C76" s="3208"/>
      <c r="D76" s="3210"/>
      <c r="E76" s="3209"/>
      <c r="F76" s="2923" t="s">
        <v>3863</v>
      </c>
      <c r="G76" s="2923"/>
      <c r="H76" s="2798"/>
      <c r="I76" s="2799"/>
      <c r="J76" s="2799"/>
      <c r="K76" s="2799"/>
      <c r="L76" s="2799"/>
      <c r="M76" s="2799"/>
      <c r="N76" s="2799"/>
      <c r="O76" s="2733"/>
      <c r="P76" s="2733"/>
      <c r="Q76" s="2733"/>
      <c r="R76" s="2733"/>
      <c r="S76" s="2733"/>
      <c r="T76" s="2796"/>
      <c r="U76" s="2733"/>
      <c r="V76" s="2781" t="s">
        <v>4269</v>
      </c>
      <c r="W76" s="2781" t="s">
        <v>4269</v>
      </c>
      <c r="X76" s="2781" t="s">
        <v>4269</v>
      </c>
      <c r="Y76" s="2504" t="s">
        <v>4269</v>
      </c>
      <c r="Z76" s="2932"/>
      <c r="AA76" s="2932"/>
      <c r="AB76" s="2932"/>
      <c r="AC76" s="2932"/>
      <c r="AD76" s="2507" t="s">
        <v>4269</v>
      </c>
      <c r="AE76" s="2507" t="s">
        <v>4269</v>
      </c>
      <c r="AF76" s="2507" t="s">
        <v>4269</v>
      </c>
      <c r="AG76" s="2319"/>
      <c r="AH76" s="2507"/>
      <c r="AI76" s="2780"/>
      <c r="AJ76" s="2782" t="s">
        <v>4269</v>
      </c>
    </row>
    <row r="77" spans="1:36" ht="15" hidden="1" outlineLevel="1">
      <c r="A77" s="3605"/>
      <c r="B77" s="3210"/>
      <c r="C77" s="3208"/>
      <c r="D77" s="3210"/>
      <c r="E77" s="3209"/>
      <c r="F77" s="2590" t="s">
        <v>3864</v>
      </c>
      <c r="G77" s="2590"/>
      <c r="H77" s="2798"/>
      <c r="I77" s="2799"/>
      <c r="J77" s="2799"/>
      <c r="K77" s="2799"/>
      <c r="L77" s="2799"/>
      <c r="M77" s="2799"/>
      <c r="N77" s="2799"/>
      <c r="O77" s="2733"/>
      <c r="P77" s="2733"/>
      <c r="Q77" s="2733"/>
      <c r="R77" s="2733"/>
      <c r="S77" s="2733"/>
      <c r="T77" s="2796"/>
      <c r="U77" s="2733"/>
      <c r="V77" s="2781" t="s">
        <v>4269</v>
      </c>
      <c r="W77" s="2781" t="s">
        <v>4269</v>
      </c>
      <c r="X77" s="2781" t="s">
        <v>4269</v>
      </c>
      <c r="Y77" s="2504" t="s">
        <v>4269</v>
      </c>
      <c r="Z77" s="2932"/>
      <c r="AA77" s="2932"/>
      <c r="AB77" s="2932"/>
      <c r="AC77" s="2932"/>
      <c r="AD77" s="2507" t="s">
        <v>4269</v>
      </c>
      <c r="AE77" s="2507" t="s">
        <v>4269</v>
      </c>
      <c r="AF77" s="2507" t="s">
        <v>4269</v>
      </c>
      <c r="AG77" s="2319"/>
      <c r="AH77" s="2507"/>
      <c r="AI77" s="2780"/>
      <c r="AJ77" s="2782" t="s">
        <v>4269</v>
      </c>
    </row>
    <row r="78" spans="1:36" ht="30" hidden="1" outlineLevel="1">
      <c r="A78" s="3605"/>
      <c r="B78" s="3210"/>
      <c r="C78" s="3208"/>
      <c r="D78" s="3210"/>
      <c r="E78" s="3209"/>
      <c r="F78" s="2590" t="s">
        <v>3865</v>
      </c>
      <c r="G78" s="2590"/>
      <c r="H78" s="2789"/>
      <c r="I78" s="2733"/>
      <c r="J78" s="2733"/>
      <c r="K78" s="2733"/>
      <c r="L78" s="2733"/>
      <c r="M78" s="2733"/>
      <c r="N78" s="2733"/>
      <c r="O78" s="2733"/>
      <c r="P78" s="2733"/>
      <c r="Q78" s="2733"/>
      <c r="R78" s="2733"/>
      <c r="S78" s="2733"/>
      <c r="T78" s="2796"/>
      <c r="U78" s="2733"/>
      <c r="V78" s="2781" t="s">
        <v>4269</v>
      </c>
      <c r="W78" s="2781" t="s">
        <v>4269</v>
      </c>
      <c r="X78" s="2781" t="s">
        <v>4269</v>
      </c>
      <c r="Y78" s="2504" t="s">
        <v>4269</v>
      </c>
      <c r="Z78" s="2932"/>
      <c r="AA78" s="2932"/>
      <c r="AB78" s="2932"/>
      <c r="AC78" s="2932"/>
      <c r="AD78" s="2507" t="s">
        <v>4269</v>
      </c>
      <c r="AE78" s="2507" t="s">
        <v>4269</v>
      </c>
      <c r="AF78" s="2507" t="s">
        <v>4269</v>
      </c>
      <c r="AG78" s="2319"/>
      <c r="AH78" s="2507"/>
      <c r="AI78" s="2780"/>
      <c r="AJ78" s="2782" t="s">
        <v>4269</v>
      </c>
    </row>
    <row r="79" spans="1:36" ht="30" hidden="1" outlineLevel="1">
      <c r="A79" s="3605"/>
      <c r="B79" s="3210"/>
      <c r="C79" s="3208"/>
      <c r="D79" s="3210"/>
      <c r="E79" s="3209" t="s">
        <v>2946</v>
      </c>
      <c r="F79" s="2923" t="s">
        <v>3860</v>
      </c>
      <c r="G79" s="2923"/>
      <c r="H79" s="2789"/>
      <c r="I79" s="2733"/>
      <c r="J79" s="2733"/>
      <c r="K79" s="2733"/>
      <c r="L79" s="2733"/>
      <c r="M79" s="2733"/>
      <c r="N79" s="2733"/>
      <c r="O79" s="2733"/>
      <c r="P79" s="2733"/>
      <c r="Q79" s="2733"/>
      <c r="R79" s="2733"/>
      <c r="S79" s="2733"/>
      <c r="T79" s="2796"/>
      <c r="U79" s="2733"/>
      <c r="V79" s="2781" t="s">
        <v>4269</v>
      </c>
      <c r="W79" s="2781" t="s">
        <v>4269</v>
      </c>
      <c r="X79" s="2781" t="s">
        <v>4269</v>
      </c>
      <c r="Y79" s="2504" t="s">
        <v>4269</v>
      </c>
      <c r="Z79" s="2932"/>
      <c r="AA79" s="2932"/>
      <c r="AB79" s="2932"/>
      <c r="AC79" s="2932"/>
      <c r="AD79" s="2507" t="s">
        <v>4269</v>
      </c>
      <c r="AE79" s="2507" t="s">
        <v>4269</v>
      </c>
      <c r="AF79" s="2507" t="s">
        <v>4269</v>
      </c>
      <c r="AG79" s="2319"/>
      <c r="AH79" s="2507"/>
      <c r="AI79" s="2780"/>
      <c r="AJ79" s="2782" t="s">
        <v>4269</v>
      </c>
    </row>
    <row r="80" spans="1:36" ht="15" hidden="1" outlineLevel="1">
      <c r="A80" s="3605"/>
      <c r="B80" s="3210"/>
      <c r="C80" s="3208"/>
      <c r="D80" s="3210"/>
      <c r="E80" s="3209"/>
      <c r="F80" s="2923" t="s">
        <v>3861</v>
      </c>
      <c r="G80" s="2923"/>
      <c r="H80" s="2789"/>
      <c r="I80" s="2733"/>
      <c r="J80" s="2733"/>
      <c r="K80" s="2733"/>
      <c r="L80" s="2733"/>
      <c r="M80" s="2733"/>
      <c r="N80" s="2733"/>
      <c r="O80" s="2733"/>
      <c r="P80" s="2733"/>
      <c r="Q80" s="2733"/>
      <c r="R80" s="2733"/>
      <c r="S80" s="2733"/>
      <c r="T80" s="2796"/>
      <c r="U80" s="2733"/>
      <c r="V80" s="2781" t="s">
        <v>4269</v>
      </c>
      <c r="W80" s="2781" t="s">
        <v>4269</v>
      </c>
      <c r="X80" s="2781" t="s">
        <v>4269</v>
      </c>
      <c r="Y80" s="2504" t="s">
        <v>4269</v>
      </c>
      <c r="Z80" s="2932"/>
      <c r="AA80" s="2932"/>
      <c r="AB80" s="2932"/>
      <c r="AC80" s="2932"/>
      <c r="AD80" s="2507" t="s">
        <v>4269</v>
      </c>
      <c r="AE80" s="2507" t="s">
        <v>4269</v>
      </c>
      <c r="AF80" s="2507" t="s">
        <v>4269</v>
      </c>
      <c r="AG80" s="2319"/>
      <c r="AH80" s="2507"/>
      <c r="AI80" s="2780"/>
      <c r="AJ80" s="2782" t="s">
        <v>4269</v>
      </c>
    </row>
    <row r="81" spans="1:36" ht="15" hidden="1" outlineLevel="1">
      <c r="A81" s="3605"/>
      <c r="B81" s="3210"/>
      <c r="C81" s="3208"/>
      <c r="D81" s="3210"/>
      <c r="E81" s="3209"/>
      <c r="F81" s="2923" t="s">
        <v>3862</v>
      </c>
      <c r="G81" s="2923"/>
      <c r="H81" s="2789"/>
      <c r="I81" s="2733"/>
      <c r="J81" s="2733"/>
      <c r="K81" s="2733"/>
      <c r="L81" s="2733"/>
      <c r="M81" s="2733"/>
      <c r="N81" s="2733"/>
      <c r="O81" s="2733"/>
      <c r="P81" s="2733"/>
      <c r="Q81" s="2733"/>
      <c r="R81" s="2733"/>
      <c r="S81" s="2733"/>
      <c r="T81" s="2796"/>
      <c r="U81" s="2733"/>
      <c r="V81" s="2781" t="s">
        <v>4269</v>
      </c>
      <c r="W81" s="2781" t="s">
        <v>4269</v>
      </c>
      <c r="X81" s="2781" t="s">
        <v>4269</v>
      </c>
      <c r="Y81" s="2504" t="s">
        <v>4269</v>
      </c>
      <c r="Z81" s="2932"/>
      <c r="AA81" s="2932"/>
      <c r="AB81" s="2932"/>
      <c r="AC81" s="2932"/>
      <c r="AD81" s="2507" t="s">
        <v>4269</v>
      </c>
      <c r="AE81" s="2507" t="s">
        <v>4269</v>
      </c>
      <c r="AF81" s="2507" t="s">
        <v>4269</v>
      </c>
      <c r="AG81" s="2319"/>
      <c r="AH81" s="2507"/>
      <c r="AI81" s="2780"/>
      <c r="AJ81" s="2782" t="s">
        <v>4269</v>
      </c>
    </row>
    <row r="82" spans="1:36" ht="15" hidden="1" outlineLevel="1">
      <c r="A82" s="3605"/>
      <c r="B82" s="3210"/>
      <c r="C82" s="3208"/>
      <c r="D82" s="3210"/>
      <c r="E82" s="3209"/>
      <c r="F82" s="2923" t="s">
        <v>3863</v>
      </c>
      <c r="G82" s="2923"/>
      <c r="H82" s="2789"/>
      <c r="I82" s="2733"/>
      <c r="J82" s="2733"/>
      <c r="K82" s="2733"/>
      <c r="L82" s="2733"/>
      <c r="M82" s="2733"/>
      <c r="N82" s="2733"/>
      <c r="O82" s="2733"/>
      <c r="P82" s="2733"/>
      <c r="Q82" s="2733"/>
      <c r="R82" s="2733"/>
      <c r="S82" s="2733"/>
      <c r="T82" s="2796"/>
      <c r="U82" s="2733"/>
      <c r="V82" s="2781" t="s">
        <v>4269</v>
      </c>
      <c r="W82" s="2781" t="s">
        <v>4269</v>
      </c>
      <c r="X82" s="2781" t="s">
        <v>4269</v>
      </c>
      <c r="Y82" s="2504" t="s">
        <v>4269</v>
      </c>
      <c r="Z82" s="2932"/>
      <c r="AA82" s="2932"/>
      <c r="AB82" s="2932"/>
      <c r="AC82" s="2932"/>
      <c r="AD82" s="2507" t="s">
        <v>4269</v>
      </c>
      <c r="AE82" s="2507" t="s">
        <v>4269</v>
      </c>
      <c r="AF82" s="2507" t="s">
        <v>4269</v>
      </c>
      <c r="AG82" s="2319"/>
      <c r="AH82" s="2507"/>
      <c r="AI82" s="2780"/>
      <c r="AJ82" s="2782" t="s">
        <v>4269</v>
      </c>
    </row>
    <row r="83" spans="1:36" ht="15" hidden="1" outlineLevel="1">
      <c r="A83" s="3605"/>
      <c r="B83" s="3210"/>
      <c r="C83" s="3208"/>
      <c r="D83" s="3210"/>
      <c r="E83" s="3209"/>
      <c r="F83" s="2590" t="s">
        <v>3864</v>
      </c>
      <c r="G83" s="2590"/>
      <c r="H83" s="2789"/>
      <c r="I83" s="2733"/>
      <c r="J83" s="2733"/>
      <c r="K83" s="2733"/>
      <c r="L83" s="2733"/>
      <c r="M83" s="2733"/>
      <c r="N83" s="2733"/>
      <c r="O83" s="2733"/>
      <c r="P83" s="2733"/>
      <c r="Q83" s="2733"/>
      <c r="R83" s="2733"/>
      <c r="S83" s="2733"/>
      <c r="T83" s="2796"/>
      <c r="U83" s="2733"/>
      <c r="V83" s="2781" t="s">
        <v>4269</v>
      </c>
      <c r="W83" s="2781" t="s">
        <v>4269</v>
      </c>
      <c r="X83" s="2781" t="s">
        <v>4269</v>
      </c>
      <c r="Y83" s="2504" t="s">
        <v>4269</v>
      </c>
      <c r="Z83" s="2932"/>
      <c r="AA83" s="2932"/>
      <c r="AB83" s="2932"/>
      <c r="AC83" s="2932"/>
      <c r="AD83" s="2507" t="s">
        <v>4269</v>
      </c>
      <c r="AE83" s="2507" t="s">
        <v>4269</v>
      </c>
      <c r="AF83" s="2507" t="s">
        <v>4269</v>
      </c>
      <c r="AG83" s="2319"/>
      <c r="AH83" s="2507"/>
      <c r="AI83" s="2780"/>
      <c r="AJ83" s="2782" t="s">
        <v>4269</v>
      </c>
    </row>
    <row r="84" spans="1:36" ht="30" hidden="1" outlineLevel="1">
      <c r="A84" s="3606"/>
      <c r="B84" s="3210"/>
      <c r="C84" s="3208"/>
      <c r="D84" s="3210"/>
      <c r="E84" s="3209"/>
      <c r="F84" s="2590" t="s">
        <v>3865</v>
      </c>
      <c r="G84" s="2590"/>
      <c r="H84" s="2789"/>
      <c r="I84" s="2733"/>
      <c r="J84" s="2733"/>
      <c r="K84" s="2733"/>
      <c r="L84" s="2733"/>
      <c r="M84" s="2733"/>
      <c r="N84" s="2733"/>
      <c r="O84" s="2733"/>
      <c r="P84" s="2733"/>
      <c r="Q84" s="2733"/>
      <c r="R84" s="2733"/>
      <c r="S84" s="2733"/>
      <c r="T84" s="2796"/>
      <c r="U84" s="2733"/>
      <c r="V84" s="2781" t="s">
        <v>4269</v>
      </c>
      <c r="W84" s="2781" t="s">
        <v>4269</v>
      </c>
      <c r="X84" s="2781" t="s">
        <v>4269</v>
      </c>
      <c r="Y84" s="2504" t="s">
        <v>4269</v>
      </c>
      <c r="Z84" s="2932"/>
      <c r="AA84" s="2932"/>
      <c r="AB84" s="2932"/>
      <c r="AC84" s="2932"/>
      <c r="AD84" s="2507" t="s">
        <v>4269</v>
      </c>
      <c r="AE84" s="2507" t="s">
        <v>4269</v>
      </c>
      <c r="AF84" s="2507" t="s">
        <v>4269</v>
      </c>
      <c r="AG84" s="2319"/>
      <c r="AH84" s="2507"/>
      <c r="AI84" s="2780"/>
      <c r="AJ84" s="2782" t="s">
        <v>4269</v>
      </c>
    </row>
    <row r="85" spans="1:36" ht="30" hidden="1" outlineLevel="1">
      <c r="A85" s="3148"/>
      <c r="B85" s="3210" t="s">
        <v>2948</v>
      </c>
      <c r="C85" s="3208" t="s">
        <v>3859</v>
      </c>
      <c r="D85" s="3210" t="s">
        <v>2949</v>
      </c>
      <c r="E85" s="3209" t="s">
        <v>2950</v>
      </c>
      <c r="F85" s="2923" t="s">
        <v>3860</v>
      </c>
      <c r="G85" s="2923"/>
      <c r="H85" s="2789"/>
      <c r="I85" s="2733"/>
      <c r="J85" s="2733"/>
      <c r="K85" s="2733"/>
      <c r="L85" s="2733"/>
      <c r="M85" s="2733"/>
      <c r="N85" s="2733"/>
      <c r="O85" s="2733"/>
      <c r="P85" s="2733"/>
      <c r="Q85" s="2733"/>
      <c r="R85" s="2733"/>
      <c r="S85" s="2733"/>
      <c r="T85" s="2796"/>
      <c r="U85" s="2733"/>
      <c r="V85" s="2781" t="s">
        <v>4269</v>
      </c>
      <c r="W85" s="2781" t="s">
        <v>4269</v>
      </c>
      <c r="X85" s="2781" t="s">
        <v>4269</v>
      </c>
      <c r="Y85" s="2504" t="s">
        <v>4269</v>
      </c>
      <c r="Z85" s="2932"/>
      <c r="AA85" s="2932"/>
      <c r="AB85" s="2932"/>
      <c r="AC85" s="2932"/>
      <c r="AD85" s="2507" t="s">
        <v>4269</v>
      </c>
      <c r="AE85" s="2507" t="s">
        <v>4269</v>
      </c>
      <c r="AF85" s="2507" t="s">
        <v>4269</v>
      </c>
      <c r="AG85" s="2319"/>
      <c r="AH85" s="2507"/>
      <c r="AI85" s="2780"/>
      <c r="AJ85" s="2782" t="s">
        <v>4269</v>
      </c>
    </row>
    <row r="86" spans="1:36" ht="15" hidden="1" outlineLevel="1">
      <c r="A86" s="3605"/>
      <c r="B86" s="3210"/>
      <c r="C86" s="3208"/>
      <c r="D86" s="3210"/>
      <c r="E86" s="3209"/>
      <c r="F86" s="2923" t="s">
        <v>3861</v>
      </c>
      <c r="G86" s="2923"/>
      <c r="H86" s="2789"/>
      <c r="I86" s="2733"/>
      <c r="J86" s="2733"/>
      <c r="K86" s="2733"/>
      <c r="L86" s="2733"/>
      <c r="M86" s="2733"/>
      <c r="N86" s="2733"/>
      <c r="O86" s="2733"/>
      <c r="P86" s="2733"/>
      <c r="Q86" s="2733"/>
      <c r="R86" s="2733"/>
      <c r="S86" s="2733"/>
      <c r="T86" s="2796"/>
      <c r="U86" s="2733"/>
      <c r="V86" s="2781" t="s">
        <v>4269</v>
      </c>
      <c r="W86" s="2781" t="s">
        <v>4269</v>
      </c>
      <c r="X86" s="2781" t="s">
        <v>4269</v>
      </c>
      <c r="Y86" s="2504" t="s">
        <v>4269</v>
      </c>
      <c r="Z86" s="2932"/>
      <c r="AA86" s="2932"/>
      <c r="AB86" s="2932"/>
      <c r="AC86" s="2932"/>
      <c r="AD86" s="2507" t="s">
        <v>4269</v>
      </c>
      <c r="AE86" s="2507" t="s">
        <v>4269</v>
      </c>
      <c r="AF86" s="2507" t="s">
        <v>4269</v>
      </c>
      <c r="AG86" s="2319"/>
      <c r="AH86" s="2507"/>
      <c r="AI86" s="2780"/>
      <c r="AJ86" s="2782" t="s">
        <v>4269</v>
      </c>
    </row>
    <row r="87" spans="1:36" ht="15" hidden="1" outlineLevel="1">
      <c r="A87" s="3605"/>
      <c r="B87" s="3210"/>
      <c r="C87" s="3208"/>
      <c r="D87" s="3210"/>
      <c r="E87" s="3209"/>
      <c r="F87" s="2923" t="s">
        <v>3862</v>
      </c>
      <c r="G87" s="2923"/>
      <c r="H87" s="2789"/>
      <c r="I87" s="2733"/>
      <c r="J87" s="2733"/>
      <c r="K87" s="2733"/>
      <c r="L87" s="2733"/>
      <c r="M87" s="2733"/>
      <c r="N87" s="2733"/>
      <c r="O87" s="2733"/>
      <c r="P87" s="2733"/>
      <c r="Q87" s="2733"/>
      <c r="R87" s="2733"/>
      <c r="S87" s="2733"/>
      <c r="T87" s="2796"/>
      <c r="U87" s="2733"/>
      <c r="V87" s="2781" t="s">
        <v>4269</v>
      </c>
      <c r="W87" s="2781" t="s">
        <v>4269</v>
      </c>
      <c r="X87" s="2781" t="s">
        <v>4269</v>
      </c>
      <c r="Y87" s="2504" t="s">
        <v>4269</v>
      </c>
      <c r="Z87" s="2932"/>
      <c r="AA87" s="2932"/>
      <c r="AB87" s="2932"/>
      <c r="AC87" s="2932"/>
      <c r="AD87" s="2507" t="s">
        <v>4269</v>
      </c>
      <c r="AE87" s="2507" t="s">
        <v>4269</v>
      </c>
      <c r="AF87" s="2507" t="s">
        <v>4269</v>
      </c>
      <c r="AG87" s="2319"/>
      <c r="AH87" s="2507"/>
      <c r="AI87" s="2780"/>
      <c r="AJ87" s="2782" t="s">
        <v>4269</v>
      </c>
    </row>
    <row r="88" spans="1:36" ht="15" hidden="1" outlineLevel="1">
      <c r="A88" s="3605"/>
      <c r="B88" s="3210"/>
      <c r="C88" s="3208"/>
      <c r="D88" s="3210"/>
      <c r="E88" s="3209"/>
      <c r="F88" s="2923" t="s">
        <v>3863</v>
      </c>
      <c r="G88" s="2923"/>
      <c r="H88" s="2789"/>
      <c r="I88" s="2733"/>
      <c r="J88" s="2733"/>
      <c r="K88" s="2733"/>
      <c r="L88" s="2733"/>
      <c r="M88" s="2733"/>
      <c r="N88" s="2733"/>
      <c r="O88" s="2733"/>
      <c r="P88" s="2733"/>
      <c r="Q88" s="2733"/>
      <c r="R88" s="2733"/>
      <c r="S88" s="2733"/>
      <c r="T88" s="2796"/>
      <c r="U88" s="2733"/>
      <c r="V88" s="2781" t="s">
        <v>4269</v>
      </c>
      <c r="W88" s="2781" t="s">
        <v>4269</v>
      </c>
      <c r="X88" s="2781" t="s">
        <v>4269</v>
      </c>
      <c r="Y88" s="2504" t="s">
        <v>4269</v>
      </c>
      <c r="Z88" s="2932"/>
      <c r="AA88" s="2932"/>
      <c r="AB88" s="2932"/>
      <c r="AC88" s="2932"/>
      <c r="AD88" s="2507" t="s">
        <v>4269</v>
      </c>
      <c r="AE88" s="2507" t="s">
        <v>4269</v>
      </c>
      <c r="AF88" s="2507" t="s">
        <v>4269</v>
      </c>
      <c r="AG88" s="2319"/>
      <c r="AH88" s="2507"/>
      <c r="AI88" s="2780"/>
      <c r="AJ88" s="2782" t="s">
        <v>4269</v>
      </c>
    </row>
    <row r="89" spans="1:36" ht="15" hidden="1" outlineLevel="1">
      <c r="A89" s="3605"/>
      <c r="B89" s="3210"/>
      <c r="C89" s="3208"/>
      <c r="D89" s="3210"/>
      <c r="E89" s="3209"/>
      <c r="F89" s="2590" t="s">
        <v>3864</v>
      </c>
      <c r="G89" s="2590"/>
      <c r="H89" s="2789"/>
      <c r="I89" s="2733"/>
      <c r="J89" s="2733"/>
      <c r="K89" s="2733"/>
      <c r="L89" s="2733"/>
      <c r="M89" s="2733"/>
      <c r="N89" s="2733"/>
      <c r="O89" s="2733"/>
      <c r="P89" s="2733"/>
      <c r="Q89" s="2733"/>
      <c r="R89" s="2733"/>
      <c r="S89" s="2733"/>
      <c r="T89" s="2796"/>
      <c r="U89" s="2733"/>
      <c r="V89" s="2781" t="s">
        <v>4269</v>
      </c>
      <c r="W89" s="2781" t="s">
        <v>4269</v>
      </c>
      <c r="X89" s="2781" t="s">
        <v>4269</v>
      </c>
      <c r="Y89" s="2504" t="s">
        <v>4269</v>
      </c>
      <c r="Z89" s="2932"/>
      <c r="AA89" s="2932"/>
      <c r="AB89" s="2932"/>
      <c r="AC89" s="2932"/>
      <c r="AD89" s="2507" t="s">
        <v>4269</v>
      </c>
      <c r="AE89" s="2507" t="s">
        <v>4269</v>
      </c>
      <c r="AF89" s="2507" t="s">
        <v>4269</v>
      </c>
      <c r="AG89" s="2319"/>
      <c r="AH89" s="2507"/>
      <c r="AI89" s="2780"/>
      <c r="AJ89" s="2782" t="s">
        <v>4269</v>
      </c>
    </row>
    <row r="90" spans="1:36" ht="30" hidden="1" outlineLevel="1">
      <c r="A90" s="3605"/>
      <c r="B90" s="3210"/>
      <c r="C90" s="3208"/>
      <c r="D90" s="3210"/>
      <c r="E90" s="3209"/>
      <c r="F90" s="2590" t="s">
        <v>3865</v>
      </c>
      <c r="G90" s="2590"/>
      <c r="H90" s="2789"/>
      <c r="I90" s="2733"/>
      <c r="J90" s="2733"/>
      <c r="K90" s="2733"/>
      <c r="L90" s="2733"/>
      <c r="M90" s="2733"/>
      <c r="N90" s="2733"/>
      <c r="O90" s="2733"/>
      <c r="P90" s="2733"/>
      <c r="Q90" s="2733"/>
      <c r="R90" s="2733"/>
      <c r="S90" s="2733"/>
      <c r="T90" s="2796"/>
      <c r="U90" s="2733"/>
      <c r="V90" s="2781" t="s">
        <v>4269</v>
      </c>
      <c r="W90" s="2781" t="s">
        <v>4269</v>
      </c>
      <c r="X90" s="2781" t="s">
        <v>4269</v>
      </c>
      <c r="Y90" s="2504" t="s">
        <v>4269</v>
      </c>
      <c r="Z90" s="2932"/>
      <c r="AA90" s="2932"/>
      <c r="AB90" s="2932"/>
      <c r="AC90" s="2932"/>
      <c r="AD90" s="2507" t="s">
        <v>4269</v>
      </c>
      <c r="AE90" s="2507" t="s">
        <v>4269</v>
      </c>
      <c r="AF90" s="2507" t="s">
        <v>4269</v>
      </c>
      <c r="AG90" s="2319"/>
      <c r="AH90" s="2507"/>
      <c r="AI90" s="2780"/>
      <c r="AJ90" s="2782" t="s">
        <v>4269</v>
      </c>
    </row>
    <row r="91" spans="1:36" ht="30" hidden="1" outlineLevel="1">
      <c r="A91" s="3605"/>
      <c r="B91" s="3210"/>
      <c r="C91" s="3208"/>
      <c r="D91" s="3210"/>
      <c r="E91" s="3209" t="s">
        <v>2946</v>
      </c>
      <c r="F91" s="2923" t="s">
        <v>3860</v>
      </c>
      <c r="G91" s="2923"/>
      <c r="H91" s="2789"/>
      <c r="I91" s="2733"/>
      <c r="J91" s="2733"/>
      <c r="K91" s="2733"/>
      <c r="L91" s="2733"/>
      <c r="M91" s="2733"/>
      <c r="N91" s="2733"/>
      <c r="O91" s="2733"/>
      <c r="P91" s="2733"/>
      <c r="Q91" s="2733"/>
      <c r="R91" s="2733"/>
      <c r="S91" s="2733"/>
      <c r="T91" s="2796"/>
      <c r="U91" s="2733"/>
      <c r="V91" s="2781" t="s">
        <v>4269</v>
      </c>
      <c r="W91" s="2781" t="s">
        <v>4269</v>
      </c>
      <c r="X91" s="2781" t="s">
        <v>4269</v>
      </c>
      <c r="Y91" s="2504" t="s">
        <v>4269</v>
      </c>
      <c r="Z91" s="2932"/>
      <c r="AA91" s="2932"/>
      <c r="AB91" s="2932"/>
      <c r="AC91" s="2932"/>
      <c r="AD91" s="2507" t="s">
        <v>4269</v>
      </c>
      <c r="AE91" s="2507" t="s">
        <v>4269</v>
      </c>
      <c r="AF91" s="2507" t="s">
        <v>4269</v>
      </c>
      <c r="AG91" s="2319"/>
      <c r="AH91" s="2507"/>
      <c r="AI91" s="2780"/>
      <c r="AJ91" s="2782" t="s">
        <v>4269</v>
      </c>
    </row>
    <row r="92" spans="1:36" ht="15" collapsed="1">
      <c r="A92" s="3605"/>
      <c r="B92" s="3210"/>
      <c r="C92" s="3208"/>
      <c r="D92" s="3210"/>
      <c r="E92" s="3209"/>
      <c r="F92" s="2923" t="s">
        <v>3861</v>
      </c>
      <c r="G92" s="2923"/>
      <c r="H92" s="2789"/>
      <c r="I92" s="2733">
        <v>474.00000000000006</v>
      </c>
      <c r="J92" s="2733"/>
      <c r="K92" s="2733"/>
      <c r="L92" s="2800">
        <v>474.00000000000006</v>
      </c>
      <c r="M92" s="2733"/>
      <c r="N92" s="2733">
        <v>1488</v>
      </c>
      <c r="O92" s="2733"/>
      <c r="P92" s="2733"/>
      <c r="Q92" s="2800">
        <v>1488</v>
      </c>
      <c r="R92" s="2733"/>
      <c r="S92" s="2733">
        <v>464.16136</v>
      </c>
      <c r="T92" s="2796"/>
      <c r="U92" s="2733"/>
      <c r="V92" s="2781" t="s">
        <v>4269</v>
      </c>
      <c r="W92" s="2781">
        <v>979243.37552742602</v>
      </c>
      <c r="X92" s="2781" t="s">
        <v>4269</v>
      </c>
      <c r="Y92" s="2504" t="s">
        <v>4269</v>
      </c>
      <c r="Z92" s="2932">
        <v>1.0528</v>
      </c>
      <c r="AA92" s="2932">
        <v>1.06395203770775</v>
      </c>
      <c r="AB92" s="2932">
        <v>1.05001869746847</v>
      </c>
      <c r="AC92" s="2932">
        <v>1.0469610363690101</v>
      </c>
      <c r="AD92" s="2507" t="s">
        <v>4269</v>
      </c>
      <c r="AE92" s="2507">
        <v>1145355.3394954156</v>
      </c>
      <c r="AF92" s="2507" t="s">
        <v>4269</v>
      </c>
      <c r="AG92" s="2319"/>
      <c r="AH92" s="2507">
        <v>1145355.3394954156</v>
      </c>
      <c r="AI92" s="2780">
        <v>1145355.3394954156</v>
      </c>
      <c r="AJ92" s="2783">
        <v>364.85109604894291</v>
      </c>
    </row>
    <row r="93" spans="1:36" ht="15">
      <c r="A93" s="3605"/>
      <c r="B93" s="3210"/>
      <c r="C93" s="3208"/>
      <c r="D93" s="3210"/>
      <c r="E93" s="3209"/>
      <c r="F93" s="2923" t="s">
        <v>3862</v>
      </c>
      <c r="G93" s="2923"/>
      <c r="H93" s="2789"/>
      <c r="I93" s="2733"/>
      <c r="J93" s="2733"/>
      <c r="K93" s="2733"/>
      <c r="L93" s="2733"/>
      <c r="M93" s="2733"/>
      <c r="N93" s="2733"/>
      <c r="O93" s="2733"/>
      <c r="P93" s="2733"/>
      <c r="Q93" s="2733"/>
      <c r="R93" s="2733"/>
      <c r="S93" s="2733"/>
      <c r="T93" s="2796"/>
      <c r="U93" s="2733"/>
      <c r="V93" s="2781" t="s">
        <v>4269</v>
      </c>
      <c r="W93" s="2781" t="s">
        <v>4269</v>
      </c>
      <c r="X93" s="2781" t="s">
        <v>4269</v>
      </c>
      <c r="Y93" s="2504" t="s">
        <v>4269</v>
      </c>
      <c r="Z93" s="2932"/>
      <c r="AA93" s="2932"/>
      <c r="AB93" s="2932"/>
      <c r="AC93" s="2932"/>
      <c r="AD93" s="2507" t="s">
        <v>4269</v>
      </c>
      <c r="AE93" s="2507" t="s">
        <v>4269</v>
      </c>
      <c r="AF93" s="2507" t="s">
        <v>4269</v>
      </c>
      <c r="AG93" s="2319"/>
      <c r="AH93" s="2507"/>
      <c r="AI93" s="2780"/>
      <c r="AJ93" s="2782" t="s">
        <v>4269</v>
      </c>
    </row>
    <row r="94" spans="1:36" ht="15">
      <c r="A94" s="3605"/>
      <c r="B94" s="3210"/>
      <c r="C94" s="3208"/>
      <c r="D94" s="3210"/>
      <c r="E94" s="3209"/>
      <c r="F94" s="2923" t="s">
        <v>3863</v>
      </c>
      <c r="G94" s="2923"/>
      <c r="H94" s="2789"/>
      <c r="I94" s="2733"/>
      <c r="J94" s="2733"/>
      <c r="K94" s="2733"/>
      <c r="L94" s="2733"/>
      <c r="M94" s="2733"/>
      <c r="N94" s="2733"/>
      <c r="O94" s="2733"/>
      <c r="P94" s="2733"/>
      <c r="Q94" s="2733"/>
      <c r="R94" s="2733"/>
      <c r="S94" s="2733"/>
      <c r="T94" s="2796"/>
      <c r="U94" s="2733"/>
      <c r="V94" s="2781" t="s">
        <v>4269</v>
      </c>
      <c r="W94" s="2781" t="s">
        <v>4269</v>
      </c>
      <c r="X94" s="2781" t="s">
        <v>4269</v>
      </c>
      <c r="Y94" s="2504" t="s">
        <v>4269</v>
      </c>
      <c r="Z94" s="2932"/>
      <c r="AA94" s="2932"/>
      <c r="AB94" s="2932"/>
      <c r="AC94" s="2932"/>
      <c r="AD94" s="2507" t="s">
        <v>4269</v>
      </c>
      <c r="AE94" s="2507" t="s">
        <v>4269</v>
      </c>
      <c r="AF94" s="2507" t="s">
        <v>4269</v>
      </c>
      <c r="AG94" s="2319"/>
      <c r="AH94" s="2507"/>
      <c r="AI94" s="2780"/>
      <c r="AJ94" s="2782" t="s">
        <v>4269</v>
      </c>
    </row>
    <row r="95" spans="1:36" ht="15">
      <c r="A95" s="3605"/>
      <c r="B95" s="3210"/>
      <c r="C95" s="3208"/>
      <c r="D95" s="3210"/>
      <c r="E95" s="3209"/>
      <c r="F95" s="2590" t="s">
        <v>3864</v>
      </c>
      <c r="G95" s="2590"/>
      <c r="H95" s="2789"/>
      <c r="I95" s="2733"/>
      <c r="J95" s="2733"/>
      <c r="K95" s="2733"/>
      <c r="L95" s="2733"/>
      <c r="M95" s="2733"/>
      <c r="N95" s="2733"/>
      <c r="O95" s="2733"/>
      <c r="P95" s="2733"/>
      <c r="Q95" s="2733"/>
      <c r="R95" s="2733"/>
      <c r="S95" s="2733"/>
      <c r="T95" s="2796"/>
      <c r="U95" s="2733"/>
      <c r="V95" s="2781" t="s">
        <v>4269</v>
      </c>
      <c r="W95" s="2781" t="s">
        <v>4269</v>
      </c>
      <c r="X95" s="2781" t="s">
        <v>4269</v>
      </c>
      <c r="Y95" s="2504" t="s">
        <v>4269</v>
      </c>
      <c r="Z95" s="2932"/>
      <c r="AA95" s="2932"/>
      <c r="AB95" s="2932"/>
      <c r="AC95" s="2932"/>
      <c r="AD95" s="2507" t="s">
        <v>4269</v>
      </c>
      <c r="AE95" s="2507" t="s">
        <v>4269</v>
      </c>
      <c r="AF95" s="2507" t="s">
        <v>4269</v>
      </c>
      <c r="AG95" s="2319"/>
      <c r="AH95" s="2507"/>
      <c r="AI95" s="2780"/>
      <c r="AJ95" s="2782" t="s">
        <v>4269</v>
      </c>
    </row>
    <row r="96" spans="1:36" ht="30">
      <c r="A96" s="3605"/>
      <c r="B96" s="3210"/>
      <c r="C96" s="3208"/>
      <c r="D96" s="3210"/>
      <c r="E96" s="3209"/>
      <c r="F96" s="2590" t="s">
        <v>3865</v>
      </c>
      <c r="G96" s="2590"/>
      <c r="H96" s="2789"/>
      <c r="I96" s="2733"/>
      <c r="J96" s="2733"/>
      <c r="K96" s="2733"/>
      <c r="L96" s="2733"/>
      <c r="M96" s="2733"/>
      <c r="N96" s="2733"/>
      <c r="O96" s="2733"/>
      <c r="P96" s="2733"/>
      <c r="Q96" s="2733"/>
      <c r="R96" s="2733"/>
      <c r="S96" s="2733"/>
      <c r="T96" s="2796"/>
      <c r="U96" s="2733"/>
      <c r="V96" s="2781" t="s">
        <v>4269</v>
      </c>
      <c r="W96" s="2781" t="s">
        <v>4269</v>
      </c>
      <c r="X96" s="2781" t="s">
        <v>4269</v>
      </c>
      <c r="Y96" s="2504" t="s">
        <v>4269</v>
      </c>
      <c r="Z96" s="2932"/>
      <c r="AA96" s="2932"/>
      <c r="AB96" s="2932"/>
      <c r="AC96" s="2932"/>
      <c r="AD96" s="2507" t="s">
        <v>4269</v>
      </c>
      <c r="AE96" s="2507" t="s">
        <v>4269</v>
      </c>
      <c r="AF96" s="2507" t="s">
        <v>4269</v>
      </c>
      <c r="AG96" s="2319"/>
      <c r="AH96" s="2507"/>
      <c r="AI96" s="2780"/>
      <c r="AJ96" s="2782" t="s">
        <v>4269</v>
      </c>
    </row>
    <row r="97" spans="1:36" ht="30">
      <c r="A97" s="3605"/>
      <c r="B97" s="3210"/>
      <c r="C97" s="3208"/>
      <c r="D97" s="3210" t="s">
        <v>2954</v>
      </c>
      <c r="E97" s="3209" t="s">
        <v>2950</v>
      </c>
      <c r="F97" s="2923" t="s">
        <v>3860</v>
      </c>
      <c r="G97" s="2923"/>
      <c r="H97" s="2789">
        <v>10655.999999999998</v>
      </c>
      <c r="I97" s="2733">
        <v>1797</v>
      </c>
      <c r="J97" s="2733">
        <v>16538</v>
      </c>
      <c r="K97" s="2733"/>
      <c r="L97" s="2800">
        <v>28991</v>
      </c>
      <c r="M97" s="2733">
        <v>162.6</v>
      </c>
      <c r="N97" s="2801">
        <v>40</v>
      </c>
      <c r="O97" s="2733">
        <v>145.19999999999999</v>
      </c>
      <c r="P97" s="2733"/>
      <c r="Q97" s="2800">
        <v>347.79999999999995</v>
      </c>
      <c r="R97" s="2733">
        <v>7012.9063659999993</v>
      </c>
      <c r="S97" s="2733">
        <v>1346.92227</v>
      </c>
      <c r="T97" s="2733">
        <v>10114.419629999999</v>
      </c>
      <c r="U97" s="2733"/>
      <c r="V97" s="2781">
        <v>658118.08990240237</v>
      </c>
      <c r="W97" s="2781">
        <v>749539.38230383978</v>
      </c>
      <c r="X97" s="2781">
        <v>611586.62655702012</v>
      </c>
      <c r="Y97" s="2504" t="s">
        <v>4269</v>
      </c>
      <c r="Z97" s="2932">
        <v>1.0528</v>
      </c>
      <c r="AA97" s="2932">
        <v>1.06395203770775</v>
      </c>
      <c r="AB97" s="2932">
        <v>1.05001869746847</v>
      </c>
      <c r="AC97" s="2932">
        <v>1.0469610363690101</v>
      </c>
      <c r="AD97" s="2507">
        <v>810399.7667244199</v>
      </c>
      <c r="AE97" s="2507">
        <v>876685.97525248677</v>
      </c>
      <c r="AF97" s="2507">
        <v>672334.70891487389</v>
      </c>
      <c r="AG97" s="2319"/>
      <c r="AH97" s="2507">
        <v>2359420.4508917807</v>
      </c>
      <c r="AI97" s="2780">
        <v>786473.48363059352</v>
      </c>
      <c r="AJ97" s="2782">
        <v>65556.793455820996</v>
      </c>
    </row>
    <row r="98" spans="1:36" ht="15">
      <c r="A98" s="3605"/>
      <c r="B98" s="3210"/>
      <c r="C98" s="3208"/>
      <c r="D98" s="3210"/>
      <c r="E98" s="3209"/>
      <c r="F98" s="2923" t="s">
        <v>3861</v>
      </c>
      <c r="G98" s="2923"/>
      <c r="H98" s="2789"/>
      <c r="I98" s="2733">
        <v>2952</v>
      </c>
      <c r="J98" s="2733"/>
      <c r="K98" s="2733"/>
      <c r="L98" s="2800">
        <v>2952</v>
      </c>
      <c r="M98" s="2733"/>
      <c r="N98" s="2733">
        <v>1488</v>
      </c>
      <c r="O98" s="2733"/>
      <c r="P98" s="2733"/>
      <c r="Q98" s="2800">
        <v>1488</v>
      </c>
      <c r="R98" s="2733"/>
      <c r="S98" s="2733">
        <v>2890.72642</v>
      </c>
      <c r="T98" s="2796"/>
      <c r="U98" s="2733"/>
      <c r="V98" s="2781" t="s">
        <v>4269</v>
      </c>
      <c r="W98" s="2781">
        <v>979243.36720867211</v>
      </c>
      <c r="X98" s="2781" t="s">
        <v>4269</v>
      </c>
      <c r="Y98" s="2504" t="s">
        <v>4269</v>
      </c>
      <c r="Z98" s="2932">
        <v>1.0528</v>
      </c>
      <c r="AA98" s="2932">
        <v>1.06395203770775</v>
      </c>
      <c r="AB98" s="2932">
        <v>1.05001869746847</v>
      </c>
      <c r="AC98" s="2932">
        <v>1.0469610363690101</v>
      </c>
      <c r="AD98" s="2507" t="s">
        <v>4269</v>
      </c>
      <c r="AE98" s="2507">
        <v>1145355.3297655268</v>
      </c>
      <c r="AF98" s="2507" t="s">
        <v>4269</v>
      </c>
      <c r="AG98" s="2319"/>
      <c r="AH98" s="2507">
        <v>1145355.3297655268</v>
      </c>
      <c r="AI98" s="2780">
        <v>1145355.3297655268</v>
      </c>
      <c r="AJ98" s="2782">
        <v>2272.2371864703191</v>
      </c>
    </row>
    <row r="99" spans="1:36" ht="15" hidden="1" outlineLevel="1">
      <c r="A99" s="3605"/>
      <c r="B99" s="3210"/>
      <c r="C99" s="3208"/>
      <c r="D99" s="3210"/>
      <c r="E99" s="3209"/>
      <c r="F99" s="2923" t="s">
        <v>3862</v>
      </c>
      <c r="G99" s="2923"/>
      <c r="H99" s="2789"/>
      <c r="I99" s="2733"/>
      <c r="J99" s="2733"/>
      <c r="K99" s="2733"/>
      <c r="L99" s="2733"/>
      <c r="M99" s="2733"/>
      <c r="N99" s="2733"/>
      <c r="O99" s="2733"/>
      <c r="P99" s="2733"/>
      <c r="Q99" s="2733"/>
      <c r="R99" s="2733"/>
      <c r="S99" s="2733"/>
      <c r="T99" s="2796"/>
      <c r="U99" s="2733"/>
      <c r="V99" s="2504" t="s">
        <v>4269</v>
      </c>
      <c r="W99" s="2504" t="s">
        <v>4269</v>
      </c>
      <c r="X99" s="2504" t="s">
        <v>4269</v>
      </c>
      <c r="Y99" s="2504" t="s">
        <v>4269</v>
      </c>
      <c r="Z99" s="2932"/>
      <c r="AA99" s="2932"/>
      <c r="AB99" s="2932"/>
      <c r="AC99" s="2932"/>
      <c r="AD99" s="2444" t="s">
        <v>4269</v>
      </c>
      <c r="AE99" s="2444" t="s">
        <v>4269</v>
      </c>
      <c r="AF99" s="2444" t="s">
        <v>4269</v>
      </c>
      <c r="AG99" s="2319"/>
      <c r="AH99" s="2444"/>
      <c r="AI99" s="2777"/>
      <c r="AJ99" s="2778" t="s">
        <v>4269</v>
      </c>
    </row>
    <row r="100" spans="1:36" ht="15" hidden="1" outlineLevel="1">
      <c r="A100" s="3605"/>
      <c r="B100" s="3210"/>
      <c r="C100" s="3208"/>
      <c r="D100" s="3210"/>
      <c r="E100" s="3209"/>
      <c r="F100" s="2923" t="s">
        <v>3863</v>
      </c>
      <c r="G100" s="2923"/>
      <c r="H100" s="2789"/>
      <c r="I100" s="2733"/>
      <c r="J100" s="2733"/>
      <c r="K100" s="2733"/>
      <c r="L100" s="2733"/>
      <c r="M100" s="2733"/>
      <c r="N100" s="2733"/>
      <c r="O100" s="2733"/>
      <c r="P100" s="2733"/>
      <c r="Q100" s="2733"/>
      <c r="R100" s="2733"/>
      <c r="S100" s="2733"/>
      <c r="T100" s="2796"/>
      <c r="U100" s="2733"/>
      <c r="V100" s="2504" t="s">
        <v>4269</v>
      </c>
      <c r="W100" s="2504" t="s">
        <v>4269</v>
      </c>
      <c r="X100" s="2504" t="s">
        <v>4269</v>
      </c>
      <c r="Y100" s="2504" t="s">
        <v>4269</v>
      </c>
      <c r="Z100" s="2932"/>
      <c r="AA100" s="2932"/>
      <c r="AB100" s="2932"/>
      <c r="AC100" s="2932"/>
      <c r="AD100" s="2444" t="s">
        <v>4269</v>
      </c>
      <c r="AE100" s="2444" t="s">
        <v>4269</v>
      </c>
      <c r="AF100" s="2444" t="s">
        <v>4269</v>
      </c>
      <c r="AG100" s="2319"/>
      <c r="AH100" s="2444"/>
      <c r="AI100" s="2777"/>
      <c r="AJ100" s="2778" t="s">
        <v>4269</v>
      </c>
    </row>
    <row r="101" spans="1:36" ht="15" hidden="1" outlineLevel="1">
      <c r="A101" s="3605"/>
      <c r="B101" s="3210"/>
      <c r="C101" s="3208"/>
      <c r="D101" s="3210"/>
      <c r="E101" s="3209"/>
      <c r="F101" s="2590" t="s">
        <v>3864</v>
      </c>
      <c r="G101" s="2590"/>
      <c r="H101" s="2789"/>
      <c r="I101" s="2733"/>
      <c r="J101" s="2733"/>
      <c r="K101" s="2733"/>
      <c r="L101" s="2733"/>
      <c r="M101" s="2733"/>
      <c r="N101" s="2733"/>
      <c r="O101" s="2733"/>
      <c r="P101" s="2733"/>
      <c r="Q101" s="2733"/>
      <c r="R101" s="2733"/>
      <c r="S101" s="2733"/>
      <c r="T101" s="2796"/>
      <c r="U101" s="2733"/>
      <c r="V101" s="2504" t="s">
        <v>4269</v>
      </c>
      <c r="W101" s="2504" t="s">
        <v>4269</v>
      </c>
      <c r="X101" s="2504" t="s">
        <v>4269</v>
      </c>
      <c r="Y101" s="2504" t="s">
        <v>4269</v>
      </c>
      <c r="Z101" s="2932"/>
      <c r="AA101" s="2932"/>
      <c r="AB101" s="2932"/>
      <c r="AC101" s="2932"/>
      <c r="AD101" s="2444" t="s">
        <v>4269</v>
      </c>
      <c r="AE101" s="2444" t="s">
        <v>4269</v>
      </c>
      <c r="AF101" s="2444" t="s">
        <v>4269</v>
      </c>
      <c r="AG101" s="2319"/>
      <c r="AH101" s="2444"/>
      <c r="AI101" s="2777"/>
      <c r="AJ101" s="2778" t="s">
        <v>4269</v>
      </c>
    </row>
    <row r="102" spans="1:36" ht="30" hidden="1" outlineLevel="1">
      <c r="A102" s="3605"/>
      <c r="B102" s="3210"/>
      <c r="C102" s="3208"/>
      <c r="D102" s="3210"/>
      <c r="E102" s="3209"/>
      <c r="F102" s="2590" t="s">
        <v>3865</v>
      </c>
      <c r="G102" s="2590"/>
      <c r="H102" s="2789"/>
      <c r="I102" s="2733"/>
      <c r="J102" s="2733"/>
      <c r="K102" s="2733"/>
      <c r="L102" s="2733"/>
      <c r="M102" s="2733"/>
      <c r="N102" s="2733"/>
      <c r="O102" s="2733"/>
      <c r="P102" s="2733"/>
      <c r="Q102" s="2733"/>
      <c r="R102" s="2733"/>
      <c r="S102" s="2733"/>
      <c r="T102" s="2796"/>
      <c r="U102" s="2733"/>
      <c r="V102" s="2504" t="s">
        <v>4269</v>
      </c>
      <c r="W102" s="2504" t="s">
        <v>4269</v>
      </c>
      <c r="X102" s="2504" t="s">
        <v>4269</v>
      </c>
      <c r="Y102" s="2504" t="s">
        <v>4269</v>
      </c>
      <c r="Z102" s="2932"/>
      <c r="AA102" s="2932"/>
      <c r="AB102" s="2932"/>
      <c r="AC102" s="2932"/>
      <c r="AD102" s="2444" t="s">
        <v>4269</v>
      </c>
      <c r="AE102" s="2444" t="s">
        <v>4269</v>
      </c>
      <c r="AF102" s="2444" t="s">
        <v>4269</v>
      </c>
      <c r="AG102" s="2319"/>
      <c r="AH102" s="2444"/>
      <c r="AI102" s="2777"/>
      <c r="AJ102" s="2778" t="s">
        <v>4269</v>
      </c>
    </row>
    <row r="103" spans="1:36" ht="30" hidden="1" outlineLevel="1">
      <c r="A103" s="3605"/>
      <c r="B103" s="3210"/>
      <c r="C103" s="3208"/>
      <c r="D103" s="3210"/>
      <c r="E103" s="3209" t="s">
        <v>2946</v>
      </c>
      <c r="F103" s="2923" t="s">
        <v>3860</v>
      </c>
      <c r="G103" s="2923"/>
      <c r="H103" s="2789"/>
      <c r="I103" s="2733"/>
      <c r="J103" s="2733"/>
      <c r="K103" s="2733"/>
      <c r="L103" s="2733"/>
      <c r="M103" s="2733"/>
      <c r="N103" s="2733"/>
      <c r="O103" s="2733"/>
      <c r="P103" s="2733"/>
      <c r="Q103" s="2733"/>
      <c r="R103" s="2733"/>
      <c r="S103" s="2733"/>
      <c r="T103" s="2796"/>
      <c r="U103" s="2733"/>
      <c r="V103" s="2504" t="s">
        <v>4269</v>
      </c>
      <c r="W103" s="2504" t="s">
        <v>4269</v>
      </c>
      <c r="X103" s="2504" t="s">
        <v>4269</v>
      </c>
      <c r="Y103" s="2504" t="s">
        <v>4269</v>
      </c>
      <c r="Z103" s="2932"/>
      <c r="AA103" s="2932"/>
      <c r="AB103" s="2932"/>
      <c r="AC103" s="2932"/>
      <c r="AD103" s="2444" t="s">
        <v>4269</v>
      </c>
      <c r="AE103" s="2444" t="s">
        <v>4269</v>
      </c>
      <c r="AF103" s="2444" t="s">
        <v>4269</v>
      </c>
      <c r="AG103" s="2319"/>
      <c r="AH103" s="2444"/>
      <c r="AI103" s="2777"/>
      <c r="AJ103" s="2778" t="s">
        <v>4269</v>
      </c>
    </row>
    <row r="104" spans="1:36" ht="15" hidden="1" outlineLevel="1">
      <c r="A104" s="3605"/>
      <c r="B104" s="3210"/>
      <c r="C104" s="3208"/>
      <c r="D104" s="3210"/>
      <c r="E104" s="3209"/>
      <c r="F104" s="2923" t="s">
        <v>3861</v>
      </c>
      <c r="G104" s="2923"/>
      <c r="H104" s="2789"/>
      <c r="I104" s="2748"/>
      <c r="J104" s="2748"/>
      <c r="K104" s="2748"/>
      <c r="L104" s="2748"/>
      <c r="M104" s="2748"/>
      <c r="N104" s="2748"/>
      <c r="O104" s="2748"/>
      <c r="P104" s="2748"/>
      <c r="Q104" s="2748"/>
      <c r="R104" s="2748"/>
      <c r="S104" s="2748"/>
      <c r="T104" s="2748"/>
      <c r="U104" s="2748"/>
      <c r="V104" s="2504" t="s">
        <v>4269</v>
      </c>
      <c r="W104" s="2504" t="s">
        <v>4269</v>
      </c>
      <c r="X104" s="2504" t="s">
        <v>4269</v>
      </c>
      <c r="Y104" s="2504" t="s">
        <v>4269</v>
      </c>
      <c r="Z104" s="2932"/>
      <c r="AA104" s="2932"/>
      <c r="AB104" s="2932"/>
      <c r="AC104" s="2932"/>
      <c r="AD104" s="2444" t="s">
        <v>4269</v>
      </c>
      <c r="AE104" s="2444" t="s">
        <v>4269</v>
      </c>
      <c r="AF104" s="2444" t="s">
        <v>4269</v>
      </c>
      <c r="AG104" s="2319"/>
      <c r="AH104" s="2444"/>
      <c r="AI104" s="2777"/>
      <c r="AJ104" s="2778" t="s">
        <v>4269</v>
      </c>
    </row>
    <row r="105" spans="1:36" ht="15" hidden="1" outlineLevel="1">
      <c r="A105" s="3605"/>
      <c r="B105" s="3210"/>
      <c r="C105" s="3208"/>
      <c r="D105" s="3210"/>
      <c r="E105" s="3209"/>
      <c r="F105" s="2923" t="s">
        <v>3862</v>
      </c>
      <c r="G105" s="2923"/>
      <c r="H105" s="2789"/>
      <c r="I105" s="2748"/>
      <c r="J105" s="2748"/>
      <c r="K105" s="2748"/>
      <c r="L105" s="2748"/>
      <c r="M105" s="2748"/>
      <c r="N105" s="2748"/>
      <c r="O105" s="2748"/>
      <c r="P105" s="2748"/>
      <c r="Q105" s="2748"/>
      <c r="R105" s="2748"/>
      <c r="S105" s="2748"/>
      <c r="T105" s="2748"/>
      <c r="U105" s="2748"/>
      <c r="V105" s="2504" t="s">
        <v>4269</v>
      </c>
      <c r="W105" s="2504" t="s">
        <v>4269</v>
      </c>
      <c r="X105" s="2504" t="s">
        <v>4269</v>
      </c>
      <c r="Y105" s="2504" t="s">
        <v>4269</v>
      </c>
      <c r="Z105" s="2932"/>
      <c r="AA105" s="2932"/>
      <c r="AB105" s="2932"/>
      <c r="AC105" s="2932"/>
      <c r="AD105" s="2444" t="s">
        <v>4269</v>
      </c>
      <c r="AE105" s="2444" t="s">
        <v>4269</v>
      </c>
      <c r="AF105" s="2444" t="s">
        <v>4269</v>
      </c>
      <c r="AG105" s="2319"/>
      <c r="AH105" s="2444"/>
      <c r="AI105" s="2777"/>
      <c r="AJ105" s="2778" t="s">
        <v>4269</v>
      </c>
    </row>
    <row r="106" spans="1:36" ht="15" hidden="1" outlineLevel="1">
      <c r="A106" s="3605"/>
      <c r="B106" s="3210"/>
      <c r="C106" s="3208"/>
      <c r="D106" s="3210"/>
      <c r="E106" s="3209"/>
      <c r="F106" s="2923" t="s">
        <v>3863</v>
      </c>
      <c r="G106" s="2923"/>
      <c r="H106" s="2789"/>
      <c r="I106" s="2748"/>
      <c r="J106" s="2748"/>
      <c r="K106" s="2748"/>
      <c r="L106" s="2748"/>
      <c r="M106" s="2748"/>
      <c r="N106" s="2748"/>
      <c r="O106" s="2748"/>
      <c r="P106" s="2748"/>
      <c r="Q106" s="2748"/>
      <c r="R106" s="2748"/>
      <c r="S106" s="2748"/>
      <c r="T106" s="2748"/>
      <c r="U106" s="2748"/>
      <c r="V106" s="2504" t="s">
        <v>4269</v>
      </c>
      <c r="W106" s="2504" t="s">
        <v>4269</v>
      </c>
      <c r="X106" s="2504" t="s">
        <v>4269</v>
      </c>
      <c r="Y106" s="2504" t="s">
        <v>4269</v>
      </c>
      <c r="Z106" s="2932"/>
      <c r="AA106" s="2932"/>
      <c r="AB106" s="2932"/>
      <c r="AC106" s="2932"/>
      <c r="AD106" s="2444" t="s">
        <v>4269</v>
      </c>
      <c r="AE106" s="2444" t="s">
        <v>4269</v>
      </c>
      <c r="AF106" s="2444" t="s">
        <v>4269</v>
      </c>
      <c r="AG106" s="2319"/>
      <c r="AH106" s="2444"/>
      <c r="AI106" s="2777"/>
      <c r="AJ106" s="2778" t="s">
        <v>4269</v>
      </c>
    </row>
    <row r="107" spans="1:36" ht="15" hidden="1" outlineLevel="1">
      <c r="A107" s="3605"/>
      <c r="B107" s="3210"/>
      <c r="C107" s="3208"/>
      <c r="D107" s="3210"/>
      <c r="E107" s="3209"/>
      <c r="F107" s="2590" t="s">
        <v>3864</v>
      </c>
      <c r="G107" s="2590"/>
      <c r="H107" s="2789"/>
      <c r="I107" s="2748"/>
      <c r="J107" s="2748"/>
      <c r="K107" s="2748"/>
      <c r="L107" s="2748"/>
      <c r="M107" s="2748"/>
      <c r="N107" s="2748"/>
      <c r="O107" s="2748"/>
      <c r="P107" s="2748"/>
      <c r="Q107" s="2748"/>
      <c r="R107" s="2748"/>
      <c r="S107" s="2748"/>
      <c r="T107" s="2748"/>
      <c r="U107" s="2748"/>
      <c r="V107" s="2504" t="s">
        <v>4269</v>
      </c>
      <c r="W107" s="2504" t="s">
        <v>4269</v>
      </c>
      <c r="X107" s="2504" t="s">
        <v>4269</v>
      </c>
      <c r="Y107" s="2504" t="s">
        <v>4269</v>
      </c>
      <c r="Z107" s="2932"/>
      <c r="AA107" s="2932"/>
      <c r="AB107" s="2932"/>
      <c r="AC107" s="2932"/>
      <c r="AD107" s="2444" t="s">
        <v>4269</v>
      </c>
      <c r="AE107" s="2444" t="s">
        <v>4269</v>
      </c>
      <c r="AF107" s="2444" t="s">
        <v>4269</v>
      </c>
      <c r="AG107" s="2319"/>
      <c r="AH107" s="2444"/>
      <c r="AI107" s="2777"/>
      <c r="AJ107" s="2778" t="s">
        <v>4269</v>
      </c>
    </row>
    <row r="108" spans="1:36" ht="30" hidden="1" outlineLevel="1">
      <c r="A108" s="3606"/>
      <c r="B108" s="3210"/>
      <c r="C108" s="3208"/>
      <c r="D108" s="3210"/>
      <c r="E108" s="3209"/>
      <c r="F108" s="2590" t="s">
        <v>3865</v>
      </c>
      <c r="G108" s="2590"/>
      <c r="H108" s="2789"/>
      <c r="I108" s="2733"/>
      <c r="J108" s="2733"/>
      <c r="K108" s="2733"/>
      <c r="L108" s="2733"/>
      <c r="M108" s="2733"/>
      <c r="N108" s="2733"/>
      <c r="O108" s="2733"/>
      <c r="P108" s="2733"/>
      <c r="Q108" s="2733"/>
      <c r="R108" s="2733"/>
      <c r="S108" s="2733"/>
      <c r="T108" s="2796"/>
      <c r="U108" s="2733"/>
      <c r="V108" s="2504" t="s">
        <v>4269</v>
      </c>
      <c r="W108" s="2504" t="s">
        <v>4269</v>
      </c>
      <c r="X108" s="2504" t="s">
        <v>4269</v>
      </c>
      <c r="Y108" s="2504" t="s">
        <v>4269</v>
      </c>
      <c r="Z108" s="2932"/>
      <c r="AA108" s="2932"/>
      <c r="AB108" s="2932"/>
      <c r="AC108" s="2932"/>
      <c r="AD108" s="2444" t="s">
        <v>4269</v>
      </c>
      <c r="AE108" s="2444" t="s">
        <v>4269</v>
      </c>
      <c r="AF108" s="2444" t="s">
        <v>4269</v>
      </c>
      <c r="AG108" s="2319"/>
      <c r="AH108" s="2444"/>
      <c r="AI108" s="2777"/>
      <c r="AJ108" s="2778" t="s">
        <v>4269</v>
      </c>
    </row>
    <row r="109" spans="1:36" ht="15" collapsed="1">
      <c r="A109" s="2642"/>
      <c r="B109" s="2709" t="s">
        <v>3984</v>
      </c>
      <c r="C109" s="2642"/>
      <c r="D109" s="2642"/>
      <c r="E109" s="2642"/>
      <c r="F109" s="2642"/>
      <c r="G109" s="2642"/>
      <c r="H109" s="2598">
        <f>SUM(H61:H108)</f>
        <v>11040.999999999998</v>
      </c>
      <c r="I109" s="2598">
        <f t="shared" ref="I109:K109" si="7">SUM(I61:I108)</f>
        <v>5223</v>
      </c>
      <c r="J109" s="2598">
        <f t="shared" si="7"/>
        <v>16648</v>
      </c>
      <c r="K109" s="2598">
        <f t="shared" si="7"/>
        <v>0</v>
      </c>
      <c r="L109" s="2598">
        <f>SUM(H109:K109)</f>
        <v>32912</v>
      </c>
      <c r="M109" s="2598">
        <f>SUM(M61:M108)</f>
        <v>507.96000000000004</v>
      </c>
      <c r="N109" s="2598">
        <f t="shared" ref="N109" si="8">SUM(N61:N108)</f>
        <v>3016</v>
      </c>
      <c r="O109" s="2598">
        <f t="shared" ref="O109" si="9">SUM(O61:O108)</f>
        <v>160.19999999999999</v>
      </c>
      <c r="P109" s="2598">
        <f t="shared" ref="P109" si="10">SUM(P61:P108)</f>
        <v>0</v>
      </c>
      <c r="Q109" s="2598">
        <f>SUM(M109:P109)</f>
        <v>3684.16</v>
      </c>
      <c r="R109" s="2598">
        <f t="shared" ref="R109" si="11">SUM(R61:R108)</f>
        <v>7440.8374159999994</v>
      </c>
      <c r="S109" s="2598">
        <f t="shared" ref="S109:T109" si="12">SUM(S61:S108)</f>
        <v>4701.81005</v>
      </c>
      <c r="T109" s="2598">
        <f t="shared" si="12"/>
        <v>10218.373899999999</v>
      </c>
      <c r="U109" s="2642"/>
      <c r="V109" s="2642"/>
      <c r="W109" s="2642"/>
      <c r="X109" s="2642"/>
      <c r="Y109" s="2642"/>
      <c r="Z109" s="2933"/>
      <c r="AA109" s="2933"/>
      <c r="AB109" s="2933"/>
      <c r="AC109" s="2933"/>
      <c r="AD109" s="2642"/>
      <c r="AE109" s="2642"/>
      <c r="AF109" s="2642"/>
      <c r="AG109" s="2642"/>
      <c r="AH109" s="2642"/>
      <c r="AI109" s="2642"/>
      <c r="AJ109" s="2642"/>
    </row>
  </sheetData>
  <mergeCells count="82">
    <mergeCell ref="A2:F2"/>
    <mergeCell ref="G2:AE2"/>
    <mergeCell ref="A3:A4"/>
    <mergeCell ref="B3:B4"/>
    <mergeCell ref="C3:C4"/>
    <mergeCell ref="D3:D4"/>
    <mergeCell ref="E3:E4"/>
    <mergeCell ref="F3:F4"/>
    <mergeCell ref="G3:G4"/>
    <mergeCell ref="H3:K3"/>
    <mergeCell ref="L3:O3"/>
    <mergeCell ref="P3:R3"/>
    <mergeCell ref="S3:U3"/>
    <mergeCell ref="V3:Y3"/>
    <mergeCell ref="Z3:AB3"/>
    <mergeCell ref="C5:F5"/>
    <mergeCell ref="H5:K5"/>
    <mergeCell ref="L5:O5"/>
    <mergeCell ref="P5:R5"/>
    <mergeCell ref="S5:U5"/>
    <mergeCell ref="E6:E11"/>
    <mergeCell ref="E12:E17"/>
    <mergeCell ref="D18:D29"/>
    <mergeCell ref="E18:E23"/>
    <mergeCell ref="E24:E29"/>
    <mergeCell ref="A6:A29"/>
    <mergeCell ref="A30:A53"/>
    <mergeCell ref="O1:Z1"/>
    <mergeCell ref="B30:B53"/>
    <mergeCell ref="C30:C53"/>
    <mergeCell ref="D30:D41"/>
    <mergeCell ref="E30:E35"/>
    <mergeCell ref="E36:E41"/>
    <mergeCell ref="D42:D53"/>
    <mergeCell ref="E42:E47"/>
    <mergeCell ref="E48:E53"/>
    <mergeCell ref="V5:Y5"/>
    <mergeCell ref="Z5:AB5"/>
    <mergeCell ref="B6:B29"/>
    <mergeCell ref="C6:C29"/>
    <mergeCell ref="D6:D17"/>
    <mergeCell ref="Z58:AC58"/>
    <mergeCell ref="AD58:AG58"/>
    <mergeCell ref="C60:F60"/>
    <mergeCell ref="H60:K60"/>
    <mergeCell ref="M60:P60"/>
    <mergeCell ref="R60:U60"/>
    <mergeCell ref="V60:X60"/>
    <mergeCell ref="Z60:AC60"/>
    <mergeCell ref="AD60:AG60"/>
    <mergeCell ref="F58:F59"/>
    <mergeCell ref="G58:G59"/>
    <mergeCell ref="H58:L58"/>
    <mergeCell ref="M58:Q58"/>
    <mergeCell ref="R58:U58"/>
    <mergeCell ref="V58:Y58"/>
    <mergeCell ref="E97:E102"/>
    <mergeCell ref="E103:E108"/>
    <mergeCell ref="B61:B84"/>
    <mergeCell ref="C61:C84"/>
    <mergeCell ref="D61:D72"/>
    <mergeCell ref="E61:E66"/>
    <mergeCell ref="E67:E72"/>
    <mergeCell ref="D73:D84"/>
    <mergeCell ref="E73:E78"/>
    <mergeCell ref="E79:E84"/>
    <mergeCell ref="J56:U56"/>
    <mergeCell ref="A61:A84"/>
    <mergeCell ref="A85:A108"/>
    <mergeCell ref="A57:F57"/>
    <mergeCell ref="G57:U57"/>
    <mergeCell ref="A58:A59"/>
    <mergeCell ref="B58:B59"/>
    <mergeCell ref="C58:C59"/>
    <mergeCell ref="D58:D59"/>
    <mergeCell ref="E58:E59"/>
    <mergeCell ref="B85:B108"/>
    <mergeCell ref="C85:C108"/>
    <mergeCell ref="D85:D96"/>
    <mergeCell ref="E85:E90"/>
    <mergeCell ref="E91:E96"/>
    <mergeCell ref="D97:D10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DG730"/>
  <sheetViews>
    <sheetView view="pageBreakPreview" topLeftCell="A49" zoomScale="70" zoomScaleNormal="70" zoomScaleSheetLayoutView="70" workbookViewId="0">
      <selection activeCell="M455" sqref="M455"/>
    </sheetView>
  </sheetViews>
  <sheetFormatPr defaultRowHeight="12.75" outlineLevelRow="1" outlineLevelCol="1"/>
  <cols>
    <col min="2" max="2" width="13.42578125" customWidth="1"/>
    <col min="3" max="3" width="22.140625" customWidth="1"/>
    <col min="4" max="4" width="14.28515625" customWidth="1"/>
    <col min="5" max="5" width="17.140625" customWidth="1"/>
    <col min="6" max="6" width="11.28515625" customWidth="1"/>
    <col min="7" max="7" width="12.85546875" hidden="1" customWidth="1"/>
    <col min="8" max="8" width="12.42578125" customWidth="1"/>
    <col min="9" max="9" width="11.42578125" customWidth="1"/>
    <col min="10" max="10" width="13.5703125" customWidth="1"/>
    <col min="11" max="11" width="11.85546875" hidden="1" customWidth="1"/>
    <col min="12" max="12" width="11.85546875" customWidth="1"/>
    <col min="13" max="15" width="11.28515625" bestFit="1" customWidth="1"/>
    <col min="16" max="16" width="14.5703125" customWidth="1"/>
    <col min="17" max="17" width="10" customWidth="1"/>
    <col min="18" max="18" width="11.5703125" customWidth="1"/>
    <col min="19" max="19" width="10.85546875" customWidth="1"/>
    <col min="20" max="20" width="12.140625" customWidth="1"/>
    <col min="21" max="21" width="13.42578125" customWidth="1"/>
    <col min="22" max="24" width="11" hidden="1" customWidth="1" outlineLevel="1"/>
    <col min="25" max="25" width="11.7109375" hidden="1" customWidth="1" outlineLevel="1"/>
    <col min="26" max="26" width="13.5703125" hidden="1" customWidth="1" outlineLevel="1"/>
    <col min="27" max="27" width="13.42578125" hidden="1" customWidth="1" outlineLevel="1"/>
    <col min="28" max="28" width="10.140625" hidden="1" customWidth="1" outlineLevel="1"/>
    <col min="29" max="29" width="11.140625" hidden="1" customWidth="1" outlineLevel="1"/>
    <col min="30" max="32" width="12.42578125" hidden="1" customWidth="1" outlineLevel="1"/>
    <col min="33" max="33" width="10.7109375" hidden="1" customWidth="1" outlineLevel="1"/>
    <col min="34" max="34" width="13.42578125" hidden="1" customWidth="1" outlineLevel="1"/>
    <col min="35" max="35" width="11.28515625" hidden="1" customWidth="1" outlineLevel="1"/>
    <col min="36" max="36" width="12.42578125" hidden="1" customWidth="1" outlineLevel="1"/>
    <col min="37" max="37" width="9.140625" collapsed="1"/>
    <col min="38" max="38" width="11.42578125" customWidth="1"/>
  </cols>
  <sheetData>
    <row r="1" spans="1:36" ht="48" customHeight="1">
      <c r="B1" s="1118"/>
      <c r="C1" s="1118"/>
      <c r="D1" s="1118"/>
      <c r="E1" s="1118"/>
      <c r="F1" s="1119"/>
      <c r="G1" s="1119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2992" t="s">
        <v>3922</v>
      </c>
      <c r="S1" s="2992"/>
      <c r="T1" s="2992"/>
    </row>
    <row r="2" spans="1:36" ht="15">
      <c r="B2" s="1118"/>
      <c r="C2" s="1118"/>
      <c r="D2" s="1118"/>
      <c r="E2" s="1118"/>
      <c r="F2" s="1119"/>
      <c r="G2" s="1119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</row>
    <row r="3" spans="1:36" ht="15">
      <c r="B3" s="1118"/>
      <c r="C3" s="1118"/>
      <c r="D3" s="1118"/>
      <c r="E3" s="1118"/>
      <c r="F3" s="1119"/>
      <c r="G3" s="1119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2993" t="s">
        <v>3923</v>
      </c>
      <c r="T3" s="2993"/>
    </row>
    <row r="4" spans="1:36" ht="15">
      <c r="B4" s="1118"/>
      <c r="C4" s="1118"/>
      <c r="D4" s="1118"/>
      <c r="E4" s="1118"/>
      <c r="F4" s="1119"/>
      <c r="G4" s="1119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2993"/>
      <c r="T4" s="2993"/>
    </row>
    <row r="5" spans="1:36" ht="15">
      <c r="B5" s="1118"/>
      <c r="C5" s="1118"/>
      <c r="D5" s="1118"/>
      <c r="E5" s="1118"/>
      <c r="F5" s="1119"/>
      <c r="G5" s="1119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2993" t="s">
        <v>3847</v>
      </c>
      <c r="T5" s="2993"/>
    </row>
    <row r="6" spans="1:36" ht="15.75">
      <c r="B6" s="2994" t="s">
        <v>3924</v>
      </c>
      <c r="C6" s="2994"/>
      <c r="D6" s="2994"/>
      <c r="E6" s="2994"/>
      <c r="F6" s="2994"/>
      <c r="G6" s="2994"/>
      <c r="H6" s="2994"/>
      <c r="I6" s="2994"/>
      <c r="J6" s="2994"/>
      <c r="K6" s="2994"/>
      <c r="L6" s="2994"/>
      <c r="M6" s="2994"/>
      <c r="N6" s="2994"/>
      <c r="O6" s="2994"/>
      <c r="P6" s="2994"/>
      <c r="Q6" s="2994"/>
      <c r="R6" s="2994"/>
      <c r="S6" s="2994"/>
      <c r="T6" s="2313"/>
    </row>
    <row r="7" spans="1:36" ht="15.75">
      <c r="B7" s="2461"/>
      <c r="C7" s="2461"/>
      <c r="D7" s="2461"/>
      <c r="E7" s="2461"/>
      <c r="F7" s="2461"/>
      <c r="G7" s="2461"/>
      <c r="H7" s="2461"/>
      <c r="I7" s="2461"/>
      <c r="J7" s="2461"/>
      <c r="K7" s="2461"/>
      <c r="L7" s="2512"/>
      <c r="M7" s="2461"/>
      <c r="N7" s="2461"/>
      <c r="O7" s="2461"/>
      <c r="P7" s="2461"/>
      <c r="Q7" s="2582"/>
      <c r="R7" s="2461"/>
      <c r="S7" s="2461"/>
      <c r="T7" s="2313"/>
      <c r="AB7" s="522"/>
    </row>
    <row r="8" spans="1:36" ht="13.5" thickBot="1"/>
    <row r="9" spans="1:36" s="1118" customFormat="1" ht="19.5" customHeight="1" thickBot="1">
      <c r="A9" s="2997"/>
      <c r="B9" s="2998"/>
      <c r="C9" s="2998"/>
      <c r="D9" s="2998"/>
      <c r="E9" s="2998"/>
      <c r="F9" s="2999"/>
      <c r="G9" s="3165" t="s">
        <v>3967</v>
      </c>
      <c r="H9" s="3166"/>
      <c r="I9" s="3166"/>
      <c r="J9" s="3166"/>
      <c r="K9" s="3166"/>
      <c r="L9" s="3166"/>
      <c r="M9" s="3166"/>
      <c r="N9" s="3166"/>
      <c r="O9" s="3166"/>
      <c r="P9" s="3166"/>
      <c r="Q9" s="3166"/>
      <c r="R9" s="3166"/>
      <c r="S9" s="3166"/>
      <c r="T9" s="3166"/>
      <c r="U9" s="3167"/>
    </row>
    <row r="10" spans="1:36" s="1118" customFormat="1" ht="56.25" customHeight="1">
      <c r="A10" s="3007" t="s">
        <v>0</v>
      </c>
      <c r="B10" s="3009" t="s">
        <v>3849</v>
      </c>
      <c r="C10" s="3010" t="s">
        <v>3850</v>
      </c>
      <c r="D10" s="3012" t="s">
        <v>3851</v>
      </c>
      <c r="E10" s="3012" t="s">
        <v>3852</v>
      </c>
      <c r="F10" s="2990" t="s">
        <v>3853</v>
      </c>
      <c r="G10" s="3002" t="s">
        <v>3854</v>
      </c>
      <c r="H10" s="3171" t="s">
        <v>3855</v>
      </c>
      <c r="I10" s="3172"/>
      <c r="J10" s="3172"/>
      <c r="K10" s="3172"/>
      <c r="L10" s="3173"/>
      <c r="M10" s="3168" t="s">
        <v>3856</v>
      </c>
      <c r="N10" s="3169"/>
      <c r="O10" s="3169"/>
      <c r="P10" s="3169"/>
      <c r="Q10" s="3170"/>
      <c r="R10" s="3171" t="s">
        <v>3857</v>
      </c>
      <c r="S10" s="3172"/>
      <c r="T10" s="3172"/>
      <c r="U10" s="3173"/>
      <c r="V10" s="3136" t="s">
        <v>3978</v>
      </c>
      <c r="W10" s="3137"/>
      <c r="X10" s="3137"/>
      <c r="Y10" s="3138"/>
      <c r="Z10" s="3132" t="s">
        <v>3858</v>
      </c>
      <c r="AA10" s="3132"/>
      <c r="AB10" s="3132"/>
      <c r="AC10" s="3132"/>
      <c r="AD10" s="3136" t="s">
        <v>3979</v>
      </c>
      <c r="AE10" s="3137"/>
      <c r="AF10" s="3137"/>
      <c r="AG10" s="3138"/>
      <c r="AH10" s="2496" t="s">
        <v>3980</v>
      </c>
      <c r="AI10" s="2500" t="s">
        <v>3974</v>
      </c>
      <c r="AJ10" s="2500" t="s">
        <v>3975</v>
      </c>
    </row>
    <row r="11" spans="1:36" s="1118" customFormat="1" ht="75.75" thickBot="1">
      <c r="A11" s="3008"/>
      <c r="B11" s="3002"/>
      <c r="C11" s="3011"/>
      <c r="D11" s="3013"/>
      <c r="E11" s="3013"/>
      <c r="F11" s="2991"/>
      <c r="G11" s="3003"/>
      <c r="H11" s="2379">
        <v>2015</v>
      </c>
      <c r="I11" s="2583">
        <v>2016</v>
      </c>
      <c r="J11" s="2583">
        <v>2017</v>
      </c>
      <c r="K11" s="2583" t="s">
        <v>3925</v>
      </c>
      <c r="L11" s="2595" t="s">
        <v>2559</v>
      </c>
      <c r="M11" s="2460">
        <f>H11</f>
        <v>2015</v>
      </c>
      <c r="N11" s="2460">
        <f>I11</f>
        <v>2016</v>
      </c>
      <c r="O11" s="2460">
        <f>J11</f>
        <v>2017</v>
      </c>
      <c r="P11" s="2460" t="s">
        <v>3925</v>
      </c>
      <c r="Q11" s="2595" t="s">
        <v>2559</v>
      </c>
      <c r="R11" s="2460">
        <f>H11</f>
        <v>2015</v>
      </c>
      <c r="S11" s="2460">
        <f>I11</f>
        <v>2016</v>
      </c>
      <c r="T11" s="2380">
        <f>J11</f>
        <v>2017</v>
      </c>
      <c r="U11" s="2460" t="s">
        <v>3925</v>
      </c>
      <c r="V11" s="2496">
        <f>R11</f>
        <v>2015</v>
      </c>
      <c r="W11" s="2496">
        <f>S11</f>
        <v>2016</v>
      </c>
      <c r="X11" s="2496">
        <f>T11</f>
        <v>2017</v>
      </c>
      <c r="Y11" s="2496" t="s">
        <v>3925</v>
      </c>
      <c r="Z11" s="2588">
        <v>2016</v>
      </c>
      <c r="AA11" s="2588">
        <v>2017</v>
      </c>
      <c r="AB11" s="2588">
        <v>2018</v>
      </c>
      <c r="AC11" s="2588">
        <v>2019</v>
      </c>
      <c r="AD11" s="2503">
        <f>V11</f>
        <v>2015</v>
      </c>
      <c r="AE11" s="2503">
        <f>W11</f>
        <v>2016</v>
      </c>
      <c r="AF11" s="2503">
        <f>X11</f>
        <v>2017</v>
      </c>
      <c r="AG11" s="2503" t="str">
        <f>Y11</f>
        <v>План (в случае отсутствия факта за 3 года)</v>
      </c>
      <c r="AH11" s="2497" t="s">
        <v>3981</v>
      </c>
      <c r="AI11" s="2597" t="s">
        <v>3976</v>
      </c>
      <c r="AJ11" s="2597" t="s">
        <v>3977</v>
      </c>
    </row>
    <row r="12" spans="1:36" s="1118" customFormat="1" ht="15.75" thickBot="1">
      <c r="A12" s="2316">
        <v>1</v>
      </c>
      <c r="B12" s="2470">
        <v>2</v>
      </c>
      <c r="C12" s="3014">
        <v>3</v>
      </c>
      <c r="D12" s="3015"/>
      <c r="E12" s="3015"/>
      <c r="F12" s="3016"/>
      <c r="G12" s="2317">
        <v>4</v>
      </c>
      <c r="H12" s="3017">
        <v>5</v>
      </c>
      <c r="I12" s="3018"/>
      <c r="J12" s="3018"/>
      <c r="K12" s="3018"/>
      <c r="L12" s="3019"/>
      <c r="M12" s="3017">
        <v>6</v>
      </c>
      <c r="N12" s="3018"/>
      <c r="O12" s="3018"/>
      <c r="P12" s="3018"/>
      <c r="Q12" s="3019"/>
      <c r="R12" s="3017">
        <v>7</v>
      </c>
      <c r="S12" s="3018"/>
      <c r="T12" s="3018"/>
      <c r="U12" s="3021"/>
      <c r="V12" s="3131">
        <v>8</v>
      </c>
      <c r="W12" s="3131"/>
      <c r="X12" s="3131"/>
      <c r="Y12" s="3131"/>
      <c r="Z12" s="3131">
        <v>9</v>
      </c>
      <c r="AA12" s="3131"/>
      <c r="AB12" s="3131"/>
      <c r="AC12" s="3131"/>
      <c r="AD12" s="3105">
        <v>10</v>
      </c>
      <c r="AE12" s="3106"/>
      <c r="AF12" s="3106"/>
      <c r="AG12" s="3107"/>
      <c r="AH12" s="2498">
        <v>11</v>
      </c>
      <c r="AI12" s="2498">
        <v>12</v>
      </c>
      <c r="AJ12" s="2499">
        <v>13</v>
      </c>
    </row>
    <row r="13" spans="1:36" s="1118" customFormat="1" ht="15" hidden="1" customHeight="1" outlineLevel="1">
      <c r="A13" s="2318"/>
      <c r="B13" s="3032" t="s">
        <v>2952</v>
      </c>
      <c r="C13" s="3034" t="s">
        <v>3859</v>
      </c>
      <c r="D13" s="3036" t="s">
        <v>2949</v>
      </c>
      <c r="E13" s="3037" t="s">
        <v>2950</v>
      </c>
      <c r="F13" s="2381" t="s">
        <v>3860</v>
      </c>
      <c r="G13" s="2465"/>
      <c r="H13" s="2663"/>
      <c r="I13" s="2654"/>
      <c r="J13" s="2654"/>
      <c r="K13" s="2654"/>
      <c r="L13" s="2654"/>
      <c r="M13" s="2654"/>
      <c r="N13" s="2654"/>
      <c r="O13" s="2654"/>
      <c r="P13" s="2654"/>
      <c r="Q13" s="2654"/>
      <c r="R13" s="2668"/>
      <c r="S13" s="2668"/>
      <c r="T13" s="2669"/>
      <c r="U13" s="2668"/>
      <c r="V13" s="2598" t="str">
        <f t="shared" ref="V13:V18" si="0">IFERROR(R13*1000/(H13/1000),"")</f>
        <v/>
      </c>
      <c r="W13" s="2598" t="str">
        <f t="shared" ref="W13:W18" si="1">IFERROR(S13*1000/(I13/1000),"")</f>
        <v/>
      </c>
      <c r="X13" s="2598" t="str">
        <f t="shared" ref="X13:X18" si="2">IFERROR(T13*1000/(J13/1000),"")</f>
        <v/>
      </c>
      <c r="Y13" s="2594"/>
      <c r="Z13" s="2614">
        <v>1.0528</v>
      </c>
      <c r="AA13" s="2961">
        <v>1.0589</v>
      </c>
      <c r="AB13" s="2961">
        <v>1.0507936887282501</v>
      </c>
      <c r="AC13" s="2961">
        <v>1.04657781587849</v>
      </c>
      <c r="AD13" s="2446" t="str">
        <f>IFERROR(V13*$Z$13*$AA$13*$AB$13*$AC$13,"")</f>
        <v/>
      </c>
      <c r="AE13" s="2446" t="str">
        <f t="shared" ref="AE13" si="3">IFERROR(W13*$AA$13*$AB$13*$AC$13,"")</f>
        <v/>
      </c>
      <c r="AF13" s="2446" t="str">
        <f>IFERROR(X13*$AB$13*$AC$13,"")</f>
        <v/>
      </c>
      <c r="AG13" s="2599"/>
      <c r="AH13" s="2599"/>
      <c r="AI13" s="2600"/>
      <c r="AJ13" s="2601"/>
    </row>
    <row r="14" spans="1:36" s="1118" customFormat="1" ht="15" hidden="1" customHeight="1" outlineLevel="1">
      <c r="A14" s="2318"/>
      <c r="B14" s="3033"/>
      <c r="C14" s="3035"/>
      <c r="D14" s="3028"/>
      <c r="E14" s="3029"/>
      <c r="F14" s="2472" t="s">
        <v>3861</v>
      </c>
      <c r="G14" s="2466"/>
      <c r="H14" s="2664"/>
      <c r="I14" s="2636"/>
      <c r="J14" s="2636"/>
      <c r="K14" s="2636"/>
      <c r="L14" s="2636"/>
      <c r="M14" s="2636"/>
      <c r="N14" s="2636"/>
      <c r="O14" s="2636"/>
      <c r="P14" s="2636"/>
      <c r="Q14" s="2687"/>
      <c r="R14" s="2629"/>
      <c r="S14" s="2629"/>
      <c r="T14" s="2626"/>
      <c r="U14" s="2625"/>
      <c r="V14" s="2598" t="str">
        <f t="shared" si="0"/>
        <v/>
      </c>
      <c r="W14" s="2598" t="str">
        <f t="shared" si="1"/>
        <v/>
      </c>
      <c r="X14" s="2598" t="str">
        <f t="shared" si="2"/>
        <v/>
      </c>
      <c r="Y14" s="2594"/>
      <c r="Z14" s="2602"/>
      <c r="AA14" s="2602"/>
      <c r="AB14" s="2602"/>
      <c r="AC14" s="2602"/>
      <c r="AD14" s="2446" t="str">
        <f t="shared" ref="AD14:AD60" si="4">IFERROR(V14*$Z$13*$AA$13*$AB$13*$AC$13,"")</f>
        <v/>
      </c>
      <c r="AE14" s="2446" t="str">
        <f t="shared" ref="AE14:AE60" si="5">IFERROR(W14*$AA$13*$AB$13*$AC$13,"")</f>
        <v/>
      </c>
      <c r="AF14" s="2446" t="str">
        <f t="shared" ref="AF14:AF60" si="6">IFERROR(X14*$AB$13*$AC$13,"")</f>
        <v/>
      </c>
      <c r="AG14" s="2599"/>
      <c r="AH14" s="2599"/>
      <c r="AI14" s="2600"/>
      <c r="AJ14" s="2601"/>
    </row>
    <row r="15" spans="1:36" s="1118" customFormat="1" ht="15" hidden="1" customHeight="1" outlineLevel="1">
      <c r="A15" s="2318"/>
      <c r="B15" s="3033"/>
      <c r="C15" s="3035"/>
      <c r="D15" s="3028"/>
      <c r="E15" s="3029"/>
      <c r="F15" s="2472" t="s">
        <v>3862</v>
      </c>
      <c r="G15" s="2466"/>
      <c r="H15" s="2664"/>
      <c r="I15" s="2636"/>
      <c r="J15" s="2636"/>
      <c r="K15" s="2636"/>
      <c r="L15" s="2636"/>
      <c r="M15" s="2636"/>
      <c r="N15" s="2636"/>
      <c r="O15" s="2636"/>
      <c r="P15" s="2636"/>
      <c r="Q15" s="2687"/>
      <c r="R15" s="2629"/>
      <c r="S15" s="2629"/>
      <c r="T15" s="2626"/>
      <c r="U15" s="2625"/>
      <c r="V15" s="2598" t="str">
        <f t="shared" si="0"/>
        <v/>
      </c>
      <c r="W15" s="2598" t="str">
        <f t="shared" si="1"/>
        <v/>
      </c>
      <c r="X15" s="2598" t="str">
        <f t="shared" si="2"/>
        <v/>
      </c>
      <c r="Y15" s="2594"/>
      <c r="Z15" s="2602"/>
      <c r="AA15" s="2602"/>
      <c r="AB15" s="2602"/>
      <c r="AC15" s="2602"/>
      <c r="AD15" s="2446" t="str">
        <f t="shared" si="4"/>
        <v/>
      </c>
      <c r="AE15" s="2446" t="str">
        <f t="shared" si="5"/>
        <v/>
      </c>
      <c r="AF15" s="2446" t="str">
        <f t="shared" si="6"/>
        <v/>
      </c>
      <c r="AG15" s="2599"/>
      <c r="AH15" s="2599"/>
      <c r="AI15" s="2600"/>
      <c r="AJ15" s="2601"/>
    </row>
    <row r="16" spans="1:36" s="1118" customFormat="1" ht="15.75" hidden="1" customHeight="1" outlineLevel="1">
      <c r="A16" s="2318"/>
      <c r="B16" s="3033"/>
      <c r="C16" s="3035"/>
      <c r="D16" s="3028"/>
      <c r="E16" s="3029"/>
      <c r="F16" s="2472" t="s">
        <v>3863</v>
      </c>
      <c r="G16" s="2466"/>
      <c r="H16" s="2664"/>
      <c r="I16" s="2636"/>
      <c r="J16" s="2636"/>
      <c r="K16" s="2636"/>
      <c r="L16" s="2636"/>
      <c r="M16" s="2636"/>
      <c r="N16" s="2636"/>
      <c r="O16" s="2636"/>
      <c r="P16" s="2636"/>
      <c r="Q16" s="2687"/>
      <c r="R16" s="2629"/>
      <c r="S16" s="2629"/>
      <c r="T16" s="2626"/>
      <c r="U16" s="2625"/>
      <c r="V16" s="2598" t="str">
        <f t="shared" si="0"/>
        <v/>
      </c>
      <c r="W16" s="2598" t="str">
        <f t="shared" si="1"/>
        <v/>
      </c>
      <c r="X16" s="2598" t="str">
        <f t="shared" si="2"/>
        <v/>
      </c>
      <c r="Y16" s="2594"/>
      <c r="Z16" s="2602"/>
      <c r="AA16" s="2602"/>
      <c r="AB16" s="2602"/>
      <c r="AC16" s="2602"/>
      <c r="AD16" s="2446" t="str">
        <f t="shared" si="4"/>
        <v/>
      </c>
      <c r="AE16" s="2446" t="str">
        <f t="shared" si="5"/>
        <v/>
      </c>
      <c r="AF16" s="2446" t="str">
        <f t="shared" si="6"/>
        <v/>
      </c>
      <c r="AG16" s="2599"/>
      <c r="AH16" s="2599"/>
      <c r="AI16" s="2600"/>
      <c r="AJ16" s="2601"/>
    </row>
    <row r="17" spans="1:38" s="1118" customFormat="1" ht="13.5" hidden="1" customHeight="1" outlineLevel="1">
      <c r="A17" s="2318"/>
      <c r="B17" s="3033"/>
      <c r="C17" s="3035"/>
      <c r="D17" s="3028"/>
      <c r="E17" s="3029"/>
      <c r="F17" s="2474" t="s">
        <v>3864</v>
      </c>
      <c r="G17" s="2473"/>
      <c r="H17" s="2664"/>
      <c r="I17" s="2636"/>
      <c r="J17" s="2636"/>
      <c r="K17" s="2636"/>
      <c r="L17" s="2636"/>
      <c r="M17" s="2636"/>
      <c r="N17" s="2636"/>
      <c r="O17" s="2636"/>
      <c r="P17" s="2636"/>
      <c r="Q17" s="2687"/>
      <c r="R17" s="2629"/>
      <c r="S17" s="2629"/>
      <c r="T17" s="2626"/>
      <c r="U17" s="2625"/>
      <c r="V17" s="2598" t="str">
        <f t="shared" si="0"/>
        <v/>
      </c>
      <c r="W17" s="2598" t="str">
        <f t="shared" si="1"/>
        <v/>
      </c>
      <c r="X17" s="2598" t="str">
        <f t="shared" si="2"/>
        <v/>
      </c>
      <c r="Y17" s="2594"/>
      <c r="Z17" s="2602"/>
      <c r="AA17" s="2602"/>
      <c r="AB17" s="2602"/>
      <c r="AC17" s="2602"/>
      <c r="AD17" s="2446" t="str">
        <f t="shared" si="4"/>
        <v/>
      </c>
      <c r="AE17" s="2446" t="str">
        <f>IFERROR(W17*$AA$13*$AB$13*$AC$13,"")</f>
        <v/>
      </c>
      <c r="AF17" s="2446" t="str">
        <f t="shared" si="6"/>
        <v/>
      </c>
      <c r="AG17" s="2599"/>
      <c r="AH17" s="2599"/>
      <c r="AI17" s="2600"/>
      <c r="AJ17" s="2601"/>
    </row>
    <row r="18" spans="1:38" s="1118" customFormat="1" ht="15" hidden="1" customHeight="1" outlineLevel="1">
      <c r="A18" s="2318"/>
      <c r="B18" s="3033"/>
      <c r="C18" s="3035"/>
      <c r="D18" s="3028"/>
      <c r="E18" s="3029"/>
      <c r="F18" s="2474" t="s">
        <v>3865</v>
      </c>
      <c r="G18" s="2473"/>
      <c r="H18" s="2664"/>
      <c r="I18" s="2636"/>
      <c r="J18" s="2636"/>
      <c r="K18" s="2636"/>
      <c r="L18" s="2636"/>
      <c r="M18" s="2636"/>
      <c r="N18" s="2636"/>
      <c r="O18" s="2665"/>
      <c r="P18" s="2665"/>
      <c r="Q18" s="2688"/>
      <c r="R18" s="2629"/>
      <c r="S18" s="2629"/>
      <c r="T18" s="2626"/>
      <c r="U18" s="2625"/>
      <c r="V18" s="2598" t="str">
        <f t="shared" si="0"/>
        <v/>
      </c>
      <c r="W18" s="2598" t="str">
        <f t="shared" si="1"/>
        <v/>
      </c>
      <c r="X18" s="2598" t="str">
        <f t="shared" si="2"/>
        <v/>
      </c>
      <c r="Y18" s="2594"/>
      <c r="Z18" s="2602"/>
      <c r="AA18" s="2602"/>
      <c r="AB18" s="2602"/>
      <c r="AC18" s="2602"/>
      <c r="AD18" s="2446" t="str">
        <f t="shared" si="4"/>
        <v/>
      </c>
      <c r="AE18" s="2446" t="str">
        <f t="shared" si="5"/>
        <v/>
      </c>
      <c r="AF18" s="2446" t="str">
        <f t="shared" si="6"/>
        <v/>
      </c>
      <c r="AG18" s="2599"/>
      <c r="AH18" s="2599"/>
      <c r="AI18" s="2600"/>
      <c r="AJ18" s="2601"/>
    </row>
    <row r="19" spans="1:38" s="1118" customFormat="1" ht="15" customHeight="1" collapsed="1">
      <c r="A19" s="2318"/>
      <c r="B19" s="3033"/>
      <c r="C19" s="3035"/>
      <c r="D19" s="3028"/>
      <c r="E19" s="3029" t="s">
        <v>2946</v>
      </c>
      <c r="F19" s="2472" t="s">
        <v>3860</v>
      </c>
      <c r="G19" s="2466"/>
      <c r="H19" s="2615">
        <f>' (стр.15)'!F11*1000</f>
        <v>1550</v>
      </c>
      <c r="I19" s="2616">
        <f>'(стр.16)'!F11*1000</f>
        <v>490</v>
      </c>
      <c r="J19" s="2616">
        <f>'(Стр.17)'!F11*1000</f>
        <v>2094.0000000000005</v>
      </c>
      <c r="K19" s="2616"/>
      <c r="L19" s="2617">
        <f>SUM(H19:K19)</f>
        <v>4134</v>
      </c>
      <c r="M19" s="2615">
        <f>' (стр.15)'!G11</f>
        <v>96.4</v>
      </c>
      <c r="N19" s="2616">
        <f>'(стр.16)'!G11</f>
        <v>24</v>
      </c>
      <c r="O19" s="2616">
        <f>'(Стр.17)'!G11</f>
        <v>187.52</v>
      </c>
      <c r="P19" s="2622"/>
      <c r="Q19" s="2617">
        <f>SUM(M19:P19)</f>
        <v>307.92</v>
      </c>
      <c r="R19" s="2615">
        <f>' (стр.15)'!P11/1000</f>
        <v>627.89052000000004</v>
      </c>
      <c r="S19" s="2616">
        <f>'(стр.16)'!P11/1000</f>
        <v>256.41282000000001</v>
      </c>
      <c r="T19" s="2616">
        <f>'(Стр.17)'!P11/1000</f>
        <v>1682.33403</v>
      </c>
      <c r="U19" s="2625"/>
      <c r="V19" s="2644">
        <f>IFERROR(R19*1000/(H19/1000),"")</f>
        <v>405090.65806451614</v>
      </c>
      <c r="W19" s="2644">
        <f>IFERROR(S19*1000/(I19/1000),"")</f>
        <v>523291.46938775515</v>
      </c>
      <c r="X19" s="2644">
        <f t="shared" ref="X19" si="7">IFERROR(T19*1000/(J19/1000),"")</f>
        <v>803406.89111747837</v>
      </c>
      <c r="Y19" s="2633"/>
      <c r="Z19" s="2645">
        <f>$Z$13</f>
        <v>1.0528</v>
      </c>
      <c r="AA19" s="2645">
        <f>$AA$13</f>
        <v>1.0589</v>
      </c>
      <c r="AB19" s="2645">
        <f>$AB$13</f>
        <v>1.0507936887282501</v>
      </c>
      <c r="AC19" s="2645">
        <f>$AC$13</f>
        <v>1.04657781587849</v>
      </c>
      <c r="AD19" s="2507">
        <f>IFERROR(V19*$Z$13*$AA$13*$AB$13*$AC$13,"")</f>
        <v>496640.38620271388</v>
      </c>
      <c r="AE19" s="2507">
        <f>IFERROR(W19*$AA$13*$AB$13*$AC$13,"")</f>
        <v>609379.14034498378</v>
      </c>
      <c r="AF19" s="2507">
        <f t="shared" si="6"/>
        <v>883536.57640639925</v>
      </c>
      <c r="AG19" s="2599"/>
      <c r="AH19" s="2599">
        <f>SUM(AD19:AF19)</f>
        <v>1989556.1029540969</v>
      </c>
      <c r="AI19" s="2700">
        <f>AH19/3</f>
        <v>663185.36765136558</v>
      </c>
      <c r="AJ19" s="2701">
        <f>IFERROR((AI19*L19/1000)/Q19,"")</f>
        <v>8903.6383147270226</v>
      </c>
    </row>
    <row r="20" spans="1:38" s="1118" customFormat="1" ht="15" customHeight="1">
      <c r="A20" s="2318"/>
      <c r="B20" s="3033"/>
      <c r="C20" s="3035"/>
      <c r="D20" s="3028"/>
      <c r="E20" s="3029"/>
      <c r="F20" s="2472" t="s">
        <v>3861</v>
      </c>
      <c r="G20" s="2466"/>
      <c r="H20" s="2615"/>
      <c r="I20" s="2616"/>
      <c r="J20" s="2616">
        <f>'(Стр.17)'!F43*1000</f>
        <v>780</v>
      </c>
      <c r="K20" s="2616"/>
      <c r="L20" s="2617">
        <f>SUM(H20:K20)</f>
        <v>780</v>
      </c>
      <c r="M20" s="2622"/>
      <c r="N20" s="2622"/>
      <c r="O20" s="2616">
        <f>'(Стр.17)'!G43</f>
        <v>16.55</v>
      </c>
      <c r="P20" s="2622"/>
      <c r="Q20" s="2617">
        <f t="shared" ref="Q20:Q49" si="8">SUM(M20:P20)</f>
        <v>16.55</v>
      </c>
      <c r="R20" s="2624"/>
      <c r="S20" s="2624"/>
      <c r="T20" s="2616">
        <f>'(Стр.17)'!P43/1000</f>
        <v>504.04991000000001</v>
      </c>
      <c r="U20" s="2625"/>
      <c r="V20" s="2644" t="str">
        <f t="shared" ref="V20:V60" si="9">IFERROR(R20*1000/(H20/1000),"")</f>
        <v/>
      </c>
      <c r="W20" s="2644" t="str">
        <f t="shared" ref="W20:W60" si="10">IFERROR(S20*1000/(I20/1000),"")</f>
        <v/>
      </c>
      <c r="X20" s="2644">
        <f>IFERROR(T20*1000/(J20/1000),"")</f>
        <v>646217.83333333337</v>
      </c>
      <c r="Y20" s="2633"/>
      <c r="Z20" s="2645">
        <f>$Z$13</f>
        <v>1.0528</v>
      </c>
      <c r="AA20" s="2645">
        <f>$AA$13</f>
        <v>1.0589</v>
      </c>
      <c r="AB20" s="2645">
        <f>$AB$13</f>
        <v>1.0507936887282501</v>
      </c>
      <c r="AC20" s="2645">
        <f>$AC$13</f>
        <v>1.04657781587849</v>
      </c>
      <c r="AD20" s="2507" t="str">
        <f t="shared" si="4"/>
        <v/>
      </c>
      <c r="AE20" s="2507" t="str">
        <f t="shared" si="5"/>
        <v/>
      </c>
      <c r="AF20" s="2507">
        <f t="shared" si="6"/>
        <v>710669.89639824501</v>
      </c>
      <c r="AG20" s="2599"/>
      <c r="AH20" s="2599">
        <f>SUM(AD20:AF20)</f>
        <v>710669.89639824501</v>
      </c>
      <c r="AI20" s="2700">
        <f>AH20/1</f>
        <v>710669.89639824501</v>
      </c>
      <c r="AJ20" s="2701">
        <f>IFERROR((AI20*L20/1000)/Q20,"")</f>
        <v>33493.807806080426</v>
      </c>
      <c r="AL20" s="2705"/>
    </row>
    <row r="21" spans="1:38" s="1118" customFormat="1" ht="15" hidden="1" customHeight="1" outlineLevel="1">
      <c r="A21" s="2318"/>
      <c r="B21" s="3033"/>
      <c r="C21" s="3035"/>
      <c r="D21" s="3028"/>
      <c r="E21" s="3029"/>
      <c r="F21" s="2472" t="s">
        <v>3862</v>
      </c>
      <c r="G21" s="2466"/>
      <c r="H21" s="2615"/>
      <c r="I21" s="2616"/>
      <c r="J21" s="2616"/>
      <c r="K21" s="2616"/>
      <c r="L21" s="2618"/>
      <c r="M21" s="2622"/>
      <c r="N21" s="2622"/>
      <c r="O21" s="2622"/>
      <c r="P21" s="2622"/>
      <c r="Q21" s="2617"/>
      <c r="R21" s="2624"/>
      <c r="S21" s="2624"/>
      <c r="T21" s="2626"/>
      <c r="U21" s="2625"/>
      <c r="V21" s="2644" t="str">
        <f t="shared" si="9"/>
        <v/>
      </c>
      <c r="W21" s="2644" t="str">
        <f t="shared" si="10"/>
        <v/>
      </c>
      <c r="X21" s="2644" t="str">
        <f t="shared" ref="X21:X60" si="11">IFERROR(T21*1000/(J21/1000),"")</f>
        <v/>
      </c>
      <c r="Y21" s="2633"/>
      <c r="Z21" s="2645"/>
      <c r="AA21" s="2645"/>
      <c r="AB21" s="2645"/>
      <c r="AC21" s="2645"/>
      <c r="AD21" s="2507" t="str">
        <f t="shared" si="4"/>
        <v/>
      </c>
      <c r="AE21" s="2507" t="str">
        <f t="shared" si="5"/>
        <v/>
      </c>
      <c r="AF21" s="2507" t="str">
        <f t="shared" si="6"/>
        <v/>
      </c>
      <c r="AG21" s="2599"/>
      <c r="AH21" s="2599"/>
      <c r="AI21" s="2700"/>
      <c r="AJ21" s="2701"/>
      <c r="AL21" s="2705">
        <f>AI20</f>
        <v>710669.89639824501</v>
      </c>
    </row>
    <row r="22" spans="1:38" s="1118" customFormat="1" ht="15.75" hidden="1" customHeight="1" outlineLevel="1">
      <c r="A22" s="2318"/>
      <c r="B22" s="3033"/>
      <c r="C22" s="3035"/>
      <c r="D22" s="3028"/>
      <c r="E22" s="3029"/>
      <c r="F22" s="2472" t="s">
        <v>3863</v>
      </c>
      <c r="G22" s="2466"/>
      <c r="H22" s="2619"/>
      <c r="I22" s="2620"/>
      <c r="J22" s="2620"/>
      <c r="K22" s="2620"/>
      <c r="L22" s="2621"/>
      <c r="M22" s="2623"/>
      <c r="N22" s="2623"/>
      <c r="O22" s="2624"/>
      <c r="P22" s="2624"/>
      <c r="Q22" s="2617"/>
      <c r="R22" s="2624"/>
      <c r="S22" s="2624"/>
      <c r="T22" s="2626"/>
      <c r="U22" s="2625"/>
      <c r="V22" s="2644" t="str">
        <f t="shared" si="9"/>
        <v/>
      </c>
      <c r="W22" s="2644" t="str">
        <f t="shared" si="10"/>
        <v/>
      </c>
      <c r="X22" s="2644" t="str">
        <f t="shared" si="11"/>
        <v/>
      </c>
      <c r="Y22" s="2633"/>
      <c r="Z22" s="2645"/>
      <c r="AA22" s="2645"/>
      <c r="AB22" s="2645"/>
      <c r="AC22" s="2645"/>
      <c r="AD22" s="2507" t="str">
        <f t="shared" si="4"/>
        <v/>
      </c>
      <c r="AE22" s="2507" t="str">
        <f t="shared" si="5"/>
        <v/>
      </c>
      <c r="AF22" s="2507" t="str">
        <f t="shared" si="6"/>
        <v/>
      </c>
      <c r="AG22" s="2599"/>
      <c r="AH22" s="2599"/>
      <c r="AI22" s="2700"/>
      <c r="AJ22" s="2701"/>
      <c r="AL22" s="2705">
        <f>AI25</f>
        <v>784302.58247203182</v>
      </c>
    </row>
    <row r="23" spans="1:38" s="1118" customFormat="1" ht="15" hidden="1" customHeight="1" outlineLevel="1">
      <c r="A23" s="2318"/>
      <c r="B23" s="3033"/>
      <c r="C23" s="3035"/>
      <c r="D23" s="3028"/>
      <c r="E23" s="3029"/>
      <c r="F23" s="2474" t="s">
        <v>3864</v>
      </c>
      <c r="G23" s="2473"/>
      <c r="H23" s="2619"/>
      <c r="I23" s="2620"/>
      <c r="J23" s="2620"/>
      <c r="K23" s="2620"/>
      <c r="L23" s="2621"/>
      <c r="M23" s="2623"/>
      <c r="N23" s="2623"/>
      <c r="O23" s="2624"/>
      <c r="P23" s="2624"/>
      <c r="Q23" s="2617"/>
      <c r="R23" s="2624"/>
      <c r="S23" s="2624"/>
      <c r="T23" s="2626"/>
      <c r="U23" s="2625"/>
      <c r="V23" s="2644" t="str">
        <f t="shared" si="9"/>
        <v/>
      </c>
      <c r="W23" s="2644" t="str">
        <f t="shared" si="10"/>
        <v/>
      </c>
      <c r="X23" s="2644" t="str">
        <f t="shared" si="11"/>
        <v/>
      </c>
      <c r="Y23" s="2633"/>
      <c r="Z23" s="2645"/>
      <c r="AA23" s="2645"/>
      <c r="AB23" s="2645"/>
      <c r="AC23" s="2645"/>
      <c r="AD23" s="2507" t="str">
        <f t="shared" si="4"/>
        <v/>
      </c>
      <c r="AE23" s="2507" t="str">
        <f t="shared" si="5"/>
        <v/>
      </c>
      <c r="AF23" s="2507" t="str">
        <f t="shared" si="6"/>
        <v/>
      </c>
      <c r="AG23" s="2599"/>
      <c r="AH23" s="2599"/>
      <c r="AI23" s="2700"/>
      <c r="AJ23" s="2701"/>
    </row>
    <row r="24" spans="1:38" s="1118" customFormat="1" ht="15" hidden="1" customHeight="1" outlineLevel="1">
      <c r="A24" s="2318"/>
      <c r="B24" s="3033"/>
      <c r="C24" s="3035"/>
      <c r="D24" s="3028"/>
      <c r="E24" s="3029"/>
      <c r="F24" s="2474" t="s">
        <v>3865</v>
      </c>
      <c r="G24" s="2473"/>
      <c r="H24" s="2619"/>
      <c r="I24" s="2620"/>
      <c r="J24" s="2620"/>
      <c r="K24" s="2620"/>
      <c r="L24" s="2621"/>
      <c r="M24" s="2623"/>
      <c r="N24" s="2623"/>
      <c r="O24" s="2624"/>
      <c r="P24" s="2624"/>
      <c r="Q24" s="2617"/>
      <c r="R24" s="2624"/>
      <c r="S24" s="2624"/>
      <c r="T24" s="2626"/>
      <c r="U24" s="2625"/>
      <c r="V24" s="2644" t="str">
        <f t="shared" si="9"/>
        <v/>
      </c>
      <c r="W24" s="2644" t="str">
        <f t="shared" si="10"/>
        <v/>
      </c>
      <c r="X24" s="2644" t="str">
        <f t="shared" si="11"/>
        <v/>
      </c>
      <c r="Y24" s="2633"/>
      <c r="Z24" s="2645"/>
      <c r="AA24" s="2645"/>
      <c r="AB24" s="2645"/>
      <c r="AC24" s="2645"/>
      <c r="AD24" s="2507" t="str">
        <f t="shared" si="4"/>
        <v/>
      </c>
      <c r="AE24" s="2507" t="str">
        <f t="shared" si="5"/>
        <v/>
      </c>
      <c r="AF24" s="2507" t="str">
        <f t="shared" si="6"/>
        <v/>
      </c>
      <c r="AG24" s="2599"/>
      <c r="AH24" s="2599"/>
      <c r="AI24" s="2700"/>
      <c r="AJ24" s="2701"/>
    </row>
    <row r="25" spans="1:38" s="1118" customFormat="1" ht="15" customHeight="1" collapsed="1" thickBot="1">
      <c r="A25" s="2318"/>
      <c r="B25" s="3033"/>
      <c r="C25" s="3035"/>
      <c r="D25" s="3028" t="s">
        <v>2954</v>
      </c>
      <c r="E25" s="3029" t="s">
        <v>2950</v>
      </c>
      <c r="F25" s="2472" t="s">
        <v>3860</v>
      </c>
      <c r="G25" s="2466"/>
      <c r="H25" s="2619"/>
      <c r="I25" s="2620"/>
      <c r="J25" s="2620">
        <f>'(Стр.17)'!F48*1000</f>
        <v>80</v>
      </c>
      <c r="K25" s="2620"/>
      <c r="L25" s="2617">
        <f>SUM(H25:K25)</f>
        <v>80</v>
      </c>
      <c r="M25" s="2623"/>
      <c r="N25" s="2623"/>
      <c r="O25" s="2620">
        <f>'(Стр.17)'!G48</f>
        <v>4.3</v>
      </c>
      <c r="P25" s="2624"/>
      <c r="Q25" s="2617">
        <f t="shared" si="8"/>
        <v>4.3</v>
      </c>
      <c r="R25" s="2624"/>
      <c r="S25" s="2624"/>
      <c r="T25" s="2620">
        <f>'(Стр.17)'!P48/1000</f>
        <v>57.053809999999999</v>
      </c>
      <c r="U25" s="2625"/>
      <c r="V25" s="2644" t="str">
        <f t="shared" si="9"/>
        <v/>
      </c>
      <c r="W25" s="2644" t="str">
        <f t="shared" si="10"/>
        <v/>
      </c>
      <c r="X25" s="2644">
        <f t="shared" si="11"/>
        <v>713172.625</v>
      </c>
      <c r="Y25" s="2633"/>
      <c r="Z25" s="2645">
        <f>$Z$13</f>
        <v>1.0528</v>
      </c>
      <c r="AA25" s="2645">
        <f>$AA$13</f>
        <v>1.0589</v>
      </c>
      <c r="AB25" s="2645">
        <f>$AB$13</f>
        <v>1.0507936887282501</v>
      </c>
      <c r="AC25" s="2645">
        <f>$AC$13</f>
        <v>1.04657781587849</v>
      </c>
      <c r="AD25" s="2507" t="str">
        <f t="shared" si="4"/>
        <v/>
      </c>
      <c r="AE25" s="2507" t="str">
        <f t="shared" si="5"/>
        <v/>
      </c>
      <c r="AF25" s="2507">
        <f t="shared" si="6"/>
        <v>784302.58247203182</v>
      </c>
      <c r="AG25" s="2599"/>
      <c r="AH25" s="2599">
        <f>SUM(AD25:AF25)</f>
        <v>784302.58247203182</v>
      </c>
      <c r="AI25" s="2700">
        <f>AH25/1</f>
        <v>784302.58247203182</v>
      </c>
      <c r="AJ25" s="2701">
        <f>IFERROR((AI25*L25/1000)/Q25,"")</f>
        <v>14591.675952968035</v>
      </c>
    </row>
    <row r="26" spans="1:38" s="1118" customFormat="1" ht="15" hidden="1" customHeight="1" outlineLevel="1">
      <c r="A26" s="2318"/>
      <c r="B26" s="3033"/>
      <c r="C26" s="3035"/>
      <c r="D26" s="3028"/>
      <c r="E26" s="3029"/>
      <c r="F26" s="2472" t="s">
        <v>3861</v>
      </c>
      <c r="G26" s="2466"/>
      <c r="H26" s="2637"/>
      <c r="I26" s="2638"/>
      <c r="J26" s="2638"/>
      <c r="K26" s="2638"/>
      <c r="L26" s="2658"/>
      <c r="M26" s="2666"/>
      <c r="N26" s="2666"/>
      <c r="O26" s="2629"/>
      <c r="P26" s="2629"/>
      <c r="Q26" s="2617"/>
      <c r="R26" s="2629"/>
      <c r="S26" s="2629"/>
      <c r="T26" s="2626"/>
      <c r="U26" s="2625"/>
      <c r="V26" s="2644" t="str">
        <f t="shared" si="9"/>
        <v/>
      </c>
      <c r="W26" s="2644" t="str">
        <f t="shared" si="10"/>
        <v/>
      </c>
      <c r="X26" s="2644" t="str">
        <f t="shared" si="11"/>
        <v/>
      </c>
      <c r="Y26" s="2633"/>
      <c r="Z26" s="2645"/>
      <c r="AA26" s="2645"/>
      <c r="AB26" s="2645"/>
      <c r="AC26" s="2645"/>
      <c r="AD26" s="2507" t="str">
        <f t="shared" si="4"/>
        <v/>
      </c>
      <c r="AE26" s="2507" t="str">
        <f t="shared" si="5"/>
        <v/>
      </c>
      <c r="AF26" s="2507" t="str">
        <f t="shared" si="6"/>
        <v/>
      </c>
      <c r="AG26" s="2599"/>
      <c r="AH26" s="2599"/>
      <c r="AI26" s="2700"/>
      <c r="AJ26" s="2701"/>
    </row>
    <row r="27" spans="1:38" s="1118" customFormat="1" ht="15" hidden="1" customHeight="1" outlineLevel="1">
      <c r="A27" s="2318"/>
      <c r="B27" s="3033"/>
      <c r="C27" s="3035"/>
      <c r="D27" s="3028"/>
      <c r="E27" s="3029"/>
      <c r="F27" s="2472" t="s">
        <v>3862</v>
      </c>
      <c r="G27" s="2466"/>
      <c r="H27" s="2637"/>
      <c r="I27" s="2638"/>
      <c r="J27" s="2638"/>
      <c r="K27" s="2638"/>
      <c r="L27" s="2658"/>
      <c r="M27" s="2666"/>
      <c r="N27" s="2666"/>
      <c r="O27" s="2629"/>
      <c r="P27" s="2629"/>
      <c r="Q27" s="2617"/>
      <c r="R27" s="2629"/>
      <c r="S27" s="2629"/>
      <c r="T27" s="2626"/>
      <c r="U27" s="2625"/>
      <c r="V27" s="2644" t="str">
        <f t="shared" si="9"/>
        <v/>
      </c>
      <c r="W27" s="2644" t="str">
        <f t="shared" si="10"/>
        <v/>
      </c>
      <c r="X27" s="2644" t="str">
        <f t="shared" si="11"/>
        <v/>
      </c>
      <c r="Y27" s="2633"/>
      <c r="Z27" s="2645"/>
      <c r="AA27" s="2645"/>
      <c r="AB27" s="2645"/>
      <c r="AC27" s="2645"/>
      <c r="AD27" s="2507" t="str">
        <f t="shared" si="4"/>
        <v/>
      </c>
      <c r="AE27" s="2507" t="str">
        <f t="shared" si="5"/>
        <v/>
      </c>
      <c r="AF27" s="2507" t="str">
        <f t="shared" si="6"/>
        <v/>
      </c>
      <c r="AG27" s="2599"/>
      <c r="AH27" s="2599"/>
      <c r="AI27" s="2700"/>
      <c r="AJ27" s="2701"/>
    </row>
    <row r="28" spans="1:38" s="1118" customFormat="1" ht="15" hidden="1" customHeight="1" outlineLevel="1">
      <c r="A28" s="2318"/>
      <c r="B28" s="3033"/>
      <c r="C28" s="3035"/>
      <c r="D28" s="3028"/>
      <c r="E28" s="3029"/>
      <c r="F28" s="2472" t="s">
        <v>3863</v>
      </c>
      <c r="G28" s="2466"/>
      <c r="H28" s="2637"/>
      <c r="I28" s="2638"/>
      <c r="J28" s="2638"/>
      <c r="K28" s="2638"/>
      <c r="L28" s="2658"/>
      <c r="M28" s="2666"/>
      <c r="N28" s="2666"/>
      <c r="O28" s="2629"/>
      <c r="P28" s="2629"/>
      <c r="Q28" s="2617"/>
      <c r="R28" s="2629"/>
      <c r="S28" s="2629"/>
      <c r="T28" s="2626"/>
      <c r="U28" s="2625"/>
      <c r="V28" s="2644" t="str">
        <f t="shared" si="9"/>
        <v/>
      </c>
      <c r="W28" s="2644" t="str">
        <f t="shared" si="10"/>
        <v/>
      </c>
      <c r="X28" s="2644" t="str">
        <f t="shared" si="11"/>
        <v/>
      </c>
      <c r="Y28" s="2633"/>
      <c r="Z28" s="2645"/>
      <c r="AA28" s="2645"/>
      <c r="AB28" s="2645"/>
      <c r="AC28" s="2645"/>
      <c r="AD28" s="2507" t="str">
        <f t="shared" si="4"/>
        <v/>
      </c>
      <c r="AE28" s="2507" t="str">
        <f t="shared" si="5"/>
        <v/>
      </c>
      <c r="AF28" s="2507" t="str">
        <f t="shared" si="6"/>
        <v/>
      </c>
      <c r="AG28" s="2599"/>
      <c r="AH28" s="2599"/>
      <c r="AI28" s="2700"/>
      <c r="AJ28" s="2701"/>
    </row>
    <row r="29" spans="1:38" s="1118" customFormat="1" ht="15" hidden="1" customHeight="1" outlineLevel="1">
      <c r="A29" s="2318"/>
      <c r="B29" s="3033"/>
      <c r="C29" s="3035"/>
      <c r="D29" s="3028"/>
      <c r="E29" s="3029"/>
      <c r="F29" s="2474" t="s">
        <v>3864</v>
      </c>
      <c r="G29" s="2473"/>
      <c r="H29" s="2637"/>
      <c r="I29" s="2638"/>
      <c r="J29" s="2638"/>
      <c r="K29" s="2638"/>
      <c r="L29" s="2658"/>
      <c r="M29" s="2666"/>
      <c r="N29" s="2666"/>
      <c r="O29" s="2629"/>
      <c r="P29" s="2629"/>
      <c r="Q29" s="2617"/>
      <c r="R29" s="2629"/>
      <c r="S29" s="2629"/>
      <c r="T29" s="2626"/>
      <c r="U29" s="2625"/>
      <c r="V29" s="2644" t="str">
        <f t="shared" si="9"/>
        <v/>
      </c>
      <c r="W29" s="2644" t="str">
        <f t="shared" si="10"/>
        <v/>
      </c>
      <c r="X29" s="2644" t="str">
        <f t="shared" si="11"/>
        <v/>
      </c>
      <c r="Y29" s="2633"/>
      <c r="Z29" s="2645"/>
      <c r="AA29" s="2645"/>
      <c r="AB29" s="2645"/>
      <c r="AC29" s="2645"/>
      <c r="AD29" s="2507" t="str">
        <f t="shared" si="4"/>
        <v/>
      </c>
      <c r="AE29" s="2507" t="str">
        <f t="shared" si="5"/>
        <v/>
      </c>
      <c r="AF29" s="2507" t="str">
        <f t="shared" si="6"/>
        <v/>
      </c>
      <c r="AG29" s="2599"/>
      <c r="AH29" s="2599"/>
      <c r="AI29" s="2700"/>
      <c r="AJ29" s="2701"/>
    </row>
    <row r="30" spans="1:38" s="1118" customFormat="1" ht="15.75" hidden="1" customHeight="1" outlineLevel="1">
      <c r="A30" s="2318"/>
      <c r="B30" s="3033"/>
      <c r="C30" s="3035"/>
      <c r="D30" s="3028"/>
      <c r="E30" s="3029"/>
      <c r="F30" s="2474" t="s">
        <v>3865</v>
      </c>
      <c r="G30" s="2473"/>
      <c r="H30" s="2627"/>
      <c r="I30" s="2628"/>
      <c r="J30" s="2628"/>
      <c r="K30" s="2628"/>
      <c r="L30" s="2659"/>
      <c r="M30" s="2629"/>
      <c r="N30" s="2629"/>
      <c r="O30" s="2629"/>
      <c r="P30" s="2629"/>
      <c r="Q30" s="2617"/>
      <c r="R30" s="2629"/>
      <c r="S30" s="2629"/>
      <c r="T30" s="2626"/>
      <c r="U30" s="2625"/>
      <c r="V30" s="2644" t="str">
        <f t="shared" si="9"/>
        <v/>
      </c>
      <c r="W30" s="2644" t="str">
        <f t="shared" si="10"/>
        <v/>
      </c>
      <c r="X30" s="2644" t="str">
        <f t="shared" si="11"/>
        <v/>
      </c>
      <c r="Y30" s="2633"/>
      <c r="Z30" s="2645"/>
      <c r="AA30" s="2645"/>
      <c r="AB30" s="2645"/>
      <c r="AC30" s="2645"/>
      <c r="AD30" s="2507" t="str">
        <f t="shared" si="4"/>
        <v/>
      </c>
      <c r="AE30" s="2507" t="str">
        <f t="shared" si="5"/>
        <v/>
      </c>
      <c r="AF30" s="2507" t="str">
        <f t="shared" si="6"/>
        <v/>
      </c>
      <c r="AG30" s="2599"/>
      <c r="AH30" s="2599"/>
      <c r="AI30" s="2700"/>
      <c r="AJ30" s="2701"/>
    </row>
    <row r="31" spans="1:38" s="1118" customFormat="1" ht="15" hidden="1" customHeight="1" outlineLevel="1" collapsed="1">
      <c r="A31" s="2318"/>
      <c r="B31" s="3033"/>
      <c r="C31" s="3035"/>
      <c r="D31" s="3028"/>
      <c r="E31" s="3029" t="s">
        <v>2946</v>
      </c>
      <c r="F31" s="2472" t="s">
        <v>3860</v>
      </c>
      <c r="G31" s="2466"/>
      <c r="H31" s="2627"/>
      <c r="I31" s="2628"/>
      <c r="J31" s="2628"/>
      <c r="K31" s="2628"/>
      <c r="L31" s="2659"/>
      <c r="M31" s="2629"/>
      <c r="N31" s="2629"/>
      <c r="O31" s="2629"/>
      <c r="P31" s="2629"/>
      <c r="Q31" s="2617"/>
      <c r="R31" s="2629"/>
      <c r="S31" s="2629"/>
      <c r="T31" s="2626"/>
      <c r="U31" s="2625"/>
      <c r="V31" s="2644" t="str">
        <f t="shared" si="9"/>
        <v/>
      </c>
      <c r="W31" s="2644" t="str">
        <f t="shared" si="10"/>
        <v/>
      </c>
      <c r="X31" s="2644" t="str">
        <f t="shared" si="11"/>
        <v/>
      </c>
      <c r="Y31" s="2633"/>
      <c r="Z31" s="2645"/>
      <c r="AA31" s="2645"/>
      <c r="AB31" s="2645"/>
      <c r="AC31" s="2645"/>
      <c r="AD31" s="2507" t="str">
        <f t="shared" si="4"/>
        <v/>
      </c>
      <c r="AE31" s="2507" t="str">
        <f t="shared" si="5"/>
        <v/>
      </c>
      <c r="AF31" s="2507" t="str">
        <f t="shared" si="6"/>
        <v/>
      </c>
      <c r="AG31" s="2599"/>
      <c r="AH31" s="2599"/>
      <c r="AI31" s="2700"/>
      <c r="AJ31" s="2701"/>
    </row>
    <row r="32" spans="1:38" s="1118" customFormat="1" ht="15" hidden="1" customHeight="1" outlineLevel="1">
      <c r="A32" s="2318"/>
      <c r="B32" s="3033"/>
      <c r="C32" s="3035"/>
      <c r="D32" s="3028"/>
      <c r="E32" s="3029"/>
      <c r="F32" s="2472" t="s">
        <v>3861</v>
      </c>
      <c r="G32" s="2466"/>
      <c r="H32" s="2627"/>
      <c r="I32" s="2628"/>
      <c r="J32" s="2628"/>
      <c r="K32" s="2628"/>
      <c r="L32" s="2659"/>
      <c r="M32" s="2629"/>
      <c r="N32" s="2629"/>
      <c r="O32" s="2629"/>
      <c r="P32" s="2629"/>
      <c r="Q32" s="2617"/>
      <c r="R32" s="2629"/>
      <c r="S32" s="2629"/>
      <c r="T32" s="2626"/>
      <c r="U32" s="2625"/>
      <c r="V32" s="2644" t="str">
        <f t="shared" si="9"/>
        <v/>
      </c>
      <c r="W32" s="2644" t="str">
        <f t="shared" si="10"/>
        <v/>
      </c>
      <c r="X32" s="2644" t="str">
        <f t="shared" si="11"/>
        <v/>
      </c>
      <c r="Y32" s="2633"/>
      <c r="Z32" s="2645"/>
      <c r="AA32" s="2645"/>
      <c r="AB32" s="2645"/>
      <c r="AC32" s="2645"/>
      <c r="AD32" s="2507" t="str">
        <f t="shared" si="4"/>
        <v/>
      </c>
      <c r="AE32" s="2507" t="str">
        <f>IFERROR(W32*$AA$13*$AB$13*$AC$13,"")</f>
        <v/>
      </c>
      <c r="AF32" s="2507" t="str">
        <f t="shared" si="6"/>
        <v/>
      </c>
      <c r="AG32" s="2599"/>
      <c r="AH32" s="2599"/>
      <c r="AI32" s="2700"/>
      <c r="AJ32" s="2701"/>
    </row>
    <row r="33" spans="1:36" s="1118" customFormat="1" ht="15" hidden="1" customHeight="1" outlineLevel="1">
      <c r="A33" s="2318"/>
      <c r="B33" s="3033"/>
      <c r="C33" s="3035"/>
      <c r="D33" s="3028"/>
      <c r="E33" s="3029"/>
      <c r="F33" s="2472" t="s">
        <v>3862</v>
      </c>
      <c r="G33" s="2466"/>
      <c r="H33" s="2627"/>
      <c r="I33" s="2628"/>
      <c r="J33" s="2628"/>
      <c r="K33" s="2628"/>
      <c r="L33" s="2659"/>
      <c r="M33" s="2629"/>
      <c r="N33" s="2629"/>
      <c r="O33" s="2629"/>
      <c r="P33" s="2629"/>
      <c r="Q33" s="2617"/>
      <c r="R33" s="2629"/>
      <c r="S33" s="2629"/>
      <c r="T33" s="2626"/>
      <c r="U33" s="2625"/>
      <c r="V33" s="2644" t="str">
        <f t="shared" si="9"/>
        <v/>
      </c>
      <c r="W33" s="2644" t="str">
        <f t="shared" si="10"/>
        <v/>
      </c>
      <c r="X33" s="2644" t="str">
        <f t="shared" si="11"/>
        <v/>
      </c>
      <c r="Y33" s="2633"/>
      <c r="Z33" s="2645"/>
      <c r="AA33" s="2645"/>
      <c r="AB33" s="2645"/>
      <c r="AC33" s="2645"/>
      <c r="AD33" s="2507" t="str">
        <f t="shared" si="4"/>
        <v/>
      </c>
      <c r="AE33" s="2507" t="str">
        <f t="shared" si="5"/>
        <v/>
      </c>
      <c r="AF33" s="2507" t="str">
        <f t="shared" si="6"/>
        <v/>
      </c>
      <c r="AG33" s="2599"/>
      <c r="AH33" s="2599"/>
      <c r="AI33" s="2700"/>
      <c r="AJ33" s="2701"/>
    </row>
    <row r="34" spans="1:36" s="1118" customFormat="1" ht="15" hidden="1" customHeight="1" outlineLevel="1">
      <c r="A34" s="2318"/>
      <c r="B34" s="3033"/>
      <c r="C34" s="3035"/>
      <c r="D34" s="3028"/>
      <c r="E34" s="3029"/>
      <c r="F34" s="2472" t="s">
        <v>3863</v>
      </c>
      <c r="G34" s="2466"/>
      <c r="H34" s="2627"/>
      <c r="I34" s="2628"/>
      <c r="J34" s="2628"/>
      <c r="K34" s="2628"/>
      <c r="L34" s="2659"/>
      <c r="M34" s="2629"/>
      <c r="N34" s="2629"/>
      <c r="O34" s="2629"/>
      <c r="P34" s="2629"/>
      <c r="Q34" s="2617"/>
      <c r="R34" s="2629"/>
      <c r="S34" s="2629"/>
      <c r="T34" s="2626"/>
      <c r="U34" s="2625"/>
      <c r="V34" s="2644" t="str">
        <f t="shared" si="9"/>
        <v/>
      </c>
      <c r="W34" s="2644" t="str">
        <f t="shared" si="10"/>
        <v/>
      </c>
      <c r="X34" s="2644" t="str">
        <f t="shared" si="11"/>
        <v/>
      </c>
      <c r="Y34" s="2633"/>
      <c r="Z34" s="2645"/>
      <c r="AA34" s="2645"/>
      <c r="AB34" s="2645"/>
      <c r="AC34" s="2645"/>
      <c r="AD34" s="2507" t="str">
        <f t="shared" si="4"/>
        <v/>
      </c>
      <c r="AE34" s="2507" t="str">
        <f t="shared" si="5"/>
        <v/>
      </c>
      <c r="AF34" s="2507" t="str">
        <f t="shared" si="6"/>
        <v/>
      </c>
      <c r="AG34" s="2599"/>
      <c r="AH34" s="2599"/>
      <c r="AI34" s="2700"/>
      <c r="AJ34" s="2701"/>
    </row>
    <row r="35" spans="1:36" s="1118" customFormat="1" ht="15" hidden="1" customHeight="1" outlineLevel="1">
      <c r="A35" s="2318"/>
      <c r="B35" s="3033"/>
      <c r="C35" s="3035"/>
      <c r="D35" s="3028"/>
      <c r="E35" s="3029"/>
      <c r="F35" s="2474" t="s">
        <v>3864</v>
      </c>
      <c r="G35" s="2473"/>
      <c r="H35" s="2627"/>
      <c r="I35" s="2628"/>
      <c r="J35" s="2628"/>
      <c r="K35" s="2628"/>
      <c r="L35" s="2659"/>
      <c r="M35" s="2629"/>
      <c r="N35" s="2629"/>
      <c r="O35" s="2629"/>
      <c r="P35" s="2629"/>
      <c r="Q35" s="2617"/>
      <c r="R35" s="2629"/>
      <c r="S35" s="2629"/>
      <c r="T35" s="2626"/>
      <c r="U35" s="2625"/>
      <c r="V35" s="2644" t="str">
        <f t="shared" si="9"/>
        <v/>
      </c>
      <c r="W35" s="2644" t="str">
        <f t="shared" si="10"/>
        <v/>
      </c>
      <c r="X35" s="2644" t="str">
        <f t="shared" si="11"/>
        <v/>
      </c>
      <c r="Y35" s="2633"/>
      <c r="Z35" s="2645"/>
      <c r="AA35" s="2645"/>
      <c r="AB35" s="2645"/>
      <c r="AC35" s="2645"/>
      <c r="AD35" s="2507" t="str">
        <f t="shared" si="4"/>
        <v/>
      </c>
      <c r="AE35" s="2507" t="str">
        <f t="shared" si="5"/>
        <v/>
      </c>
      <c r="AF35" s="2507" t="str">
        <f t="shared" si="6"/>
        <v/>
      </c>
      <c r="AG35" s="2599"/>
      <c r="AH35" s="2599"/>
      <c r="AI35" s="2700"/>
      <c r="AJ35" s="2701"/>
    </row>
    <row r="36" spans="1:36" s="1118" customFormat="1" ht="15.75" hidden="1" customHeight="1" outlineLevel="1">
      <c r="A36" s="2318"/>
      <c r="B36" s="3033"/>
      <c r="C36" s="3035"/>
      <c r="D36" s="3028"/>
      <c r="E36" s="3029"/>
      <c r="F36" s="2474" t="s">
        <v>3865</v>
      </c>
      <c r="G36" s="2473"/>
      <c r="H36" s="2627"/>
      <c r="I36" s="2628"/>
      <c r="J36" s="2628"/>
      <c r="K36" s="2628"/>
      <c r="L36" s="2659"/>
      <c r="M36" s="2629"/>
      <c r="N36" s="2629"/>
      <c r="O36" s="2629"/>
      <c r="P36" s="2629"/>
      <c r="Q36" s="2617"/>
      <c r="R36" s="2629"/>
      <c r="S36" s="2629"/>
      <c r="T36" s="2626"/>
      <c r="U36" s="2625"/>
      <c r="V36" s="2644" t="str">
        <f t="shared" si="9"/>
        <v/>
      </c>
      <c r="W36" s="2644" t="str">
        <f t="shared" si="10"/>
        <v/>
      </c>
      <c r="X36" s="2644" t="str">
        <f t="shared" si="11"/>
        <v/>
      </c>
      <c r="Y36" s="2633"/>
      <c r="Z36" s="2645"/>
      <c r="AA36" s="2645"/>
      <c r="AB36" s="2645"/>
      <c r="AC36" s="2645"/>
      <c r="AD36" s="2507" t="str">
        <f t="shared" si="4"/>
        <v/>
      </c>
      <c r="AE36" s="2507" t="str">
        <f t="shared" si="5"/>
        <v/>
      </c>
      <c r="AF36" s="2507" t="str">
        <f t="shared" si="6"/>
        <v/>
      </c>
      <c r="AG36" s="2599"/>
      <c r="AH36" s="2599"/>
      <c r="AI36" s="2700"/>
      <c r="AJ36" s="2701"/>
    </row>
    <row r="37" spans="1:36" s="1118" customFormat="1" ht="15" hidden="1" customHeight="1" outlineLevel="1" thickBot="1">
      <c r="A37" s="2318"/>
      <c r="B37" s="3023" t="s">
        <v>2948</v>
      </c>
      <c r="C37" s="3026" t="s">
        <v>3859</v>
      </c>
      <c r="D37" s="3028" t="s">
        <v>2949</v>
      </c>
      <c r="E37" s="3029" t="s">
        <v>2950</v>
      </c>
      <c r="F37" s="2472" t="s">
        <v>3860</v>
      </c>
      <c r="G37" s="2466"/>
      <c r="H37" s="2627"/>
      <c r="I37" s="2628"/>
      <c r="J37" s="2628"/>
      <c r="K37" s="2628"/>
      <c r="L37" s="2659"/>
      <c r="M37" s="2629"/>
      <c r="N37" s="2629"/>
      <c r="O37" s="2629"/>
      <c r="P37" s="2629"/>
      <c r="Q37" s="2617"/>
      <c r="R37" s="2629"/>
      <c r="S37" s="2629"/>
      <c r="T37" s="2626"/>
      <c r="U37" s="2625"/>
      <c r="V37" s="2644" t="str">
        <f t="shared" si="9"/>
        <v/>
      </c>
      <c r="W37" s="2644" t="str">
        <f t="shared" si="10"/>
        <v/>
      </c>
      <c r="X37" s="2644" t="str">
        <f t="shared" si="11"/>
        <v/>
      </c>
      <c r="Y37" s="2633"/>
      <c r="Z37" s="2645"/>
      <c r="AA37" s="2645"/>
      <c r="AB37" s="2645"/>
      <c r="AC37" s="2645"/>
      <c r="AD37" s="2507" t="str">
        <f t="shared" si="4"/>
        <v/>
      </c>
      <c r="AE37" s="2507" t="str">
        <f t="shared" si="5"/>
        <v/>
      </c>
      <c r="AF37" s="2507" t="str">
        <f t="shared" si="6"/>
        <v/>
      </c>
      <c r="AG37" s="2599"/>
      <c r="AH37" s="2599"/>
      <c r="AI37" s="2700"/>
      <c r="AJ37" s="2701"/>
    </row>
    <row r="38" spans="1:36" s="1118" customFormat="1" ht="15" hidden="1" customHeight="1" outlineLevel="1" thickBot="1">
      <c r="A38" s="2318"/>
      <c r="B38" s="3024"/>
      <c r="C38" s="3027"/>
      <c r="D38" s="3028"/>
      <c r="E38" s="3029"/>
      <c r="F38" s="2472" t="s">
        <v>3861</v>
      </c>
      <c r="G38" s="2466"/>
      <c r="H38" s="2627"/>
      <c r="I38" s="2628"/>
      <c r="J38" s="2628"/>
      <c r="K38" s="2628"/>
      <c r="L38" s="2659"/>
      <c r="M38" s="2629"/>
      <c r="N38" s="2629"/>
      <c r="O38" s="2629"/>
      <c r="P38" s="2629"/>
      <c r="Q38" s="2617"/>
      <c r="R38" s="2629"/>
      <c r="S38" s="2629"/>
      <c r="T38" s="2626"/>
      <c r="U38" s="2625"/>
      <c r="V38" s="2644" t="str">
        <f t="shared" si="9"/>
        <v/>
      </c>
      <c r="W38" s="2644" t="str">
        <f t="shared" si="10"/>
        <v/>
      </c>
      <c r="X38" s="2644" t="str">
        <f t="shared" si="11"/>
        <v/>
      </c>
      <c r="Y38" s="2633"/>
      <c r="Z38" s="2645"/>
      <c r="AA38" s="2645"/>
      <c r="AB38" s="2645"/>
      <c r="AC38" s="2645"/>
      <c r="AD38" s="2507" t="str">
        <f t="shared" si="4"/>
        <v/>
      </c>
      <c r="AE38" s="2507" t="str">
        <f t="shared" si="5"/>
        <v/>
      </c>
      <c r="AF38" s="2507" t="str">
        <f t="shared" si="6"/>
        <v/>
      </c>
      <c r="AG38" s="2599"/>
      <c r="AH38" s="2599"/>
      <c r="AI38" s="2700"/>
      <c r="AJ38" s="2701"/>
    </row>
    <row r="39" spans="1:36" s="1118" customFormat="1" ht="15" hidden="1" customHeight="1" outlineLevel="1" thickBot="1">
      <c r="A39" s="2318"/>
      <c r="B39" s="3024"/>
      <c r="C39" s="3027"/>
      <c r="D39" s="3028"/>
      <c r="E39" s="3029"/>
      <c r="F39" s="2472" t="s">
        <v>3862</v>
      </c>
      <c r="G39" s="2466"/>
      <c r="H39" s="2627"/>
      <c r="I39" s="2628"/>
      <c r="J39" s="2628"/>
      <c r="K39" s="2628"/>
      <c r="L39" s="2659"/>
      <c r="M39" s="2629"/>
      <c r="N39" s="2629"/>
      <c r="O39" s="2629"/>
      <c r="P39" s="2629"/>
      <c r="Q39" s="2617"/>
      <c r="R39" s="2629"/>
      <c r="S39" s="2629"/>
      <c r="T39" s="2626"/>
      <c r="U39" s="2625"/>
      <c r="V39" s="2644" t="str">
        <f t="shared" si="9"/>
        <v/>
      </c>
      <c r="W39" s="2644" t="str">
        <f t="shared" si="10"/>
        <v/>
      </c>
      <c r="X39" s="2644" t="str">
        <f t="shared" si="11"/>
        <v/>
      </c>
      <c r="Y39" s="2633"/>
      <c r="Z39" s="2645"/>
      <c r="AA39" s="2645"/>
      <c r="AB39" s="2645"/>
      <c r="AC39" s="2645"/>
      <c r="AD39" s="2507" t="str">
        <f t="shared" si="4"/>
        <v/>
      </c>
      <c r="AE39" s="2507" t="str">
        <f t="shared" si="5"/>
        <v/>
      </c>
      <c r="AF39" s="2507" t="str">
        <f t="shared" si="6"/>
        <v/>
      </c>
      <c r="AG39" s="2599"/>
      <c r="AH39" s="2599"/>
      <c r="AI39" s="2700"/>
      <c r="AJ39" s="2701"/>
    </row>
    <row r="40" spans="1:36" s="1118" customFormat="1" ht="15" hidden="1" customHeight="1" outlineLevel="1" thickBot="1">
      <c r="A40" s="2318"/>
      <c r="B40" s="3024"/>
      <c r="C40" s="3027"/>
      <c r="D40" s="3028"/>
      <c r="E40" s="3029"/>
      <c r="F40" s="2472" t="s">
        <v>3863</v>
      </c>
      <c r="G40" s="2466"/>
      <c r="H40" s="2627"/>
      <c r="I40" s="2628"/>
      <c r="J40" s="2628"/>
      <c r="K40" s="2628"/>
      <c r="L40" s="2659"/>
      <c r="M40" s="2629"/>
      <c r="N40" s="2629"/>
      <c r="O40" s="2629"/>
      <c r="P40" s="2629"/>
      <c r="Q40" s="2617"/>
      <c r="R40" s="2629"/>
      <c r="S40" s="2629"/>
      <c r="T40" s="2626"/>
      <c r="U40" s="2625"/>
      <c r="V40" s="2644" t="str">
        <f t="shared" si="9"/>
        <v/>
      </c>
      <c r="W40" s="2644" t="str">
        <f t="shared" si="10"/>
        <v/>
      </c>
      <c r="X40" s="2644" t="str">
        <f t="shared" si="11"/>
        <v/>
      </c>
      <c r="Y40" s="2633"/>
      <c r="Z40" s="2645"/>
      <c r="AA40" s="2645"/>
      <c r="AB40" s="2645"/>
      <c r="AC40" s="2645"/>
      <c r="AD40" s="2507" t="str">
        <f t="shared" si="4"/>
        <v/>
      </c>
      <c r="AE40" s="2507" t="str">
        <f t="shared" si="5"/>
        <v/>
      </c>
      <c r="AF40" s="2507" t="str">
        <f t="shared" si="6"/>
        <v/>
      </c>
      <c r="AG40" s="2599"/>
      <c r="AH40" s="2599"/>
      <c r="AI40" s="2700"/>
      <c r="AJ40" s="2701"/>
    </row>
    <row r="41" spans="1:36" s="1118" customFormat="1" ht="15" hidden="1" customHeight="1" outlineLevel="1" thickBot="1">
      <c r="A41" s="2318"/>
      <c r="B41" s="3024"/>
      <c r="C41" s="3027"/>
      <c r="D41" s="3028"/>
      <c r="E41" s="3029"/>
      <c r="F41" s="2474" t="s">
        <v>3864</v>
      </c>
      <c r="G41" s="2473"/>
      <c r="H41" s="2627"/>
      <c r="I41" s="2628"/>
      <c r="J41" s="2628"/>
      <c r="K41" s="2628"/>
      <c r="L41" s="2659"/>
      <c r="M41" s="2629"/>
      <c r="N41" s="2629"/>
      <c r="O41" s="2629"/>
      <c r="P41" s="2629"/>
      <c r="Q41" s="2617"/>
      <c r="R41" s="2629"/>
      <c r="S41" s="2629"/>
      <c r="T41" s="2626"/>
      <c r="U41" s="2625"/>
      <c r="V41" s="2644" t="str">
        <f t="shared" si="9"/>
        <v/>
      </c>
      <c r="W41" s="2644" t="str">
        <f t="shared" si="10"/>
        <v/>
      </c>
      <c r="X41" s="2644" t="str">
        <f t="shared" si="11"/>
        <v/>
      </c>
      <c r="Y41" s="2633"/>
      <c r="Z41" s="2645"/>
      <c r="AA41" s="2645"/>
      <c r="AB41" s="2645"/>
      <c r="AC41" s="2645"/>
      <c r="AD41" s="2507" t="str">
        <f t="shared" si="4"/>
        <v/>
      </c>
      <c r="AE41" s="2507" t="str">
        <f t="shared" si="5"/>
        <v/>
      </c>
      <c r="AF41" s="2507" t="str">
        <f t="shared" si="6"/>
        <v/>
      </c>
      <c r="AG41" s="2599"/>
      <c r="AH41" s="2599"/>
      <c r="AI41" s="2700"/>
      <c r="AJ41" s="2701"/>
    </row>
    <row r="42" spans="1:36" s="1118" customFormat="1" ht="15.75" hidden="1" customHeight="1" outlineLevel="1" thickBot="1">
      <c r="A42" s="2318"/>
      <c r="B42" s="3024"/>
      <c r="C42" s="3027"/>
      <c r="D42" s="3028"/>
      <c r="E42" s="3029"/>
      <c r="F42" s="2474" t="s">
        <v>3865</v>
      </c>
      <c r="G42" s="2473"/>
      <c r="H42" s="2627"/>
      <c r="I42" s="2628"/>
      <c r="J42" s="2628"/>
      <c r="K42" s="2628"/>
      <c r="L42" s="2659"/>
      <c r="M42" s="2629"/>
      <c r="N42" s="2629"/>
      <c r="O42" s="2629"/>
      <c r="P42" s="2629"/>
      <c r="Q42" s="2617"/>
      <c r="R42" s="2629"/>
      <c r="S42" s="2629"/>
      <c r="T42" s="2626"/>
      <c r="U42" s="2625"/>
      <c r="V42" s="2644" t="str">
        <f t="shared" si="9"/>
        <v/>
      </c>
      <c r="W42" s="2644" t="str">
        <f t="shared" si="10"/>
        <v/>
      </c>
      <c r="X42" s="2644" t="str">
        <f t="shared" si="11"/>
        <v/>
      </c>
      <c r="Y42" s="2633"/>
      <c r="Z42" s="2645"/>
      <c r="AA42" s="2645"/>
      <c r="AB42" s="2645"/>
      <c r="AC42" s="2645"/>
      <c r="AD42" s="2507" t="str">
        <f t="shared" si="4"/>
        <v/>
      </c>
      <c r="AE42" s="2507" t="str">
        <f t="shared" si="5"/>
        <v/>
      </c>
      <c r="AF42" s="2507" t="str">
        <f t="shared" si="6"/>
        <v/>
      </c>
      <c r="AG42" s="2599"/>
      <c r="AH42" s="2599"/>
      <c r="AI42" s="2700"/>
      <c r="AJ42" s="2701"/>
    </row>
    <row r="43" spans="1:36" s="1118" customFormat="1" ht="15" customHeight="1" collapsed="1" thickBot="1">
      <c r="A43" s="2318"/>
      <c r="B43" s="3024"/>
      <c r="C43" s="3027"/>
      <c r="D43" s="3028"/>
      <c r="E43" s="3029" t="s">
        <v>2946</v>
      </c>
      <c r="F43" s="2472" t="s">
        <v>3860</v>
      </c>
      <c r="G43" s="2466"/>
      <c r="H43" s="2627">
        <f>(' (стр.15)'!F29*1000)</f>
        <v>4320</v>
      </c>
      <c r="I43" s="2628">
        <f>'(стр.16)'!F22*1000</f>
        <v>1510.0000000000005</v>
      </c>
      <c r="J43" s="2628">
        <f>'(Стр.17)'!F39*1000</f>
        <v>88</v>
      </c>
      <c r="K43" s="2628"/>
      <c r="L43" s="2617">
        <f t="shared" ref="L43:L44" si="12">SUM(H43:K43)</f>
        <v>5918</v>
      </c>
      <c r="M43" s="2627">
        <f>' (стр.15)'!G29</f>
        <v>268.78999999999996</v>
      </c>
      <c r="N43" s="2628">
        <f>'(стр.16)'!G22</f>
        <v>149.13000000000002</v>
      </c>
      <c r="O43" s="2628">
        <f>'(Стр.17)'!G39</f>
        <v>14</v>
      </c>
      <c r="P43" s="2629"/>
      <c r="Q43" s="2617">
        <f t="shared" si="8"/>
        <v>431.91999999999996</v>
      </c>
      <c r="R43" s="2630">
        <f>' (стр.15)'!P29/1000</f>
        <v>2049.9321799999998</v>
      </c>
      <c r="S43" s="2631">
        <f>'(стр.16)'!P22/1000</f>
        <v>876.16978999999992</v>
      </c>
      <c r="T43" s="2631">
        <f>'(Стр.17)'!P39/1000</f>
        <v>117.32615</v>
      </c>
      <c r="U43" s="2625"/>
      <c r="V43" s="2644">
        <f t="shared" si="9"/>
        <v>474521.33796296286</v>
      </c>
      <c r="W43" s="2644">
        <f t="shared" si="10"/>
        <v>580244.89403973485</v>
      </c>
      <c r="X43" s="2644">
        <f t="shared" si="11"/>
        <v>1333251.7045454546</v>
      </c>
      <c r="Y43" s="2633"/>
      <c r="Z43" s="2645">
        <f>$Z$13</f>
        <v>1.0528</v>
      </c>
      <c r="AA43" s="2645">
        <f>$AA$13</f>
        <v>1.0589</v>
      </c>
      <c r="AB43" s="2645">
        <f>$AB$13</f>
        <v>1.0507936887282501</v>
      </c>
      <c r="AC43" s="2645">
        <f>$AC$13</f>
        <v>1.04657781587849</v>
      </c>
      <c r="AD43" s="2507">
        <f t="shared" si="4"/>
        <v>581762.26939753653</v>
      </c>
      <c r="AE43" s="2507">
        <f t="shared" si="5"/>
        <v>675702.08077956049</v>
      </c>
      <c r="AF43" s="2507">
        <f t="shared" si="6"/>
        <v>1466226.7146895023</v>
      </c>
      <c r="AG43" s="2599"/>
      <c r="AH43" s="2599">
        <f>SUM(AD43:AF43)</f>
        <v>2723691.0648665996</v>
      </c>
      <c r="AI43" s="2700">
        <f>AH43/3</f>
        <v>907897.02162219991</v>
      </c>
      <c r="AJ43" s="2701">
        <f>IFERROR((AI43*L43/1000)/Q43,"")</f>
        <v>12439.652190128218</v>
      </c>
    </row>
    <row r="44" spans="1:36" s="1118" customFormat="1" ht="15" customHeight="1" thickBot="1">
      <c r="A44" s="2318"/>
      <c r="B44" s="3024"/>
      <c r="C44" s="3027"/>
      <c r="D44" s="3028"/>
      <c r="E44" s="3029"/>
      <c r="F44" s="2472" t="s">
        <v>3861</v>
      </c>
      <c r="G44" s="2466"/>
      <c r="H44" s="2627">
        <f>' (стр.15)'!F71*1000</f>
        <v>180</v>
      </c>
      <c r="I44" s="2628">
        <f>'(стр.16)'!F45*1000</f>
        <v>3452</v>
      </c>
      <c r="J44" s="2628"/>
      <c r="K44" s="2628"/>
      <c r="L44" s="2617">
        <f t="shared" si="12"/>
        <v>3632</v>
      </c>
      <c r="M44" s="2627">
        <f>' (стр.15)'!G71</f>
        <v>8</v>
      </c>
      <c r="N44" s="2628">
        <f>'(стр.16)'!G45</f>
        <v>1488</v>
      </c>
      <c r="O44" s="2629"/>
      <c r="P44" s="2629"/>
      <c r="Q44" s="2617">
        <f t="shared" si="8"/>
        <v>1496</v>
      </c>
      <c r="R44" s="2630">
        <f>' (стр.15)'!P71/1000</f>
        <v>99.586019999999991</v>
      </c>
      <c r="S44" s="2631">
        <f>'(стр.16)'!P45/1000</f>
        <v>2983.8598400000001</v>
      </c>
      <c r="T44" s="2626"/>
      <c r="U44" s="2625"/>
      <c r="V44" s="2644">
        <f t="shared" si="9"/>
        <v>553255.66666666663</v>
      </c>
      <c r="W44" s="2644">
        <f t="shared" si="10"/>
        <v>864385.81691772887</v>
      </c>
      <c r="X44" s="2644" t="str">
        <f t="shared" si="11"/>
        <v/>
      </c>
      <c r="Y44" s="2633"/>
      <c r="Z44" s="2645">
        <f>$Z$13</f>
        <v>1.0528</v>
      </c>
      <c r="AA44" s="2645">
        <f>$AA$13</f>
        <v>1.0589</v>
      </c>
      <c r="AB44" s="2645">
        <f>$AB$13</f>
        <v>1.0507936887282501</v>
      </c>
      <c r="AC44" s="2645">
        <f>$AC$13</f>
        <v>1.04657781587849</v>
      </c>
      <c r="AD44" s="2507">
        <f t="shared" si="4"/>
        <v>678290.40855939116</v>
      </c>
      <c r="AE44" s="2507">
        <f t="shared" si="5"/>
        <v>1006587.5651594325</v>
      </c>
      <c r="AF44" s="2507" t="str">
        <f t="shared" si="6"/>
        <v/>
      </c>
      <c r="AG44" s="2599"/>
      <c r="AH44" s="2599">
        <f>SUM(AD44:AF44)</f>
        <v>1684877.9737188236</v>
      </c>
      <c r="AI44" s="2700">
        <f>AH44/2</f>
        <v>842438.98685941182</v>
      </c>
      <c r="AJ44" s="2701">
        <f>IFERROR((AI44*L44/1000)/Q44,"")</f>
        <v>2045.2796793271282</v>
      </c>
    </row>
    <row r="45" spans="1:36" s="1118" customFormat="1" ht="15" hidden="1" customHeight="1" outlineLevel="1" thickBot="1">
      <c r="A45" s="2318"/>
      <c r="B45" s="3024"/>
      <c r="C45" s="3027"/>
      <c r="D45" s="3028"/>
      <c r="E45" s="3029"/>
      <c r="F45" s="2472" t="s">
        <v>3862</v>
      </c>
      <c r="G45" s="2466"/>
      <c r="H45" s="2627"/>
      <c r="I45" s="2628"/>
      <c r="J45" s="2628"/>
      <c r="K45" s="2628"/>
      <c r="L45" s="2659"/>
      <c r="M45" s="2629"/>
      <c r="N45" s="2629"/>
      <c r="O45" s="2629"/>
      <c r="P45" s="2629"/>
      <c r="Q45" s="2617"/>
      <c r="R45" s="2629"/>
      <c r="S45" s="2629"/>
      <c r="T45" s="2626"/>
      <c r="U45" s="2625"/>
      <c r="V45" s="2644" t="str">
        <f t="shared" si="9"/>
        <v/>
      </c>
      <c r="W45" s="2644" t="str">
        <f t="shared" si="10"/>
        <v/>
      </c>
      <c r="X45" s="2644" t="str">
        <f t="shared" si="11"/>
        <v/>
      </c>
      <c r="Y45" s="2633"/>
      <c r="Z45" s="2645"/>
      <c r="AA45" s="2645"/>
      <c r="AB45" s="2645"/>
      <c r="AC45" s="2645"/>
      <c r="AD45" s="2507" t="str">
        <f t="shared" si="4"/>
        <v/>
      </c>
      <c r="AE45" s="2507" t="str">
        <f t="shared" si="5"/>
        <v/>
      </c>
      <c r="AF45" s="2507" t="str">
        <f t="shared" si="6"/>
        <v/>
      </c>
      <c r="AG45" s="2599"/>
      <c r="AH45" s="2599"/>
      <c r="AI45" s="2700"/>
      <c r="AJ45" s="2701"/>
    </row>
    <row r="46" spans="1:36" s="1118" customFormat="1" ht="15" hidden="1" customHeight="1" outlineLevel="1" thickBot="1">
      <c r="A46" s="2318"/>
      <c r="B46" s="3024"/>
      <c r="C46" s="3027"/>
      <c r="D46" s="3028"/>
      <c r="E46" s="3029"/>
      <c r="F46" s="2472" t="s">
        <v>3863</v>
      </c>
      <c r="G46" s="2466"/>
      <c r="H46" s="2627"/>
      <c r="I46" s="2628"/>
      <c r="J46" s="2628"/>
      <c r="K46" s="2628"/>
      <c r="L46" s="2659"/>
      <c r="M46" s="2629"/>
      <c r="N46" s="2629"/>
      <c r="O46" s="2629"/>
      <c r="P46" s="2629"/>
      <c r="Q46" s="2617"/>
      <c r="R46" s="2629"/>
      <c r="S46" s="2629"/>
      <c r="T46" s="2626"/>
      <c r="U46" s="2625"/>
      <c r="V46" s="2644" t="str">
        <f t="shared" si="9"/>
        <v/>
      </c>
      <c r="W46" s="2644" t="str">
        <f t="shared" si="10"/>
        <v/>
      </c>
      <c r="X46" s="2644" t="str">
        <f t="shared" si="11"/>
        <v/>
      </c>
      <c r="Y46" s="2633"/>
      <c r="Z46" s="2645"/>
      <c r="AA46" s="2645"/>
      <c r="AB46" s="2645"/>
      <c r="AC46" s="2645"/>
      <c r="AD46" s="2507" t="str">
        <f t="shared" si="4"/>
        <v/>
      </c>
      <c r="AE46" s="2507" t="str">
        <f t="shared" si="5"/>
        <v/>
      </c>
      <c r="AF46" s="2507" t="str">
        <f t="shared" si="6"/>
        <v/>
      </c>
      <c r="AG46" s="2599"/>
      <c r="AH46" s="2599"/>
      <c r="AI46" s="2700"/>
      <c r="AJ46" s="2701"/>
    </row>
    <row r="47" spans="1:36" s="1118" customFormat="1" ht="15" hidden="1" customHeight="1" outlineLevel="1" thickBot="1">
      <c r="A47" s="2318"/>
      <c r="B47" s="3024"/>
      <c r="C47" s="3027"/>
      <c r="D47" s="3028"/>
      <c r="E47" s="3029"/>
      <c r="F47" s="2474" t="s">
        <v>3864</v>
      </c>
      <c r="G47" s="2473"/>
      <c r="H47" s="2627"/>
      <c r="I47" s="2628"/>
      <c r="J47" s="2628"/>
      <c r="K47" s="2628"/>
      <c r="L47" s="2659"/>
      <c r="M47" s="2629"/>
      <c r="N47" s="2629"/>
      <c r="O47" s="2629"/>
      <c r="P47" s="2629"/>
      <c r="Q47" s="2617"/>
      <c r="R47" s="2629"/>
      <c r="S47" s="2629"/>
      <c r="T47" s="2626"/>
      <c r="U47" s="2625"/>
      <c r="V47" s="2644" t="str">
        <f t="shared" si="9"/>
        <v/>
      </c>
      <c r="W47" s="2644" t="str">
        <f t="shared" si="10"/>
        <v/>
      </c>
      <c r="X47" s="2644" t="str">
        <f t="shared" si="11"/>
        <v/>
      </c>
      <c r="Y47" s="2633"/>
      <c r="Z47" s="2645"/>
      <c r="AA47" s="2645"/>
      <c r="AB47" s="2645"/>
      <c r="AC47" s="2645"/>
      <c r="AD47" s="2507" t="str">
        <f t="shared" si="4"/>
        <v/>
      </c>
      <c r="AE47" s="2507" t="str">
        <f t="shared" si="5"/>
        <v/>
      </c>
      <c r="AF47" s="2507" t="str">
        <f t="shared" si="6"/>
        <v/>
      </c>
      <c r="AG47" s="2599"/>
      <c r="AH47" s="2599"/>
      <c r="AI47" s="2700"/>
      <c r="AJ47" s="2701"/>
    </row>
    <row r="48" spans="1:36" s="1118" customFormat="1" ht="15.75" hidden="1" customHeight="1" outlineLevel="1" thickBot="1">
      <c r="A48" s="2318"/>
      <c r="B48" s="3024"/>
      <c r="C48" s="3027"/>
      <c r="D48" s="3028"/>
      <c r="E48" s="3029"/>
      <c r="F48" s="2474" t="s">
        <v>3865</v>
      </c>
      <c r="G48" s="2473"/>
      <c r="H48" s="2627"/>
      <c r="I48" s="2628"/>
      <c r="J48" s="2628"/>
      <c r="K48" s="2628"/>
      <c r="L48" s="2659"/>
      <c r="M48" s="2629"/>
      <c r="N48" s="2629"/>
      <c r="O48" s="2629"/>
      <c r="P48" s="2629"/>
      <c r="Q48" s="2617"/>
      <c r="R48" s="2629"/>
      <c r="S48" s="2629"/>
      <c r="T48" s="2626"/>
      <c r="U48" s="2625"/>
      <c r="V48" s="2644" t="str">
        <f t="shared" si="9"/>
        <v/>
      </c>
      <c r="W48" s="2644" t="str">
        <f t="shared" si="10"/>
        <v/>
      </c>
      <c r="X48" s="2644" t="str">
        <f t="shared" si="11"/>
        <v/>
      </c>
      <c r="Y48" s="2633"/>
      <c r="Z48" s="2645"/>
      <c r="AA48" s="2645"/>
      <c r="AB48" s="2645"/>
      <c r="AC48" s="2645"/>
      <c r="AD48" s="2507" t="str">
        <f t="shared" si="4"/>
        <v/>
      </c>
      <c r="AE48" s="2507" t="str">
        <f t="shared" si="5"/>
        <v/>
      </c>
      <c r="AF48" s="2507" t="str">
        <f t="shared" si="6"/>
        <v/>
      </c>
      <c r="AG48" s="2599"/>
      <c r="AH48" s="2599"/>
      <c r="AI48" s="2700"/>
      <c r="AJ48" s="2701"/>
    </row>
    <row r="49" spans="1:36" s="1118" customFormat="1" ht="15" customHeight="1" collapsed="1" thickBot="1">
      <c r="A49" s="2318"/>
      <c r="B49" s="3024"/>
      <c r="C49" s="3027"/>
      <c r="D49" s="3028" t="s">
        <v>2954</v>
      </c>
      <c r="E49" s="3029" t="s">
        <v>2950</v>
      </c>
      <c r="F49" s="2472" t="s">
        <v>3860</v>
      </c>
      <c r="G49" s="2466"/>
      <c r="H49" s="2627">
        <f>' (стр.15)'!F75*1000</f>
        <v>200</v>
      </c>
      <c r="I49" s="2628"/>
      <c r="J49" s="2628"/>
      <c r="K49" s="2628"/>
      <c r="L49" s="2617">
        <f t="shared" ref="L49" si="13">SUM(H49:K49)</f>
        <v>200</v>
      </c>
      <c r="M49" s="2627">
        <f>' (стр.15)'!G75</f>
        <v>16.079999999999998</v>
      </c>
      <c r="N49" s="2629"/>
      <c r="O49" s="2629"/>
      <c r="P49" s="2629"/>
      <c r="Q49" s="2617">
        <f t="shared" si="8"/>
        <v>16.079999999999998</v>
      </c>
      <c r="R49" s="2630">
        <f>' (стр.15)'!P75/1000</f>
        <v>171.20831000000001</v>
      </c>
      <c r="S49" s="2629"/>
      <c r="T49" s="2626"/>
      <c r="U49" s="2625"/>
      <c r="V49" s="2644">
        <f t="shared" si="9"/>
        <v>856041.54999999993</v>
      </c>
      <c r="W49" s="2644" t="str">
        <f t="shared" si="10"/>
        <v/>
      </c>
      <c r="X49" s="2644" t="str">
        <f t="shared" si="11"/>
        <v/>
      </c>
      <c r="Y49" s="2633"/>
      <c r="Z49" s="2645">
        <f>$Z$13</f>
        <v>1.0528</v>
      </c>
      <c r="AA49" s="2645">
        <f>$AA$13</f>
        <v>1.0589</v>
      </c>
      <c r="AB49" s="2645">
        <f>$AB$13</f>
        <v>1.0507936887282501</v>
      </c>
      <c r="AC49" s="2645">
        <f>$AC$13</f>
        <v>1.04657781587849</v>
      </c>
      <c r="AD49" s="2507">
        <f t="shared" si="4"/>
        <v>1049505.3330256254</v>
      </c>
      <c r="AE49" s="2507" t="str">
        <f t="shared" si="5"/>
        <v/>
      </c>
      <c r="AF49" s="2507" t="str">
        <f t="shared" si="6"/>
        <v/>
      </c>
      <c r="AG49" s="2599"/>
      <c r="AH49" s="2599">
        <f>SUM(AD49:AF49)</f>
        <v>1049505.3330256254</v>
      </c>
      <c r="AI49" s="2700">
        <f>AH49/1</f>
        <v>1049505.3330256254</v>
      </c>
      <c r="AJ49" s="2701">
        <f>IFERROR((AI49*L49/1000)/Q49,"")</f>
        <v>13053.548918229173</v>
      </c>
    </row>
    <row r="50" spans="1:36" s="1118" customFormat="1" ht="15" hidden="1" customHeight="1" outlineLevel="1" thickBot="1">
      <c r="A50" s="2318"/>
      <c r="B50" s="3024"/>
      <c r="C50" s="3027"/>
      <c r="D50" s="3028"/>
      <c r="E50" s="3029"/>
      <c r="F50" s="2472" t="s">
        <v>3861</v>
      </c>
      <c r="G50" s="2466"/>
      <c r="H50" s="2627"/>
      <c r="I50" s="2628"/>
      <c r="J50" s="2628"/>
      <c r="K50" s="2628"/>
      <c r="L50" s="2659"/>
      <c r="M50" s="2629"/>
      <c r="N50" s="2629"/>
      <c r="O50" s="2629"/>
      <c r="P50" s="2629"/>
      <c r="Q50" s="2625"/>
      <c r="R50" s="2629"/>
      <c r="S50" s="2629"/>
      <c r="T50" s="2626"/>
      <c r="U50" s="2625"/>
      <c r="V50" s="2598" t="str">
        <f t="shared" si="9"/>
        <v/>
      </c>
      <c r="W50" s="2598" t="str">
        <f t="shared" si="10"/>
        <v/>
      </c>
      <c r="X50" s="2598" t="str">
        <f t="shared" si="11"/>
        <v/>
      </c>
      <c r="Y50" s="2594"/>
      <c r="Z50" s="2602"/>
      <c r="AA50" s="2602"/>
      <c r="AB50" s="2602"/>
      <c r="AC50" s="2602"/>
      <c r="AD50" s="2446" t="str">
        <f t="shared" si="4"/>
        <v/>
      </c>
      <c r="AE50" s="2446" t="str">
        <f t="shared" si="5"/>
        <v/>
      </c>
      <c r="AF50" s="2446" t="str">
        <f t="shared" si="6"/>
        <v/>
      </c>
      <c r="AG50" s="2599"/>
      <c r="AH50" s="2599"/>
      <c r="AI50" s="2600"/>
      <c r="AJ50" s="2601"/>
    </row>
    <row r="51" spans="1:36" s="1118" customFormat="1" ht="15" hidden="1" customHeight="1" outlineLevel="1" thickBot="1">
      <c r="A51" s="2318"/>
      <c r="B51" s="3024"/>
      <c r="C51" s="3027"/>
      <c r="D51" s="3028"/>
      <c r="E51" s="3029"/>
      <c r="F51" s="2472" t="s">
        <v>3862</v>
      </c>
      <c r="G51" s="2466"/>
      <c r="H51" s="2627"/>
      <c r="I51" s="2628"/>
      <c r="J51" s="2628"/>
      <c r="K51" s="2628"/>
      <c r="L51" s="2659"/>
      <c r="M51" s="2629"/>
      <c r="N51" s="2629"/>
      <c r="O51" s="2629"/>
      <c r="P51" s="2629"/>
      <c r="Q51" s="2625"/>
      <c r="R51" s="2629"/>
      <c r="S51" s="2629"/>
      <c r="T51" s="2626"/>
      <c r="U51" s="2625"/>
      <c r="V51" s="2598" t="str">
        <f t="shared" si="9"/>
        <v/>
      </c>
      <c r="W51" s="2598" t="str">
        <f t="shared" si="10"/>
        <v/>
      </c>
      <c r="X51" s="2598" t="str">
        <f t="shared" si="11"/>
        <v/>
      </c>
      <c r="Y51" s="2594"/>
      <c r="Z51" s="2602"/>
      <c r="AA51" s="2602"/>
      <c r="AB51" s="2602"/>
      <c r="AC51" s="2602"/>
      <c r="AD51" s="2446" t="str">
        <f t="shared" si="4"/>
        <v/>
      </c>
      <c r="AE51" s="2446" t="str">
        <f t="shared" si="5"/>
        <v/>
      </c>
      <c r="AF51" s="2446" t="str">
        <f t="shared" si="6"/>
        <v/>
      </c>
      <c r="AG51" s="2599"/>
      <c r="AH51" s="2599"/>
      <c r="AI51" s="2600"/>
      <c r="AJ51" s="2601"/>
    </row>
    <row r="52" spans="1:36" s="1118" customFormat="1" ht="15" hidden="1" customHeight="1" outlineLevel="1" thickBot="1">
      <c r="A52" s="2318"/>
      <c r="B52" s="3024"/>
      <c r="C52" s="3027"/>
      <c r="D52" s="3028"/>
      <c r="E52" s="3029"/>
      <c r="F52" s="2472" t="s">
        <v>3863</v>
      </c>
      <c r="G52" s="2466"/>
      <c r="H52" s="2627"/>
      <c r="I52" s="2628"/>
      <c r="J52" s="2628"/>
      <c r="K52" s="2628"/>
      <c r="L52" s="2659"/>
      <c r="M52" s="2629"/>
      <c r="N52" s="2629"/>
      <c r="O52" s="2629"/>
      <c r="P52" s="2629"/>
      <c r="Q52" s="2625"/>
      <c r="R52" s="2629"/>
      <c r="S52" s="2629"/>
      <c r="T52" s="2626"/>
      <c r="U52" s="2625"/>
      <c r="V52" s="2598" t="str">
        <f t="shared" si="9"/>
        <v/>
      </c>
      <c r="W52" s="2598" t="str">
        <f t="shared" si="10"/>
        <v/>
      </c>
      <c r="X52" s="2598" t="str">
        <f t="shared" si="11"/>
        <v/>
      </c>
      <c r="Y52" s="2594"/>
      <c r="Z52" s="2602"/>
      <c r="AA52" s="2602"/>
      <c r="AB52" s="2602"/>
      <c r="AC52" s="2602"/>
      <c r="AD52" s="2446" t="str">
        <f t="shared" si="4"/>
        <v/>
      </c>
      <c r="AE52" s="2446" t="str">
        <f t="shared" si="5"/>
        <v/>
      </c>
      <c r="AF52" s="2446" t="str">
        <f t="shared" si="6"/>
        <v/>
      </c>
      <c r="AG52" s="2599"/>
      <c r="AH52" s="2599"/>
      <c r="AI52" s="2600"/>
      <c r="AJ52" s="2601"/>
    </row>
    <row r="53" spans="1:36" s="1118" customFormat="1" ht="15" hidden="1" customHeight="1" outlineLevel="1" thickBot="1">
      <c r="A53" s="2318"/>
      <c r="B53" s="3024"/>
      <c r="C53" s="3027"/>
      <c r="D53" s="3028"/>
      <c r="E53" s="3029"/>
      <c r="F53" s="2474" t="s">
        <v>3864</v>
      </c>
      <c r="G53" s="2473"/>
      <c r="H53" s="2627"/>
      <c r="I53" s="2628"/>
      <c r="J53" s="2628"/>
      <c r="K53" s="2628"/>
      <c r="L53" s="2659"/>
      <c r="M53" s="2629"/>
      <c r="N53" s="2629"/>
      <c r="O53" s="2629"/>
      <c r="P53" s="2629"/>
      <c r="Q53" s="2625"/>
      <c r="R53" s="2629"/>
      <c r="S53" s="2629"/>
      <c r="T53" s="2626"/>
      <c r="U53" s="2625"/>
      <c r="V53" s="2598" t="str">
        <f t="shared" si="9"/>
        <v/>
      </c>
      <c r="W53" s="2598" t="str">
        <f t="shared" si="10"/>
        <v/>
      </c>
      <c r="X53" s="2598" t="str">
        <f t="shared" si="11"/>
        <v/>
      </c>
      <c r="Y53" s="2594"/>
      <c r="Z53" s="2602"/>
      <c r="AA53" s="2602"/>
      <c r="AB53" s="2602"/>
      <c r="AC53" s="2602"/>
      <c r="AD53" s="2446" t="str">
        <f t="shared" si="4"/>
        <v/>
      </c>
      <c r="AE53" s="2446" t="str">
        <f t="shared" si="5"/>
        <v/>
      </c>
      <c r="AF53" s="2446" t="str">
        <f t="shared" si="6"/>
        <v/>
      </c>
      <c r="AG53" s="2599"/>
      <c r="AH53" s="2599"/>
      <c r="AI53" s="2600"/>
      <c r="AJ53" s="2601"/>
    </row>
    <row r="54" spans="1:36" s="1118" customFormat="1" ht="28.5" hidden="1" customHeight="1" outlineLevel="1" thickBot="1">
      <c r="A54" s="2318"/>
      <c r="B54" s="3024"/>
      <c r="C54" s="3027"/>
      <c r="D54" s="3028"/>
      <c r="E54" s="3029"/>
      <c r="F54" s="2474" t="s">
        <v>3865</v>
      </c>
      <c r="G54" s="2473"/>
      <c r="H54" s="2627"/>
      <c r="I54" s="2628"/>
      <c r="J54" s="2628"/>
      <c r="K54" s="2628"/>
      <c r="L54" s="2659"/>
      <c r="M54" s="2629"/>
      <c r="N54" s="2629"/>
      <c r="O54" s="2629"/>
      <c r="P54" s="2629"/>
      <c r="Q54" s="2625"/>
      <c r="R54" s="2629"/>
      <c r="S54" s="2629"/>
      <c r="T54" s="2626"/>
      <c r="U54" s="2625"/>
      <c r="V54" s="2598" t="str">
        <f t="shared" si="9"/>
        <v/>
      </c>
      <c r="W54" s="2598" t="str">
        <f t="shared" si="10"/>
        <v/>
      </c>
      <c r="X54" s="2598" t="str">
        <f t="shared" si="11"/>
        <v/>
      </c>
      <c r="Y54" s="2594"/>
      <c r="Z54" s="2602"/>
      <c r="AA54" s="2602"/>
      <c r="AB54" s="2602"/>
      <c r="AC54" s="2602"/>
      <c r="AD54" s="2446" t="str">
        <f t="shared" si="4"/>
        <v/>
      </c>
      <c r="AE54" s="2446" t="str">
        <f t="shared" si="5"/>
        <v/>
      </c>
      <c r="AF54" s="2446" t="str">
        <f t="shared" si="6"/>
        <v/>
      </c>
      <c r="AG54" s="2599"/>
      <c r="AH54" s="2599"/>
      <c r="AI54" s="2600"/>
      <c r="AJ54" s="2601"/>
    </row>
    <row r="55" spans="1:36" s="1118" customFormat="1" ht="15" hidden="1" customHeight="1" outlineLevel="1" thickBot="1">
      <c r="A55" s="2318"/>
      <c r="B55" s="3024"/>
      <c r="C55" s="3027"/>
      <c r="D55" s="3028"/>
      <c r="E55" s="3029" t="s">
        <v>2946</v>
      </c>
      <c r="F55" s="2472" t="s">
        <v>3860</v>
      </c>
      <c r="G55" s="2466"/>
      <c r="H55" s="2627"/>
      <c r="I55" s="2628"/>
      <c r="J55" s="2628"/>
      <c r="K55" s="2628"/>
      <c r="L55" s="2659"/>
      <c r="M55" s="2629"/>
      <c r="N55" s="2629"/>
      <c r="O55" s="2629"/>
      <c r="P55" s="2629"/>
      <c r="Q55" s="2625"/>
      <c r="R55" s="2629"/>
      <c r="S55" s="2629"/>
      <c r="T55" s="2626"/>
      <c r="U55" s="2625"/>
      <c r="V55" s="2598" t="str">
        <f t="shared" si="9"/>
        <v/>
      </c>
      <c r="W55" s="2598" t="str">
        <f t="shared" si="10"/>
        <v/>
      </c>
      <c r="X55" s="2598" t="str">
        <f t="shared" si="11"/>
        <v/>
      </c>
      <c r="Y55" s="2594"/>
      <c r="Z55" s="2602"/>
      <c r="AA55" s="2602"/>
      <c r="AB55" s="2602"/>
      <c r="AC55" s="2602"/>
      <c r="AD55" s="2446" t="str">
        <f t="shared" si="4"/>
        <v/>
      </c>
      <c r="AE55" s="2446" t="str">
        <f t="shared" si="5"/>
        <v/>
      </c>
      <c r="AF55" s="2446" t="str">
        <f t="shared" si="6"/>
        <v/>
      </c>
      <c r="AG55" s="2599"/>
      <c r="AH55" s="2599"/>
      <c r="AI55" s="2600"/>
      <c r="AJ55" s="2601"/>
    </row>
    <row r="56" spans="1:36" s="1118" customFormat="1" ht="15" hidden="1" customHeight="1" outlineLevel="1" thickBot="1">
      <c r="A56" s="2318"/>
      <c r="B56" s="3024"/>
      <c r="C56" s="3027"/>
      <c r="D56" s="3028"/>
      <c r="E56" s="3029"/>
      <c r="F56" s="2472" t="s">
        <v>3861</v>
      </c>
      <c r="G56" s="2466"/>
      <c r="H56" s="2628"/>
      <c r="I56" s="2628"/>
      <c r="J56" s="2628"/>
      <c r="K56" s="2628"/>
      <c r="L56" s="2659"/>
      <c r="M56" s="2629"/>
      <c r="N56" s="2629"/>
      <c r="O56" s="2629"/>
      <c r="P56" s="2629"/>
      <c r="Q56" s="2625"/>
      <c r="R56" s="2629"/>
      <c r="S56" s="2629"/>
      <c r="T56" s="2626"/>
      <c r="U56" s="2625"/>
      <c r="V56" s="2598" t="str">
        <f t="shared" si="9"/>
        <v/>
      </c>
      <c r="W56" s="2598" t="str">
        <f t="shared" si="10"/>
        <v/>
      </c>
      <c r="X56" s="2598" t="str">
        <f t="shared" si="11"/>
        <v/>
      </c>
      <c r="Y56" s="2594"/>
      <c r="Z56" s="2602"/>
      <c r="AA56" s="2602"/>
      <c r="AB56" s="2602"/>
      <c r="AC56" s="2602"/>
      <c r="AD56" s="2446" t="str">
        <f t="shared" si="4"/>
        <v/>
      </c>
      <c r="AE56" s="2446" t="str">
        <f t="shared" si="5"/>
        <v/>
      </c>
      <c r="AF56" s="2446" t="str">
        <f t="shared" si="6"/>
        <v/>
      </c>
      <c r="AG56" s="2599"/>
      <c r="AH56" s="2599"/>
      <c r="AI56" s="2600"/>
      <c r="AJ56" s="2601"/>
    </row>
    <row r="57" spans="1:36" s="1118" customFormat="1" ht="15" hidden="1" customHeight="1" outlineLevel="1" thickBot="1">
      <c r="A57" s="2318"/>
      <c r="B57" s="3024"/>
      <c r="C57" s="3027"/>
      <c r="D57" s="3028"/>
      <c r="E57" s="3029"/>
      <c r="F57" s="2472" t="s">
        <v>3862</v>
      </c>
      <c r="G57" s="2495"/>
      <c r="H57" s="2655"/>
      <c r="I57" s="2655"/>
      <c r="J57" s="2655"/>
      <c r="K57" s="2655"/>
      <c r="L57" s="2661"/>
      <c r="M57" s="2667"/>
      <c r="N57" s="2667"/>
      <c r="O57" s="2667"/>
      <c r="P57" s="2667"/>
      <c r="Q57" s="2689"/>
      <c r="R57" s="2667"/>
      <c r="S57" s="2667"/>
      <c r="T57" s="2670"/>
      <c r="U57" s="2625"/>
      <c r="V57" s="2598" t="str">
        <f t="shared" si="9"/>
        <v/>
      </c>
      <c r="W57" s="2598" t="str">
        <f t="shared" si="10"/>
        <v/>
      </c>
      <c r="X57" s="2598" t="str">
        <f t="shared" si="11"/>
        <v/>
      </c>
      <c r="Y57" s="2594"/>
      <c r="Z57" s="2602"/>
      <c r="AA57" s="2602"/>
      <c r="AB57" s="2602"/>
      <c r="AC57" s="2602"/>
      <c r="AD57" s="2446" t="str">
        <f t="shared" si="4"/>
        <v/>
      </c>
      <c r="AE57" s="2446" t="str">
        <f t="shared" si="5"/>
        <v/>
      </c>
      <c r="AF57" s="2446" t="str">
        <f t="shared" si="6"/>
        <v/>
      </c>
      <c r="AG57" s="2599"/>
      <c r="AH57" s="2599"/>
      <c r="AI57" s="2600"/>
      <c r="AJ57" s="2601"/>
    </row>
    <row r="58" spans="1:36" s="1118" customFormat="1" ht="15" hidden="1" customHeight="1" outlineLevel="1" thickBot="1">
      <c r="A58" s="2318"/>
      <c r="B58" s="3024"/>
      <c r="C58" s="3027"/>
      <c r="D58" s="3028"/>
      <c r="E58" s="3029"/>
      <c r="F58" s="2472" t="s">
        <v>3863</v>
      </c>
      <c r="G58" s="2463"/>
      <c r="H58" s="2641"/>
      <c r="I58" s="2641"/>
      <c r="J58" s="2641"/>
      <c r="K58" s="2641"/>
      <c r="L58" s="2662"/>
      <c r="M58" s="2641"/>
      <c r="N58" s="2641"/>
      <c r="O58" s="2641"/>
      <c r="P58" s="2641"/>
      <c r="Q58" s="2649"/>
      <c r="R58" s="2641"/>
      <c r="S58" s="2641"/>
      <c r="T58" s="2641"/>
      <c r="U58" s="2649"/>
      <c r="V58" s="2598" t="str">
        <f t="shared" si="9"/>
        <v/>
      </c>
      <c r="W58" s="2598" t="str">
        <f t="shared" si="10"/>
        <v/>
      </c>
      <c r="X58" s="2598" t="str">
        <f t="shared" si="11"/>
        <v/>
      </c>
      <c r="Y58" s="2594"/>
      <c r="Z58" s="2602"/>
      <c r="AA58" s="2602"/>
      <c r="AB58" s="2602"/>
      <c r="AC58" s="2602"/>
      <c r="AD58" s="2446" t="str">
        <f t="shared" si="4"/>
        <v/>
      </c>
      <c r="AE58" s="2446" t="str">
        <f t="shared" si="5"/>
        <v/>
      </c>
      <c r="AF58" s="2446" t="str">
        <f t="shared" si="6"/>
        <v/>
      </c>
      <c r="AG58" s="2599"/>
      <c r="AH58" s="2599"/>
      <c r="AI58" s="2600"/>
      <c r="AJ58" s="2601"/>
    </row>
    <row r="59" spans="1:36" s="1118" customFormat="1" ht="15" hidden="1" customHeight="1" outlineLevel="1" thickBot="1">
      <c r="A59" s="2318"/>
      <c r="B59" s="3024"/>
      <c r="C59" s="3027"/>
      <c r="D59" s="3028"/>
      <c r="E59" s="3029"/>
      <c r="F59" s="2474" t="s">
        <v>3864</v>
      </c>
      <c r="G59" s="2464"/>
      <c r="H59" s="2641"/>
      <c r="I59" s="2641"/>
      <c r="J59" s="2641"/>
      <c r="K59" s="2641"/>
      <c r="L59" s="2662"/>
      <c r="M59" s="2641"/>
      <c r="N59" s="2641"/>
      <c r="O59" s="2641"/>
      <c r="P59" s="2641"/>
      <c r="Q59" s="2649"/>
      <c r="R59" s="2641"/>
      <c r="S59" s="2641"/>
      <c r="T59" s="2641"/>
      <c r="U59" s="2649"/>
      <c r="V59" s="2598" t="str">
        <f t="shared" si="9"/>
        <v/>
      </c>
      <c r="W59" s="2598" t="str">
        <f t="shared" si="10"/>
        <v/>
      </c>
      <c r="X59" s="2598" t="str">
        <f t="shared" si="11"/>
        <v/>
      </c>
      <c r="Y59" s="2594"/>
      <c r="Z59" s="2602"/>
      <c r="AA59" s="2602"/>
      <c r="AB59" s="2602"/>
      <c r="AC59" s="2602"/>
      <c r="AD59" s="2446" t="str">
        <f t="shared" si="4"/>
        <v/>
      </c>
      <c r="AE59" s="2446" t="str">
        <f t="shared" si="5"/>
        <v/>
      </c>
      <c r="AF59" s="2446" t="str">
        <f t="shared" si="6"/>
        <v/>
      </c>
      <c r="AG59" s="2599"/>
      <c r="AH59" s="2599"/>
      <c r="AI59" s="2600"/>
      <c r="AJ59" s="2601"/>
    </row>
    <row r="60" spans="1:36" s="1118" customFormat="1" ht="25.5" hidden="1" customHeight="1" outlineLevel="1" thickBot="1">
      <c r="A60" s="2318"/>
      <c r="B60" s="3024"/>
      <c r="C60" s="3027"/>
      <c r="D60" s="3030"/>
      <c r="E60" s="3031"/>
      <c r="F60" s="2474" t="s">
        <v>3865</v>
      </c>
      <c r="G60" s="2464"/>
      <c r="H60" s="2812"/>
      <c r="I60" s="2812"/>
      <c r="J60" s="2812"/>
      <c r="K60" s="2812"/>
      <c r="L60" s="2812"/>
      <c r="M60" s="2812"/>
      <c r="N60" s="2812"/>
      <c r="O60" s="2812"/>
      <c r="P60" s="2812"/>
      <c r="Q60" s="2812"/>
      <c r="R60" s="2812"/>
      <c r="S60" s="2812"/>
      <c r="T60" s="2812"/>
      <c r="U60" s="2812"/>
      <c r="V60" s="2813" t="str">
        <f t="shared" si="9"/>
        <v/>
      </c>
      <c r="W60" s="2813" t="str">
        <f t="shared" si="10"/>
        <v/>
      </c>
      <c r="X60" s="2813" t="str">
        <f t="shared" si="11"/>
        <v/>
      </c>
      <c r="Y60" s="2395"/>
      <c r="Z60" s="2772"/>
      <c r="AA60" s="2772"/>
      <c r="AB60" s="2772"/>
      <c r="AC60" s="2772"/>
      <c r="AD60" s="2772" t="str">
        <f t="shared" si="4"/>
        <v/>
      </c>
      <c r="AE60" s="2772" t="str">
        <f t="shared" si="5"/>
        <v/>
      </c>
      <c r="AF60" s="2772" t="str">
        <f t="shared" si="6"/>
        <v/>
      </c>
      <c r="AG60" s="2772"/>
      <c r="AH60" s="2772"/>
      <c r="AI60" s="2814"/>
      <c r="AJ60" s="2812"/>
    </row>
    <row r="61" spans="1:36" s="1118" customFormat="1" ht="15" collapsed="1">
      <c r="A61" s="2331"/>
      <c r="B61" s="2332"/>
      <c r="C61" s="2332"/>
      <c r="D61" s="2332"/>
      <c r="E61" s="2332"/>
      <c r="F61" s="2333"/>
      <c r="G61" s="2334"/>
      <c r="H61" s="2439"/>
      <c r="I61" s="2439"/>
      <c r="J61" s="2439"/>
      <c r="K61" s="2439"/>
      <c r="L61" s="2439"/>
      <c r="M61" s="2439"/>
      <c r="N61" s="2439"/>
      <c r="O61" s="2439"/>
      <c r="P61" s="2439"/>
      <c r="Q61" s="2439"/>
      <c r="R61" s="2439"/>
      <c r="S61" s="2439"/>
      <c r="T61" s="2439"/>
      <c r="Z61"/>
      <c r="AA61"/>
      <c r="AB61"/>
      <c r="AC61"/>
      <c r="AD61"/>
      <c r="AE61"/>
      <c r="AF61"/>
      <c r="AG61"/>
      <c r="AH61"/>
      <c r="AI61"/>
    </row>
    <row r="62" spans="1:36" s="1118" customFormat="1" ht="15">
      <c r="A62" s="2331"/>
      <c r="B62" s="2331"/>
      <c r="C62" s="2331"/>
      <c r="D62" s="2331"/>
      <c r="E62" s="2331"/>
      <c r="F62" s="2334"/>
      <c r="G62" s="2334"/>
      <c r="I62" s="2439"/>
      <c r="J62" s="2439"/>
      <c r="K62" s="2439"/>
      <c r="L62" s="2439"/>
      <c r="M62" s="2439"/>
      <c r="N62" s="2439"/>
      <c r="O62" s="2439"/>
      <c r="P62" s="2439"/>
      <c r="Q62" s="2439"/>
      <c r="R62" s="2439"/>
      <c r="S62" s="2439"/>
      <c r="T62" s="2439"/>
      <c r="Z62"/>
      <c r="AA62"/>
      <c r="AB62"/>
      <c r="AC62"/>
      <c r="AD62"/>
      <c r="AE62"/>
      <c r="AF62"/>
      <c r="AG62"/>
      <c r="AH62"/>
      <c r="AI62"/>
    </row>
    <row r="63" spans="1:36" s="1118" customFormat="1" ht="15">
      <c r="A63" s="2331"/>
      <c r="B63" s="2331"/>
      <c r="C63" s="2331"/>
      <c r="D63" s="2331"/>
      <c r="E63" s="2331"/>
      <c r="F63" s="2334"/>
      <c r="G63" s="2334"/>
      <c r="H63" s="2439"/>
      <c r="I63" s="2439"/>
      <c r="J63" s="2439"/>
      <c r="K63" s="2439"/>
      <c r="L63" s="2439"/>
      <c r="M63" s="2439"/>
      <c r="N63" s="2439"/>
      <c r="O63" s="2439"/>
      <c r="P63" s="2439"/>
      <c r="Q63" s="2439"/>
      <c r="R63" s="2439"/>
      <c r="S63" s="2439"/>
      <c r="T63" s="2439"/>
      <c r="Z63"/>
      <c r="AA63"/>
      <c r="AB63"/>
      <c r="AC63"/>
      <c r="AD63"/>
      <c r="AE63"/>
      <c r="AF63"/>
      <c r="AG63"/>
      <c r="AH63"/>
      <c r="AI63"/>
    </row>
    <row r="64" spans="1:36" s="1118" customFormat="1" ht="15">
      <c r="A64" s="2331"/>
      <c r="B64" s="2331"/>
      <c r="C64" s="2331"/>
      <c r="D64" s="2331"/>
      <c r="E64" s="2331"/>
      <c r="F64" s="2334"/>
      <c r="G64" s="2334"/>
      <c r="H64" s="2439"/>
      <c r="I64" s="2439"/>
      <c r="J64" s="2439"/>
      <c r="K64" s="2439"/>
      <c r="L64" s="2439"/>
      <c r="M64" s="2439"/>
      <c r="N64" s="2439"/>
      <c r="O64" s="2439"/>
      <c r="P64" s="2439"/>
      <c r="Q64" s="2439"/>
      <c r="R64" s="2439"/>
      <c r="S64" s="2439"/>
      <c r="T64" s="2439"/>
      <c r="Z64"/>
      <c r="AA64"/>
      <c r="AB64"/>
      <c r="AC64"/>
      <c r="AD64"/>
      <c r="AE64"/>
      <c r="AF64"/>
      <c r="AG64"/>
      <c r="AH64"/>
      <c r="AI64"/>
    </row>
    <row r="65" spans="1:36" s="1118" customFormat="1" ht="15">
      <c r="A65" s="2331"/>
      <c r="B65" s="2331"/>
      <c r="C65" s="2331"/>
      <c r="D65" s="2331"/>
      <c r="E65" s="2331"/>
      <c r="F65" s="2334"/>
      <c r="G65" s="2334"/>
      <c r="H65" s="2439"/>
      <c r="I65" s="2439"/>
      <c r="J65" s="2439"/>
      <c r="K65" s="2439"/>
      <c r="L65" s="2439"/>
      <c r="M65" s="2439"/>
      <c r="N65" s="2439"/>
      <c r="O65" s="2439"/>
      <c r="P65" s="2439"/>
      <c r="Q65" s="2439"/>
      <c r="R65" s="2439"/>
      <c r="S65" s="2439"/>
      <c r="T65" s="2439"/>
      <c r="Z65"/>
      <c r="AA65"/>
      <c r="AB65"/>
      <c r="AC65"/>
      <c r="AD65"/>
      <c r="AE65"/>
      <c r="AF65"/>
      <c r="AG65"/>
      <c r="AH65"/>
      <c r="AI65"/>
    </row>
    <row r="66" spans="1:36" s="1118" customFormat="1" ht="15.75" thickBot="1">
      <c r="A66" s="2331"/>
      <c r="B66" s="2331"/>
      <c r="C66" s="2331"/>
      <c r="D66" s="2331"/>
      <c r="E66" s="2331"/>
      <c r="F66" s="2334"/>
      <c r="G66" s="2334"/>
      <c r="H66" s="2439"/>
      <c r="I66" s="2439"/>
      <c r="J66" s="2439"/>
      <c r="K66" s="2439"/>
      <c r="L66" s="2439"/>
      <c r="M66" s="2439"/>
      <c r="N66" s="2439"/>
      <c r="O66" s="2439"/>
      <c r="P66" s="2439"/>
      <c r="Q66" s="2439"/>
      <c r="R66" s="2439"/>
      <c r="S66" s="2439"/>
      <c r="T66" s="2439"/>
      <c r="Z66"/>
      <c r="AA66"/>
      <c r="AB66"/>
      <c r="AC66"/>
      <c r="AD66"/>
      <c r="AE66"/>
      <c r="AF66"/>
      <c r="AG66"/>
      <c r="AH66"/>
      <c r="AI66"/>
    </row>
    <row r="67" spans="1:36" s="1118" customFormat="1" ht="15.75" customHeight="1" thickBot="1">
      <c r="A67" s="2997"/>
      <c r="B67" s="2998"/>
      <c r="C67" s="2998"/>
      <c r="D67" s="2998"/>
      <c r="E67" s="2998"/>
      <c r="F67" s="2999"/>
      <c r="G67" s="3165" t="s">
        <v>3968</v>
      </c>
      <c r="H67" s="3166"/>
      <c r="I67" s="3166"/>
      <c r="J67" s="3166"/>
      <c r="K67" s="3166"/>
      <c r="L67" s="3166"/>
      <c r="M67" s="3166"/>
      <c r="N67" s="3166"/>
      <c r="O67" s="3166"/>
      <c r="P67" s="3166"/>
      <c r="Q67" s="3166"/>
      <c r="R67" s="3166"/>
      <c r="S67" s="3166"/>
      <c r="T67" s="3166"/>
      <c r="U67" s="3167"/>
      <c r="Z67"/>
      <c r="AA67"/>
      <c r="AB67"/>
      <c r="AC67"/>
      <c r="AD67"/>
      <c r="AE67"/>
      <c r="AF67"/>
      <c r="AG67"/>
      <c r="AH67"/>
      <c r="AI67"/>
    </row>
    <row r="68" spans="1:36" s="1118" customFormat="1" ht="43.5" customHeight="1">
      <c r="A68" s="3007" t="s">
        <v>0</v>
      </c>
      <c r="B68" s="3009" t="s">
        <v>3849</v>
      </c>
      <c r="C68" s="3010" t="s">
        <v>3850</v>
      </c>
      <c r="D68" s="3012" t="s">
        <v>3851</v>
      </c>
      <c r="E68" s="3012" t="s">
        <v>3852</v>
      </c>
      <c r="F68" s="2990" t="s">
        <v>3853</v>
      </c>
      <c r="G68" s="3002" t="s">
        <v>3854</v>
      </c>
      <c r="H68" s="3168" t="s">
        <v>3855</v>
      </c>
      <c r="I68" s="3169"/>
      <c r="J68" s="3169"/>
      <c r="K68" s="3169"/>
      <c r="L68" s="3170"/>
      <c r="M68" s="3168" t="s">
        <v>3856</v>
      </c>
      <c r="N68" s="3169"/>
      <c r="O68" s="3169"/>
      <c r="P68" s="3169"/>
      <c r="Q68" s="3170"/>
      <c r="R68" s="3171" t="s">
        <v>3857</v>
      </c>
      <c r="S68" s="3172"/>
      <c r="T68" s="3172"/>
      <c r="U68" s="3173"/>
      <c r="V68" s="3136" t="s">
        <v>3978</v>
      </c>
      <c r="W68" s="3137"/>
      <c r="X68" s="3137"/>
      <c r="Y68" s="3138"/>
      <c r="Z68" s="3132" t="s">
        <v>3858</v>
      </c>
      <c r="AA68" s="3132"/>
      <c r="AB68" s="3132"/>
      <c r="AC68" s="3132"/>
      <c r="AD68" s="3136" t="s">
        <v>3979</v>
      </c>
      <c r="AE68" s="3137"/>
      <c r="AF68" s="3137"/>
      <c r="AG68" s="3138"/>
      <c r="AH68" s="2496" t="s">
        <v>3980</v>
      </c>
      <c r="AI68" s="2500" t="s">
        <v>3974</v>
      </c>
      <c r="AJ68" s="2500" t="s">
        <v>3975</v>
      </c>
    </row>
    <row r="69" spans="1:36" s="1118" customFormat="1" ht="76.5" customHeight="1" thickBot="1">
      <c r="A69" s="3008"/>
      <c r="B69" s="3002"/>
      <c r="C69" s="3011"/>
      <c r="D69" s="3013"/>
      <c r="E69" s="3013"/>
      <c r="F69" s="2991"/>
      <c r="G69" s="3003"/>
      <c r="H69" s="2379">
        <f>H11</f>
        <v>2015</v>
      </c>
      <c r="I69" s="2460">
        <f>I11</f>
        <v>2016</v>
      </c>
      <c r="J69" s="2460">
        <f>J11</f>
        <v>2017</v>
      </c>
      <c r="K69" s="2460" t="str">
        <f>K11</f>
        <v>План (в случае отсутствия факта за 3 года)</v>
      </c>
      <c r="L69" s="2595" t="s">
        <v>2559</v>
      </c>
      <c r="M69" s="2460">
        <f>H69</f>
        <v>2015</v>
      </c>
      <c r="N69" s="2460">
        <f>I69</f>
        <v>2016</v>
      </c>
      <c r="O69" s="2460">
        <f>J69</f>
        <v>2017</v>
      </c>
      <c r="P69" s="2460" t="str">
        <f>P11</f>
        <v>План (в случае отсутствия факта за 3 года)</v>
      </c>
      <c r="Q69" s="2595" t="s">
        <v>2559</v>
      </c>
      <c r="R69" s="2460">
        <f>H69</f>
        <v>2015</v>
      </c>
      <c r="S69" s="2460">
        <f>I69</f>
        <v>2016</v>
      </c>
      <c r="T69" s="2380">
        <f>J69</f>
        <v>2017</v>
      </c>
      <c r="U69" s="2380" t="str">
        <f>U11</f>
        <v>План (в случае отсутствия факта за 3 года)</v>
      </c>
      <c r="V69" s="2496">
        <f>R69</f>
        <v>2015</v>
      </c>
      <c r="W69" s="2496">
        <f>S69</f>
        <v>2016</v>
      </c>
      <c r="X69" s="2496">
        <f>T69</f>
        <v>2017</v>
      </c>
      <c r="Y69" s="2496" t="s">
        <v>3925</v>
      </c>
      <c r="Z69" s="2588">
        <v>2016</v>
      </c>
      <c r="AA69" s="2588">
        <v>2017</v>
      </c>
      <c r="AB69" s="2588">
        <v>2018</v>
      </c>
      <c r="AC69" s="2588">
        <v>2019</v>
      </c>
      <c r="AD69" s="2503">
        <f>V69</f>
        <v>2015</v>
      </c>
      <c r="AE69" s="2503">
        <f>W69</f>
        <v>2016</v>
      </c>
      <c r="AF69" s="2503">
        <f>X69</f>
        <v>2017</v>
      </c>
      <c r="AG69" s="2503" t="str">
        <f>Y69</f>
        <v>План (в случае отсутствия факта за 3 года)</v>
      </c>
      <c r="AH69" s="2497" t="s">
        <v>3981</v>
      </c>
      <c r="AI69" s="2597" t="s">
        <v>3976</v>
      </c>
      <c r="AJ69" s="2597" t="s">
        <v>3977</v>
      </c>
    </row>
    <row r="70" spans="1:36" s="1118" customFormat="1" ht="15.75" thickBot="1">
      <c r="A70" s="2316">
        <v>1</v>
      </c>
      <c r="B70" s="2470">
        <v>2</v>
      </c>
      <c r="C70" s="3014">
        <v>3</v>
      </c>
      <c r="D70" s="3015"/>
      <c r="E70" s="3015"/>
      <c r="F70" s="3016"/>
      <c r="G70" s="2317">
        <v>4</v>
      </c>
      <c r="H70" s="3017">
        <v>5</v>
      </c>
      <c r="I70" s="3018"/>
      <c r="J70" s="3018"/>
      <c r="K70" s="3018"/>
      <c r="L70" s="3019"/>
      <c r="M70" s="3017">
        <v>6</v>
      </c>
      <c r="N70" s="3018"/>
      <c r="O70" s="3018"/>
      <c r="P70" s="3018"/>
      <c r="Q70" s="3019"/>
      <c r="R70" s="3017">
        <v>7</v>
      </c>
      <c r="S70" s="3018"/>
      <c r="T70" s="3018"/>
      <c r="U70" s="3021"/>
      <c r="V70" s="3131">
        <v>8</v>
      </c>
      <c r="W70" s="3131"/>
      <c r="X70" s="3131"/>
      <c r="Y70" s="3131"/>
      <c r="Z70" s="3131">
        <v>9</v>
      </c>
      <c r="AA70" s="3131"/>
      <c r="AB70" s="3131"/>
      <c r="AC70" s="3131"/>
      <c r="AD70" s="3105">
        <v>10</v>
      </c>
      <c r="AE70" s="3106"/>
      <c r="AF70" s="3106"/>
      <c r="AG70" s="3107"/>
      <c r="AH70" s="2498">
        <v>11</v>
      </c>
      <c r="AI70" s="2498">
        <v>12</v>
      </c>
      <c r="AJ70" s="2499">
        <v>13</v>
      </c>
    </row>
    <row r="71" spans="1:36" s="1118" customFormat="1" ht="15" hidden="1" outlineLevel="1">
      <c r="A71" s="2318"/>
      <c r="B71" s="3032" t="s">
        <v>2952</v>
      </c>
      <c r="C71" s="3034" t="s">
        <v>3859</v>
      </c>
      <c r="D71" s="3036" t="s">
        <v>2949</v>
      </c>
      <c r="E71" s="3037" t="s">
        <v>2950</v>
      </c>
      <c r="F71" s="2381" t="s">
        <v>3860</v>
      </c>
      <c r="G71" s="2465"/>
      <c r="H71" s="2637"/>
      <c r="I71" s="2637"/>
      <c r="J71" s="2637"/>
      <c r="K71" s="2637"/>
      <c r="L71" s="2637"/>
      <c r="M71" s="2637"/>
      <c r="N71" s="2637"/>
      <c r="O71" s="2637"/>
      <c r="P71" s="2637"/>
      <c r="Q71" s="2637"/>
      <c r="R71" s="2637"/>
      <c r="S71" s="2637"/>
      <c r="T71" s="2637"/>
      <c r="U71" s="2637"/>
      <c r="V71" s="2632" t="str">
        <f t="shared" ref="V71:V76" si="14">IFERROR(R71*1000/(H71/1000),"")</f>
        <v/>
      </c>
      <c r="W71" s="2632" t="str">
        <f t="shared" ref="W71:W76" si="15">IFERROR(S71*1000/(I71/1000),"")</f>
        <v/>
      </c>
      <c r="X71" s="2632" t="str">
        <f t="shared" ref="X71:X76" si="16">IFERROR(T71*1000/(J71/1000),"")</f>
        <v/>
      </c>
      <c r="Y71" s="2567"/>
      <c r="Z71" s="2645">
        <f>$Z$13</f>
        <v>1.0528</v>
      </c>
      <c r="AA71" s="2645">
        <f>$AA$13</f>
        <v>1.0589</v>
      </c>
      <c r="AB71" s="2645">
        <f>$AB$13</f>
        <v>1.0507936887282501</v>
      </c>
      <c r="AC71" s="2645">
        <f>$AC$13</f>
        <v>1.04657781587849</v>
      </c>
      <c r="AD71" s="2507" t="str">
        <f t="shared" ref="AD71:AD76" si="17">IFERROR(V71*$Z$13*$AA$13*$AB$13*$AC$13,"")</f>
        <v/>
      </c>
      <c r="AE71" s="2507" t="str">
        <f t="shared" ref="AE71:AE76" si="18">IFERROR(W71*$AA$13*$AB$13*$AC$13,"")</f>
        <v/>
      </c>
      <c r="AF71" s="2507" t="str">
        <f t="shared" ref="AF71:AF76" si="19">IFERROR(X71*$AB$13*$AC$13,"")</f>
        <v/>
      </c>
      <c r="AG71" s="2642"/>
      <c r="AH71" s="2643"/>
      <c r="AI71" s="2684"/>
      <c r="AJ71" s="2649"/>
    </row>
    <row r="72" spans="1:36" s="1118" customFormat="1" ht="15" hidden="1" outlineLevel="1">
      <c r="A72" s="2318"/>
      <c r="B72" s="3033"/>
      <c r="C72" s="3035"/>
      <c r="D72" s="3028"/>
      <c r="E72" s="3029"/>
      <c r="F72" s="2472" t="s">
        <v>3861</v>
      </c>
      <c r="G72" s="2466"/>
      <c r="H72" s="2637"/>
      <c r="I72" s="2637"/>
      <c r="J72" s="2637"/>
      <c r="K72" s="2637"/>
      <c r="L72" s="2637"/>
      <c r="M72" s="2637"/>
      <c r="N72" s="2637"/>
      <c r="O72" s="2637"/>
      <c r="P72" s="2637"/>
      <c r="Q72" s="2637"/>
      <c r="R72" s="2637"/>
      <c r="S72" s="2637"/>
      <c r="T72" s="2637"/>
      <c r="U72" s="2637"/>
      <c r="V72" s="2632" t="str">
        <f t="shared" si="14"/>
        <v/>
      </c>
      <c r="W72" s="2632" t="str">
        <f t="shared" si="15"/>
        <v/>
      </c>
      <c r="X72" s="2632" t="str">
        <f t="shared" si="16"/>
        <v/>
      </c>
      <c r="Y72" s="2567"/>
      <c r="Z72" s="2642"/>
      <c r="AA72" s="2642"/>
      <c r="AB72" s="2642"/>
      <c r="AC72" s="2642"/>
      <c r="AD72" s="2507" t="str">
        <f t="shared" si="17"/>
        <v/>
      </c>
      <c r="AE72" s="2507" t="str">
        <f t="shared" si="18"/>
        <v/>
      </c>
      <c r="AF72" s="2507" t="str">
        <f t="shared" si="19"/>
        <v/>
      </c>
      <c r="AG72" s="2642"/>
      <c r="AH72" s="2643"/>
      <c r="AI72" s="2684"/>
      <c r="AJ72" s="2649"/>
    </row>
    <row r="73" spans="1:36" s="1118" customFormat="1" ht="15" hidden="1" outlineLevel="1">
      <c r="A73" s="2318"/>
      <c r="B73" s="3033"/>
      <c r="C73" s="3035"/>
      <c r="D73" s="3028"/>
      <c r="E73" s="3029"/>
      <c r="F73" s="2472" t="s">
        <v>3862</v>
      </c>
      <c r="G73" s="2466"/>
      <c r="H73" s="2637"/>
      <c r="I73" s="2637"/>
      <c r="J73" s="2637"/>
      <c r="K73" s="2637"/>
      <c r="L73" s="2637"/>
      <c r="M73" s="2637"/>
      <c r="N73" s="2637"/>
      <c r="O73" s="2637"/>
      <c r="P73" s="2637"/>
      <c r="Q73" s="2637"/>
      <c r="R73" s="2637"/>
      <c r="S73" s="2637"/>
      <c r="T73" s="2637"/>
      <c r="U73" s="2637"/>
      <c r="V73" s="2632" t="str">
        <f t="shared" si="14"/>
        <v/>
      </c>
      <c r="W73" s="2632" t="str">
        <f t="shared" si="15"/>
        <v/>
      </c>
      <c r="X73" s="2632" t="str">
        <f t="shared" si="16"/>
        <v/>
      </c>
      <c r="Y73" s="2567"/>
      <c r="Z73" s="2642"/>
      <c r="AA73" s="2642"/>
      <c r="AB73" s="2642"/>
      <c r="AC73" s="2642"/>
      <c r="AD73" s="2507" t="str">
        <f t="shared" si="17"/>
        <v/>
      </c>
      <c r="AE73" s="2507" t="str">
        <f t="shared" si="18"/>
        <v/>
      </c>
      <c r="AF73" s="2507" t="str">
        <f t="shared" si="19"/>
        <v/>
      </c>
      <c r="AG73" s="2642"/>
      <c r="AH73" s="2643"/>
      <c r="AI73" s="2684"/>
      <c r="AJ73" s="2649"/>
    </row>
    <row r="74" spans="1:36" s="1118" customFormat="1" ht="15" hidden="1" outlineLevel="1">
      <c r="A74" s="2318"/>
      <c r="B74" s="3033"/>
      <c r="C74" s="3035"/>
      <c r="D74" s="3028"/>
      <c r="E74" s="3029"/>
      <c r="F74" s="2472" t="s">
        <v>3863</v>
      </c>
      <c r="G74" s="2466"/>
      <c r="H74" s="2637"/>
      <c r="I74" s="2637"/>
      <c r="J74" s="2637"/>
      <c r="K74" s="2637"/>
      <c r="L74" s="2637"/>
      <c r="M74" s="2637"/>
      <c r="N74" s="2637"/>
      <c r="O74" s="2637"/>
      <c r="P74" s="2637"/>
      <c r="Q74" s="2637"/>
      <c r="R74" s="2637"/>
      <c r="S74" s="2637"/>
      <c r="T74" s="2637"/>
      <c r="U74" s="2637"/>
      <c r="V74" s="2632" t="str">
        <f t="shared" si="14"/>
        <v/>
      </c>
      <c r="W74" s="2632" t="str">
        <f t="shared" si="15"/>
        <v/>
      </c>
      <c r="X74" s="2632" t="str">
        <f t="shared" si="16"/>
        <v/>
      </c>
      <c r="Y74" s="2567"/>
      <c r="Z74" s="2642"/>
      <c r="AA74" s="2642"/>
      <c r="AB74" s="2642"/>
      <c r="AC74" s="2642"/>
      <c r="AD74" s="2507" t="str">
        <f t="shared" si="17"/>
        <v/>
      </c>
      <c r="AE74" s="2507" t="str">
        <f t="shared" si="18"/>
        <v/>
      </c>
      <c r="AF74" s="2507" t="str">
        <f t="shared" si="19"/>
        <v/>
      </c>
      <c r="AG74" s="2642"/>
      <c r="AH74" s="2643"/>
      <c r="AI74" s="2684"/>
      <c r="AJ74" s="2649"/>
    </row>
    <row r="75" spans="1:36" s="1118" customFormat="1" ht="15" hidden="1" outlineLevel="1">
      <c r="A75" s="2318"/>
      <c r="B75" s="3033"/>
      <c r="C75" s="3035"/>
      <c r="D75" s="3028"/>
      <c r="E75" s="3029"/>
      <c r="F75" s="2474" t="s">
        <v>3864</v>
      </c>
      <c r="G75" s="2473"/>
      <c r="H75" s="2637"/>
      <c r="I75" s="2637"/>
      <c r="J75" s="2637"/>
      <c r="K75" s="2637"/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2" t="str">
        <f t="shared" si="14"/>
        <v/>
      </c>
      <c r="W75" s="2632" t="str">
        <f t="shared" si="15"/>
        <v/>
      </c>
      <c r="X75" s="2632" t="str">
        <f t="shared" si="16"/>
        <v/>
      </c>
      <c r="Y75" s="2567"/>
      <c r="Z75" s="2642"/>
      <c r="AA75" s="2642"/>
      <c r="AB75" s="2642"/>
      <c r="AC75" s="2642"/>
      <c r="AD75" s="2507" t="str">
        <f t="shared" si="17"/>
        <v/>
      </c>
      <c r="AE75" s="2507" t="str">
        <f t="shared" si="18"/>
        <v/>
      </c>
      <c r="AF75" s="2507" t="str">
        <f t="shared" si="19"/>
        <v/>
      </c>
      <c r="AG75" s="2642"/>
      <c r="AH75" s="2643"/>
      <c r="AI75" s="2684"/>
      <c r="AJ75" s="2649"/>
    </row>
    <row r="76" spans="1:36" s="1118" customFormat="1" ht="15" hidden="1" outlineLevel="1">
      <c r="A76" s="2318"/>
      <c r="B76" s="3033"/>
      <c r="C76" s="3035"/>
      <c r="D76" s="3028"/>
      <c r="E76" s="3029"/>
      <c r="F76" s="2474" t="s">
        <v>3865</v>
      </c>
      <c r="G76" s="2473"/>
      <c r="H76" s="2637"/>
      <c r="I76" s="2637"/>
      <c r="J76" s="2637"/>
      <c r="K76" s="2637"/>
      <c r="L76" s="2637"/>
      <c r="M76" s="2637"/>
      <c r="N76" s="2637"/>
      <c r="O76" s="2637"/>
      <c r="P76" s="2637"/>
      <c r="Q76" s="2637"/>
      <c r="R76" s="2637"/>
      <c r="S76" s="2637"/>
      <c r="T76" s="2637"/>
      <c r="U76" s="2637"/>
      <c r="V76" s="2632" t="str">
        <f t="shared" si="14"/>
        <v/>
      </c>
      <c r="W76" s="2632" t="str">
        <f t="shared" si="15"/>
        <v/>
      </c>
      <c r="X76" s="2632" t="str">
        <f t="shared" si="16"/>
        <v/>
      </c>
      <c r="Y76" s="2567"/>
      <c r="Z76" s="2642"/>
      <c r="AA76" s="2642"/>
      <c r="AB76" s="2642"/>
      <c r="AC76" s="2642"/>
      <c r="AD76" s="2507" t="str">
        <f t="shared" si="17"/>
        <v/>
      </c>
      <c r="AE76" s="2507" t="str">
        <f t="shared" si="18"/>
        <v/>
      </c>
      <c r="AF76" s="2507" t="str">
        <f t="shared" si="19"/>
        <v/>
      </c>
      <c r="AG76" s="2642"/>
      <c r="AH76" s="2643"/>
      <c r="AI76" s="2684"/>
      <c r="AJ76" s="2649"/>
    </row>
    <row r="77" spans="1:36" s="1118" customFormat="1" ht="15.75" collapsed="1" thickBot="1">
      <c r="A77" s="2318"/>
      <c r="B77" s="3033"/>
      <c r="C77" s="3035"/>
      <c r="D77" s="3028"/>
      <c r="E77" s="3029" t="s">
        <v>2946</v>
      </c>
      <c r="F77" s="2472" t="s">
        <v>3860</v>
      </c>
      <c r="G77" s="2466"/>
      <c r="H77" s="2634">
        <f>' (стр.15)'!F145*1000</f>
        <v>170</v>
      </c>
      <c r="I77" s="2635"/>
      <c r="J77" s="2635">
        <f>('(Стр.17)'!F73+'(Стр.17)'!F106)*1000</f>
        <v>655</v>
      </c>
      <c r="K77" s="2636"/>
      <c r="L77" s="2617">
        <f>SUM(H77:K77)</f>
        <v>825</v>
      </c>
      <c r="M77" s="2634">
        <f>' (стр.15)'!G145</f>
        <v>24</v>
      </c>
      <c r="N77" s="2635"/>
      <c r="O77" s="2635">
        <f>('(Стр.17)'!G73+'(Стр.17)'!G106)</f>
        <v>118.97999999999999</v>
      </c>
      <c r="P77" s="2636"/>
      <c r="Q77" s="2617">
        <f t="shared" ref="Q77:Q101" si="20">SUM(M77:P77)</f>
        <v>142.97999999999999</v>
      </c>
      <c r="R77" s="2647">
        <f>' (стр.15)'!P145/1000</f>
        <v>10.91005</v>
      </c>
      <c r="S77" s="2648"/>
      <c r="T77" s="2622">
        <f>('(Стр.17)'!P73+'(Стр.17)'!P106)/1000</f>
        <v>616.05106000000001</v>
      </c>
      <c r="U77" s="2649"/>
      <c r="V77" s="2644">
        <f>IFERROR(R77*1000/(H77/1000),"")</f>
        <v>64176.764705882342</v>
      </c>
      <c r="W77" s="2644" t="str">
        <f t="shared" ref="W77" si="21">IFERROR(S77*1000/(I77/1000),"")</f>
        <v/>
      </c>
      <c r="X77" s="2644">
        <f t="shared" ref="X77" si="22">IFERROR(T77*1000/(J77/1000),"")</f>
        <v>940535.96946564887</v>
      </c>
      <c r="Y77" s="2633"/>
      <c r="Z77" s="2645">
        <f>$Z$13</f>
        <v>1.0528</v>
      </c>
      <c r="AA77" s="2645">
        <f>$AA$13</f>
        <v>1.0589</v>
      </c>
      <c r="AB77" s="2645">
        <f>$AB$13</f>
        <v>1.0507936887282501</v>
      </c>
      <c r="AC77" s="2645">
        <f>$AC$13</f>
        <v>1.04657781587849</v>
      </c>
      <c r="AD77" s="2507">
        <f>IFERROR(V77*$Z$13*$AA$13*$AB$13*$AC$13,"")</f>
        <v>78680.593033310433</v>
      </c>
      <c r="AE77" s="2507" t="str">
        <f>IFERROR(W77*$AA$13*$AB$13*$AC$13,"")</f>
        <v/>
      </c>
      <c r="AF77" s="2507">
        <f t="shared" ref="AF77" si="23">IFERROR(X77*$AB$13*$AC$13,"")</f>
        <v>1034342.5475139969</v>
      </c>
      <c r="AG77" s="2599"/>
      <c r="AH77" s="2599">
        <f t="shared" ref="AH77" si="24">SUM(AD77:AF77)</f>
        <v>1113023.1405473074</v>
      </c>
      <c r="AI77" s="2700">
        <f>AH77/2</f>
        <v>556511.57027365372</v>
      </c>
      <c r="AJ77" s="2701">
        <f t="shared" ref="AJ77:AJ101" si="25">IFERROR((AI77*L77/1000)/Q77,"")</f>
        <v>3211.0927785408053</v>
      </c>
    </row>
    <row r="78" spans="1:36" s="1118" customFormat="1" ht="15" hidden="1" outlineLevel="1">
      <c r="A78" s="2318"/>
      <c r="B78" s="3033"/>
      <c r="C78" s="3035"/>
      <c r="D78" s="3028"/>
      <c r="E78" s="3029"/>
      <c r="F78" s="2472" t="s">
        <v>3861</v>
      </c>
      <c r="G78" s="2466"/>
      <c r="H78" s="2634"/>
      <c r="I78" s="2635"/>
      <c r="J78" s="2635"/>
      <c r="K78" s="2636"/>
      <c r="L78" s="2637"/>
      <c r="M78" s="2634"/>
      <c r="N78" s="2635"/>
      <c r="O78" s="2635"/>
      <c r="P78" s="2636"/>
      <c r="Q78" s="2617"/>
      <c r="R78" s="2641"/>
      <c r="S78" s="2641"/>
      <c r="T78" s="2650"/>
      <c r="U78" s="2649"/>
      <c r="V78" s="2644" t="str">
        <f t="shared" ref="V78:V118" si="26">IFERROR(R78*1000/(H78/1000),"")</f>
        <v/>
      </c>
      <c r="W78" s="2644" t="str">
        <f t="shared" ref="W78:W118" si="27">IFERROR(S78*1000/(I78/1000),"")</f>
        <v/>
      </c>
      <c r="X78" s="2644" t="str">
        <f t="shared" ref="X78:X118" si="28">IFERROR(T78*1000/(J78/1000),"")</f>
        <v/>
      </c>
      <c r="Y78" s="2633"/>
      <c r="Z78" s="2645"/>
      <c r="AA78" s="2645"/>
      <c r="AB78" s="2645"/>
      <c r="AC78" s="2645"/>
      <c r="AD78" s="2507" t="str">
        <f t="shared" ref="AD78:AD100" si="29">IFERROR(V78*$Z$13*$AA$13*$AB$13*$AC$13,"")</f>
        <v/>
      </c>
      <c r="AE78" s="2507" t="str">
        <f t="shared" ref="AE78:AE100" si="30">IFERROR(W78*$AA$13*$AB$13*$AC$13,"")</f>
        <v/>
      </c>
      <c r="AF78" s="2507" t="str">
        <f t="shared" ref="AF78:AF100" si="31">IFERROR(X78*$AB$13*$AC$13,"")</f>
        <v/>
      </c>
      <c r="AG78" s="2599"/>
      <c r="AH78" s="2599"/>
      <c r="AI78" s="2700"/>
      <c r="AJ78" s="2701" t="str">
        <f t="shared" si="25"/>
        <v/>
      </c>
    </row>
    <row r="79" spans="1:36" s="1118" customFormat="1" ht="15" hidden="1" outlineLevel="1">
      <c r="A79" s="2318"/>
      <c r="B79" s="3033"/>
      <c r="C79" s="3035"/>
      <c r="D79" s="3028"/>
      <c r="E79" s="3029"/>
      <c r="F79" s="2472" t="s">
        <v>3862</v>
      </c>
      <c r="G79" s="2466"/>
      <c r="H79" s="2634"/>
      <c r="I79" s="2635"/>
      <c r="J79" s="2635"/>
      <c r="K79" s="2636"/>
      <c r="L79" s="2637"/>
      <c r="M79" s="2634"/>
      <c r="N79" s="2635"/>
      <c r="O79" s="2635"/>
      <c r="P79" s="2636"/>
      <c r="Q79" s="2617"/>
      <c r="R79" s="2641"/>
      <c r="S79" s="2641"/>
      <c r="T79" s="2650"/>
      <c r="U79" s="2649"/>
      <c r="V79" s="2644" t="str">
        <f t="shared" si="26"/>
        <v/>
      </c>
      <c r="W79" s="2644" t="str">
        <f t="shared" si="27"/>
        <v/>
      </c>
      <c r="X79" s="2644" t="str">
        <f t="shared" si="28"/>
        <v/>
      </c>
      <c r="Y79" s="2633"/>
      <c r="Z79" s="2645"/>
      <c r="AA79" s="2645"/>
      <c r="AB79" s="2645"/>
      <c r="AC79" s="2645"/>
      <c r="AD79" s="2507" t="str">
        <f t="shared" si="29"/>
        <v/>
      </c>
      <c r="AE79" s="2507" t="str">
        <f t="shared" si="30"/>
        <v/>
      </c>
      <c r="AF79" s="2507" t="str">
        <f t="shared" si="31"/>
        <v/>
      </c>
      <c r="AG79" s="2599"/>
      <c r="AH79" s="2599"/>
      <c r="AI79" s="2700"/>
      <c r="AJ79" s="2701" t="str">
        <f t="shared" si="25"/>
        <v/>
      </c>
    </row>
    <row r="80" spans="1:36" s="1118" customFormat="1" ht="15" hidden="1" outlineLevel="1">
      <c r="A80" s="2318"/>
      <c r="B80" s="3033"/>
      <c r="C80" s="3035"/>
      <c r="D80" s="3028"/>
      <c r="E80" s="3029"/>
      <c r="F80" s="2472" t="s">
        <v>3863</v>
      </c>
      <c r="G80" s="2466"/>
      <c r="H80" s="2637"/>
      <c r="I80" s="2638"/>
      <c r="J80" s="2638"/>
      <c r="K80" s="2639"/>
      <c r="L80" s="2637"/>
      <c r="M80" s="2637"/>
      <c r="N80" s="2638"/>
      <c r="O80" s="2638"/>
      <c r="P80" s="2639"/>
      <c r="Q80" s="2617"/>
      <c r="R80" s="2641"/>
      <c r="S80" s="2641"/>
      <c r="T80" s="2650"/>
      <c r="U80" s="2649"/>
      <c r="V80" s="2644" t="str">
        <f t="shared" si="26"/>
        <v/>
      </c>
      <c r="W80" s="2644" t="str">
        <f t="shared" si="27"/>
        <v/>
      </c>
      <c r="X80" s="2644" t="str">
        <f t="shared" si="28"/>
        <v/>
      </c>
      <c r="Y80" s="2633"/>
      <c r="Z80" s="2645"/>
      <c r="AA80" s="2645"/>
      <c r="AB80" s="2645"/>
      <c r="AC80" s="2645"/>
      <c r="AD80" s="2507" t="str">
        <f t="shared" si="29"/>
        <v/>
      </c>
      <c r="AE80" s="2507" t="str">
        <f t="shared" si="30"/>
        <v/>
      </c>
      <c r="AF80" s="2507" t="str">
        <f t="shared" si="31"/>
        <v/>
      </c>
      <c r="AG80" s="2599"/>
      <c r="AH80" s="2599"/>
      <c r="AI80" s="2700"/>
      <c r="AJ80" s="2701" t="str">
        <f t="shared" si="25"/>
        <v/>
      </c>
    </row>
    <row r="81" spans="1:36" s="1118" customFormat="1" ht="15" hidden="1" outlineLevel="1">
      <c r="A81" s="2318"/>
      <c r="B81" s="3033"/>
      <c r="C81" s="3035"/>
      <c r="D81" s="3028"/>
      <c r="E81" s="3029"/>
      <c r="F81" s="2474" t="s">
        <v>3864</v>
      </c>
      <c r="G81" s="2473"/>
      <c r="H81" s="2637"/>
      <c r="I81" s="2638"/>
      <c r="J81" s="2638"/>
      <c r="K81" s="2639"/>
      <c r="L81" s="2637"/>
      <c r="M81" s="2637"/>
      <c r="N81" s="2638"/>
      <c r="O81" s="2638"/>
      <c r="P81" s="2639"/>
      <c r="Q81" s="2617"/>
      <c r="R81" s="2641"/>
      <c r="S81" s="2641"/>
      <c r="T81" s="2650"/>
      <c r="U81" s="2649"/>
      <c r="V81" s="2644" t="str">
        <f t="shared" si="26"/>
        <v/>
      </c>
      <c r="W81" s="2644" t="str">
        <f t="shared" si="27"/>
        <v/>
      </c>
      <c r="X81" s="2644" t="str">
        <f t="shared" si="28"/>
        <v/>
      </c>
      <c r="Y81" s="2633"/>
      <c r="Z81" s="2645"/>
      <c r="AA81" s="2645"/>
      <c r="AB81" s="2645"/>
      <c r="AC81" s="2645"/>
      <c r="AD81" s="2507" t="str">
        <f t="shared" si="29"/>
        <v/>
      </c>
      <c r="AE81" s="2507" t="str">
        <f t="shared" si="30"/>
        <v/>
      </c>
      <c r="AF81" s="2507" t="str">
        <f t="shared" si="31"/>
        <v/>
      </c>
      <c r="AG81" s="2599"/>
      <c r="AH81" s="2599"/>
      <c r="AI81" s="2700"/>
      <c r="AJ81" s="2701" t="str">
        <f t="shared" si="25"/>
        <v/>
      </c>
    </row>
    <row r="82" spans="1:36" s="1118" customFormat="1" ht="15" hidden="1" outlineLevel="1">
      <c r="A82" s="2318"/>
      <c r="B82" s="3033"/>
      <c r="C82" s="3035"/>
      <c r="D82" s="3028"/>
      <c r="E82" s="3029"/>
      <c r="F82" s="2474" t="s">
        <v>3865</v>
      </c>
      <c r="G82" s="2473"/>
      <c r="H82" s="2637"/>
      <c r="I82" s="2638"/>
      <c r="J82" s="2638"/>
      <c r="K82" s="2639"/>
      <c r="L82" s="2637"/>
      <c r="M82" s="2637"/>
      <c r="N82" s="2638"/>
      <c r="O82" s="2638"/>
      <c r="P82" s="2639"/>
      <c r="Q82" s="2617"/>
      <c r="R82" s="2641"/>
      <c r="S82" s="2641"/>
      <c r="T82" s="2650"/>
      <c r="U82" s="2649"/>
      <c r="V82" s="2644" t="str">
        <f t="shared" si="26"/>
        <v/>
      </c>
      <c r="W82" s="2644" t="str">
        <f t="shared" si="27"/>
        <v/>
      </c>
      <c r="X82" s="2644" t="str">
        <f t="shared" si="28"/>
        <v/>
      </c>
      <c r="Y82" s="2633"/>
      <c r="Z82" s="2645"/>
      <c r="AA82" s="2645"/>
      <c r="AB82" s="2645"/>
      <c r="AC82" s="2645"/>
      <c r="AD82" s="2507" t="str">
        <f t="shared" si="29"/>
        <v/>
      </c>
      <c r="AE82" s="2507" t="str">
        <f t="shared" si="30"/>
        <v/>
      </c>
      <c r="AF82" s="2507" t="str">
        <f t="shared" si="31"/>
        <v/>
      </c>
      <c r="AG82" s="2599"/>
      <c r="AH82" s="2599"/>
      <c r="AI82" s="2700"/>
      <c r="AJ82" s="2701" t="str">
        <f t="shared" si="25"/>
        <v/>
      </c>
    </row>
    <row r="83" spans="1:36" s="1118" customFormat="1" ht="15" hidden="1" outlineLevel="1">
      <c r="A83" s="2318"/>
      <c r="B83" s="3033"/>
      <c r="C83" s="3035"/>
      <c r="D83" s="3028" t="s">
        <v>2954</v>
      </c>
      <c r="E83" s="3029" t="s">
        <v>2950</v>
      </c>
      <c r="F83" s="2472" t="s">
        <v>3860</v>
      </c>
      <c r="G83" s="2466"/>
      <c r="H83" s="2619"/>
      <c r="I83" s="2638"/>
      <c r="J83" s="2638"/>
      <c r="K83" s="2639"/>
      <c r="L83" s="2637"/>
      <c r="M83" s="2619"/>
      <c r="N83" s="2638"/>
      <c r="O83" s="2638"/>
      <c r="P83" s="2639"/>
      <c r="Q83" s="2617"/>
      <c r="R83" s="2651"/>
      <c r="S83" s="2651"/>
      <c r="T83" s="2652"/>
      <c r="U83" s="2649"/>
      <c r="V83" s="2644" t="str">
        <f t="shared" si="26"/>
        <v/>
      </c>
      <c r="W83" s="2644" t="str">
        <f t="shared" si="27"/>
        <v/>
      </c>
      <c r="X83" s="2644" t="str">
        <f t="shared" si="28"/>
        <v/>
      </c>
      <c r="Y83" s="2633"/>
      <c r="Z83" s="2645"/>
      <c r="AA83" s="2645"/>
      <c r="AB83" s="2645"/>
      <c r="AC83" s="2645"/>
      <c r="AD83" s="2507" t="str">
        <f t="shared" si="29"/>
        <v/>
      </c>
      <c r="AE83" s="2507" t="str">
        <f t="shared" si="30"/>
        <v/>
      </c>
      <c r="AF83" s="2507" t="str">
        <f t="shared" si="31"/>
        <v/>
      </c>
      <c r="AG83" s="2599"/>
      <c r="AH83" s="2599"/>
      <c r="AI83" s="2700"/>
      <c r="AJ83" s="2701" t="str">
        <f t="shared" si="25"/>
        <v/>
      </c>
    </row>
    <row r="84" spans="1:36" s="1118" customFormat="1" ht="15" hidden="1" outlineLevel="1">
      <c r="A84" s="2318"/>
      <c r="B84" s="3033"/>
      <c r="C84" s="3035"/>
      <c r="D84" s="3028"/>
      <c r="E84" s="3029"/>
      <c r="F84" s="2472" t="s">
        <v>3861</v>
      </c>
      <c r="G84" s="2466"/>
      <c r="H84" s="2637"/>
      <c r="I84" s="2638"/>
      <c r="J84" s="2638"/>
      <c r="K84" s="2639"/>
      <c r="L84" s="2637"/>
      <c r="M84" s="2637"/>
      <c r="N84" s="2638"/>
      <c r="O84" s="2638"/>
      <c r="P84" s="2639"/>
      <c r="Q84" s="2617"/>
      <c r="R84" s="2641"/>
      <c r="S84" s="2641"/>
      <c r="T84" s="2650"/>
      <c r="U84" s="2649"/>
      <c r="V84" s="2644" t="str">
        <f t="shared" si="26"/>
        <v/>
      </c>
      <c r="W84" s="2644" t="str">
        <f t="shared" si="27"/>
        <v/>
      </c>
      <c r="X84" s="2644" t="str">
        <f t="shared" si="28"/>
        <v/>
      </c>
      <c r="Y84" s="2633"/>
      <c r="Z84" s="2645"/>
      <c r="AA84" s="2645"/>
      <c r="AB84" s="2645"/>
      <c r="AC84" s="2645"/>
      <c r="AD84" s="2507" t="str">
        <f t="shared" si="29"/>
        <v/>
      </c>
      <c r="AE84" s="2507" t="str">
        <f t="shared" si="30"/>
        <v/>
      </c>
      <c r="AF84" s="2507" t="str">
        <f t="shared" si="31"/>
        <v/>
      </c>
      <c r="AG84" s="2599"/>
      <c r="AH84" s="2599"/>
      <c r="AI84" s="2700"/>
      <c r="AJ84" s="2701" t="str">
        <f t="shared" si="25"/>
        <v/>
      </c>
    </row>
    <row r="85" spans="1:36" s="1118" customFormat="1" ht="15" hidden="1" outlineLevel="1">
      <c r="A85" s="2318"/>
      <c r="B85" s="3033"/>
      <c r="C85" s="3035"/>
      <c r="D85" s="3028"/>
      <c r="E85" s="3029"/>
      <c r="F85" s="2472" t="s">
        <v>3862</v>
      </c>
      <c r="G85" s="2466"/>
      <c r="H85" s="2637"/>
      <c r="I85" s="2638"/>
      <c r="J85" s="2638"/>
      <c r="K85" s="2639"/>
      <c r="L85" s="2637"/>
      <c r="M85" s="2637"/>
      <c r="N85" s="2638"/>
      <c r="O85" s="2638"/>
      <c r="P85" s="2639"/>
      <c r="Q85" s="2617"/>
      <c r="R85" s="2641"/>
      <c r="S85" s="2641"/>
      <c r="T85" s="2650"/>
      <c r="U85" s="2649"/>
      <c r="V85" s="2644" t="str">
        <f t="shared" si="26"/>
        <v/>
      </c>
      <c r="W85" s="2644" t="str">
        <f t="shared" si="27"/>
        <v/>
      </c>
      <c r="X85" s="2644" t="str">
        <f t="shared" si="28"/>
        <v/>
      </c>
      <c r="Y85" s="2633"/>
      <c r="Z85" s="2645"/>
      <c r="AA85" s="2645"/>
      <c r="AB85" s="2645"/>
      <c r="AC85" s="2645"/>
      <c r="AD85" s="2507" t="str">
        <f t="shared" si="29"/>
        <v/>
      </c>
      <c r="AE85" s="2507" t="str">
        <f t="shared" si="30"/>
        <v/>
      </c>
      <c r="AF85" s="2507" t="str">
        <f t="shared" si="31"/>
        <v/>
      </c>
      <c r="AG85" s="2599"/>
      <c r="AH85" s="2599"/>
      <c r="AI85" s="2700"/>
      <c r="AJ85" s="2701" t="str">
        <f t="shared" si="25"/>
        <v/>
      </c>
    </row>
    <row r="86" spans="1:36" s="1118" customFormat="1" ht="15" hidden="1" outlineLevel="1">
      <c r="A86" s="2318"/>
      <c r="B86" s="3033"/>
      <c r="C86" s="3035"/>
      <c r="D86" s="3028"/>
      <c r="E86" s="3029"/>
      <c r="F86" s="2472" t="s">
        <v>3863</v>
      </c>
      <c r="G86" s="2466"/>
      <c r="H86" s="2637"/>
      <c r="I86" s="2638"/>
      <c r="J86" s="2638"/>
      <c r="K86" s="2639"/>
      <c r="L86" s="2637"/>
      <c r="M86" s="2637"/>
      <c r="N86" s="2638"/>
      <c r="O86" s="2638"/>
      <c r="P86" s="2639"/>
      <c r="Q86" s="2617"/>
      <c r="R86" s="2641"/>
      <c r="S86" s="2641"/>
      <c r="T86" s="2650"/>
      <c r="U86" s="2649"/>
      <c r="V86" s="2644" t="str">
        <f t="shared" si="26"/>
        <v/>
      </c>
      <c r="W86" s="2644" t="str">
        <f t="shared" si="27"/>
        <v/>
      </c>
      <c r="X86" s="2644" t="str">
        <f t="shared" si="28"/>
        <v/>
      </c>
      <c r="Y86" s="2633"/>
      <c r="Z86" s="2645"/>
      <c r="AA86" s="2645"/>
      <c r="AB86" s="2645"/>
      <c r="AC86" s="2645"/>
      <c r="AD86" s="2507" t="str">
        <f t="shared" si="29"/>
        <v/>
      </c>
      <c r="AE86" s="2507" t="str">
        <f t="shared" si="30"/>
        <v/>
      </c>
      <c r="AF86" s="2507" t="str">
        <f t="shared" si="31"/>
        <v/>
      </c>
      <c r="AG86" s="2599"/>
      <c r="AH86" s="2599"/>
      <c r="AI86" s="2700"/>
      <c r="AJ86" s="2701" t="str">
        <f t="shared" si="25"/>
        <v/>
      </c>
    </row>
    <row r="87" spans="1:36" s="1118" customFormat="1" ht="15" hidden="1" outlineLevel="1">
      <c r="A87" s="2318"/>
      <c r="B87" s="3033"/>
      <c r="C87" s="3035"/>
      <c r="D87" s="3028"/>
      <c r="E87" s="3029"/>
      <c r="F87" s="2474" t="s">
        <v>3864</v>
      </c>
      <c r="G87" s="2473"/>
      <c r="H87" s="2637"/>
      <c r="I87" s="2638"/>
      <c r="J87" s="2638"/>
      <c r="K87" s="2640"/>
      <c r="L87" s="2637"/>
      <c r="M87" s="2637"/>
      <c r="N87" s="2638"/>
      <c r="O87" s="2638"/>
      <c r="P87" s="2640"/>
      <c r="Q87" s="2617"/>
      <c r="R87" s="2641"/>
      <c r="S87" s="2641"/>
      <c r="T87" s="2650"/>
      <c r="U87" s="2649"/>
      <c r="V87" s="2644" t="str">
        <f t="shared" si="26"/>
        <v/>
      </c>
      <c r="W87" s="2644" t="str">
        <f t="shared" si="27"/>
        <v/>
      </c>
      <c r="X87" s="2644" t="str">
        <f t="shared" si="28"/>
        <v/>
      </c>
      <c r="Y87" s="2633"/>
      <c r="Z87" s="2645"/>
      <c r="AA87" s="2645"/>
      <c r="AB87" s="2645"/>
      <c r="AC87" s="2645"/>
      <c r="AD87" s="2507" t="str">
        <f t="shared" si="29"/>
        <v/>
      </c>
      <c r="AE87" s="2507" t="str">
        <f t="shared" si="30"/>
        <v/>
      </c>
      <c r="AF87" s="2507" t="str">
        <f t="shared" si="31"/>
        <v/>
      </c>
      <c r="AG87" s="2599"/>
      <c r="AH87" s="2599"/>
      <c r="AI87" s="2700"/>
      <c r="AJ87" s="2701" t="str">
        <f t="shared" si="25"/>
        <v/>
      </c>
    </row>
    <row r="88" spans="1:36" s="1118" customFormat="1" ht="15" hidden="1" outlineLevel="1">
      <c r="A88" s="2318"/>
      <c r="B88" s="3033"/>
      <c r="C88" s="3035"/>
      <c r="D88" s="3028"/>
      <c r="E88" s="3029"/>
      <c r="F88" s="2474" t="s">
        <v>3865</v>
      </c>
      <c r="G88" s="2473"/>
      <c r="H88" s="2627"/>
      <c r="I88" s="2628"/>
      <c r="J88" s="2628"/>
      <c r="K88" s="2641"/>
      <c r="L88" s="2637"/>
      <c r="M88" s="2627"/>
      <c r="N88" s="2628"/>
      <c r="O88" s="2628"/>
      <c r="P88" s="2641"/>
      <c r="Q88" s="2617"/>
      <c r="R88" s="2641"/>
      <c r="S88" s="2641"/>
      <c r="T88" s="2650"/>
      <c r="U88" s="2649"/>
      <c r="V88" s="2644" t="str">
        <f t="shared" si="26"/>
        <v/>
      </c>
      <c r="W88" s="2644" t="str">
        <f t="shared" si="27"/>
        <v/>
      </c>
      <c r="X88" s="2644" t="str">
        <f t="shared" si="28"/>
        <v/>
      </c>
      <c r="Y88" s="2633"/>
      <c r="Z88" s="2645"/>
      <c r="AA88" s="2645"/>
      <c r="AB88" s="2645"/>
      <c r="AC88" s="2645"/>
      <c r="AD88" s="2507" t="str">
        <f t="shared" si="29"/>
        <v/>
      </c>
      <c r="AE88" s="2507" t="str">
        <f t="shared" si="30"/>
        <v/>
      </c>
      <c r="AF88" s="2507" t="str">
        <f t="shared" si="31"/>
        <v/>
      </c>
      <c r="AG88" s="2599"/>
      <c r="AH88" s="2599"/>
      <c r="AI88" s="2700"/>
      <c r="AJ88" s="2701" t="str">
        <f t="shared" si="25"/>
        <v/>
      </c>
    </row>
    <row r="89" spans="1:36" s="1118" customFormat="1" ht="15" hidden="1" outlineLevel="1">
      <c r="A89" s="2318"/>
      <c r="B89" s="3033"/>
      <c r="C89" s="3035"/>
      <c r="D89" s="3028"/>
      <c r="E89" s="3029" t="s">
        <v>2946</v>
      </c>
      <c r="F89" s="2472" t="s">
        <v>3860</v>
      </c>
      <c r="G89" s="2466"/>
      <c r="H89" s="2627"/>
      <c r="I89" s="2628"/>
      <c r="J89" s="2628"/>
      <c r="K89" s="2641"/>
      <c r="L89" s="2637"/>
      <c r="M89" s="2627"/>
      <c r="N89" s="2628"/>
      <c r="O89" s="2628"/>
      <c r="P89" s="2641"/>
      <c r="Q89" s="2617"/>
      <c r="R89" s="2641"/>
      <c r="S89" s="2641"/>
      <c r="T89" s="2650"/>
      <c r="U89" s="2649"/>
      <c r="V89" s="2644" t="str">
        <f t="shared" si="26"/>
        <v/>
      </c>
      <c r="W89" s="2644" t="str">
        <f t="shared" si="27"/>
        <v/>
      </c>
      <c r="X89" s="2644" t="str">
        <f t="shared" si="28"/>
        <v/>
      </c>
      <c r="Y89" s="2633"/>
      <c r="Z89" s="2645"/>
      <c r="AA89" s="2645"/>
      <c r="AB89" s="2645"/>
      <c r="AC89" s="2645"/>
      <c r="AD89" s="2507" t="str">
        <f t="shared" si="29"/>
        <v/>
      </c>
      <c r="AE89" s="2507" t="str">
        <f t="shared" si="30"/>
        <v/>
      </c>
      <c r="AF89" s="2507" t="str">
        <f t="shared" si="31"/>
        <v/>
      </c>
      <c r="AG89" s="2599"/>
      <c r="AH89" s="2599"/>
      <c r="AI89" s="2700"/>
      <c r="AJ89" s="2701" t="str">
        <f t="shared" si="25"/>
        <v/>
      </c>
    </row>
    <row r="90" spans="1:36" s="1118" customFormat="1" ht="15" hidden="1" outlineLevel="1">
      <c r="A90" s="2318"/>
      <c r="B90" s="3033"/>
      <c r="C90" s="3035"/>
      <c r="D90" s="3028"/>
      <c r="E90" s="3029"/>
      <c r="F90" s="2472" t="s">
        <v>3861</v>
      </c>
      <c r="G90" s="2466"/>
      <c r="H90" s="2627"/>
      <c r="I90" s="2628"/>
      <c r="J90" s="2628"/>
      <c r="K90" s="2641"/>
      <c r="L90" s="2637"/>
      <c r="M90" s="2627"/>
      <c r="N90" s="2628"/>
      <c r="O90" s="2628"/>
      <c r="P90" s="2641"/>
      <c r="Q90" s="2617"/>
      <c r="R90" s="2641"/>
      <c r="S90" s="2641"/>
      <c r="T90" s="2650"/>
      <c r="U90" s="2649"/>
      <c r="V90" s="2644" t="str">
        <f t="shared" si="26"/>
        <v/>
      </c>
      <c r="W90" s="2644" t="str">
        <f t="shared" si="27"/>
        <v/>
      </c>
      <c r="X90" s="2644" t="str">
        <f t="shared" si="28"/>
        <v/>
      </c>
      <c r="Y90" s="2633"/>
      <c r="Z90" s="2645"/>
      <c r="AA90" s="2645"/>
      <c r="AB90" s="2645"/>
      <c r="AC90" s="2645"/>
      <c r="AD90" s="2507" t="str">
        <f t="shared" si="29"/>
        <v/>
      </c>
      <c r="AE90" s="2507" t="str">
        <f t="shared" si="30"/>
        <v/>
      </c>
      <c r="AF90" s="2507" t="str">
        <f t="shared" si="31"/>
        <v/>
      </c>
      <c r="AG90" s="2599"/>
      <c r="AH90" s="2599"/>
      <c r="AI90" s="2700"/>
      <c r="AJ90" s="2701" t="str">
        <f t="shared" si="25"/>
        <v/>
      </c>
    </row>
    <row r="91" spans="1:36" s="1118" customFormat="1" ht="15" hidden="1" outlineLevel="1">
      <c r="A91" s="2318"/>
      <c r="B91" s="3033"/>
      <c r="C91" s="3035"/>
      <c r="D91" s="3028"/>
      <c r="E91" s="3029"/>
      <c r="F91" s="2472" t="s">
        <v>3862</v>
      </c>
      <c r="G91" s="2466"/>
      <c r="H91" s="2627"/>
      <c r="I91" s="2628"/>
      <c r="J91" s="2628"/>
      <c r="K91" s="2641"/>
      <c r="L91" s="2637"/>
      <c r="M91" s="2627"/>
      <c r="N91" s="2628"/>
      <c r="O91" s="2628"/>
      <c r="P91" s="2641"/>
      <c r="Q91" s="2617"/>
      <c r="R91" s="2641"/>
      <c r="S91" s="2641"/>
      <c r="T91" s="2650"/>
      <c r="U91" s="2649"/>
      <c r="V91" s="2644" t="str">
        <f t="shared" si="26"/>
        <v/>
      </c>
      <c r="W91" s="2644" t="str">
        <f t="shared" si="27"/>
        <v/>
      </c>
      <c r="X91" s="2644" t="str">
        <f t="shared" si="28"/>
        <v/>
      </c>
      <c r="Y91" s="2633"/>
      <c r="Z91" s="2645"/>
      <c r="AA91" s="2645"/>
      <c r="AB91" s="2645"/>
      <c r="AC91" s="2645"/>
      <c r="AD91" s="2507" t="str">
        <f t="shared" si="29"/>
        <v/>
      </c>
      <c r="AE91" s="2507" t="str">
        <f t="shared" si="30"/>
        <v/>
      </c>
      <c r="AF91" s="2507" t="str">
        <f t="shared" si="31"/>
        <v/>
      </c>
      <c r="AG91" s="2599"/>
      <c r="AH91" s="2599"/>
      <c r="AI91" s="2700"/>
      <c r="AJ91" s="2701" t="str">
        <f t="shared" si="25"/>
        <v/>
      </c>
    </row>
    <row r="92" spans="1:36" s="1118" customFormat="1" ht="15" hidden="1" outlineLevel="1">
      <c r="A92" s="2318"/>
      <c r="B92" s="3033"/>
      <c r="C92" s="3035"/>
      <c r="D92" s="3028"/>
      <c r="E92" s="3029"/>
      <c r="F92" s="2472" t="s">
        <v>3863</v>
      </c>
      <c r="G92" s="2466"/>
      <c r="H92" s="2627"/>
      <c r="I92" s="2628"/>
      <c r="J92" s="2628"/>
      <c r="K92" s="2641"/>
      <c r="L92" s="2637"/>
      <c r="M92" s="2627"/>
      <c r="N92" s="2628"/>
      <c r="O92" s="2628"/>
      <c r="P92" s="2641"/>
      <c r="Q92" s="2617"/>
      <c r="R92" s="2641"/>
      <c r="S92" s="2641"/>
      <c r="T92" s="2650"/>
      <c r="U92" s="2649"/>
      <c r="V92" s="2644" t="str">
        <f t="shared" si="26"/>
        <v/>
      </c>
      <c r="W92" s="2644" t="str">
        <f t="shared" si="27"/>
        <v/>
      </c>
      <c r="X92" s="2644" t="str">
        <f t="shared" si="28"/>
        <v/>
      </c>
      <c r="Y92" s="2633"/>
      <c r="Z92" s="2645"/>
      <c r="AA92" s="2645"/>
      <c r="AB92" s="2645"/>
      <c r="AC92" s="2645"/>
      <c r="AD92" s="2507" t="str">
        <f t="shared" si="29"/>
        <v/>
      </c>
      <c r="AE92" s="2507" t="str">
        <f t="shared" si="30"/>
        <v/>
      </c>
      <c r="AF92" s="2507" t="str">
        <f t="shared" si="31"/>
        <v/>
      </c>
      <c r="AG92" s="2599"/>
      <c r="AH92" s="2599"/>
      <c r="AI92" s="2700"/>
      <c r="AJ92" s="2701" t="str">
        <f t="shared" si="25"/>
        <v/>
      </c>
    </row>
    <row r="93" spans="1:36" s="1118" customFormat="1" ht="15" hidden="1" outlineLevel="1">
      <c r="A93" s="2318"/>
      <c r="B93" s="3033"/>
      <c r="C93" s="3035"/>
      <c r="D93" s="3028"/>
      <c r="E93" s="3029"/>
      <c r="F93" s="2474" t="s">
        <v>3864</v>
      </c>
      <c r="G93" s="2473"/>
      <c r="H93" s="2627"/>
      <c r="I93" s="2628"/>
      <c r="J93" s="2628"/>
      <c r="K93" s="2641"/>
      <c r="L93" s="2637"/>
      <c r="M93" s="2627"/>
      <c r="N93" s="2628"/>
      <c r="O93" s="2628"/>
      <c r="P93" s="2641"/>
      <c r="Q93" s="2617"/>
      <c r="R93" s="2641"/>
      <c r="S93" s="2641"/>
      <c r="T93" s="2650"/>
      <c r="U93" s="2649"/>
      <c r="V93" s="2644" t="str">
        <f t="shared" si="26"/>
        <v/>
      </c>
      <c r="W93" s="2644" t="str">
        <f t="shared" si="27"/>
        <v/>
      </c>
      <c r="X93" s="2644" t="str">
        <f t="shared" si="28"/>
        <v/>
      </c>
      <c r="Y93" s="2633"/>
      <c r="Z93" s="2645"/>
      <c r="AA93" s="2645"/>
      <c r="AB93" s="2645"/>
      <c r="AC93" s="2645"/>
      <c r="AD93" s="2507" t="str">
        <f t="shared" si="29"/>
        <v/>
      </c>
      <c r="AE93" s="2507" t="str">
        <f t="shared" si="30"/>
        <v/>
      </c>
      <c r="AF93" s="2507" t="str">
        <f t="shared" si="31"/>
        <v/>
      </c>
      <c r="AG93" s="2599"/>
      <c r="AH93" s="2599"/>
      <c r="AI93" s="2700"/>
      <c r="AJ93" s="2701" t="str">
        <f t="shared" si="25"/>
        <v/>
      </c>
    </row>
    <row r="94" spans="1:36" s="1118" customFormat="1" ht="15" hidden="1" outlineLevel="1">
      <c r="A94" s="2318"/>
      <c r="B94" s="3033"/>
      <c r="C94" s="3035"/>
      <c r="D94" s="3028"/>
      <c r="E94" s="3029"/>
      <c r="F94" s="2474" t="s">
        <v>3865</v>
      </c>
      <c r="G94" s="2473"/>
      <c r="H94" s="2627"/>
      <c r="I94" s="2628"/>
      <c r="J94" s="2628"/>
      <c r="K94" s="2641"/>
      <c r="L94" s="2637"/>
      <c r="M94" s="2627"/>
      <c r="N94" s="2628"/>
      <c r="O94" s="2628"/>
      <c r="P94" s="2641"/>
      <c r="Q94" s="2617"/>
      <c r="R94" s="2641"/>
      <c r="S94" s="2641"/>
      <c r="T94" s="2650"/>
      <c r="U94" s="2649"/>
      <c r="V94" s="2644" t="str">
        <f t="shared" si="26"/>
        <v/>
      </c>
      <c r="W94" s="2644" t="str">
        <f t="shared" si="27"/>
        <v/>
      </c>
      <c r="X94" s="2644" t="str">
        <f t="shared" si="28"/>
        <v/>
      </c>
      <c r="Y94" s="2633"/>
      <c r="Z94" s="2645"/>
      <c r="AA94" s="2645"/>
      <c r="AB94" s="2645"/>
      <c r="AC94" s="2645"/>
      <c r="AD94" s="2507" t="str">
        <f t="shared" si="29"/>
        <v/>
      </c>
      <c r="AE94" s="2507" t="str">
        <f t="shared" si="30"/>
        <v/>
      </c>
      <c r="AF94" s="2507" t="str">
        <f t="shared" si="31"/>
        <v/>
      </c>
      <c r="AG94" s="2599"/>
      <c r="AH94" s="2599"/>
      <c r="AI94" s="2700"/>
      <c r="AJ94" s="2701" t="str">
        <f t="shared" si="25"/>
        <v/>
      </c>
    </row>
    <row r="95" spans="1:36" s="1118" customFormat="1" ht="15.75" hidden="1" outlineLevel="1" collapsed="1" thickBot="1">
      <c r="A95" s="2318"/>
      <c r="B95" s="3023" t="s">
        <v>2948</v>
      </c>
      <c r="C95" s="3026" t="s">
        <v>3859</v>
      </c>
      <c r="D95" s="3028" t="s">
        <v>2949</v>
      </c>
      <c r="E95" s="3029" t="s">
        <v>2950</v>
      </c>
      <c r="F95" s="2472" t="s">
        <v>3860</v>
      </c>
      <c r="G95" s="2466"/>
      <c r="H95" s="2627"/>
      <c r="I95" s="2628"/>
      <c r="J95" s="2628"/>
      <c r="K95" s="2641"/>
      <c r="L95" s="2637"/>
      <c r="M95" s="2627"/>
      <c r="N95" s="2628"/>
      <c r="O95" s="2628"/>
      <c r="P95" s="2641"/>
      <c r="Q95" s="2617"/>
      <c r="R95" s="2641"/>
      <c r="S95" s="2641"/>
      <c r="T95" s="2650"/>
      <c r="U95" s="2649"/>
      <c r="V95" s="2644" t="str">
        <f t="shared" si="26"/>
        <v/>
      </c>
      <c r="W95" s="2644" t="str">
        <f t="shared" si="27"/>
        <v/>
      </c>
      <c r="X95" s="2644" t="str">
        <f t="shared" si="28"/>
        <v/>
      </c>
      <c r="Y95" s="2633"/>
      <c r="Z95" s="2645"/>
      <c r="AA95" s="2645"/>
      <c r="AB95" s="2645"/>
      <c r="AC95" s="2645"/>
      <c r="AD95" s="2507" t="str">
        <f t="shared" si="29"/>
        <v/>
      </c>
      <c r="AE95" s="2507" t="str">
        <f t="shared" si="30"/>
        <v/>
      </c>
      <c r="AF95" s="2507" t="str">
        <f t="shared" si="31"/>
        <v/>
      </c>
      <c r="AG95" s="2599"/>
      <c r="AH95" s="2599"/>
      <c r="AI95" s="2700"/>
      <c r="AJ95" s="2701" t="str">
        <f t="shared" si="25"/>
        <v/>
      </c>
    </row>
    <row r="96" spans="1:36" s="1118" customFormat="1" ht="15.75" hidden="1" outlineLevel="1" thickBot="1">
      <c r="A96" s="2318"/>
      <c r="B96" s="3024"/>
      <c r="C96" s="3027"/>
      <c r="D96" s="3028"/>
      <c r="E96" s="3029"/>
      <c r="F96" s="2472" t="s">
        <v>3861</v>
      </c>
      <c r="G96" s="2466"/>
      <c r="H96" s="2627"/>
      <c r="I96" s="2628"/>
      <c r="J96" s="2628"/>
      <c r="K96" s="2641"/>
      <c r="L96" s="2637"/>
      <c r="M96" s="2627"/>
      <c r="N96" s="2628"/>
      <c r="O96" s="2628"/>
      <c r="P96" s="2641"/>
      <c r="Q96" s="2617"/>
      <c r="R96" s="2641"/>
      <c r="S96" s="2641"/>
      <c r="T96" s="2650"/>
      <c r="U96" s="2649"/>
      <c r="V96" s="2644" t="str">
        <f t="shared" si="26"/>
        <v/>
      </c>
      <c r="W96" s="2644" t="str">
        <f t="shared" si="27"/>
        <v/>
      </c>
      <c r="X96" s="2644" t="str">
        <f t="shared" si="28"/>
        <v/>
      </c>
      <c r="Y96" s="2633"/>
      <c r="Z96" s="2645"/>
      <c r="AA96" s="2645"/>
      <c r="AB96" s="2645"/>
      <c r="AC96" s="2645"/>
      <c r="AD96" s="2507" t="str">
        <f t="shared" si="29"/>
        <v/>
      </c>
      <c r="AE96" s="2507" t="str">
        <f t="shared" si="30"/>
        <v/>
      </c>
      <c r="AF96" s="2507" t="str">
        <f t="shared" si="31"/>
        <v/>
      </c>
      <c r="AG96" s="2599"/>
      <c r="AH96" s="2599"/>
      <c r="AI96" s="2700"/>
      <c r="AJ96" s="2701" t="str">
        <f t="shared" si="25"/>
        <v/>
      </c>
    </row>
    <row r="97" spans="1:36" s="1118" customFormat="1" ht="15.75" hidden="1" outlineLevel="1" thickBot="1">
      <c r="A97" s="2318"/>
      <c r="B97" s="3024"/>
      <c r="C97" s="3027"/>
      <c r="D97" s="3028"/>
      <c r="E97" s="3029"/>
      <c r="F97" s="2472" t="s">
        <v>3862</v>
      </c>
      <c r="G97" s="2466"/>
      <c r="H97" s="2627"/>
      <c r="I97" s="2628"/>
      <c r="J97" s="2628"/>
      <c r="K97" s="2641"/>
      <c r="L97" s="2637"/>
      <c r="M97" s="2627"/>
      <c r="N97" s="2628"/>
      <c r="O97" s="2628"/>
      <c r="P97" s="2641"/>
      <c r="Q97" s="2617"/>
      <c r="R97" s="2641"/>
      <c r="S97" s="2641"/>
      <c r="T97" s="2650"/>
      <c r="U97" s="2649"/>
      <c r="V97" s="2644" t="str">
        <f t="shared" si="26"/>
        <v/>
      </c>
      <c r="W97" s="2644" t="str">
        <f t="shared" si="27"/>
        <v/>
      </c>
      <c r="X97" s="2644" t="str">
        <f t="shared" si="28"/>
        <v/>
      </c>
      <c r="Y97" s="2633"/>
      <c r="Z97" s="2645"/>
      <c r="AA97" s="2645"/>
      <c r="AB97" s="2645"/>
      <c r="AC97" s="2645"/>
      <c r="AD97" s="2507" t="str">
        <f t="shared" si="29"/>
        <v/>
      </c>
      <c r="AE97" s="2507" t="str">
        <f t="shared" si="30"/>
        <v/>
      </c>
      <c r="AF97" s="2507" t="str">
        <f t="shared" si="31"/>
        <v/>
      </c>
      <c r="AG97" s="2599"/>
      <c r="AH97" s="2599"/>
      <c r="AI97" s="2700"/>
      <c r="AJ97" s="2701" t="str">
        <f t="shared" si="25"/>
        <v/>
      </c>
    </row>
    <row r="98" spans="1:36" s="1118" customFormat="1" ht="15.75" hidden="1" outlineLevel="1" thickBot="1">
      <c r="A98" s="2318"/>
      <c r="B98" s="3024"/>
      <c r="C98" s="3027"/>
      <c r="D98" s="3028"/>
      <c r="E98" s="3029"/>
      <c r="F98" s="2472" t="s">
        <v>3863</v>
      </c>
      <c r="G98" s="2466"/>
      <c r="H98" s="2627"/>
      <c r="I98" s="2628"/>
      <c r="J98" s="2628"/>
      <c r="K98" s="2641"/>
      <c r="L98" s="2637"/>
      <c r="M98" s="2627"/>
      <c r="N98" s="2628"/>
      <c r="O98" s="2628"/>
      <c r="P98" s="2641"/>
      <c r="Q98" s="2617"/>
      <c r="R98" s="2641"/>
      <c r="S98" s="2641"/>
      <c r="T98" s="2650"/>
      <c r="U98" s="2649"/>
      <c r="V98" s="2644" t="str">
        <f t="shared" si="26"/>
        <v/>
      </c>
      <c r="W98" s="2644" t="str">
        <f t="shared" si="27"/>
        <v/>
      </c>
      <c r="X98" s="2644" t="str">
        <f t="shared" si="28"/>
        <v/>
      </c>
      <c r="Y98" s="2633"/>
      <c r="Z98" s="2645"/>
      <c r="AA98" s="2645"/>
      <c r="AB98" s="2645"/>
      <c r="AC98" s="2645"/>
      <c r="AD98" s="2507" t="str">
        <f t="shared" si="29"/>
        <v/>
      </c>
      <c r="AE98" s="2507" t="str">
        <f t="shared" si="30"/>
        <v/>
      </c>
      <c r="AF98" s="2507" t="str">
        <f t="shared" si="31"/>
        <v/>
      </c>
      <c r="AG98" s="2599"/>
      <c r="AH98" s="2599"/>
      <c r="AI98" s="2700"/>
      <c r="AJ98" s="2701" t="str">
        <f t="shared" si="25"/>
        <v/>
      </c>
    </row>
    <row r="99" spans="1:36" s="1118" customFormat="1" ht="15.75" hidden="1" outlineLevel="1" thickBot="1">
      <c r="A99" s="2318"/>
      <c r="B99" s="3024"/>
      <c r="C99" s="3027"/>
      <c r="D99" s="3028"/>
      <c r="E99" s="3029"/>
      <c r="F99" s="2474" t="s">
        <v>3864</v>
      </c>
      <c r="G99" s="2473"/>
      <c r="H99" s="2627"/>
      <c r="I99" s="2628"/>
      <c r="J99" s="2628"/>
      <c r="K99" s="2641"/>
      <c r="L99" s="2637"/>
      <c r="M99" s="2627"/>
      <c r="N99" s="2628"/>
      <c r="O99" s="2628"/>
      <c r="P99" s="2641"/>
      <c r="Q99" s="2617"/>
      <c r="R99" s="2641"/>
      <c r="S99" s="2641"/>
      <c r="T99" s="2650"/>
      <c r="U99" s="2649"/>
      <c r="V99" s="2644" t="str">
        <f t="shared" si="26"/>
        <v/>
      </c>
      <c r="W99" s="2644" t="str">
        <f t="shared" si="27"/>
        <v/>
      </c>
      <c r="X99" s="2644" t="str">
        <f t="shared" si="28"/>
        <v/>
      </c>
      <c r="Y99" s="2633"/>
      <c r="Z99" s="2645"/>
      <c r="AA99" s="2645"/>
      <c r="AB99" s="2645"/>
      <c r="AC99" s="2645"/>
      <c r="AD99" s="2507" t="str">
        <f t="shared" si="29"/>
        <v/>
      </c>
      <c r="AE99" s="2507" t="str">
        <f t="shared" si="30"/>
        <v/>
      </c>
      <c r="AF99" s="2507" t="str">
        <f t="shared" si="31"/>
        <v/>
      </c>
      <c r="AG99" s="2599"/>
      <c r="AH99" s="2599"/>
      <c r="AI99" s="2700"/>
      <c r="AJ99" s="2701" t="str">
        <f t="shared" si="25"/>
        <v/>
      </c>
    </row>
    <row r="100" spans="1:36" s="1118" customFormat="1" ht="15.75" hidden="1" outlineLevel="1" thickBot="1">
      <c r="A100" s="2318"/>
      <c r="B100" s="3024"/>
      <c r="C100" s="3027"/>
      <c r="D100" s="3028"/>
      <c r="E100" s="3029"/>
      <c r="F100" s="2474" t="s">
        <v>3865</v>
      </c>
      <c r="G100" s="2473"/>
      <c r="H100" s="2627"/>
      <c r="I100" s="2628"/>
      <c r="J100" s="2628"/>
      <c r="K100" s="2641"/>
      <c r="L100" s="2637"/>
      <c r="M100" s="2627"/>
      <c r="N100" s="2628"/>
      <c r="O100" s="2628"/>
      <c r="P100" s="2641"/>
      <c r="Q100" s="2617"/>
      <c r="R100" s="2641"/>
      <c r="S100" s="2641"/>
      <c r="T100" s="2650"/>
      <c r="U100" s="2649"/>
      <c r="V100" s="2644" t="str">
        <f t="shared" si="26"/>
        <v/>
      </c>
      <c r="W100" s="2644" t="str">
        <f t="shared" si="27"/>
        <v/>
      </c>
      <c r="X100" s="2644" t="str">
        <f t="shared" si="28"/>
        <v/>
      </c>
      <c r="Y100" s="2633"/>
      <c r="Z100" s="2645"/>
      <c r="AA100" s="2645"/>
      <c r="AB100" s="2645"/>
      <c r="AC100" s="2645"/>
      <c r="AD100" s="2507" t="str">
        <f t="shared" si="29"/>
        <v/>
      </c>
      <c r="AE100" s="2507" t="str">
        <f t="shared" si="30"/>
        <v/>
      </c>
      <c r="AF100" s="2507" t="str">
        <f t="shared" si="31"/>
        <v/>
      </c>
      <c r="AG100" s="2599"/>
      <c r="AH100" s="2599"/>
      <c r="AI100" s="2700"/>
      <c r="AJ100" s="2701" t="str">
        <f t="shared" si="25"/>
        <v/>
      </c>
    </row>
    <row r="101" spans="1:36" s="1118" customFormat="1" ht="15.75" collapsed="1" thickBot="1">
      <c r="A101" s="2318"/>
      <c r="B101" s="3024"/>
      <c r="C101" s="3027"/>
      <c r="D101" s="3028"/>
      <c r="E101" s="3029" t="s">
        <v>2946</v>
      </c>
      <c r="F101" s="2472" t="s">
        <v>3860</v>
      </c>
      <c r="G101" s="2466"/>
      <c r="H101" s="2627">
        <f>' (стр.15)'!F114*1000</f>
        <v>50</v>
      </c>
      <c r="I101" s="2628">
        <f>'(стр.16)'!F125*1000</f>
        <v>450</v>
      </c>
      <c r="J101" s="2628">
        <f>'(Стр.17)'!F80*1000</f>
        <v>25</v>
      </c>
      <c r="K101" s="2641"/>
      <c r="L101" s="2617">
        <f>SUM(H101:K101)</f>
        <v>525</v>
      </c>
      <c r="M101" s="2627">
        <f>' (стр.15)'!G114</f>
        <v>5</v>
      </c>
      <c r="N101" s="2628">
        <f>'(стр.16)'!G125</f>
        <v>92.78</v>
      </c>
      <c r="O101" s="2628">
        <f>'(Стр.17)'!G80</f>
        <v>1.5</v>
      </c>
      <c r="P101" s="2641"/>
      <c r="Q101" s="2617">
        <f t="shared" si="20"/>
        <v>99.28</v>
      </c>
      <c r="R101" s="2653">
        <f>' (стр.15)'!P114/1000</f>
        <v>21.34967</v>
      </c>
      <c r="S101" s="2648">
        <f>'(стр.16)'!P125/1000</f>
        <v>85.507070000000013</v>
      </c>
      <c r="T101" s="2648">
        <f>'(Стр.17)'!P80/1000</f>
        <v>13.385879999999998</v>
      </c>
      <c r="U101" s="2649"/>
      <c r="V101" s="2644">
        <f t="shared" si="26"/>
        <v>426993.39999999997</v>
      </c>
      <c r="W101" s="2644">
        <f t="shared" si="27"/>
        <v>190015.71111111113</v>
      </c>
      <c r="X101" s="2644">
        <f t="shared" si="28"/>
        <v>535435.19999999995</v>
      </c>
      <c r="Y101" s="2633"/>
      <c r="Z101" s="2645">
        <f>$Z$13</f>
        <v>1.0528</v>
      </c>
      <c r="AA101" s="2645">
        <f>$AA$13</f>
        <v>1.0589</v>
      </c>
      <c r="AB101" s="2645">
        <f>$AB$13</f>
        <v>1.0507936887282501</v>
      </c>
      <c r="AC101" s="2645">
        <f>$AC$13</f>
        <v>1.04657781587849</v>
      </c>
      <c r="AD101" s="2507">
        <f>IFERROR(V101*$Z$13*$AA$13*$AB$13*$AC$13,"")</f>
        <v>523493.10669177689</v>
      </c>
      <c r="AE101" s="2507">
        <f t="shared" ref="AE101" si="32">IFERROR(W101*$AA$13*$AB$13*$AC$13,"")</f>
        <v>221275.5557135386</v>
      </c>
      <c r="AF101" s="2507">
        <f t="shared" ref="AF101" si="33">IFERROR(X101*$AB$13*$AC$13,"")</f>
        <v>588838.09527381789</v>
      </c>
      <c r="AG101" s="2599"/>
      <c r="AH101" s="2599">
        <f>SUM(AD101:AF101)</f>
        <v>1333606.7576791334</v>
      </c>
      <c r="AI101" s="2700">
        <f>AH101/3</f>
        <v>444535.58589304448</v>
      </c>
      <c r="AJ101" s="2701">
        <f t="shared" si="25"/>
        <v>2350.7371332982307</v>
      </c>
    </row>
    <row r="102" spans="1:36" s="1118" customFormat="1" ht="15.75" hidden="1" outlineLevel="1" thickBot="1">
      <c r="A102" s="2318"/>
      <c r="B102" s="3024"/>
      <c r="C102" s="3027"/>
      <c r="D102" s="3028"/>
      <c r="E102" s="3029"/>
      <c r="F102" s="2472" t="s">
        <v>3861</v>
      </c>
      <c r="G102" s="2466"/>
      <c r="H102" s="2685"/>
      <c r="I102" s="2641"/>
      <c r="J102" s="2641"/>
      <c r="K102" s="2641"/>
      <c r="L102" s="2641"/>
      <c r="M102" s="2641"/>
      <c r="N102" s="2641"/>
      <c r="O102" s="2641"/>
      <c r="P102" s="2641"/>
      <c r="Q102" s="2649"/>
      <c r="R102" s="2641"/>
      <c r="S102" s="2651"/>
      <c r="T102" s="2652"/>
      <c r="U102" s="2649"/>
      <c r="V102" s="2632" t="str">
        <f t="shared" si="26"/>
        <v/>
      </c>
      <c r="W102" s="2632" t="str">
        <f t="shared" si="27"/>
        <v/>
      </c>
      <c r="X102" s="2632" t="str">
        <f t="shared" si="28"/>
        <v/>
      </c>
      <c r="Y102" s="2567"/>
      <c r="Z102" s="2642"/>
      <c r="AA102" s="2642"/>
      <c r="AB102" s="2642"/>
      <c r="AC102" s="2642"/>
      <c r="AD102" s="2642"/>
      <c r="AE102" s="2642"/>
      <c r="AF102" s="2642"/>
      <c r="AG102" s="2642"/>
      <c r="AH102" s="2642"/>
      <c r="AI102" s="2684"/>
      <c r="AJ102" s="2649"/>
    </row>
    <row r="103" spans="1:36" s="1118" customFormat="1" ht="15.75" hidden="1" outlineLevel="1" thickBot="1">
      <c r="A103" s="2318"/>
      <c r="B103" s="3024"/>
      <c r="C103" s="3027"/>
      <c r="D103" s="3028"/>
      <c r="E103" s="3029"/>
      <c r="F103" s="2472" t="s">
        <v>3862</v>
      </c>
      <c r="G103" s="2466"/>
      <c r="H103" s="2685"/>
      <c r="I103" s="2641"/>
      <c r="J103" s="2641"/>
      <c r="K103" s="2641"/>
      <c r="L103" s="2641"/>
      <c r="M103" s="2641"/>
      <c r="N103" s="2641"/>
      <c r="O103" s="2641"/>
      <c r="P103" s="2641"/>
      <c r="Q103" s="2649"/>
      <c r="R103" s="2641"/>
      <c r="S103" s="2651"/>
      <c r="T103" s="2652"/>
      <c r="U103" s="2649"/>
      <c r="V103" s="2632" t="str">
        <f t="shared" si="26"/>
        <v/>
      </c>
      <c r="W103" s="2632" t="str">
        <f t="shared" si="27"/>
        <v/>
      </c>
      <c r="X103" s="2632" t="str">
        <f t="shared" si="28"/>
        <v/>
      </c>
      <c r="Y103" s="2567"/>
      <c r="Z103" s="2642"/>
      <c r="AA103" s="2642"/>
      <c r="AB103" s="2642"/>
      <c r="AC103" s="2642"/>
      <c r="AD103" s="2642"/>
      <c r="AE103" s="2642"/>
      <c r="AF103" s="2642"/>
      <c r="AG103" s="2642"/>
      <c r="AH103" s="2642"/>
      <c r="AI103" s="2684"/>
      <c r="AJ103" s="2649"/>
    </row>
    <row r="104" spans="1:36" s="1118" customFormat="1" ht="15.75" hidden="1" outlineLevel="1" thickBot="1">
      <c r="A104" s="2318"/>
      <c r="B104" s="3024"/>
      <c r="C104" s="3027"/>
      <c r="D104" s="3028"/>
      <c r="E104" s="3029"/>
      <c r="F104" s="2472" t="s">
        <v>3863</v>
      </c>
      <c r="G104" s="2466"/>
      <c r="H104" s="2685"/>
      <c r="I104" s="2641"/>
      <c r="J104" s="2641"/>
      <c r="K104" s="2641"/>
      <c r="L104" s="2641"/>
      <c r="M104" s="2641"/>
      <c r="N104" s="2641"/>
      <c r="O104" s="2641"/>
      <c r="P104" s="2641"/>
      <c r="Q104" s="2649"/>
      <c r="R104" s="2641"/>
      <c r="S104" s="2651"/>
      <c r="T104" s="2652"/>
      <c r="U104" s="2649"/>
      <c r="V104" s="2632" t="str">
        <f t="shared" si="26"/>
        <v/>
      </c>
      <c r="W104" s="2632" t="str">
        <f t="shared" si="27"/>
        <v/>
      </c>
      <c r="X104" s="2632" t="str">
        <f t="shared" si="28"/>
        <v/>
      </c>
      <c r="Y104" s="2567"/>
      <c r="Z104" s="2642"/>
      <c r="AA104" s="2642"/>
      <c r="AB104" s="2642"/>
      <c r="AC104" s="2642"/>
      <c r="AD104" s="2642"/>
      <c r="AE104" s="2642"/>
      <c r="AF104" s="2642"/>
      <c r="AG104" s="2642"/>
      <c r="AH104" s="2642"/>
      <c r="AI104" s="2684"/>
      <c r="AJ104" s="2649"/>
    </row>
    <row r="105" spans="1:36" s="1118" customFormat="1" ht="15.75" hidden="1" outlineLevel="1" thickBot="1">
      <c r="A105" s="2318"/>
      <c r="B105" s="3024"/>
      <c r="C105" s="3027"/>
      <c r="D105" s="3028"/>
      <c r="E105" s="3029"/>
      <c r="F105" s="2474" t="s">
        <v>3864</v>
      </c>
      <c r="G105" s="2473"/>
      <c r="H105" s="2685"/>
      <c r="I105" s="2641"/>
      <c r="J105" s="2641"/>
      <c r="K105" s="2641"/>
      <c r="L105" s="2641"/>
      <c r="M105" s="2641"/>
      <c r="N105" s="2641"/>
      <c r="O105" s="2641"/>
      <c r="P105" s="2641"/>
      <c r="Q105" s="2649"/>
      <c r="R105" s="2641"/>
      <c r="S105" s="2651"/>
      <c r="T105" s="2652"/>
      <c r="U105" s="2649"/>
      <c r="V105" s="2632" t="str">
        <f t="shared" si="26"/>
        <v/>
      </c>
      <c r="W105" s="2632" t="str">
        <f t="shared" si="27"/>
        <v/>
      </c>
      <c r="X105" s="2632" t="str">
        <f t="shared" si="28"/>
        <v/>
      </c>
      <c r="Y105" s="2567"/>
      <c r="Z105" s="2642"/>
      <c r="AA105" s="2642"/>
      <c r="AB105" s="2642"/>
      <c r="AC105" s="2642"/>
      <c r="AD105" s="2642"/>
      <c r="AE105" s="2642"/>
      <c r="AF105" s="2642"/>
      <c r="AG105" s="2642"/>
      <c r="AH105" s="2642"/>
      <c r="AI105" s="2684"/>
      <c r="AJ105" s="2649"/>
    </row>
    <row r="106" spans="1:36" s="1118" customFormat="1" ht="15.75" hidden="1" outlineLevel="1" thickBot="1">
      <c r="A106" s="2318"/>
      <c r="B106" s="3024"/>
      <c r="C106" s="3027"/>
      <c r="D106" s="3028"/>
      <c r="E106" s="3029"/>
      <c r="F106" s="2474" t="s">
        <v>3865</v>
      </c>
      <c r="G106" s="2473"/>
      <c r="H106" s="2685"/>
      <c r="I106" s="2641"/>
      <c r="J106" s="2641"/>
      <c r="K106" s="2641"/>
      <c r="L106" s="2641"/>
      <c r="M106" s="2641"/>
      <c r="N106" s="2641"/>
      <c r="O106" s="2641"/>
      <c r="P106" s="2641"/>
      <c r="Q106" s="2649"/>
      <c r="R106" s="2641"/>
      <c r="S106" s="2651"/>
      <c r="T106" s="2652"/>
      <c r="U106" s="2649"/>
      <c r="V106" s="2632" t="str">
        <f t="shared" si="26"/>
        <v/>
      </c>
      <c r="W106" s="2632" t="str">
        <f t="shared" si="27"/>
        <v/>
      </c>
      <c r="X106" s="2632" t="str">
        <f t="shared" si="28"/>
        <v/>
      </c>
      <c r="Y106" s="2567"/>
      <c r="Z106" s="2642"/>
      <c r="AA106" s="2642"/>
      <c r="AB106" s="2642"/>
      <c r="AC106" s="2642"/>
      <c r="AD106" s="2642"/>
      <c r="AE106" s="2642"/>
      <c r="AF106" s="2642"/>
      <c r="AG106" s="2642"/>
      <c r="AH106" s="2642"/>
      <c r="AI106" s="2684"/>
      <c r="AJ106" s="2649"/>
    </row>
    <row r="107" spans="1:36" s="1118" customFormat="1" ht="15.75" hidden="1" outlineLevel="1" thickBot="1">
      <c r="A107" s="2318"/>
      <c r="B107" s="3024"/>
      <c r="C107" s="3027"/>
      <c r="D107" s="3028" t="s">
        <v>2954</v>
      </c>
      <c r="E107" s="3029" t="s">
        <v>2950</v>
      </c>
      <c r="F107" s="2472" t="s">
        <v>3860</v>
      </c>
      <c r="G107" s="2466"/>
      <c r="H107" s="2685"/>
      <c r="I107" s="2641"/>
      <c r="J107" s="2641"/>
      <c r="K107" s="2641"/>
      <c r="L107" s="2641"/>
      <c r="M107" s="2641"/>
      <c r="N107" s="2686"/>
      <c r="O107" s="2641"/>
      <c r="P107" s="2641"/>
      <c r="Q107" s="2649"/>
      <c r="R107" s="2651"/>
      <c r="S107" s="2651"/>
      <c r="T107" s="2651"/>
      <c r="U107" s="2649"/>
      <c r="V107" s="2632" t="str">
        <f t="shared" si="26"/>
        <v/>
      </c>
      <c r="W107" s="2632" t="str">
        <f t="shared" si="27"/>
        <v/>
      </c>
      <c r="X107" s="2632" t="str">
        <f t="shared" si="28"/>
        <v/>
      </c>
      <c r="Y107" s="2567"/>
      <c r="Z107" s="2642"/>
      <c r="AA107" s="2642"/>
      <c r="AB107" s="2642"/>
      <c r="AC107" s="2642"/>
      <c r="AD107" s="2642"/>
      <c r="AE107" s="2642"/>
      <c r="AF107" s="2642"/>
      <c r="AG107" s="2642"/>
      <c r="AH107" s="2642"/>
      <c r="AI107" s="2684"/>
      <c r="AJ107" s="2649"/>
    </row>
    <row r="108" spans="1:36" s="1118" customFormat="1" ht="15.75" hidden="1" outlineLevel="1" thickBot="1">
      <c r="A108" s="2318"/>
      <c r="B108" s="3024"/>
      <c r="C108" s="3027"/>
      <c r="D108" s="3028"/>
      <c r="E108" s="3029"/>
      <c r="F108" s="2472" t="s">
        <v>3861</v>
      </c>
      <c r="G108" s="2466"/>
      <c r="H108" s="2685"/>
      <c r="I108" s="2641"/>
      <c r="J108" s="2641"/>
      <c r="K108" s="2641"/>
      <c r="L108" s="2641"/>
      <c r="M108" s="2641"/>
      <c r="N108" s="2641"/>
      <c r="O108" s="2641"/>
      <c r="P108" s="2641"/>
      <c r="Q108" s="2649"/>
      <c r="R108" s="2641"/>
      <c r="S108" s="2651"/>
      <c r="T108" s="2652"/>
      <c r="U108" s="2649"/>
      <c r="V108" s="2632" t="str">
        <f t="shared" si="26"/>
        <v/>
      </c>
      <c r="W108" s="2632" t="str">
        <f t="shared" si="27"/>
        <v/>
      </c>
      <c r="X108" s="2632" t="str">
        <f t="shared" si="28"/>
        <v/>
      </c>
      <c r="Y108" s="2567"/>
      <c r="Z108" s="2642"/>
      <c r="AA108" s="2642"/>
      <c r="AB108" s="2642"/>
      <c r="AC108" s="2642"/>
      <c r="AD108" s="2642"/>
      <c r="AE108" s="2642"/>
      <c r="AF108" s="2642"/>
      <c r="AG108" s="2642"/>
      <c r="AH108" s="2642"/>
      <c r="AI108" s="2684"/>
      <c r="AJ108" s="2649"/>
    </row>
    <row r="109" spans="1:36" s="1118" customFormat="1" ht="15.75" hidden="1" outlineLevel="1" thickBot="1">
      <c r="A109" s="2318"/>
      <c r="B109" s="3024"/>
      <c r="C109" s="3027"/>
      <c r="D109" s="3028"/>
      <c r="E109" s="3029"/>
      <c r="F109" s="2472" t="s">
        <v>3862</v>
      </c>
      <c r="G109" s="2466"/>
      <c r="H109" s="2685"/>
      <c r="I109" s="2641"/>
      <c r="J109" s="2641"/>
      <c r="K109" s="2641"/>
      <c r="L109" s="2641"/>
      <c r="M109" s="2641"/>
      <c r="N109" s="2641"/>
      <c r="O109" s="2641"/>
      <c r="P109" s="2641"/>
      <c r="Q109" s="2649"/>
      <c r="R109" s="2641"/>
      <c r="S109" s="2641"/>
      <c r="T109" s="2650"/>
      <c r="U109" s="2649"/>
      <c r="V109" s="2632" t="str">
        <f t="shared" si="26"/>
        <v/>
      </c>
      <c r="W109" s="2632" t="str">
        <f t="shared" si="27"/>
        <v/>
      </c>
      <c r="X109" s="2632" t="str">
        <f t="shared" si="28"/>
        <v/>
      </c>
      <c r="Y109" s="2567"/>
      <c r="Z109" s="2642"/>
      <c r="AA109" s="2642"/>
      <c r="AB109" s="2642"/>
      <c r="AC109" s="2642"/>
      <c r="AD109" s="2642"/>
      <c r="AE109" s="2642"/>
      <c r="AF109" s="2642"/>
      <c r="AG109" s="2642"/>
      <c r="AH109" s="2642"/>
      <c r="AI109" s="2684"/>
      <c r="AJ109" s="2649"/>
    </row>
    <row r="110" spans="1:36" s="1118" customFormat="1" ht="15.75" hidden="1" outlineLevel="1" thickBot="1">
      <c r="A110" s="2318"/>
      <c r="B110" s="3024"/>
      <c r="C110" s="3027"/>
      <c r="D110" s="3028"/>
      <c r="E110" s="3029"/>
      <c r="F110" s="2472" t="s">
        <v>3863</v>
      </c>
      <c r="G110" s="2466"/>
      <c r="H110" s="2685"/>
      <c r="I110" s="2641"/>
      <c r="J110" s="2641"/>
      <c r="K110" s="2641"/>
      <c r="L110" s="2641"/>
      <c r="M110" s="2641"/>
      <c r="N110" s="2641"/>
      <c r="O110" s="2641"/>
      <c r="P110" s="2641"/>
      <c r="Q110" s="2649"/>
      <c r="R110" s="2641"/>
      <c r="S110" s="2641"/>
      <c r="T110" s="2650"/>
      <c r="U110" s="2649"/>
      <c r="V110" s="2632" t="str">
        <f t="shared" si="26"/>
        <v/>
      </c>
      <c r="W110" s="2632" t="str">
        <f t="shared" si="27"/>
        <v/>
      </c>
      <c r="X110" s="2632" t="str">
        <f t="shared" si="28"/>
        <v/>
      </c>
      <c r="Y110" s="2567"/>
      <c r="Z110" s="2642"/>
      <c r="AA110" s="2642"/>
      <c r="AB110" s="2642"/>
      <c r="AC110" s="2642"/>
      <c r="AD110" s="2642"/>
      <c r="AE110" s="2642"/>
      <c r="AF110" s="2642"/>
      <c r="AG110" s="2642"/>
      <c r="AH110" s="2642"/>
      <c r="AI110" s="2684"/>
      <c r="AJ110" s="2649"/>
    </row>
    <row r="111" spans="1:36" s="1118" customFormat="1" ht="15.75" hidden="1" outlineLevel="1" thickBot="1">
      <c r="A111" s="2318"/>
      <c r="B111" s="3024"/>
      <c r="C111" s="3027"/>
      <c r="D111" s="3028"/>
      <c r="E111" s="3029"/>
      <c r="F111" s="2474" t="s">
        <v>3864</v>
      </c>
      <c r="G111" s="2473"/>
      <c r="H111" s="2685"/>
      <c r="I111" s="2641"/>
      <c r="J111" s="2641"/>
      <c r="K111" s="2641"/>
      <c r="L111" s="2641"/>
      <c r="M111" s="2641"/>
      <c r="N111" s="2641"/>
      <c r="O111" s="2641"/>
      <c r="P111" s="2641"/>
      <c r="Q111" s="2649"/>
      <c r="R111" s="2641"/>
      <c r="S111" s="2641"/>
      <c r="T111" s="2650"/>
      <c r="U111" s="2649"/>
      <c r="V111" s="2632" t="str">
        <f t="shared" si="26"/>
        <v/>
      </c>
      <c r="W111" s="2632" t="str">
        <f t="shared" si="27"/>
        <v/>
      </c>
      <c r="X111" s="2632" t="str">
        <f t="shared" si="28"/>
        <v/>
      </c>
      <c r="Y111" s="2567"/>
      <c r="Z111" s="2642"/>
      <c r="AA111" s="2642"/>
      <c r="AB111" s="2642"/>
      <c r="AC111" s="2642"/>
      <c r="AD111" s="2642"/>
      <c r="AE111" s="2642"/>
      <c r="AF111" s="2642"/>
      <c r="AG111" s="2642"/>
      <c r="AH111" s="2642"/>
      <c r="AI111" s="2684"/>
      <c r="AJ111" s="2649"/>
    </row>
    <row r="112" spans="1:36" s="1118" customFormat="1" ht="15.75" hidden="1" outlineLevel="1" thickBot="1">
      <c r="A112" s="2318"/>
      <c r="B112" s="3024"/>
      <c r="C112" s="3027"/>
      <c r="D112" s="3028"/>
      <c r="E112" s="3029"/>
      <c r="F112" s="2474" t="s">
        <v>3865</v>
      </c>
      <c r="G112" s="2473"/>
      <c r="H112" s="2685"/>
      <c r="I112" s="2641"/>
      <c r="J112" s="2641"/>
      <c r="K112" s="2641"/>
      <c r="L112" s="2641"/>
      <c r="M112" s="2641"/>
      <c r="N112" s="2641"/>
      <c r="O112" s="2641"/>
      <c r="P112" s="2641"/>
      <c r="Q112" s="2649"/>
      <c r="R112" s="2641"/>
      <c r="S112" s="2641"/>
      <c r="T112" s="2650"/>
      <c r="U112" s="2649"/>
      <c r="V112" s="2632" t="str">
        <f t="shared" si="26"/>
        <v/>
      </c>
      <c r="W112" s="2632" t="str">
        <f t="shared" si="27"/>
        <v/>
      </c>
      <c r="X112" s="2632" t="str">
        <f t="shared" si="28"/>
        <v/>
      </c>
      <c r="Y112" s="2567"/>
      <c r="Z112" s="2642"/>
      <c r="AA112" s="2642"/>
      <c r="AB112" s="2642"/>
      <c r="AC112" s="2642"/>
      <c r="AD112" s="2642"/>
      <c r="AE112" s="2642"/>
      <c r="AF112" s="2642"/>
      <c r="AG112" s="2642"/>
      <c r="AH112" s="2642"/>
      <c r="AI112" s="2684"/>
      <c r="AJ112" s="2649"/>
    </row>
    <row r="113" spans="1:36" s="1118" customFormat="1" ht="15.75" hidden="1" outlineLevel="1" thickBot="1">
      <c r="A113" s="2318"/>
      <c r="B113" s="3024"/>
      <c r="C113" s="3027"/>
      <c r="D113" s="3028"/>
      <c r="E113" s="3029" t="s">
        <v>2946</v>
      </c>
      <c r="F113" s="2571" t="s">
        <v>3860</v>
      </c>
      <c r="G113" s="2569"/>
      <c r="H113" s="2685"/>
      <c r="I113" s="2641"/>
      <c r="J113" s="2641"/>
      <c r="K113" s="2641"/>
      <c r="L113" s="2641"/>
      <c r="M113" s="2641"/>
      <c r="N113" s="2641"/>
      <c r="O113" s="2641"/>
      <c r="P113" s="2641"/>
      <c r="Q113" s="2649"/>
      <c r="R113" s="2641"/>
      <c r="S113" s="2641"/>
      <c r="T113" s="2650"/>
      <c r="U113" s="2649"/>
      <c r="V113" s="2632" t="str">
        <f t="shared" si="26"/>
        <v/>
      </c>
      <c r="W113" s="2632" t="str">
        <f t="shared" si="27"/>
        <v/>
      </c>
      <c r="X113" s="2632" t="str">
        <f t="shared" si="28"/>
        <v/>
      </c>
      <c r="Y113" s="2567"/>
      <c r="Z113" s="2642"/>
      <c r="AA113" s="2642"/>
      <c r="AB113" s="2642"/>
      <c r="AC113" s="2642"/>
      <c r="AD113" s="2642"/>
      <c r="AE113" s="2642"/>
      <c r="AF113" s="2642"/>
      <c r="AG113" s="2642"/>
      <c r="AH113" s="2642"/>
      <c r="AI113" s="2684"/>
      <c r="AJ113" s="2649"/>
    </row>
    <row r="114" spans="1:36" s="1118" customFormat="1" ht="15.75" hidden="1" outlineLevel="1" thickBot="1">
      <c r="A114" s="2318"/>
      <c r="B114" s="3024"/>
      <c r="C114" s="3027"/>
      <c r="D114" s="3028"/>
      <c r="E114" s="3029"/>
      <c r="F114" s="2571" t="s">
        <v>3861</v>
      </c>
      <c r="G114" s="2569"/>
      <c r="H114" s="2641"/>
      <c r="I114" s="2641"/>
      <c r="J114" s="2641"/>
      <c r="K114" s="2641"/>
      <c r="L114" s="2641"/>
      <c r="M114" s="2641"/>
      <c r="N114" s="2641"/>
      <c r="O114" s="2641"/>
      <c r="P114" s="2641"/>
      <c r="Q114" s="2649"/>
      <c r="R114" s="2641"/>
      <c r="S114" s="2641"/>
      <c r="T114" s="2650"/>
      <c r="U114" s="2649"/>
      <c r="V114" s="2632" t="str">
        <f t="shared" si="26"/>
        <v/>
      </c>
      <c r="W114" s="2632" t="str">
        <f t="shared" si="27"/>
        <v/>
      </c>
      <c r="X114" s="2632" t="str">
        <f t="shared" si="28"/>
        <v/>
      </c>
      <c r="Y114" s="2567"/>
      <c r="Z114" s="2642"/>
      <c r="AA114" s="2642"/>
      <c r="AB114" s="2642"/>
      <c r="AC114" s="2642"/>
      <c r="AD114" s="2642"/>
      <c r="AE114" s="2642"/>
      <c r="AF114" s="2642"/>
      <c r="AG114" s="2642"/>
      <c r="AH114" s="2642"/>
      <c r="AI114" s="2684"/>
      <c r="AJ114" s="2649"/>
    </row>
    <row r="115" spans="1:36" s="1118" customFormat="1" ht="15.75" hidden="1" outlineLevel="1" thickBot="1">
      <c r="A115" s="2318"/>
      <c r="B115" s="3024"/>
      <c r="C115" s="3027"/>
      <c r="D115" s="3028"/>
      <c r="E115" s="3029"/>
      <c r="F115" s="2571" t="s">
        <v>3862</v>
      </c>
      <c r="G115" s="2570"/>
      <c r="H115" s="2649"/>
      <c r="I115" s="2649"/>
      <c r="J115" s="2649"/>
      <c r="K115" s="2649"/>
      <c r="L115" s="2649"/>
      <c r="M115" s="2649"/>
      <c r="N115" s="2649"/>
      <c r="O115" s="2649"/>
      <c r="P115" s="2649"/>
      <c r="Q115" s="2649"/>
      <c r="R115" s="2649"/>
      <c r="S115" s="2649"/>
      <c r="T115" s="2649"/>
      <c r="U115" s="2649"/>
      <c r="V115" s="2632" t="str">
        <f t="shared" si="26"/>
        <v/>
      </c>
      <c r="W115" s="2632" t="str">
        <f t="shared" si="27"/>
        <v/>
      </c>
      <c r="X115" s="2632" t="str">
        <f t="shared" si="28"/>
        <v/>
      </c>
      <c r="Y115" s="2567"/>
      <c r="Z115" s="2642"/>
      <c r="AA115" s="2642"/>
      <c r="AB115" s="2642"/>
      <c r="AC115" s="2642"/>
      <c r="AD115" s="2642"/>
      <c r="AE115" s="2642"/>
      <c r="AF115" s="2642"/>
      <c r="AG115" s="2642"/>
      <c r="AH115" s="2642"/>
      <c r="AI115" s="2684"/>
      <c r="AJ115" s="2649"/>
    </row>
    <row r="116" spans="1:36" s="1118" customFormat="1" ht="15.75" hidden="1" outlineLevel="1" thickBot="1">
      <c r="A116" s="2318"/>
      <c r="B116" s="3024"/>
      <c r="C116" s="3027"/>
      <c r="D116" s="3028"/>
      <c r="E116" s="3029"/>
      <c r="F116" s="2571" t="s">
        <v>3863</v>
      </c>
      <c r="G116" s="2328"/>
      <c r="H116" s="2649"/>
      <c r="I116" s="2649"/>
      <c r="J116" s="2649"/>
      <c r="K116" s="2649"/>
      <c r="L116" s="2649"/>
      <c r="M116" s="2649"/>
      <c r="N116" s="2649"/>
      <c r="O116" s="2649"/>
      <c r="P116" s="2649"/>
      <c r="Q116" s="2649"/>
      <c r="R116" s="2649"/>
      <c r="S116" s="2649"/>
      <c r="T116" s="2649"/>
      <c r="U116" s="2649"/>
      <c r="V116" s="2632" t="str">
        <f t="shared" si="26"/>
        <v/>
      </c>
      <c r="W116" s="2632" t="str">
        <f t="shared" si="27"/>
        <v/>
      </c>
      <c r="X116" s="2632" t="str">
        <f t="shared" si="28"/>
        <v/>
      </c>
      <c r="Y116" s="2567"/>
      <c r="Z116" s="2642"/>
      <c r="AA116" s="2642"/>
      <c r="AB116" s="2642"/>
      <c r="AC116" s="2642"/>
      <c r="AD116" s="2642"/>
      <c r="AE116" s="2642"/>
      <c r="AF116" s="2642"/>
      <c r="AG116" s="2642"/>
      <c r="AH116" s="2642"/>
      <c r="AI116" s="2684"/>
      <c r="AJ116" s="2649"/>
    </row>
    <row r="117" spans="1:36" s="1118" customFormat="1" ht="15.75" hidden="1" outlineLevel="1" thickBot="1">
      <c r="A117" s="2318"/>
      <c r="B117" s="3024"/>
      <c r="C117" s="3027"/>
      <c r="D117" s="3028"/>
      <c r="E117" s="3029"/>
      <c r="F117" s="2572" t="s">
        <v>3864</v>
      </c>
      <c r="G117" s="2330"/>
      <c r="H117" s="2649"/>
      <c r="I117" s="2649"/>
      <c r="J117" s="2649"/>
      <c r="K117" s="2649"/>
      <c r="L117" s="2649"/>
      <c r="M117" s="2649"/>
      <c r="N117" s="2649"/>
      <c r="O117" s="2649"/>
      <c r="P117" s="2649"/>
      <c r="Q117" s="2649"/>
      <c r="R117" s="2649"/>
      <c r="S117" s="2649"/>
      <c r="T117" s="2649"/>
      <c r="U117" s="2649"/>
      <c r="V117" s="2632" t="str">
        <f t="shared" si="26"/>
        <v/>
      </c>
      <c r="W117" s="2632" t="str">
        <f t="shared" si="27"/>
        <v/>
      </c>
      <c r="X117" s="2632" t="str">
        <f t="shared" si="28"/>
        <v/>
      </c>
      <c r="Y117" s="2567"/>
      <c r="Z117" s="2642"/>
      <c r="AA117" s="2642"/>
      <c r="AB117" s="2642"/>
      <c r="AC117" s="2642"/>
      <c r="AD117" s="2642"/>
      <c r="AE117" s="2642"/>
      <c r="AF117" s="2642"/>
      <c r="AG117" s="2642"/>
      <c r="AH117" s="2642"/>
      <c r="AI117" s="2684"/>
      <c r="AJ117" s="2649"/>
    </row>
    <row r="118" spans="1:36" s="1118" customFormat="1" ht="15.75" hidden="1" outlineLevel="1" thickBot="1">
      <c r="A118" s="2318"/>
      <c r="B118" s="3024"/>
      <c r="C118" s="3027"/>
      <c r="D118" s="3030"/>
      <c r="E118" s="3031"/>
      <c r="F118" s="2573" t="s">
        <v>3865</v>
      </c>
      <c r="G118" s="2335"/>
      <c r="H118" s="2812"/>
      <c r="I118" s="2812"/>
      <c r="J118" s="2812"/>
      <c r="K118" s="2812"/>
      <c r="L118" s="2812"/>
      <c r="M118" s="2812"/>
      <c r="N118" s="2812"/>
      <c r="O118" s="2812"/>
      <c r="P118" s="2812"/>
      <c r="Q118" s="2812"/>
      <c r="R118" s="2812"/>
      <c r="S118" s="2812"/>
      <c r="T118" s="2812"/>
      <c r="U118" s="2812"/>
      <c r="V118" s="2813" t="str">
        <f t="shared" si="26"/>
        <v/>
      </c>
      <c r="W118" s="2813" t="str">
        <f t="shared" si="27"/>
        <v/>
      </c>
      <c r="X118" s="2813" t="str">
        <f t="shared" si="28"/>
        <v/>
      </c>
      <c r="Y118" s="2395"/>
      <c r="Z118" s="2772"/>
      <c r="AA118" s="2772"/>
      <c r="AB118" s="2772"/>
      <c r="AC118" s="2772"/>
      <c r="AD118" s="2772"/>
      <c r="AE118" s="2772"/>
      <c r="AF118" s="2772"/>
      <c r="AG118" s="2772"/>
      <c r="AH118" s="2772"/>
      <c r="AI118" s="2814"/>
      <c r="AJ118" s="2812"/>
    </row>
    <row r="119" spans="1:36" s="1118" customFormat="1" ht="15" collapsed="1">
      <c r="A119" s="2332"/>
      <c r="B119" s="2332"/>
      <c r="C119" s="2332"/>
      <c r="D119" s="2332"/>
      <c r="E119" s="2332"/>
      <c r="F119" s="2334"/>
      <c r="G119" s="2334"/>
      <c r="Z119"/>
      <c r="AA119"/>
      <c r="AB119"/>
      <c r="AC119"/>
      <c r="AD119"/>
      <c r="AE119"/>
      <c r="AF119"/>
      <c r="AG119"/>
      <c r="AH119"/>
      <c r="AI119"/>
    </row>
    <row r="120" spans="1:36" s="1118" customFormat="1" ht="15">
      <c r="A120" s="2331"/>
      <c r="B120" s="2331"/>
      <c r="C120" s="2331"/>
      <c r="D120" s="2331"/>
      <c r="E120" s="2331"/>
      <c r="F120" s="2334"/>
      <c r="G120" s="2334"/>
      <c r="H120" s="2439"/>
      <c r="I120" s="2439"/>
      <c r="J120" s="2439"/>
      <c r="K120" s="2439"/>
      <c r="L120" s="2439"/>
      <c r="M120" s="2439"/>
      <c r="N120" s="2439"/>
      <c r="O120" s="2439"/>
      <c r="P120" s="2439"/>
      <c r="Q120" s="2439"/>
      <c r="R120" s="2439"/>
      <c r="S120" s="2439"/>
      <c r="T120" s="2439"/>
      <c r="Z120"/>
      <c r="AA120"/>
      <c r="AB120"/>
      <c r="AC120"/>
      <c r="AD120"/>
      <c r="AE120"/>
      <c r="AF120"/>
      <c r="AG120"/>
      <c r="AH120"/>
      <c r="AI120"/>
    </row>
    <row r="121" spans="1:36" s="1118" customFormat="1" ht="15">
      <c r="A121" s="2331"/>
      <c r="B121" s="2331"/>
      <c r="C121" s="2331"/>
      <c r="D121" s="2331"/>
      <c r="E121" s="2331"/>
      <c r="F121" s="2334"/>
      <c r="G121" s="2334"/>
      <c r="H121" s="2439"/>
      <c r="I121" s="2439"/>
      <c r="J121" s="2439"/>
      <c r="K121" s="2439"/>
      <c r="L121" s="2439"/>
      <c r="M121" s="2439"/>
      <c r="N121" s="2439"/>
      <c r="O121" s="2439"/>
      <c r="P121" s="2439"/>
      <c r="Q121" s="2439"/>
      <c r="R121" s="2439"/>
      <c r="S121" s="2439"/>
      <c r="T121" s="2439"/>
      <c r="Z121"/>
      <c r="AA121"/>
      <c r="AB121"/>
      <c r="AC121"/>
      <c r="AD121"/>
      <c r="AE121"/>
      <c r="AF121"/>
      <c r="AG121"/>
      <c r="AH121"/>
      <c r="AI121"/>
    </row>
    <row r="122" spans="1:36" s="1118" customFormat="1" ht="15">
      <c r="A122" s="2331"/>
      <c r="B122" s="2331"/>
      <c r="C122" s="2331"/>
      <c r="D122" s="2331"/>
      <c r="E122" s="2331"/>
      <c r="F122" s="2334"/>
      <c r="G122" s="2334"/>
      <c r="H122" s="2439"/>
      <c r="I122" s="2439"/>
      <c r="J122" s="2439"/>
      <c r="K122" s="2439"/>
      <c r="L122" s="2439"/>
      <c r="M122" s="2439"/>
      <c r="N122" s="2439"/>
      <c r="O122" s="2439"/>
      <c r="P122" s="2439"/>
      <c r="Q122" s="2439"/>
      <c r="R122" s="2439"/>
      <c r="S122" s="2439"/>
      <c r="T122" s="2439"/>
      <c r="Z122"/>
      <c r="AA122"/>
      <c r="AB122"/>
      <c r="AC122"/>
      <c r="AD122"/>
      <c r="AE122"/>
      <c r="AF122"/>
      <c r="AG122"/>
      <c r="AH122"/>
      <c r="AI122"/>
    </row>
    <row r="123" spans="1:36" s="1118" customFormat="1" ht="15.75" thickBot="1">
      <c r="A123" s="2331"/>
      <c r="B123" s="2331"/>
      <c r="C123" s="2331"/>
      <c r="D123" s="2331"/>
      <c r="E123" s="2331"/>
      <c r="F123" s="2334"/>
      <c r="G123" s="2334"/>
      <c r="H123" s="2439"/>
      <c r="I123" s="2439"/>
      <c r="J123" s="2439"/>
      <c r="K123" s="2439"/>
      <c r="L123" s="2439"/>
      <c r="M123" s="2439"/>
      <c r="N123" s="2439"/>
      <c r="O123" s="2439"/>
      <c r="P123" s="2439"/>
      <c r="Q123" s="2439"/>
      <c r="R123" s="2439"/>
      <c r="S123" s="2439"/>
      <c r="T123" s="2439"/>
      <c r="Z123"/>
      <c r="AA123"/>
      <c r="AB123"/>
      <c r="AC123"/>
      <c r="AD123"/>
      <c r="AE123"/>
      <c r="AF123"/>
      <c r="AG123"/>
      <c r="AH123"/>
      <c r="AI123"/>
    </row>
    <row r="124" spans="1:36" s="1118" customFormat="1" ht="16.5" customHeight="1" thickBot="1">
      <c r="A124" s="2997"/>
      <c r="B124" s="2998"/>
      <c r="C124" s="2998"/>
      <c r="D124" s="2998"/>
      <c r="E124" s="2998"/>
      <c r="F124" s="2999"/>
      <c r="G124" s="3165" t="s">
        <v>3971</v>
      </c>
      <c r="H124" s="3166"/>
      <c r="I124" s="3166"/>
      <c r="J124" s="3166"/>
      <c r="K124" s="3166"/>
      <c r="L124" s="3166"/>
      <c r="M124" s="3166"/>
      <c r="N124" s="3166"/>
      <c r="O124" s="3166"/>
      <c r="P124" s="3166"/>
      <c r="Q124" s="3166"/>
      <c r="R124" s="3166"/>
      <c r="S124" s="3166"/>
      <c r="T124" s="3166"/>
      <c r="U124" s="3167"/>
      <c r="Z124"/>
      <c r="AA124"/>
      <c r="AB124"/>
      <c r="AC124"/>
      <c r="AD124"/>
      <c r="AE124"/>
      <c r="AF124"/>
      <c r="AG124"/>
      <c r="AH124"/>
      <c r="AI124"/>
    </row>
    <row r="125" spans="1:36" s="1118" customFormat="1" ht="30" customHeight="1">
      <c r="A125" s="3007" t="s">
        <v>0</v>
      </c>
      <c r="B125" s="3009" t="s">
        <v>3849</v>
      </c>
      <c r="C125" s="3010" t="s">
        <v>3850</v>
      </c>
      <c r="D125" s="3012" t="s">
        <v>3851</v>
      </c>
      <c r="E125" s="3012" t="s">
        <v>3852</v>
      </c>
      <c r="F125" s="2990" t="s">
        <v>3853</v>
      </c>
      <c r="G125" s="3002" t="s">
        <v>3854</v>
      </c>
      <c r="H125" s="3168" t="s">
        <v>3855</v>
      </c>
      <c r="I125" s="3169"/>
      <c r="J125" s="3169"/>
      <c r="K125" s="3169"/>
      <c r="L125" s="3170"/>
      <c r="M125" s="3168" t="s">
        <v>3856</v>
      </c>
      <c r="N125" s="3169"/>
      <c r="O125" s="3169"/>
      <c r="P125" s="3169"/>
      <c r="Q125" s="3170"/>
      <c r="R125" s="3171" t="s">
        <v>3857</v>
      </c>
      <c r="S125" s="3172"/>
      <c r="T125" s="3172"/>
      <c r="U125" s="3173"/>
      <c r="V125" s="3136" t="s">
        <v>3978</v>
      </c>
      <c r="W125" s="3137"/>
      <c r="X125" s="3137"/>
      <c r="Y125" s="3138"/>
      <c r="Z125" s="3132" t="s">
        <v>3858</v>
      </c>
      <c r="AA125" s="3132"/>
      <c r="AB125" s="3132"/>
      <c r="AC125" s="3132"/>
      <c r="AD125" s="3136" t="s">
        <v>3979</v>
      </c>
      <c r="AE125" s="3137"/>
      <c r="AF125" s="3137"/>
      <c r="AG125" s="3138"/>
      <c r="AH125" s="2496" t="s">
        <v>3980</v>
      </c>
      <c r="AI125" s="2500" t="s">
        <v>3974</v>
      </c>
      <c r="AJ125" s="2500" t="s">
        <v>3975</v>
      </c>
    </row>
    <row r="126" spans="1:36" s="1118" customFormat="1" ht="59.25" customHeight="1" thickBot="1">
      <c r="A126" s="3008"/>
      <c r="B126" s="3002"/>
      <c r="C126" s="3011"/>
      <c r="D126" s="3013"/>
      <c r="E126" s="3013"/>
      <c r="F126" s="2991"/>
      <c r="G126" s="3003"/>
      <c r="H126" s="2379">
        <f>H69</f>
        <v>2015</v>
      </c>
      <c r="I126" s="2379">
        <f t="shared" ref="I126:J126" si="34">I69</f>
        <v>2016</v>
      </c>
      <c r="J126" s="2379">
        <f t="shared" si="34"/>
        <v>2017</v>
      </c>
      <c r="K126" s="2488" t="str">
        <f>K69</f>
        <v>План (в случае отсутствия факта за 3 года)</v>
      </c>
      <c r="L126" s="2595" t="s">
        <v>2559</v>
      </c>
      <c r="M126" s="2488">
        <f>H126</f>
        <v>2015</v>
      </c>
      <c r="N126" s="2488">
        <f>I126</f>
        <v>2016</v>
      </c>
      <c r="O126" s="2488">
        <f>J126</f>
        <v>2017</v>
      </c>
      <c r="P126" s="2488" t="str">
        <f>K126</f>
        <v>План (в случае отсутствия факта за 3 года)</v>
      </c>
      <c r="Q126" s="2595" t="s">
        <v>2559</v>
      </c>
      <c r="R126" s="2488">
        <f>H126</f>
        <v>2015</v>
      </c>
      <c r="S126" s="2488">
        <f>I126</f>
        <v>2016</v>
      </c>
      <c r="T126" s="2380">
        <f>J126</f>
        <v>2017</v>
      </c>
      <c r="U126" s="2380" t="str">
        <f>P126</f>
        <v>План (в случае отсутствия факта за 3 года)</v>
      </c>
      <c r="V126" s="2496">
        <f>R126</f>
        <v>2015</v>
      </c>
      <c r="W126" s="2496">
        <f>S126</f>
        <v>2016</v>
      </c>
      <c r="X126" s="2496">
        <f>T126</f>
        <v>2017</v>
      </c>
      <c r="Y126" s="2496" t="s">
        <v>3925</v>
      </c>
      <c r="Z126" s="2588">
        <v>2016</v>
      </c>
      <c r="AA126" s="2588">
        <v>2017</v>
      </c>
      <c r="AB126" s="2588">
        <v>2018</v>
      </c>
      <c r="AC126" s="2588">
        <v>2019</v>
      </c>
      <c r="AD126" s="2503">
        <f>V126</f>
        <v>2015</v>
      </c>
      <c r="AE126" s="2503">
        <f>W126</f>
        <v>2016</v>
      </c>
      <c r="AF126" s="2503">
        <f>X126</f>
        <v>2017</v>
      </c>
      <c r="AG126" s="2503" t="str">
        <f>Y126</f>
        <v>План (в случае отсутствия факта за 3 года)</v>
      </c>
      <c r="AH126" s="2497" t="s">
        <v>3981</v>
      </c>
      <c r="AI126" s="2597" t="s">
        <v>3976</v>
      </c>
      <c r="AJ126" s="2597" t="s">
        <v>3977</v>
      </c>
    </row>
    <row r="127" spans="1:36" s="1118" customFormat="1" ht="15.75" thickBot="1">
      <c r="A127" s="2316">
        <v>1</v>
      </c>
      <c r="B127" s="2477">
        <v>2</v>
      </c>
      <c r="C127" s="3014">
        <v>3</v>
      </c>
      <c r="D127" s="3015"/>
      <c r="E127" s="3015"/>
      <c r="F127" s="3016"/>
      <c r="G127" s="2317">
        <v>4</v>
      </c>
      <c r="H127" s="3017">
        <v>5</v>
      </c>
      <c r="I127" s="3018"/>
      <c r="J127" s="3018"/>
      <c r="K127" s="3018"/>
      <c r="L127" s="3019"/>
      <c r="M127" s="3017">
        <v>6</v>
      </c>
      <c r="N127" s="3018"/>
      <c r="O127" s="3018"/>
      <c r="P127" s="3018"/>
      <c r="Q127" s="3021"/>
      <c r="R127" s="3020">
        <v>7</v>
      </c>
      <c r="S127" s="3018"/>
      <c r="T127" s="3018"/>
      <c r="U127" s="3021"/>
      <c r="V127" s="3131">
        <v>8</v>
      </c>
      <c r="W127" s="3131"/>
      <c r="X127" s="3131"/>
      <c r="Y127" s="3131"/>
      <c r="Z127" s="3131">
        <v>9</v>
      </c>
      <c r="AA127" s="3131"/>
      <c r="AB127" s="3131"/>
      <c r="AC127" s="3131"/>
      <c r="AD127" s="3105">
        <v>10</v>
      </c>
      <c r="AE127" s="3106"/>
      <c r="AF127" s="3106"/>
      <c r="AG127" s="3107"/>
      <c r="AH127" s="2498">
        <v>11</v>
      </c>
      <c r="AI127" s="2498">
        <v>12</v>
      </c>
      <c r="AJ127" s="2499">
        <v>13</v>
      </c>
    </row>
    <row r="128" spans="1:36" s="1118" customFormat="1" ht="15" hidden="1" outlineLevel="1">
      <c r="A128" s="2318"/>
      <c r="B128" s="3032" t="s">
        <v>2952</v>
      </c>
      <c r="C128" s="3034" t="s">
        <v>3859</v>
      </c>
      <c r="D128" s="3036" t="s">
        <v>2949</v>
      </c>
      <c r="E128" s="3037" t="s">
        <v>2950</v>
      </c>
      <c r="F128" s="2381" t="s">
        <v>3860</v>
      </c>
      <c r="G128" s="2485"/>
      <c r="H128" s="2482"/>
      <c r="I128" s="2486"/>
      <c r="J128" s="2486"/>
      <c r="K128" s="2486"/>
      <c r="L128" s="2516"/>
      <c r="M128" s="2486"/>
      <c r="N128" s="2486"/>
      <c r="O128" s="2486"/>
      <c r="P128" s="2486"/>
      <c r="Q128" s="2585"/>
      <c r="R128" s="2329"/>
      <c r="S128" s="2329"/>
      <c r="T128" s="2382"/>
      <c r="U128" s="2329"/>
      <c r="V128" s="2567"/>
      <c r="W128" s="2567"/>
      <c r="X128" s="2567"/>
      <c r="Y128" s="2567"/>
      <c r="Z128" s="2645">
        <f>$Z$13</f>
        <v>1.0528</v>
      </c>
      <c r="AA128" s="2645">
        <f>$AA$13</f>
        <v>1.0589</v>
      </c>
      <c r="AB128" s="2645">
        <f>$AB$13</f>
        <v>1.0507936887282501</v>
      </c>
      <c r="AC128" s="2645">
        <f>$AC$13</f>
        <v>1.04657781587849</v>
      </c>
      <c r="AD128" s="2642"/>
      <c r="AE128" s="2642"/>
      <c r="AF128" s="2642"/>
      <c r="AG128" s="2642"/>
      <c r="AH128" s="2642"/>
      <c r="AI128" s="2600"/>
      <c r="AJ128" s="2646"/>
    </row>
    <row r="129" spans="1:36" s="1118" customFormat="1" ht="15" hidden="1" outlineLevel="1">
      <c r="A129" s="2318"/>
      <c r="B129" s="3033"/>
      <c r="C129" s="3035"/>
      <c r="D129" s="3028"/>
      <c r="E129" s="3029"/>
      <c r="F129" s="2492" t="s">
        <v>3861</v>
      </c>
      <c r="G129" s="2478"/>
      <c r="H129" s="2487"/>
      <c r="I129" s="2484"/>
      <c r="J129" s="2484"/>
      <c r="K129" s="2484"/>
      <c r="L129" s="2515"/>
      <c r="M129" s="2484"/>
      <c r="N129" s="2484"/>
      <c r="O129" s="2484"/>
      <c r="P129" s="2484"/>
      <c r="Q129" s="2590"/>
      <c r="R129" s="2323"/>
      <c r="S129" s="2323"/>
      <c r="T129" s="2383"/>
      <c r="U129" s="2566"/>
      <c r="V129" s="2567"/>
      <c r="W129" s="2567"/>
      <c r="X129" s="2567"/>
      <c r="Y129" s="2567"/>
      <c r="Z129" s="2642"/>
      <c r="AA129" s="2642"/>
      <c r="AB129" s="2642"/>
      <c r="AC129" s="2642"/>
      <c r="AD129" s="2642"/>
      <c r="AE129" s="2642"/>
      <c r="AF129" s="2642"/>
      <c r="AG129" s="2642"/>
      <c r="AH129" s="2642"/>
      <c r="AI129" s="2600"/>
      <c r="AJ129" s="2646"/>
    </row>
    <row r="130" spans="1:36" s="1118" customFormat="1" ht="15" hidden="1" outlineLevel="1">
      <c r="A130" s="2318"/>
      <c r="B130" s="3033"/>
      <c r="C130" s="3035"/>
      <c r="D130" s="3028"/>
      <c r="E130" s="3029"/>
      <c r="F130" s="2492" t="s">
        <v>3862</v>
      </c>
      <c r="G130" s="2478"/>
      <c r="H130" s="2487"/>
      <c r="I130" s="2484"/>
      <c r="J130" s="2484"/>
      <c r="K130" s="2484"/>
      <c r="L130" s="2515"/>
      <c r="M130" s="2484"/>
      <c r="N130" s="2484"/>
      <c r="O130" s="2484"/>
      <c r="P130" s="2484"/>
      <c r="Q130" s="2590"/>
      <c r="R130" s="2323"/>
      <c r="S130" s="2323"/>
      <c r="T130" s="2383"/>
      <c r="U130" s="2566"/>
      <c r="V130" s="2567"/>
      <c r="W130" s="2567"/>
      <c r="X130" s="2567"/>
      <c r="Y130" s="2567"/>
      <c r="Z130" s="2642"/>
      <c r="AA130" s="2642"/>
      <c r="AB130" s="2642"/>
      <c r="AC130" s="2642"/>
      <c r="AD130" s="2642"/>
      <c r="AE130" s="2642"/>
      <c r="AF130" s="2642"/>
      <c r="AG130" s="2642"/>
      <c r="AH130" s="2642"/>
      <c r="AI130" s="2600"/>
      <c r="AJ130" s="2646"/>
    </row>
    <row r="131" spans="1:36" s="1118" customFormat="1" ht="15" hidden="1" outlineLevel="1">
      <c r="A131" s="2318"/>
      <c r="B131" s="3033"/>
      <c r="C131" s="3035"/>
      <c r="D131" s="3028"/>
      <c r="E131" s="3029"/>
      <c r="F131" s="2492" t="s">
        <v>3863</v>
      </c>
      <c r="G131" s="2478"/>
      <c r="H131" s="2487"/>
      <c r="I131" s="2484"/>
      <c r="J131" s="2484"/>
      <c r="K131" s="2484"/>
      <c r="L131" s="2515"/>
      <c r="M131" s="2484"/>
      <c r="N131" s="2484"/>
      <c r="O131" s="2484"/>
      <c r="P131" s="2484"/>
      <c r="Q131" s="2590"/>
      <c r="R131" s="2323"/>
      <c r="S131" s="2323"/>
      <c r="T131" s="2383"/>
      <c r="U131" s="2566"/>
      <c r="V131" s="2567"/>
      <c r="W131" s="2567"/>
      <c r="X131" s="2567"/>
      <c r="Y131" s="2567"/>
      <c r="Z131" s="2642"/>
      <c r="AA131" s="2642"/>
      <c r="AB131" s="2642"/>
      <c r="AC131" s="2642"/>
      <c r="AD131" s="2642"/>
      <c r="AE131" s="2642"/>
      <c r="AF131" s="2642"/>
      <c r="AG131" s="2642"/>
      <c r="AH131" s="2642"/>
      <c r="AI131" s="2600"/>
      <c r="AJ131" s="2646"/>
    </row>
    <row r="132" spans="1:36" s="1118" customFormat="1" ht="15" hidden="1" outlineLevel="1">
      <c r="A132" s="2318"/>
      <c r="B132" s="3033"/>
      <c r="C132" s="3035"/>
      <c r="D132" s="3028"/>
      <c r="E132" s="3029"/>
      <c r="F132" s="2494" t="s">
        <v>3864</v>
      </c>
      <c r="G132" s="2493"/>
      <c r="H132" s="2487"/>
      <c r="I132" s="2484"/>
      <c r="J132" s="2484"/>
      <c r="K132" s="2484"/>
      <c r="L132" s="2515"/>
      <c r="M132" s="2484"/>
      <c r="N132" s="2484"/>
      <c r="O132" s="2484"/>
      <c r="P132" s="2484"/>
      <c r="Q132" s="2590"/>
      <c r="R132" s="2323"/>
      <c r="S132" s="2323"/>
      <c r="T132" s="2383"/>
      <c r="U132" s="2566"/>
      <c r="V132" s="2567"/>
      <c r="W132" s="2567"/>
      <c r="X132" s="2567"/>
      <c r="Y132" s="2567"/>
      <c r="Z132" s="2642"/>
      <c r="AA132" s="2642"/>
      <c r="AB132" s="2642"/>
      <c r="AC132" s="2642"/>
      <c r="AD132" s="2642"/>
      <c r="AE132" s="2642"/>
      <c r="AF132" s="2642"/>
      <c r="AG132" s="2642"/>
      <c r="AH132" s="2642"/>
      <c r="AI132" s="2600"/>
      <c r="AJ132" s="2646"/>
    </row>
    <row r="133" spans="1:36" s="1118" customFormat="1" ht="15" hidden="1" outlineLevel="1">
      <c r="A133" s="2318"/>
      <c r="B133" s="3033"/>
      <c r="C133" s="3035"/>
      <c r="D133" s="3028"/>
      <c r="E133" s="3029"/>
      <c r="F133" s="2494" t="s">
        <v>3865</v>
      </c>
      <c r="G133" s="2493"/>
      <c r="H133" s="2487"/>
      <c r="I133" s="2484"/>
      <c r="J133" s="2484"/>
      <c r="K133" s="2484"/>
      <c r="L133" s="2515"/>
      <c r="M133" s="2484"/>
      <c r="N133" s="2484"/>
      <c r="O133" s="2320"/>
      <c r="P133" s="2320"/>
      <c r="Q133" s="2591"/>
      <c r="R133" s="2323"/>
      <c r="S133" s="2323"/>
      <c r="T133" s="2383"/>
      <c r="U133" s="2566"/>
      <c r="V133" s="2567"/>
      <c r="W133" s="2567"/>
      <c r="X133" s="2567"/>
      <c r="Y133" s="2567"/>
      <c r="Z133" s="2642"/>
      <c r="AA133" s="2642"/>
      <c r="AB133" s="2642"/>
      <c r="AC133" s="2642"/>
      <c r="AD133" s="2642"/>
      <c r="AE133" s="2642"/>
      <c r="AF133" s="2642"/>
      <c r="AG133" s="2642"/>
      <c r="AH133" s="2642"/>
      <c r="AI133" s="2600"/>
      <c r="AJ133" s="2646"/>
    </row>
    <row r="134" spans="1:36" s="1118" customFormat="1" ht="15" hidden="1" outlineLevel="1">
      <c r="A134" s="2318"/>
      <c r="B134" s="3033"/>
      <c r="C134" s="3035"/>
      <c r="D134" s="3028"/>
      <c r="E134" s="3029" t="s">
        <v>2946</v>
      </c>
      <c r="F134" s="2492" t="s">
        <v>3860</v>
      </c>
      <c r="G134" s="2478"/>
      <c r="H134" s="2487"/>
      <c r="I134" s="2484"/>
      <c r="J134" s="2484"/>
      <c r="K134" s="2484"/>
      <c r="L134" s="2513"/>
      <c r="M134" s="2487"/>
      <c r="N134" s="2484"/>
      <c r="O134" s="2484"/>
      <c r="P134" s="2484"/>
      <c r="Q134" s="2568"/>
      <c r="R134" s="2487"/>
      <c r="S134" s="2323"/>
      <c r="T134" s="2383"/>
      <c r="U134" s="2566"/>
      <c r="V134" s="2567"/>
      <c r="W134" s="2567"/>
      <c r="X134" s="2567"/>
      <c r="Y134" s="2567"/>
      <c r="Z134" s="2642"/>
      <c r="AA134" s="2642"/>
      <c r="AB134" s="2642"/>
      <c r="AC134" s="2642"/>
      <c r="AD134" s="2642"/>
      <c r="AE134" s="2642"/>
      <c r="AF134" s="2642"/>
      <c r="AG134" s="2642"/>
      <c r="AH134" s="2642"/>
      <c r="AI134" s="2600"/>
      <c r="AJ134" s="2646"/>
    </row>
    <row r="135" spans="1:36" s="1118" customFormat="1" ht="15" hidden="1" outlineLevel="1">
      <c r="A135" s="2318"/>
      <c r="B135" s="3033"/>
      <c r="C135" s="3035"/>
      <c r="D135" s="3028"/>
      <c r="E135" s="3029"/>
      <c r="F135" s="2492" t="s">
        <v>3861</v>
      </c>
      <c r="G135" s="2478"/>
      <c r="H135" s="2487"/>
      <c r="I135" s="2484"/>
      <c r="J135" s="2484"/>
      <c r="K135" s="2484"/>
      <c r="L135" s="2515"/>
      <c r="M135" s="2484"/>
      <c r="N135" s="2484"/>
      <c r="O135" s="2484"/>
      <c r="P135" s="2484"/>
      <c r="Q135" s="2590"/>
      <c r="R135" s="2323"/>
      <c r="S135" s="2323"/>
      <c r="T135" s="2383"/>
      <c r="U135" s="2566"/>
      <c r="V135" s="2567"/>
      <c r="W135" s="2567"/>
      <c r="X135" s="2567"/>
      <c r="Y135" s="2567"/>
      <c r="Z135" s="2642"/>
      <c r="AA135" s="2642"/>
      <c r="AB135" s="2642"/>
      <c r="AC135" s="2642"/>
      <c r="AD135" s="2642"/>
      <c r="AE135" s="2642"/>
      <c r="AF135" s="2642"/>
      <c r="AG135" s="2642"/>
      <c r="AH135" s="2642"/>
      <c r="AI135" s="2600"/>
      <c r="AJ135" s="2646"/>
    </row>
    <row r="136" spans="1:36" s="1118" customFormat="1" ht="15" hidden="1" outlineLevel="1">
      <c r="A136" s="2318"/>
      <c r="B136" s="3033"/>
      <c r="C136" s="3035"/>
      <c r="D136" s="3028"/>
      <c r="E136" s="3029"/>
      <c r="F136" s="2492" t="s">
        <v>3862</v>
      </c>
      <c r="G136" s="2478"/>
      <c r="H136" s="2487"/>
      <c r="I136" s="2484"/>
      <c r="J136" s="2484"/>
      <c r="K136" s="2484"/>
      <c r="L136" s="2515"/>
      <c r="M136" s="2484"/>
      <c r="N136" s="2484"/>
      <c r="O136" s="2484"/>
      <c r="P136" s="2484"/>
      <c r="Q136" s="2590"/>
      <c r="R136" s="2323"/>
      <c r="S136" s="2323"/>
      <c r="T136" s="2383"/>
      <c r="U136" s="2566"/>
      <c r="V136" s="2567"/>
      <c r="W136" s="2567"/>
      <c r="X136" s="2567"/>
      <c r="Y136" s="2567"/>
      <c r="Z136" s="2642"/>
      <c r="AA136" s="2642"/>
      <c r="AB136" s="2642"/>
      <c r="AC136" s="2642"/>
      <c r="AD136" s="2642"/>
      <c r="AE136" s="2642"/>
      <c r="AF136" s="2642"/>
      <c r="AG136" s="2642"/>
      <c r="AH136" s="2642"/>
      <c r="AI136" s="2600"/>
      <c r="AJ136" s="2646"/>
    </row>
    <row r="137" spans="1:36" s="1118" customFormat="1" ht="15" hidden="1" outlineLevel="1">
      <c r="A137" s="2318"/>
      <c r="B137" s="3033"/>
      <c r="C137" s="3035"/>
      <c r="D137" s="3028"/>
      <c r="E137" s="3029"/>
      <c r="F137" s="2492" t="s">
        <v>3863</v>
      </c>
      <c r="G137" s="2478"/>
      <c r="H137" s="2321"/>
      <c r="I137" s="2322"/>
      <c r="J137" s="2322"/>
      <c r="K137" s="2322"/>
      <c r="L137" s="2322"/>
      <c r="M137" s="2322"/>
      <c r="N137" s="2322"/>
      <c r="O137" s="2323"/>
      <c r="P137" s="2323"/>
      <c r="Q137" s="2566"/>
      <c r="R137" s="2323"/>
      <c r="S137" s="2323"/>
      <c r="T137" s="2383"/>
      <c r="U137" s="2566"/>
      <c r="V137" s="2567"/>
      <c r="W137" s="2567"/>
      <c r="X137" s="2567"/>
      <c r="Y137" s="2567"/>
      <c r="Z137" s="2642"/>
      <c r="AA137" s="2642"/>
      <c r="AB137" s="2642"/>
      <c r="AC137" s="2642"/>
      <c r="AD137" s="2642"/>
      <c r="AE137" s="2642"/>
      <c r="AF137" s="2642"/>
      <c r="AG137" s="2642"/>
      <c r="AH137" s="2642"/>
      <c r="AI137" s="2600"/>
      <c r="AJ137" s="2646"/>
    </row>
    <row r="138" spans="1:36" s="1118" customFormat="1" ht="15" hidden="1" outlineLevel="1">
      <c r="A138" s="2318"/>
      <c r="B138" s="3033"/>
      <c r="C138" s="3035"/>
      <c r="D138" s="3028"/>
      <c r="E138" s="3029"/>
      <c r="F138" s="2494" t="s">
        <v>3864</v>
      </c>
      <c r="G138" s="2493"/>
      <c r="H138" s="2321"/>
      <c r="I138" s="2322"/>
      <c r="J138" s="2322"/>
      <c r="K138" s="2322"/>
      <c r="L138" s="2322"/>
      <c r="M138" s="2322"/>
      <c r="N138" s="2322"/>
      <c r="O138" s="2323"/>
      <c r="P138" s="2323"/>
      <c r="Q138" s="2566"/>
      <c r="R138" s="2323"/>
      <c r="S138" s="2323"/>
      <c r="T138" s="2383"/>
      <c r="U138" s="2566"/>
      <c r="V138" s="2567"/>
      <c r="W138" s="2567"/>
      <c r="X138" s="2567"/>
      <c r="Y138" s="2567"/>
      <c r="Z138" s="2642"/>
      <c r="AA138" s="2642"/>
      <c r="AB138" s="2642"/>
      <c r="AC138" s="2642"/>
      <c r="AD138" s="2642"/>
      <c r="AE138" s="2642"/>
      <c r="AF138" s="2642"/>
      <c r="AG138" s="2642"/>
      <c r="AH138" s="2642"/>
      <c r="AI138" s="2600"/>
      <c r="AJ138" s="2646"/>
    </row>
    <row r="139" spans="1:36" s="1118" customFormat="1" ht="15" hidden="1" outlineLevel="1">
      <c r="A139" s="2318"/>
      <c r="B139" s="3033"/>
      <c r="C139" s="3035"/>
      <c r="D139" s="3028"/>
      <c r="E139" s="3029"/>
      <c r="F139" s="2494" t="s">
        <v>3865</v>
      </c>
      <c r="G139" s="2493"/>
      <c r="H139" s="2321"/>
      <c r="I139" s="2322"/>
      <c r="J139" s="2322"/>
      <c r="K139" s="2322"/>
      <c r="L139" s="2322"/>
      <c r="M139" s="2322"/>
      <c r="N139" s="2322"/>
      <c r="O139" s="2323"/>
      <c r="P139" s="2323"/>
      <c r="Q139" s="2566"/>
      <c r="R139" s="2323"/>
      <c r="S139" s="2323"/>
      <c r="T139" s="2383"/>
      <c r="U139" s="2566"/>
      <c r="V139" s="2567"/>
      <c r="W139" s="2567"/>
      <c r="X139" s="2567"/>
      <c r="Y139" s="2567"/>
      <c r="Z139" s="2642"/>
      <c r="AA139" s="2642"/>
      <c r="AB139" s="2642"/>
      <c r="AC139" s="2642"/>
      <c r="AD139" s="2642"/>
      <c r="AE139" s="2642"/>
      <c r="AF139" s="2642"/>
      <c r="AG139" s="2642"/>
      <c r="AH139" s="2642"/>
      <c r="AI139" s="2600"/>
      <c r="AJ139" s="2646"/>
    </row>
    <row r="140" spans="1:36" s="1118" customFormat="1" ht="15" hidden="1" outlineLevel="1">
      <c r="A140" s="2318"/>
      <c r="B140" s="3033"/>
      <c r="C140" s="3035"/>
      <c r="D140" s="3028" t="s">
        <v>2954</v>
      </c>
      <c r="E140" s="3029" t="s">
        <v>2950</v>
      </c>
      <c r="F140" s="2492" t="s">
        <v>3860</v>
      </c>
      <c r="G140" s="2478"/>
      <c r="H140" s="2434"/>
      <c r="I140" s="2322"/>
      <c r="J140" s="2322"/>
      <c r="K140" s="2322"/>
      <c r="L140" s="2322"/>
      <c r="M140" s="2440"/>
      <c r="N140" s="2322"/>
      <c r="O140" s="2323"/>
      <c r="P140" s="2323"/>
      <c r="Q140" s="2566"/>
      <c r="R140" s="2433"/>
      <c r="S140" s="2433"/>
      <c r="T140" s="2435"/>
      <c r="U140" s="2566"/>
      <c r="V140" s="2567"/>
      <c r="W140" s="2567"/>
      <c r="X140" s="2567"/>
      <c r="Y140" s="2567"/>
      <c r="Z140" s="2642"/>
      <c r="AA140" s="2642"/>
      <c r="AB140" s="2642"/>
      <c r="AC140" s="2642"/>
      <c r="AD140" s="2642"/>
      <c r="AE140" s="2642"/>
      <c r="AF140" s="2642"/>
      <c r="AG140" s="2642"/>
      <c r="AH140" s="2642"/>
      <c r="AI140" s="2600"/>
      <c r="AJ140" s="2646"/>
    </row>
    <row r="141" spans="1:36" s="1118" customFormat="1" ht="15" hidden="1" outlineLevel="1">
      <c r="A141" s="2318"/>
      <c r="B141" s="3033"/>
      <c r="C141" s="3035"/>
      <c r="D141" s="3028"/>
      <c r="E141" s="3029"/>
      <c r="F141" s="2492" t="s">
        <v>3861</v>
      </c>
      <c r="G141" s="2478"/>
      <c r="H141" s="2321"/>
      <c r="I141" s="2322"/>
      <c r="J141" s="2322"/>
      <c r="K141" s="2322"/>
      <c r="L141" s="2322"/>
      <c r="M141" s="2322"/>
      <c r="N141" s="2322"/>
      <c r="O141" s="2323"/>
      <c r="P141" s="2323"/>
      <c r="Q141" s="2566"/>
      <c r="R141" s="2323"/>
      <c r="S141" s="2323"/>
      <c r="T141" s="2383"/>
      <c r="U141" s="2566"/>
      <c r="V141" s="2567"/>
      <c r="W141" s="2567"/>
      <c r="X141" s="2567"/>
      <c r="Y141" s="2567"/>
      <c r="Z141" s="2642"/>
      <c r="AA141" s="2642"/>
      <c r="AB141" s="2642"/>
      <c r="AC141" s="2642"/>
      <c r="AD141" s="2642"/>
      <c r="AE141" s="2642"/>
      <c r="AF141" s="2642"/>
      <c r="AG141" s="2642"/>
      <c r="AH141" s="2642"/>
      <c r="AI141" s="2600"/>
      <c r="AJ141" s="2646"/>
    </row>
    <row r="142" spans="1:36" s="1118" customFormat="1" ht="15" hidden="1" outlineLevel="1">
      <c r="A142" s="2318"/>
      <c r="B142" s="3033"/>
      <c r="C142" s="3035"/>
      <c r="D142" s="3028"/>
      <c r="E142" s="3029"/>
      <c r="F142" s="2492" t="s">
        <v>3862</v>
      </c>
      <c r="G142" s="2478"/>
      <c r="H142" s="2321"/>
      <c r="I142" s="2322"/>
      <c r="J142" s="2322"/>
      <c r="K142" s="2322"/>
      <c r="L142" s="2322"/>
      <c r="M142" s="2322"/>
      <c r="N142" s="2322"/>
      <c r="O142" s="2323"/>
      <c r="P142" s="2323"/>
      <c r="Q142" s="2566"/>
      <c r="R142" s="2323"/>
      <c r="S142" s="2323"/>
      <c r="T142" s="2383"/>
      <c r="U142" s="2566"/>
      <c r="V142" s="2567"/>
      <c r="W142" s="2567"/>
      <c r="X142" s="2567"/>
      <c r="Y142" s="2567"/>
      <c r="Z142" s="2642"/>
      <c r="AA142" s="2642"/>
      <c r="AB142" s="2642"/>
      <c r="AC142" s="2642"/>
      <c r="AD142" s="2642"/>
      <c r="AE142" s="2642"/>
      <c r="AF142" s="2642"/>
      <c r="AG142" s="2642"/>
      <c r="AH142" s="2642"/>
      <c r="AI142" s="2600"/>
      <c r="AJ142" s="2646"/>
    </row>
    <row r="143" spans="1:36" s="1118" customFormat="1" ht="15" hidden="1" outlineLevel="1">
      <c r="A143" s="2318"/>
      <c r="B143" s="3033"/>
      <c r="C143" s="3035"/>
      <c r="D143" s="3028"/>
      <c r="E143" s="3029"/>
      <c r="F143" s="2492" t="s">
        <v>3863</v>
      </c>
      <c r="G143" s="2478"/>
      <c r="H143" s="2321"/>
      <c r="I143" s="2322"/>
      <c r="J143" s="2322"/>
      <c r="K143" s="2322"/>
      <c r="L143" s="2322"/>
      <c r="M143" s="2322"/>
      <c r="N143" s="2322"/>
      <c r="O143" s="2323"/>
      <c r="P143" s="2323"/>
      <c r="Q143" s="2566"/>
      <c r="R143" s="2323"/>
      <c r="S143" s="2323"/>
      <c r="T143" s="2383"/>
      <c r="U143" s="2566"/>
      <c r="V143" s="2567"/>
      <c r="W143" s="2567"/>
      <c r="X143" s="2567"/>
      <c r="Y143" s="2567"/>
      <c r="Z143" s="2642"/>
      <c r="AA143" s="2642"/>
      <c r="AB143" s="2642"/>
      <c r="AC143" s="2642"/>
      <c r="AD143" s="2642"/>
      <c r="AE143" s="2642"/>
      <c r="AF143" s="2642"/>
      <c r="AG143" s="2642"/>
      <c r="AH143" s="2642"/>
      <c r="AI143" s="2600"/>
      <c r="AJ143" s="2646"/>
    </row>
    <row r="144" spans="1:36" s="1118" customFormat="1" ht="15" hidden="1" outlineLevel="1">
      <c r="A144" s="2318"/>
      <c r="B144" s="3033"/>
      <c r="C144" s="3035"/>
      <c r="D144" s="3028"/>
      <c r="E144" s="3029"/>
      <c r="F144" s="2494" t="s">
        <v>3864</v>
      </c>
      <c r="G144" s="2493"/>
      <c r="H144" s="2324"/>
      <c r="I144" s="2325"/>
      <c r="J144" s="2325"/>
      <c r="K144" s="2325"/>
      <c r="L144" s="2325"/>
      <c r="M144" s="2325"/>
      <c r="N144" s="2325"/>
      <c r="O144" s="2323"/>
      <c r="P144" s="2323"/>
      <c r="Q144" s="2566"/>
      <c r="R144" s="2323"/>
      <c r="S144" s="2323"/>
      <c r="T144" s="2383"/>
      <c r="U144" s="2566"/>
      <c r="V144" s="2567"/>
      <c r="W144" s="2567"/>
      <c r="X144" s="2567"/>
      <c r="Y144" s="2567"/>
      <c r="Z144" s="2642"/>
      <c r="AA144" s="2642"/>
      <c r="AB144" s="2642"/>
      <c r="AC144" s="2642"/>
      <c r="AD144" s="2642"/>
      <c r="AE144" s="2642"/>
      <c r="AF144" s="2642"/>
      <c r="AG144" s="2642"/>
      <c r="AH144" s="2642"/>
      <c r="AI144" s="2600"/>
      <c r="AJ144" s="2646"/>
    </row>
    <row r="145" spans="1:36" s="1118" customFormat="1" ht="15" hidden="1" outlineLevel="1">
      <c r="A145" s="2318"/>
      <c r="B145" s="3033"/>
      <c r="C145" s="3035"/>
      <c r="D145" s="3028"/>
      <c r="E145" s="3029"/>
      <c r="F145" s="2494" t="s">
        <v>3865</v>
      </c>
      <c r="G145" s="2493"/>
      <c r="H145" s="2326"/>
      <c r="I145" s="2323"/>
      <c r="J145" s="2323"/>
      <c r="K145" s="2323"/>
      <c r="L145" s="2323"/>
      <c r="M145" s="2323"/>
      <c r="N145" s="2323"/>
      <c r="O145" s="2323"/>
      <c r="P145" s="2323"/>
      <c r="Q145" s="2566"/>
      <c r="R145" s="2323"/>
      <c r="S145" s="2323"/>
      <c r="T145" s="2383"/>
      <c r="U145" s="2566"/>
      <c r="V145" s="2567"/>
      <c r="W145" s="2567"/>
      <c r="X145" s="2567"/>
      <c r="Y145" s="2567"/>
      <c r="Z145" s="2642"/>
      <c r="AA145" s="2642"/>
      <c r="AB145" s="2642"/>
      <c r="AC145" s="2642"/>
      <c r="AD145" s="2642"/>
      <c r="AE145" s="2642"/>
      <c r="AF145" s="2642"/>
      <c r="AG145" s="2642"/>
      <c r="AH145" s="2642"/>
      <c r="AI145" s="2600"/>
      <c r="AJ145" s="2646"/>
    </row>
    <row r="146" spans="1:36" s="1118" customFormat="1" ht="15" hidden="1" outlineLevel="1">
      <c r="A146" s="2318"/>
      <c r="B146" s="3033"/>
      <c r="C146" s="3035"/>
      <c r="D146" s="3028"/>
      <c r="E146" s="3029" t="s">
        <v>2946</v>
      </c>
      <c r="F146" s="2492" t="s">
        <v>3860</v>
      </c>
      <c r="G146" s="2478"/>
      <c r="H146" s="2326"/>
      <c r="I146" s="2323"/>
      <c r="J146" s="2323"/>
      <c r="K146" s="2323"/>
      <c r="L146" s="2323"/>
      <c r="M146" s="2323"/>
      <c r="N146" s="2323"/>
      <c r="O146" s="2323"/>
      <c r="P146" s="2323"/>
      <c r="Q146" s="2566"/>
      <c r="R146" s="2323"/>
      <c r="S146" s="2323"/>
      <c r="T146" s="2383"/>
      <c r="U146" s="2566"/>
      <c r="V146" s="2567"/>
      <c r="W146" s="2567"/>
      <c r="X146" s="2567"/>
      <c r="Y146" s="2567"/>
      <c r="Z146" s="2642"/>
      <c r="AA146" s="2642"/>
      <c r="AB146" s="2642"/>
      <c r="AC146" s="2642"/>
      <c r="AD146" s="2642"/>
      <c r="AE146" s="2642"/>
      <c r="AF146" s="2642"/>
      <c r="AG146" s="2642"/>
      <c r="AH146" s="2642"/>
      <c r="AI146" s="2600"/>
      <c r="AJ146" s="2646"/>
    </row>
    <row r="147" spans="1:36" s="1118" customFormat="1" ht="15" hidden="1" outlineLevel="1">
      <c r="A147" s="2318"/>
      <c r="B147" s="3033"/>
      <c r="C147" s="3035"/>
      <c r="D147" s="3028"/>
      <c r="E147" s="3029"/>
      <c r="F147" s="2492" t="s">
        <v>3861</v>
      </c>
      <c r="G147" s="2478"/>
      <c r="H147" s="2326"/>
      <c r="I147" s="2323"/>
      <c r="J147" s="2323"/>
      <c r="K147" s="2323"/>
      <c r="L147" s="2323"/>
      <c r="M147" s="2323"/>
      <c r="N147" s="2323"/>
      <c r="O147" s="2323"/>
      <c r="P147" s="2323"/>
      <c r="Q147" s="2566"/>
      <c r="R147" s="2323"/>
      <c r="S147" s="2323"/>
      <c r="T147" s="2383"/>
      <c r="U147" s="2566"/>
      <c r="V147" s="2567"/>
      <c r="W147" s="2567"/>
      <c r="X147" s="2567"/>
      <c r="Y147" s="2567"/>
      <c r="Z147" s="2642"/>
      <c r="AA147" s="2642"/>
      <c r="AB147" s="2642"/>
      <c r="AC147" s="2642"/>
      <c r="AD147" s="2642"/>
      <c r="AE147" s="2642"/>
      <c r="AF147" s="2642"/>
      <c r="AG147" s="2642"/>
      <c r="AH147" s="2642"/>
      <c r="AI147" s="2600"/>
      <c r="AJ147" s="2646"/>
    </row>
    <row r="148" spans="1:36" s="1118" customFormat="1" ht="15" hidden="1" outlineLevel="1">
      <c r="A148" s="2318"/>
      <c r="B148" s="3033"/>
      <c r="C148" s="3035"/>
      <c r="D148" s="3028"/>
      <c r="E148" s="3029"/>
      <c r="F148" s="2492" t="s">
        <v>3862</v>
      </c>
      <c r="G148" s="2478"/>
      <c r="H148" s="2326"/>
      <c r="I148" s="2323"/>
      <c r="J148" s="2323"/>
      <c r="K148" s="2323"/>
      <c r="L148" s="2323"/>
      <c r="M148" s="2323"/>
      <c r="N148" s="2323"/>
      <c r="O148" s="2323"/>
      <c r="P148" s="2323"/>
      <c r="Q148" s="2566"/>
      <c r="R148" s="2323"/>
      <c r="S148" s="2323"/>
      <c r="T148" s="2383"/>
      <c r="U148" s="2566"/>
      <c r="V148" s="2567"/>
      <c r="W148" s="2567"/>
      <c r="X148" s="2567"/>
      <c r="Y148" s="2567"/>
      <c r="Z148" s="2642"/>
      <c r="AA148" s="2642"/>
      <c r="AB148" s="2642"/>
      <c r="AC148" s="2642"/>
      <c r="AD148" s="2642"/>
      <c r="AE148" s="2642"/>
      <c r="AF148" s="2642"/>
      <c r="AG148" s="2642"/>
      <c r="AH148" s="2642"/>
      <c r="AI148" s="2600"/>
      <c r="AJ148" s="2646"/>
    </row>
    <row r="149" spans="1:36" s="1118" customFormat="1" ht="15" hidden="1" outlineLevel="1">
      <c r="A149" s="2318"/>
      <c r="B149" s="3033"/>
      <c r="C149" s="3035"/>
      <c r="D149" s="3028"/>
      <c r="E149" s="3029"/>
      <c r="F149" s="2492" t="s">
        <v>3863</v>
      </c>
      <c r="G149" s="2478"/>
      <c r="H149" s="2326"/>
      <c r="I149" s="2323"/>
      <c r="J149" s="2323"/>
      <c r="K149" s="2323"/>
      <c r="L149" s="2323"/>
      <c r="M149" s="2323"/>
      <c r="N149" s="2323"/>
      <c r="O149" s="2323"/>
      <c r="P149" s="2323"/>
      <c r="Q149" s="2566"/>
      <c r="R149" s="2323"/>
      <c r="S149" s="2323"/>
      <c r="T149" s="2383"/>
      <c r="U149" s="2566"/>
      <c r="V149" s="2567"/>
      <c r="W149" s="2567"/>
      <c r="X149" s="2567"/>
      <c r="Y149" s="2567"/>
      <c r="Z149" s="2642"/>
      <c r="AA149" s="2642"/>
      <c r="AB149" s="2642"/>
      <c r="AC149" s="2642"/>
      <c r="AD149" s="2642"/>
      <c r="AE149" s="2642"/>
      <c r="AF149" s="2642"/>
      <c r="AG149" s="2642"/>
      <c r="AH149" s="2642"/>
      <c r="AI149" s="2600"/>
      <c r="AJ149" s="2646"/>
    </row>
    <row r="150" spans="1:36" s="1118" customFormat="1" ht="15" hidden="1" outlineLevel="1">
      <c r="A150" s="2318"/>
      <c r="B150" s="3033"/>
      <c r="C150" s="3035"/>
      <c r="D150" s="3028"/>
      <c r="E150" s="3029"/>
      <c r="F150" s="2494" t="s">
        <v>3864</v>
      </c>
      <c r="G150" s="2493"/>
      <c r="H150" s="2326"/>
      <c r="I150" s="2323"/>
      <c r="J150" s="2323"/>
      <c r="K150" s="2323"/>
      <c r="L150" s="2323"/>
      <c r="M150" s="2323"/>
      <c r="N150" s="2323"/>
      <c r="O150" s="2323"/>
      <c r="P150" s="2323"/>
      <c r="Q150" s="2566"/>
      <c r="R150" s="2323"/>
      <c r="S150" s="2323"/>
      <c r="T150" s="2383"/>
      <c r="U150" s="2566"/>
      <c r="V150" s="2567"/>
      <c r="W150" s="2567"/>
      <c r="X150" s="2567"/>
      <c r="Y150" s="2567"/>
      <c r="Z150" s="2642"/>
      <c r="AA150" s="2642"/>
      <c r="AB150" s="2642"/>
      <c r="AC150" s="2642"/>
      <c r="AD150" s="2642"/>
      <c r="AE150" s="2642"/>
      <c r="AF150" s="2642"/>
      <c r="AG150" s="2642"/>
      <c r="AH150" s="2642"/>
      <c r="AI150" s="2600"/>
      <c r="AJ150" s="2646"/>
    </row>
    <row r="151" spans="1:36" s="1118" customFormat="1" ht="15" hidden="1" outlineLevel="1">
      <c r="A151" s="2318"/>
      <c r="B151" s="3033"/>
      <c r="C151" s="3035"/>
      <c r="D151" s="3028"/>
      <c r="E151" s="3029"/>
      <c r="F151" s="2494" t="s">
        <v>3865</v>
      </c>
      <c r="G151" s="2493"/>
      <c r="H151" s="2326"/>
      <c r="I151" s="2323"/>
      <c r="J151" s="2323"/>
      <c r="K151" s="2323"/>
      <c r="L151" s="2323"/>
      <c r="M151" s="2323"/>
      <c r="N151" s="2323"/>
      <c r="O151" s="2323"/>
      <c r="P151" s="2323"/>
      <c r="Q151" s="2566"/>
      <c r="R151" s="2323"/>
      <c r="S151" s="2323"/>
      <c r="T151" s="2383"/>
      <c r="U151" s="2566"/>
      <c r="V151" s="2567"/>
      <c r="W151" s="2567"/>
      <c r="X151" s="2567"/>
      <c r="Y151" s="2567"/>
      <c r="Z151" s="2642"/>
      <c r="AA151" s="2642"/>
      <c r="AB151" s="2642"/>
      <c r="AC151" s="2642"/>
      <c r="AD151" s="2642"/>
      <c r="AE151" s="2642"/>
      <c r="AF151" s="2642"/>
      <c r="AG151" s="2642"/>
      <c r="AH151" s="2642"/>
      <c r="AI151" s="2600"/>
      <c r="AJ151" s="2646"/>
    </row>
    <row r="152" spans="1:36" s="1118" customFormat="1" ht="15.75" hidden="1" outlineLevel="1" thickBot="1">
      <c r="A152" s="2318"/>
      <c r="B152" s="3023" t="s">
        <v>2948</v>
      </c>
      <c r="C152" s="3026" t="s">
        <v>3859</v>
      </c>
      <c r="D152" s="3028" t="s">
        <v>2949</v>
      </c>
      <c r="E152" s="3029" t="s">
        <v>2950</v>
      </c>
      <c r="F152" s="2492" t="s">
        <v>3860</v>
      </c>
      <c r="G152" s="2478"/>
      <c r="H152" s="2326"/>
      <c r="I152" s="2323"/>
      <c r="J152" s="2323"/>
      <c r="K152" s="2323"/>
      <c r="L152" s="2323"/>
      <c r="M152" s="2323"/>
      <c r="N152" s="2323"/>
      <c r="O152" s="2323"/>
      <c r="P152" s="2323"/>
      <c r="Q152" s="2566"/>
      <c r="R152" s="2323"/>
      <c r="S152" s="2323"/>
      <c r="T152" s="2383"/>
      <c r="U152" s="2566"/>
      <c r="V152" s="2567"/>
      <c r="W152" s="2567"/>
      <c r="X152" s="2567"/>
      <c r="Y152" s="2567"/>
      <c r="Z152" s="2642"/>
      <c r="AA152" s="2642"/>
      <c r="AB152" s="2642"/>
      <c r="AC152" s="2642"/>
      <c r="AD152" s="2642"/>
      <c r="AE152" s="2642"/>
      <c r="AF152" s="2642"/>
      <c r="AG152" s="2642"/>
      <c r="AH152" s="2642"/>
      <c r="AI152" s="2600"/>
      <c r="AJ152" s="2646"/>
    </row>
    <row r="153" spans="1:36" s="1118" customFormat="1" ht="15.75" hidden="1" outlineLevel="1" thickBot="1">
      <c r="A153" s="2318"/>
      <c r="B153" s="3024"/>
      <c r="C153" s="3027"/>
      <c r="D153" s="3028"/>
      <c r="E153" s="3029"/>
      <c r="F153" s="2492" t="s">
        <v>3861</v>
      </c>
      <c r="G153" s="2478"/>
      <c r="H153" s="2326"/>
      <c r="I153" s="2323"/>
      <c r="J153" s="2323"/>
      <c r="K153" s="2323"/>
      <c r="L153" s="2323"/>
      <c r="M153" s="2323"/>
      <c r="N153" s="2323"/>
      <c r="O153" s="2323"/>
      <c r="P153" s="2323"/>
      <c r="Q153" s="2566"/>
      <c r="R153" s="2323"/>
      <c r="S153" s="2323"/>
      <c r="T153" s="2383"/>
      <c r="U153" s="2566"/>
      <c r="V153" s="2567"/>
      <c r="W153" s="2567"/>
      <c r="X153" s="2567"/>
      <c r="Y153" s="2567"/>
      <c r="Z153" s="2642"/>
      <c r="AA153" s="2642"/>
      <c r="AB153" s="2642"/>
      <c r="AC153" s="2642"/>
      <c r="AD153" s="2642"/>
      <c r="AE153" s="2642"/>
      <c r="AF153" s="2642"/>
      <c r="AG153" s="2642"/>
      <c r="AH153" s="2642"/>
      <c r="AI153" s="2600"/>
      <c r="AJ153" s="2646"/>
    </row>
    <row r="154" spans="1:36" s="1118" customFormat="1" ht="15.75" hidden="1" outlineLevel="1" thickBot="1">
      <c r="A154" s="2318"/>
      <c r="B154" s="3024"/>
      <c r="C154" s="3027"/>
      <c r="D154" s="3028"/>
      <c r="E154" s="3029"/>
      <c r="F154" s="2492" t="s">
        <v>3862</v>
      </c>
      <c r="G154" s="2478"/>
      <c r="H154" s="2326"/>
      <c r="I154" s="2323"/>
      <c r="J154" s="2323"/>
      <c r="K154" s="2323"/>
      <c r="L154" s="2323"/>
      <c r="M154" s="2323"/>
      <c r="N154" s="2323"/>
      <c r="O154" s="2323"/>
      <c r="P154" s="2323"/>
      <c r="Q154" s="2566"/>
      <c r="R154" s="2323"/>
      <c r="S154" s="2323"/>
      <c r="T154" s="2383"/>
      <c r="U154" s="2566"/>
      <c r="V154" s="2567"/>
      <c r="W154" s="2567"/>
      <c r="X154" s="2567"/>
      <c r="Y154" s="2567"/>
      <c r="Z154" s="2642"/>
      <c r="AA154" s="2642"/>
      <c r="AB154" s="2642"/>
      <c r="AC154" s="2642"/>
      <c r="AD154" s="2642"/>
      <c r="AE154" s="2642"/>
      <c r="AF154" s="2642"/>
      <c r="AG154" s="2642"/>
      <c r="AH154" s="2642"/>
      <c r="AI154" s="2600"/>
      <c r="AJ154" s="2646"/>
    </row>
    <row r="155" spans="1:36" s="1118" customFormat="1" ht="15.75" hidden="1" outlineLevel="1" thickBot="1">
      <c r="A155" s="2318"/>
      <c r="B155" s="3024"/>
      <c r="C155" s="3027"/>
      <c r="D155" s="3028"/>
      <c r="E155" s="3029"/>
      <c r="F155" s="2492" t="s">
        <v>3863</v>
      </c>
      <c r="G155" s="2478"/>
      <c r="H155" s="2326"/>
      <c r="I155" s="2323"/>
      <c r="J155" s="2323"/>
      <c r="K155" s="2323"/>
      <c r="L155" s="2323"/>
      <c r="M155" s="2323"/>
      <c r="N155" s="2323"/>
      <c r="O155" s="2323"/>
      <c r="P155" s="2323"/>
      <c r="Q155" s="2566"/>
      <c r="R155" s="2323"/>
      <c r="S155" s="2323"/>
      <c r="T155" s="2383"/>
      <c r="U155" s="2566"/>
      <c r="V155" s="2567"/>
      <c r="W155" s="2567"/>
      <c r="X155" s="2567"/>
      <c r="Y155" s="2567"/>
      <c r="Z155" s="2642"/>
      <c r="AA155" s="2642"/>
      <c r="AB155" s="2642"/>
      <c r="AC155" s="2642"/>
      <c r="AD155" s="2642"/>
      <c r="AE155" s="2642"/>
      <c r="AF155" s="2642"/>
      <c r="AG155" s="2642"/>
      <c r="AH155" s="2642"/>
      <c r="AI155" s="2600"/>
      <c r="AJ155" s="2646"/>
    </row>
    <row r="156" spans="1:36" s="1118" customFormat="1" ht="15.75" hidden="1" outlineLevel="1" thickBot="1">
      <c r="A156" s="2318"/>
      <c r="B156" s="3024"/>
      <c r="C156" s="3027"/>
      <c r="D156" s="3028"/>
      <c r="E156" s="3029"/>
      <c r="F156" s="2494" t="s">
        <v>3864</v>
      </c>
      <c r="G156" s="2493"/>
      <c r="H156" s="2326"/>
      <c r="I156" s="2323"/>
      <c r="J156" s="2323"/>
      <c r="K156" s="2323"/>
      <c r="L156" s="2323"/>
      <c r="M156" s="2323"/>
      <c r="N156" s="2323"/>
      <c r="O156" s="2323"/>
      <c r="P156" s="2323"/>
      <c r="Q156" s="2566"/>
      <c r="R156" s="2323"/>
      <c r="S156" s="2323"/>
      <c r="T156" s="2383"/>
      <c r="U156" s="2566"/>
      <c r="V156" s="2567"/>
      <c r="W156" s="2567"/>
      <c r="X156" s="2567"/>
      <c r="Y156" s="2567"/>
      <c r="Z156" s="2642"/>
      <c r="AA156" s="2642"/>
      <c r="AB156" s="2642"/>
      <c r="AC156" s="2642"/>
      <c r="AD156" s="2642"/>
      <c r="AE156" s="2642"/>
      <c r="AF156" s="2642"/>
      <c r="AG156" s="2642"/>
      <c r="AH156" s="2642"/>
      <c r="AI156" s="2600"/>
      <c r="AJ156" s="2646"/>
    </row>
    <row r="157" spans="1:36" s="1118" customFormat="1" ht="15.75" hidden="1" outlineLevel="1" thickBot="1">
      <c r="A157" s="2318"/>
      <c r="B157" s="3024"/>
      <c r="C157" s="3027"/>
      <c r="D157" s="3028"/>
      <c r="E157" s="3029"/>
      <c r="F157" s="2494" t="s">
        <v>3865</v>
      </c>
      <c r="G157" s="2493"/>
      <c r="H157" s="2326"/>
      <c r="I157" s="2323"/>
      <c r="J157" s="2323"/>
      <c r="K157" s="2323"/>
      <c r="L157" s="2323"/>
      <c r="M157" s="2323"/>
      <c r="N157" s="2323"/>
      <c r="O157" s="2323"/>
      <c r="P157" s="2323"/>
      <c r="Q157" s="2566"/>
      <c r="R157" s="2323"/>
      <c r="S157" s="2323"/>
      <c r="T157" s="2383"/>
      <c r="U157" s="2566"/>
      <c r="V157" s="2567"/>
      <c r="W157" s="2567"/>
      <c r="X157" s="2567"/>
      <c r="Y157" s="2567"/>
      <c r="Z157" s="2642"/>
      <c r="AA157" s="2642"/>
      <c r="AB157" s="2642"/>
      <c r="AC157" s="2642"/>
      <c r="AD157" s="2642"/>
      <c r="AE157" s="2642"/>
      <c r="AF157" s="2642"/>
      <c r="AG157" s="2642"/>
      <c r="AH157" s="2642"/>
      <c r="AI157" s="2600"/>
      <c r="AJ157" s="2646"/>
    </row>
    <row r="158" spans="1:36" s="1118" customFormat="1" ht="15.75" hidden="1" outlineLevel="1" thickBot="1">
      <c r="A158" s="2318"/>
      <c r="B158" s="3024"/>
      <c r="C158" s="3027"/>
      <c r="D158" s="3028"/>
      <c r="E158" s="3029" t="s">
        <v>2946</v>
      </c>
      <c r="F158" s="2492" t="s">
        <v>3860</v>
      </c>
      <c r="G158" s="2478"/>
      <c r="H158" s="2326"/>
      <c r="I158" s="2323"/>
      <c r="J158" s="2323"/>
      <c r="K158" s="2323"/>
      <c r="L158" s="2326"/>
      <c r="M158" s="2326"/>
      <c r="N158" s="2323"/>
      <c r="O158" s="2323"/>
      <c r="P158" s="2323"/>
      <c r="Q158" s="2592"/>
      <c r="R158" s="2326"/>
      <c r="S158" s="2323"/>
      <c r="T158" s="2383"/>
      <c r="U158" s="2566"/>
      <c r="V158" s="2567"/>
      <c r="W158" s="2567"/>
      <c r="X158" s="2567"/>
      <c r="Y158" s="2567"/>
      <c r="Z158" s="2642"/>
      <c r="AA158" s="2642"/>
      <c r="AB158" s="2642"/>
      <c r="AC158" s="2642"/>
      <c r="AD158" s="2642"/>
      <c r="AE158" s="2642"/>
      <c r="AF158" s="2642"/>
      <c r="AG158" s="2642"/>
      <c r="AH158" s="2642"/>
      <c r="AI158" s="2600"/>
      <c r="AJ158" s="2646"/>
    </row>
    <row r="159" spans="1:36" s="1118" customFormat="1" ht="15.75" hidden="1" outlineLevel="1" thickBot="1">
      <c r="A159" s="2318"/>
      <c r="B159" s="3024"/>
      <c r="C159" s="3027"/>
      <c r="D159" s="3028"/>
      <c r="E159" s="3029"/>
      <c r="F159" s="2492" t="s">
        <v>3861</v>
      </c>
      <c r="G159" s="2478"/>
      <c r="H159" s="2326"/>
      <c r="I159" s="2323"/>
      <c r="J159" s="2323"/>
      <c r="K159" s="2323"/>
      <c r="L159" s="2323"/>
      <c r="M159" s="2323"/>
      <c r="N159" s="2323"/>
      <c r="O159" s="2323"/>
      <c r="P159" s="2323"/>
      <c r="Q159" s="2566"/>
      <c r="R159" s="2323"/>
      <c r="S159" s="2433"/>
      <c r="T159" s="2435"/>
      <c r="U159" s="2566"/>
      <c r="V159" s="2567"/>
      <c r="W159" s="2567"/>
      <c r="X159" s="2567"/>
      <c r="Y159" s="2567"/>
      <c r="Z159" s="2642"/>
      <c r="AA159" s="2642"/>
      <c r="AB159" s="2642"/>
      <c r="AC159" s="2642"/>
      <c r="AD159" s="2642"/>
      <c r="AE159" s="2642"/>
      <c r="AF159" s="2642"/>
      <c r="AG159" s="2642"/>
      <c r="AH159" s="2642"/>
      <c r="AI159" s="2600"/>
      <c r="AJ159" s="2646"/>
    </row>
    <row r="160" spans="1:36" s="1118" customFormat="1" ht="15.75" hidden="1" outlineLevel="1" thickBot="1">
      <c r="A160" s="2318"/>
      <c r="B160" s="3024"/>
      <c r="C160" s="3027"/>
      <c r="D160" s="3028"/>
      <c r="E160" s="3029"/>
      <c r="F160" s="2492" t="s">
        <v>3862</v>
      </c>
      <c r="G160" s="2478"/>
      <c r="H160" s="2326"/>
      <c r="I160" s="2323"/>
      <c r="J160" s="2323"/>
      <c r="K160" s="2323"/>
      <c r="L160" s="2323"/>
      <c r="M160" s="2323"/>
      <c r="N160" s="2323"/>
      <c r="O160" s="2323"/>
      <c r="P160" s="2323"/>
      <c r="Q160" s="2566"/>
      <c r="R160" s="2323"/>
      <c r="S160" s="2433"/>
      <c r="T160" s="2435"/>
      <c r="U160" s="2566"/>
      <c r="V160" s="2567"/>
      <c r="W160" s="2567"/>
      <c r="X160" s="2567"/>
      <c r="Y160" s="2567"/>
      <c r="Z160" s="2642"/>
      <c r="AA160" s="2642"/>
      <c r="AB160" s="2642"/>
      <c r="AC160" s="2642"/>
      <c r="AD160" s="2642"/>
      <c r="AE160" s="2642"/>
      <c r="AF160" s="2642"/>
      <c r="AG160" s="2642"/>
      <c r="AH160" s="2642"/>
      <c r="AI160" s="2600"/>
      <c r="AJ160" s="2646"/>
    </row>
    <row r="161" spans="1:36" s="1118" customFormat="1" ht="15.75" hidden="1" outlineLevel="1" thickBot="1">
      <c r="A161" s="2318"/>
      <c r="B161" s="3024"/>
      <c r="C161" s="3027"/>
      <c r="D161" s="3028"/>
      <c r="E161" s="3029"/>
      <c r="F161" s="2492" t="s">
        <v>3863</v>
      </c>
      <c r="G161" s="2478"/>
      <c r="H161" s="2326"/>
      <c r="I161" s="2323"/>
      <c r="J161" s="2323"/>
      <c r="K161" s="2323"/>
      <c r="L161" s="2323"/>
      <c r="M161" s="2323"/>
      <c r="N161" s="2323"/>
      <c r="O161" s="2323"/>
      <c r="P161" s="2323"/>
      <c r="Q161" s="2566"/>
      <c r="R161" s="2323"/>
      <c r="S161" s="2433"/>
      <c r="T161" s="2435"/>
      <c r="U161" s="2566"/>
      <c r="V161" s="2567"/>
      <c r="W161" s="2567"/>
      <c r="X161" s="2567"/>
      <c r="Y161" s="2567"/>
      <c r="Z161" s="2642"/>
      <c r="AA161" s="2642"/>
      <c r="AB161" s="2642"/>
      <c r="AC161" s="2642"/>
      <c r="AD161" s="2642"/>
      <c r="AE161" s="2642"/>
      <c r="AF161" s="2642"/>
      <c r="AG161" s="2642"/>
      <c r="AH161" s="2642"/>
      <c r="AI161" s="2600"/>
      <c r="AJ161" s="2646"/>
    </row>
    <row r="162" spans="1:36" s="1118" customFormat="1" ht="15.75" hidden="1" outlineLevel="1" thickBot="1">
      <c r="A162" s="2318"/>
      <c r="B162" s="3024"/>
      <c r="C162" s="3027"/>
      <c r="D162" s="3028"/>
      <c r="E162" s="3029"/>
      <c r="F162" s="2494" t="s">
        <v>3864</v>
      </c>
      <c r="G162" s="2493"/>
      <c r="H162" s="2326"/>
      <c r="I162" s="2323"/>
      <c r="J162" s="2323"/>
      <c r="K162" s="2323"/>
      <c r="L162" s="2323"/>
      <c r="M162" s="2323"/>
      <c r="N162" s="2323"/>
      <c r="O162" s="2323"/>
      <c r="P162" s="2323"/>
      <c r="Q162" s="2566"/>
      <c r="R162" s="2323"/>
      <c r="S162" s="2433"/>
      <c r="T162" s="2435"/>
      <c r="U162" s="2566"/>
      <c r="V162" s="2567"/>
      <c r="W162" s="2567"/>
      <c r="X162" s="2567"/>
      <c r="Y162" s="2567"/>
      <c r="Z162" s="2642"/>
      <c r="AA162" s="2642"/>
      <c r="AB162" s="2642"/>
      <c r="AC162" s="2642"/>
      <c r="AD162" s="2642"/>
      <c r="AE162" s="2642"/>
      <c r="AF162" s="2642"/>
      <c r="AG162" s="2642"/>
      <c r="AH162" s="2642"/>
      <c r="AI162" s="2600"/>
      <c r="AJ162" s="2646"/>
    </row>
    <row r="163" spans="1:36" s="1118" customFormat="1" ht="15.75" hidden="1" outlineLevel="1" thickBot="1">
      <c r="A163" s="2318"/>
      <c r="B163" s="3024"/>
      <c r="C163" s="3027"/>
      <c r="D163" s="3028"/>
      <c r="E163" s="3029"/>
      <c r="F163" s="2494" t="s">
        <v>3865</v>
      </c>
      <c r="G163" s="2493"/>
      <c r="H163" s="2326"/>
      <c r="I163" s="2323"/>
      <c r="J163" s="2323"/>
      <c r="K163" s="2323"/>
      <c r="L163" s="2323"/>
      <c r="M163" s="2323"/>
      <c r="N163" s="2323"/>
      <c r="O163" s="2323"/>
      <c r="P163" s="2323"/>
      <c r="Q163" s="2566"/>
      <c r="R163" s="2323"/>
      <c r="S163" s="2433"/>
      <c r="T163" s="2435"/>
      <c r="U163" s="2566"/>
      <c r="V163" s="2567"/>
      <c r="W163" s="2567"/>
      <c r="X163" s="2567"/>
      <c r="Y163" s="2567"/>
      <c r="Z163" s="2642"/>
      <c r="AA163" s="2642"/>
      <c r="AB163" s="2642"/>
      <c r="AC163" s="2642"/>
      <c r="AD163" s="2642"/>
      <c r="AE163" s="2642"/>
      <c r="AF163" s="2642"/>
      <c r="AG163" s="2642"/>
      <c r="AH163" s="2642"/>
      <c r="AI163" s="2600"/>
      <c r="AJ163" s="2646"/>
    </row>
    <row r="164" spans="1:36" s="1118" customFormat="1" ht="15.75" hidden="1" outlineLevel="1" thickBot="1">
      <c r="A164" s="2318"/>
      <c r="B164" s="3024"/>
      <c r="C164" s="3027"/>
      <c r="D164" s="3028" t="s">
        <v>2954</v>
      </c>
      <c r="E164" s="3029" t="s">
        <v>2950</v>
      </c>
      <c r="F164" s="2492" t="s">
        <v>3860</v>
      </c>
      <c r="G164" s="2478"/>
      <c r="H164" s="2326"/>
      <c r="I164" s="2323"/>
      <c r="J164" s="2323"/>
      <c r="K164" s="2323"/>
      <c r="L164" s="2323"/>
      <c r="M164" s="2323"/>
      <c r="N164" s="2441"/>
      <c r="O164" s="2323"/>
      <c r="P164" s="2323"/>
      <c r="Q164" s="2566"/>
      <c r="R164" s="2433"/>
      <c r="S164" s="2433"/>
      <c r="T164" s="2433"/>
      <c r="U164" s="2566"/>
      <c r="V164" s="2567"/>
      <c r="W164" s="2567"/>
      <c r="X164" s="2567"/>
      <c r="Y164" s="2567"/>
      <c r="Z164" s="2642"/>
      <c r="AA164" s="2642"/>
      <c r="AB164" s="2642"/>
      <c r="AC164" s="2642"/>
      <c r="AD164" s="2642"/>
      <c r="AE164" s="2642"/>
      <c r="AF164" s="2642"/>
      <c r="AG164" s="2642"/>
      <c r="AH164" s="2642"/>
      <c r="AI164" s="2600"/>
      <c r="AJ164" s="2646"/>
    </row>
    <row r="165" spans="1:36" s="1118" customFormat="1" ht="15.75" hidden="1" outlineLevel="1" thickBot="1">
      <c r="A165" s="2318"/>
      <c r="B165" s="3024"/>
      <c r="C165" s="3027"/>
      <c r="D165" s="3028"/>
      <c r="E165" s="3029"/>
      <c r="F165" s="2492" t="s">
        <v>3861</v>
      </c>
      <c r="G165" s="2478"/>
      <c r="H165" s="2326"/>
      <c r="I165" s="2323"/>
      <c r="J165" s="2323"/>
      <c r="K165" s="2323"/>
      <c r="L165" s="2323"/>
      <c r="M165" s="2323"/>
      <c r="N165" s="2323"/>
      <c r="O165" s="2323"/>
      <c r="P165" s="2323"/>
      <c r="Q165" s="2566"/>
      <c r="R165" s="2323"/>
      <c r="S165" s="2433"/>
      <c r="T165" s="2435"/>
      <c r="U165" s="2566"/>
      <c r="V165" s="2683"/>
      <c r="W165" s="2567"/>
      <c r="X165" s="2567"/>
      <c r="Y165" s="2567"/>
      <c r="Z165" s="2642"/>
      <c r="AA165" s="2642"/>
      <c r="AB165" s="2642"/>
      <c r="AC165" s="2642"/>
      <c r="AD165" s="2642"/>
      <c r="AE165" s="2642"/>
      <c r="AF165" s="2642"/>
      <c r="AG165" s="2642"/>
      <c r="AH165" s="2642"/>
      <c r="AI165" s="2600"/>
      <c r="AJ165" s="2646"/>
    </row>
    <row r="166" spans="1:36" s="1118" customFormat="1" ht="15.75" hidden="1" outlineLevel="1" thickBot="1">
      <c r="A166" s="2318"/>
      <c r="B166" s="3024"/>
      <c r="C166" s="3027"/>
      <c r="D166" s="3028"/>
      <c r="E166" s="3029"/>
      <c r="F166" s="2492" t="s">
        <v>3862</v>
      </c>
      <c r="G166" s="2478"/>
      <c r="H166" s="2326"/>
      <c r="I166" s="2323"/>
      <c r="J166" s="2323"/>
      <c r="K166" s="2323"/>
      <c r="L166" s="2323"/>
      <c r="M166" s="2323"/>
      <c r="N166" s="2323"/>
      <c r="O166" s="2323"/>
      <c r="P166" s="2323"/>
      <c r="Q166" s="2566"/>
      <c r="R166" s="2323"/>
      <c r="S166" s="2323"/>
      <c r="T166" s="2383"/>
      <c r="U166" s="2566"/>
      <c r="V166" s="2567"/>
      <c r="W166" s="2567"/>
      <c r="X166" s="2567"/>
      <c r="Y166" s="2567"/>
      <c r="Z166" s="2642"/>
      <c r="AA166" s="2642"/>
      <c r="AB166" s="2642"/>
      <c r="AC166" s="2642"/>
      <c r="AD166" s="2642"/>
      <c r="AE166" s="2642"/>
      <c r="AF166" s="2642"/>
      <c r="AG166" s="2642"/>
      <c r="AH166" s="2642"/>
      <c r="AI166" s="2600"/>
      <c r="AJ166" s="2646"/>
    </row>
    <row r="167" spans="1:36" s="1118" customFormat="1" ht="15.75" hidden="1" outlineLevel="1" thickBot="1">
      <c r="A167" s="2318"/>
      <c r="B167" s="3024"/>
      <c r="C167" s="3027"/>
      <c r="D167" s="3028"/>
      <c r="E167" s="3029"/>
      <c r="F167" s="2492" t="s">
        <v>3863</v>
      </c>
      <c r="G167" s="2478"/>
      <c r="H167" s="2326"/>
      <c r="I167" s="2323"/>
      <c r="J167" s="2323"/>
      <c r="K167" s="2323"/>
      <c r="L167" s="2323"/>
      <c r="M167" s="2323"/>
      <c r="N167" s="2323"/>
      <c r="O167" s="2323"/>
      <c r="P167" s="2323"/>
      <c r="Q167" s="2566"/>
      <c r="R167" s="2323"/>
      <c r="S167" s="2323"/>
      <c r="T167" s="2383"/>
      <c r="U167" s="2566"/>
      <c r="V167" s="2567"/>
      <c r="W167" s="2567"/>
      <c r="X167" s="2567"/>
      <c r="Y167" s="2567"/>
      <c r="Z167" s="2642"/>
      <c r="AA167" s="2642"/>
      <c r="AB167" s="2642"/>
      <c r="AC167" s="2642"/>
      <c r="AD167" s="2642"/>
      <c r="AE167" s="2642"/>
      <c r="AF167" s="2642"/>
      <c r="AG167" s="2642"/>
      <c r="AH167" s="2642"/>
      <c r="AI167" s="2600"/>
      <c r="AJ167" s="2646"/>
    </row>
    <row r="168" spans="1:36" s="1118" customFormat="1" ht="15.75" hidden="1" outlineLevel="1" thickBot="1">
      <c r="A168" s="2318"/>
      <c r="B168" s="3024"/>
      <c r="C168" s="3027"/>
      <c r="D168" s="3028"/>
      <c r="E168" s="3029"/>
      <c r="F168" s="2494" t="s">
        <v>3864</v>
      </c>
      <c r="G168" s="2493"/>
      <c r="H168" s="2326"/>
      <c r="I168" s="2323"/>
      <c r="J168" s="2323"/>
      <c r="K168" s="2323"/>
      <c r="L168" s="2323"/>
      <c r="M168" s="2323"/>
      <c r="N168" s="2323"/>
      <c r="O168" s="2323"/>
      <c r="P168" s="2323"/>
      <c r="Q168" s="2566"/>
      <c r="R168" s="2323"/>
      <c r="S168" s="2323"/>
      <c r="T168" s="2383"/>
      <c r="U168" s="2566"/>
      <c r="V168" s="2567"/>
      <c r="W168" s="2567"/>
      <c r="X168" s="2567"/>
      <c r="Y168" s="2567"/>
      <c r="Z168" s="2642"/>
      <c r="AA168" s="2642"/>
      <c r="AB168" s="2642"/>
      <c r="AC168" s="2642"/>
      <c r="AD168" s="2642"/>
      <c r="AE168" s="2642"/>
      <c r="AF168" s="2642"/>
      <c r="AG168" s="2642"/>
      <c r="AH168" s="2642"/>
      <c r="AI168" s="2600"/>
      <c r="AJ168" s="2646"/>
    </row>
    <row r="169" spans="1:36" s="1118" customFormat="1" ht="15.75" hidden="1" outlineLevel="1" thickBot="1">
      <c r="A169" s="2318"/>
      <c r="B169" s="3024"/>
      <c r="C169" s="3027"/>
      <c r="D169" s="3028"/>
      <c r="E169" s="3029"/>
      <c r="F169" s="2494" t="s">
        <v>3865</v>
      </c>
      <c r="G169" s="2493"/>
      <c r="H169" s="2326"/>
      <c r="I169" s="2323"/>
      <c r="J169" s="2323"/>
      <c r="K169" s="2323"/>
      <c r="L169" s="2323"/>
      <c r="M169" s="2323"/>
      <c r="N169" s="2323"/>
      <c r="O169" s="2323"/>
      <c r="P169" s="2323"/>
      <c r="Q169" s="2566"/>
      <c r="R169" s="2323"/>
      <c r="S169" s="2323"/>
      <c r="T169" s="2383"/>
      <c r="U169" s="2566"/>
      <c r="V169" s="2567"/>
      <c r="W169" s="2567"/>
      <c r="X169" s="2567"/>
      <c r="Y169" s="2567"/>
      <c r="Z169" s="2642"/>
      <c r="AA169" s="2642"/>
      <c r="AB169" s="2642"/>
      <c r="AC169" s="2642"/>
      <c r="AD169" s="2642"/>
      <c r="AE169" s="2642"/>
      <c r="AF169" s="2642"/>
      <c r="AG169" s="2642"/>
      <c r="AH169" s="2642"/>
      <c r="AI169" s="2600"/>
      <c r="AJ169" s="2646"/>
    </row>
    <row r="170" spans="1:36" s="1118" customFormat="1" ht="15.75" hidden="1" outlineLevel="1" thickBot="1">
      <c r="A170" s="2318"/>
      <c r="B170" s="3024"/>
      <c r="C170" s="3027"/>
      <c r="D170" s="3028"/>
      <c r="E170" s="3029" t="s">
        <v>2946</v>
      </c>
      <c r="F170" s="2571" t="s">
        <v>3860</v>
      </c>
      <c r="G170" s="2569"/>
      <c r="H170" s="2566"/>
      <c r="I170" s="2566"/>
      <c r="J170" s="2566"/>
      <c r="K170" s="2566"/>
      <c r="L170" s="2566"/>
      <c r="M170" s="2566"/>
      <c r="N170" s="2566"/>
      <c r="O170" s="2566"/>
      <c r="P170" s="2566"/>
      <c r="Q170" s="2566"/>
      <c r="R170" s="2566"/>
      <c r="S170" s="2566"/>
      <c r="T170" s="2566"/>
      <c r="U170" s="2566"/>
      <c r="V170" s="2567"/>
      <c r="W170" s="2567"/>
      <c r="X170" s="2567"/>
      <c r="Y170" s="2567"/>
      <c r="Z170" s="2642"/>
      <c r="AA170" s="2642"/>
      <c r="AB170" s="2642"/>
      <c r="AC170" s="2642"/>
      <c r="AD170" s="2642"/>
      <c r="AE170" s="2642"/>
      <c r="AF170" s="2642"/>
      <c r="AG170" s="2642"/>
      <c r="AH170" s="2642"/>
      <c r="AI170" s="2600"/>
      <c r="AJ170" s="2646"/>
    </row>
    <row r="171" spans="1:36" s="1118" customFormat="1" ht="15.75" hidden="1" outlineLevel="1" thickBot="1">
      <c r="A171" s="2318"/>
      <c r="B171" s="3024"/>
      <c r="C171" s="3027"/>
      <c r="D171" s="3028"/>
      <c r="E171" s="3029"/>
      <c r="F171" s="2571" t="s">
        <v>3861</v>
      </c>
      <c r="G171" s="2569"/>
      <c r="H171" s="2566"/>
      <c r="I171" s="2566"/>
      <c r="J171" s="2566"/>
      <c r="K171" s="2566"/>
      <c r="L171" s="2566"/>
      <c r="M171" s="2566"/>
      <c r="N171" s="2566"/>
      <c r="O171" s="2566"/>
      <c r="P171" s="2566"/>
      <c r="Q171" s="2566"/>
      <c r="R171" s="2566"/>
      <c r="S171" s="2574"/>
      <c r="T171" s="2574"/>
      <c r="U171" s="2566"/>
      <c r="V171" s="2567"/>
      <c r="W171" s="2567"/>
      <c r="X171" s="2567"/>
      <c r="Y171" s="2567"/>
      <c r="Z171" s="2642"/>
      <c r="AA171" s="2642"/>
      <c r="AB171" s="2642"/>
      <c r="AC171" s="2642"/>
      <c r="AD171" s="2642"/>
      <c r="AE171" s="2642"/>
      <c r="AF171" s="2642"/>
      <c r="AG171" s="2642"/>
      <c r="AH171" s="2642"/>
      <c r="AI171" s="2600"/>
      <c r="AJ171" s="2646"/>
    </row>
    <row r="172" spans="1:36" s="1118" customFormat="1" ht="15.75" hidden="1" outlineLevel="1" thickBot="1">
      <c r="A172" s="2318"/>
      <c r="B172" s="3024"/>
      <c r="C172" s="3027"/>
      <c r="D172" s="3028"/>
      <c r="E172" s="3029"/>
      <c r="F172" s="2571" t="s">
        <v>3862</v>
      </c>
      <c r="G172" s="2569"/>
      <c r="H172" s="2566"/>
      <c r="I172" s="2566"/>
      <c r="J172" s="2566"/>
      <c r="K172" s="2566"/>
      <c r="L172" s="2566"/>
      <c r="M172" s="2566"/>
      <c r="N172" s="2566"/>
      <c r="O172" s="2566"/>
      <c r="P172" s="2566"/>
      <c r="Q172" s="2566"/>
      <c r="R172" s="2566"/>
      <c r="S172" s="2574"/>
      <c r="T172" s="2574"/>
      <c r="U172" s="2566"/>
      <c r="V172" s="2567"/>
      <c r="W172" s="2567"/>
      <c r="X172" s="2567"/>
      <c r="Y172" s="2567"/>
      <c r="Z172" s="2642"/>
      <c r="AA172" s="2642"/>
      <c r="AB172" s="2642"/>
      <c r="AC172" s="2642"/>
      <c r="AD172" s="2642"/>
      <c r="AE172" s="2642"/>
      <c r="AF172" s="2642"/>
      <c r="AG172" s="2642"/>
      <c r="AH172" s="2642"/>
      <c r="AI172" s="2600"/>
      <c r="AJ172" s="2646"/>
    </row>
    <row r="173" spans="1:36" s="1118" customFormat="1" ht="15.75" hidden="1" outlineLevel="1" thickBot="1">
      <c r="A173" s="2318"/>
      <c r="B173" s="3024"/>
      <c r="C173" s="3027"/>
      <c r="D173" s="3028"/>
      <c r="E173" s="3029"/>
      <c r="F173" s="2571" t="s">
        <v>3863</v>
      </c>
      <c r="G173" s="2569"/>
      <c r="H173" s="2566"/>
      <c r="I173" s="2566"/>
      <c r="J173" s="2566"/>
      <c r="K173" s="2566"/>
      <c r="L173" s="2566"/>
      <c r="M173" s="2566"/>
      <c r="N173" s="2566"/>
      <c r="O173" s="2566"/>
      <c r="P173" s="2566"/>
      <c r="Q173" s="2566"/>
      <c r="R173" s="2566"/>
      <c r="S173" s="2574"/>
      <c r="T173" s="2574"/>
      <c r="U173" s="2566"/>
      <c r="V173" s="2567"/>
      <c r="W173" s="2567"/>
      <c r="X173" s="2567"/>
      <c r="Y173" s="2567"/>
      <c r="Z173" s="2642"/>
      <c r="AA173" s="2642"/>
      <c r="AB173" s="2642"/>
      <c r="AC173" s="2642"/>
      <c r="AD173" s="2642"/>
      <c r="AE173" s="2642"/>
      <c r="AF173" s="2642"/>
      <c r="AG173" s="2642"/>
      <c r="AH173" s="2642"/>
      <c r="AI173" s="2600"/>
      <c r="AJ173" s="2646"/>
    </row>
    <row r="174" spans="1:36" s="1118" customFormat="1" ht="15.75" hidden="1" outlineLevel="1" thickBot="1">
      <c r="A174" s="2318"/>
      <c r="B174" s="3024"/>
      <c r="C174" s="3027"/>
      <c r="D174" s="3028"/>
      <c r="E174" s="3029"/>
      <c r="F174" s="2572" t="s">
        <v>3864</v>
      </c>
      <c r="G174" s="2568"/>
      <c r="H174" s="2580"/>
      <c r="I174" s="2580"/>
      <c r="J174" s="2580"/>
      <c r="K174" s="2580"/>
      <c r="L174" s="2580"/>
      <c r="M174" s="2580"/>
      <c r="N174" s="2580"/>
      <c r="O174" s="2580"/>
      <c r="P174" s="2580"/>
      <c r="Q174" s="2580"/>
      <c r="R174" s="2580"/>
      <c r="S174" s="2803"/>
      <c r="T174" s="2803"/>
      <c r="U174" s="2580"/>
      <c r="V174" s="2804"/>
      <c r="W174" s="2804"/>
      <c r="X174" s="2804"/>
      <c r="Y174" s="2804"/>
      <c r="Z174" s="2805"/>
      <c r="AA174" s="2805"/>
      <c r="AB174" s="2805"/>
      <c r="AC174" s="2805"/>
      <c r="AD174" s="2805"/>
      <c r="AE174" s="2805"/>
      <c r="AF174" s="2805"/>
      <c r="AG174" s="2805"/>
      <c r="AH174" s="2805"/>
      <c r="AI174" s="2806"/>
      <c r="AJ174" s="2807"/>
    </row>
    <row r="175" spans="1:36" s="1118" customFormat="1" ht="15.75" hidden="1" outlineLevel="1" thickBot="1">
      <c r="A175" s="2318"/>
      <c r="B175" s="3024"/>
      <c r="C175" s="3027"/>
      <c r="D175" s="3030"/>
      <c r="E175" s="3031"/>
      <c r="F175" s="2573" t="s">
        <v>3865</v>
      </c>
      <c r="G175" s="2679"/>
      <c r="H175" s="2808"/>
      <c r="I175" s="2327"/>
      <c r="J175" s="2327"/>
      <c r="K175" s="2327"/>
      <c r="L175" s="2327"/>
      <c r="M175" s="2327"/>
      <c r="N175" s="2327"/>
      <c r="O175" s="2327"/>
      <c r="P175" s="2327"/>
      <c r="Q175" s="2327"/>
      <c r="R175" s="2327"/>
      <c r="S175" s="2809"/>
      <c r="T175" s="2809"/>
      <c r="U175" s="2327"/>
      <c r="V175" s="2395"/>
      <c r="W175" s="2395"/>
      <c r="X175" s="2395"/>
      <c r="Y175" s="2395"/>
      <c r="Z175" s="2772"/>
      <c r="AA175" s="2772"/>
      <c r="AB175" s="2772"/>
      <c r="AC175" s="2772"/>
      <c r="AD175" s="2772"/>
      <c r="AE175" s="2772"/>
      <c r="AF175" s="2772"/>
      <c r="AG175" s="2772"/>
      <c r="AH175" s="2772"/>
      <c r="AI175" s="2810"/>
      <c r="AJ175" s="2811"/>
    </row>
    <row r="176" spans="1:36" s="1118" customFormat="1" ht="15" collapsed="1">
      <c r="A176" s="2331"/>
      <c r="B176" s="2331"/>
      <c r="C176" s="2331"/>
      <c r="D176" s="2331"/>
      <c r="E176" s="2331"/>
      <c r="F176" s="2334"/>
      <c r="G176" s="2334"/>
      <c r="H176" s="2439"/>
      <c r="I176" s="2439"/>
      <c r="J176" s="2439"/>
      <c r="K176" s="2439"/>
      <c r="L176" s="2439"/>
      <c r="M176" s="2439"/>
      <c r="N176" s="2439"/>
      <c r="O176" s="2439"/>
      <c r="P176" s="2439"/>
      <c r="Q176" s="2439"/>
      <c r="R176" s="2439"/>
      <c r="S176" s="2439"/>
      <c r="T176" s="2439"/>
      <c r="Z176"/>
      <c r="AA176"/>
      <c r="AB176"/>
      <c r="AC176"/>
      <c r="AD176"/>
      <c r="AE176"/>
      <c r="AF176"/>
      <c r="AG176"/>
      <c r="AH176"/>
      <c r="AI176"/>
    </row>
    <row r="177" spans="1:36" s="1118" customFormat="1" ht="15.75" thickBot="1">
      <c r="A177" s="2331"/>
      <c r="B177" s="2331"/>
      <c r="C177" s="2331"/>
      <c r="D177" s="2331"/>
      <c r="E177" s="2331"/>
      <c r="F177" s="2334"/>
      <c r="G177" s="2334"/>
      <c r="H177" s="2439"/>
      <c r="I177" s="2439"/>
      <c r="J177" s="2439"/>
      <c r="K177" s="2439"/>
      <c r="L177" s="2439"/>
      <c r="M177" s="2439"/>
      <c r="N177" s="2439"/>
      <c r="O177" s="2439"/>
      <c r="P177" s="2439"/>
      <c r="Q177" s="2439"/>
      <c r="R177" s="2439"/>
      <c r="S177" s="2439"/>
      <c r="T177" s="2439"/>
      <c r="Z177"/>
      <c r="AA177"/>
      <c r="AB177"/>
      <c r="AC177"/>
      <c r="AD177"/>
      <c r="AE177"/>
      <c r="AF177"/>
      <c r="AG177"/>
      <c r="AH177"/>
      <c r="AI177"/>
    </row>
    <row r="178" spans="1:36" s="1118" customFormat="1" ht="18.75" customHeight="1" thickBot="1">
      <c r="A178" s="2997"/>
      <c r="B178" s="2998"/>
      <c r="C178" s="2998"/>
      <c r="D178" s="2998"/>
      <c r="E178" s="2998"/>
      <c r="F178" s="2999"/>
      <c r="G178" s="3165" t="s">
        <v>3972</v>
      </c>
      <c r="H178" s="3166"/>
      <c r="I178" s="3166"/>
      <c r="J178" s="3166"/>
      <c r="K178" s="3166"/>
      <c r="L178" s="3166"/>
      <c r="M178" s="3166"/>
      <c r="N178" s="3166"/>
      <c r="O178" s="3166"/>
      <c r="P178" s="3166"/>
      <c r="Q178" s="3166"/>
      <c r="R178" s="3166"/>
      <c r="S178" s="3166"/>
      <c r="T178" s="3166"/>
      <c r="U178" s="3167"/>
      <c r="Z178"/>
      <c r="AA178"/>
      <c r="AB178"/>
      <c r="AC178"/>
      <c r="AD178"/>
      <c r="AE178"/>
      <c r="AF178"/>
      <c r="AG178"/>
      <c r="AH178"/>
      <c r="AI178"/>
    </row>
    <row r="179" spans="1:36" s="1118" customFormat="1" ht="30" customHeight="1">
      <c r="A179" s="3007" t="s">
        <v>0</v>
      </c>
      <c r="B179" s="3009" t="s">
        <v>3849</v>
      </c>
      <c r="C179" s="3010" t="s">
        <v>3850</v>
      </c>
      <c r="D179" s="3012" t="s">
        <v>3851</v>
      </c>
      <c r="E179" s="3012" t="s">
        <v>3852</v>
      </c>
      <c r="F179" s="2990" t="s">
        <v>3853</v>
      </c>
      <c r="G179" s="3002" t="s">
        <v>3854</v>
      </c>
      <c r="H179" s="3171" t="s">
        <v>3855</v>
      </c>
      <c r="I179" s="3172"/>
      <c r="J179" s="3172"/>
      <c r="K179" s="3172"/>
      <c r="L179" s="3173"/>
      <c r="M179" s="3171" t="s">
        <v>3856</v>
      </c>
      <c r="N179" s="3172"/>
      <c r="O179" s="3172"/>
      <c r="P179" s="3173"/>
      <c r="Q179" s="2589"/>
      <c r="R179" s="3171" t="s">
        <v>3857</v>
      </c>
      <c r="S179" s="3172"/>
      <c r="T179" s="3172"/>
      <c r="U179" s="3173"/>
      <c r="V179" s="3136" t="s">
        <v>3978</v>
      </c>
      <c r="W179" s="3137"/>
      <c r="X179" s="3137"/>
      <c r="Y179" s="3138"/>
      <c r="Z179" s="3132" t="s">
        <v>3858</v>
      </c>
      <c r="AA179" s="3132"/>
      <c r="AB179" s="3132"/>
      <c r="AC179" s="3132"/>
      <c r="AD179" s="3136" t="s">
        <v>3979</v>
      </c>
      <c r="AE179" s="3137"/>
      <c r="AF179" s="3137"/>
      <c r="AG179" s="3138"/>
      <c r="AH179" s="2496" t="s">
        <v>3980</v>
      </c>
      <c r="AI179" s="2500" t="s">
        <v>3974</v>
      </c>
      <c r="AJ179" s="2500" t="s">
        <v>3975</v>
      </c>
    </row>
    <row r="180" spans="1:36" s="1118" customFormat="1" ht="75.75" thickBot="1">
      <c r="A180" s="3008"/>
      <c r="B180" s="3002"/>
      <c r="C180" s="3011"/>
      <c r="D180" s="3013"/>
      <c r="E180" s="3013"/>
      <c r="F180" s="2991"/>
      <c r="G180" s="3003"/>
      <c r="H180" s="2379">
        <v>2015</v>
      </c>
      <c r="I180" s="2488">
        <v>2016</v>
      </c>
      <c r="J180" s="2488">
        <v>2017</v>
      </c>
      <c r="K180" s="2488" t="s">
        <v>3925</v>
      </c>
      <c r="L180" s="2595" t="s">
        <v>2559</v>
      </c>
      <c r="M180" s="2488">
        <f>H180</f>
        <v>2015</v>
      </c>
      <c r="N180" s="2488">
        <f>I180</f>
        <v>2016</v>
      </c>
      <c r="O180" s="2488">
        <f>J180</f>
        <v>2017</v>
      </c>
      <c r="P180" s="2488" t="s">
        <v>3925</v>
      </c>
      <c r="Q180" s="2595" t="s">
        <v>2559</v>
      </c>
      <c r="R180" s="2488">
        <f>H180</f>
        <v>2015</v>
      </c>
      <c r="S180" s="2488">
        <f>I180</f>
        <v>2016</v>
      </c>
      <c r="T180" s="2380">
        <f>J180</f>
        <v>2017</v>
      </c>
      <c r="U180" s="2488" t="s">
        <v>3925</v>
      </c>
      <c r="V180" s="2496">
        <f>R180</f>
        <v>2015</v>
      </c>
      <c r="W180" s="2496">
        <f>S180</f>
        <v>2016</v>
      </c>
      <c r="X180" s="2496">
        <f>T180</f>
        <v>2017</v>
      </c>
      <c r="Y180" s="2496" t="s">
        <v>3925</v>
      </c>
      <c r="Z180" s="2588">
        <v>2016</v>
      </c>
      <c r="AA180" s="2588">
        <v>2017</v>
      </c>
      <c r="AB180" s="2588">
        <v>2018</v>
      </c>
      <c r="AC180" s="2588">
        <v>2019</v>
      </c>
      <c r="AD180" s="2503">
        <f>V180</f>
        <v>2015</v>
      </c>
      <c r="AE180" s="2503">
        <f>W180</f>
        <v>2016</v>
      </c>
      <c r="AF180" s="2503">
        <f>X180</f>
        <v>2017</v>
      </c>
      <c r="AG180" s="2503" t="str">
        <f>Y180</f>
        <v>План (в случае отсутствия факта за 3 года)</v>
      </c>
      <c r="AH180" s="2497" t="s">
        <v>3981</v>
      </c>
      <c r="AI180" s="2597" t="s">
        <v>3976</v>
      </c>
      <c r="AJ180" s="2597" t="s">
        <v>3977</v>
      </c>
    </row>
    <row r="181" spans="1:36" s="1118" customFormat="1" ht="15.75" thickBot="1">
      <c r="A181" s="2316">
        <v>1</v>
      </c>
      <c r="B181" s="2477">
        <v>2</v>
      </c>
      <c r="C181" s="3014">
        <v>3</v>
      </c>
      <c r="D181" s="3015"/>
      <c r="E181" s="3015"/>
      <c r="F181" s="3016"/>
      <c r="G181" s="2317">
        <v>4</v>
      </c>
      <c r="H181" s="3017">
        <v>5</v>
      </c>
      <c r="I181" s="3018"/>
      <c r="J181" s="3018"/>
      <c r="K181" s="3018"/>
      <c r="L181" s="3019"/>
      <c r="M181" s="3017">
        <v>6</v>
      </c>
      <c r="N181" s="3018"/>
      <c r="O181" s="3018"/>
      <c r="P181" s="3018"/>
      <c r="Q181" s="3021"/>
      <c r="R181" s="3020">
        <v>7</v>
      </c>
      <c r="S181" s="3018"/>
      <c r="T181" s="3018"/>
      <c r="U181" s="3021"/>
      <c r="V181" s="3131">
        <v>8</v>
      </c>
      <c r="W181" s="3131"/>
      <c r="X181" s="3131"/>
      <c r="Y181" s="3131"/>
      <c r="Z181" s="3131">
        <v>9</v>
      </c>
      <c r="AA181" s="3131"/>
      <c r="AB181" s="3131"/>
      <c r="AC181" s="3131"/>
      <c r="AD181" s="3105">
        <v>10</v>
      </c>
      <c r="AE181" s="3106"/>
      <c r="AF181" s="3106"/>
      <c r="AG181" s="3107"/>
      <c r="AH181" s="2498">
        <v>11</v>
      </c>
      <c r="AI181" s="2498">
        <v>12</v>
      </c>
      <c r="AJ181" s="2499">
        <v>13</v>
      </c>
    </row>
    <row r="182" spans="1:36" s="1118" customFormat="1" ht="15" hidden="1" outlineLevel="1">
      <c r="A182" s="2318"/>
      <c r="B182" s="3032" t="s">
        <v>2952</v>
      </c>
      <c r="C182" s="3034" t="s">
        <v>3859</v>
      </c>
      <c r="D182" s="3036" t="s">
        <v>2949</v>
      </c>
      <c r="E182" s="3037" t="s">
        <v>2950</v>
      </c>
      <c r="F182" s="2381" t="s">
        <v>3860</v>
      </c>
      <c r="G182" s="2485"/>
      <c r="H182" s="2663"/>
      <c r="I182" s="2654"/>
      <c r="J182" s="2654"/>
      <c r="K182" s="2654"/>
      <c r="L182" s="2656"/>
      <c r="M182" s="2654"/>
      <c r="N182" s="2654"/>
      <c r="O182" s="2654"/>
      <c r="P182" s="2654"/>
      <c r="Q182" s="2617"/>
      <c r="R182" s="2668"/>
      <c r="S182" s="2668"/>
      <c r="T182" s="2669"/>
      <c r="U182" s="2668"/>
      <c r="V182" s="2644" t="str">
        <f t="shared" ref="V182:V229" si="35">IFERROR(R182*1000/(H182/1000),"")</f>
        <v/>
      </c>
      <c r="W182" s="2644" t="str">
        <f t="shared" ref="W182:W229" si="36">IFERROR(S182*1000/(I182/1000),"")</f>
        <v/>
      </c>
      <c r="X182" s="2644" t="str">
        <f t="shared" ref="X182:X229" si="37">IFERROR(T182*1000/(J182/1000),"")</f>
        <v/>
      </c>
      <c r="Y182" s="2633"/>
      <c r="Z182" s="2645">
        <f>$Z$13</f>
        <v>1.0528</v>
      </c>
      <c r="AA182" s="2645">
        <f>$AA$13</f>
        <v>1.0589</v>
      </c>
      <c r="AB182" s="2645">
        <f>$AB$13</f>
        <v>1.0507936887282501</v>
      </c>
      <c r="AC182" s="2645">
        <f>$AC$13</f>
        <v>1.04657781587849</v>
      </c>
      <c r="AD182" s="2642"/>
      <c r="AE182" s="2642"/>
      <c r="AF182" s="2642"/>
      <c r="AG182" s="2642"/>
      <c r="AH182" s="2642"/>
      <c r="AI182" s="2600"/>
      <c r="AJ182" s="2646"/>
    </row>
    <row r="183" spans="1:36" s="1118" customFormat="1" ht="15" hidden="1" outlineLevel="1">
      <c r="A183" s="2318"/>
      <c r="B183" s="3033"/>
      <c r="C183" s="3035"/>
      <c r="D183" s="3028"/>
      <c r="E183" s="3029"/>
      <c r="F183" s="2492" t="s">
        <v>3861</v>
      </c>
      <c r="G183" s="2478"/>
      <c r="H183" s="2664"/>
      <c r="I183" s="2636"/>
      <c r="J183" s="2636"/>
      <c r="K183" s="2636"/>
      <c r="L183" s="2657"/>
      <c r="M183" s="2636"/>
      <c r="N183" s="2636"/>
      <c r="O183" s="2636"/>
      <c r="P183" s="2636"/>
      <c r="Q183" s="2617"/>
      <c r="R183" s="2629"/>
      <c r="S183" s="2629"/>
      <c r="T183" s="2626"/>
      <c r="U183" s="2625"/>
      <c r="V183" s="2644" t="str">
        <f t="shared" si="35"/>
        <v/>
      </c>
      <c r="W183" s="2644" t="str">
        <f t="shared" si="36"/>
        <v/>
      </c>
      <c r="X183" s="2644" t="str">
        <f t="shared" si="37"/>
        <v/>
      </c>
      <c r="Y183" s="2633"/>
      <c r="Z183" s="2642"/>
      <c r="AA183" s="2642"/>
      <c r="AB183" s="2642"/>
      <c r="AC183" s="2642"/>
      <c r="AD183" s="2642"/>
      <c r="AE183" s="2642"/>
      <c r="AF183" s="2642"/>
      <c r="AG183" s="2642"/>
      <c r="AH183" s="2642"/>
      <c r="AI183" s="2600"/>
      <c r="AJ183" s="2646"/>
    </row>
    <row r="184" spans="1:36" s="1118" customFormat="1" ht="15" hidden="1" outlineLevel="1">
      <c r="A184" s="2318"/>
      <c r="B184" s="3033"/>
      <c r="C184" s="3035"/>
      <c r="D184" s="3028"/>
      <c r="E184" s="3029"/>
      <c r="F184" s="2492" t="s">
        <v>3862</v>
      </c>
      <c r="G184" s="2478"/>
      <c r="H184" s="2664"/>
      <c r="I184" s="2636"/>
      <c r="J184" s="2636"/>
      <c r="K184" s="2636"/>
      <c r="L184" s="2657"/>
      <c r="M184" s="2636"/>
      <c r="N184" s="2636"/>
      <c r="O184" s="2636"/>
      <c r="P184" s="2636"/>
      <c r="Q184" s="2617"/>
      <c r="R184" s="2629"/>
      <c r="S184" s="2629"/>
      <c r="T184" s="2626"/>
      <c r="U184" s="2625"/>
      <c r="V184" s="2644" t="str">
        <f t="shared" si="35"/>
        <v/>
      </c>
      <c r="W184" s="2644" t="str">
        <f t="shared" si="36"/>
        <v/>
      </c>
      <c r="X184" s="2644" t="str">
        <f t="shared" si="37"/>
        <v/>
      </c>
      <c r="Y184" s="2633"/>
      <c r="Z184" s="2642"/>
      <c r="AA184" s="2642"/>
      <c r="AB184" s="2642"/>
      <c r="AC184" s="2642"/>
      <c r="AD184" s="2642"/>
      <c r="AE184" s="2642"/>
      <c r="AF184" s="2642"/>
      <c r="AG184" s="2642"/>
      <c r="AH184" s="2642"/>
      <c r="AI184" s="2600"/>
      <c r="AJ184" s="2646"/>
    </row>
    <row r="185" spans="1:36" s="1118" customFormat="1" ht="15" hidden="1" outlineLevel="1">
      <c r="A185" s="2318"/>
      <c r="B185" s="3033"/>
      <c r="C185" s="3035"/>
      <c r="D185" s="3028"/>
      <c r="E185" s="3029"/>
      <c r="F185" s="2492" t="s">
        <v>3863</v>
      </c>
      <c r="G185" s="2478"/>
      <c r="H185" s="2664"/>
      <c r="I185" s="2636"/>
      <c r="J185" s="2636"/>
      <c r="K185" s="2636"/>
      <c r="L185" s="2657"/>
      <c r="M185" s="2636"/>
      <c r="N185" s="2636"/>
      <c r="O185" s="2636"/>
      <c r="P185" s="2636"/>
      <c r="Q185" s="2617"/>
      <c r="R185" s="2629"/>
      <c r="S185" s="2629"/>
      <c r="T185" s="2626"/>
      <c r="U185" s="2625"/>
      <c r="V185" s="2644" t="str">
        <f t="shared" si="35"/>
        <v/>
      </c>
      <c r="W185" s="2644" t="str">
        <f t="shared" si="36"/>
        <v/>
      </c>
      <c r="X185" s="2644" t="str">
        <f t="shared" si="37"/>
        <v/>
      </c>
      <c r="Y185" s="2633"/>
      <c r="Z185" s="2642"/>
      <c r="AA185" s="2642"/>
      <c r="AB185" s="2642"/>
      <c r="AC185" s="2642"/>
      <c r="AD185" s="2642"/>
      <c r="AE185" s="2642"/>
      <c r="AF185" s="2642"/>
      <c r="AG185" s="2642"/>
      <c r="AH185" s="2642"/>
      <c r="AI185" s="2600"/>
      <c r="AJ185" s="2646"/>
    </row>
    <row r="186" spans="1:36" s="1118" customFormat="1" ht="15" hidden="1" outlineLevel="1">
      <c r="A186" s="2318"/>
      <c r="B186" s="3033"/>
      <c r="C186" s="3035"/>
      <c r="D186" s="3028"/>
      <c r="E186" s="3029"/>
      <c r="F186" s="2494" t="s">
        <v>3864</v>
      </c>
      <c r="G186" s="2493"/>
      <c r="H186" s="2664"/>
      <c r="I186" s="2636"/>
      <c r="J186" s="2636"/>
      <c r="K186" s="2636"/>
      <c r="L186" s="2657"/>
      <c r="M186" s="2636"/>
      <c r="N186" s="2636"/>
      <c r="O186" s="2636"/>
      <c r="P186" s="2636"/>
      <c r="Q186" s="2617"/>
      <c r="R186" s="2629"/>
      <c r="S186" s="2629"/>
      <c r="T186" s="2626"/>
      <c r="U186" s="2625"/>
      <c r="V186" s="2644" t="str">
        <f t="shared" si="35"/>
        <v/>
      </c>
      <c r="W186" s="2644" t="str">
        <f t="shared" si="36"/>
        <v/>
      </c>
      <c r="X186" s="2644" t="str">
        <f t="shared" si="37"/>
        <v/>
      </c>
      <c r="Y186" s="2633"/>
      <c r="Z186" s="2642"/>
      <c r="AA186" s="2642"/>
      <c r="AB186" s="2642"/>
      <c r="AC186" s="2642"/>
      <c r="AD186" s="2642"/>
      <c r="AE186" s="2642"/>
      <c r="AF186" s="2642"/>
      <c r="AG186" s="2642"/>
      <c r="AH186" s="2642"/>
      <c r="AI186" s="2600"/>
      <c r="AJ186" s="2646"/>
    </row>
    <row r="187" spans="1:36" s="1118" customFormat="1" ht="15" hidden="1" outlineLevel="1">
      <c r="A187" s="2318"/>
      <c r="B187" s="3033"/>
      <c r="C187" s="3035"/>
      <c r="D187" s="3028"/>
      <c r="E187" s="3029"/>
      <c r="F187" s="2494" t="s">
        <v>3865</v>
      </c>
      <c r="G187" s="2493"/>
      <c r="H187" s="2664"/>
      <c r="I187" s="2636"/>
      <c r="J187" s="2636"/>
      <c r="K187" s="2636"/>
      <c r="L187" s="2657"/>
      <c r="M187" s="2636"/>
      <c r="N187" s="2636"/>
      <c r="O187" s="2665"/>
      <c r="P187" s="2665"/>
      <c r="Q187" s="2617"/>
      <c r="R187" s="2629"/>
      <c r="S187" s="2629"/>
      <c r="T187" s="2626"/>
      <c r="U187" s="2625"/>
      <c r="V187" s="2644" t="str">
        <f t="shared" si="35"/>
        <v/>
      </c>
      <c r="W187" s="2644" t="str">
        <f t="shared" si="36"/>
        <v/>
      </c>
      <c r="X187" s="2644" t="str">
        <f t="shared" si="37"/>
        <v/>
      </c>
      <c r="Y187" s="2633"/>
      <c r="Z187" s="2642"/>
      <c r="AA187" s="2642"/>
      <c r="AB187" s="2642"/>
      <c r="AC187" s="2642"/>
      <c r="AD187" s="2642"/>
      <c r="AE187" s="2642"/>
      <c r="AF187" s="2642"/>
      <c r="AG187" s="2642"/>
      <c r="AH187" s="2642"/>
      <c r="AI187" s="2600"/>
      <c r="AJ187" s="2646"/>
    </row>
    <row r="188" spans="1:36" s="1118" customFormat="1" ht="15" hidden="1" outlineLevel="1">
      <c r="A188" s="2318"/>
      <c r="B188" s="3033"/>
      <c r="C188" s="3035"/>
      <c r="D188" s="3028"/>
      <c r="E188" s="3029" t="s">
        <v>2946</v>
      </c>
      <c r="F188" s="2492" t="s">
        <v>3860</v>
      </c>
      <c r="G188" s="2478"/>
      <c r="H188" s="2615"/>
      <c r="I188" s="2616"/>
      <c r="J188" s="2616"/>
      <c r="K188" s="2616"/>
      <c r="L188" s="2617"/>
      <c r="M188" s="2615"/>
      <c r="N188" s="2616"/>
      <c r="O188" s="2616"/>
      <c r="P188" s="2622"/>
      <c r="Q188" s="2617"/>
      <c r="R188" s="2615"/>
      <c r="S188" s="2616"/>
      <c r="T188" s="2616"/>
      <c r="U188" s="2625"/>
      <c r="V188" s="2644" t="str">
        <f t="shared" si="35"/>
        <v/>
      </c>
      <c r="W188" s="2644" t="str">
        <f t="shared" si="36"/>
        <v/>
      </c>
      <c r="X188" s="2644" t="str">
        <f t="shared" si="37"/>
        <v/>
      </c>
      <c r="Y188" s="2633"/>
      <c r="Z188" s="2642"/>
      <c r="AA188" s="2642"/>
      <c r="AB188" s="2642"/>
      <c r="AC188" s="2642"/>
      <c r="AD188" s="2642"/>
      <c r="AE188" s="2642"/>
      <c r="AF188" s="2642"/>
      <c r="AG188" s="2642"/>
      <c r="AH188" s="2642"/>
      <c r="AI188" s="2600"/>
      <c r="AJ188" s="2646"/>
    </row>
    <row r="189" spans="1:36" s="1118" customFormat="1" ht="15" hidden="1" outlineLevel="1">
      <c r="A189" s="2318"/>
      <c r="B189" s="3033"/>
      <c r="C189" s="3035"/>
      <c r="D189" s="3028"/>
      <c r="E189" s="3029"/>
      <c r="F189" s="2492" t="s">
        <v>3861</v>
      </c>
      <c r="G189" s="2478"/>
      <c r="H189" s="2615"/>
      <c r="I189" s="2616"/>
      <c r="J189" s="2616"/>
      <c r="K189" s="2616"/>
      <c r="L189" s="2618"/>
      <c r="M189" s="2622"/>
      <c r="N189" s="2622"/>
      <c r="O189" s="2616"/>
      <c r="P189" s="2622"/>
      <c r="Q189" s="2617"/>
      <c r="R189" s="2624"/>
      <c r="S189" s="2624"/>
      <c r="T189" s="2616"/>
      <c r="U189" s="2625"/>
      <c r="V189" s="2644" t="str">
        <f t="shared" si="35"/>
        <v/>
      </c>
      <c r="W189" s="2644" t="str">
        <f t="shared" si="36"/>
        <v/>
      </c>
      <c r="X189" s="2644" t="str">
        <f t="shared" si="37"/>
        <v/>
      </c>
      <c r="Y189" s="2633"/>
      <c r="Z189" s="2642"/>
      <c r="AA189" s="2642"/>
      <c r="AB189" s="2642"/>
      <c r="AC189" s="2642"/>
      <c r="AD189" s="2642"/>
      <c r="AE189" s="2642"/>
      <c r="AF189" s="2642"/>
      <c r="AG189" s="2642"/>
      <c r="AH189" s="2642"/>
      <c r="AI189" s="2600"/>
      <c r="AJ189" s="2646"/>
    </row>
    <row r="190" spans="1:36" s="1118" customFormat="1" ht="15" hidden="1" outlineLevel="1">
      <c r="A190" s="2318"/>
      <c r="B190" s="3033"/>
      <c r="C190" s="3035"/>
      <c r="D190" s="3028"/>
      <c r="E190" s="3029"/>
      <c r="F190" s="2492" t="s">
        <v>3862</v>
      </c>
      <c r="G190" s="2478"/>
      <c r="H190" s="2615"/>
      <c r="I190" s="2616"/>
      <c r="J190" s="2616"/>
      <c r="K190" s="2616"/>
      <c r="L190" s="2618"/>
      <c r="M190" s="2622"/>
      <c r="N190" s="2622"/>
      <c r="O190" s="2622"/>
      <c r="P190" s="2622"/>
      <c r="Q190" s="2617"/>
      <c r="R190" s="2624"/>
      <c r="S190" s="2624"/>
      <c r="T190" s="2626"/>
      <c r="U190" s="2625"/>
      <c r="V190" s="2644" t="str">
        <f t="shared" si="35"/>
        <v/>
      </c>
      <c r="W190" s="2644" t="str">
        <f t="shared" si="36"/>
        <v/>
      </c>
      <c r="X190" s="2644" t="str">
        <f t="shared" si="37"/>
        <v/>
      </c>
      <c r="Y190" s="2633"/>
      <c r="Z190" s="2642"/>
      <c r="AA190" s="2642"/>
      <c r="AB190" s="2642"/>
      <c r="AC190" s="2642"/>
      <c r="AD190" s="2642"/>
      <c r="AE190" s="2642"/>
      <c r="AF190" s="2642"/>
      <c r="AG190" s="2642"/>
      <c r="AH190" s="2642"/>
      <c r="AI190" s="2600"/>
      <c r="AJ190" s="2646"/>
    </row>
    <row r="191" spans="1:36" s="1118" customFormat="1" ht="15" hidden="1" outlineLevel="1">
      <c r="A191" s="2318"/>
      <c r="B191" s="3033"/>
      <c r="C191" s="3035"/>
      <c r="D191" s="3028"/>
      <c r="E191" s="3029"/>
      <c r="F191" s="2492" t="s">
        <v>3863</v>
      </c>
      <c r="G191" s="2478"/>
      <c r="H191" s="2619"/>
      <c r="I191" s="2620"/>
      <c r="J191" s="2620"/>
      <c r="K191" s="2620"/>
      <c r="L191" s="2621"/>
      <c r="M191" s="2623"/>
      <c r="N191" s="2623"/>
      <c r="O191" s="2624"/>
      <c r="P191" s="2624"/>
      <c r="Q191" s="2617"/>
      <c r="R191" s="2624"/>
      <c r="S191" s="2624"/>
      <c r="T191" s="2626"/>
      <c r="U191" s="2625"/>
      <c r="V191" s="2644" t="str">
        <f t="shared" si="35"/>
        <v/>
      </c>
      <c r="W191" s="2644" t="str">
        <f t="shared" si="36"/>
        <v/>
      </c>
      <c r="X191" s="2644" t="str">
        <f t="shared" si="37"/>
        <v/>
      </c>
      <c r="Y191" s="2633"/>
      <c r="Z191" s="2642"/>
      <c r="AA191" s="2642"/>
      <c r="AB191" s="2642"/>
      <c r="AC191" s="2642"/>
      <c r="AD191" s="2642"/>
      <c r="AE191" s="2642"/>
      <c r="AF191" s="2642"/>
      <c r="AG191" s="2642"/>
      <c r="AH191" s="2642"/>
      <c r="AI191" s="2600"/>
      <c r="AJ191" s="2646"/>
    </row>
    <row r="192" spans="1:36" s="1118" customFormat="1" ht="15" hidden="1" outlineLevel="1">
      <c r="A192" s="2318"/>
      <c r="B192" s="3033"/>
      <c r="C192" s="3035"/>
      <c r="D192" s="3028"/>
      <c r="E192" s="3029"/>
      <c r="F192" s="2494" t="s">
        <v>3864</v>
      </c>
      <c r="G192" s="2493"/>
      <c r="H192" s="2619"/>
      <c r="I192" s="2620"/>
      <c r="J192" s="2620"/>
      <c r="K192" s="2620"/>
      <c r="L192" s="2621"/>
      <c r="M192" s="2623"/>
      <c r="N192" s="2623"/>
      <c r="O192" s="2624"/>
      <c r="P192" s="2624"/>
      <c r="Q192" s="2617"/>
      <c r="R192" s="2624"/>
      <c r="S192" s="2624"/>
      <c r="T192" s="2626"/>
      <c r="U192" s="2625"/>
      <c r="V192" s="2644" t="str">
        <f t="shared" si="35"/>
        <v/>
      </c>
      <c r="W192" s="2644" t="str">
        <f t="shared" si="36"/>
        <v/>
      </c>
      <c r="X192" s="2644" t="str">
        <f t="shared" si="37"/>
        <v/>
      </c>
      <c r="Y192" s="2633"/>
      <c r="Z192" s="2642"/>
      <c r="AA192" s="2642"/>
      <c r="AB192" s="2642"/>
      <c r="AC192" s="2642"/>
      <c r="AD192" s="2642"/>
      <c r="AE192" s="2642"/>
      <c r="AF192" s="2642"/>
      <c r="AG192" s="2642"/>
      <c r="AH192" s="2642"/>
      <c r="AI192" s="2600"/>
      <c r="AJ192" s="2646"/>
    </row>
    <row r="193" spans="1:36" s="1118" customFormat="1" ht="15" hidden="1" outlineLevel="1">
      <c r="A193" s="2318"/>
      <c r="B193" s="3033"/>
      <c r="C193" s="3035"/>
      <c r="D193" s="3028"/>
      <c r="E193" s="3029"/>
      <c r="F193" s="2494" t="s">
        <v>3865</v>
      </c>
      <c r="G193" s="2493"/>
      <c r="H193" s="2619"/>
      <c r="I193" s="2620"/>
      <c r="J193" s="2620"/>
      <c r="K193" s="2620"/>
      <c r="L193" s="2621"/>
      <c r="M193" s="2623"/>
      <c r="N193" s="2623"/>
      <c r="O193" s="2624"/>
      <c r="P193" s="2624"/>
      <c r="Q193" s="2617"/>
      <c r="R193" s="2624"/>
      <c r="S193" s="2624"/>
      <c r="T193" s="2626"/>
      <c r="U193" s="2625"/>
      <c r="V193" s="2644" t="str">
        <f t="shared" si="35"/>
        <v/>
      </c>
      <c r="W193" s="2644" t="str">
        <f t="shared" si="36"/>
        <v/>
      </c>
      <c r="X193" s="2644" t="str">
        <f t="shared" si="37"/>
        <v/>
      </c>
      <c r="Y193" s="2633"/>
      <c r="Z193" s="2642"/>
      <c r="AA193" s="2642"/>
      <c r="AB193" s="2642"/>
      <c r="AC193" s="2642"/>
      <c r="AD193" s="2642"/>
      <c r="AE193" s="2642"/>
      <c r="AF193" s="2642"/>
      <c r="AG193" s="2642"/>
      <c r="AH193" s="2642"/>
      <c r="AI193" s="2600"/>
      <c r="AJ193" s="2646"/>
    </row>
    <row r="194" spans="1:36" s="1118" customFormat="1" ht="15.75" collapsed="1" thickBot="1">
      <c r="A194" s="2318"/>
      <c r="B194" s="3033"/>
      <c r="C194" s="3035"/>
      <c r="D194" s="3028" t="s">
        <v>2954</v>
      </c>
      <c r="E194" s="3029" t="s">
        <v>2950</v>
      </c>
      <c r="F194" s="2492" t="s">
        <v>3860</v>
      </c>
      <c r="G194" s="2478"/>
      <c r="H194" s="2619"/>
      <c r="I194" s="2620"/>
      <c r="J194" s="2620">
        <f>'(Стр.17)'!F59*1000</f>
        <v>110</v>
      </c>
      <c r="K194" s="2620"/>
      <c r="L194" s="2621">
        <f t="shared" ref="L194" si="38">SUM(H194:K194)</f>
        <v>110</v>
      </c>
      <c r="M194" s="2623"/>
      <c r="N194" s="2623"/>
      <c r="O194" s="2620">
        <f>'(Стр.17)'!G59</f>
        <v>15</v>
      </c>
      <c r="P194" s="2624"/>
      <c r="Q194" s="2617">
        <f t="shared" ref="Q194:Q219" si="39">SUM(M194:P194)</f>
        <v>15</v>
      </c>
      <c r="R194" s="2624"/>
      <c r="S194" s="2624"/>
      <c r="T194" s="2620">
        <f>'(Стр.17)'!P59/1000</f>
        <v>103.95427000000001</v>
      </c>
      <c r="U194" s="2625"/>
      <c r="V194" s="2644" t="str">
        <f t="shared" si="35"/>
        <v/>
      </c>
      <c r="W194" s="2644" t="str">
        <f t="shared" si="36"/>
        <v/>
      </c>
      <c r="X194" s="2644">
        <f t="shared" si="37"/>
        <v>945038.81818181823</v>
      </c>
      <c r="Y194" s="2633"/>
      <c r="Z194" s="2645">
        <f>$Z$13</f>
        <v>1.0528</v>
      </c>
      <c r="AA194" s="2645">
        <f>$AA$13</f>
        <v>1.0589</v>
      </c>
      <c r="AB194" s="2645">
        <f>$AB$13</f>
        <v>1.0507936887282501</v>
      </c>
      <c r="AC194" s="2645">
        <f>$AC$13</f>
        <v>1.04657781587849</v>
      </c>
      <c r="AD194" s="2507" t="str">
        <f>IFERROR(V194*$Z$13*$AA$13*$AB$13*$AC$13,"")</f>
        <v/>
      </c>
      <c r="AE194" s="2507" t="str">
        <f>IFERROR(W194*$AA$13*$AB$13*$AC$13,"")</f>
        <v/>
      </c>
      <c r="AF194" s="2672">
        <f t="shared" ref="AF194" si="40">IFERROR(X194*$AB$13*$AC$13,"")</f>
        <v>1039294.4984902035</v>
      </c>
      <c r="AG194" s="2642"/>
      <c r="AH194" s="2599">
        <f t="shared" ref="AH194:AH219" si="41">SUM(AD194:AF194)</f>
        <v>1039294.4984902035</v>
      </c>
      <c r="AI194" s="2700">
        <f>AH194/1</f>
        <v>1039294.4984902035</v>
      </c>
      <c r="AJ194" s="2701">
        <f>IFERROR((AI194*L194/1000)/Q194,"")</f>
        <v>7621.4929889281593</v>
      </c>
    </row>
    <row r="195" spans="1:36" s="1118" customFormat="1" ht="15" hidden="1" outlineLevel="1">
      <c r="A195" s="2318"/>
      <c r="B195" s="3033"/>
      <c r="C195" s="3035"/>
      <c r="D195" s="3028"/>
      <c r="E195" s="3029"/>
      <c r="F195" s="2492" t="s">
        <v>3861</v>
      </c>
      <c r="G195" s="2478"/>
      <c r="H195" s="2637"/>
      <c r="I195" s="2638"/>
      <c r="J195" s="2638"/>
      <c r="K195" s="2638"/>
      <c r="L195" s="2658"/>
      <c r="M195" s="2666"/>
      <c r="N195" s="2666"/>
      <c r="O195" s="2629"/>
      <c r="P195" s="2629"/>
      <c r="Q195" s="2617"/>
      <c r="R195" s="2629"/>
      <c r="S195" s="2629"/>
      <c r="T195" s="2626"/>
      <c r="U195" s="2625"/>
      <c r="V195" s="2644" t="str">
        <f t="shared" si="35"/>
        <v/>
      </c>
      <c r="W195" s="2644" t="str">
        <f t="shared" si="36"/>
        <v/>
      </c>
      <c r="X195" s="2644" t="str">
        <f t="shared" si="37"/>
        <v/>
      </c>
      <c r="Y195" s="2633"/>
      <c r="Z195" s="2671"/>
      <c r="AA195" s="2671"/>
      <c r="AB195" s="2671"/>
      <c r="AC195" s="2671"/>
      <c r="AD195" s="2507" t="str">
        <f t="shared" ref="AD195:AD219" si="42">IFERROR(V195*$Z$13*$AA$13*$AB$13*$AC$13,"")</f>
        <v/>
      </c>
      <c r="AE195" s="2507" t="str">
        <f t="shared" ref="AE195:AE219" si="43">IFERROR(W195*$AA$13*$AB$13*$AC$13,"")</f>
        <v/>
      </c>
      <c r="AF195" s="2672" t="str">
        <f t="shared" ref="AF195:AF219" si="44">IFERROR(X195*$AB$13*$AC$13,"")</f>
        <v/>
      </c>
      <c r="AG195" s="2642"/>
      <c r="AH195" s="2599">
        <f t="shared" si="41"/>
        <v>0</v>
      </c>
      <c r="AI195" s="2700"/>
      <c r="AJ195" s="2701"/>
    </row>
    <row r="196" spans="1:36" s="1118" customFormat="1" ht="15" hidden="1" outlineLevel="1">
      <c r="A196" s="2318"/>
      <c r="B196" s="3033"/>
      <c r="C196" s="3035"/>
      <c r="D196" s="3028"/>
      <c r="E196" s="3029"/>
      <c r="F196" s="2492" t="s">
        <v>3862</v>
      </c>
      <c r="G196" s="2478"/>
      <c r="H196" s="2637"/>
      <c r="I196" s="2638"/>
      <c r="J196" s="2638"/>
      <c r="K196" s="2638"/>
      <c r="L196" s="2658"/>
      <c r="M196" s="2666"/>
      <c r="N196" s="2666"/>
      <c r="O196" s="2629"/>
      <c r="P196" s="2629"/>
      <c r="Q196" s="2617"/>
      <c r="R196" s="2629"/>
      <c r="S196" s="2629"/>
      <c r="T196" s="2626"/>
      <c r="U196" s="2625"/>
      <c r="V196" s="2644" t="str">
        <f t="shared" si="35"/>
        <v/>
      </c>
      <c r="W196" s="2644" t="str">
        <f t="shared" si="36"/>
        <v/>
      </c>
      <c r="X196" s="2644" t="str">
        <f t="shared" si="37"/>
        <v/>
      </c>
      <c r="Y196" s="2633"/>
      <c r="Z196" s="2671"/>
      <c r="AA196" s="2671"/>
      <c r="AB196" s="2671"/>
      <c r="AC196" s="2671"/>
      <c r="AD196" s="2507" t="str">
        <f t="shared" si="42"/>
        <v/>
      </c>
      <c r="AE196" s="2507" t="str">
        <f t="shared" si="43"/>
        <v/>
      </c>
      <c r="AF196" s="2672" t="str">
        <f t="shared" si="44"/>
        <v/>
      </c>
      <c r="AG196" s="2642"/>
      <c r="AH196" s="2599">
        <f t="shared" si="41"/>
        <v>0</v>
      </c>
      <c r="AI196" s="2700"/>
      <c r="AJ196" s="2701"/>
    </row>
    <row r="197" spans="1:36" s="1118" customFormat="1" ht="15" hidden="1" outlineLevel="1">
      <c r="A197" s="2318"/>
      <c r="B197" s="3033"/>
      <c r="C197" s="3035"/>
      <c r="D197" s="3028"/>
      <c r="E197" s="3029"/>
      <c r="F197" s="2492" t="s">
        <v>3863</v>
      </c>
      <c r="G197" s="2478"/>
      <c r="H197" s="2637"/>
      <c r="I197" s="2638"/>
      <c r="J197" s="2638"/>
      <c r="K197" s="2638"/>
      <c r="L197" s="2658"/>
      <c r="M197" s="2666"/>
      <c r="N197" s="2666"/>
      <c r="O197" s="2629"/>
      <c r="P197" s="2629"/>
      <c r="Q197" s="2617"/>
      <c r="R197" s="2629"/>
      <c r="S197" s="2629"/>
      <c r="T197" s="2626"/>
      <c r="U197" s="2625"/>
      <c r="V197" s="2644" t="str">
        <f t="shared" si="35"/>
        <v/>
      </c>
      <c r="W197" s="2644" t="str">
        <f t="shared" si="36"/>
        <v/>
      </c>
      <c r="X197" s="2644" t="str">
        <f t="shared" si="37"/>
        <v/>
      </c>
      <c r="Y197" s="2633"/>
      <c r="Z197" s="2671"/>
      <c r="AA197" s="2671"/>
      <c r="AB197" s="2671"/>
      <c r="AC197" s="2671"/>
      <c r="AD197" s="2507" t="str">
        <f t="shared" si="42"/>
        <v/>
      </c>
      <c r="AE197" s="2507" t="str">
        <f t="shared" si="43"/>
        <v/>
      </c>
      <c r="AF197" s="2672" t="str">
        <f t="shared" si="44"/>
        <v/>
      </c>
      <c r="AG197" s="2642"/>
      <c r="AH197" s="2599">
        <f t="shared" si="41"/>
        <v>0</v>
      </c>
      <c r="AI197" s="2700"/>
      <c r="AJ197" s="2701"/>
    </row>
    <row r="198" spans="1:36" s="1118" customFormat="1" ht="15" hidden="1" outlineLevel="1">
      <c r="A198" s="2318"/>
      <c r="B198" s="3033"/>
      <c r="C198" s="3035"/>
      <c r="D198" s="3028"/>
      <c r="E198" s="3029"/>
      <c r="F198" s="2494" t="s">
        <v>3864</v>
      </c>
      <c r="G198" s="2493"/>
      <c r="H198" s="2637"/>
      <c r="I198" s="2638"/>
      <c r="J198" s="2638"/>
      <c r="K198" s="2638"/>
      <c r="L198" s="2658"/>
      <c r="M198" s="2666"/>
      <c r="N198" s="2666"/>
      <c r="O198" s="2629"/>
      <c r="P198" s="2629"/>
      <c r="Q198" s="2617"/>
      <c r="R198" s="2629"/>
      <c r="S198" s="2629"/>
      <c r="T198" s="2626"/>
      <c r="U198" s="2625"/>
      <c r="V198" s="2644" t="str">
        <f t="shared" si="35"/>
        <v/>
      </c>
      <c r="W198" s="2644" t="str">
        <f t="shared" si="36"/>
        <v/>
      </c>
      <c r="X198" s="2644" t="str">
        <f t="shared" si="37"/>
        <v/>
      </c>
      <c r="Y198" s="2633"/>
      <c r="Z198" s="2671"/>
      <c r="AA198" s="2671"/>
      <c r="AB198" s="2671"/>
      <c r="AC198" s="2671"/>
      <c r="AD198" s="2507" t="str">
        <f t="shared" si="42"/>
        <v/>
      </c>
      <c r="AE198" s="2507" t="str">
        <f t="shared" si="43"/>
        <v/>
      </c>
      <c r="AF198" s="2672" t="str">
        <f t="shared" si="44"/>
        <v/>
      </c>
      <c r="AG198" s="2642"/>
      <c r="AH198" s="2599">
        <f t="shared" si="41"/>
        <v>0</v>
      </c>
      <c r="AI198" s="2700"/>
      <c r="AJ198" s="2701"/>
    </row>
    <row r="199" spans="1:36" s="1118" customFormat="1" ht="15" hidden="1" outlineLevel="1">
      <c r="A199" s="2318"/>
      <c r="B199" s="3033"/>
      <c r="C199" s="3035"/>
      <c r="D199" s="3028"/>
      <c r="E199" s="3029"/>
      <c r="F199" s="2494" t="s">
        <v>3865</v>
      </c>
      <c r="G199" s="2493"/>
      <c r="H199" s="2627"/>
      <c r="I199" s="2628"/>
      <c r="J199" s="2628"/>
      <c r="K199" s="2628"/>
      <c r="L199" s="2659"/>
      <c r="M199" s="2629"/>
      <c r="N199" s="2629"/>
      <c r="O199" s="2629"/>
      <c r="P199" s="2629"/>
      <c r="Q199" s="2617"/>
      <c r="R199" s="2629"/>
      <c r="S199" s="2629"/>
      <c r="T199" s="2626"/>
      <c r="U199" s="2625"/>
      <c r="V199" s="2644" t="str">
        <f t="shared" si="35"/>
        <v/>
      </c>
      <c r="W199" s="2644" t="str">
        <f t="shared" si="36"/>
        <v/>
      </c>
      <c r="X199" s="2644" t="str">
        <f t="shared" si="37"/>
        <v/>
      </c>
      <c r="Y199" s="2633"/>
      <c r="Z199" s="2671"/>
      <c r="AA199" s="2671"/>
      <c r="AB199" s="2671"/>
      <c r="AC199" s="2671"/>
      <c r="AD199" s="2507" t="str">
        <f t="shared" si="42"/>
        <v/>
      </c>
      <c r="AE199" s="2507" t="str">
        <f t="shared" si="43"/>
        <v/>
      </c>
      <c r="AF199" s="2672" t="str">
        <f t="shared" si="44"/>
        <v/>
      </c>
      <c r="AG199" s="2642"/>
      <c r="AH199" s="2599">
        <f t="shared" si="41"/>
        <v>0</v>
      </c>
      <c r="AI199" s="2700"/>
      <c r="AJ199" s="2701"/>
    </row>
    <row r="200" spans="1:36" s="1118" customFormat="1" ht="15" hidden="1" outlineLevel="1">
      <c r="A200" s="2318"/>
      <c r="B200" s="3033"/>
      <c r="C200" s="3035"/>
      <c r="D200" s="3028"/>
      <c r="E200" s="3029" t="s">
        <v>2946</v>
      </c>
      <c r="F200" s="2492" t="s">
        <v>3860</v>
      </c>
      <c r="G200" s="2478"/>
      <c r="H200" s="2627"/>
      <c r="I200" s="2628"/>
      <c r="J200" s="2628"/>
      <c r="K200" s="2628"/>
      <c r="L200" s="2659"/>
      <c r="M200" s="2629"/>
      <c r="N200" s="2629"/>
      <c r="O200" s="2629"/>
      <c r="P200" s="2629"/>
      <c r="Q200" s="2617"/>
      <c r="R200" s="2629"/>
      <c r="S200" s="2629"/>
      <c r="T200" s="2626"/>
      <c r="U200" s="2625"/>
      <c r="V200" s="2644" t="str">
        <f t="shared" si="35"/>
        <v/>
      </c>
      <c r="W200" s="2644" t="str">
        <f t="shared" si="36"/>
        <v/>
      </c>
      <c r="X200" s="2644" t="str">
        <f t="shared" si="37"/>
        <v/>
      </c>
      <c r="Y200" s="2633"/>
      <c r="Z200" s="2671"/>
      <c r="AA200" s="2671"/>
      <c r="AB200" s="2671"/>
      <c r="AC200" s="2671"/>
      <c r="AD200" s="2507" t="str">
        <f t="shared" si="42"/>
        <v/>
      </c>
      <c r="AE200" s="2507" t="str">
        <f t="shared" si="43"/>
        <v/>
      </c>
      <c r="AF200" s="2672" t="str">
        <f t="shared" si="44"/>
        <v/>
      </c>
      <c r="AG200" s="2642"/>
      <c r="AH200" s="2599">
        <f t="shared" si="41"/>
        <v>0</v>
      </c>
      <c r="AI200" s="2700"/>
      <c r="AJ200" s="2701"/>
    </row>
    <row r="201" spans="1:36" s="1118" customFormat="1" ht="15" hidden="1" outlineLevel="1">
      <c r="A201" s="2318"/>
      <c r="B201" s="3033"/>
      <c r="C201" s="3035"/>
      <c r="D201" s="3028"/>
      <c r="E201" s="3029"/>
      <c r="F201" s="2492" t="s">
        <v>3861</v>
      </c>
      <c r="G201" s="2478"/>
      <c r="H201" s="2627"/>
      <c r="I201" s="2628"/>
      <c r="J201" s="2628"/>
      <c r="K201" s="2628"/>
      <c r="L201" s="2659"/>
      <c r="M201" s="2629"/>
      <c r="N201" s="2629"/>
      <c r="O201" s="2629"/>
      <c r="P201" s="2629"/>
      <c r="Q201" s="2617"/>
      <c r="R201" s="2629"/>
      <c r="S201" s="2629"/>
      <c r="T201" s="2626"/>
      <c r="U201" s="2625"/>
      <c r="V201" s="2644" t="str">
        <f t="shared" si="35"/>
        <v/>
      </c>
      <c r="W201" s="2644" t="str">
        <f t="shared" si="36"/>
        <v/>
      </c>
      <c r="X201" s="2644" t="str">
        <f t="shared" si="37"/>
        <v/>
      </c>
      <c r="Y201" s="2633"/>
      <c r="Z201" s="2671"/>
      <c r="AA201" s="2671"/>
      <c r="AB201" s="2671"/>
      <c r="AC201" s="2671"/>
      <c r="AD201" s="2507" t="str">
        <f t="shared" si="42"/>
        <v/>
      </c>
      <c r="AE201" s="2507" t="str">
        <f t="shared" si="43"/>
        <v/>
      </c>
      <c r="AF201" s="2672" t="str">
        <f t="shared" si="44"/>
        <v/>
      </c>
      <c r="AG201" s="2642"/>
      <c r="AH201" s="2599">
        <f t="shared" si="41"/>
        <v>0</v>
      </c>
      <c r="AI201" s="2700"/>
      <c r="AJ201" s="2701"/>
    </row>
    <row r="202" spans="1:36" s="1118" customFormat="1" ht="15" hidden="1" outlineLevel="1">
      <c r="A202" s="2318"/>
      <c r="B202" s="3033"/>
      <c r="C202" s="3035"/>
      <c r="D202" s="3028"/>
      <c r="E202" s="3029"/>
      <c r="F202" s="2492" t="s">
        <v>3862</v>
      </c>
      <c r="G202" s="2478"/>
      <c r="H202" s="2627"/>
      <c r="I202" s="2628"/>
      <c r="J202" s="2628"/>
      <c r="K202" s="2628"/>
      <c r="L202" s="2659"/>
      <c r="M202" s="2629"/>
      <c r="N202" s="2629"/>
      <c r="O202" s="2629"/>
      <c r="P202" s="2629"/>
      <c r="Q202" s="2617"/>
      <c r="R202" s="2629"/>
      <c r="S202" s="2629"/>
      <c r="T202" s="2626"/>
      <c r="U202" s="2625"/>
      <c r="V202" s="2644" t="str">
        <f t="shared" si="35"/>
        <v/>
      </c>
      <c r="W202" s="2644" t="str">
        <f t="shared" si="36"/>
        <v/>
      </c>
      <c r="X202" s="2644" t="str">
        <f t="shared" si="37"/>
        <v/>
      </c>
      <c r="Y202" s="2633"/>
      <c r="Z202" s="2671"/>
      <c r="AA202" s="2671"/>
      <c r="AB202" s="2671"/>
      <c r="AC202" s="2671"/>
      <c r="AD202" s="2507" t="str">
        <f t="shared" si="42"/>
        <v/>
      </c>
      <c r="AE202" s="2507" t="str">
        <f t="shared" si="43"/>
        <v/>
      </c>
      <c r="AF202" s="2672" t="str">
        <f t="shared" si="44"/>
        <v/>
      </c>
      <c r="AG202" s="2642"/>
      <c r="AH202" s="2599">
        <f t="shared" si="41"/>
        <v>0</v>
      </c>
      <c r="AI202" s="2700"/>
      <c r="AJ202" s="2701"/>
    </row>
    <row r="203" spans="1:36" s="1118" customFormat="1" ht="15" hidden="1" outlineLevel="1">
      <c r="A203" s="2318"/>
      <c r="B203" s="3033"/>
      <c r="C203" s="3035"/>
      <c r="D203" s="3028"/>
      <c r="E203" s="3029"/>
      <c r="F203" s="2492" t="s">
        <v>3863</v>
      </c>
      <c r="G203" s="2478"/>
      <c r="H203" s="2627"/>
      <c r="I203" s="2628"/>
      <c r="J203" s="2628"/>
      <c r="K203" s="2628"/>
      <c r="L203" s="2659"/>
      <c r="M203" s="2629"/>
      <c r="N203" s="2629"/>
      <c r="O203" s="2629"/>
      <c r="P203" s="2629"/>
      <c r="Q203" s="2617"/>
      <c r="R203" s="2629"/>
      <c r="S203" s="2629"/>
      <c r="T203" s="2626"/>
      <c r="U203" s="2625"/>
      <c r="V203" s="2644" t="str">
        <f t="shared" si="35"/>
        <v/>
      </c>
      <c r="W203" s="2644" t="str">
        <f t="shared" si="36"/>
        <v/>
      </c>
      <c r="X203" s="2644" t="str">
        <f t="shared" si="37"/>
        <v/>
      </c>
      <c r="Y203" s="2633"/>
      <c r="Z203" s="2671"/>
      <c r="AA203" s="2671"/>
      <c r="AB203" s="2671"/>
      <c r="AC203" s="2671"/>
      <c r="AD203" s="2507" t="str">
        <f t="shared" si="42"/>
        <v/>
      </c>
      <c r="AE203" s="2507" t="str">
        <f t="shared" si="43"/>
        <v/>
      </c>
      <c r="AF203" s="2672" t="str">
        <f t="shared" si="44"/>
        <v/>
      </c>
      <c r="AG203" s="2642"/>
      <c r="AH203" s="2599">
        <f t="shared" si="41"/>
        <v>0</v>
      </c>
      <c r="AI203" s="2700"/>
      <c r="AJ203" s="2701"/>
    </row>
    <row r="204" spans="1:36" s="1118" customFormat="1" ht="15" hidden="1" outlineLevel="1">
      <c r="A204" s="2318"/>
      <c r="B204" s="3033"/>
      <c r="C204" s="3035"/>
      <c r="D204" s="3028"/>
      <c r="E204" s="3029"/>
      <c r="F204" s="2494" t="s">
        <v>3864</v>
      </c>
      <c r="G204" s="2493"/>
      <c r="H204" s="2627"/>
      <c r="I204" s="2628"/>
      <c r="J204" s="2628"/>
      <c r="K204" s="2628"/>
      <c r="L204" s="2659"/>
      <c r="M204" s="2629"/>
      <c r="N204" s="2629"/>
      <c r="O204" s="2629"/>
      <c r="P204" s="2629"/>
      <c r="Q204" s="2617"/>
      <c r="R204" s="2629"/>
      <c r="S204" s="2629"/>
      <c r="T204" s="2626"/>
      <c r="U204" s="2625"/>
      <c r="V204" s="2644" t="str">
        <f t="shared" si="35"/>
        <v/>
      </c>
      <c r="W204" s="2644" t="str">
        <f t="shared" si="36"/>
        <v/>
      </c>
      <c r="X204" s="2644" t="str">
        <f t="shared" si="37"/>
        <v/>
      </c>
      <c r="Y204" s="2633"/>
      <c r="Z204" s="2671"/>
      <c r="AA204" s="2671"/>
      <c r="AB204" s="2671"/>
      <c r="AC204" s="2671"/>
      <c r="AD204" s="2507" t="str">
        <f t="shared" si="42"/>
        <v/>
      </c>
      <c r="AE204" s="2507" t="str">
        <f t="shared" si="43"/>
        <v/>
      </c>
      <c r="AF204" s="2672" t="str">
        <f t="shared" si="44"/>
        <v/>
      </c>
      <c r="AG204" s="2642"/>
      <c r="AH204" s="2599">
        <f t="shared" si="41"/>
        <v>0</v>
      </c>
      <c r="AI204" s="2700"/>
      <c r="AJ204" s="2701"/>
    </row>
    <row r="205" spans="1:36" s="1118" customFormat="1" ht="15" hidden="1" outlineLevel="1">
      <c r="A205" s="2318"/>
      <c r="B205" s="3033"/>
      <c r="C205" s="3035"/>
      <c r="D205" s="3028"/>
      <c r="E205" s="3029"/>
      <c r="F205" s="2494" t="s">
        <v>3865</v>
      </c>
      <c r="G205" s="2493"/>
      <c r="H205" s="2627"/>
      <c r="I205" s="2628"/>
      <c r="J205" s="2628"/>
      <c r="K205" s="2628"/>
      <c r="L205" s="2659"/>
      <c r="M205" s="2629"/>
      <c r="N205" s="2629"/>
      <c r="O205" s="2629"/>
      <c r="P205" s="2629"/>
      <c r="Q205" s="2617"/>
      <c r="R205" s="2629"/>
      <c r="S205" s="2629"/>
      <c r="T205" s="2626"/>
      <c r="U205" s="2625"/>
      <c r="V205" s="2644" t="str">
        <f t="shared" si="35"/>
        <v/>
      </c>
      <c r="W205" s="2644" t="str">
        <f t="shared" si="36"/>
        <v/>
      </c>
      <c r="X205" s="2644" t="str">
        <f t="shared" si="37"/>
        <v/>
      </c>
      <c r="Y205" s="2633"/>
      <c r="Z205" s="2671"/>
      <c r="AA205" s="2671"/>
      <c r="AB205" s="2671"/>
      <c r="AC205" s="2671"/>
      <c r="AD205" s="2507" t="str">
        <f t="shared" si="42"/>
        <v/>
      </c>
      <c r="AE205" s="2507" t="str">
        <f t="shared" si="43"/>
        <v/>
      </c>
      <c r="AF205" s="2672" t="str">
        <f t="shared" si="44"/>
        <v/>
      </c>
      <c r="AG205" s="2642"/>
      <c r="AH205" s="2599">
        <f t="shared" si="41"/>
        <v>0</v>
      </c>
      <c r="AI205" s="2700"/>
      <c r="AJ205" s="2701"/>
    </row>
    <row r="206" spans="1:36" s="1118" customFormat="1" ht="15.75" hidden="1" outlineLevel="1" thickBot="1">
      <c r="A206" s="2318"/>
      <c r="B206" s="3023" t="s">
        <v>2948</v>
      </c>
      <c r="C206" s="3026" t="s">
        <v>3859</v>
      </c>
      <c r="D206" s="3028" t="s">
        <v>2949</v>
      </c>
      <c r="E206" s="3029" t="s">
        <v>2950</v>
      </c>
      <c r="F206" s="2492" t="s">
        <v>3860</v>
      </c>
      <c r="G206" s="2478"/>
      <c r="H206" s="2627"/>
      <c r="I206" s="2628"/>
      <c r="J206" s="2628"/>
      <c r="K206" s="2628"/>
      <c r="L206" s="2659"/>
      <c r="M206" s="2629"/>
      <c r="N206" s="2629"/>
      <c r="O206" s="2629"/>
      <c r="P206" s="2629"/>
      <c r="Q206" s="2617"/>
      <c r="R206" s="2629"/>
      <c r="S206" s="2629"/>
      <c r="T206" s="2626"/>
      <c r="U206" s="2625"/>
      <c r="V206" s="2644" t="str">
        <f t="shared" si="35"/>
        <v/>
      </c>
      <c r="W206" s="2644" t="str">
        <f t="shared" si="36"/>
        <v/>
      </c>
      <c r="X206" s="2644" t="str">
        <f t="shared" si="37"/>
        <v/>
      </c>
      <c r="Y206" s="2633"/>
      <c r="Z206" s="2671"/>
      <c r="AA206" s="2671"/>
      <c r="AB206" s="2671"/>
      <c r="AC206" s="2671"/>
      <c r="AD206" s="2507" t="str">
        <f t="shared" si="42"/>
        <v/>
      </c>
      <c r="AE206" s="2507" t="str">
        <f t="shared" si="43"/>
        <v/>
      </c>
      <c r="AF206" s="2672" t="str">
        <f t="shared" si="44"/>
        <v/>
      </c>
      <c r="AG206" s="2642"/>
      <c r="AH206" s="2599">
        <f t="shared" si="41"/>
        <v>0</v>
      </c>
      <c r="AI206" s="2700"/>
      <c r="AJ206" s="2701"/>
    </row>
    <row r="207" spans="1:36" s="1118" customFormat="1" ht="15.75" hidden="1" outlineLevel="1" thickBot="1">
      <c r="A207" s="2318"/>
      <c r="B207" s="3024"/>
      <c r="C207" s="3027"/>
      <c r="D207" s="3028"/>
      <c r="E207" s="3029"/>
      <c r="F207" s="2492" t="s">
        <v>3861</v>
      </c>
      <c r="G207" s="2478"/>
      <c r="H207" s="2627"/>
      <c r="I207" s="2628"/>
      <c r="J207" s="2628"/>
      <c r="K207" s="2628"/>
      <c r="L207" s="2659"/>
      <c r="M207" s="2629"/>
      <c r="N207" s="2629"/>
      <c r="O207" s="2629"/>
      <c r="P207" s="2629"/>
      <c r="Q207" s="2617"/>
      <c r="R207" s="2629"/>
      <c r="S207" s="2629"/>
      <c r="T207" s="2626"/>
      <c r="U207" s="2625"/>
      <c r="V207" s="2644" t="str">
        <f t="shared" si="35"/>
        <v/>
      </c>
      <c r="W207" s="2644" t="str">
        <f t="shared" si="36"/>
        <v/>
      </c>
      <c r="X207" s="2644" t="str">
        <f t="shared" si="37"/>
        <v/>
      </c>
      <c r="Y207" s="2633"/>
      <c r="Z207" s="2671"/>
      <c r="AA207" s="2671"/>
      <c r="AB207" s="2671"/>
      <c r="AC207" s="2671"/>
      <c r="AD207" s="2507" t="str">
        <f t="shared" si="42"/>
        <v/>
      </c>
      <c r="AE207" s="2507" t="str">
        <f t="shared" si="43"/>
        <v/>
      </c>
      <c r="AF207" s="2672" t="str">
        <f t="shared" si="44"/>
        <v/>
      </c>
      <c r="AG207" s="2642"/>
      <c r="AH207" s="2599">
        <f t="shared" si="41"/>
        <v>0</v>
      </c>
      <c r="AI207" s="2700"/>
      <c r="AJ207" s="2701"/>
    </row>
    <row r="208" spans="1:36" s="1118" customFormat="1" ht="15.75" hidden="1" outlineLevel="1" thickBot="1">
      <c r="A208" s="2318"/>
      <c r="B208" s="3024"/>
      <c r="C208" s="3027"/>
      <c r="D208" s="3028"/>
      <c r="E208" s="3029"/>
      <c r="F208" s="2492" t="s">
        <v>3862</v>
      </c>
      <c r="G208" s="2478"/>
      <c r="H208" s="2627"/>
      <c r="I208" s="2628"/>
      <c r="J208" s="2628"/>
      <c r="K208" s="2628"/>
      <c r="L208" s="2659"/>
      <c r="M208" s="2629"/>
      <c r="N208" s="2629"/>
      <c r="O208" s="2629"/>
      <c r="P208" s="2629"/>
      <c r="Q208" s="2617"/>
      <c r="R208" s="2629"/>
      <c r="S208" s="2629"/>
      <c r="T208" s="2626"/>
      <c r="U208" s="2625"/>
      <c r="V208" s="2644" t="str">
        <f t="shared" si="35"/>
        <v/>
      </c>
      <c r="W208" s="2644" t="str">
        <f t="shared" si="36"/>
        <v/>
      </c>
      <c r="X208" s="2644" t="str">
        <f t="shared" si="37"/>
        <v/>
      </c>
      <c r="Y208" s="2633"/>
      <c r="Z208" s="2671"/>
      <c r="AA208" s="2671"/>
      <c r="AB208" s="2671"/>
      <c r="AC208" s="2671"/>
      <c r="AD208" s="2507" t="str">
        <f t="shared" si="42"/>
        <v/>
      </c>
      <c r="AE208" s="2507" t="str">
        <f t="shared" si="43"/>
        <v/>
      </c>
      <c r="AF208" s="2672" t="str">
        <f t="shared" si="44"/>
        <v/>
      </c>
      <c r="AG208" s="2642"/>
      <c r="AH208" s="2599">
        <f t="shared" si="41"/>
        <v>0</v>
      </c>
      <c r="AI208" s="2700"/>
      <c r="AJ208" s="2701"/>
    </row>
    <row r="209" spans="1:36" s="1118" customFormat="1" ht="15.75" hidden="1" outlineLevel="1" thickBot="1">
      <c r="A209" s="2318"/>
      <c r="B209" s="3024"/>
      <c r="C209" s="3027"/>
      <c r="D209" s="3028"/>
      <c r="E209" s="3029"/>
      <c r="F209" s="2492" t="s">
        <v>3863</v>
      </c>
      <c r="G209" s="2478"/>
      <c r="H209" s="2627"/>
      <c r="I209" s="2628"/>
      <c r="J209" s="2628"/>
      <c r="K209" s="2628"/>
      <c r="L209" s="2659"/>
      <c r="M209" s="2629"/>
      <c r="N209" s="2629"/>
      <c r="O209" s="2629"/>
      <c r="P209" s="2629"/>
      <c r="Q209" s="2617"/>
      <c r="R209" s="2629"/>
      <c r="S209" s="2629"/>
      <c r="T209" s="2626"/>
      <c r="U209" s="2625"/>
      <c r="V209" s="2644" t="str">
        <f t="shared" si="35"/>
        <v/>
      </c>
      <c r="W209" s="2644" t="str">
        <f t="shared" si="36"/>
        <v/>
      </c>
      <c r="X209" s="2644" t="str">
        <f t="shared" si="37"/>
        <v/>
      </c>
      <c r="Y209" s="2633"/>
      <c r="Z209" s="2671"/>
      <c r="AA209" s="2671"/>
      <c r="AB209" s="2671"/>
      <c r="AC209" s="2671"/>
      <c r="AD209" s="2507" t="str">
        <f t="shared" si="42"/>
        <v/>
      </c>
      <c r="AE209" s="2507" t="str">
        <f t="shared" si="43"/>
        <v/>
      </c>
      <c r="AF209" s="2672" t="str">
        <f t="shared" si="44"/>
        <v/>
      </c>
      <c r="AG209" s="2642"/>
      <c r="AH209" s="2599">
        <f t="shared" si="41"/>
        <v>0</v>
      </c>
      <c r="AI209" s="2700"/>
      <c r="AJ209" s="2701"/>
    </row>
    <row r="210" spans="1:36" s="1118" customFormat="1" ht="15.75" hidden="1" outlineLevel="1" thickBot="1">
      <c r="A210" s="2318"/>
      <c r="B210" s="3024"/>
      <c r="C210" s="3027"/>
      <c r="D210" s="3028"/>
      <c r="E210" s="3029"/>
      <c r="F210" s="2494" t="s">
        <v>3864</v>
      </c>
      <c r="G210" s="2493"/>
      <c r="H210" s="2627"/>
      <c r="I210" s="2628"/>
      <c r="J210" s="2628"/>
      <c r="K210" s="2628"/>
      <c r="L210" s="2659"/>
      <c r="M210" s="2629"/>
      <c r="N210" s="2629"/>
      <c r="O210" s="2629"/>
      <c r="P210" s="2629"/>
      <c r="Q210" s="2617"/>
      <c r="R210" s="2629"/>
      <c r="S210" s="2629"/>
      <c r="T210" s="2626"/>
      <c r="U210" s="2625"/>
      <c r="V210" s="2644" t="str">
        <f t="shared" si="35"/>
        <v/>
      </c>
      <c r="W210" s="2644" t="str">
        <f t="shared" si="36"/>
        <v/>
      </c>
      <c r="X210" s="2644" t="str">
        <f t="shared" si="37"/>
        <v/>
      </c>
      <c r="Y210" s="2633"/>
      <c r="Z210" s="2671"/>
      <c r="AA210" s="2671"/>
      <c r="AB210" s="2671"/>
      <c r="AC210" s="2671"/>
      <c r="AD210" s="2507" t="str">
        <f t="shared" si="42"/>
        <v/>
      </c>
      <c r="AE210" s="2507" t="str">
        <f t="shared" si="43"/>
        <v/>
      </c>
      <c r="AF210" s="2672" t="str">
        <f t="shared" si="44"/>
        <v/>
      </c>
      <c r="AG210" s="2642"/>
      <c r="AH210" s="2599">
        <f t="shared" si="41"/>
        <v>0</v>
      </c>
      <c r="AI210" s="2700"/>
      <c r="AJ210" s="2701"/>
    </row>
    <row r="211" spans="1:36" s="1118" customFormat="1" ht="15.75" hidden="1" outlineLevel="1" thickBot="1">
      <c r="A211" s="2318"/>
      <c r="B211" s="3024"/>
      <c r="C211" s="3027"/>
      <c r="D211" s="3028"/>
      <c r="E211" s="3029"/>
      <c r="F211" s="2494" t="s">
        <v>3865</v>
      </c>
      <c r="G211" s="2493"/>
      <c r="H211" s="2627"/>
      <c r="I211" s="2628"/>
      <c r="J211" s="2628"/>
      <c r="K211" s="2628"/>
      <c r="L211" s="2659"/>
      <c r="M211" s="2629"/>
      <c r="N211" s="2629"/>
      <c r="O211" s="2629"/>
      <c r="P211" s="2629"/>
      <c r="Q211" s="2617"/>
      <c r="R211" s="2629"/>
      <c r="S211" s="2629"/>
      <c r="T211" s="2626"/>
      <c r="U211" s="2625"/>
      <c r="V211" s="2644" t="str">
        <f t="shared" si="35"/>
        <v/>
      </c>
      <c r="W211" s="2644" t="str">
        <f t="shared" si="36"/>
        <v/>
      </c>
      <c r="X211" s="2644" t="str">
        <f t="shared" si="37"/>
        <v/>
      </c>
      <c r="Y211" s="2633"/>
      <c r="Z211" s="2671"/>
      <c r="AA211" s="2671"/>
      <c r="AB211" s="2671"/>
      <c r="AC211" s="2671"/>
      <c r="AD211" s="2507" t="str">
        <f t="shared" si="42"/>
        <v/>
      </c>
      <c r="AE211" s="2507" t="str">
        <f t="shared" si="43"/>
        <v/>
      </c>
      <c r="AF211" s="2672" t="str">
        <f t="shared" si="44"/>
        <v/>
      </c>
      <c r="AG211" s="2642"/>
      <c r="AH211" s="2599">
        <f t="shared" si="41"/>
        <v>0</v>
      </c>
      <c r="AI211" s="2700"/>
      <c r="AJ211" s="2701"/>
    </row>
    <row r="212" spans="1:36" s="1118" customFormat="1" ht="15.75" hidden="1" outlineLevel="1" thickBot="1">
      <c r="A212" s="2318"/>
      <c r="B212" s="3024"/>
      <c r="C212" s="3027"/>
      <c r="D212" s="3028"/>
      <c r="E212" s="3029" t="s">
        <v>2946</v>
      </c>
      <c r="F212" s="2492" t="s">
        <v>3860</v>
      </c>
      <c r="G212" s="2478"/>
      <c r="H212" s="2627"/>
      <c r="I212" s="2628"/>
      <c r="J212" s="2628"/>
      <c r="K212" s="2628"/>
      <c r="L212" s="2660"/>
      <c r="M212" s="2627"/>
      <c r="N212" s="2628"/>
      <c r="O212" s="2628"/>
      <c r="P212" s="2629"/>
      <c r="Q212" s="2617"/>
      <c r="R212" s="2630"/>
      <c r="S212" s="2631"/>
      <c r="T212" s="2631"/>
      <c r="U212" s="2625"/>
      <c r="V212" s="2644" t="str">
        <f t="shared" si="35"/>
        <v/>
      </c>
      <c r="W212" s="2644" t="str">
        <f t="shared" si="36"/>
        <v/>
      </c>
      <c r="X212" s="2644" t="str">
        <f t="shared" si="37"/>
        <v/>
      </c>
      <c r="Y212" s="2633"/>
      <c r="Z212" s="2671"/>
      <c r="AA212" s="2671"/>
      <c r="AB212" s="2671"/>
      <c r="AC212" s="2671"/>
      <c r="AD212" s="2507" t="str">
        <f t="shared" si="42"/>
        <v/>
      </c>
      <c r="AE212" s="2507" t="str">
        <f t="shared" si="43"/>
        <v/>
      </c>
      <c r="AF212" s="2672" t="str">
        <f t="shared" si="44"/>
        <v/>
      </c>
      <c r="AG212" s="2642"/>
      <c r="AH212" s="2599">
        <f t="shared" si="41"/>
        <v>0</v>
      </c>
      <c r="AI212" s="2700"/>
      <c r="AJ212" s="2701"/>
    </row>
    <row r="213" spans="1:36" s="1118" customFormat="1" ht="15.75" collapsed="1" thickBot="1">
      <c r="A213" s="2318"/>
      <c r="B213" s="3024"/>
      <c r="C213" s="3027"/>
      <c r="D213" s="3028"/>
      <c r="E213" s="3029"/>
      <c r="F213" s="2492" t="s">
        <v>3861</v>
      </c>
      <c r="G213" s="2478"/>
      <c r="H213" s="2627"/>
      <c r="I213" s="2628">
        <f>'(стр.16)'!F66*1000</f>
        <v>474.00000000000006</v>
      </c>
      <c r="J213" s="2628"/>
      <c r="K213" s="2628"/>
      <c r="L213" s="2621">
        <f t="shared" ref="L213:L219" si="45">SUM(H213:K213)</f>
        <v>474.00000000000006</v>
      </c>
      <c r="M213" s="2627"/>
      <c r="N213" s="2628">
        <f>'(стр.16)'!G66</f>
        <v>1488</v>
      </c>
      <c r="O213" s="2629"/>
      <c r="P213" s="2629"/>
      <c r="Q213" s="2617">
        <f t="shared" si="39"/>
        <v>1488</v>
      </c>
      <c r="R213" s="2630"/>
      <c r="S213" s="2631">
        <f>'(стр.16)'!P66/1000</f>
        <v>464.16136</v>
      </c>
      <c r="T213" s="2626"/>
      <c r="U213" s="2625"/>
      <c r="V213" s="2644" t="str">
        <f t="shared" si="35"/>
        <v/>
      </c>
      <c r="W213" s="2644">
        <f>IFERROR(S213*1000/(I213/1000),"")</f>
        <v>979243.37552742602</v>
      </c>
      <c r="X213" s="2644" t="str">
        <f t="shared" si="37"/>
        <v/>
      </c>
      <c r="Y213" s="2633"/>
      <c r="Z213" s="2645">
        <f>$Z$13</f>
        <v>1.0528</v>
      </c>
      <c r="AA213" s="2645">
        <f>$AA$13</f>
        <v>1.0589</v>
      </c>
      <c r="AB213" s="2645">
        <f>$AB$13</f>
        <v>1.0507936887282501</v>
      </c>
      <c r="AC213" s="2645">
        <f>$AC$13</f>
        <v>1.04657781587849</v>
      </c>
      <c r="AD213" s="2507" t="str">
        <f t="shared" si="42"/>
        <v/>
      </c>
      <c r="AE213" s="2507">
        <f t="shared" si="43"/>
        <v>1140340.5583232434</v>
      </c>
      <c r="AF213" s="2672" t="str">
        <f t="shared" si="44"/>
        <v/>
      </c>
      <c r="AG213" s="2642"/>
      <c r="AH213" s="2599">
        <f t="shared" si="41"/>
        <v>1140340.5583232434</v>
      </c>
      <c r="AI213" s="2700">
        <f>AH213/1</f>
        <v>1140340.5583232434</v>
      </c>
      <c r="AJ213" s="2702">
        <f t="shared" ref="AJ213" si="46">IFERROR((AI213*L213/1000)/Q213,"")</f>
        <v>363.25364559490413</v>
      </c>
    </row>
    <row r="214" spans="1:36" s="1118" customFormat="1" ht="15.75" hidden="1" outlineLevel="1" thickBot="1">
      <c r="A214" s="2318"/>
      <c r="B214" s="3024"/>
      <c r="C214" s="3027"/>
      <c r="D214" s="3028"/>
      <c r="E214" s="3029"/>
      <c r="F214" s="2492" t="s">
        <v>3862</v>
      </c>
      <c r="G214" s="2478"/>
      <c r="H214" s="2627"/>
      <c r="I214" s="2628"/>
      <c r="J214" s="2628"/>
      <c r="K214" s="2628"/>
      <c r="L214" s="2659"/>
      <c r="M214" s="2629"/>
      <c r="N214" s="2629"/>
      <c r="O214" s="2629"/>
      <c r="P214" s="2629"/>
      <c r="Q214" s="2617"/>
      <c r="R214" s="2629"/>
      <c r="S214" s="2629"/>
      <c r="T214" s="2626"/>
      <c r="U214" s="2625"/>
      <c r="V214" s="2644" t="str">
        <f t="shared" si="35"/>
        <v/>
      </c>
      <c r="W214" s="2644" t="str">
        <f t="shared" si="36"/>
        <v/>
      </c>
      <c r="X214" s="2644" t="str">
        <f t="shared" si="37"/>
        <v/>
      </c>
      <c r="Y214" s="2633"/>
      <c r="Z214" s="2671"/>
      <c r="AA214" s="2671"/>
      <c r="AB214" s="2671"/>
      <c r="AC214" s="2671"/>
      <c r="AD214" s="2507" t="str">
        <f t="shared" si="42"/>
        <v/>
      </c>
      <c r="AE214" s="2507" t="str">
        <f t="shared" si="43"/>
        <v/>
      </c>
      <c r="AF214" s="2672" t="str">
        <f t="shared" si="44"/>
        <v/>
      </c>
      <c r="AG214" s="2642"/>
      <c r="AH214" s="2599">
        <f t="shared" si="41"/>
        <v>0</v>
      </c>
      <c r="AI214" s="2700"/>
      <c r="AJ214" s="2701"/>
    </row>
    <row r="215" spans="1:36" s="1118" customFormat="1" ht="15.75" hidden="1" outlineLevel="1" thickBot="1">
      <c r="A215" s="2318"/>
      <c r="B215" s="3024"/>
      <c r="C215" s="3027"/>
      <c r="D215" s="3028"/>
      <c r="E215" s="3029"/>
      <c r="F215" s="2492" t="s">
        <v>3863</v>
      </c>
      <c r="G215" s="2478"/>
      <c r="H215" s="2627"/>
      <c r="I215" s="2628"/>
      <c r="J215" s="2628"/>
      <c r="K215" s="2628"/>
      <c r="L215" s="2659"/>
      <c r="M215" s="2629"/>
      <c r="N215" s="2629"/>
      <c r="O215" s="2629"/>
      <c r="P215" s="2629"/>
      <c r="Q215" s="2617"/>
      <c r="R215" s="2629"/>
      <c r="S215" s="2629"/>
      <c r="T215" s="2626"/>
      <c r="U215" s="2625"/>
      <c r="V215" s="2644" t="str">
        <f t="shared" si="35"/>
        <v/>
      </c>
      <c r="W215" s="2644" t="str">
        <f t="shared" si="36"/>
        <v/>
      </c>
      <c r="X215" s="2644" t="str">
        <f t="shared" si="37"/>
        <v/>
      </c>
      <c r="Y215" s="2633"/>
      <c r="Z215" s="2671"/>
      <c r="AA215" s="2671"/>
      <c r="AB215" s="2671"/>
      <c r="AC215" s="2671"/>
      <c r="AD215" s="2507" t="str">
        <f t="shared" si="42"/>
        <v/>
      </c>
      <c r="AE215" s="2507" t="str">
        <f t="shared" si="43"/>
        <v/>
      </c>
      <c r="AF215" s="2672" t="str">
        <f t="shared" si="44"/>
        <v/>
      </c>
      <c r="AG215" s="2642"/>
      <c r="AH215" s="2599">
        <f t="shared" si="41"/>
        <v>0</v>
      </c>
      <c r="AI215" s="2700"/>
      <c r="AJ215" s="2701"/>
    </row>
    <row r="216" spans="1:36" s="1118" customFormat="1" ht="15.75" hidden="1" outlineLevel="1" thickBot="1">
      <c r="A216" s="2318"/>
      <c r="B216" s="3024"/>
      <c r="C216" s="3027"/>
      <c r="D216" s="3028"/>
      <c r="E216" s="3029"/>
      <c r="F216" s="2494" t="s">
        <v>3864</v>
      </c>
      <c r="G216" s="2493"/>
      <c r="H216" s="2627"/>
      <c r="I216" s="2628"/>
      <c r="J216" s="2628"/>
      <c r="K216" s="2628"/>
      <c r="L216" s="2659"/>
      <c r="M216" s="2629"/>
      <c r="N216" s="2629"/>
      <c r="O216" s="2629"/>
      <c r="P216" s="2629"/>
      <c r="Q216" s="2617"/>
      <c r="R216" s="2629"/>
      <c r="S216" s="2629"/>
      <c r="T216" s="2626"/>
      <c r="U216" s="2625"/>
      <c r="V216" s="2644" t="str">
        <f t="shared" si="35"/>
        <v/>
      </c>
      <c r="W216" s="2644" t="str">
        <f t="shared" si="36"/>
        <v/>
      </c>
      <c r="X216" s="2644" t="str">
        <f t="shared" si="37"/>
        <v/>
      </c>
      <c r="Y216" s="2633"/>
      <c r="Z216" s="2671"/>
      <c r="AA216" s="2671"/>
      <c r="AB216" s="2671"/>
      <c r="AC216" s="2671"/>
      <c r="AD216" s="2507" t="str">
        <f t="shared" si="42"/>
        <v/>
      </c>
      <c r="AE216" s="2507" t="str">
        <f t="shared" si="43"/>
        <v/>
      </c>
      <c r="AF216" s="2672" t="str">
        <f t="shared" si="44"/>
        <v/>
      </c>
      <c r="AG216" s="2642"/>
      <c r="AH216" s="2599">
        <f t="shared" si="41"/>
        <v>0</v>
      </c>
      <c r="AI216" s="2700"/>
      <c r="AJ216" s="2701"/>
    </row>
    <row r="217" spans="1:36" s="1118" customFormat="1" ht="15.75" hidden="1" outlineLevel="1" thickBot="1">
      <c r="A217" s="2318"/>
      <c r="B217" s="3024"/>
      <c r="C217" s="3027"/>
      <c r="D217" s="3028"/>
      <c r="E217" s="3029"/>
      <c r="F217" s="2494" t="s">
        <v>3865</v>
      </c>
      <c r="G217" s="2493"/>
      <c r="H217" s="2627"/>
      <c r="I217" s="2628"/>
      <c r="J217" s="2628"/>
      <c r="K217" s="2628"/>
      <c r="L217" s="2659"/>
      <c r="M217" s="2629"/>
      <c r="N217" s="2629"/>
      <c r="O217" s="2629"/>
      <c r="P217" s="2629"/>
      <c r="Q217" s="2617"/>
      <c r="R217" s="2629"/>
      <c r="S217" s="2629"/>
      <c r="T217" s="2626"/>
      <c r="U217" s="2625"/>
      <c r="V217" s="2644" t="str">
        <f t="shared" si="35"/>
        <v/>
      </c>
      <c r="W217" s="2644" t="str">
        <f t="shared" si="36"/>
        <v/>
      </c>
      <c r="X217" s="2644" t="str">
        <f t="shared" si="37"/>
        <v/>
      </c>
      <c r="Y217" s="2633"/>
      <c r="Z217" s="2671"/>
      <c r="AA217" s="2671"/>
      <c r="AB217" s="2671"/>
      <c r="AC217" s="2671"/>
      <c r="AD217" s="2507" t="str">
        <f t="shared" si="42"/>
        <v/>
      </c>
      <c r="AE217" s="2507" t="str">
        <f t="shared" si="43"/>
        <v/>
      </c>
      <c r="AF217" s="2672" t="str">
        <f t="shared" si="44"/>
        <v/>
      </c>
      <c r="AG217" s="2642"/>
      <c r="AH217" s="2599">
        <f t="shared" si="41"/>
        <v>0</v>
      </c>
      <c r="AI217" s="2700"/>
      <c r="AJ217" s="2701"/>
    </row>
    <row r="218" spans="1:36" s="1118" customFormat="1" ht="15.75" collapsed="1" thickBot="1">
      <c r="A218" s="2318"/>
      <c r="B218" s="3024"/>
      <c r="C218" s="3027"/>
      <c r="D218" s="3028" t="s">
        <v>2954</v>
      </c>
      <c r="E218" s="3029" t="s">
        <v>2950</v>
      </c>
      <c r="F218" s="2492" t="s">
        <v>3860</v>
      </c>
      <c r="G218" s="2478"/>
      <c r="H218" s="2627">
        <f>' (стр.15)'!F97*1000</f>
        <v>339.99999999999994</v>
      </c>
      <c r="I218" s="2628">
        <f>'(стр.16)'!F69*1000</f>
        <v>115</v>
      </c>
      <c r="J218" s="2628">
        <f>'(Стр.17)'!F63*1000</f>
        <v>623</v>
      </c>
      <c r="K218" s="2628"/>
      <c r="L218" s="2621">
        <f t="shared" si="45"/>
        <v>1078</v>
      </c>
      <c r="M218" s="2627">
        <f>' (стр.15)'!G97</f>
        <v>33</v>
      </c>
      <c r="N218" s="2628">
        <f>'(стр.16)'!G69</f>
        <v>10</v>
      </c>
      <c r="O218" s="2628">
        <f>'(Стр.17)'!G63</f>
        <v>32</v>
      </c>
      <c r="P218" s="2629"/>
      <c r="Q218" s="2617">
        <f t="shared" si="39"/>
        <v>75</v>
      </c>
      <c r="R218" s="2630">
        <f>' (стр.15)'!P97/1000</f>
        <v>240.00800000000001</v>
      </c>
      <c r="S218" s="2631">
        <f>'(стр.16)'!P69/1000</f>
        <v>80.771590000000003</v>
      </c>
      <c r="T218" s="2631">
        <f>'(Стр.17)'!P63/1000</f>
        <v>544.3526599999999</v>
      </c>
      <c r="U218" s="2625"/>
      <c r="V218" s="2644">
        <f t="shared" si="35"/>
        <v>705905.8823529412</v>
      </c>
      <c r="W218" s="2644">
        <f t="shared" si="36"/>
        <v>702361.65217391297</v>
      </c>
      <c r="X218" s="2644">
        <f t="shared" si="37"/>
        <v>873760.28892455844</v>
      </c>
      <c r="Y218" s="2633"/>
      <c r="Z218" s="2645">
        <f>$Z$13</f>
        <v>1.0528</v>
      </c>
      <c r="AA218" s="2645">
        <f>$AA$13</f>
        <v>1.0589</v>
      </c>
      <c r="AB218" s="2645">
        <f>$AB$13</f>
        <v>1.0507936887282501</v>
      </c>
      <c r="AC218" s="2645">
        <f>$AC$13</f>
        <v>1.04657781587849</v>
      </c>
      <c r="AD218" s="2507">
        <f>IFERROR(V218*$Z$218*$AA$218*$AB$218*$AC$218,"")</f>
        <v>865439.28637993289</v>
      </c>
      <c r="AE218" s="2507">
        <f>IFERROR(W218*$AA$218*$AB$218*$AC$218,"")</f>
        <v>817908.49813351978</v>
      </c>
      <c r="AF218" s="2672">
        <f>IFERROR(X218*$AB$218*$AC$218,"")</f>
        <v>960906.83663725853</v>
      </c>
      <c r="AG218" s="2642"/>
      <c r="AH218" s="2599">
        <f>SUM(AD218:AF218)</f>
        <v>2644254.6211507111</v>
      </c>
      <c r="AI218" s="2700">
        <f>AH218/3</f>
        <v>881418.20705023699</v>
      </c>
      <c r="AJ218" s="2701">
        <f t="shared" ref="AJ218" si="47">IFERROR((AI218*L218/1000)/Q218,"")</f>
        <v>12668.917696002072</v>
      </c>
    </row>
    <row r="219" spans="1:36" s="1118" customFormat="1" ht="15.75" thickBot="1">
      <c r="A219" s="2318"/>
      <c r="B219" s="3024"/>
      <c r="C219" s="3027"/>
      <c r="D219" s="3028"/>
      <c r="E219" s="3029"/>
      <c r="F219" s="2492" t="s">
        <v>3861</v>
      </c>
      <c r="G219" s="2478"/>
      <c r="H219" s="2627"/>
      <c r="I219" s="2628">
        <f>'(стр.16)'!F72*1000</f>
        <v>2952</v>
      </c>
      <c r="J219" s="2628"/>
      <c r="K219" s="2628"/>
      <c r="L219" s="2621">
        <f t="shared" si="45"/>
        <v>2952</v>
      </c>
      <c r="M219" s="2629"/>
      <c r="N219" s="2628">
        <f>'(стр.16)'!G72</f>
        <v>1488</v>
      </c>
      <c r="O219" s="2629"/>
      <c r="P219" s="2629"/>
      <c r="Q219" s="2617">
        <f t="shared" si="39"/>
        <v>1488</v>
      </c>
      <c r="R219" s="2629"/>
      <c r="S219" s="2631">
        <f>'(стр.16)'!P72/1000</f>
        <v>2890.72642</v>
      </c>
      <c r="T219" s="2626"/>
      <c r="U219" s="2625"/>
      <c r="V219" s="2644" t="str">
        <f t="shared" si="35"/>
        <v/>
      </c>
      <c r="W219" s="2644">
        <f t="shared" si="36"/>
        <v>979243.36720867211</v>
      </c>
      <c r="X219" s="2644" t="str">
        <f t="shared" si="37"/>
        <v/>
      </c>
      <c r="Y219" s="2633"/>
      <c r="Z219" s="2645">
        <f>$Z$13</f>
        <v>1.0528</v>
      </c>
      <c r="AA219" s="2645">
        <f>$AA$13</f>
        <v>1.0589</v>
      </c>
      <c r="AB219" s="2645">
        <f>$AB$13</f>
        <v>1.0507936887282501</v>
      </c>
      <c r="AC219" s="2645">
        <f>$AC$13</f>
        <v>1.04657781587849</v>
      </c>
      <c r="AD219" s="2507" t="str">
        <f t="shared" si="42"/>
        <v/>
      </c>
      <c r="AE219" s="2507">
        <f t="shared" si="43"/>
        <v>1140340.5486359554</v>
      </c>
      <c r="AF219" s="2672" t="str">
        <f t="shared" si="44"/>
        <v/>
      </c>
      <c r="AG219" s="2642"/>
      <c r="AH219" s="2599">
        <f t="shared" si="41"/>
        <v>1140340.5486359554</v>
      </c>
      <c r="AI219" s="2700">
        <f>AH219/1</f>
        <v>1140340.5486359554</v>
      </c>
      <c r="AJ219" s="2701">
        <f>IFERROR((AI219*L219/1000)/Q219,"")</f>
        <v>2262.2885077777823</v>
      </c>
    </row>
    <row r="220" spans="1:36" s="1118" customFormat="1" ht="15.75" hidden="1" outlineLevel="1" thickBot="1">
      <c r="A220" s="2318"/>
      <c r="B220" s="3024"/>
      <c r="C220" s="3027"/>
      <c r="D220" s="3028"/>
      <c r="E220" s="3029"/>
      <c r="F220" s="2492" t="s">
        <v>3862</v>
      </c>
      <c r="G220" s="2478"/>
      <c r="H220" s="2627"/>
      <c r="I220" s="2628"/>
      <c r="J220" s="2628"/>
      <c r="K220" s="2628"/>
      <c r="L220" s="2659"/>
      <c r="M220" s="2629"/>
      <c r="N220" s="2629"/>
      <c r="O220" s="2629"/>
      <c r="P220" s="2629"/>
      <c r="Q220" s="2617"/>
      <c r="R220" s="2629"/>
      <c r="S220" s="2629"/>
      <c r="T220" s="2626"/>
      <c r="U220" s="2625"/>
      <c r="V220" s="2644" t="str">
        <f t="shared" si="35"/>
        <v/>
      </c>
      <c r="W220" s="2644" t="str">
        <f t="shared" si="36"/>
        <v/>
      </c>
      <c r="X220" s="2644" t="str">
        <f t="shared" si="37"/>
        <v/>
      </c>
      <c r="Y220" s="2633"/>
      <c r="Z220" s="2642"/>
      <c r="AA220" s="2642"/>
      <c r="AB220" s="2642"/>
      <c r="AC220" s="2642"/>
      <c r="AD220" s="2642"/>
      <c r="AE220" s="2642"/>
      <c r="AF220" s="2642"/>
      <c r="AG220" s="2642"/>
      <c r="AH220" s="2642"/>
      <c r="AI220" s="2600"/>
      <c r="AJ220" s="2646"/>
    </row>
    <row r="221" spans="1:36" s="1118" customFormat="1" ht="15.75" hidden="1" outlineLevel="1" thickBot="1">
      <c r="A221" s="2318"/>
      <c r="B221" s="3024"/>
      <c r="C221" s="3027"/>
      <c r="D221" s="3028"/>
      <c r="E221" s="3029"/>
      <c r="F221" s="2492" t="s">
        <v>3863</v>
      </c>
      <c r="G221" s="2478"/>
      <c r="H221" s="2627"/>
      <c r="I221" s="2628"/>
      <c r="J221" s="2628"/>
      <c r="K221" s="2628"/>
      <c r="L221" s="2659"/>
      <c r="M221" s="2629"/>
      <c r="N221" s="2629"/>
      <c r="O221" s="2629"/>
      <c r="P221" s="2629"/>
      <c r="Q221" s="2617"/>
      <c r="R221" s="2629"/>
      <c r="S221" s="2629"/>
      <c r="T221" s="2626"/>
      <c r="U221" s="2625"/>
      <c r="V221" s="2644" t="str">
        <f t="shared" si="35"/>
        <v/>
      </c>
      <c r="W221" s="2644" t="str">
        <f t="shared" si="36"/>
        <v/>
      </c>
      <c r="X221" s="2644" t="str">
        <f t="shared" si="37"/>
        <v/>
      </c>
      <c r="Y221" s="2633"/>
      <c r="Z221" s="2642"/>
      <c r="AA221" s="2642"/>
      <c r="AB221" s="2642"/>
      <c r="AC221" s="2642"/>
      <c r="AD221" s="2642"/>
      <c r="AE221" s="2642"/>
      <c r="AF221" s="2642"/>
      <c r="AG221" s="2642"/>
      <c r="AH221" s="2642"/>
      <c r="AI221" s="2600"/>
      <c r="AJ221" s="2646"/>
    </row>
    <row r="222" spans="1:36" s="1118" customFormat="1" ht="15.75" hidden="1" outlineLevel="1" thickBot="1">
      <c r="A222" s="2318"/>
      <c r="B222" s="3024"/>
      <c r="C222" s="3027"/>
      <c r="D222" s="3028"/>
      <c r="E222" s="3029"/>
      <c r="F222" s="2494" t="s">
        <v>3864</v>
      </c>
      <c r="G222" s="2493"/>
      <c r="H222" s="2627"/>
      <c r="I222" s="2628"/>
      <c r="J222" s="2628"/>
      <c r="K222" s="2628"/>
      <c r="L222" s="2659"/>
      <c r="M222" s="2629"/>
      <c r="N222" s="2629"/>
      <c r="O222" s="2629"/>
      <c r="P222" s="2629"/>
      <c r="Q222" s="2617"/>
      <c r="R222" s="2629"/>
      <c r="S222" s="2629"/>
      <c r="T222" s="2626"/>
      <c r="U222" s="2625"/>
      <c r="V222" s="2644" t="str">
        <f t="shared" si="35"/>
        <v/>
      </c>
      <c r="W222" s="2644" t="str">
        <f t="shared" si="36"/>
        <v/>
      </c>
      <c r="X222" s="2644" t="str">
        <f t="shared" si="37"/>
        <v/>
      </c>
      <c r="Y222" s="2633"/>
      <c r="Z222" s="2642"/>
      <c r="AA222" s="2642"/>
      <c r="AB222" s="2642"/>
      <c r="AC222" s="2642"/>
      <c r="AD222" s="2642"/>
      <c r="AE222" s="2642"/>
      <c r="AF222" s="2642"/>
      <c r="AG222" s="2642"/>
      <c r="AH222" s="2642"/>
      <c r="AI222" s="2600"/>
      <c r="AJ222" s="2646"/>
    </row>
    <row r="223" spans="1:36" s="1118" customFormat="1" ht="15.75" hidden="1" outlineLevel="1" thickBot="1">
      <c r="A223" s="2318"/>
      <c r="B223" s="3024"/>
      <c r="C223" s="3027"/>
      <c r="D223" s="3028"/>
      <c r="E223" s="3029"/>
      <c r="F223" s="2494" t="s">
        <v>3865</v>
      </c>
      <c r="G223" s="2493"/>
      <c r="H223" s="2627"/>
      <c r="I223" s="2628"/>
      <c r="J223" s="2628"/>
      <c r="K223" s="2628"/>
      <c r="L223" s="2659"/>
      <c r="M223" s="2629"/>
      <c r="N223" s="2629"/>
      <c r="O223" s="2629"/>
      <c r="P223" s="2629"/>
      <c r="Q223" s="2617"/>
      <c r="R223" s="2629"/>
      <c r="S223" s="2629"/>
      <c r="T223" s="2626"/>
      <c r="U223" s="2625"/>
      <c r="V223" s="2644" t="str">
        <f t="shared" si="35"/>
        <v/>
      </c>
      <c r="W223" s="2644" t="str">
        <f t="shared" si="36"/>
        <v/>
      </c>
      <c r="X223" s="2644" t="str">
        <f t="shared" si="37"/>
        <v/>
      </c>
      <c r="Y223" s="2633"/>
      <c r="Z223" s="2642"/>
      <c r="AA223" s="2642"/>
      <c r="AB223" s="2642"/>
      <c r="AC223" s="2642"/>
      <c r="AD223" s="2642"/>
      <c r="AE223" s="2642"/>
      <c r="AF223" s="2642"/>
      <c r="AG223" s="2642"/>
      <c r="AH223" s="2642"/>
      <c r="AI223" s="2600"/>
      <c r="AJ223" s="2646"/>
    </row>
    <row r="224" spans="1:36" s="1118" customFormat="1" ht="15.75" hidden="1" outlineLevel="1" thickBot="1">
      <c r="A224" s="2318"/>
      <c r="B224" s="3024"/>
      <c r="C224" s="3027"/>
      <c r="D224" s="3028"/>
      <c r="E224" s="3029" t="s">
        <v>2946</v>
      </c>
      <c r="F224" s="2492" t="s">
        <v>3860</v>
      </c>
      <c r="G224" s="2478"/>
      <c r="H224" s="2627"/>
      <c r="I224" s="2628"/>
      <c r="J224" s="2628"/>
      <c r="K224" s="2628"/>
      <c r="L224" s="2659"/>
      <c r="M224" s="2629"/>
      <c r="N224" s="2629"/>
      <c r="O224" s="2629"/>
      <c r="P224" s="2629"/>
      <c r="Q224" s="2617"/>
      <c r="R224" s="2629"/>
      <c r="S224" s="2629"/>
      <c r="T224" s="2626"/>
      <c r="U224" s="2625"/>
      <c r="V224" s="2644" t="str">
        <f t="shared" si="35"/>
        <v/>
      </c>
      <c r="W224" s="2644" t="str">
        <f t="shared" si="36"/>
        <v/>
      </c>
      <c r="X224" s="2644" t="str">
        <f t="shared" si="37"/>
        <v/>
      </c>
      <c r="Y224" s="2633"/>
      <c r="Z224" s="2642"/>
      <c r="AA224" s="2642"/>
      <c r="AB224" s="2642"/>
      <c r="AC224" s="2642"/>
      <c r="AD224" s="2642"/>
      <c r="AE224" s="2642"/>
      <c r="AF224" s="2642"/>
      <c r="AG224" s="2642"/>
      <c r="AH224" s="2642"/>
      <c r="AI224" s="2600"/>
      <c r="AJ224" s="2646"/>
    </row>
    <row r="225" spans="1:36" s="1118" customFormat="1" ht="15.75" hidden="1" outlineLevel="1" thickBot="1">
      <c r="A225" s="2318"/>
      <c r="B225" s="3024"/>
      <c r="C225" s="3027"/>
      <c r="D225" s="3028"/>
      <c r="E225" s="3029"/>
      <c r="F225" s="2492" t="s">
        <v>3861</v>
      </c>
      <c r="G225" s="2478"/>
      <c r="H225" s="2628"/>
      <c r="I225" s="2628"/>
      <c r="J225" s="2628"/>
      <c r="K225" s="2628"/>
      <c r="L225" s="2659"/>
      <c r="M225" s="2629"/>
      <c r="N225" s="2629"/>
      <c r="O225" s="2629"/>
      <c r="P225" s="2629"/>
      <c r="Q225" s="2617"/>
      <c r="R225" s="2629"/>
      <c r="S225" s="2629"/>
      <c r="T225" s="2626"/>
      <c r="U225" s="2625"/>
      <c r="V225" s="2644" t="str">
        <f t="shared" si="35"/>
        <v/>
      </c>
      <c r="W225" s="2644" t="str">
        <f t="shared" si="36"/>
        <v/>
      </c>
      <c r="X225" s="2644" t="str">
        <f t="shared" si="37"/>
        <v/>
      </c>
      <c r="Y225" s="2633"/>
      <c r="Z225" s="2642"/>
      <c r="AA225" s="2642"/>
      <c r="AB225" s="2642"/>
      <c r="AC225" s="2642"/>
      <c r="AD225" s="2642"/>
      <c r="AE225" s="2642"/>
      <c r="AF225" s="2642"/>
      <c r="AG225" s="2642"/>
      <c r="AH225" s="2642"/>
      <c r="AI225" s="2600"/>
      <c r="AJ225" s="2646"/>
    </row>
    <row r="226" spans="1:36" s="1118" customFormat="1" ht="15.75" hidden="1" outlineLevel="1" thickBot="1">
      <c r="A226" s="2318"/>
      <c r="B226" s="3024"/>
      <c r="C226" s="3027"/>
      <c r="D226" s="3028"/>
      <c r="E226" s="3029"/>
      <c r="F226" s="2492" t="s">
        <v>3862</v>
      </c>
      <c r="G226" s="2495"/>
      <c r="H226" s="2655"/>
      <c r="I226" s="2655"/>
      <c r="J226" s="2655"/>
      <c r="K226" s="2655"/>
      <c r="L226" s="2661"/>
      <c r="M226" s="2667"/>
      <c r="N226" s="2667"/>
      <c r="O226" s="2667"/>
      <c r="P226" s="2667"/>
      <c r="Q226" s="2617"/>
      <c r="R226" s="2667"/>
      <c r="S226" s="2667"/>
      <c r="T226" s="2670"/>
      <c r="U226" s="2625"/>
      <c r="V226" s="2644" t="str">
        <f t="shared" si="35"/>
        <v/>
      </c>
      <c r="W226" s="2644" t="str">
        <f t="shared" si="36"/>
        <v/>
      </c>
      <c r="X226" s="2644" t="str">
        <f t="shared" si="37"/>
        <v/>
      </c>
      <c r="Y226" s="2633"/>
      <c r="Z226" s="2642"/>
      <c r="AA226" s="2642"/>
      <c r="AB226" s="2642"/>
      <c r="AC226" s="2642"/>
      <c r="AD226" s="2642"/>
      <c r="AE226" s="2642"/>
      <c r="AF226" s="2642"/>
      <c r="AG226" s="2642"/>
      <c r="AH226" s="2642"/>
      <c r="AI226" s="2600"/>
      <c r="AJ226" s="2646"/>
    </row>
    <row r="227" spans="1:36" s="1118" customFormat="1" ht="15.75" hidden="1" outlineLevel="1" thickBot="1">
      <c r="A227" s="2318"/>
      <c r="B227" s="3024"/>
      <c r="C227" s="3027"/>
      <c r="D227" s="3028"/>
      <c r="E227" s="3029"/>
      <c r="F227" s="2492" t="s">
        <v>3863</v>
      </c>
      <c r="G227" s="2479"/>
      <c r="H227" s="2641"/>
      <c r="I227" s="2641"/>
      <c r="J227" s="2641"/>
      <c r="K227" s="2641"/>
      <c r="L227" s="2662"/>
      <c r="M227" s="2641"/>
      <c r="N227" s="2641"/>
      <c r="O227" s="2641"/>
      <c r="P227" s="2641"/>
      <c r="Q227" s="2617"/>
      <c r="R227" s="2641"/>
      <c r="S227" s="2641"/>
      <c r="T227" s="2641"/>
      <c r="U227" s="2649"/>
      <c r="V227" s="2644" t="str">
        <f t="shared" si="35"/>
        <v/>
      </c>
      <c r="W227" s="2644" t="str">
        <f t="shared" si="36"/>
        <v/>
      </c>
      <c r="X227" s="2644" t="str">
        <f t="shared" si="37"/>
        <v/>
      </c>
      <c r="Y227" s="2633"/>
      <c r="Z227" s="2642"/>
      <c r="AA227" s="2642"/>
      <c r="AB227" s="2642"/>
      <c r="AC227" s="2642"/>
      <c r="AD227" s="2642"/>
      <c r="AE227" s="2642"/>
      <c r="AF227" s="2642"/>
      <c r="AG227" s="2642"/>
      <c r="AH227" s="2642"/>
      <c r="AI227" s="2600"/>
      <c r="AJ227" s="2646"/>
    </row>
    <row r="228" spans="1:36" s="1118" customFormat="1" ht="15.75" hidden="1" outlineLevel="1" thickBot="1">
      <c r="A228" s="2318"/>
      <c r="B228" s="3024"/>
      <c r="C228" s="3027"/>
      <c r="D228" s="3028"/>
      <c r="E228" s="3029"/>
      <c r="F228" s="2494" t="s">
        <v>3864</v>
      </c>
      <c r="G228" s="2484"/>
      <c r="H228" s="2641"/>
      <c r="I228" s="2641"/>
      <c r="J228" s="2641"/>
      <c r="K228" s="2641"/>
      <c r="L228" s="2662"/>
      <c r="M228" s="2641"/>
      <c r="N228" s="2641"/>
      <c r="O228" s="2641"/>
      <c r="P228" s="2641"/>
      <c r="Q228" s="2617"/>
      <c r="R228" s="2641"/>
      <c r="S228" s="2641"/>
      <c r="T228" s="2641"/>
      <c r="U228" s="2649"/>
      <c r="V228" s="2644" t="str">
        <f t="shared" si="35"/>
        <v/>
      </c>
      <c r="W228" s="2644" t="str">
        <f t="shared" si="36"/>
        <v/>
      </c>
      <c r="X228" s="2644" t="str">
        <f t="shared" si="37"/>
        <v/>
      </c>
      <c r="Y228" s="2633"/>
      <c r="Z228" s="2642"/>
      <c r="AA228" s="2642"/>
      <c r="AB228" s="2642"/>
      <c r="AC228" s="2642"/>
      <c r="AD228" s="2642"/>
      <c r="AE228" s="2642"/>
      <c r="AF228" s="2642"/>
      <c r="AG228" s="2642"/>
      <c r="AH228" s="2642"/>
      <c r="AI228" s="2600"/>
      <c r="AJ228" s="2646"/>
    </row>
    <row r="229" spans="1:36" s="1118" customFormat="1" ht="15.75" hidden="1" outlineLevel="1" thickBot="1">
      <c r="A229" s="2318"/>
      <c r="B229" s="3024"/>
      <c r="C229" s="3027"/>
      <c r="D229" s="3030"/>
      <c r="E229" s="3031"/>
      <c r="F229" s="2494" t="s">
        <v>3865</v>
      </c>
      <c r="G229" s="2484"/>
      <c r="H229" s="2812"/>
      <c r="I229" s="2812"/>
      <c r="J229" s="2812"/>
      <c r="K229" s="2812"/>
      <c r="L229" s="2812"/>
      <c r="M229" s="2812"/>
      <c r="N229" s="2812"/>
      <c r="O229" s="2812"/>
      <c r="P229" s="2812"/>
      <c r="Q229" s="2812"/>
      <c r="R229" s="2812"/>
      <c r="S229" s="2812"/>
      <c r="T229" s="2812"/>
      <c r="U229" s="2812"/>
      <c r="V229" s="2813" t="str">
        <f t="shared" si="35"/>
        <v/>
      </c>
      <c r="W229" s="2813" t="str">
        <f t="shared" si="36"/>
        <v/>
      </c>
      <c r="X229" s="2813" t="str">
        <f t="shared" si="37"/>
        <v/>
      </c>
      <c r="Y229" s="2395"/>
      <c r="Z229" s="2772"/>
      <c r="AA229" s="2772"/>
      <c r="AB229" s="2772"/>
      <c r="AC229" s="2772"/>
      <c r="AD229" s="2772"/>
      <c r="AE229" s="2772"/>
      <c r="AF229" s="2772"/>
      <c r="AG229" s="2772"/>
      <c r="AH229" s="2772"/>
      <c r="AI229" s="2814"/>
      <c r="AJ229" s="2812"/>
    </row>
    <row r="230" spans="1:36" s="1118" customFormat="1" ht="15" collapsed="1">
      <c r="A230" s="2331"/>
      <c r="B230" s="2331"/>
      <c r="C230" s="2331"/>
      <c r="D230" s="2331"/>
      <c r="E230" s="2331"/>
      <c r="F230" s="2334"/>
      <c r="G230" s="2334"/>
      <c r="K230" s="2439"/>
      <c r="P230" s="2439"/>
      <c r="Q230" s="2439"/>
      <c r="R230" s="2681"/>
      <c r="S230" s="2681"/>
      <c r="T230" s="2681"/>
      <c r="Z230"/>
      <c r="AA230"/>
      <c r="AB230"/>
      <c r="AC230"/>
      <c r="AD230"/>
      <c r="AE230"/>
      <c r="AF230"/>
      <c r="AG230"/>
      <c r="AH230"/>
      <c r="AI230"/>
    </row>
    <row r="231" spans="1:36" s="1118" customFormat="1" ht="15">
      <c r="A231" s="2331"/>
      <c r="B231" s="2331"/>
      <c r="C231" s="2331"/>
      <c r="D231" s="2331"/>
      <c r="E231" s="2331"/>
      <c r="F231" s="2334"/>
      <c r="G231" s="2334"/>
      <c r="H231" s="2439"/>
      <c r="I231" s="2439"/>
      <c r="J231" s="2439"/>
      <c r="K231" s="2439"/>
      <c r="L231" s="2439"/>
      <c r="M231" s="2439"/>
      <c r="N231" s="2439"/>
      <c r="O231" s="2439"/>
      <c r="P231" s="2439"/>
      <c r="Q231" s="2439"/>
      <c r="R231" s="2682"/>
      <c r="S231" s="2682"/>
      <c r="T231" s="2682"/>
      <c r="Z231"/>
      <c r="AA231"/>
      <c r="AB231"/>
      <c r="AC231"/>
      <c r="AD231"/>
      <c r="AE231"/>
      <c r="AF231"/>
      <c r="AG231"/>
      <c r="AH231"/>
      <c r="AI231"/>
    </row>
    <row r="232" spans="1:36" s="1118" customFormat="1" ht="15">
      <c r="A232" s="2331"/>
      <c r="B232" s="2331"/>
      <c r="C232" s="2331"/>
      <c r="D232" s="2331"/>
      <c r="E232" s="2331"/>
      <c r="F232" s="2334"/>
      <c r="G232" s="2334"/>
      <c r="H232" s="2439"/>
      <c r="I232" s="2439"/>
      <c r="J232" s="2439"/>
      <c r="K232" s="2439"/>
      <c r="L232" s="2439"/>
      <c r="M232" s="2439"/>
      <c r="N232" s="2439"/>
      <c r="O232" s="2439"/>
      <c r="P232" s="2439"/>
      <c r="Q232" s="2439"/>
      <c r="R232" s="2439"/>
      <c r="S232" s="2439"/>
      <c r="T232" s="2439"/>
      <c r="Z232"/>
      <c r="AA232"/>
      <c r="AB232"/>
      <c r="AC232"/>
      <c r="AD232"/>
      <c r="AE232"/>
      <c r="AF232"/>
      <c r="AG232"/>
      <c r="AH232"/>
      <c r="AI232"/>
    </row>
    <row r="233" spans="1:36" s="1118" customFormat="1" ht="15.75" thickBot="1">
      <c r="A233" s="2331"/>
      <c r="B233" s="2331"/>
      <c r="C233" s="2331"/>
      <c r="D233" s="2331"/>
      <c r="E233" s="2331"/>
      <c r="F233" s="2334"/>
      <c r="G233" s="2334"/>
      <c r="H233" s="2439"/>
      <c r="I233" s="2439"/>
      <c r="J233" s="2439"/>
      <c r="K233" s="2439"/>
      <c r="L233" s="2439"/>
      <c r="M233" s="2439"/>
      <c r="N233" s="2439"/>
      <c r="O233" s="2439"/>
      <c r="P233" s="2439"/>
      <c r="Q233" s="2439"/>
      <c r="R233" s="2439"/>
      <c r="S233" s="2439"/>
      <c r="T233" s="2439"/>
      <c r="Z233"/>
      <c r="AA233"/>
      <c r="AB233"/>
      <c r="AC233"/>
      <c r="AD233"/>
      <c r="AE233"/>
      <c r="AF233"/>
      <c r="AG233"/>
      <c r="AH233"/>
      <c r="AI233"/>
    </row>
    <row r="234" spans="1:36" s="1118" customFormat="1" ht="16.5" thickBot="1">
      <c r="A234" s="2997"/>
      <c r="B234" s="2998"/>
      <c r="C234" s="2998"/>
      <c r="D234" s="2998"/>
      <c r="E234" s="2998"/>
      <c r="F234" s="2999"/>
      <c r="G234" s="3165" t="s">
        <v>3973</v>
      </c>
      <c r="H234" s="3166"/>
      <c r="I234" s="3166"/>
      <c r="J234" s="3166"/>
      <c r="K234" s="3166"/>
      <c r="L234" s="3166"/>
      <c r="M234" s="3166"/>
      <c r="N234" s="3166"/>
      <c r="O234" s="3166"/>
      <c r="P234" s="3166"/>
      <c r="Q234" s="3166"/>
      <c r="R234" s="3166"/>
      <c r="S234" s="3166"/>
      <c r="T234" s="3166"/>
      <c r="U234" s="3167"/>
      <c r="Z234"/>
      <c r="AA234"/>
      <c r="AB234"/>
      <c r="AC234"/>
      <c r="AD234"/>
      <c r="AE234"/>
      <c r="AF234"/>
      <c r="AG234"/>
      <c r="AH234"/>
      <c r="AI234"/>
    </row>
    <row r="235" spans="1:36" s="1118" customFormat="1" ht="56.25" customHeight="1">
      <c r="A235" s="3007" t="s">
        <v>0</v>
      </c>
      <c r="B235" s="3009" t="s">
        <v>3849</v>
      </c>
      <c r="C235" s="3010" t="s">
        <v>3850</v>
      </c>
      <c r="D235" s="3012" t="s">
        <v>3851</v>
      </c>
      <c r="E235" s="3012" t="s">
        <v>3852</v>
      </c>
      <c r="F235" s="2990" t="s">
        <v>3853</v>
      </c>
      <c r="G235" s="3002" t="s">
        <v>3854</v>
      </c>
      <c r="H235" s="3168" t="s">
        <v>3855</v>
      </c>
      <c r="I235" s="3169"/>
      <c r="J235" s="3169"/>
      <c r="K235" s="3169"/>
      <c r="L235" s="3170"/>
      <c r="M235" s="3168" t="s">
        <v>3856</v>
      </c>
      <c r="N235" s="3169"/>
      <c r="O235" s="3169"/>
      <c r="P235" s="3169"/>
      <c r="Q235" s="3170"/>
      <c r="R235" s="3171" t="s">
        <v>3857</v>
      </c>
      <c r="S235" s="3172"/>
      <c r="T235" s="3172"/>
      <c r="U235" s="3173"/>
      <c r="V235" s="3136" t="s">
        <v>3978</v>
      </c>
      <c r="W235" s="3137"/>
      <c r="X235" s="3137"/>
      <c r="Y235" s="3138"/>
      <c r="Z235" s="3132" t="s">
        <v>3858</v>
      </c>
      <c r="AA235" s="3132"/>
      <c r="AB235" s="3132"/>
      <c r="AC235" s="3132"/>
      <c r="AD235" s="3136" t="s">
        <v>3979</v>
      </c>
      <c r="AE235" s="3137"/>
      <c r="AF235" s="3137"/>
      <c r="AG235" s="3138"/>
      <c r="AH235" s="2496" t="s">
        <v>3980</v>
      </c>
      <c r="AI235" s="2500" t="s">
        <v>3974</v>
      </c>
      <c r="AJ235" s="2500" t="s">
        <v>3975</v>
      </c>
    </row>
    <row r="236" spans="1:36" s="1118" customFormat="1" ht="75.75" thickBot="1">
      <c r="A236" s="3008"/>
      <c r="B236" s="3002"/>
      <c r="C236" s="3011"/>
      <c r="D236" s="3013"/>
      <c r="E236" s="3013"/>
      <c r="F236" s="2991"/>
      <c r="G236" s="3003"/>
      <c r="H236" s="2379">
        <v>2015</v>
      </c>
      <c r="I236" s="2488">
        <v>2016</v>
      </c>
      <c r="J236" s="2488">
        <v>2017</v>
      </c>
      <c r="K236" s="2488" t="s">
        <v>3925</v>
      </c>
      <c r="L236" s="2595" t="s">
        <v>2559</v>
      </c>
      <c r="M236" s="2488">
        <f>H236</f>
        <v>2015</v>
      </c>
      <c r="N236" s="2488">
        <f>I236</f>
        <v>2016</v>
      </c>
      <c r="O236" s="2488">
        <f>J236</f>
        <v>2017</v>
      </c>
      <c r="P236" s="2488" t="s">
        <v>3925</v>
      </c>
      <c r="Q236" s="2595" t="s">
        <v>2559</v>
      </c>
      <c r="R236" s="2488">
        <f>H236</f>
        <v>2015</v>
      </c>
      <c r="S236" s="2488">
        <f>I236</f>
        <v>2016</v>
      </c>
      <c r="T236" s="2380">
        <f>J236</f>
        <v>2017</v>
      </c>
      <c r="U236" s="2488" t="s">
        <v>3925</v>
      </c>
      <c r="V236" s="2496">
        <f>R236</f>
        <v>2015</v>
      </c>
      <c r="W236" s="2496">
        <f>S236</f>
        <v>2016</v>
      </c>
      <c r="X236" s="2496">
        <f>T236</f>
        <v>2017</v>
      </c>
      <c r="Y236" s="2496" t="s">
        <v>3925</v>
      </c>
      <c r="Z236" s="2588">
        <v>2016</v>
      </c>
      <c r="AA236" s="2588">
        <v>2017</v>
      </c>
      <c r="AB236" s="2588">
        <v>2018</v>
      </c>
      <c r="AC236" s="2588">
        <v>2019</v>
      </c>
      <c r="AD236" s="2503">
        <f>V236</f>
        <v>2015</v>
      </c>
      <c r="AE236" s="2503">
        <f>W236</f>
        <v>2016</v>
      </c>
      <c r="AF236" s="2503">
        <f>X236</f>
        <v>2017</v>
      </c>
      <c r="AG236" s="2503" t="str">
        <f>Y236</f>
        <v>План (в случае отсутствия факта за 3 года)</v>
      </c>
      <c r="AH236" s="2497" t="s">
        <v>3981</v>
      </c>
      <c r="AI236" s="2597" t="s">
        <v>3976</v>
      </c>
      <c r="AJ236" s="2597" t="s">
        <v>3977</v>
      </c>
    </row>
    <row r="237" spans="1:36" s="1118" customFormat="1" ht="15.75" thickBot="1">
      <c r="A237" s="2316">
        <v>1</v>
      </c>
      <c r="B237" s="2477">
        <v>2</v>
      </c>
      <c r="C237" s="3014">
        <v>3</v>
      </c>
      <c r="D237" s="3015"/>
      <c r="E237" s="3015"/>
      <c r="F237" s="3016"/>
      <c r="G237" s="2317">
        <v>4</v>
      </c>
      <c r="H237" s="3017">
        <v>5</v>
      </c>
      <c r="I237" s="3018"/>
      <c r="J237" s="3018"/>
      <c r="K237" s="3018"/>
      <c r="L237" s="3019"/>
      <c r="M237" s="3017">
        <v>6</v>
      </c>
      <c r="N237" s="3018"/>
      <c r="O237" s="3018"/>
      <c r="P237" s="3018"/>
      <c r="Q237" s="3021"/>
      <c r="R237" s="3020">
        <v>7</v>
      </c>
      <c r="S237" s="3018"/>
      <c r="T237" s="3018"/>
      <c r="U237" s="3021"/>
      <c r="V237" s="3131">
        <v>8</v>
      </c>
      <c r="W237" s="3131"/>
      <c r="X237" s="3131"/>
      <c r="Y237" s="3131"/>
      <c r="Z237" s="3131">
        <v>9</v>
      </c>
      <c r="AA237" s="3131"/>
      <c r="AB237" s="3131"/>
      <c r="AC237" s="3131"/>
      <c r="AD237" s="3105">
        <v>10</v>
      </c>
      <c r="AE237" s="3106"/>
      <c r="AF237" s="3106"/>
      <c r="AG237" s="3107"/>
      <c r="AH237" s="2498">
        <v>11</v>
      </c>
      <c r="AI237" s="2498">
        <v>12</v>
      </c>
      <c r="AJ237" s="2499">
        <v>13</v>
      </c>
    </row>
    <row r="238" spans="1:36" s="1118" customFormat="1" ht="15" hidden="1" outlineLevel="1">
      <c r="A238" s="2318"/>
      <c r="B238" s="3032" t="s">
        <v>2952</v>
      </c>
      <c r="C238" s="3034" t="s">
        <v>3859</v>
      </c>
      <c r="D238" s="3036" t="s">
        <v>2949</v>
      </c>
      <c r="E238" s="3037" t="s">
        <v>2950</v>
      </c>
      <c r="F238" s="2381" t="s">
        <v>3860</v>
      </c>
      <c r="G238" s="2485"/>
      <c r="H238" s="2663"/>
      <c r="I238" s="2654"/>
      <c r="J238" s="2654"/>
      <c r="K238" s="2654"/>
      <c r="L238" s="2654"/>
      <c r="M238" s="2654"/>
      <c r="N238" s="2654"/>
      <c r="O238" s="2654"/>
      <c r="P238" s="2654"/>
      <c r="Q238" s="2654"/>
      <c r="R238" s="2668"/>
      <c r="S238" s="2668"/>
      <c r="T238" s="2669"/>
      <c r="U238" s="2668"/>
      <c r="V238" s="2644" t="str">
        <f t="shared" ref="V238" si="48">IFERROR(R238*1000/(H238/1000),"")</f>
        <v/>
      </c>
      <c r="W238" s="2644" t="str">
        <f t="shared" ref="W238" si="49">IFERROR(S238*1000/(I238/1000),"")</f>
        <v/>
      </c>
      <c r="X238" s="2644" t="str">
        <f t="shared" ref="X238:Y253" si="50">IFERROR(T238*1000/(J238/1000),"")</f>
        <v/>
      </c>
      <c r="Y238" s="2644" t="str">
        <f t="shared" si="50"/>
        <v/>
      </c>
      <c r="Z238" s="2645">
        <f>$Z$13</f>
        <v>1.0528</v>
      </c>
      <c r="AA238" s="2645">
        <f>$AA$13</f>
        <v>1.0589</v>
      </c>
      <c r="AB238" s="2645">
        <f>$AB$13</f>
        <v>1.0507936887282501</v>
      </c>
      <c r="AC238" s="2645">
        <f>$AC$13</f>
        <v>1.04657781587849</v>
      </c>
      <c r="AD238" s="2642"/>
      <c r="AE238" s="2642"/>
      <c r="AF238" s="2642"/>
      <c r="AG238" s="2642"/>
      <c r="AH238" s="2642"/>
      <c r="AI238" s="2700"/>
      <c r="AJ238" s="2701"/>
    </row>
    <row r="239" spans="1:36" s="1118" customFormat="1" ht="15" hidden="1" outlineLevel="1">
      <c r="A239" s="2318"/>
      <c r="B239" s="3033"/>
      <c r="C239" s="3035"/>
      <c r="D239" s="3028"/>
      <c r="E239" s="3029"/>
      <c r="F239" s="2492" t="s">
        <v>3861</v>
      </c>
      <c r="G239" s="2478"/>
      <c r="H239" s="2664"/>
      <c r="I239" s="2636"/>
      <c r="J239" s="2636"/>
      <c r="K239" s="2636"/>
      <c r="L239" s="2636"/>
      <c r="M239" s="2636"/>
      <c r="N239" s="2636"/>
      <c r="O239" s="2636"/>
      <c r="P239" s="2636"/>
      <c r="Q239" s="2687"/>
      <c r="R239" s="2629"/>
      <c r="S239" s="2629"/>
      <c r="T239" s="2626"/>
      <c r="U239" s="2625"/>
      <c r="V239" s="2644" t="str">
        <f t="shared" ref="V239:V285" si="51">IFERROR(R239*1000/(H239/1000),"")</f>
        <v/>
      </c>
      <c r="W239" s="2644" t="str">
        <f t="shared" ref="W239:W285" si="52">IFERROR(S239*1000/(I239/1000),"")</f>
        <v/>
      </c>
      <c r="X239" s="2644" t="str">
        <f t="shared" ref="X239:Y285" si="53">IFERROR(T239*1000/(J239/1000),"")</f>
        <v/>
      </c>
      <c r="Y239" s="2644" t="str">
        <f t="shared" si="50"/>
        <v/>
      </c>
      <c r="Z239" s="2642"/>
      <c r="AA239" s="2642"/>
      <c r="AB239" s="2642"/>
      <c r="AC239" s="2642"/>
      <c r="AD239" s="2642"/>
      <c r="AE239" s="2642"/>
      <c r="AF239" s="2642"/>
      <c r="AG239" s="2642"/>
      <c r="AH239" s="2642"/>
      <c r="AI239" s="2700"/>
      <c r="AJ239" s="2701"/>
    </row>
    <row r="240" spans="1:36" s="1118" customFormat="1" ht="15" hidden="1" outlineLevel="1">
      <c r="A240" s="2318"/>
      <c r="B240" s="3033"/>
      <c r="C240" s="3035"/>
      <c r="D240" s="3028"/>
      <c r="E240" s="3029"/>
      <c r="F240" s="2492" t="s">
        <v>3862</v>
      </c>
      <c r="G240" s="2478"/>
      <c r="H240" s="2664"/>
      <c r="I240" s="2636"/>
      <c r="J240" s="2636"/>
      <c r="K240" s="2636"/>
      <c r="L240" s="2636"/>
      <c r="M240" s="2636"/>
      <c r="N240" s="2636"/>
      <c r="O240" s="2636"/>
      <c r="P240" s="2636"/>
      <c r="Q240" s="2687"/>
      <c r="R240" s="2629"/>
      <c r="S240" s="2629"/>
      <c r="T240" s="2626"/>
      <c r="U240" s="2625"/>
      <c r="V240" s="2644" t="str">
        <f t="shared" si="51"/>
        <v/>
      </c>
      <c r="W240" s="2644" t="str">
        <f t="shared" si="52"/>
        <v/>
      </c>
      <c r="X240" s="2644" t="str">
        <f t="shared" si="53"/>
        <v/>
      </c>
      <c r="Y240" s="2644" t="str">
        <f t="shared" si="50"/>
        <v/>
      </c>
      <c r="Z240" s="2642"/>
      <c r="AA240" s="2642"/>
      <c r="AB240" s="2642"/>
      <c r="AC240" s="2642"/>
      <c r="AD240" s="2642"/>
      <c r="AE240" s="2642"/>
      <c r="AF240" s="2642"/>
      <c r="AG240" s="2642"/>
      <c r="AH240" s="2642"/>
      <c r="AI240" s="2700"/>
      <c r="AJ240" s="2701"/>
    </row>
    <row r="241" spans="1:36" s="1118" customFormat="1" ht="15" hidden="1" outlineLevel="1">
      <c r="A241" s="2318"/>
      <c r="B241" s="3033"/>
      <c r="C241" s="3035"/>
      <c r="D241" s="3028"/>
      <c r="E241" s="3029"/>
      <c r="F241" s="2492" t="s">
        <v>3863</v>
      </c>
      <c r="G241" s="2478"/>
      <c r="H241" s="2664"/>
      <c r="I241" s="2636"/>
      <c r="J241" s="2636"/>
      <c r="K241" s="2636"/>
      <c r="L241" s="2636"/>
      <c r="M241" s="2636"/>
      <c r="N241" s="2636"/>
      <c r="O241" s="2636"/>
      <c r="P241" s="2636"/>
      <c r="Q241" s="2687"/>
      <c r="R241" s="2629"/>
      <c r="S241" s="2629"/>
      <c r="T241" s="2626"/>
      <c r="U241" s="2625"/>
      <c r="V241" s="2644" t="str">
        <f t="shared" si="51"/>
        <v/>
      </c>
      <c r="W241" s="2644" t="str">
        <f t="shared" si="52"/>
        <v/>
      </c>
      <c r="X241" s="2644" t="str">
        <f t="shared" si="53"/>
        <v/>
      </c>
      <c r="Y241" s="2644" t="str">
        <f t="shared" si="50"/>
        <v/>
      </c>
      <c r="Z241" s="2642"/>
      <c r="AA241" s="2642"/>
      <c r="AB241" s="2642"/>
      <c r="AC241" s="2642"/>
      <c r="AD241" s="2642"/>
      <c r="AE241" s="2642"/>
      <c r="AF241" s="2642"/>
      <c r="AG241" s="2642"/>
      <c r="AH241" s="2642"/>
      <c r="AI241" s="2700"/>
      <c r="AJ241" s="2701"/>
    </row>
    <row r="242" spans="1:36" s="1118" customFormat="1" ht="15" hidden="1" outlineLevel="1">
      <c r="A242" s="2318"/>
      <c r="B242" s="3033"/>
      <c r="C242" s="3035"/>
      <c r="D242" s="3028"/>
      <c r="E242" s="3029"/>
      <c r="F242" s="2494" t="s">
        <v>3864</v>
      </c>
      <c r="G242" s="2493"/>
      <c r="H242" s="2664"/>
      <c r="I242" s="2636"/>
      <c r="J242" s="2636"/>
      <c r="K242" s="2636"/>
      <c r="L242" s="2636"/>
      <c r="M242" s="2636"/>
      <c r="N242" s="2636"/>
      <c r="O242" s="2636"/>
      <c r="P242" s="2636"/>
      <c r="Q242" s="2687"/>
      <c r="R242" s="2629"/>
      <c r="S242" s="2629"/>
      <c r="T242" s="2626"/>
      <c r="U242" s="2625"/>
      <c r="V242" s="2644" t="str">
        <f t="shared" si="51"/>
        <v/>
      </c>
      <c r="W242" s="2644" t="str">
        <f t="shared" si="52"/>
        <v/>
      </c>
      <c r="X242" s="2644" t="str">
        <f t="shared" si="53"/>
        <v/>
      </c>
      <c r="Y242" s="2644" t="str">
        <f t="shared" si="50"/>
        <v/>
      </c>
      <c r="Z242" s="2642"/>
      <c r="AA242" s="2642"/>
      <c r="AB242" s="2642"/>
      <c r="AC242" s="2642"/>
      <c r="AD242" s="2642"/>
      <c r="AE242" s="2642"/>
      <c r="AF242" s="2642"/>
      <c r="AG242" s="2642"/>
      <c r="AH242" s="2642"/>
      <c r="AI242" s="2700"/>
      <c r="AJ242" s="2701"/>
    </row>
    <row r="243" spans="1:36" s="1118" customFormat="1" ht="15" hidden="1" outlineLevel="1">
      <c r="A243" s="2318"/>
      <c r="B243" s="3033"/>
      <c r="C243" s="3035"/>
      <c r="D243" s="3028"/>
      <c r="E243" s="3029"/>
      <c r="F243" s="2494" t="s">
        <v>3865</v>
      </c>
      <c r="G243" s="2493"/>
      <c r="H243" s="2664"/>
      <c r="I243" s="2636"/>
      <c r="J243" s="2636"/>
      <c r="K243" s="2636"/>
      <c r="L243" s="2636"/>
      <c r="M243" s="2636"/>
      <c r="N243" s="2636"/>
      <c r="O243" s="2665"/>
      <c r="P243" s="2665"/>
      <c r="Q243" s="2688"/>
      <c r="R243" s="2629"/>
      <c r="S243" s="2629"/>
      <c r="T243" s="2626"/>
      <c r="U243" s="2625"/>
      <c r="V243" s="2644" t="str">
        <f t="shared" si="51"/>
        <v/>
      </c>
      <c r="W243" s="2644" t="str">
        <f t="shared" si="52"/>
        <v/>
      </c>
      <c r="X243" s="2644" t="str">
        <f t="shared" si="53"/>
        <v/>
      </c>
      <c r="Y243" s="2644" t="str">
        <f t="shared" si="50"/>
        <v/>
      </c>
      <c r="Z243" s="2642"/>
      <c r="AA243" s="2642"/>
      <c r="AB243" s="2642"/>
      <c r="AC243" s="2642"/>
      <c r="AD243" s="2642"/>
      <c r="AE243" s="2642"/>
      <c r="AF243" s="2642"/>
      <c r="AG243" s="2642"/>
      <c r="AH243" s="2642"/>
      <c r="AI243" s="2700"/>
      <c r="AJ243" s="2701"/>
    </row>
    <row r="244" spans="1:36" s="1118" customFormat="1" ht="15" hidden="1" outlineLevel="1">
      <c r="A244" s="2318"/>
      <c r="B244" s="3033"/>
      <c r="C244" s="3035"/>
      <c r="D244" s="3028"/>
      <c r="E244" s="3029" t="s">
        <v>2946</v>
      </c>
      <c r="F244" s="2492" t="s">
        <v>3860</v>
      </c>
      <c r="G244" s="2478"/>
      <c r="H244" s="2615"/>
      <c r="I244" s="2616"/>
      <c r="J244" s="2616"/>
      <c r="K244" s="2616"/>
      <c r="L244" s="2615"/>
      <c r="M244" s="2615"/>
      <c r="N244" s="2616"/>
      <c r="O244" s="2616"/>
      <c r="P244" s="2622"/>
      <c r="Q244" s="2690"/>
      <c r="R244" s="2615"/>
      <c r="S244" s="2616"/>
      <c r="T244" s="2616"/>
      <c r="U244" s="2625"/>
      <c r="V244" s="2644" t="str">
        <f t="shared" si="51"/>
        <v/>
      </c>
      <c r="W244" s="2644" t="str">
        <f t="shared" si="52"/>
        <v/>
      </c>
      <c r="X244" s="2644" t="str">
        <f t="shared" si="53"/>
        <v/>
      </c>
      <c r="Y244" s="2644" t="str">
        <f t="shared" si="50"/>
        <v/>
      </c>
      <c r="Z244" s="2642"/>
      <c r="AA244" s="2642"/>
      <c r="AB244" s="2642"/>
      <c r="AC244" s="2642"/>
      <c r="AD244" s="2642"/>
      <c r="AE244" s="2642"/>
      <c r="AF244" s="2642"/>
      <c r="AG244" s="2642"/>
      <c r="AH244" s="2642"/>
      <c r="AI244" s="2700"/>
      <c r="AJ244" s="2701"/>
    </row>
    <row r="245" spans="1:36" s="1118" customFormat="1" ht="15" hidden="1" outlineLevel="1">
      <c r="A245" s="2318"/>
      <c r="B245" s="3033"/>
      <c r="C245" s="3035"/>
      <c r="D245" s="3028"/>
      <c r="E245" s="3029"/>
      <c r="F245" s="2492" t="s">
        <v>3861</v>
      </c>
      <c r="G245" s="2478"/>
      <c r="H245" s="2615"/>
      <c r="I245" s="2616"/>
      <c r="J245" s="2616"/>
      <c r="K245" s="2616"/>
      <c r="L245" s="2616"/>
      <c r="M245" s="2622"/>
      <c r="N245" s="2622"/>
      <c r="O245" s="2616"/>
      <c r="P245" s="2622"/>
      <c r="Q245" s="2691"/>
      <c r="R245" s="2624"/>
      <c r="S245" s="2624"/>
      <c r="T245" s="2616"/>
      <c r="U245" s="2625"/>
      <c r="V245" s="2644" t="str">
        <f t="shared" si="51"/>
        <v/>
      </c>
      <c r="W245" s="2644" t="str">
        <f t="shared" si="52"/>
        <v/>
      </c>
      <c r="X245" s="2644" t="str">
        <f t="shared" si="53"/>
        <v/>
      </c>
      <c r="Y245" s="2644" t="str">
        <f t="shared" si="50"/>
        <v/>
      </c>
      <c r="Z245" s="2642"/>
      <c r="AA245" s="2642"/>
      <c r="AB245" s="2642"/>
      <c r="AC245" s="2642"/>
      <c r="AD245" s="2642"/>
      <c r="AE245" s="2642"/>
      <c r="AF245" s="2642"/>
      <c r="AG245" s="2642"/>
      <c r="AH245" s="2642"/>
      <c r="AI245" s="2700"/>
      <c r="AJ245" s="2701"/>
    </row>
    <row r="246" spans="1:36" s="1118" customFormat="1" ht="15" hidden="1" outlineLevel="1">
      <c r="A246" s="2318"/>
      <c r="B246" s="3033"/>
      <c r="C246" s="3035"/>
      <c r="D246" s="3028"/>
      <c r="E246" s="3029"/>
      <c r="F246" s="2492" t="s">
        <v>3862</v>
      </c>
      <c r="G246" s="2478"/>
      <c r="H246" s="2615"/>
      <c r="I246" s="2616"/>
      <c r="J246" s="2616"/>
      <c r="K246" s="2616"/>
      <c r="L246" s="2616"/>
      <c r="M246" s="2622"/>
      <c r="N246" s="2622"/>
      <c r="O246" s="2622"/>
      <c r="P246" s="2622"/>
      <c r="Q246" s="2691"/>
      <c r="R246" s="2624"/>
      <c r="S246" s="2624"/>
      <c r="T246" s="2626"/>
      <c r="U246" s="2625"/>
      <c r="V246" s="2644" t="str">
        <f t="shared" si="51"/>
        <v/>
      </c>
      <c r="W246" s="2644" t="str">
        <f t="shared" si="52"/>
        <v/>
      </c>
      <c r="X246" s="2644" t="str">
        <f t="shared" si="53"/>
        <v/>
      </c>
      <c r="Y246" s="2644" t="str">
        <f t="shared" si="50"/>
        <v/>
      </c>
      <c r="Z246" s="2642"/>
      <c r="AA246" s="2642"/>
      <c r="AB246" s="2642"/>
      <c r="AC246" s="2642"/>
      <c r="AD246" s="2642"/>
      <c r="AE246" s="2642"/>
      <c r="AF246" s="2642"/>
      <c r="AG246" s="2642"/>
      <c r="AH246" s="2642"/>
      <c r="AI246" s="2700"/>
      <c r="AJ246" s="2701"/>
    </row>
    <row r="247" spans="1:36" s="1118" customFormat="1" ht="15" hidden="1" outlineLevel="1">
      <c r="A247" s="2318"/>
      <c r="B247" s="3033"/>
      <c r="C247" s="3035"/>
      <c r="D247" s="3028"/>
      <c r="E247" s="3029"/>
      <c r="F247" s="2492" t="s">
        <v>3863</v>
      </c>
      <c r="G247" s="2478"/>
      <c r="H247" s="2619"/>
      <c r="I247" s="2620"/>
      <c r="J247" s="2620"/>
      <c r="K247" s="2620"/>
      <c r="L247" s="2620"/>
      <c r="M247" s="2623"/>
      <c r="N247" s="2623"/>
      <c r="O247" s="2624"/>
      <c r="P247" s="2624"/>
      <c r="Q247" s="2692"/>
      <c r="R247" s="2624"/>
      <c r="S247" s="2624"/>
      <c r="T247" s="2626"/>
      <c r="U247" s="2625"/>
      <c r="V247" s="2644" t="str">
        <f t="shared" si="51"/>
        <v/>
      </c>
      <c r="W247" s="2644" t="str">
        <f t="shared" si="52"/>
        <v/>
      </c>
      <c r="X247" s="2644" t="str">
        <f t="shared" si="53"/>
        <v/>
      </c>
      <c r="Y247" s="2644" t="str">
        <f t="shared" si="50"/>
        <v/>
      </c>
      <c r="Z247" s="2642"/>
      <c r="AA247" s="2642"/>
      <c r="AB247" s="2642"/>
      <c r="AC247" s="2642"/>
      <c r="AD247" s="2642"/>
      <c r="AE247" s="2642"/>
      <c r="AF247" s="2642"/>
      <c r="AG247" s="2642"/>
      <c r="AH247" s="2642"/>
      <c r="AI247" s="2700"/>
      <c r="AJ247" s="2701"/>
    </row>
    <row r="248" spans="1:36" s="1118" customFormat="1" ht="15" hidden="1" outlineLevel="1">
      <c r="A248" s="2318"/>
      <c r="B248" s="3033"/>
      <c r="C248" s="3035"/>
      <c r="D248" s="3028"/>
      <c r="E248" s="3029"/>
      <c r="F248" s="2494" t="s">
        <v>3864</v>
      </c>
      <c r="G248" s="2493"/>
      <c r="H248" s="2619"/>
      <c r="I248" s="2620"/>
      <c r="J248" s="2620"/>
      <c r="K248" s="2620"/>
      <c r="L248" s="2620"/>
      <c r="M248" s="2623"/>
      <c r="N248" s="2623"/>
      <c r="O248" s="2624"/>
      <c r="P248" s="2624"/>
      <c r="Q248" s="2692"/>
      <c r="R248" s="2624"/>
      <c r="S248" s="2624"/>
      <c r="T248" s="2626"/>
      <c r="U248" s="2625"/>
      <c r="V248" s="2644" t="str">
        <f t="shared" si="51"/>
        <v/>
      </c>
      <c r="W248" s="2644" t="str">
        <f t="shared" si="52"/>
        <v/>
      </c>
      <c r="X248" s="2644" t="str">
        <f t="shared" si="53"/>
        <v/>
      </c>
      <c r="Y248" s="2644" t="str">
        <f t="shared" si="50"/>
        <v/>
      </c>
      <c r="Z248" s="2642"/>
      <c r="AA248" s="2642"/>
      <c r="AB248" s="2642"/>
      <c r="AC248" s="2642"/>
      <c r="AD248" s="2642"/>
      <c r="AE248" s="2642"/>
      <c r="AF248" s="2642"/>
      <c r="AG248" s="2642"/>
      <c r="AH248" s="2642"/>
      <c r="AI248" s="2700"/>
      <c r="AJ248" s="2701"/>
    </row>
    <row r="249" spans="1:36" s="1118" customFormat="1" ht="15" hidden="1" outlineLevel="1">
      <c r="A249" s="2318"/>
      <c r="B249" s="3033"/>
      <c r="C249" s="3035"/>
      <c r="D249" s="3028"/>
      <c r="E249" s="3029"/>
      <c r="F249" s="2494" t="s">
        <v>3865</v>
      </c>
      <c r="G249" s="2493"/>
      <c r="H249" s="2619"/>
      <c r="I249" s="2620"/>
      <c r="J249" s="2620"/>
      <c r="K249" s="2620"/>
      <c r="L249" s="2620"/>
      <c r="M249" s="2623"/>
      <c r="N249" s="2623"/>
      <c r="O249" s="2624"/>
      <c r="P249" s="2624"/>
      <c r="Q249" s="2692"/>
      <c r="R249" s="2624"/>
      <c r="S249" s="2624"/>
      <c r="T249" s="2626"/>
      <c r="U249" s="2625"/>
      <c r="V249" s="2644" t="str">
        <f t="shared" si="51"/>
        <v/>
      </c>
      <c r="W249" s="2644" t="str">
        <f t="shared" si="52"/>
        <v/>
      </c>
      <c r="X249" s="2644" t="str">
        <f t="shared" si="53"/>
        <v/>
      </c>
      <c r="Y249" s="2644" t="str">
        <f t="shared" si="50"/>
        <v/>
      </c>
      <c r="Z249" s="2642"/>
      <c r="AA249" s="2642"/>
      <c r="AB249" s="2642"/>
      <c r="AC249" s="2642"/>
      <c r="AD249" s="2642"/>
      <c r="AE249" s="2642"/>
      <c r="AF249" s="2642"/>
      <c r="AG249" s="2642"/>
      <c r="AH249" s="2642"/>
      <c r="AI249" s="2700"/>
      <c r="AJ249" s="2701"/>
    </row>
    <row r="250" spans="1:36" s="1118" customFormat="1" ht="15.75" collapsed="1" thickBot="1">
      <c r="A250" s="2318"/>
      <c r="B250" s="3033"/>
      <c r="C250" s="3035"/>
      <c r="D250" s="3028" t="s">
        <v>2954</v>
      </c>
      <c r="E250" s="3029" t="s">
        <v>2950</v>
      </c>
      <c r="F250" s="2492" t="s">
        <v>3860</v>
      </c>
      <c r="G250" s="2478"/>
      <c r="H250" s="2693">
        <f>' (стр.15)'!F170*1000</f>
        <v>365</v>
      </c>
      <c r="I250" s="2693"/>
      <c r="J250" s="2693"/>
      <c r="K250" s="2693"/>
      <c r="L250" s="2699">
        <f>SUM(H250:J250)</f>
        <v>365</v>
      </c>
      <c r="M250" s="2693">
        <f>' (стр.15)'!G170</f>
        <v>80.7</v>
      </c>
      <c r="N250" s="2694"/>
      <c r="O250" s="2693"/>
      <c r="P250" s="2692"/>
      <c r="Q250" s="2699">
        <f>SUM(M250:O250)</f>
        <v>80.7</v>
      </c>
      <c r="R250" s="2693">
        <f>' (стр.15)'!P170/1000</f>
        <v>352.40364</v>
      </c>
      <c r="S250" s="2692"/>
      <c r="T250" s="2693"/>
      <c r="U250" s="2625"/>
      <c r="V250" s="2644">
        <f>IFERROR(R250*1000/(H250/1000),"")</f>
        <v>965489.42465753434</v>
      </c>
      <c r="W250" s="2644" t="str">
        <f t="shared" si="52"/>
        <v/>
      </c>
      <c r="X250" s="2644" t="str">
        <f t="shared" si="53"/>
        <v/>
      </c>
      <c r="Y250" s="2644" t="str">
        <f t="shared" si="50"/>
        <v/>
      </c>
      <c r="Z250" s="2645">
        <f>$Z$13</f>
        <v>1.0528</v>
      </c>
      <c r="AA250" s="2645">
        <f>$AA$13</f>
        <v>1.0589</v>
      </c>
      <c r="AB250" s="2645">
        <f>$AB$13</f>
        <v>1.0507936887282501</v>
      </c>
      <c r="AC250" s="2645">
        <f>$AC$13</f>
        <v>1.04657781587849</v>
      </c>
      <c r="AD250" s="2507">
        <f>IFERROR(V250*$Z$250*$AA$250*$AB$250*$AC$250,"")</f>
        <v>1183688.2218601715</v>
      </c>
      <c r="AE250" s="2507" t="str">
        <f>IFERROR(W250*$AA$238*$AB$238*$AC$238,"")</f>
        <v/>
      </c>
      <c r="AF250" s="2672" t="str">
        <f>IFERROR(X250*$AB$238*$AC$238,"")</f>
        <v/>
      </c>
      <c r="AG250" s="2642"/>
      <c r="AH250" s="2644">
        <f>SUM(AD250:AF250)</f>
        <v>1183688.2218601715</v>
      </c>
      <c r="AI250" s="2700">
        <f>AH250/1</f>
        <v>1183688.2218601715</v>
      </c>
      <c r="AJ250" s="2701">
        <f>IFERROR((AI250*L250/1000)/Q250,"")</f>
        <v>5353.7323541383221</v>
      </c>
    </row>
    <row r="251" spans="1:36" s="1118" customFormat="1" ht="15" hidden="1" outlineLevel="1">
      <c r="A251" s="2318"/>
      <c r="B251" s="3033"/>
      <c r="C251" s="3035"/>
      <c r="D251" s="3028"/>
      <c r="E251" s="3029"/>
      <c r="F251" s="2492" t="s">
        <v>3861</v>
      </c>
      <c r="G251" s="2478"/>
      <c r="H251" s="2637"/>
      <c r="I251" s="2638"/>
      <c r="J251" s="2638"/>
      <c r="K251" s="2638"/>
      <c r="L251" s="2638"/>
      <c r="M251" s="2666"/>
      <c r="N251" s="2666"/>
      <c r="O251" s="2629"/>
      <c r="P251" s="2629"/>
      <c r="Q251" s="2625"/>
      <c r="R251" s="2629"/>
      <c r="S251" s="2629"/>
      <c r="T251" s="2626"/>
      <c r="U251" s="2625"/>
      <c r="V251" s="2644" t="str">
        <f t="shared" si="51"/>
        <v/>
      </c>
      <c r="W251" s="2644" t="str">
        <f t="shared" si="52"/>
        <v/>
      </c>
      <c r="X251" s="2644" t="str">
        <f t="shared" si="53"/>
        <v/>
      </c>
      <c r="Y251" s="2644" t="str">
        <f t="shared" si="50"/>
        <v/>
      </c>
      <c r="Z251" s="2642"/>
      <c r="AA251" s="2642"/>
      <c r="AB251" s="2642"/>
      <c r="AC251" s="2642"/>
      <c r="AD251" s="2507" t="str">
        <f t="shared" ref="AD251:AD275" si="54">IFERROR(V251*$Z$13*$AA$13*$AB$13*$AC$13,"")</f>
        <v/>
      </c>
      <c r="AE251" s="2507" t="str">
        <f t="shared" ref="AE251:AE275" si="55">IFERROR(W251*$AA$13*$AB$13*$AC$13,"")</f>
        <v/>
      </c>
      <c r="AF251" s="2672" t="str">
        <f t="shared" ref="AF251:AF275" si="56">IFERROR(X251*$AB$13*$AC$13,"")</f>
        <v/>
      </c>
      <c r="AG251" s="2642"/>
      <c r="AH251" s="2599"/>
      <c r="AI251" s="2700"/>
      <c r="AJ251" s="2701"/>
    </row>
    <row r="252" spans="1:36" s="1118" customFormat="1" ht="15" hidden="1" outlineLevel="1">
      <c r="A252" s="2318"/>
      <c r="B252" s="3033"/>
      <c r="C252" s="3035"/>
      <c r="D252" s="3028"/>
      <c r="E252" s="3029"/>
      <c r="F252" s="2492" t="s">
        <v>3862</v>
      </c>
      <c r="G252" s="2478"/>
      <c r="H252" s="2695"/>
      <c r="I252" s="2695"/>
      <c r="J252" s="2695"/>
      <c r="K252" s="2695"/>
      <c r="L252" s="2695"/>
      <c r="M252" s="2696"/>
      <c r="N252" s="2696"/>
      <c r="O252" s="2625"/>
      <c r="P252" s="2625"/>
      <c r="Q252" s="2625"/>
      <c r="R252" s="2625"/>
      <c r="S252" s="2625"/>
      <c r="T252" s="2625"/>
      <c r="U252" s="2625"/>
      <c r="V252" s="2644" t="str">
        <f t="shared" si="51"/>
        <v/>
      </c>
      <c r="W252" s="2644" t="str">
        <f t="shared" si="52"/>
        <v/>
      </c>
      <c r="X252" s="2644" t="str">
        <f t="shared" si="53"/>
        <v/>
      </c>
      <c r="Y252" s="2644" t="str">
        <f t="shared" si="50"/>
        <v/>
      </c>
      <c r="Z252" s="2642"/>
      <c r="AA252" s="2642"/>
      <c r="AB252" s="2642"/>
      <c r="AC252" s="2642"/>
      <c r="AD252" s="2507" t="str">
        <f t="shared" si="54"/>
        <v/>
      </c>
      <c r="AE252" s="2507" t="str">
        <f t="shared" si="55"/>
        <v/>
      </c>
      <c r="AF252" s="2672" t="str">
        <f t="shared" si="56"/>
        <v/>
      </c>
      <c r="AG252" s="2642"/>
      <c r="AH252" s="2599"/>
      <c r="AI252" s="2700"/>
      <c r="AJ252" s="2701"/>
    </row>
    <row r="253" spans="1:36" s="1118" customFormat="1" ht="15" hidden="1" outlineLevel="1">
      <c r="A253" s="2318"/>
      <c r="B253" s="3033"/>
      <c r="C253" s="3035"/>
      <c r="D253" s="3028"/>
      <c r="E253" s="3029"/>
      <c r="F253" s="2492" t="s">
        <v>3863</v>
      </c>
      <c r="G253" s="2478"/>
      <c r="H253" s="2695"/>
      <c r="I253" s="2695"/>
      <c r="J253" s="2695"/>
      <c r="K253" s="2695"/>
      <c r="L253" s="2695"/>
      <c r="M253" s="2696"/>
      <c r="N253" s="2696"/>
      <c r="O253" s="2625"/>
      <c r="P253" s="2625"/>
      <c r="Q253" s="2625"/>
      <c r="R253" s="2625"/>
      <c r="S253" s="2625"/>
      <c r="T253" s="2625"/>
      <c r="U253" s="2625"/>
      <c r="V253" s="2644" t="str">
        <f t="shared" si="51"/>
        <v/>
      </c>
      <c r="W253" s="2644" t="str">
        <f t="shared" si="52"/>
        <v/>
      </c>
      <c r="X253" s="2644" t="str">
        <f t="shared" si="53"/>
        <v/>
      </c>
      <c r="Y253" s="2644" t="str">
        <f t="shared" si="50"/>
        <v/>
      </c>
      <c r="Z253" s="2642"/>
      <c r="AA253" s="2642"/>
      <c r="AB253" s="2642"/>
      <c r="AC253" s="2642"/>
      <c r="AD253" s="2507" t="str">
        <f t="shared" si="54"/>
        <v/>
      </c>
      <c r="AE253" s="2507" t="str">
        <f t="shared" si="55"/>
        <v/>
      </c>
      <c r="AF253" s="2672" t="str">
        <f t="shared" si="56"/>
        <v/>
      </c>
      <c r="AG253" s="2642"/>
      <c r="AH253" s="2599"/>
      <c r="AI253" s="2700"/>
      <c r="AJ253" s="2701"/>
    </row>
    <row r="254" spans="1:36" s="1118" customFormat="1" ht="15" hidden="1" outlineLevel="1">
      <c r="A254" s="2318"/>
      <c r="B254" s="3033"/>
      <c r="C254" s="3035"/>
      <c r="D254" s="3028"/>
      <c r="E254" s="3029"/>
      <c r="F254" s="2494" t="s">
        <v>3864</v>
      </c>
      <c r="G254" s="2493"/>
      <c r="H254" s="2695"/>
      <c r="I254" s="2695"/>
      <c r="J254" s="2695"/>
      <c r="K254" s="2695"/>
      <c r="L254" s="2695"/>
      <c r="M254" s="2696"/>
      <c r="N254" s="2696"/>
      <c r="O254" s="2625"/>
      <c r="P254" s="2625"/>
      <c r="Q254" s="2625"/>
      <c r="R254" s="2625"/>
      <c r="S254" s="2625"/>
      <c r="T254" s="2625"/>
      <c r="U254" s="2625"/>
      <c r="V254" s="2644" t="str">
        <f t="shared" si="51"/>
        <v/>
      </c>
      <c r="W254" s="2644" t="str">
        <f t="shared" si="52"/>
        <v/>
      </c>
      <c r="X254" s="2644" t="str">
        <f t="shared" si="53"/>
        <v/>
      </c>
      <c r="Y254" s="2644" t="str">
        <f t="shared" si="53"/>
        <v/>
      </c>
      <c r="Z254" s="2642"/>
      <c r="AA254" s="2642"/>
      <c r="AB254" s="2642"/>
      <c r="AC254" s="2642"/>
      <c r="AD254" s="2507" t="str">
        <f t="shared" si="54"/>
        <v/>
      </c>
      <c r="AE254" s="2507" t="str">
        <f t="shared" si="55"/>
        <v/>
      </c>
      <c r="AF254" s="2672" t="str">
        <f t="shared" si="56"/>
        <v/>
      </c>
      <c r="AG254" s="2642"/>
      <c r="AH254" s="2599"/>
      <c r="AI254" s="2700"/>
      <c r="AJ254" s="2701"/>
    </row>
    <row r="255" spans="1:36" s="1118" customFormat="1" ht="15" hidden="1" outlineLevel="1">
      <c r="A255" s="2318"/>
      <c r="B255" s="3033"/>
      <c r="C255" s="3035"/>
      <c r="D255" s="3028"/>
      <c r="E255" s="3029"/>
      <c r="F255" s="2494" t="s">
        <v>3865</v>
      </c>
      <c r="G255" s="2493"/>
      <c r="H255" s="2697"/>
      <c r="I255" s="2697"/>
      <c r="J255" s="2697"/>
      <c r="K255" s="2697"/>
      <c r="L255" s="2697"/>
      <c r="M255" s="2625"/>
      <c r="N255" s="2625"/>
      <c r="O255" s="2625"/>
      <c r="P255" s="2625"/>
      <c r="Q255" s="2625"/>
      <c r="R255" s="2625"/>
      <c r="S255" s="2625"/>
      <c r="T255" s="2625"/>
      <c r="U255" s="2625"/>
      <c r="V255" s="2644" t="str">
        <f t="shared" si="51"/>
        <v/>
      </c>
      <c r="W255" s="2644" t="str">
        <f t="shared" si="52"/>
        <v/>
      </c>
      <c r="X255" s="2644" t="str">
        <f t="shared" si="53"/>
        <v/>
      </c>
      <c r="Y255" s="2644" t="str">
        <f t="shared" si="53"/>
        <v/>
      </c>
      <c r="Z255" s="2642"/>
      <c r="AA255" s="2642"/>
      <c r="AB255" s="2642"/>
      <c r="AC255" s="2642"/>
      <c r="AD255" s="2507" t="str">
        <f t="shared" si="54"/>
        <v/>
      </c>
      <c r="AE255" s="2507" t="str">
        <f t="shared" si="55"/>
        <v/>
      </c>
      <c r="AF255" s="2672" t="str">
        <f t="shared" si="56"/>
        <v/>
      </c>
      <c r="AG255" s="2642"/>
      <c r="AH255" s="2599"/>
      <c r="AI255" s="2700"/>
      <c r="AJ255" s="2701"/>
    </row>
    <row r="256" spans="1:36" s="1118" customFormat="1" ht="15" hidden="1" outlineLevel="1">
      <c r="A256" s="2318"/>
      <c r="B256" s="3033"/>
      <c r="C256" s="3035"/>
      <c r="D256" s="3028"/>
      <c r="E256" s="3029" t="s">
        <v>2946</v>
      </c>
      <c r="F256" s="2492" t="s">
        <v>3860</v>
      </c>
      <c r="G256" s="2478"/>
      <c r="H256" s="2697"/>
      <c r="I256" s="2697"/>
      <c r="J256" s="2697"/>
      <c r="K256" s="2697"/>
      <c r="L256" s="2697"/>
      <c r="M256" s="2625"/>
      <c r="N256" s="2625"/>
      <c r="O256" s="2625"/>
      <c r="P256" s="2625"/>
      <c r="Q256" s="2625"/>
      <c r="R256" s="2625"/>
      <c r="S256" s="2625"/>
      <c r="T256" s="2625"/>
      <c r="U256" s="2625"/>
      <c r="V256" s="2644" t="str">
        <f t="shared" si="51"/>
        <v/>
      </c>
      <c r="W256" s="2644" t="str">
        <f t="shared" si="52"/>
        <v/>
      </c>
      <c r="X256" s="2644" t="str">
        <f t="shared" si="53"/>
        <v/>
      </c>
      <c r="Y256" s="2644" t="str">
        <f t="shared" si="53"/>
        <v/>
      </c>
      <c r="Z256" s="2642"/>
      <c r="AA256" s="2642"/>
      <c r="AB256" s="2642"/>
      <c r="AC256" s="2642"/>
      <c r="AD256" s="2507" t="str">
        <f t="shared" si="54"/>
        <v/>
      </c>
      <c r="AE256" s="2507" t="str">
        <f t="shared" si="55"/>
        <v/>
      </c>
      <c r="AF256" s="2672" t="str">
        <f t="shared" si="56"/>
        <v/>
      </c>
      <c r="AG256" s="2642"/>
      <c r="AH256" s="2599"/>
      <c r="AI256" s="2700"/>
      <c r="AJ256" s="2701"/>
    </row>
    <row r="257" spans="1:36" s="1118" customFormat="1" ht="15" hidden="1" outlineLevel="1">
      <c r="A257" s="2318"/>
      <c r="B257" s="3033"/>
      <c r="C257" s="3035"/>
      <c r="D257" s="3028"/>
      <c r="E257" s="3029"/>
      <c r="F257" s="2492" t="s">
        <v>3861</v>
      </c>
      <c r="G257" s="2478"/>
      <c r="H257" s="2697"/>
      <c r="I257" s="2697"/>
      <c r="J257" s="2697"/>
      <c r="K257" s="2697"/>
      <c r="L257" s="2697"/>
      <c r="M257" s="2625"/>
      <c r="N257" s="2625"/>
      <c r="O257" s="2625"/>
      <c r="P257" s="2625"/>
      <c r="Q257" s="2625"/>
      <c r="R257" s="2625"/>
      <c r="S257" s="2625"/>
      <c r="T257" s="2625"/>
      <c r="U257" s="2625"/>
      <c r="V257" s="2644" t="str">
        <f t="shared" si="51"/>
        <v/>
      </c>
      <c r="W257" s="2644" t="str">
        <f t="shared" si="52"/>
        <v/>
      </c>
      <c r="X257" s="2644" t="str">
        <f t="shared" si="53"/>
        <v/>
      </c>
      <c r="Y257" s="2644" t="str">
        <f t="shared" si="53"/>
        <v/>
      </c>
      <c r="Z257" s="2642"/>
      <c r="AA257" s="2642"/>
      <c r="AB257" s="2642"/>
      <c r="AC257" s="2642"/>
      <c r="AD257" s="2507" t="str">
        <f t="shared" si="54"/>
        <v/>
      </c>
      <c r="AE257" s="2507" t="str">
        <f t="shared" si="55"/>
        <v/>
      </c>
      <c r="AF257" s="2672" t="str">
        <f t="shared" si="56"/>
        <v/>
      </c>
      <c r="AG257" s="2642"/>
      <c r="AH257" s="2599"/>
      <c r="AI257" s="2700"/>
      <c r="AJ257" s="2701"/>
    </row>
    <row r="258" spans="1:36" s="1118" customFormat="1" ht="15" hidden="1" outlineLevel="1">
      <c r="A258" s="2318"/>
      <c r="B258" s="3033"/>
      <c r="C258" s="3035"/>
      <c r="D258" s="3028"/>
      <c r="E258" s="3029"/>
      <c r="F258" s="2492" t="s">
        <v>3862</v>
      </c>
      <c r="G258" s="2478"/>
      <c r="H258" s="2697"/>
      <c r="I258" s="2697"/>
      <c r="J258" s="2697"/>
      <c r="K258" s="2697"/>
      <c r="L258" s="2697"/>
      <c r="M258" s="2625"/>
      <c r="N258" s="2625"/>
      <c r="O258" s="2625"/>
      <c r="P258" s="2625"/>
      <c r="Q258" s="2625"/>
      <c r="R258" s="2625"/>
      <c r="S258" s="2625"/>
      <c r="T258" s="2625"/>
      <c r="U258" s="2625"/>
      <c r="V258" s="2644" t="str">
        <f t="shared" si="51"/>
        <v/>
      </c>
      <c r="W258" s="2644" t="str">
        <f t="shared" si="52"/>
        <v/>
      </c>
      <c r="X258" s="2644" t="str">
        <f t="shared" si="53"/>
        <v/>
      </c>
      <c r="Y258" s="2644" t="str">
        <f t="shared" si="53"/>
        <v/>
      </c>
      <c r="Z258" s="2642"/>
      <c r="AA258" s="2642"/>
      <c r="AB258" s="2642"/>
      <c r="AC258" s="2642"/>
      <c r="AD258" s="2507" t="str">
        <f t="shared" si="54"/>
        <v/>
      </c>
      <c r="AE258" s="2507" t="str">
        <f t="shared" si="55"/>
        <v/>
      </c>
      <c r="AF258" s="2672" t="str">
        <f t="shared" si="56"/>
        <v/>
      </c>
      <c r="AG258" s="2642"/>
      <c r="AH258" s="2599"/>
      <c r="AI258" s="2700"/>
      <c r="AJ258" s="2701"/>
    </row>
    <row r="259" spans="1:36" s="1118" customFormat="1" ht="15" hidden="1" outlineLevel="1">
      <c r="A259" s="2318"/>
      <c r="B259" s="3033"/>
      <c r="C259" s="3035"/>
      <c r="D259" s="3028"/>
      <c r="E259" s="3029"/>
      <c r="F259" s="2492" t="s">
        <v>3863</v>
      </c>
      <c r="G259" s="2478"/>
      <c r="H259" s="2697"/>
      <c r="I259" s="2697"/>
      <c r="J259" s="2697"/>
      <c r="K259" s="2697"/>
      <c r="L259" s="2697"/>
      <c r="M259" s="2625"/>
      <c r="N259" s="2625"/>
      <c r="O259" s="2625"/>
      <c r="P259" s="2625"/>
      <c r="Q259" s="2625"/>
      <c r="R259" s="2625"/>
      <c r="S259" s="2625"/>
      <c r="T259" s="2625"/>
      <c r="U259" s="2625"/>
      <c r="V259" s="2644" t="str">
        <f t="shared" si="51"/>
        <v/>
      </c>
      <c r="W259" s="2644" t="str">
        <f t="shared" si="52"/>
        <v/>
      </c>
      <c r="X259" s="2644" t="str">
        <f t="shared" si="53"/>
        <v/>
      </c>
      <c r="Y259" s="2644" t="str">
        <f t="shared" si="53"/>
        <v/>
      </c>
      <c r="Z259" s="2642"/>
      <c r="AA259" s="2642"/>
      <c r="AB259" s="2642"/>
      <c r="AC259" s="2642"/>
      <c r="AD259" s="2507" t="str">
        <f t="shared" si="54"/>
        <v/>
      </c>
      <c r="AE259" s="2507" t="str">
        <f t="shared" si="55"/>
        <v/>
      </c>
      <c r="AF259" s="2672" t="str">
        <f t="shared" si="56"/>
        <v/>
      </c>
      <c r="AG259" s="2642"/>
      <c r="AH259" s="2599"/>
      <c r="AI259" s="2700"/>
      <c r="AJ259" s="2701"/>
    </row>
    <row r="260" spans="1:36" s="1118" customFormat="1" ht="15" hidden="1" outlineLevel="1">
      <c r="A260" s="2318"/>
      <c r="B260" s="3033"/>
      <c r="C260" s="3035"/>
      <c r="D260" s="3028"/>
      <c r="E260" s="3029"/>
      <c r="F260" s="2494" t="s">
        <v>3864</v>
      </c>
      <c r="G260" s="2493"/>
      <c r="H260" s="2697"/>
      <c r="I260" s="2697"/>
      <c r="J260" s="2697"/>
      <c r="K260" s="2697"/>
      <c r="L260" s="2697"/>
      <c r="M260" s="2625"/>
      <c r="N260" s="2625"/>
      <c r="O260" s="2625"/>
      <c r="P260" s="2625"/>
      <c r="Q260" s="2625"/>
      <c r="R260" s="2625"/>
      <c r="S260" s="2625"/>
      <c r="T260" s="2625"/>
      <c r="U260" s="2625"/>
      <c r="V260" s="2644" t="str">
        <f t="shared" si="51"/>
        <v/>
      </c>
      <c r="W260" s="2644" t="str">
        <f t="shared" si="52"/>
        <v/>
      </c>
      <c r="X260" s="2644" t="str">
        <f t="shared" si="53"/>
        <v/>
      </c>
      <c r="Y260" s="2644" t="str">
        <f t="shared" si="53"/>
        <v/>
      </c>
      <c r="Z260" s="2642"/>
      <c r="AA260" s="2642"/>
      <c r="AB260" s="2642"/>
      <c r="AC260" s="2642"/>
      <c r="AD260" s="2507" t="str">
        <f t="shared" si="54"/>
        <v/>
      </c>
      <c r="AE260" s="2507" t="str">
        <f t="shared" si="55"/>
        <v/>
      </c>
      <c r="AF260" s="2672" t="str">
        <f t="shared" si="56"/>
        <v/>
      </c>
      <c r="AG260" s="2642"/>
      <c r="AH260" s="2599"/>
      <c r="AI260" s="2700"/>
      <c r="AJ260" s="2701"/>
    </row>
    <row r="261" spans="1:36" s="1118" customFormat="1" ht="15" hidden="1" outlineLevel="1">
      <c r="A261" s="2318"/>
      <c r="B261" s="3033"/>
      <c r="C261" s="3035"/>
      <c r="D261" s="3028"/>
      <c r="E261" s="3029"/>
      <c r="F261" s="2494" t="s">
        <v>3865</v>
      </c>
      <c r="G261" s="2493"/>
      <c r="H261" s="2697"/>
      <c r="I261" s="2697"/>
      <c r="J261" s="2697"/>
      <c r="K261" s="2697"/>
      <c r="L261" s="2697"/>
      <c r="M261" s="2625"/>
      <c r="N261" s="2625"/>
      <c r="O261" s="2625"/>
      <c r="P261" s="2625"/>
      <c r="Q261" s="2625"/>
      <c r="R261" s="2625"/>
      <c r="S261" s="2625"/>
      <c r="T261" s="2625"/>
      <c r="U261" s="2625"/>
      <c r="V261" s="2644" t="str">
        <f t="shared" si="51"/>
        <v/>
      </c>
      <c r="W261" s="2644" t="str">
        <f t="shared" si="52"/>
        <v/>
      </c>
      <c r="X261" s="2644" t="str">
        <f t="shared" si="53"/>
        <v/>
      </c>
      <c r="Y261" s="2644" t="str">
        <f t="shared" si="53"/>
        <v/>
      </c>
      <c r="Z261" s="2642"/>
      <c r="AA261" s="2642"/>
      <c r="AB261" s="2642"/>
      <c r="AC261" s="2642"/>
      <c r="AD261" s="2507" t="str">
        <f t="shared" si="54"/>
        <v/>
      </c>
      <c r="AE261" s="2507" t="str">
        <f t="shared" si="55"/>
        <v/>
      </c>
      <c r="AF261" s="2672" t="str">
        <f t="shared" si="56"/>
        <v/>
      </c>
      <c r="AG261" s="2642"/>
      <c r="AH261" s="2599"/>
      <c r="AI261" s="2700"/>
      <c r="AJ261" s="2701"/>
    </row>
    <row r="262" spans="1:36" s="1118" customFormat="1" ht="15.75" hidden="1" outlineLevel="1" thickBot="1">
      <c r="A262" s="2318"/>
      <c r="B262" s="3023" t="s">
        <v>2948</v>
      </c>
      <c r="C262" s="3026" t="s">
        <v>3859</v>
      </c>
      <c r="D262" s="3028" t="s">
        <v>2949</v>
      </c>
      <c r="E262" s="3029" t="s">
        <v>2950</v>
      </c>
      <c r="F262" s="2492" t="s">
        <v>3860</v>
      </c>
      <c r="G262" s="2478"/>
      <c r="H262" s="2697"/>
      <c r="I262" s="2697"/>
      <c r="J262" s="2697"/>
      <c r="K262" s="2697"/>
      <c r="L262" s="2697"/>
      <c r="M262" s="2625"/>
      <c r="N262" s="2625"/>
      <c r="O262" s="2625"/>
      <c r="P262" s="2625"/>
      <c r="Q262" s="2625"/>
      <c r="R262" s="2625"/>
      <c r="S262" s="2625"/>
      <c r="T262" s="2625"/>
      <c r="U262" s="2625"/>
      <c r="V262" s="2644" t="str">
        <f t="shared" si="51"/>
        <v/>
      </c>
      <c r="W262" s="2644" t="str">
        <f t="shared" si="52"/>
        <v/>
      </c>
      <c r="X262" s="2644" t="str">
        <f t="shared" si="53"/>
        <v/>
      </c>
      <c r="Y262" s="2644" t="str">
        <f t="shared" si="53"/>
        <v/>
      </c>
      <c r="Z262" s="2642"/>
      <c r="AA262" s="2642"/>
      <c r="AB262" s="2642"/>
      <c r="AC262" s="2642"/>
      <c r="AD262" s="2507" t="str">
        <f t="shared" si="54"/>
        <v/>
      </c>
      <c r="AE262" s="2507" t="str">
        <f t="shared" si="55"/>
        <v/>
      </c>
      <c r="AF262" s="2672" t="str">
        <f t="shared" si="56"/>
        <v/>
      </c>
      <c r="AG262" s="2642"/>
      <c r="AH262" s="2599"/>
      <c r="AI262" s="2700"/>
      <c r="AJ262" s="2701"/>
    </row>
    <row r="263" spans="1:36" s="1118" customFormat="1" ht="15.75" hidden="1" outlineLevel="1" thickBot="1">
      <c r="A263" s="2318"/>
      <c r="B263" s="3024"/>
      <c r="C263" s="3027"/>
      <c r="D263" s="3028"/>
      <c r="E263" s="3029"/>
      <c r="F263" s="2492" t="s">
        <v>3861</v>
      </c>
      <c r="G263" s="2478"/>
      <c r="H263" s="2697"/>
      <c r="I263" s="2697"/>
      <c r="J263" s="2697"/>
      <c r="K263" s="2697"/>
      <c r="L263" s="2697"/>
      <c r="M263" s="2625"/>
      <c r="N263" s="2625"/>
      <c r="O263" s="2625"/>
      <c r="P263" s="2625"/>
      <c r="Q263" s="2625"/>
      <c r="R263" s="2625"/>
      <c r="S263" s="2625"/>
      <c r="T263" s="2625"/>
      <c r="U263" s="2625"/>
      <c r="V263" s="2644" t="str">
        <f t="shared" si="51"/>
        <v/>
      </c>
      <c r="W263" s="2644" t="str">
        <f t="shared" si="52"/>
        <v/>
      </c>
      <c r="X263" s="2644" t="str">
        <f t="shared" si="53"/>
        <v/>
      </c>
      <c r="Y263" s="2644" t="str">
        <f t="shared" si="53"/>
        <v/>
      </c>
      <c r="Z263" s="2642"/>
      <c r="AA263" s="2642"/>
      <c r="AB263" s="2642"/>
      <c r="AC263" s="2642"/>
      <c r="AD263" s="2507" t="str">
        <f t="shared" si="54"/>
        <v/>
      </c>
      <c r="AE263" s="2507" t="str">
        <f t="shared" si="55"/>
        <v/>
      </c>
      <c r="AF263" s="2672" t="str">
        <f t="shared" si="56"/>
        <v/>
      </c>
      <c r="AG263" s="2642"/>
      <c r="AH263" s="2599"/>
      <c r="AI263" s="2700"/>
      <c r="AJ263" s="2701"/>
    </row>
    <row r="264" spans="1:36" s="1118" customFormat="1" ht="15.75" hidden="1" outlineLevel="1" thickBot="1">
      <c r="A264" s="2318"/>
      <c r="B264" s="3024"/>
      <c r="C264" s="3027"/>
      <c r="D264" s="3028"/>
      <c r="E264" s="3029"/>
      <c r="F264" s="2492" t="s">
        <v>3862</v>
      </c>
      <c r="G264" s="2478"/>
      <c r="H264" s="2697"/>
      <c r="I264" s="2697"/>
      <c r="J264" s="2697"/>
      <c r="K264" s="2697"/>
      <c r="L264" s="2697"/>
      <c r="M264" s="2625"/>
      <c r="N264" s="2625"/>
      <c r="O264" s="2625"/>
      <c r="P264" s="2625"/>
      <c r="Q264" s="2625"/>
      <c r="R264" s="2625"/>
      <c r="S264" s="2625"/>
      <c r="T264" s="2625"/>
      <c r="U264" s="2625"/>
      <c r="V264" s="2644" t="str">
        <f t="shared" si="51"/>
        <v/>
      </c>
      <c r="W264" s="2644" t="str">
        <f t="shared" si="52"/>
        <v/>
      </c>
      <c r="X264" s="2644" t="str">
        <f t="shared" si="53"/>
        <v/>
      </c>
      <c r="Y264" s="2644" t="str">
        <f t="shared" si="53"/>
        <v/>
      </c>
      <c r="Z264" s="2642"/>
      <c r="AA264" s="2642"/>
      <c r="AB264" s="2642"/>
      <c r="AC264" s="2642"/>
      <c r="AD264" s="2507" t="str">
        <f t="shared" si="54"/>
        <v/>
      </c>
      <c r="AE264" s="2507" t="str">
        <f t="shared" si="55"/>
        <v/>
      </c>
      <c r="AF264" s="2672" t="str">
        <f t="shared" si="56"/>
        <v/>
      </c>
      <c r="AG264" s="2642"/>
      <c r="AH264" s="2599"/>
      <c r="AI264" s="2700"/>
      <c r="AJ264" s="2701"/>
    </row>
    <row r="265" spans="1:36" s="1118" customFormat="1" ht="15.75" hidden="1" outlineLevel="1" thickBot="1">
      <c r="A265" s="2318"/>
      <c r="B265" s="3024"/>
      <c r="C265" s="3027"/>
      <c r="D265" s="3028"/>
      <c r="E265" s="3029"/>
      <c r="F265" s="2492" t="s">
        <v>3863</v>
      </c>
      <c r="G265" s="2478"/>
      <c r="H265" s="2697"/>
      <c r="I265" s="2697"/>
      <c r="J265" s="2697"/>
      <c r="K265" s="2697"/>
      <c r="L265" s="2697"/>
      <c r="M265" s="2625"/>
      <c r="N265" s="2625"/>
      <c r="O265" s="2625"/>
      <c r="P265" s="2625"/>
      <c r="Q265" s="2625"/>
      <c r="R265" s="2625"/>
      <c r="S265" s="2625"/>
      <c r="T265" s="2625"/>
      <c r="U265" s="2625"/>
      <c r="V265" s="2644" t="str">
        <f t="shared" si="51"/>
        <v/>
      </c>
      <c r="W265" s="2644" t="str">
        <f t="shared" si="52"/>
        <v/>
      </c>
      <c r="X265" s="2644" t="str">
        <f t="shared" si="53"/>
        <v/>
      </c>
      <c r="Y265" s="2644" t="str">
        <f t="shared" si="53"/>
        <v/>
      </c>
      <c r="Z265" s="2642"/>
      <c r="AA265" s="2642"/>
      <c r="AB265" s="2642"/>
      <c r="AC265" s="2642"/>
      <c r="AD265" s="2507" t="str">
        <f t="shared" si="54"/>
        <v/>
      </c>
      <c r="AE265" s="2507" t="str">
        <f t="shared" si="55"/>
        <v/>
      </c>
      <c r="AF265" s="2672" t="str">
        <f t="shared" si="56"/>
        <v/>
      </c>
      <c r="AG265" s="2642"/>
      <c r="AH265" s="2599"/>
      <c r="AI265" s="2700"/>
      <c r="AJ265" s="2701"/>
    </row>
    <row r="266" spans="1:36" s="1118" customFormat="1" ht="15.75" hidden="1" outlineLevel="1" thickBot="1">
      <c r="A266" s="2318"/>
      <c r="B266" s="3024"/>
      <c r="C266" s="3027"/>
      <c r="D266" s="3028"/>
      <c r="E266" s="3029"/>
      <c r="F266" s="2494" t="s">
        <v>3864</v>
      </c>
      <c r="G266" s="2493"/>
      <c r="H266" s="2697"/>
      <c r="I266" s="2697"/>
      <c r="J266" s="2697"/>
      <c r="K266" s="2697"/>
      <c r="L266" s="2697"/>
      <c r="M266" s="2625"/>
      <c r="N266" s="2625"/>
      <c r="O266" s="2625"/>
      <c r="P266" s="2625"/>
      <c r="Q266" s="2625"/>
      <c r="R266" s="2625"/>
      <c r="S266" s="2625"/>
      <c r="T266" s="2625"/>
      <c r="U266" s="2625"/>
      <c r="V266" s="2644" t="str">
        <f t="shared" si="51"/>
        <v/>
      </c>
      <c r="W266" s="2644" t="str">
        <f t="shared" si="52"/>
        <v/>
      </c>
      <c r="X266" s="2644" t="str">
        <f t="shared" si="53"/>
        <v/>
      </c>
      <c r="Y266" s="2644" t="str">
        <f t="shared" si="53"/>
        <v/>
      </c>
      <c r="Z266" s="2642"/>
      <c r="AA266" s="2642"/>
      <c r="AB266" s="2642"/>
      <c r="AC266" s="2642"/>
      <c r="AD266" s="2507" t="str">
        <f t="shared" si="54"/>
        <v/>
      </c>
      <c r="AE266" s="2507" t="str">
        <f t="shared" si="55"/>
        <v/>
      </c>
      <c r="AF266" s="2672" t="str">
        <f t="shared" si="56"/>
        <v/>
      </c>
      <c r="AG266" s="2642"/>
      <c r="AH266" s="2599"/>
      <c r="AI266" s="2700"/>
      <c r="AJ266" s="2701"/>
    </row>
    <row r="267" spans="1:36" s="1118" customFormat="1" ht="15.75" hidden="1" outlineLevel="1" thickBot="1">
      <c r="A267" s="2318"/>
      <c r="B267" s="3024"/>
      <c r="C267" s="3027"/>
      <c r="D267" s="3028"/>
      <c r="E267" s="3029"/>
      <c r="F267" s="2494" t="s">
        <v>3865</v>
      </c>
      <c r="G267" s="2493"/>
      <c r="H267" s="2697"/>
      <c r="I267" s="2697"/>
      <c r="J267" s="2697"/>
      <c r="K267" s="2697"/>
      <c r="L267" s="2697"/>
      <c r="M267" s="2625"/>
      <c r="N267" s="2625"/>
      <c r="O267" s="2625"/>
      <c r="P267" s="2625"/>
      <c r="Q267" s="2625"/>
      <c r="R267" s="2625"/>
      <c r="S267" s="2625"/>
      <c r="T267" s="2625"/>
      <c r="U267" s="2625"/>
      <c r="V267" s="2644" t="str">
        <f t="shared" si="51"/>
        <v/>
      </c>
      <c r="W267" s="2644" t="str">
        <f t="shared" si="52"/>
        <v/>
      </c>
      <c r="X267" s="2644" t="str">
        <f t="shared" si="53"/>
        <v/>
      </c>
      <c r="Y267" s="2644" t="str">
        <f t="shared" si="53"/>
        <v/>
      </c>
      <c r="Z267" s="2642"/>
      <c r="AA267" s="2642"/>
      <c r="AB267" s="2642"/>
      <c r="AC267" s="2642"/>
      <c r="AD267" s="2507" t="str">
        <f t="shared" si="54"/>
        <v/>
      </c>
      <c r="AE267" s="2507" t="str">
        <f t="shared" si="55"/>
        <v/>
      </c>
      <c r="AF267" s="2672" t="str">
        <f t="shared" si="56"/>
        <v/>
      </c>
      <c r="AG267" s="2642"/>
      <c r="AH267" s="2599"/>
      <c r="AI267" s="2700"/>
      <c r="AJ267" s="2701"/>
    </row>
    <row r="268" spans="1:36" s="1118" customFormat="1" ht="15.75" hidden="1" outlineLevel="1" thickBot="1">
      <c r="A268" s="2318"/>
      <c r="B268" s="3024"/>
      <c r="C268" s="3027"/>
      <c r="D268" s="3028"/>
      <c r="E268" s="3029" t="s">
        <v>2946</v>
      </c>
      <c r="F268" s="2492" t="s">
        <v>3860</v>
      </c>
      <c r="G268" s="2478"/>
      <c r="H268" s="2627"/>
      <c r="I268" s="2628"/>
      <c r="J268" s="2628"/>
      <c r="K268" s="2628"/>
      <c r="L268" s="2627"/>
      <c r="M268" s="2627"/>
      <c r="N268" s="2628"/>
      <c r="O268" s="2628"/>
      <c r="P268" s="2629"/>
      <c r="Q268" s="2698"/>
      <c r="R268" s="2630"/>
      <c r="S268" s="2631"/>
      <c r="T268" s="2631"/>
      <c r="U268" s="2625"/>
      <c r="V268" s="2644" t="str">
        <f t="shared" si="51"/>
        <v/>
      </c>
      <c r="W268" s="2644" t="str">
        <f t="shared" si="52"/>
        <v/>
      </c>
      <c r="X268" s="2644" t="str">
        <f t="shared" si="53"/>
        <v/>
      </c>
      <c r="Y268" s="2644" t="str">
        <f t="shared" si="53"/>
        <v/>
      </c>
      <c r="Z268" s="2642"/>
      <c r="AA268" s="2642"/>
      <c r="AB268" s="2642"/>
      <c r="AC268" s="2642"/>
      <c r="AD268" s="2507" t="str">
        <f t="shared" si="54"/>
        <v/>
      </c>
      <c r="AE268" s="2507" t="str">
        <f t="shared" si="55"/>
        <v/>
      </c>
      <c r="AF268" s="2672" t="str">
        <f t="shared" si="56"/>
        <v/>
      </c>
      <c r="AG268" s="2642"/>
      <c r="AH268" s="2599"/>
      <c r="AI268" s="2700"/>
      <c r="AJ268" s="2701"/>
    </row>
    <row r="269" spans="1:36" s="1118" customFormat="1" ht="15.75" hidden="1" outlineLevel="1" thickBot="1">
      <c r="A269" s="2318"/>
      <c r="B269" s="3024"/>
      <c r="C269" s="3027"/>
      <c r="D269" s="3028"/>
      <c r="E269" s="3029"/>
      <c r="F269" s="2492" t="s">
        <v>3861</v>
      </c>
      <c r="G269" s="2478"/>
      <c r="H269" s="2627"/>
      <c r="I269" s="2628"/>
      <c r="J269" s="2628"/>
      <c r="K269" s="2628"/>
      <c r="L269" s="2627"/>
      <c r="M269" s="2627"/>
      <c r="N269" s="2628"/>
      <c r="O269" s="2629"/>
      <c r="P269" s="2629"/>
      <c r="Q269" s="2698"/>
      <c r="R269" s="2630"/>
      <c r="S269" s="2631"/>
      <c r="T269" s="2626"/>
      <c r="U269" s="2625"/>
      <c r="V269" s="2644" t="str">
        <f t="shared" si="51"/>
        <v/>
      </c>
      <c r="W269" s="2644" t="str">
        <f t="shared" si="52"/>
        <v/>
      </c>
      <c r="X269" s="2644" t="str">
        <f t="shared" si="53"/>
        <v/>
      </c>
      <c r="Y269" s="2644" t="str">
        <f t="shared" si="53"/>
        <v/>
      </c>
      <c r="Z269" s="2642"/>
      <c r="AA269" s="2642"/>
      <c r="AB269" s="2642"/>
      <c r="AC269" s="2642"/>
      <c r="AD269" s="2507" t="str">
        <f t="shared" si="54"/>
        <v/>
      </c>
      <c r="AE269" s="2507" t="str">
        <f t="shared" si="55"/>
        <v/>
      </c>
      <c r="AF269" s="2672" t="str">
        <f t="shared" si="56"/>
        <v/>
      </c>
      <c r="AG269" s="2642"/>
      <c r="AH269" s="2599"/>
      <c r="AI269" s="2700"/>
      <c r="AJ269" s="2702" t="str">
        <f t="shared" ref="AJ269" si="57">IFERROR((AI269*L269/1000)/Q269,"")</f>
        <v/>
      </c>
    </row>
    <row r="270" spans="1:36" s="1118" customFormat="1" ht="15.75" hidden="1" outlineLevel="1" thickBot="1">
      <c r="A270" s="2318"/>
      <c r="B270" s="3024"/>
      <c r="C270" s="3027"/>
      <c r="D270" s="3028"/>
      <c r="E270" s="3029"/>
      <c r="F270" s="2492" t="s">
        <v>3862</v>
      </c>
      <c r="G270" s="2478"/>
      <c r="H270" s="2627"/>
      <c r="I270" s="2628"/>
      <c r="J270" s="2628"/>
      <c r="K270" s="2628"/>
      <c r="L270" s="2628"/>
      <c r="M270" s="2629"/>
      <c r="N270" s="2629"/>
      <c r="O270" s="2629"/>
      <c r="P270" s="2629"/>
      <c r="Q270" s="2625"/>
      <c r="R270" s="2629"/>
      <c r="S270" s="2629"/>
      <c r="T270" s="2626"/>
      <c r="U270" s="2625"/>
      <c r="V270" s="2644" t="str">
        <f t="shared" si="51"/>
        <v/>
      </c>
      <c r="W270" s="2644" t="str">
        <f t="shared" si="52"/>
        <v/>
      </c>
      <c r="X270" s="2644" t="str">
        <f t="shared" si="53"/>
        <v/>
      </c>
      <c r="Y270" s="2644" t="str">
        <f t="shared" si="53"/>
        <v/>
      </c>
      <c r="Z270" s="2642"/>
      <c r="AA270" s="2642"/>
      <c r="AB270" s="2642"/>
      <c r="AC270" s="2642"/>
      <c r="AD270" s="2507" t="str">
        <f t="shared" si="54"/>
        <v/>
      </c>
      <c r="AE270" s="2507" t="str">
        <f t="shared" si="55"/>
        <v/>
      </c>
      <c r="AF270" s="2672" t="str">
        <f t="shared" si="56"/>
        <v/>
      </c>
      <c r="AG270" s="2642"/>
      <c r="AH270" s="2599"/>
      <c r="AI270" s="2700"/>
      <c r="AJ270" s="2701"/>
    </row>
    <row r="271" spans="1:36" s="1118" customFormat="1" ht="15.75" hidden="1" outlineLevel="1" thickBot="1">
      <c r="A271" s="2318"/>
      <c r="B271" s="3024"/>
      <c r="C271" s="3027"/>
      <c r="D271" s="3028"/>
      <c r="E271" s="3029"/>
      <c r="F271" s="2492" t="s">
        <v>3863</v>
      </c>
      <c r="G271" s="2478"/>
      <c r="H271" s="2627"/>
      <c r="I271" s="2628"/>
      <c r="J271" s="2628"/>
      <c r="K271" s="2628"/>
      <c r="L271" s="2628"/>
      <c r="M271" s="2629"/>
      <c r="N271" s="2629"/>
      <c r="O271" s="2629"/>
      <c r="P271" s="2629"/>
      <c r="Q271" s="2625"/>
      <c r="R271" s="2629"/>
      <c r="S271" s="2629"/>
      <c r="T271" s="2626"/>
      <c r="U271" s="2625"/>
      <c r="V271" s="2644" t="str">
        <f t="shared" si="51"/>
        <v/>
      </c>
      <c r="W271" s="2644" t="str">
        <f t="shared" si="52"/>
        <v/>
      </c>
      <c r="X271" s="2644" t="str">
        <f t="shared" si="53"/>
        <v/>
      </c>
      <c r="Y271" s="2644" t="str">
        <f t="shared" si="53"/>
        <v/>
      </c>
      <c r="Z271" s="2642"/>
      <c r="AA271" s="2642"/>
      <c r="AB271" s="2642"/>
      <c r="AC271" s="2642"/>
      <c r="AD271" s="2507" t="str">
        <f t="shared" si="54"/>
        <v/>
      </c>
      <c r="AE271" s="2507" t="str">
        <f t="shared" si="55"/>
        <v/>
      </c>
      <c r="AF271" s="2672" t="str">
        <f t="shared" si="56"/>
        <v/>
      </c>
      <c r="AG271" s="2642"/>
      <c r="AH271" s="2599"/>
      <c r="AI271" s="2700"/>
      <c r="AJ271" s="2701"/>
    </row>
    <row r="272" spans="1:36" s="1118" customFormat="1" ht="15.75" hidden="1" outlineLevel="1" thickBot="1">
      <c r="A272" s="2318"/>
      <c r="B272" s="3024"/>
      <c r="C272" s="3027"/>
      <c r="D272" s="3028"/>
      <c r="E272" s="3029"/>
      <c r="F272" s="2494" t="s">
        <v>3864</v>
      </c>
      <c r="G272" s="2493"/>
      <c r="H272" s="2627"/>
      <c r="I272" s="2628"/>
      <c r="J272" s="2628"/>
      <c r="K272" s="2628"/>
      <c r="L272" s="2628"/>
      <c r="M272" s="2629"/>
      <c r="N272" s="2629"/>
      <c r="O272" s="2629"/>
      <c r="P272" s="2629"/>
      <c r="Q272" s="2625"/>
      <c r="R272" s="2629"/>
      <c r="S272" s="2629"/>
      <c r="T272" s="2626"/>
      <c r="U272" s="2625"/>
      <c r="V272" s="2644" t="str">
        <f t="shared" si="51"/>
        <v/>
      </c>
      <c r="W272" s="2644" t="str">
        <f t="shared" si="52"/>
        <v/>
      </c>
      <c r="X272" s="2644" t="str">
        <f t="shared" si="53"/>
        <v/>
      </c>
      <c r="Y272" s="2644" t="str">
        <f t="shared" si="53"/>
        <v/>
      </c>
      <c r="Z272" s="2642"/>
      <c r="AA272" s="2642"/>
      <c r="AB272" s="2642"/>
      <c r="AC272" s="2642"/>
      <c r="AD272" s="2507" t="str">
        <f t="shared" si="54"/>
        <v/>
      </c>
      <c r="AE272" s="2507" t="str">
        <f t="shared" si="55"/>
        <v/>
      </c>
      <c r="AF272" s="2672" t="str">
        <f t="shared" si="56"/>
        <v/>
      </c>
      <c r="AG272" s="2642"/>
      <c r="AH272" s="2599"/>
      <c r="AI272" s="2700"/>
      <c r="AJ272" s="2701"/>
    </row>
    <row r="273" spans="1:36" s="1118" customFormat="1" ht="15.75" hidden="1" outlineLevel="1" thickBot="1">
      <c r="A273" s="2318"/>
      <c r="B273" s="3024"/>
      <c r="C273" s="3027"/>
      <c r="D273" s="3028"/>
      <c r="E273" s="3029"/>
      <c r="F273" s="2494" t="s">
        <v>3865</v>
      </c>
      <c r="G273" s="2493"/>
      <c r="H273" s="2627"/>
      <c r="I273" s="2628"/>
      <c r="J273" s="2628"/>
      <c r="K273" s="2628"/>
      <c r="L273" s="2628"/>
      <c r="M273" s="2629"/>
      <c r="N273" s="2629"/>
      <c r="O273" s="2629"/>
      <c r="P273" s="2629"/>
      <c r="Q273" s="2625"/>
      <c r="R273" s="2629"/>
      <c r="S273" s="2629"/>
      <c r="T273" s="2626"/>
      <c r="U273" s="2625"/>
      <c r="V273" s="2644" t="str">
        <f t="shared" si="51"/>
        <v/>
      </c>
      <c r="W273" s="2644" t="str">
        <f t="shared" si="52"/>
        <v/>
      </c>
      <c r="X273" s="2644" t="str">
        <f t="shared" si="53"/>
        <v/>
      </c>
      <c r="Y273" s="2644" t="str">
        <f t="shared" si="53"/>
        <v/>
      </c>
      <c r="Z273" s="2642"/>
      <c r="AA273" s="2642"/>
      <c r="AB273" s="2642"/>
      <c r="AC273" s="2642"/>
      <c r="AD273" s="2507" t="str">
        <f t="shared" si="54"/>
        <v/>
      </c>
      <c r="AE273" s="2507" t="str">
        <f t="shared" si="55"/>
        <v/>
      </c>
      <c r="AF273" s="2672" t="str">
        <f t="shared" si="56"/>
        <v/>
      </c>
      <c r="AG273" s="2642"/>
      <c r="AH273" s="2599"/>
      <c r="AI273" s="2700"/>
      <c r="AJ273" s="2701"/>
    </row>
    <row r="274" spans="1:36" s="1118" customFormat="1" ht="15.75" collapsed="1" thickBot="1">
      <c r="A274" s="2318"/>
      <c r="B274" s="3024"/>
      <c r="C274" s="3027"/>
      <c r="D274" s="3028" t="s">
        <v>2954</v>
      </c>
      <c r="E274" s="3029" t="s">
        <v>2950</v>
      </c>
      <c r="F274" s="2492" t="s">
        <v>3860</v>
      </c>
      <c r="G274" s="2478"/>
      <c r="H274" s="2627">
        <f>(' (стр.15)'!F136+' (стр.15)'!F180)*1000</f>
        <v>10315.999999999998</v>
      </c>
      <c r="I274" s="2628">
        <f>'(стр.16)'!F109*1000</f>
        <v>1682</v>
      </c>
      <c r="J274" s="2628">
        <f>('(Стр.17)'!F92+'(Стр.17)'!F114)*1000</f>
        <v>15915</v>
      </c>
      <c r="K274" s="2628"/>
      <c r="L274" s="2699">
        <f>SUM(H274:J274)</f>
        <v>27913</v>
      </c>
      <c r="M274" s="2627">
        <f>(' (стр.15)'!G136+' (стр.15)'!G180)</f>
        <v>129.6</v>
      </c>
      <c r="N274" s="2628">
        <f>'(стр.16)'!G109</f>
        <v>30</v>
      </c>
      <c r="O274" s="2628">
        <f>('(Стр.17)'!G92+'(Стр.17)'!G114)</f>
        <v>113.2</v>
      </c>
      <c r="P274" s="2629"/>
      <c r="Q274" s="2699">
        <f>SUM(M274:O274)</f>
        <v>272.8</v>
      </c>
      <c r="R274" s="2630">
        <f>(' (стр.15)'!P136+' (стр.15)'!P180)/1000</f>
        <v>6772.8983659999994</v>
      </c>
      <c r="S274" s="2631">
        <f>'(стр.16)'!P109/1000</f>
        <v>1266.15068</v>
      </c>
      <c r="T274" s="2631">
        <f>('(Стр.17)'!P92+'(Стр.17)'!P114)/1000</f>
        <v>9570.066969999998</v>
      </c>
      <c r="U274" s="2625"/>
      <c r="V274" s="2644">
        <f>IFERROR(R274*1000/(H274/1000),"")</f>
        <v>656543.07541682827</v>
      </c>
      <c r="W274" s="2644">
        <f t="shared" si="52"/>
        <v>752764.97027348389</v>
      </c>
      <c r="X274" s="2644">
        <f t="shared" si="53"/>
        <v>601323.71787621733</v>
      </c>
      <c r="Y274" s="2644" t="str">
        <f t="shared" si="53"/>
        <v/>
      </c>
      <c r="Z274" s="2645">
        <f>$Z$13</f>
        <v>1.0528</v>
      </c>
      <c r="AA274" s="2645">
        <f>$AA$13</f>
        <v>1.0589</v>
      </c>
      <c r="AB274" s="2645">
        <f>$AB$13</f>
        <v>1.0507936887282501</v>
      </c>
      <c r="AC274" s="2645">
        <f>$AC$13</f>
        <v>1.04657781587849</v>
      </c>
      <c r="AD274" s="2507">
        <f>IFERROR(V274*$Z$238*$AA$238*$AB$238*$AC$238,"")</f>
        <v>804920.5777581787</v>
      </c>
      <c r="AE274" s="2507">
        <f>IFERROR(W274*$AA$238*$AB$238*$AC$238,"")</f>
        <v>876603.76157816802</v>
      </c>
      <c r="AF274" s="2672">
        <f>IFERROR(X274*$AB$238*$AC$238,"")</f>
        <v>661298.16022032639</v>
      </c>
      <c r="AG274" s="2642"/>
      <c r="AH274" s="2644">
        <f>SUM(AD274:AF274)</f>
        <v>2342822.4995566732</v>
      </c>
      <c r="AI274" s="2700">
        <f>AH274/3</f>
        <v>780940.83318555774</v>
      </c>
      <c r="AJ274" s="2701">
        <f>IFERROR((AI274*L274/1000)/Q274,"")</f>
        <v>79906.163770925486</v>
      </c>
    </row>
    <row r="275" spans="1:36" s="1118" customFormat="1" ht="15.75" hidden="1" outlineLevel="1" thickBot="1">
      <c r="A275" s="2318"/>
      <c r="B275" s="3024"/>
      <c r="C275" s="3027"/>
      <c r="D275" s="3028"/>
      <c r="E275" s="3029"/>
      <c r="F275" s="2492" t="s">
        <v>3861</v>
      </c>
      <c r="G275" s="2478"/>
      <c r="H275" s="2627"/>
      <c r="I275" s="2628"/>
      <c r="J275" s="2628"/>
      <c r="K275" s="2628"/>
      <c r="L275" s="2628"/>
      <c r="M275" s="2629"/>
      <c r="N275" s="2628"/>
      <c r="O275" s="2629"/>
      <c r="P275" s="2629"/>
      <c r="Q275" s="2625"/>
      <c r="R275" s="2629"/>
      <c r="S275" s="2631"/>
      <c r="T275" s="2626"/>
      <c r="U275" s="2625"/>
      <c r="V275" s="2644" t="str">
        <f t="shared" si="51"/>
        <v/>
      </c>
      <c r="W275" s="2644" t="str">
        <f t="shared" si="52"/>
        <v/>
      </c>
      <c r="X275" s="2644" t="str">
        <f t="shared" si="53"/>
        <v/>
      </c>
      <c r="Y275" s="2644" t="str">
        <f t="shared" si="53"/>
        <v/>
      </c>
      <c r="Z275" s="2642"/>
      <c r="AA275" s="2642"/>
      <c r="AB275" s="2642"/>
      <c r="AC275" s="2642"/>
      <c r="AD275" s="2507" t="str">
        <f t="shared" si="54"/>
        <v/>
      </c>
      <c r="AE275" s="2507" t="str">
        <f t="shared" si="55"/>
        <v/>
      </c>
      <c r="AF275" s="2672" t="str">
        <f t="shared" si="56"/>
        <v/>
      </c>
      <c r="AG275" s="2642"/>
      <c r="AH275" s="2599"/>
      <c r="AI275" s="2700"/>
      <c r="AJ275" s="2701" t="str">
        <f t="shared" ref="AJ275" si="58">IFERROR((AI275*L275/1000)/Q275,"")</f>
        <v/>
      </c>
    </row>
    <row r="276" spans="1:36" s="1118" customFormat="1" ht="15.75" hidden="1" outlineLevel="1" thickBot="1">
      <c r="A276" s="2318"/>
      <c r="B276" s="3024"/>
      <c r="C276" s="3027"/>
      <c r="D276" s="3028"/>
      <c r="E276" s="3029"/>
      <c r="F276" s="2492" t="s">
        <v>3862</v>
      </c>
      <c r="G276" s="2478"/>
      <c r="H276" s="2627"/>
      <c r="I276" s="2628"/>
      <c r="J276" s="2628"/>
      <c r="K276" s="2628"/>
      <c r="L276" s="2628"/>
      <c r="M276" s="2629"/>
      <c r="N276" s="2629"/>
      <c r="O276" s="2629"/>
      <c r="P276" s="2629"/>
      <c r="Q276" s="2625"/>
      <c r="R276" s="2629"/>
      <c r="S276" s="2629"/>
      <c r="T276" s="2626"/>
      <c r="U276" s="2625"/>
      <c r="V276" s="2644" t="str">
        <f t="shared" si="51"/>
        <v/>
      </c>
      <c r="W276" s="2644" t="str">
        <f t="shared" si="52"/>
        <v/>
      </c>
      <c r="X276" s="2644" t="str">
        <f t="shared" si="53"/>
        <v/>
      </c>
      <c r="Y276" s="2644" t="str">
        <f t="shared" si="53"/>
        <v/>
      </c>
      <c r="Z276" s="2642"/>
      <c r="AA276" s="2642"/>
      <c r="AB276" s="2642"/>
      <c r="AC276" s="2642"/>
      <c r="AD276" s="2642"/>
      <c r="AE276" s="2642"/>
      <c r="AF276" s="2642"/>
      <c r="AG276" s="2642"/>
      <c r="AH276" s="2642"/>
      <c r="AI276" s="2700"/>
      <c r="AJ276" s="2701" t="str">
        <f t="shared" ref="AJ276:AJ285" si="59">IFERROR((AI276*L276/1000)/Q276,"")</f>
        <v/>
      </c>
    </row>
    <row r="277" spans="1:36" s="1118" customFormat="1" ht="15.75" hidden="1" outlineLevel="1" thickBot="1">
      <c r="A277" s="2318"/>
      <c r="B277" s="3024"/>
      <c r="C277" s="3027"/>
      <c r="D277" s="3028"/>
      <c r="E277" s="3029"/>
      <c r="F277" s="2492" t="s">
        <v>3863</v>
      </c>
      <c r="G277" s="2478"/>
      <c r="H277" s="2627"/>
      <c r="I277" s="2628"/>
      <c r="J277" s="2628"/>
      <c r="K277" s="2628"/>
      <c r="L277" s="2628"/>
      <c r="M277" s="2629"/>
      <c r="N277" s="2629"/>
      <c r="O277" s="2629"/>
      <c r="P277" s="2629"/>
      <c r="Q277" s="2625"/>
      <c r="R277" s="2629"/>
      <c r="S277" s="2629"/>
      <c r="T277" s="2626"/>
      <c r="U277" s="2625"/>
      <c r="V277" s="2644" t="str">
        <f t="shared" si="51"/>
        <v/>
      </c>
      <c r="W277" s="2644" t="str">
        <f t="shared" si="52"/>
        <v/>
      </c>
      <c r="X277" s="2644" t="str">
        <f t="shared" si="53"/>
        <v/>
      </c>
      <c r="Y277" s="2644" t="str">
        <f t="shared" si="53"/>
        <v/>
      </c>
      <c r="Z277" s="2642"/>
      <c r="AA277" s="2642"/>
      <c r="AB277" s="2642"/>
      <c r="AC277" s="2642"/>
      <c r="AD277" s="2642"/>
      <c r="AE277" s="2642"/>
      <c r="AF277" s="2642"/>
      <c r="AG277" s="2642"/>
      <c r="AH277" s="2642"/>
      <c r="AI277" s="2700"/>
      <c r="AJ277" s="2701" t="str">
        <f t="shared" si="59"/>
        <v/>
      </c>
    </row>
    <row r="278" spans="1:36" s="1118" customFormat="1" ht="15.75" hidden="1" outlineLevel="1" thickBot="1">
      <c r="A278" s="2318"/>
      <c r="B278" s="3024"/>
      <c r="C278" s="3027"/>
      <c r="D278" s="3028"/>
      <c r="E278" s="3029"/>
      <c r="F278" s="2494" t="s">
        <v>3864</v>
      </c>
      <c r="G278" s="2493"/>
      <c r="H278" s="2627"/>
      <c r="I278" s="2628"/>
      <c r="J278" s="2628"/>
      <c r="K278" s="2628"/>
      <c r="L278" s="2628"/>
      <c r="M278" s="2629"/>
      <c r="N278" s="2629"/>
      <c r="O278" s="2629"/>
      <c r="P278" s="2629"/>
      <c r="Q278" s="2625"/>
      <c r="R278" s="2629"/>
      <c r="S278" s="2629"/>
      <c r="T278" s="2626"/>
      <c r="U278" s="2625"/>
      <c r="V278" s="2644" t="str">
        <f t="shared" si="51"/>
        <v/>
      </c>
      <c r="W278" s="2644" t="str">
        <f t="shared" si="52"/>
        <v/>
      </c>
      <c r="X278" s="2644" t="str">
        <f t="shared" si="53"/>
        <v/>
      </c>
      <c r="Y278" s="2644" t="str">
        <f t="shared" si="53"/>
        <v/>
      </c>
      <c r="Z278" s="2642"/>
      <c r="AA278" s="2642"/>
      <c r="AB278" s="2642"/>
      <c r="AC278" s="2642"/>
      <c r="AD278" s="2642"/>
      <c r="AE278" s="2642"/>
      <c r="AF278" s="2642"/>
      <c r="AG278" s="2642"/>
      <c r="AH278" s="2642"/>
      <c r="AI278" s="2700"/>
      <c r="AJ278" s="2701" t="str">
        <f t="shared" si="59"/>
        <v/>
      </c>
    </row>
    <row r="279" spans="1:36" s="1118" customFormat="1" ht="15.75" hidden="1" outlineLevel="1" thickBot="1">
      <c r="A279" s="2318"/>
      <c r="B279" s="3024"/>
      <c r="C279" s="3027"/>
      <c r="D279" s="3028"/>
      <c r="E279" s="3029"/>
      <c r="F279" s="2494" t="s">
        <v>3865</v>
      </c>
      <c r="G279" s="2493"/>
      <c r="H279" s="2627"/>
      <c r="I279" s="2628"/>
      <c r="J279" s="2628"/>
      <c r="K279" s="2628"/>
      <c r="L279" s="2628"/>
      <c r="M279" s="2629"/>
      <c r="N279" s="2629"/>
      <c r="O279" s="2629"/>
      <c r="P279" s="2629"/>
      <c r="Q279" s="2625"/>
      <c r="R279" s="2629"/>
      <c r="S279" s="2629"/>
      <c r="T279" s="2626"/>
      <c r="U279" s="2625"/>
      <c r="V279" s="2644" t="str">
        <f t="shared" si="51"/>
        <v/>
      </c>
      <c r="W279" s="2644" t="str">
        <f t="shared" si="52"/>
        <v/>
      </c>
      <c r="X279" s="2644" t="str">
        <f t="shared" si="53"/>
        <v/>
      </c>
      <c r="Y279" s="2644" t="str">
        <f t="shared" si="53"/>
        <v/>
      </c>
      <c r="Z279" s="2642"/>
      <c r="AA279" s="2642"/>
      <c r="AB279" s="2642"/>
      <c r="AC279" s="2642"/>
      <c r="AD279" s="2642"/>
      <c r="AE279" s="2642"/>
      <c r="AF279" s="2642"/>
      <c r="AG279" s="2642"/>
      <c r="AH279" s="2642"/>
      <c r="AI279" s="2700"/>
      <c r="AJ279" s="2701" t="str">
        <f t="shared" si="59"/>
        <v/>
      </c>
    </row>
    <row r="280" spans="1:36" s="1118" customFormat="1" ht="15.75" hidden="1" outlineLevel="1" thickBot="1">
      <c r="A280" s="2318"/>
      <c r="B280" s="3024"/>
      <c r="C280" s="3027"/>
      <c r="D280" s="3028"/>
      <c r="E280" s="3029" t="s">
        <v>2946</v>
      </c>
      <c r="F280" s="2492" t="s">
        <v>3860</v>
      </c>
      <c r="G280" s="2478"/>
      <c r="H280" s="2697"/>
      <c r="I280" s="2697"/>
      <c r="J280" s="2697"/>
      <c r="K280" s="2697"/>
      <c r="L280" s="2697"/>
      <c r="M280" s="2625"/>
      <c r="N280" s="2625"/>
      <c r="O280" s="2625"/>
      <c r="P280" s="2625"/>
      <c r="Q280" s="2625"/>
      <c r="R280" s="2625"/>
      <c r="S280" s="2625"/>
      <c r="T280" s="2625"/>
      <c r="U280" s="2625"/>
      <c r="V280" s="2644" t="str">
        <f t="shared" si="51"/>
        <v/>
      </c>
      <c r="W280" s="2644" t="str">
        <f t="shared" si="52"/>
        <v/>
      </c>
      <c r="X280" s="2644" t="str">
        <f t="shared" si="53"/>
        <v/>
      </c>
      <c r="Y280" s="2644" t="str">
        <f t="shared" si="53"/>
        <v/>
      </c>
      <c r="Z280" s="2642"/>
      <c r="AA280" s="2642"/>
      <c r="AB280" s="2642"/>
      <c r="AC280" s="2642"/>
      <c r="AD280" s="2642"/>
      <c r="AE280" s="2642"/>
      <c r="AF280" s="2642"/>
      <c r="AG280" s="2642"/>
      <c r="AH280" s="2642"/>
      <c r="AI280" s="2700"/>
      <c r="AJ280" s="2701" t="str">
        <f t="shared" si="59"/>
        <v/>
      </c>
    </row>
    <row r="281" spans="1:36" s="1118" customFormat="1" ht="15.75" hidden="1" outlineLevel="1" thickBot="1">
      <c r="A281" s="2318"/>
      <c r="B281" s="3024"/>
      <c r="C281" s="3027"/>
      <c r="D281" s="3028"/>
      <c r="E281" s="3029"/>
      <c r="F281" s="2492" t="s">
        <v>3861</v>
      </c>
      <c r="G281" s="2478"/>
      <c r="H281" s="2697"/>
      <c r="I281" s="2697"/>
      <c r="J281" s="2697"/>
      <c r="K281" s="2697"/>
      <c r="L281" s="2697"/>
      <c r="M281" s="2625"/>
      <c r="N281" s="2625"/>
      <c r="O281" s="2625"/>
      <c r="P281" s="2625"/>
      <c r="Q281" s="2625"/>
      <c r="R281" s="2625"/>
      <c r="S281" s="2625"/>
      <c r="T281" s="2625"/>
      <c r="U281" s="2625"/>
      <c r="V281" s="2644" t="str">
        <f t="shared" si="51"/>
        <v/>
      </c>
      <c r="W281" s="2644" t="str">
        <f t="shared" si="52"/>
        <v/>
      </c>
      <c r="X281" s="2644" t="str">
        <f t="shared" si="53"/>
        <v/>
      </c>
      <c r="Y281" s="2644" t="str">
        <f t="shared" si="53"/>
        <v/>
      </c>
      <c r="Z281" s="2642"/>
      <c r="AA281" s="2642"/>
      <c r="AB281" s="2642"/>
      <c r="AC281" s="2642"/>
      <c r="AD281" s="2642"/>
      <c r="AE281" s="2642"/>
      <c r="AF281" s="2642"/>
      <c r="AG281" s="2642"/>
      <c r="AH281" s="2642"/>
      <c r="AI281" s="2700"/>
      <c r="AJ281" s="2701" t="str">
        <f t="shared" si="59"/>
        <v/>
      </c>
    </row>
    <row r="282" spans="1:36" s="1118" customFormat="1" ht="15.75" hidden="1" outlineLevel="1" thickBot="1">
      <c r="A282" s="2318"/>
      <c r="B282" s="3024"/>
      <c r="C282" s="3027"/>
      <c r="D282" s="3028"/>
      <c r="E282" s="3029"/>
      <c r="F282" s="2492" t="s">
        <v>3862</v>
      </c>
      <c r="G282" s="2495"/>
      <c r="H282" s="2697"/>
      <c r="I282" s="2697"/>
      <c r="J282" s="2697"/>
      <c r="K282" s="2697"/>
      <c r="L282" s="2697"/>
      <c r="M282" s="2625"/>
      <c r="N282" s="2625"/>
      <c r="O282" s="2625"/>
      <c r="P282" s="2625"/>
      <c r="Q282" s="2625"/>
      <c r="R282" s="2625"/>
      <c r="S282" s="2625"/>
      <c r="T282" s="2625"/>
      <c r="U282" s="2625"/>
      <c r="V282" s="2644" t="str">
        <f t="shared" si="51"/>
        <v/>
      </c>
      <c r="W282" s="2644" t="str">
        <f t="shared" si="52"/>
        <v/>
      </c>
      <c r="X282" s="2644" t="str">
        <f t="shared" si="53"/>
        <v/>
      </c>
      <c r="Y282" s="2644" t="str">
        <f t="shared" si="53"/>
        <v/>
      </c>
      <c r="Z282" s="2642"/>
      <c r="AA282" s="2642"/>
      <c r="AB282" s="2642"/>
      <c r="AC282" s="2642"/>
      <c r="AD282" s="2642"/>
      <c r="AE282" s="2642"/>
      <c r="AF282" s="2642"/>
      <c r="AG282" s="2642"/>
      <c r="AH282" s="2642"/>
      <c r="AI282" s="2700"/>
      <c r="AJ282" s="2701" t="str">
        <f t="shared" si="59"/>
        <v/>
      </c>
    </row>
    <row r="283" spans="1:36" s="1118" customFormat="1" ht="15.75" hidden="1" outlineLevel="1" thickBot="1">
      <c r="A283" s="2318"/>
      <c r="B283" s="3024"/>
      <c r="C283" s="3027"/>
      <c r="D283" s="3028"/>
      <c r="E283" s="3029"/>
      <c r="F283" s="2492" t="s">
        <v>3863</v>
      </c>
      <c r="G283" s="2479"/>
      <c r="H283" s="2649"/>
      <c r="I283" s="2649"/>
      <c r="J283" s="2649"/>
      <c r="K283" s="2649"/>
      <c r="L283" s="2649"/>
      <c r="M283" s="2649"/>
      <c r="N283" s="2649"/>
      <c r="O283" s="2649"/>
      <c r="P283" s="2649"/>
      <c r="Q283" s="2649"/>
      <c r="R283" s="2649"/>
      <c r="S283" s="2649"/>
      <c r="T283" s="2649"/>
      <c r="U283" s="2649"/>
      <c r="V283" s="2644" t="str">
        <f t="shared" si="51"/>
        <v/>
      </c>
      <c r="W283" s="2644" t="str">
        <f t="shared" si="52"/>
        <v/>
      </c>
      <c r="X283" s="2644" t="str">
        <f t="shared" si="53"/>
        <v/>
      </c>
      <c r="Y283" s="2644" t="str">
        <f t="shared" si="53"/>
        <v/>
      </c>
      <c r="Z283" s="2642"/>
      <c r="AA283" s="2642"/>
      <c r="AB283" s="2642"/>
      <c r="AC283" s="2642"/>
      <c r="AD283" s="2642"/>
      <c r="AE283" s="2642"/>
      <c r="AF283" s="2642"/>
      <c r="AG283" s="2642"/>
      <c r="AH283" s="2642"/>
      <c r="AI283" s="2700"/>
      <c r="AJ283" s="2701" t="str">
        <f t="shared" si="59"/>
        <v/>
      </c>
    </row>
    <row r="284" spans="1:36" s="1118" customFormat="1" ht="15.75" hidden="1" outlineLevel="1" thickBot="1">
      <c r="A284" s="2318"/>
      <c r="B284" s="3024"/>
      <c r="C284" s="3027"/>
      <c r="D284" s="3028"/>
      <c r="E284" s="3029"/>
      <c r="F284" s="2494" t="s">
        <v>3864</v>
      </c>
      <c r="G284" s="2484"/>
      <c r="H284" s="2649"/>
      <c r="I284" s="2649"/>
      <c r="J284" s="2649"/>
      <c r="K284" s="2649"/>
      <c r="L284" s="2649"/>
      <c r="M284" s="2649"/>
      <c r="N284" s="2649"/>
      <c r="O284" s="2649"/>
      <c r="P284" s="2649"/>
      <c r="Q284" s="2649"/>
      <c r="R284" s="2649"/>
      <c r="S284" s="2649"/>
      <c r="T284" s="2649"/>
      <c r="U284" s="2649"/>
      <c r="V284" s="2644" t="str">
        <f t="shared" si="51"/>
        <v/>
      </c>
      <c r="W284" s="2644" t="str">
        <f t="shared" si="52"/>
        <v/>
      </c>
      <c r="X284" s="2644" t="str">
        <f t="shared" si="53"/>
        <v/>
      </c>
      <c r="Y284" s="2644" t="str">
        <f t="shared" si="53"/>
        <v/>
      </c>
      <c r="Z284" s="2642"/>
      <c r="AA284" s="2642"/>
      <c r="AB284" s="2642"/>
      <c r="AC284" s="2642"/>
      <c r="AD284" s="2642"/>
      <c r="AE284" s="2642"/>
      <c r="AF284" s="2642"/>
      <c r="AG284" s="2642"/>
      <c r="AH284" s="2642"/>
      <c r="AI284" s="2700"/>
      <c r="AJ284" s="2701" t="str">
        <f t="shared" si="59"/>
        <v/>
      </c>
    </row>
    <row r="285" spans="1:36" s="1118" customFormat="1" ht="15.75" hidden="1" outlineLevel="1" thickBot="1">
      <c r="A285" s="2318"/>
      <c r="B285" s="3024"/>
      <c r="C285" s="3027"/>
      <c r="D285" s="3030"/>
      <c r="E285" s="3031"/>
      <c r="F285" s="2573" t="s">
        <v>3865</v>
      </c>
      <c r="G285" s="2484"/>
      <c r="H285" s="2812"/>
      <c r="I285" s="2812"/>
      <c r="J285" s="2812"/>
      <c r="K285" s="2812"/>
      <c r="L285" s="2812"/>
      <c r="M285" s="2812"/>
      <c r="N285" s="2812"/>
      <c r="O285" s="2812"/>
      <c r="P285" s="2812"/>
      <c r="Q285" s="2812"/>
      <c r="R285" s="2812"/>
      <c r="S285" s="2812"/>
      <c r="T285" s="2812"/>
      <c r="U285" s="2812"/>
      <c r="V285" s="2813" t="str">
        <f t="shared" si="51"/>
        <v/>
      </c>
      <c r="W285" s="2813" t="str">
        <f t="shared" si="52"/>
        <v/>
      </c>
      <c r="X285" s="2813" t="str">
        <f t="shared" si="53"/>
        <v/>
      </c>
      <c r="Y285" s="2395" t="str">
        <f t="shared" si="53"/>
        <v/>
      </c>
      <c r="Z285" s="2772"/>
      <c r="AA285" s="2772"/>
      <c r="AB285" s="2772"/>
      <c r="AC285" s="2772"/>
      <c r="AD285" s="2772"/>
      <c r="AE285" s="2772"/>
      <c r="AF285" s="2772"/>
      <c r="AG285" s="2772"/>
      <c r="AH285" s="2772"/>
      <c r="AI285" s="2814"/>
      <c r="AJ285" s="2812" t="str">
        <f t="shared" si="59"/>
        <v/>
      </c>
    </row>
    <row r="286" spans="1:36" s="1118" customFormat="1" ht="15" collapsed="1">
      <c r="A286" s="2331"/>
      <c r="B286" s="2331"/>
      <c r="C286" s="2331"/>
      <c r="D286" s="2331"/>
      <c r="E286" s="2331"/>
      <c r="F286" s="2334"/>
      <c r="G286" s="2334"/>
      <c r="H286" s="2439"/>
      <c r="I286" s="2439"/>
      <c r="J286" s="2439"/>
      <c r="K286" s="2439"/>
      <c r="L286" s="2439"/>
      <c r="M286" s="2439"/>
      <c r="N286" s="2439"/>
      <c r="O286" s="2439"/>
      <c r="P286" s="2439"/>
      <c r="Q286" s="2439"/>
      <c r="R286" s="2682"/>
      <c r="S286" s="2682"/>
      <c r="T286" s="2682"/>
      <c r="U286" s="2439"/>
      <c r="Z286"/>
      <c r="AA286"/>
      <c r="AB286"/>
      <c r="AC286"/>
      <c r="AD286"/>
      <c r="AE286"/>
      <c r="AF286"/>
      <c r="AG286"/>
      <c r="AH286"/>
      <c r="AI286"/>
    </row>
    <row r="287" spans="1:36" s="1118" customFormat="1" ht="15">
      <c r="A287" s="2331"/>
      <c r="B287" s="2331"/>
      <c r="C287" s="2331"/>
      <c r="D287" s="2331"/>
      <c r="E287" s="2331"/>
      <c r="F287" s="2334"/>
      <c r="G287" s="2334"/>
      <c r="H287" s="2439"/>
      <c r="I287" s="2439"/>
      <c r="J287" s="2439"/>
      <c r="K287" s="2439"/>
      <c r="L287" s="2439"/>
      <c r="M287" s="2439"/>
      <c r="N287" s="2439"/>
      <c r="O287" s="2439"/>
      <c r="P287" s="2439"/>
      <c r="Q287" s="2439"/>
      <c r="R287" s="2682"/>
      <c r="S287" s="2682"/>
      <c r="T287" s="2682"/>
      <c r="Z287"/>
      <c r="AA287"/>
      <c r="AB287"/>
      <c r="AC287"/>
      <c r="AD287"/>
      <c r="AE287"/>
      <c r="AF287"/>
      <c r="AG287"/>
      <c r="AH287"/>
      <c r="AI287"/>
    </row>
    <row r="288" spans="1:36" s="1118" customFormat="1" ht="15">
      <c r="A288" s="2331"/>
      <c r="B288" s="2331"/>
      <c r="C288" s="2331"/>
      <c r="D288" s="2331"/>
      <c r="E288" s="2331"/>
      <c r="F288" s="2334"/>
      <c r="G288" s="2334"/>
      <c r="H288" s="2439"/>
      <c r="I288" s="2439"/>
      <c r="J288" s="2439"/>
      <c r="K288" s="2439"/>
      <c r="L288" s="2439"/>
      <c r="M288" s="2439"/>
      <c r="N288" s="2439"/>
      <c r="O288" s="2439"/>
      <c r="P288" s="2439"/>
      <c r="Q288" s="2439"/>
      <c r="R288" s="2439"/>
      <c r="S288" s="2439"/>
      <c r="T288" s="2439"/>
      <c r="Z288"/>
      <c r="AA288"/>
      <c r="AB288"/>
      <c r="AC288"/>
      <c r="AD288"/>
      <c r="AE288"/>
      <c r="AF288"/>
      <c r="AG288"/>
      <c r="AH288"/>
      <c r="AI288"/>
    </row>
    <row r="289" spans="1:36" s="1118" customFormat="1" ht="15.75" thickBot="1">
      <c r="A289" s="2331"/>
      <c r="B289" s="2331"/>
      <c r="C289" s="2331"/>
      <c r="D289" s="2331"/>
      <c r="E289" s="2331"/>
      <c r="F289" s="2334"/>
      <c r="G289" s="2334"/>
      <c r="H289" s="2439"/>
      <c r="I289" s="2439"/>
      <c r="J289" s="2439"/>
      <c r="K289" s="2439"/>
      <c r="L289" s="2439"/>
      <c r="M289" s="2439"/>
      <c r="N289" s="2439"/>
      <c r="O289" s="2439"/>
      <c r="P289" s="2439"/>
      <c r="Q289" s="2439"/>
      <c r="R289" s="2439"/>
      <c r="S289" s="2439"/>
      <c r="T289" s="2439"/>
      <c r="Z289"/>
      <c r="AA289"/>
      <c r="AB289"/>
      <c r="AC289"/>
      <c r="AD289"/>
      <c r="AE289"/>
      <c r="AF289"/>
      <c r="AG289"/>
      <c r="AH289"/>
      <c r="AI289"/>
    </row>
    <row r="290" spans="1:36" s="1118" customFormat="1" ht="16.5" thickBot="1">
      <c r="A290" s="2997"/>
      <c r="B290" s="2998"/>
      <c r="C290" s="2998"/>
      <c r="D290" s="2998"/>
      <c r="E290" s="2998"/>
      <c r="F290" s="2999"/>
      <c r="G290" s="3165" t="s">
        <v>4245</v>
      </c>
      <c r="H290" s="3166"/>
      <c r="I290" s="3166"/>
      <c r="J290" s="3166"/>
      <c r="K290" s="3166"/>
      <c r="L290" s="3166"/>
      <c r="M290" s="3166"/>
      <c r="N290" s="3166"/>
      <c r="O290" s="3166"/>
      <c r="P290" s="3166"/>
      <c r="Q290" s="3166"/>
      <c r="R290" s="3166"/>
      <c r="S290" s="3166"/>
      <c r="T290" s="3166"/>
      <c r="U290" s="3167"/>
      <c r="Z290"/>
      <c r="AA290"/>
      <c r="AB290"/>
      <c r="AC290"/>
      <c r="AD290"/>
      <c r="AE290"/>
      <c r="AF290"/>
      <c r="AG290"/>
      <c r="AH290"/>
      <c r="AI290"/>
    </row>
    <row r="291" spans="1:36" s="1118" customFormat="1" ht="61.5" customHeight="1">
      <c r="A291" s="3007" t="s">
        <v>0</v>
      </c>
      <c r="B291" s="3009" t="s">
        <v>3849</v>
      </c>
      <c r="C291" s="3010" t="s">
        <v>3850</v>
      </c>
      <c r="D291" s="3012" t="s">
        <v>3851</v>
      </c>
      <c r="E291" s="3012" t="s">
        <v>3852</v>
      </c>
      <c r="F291" s="2990" t="s">
        <v>3853</v>
      </c>
      <c r="G291" s="3002" t="s">
        <v>3854</v>
      </c>
      <c r="H291" s="3168" t="s">
        <v>3855</v>
      </c>
      <c r="I291" s="3169"/>
      <c r="J291" s="3169"/>
      <c r="K291" s="3169"/>
      <c r="L291" s="3170"/>
      <c r="M291" s="3168" t="s">
        <v>3856</v>
      </c>
      <c r="N291" s="3169"/>
      <c r="O291" s="3169"/>
      <c r="P291" s="3169"/>
      <c r="Q291" s="3170"/>
      <c r="R291" s="3171" t="s">
        <v>3857</v>
      </c>
      <c r="S291" s="3172"/>
      <c r="T291" s="3172"/>
      <c r="U291" s="3173"/>
      <c r="V291" s="3136" t="s">
        <v>3978</v>
      </c>
      <c r="W291" s="3137"/>
      <c r="X291" s="3137"/>
      <c r="Y291" s="3138"/>
      <c r="Z291" s="3132" t="s">
        <v>3858</v>
      </c>
      <c r="AA291" s="3132"/>
      <c r="AB291" s="3132"/>
      <c r="AC291" s="3132"/>
      <c r="AD291" s="3121" t="s">
        <v>3979</v>
      </c>
      <c r="AE291" s="3121"/>
      <c r="AF291" s="3121"/>
      <c r="AG291" s="3121"/>
      <c r="AH291" s="2496" t="s">
        <v>3980</v>
      </c>
      <c r="AI291" s="2500" t="s">
        <v>3974</v>
      </c>
      <c r="AJ291" s="2500" t="s">
        <v>3975</v>
      </c>
    </row>
    <row r="292" spans="1:36" s="1118" customFormat="1" ht="75.75" thickBot="1">
      <c r="A292" s="3008"/>
      <c r="B292" s="3002"/>
      <c r="C292" s="3011"/>
      <c r="D292" s="3013"/>
      <c r="E292" s="3013"/>
      <c r="F292" s="2991"/>
      <c r="G292" s="3003"/>
      <c r="H292" s="2379">
        <v>2015</v>
      </c>
      <c r="I292" s="2608">
        <v>2016</v>
      </c>
      <c r="J292" s="2608">
        <v>2017</v>
      </c>
      <c r="K292" s="2608" t="s">
        <v>3925</v>
      </c>
      <c r="L292" s="2595" t="s">
        <v>2559</v>
      </c>
      <c r="M292" s="2608">
        <f>H292</f>
        <v>2015</v>
      </c>
      <c r="N292" s="2608">
        <f>I292</f>
        <v>2016</v>
      </c>
      <c r="O292" s="2608">
        <f>J292</f>
        <v>2017</v>
      </c>
      <c r="P292" s="2608" t="s">
        <v>3925</v>
      </c>
      <c r="Q292" s="2595" t="s">
        <v>2559</v>
      </c>
      <c r="R292" s="2608">
        <f>H292</f>
        <v>2015</v>
      </c>
      <c r="S292" s="2608">
        <f>I292</f>
        <v>2016</v>
      </c>
      <c r="T292" s="2380">
        <f>J292</f>
        <v>2017</v>
      </c>
      <c r="U292" s="2608" t="s">
        <v>3925</v>
      </c>
      <c r="V292" s="2496">
        <f>R292</f>
        <v>2015</v>
      </c>
      <c r="W292" s="2496">
        <f>S292</f>
        <v>2016</v>
      </c>
      <c r="X292" s="2496">
        <f>T292</f>
        <v>2017</v>
      </c>
      <c r="Y292" s="2496" t="s">
        <v>3925</v>
      </c>
      <c r="Z292" s="2609">
        <v>2016</v>
      </c>
      <c r="AA292" s="2609">
        <v>2017</v>
      </c>
      <c r="AB292" s="2609">
        <v>2018</v>
      </c>
      <c r="AC292" s="2609">
        <v>2019</v>
      </c>
      <c r="AD292" s="2703">
        <f>V292</f>
        <v>2015</v>
      </c>
      <c r="AE292" s="2703">
        <f>W292</f>
        <v>2016</v>
      </c>
      <c r="AF292" s="2703">
        <f>X292</f>
        <v>2017</v>
      </c>
      <c r="AG292" s="2703" t="str">
        <f>Y292</f>
        <v>План (в случае отсутствия факта за 3 года)</v>
      </c>
      <c r="AH292" s="2497" t="s">
        <v>3981</v>
      </c>
      <c r="AI292" s="2597" t="s">
        <v>3976</v>
      </c>
      <c r="AJ292" s="2597" t="s">
        <v>3977</v>
      </c>
    </row>
    <row r="293" spans="1:36" s="1118" customFormat="1" ht="15.75" thickBot="1">
      <c r="A293" s="2316">
        <v>1</v>
      </c>
      <c r="B293" s="2603">
        <v>2</v>
      </c>
      <c r="C293" s="3014">
        <v>3</v>
      </c>
      <c r="D293" s="3015"/>
      <c r="E293" s="3015"/>
      <c r="F293" s="3016"/>
      <c r="G293" s="2610">
        <v>4</v>
      </c>
      <c r="H293" s="3017">
        <v>5</v>
      </c>
      <c r="I293" s="3018"/>
      <c r="J293" s="3018"/>
      <c r="K293" s="3018"/>
      <c r="L293" s="3019"/>
      <c r="M293" s="3017">
        <v>6</v>
      </c>
      <c r="N293" s="3018"/>
      <c r="O293" s="3018"/>
      <c r="P293" s="3018"/>
      <c r="Q293" s="3021"/>
      <c r="R293" s="3020">
        <v>7</v>
      </c>
      <c r="S293" s="3018"/>
      <c r="T293" s="3018"/>
      <c r="U293" s="3021"/>
      <c r="V293" s="3131">
        <v>8</v>
      </c>
      <c r="W293" s="3131"/>
      <c r="X293" s="3131"/>
      <c r="Y293" s="3131"/>
      <c r="Z293" s="3131">
        <v>9</v>
      </c>
      <c r="AA293" s="3131"/>
      <c r="AB293" s="3131"/>
      <c r="AC293" s="3131"/>
      <c r="AD293" s="3105">
        <v>10</v>
      </c>
      <c r="AE293" s="3106"/>
      <c r="AF293" s="3106"/>
      <c r="AG293" s="3107"/>
      <c r="AH293" s="2498">
        <v>11</v>
      </c>
      <c r="AI293" s="2498">
        <v>12</v>
      </c>
      <c r="AJ293" s="2499">
        <v>13</v>
      </c>
    </row>
    <row r="294" spans="1:36" s="1118" customFormat="1" ht="15" hidden="1" outlineLevel="1">
      <c r="A294" s="2318"/>
      <c r="B294" s="3032" t="s">
        <v>2952</v>
      </c>
      <c r="C294" s="3034" t="s">
        <v>3859</v>
      </c>
      <c r="D294" s="3036" t="s">
        <v>2949</v>
      </c>
      <c r="E294" s="3037" t="s">
        <v>2950</v>
      </c>
      <c r="F294" s="2381" t="s">
        <v>3860</v>
      </c>
      <c r="G294" s="2607"/>
      <c r="H294" s="2663"/>
      <c r="I294" s="2654"/>
      <c r="J294" s="2654"/>
      <c r="K294" s="2654"/>
      <c r="L294" s="2654"/>
      <c r="M294" s="2654"/>
      <c r="N294" s="2654"/>
      <c r="O294" s="2654"/>
      <c r="P294" s="2654"/>
      <c r="Q294" s="2654"/>
      <c r="R294" s="2668"/>
      <c r="S294" s="2668"/>
      <c r="T294" s="2669"/>
      <c r="U294" s="2668"/>
      <c r="V294" s="2644" t="str">
        <f t="shared" ref="V294:V341" si="60">IFERROR(R294*1000/(H294/1000),"")</f>
        <v/>
      </c>
      <c r="W294" s="2644" t="str">
        <f t="shared" ref="W294:W341" si="61">IFERROR(S294*1000/(I294/1000),"")</f>
        <v/>
      </c>
      <c r="X294" s="2644" t="str">
        <f t="shared" ref="X294:X341" si="62">IFERROR(T294*1000/(J294/1000),"")</f>
        <v/>
      </c>
      <c r="Y294" s="2567"/>
      <c r="Z294" s="2645">
        <f>$Z$13</f>
        <v>1.0528</v>
      </c>
      <c r="AA294" s="2645">
        <f>$AA$13</f>
        <v>1.0589</v>
      </c>
      <c r="AB294" s="2645">
        <f>$AB$13</f>
        <v>1.0507936887282501</v>
      </c>
      <c r="AC294" s="2645">
        <f>$AC$13</f>
        <v>1.04657781587849</v>
      </c>
      <c r="AD294" s="2642"/>
      <c r="AE294" s="2642"/>
      <c r="AF294" s="2642"/>
      <c r="AG294" s="2642"/>
      <c r="AH294" s="2642"/>
      <c r="AI294" s="2700"/>
      <c r="AJ294" s="2701"/>
    </row>
    <row r="295" spans="1:36" s="1118" customFormat="1" ht="15" hidden="1" outlineLevel="1">
      <c r="A295" s="2318"/>
      <c r="B295" s="3033"/>
      <c r="C295" s="3035"/>
      <c r="D295" s="3028"/>
      <c r="E295" s="3029"/>
      <c r="F295" s="2611" t="s">
        <v>3861</v>
      </c>
      <c r="G295" s="2604"/>
      <c r="H295" s="2664"/>
      <c r="I295" s="2636"/>
      <c r="J295" s="2636"/>
      <c r="K295" s="2636"/>
      <c r="L295" s="2636"/>
      <c r="M295" s="2636"/>
      <c r="N295" s="2636"/>
      <c r="O295" s="2636"/>
      <c r="P295" s="2636"/>
      <c r="Q295" s="2687"/>
      <c r="R295" s="2629"/>
      <c r="S295" s="2629"/>
      <c r="T295" s="2626"/>
      <c r="U295" s="2625"/>
      <c r="V295" s="2644" t="str">
        <f t="shared" si="60"/>
        <v/>
      </c>
      <c r="W295" s="2644" t="str">
        <f t="shared" si="61"/>
        <v/>
      </c>
      <c r="X295" s="2644" t="str">
        <f t="shared" si="62"/>
        <v/>
      </c>
      <c r="Y295" s="2567"/>
      <c r="Z295" s="2642"/>
      <c r="AA295" s="2642"/>
      <c r="AB295" s="2642"/>
      <c r="AC295" s="2642"/>
      <c r="AD295" s="2642"/>
      <c r="AE295" s="2642"/>
      <c r="AF295" s="2642"/>
      <c r="AG295" s="2642"/>
      <c r="AH295" s="2642"/>
      <c r="AI295" s="2700"/>
      <c r="AJ295" s="2701"/>
    </row>
    <row r="296" spans="1:36" s="1118" customFormat="1" ht="15" hidden="1" outlineLevel="1">
      <c r="A296" s="2318"/>
      <c r="B296" s="3033"/>
      <c r="C296" s="3035"/>
      <c r="D296" s="3028"/>
      <c r="E296" s="3029"/>
      <c r="F296" s="2611" t="s">
        <v>3862</v>
      </c>
      <c r="G296" s="2604"/>
      <c r="H296" s="2664"/>
      <c r="I296" s="2636"/>
      <c r="J296" s="2636"/>
      <c r="K296" s="2636"/>
      <c r="L296" s="2636"/>
      <c r="M296" s="2636"/>
      <c r="N296" s="2636"/>
      <c r="O296" s="2636"/>
      <c r="P296" s="2636"/>
      <c r="Q296" s="2687"/>
      <c r="R296" s="2629"/>
      <c r="S296" s="2629"/>
      <c r="T296" s="2626"/>
      <c r="U296" s="2625"/>
      <c r="V296" s="2644" t="str">
        <f t="shared" si="60"/>
        <v/>
      </c>
      <c r="W296" s="2644" t="str">
        <f t="shared" si="61"/>
        <v/>
      </c>
      <c r="X296" s="2644" t="str">
        <f t="shared" si="62"/>
        <v/>
      </c>
      <c r="Y296" s="2567"/>
      <c r="Z296" s="2642"/>
      <c r="AA296" s="2642"/>
      <c r="AB296" s="2642"/>
      <c r="AC296" s="2642"/>
      <c r="AD296" s="2642"/>
      <c r="AE296" s="2642"/>
      <c r="AF296" s="2642"/>
      <c r="AG296" s="2642"/>
      <c r="AH296" s="2642"/>
      <c r="AI296" s="2700"/>
      <c r="AJ296" s="2701"/>
    </row>
    <row r="297" spans="1:36" s="1118" customFormat="1" ht="15" hidden="1" outlineLevel="1">
      <c r="A297" s="2318"/>
      <c r="B297" s="3033"/>
      <c r="C297" s="3035"/>
      <c r="D297" s="3028"/>
      <c r="E297" s="3029"/>
      <c r="F297" s="2611" t="s">
        <v>3863</v>
      </c>
      <c r="G297" s="2604"/>
      <c r="H297" s="2664"/>
      <c r="I297" s="2636"/>
      <c r="J297" s="2636"/>
      <c r="K297" s="2636"/>
      <c r="L297" s="2636"/>
      <c r="M297" s="2636"/>
      <c r="N297" s="2636"/>
      <c r="O297" s="2636"/>
      <c r="P297" s="2636"/>
      <c r="Q297" s="2687"/>
      <c r="R297" s="2629"/>
      <c r="S297" s="2629"/>
      <c r="T297" s="2626"/>
      <c r="U297" s="2625"/>
      <c r="V297" s="2644" t="str">
        <f t="shared" si="60"/>
        <v/>
      </c>
      <c r="W297" s="2644" t="str">
        <f t="shared" si="61"/>
        <v/>
      </c>
      <c r="X297" s="2644" t="str">
        <f t="shared" si="62"/>
        <v/>
      </c>
      <c r="Y297" s="2567"/>
      <c r="Z297" s="2642"/>
      <c r="AA297" s="2642"/>
      <c r="AB297" s="2642"/>
      <c r="AC297" s="2642"/>
      <c r="AD297" s="2642"/>
      <c r="AE297" s="2642"/>
      <c r="AF297" s="2642"/>
      <c r="AG297" s="2642"/>
      <c r="AH297" s="2642"/>
      <c r="AI297" s="2700"/>
      <c r="AJ297" s="2701"/>
    </row>
    <row r="298" spans="1:36" s="1118" customFormat="1" ht="15" hidden="1" outlineLevel="1">
      <c r="A298" s="2318"/>
      <c r="B298" s="3033"/>
      <c r="C298" s="3035"/>
      <c r="D298" s="3028"/>
      <c r="E298" s="3029"/>
      <c r="F298" s="2613" t="s">
        <v>3864</v>
      </c>
      <c r="G298" s="2612"/>
      <c r="H298" s="2664"/>
      <c r="I298" s="2636"/>
      <c r="J298" s="2636"/>
      <c r="K298" s="2636"/>
      <c r="L298" s="2636"/>
      <c r="M298" s="2636"/>
      <c r="N298" s="2636"/>
      <c r="O298" s="2636"/>
      <c r="P298" s="2636"/>
      <c r="Q298" s="2687"/>
      <c r="R298" s="2629"/>
      <c r="S298" s="2629"/>
      <c r="T298" s="2626"/>
      <c r="U298" s="2625"/>
      <c r="V298" s="2644" t="str">
        <f t="shared" si="60"/>
        <v/>
      </c>
      <c r="W298" s="2644" t="str">
        <f t="shared" si="61"/>
        <v/>
      </c>
      <c r="X298" s="2644" t="str">
        <f t="shared" si="62"/>
        <v/>
      </c>
      <c r="Y298" s="2567"/>
      <c r="Z298" s="2642"/>
      <c r="AA298" s="2642"/>
      <c r="AB298" s="2642"/>
      <c r="AC298" s="2642"/>
      <c r="AD298" s="2642"/>
      <c r="AE298" s="2642"/>
      <c r="AF298" s="2642"/>
      <c r="AG298" s="2642"/>
      <c r="AH298" s="2642"/>
      <c r="AI298" s="2700"/>
      <c r="AJ298" s="2701"/>
    </row>
    <row r="299" spans="1:36" s="1118" customFormat="1" ht="15" hidden="1" outlineLevel="1">
      <c r="A299" s="2318"/>
      <c r="B299" s="3033"/>
      <c r="C299" s="3035"/>
      <c r="D299" s="3028"/>
      <c r="E299" s="3029"/>
      <c r="F299" s="2613" t="s">
        <v>3865</v>
      </c>
      <c r="G299" s="2612"/>
      <c r="H299" s="2664"/>
      <c r="I299" s="2636"/>
      <c r="J299" s="2636"/>
      <c r="K299" s="2636"/>
      <c r="L299" s="2636"/>
      <c r="M299" s="2636"/>
      <c r="N299" s="2636"/>
      <c r="O299" s="2665"/>
      <c r="P299" s="2665"/>
      <c r="Q299" s="2688"/>
      <c r="R299" s="2629"/>
      <c r="S299" s="2629"/>
      <c r="T299" s="2626"/>
      <c r="U299" s="2625"/>
      <c r="V299" s="2644" t="str">
        <f t="shared" si="60"/>
        <v/>
      </c>
      <c r="W299" s="2644" t="str">
        <f t="shared" si="61"/>
        <v/>
      </c>
      <c r="X299" s="2644" t="str">
        <f t="shared" si="62"/>
        <v/>
      </c>
      <c r="Y299" s="2567"/>
      <c r="Z299" s="2642"/>
      <c r="AA299" s="2642"/>
      <c r="AB299" s="2642"/>
      <c r="AC299" s="2642"/>
      <c r="AD299" s="2642"/>
      <c r="AE299" s="2642"/>
      <c r="AF299" s="2642"/>
      <c r="AG299" s="2642"/>
      <c r="AH299" s="2642"/>
      <c r="AI299" s="2700"/>
      <c r="AJ299" s="2701"/>
    </row>
    <row r="300" spans="1:36" s="1118" customFormat="1" ht="15" hidden="1" outlineLevel="1">
      <c r="A300" s="2318"/>
      <c r="B300" s="3033"/>
      <c r="C300" s="3035"/>
      <c r="D300" s="3028"/>
      <c r="E300" s="3029" t="s">
        <v>2946</v>
      </c>
      <c r="F300" s="2611" t="s">
        <v>3860</v>
      </c>
      <c r="G300" s="2604"/>
      <c r="H300" s="2615"/>
      <c r="I300" s="2616"/>
      <c r="J300" s="2616"/>
      <c r="K300" s="2616"/>
      <c r="L300" s="2615"/>
      <c r="M300" s="2615"/>
      <c r="N300" s="2616"/>
      <c r="O300" s="2616"/>
      <c r="P300" s="2622"/>
      <c r="Q300" s="2690"/>
      <c r="R300" s="2615"/>
      <c r="S300" s="2616"/>
      <c r="T300" s="2616"/>
      <c r="U300" s="2625"/>
      <c r="V300" s="2644" t="str">
        <f t="shared" si="60"/>
        <v/>
      </c>
      <c r="W300" s="2644" t="str">
        <f t="shared" si="61"/>
        <v/>
      </c>
      <c r="X300" s="2644" t="str">
        <f t="shared" si="62"/>
        <v/>
      </c>
      <c r="Y300" s="2567"/>
      <c r="Z300" s="2642"/>
      <c r="AA300" s="2642"/>
      <c r="AB300" s="2642"/>
      <c r="AC300" s="2642"/>
      <c r="AD300" s="2642"/>
      <c r="AE300" s="2642"/>
      <c r="AF300" s="2642"/>
      <c r="AG300" s="2642"/>
      <c r="AH300" s="2642"/>
      <c r="AI300" s="2700"/>
      <c r="AJ300" s="2701"/>
    </row>
    <row r="301" spans="1:36" s="1118" customFormat="1" ht="15" hidden="1" outlineLevel="1">
      <c r="A301" s="2318"/>
      <c r="B301" s="3033"/>
      <c r="C301" s="3035"/>
      <c r="D301" s="3028"/>
      <c r="E301" s="3029"/>
      <c r="F301" s="2611" t="s">
        <v>3861</v>
      </c>
      <c r="G301" s="2604"/>
      <c r="H301" s="2615"/>
      <c r="I301" s="2616"/>
      <c r="J301" s="2616"/>
      <c r="K301" s="2616"/>
      <c r="L301" s="2616"/>
      <c r="M301" s="2622"/>
      <c r="N301" s="2622"/>
      <c r="O301" s="2616"/>
      <c r="P301" s="2622"/>
      <c r="Q301" s="2691"/>
      <c r="R301" s="2624"/>
      <c r="S301" s="2624"/>
      <c r="T301" s="2616"/>
      <c r="U301" s="2625"/>
      <c r="V301" s="2644" t="str">
        <f t="shared" si="60"/>
        <v/>
      </c>
      <c r="W301" s="2644" t="str">
        <f t="shared" si="61"/>
        <v/>
      </c>
      <c r="X301" s="2644" t="str">
        <f t="shared" si="62"/>
        <v/>
      </c>
      <c r="Y301" s="2567"/>
      <c r="Z301" s="2642"/>
      <c r="AA301" s="2642"/>
      <c r="AB301" s="2642"/>
      <c r="AC301" s="2642"/>
      <c r="AD301" s="2642"/>
      <c r="AE301" s="2642"/>
      <c r="AF301" s="2642"/>
      <c r="AG301" s="2642"/>
      <c r="AH301" s="2642"/>
      <c r="AI301" s="2700"/>
      <c r="AJ301" s="2701"/>
    </row>
    <row r="302" spans="1:36" s="1118" customFormat="1" ht="15" hidden="1" outlineLevel="1">
      <c r="A302" s="2318"/>
      <c r="B302" s="3033"/>
      <c r="C302" s="3035"/>
      <c r="D302" s="3028"/>
      <c r="E302" s="3029"/>
      <c r="F302" s="2611" t="s">
        <v>3862</v>
      </c>
      <c r="G302" s="2604"/>
      <c r="H302" s="2615"/>
      <c r="I302" s="2616"/>
      <c r="J302" s="2616"/>
      <c r="K302" s="2616"/>
      <c r="L302" s="2616"/>
      <c r="M302" s="2622"/>
      <c r="N302" s="2622"/>
      <c r="O302" s="2622"/>
      <c r="P302" s="2622"/>
      <c r="Q302" s="2691"/>
      <c r="R302" s="2624"/>
      <c r="S302" s="2624"/>
      <c r="T302" s="2626"/>
      <c r="U302" s="2625"/>
      <c r="V302" s="2644" t="str">
        <f t="shared" si="60"/>
        <v/>
      </c>
      <c r="W302" s="2644" t="str">
        <f t="shared" si="61"/>
        <v/>
      </c>
      <c r="X302" s="2644" t="str">
        <f t="shared" si="62"/>
        <v/>
      </c>
      <c r="Y302" s="2567"/>
      <c r="Z302" s="2642"/>
      <c r="AA302" s="2642"/>
      <c r="AB302" s="2642"/>
      <c r="AC302" s="2642"/>
      <c r="AD302" s="2642"/>
      <c r="AE302" s="2642"/>
      <c r="AF302" s="2642"/>
      <c r="AG302" s="2642"/>
      <c r="AH302" s="2642"/>
      <c r="AI302" s="2700"/>
      <c r="AJ302" s="2701"/>
    </row>
    <row r="303" spans="1:36" s="1118" customFormat="1" ht="15" hidden="1" outlineLevel="1">
      <c r="A303" s="2318"/>
      <c r="B303" s="3033"/>
      <c r="C303" s="3035"/>
      <c r="D303" s="3028"/>
      <c r="E303" s="3029"/>
      <c r="F303" s="2611" t="s">
        <v>3863</v>
      </c>
      <c r="G303" s="2604"/>
      <c r="H303" s="2619"/>
      <c r="I303" s="2620"/>
      <c r="J303" s="2620"/>
      <c r="K303" s="2620"/>
      <c r="L303" s="2620"/>
      <c r="M303" s="2623"/>
      <c r="N303" s="2623"/>
      <c r="O303" s="2624"/>
      <c r="P303" s="2624"/>
      <c r="Q303" s="2692"/>
      <c r="R303" s="2624"/>
      <c r="S303" s="2624"/>
      <c r="T303" s="2626"/>
      <c r="U303" s="2625"/>
      <c r="V303" s="2644" t="str">
        <f t="shared" si="60"/>
        <v/>
      </c>
      <c r="W303" s="2644" t="str">
        <f t="shared" si="61"/>
        <v/>
      </c>
      <c r="X303" s="2644" t="str">
        <f t="shared" si="62"/>
        <v/>
      </c>
      <c r="Y303" s="2567"/>
      <c r="Z303" s="2642"/>
      <c r="AA303" s="2642"/>
      <c r="AB303" s="2642"/>
      <c r="AC303" s="2642"/>
      <c r="AD303" s="2642"/>
      <c r="AE303" s="2642"/>
      <c r="AF303" s="2642"/>
      <c r="AG303" s="2642"/>
      <c r="AH303" s="2642"/>
      <c r="AI303" s="2700"/>
      <c r="AJ303" s="2701"/>
    </row>
    <row r="304" spans="1:36" s="1118" customFormat="1" ht="15" hidden="1" outlineLevel="1">
      <c r="A304" s="2318"/>
      <c r="B304" s="3033"/>
      <c r="C304" s="3035"/>
      <c r="D304" s="3028"/>
      <c r="E304" s="3029"/>
      <c r="F304" s="2613" t="s">
        <v>3864</v>
      </c>
      <c r="G304" s="2612"/>
      <c r="H304" s="2619"/>
      <c r="I304" s="2620"/>
      <c r="J304" s="2620"/>
      <c r="K304" s="2620"/>
      <c r="L304" s="2620"/>
      <c r="M304" s="2623"/>
      <c r="N304" s="2623"/>
      <c r="O304" s="2624"/>
      <c r="P304" s="2624"/>
      <c r="Q304" s="2692"/>
      <c r="R304" s="2624"/>
      <c r="S304" s="2624"/>
      <c r="T304" s="2626"/>
      <c r="U304" s="2625"/>
      <c r="V304" s="2644" t="str">
        <f t="shared" si="60"/>
        <v/>
      </c>
      <c r="W304" s="2644" t="str">
        <f t="shared" si="61"/>
        <v/>
      </c>
      <c r="X304" s="2644" t="str">
        <f t="shared" si="62"/>
        <v/>
      </c>
      <c r="Y304" s="2567"/>
      <c r="Z304" s="2642"/>
      <c r="AA304" s="2642"/>
      <c r="AB304" s="2642"/>
      <c r="AC304" s="2642"/>
      <c r="AD304" s="2642"/>
      <c r="AE304" s="2642"/>
      <c r="AF304" s="2642"/>
      <c r="AG304" s="2642"/>
      <c r="AH304" s="2642"/>
      <c r="AI304" s="2700"/>
      <c r="AJ304" s="2701"/>
    </row>
    <row r="305" spans="1:38" s="1118" customFormat="1" ht="15" hidden="1" outlineLevel="1">
      <c r="A305" s="2318"/>
      <c r="B305" s="3033"/>
      <c r="C305" s="3035"/>
      <c r="D305" s="3028"/>
      <c r="E305" s="3029"/>
      <c r="F305" s="2613" t="s">
        <v>3865</v>
      </c>
      <c r="G305" s="2612"/>
      <c r="H305" s="2619"/>
      <c r="I305" s="2620"/>
      <c r="J305" s="2620"/>
      <c r="K305" s="2620"/>
      <c r="L305" s="2620"/>
      <c r="M305" s="2623"/>
      <c r="N305" s="2623"/>
      <c r="O305" s="2624"/>
      <c r="P305" s="2624"/>
      <c r="Q305" s="2692"/>
      <c r="R305" s="2624"/>
      <c r="S305" s="2624"/>
      <c r="T305" s="2626"/>
      <c r="U305" s="2625"/>
      <c r="V305" s="2644" t="str">
        <f t="shared" si="60"/>
        <v/>
      </c>
      <c r="W305" s="2644" t="str">
        <f t="shared" si="61"/>
        <v/>
      </c>
      <c r="X305" s="2644" t="str">
        <f t="shared" si="62"/>
        <v/>
      </c>
      <c r="Y305" s="2567"/>
      <c r="Z305" s="2642"/>
      <c r="AA305" s="2642"/>
      <c r="AB305" s="2642"/>
      <c r="AC305" s="2642"/>
      <c r="AD305" s="2642"/>
      <c r="AE305" s="2642"/>
      <c r="AF305" s="2642"/>
      <c r="AG305" s="2642"/>
      <c r="AH305" s="2642"/>
      <c r="AI305" s="2700"/>
      <c r="AJ305" s="2701"/>
    </row>
    <row r="306" spans="1:38" s="1118" customFormat="1" ht="15" collapsed="1">
      <c r="A306" s="2318"/>
      <c r="B306" s="3033"/>
      <c r="C306" s="3035"/>
      <c r="D306" s="3028" t="s">
        <v>2954</v>
      </c>
      <c r="E306" s="3029" t="s">
        <v>2950</v>
      </c>
      <c r="F306" s="2611" t="s">
        <v>3860</v>
      </c>
      <c r="G306" s="2604"/>
      <c r="H306" s="2619">
        <f>' (стр.15)'!F200*1000</f>
        <v>20</v>
      </c>
      <c r="I306" s="2620"/>
      <c r="J306" s="2620"/>
      <c r="K306" s="2620"/>
      <c r="L306" s="2699">
        <f>SUM(H306:J306)</f>
        <v>20</v>
      </c>
      <c r="M306" s="2619">
        <f>' (стр.15)'!G200</f>
        <v>264.66000000000003</v>
      </c>
      <c r="N306" s="2623"/>
      <c r="O306" s="2620"/>
      <c r="P306" s="2624"/>
      <c r="Q306" s="2699">
        <f>SUM(M306:O306)</f>
        <v>264.66000000000003</v>
      </c>
      <c r="R306" s="2619">
        <f>' (стр.15)'!P200/1000</f>
        <v>75.527410000000003</v>
      </c>
      <c r="S306" s="2624"/>
      <c r="T306" s="2620"/>
      <c r="U306" s="2625"/>
      <c r="V306" s="2644">
        <f t="shared" si="60"/>
        <v>3776370.5</v>
      </c>
      <c r="W306" s="2644" t="str">
        <f t="shared" si="61"/>
        <v/>
      </c>
      <c r="X306" s="2644" t="str">
        <f t="shared" si="62"/>
        <v/>
      </c>
      <c r="Y306" s="2567"/>
      <c r="Z306" s="2645">
        <f>$Z$13</f>
        <v>1.0528</v>
      </c>
      <c r="AA306" s="2645">
        <f>$AA$13</f>
        <v>1.0589</v>
      </c>
      <c r="AB306" s="2645">
        <f>$AB$13</f>
        <v>1.0507936887282501</v>
      </c>
      <c r="AC306" s="2645">
        <f>$AC$13</f>
        <v>1.04657781587849</v>
      </c>
      <c r="AD306" s="2507">
        <f>IFERROR(V306*$Z$294*$AA$294*$AB$294*$AC$294,"")</f>
        <v>4629823.1426157383</v>
      </c>
      <c r="AE306" s="2507" t="str">
        <f>IFERROR(W306*$AA$238*$AB$238*$AC$238,"")</f>
        <v/>
      </c>
      <c r="AF306" s="2672" t="str">
        <f>IFERROR(X306*$AB$238*$AC$238,"")</f>
        <v/>
      </c>
      <c r="AG306" s="2642"/>
      <c r="AH306" s="2644">
        <f>SUM(AD306:AF306)</f>
        <v>4629823.1426157383</v>
      </c>
      <c r="AI306" s="2700">
        <f>AH306/1</f>
        <v>4629823.1426157383</v>
      </c>
      <c r="AJ306" s="2701">
        <f>IFERROR((AI306*L306/1000)/Q306,"")</f>
        <v>349.86950371161021</v>
      </c>
    </row>
    <row r="307" spans="1:38" s="1118" customFormat="1" ht="15" hidden="1" outlineLevel="1">
      <c r="A307" s="2318"/>
      <c r="B307" s="3033"/>
      <c r="C307" s="3035"/>
      <c r="D307" s="3028"/>
      <c r="E307" s="3029"/>
      <c r="F307" s="2611" t="s">
        <v>3861</v>
      </c>
      <c r="G307" s="2604"/>
      <c r="H307" s="2637"/>
      <c r="I307" s="2638"/>
      <c r="J307" s="2638"/>
      <c r="K307" s="2638"/>
      <c r="L307" s="2638"/>
      <c r="M307" s="2666"/>
      <c r="N307" s="2666"/>
      <c r="O307" s="2629"/>
      <c r="P307" s="2629"/>
      <c r="Q307" s="2625"/>
      <c r="R307" s="2629"/>
      <c r="S307" s="2629"/>
      <c r="T307" s="2626"/>
      <c r="U307" s="2625"/>
      <c r="V307" s="2644" t="str">
        <f t="shared" si="60"/>
        <v/>
      </c>
      <c r="W307" s="2644" t="str">
        <f t="shared" si="61"/>
        <v/>
      </c>
      <c r="X307" s="2644" t="str">
        <f t="shared" si="62"/>
        <v/>
      </c>
      <c r="Y307" s="2567"/>
      <c r="Z307" s="2642"/>
      <c r="AA307" s="2642"/>
      <c r="AB307" s="2642"/>
      <c r="AC307" s="2642"/>
      <c r="AD307" s="2507" t="str">
        <f t="shared" ref="AD307:AD329" si="63">IFERROR(V307*$Z$13*$AA$13*$AB$13*$AC$13,"")</f>
        <v/>
      </c>
      <c r="AE307" s="2507" t="str">
        <f t="shared" ref="AE307:AE329" si="64">IFERROR(W307*$AA$13*$AB$13*$AC$13,"")</f>
        <v/>
      </c>
      <c r="AF307" s="2672" t="str">
        <f t="shared" ref="AF307:AF329" si="65">IFERROR(X307*$AB$13*$AC$13,"")</f>
        <v/>
      </c>
      <c r="AG307" s="2642"/>
      <c r="AH307" s="2599"/>
      <c r="AI307" s="2700"/>
      <c r="AJ307" s="2701"/>
      <c r="AK307" s="2705"/>
      <c r="AL307" s="2705"/>
    </row>
    <row r="308" spans="1:38" s="1118" customFormat="1" ht="15" hidden="1" outlineLevel="1">
      <c r="A308" s="2318"/>
      <c r="B308" s="3033"/>
      <c r="C308" s="3035"/>
      <c r="D308" s="3028"/>
      <c r="E308" s="3029"/>
      <c r="F308" s="2611" t="s">
        <v>3862</v>
      </c>
      <c r="G308" s="2604"/>
      <c r="H308" s="2637"/>
      <c r="I308" s="2638"/>
      <c r="J308" s="2638"/>
      <c r="K308" s="2638"/>
      <c r="L308" s="2638"/>
      <c r="M308" s="2666"/>
      <c r="N308" s="2666"/>
      <c r="O308" s="2629"/>
      <c r="P308" s="2629"/>
      <c r="Q308" s="2625"/>
      <c r="R308" s="2629"/>
      <c r="S308" s="2629"/>
      <c r="T308" s="2626"/>
      <c r="U308" s="2625"/>
      <c r="V308" s="2644" t="str">
        <f t="shared" si="60"/>
        <v/>
      </c>
      <c r="W308" s="2644" t="str">
        <f t="shared" si="61"/>
        <v/>
      </c>
      <c r="X308" s="2644" t="str">
        <f t="shared" si="62"/>
        <v/>
      </c>
      <c r="Y308" s="2567"/>
      <c r="Z308" s="2642"/>
      <c r="AA308" s="2642"/>
      <c r="AB308" s="2642"/>
      <c r="AC308" s="2642"/>
      <c r="AD308" s="2507" t="str">
        <f t="shared" si="63"/>
        <v/>
      </c>
      <c r="AE308" s="2507" t="str">
        <f t="shared" si="64"/>
        <v/>
      </c>
      <c r="AF308" s="2672" t="str">
        <f t="shared" si="65"/>
        <v/>
      </c>
      <c r="AG308" s="2642"/>
      <c r="AH308" s="2599"/>
      <c r="AI308" s="2700"/>
      <c r="AJ308" s="2701"/>
    </row>
    <row r="309" spans="1:38" s="1118" customFormat="1" ht="15" hidden="1" outlineLevel="1">
      <c r="A309" s="2318"/>
      <c r="B309" s="3033"/>
      <c r="C309" s="3035"/>
      <c r="D309" s="3028"/>
      <c r="E309" s="3029"/>
      <c r="F309" s="2611" t="s">
        <v>3863</v>
      </c>
      <c r="G309" s="2604"/>
      <c r="H309" s="2637"/>
      <c r="I309" s="2638"/>
      <c r="J309" s="2638"/>
      <c r="K309" s="2638"/>
      <c r="L309" s="2638"/>
      <c r="M309" s="2666"/>
      <c r="N309" s="2666"/>
      <c r="O309" s="2629"/>
      <c r="P309" s="2629"/>
      <c r="Q309" s="2625"/>
      <c r="R309" s="2629"/>
      <c r="S309" s="2629"/>
      <c r="T309" s="2626"/>
      <c r="U309" s="2625"/>
      <c r="V309" s="2644" t="str">
        <f t="shared" si="60"/>
        <v/>
      </c>
      <c r="W309" s="2644" t="str">
        <f t="shared" si="61"/>
        <v/>
      </c>
      <c r="X309" s="2644" t="str">
        <f t="shared" si="62"/>
        <v/>
      </c>
      <c r="Y309" s="2567"/>
      <c r="Z309" s="2642"/>
      <c r="AA309" s="2642"/>
      <c r="AB309" s="2642"/>
      <c r="AC309" s="2642"/>
      <c r="AD309" s="2507" t="str">
        <f t="shared" si="63"/>
        <v/>
      </c>
      <c r="AE309" s="2507" t="str">
        <f t="shared" si="64"/>
        <v/>
      </c>
      <c r="AF309" s="2672" t="str">
        <f t="shared" si="65"/>
        <v/>
      </c>
      <c r="AG309" s="2642"/>
      <c r="AH309" s="2599"/>
      <c r="AI309" s="2700"/>
      <c r="AJ309" s="2701"/>
    </row>
    <row r="310" spans="1:38" s="1118" customFormat="1" ht="15" hidden="1" outlineLevel="1">
      <c r="A310" s="2318"/>
      <c r="B310" s="3033"/>
      <c r="C310" s="3035"/>
      <c r="D310" s="3028"/>
      <c r="E310" s="3029"/>
      <c r="F310" s="2613" t="s">
        <v>3864</v>
      </c>
      <c r="G310" s="2612"/>
      <c r="H310" s="2637"/>
      <c r="I310" s="2638"/>
      <c r="J310" s="2638"/>
      <c r="K310" s="2638"/>
      <c r="L310" s="2638"/>
      <c r="M310" s="2666"/>
      <c r="N310" s="2666"/>
      <c r="O310" s="2629"/>
      <c r="P310" s="2629"/>
      <c r="Q310" s="2625"/>
      <c r="R310" s="2629"/>
      <c r="S310" s="2629"/>
      <c r="T310" s="2626"/>
      <c r="U310" s="2625"/>
      <c r="V310" s="2644" t="str">
        <f t="shared" si="60"/>
        <v/>
      </c>
      <c r="W310" s="2644" t="str">
        <f t="shared" si="61"/>
        <v/>
      </c>
      <c r="X310" s="2644" t="str">
        <f t="shared" si="62"/>
        <v/>
      </c>
      <c r="Y310" s="2567"/>
      <c r="Z310" s="2642"/>
      <c r="AA310" s="2642"/>
      <c r="AB310" s="2642"/>
      <c r="AC310" s="2642"/>
      <c r="AD310" s="2507" t="str">
        <f t="shared" si="63"/>
        <v/>
      </c>
      <c r="AE310" s="2507" t="str">
        <f t="shared" si="64"/>
        <v/>
      </c>
      <c r="AF310" s="2672" t="str">
        <f t="shared" si="65"/>
        <v/>
      </c>
      <c r="AG310" s="2642"/>
      <c r="AH310" s="2599"/>
      <c r="AI310" s="2700"/>
      <c r="AJ310" s="2701"/>
    </row>
    <row r="311" spans="1:38" s="1118" customFormat="1" ht="15" hidden="1" outlineLevel="1">
      <c r="A311" s="2318"/>
      <c r="B311" s="3033"/>
      <c r="C311" s="3035"/>
      <c r="D311" s="3028"/>
      <c r="E311" s="3029"/>
      <c r="F311" s="2613" t="s">
        <v>3865</v>
      </c>
      <c r="G311" s="2612"/>
      <c r="H311" s="2627"/>
      <c r="I311" s="2628"/>
      <c r="J311" s="2628"/>
      <c r="K311" s="2628"/>
      <c r="L311" s="2628"/>
      <c r="M311" s="2629"/>
      <c r="N311" s="2629"/>
      <c r="O311" s="2629"/>
      <c r="P311" s="2629"/>
      <c r="Q311" s="2625"/>
      <c r="R311" s="2629"/>
      <c r="S311" s="2629"/>
      <c r="T311" s="2626"/>
      <c r="U311" s="2625"/>
      <c r="V311" s="2644" t="str">
        <f t="shared" si="60"/>
        <v/>
      </c>
      <c r="W311" s="2644" t="str">
        <f t="shared" si="61"/>
        <v/>
      </c>
      <c r="X311" s="2644" t="str">
        <f t="shared" si="62"/>
        <v/>
      </c>
      <c r="Y311" s="2567"/>
      <c r="Z311" s="2642"/>
      <c r="AA311" s="2642"/>
      <c r="AB311" s="2642"/>
      <c r="AC311" s="2642"/>
      <c r="AD311" s="2507" t="str">
        <f t="shared" si="63"/>
        <v/>
      </c>
      <c r="AE311" s="2507" t="str">
        <f t="shared" si="64"/>
        <v/>
      </c>
      <c r="AF311" s="2672" t="str">
        <f t="shared" si="65"/>
        <v/>
      </c>
      <c r="AG311" s="2642"/>
      <c r="AH311" s="2599"/>
      <c r="AI311" s="2700"/>
      <c r="AJ311" s="2701"/>
    </row>
    <row r="312" spans="1:38" s="1118" customFormat="1" ht="15" hidden="1" outlineLevel="1">
      <c r="A312" s="2318"/>
      <c r="B312" s="3033"/>
      <c r="C312" s="3035"/>
      <c r="D312" s="3028"/>
      <c r="E312" s="3029" t="s">
        <v>2946</v>
      </c>
      <c r="F312" s="2611" t="s">
        <v>3860</v>
      </c>
      <c r="G312" s="2604"/>
      <c r="H312" s="2627"/>
      <c r="I312" s="2628"/>
      <c r="J312" s="2628"/>
      <c r="K312" s="2628"/>
      <c r="L312" s="2628"/>
      <c r="M312" s="2629"/>
      <c r="N312" s="2629"/>
      <c r="O312" s="2629"/>
      <c r="P312" s="2629"/>
      <c r="Q312" s="2625"/>
      <c r="R312" s="2629"/>
      <c r="S312" s="2629"/>
      <c r="T312" s="2626"/>
      <c r="U312" s="2625"/>
      <c r="V312" s="2644" t="str">
        <f t="shared" si="60"/>
        <v/>
      </c>
      <c r="W312" s="2644" t="str">
        <f t="shared" si="61"/>
        <v/>
      </c>
      <c r="X312" s="2644" t="str">
        <f t="shared" si="62"/>
        <v/>
      </c>
      <c r="Y312" s="2567"/>
      <c r="Z312" s="2642"/>
      <c r="AA312" s="2642"/>
      <c r="AB312" s="2642"/>
      <c r="AC312" s="2642"/>
      <c r="AD312" s="2507" t="str">
        <f t="shared" si="63"/>
        <v/>
      </c>
      <c r="AE312" s="2507" t="str">
        <f t="shared" si="64"/>
        <v/>
      </c>
      <c r="AF312" s="2672" t="str">
        <f t="shared" si="65"/>
        <v/>
      </c>
      <c r="AG312" s="2642"/>
      <c r="AH312" s="2599"/>
      <c r="AI312" s="2700"/>
      <c r="AJ312" s="2701"/>
    </row>
    <row r="313" spans="1:38" s="1118" customFormat="1" ht="15" hidden="1" outlineLevel="1">
      <c r="A313" s="2318"/>
      <c r="B313" s="3033"/>
      <c r="C313" s="3035"/>
      <c r="D313" s="3028"/>
      <c r="E313" s="3029"/>
      <c r="F313" s="2611" t="s">
        <v>3861</v>
      </c>
      <c r="G313" s="2604"/>
      <c r="H313" s="2627"/>
      <c r="I313" s="2628"/>
      <c r="J313" s="2628"/>
      <c r="K313" s="2628"/>
      <c r="L313" s="2628"/>
      <c r="M313" s="2629"/>
      <c r="N313" s="2629"/>
      <c r="O313" s="2629"/>
      <c r="P313" s="2629"/>
      <c r="Q313" s="2625"/>
      <c r="R313" s="2629"/>
      <c r="S313" s="2629"/>
      <c r="T313" s="2626"/>
      <c r="U313" s="2625"/>
      <c r="V313" s="2644" t="str">
        <f t="shared" si="60"/>
        <v/>
      </c>
      <c r="W313" s="2644" t="str">
        <f t="shared" si="61"/>
        <v/>
      </c>
      <c r="X313" s="2644" t="str">
        <f t="shared" si="62"/>
        <v/>
      </c>
      <c r="Y313" s="2567"/>
      <c r="Z313" s="2642"/>
      <c r="AA313" s="2642"/>
      <c r="AB313" s="2642"/>
      <c r="AC313" s="2642"/>
      <c r="AD313" s="2507" t="str">
        <f t="shared" si="63"/>
        <v/>
      </c>
      <c r="AE313" s="2507" t="str">
        <f t="shared" si="64"/>
        <v/>
      </c>
      <c r="AF313" s="2672" t="str">
        <f t="shared" si="65"/>
        <v/>
      </c>
      <c r="AG313" s="2642"/>
      <c r="AH313" s="2599"/>
      <c r="AI313" s="2700"/>
      <c r="AJ313" s="2701"/>
    </row>
    <row r="314" spans="1:38" s="1118" customFormat="1" ht="15" hidden="1" outlineLevel="1">
      <c r="A314" s="2318"/>
      <c r="B314" s="3033"/>
      <c r="C314" s="3035"/>
      <c r="D314" s="3028"/>
      <c r="E314" s="3029"/>
      <c r="F314" s="2611" t="s">
        <v>3862</v>
      </c>
      <c r="G314" s="2604"/>
      <c r="H314" s="2627"/>
      <c r="I314" s="2628"/>
      <c r="J314" s="2628"/>
      <c r="K314" s="2628"/>
      <c r="L314" s="2628"/>
      <c r="M314" s="2629"/>
      <c r="N314" s="2629"/>
      <c r="O314" s="2629"/>
      <c r="P314" s="2629"/>
      <c r="Q314" s="2625"/>
      <c r="R314" s="2629"/>
      <c r="S314" s="2629"/>
      <c r="T314" s="2626"/>
      <c r="U314" s="2625"/>
      <c r="V314" s="2644" t="str">
        <f t="shared" si="60"/>
        <v/>
      </c>
      <c r="W314" s="2644" t="str">
        <f t="shared" si="61"/>
        <v/>
      </c>
      <c r="X314" s="2644" t="str">
        <f t="shared" si="62"/>
        <v/>
      </c>
      <c r="Y314" s="2567"/>
      <c r="Z314" s="2642"/>
      <c r="AA314" s="2642"/>
      <c r="AB314" s="2642"/>
      <c r="AC314" s="2642"/>
      <c r="AD314" s="2507" t="str">
        <f t="shared" si="63"/>
        <v/>
      </c>
      <c r="AE314" s="2507" t="str">
        <f t="shared" si="64"/>
        <v/>
      </c>
      <c r="AF314" s="2672" t="str">
        <f t="shared" si="65"/>
        <v/>
      </c>
      <c r="AG314" s="2642"/>
      <c r="AH314" s="2599"/>
      <c r="AI314" s="2700"/>
      <c r="AJ314" s="2701"/>
    </row>
    <row r="315" spans="1:38" s="1118" customFormat="1" ht="15" hidden="1" outlineLevel="1">
      <c r="A315" s="2318"/>
      <c r="B315" s="3033"/>
      <c r="C315" s="3035"/>
      <c r="D315" s="3028"/>
      <c r="E315" s="3029"/>
      <c r="F315" s="2611" t="s">
        <v>3863</v>
      </c>
      <c r="G315" s="2604"/>
      <c r="H315" s="2627"/>
      <c r="I315" s="2628"/>
      <c r="J315" s="2628"/>
      <c r="K315" s="2628"/>
      <c r="L315" s="2628"/>
      <c r="M315" s="2629"/>
      <c r="N315" s="2629"/>
      <c r="O315" s="2629"/>
      <c r="P315" s="2629"/>
      <c r="Q315" s="2625"/>
      <c r="R315" s="2629"/>
      <c r="S315" s="2629"/>
      <c r="T315" s="2626"/>
      <c r="U315" s="2625"/>
      <c r="V315" s="2644" t="str">
        <f t="shared" si="60"/>
        <v/>
      </c>
      <c r="W315" s="2644" t="str">
        <f t="shared" si="61"/>
        <v/>
      </c>
      <c r="X315" s="2644" t="str">
        <f t="shared" si="62"/>
        <v/>
      </c>
      <c r="Y315" s="2567"/>
      <c r="Z315" s="2642"/>
      <c r="AA315" s="2642"/>
      <c r="AB315" s="2642"/>
      <c r="AC315" s="2642"/>
      <c r="AD315" s="2507" t="str">
        <f t="shared" si="63"/>
        <v/>
      </c>
      <c r="AE315" s="2507" t="str">
        <f t="shared" si="64"/>
        <v/>
      </c>
      <c r="AF315" s="2672" t="str">
        <f t="shared" si="65"/>
        <v/>
      </c>
      <c r="AG315" s="2642"/>
      <c r="AH315" s="2599"/>
      <c r="AI315" s="2700"/>
      <c r="AJ315" s="2701"/>
    </row>
    <row r="316" spans="1:38" s="1118" customFormat="1" ht="15" hidden="1" outlineLevel="1">
      <c r="A316" s="2318"/>
      <c r="B316" s="3033"/>
      <c r="C316" s="3035"/>
      <c r="D316" s="3028"/>
      <c r="E316" s="3029"/>
      <c r="F316" s="2613" t="s">
        <v>3864</v>
      </c>
      <c r="G316" s="2612"/>
      <c r="H316" s="2627"/>
      <c r="I316" s="2628"/>
      <c r="J316" s="2628"/>
      <c r="K316" s="2628"/>
      <c r="L316" s="2628"/>
      <c r="M316" s="2629"/>
      <c r="N316" s="2629"/>
      <c r="O316" s="2629"/>
      <c r="P316" s="2629"/>
      <c r="Q316" s="2625"/>
      <c r="R316" s="2629"/>
      <c r="S316" s="2629"/>
      <c r="T316" s="2626"/>
      <c r="U316" s="2625"/>
      <c r="V316" s="2644" t="str">
        <f t="shared" si="60"/>
        <v/>
      </c>
      <c r="W316" s="2644" t="str">
        <f t="shared" si="61"/>
        <v/>
      </c>
      <c r="X316" s="2644" t="str">
        <f t="shared" si="62"/>
        <v/>
      </c>
      <c r="Y316" s="2567"/>
      <c r="Z316" s="2642"/>
      <c r="AA316" s="2642"/>
      <c r="AB316" s="2642"/>
      <c r="AC316" s="2642"/>
      <c r="AD316" s="2507" t="str">
        <f t="shared" si="63"/>
        <v/>
      </c>
      <c r="AE316" s="2507" t="str">
        <f t="shared" si="64"/>
        <v/>
      </c>
      <c r="AF316" s="2672" t="str">
        <f t="shared" si="65"/>
        <v/>
      </c>
      <c r="AG316" s="2642"/>
      <c r="AH316" s="2599"/>
      <c r="AI316" s="2700"/>
      <c r="AJ316" s="2701"/>
    </row>
    <row r="317" spans="1:38" s="1118" customFormat="1" ht="15" hidden="1" outlineLevel="1">
      <c r="A317" s="2318"/>
      <c r="B317" s="3033"/>
      <c r="C317" s="3035"/>
      <c r="D317" s="3028"/>
      <c r="E317" s="3029"/>
      <c r="F317" s="2613" t="s">
        <v>3865</v>
      </c>
      <c r="G317" s="2612"/>
      <c r="H317" s="2627"/>
      <c r="I317" s="2628"/>
      <c r="J317" s="2628"/>
      <c r="K317" s="2628"/>
      <c r="L317" s="2628"/>
      <c r="M317" s="2629"/>
      <c r="N317" s="2629"/>
      <c r="O317" s="2629"/>
      <c r="P317" s="2629"/>
      <c r="Q317" s="2625"/>
      <c r="R317" s="2629"/>
      <c r="S317" s="2629"/>
      <c r="T317" s="2626"/>
      <c r="U317" s="2625"/>
      <c r="V317" s="2644" t="str">
        <f t="shared" si="60"/>
        <v/>
      </c>
      <c r="W317" s="2644" t="str">
        <f t="shared" si="61"/>
        <v/>
      </c>
      <c r="X317" s="2644" t="str">
        <f t="shared" si="62"/>
        <v/>
      </c>
      <c r="Y317" s="2567"/>
      <c r="Z317" s="2642"/>
      <c r="AA317" s="2642"/>
      <c r="AB317" s="2642"/>
      <c r="AC317" s="2642"/>
      <c r="AD317" s="2507" t="str">
        <f t="shared" si="63"/>
        <v/>
      </c>
      <c r="AE317" s="2507" t="str">
        <f t="shared" si="64"/>
        <v/>
      </c>
      <c r="AF317" s="2672" t="str">
        <f t="shared" si="65"/>
        <v/>
      </c>
      <c r="AG317" s="2642"/>
      <c r="AH317" s="2599"/>
      <c r="AI317" s="2700"/>
      <c r="AJ317" s="2701"/>
    </row>
    <row r="318" spans="1:38" s="1118" customFormat="1" ht="15.75" hidden="1" outlineLevel="1" thickBot="1">
      <c r="A318" s="2318"/>
      <c r="B318" s="3023" t="s">
        <v>2948</v>
      </c>
      <c r="C318" s="3026" t="s">
        <v>3859</v>
      </c>
      <c r="D318" s="3028" t="s">
        <v>2949</v>
      </c>
      <c r="E318" s="3029" t="s">
        <v>2950</v>
      </c>
      <c r="F318" s="2611" t="s">
        <v>3860</v>
      </c>
      <c r="G318" s="2604"/>
      <c r="H318" s="2627"/>
      <c r="I318" s="2628"/>
      <c r="J318" s="2628"/>
      <c r="K318" s="2628"/>
      <c r="L318" s="2628"/>
      <c r="M318" s="2629"/>
      <c r="N318" s="2629"/>
      <c r="O318" s="2629"/>
      <c r="P318" s="2629"/>
      <c r="Q318" s="2625"/>
      <c r="R318" s="2629"/>
      <c r="S318" s="2629"/>
      <c r="T318" s="2626"/>
      <c r="U318" s="2625"/>
      <c r="V318" s="2644" t="str">
        <f t="shared" si="60"/>
        <v/>
      </c>
      <c r="W318" s="2644" t="str">
        <f t="shared" si="61"/>
        <v/>
      </c>
      <c r="X318" s="2644" t="str">
        <f t="shared" si="62"/>
        <v/>
      </c>
      <c r="Y318" s="2567"/>
      <c r="Z318" s="2642"/>
      <c r="AA318" s="2642"/>
      <c r="AB318" s="2642"/>
      <c r="AC318" s="2642"/>
      <c r="AD318" s="2507" t="str">
        <f t="shared" si="63"/>
        <v/>
      </c>
      <c r="AE318" s="2507" t="str">
        <f t="shared" si="64"/>
        <v/>
      </c>
      <c r="AF318" s="2672" t="str">
        <f t="shared" si="65"/>
        <v/>
      </c>
      <c r="AG318" s="2642"/>
      <c r="AH318" s="2599"/>
      <c r="AI318" s="2700"/>
      <c r="AJ318" s="2701"/>
    </row>
    <row r="319" spans="1:38" s="1118" customFormat="1" ht="15.75" hidden="1" outlineLevel="1" thickBot="1">
      <c r="A319" s="2318"/>
      <c r="B319" s="3024"/>
      <c r="C319" s="3027"/>
      <c r="D319" s="3028"/>
      <c r="E319" s="3029"/>
      <c r="F319" s="2611" t="s">
        <v>3861</v>
      </c>
      <c r="G319" s="2604"/>
      <c r="H319" s="2627"/>
      <c r="I319" s="2628"/>
      <c r="J319" s="2628"/>
      <c r="K319" s="2628"/>
      <c r="L319" s="2628"/>
      <c r="M319" s="2629"/>
      <c r="N319" s="2629"/>
      <c r="O319" s="2629"/>
      <c r="P319" s="2629"/>
      <c r="Q319" s="2625"/>
      <c r="R319" s="2629"/>
      <c r="S319" s="2629"/>
      <c r="T319" s="2626"/>
      <c r="U319" s="2625"/>
      <c r="V319" s="2644" t="str">
        <f t="shared" si="60"/>
        <v/>
      </c>
      <c r="W319" s="2644" t="str">
        <f t="shared" si="61"/>
        <v/>
      </c>
      <c r="X319" s="2644" t="str">
        <f t="shared" si="62"/>
        <v/>
      </c>
      <c r="Y319" s="2567"/>
      <c r="Z319" s="2642"/>
      <c r="AA319" s="2642"/>
      <c r="AB319" s="2642"/>
      <c r="AC319" s="2642"/>
      <c r="AD319" s="2507" t="str">
        <f t="shared" si="63"/>
        <v/>
      </c>
      <c r="AE319" s="2507" t="str">
        <f t="shared" si="64"/>
        <v/>
      </c>
      <c r="AF319" s="2672" t="str">
        <f t="shared" si="65"/>
        <v/>
      </c>
      <c r="AG319" s="2642"/>
      <c r="AH319" s="2599"/>
      <c r="AI319" s="2700"/>
      <c r="AJ319" s="2701"/>
    </row>
    <row r="320" spans="1:38" s="1118" customFormat="1" ht="15.75" hidden="1" outlineLevel="1" thickBot="1">
      <c r="A320" s="2318"/>
      <c r="B320" s="3024"/>
      <c r="C320" s="3027"/>
      <c r="D320" s="3028"/>
      <c r="E320" s="3029"/>
      <c r="F320" s="2611" t="s">
        <v>3862</v>
      </c>
      <c r="G320" s="2604"/>
      <c r="H320" s="2627"/>
      <c r="I320" s="2628"/>
      <c r="J320" s="2628"/>
      <c r="K320" s="2628"/>
      <c r="L320" s="2628"/>
      <c r="M320" s="2629"/>
      <c r="N320" s="2629"/>
      <c r="O320" s="2629"/>
      <c r="P320" s="2629"/>
      <c r="Q320" s="2625"/>
      <c r="R320" s="2629"/>
      <c r="S320" s="2629"/>
      <c r="T320" s="2626"/>
      <c r="U320" s="2625"/>
      <c r="V320" s="2644" t="str">
        <f t="shared" si="60"/>
        <v/>
      </c>
      <c r="W320" s="2644" t="str">
        <f t="shared" si="61"/>
        <v/>
      </c>
      <c r="X320" s="2644" t="str">
        <f t="shared" si="62"/>
        <v/>
      </c>
      <c r="Y320" s="2567"/>
      <c r="Z320" s="2642"/>
      <c r="AA320" s="2642"/>
      <c r="AB320" s="2642"/>
      <c r="AC320" s="2642"/>
      <c r="AD320" s="2507" t="str">
        <f t="shared" si="63"/>
        <v/>
      </c>
      <c r="AE320" s="2507" t="str">
        <f t="shared" si="64"/>
        <v/>
      </c>
      <c r="AF320" s="2672" t="str">
        <f t="shared" si="65"/>
        <v/>
      </c>
      <c r="AG320" s="2642"/>
      <c r="AH320" s="2599"/>
      <c r="AI320" s="2700"/>
      <c r="AJ320" s="2701"/>
    </row>
    <row r="321" spans="1:36" s="1118" customFormat="1" ht="15.75" hidden="1" outlineLevel="1" thickBot="1">
      <c r="A321" s="2318"/>
      <c r="B321" s="3024"/>
      <c r="C321" s="3027"/>
      <c r="D321" s="3028"/>
      <c r="E321" s="3029"/>
      <c r="F321" s="2611" t="s">
        <v>3863</v>
      </c>
      <c r="G321" s="2604"/>
      <c r="H321" s="2627"/>
      <c r="I321" s="2628"/>
      <c r="J321" s="2628"/>
      <c r="K321" s="2628"/>
      <c r="L321" s="2628"/>
      <c r="M321" s="2629"/>
      <c r="N321" s="2629"/>
      <c r="O321" s="2629"/>
      <c r="P321" s="2629"/>
      <c r="Q321" s="2625"/>
      <c r="R321" s="2629"/>
      <c r="S321" s="2629"/>
      <c r="T321" s="2626"/>
      <c r="U321" s="2625"/>
      <c r="V321" s="2644" t="str">
        <f t="shared" si="60"/>
        <v/>
      </c>
      <c r="W321" s="2644" t="str">
        <f t="shared" si="61"/>
        <v/>
      </c>
      <c r="X321" s="2644" t="str">
        <f t="shared" si="62"/>
        <v/>
      </c>
      <c r="Y321" s="2567"/>
      <c r="Z321" s="2642"/>
      <c r="AA321" s="2642"/>
      <c r="AB321" s="2642"/>
      <c r="AC321" s="2642"/>
      <c r="AD321" s="2507" t="str">
        <f t="shared" si="63"/>
        <v/>
      </c>
      <c r="AE321" s="2507" t="str">
        <f t="shared" si="64"/>
        <v/>
      </c>
      <c r="AF321" s="2672" t="str">
        <f t="shared" si="65"/>
        <v/>
      </c>
      <c r="AG321" s="2642"/>
      <c r="AH321" s="2599"/>
      <c r="AI321" s="2700"/>
      <c r="AJ321" s="2701"/>
    </row>
    <row r="322" spans="1:36" s="1118" customFormat="1" ht="15.75" hidden="1" outlineLevel="1" thickBot="1">
      <c r="A322" s="2318"/>
      <c r="B322" s="3024"/>
      <c r="C322" s="3027"/>
      <c r="D322" s="3028"/>
      <c r="E322" s="3029"/>
      <c r="F322" s="2613" t="s">
        <v>3864</v>
      </c>
      <c r="G322" s="2612"/>
      <c r="H322" s="2627"/>
      <c r="I322" s="2628"/>
      <c r="J322" s="2628"/>
      <c r="K322" s="2628"/>
      <c r="L322" s="2628"/>
      <c r="M322" s="2629"/>
      <c r="N322" s="2629"/>
      <c r="O322" s="2629"/>
      <c r="P322" s="2629"/>
      <c r="Q322" s="2625"/>
      <c r="R322" s="2629"/>
      <c r="S322" s="2629"/>
      <c r="T322" s="2626"/>
      <c r="U322" s="2625"/>
      <c r="V322" s="2644" t="str">
        <f t="shared" si="60"/>
        <v/>
      </c>
      <c r="W322" s="2644" t="str">
        <f t="shared" si="61"/>
        <v/>
      </c>
      <c r="X322" s="2644" t="str">
        <f t="shared" si="62"/>
        <v/>
      </c>
      <c r="Y322" s="2567"/>
      <c r="Z322" s="2642"/>
      <c r="AA322" s="2642"/>
      <c r="AB322" s="2642"/>
      <c r="AC322" s="2642"/>
      <c r="AD322" s="2507" t="str">
        <f t="shared" si="63"/>
        <v/>
      </c>
      <c r="AE322" s="2507" t="str">
        <f t="shared" si="64"/>
        <v/>
      </c>
      <c r="AF322" s="2672" t="str">
        <f t="shared" si="65"/>
        <v/>
      </c>
      <c r="AG322" s="2642"/>
      <c r="AH322" s="2599"/>
      <c r="AI322" s="2700"/>
      <c r="AJ322" s="2701"/>
    </row>
    <row r="323" spans="1:36" s="1118" customFormat="1" ht="15.75" hidden="1" outlineLevel="1" thickBot="1">
      <c r="A323" s="2318"/>
      <c r="B323" s="3024"/>
      <c r="C323" s="3027"/>
      <c r="D323" s="3028"/>
      <c r="E323" s="3029"/>
      <c r="F323" s="2613" t="s">
        <v>3865</v>
      </c>
      <c r="G323" s="2612"/>
      <c r="H323" s="2627"/>
      <c r="I323" s="2628"/>
      <c r="J323" s="2628"/>
      <c r="K323" s="2628"/>
      <c r="L323" s="2628"/>
      <c r="M323" s="2629"/>
      <c r="N323" s="2629"/>
      <c r="O323" s="2629"/>
      <c r="P323" s="2629"/>
      <c r="Q323" s="2625"/>
      <c r="R323" s="2629"/>
      <c r="S323" s="2629"/>
      <c r="T323" s="2626"/>
      <c r="U323" s="2625"/>
      <c r="V323" s="2644" t="str">
        <f t="shared" si="60"/>
        <v/>
      </c>
      <c r="W323" s="2644" t="str">
        <f t="shared" si="61"/>
        <v/>
      </c>
      <c r="X323" s="2644" t="str">
        <f t="shared" si="62"/>
        <v/>
      </c>
      <c r="Y323" s="2567"/>
      <c r="Z323" s="2642"/>
      <c r="AA323" s="2642"/>
      <c r="AB323" s="2642"/>
      <c r="AC323" s="2642"/>
      <c r="AD323" s="2507" t="str">
        <f t="shared" si="63"/>
        <v/>
      </c>
      <c r="AE323" s="2507" t="str">
        <f t="shared" si="64"/>
        <v/>
      </c>
      <c r="AF323" s="2672" t="str">
        <f t="shared" si="65"/>
        <v/>
      </c>
      <c r="AG323" s="2642"/>
      <c r="AH323" s="2599"/>
      <c r="AI323" s="2700"/>
      <c r="AJ323" s="2701"/>
    </row>
    <row r="324" spans="1:36" s="1118" customFormat="1" ht="15.75" hidden="1" outlineLevel="1" thickBot="1">
      <c r="A324" s="2318"/>
      <c r="B324" s="3024"/>
      <c r="C324" s="3027"/>
      <c r="D324" s="3028"/>
      <c r="E324" s="3029" t="s">
        <v>2946</v>
      </c>
      <c r="F324" s="2611" t="s">
        <v>3860</v>
      </c>
      <c r="G324" s="2604"/>
      <c r="H324" s="2627"/>
      <c r="I324" s="2628"/>
      <c r="J324" s="2628"/>
      <c r="K324" s="2628"/>
      <c r="L324" s="2627"/>
      <c r="M324" s="2627"/>
      <c r="N324" s="2628"/>
      <c r="O324" s="2628"/>
      <c r="P324" s="2629"/>
      <c r="Q324" s="2698"/>
      <c r="R324" s="2630"/>
      <c r="S324" s="2631"/>
      <c r="T324" s="2631"/>
      <c r="U324" s="2625"/>
      <c r="V324" s="2644" t="str">
        <f t="shared" si="60"/>
        <v/>
      </c>
      <c r="W324" s="2644" t="str">
        <f t="shared" si="61"/>
        <v/>
      </c>
      <c r="X324" s="2644" t="str">
        <f t="shared" si="62"/>
        <v/>
      </c>
      <c r="Y324" s="2567"/>
      <c r="Z324" s="2642"/>
      <c r="AA324" s="2642"/>
      <c r="AB324" s="2642"/>
      <c r="AC324" s="2642"/>
      <c r="AD324" s="2507" t="str">
        <f t="shared" si="63"/>
        <v/>
      </c>
      <c r="AE324" s="2507" t="str">
        <f t="shared" si="64"/>
        <v/>
      </c>
      <c r="AF324" s="2672" t="str">
        <f t="shared" si="65"/>
        <v/>
      </c>
      <c r="AG324" s="2642"/>
      <c r="AH324" s="2599"/>
      <c r="AI324" s="2700"/>
      <c r="AJ324" s="2701"/>
    </row>
    <row r="325" spans="1:36" s="1118" customFormat="1" ht="15.75" hidden="1" outlineLevel="1" thickBot="1">
      <c r="A325" s="2318"/>
      <c r="B325" s="3024"/>
      <c r="C325" s="3027"/>
      <c r="D325" s="3028"/>
      <c r="E325" s="3029"/>
      <c r="F325" s="2611" t="s">
        <v>3861</v>
      </c>
      <c r="G325" s="2604"/>
      <c r="H325" s="2627"/>
      <c r="I325" s="2628"/>
      <c r="J325" s="2628"/>
      <c r="K325" s="2628"/>
      <c r="L325" s="2627"/>
      <c r="M325" s="2627"/>
      <c r="N325" s="2628"/>
      <c r="O325" s="2629"/>
      <c r="P325" s="2629"/>
      <c r="Q325" s="2698"/>
      <c r="R325" s="2630"/>
      <c r="S325" s="2631"/>
      <c r="T325" s="2626"/>
      <c r="U325" s="2625"/>
      <c r="V325" s="2644" t="str">
        <f t="shared" si="60"/>
        <v/>
      </c>
      <c r="W325" s="2644" t="str">
        <f t="shared" si="61"/>
        <v/>
      </c>
      <c r="X325" s="2644" t="str">
        <f t="shared" si="62"/>
        <v/>
      </c>
      <c r="Y325" s="2567"/>
      <c r="Z325" s="2642"/>
      <c r="AA325" s="2642"/>
      <c r="AB325" s="2642"/>
      <c r="AC325" s="2642"/>
      <c r="AD325" s="2507" t="str">
        <f t="shared" si="63"/>
        <v/>
      </c>
      <c r="AE325" s="2507" t="str">
        <f t="shared" si="64"/>
        <v/>
      </c>
      <c r="AF325" s="2672" t="str">
        <f t="shared" si="65"/>
        <v/>
      </c>
      <c r="AG325" s="2642"/>
      <c r="AH325" s="2599"/>
      <c r="AI325" s="2700"/>
      <c r="AJ325" s="2702" t="str">
        <f t="shared" ref="AJ325" si="66">IFERROR((AI325*L325/1000)/Q325,"")</f>
        <v/>
      </c>
    </row>
    <row r="326" spans="1:36" s="1118" customFormat="1" ht="15.75" hidden="1" outlineLevel="1" thickBot="1">
      <c r="A326" s="2318"/>
      <c r="B326" s="3024"/>
      <c r="C326" s="3027"/>
      <c r="D326" s="3028"/>
      <c r="E326" s="3029"/>
      <c r="F326" s="2611" t="s">
        <v>3862</v>
      </c>
      <c r="G326" s="2604"/>
      <c r="H326" s="2627"/>
      <c r="I326" s="2628"/>
      <c r="J326" s="2628"/>
      <c r="K326" s="2628"/>
      <c r="L326" s="2628"/>
      <c r="M326" s="2629"/>
      <c r="N326" s="2629"/>
      <c r="O326" s="2629"/>
      <c r="P326" s="2629"/>
      <c r="Q326" s="2625"/>
      <c r="R326" s="2629"/>
      <c r="S326" s="2629"/>
      <c r="T326" s="2626"/>
      <c r="U326" s="2625"/>
      <c r="V326" s="2644" t="str">
        <f t="shared" si="60"/>
        <v/>
      </c>
      <c r="W326" s="2644" t="str">
        <f t="shared" si="61"/>
        <v/>
      </c>
      <c r="X326" s="2644" t="str">
        <f t="shared" si="62"/>
        <v/>
      </c>
      <c r="Y326" s="2567"/>
      <c r="Z326" s="2642"/>
      <c r="AA326" s="2642"/>
      <c r="AB326" s="2642"/>
      <c r="AC326" s="2642"/>
      <c r="AD326" s="2507" t="str">
        <f t="shared" si="63"/>
        <v/>
      </c>
      <c r="AE326" s="2507" t="str">
        <f t="shared" si="64"/>
        <v/>
      </c>
      <c r="AF326" s="2672" t="str">
        <f t="shared" si="65"/>
        <v/>
      </c>
      <c r="AG326" s="2642"/>
      <c r="AH326" s="2599"/>
      <c r="AI326" s="2700"/>
      <c r="AJ326" s="2701"/>
    </row>
    <row r="327" spans="1:36" s="1118" customFormat="1" ht="15.75" hidden="1" outlineLevel="1" thickBot="1">
      <c r="A327" s="2318"/>
      <c r="B327" s="3024"/>
      <c r="C327" s="3027"/>
      <c r="D327" s="3028"/>
      <c r="E327" s="3029"/>
      <c r="F327" s="2611" t="s">
        <v>3863</v>
      </c>
      <c r="G327" s="2604"/>
      <c r="H327" s="2627"/>
      <c r="I327" s="2628"/>
      <c r="J327" s="2628"/>
      <c r="K327" s="2628"/>
      <c r="L327" s="2628"/>
      <c r="M327" s="2629"/>
      <c r="N327" s="2629"/>
      <c r="O327" s="2629"/>
      <c r="P327" s="2629"/>
      <c r="Q327" s="2625"/>
      <c r="R327" s="2629"/>
      <c r="S327" s="2629"/>
      <c r="T327" s="2626"/>
      <c r="U327" s="2625"/>
      <c r="V327" s="2644" t="str">
        <f t="shared" si="60"/>
        <v/>
      </c>
      <c r="W327" s="2644" t="str">
        <f t="shared" si="61"/>
        <v/>
      </c>
      <c r="X327" s="2644" t="str">
        <f t="shared" si="62"/>
        <v/>
      </c>
      <c r="Y327" s="2567"/>
      <c r="Z327" s="2642"/>
      <c r="AA327" s="2642"/>
      <c r="AB327" s="2642"/>
      <c r="AC327" s="2642"/>
      <c r="AD327" s="2507" t="str">
        <f t="shared" si="63"/>
        <v/>
      </c>
      <c r="AE327" s="2507" t="str">
        <f t="shared" si="64"/>
        <v/>
      </c>
      <c r="AF327" s="2672" t="str">
        <f t="shared" si="65"/>
        <v/>
      </c>
      <c r="AG327" s="2642"/>
      <c r="AH327" s="2599"/>
      <c r="AI327" s="2700"/>
      <c r="AJ327" s="2701"/>
    </row>
    <row r="328" spans="1:36" s="1118" customFormat="1" ht="15.75" hidden="1" outlineLevel="1" thickBot="1">
      <c r="A328" s="2318"/>
      <c r="B328" s="3024"/>
      <c r="C328" s="3027"/>
      <c r="D328" s="3028"/>
      <c r="E328" s="3029"/>
      <c r="F328" s="2613" t="s">
        <v>3864</v>
      </c>
      <c r="G328" s="2612"/>
      <c r="H328" s="2627"/>
      <c r="I328" s="2628"/>
      <c r="J328" s="2628"/>
      <c r="K328" s="2628"/>
      <c r="L328" s="2628"/>
      <c r="M328" s="2629"/>
      <c r="N328" s="2629"/>
      <c r="O328" s="2629"/>
      <c r="P328" s="2629"/>
      <c r="Q328" s="2625"/>
      <c r="R328" s="2629"/>
      <c r="S328" s="2629"/>
      <c r="T328" s="2626"/>
      <c r="U328" s="2625"/>
      <c r="V328" s="2644" t="str">
        <f t="shared" si="60"/>
        <v/>
      </c>
      <c r="W328" s="2644" t="str">
        <f t="shared" si="61"/>
        <v/>
      </c>
      <c r="X328" s="2644" t="str">
        <f t="shared" si="62"/>
        <v/>
      </c>
      <c r="Y328" s="2567"/>
      <c r="Z328" s="2642"/>
      <c r="AA328" s="2642"/>
      <c r="AB328" s="2642"/>
      <c r="AC328" s="2642"/>
      <c r="AD328" s="2507" t="str">
        <f t="shared" si="63"/>
        <v/>
      </c>
      <c r="AE328" s="2507" t="str">
        <f t="shared" si="64"/>
        <v/>
      </c>
      <c r="AF328" s="2672" t="str">
        <f t="shared" si="65"/>
        <v/>
      </c>
      <c r="AG328" s="2642"/>
      <c r="AH328" s="2599"/>
      <c r="AI328" s="2700"/>
      <c r="AJ328" s="2701"/>
    </row>
    <row r="329" spans="1:36" s="1118" customFormat="1" ht="15.75" hidden="1" outlineLevel="1" thickBot="1">
      <c r="A329" s="2318"/>
      <c r="B329" s="3024"/>
      <c r="C329" s="3027"/>
      <c r="D329" s="3028"/>
      <c r="E329" s="3029"/>
      <c r="F329" s="2613" t="s">
        <v>3865</v>
      </c>
      <c r="G329" s="2612"/>
      <c r="H329" s="2627"/>
      <c r="I329" s="2628"/>
      <c r="J329" s="2628"/>
      <c r="K329" s="2628"/>
      <c r="L329" s="2628"/>
      <c r="M329" s="2629"/>
      <c r="N329" s="2629"/>
      <c r="O329" s="2629"/>
      <c r="P329" s="2629"/>
      <c r="Q329" s="2625"/>
      <c r="R329" s="2629"/>
      <c r="S329" s="2629"/>
      <c r="T329" s="2626"/>
      <c r="U329" s="2625"/>
      <c r="V329" s="2644" t="str">
        <f t="shared" si="60"/>
        <v/>
      </c>
      <c r="W329" s="2644" t="str">
        <f t="shared" si="61"/>
        <v/>
      </c>
      <c r="X329" s="2644" t="str">
        <f t="shared" si="62"/>
        <v/>
      </c>
      <c r="Y329" s="2567"/>
      <c r="Z329" s="2642"/>
      <c r="AA329" s="2642"/>
      <c r="AB329" s="2642"/>
      <c r="AC329" s="2642"/>
      <c r="AD329" s="2507" t="str">
        <f t="shared" si="63"/>
        <v/>
      </c>
      <c r="AE329" s="2507" t="str">
        <f t="shared" si="64"/>
        <v/>
      </c>
      <c r="AF329" s="2672" t="str">
        <f t="shared" si="65"/>
        <v/>
      </c>
      <c r="AG329" s="2642"/>
      <c r="AH329" s="2599"/>
      <c r="AI329" s="2700"/>
      <c r="AJ329" s="2701"/>
    </row>
    <row r="330" spans="1:36" s="1118" customFormat="1" ht="15.75" hidden="1" outlineLevel="1" thickBot="1">
      <c r="A330" s="2318"/>
      <c r="B330" s="3024"/>
      <c r="C330" s="3027"/>
      <c r="D330" s="3028" t="s">
        <v>2954</v>
      </c>
      <c r="E330" s="3029" t="s">
        <v>2950</v>
      </c>
      <c r="F330" s="2611" t="s">
        <v>3860</v>
      </c>
      <c r="G330" s="2604"/>
      <c r="H330" s="2627"/>
      <c r="I330" s="2628"/>
      <c r="J330" s="2628"/>
      <c r="K330" s="2628"/>
      <c r="L330" s="2627"/>
      <c r="M330" s="2627"/>
      <c r="N330" s="2628"/>
      <c r="O330" s="2628"/>
      <c r="P330" s="2629"/>
      <c r="Q330" s="2698"/>
      <c r="R330" s="2630"/>
      <c r="S330" s="2628"/>
      <c r="T330" s="2628"/>
      <c r="U330" s="2625"/>
      <c r="V330" s="2644" t="str">
        <f t="shared" si="60"/>
        <v/>
      </c>
      <c r="W330" s="2644" t="str">
        <f t="shared" si="61"/>
        <v/>
      </c>
      <c r="X330" s="2644" t="str">
        <f t="shared" si="62"/>
        <v/>
      </c>
      <c r="Y330" s="2567"/>
      <c r="Z330" s="2642"/>
      <c r="AA330" s="2642"/>
      <c r="AB330" s="2642"/>
      <c r="AC330" s="2642"/>
      <c r="AD330" s="2507" t="str">
        <f>IFERROR(V330*$Z$238*$AA$238*$AB$238*$AC$238,"")</f>
        <v/>
      </c>
      <c r="AE330" s="2507" t="str">
        <f>IFERROR(W330*$AA$238*$AB$238*$AC$238,"")</f>
        <v/>
      </c>
      <c r="AF330" s="2672" t="str">
        <f>IFERROR(X330*$AB$238*$AC$238,"")</f>
        <v/>
      </c>
      <c r="AG330" s="2642"/>
      <c r="AH330" s="2644"/>
      <c r="AI330" s="2700"/>
      <c r="AJ330" s="2701" t="str">
        <f>IFERROR((AI330*L330/1000)/Q330,"")</f>
        <v/>
      </c>
    </row>
    <row r="331" spans="1:36" s="1118" customFormat="1" ht="15.75" hidden="1" outlineLevel="1" thickBot="1">
      <c r="A331" s="2318"/>
      <c r="B331" s="3024"/>
      <c r="C331" s="3027"/>
      <c r="D331" s="3028"/>
      <c r="E331" s="3029"/>
      <c r="F331" s="2611" t="s">
        <v>3861</v>
      </c>
      <c r="G331" s="2604"/>
      <c r="H331" s="2627"/>
      <c r="I331" s="2628"/>
      <c r="J331" s="2628"/>
      <c r="K331" s="2628"/>
      <c r="L331" s="2628"/>
      <c r="M331" s="2629"/>
      <c r="N331" s="2628"/>
      <c r="O331" s="2629"/>
      <c r="P331" s="2629"/>
      <c r="Q331" s="2625"/>
      <c r="R331" s="2629"/>
      <c r="S331" s="2631"/>
      <c r="T331" s="2626"/>
      <c r="U331" s="2625"/>
      <c r="V331" s="2644" t="str">
        <f t="shared" si="60"/>
        <v/>
      </c>
      <c r="W331" s="2644" t="str">
        <f t="shared" si="61"/>
        <v/>
      </c>
      <c r="X331" s="2644" t="str">
        <f t="shared" si="62"/>
        <v/>
      </c>
      <c r="Y331" s="2567"/>
      <c r="Z331" s="2642"/>
      <c r="AA331" s="2642"/>
      <c r="AB331" s="2642"/>
      <c r="AC331" s="2642"/>
      <c r="AD331" s="2507" t="str">
        <f t="shared" ref="AD331" si="67">IFERROR(V331*$Z$13*$AA$13*$AB$13*$AC$13,"")</f>
        <v/>
      </c>
      <c r="AE331" s="2507" t="str">
        <f t="shared" ref="AE331" si="68">IFERROR(W331*$AA$13*$AB$13*$AC$13,"")</f>
        <v/>
      </c>
      <c r="AF331" s="2672" t="str">
        <f t="shared" ref="AF331" si="69">IFERROR(X331*$AB$13*$AC$13,"")</f>
        <v/>
      </c>
      <c r="AG331" s="2642"/>
      <c r="AH331" s="2599"/>
      <c r="AI331" s="2700"/>
      <c r="AJ331" s="2701" t="str">
        <f t="shared" ref="AJ331:AJ341" si="70">IFERROR((AI331*L331/1000)/Q331,"")</f>
        <v/>
      </c>
    </row>
    <row r="332" spans="1:36" s="1118" customFormat="1" ht="15.75" hidden="1" outlineLevel="1" thickBot="1">
      <c r="A332" s="2318"/>
      <c r="B332" s="3024"/>
      <c r="C332" s="3027"/>
      <c r="D332" s="3028"/>
      <c r="E332" s="3029"/>
      <c r="F332" s="2611" t="s">
        <v>3862</v>
      </c>
      <c r="G332" s="2604"/>
      <c r="H332" s="2627"/>
      <c r="I332" s="2628"/>
      <c r="J332" s="2628"/>
      <c r="K332" s="2628"/>
      <c r="L332" s="2628"/>
      <c r="M332" s="2629"/>
      <c r="N332" s="2629"/>
      <c r="O332" s="2629"/>
      <c r="P332" s="2629"/>
      <c r="Q332" s="2625"/>
      <c r="R332" s="2629"/>
      <c r="S332" s="2629"/>
      <c r="T332" s="2626"/>
      <c r="U332" s="2625"/>
      <c r="V332" s="2644" t="str">
        <f t="shared" si="60"/>
        <v/>
      </c>
      <c r="W332" s="2644" t="str">
        <f t="shared" si="61"/>
        <v/>
      </c>
      <c r="X332" s="2644" t="str">
        <f t="shared" si="62"/>
        <v/>
      </c>
      <c r="Y332" s="2567"/>
      <c r="Z332" s="2642"/>
      <c r="AA332" s="2642"/>
      <c r="AB332" s="2642"/>
      <c r="AC332" s="2642"/>
      <c r="AD332" s="2642"/>
      <c r="AE332" s="2642"/>
      <c r="AF332" s="2642"/>
      <c r="AG332" s="2642"/>
      <c r="AH332" s="2642"/>
      <c r="AI332" s="2700"/>
      <c r="AJ332" s="2701" t="str">
        <f t="shared" si="70"/>
        <v/>
      </c>
    </row>
    <row r="333" spans="1:36" s="1118" customFormat="1" ht="15.75" hidden="1" outlineLevel="1" thickBot="1">
      <c r="A333" s="2318"/>
      <c r="B333" s="3024"/>
      <c r="C333" s="3027"/>
      <c r="D333" s="3028"/>
      <c r="E333" s="3029"/>
      <c r="F333" s="2611" t="s">
        <v>3863</v>
      </c>
      <c r="G333" s="2604"/>
      <c r="H333" s="2627"/>
      <c r="I333" s="2628"/>
      <c r="J333" s="2628"/>
      <c r="K333" s="2628"/>
      <c r="L333" s="2628"/>
      <c r="M333" s="2629"/>
      <c r="N333" s="2629"/>
      <c r="O333" s="2629"/>
      <c r="P333" s="2629"/>
      <c r="Q333" s="2625"/>
      <c r="R333" s="2629"/>
      <c r="S333" s="2629"/>
      <c r="T333" s="2626"/>
      <c r="U333" s="2625"/>
      <c r="V333" s="2644" t="str">
        <f t="shared" si="60"/>
        <v/>
      </c>
      <c r="W333" s="2644" t="str">
        <f t="shared" si="61"/>
        <v/>
      </c>
      <c r="X333" s="2644" t="str">
        <f t="shared" si="62"/>
        <v/>
      </c>
      <c r="Y333" s="2567"/>
      <c r="Z333" s="2642"/>
      <c r="AA333" s="2642"/>
      <c r="AB333" s="2642"/>
      <c r="AC333" s="2642"/>
      <c r="AD333" s="2642"/>
      <c r="AE333" s="2642"/>
      <c r="AF333" s="2642"/>
      <c r="AG333" s="2642"/>
      <c r="AH333" s="2642"/>
      <c r="AI333" s="2700"/>
      <c r="AJ333" s="2701" t="str">
        <f t="shared" si="70"/>
        <v/>
      </c>
    </row>
    <row r="334" spans="1:36" s="1118" customFormat="1" ht="15.75" hidden="1" outlineLevel="1" thickBot="1">
      <c r="A334" s="2318"/>
      <c r="B334" s="3024"/>
      <c r="C334" s="3027"/>
      <c r="D334" s="3028"/>
      <c r="E334" s="3029"/>
      <c r="F334" s="2613" t="s">
        <v>3864</v>
      </c>
      <c r="G334" s="2612"/>
      <c r="H334" s="2627"/>
      <c r="I334" s="2628"/>
      <c r="J334" s="2628"/>
      <c r="K334" s="2628"/>
      <c r="L334" s="2628"/>
      <c r="M334" s="2629"/>
      <c r="N334" s="2629"/>
      <c r="O334" s="2629"/>
      <c r="P334" s="2629"/>
      <c r="Q334" s="2625"/>
      <c r="R334" s="2629"/>
      <c r="S334" s="2629"/>
      <c r="T334" s="2626"/>
      <c r="U334" s="2625"/>
      <c r="V334" s="2644" t="str">
        <f t="shared" si="60"/>
        <v/>
      </c>
      <c r="W334" s="2644" t="str">
        <f t="shared" si="61"/>
        <v/>
      </c>
      <c r="X334" s="2644" t="str">
        <f t="shared" si="62"/>
        <v/>
      </c>
      <c r="Y334" s="2567"/>
      <c r="Z334" s="2642"/>
      <c r="AA334" s="2642"/>
      <c r="AB334" s="2642"/>
      <c r="AC334" s="2642"/>
      <c r="AD334" s="2642"/>
      <c r="AE334" s="2642"/>
      <c r="AF334" s="2642"/>
      <c r="AG334" s="2642"/>
      <c r="AH334" s="2642"/>
      <c r="AI334" s="2700"/>
      <c r="AJ334" s="2701" t="str">
        <f t="shared" si="70"/>
        <v/>
      </c>
    </row>
    <row r="335" spans="1:36" s="1118" customFormat="1" ht="15.75" hidden="1" outlineLevel="1" thickBot="1">
      <c r="A335" s="2318"/>
      <c r="B335" s="3024"/>
      <c r="C335" s="3027"/>
      <c r="D335" s="3028"/>
      <c r="E335" s="3029"/>
      <c r="F335" s="2613" t="s">
        <v>3865</v>
      </c>
      <c r="G335" s="2612"/>
      <c r="H335" s="2627"/>
      <c r="I335" s="2628"/>
      <c r="J335" s="2628"/>
      <c r="K335" s="2628"/>
      <c r="L335" s="2628"/>
      <c r="M335" s="2629"/>
      <c r="N335" s="2629"/>
      <c r="O335" s="2629"/>
      <c r="P335" s="2629"/>
      <c r="Q335" s="2625"/>
      <c r="R335" s="2629"/>
      <c r="S335" s="2629"/>
      <c r="T335" s="2626"/>
      <c r="U335" s="2625"/>
      <c r="V335" s="2644" t="str">
        <f t="shared" si="60"/>
        <v/>
      </c>
      <c r="W335" s="2644" t="str">
        <f t="shared" si="61"/>
        <v/>
      </c>
      <c r="X335" s="2644" t="str">
        <f t="shared" si="62"/>
        <v/>
      </c>
      <c r="Y335" s="2567"/>
      <c r="Z335" s="2642"/>
      <c r="AA335" s="2642"/>
      <c r="AB335" s="2642"/>
      <c r="AC335" s="2642"/>
      <c r="AD335" s="2642"/>
      <c r="AE335" s="2642"/>
      <c r="AF335" s="2642"/>
      <c r="AG335" s="2642"/>
      <c r="AH335" s="2642"/>
      <c r="AI335" s="2700"/>
      <c r="AJ335" s="2701" t="str">
        <f t="shared" si="70"/>
        <v/>
      </c>
    </row>
    <row r="336" spans="1:36" s="1118" customFormat="1" ht="15.75" hidden="1" outlineLevel="1" thickBot="1">
      <c r="A336" s="2318"/>
      <c r="B336" s="3024"/>
      <c r="C336" s="3027"/>
      <c r="D336" s="3028"/>
      <c r="E336" s="3029" t="s">
        <v>2946</v>
      </c>
      <c r="F336" s="2611" t="s">
        <v>3860</v>
      </c>
      <c r="G336" s="2604"/>
      <c r="H336" s="2627"/>
      <c r="I336" s="2628"/>
      <c r="J336" s="2628"/>
      <c r="K336" s="2628"/>
      <c r="L336" s="2628"/>
      <c r="M336" s="2629"/>
      <c r="N336" s="2629"/>
      <c r="O336" s="2629"/>
      <c r="P336" s="2629"/>
      <c r="Q336" s="2625"/>
      <c r="R336" s="2629"/>
      <c r="S336" s="2629"/>
      <c r="T336" s="2626"/>
      <c r="U336" s="2625"/>
      <c r="V336" s="2644" t="str">
        <f t="shared" si="60"/>
        <v/>
      </c>
      <c r="W336" s="2644" t="str">
        <f t="shared" si="61"/>
        <v/>
      </c>
      <c r="X336" s="2644" t="str">
        <f t="shared" si="62"/>
        <v/>
      </c>
      <c r="Y336" s="2567"/>
      <c r="Z336" s="2642"/>
      <c r="AA336" s="2642"/>
      <c r="AB336" s="2642"/>
      <c r="AC336" s="2642"/>
      <c r="AD336" s="2642"/>
      <c r="AE336" s="2642"/>
      <c r="AF336" s="2642"/>
      <c r="AG336" s="2642"/>
      <c r="AH336" s="2642"/>
      <c r="AI336" s="2700"/>
      <c r="AJ336" s="2701" t="str">
        <f t="shared" si="70"/>
        <v/>
      </c>
    </row>
    <row r="337" spans="1:111" s="1118" customFormat="1" ht="15.75" hidden="1" outlineLevel="1" thickBot="1">
      <c r="A337" s="2318"/>
      <c r="B337" s="3024"/>
      <c r="C337" s="3027"/>
      <c r="D337" s="3028"/>
      <c r="E337" s="3029"/>
      <c r="F337" s="2611" t="s">
        <v>3861</v>
      </c>
      <c r="G337" s="2604"/>
      <c r="H337" s="2628"/>
      <c r="I337" s="2628"/>
      <c r="J337" s="2628"/>
      <c r="K337" s="2628"/>
      <c r="L337" s="2628"/>
      <c r="M337" s="2629"/>
      <c r="N337" s="2629"/>
      <c r="O337" s="2629"/>
      <c r="P337" s="2629"/>
      <c r="Q337" s="2625"/>
      <c r="R337" s="2629"/>
      <c r="S337" s="2629"/>
      <c r="T337" s="2626"/>
      <c r="U337" s="2625"/>
      <c r="V337" s="2644" t="str">
        <f t="shared" si="60"/>
        <v/>
      </c>
      <c r="W337" s="2644" t="str">
        <f t="shared" si="61"/>
        <v/>
      </c>
      <c r="X337" s="2644" t="str">
        <f t="shared" si="62"/>
        <v/>
      </c>
      <c r="Y337" s="2567"/>
      <c r="Z337" s="2642"/>
      <c r="AA337" s="2642"/>
      <c r="AB337" s="2642"/>
      <c r="AC337" s="2642"/>
      <c r="AD337" s="2642"/>
      <c r="AE337" s="2642"/>
      <c r="AF337" s="2642"/>
      <c r="AG337" s="2642"/>
      <c r="AH337" s="2642"/>
      <c r="AI337" s="2700"/>
      <c r="AJ337" s="2701" t="str">
        <f t="shared" si="70"/>
        <v/>
      </c>
    </row>
    <row r="338" spans="1:111" s="1118" customFormat="1" ht="15.75" hidden="1" outlineLevel="1" thickBot="1">
      <c r="A338" s="2318"/>
      <c r="B338" s="3024"/>
      <c r="C338" s="3027"/>
      <c r="D338" s="3028"/>
      <c r="E338" s="3029"/>
      <c r="F338" s="2611" t="s">
        <v>3862</v>
      </c>
      <c r="G338" s="2495"/>
      <c r="H338" s="2655"/>
      <c r="I338" s="2655"/>
      <c r="J338" s="2655"/>
      <c r="K338" s="2655"/>
      <c r="L338" s="2655"/>
      <c r="M338" s="2667"/>
      <c r="N338" s="2667"/>
      <c r="O338" s="2667"/>
      <c r="P338" s="2667"/>
      <c r="Q338" s="2689"/>
      <c r="R338" s="2667"/>
      <c r="S338" s="2667"/>
      <c r="T338" s="2670"/>
      <c r="U338" s="2625"/>
      <c r="V338" s="2644" t="str">
        <f t="shared" si="60"/>
        <v/>
      </c>
      <c r="W338" s="2644" t="str">
        <f t="shared" si="61"/>
        <v/>
      </c>
      <c r="X338" s="2644" t="str">
        <f t="shared" si="62"/>
        <v/>
      </c>
      <c r="Y338" s="2567"/>
      <c r="Z338" s="2642"/>
      <c r="AA338" s="2642"/>
      <c r="AB338" s="2642"/>
      <c r="AC338" s="2642"/>
      <c r="AD338" s="2642"/>
      <c r="AE338" s="2642"/>
      <c r="AF338" s="2642"/>
      <c r="AG338" s="2642"/>
      <c r="AH338" s="2642"/>
      <c r="AI338" s="2700"/>
      <c r="AJ338" s="2701" t="str">
        <f t="shared" si="70"/>
        <v/>
      </c>
    </row>
    <row r="339" spans="1:111" s="1118" customFormat="1" ht="15.75" hidden="1" outlineLevel="1" thickBot="1">
      <c r="A339" s="2318"/>
      <c r="B339" s="3024"/>
      <c r="C339" s="3027"/>
      <c r="D339" s="3028"/>
      <c r="E339" s="3029"/>
      <c r="F339" s="2611" t="s">
        <v>3863</v>
      </c>
      <c r="G339" s="2605"/>
      <c r="H339" s="2641"/>
      <c r="I339" s="2641"/>
      <c r="J339" s="2641"/>
      <c r="K339" s="2641"/>
      <c r="L339" s="2641"/>
      <c r="M339" s="2641"/>
      <c r="N339" s="2641"/>
      <c r="O339" s="2641"/>
      <c r="P339" s="2641"/>
      <c r="Q339" s="2649"/>
      <c r="R339" s="2641"/>
      <c r="S339" s="2641"/>
      <c r="T339" s="2641"/>
      <c r="U339" s="2649"/>
      <c r="V339" s="2644" t="str">
        <f t="shared" si="60"/>
        <v/>
      </c>
      <c r="W339" s="2644" t="str">
        <f t="shared" si="61"/>
        <v/>
      </c>
      <c r="X339" s="2644" t="str">
        <f t="shared" si="62"/>
        <v/>
      </c>
      <c r="Y339" s="2567"/>
      <c r="Z339" s="2642"/>
      <c r="AA339" s="2642"/>
      <c r="AB339" s="2642"/>
      <c r="AC339" s="2642"/>
      <c r="AD339" s="2642"/>
      <c r="AE339" s="2642"/>
      <c r="AF339" s="2642"/>
      <c r="AG339" s="2642"/>
      <c r="AH339" s="2642"/>
      <c r="AI339" s="2700"/>
      <c r="AJ339" s="2701" t="str">
        <f t="shared" si="70"/>
        <v/>
      </c>
    </row>
    <row r="340" spans="1:111" s="1118" customFormat="1" ht="15.75" hidden="1" outlineLevel="1" thickBot="1">
      <c r="A340" s="2318"/>
      <c r="B340" s="3024"/>
      <c r="C340" s="3027"/>
      <c r="D340" s="3028"/>
      <c r="E340" s="3029"/>
      <c r="F340" s="2613" t="s">
        <v>3864</v>
      </c>
      <c r="G340" s="2606"/>
      <c r="H340" s="2641"/>
      <c r="I340" s="2641"/>
      <c r="J340" s="2641"/>
      <c r="K340" s="2641"/>
      <c r="L340" s="2641"/>
      <c r="M340" s="2641"/>
      <c r="N340" s="2641"/>
      <c r="O340" s="2641"/>
      <c r="P340" s="2641"/>
      <c r="Q340" s="2649"/>
      <c r="R340" s="2641"/>
      <c r="S340" s="2641"/>
      <c r="T340" s="2641"/>
      <c r="U340" s="2649"/>
      <c r="V340" s="2644" t="str">
        <f t="shared" si="60"/>
        <v/>
      </c>
      <c r="W340" s="2644" t="str">
        <f t="shared" si="61"/>
        <v/>
      </c>
      <c r="X340" s="2644" t="str">
        <f t="shared" si="62"/>
        <v/>
      </c>
      <c r="Y340" s="2567"/>
      <c r="Z340" s="2642"/>
      <c r="AA340" s="2642"/>
      <c r="AB340" s="2642"/>
      <c r="AC340" s="2642"/>
      <c r="AD340" s="2642"/>
      <c r="AE340" s="2642"/>
      <c r="AF340" s="2642"/>
      <c r="AG340" s="2642"/>
      <c r="AH340" s="2642"/>
      <c r="AI340" s="2700"/>
      <c r="AJ340" s="2701" t="str">
        <f t="shared" si="70"/>
        <v/>
      </c>
    </row>
    <row r="341" spans="1:111" s="1118" customFormat="1" ht="15.75" hidden="1" outlineLevel="1" thickBot="1">
      <c r="A341" s="2318"/>
      <c r="B341" s="3024"/>
      <c r="C341" s="3027"/>
      <c r="D341" s="3030"/>
      <c r="E341" s="3031"/>
      <c r="F341" s="2613" t="s">
        <v>3865</v>
      </c>
      <c r="G341" s="2606"/>
      <c r="H341" s="2812"/>
      <c r="I341" s="2812"/>
      <c r="J341" s="2812"/>
      <c r="K341" s="2812"/>
      <c r="L341" s="2812"/>
      <c r="M341" s="2812"/>
      <c r="N341" s="2812"/>
      <c r="O341" s="2812"/>
      <c r="P341" s="2812"/>
      <c r="Q341" s="2812"/>
      <c r="R341" s="2812"/>
      <c r="S341" s="2812"/>
      <c r="T341" s="2812"/>
      <c r="U341" s="2812"/>
      <c r="V341" s="2813" t="str">
        <f t="shared" si="60"/>
        <v/>
      </c>
      <c r="W341" s="2813" t="str">
        <f t="shared" si="61"/>
        <v/>
      </c>
      <c r="X341" s="2813" t="str">
        <f t="shared" si="62"/>
        <v/>
      </c>
      <c r="Y341" s="2395"/>
      <c r="Z341" s="2772"/>
      <c r="AA341" s="2772"/>
      <c r="AB341" s="2772"/>
      <c r="AC341" s="2772"/>
      <c r="AD341" s="2772"/>
      <c r="AE341" s="2772"/>
      <c r="AF341" s="2772"/>
      <c r="AG341" s="2772"/>
      <c r="AH341" s="2772"/>
      <c r="AI341" s="2814"/>
      <c r="AJ341" s="2812" t="str">
        <f t="shared" si="70"/>
        <v/>
      </c>
    </row>
    <row r="342" spans="1:111" s="1118" customFormat="1" ht="15" collapsed="1">
      <c r="A342" s="2331"/>
      <c r="B342" s="2331"/>
      <c r="C342" s="2331"/>
      <c r="D342" s="2331"/>
      <c r="E342" s="2331"/>
      <c r="F342" s="2334"/>
      <c r="G342" s="2334"/>
      <c r="H342" s="2439"/>
      <c r="I342" s="2439"/>
      <c r="J342" s="2439"/>
      <c r="K342" s="2439"/>
      <c r="L342" s="2439"/>
      <c r="M342" s="2439"/>
      <c r="N342" s="2439"/>
      <c r="O342" s="2439"/>
      <c r="P342" s="2439"/>
      <c r="Q342" s="2439"/>
      <c r="R342" s="2439"/>
      <c r="S342" s="2439"/>
      <c r="T342" s="2439"/>
      <c r="Z342"/>
      <c r="AA342"/>
      <c r="AB342"/>
      <c r="AC342"/>
      <c r="AD342"/>
      <c r="AE342"/>
      <c r="AF342"/>
      <c r="AG342"/>
      <c r="AH342"/>
      <c r="AI342"/>
    </row>
    <row r="343" spans="1:111" s="1118" customFormat="1" ht="15">
      <c r="A343" s="2331"/>
      <c r="B343" s="2331"/>
      <c r="C343" s="2331"/>
      <c r="D343" s="2331"/>
      <c r="E343" s="2331"/>
      <c r="F343" s="2334"/>
      <c r="G343" s="2334"/>
      <c r="H343" s="2439"/>
      <c r="I343" s="2439"/>
      <c r="J343" s="2439"/>
      <c r="K343" s="2439"/>
      <c r="L343" s="2439"/>
      <c r="M343" s="2439"/>
      <c r="N343" s="2439"/>
      <c r="O343" s="2439"/>
      <c r="P343" s="2439"/>
      <c r="Q343" s="2439"/>
      <c r="R343" s="2439"/>
      <c r="S343" s="2439"/>
      <c r="T343" s="2439"/>
      <c r="Z343"/>
      <c r="AA343"/>
      <c r="AB343"/>
      <c r="AC343"/>
      <c r="AD343"/>
      <c r="AE343"/>
      <c r="AF343"/>
      <c r="AG343"/>
      <c r="AH343"/>
      <c r="AI343"/>
    </row>
    <row r="344" spans="1:111" s="1118" customFormat="1" ht="24" customHeight="1" thickBot="1">
      <c r="B344" s="2996" t="s">
        <v>3926</v>
      </c>
      <c r="C344" s="2996"/>
      <c r="D344" s="2996"/>
      <c r="E344" s="2996"/>
      <c r="F344" s="2996"/>
      <c r="G344" s="2996"/>
      <c r="H344" s="2996"/>
      <c r="I344" s="2996"/>
      <c r="J344" s="2996"/>
      <c r="K344" s="2996"/>
      <c r="L344" s="2996"/>
      <c r="M344" s="2996"/>
      <c r="N344" s="2996"/>
      <c r="O344" s="2996"/>
      <c r="P344" s="2996"/>
      <c r="Q344" s="2996"/>
      <c r="R344" s="2996"/>
      <c r="S344" s="2996"/>
      <c r="T344" s="2996"/>
      <c r="U344" s="2462"/>
      <c r="Z344"/>
      <c r="AA344"/>
      <c r="AB344"/>
      <c r="AC344"/>
      <c r="AD344"/>
      <c r="AE344"/>
      <c r="AF344"/>
      <c r="AG344"/>
      <c r="AH344"/>
      <c r="AI344"/>
    </row>
    <row r="345" spans="1:111" s="1118" customFormat="1" ht="15.75" thickBot="1">
      <c r="A345" s="3038"/>
      <c r="B345" s="3039"/>
      <c r="C345" s="3039"/>
      <c r="D345" s="3039"/>
      <c r="E345" s="3039"/>
      <c r="F345" s="3040"/>
      <c r="G345" s="3162" t="s">
        <v>3903</v>
      </c>
      <c r="H345" s="3163"/>
      <c r="I345" s="3163"/>
      <c r="J345" s="3163"/>
      <c r="K345" s="3163"/>
      <c r="L345" s="3163"/>
      <c r="M345" s="3163"/>
      <c r="N345" s="3163"/>
      <c r="O345" s="3163"/>
      <c r="P345" s="3163"/>
      <c r="Q345" s="3163"/>
      <c r="R345" s="3163"/>
      <c r="S345" s="3163"/>
      <c r="T345" s="3163"/>
      <c r="U345" s="3164"/>
      <c r="Z345"/>
      <c r="AA345"/>
      <c r="AB345"/>
      <c r="AC345"/>
      <c r="AD345"/>
      <c r="AE345"/>
      <c r="AF345"/>
      <c r="AG345"/>
      <c r="AH345"/>
      <c r="AI345"/>
    </row>
    <row r="346" spans="1:111" s="1118" customFormat="1" ht="60" customHeight="1">
      <c r="A346" s="3007" t="s">
        <v>0</v>
      </c>
      <c r="B346" s="3041" t="s">
        <v>3849</v>
      </c>
      <c r="C346" s="3043" t="s">
        <v>3904</v>
      </c>
      <c r="D346" s="3043" t="s">
        <v>3905</v>
      </c>
      <c r="E346" s="3043" t="s">
        <v>3906</v>
      </c>
      <c r="F346" s="3045" t="s">
        <v>3853</v>
      </c>
      <c r="G346" s="3003" t="s">
        <v>3854</v>
      </c>
      <c r="H346" s="3177" t="s">
        <v>3855</v>
      </c>
      <c r="I346" s="3178"/>
      <c r="J346" s="3178"/>
      <c r="K346" s="3179"/>
      <c r="L346" s="2519"/>
      <c r="M346" s="3174" t="s">
        <v>3856</v>
      </c>
      <c r="N346" s="3175"/>
      <c r="O346" s="3175"/>
      <c r="P346" s="3176"/>
      <c r="Q346" s="2586"/>
      <c r="R346" s="3174" t="s">
        <v>3870</v>
      </c>
      <c r="S346" s="3175"/>
      <c r="T346" s="3175"/>
      <c r="U346" s="3176"/>
      <c r="V346" s="3136" t="s">
        <v>3978</v>
      </c>
      <c r="W346" s="3137"/>
      <c r="X346" s="3137"/>
      <c r="Y346" s="3138"/>
      <c r="Z346" s="3132" t="s">
        <v>3858</v>
      </c>
      <c r="AA346" s="3132"/>
      <c r="AB346" s="3132"/>
      <c r="AC346" s="3132"/>
      <c r="AD346" s="3121" t="s">
        <v>3979</v>
      </c>
      <c r="AE346" s="3121"/>
      <c r="AF346" s="3121"/>
      <c r="AG346" s="3121"/>
      <c r="AH346" s="2496" t="s">
        <v>3980</v>
      </c>
      <c r="AI346" s="2500" t="s">
        <v>3974</v>
      </c>
      <c r="AJ346" s="2500" t="s">
        <v>3975</v>
      </c>
    </row>
    <row r="347" spans="1:111" s="1118" customFormat="1" ht="95.25" customHeight="1" thickBot="1">
      <c r="A347" s="3008"/>
      <c r="B347" s="3042"/>
      <c r="C347" s="3044"/>
      <c r="D347" s="3044"/>
      <c r="E347" s="3044"/>
      <c r="F347" s="3046"/>
      <c r="G347" s="3003"/>
      <c r="H347" s="2384">
        <f>H11</f>
        <v>2015</v>
      </c>
      <c r="I347" s="2468">
        <f>I11</f>
        <v>2016</v>
      </c>
      <c r="J347" s="2468">
        <f>J11</f>
        <v>2017</v>
      </c>
      <c r="K347" s="2468" t="str">
        <f>K69</f>
        <v>План (в случае отсутствия факта за 3 года)</v>
      </c>
      <c r="L347" s="2595" t="s">
        <v>2559</v>
      </c>
      <c r="M347" s="2468">
        <f>H347</f>
        <v>2015</v>
      </c>
      <c r="N347" s="2468">
        <f>I347</f>
        <v>2016</v>
      </c>
      <c r="O347" s="2468">
        <f>J347</f>
        <v>2017</v>
      </c>
      <c r="P347" s="2468" t="str">
        <f>P69</f>
        <v>План (в случае отсутствия факта за 3 года)</v>
      </c>
      <c r="Q347" s="2595" t="s">
        <v>2559</v>
      </c>
      <c r="R347" s="2468">
        <f>H347</f>
        <v>2015</v>
      </c>
      <c r="S347" s="2468">
        <f>I347</f>
        <v>2016</v>
      </c>
      <c r="T347" s="2385">
        <f>J347</f>
        <v>2017</v>
      </c>
      <c r="U347" s="2385" t="str">
        <f>U69</f>
        <v>План (в случае отсутствия факта за 3 года)</v>
      </c>
      <c r="V347" s="2496">
        <f>R347</f>
        <v>2015</v>
      </c>
      <c r="W347" s="2496">
        <f>S347</f>
        <v>2016</v>
      </c>
      <c r="X347" s="2496">
        <f>T347</f>
        <v>2017</v>
      </c>
      <c r="Y347" s="2496" t="s">
        <v>3925</v>
      </c>
      <c r="Z347" s="2588">
        <v>2016</v>
      </c>
      <c r="AA347" s="2588">
        <v>2017</v>
      </c>
      <c r="AB347" s="2588">
        <v>2018</v>
      </c>
      <c r="AC347" s="2588">
        <v>2019</v>
      </c>
      <c r="AD347" s="2703">
        <f>V347</f>
        <v>2015</v>
      </c>
      <c r="AE347" s="2703">
        <f>W347</f>
        <v>2016</v>
      </c>
      <c r="AF347" s="2703">
        <f>X347</f>
        <v>2017</v>
      </c>
      <c r="AG347" s="2703" t="str">
        <f>Y347</f>
        <v>План (в случае отсутствия факта за 3 года)</v>
      </c>
      <c r="AH347" s="2497" t="s">
        <v>3981</v>
      </c>
      <c r="AI347" s="2597" t="s">
        <v>3976</v>
      </c>
      <c r="AJ347" s="2597" t="s">
        <v>3977</v>
      </c>
    </row>
    <row r="348" spans="1:111" s="1118" customFormat="1" ht="17.25" customHeight="1" thickBot="1">
      <c r="A348" s="2316">
        <v>1</v>
      </c>
      <c r="B348" s="2470">
        <v>2</v>
      </c>
      <c r="C348" s="3014">
        <v>3</v>
      </c>
      <c r="D348" s="3015"/>
      <c r="E348" s="3015"/>
      <c r="F348" s="3016"/>
      <c r="G348" s="2317">
        <v>4</v>
      </c>
      <c r="H348" s="3017">
        <v>5</v>
      </c>
      <c r="I348" s="3018"/>
      <c r="J348" s="3018"/>
      <c r="K348" s="3018"/>
      <c r="L348" s="3019"/>
      <c r="M348" s="3017">
        <v>6</v>
      </c>
      <c r="N348" s="3018"/>
      <c r="O348" s="3018"/>
      <c r="P348" s="3018"/>
      <c r="Q348" s="3021"/>
      <c r="R348" s="3020">
        <v>7</v>
      </c>
      <c r="S348" s="3018"/>
      <c r="T348" s="3018"/>
      <c r="U348" s="3021"/>
      <c r="V348" s="3131">
        <v>8</v>
      </c>
      <c r="W348" s="3131"/>
      <c r="X348" s="3131"/>
      <c r="Y348" s="3131"/>
      <c r="Z348" s="3131">
        <v>9</v>
      </c>
      <c r="AA348" s="3131"/>
      <c r="AB348" s="3131"/>
      <c r="AC348" s="3131"/>
      <c r="AD348" s="3105">
        <v>10</v>
      </c>
      <c r="AE348" s="3106"/>
      <c r="AF348" s="3106"/>
      <c r="AG348" s="3107"/>
      <c r="AH348" s="2498">
        <v>11</v>
      </c>
      <c r="AI348" s="2498">
        <v>12</v>
      </c>
      <c r="AJ348" s="2499">
        <v>13</v>
      </c>
    </row>
    <row r="349" spans="1:111" s="1118" customFormat="1" ht="15.75" hidden="1" customHeight="1" outlineLevel="1">
      <c r="A349" s="2318"/>
      <c r="B349" s="3051" t="s">
        <v>2952</v>
      </c>
      <c r="C349" s="3053" t="s">
        <v>3907</v>
      </c>
      <c r="D349" s="3053" t="s">
        <v>3908</v>
      </c>
      <c r="E349" s="3054" t="s">
        <v>3909</v>
      </c>
      <c r="F349" s="2336" t="s">
        <v>3860</v>
      </c>
      <c r="G349" s="2386"/>
      <c r="H349" s="2826"/>
      <c r="I349" s="2826"/>
      <c r="J349" s="2826"/>
      <c r="K349" s="2826"/>
      <c r="L349" s="2826"/>
      <c r="M349" s="2826"/>
      <c r="N349" s="2826"/>
      <c r="O349" s="2826"/>
      <c r="P349" s="2826"/>
      <c r="Q349" s="2826"/>
      <c r="R349" s="2826"/>
      <c r="S349" s="2826"/>
      <c r="T349" s="2827"/>
      <c r="U349" s="2826"/>
      <c r="V349" s="2567"/>
      <c r="W349" s="2567"/>
      <c r="X349" s="2567"/>
      <c r="Y349" s="2567"/>
      <c r="Z349" s="2645">
        <f>$Z$13</f>
        <v>1.0528</v>
      </c>
      <c r="AA349" s="2645">
        <f>$AA$13</f>
        <v>1.0589</v>
      </c>
      <c r="AB349" s="2645">
        <f>$AB$13</f>
        <v>1.0507936887282501</v>
      </c>
      <c r="AC349" s="2645">
        <f>$AC$13</f>
        <v>1.04657781587849</v>
      </c>
      <c r="AD349" s="2642"/>
      <c r="AE349" s="2642"/>
      <c r="AF349" s="2642"/>
      <c r="AG349" s="2642"/>
      <c r="AH349" s="2642"/>
      <c r="AI349" s="2642"/>
      <c r="AJ349" s="2566"/>
      <c r="AK349" s="2338"/>
      <c r="AL349" s="2338"/>
      <c r="AM349" s="2338"/>
      <c r="AN349" s="2338"/>
      <c r="AO349" s="2338"/>
      <c r="AP349" s="2338"/>
      <c r="AQ349" s="2338"/>
      <c r="AR349" s="2338"/>
      <c r="AS349" s="2338"/>
      <c r="AT349" s="2338"/>
      <c r="AU349" s="2338"/>
      <c r="AV349" s="2338"/>
      <c r="AW349" s="2338"/>
      <c r="AX349" s="2338"/>
      <c r="AY349" s="2338"/>
      <c r="AZ349" s="2338"/>
      <c r="BA349" s="2338"/>
      <c r="BB349" s="2338"/>
      <c r="BC349" s="2338"/>
      <c r="BD349" s="2338"/>
      <c r="BE349" s="2338"/>
      <c r="BF349" s="2338"/>
      <c r="BG349" s="2338"/>
      <c r="BH349" s="2338"/>
      <c r="BI349" s="2338"/>
      <c r="BJ349" s="2338"/>
      <c r="BK349" s="2338"/>
      <c r="BL349" s="2338"/>
      <c r="BM349" s="2338"/>
      <c r="BN349" s="2338"/>
      <c r="BO349" s="2338"/>
      <c r="BP349" s="2338"/>
      <c r="BQ349" s="2338"/>
      <c r="BR349" s="2338"/>
      <c r="BS349" s="2338"/>
      <c r="BT349" s="2338"/>
      <c r="BU349" s="2338"/>
      <c r="BV349" s="2338"/>
      <c r="BW349" s="2338"/>
      <c r="BX349" s="2338"/>
      <c r="BY349" s="2338"/>
      <c r="BZ349" s="2338"/>
      <c r="CA349" s="2338"/>
      <c r="CB349" s="2338"/>
      <c r="CC349" s="2338"/>
      <c r="CD349" s="2338"/>
      <c r="CE349" s="2338"/>
      <c r="CF349" s="2338"/>
      <c r="CG349" s="2338"/>
      <c r="CH349" s="2338"/>
      <c r="CI349" s="2338"/>
      <c r="CJ349" s="2338"/>
      <c r="CK349" s="2338"/>
      <c r="CL349" s="2338"/>
      <c r="CM349" s="2338"/>
      <c r="CN349" s="2338"/>
      <c r="CO349" s="2338"/>
      <c r="CP349" s="2338"/>
      <c r="CQ349" s="2338"/>
      <c r="CR349" s="2338"/>
      <c r="CS349" s="2338"/>
      <c r="CT349" s="2338"/>
      <c r="CU349" s="2338"/>
      <c r="CV349" s="2338"/>
      <c r="CW349" s="2338"/>
      <c r="CX349" s="2338"/>
      <c r="CY349" s="2338"/>
      <c r="CZ349" s="2338"/>
      <c r="DA349" s="2338"/>
      <c r="DB349" s="2338"/>
      <c r="DC349" s="2338"/>
      <c r="DD349" s="2338"/>
      <c r="DE349" s="2338"/>
      <c r="DF349" s="2338"/>
      <c r="DG349" s="2338"/>
    </row>
    <row r="350" spans="1:111" s="1118" customFormat="1" ht="15" hidden="1" customHeight="1" outlineLevel="1">
      <c r="A350" s="2339"/>
      <c r="B350" s="3052"/>
      <c r="C350" s="3048"/>
      <c r="D350" s="3048"/>
      <c r="E350" s="3047"/>
      <c r="F350" s="2340" t="s">
        <v>3861</v>
      </c>
      <c r="G350" s="2337"/>
      <c r="H350" s="2641"/>
      <c r="I350" s="2641"/>
      <c r="J350" s="2641"/>
      <c r="K350" s="2641"/>
      <c r="L350" s="2641"/>
      <c r="M350" s="2641"/>
      <c r="N350" s="2641"/>
      <c r="O350" s="2641"/>
      <c r="P350" s="2641"/>
      <c r="Q350" s="2649"/>
      <c r="R350" s="2641"/>
      <c r="S350" s="2641"/>
      <c r="T350" s="2650"/>
      <c r="U350" s="2649"/>
      <c r="V350" s="2566"/>
      <c r="W350" s="2566"/>
      <c r="X350" s="2566"/>
      <c r="Y350" s="2566"/>
      <c r="Z350" s="2642"/>
      <c r="AA350" s="2642"/>
      <c r="AB350" s="2642"/>
      <c r="AC350" s="2642"/>
      <c r="AD350" s="2642"/>
      <c r="AE350" s="2642"/>
      <c r="AF350" s="2642"/>
      <c r="AG350" s="2642"/>
      <c r="AH350" s="2642"/>
      <c r="AI350" s="2642"/>
      <c r="AJ350" s="2566"/>
      <c r="AK350" s="2338"/>
      <c r="AL350" s="2338"/>
      <c r="AM350" s="2338"/>
      <c r="AN350" s="2338"/>
      <c r="AO350" s="2338"/>
      <c r="AP350" s="2338"/>
      <c r="AQ350" s="2338"/>
      <c r="AR350" s="2338"/>
      <c r="AS350" s="2338"/>
      <c r="AT350" s="2338"/>
      <c r="AU350" s="2338"/>
      <c r="AV350" s="2338"/>
      <c r="AW350" s="2338"/>
      <c r="AX350" s="2338"/>
      <c r="AY350" s="2338"/>
      <c r="AZ350" s="2338"/>
      <c r="BA350" s="2338"/>
      <c r="BB350" s="2338"/>
      <c r="BC350" s="2338"/>
      <c r="BD350" s="2338"/>
      <c r="BE350" s="2338"/>
      <c r="BF350" s="2338"/>
      <c r="BG350" s="2338"/>
      <c r="BH350" s="2338"/>
      <c r="BI350" s="2338"/>
      <c r="BJ350" s="2338"/>
      <c r="BK350" s="2338"/>
      <c r="BL350" s="2338"/>
      <c r="BM350" s="2338"/>
      <c r="BN350" s="2338"/>
      <c r="BO350" s="2338"/>
      <c r="BP350" s="2338"/>
      <c r="BQ350" s="2338"/>
      <c r="BR350" s="2338"/>
      <c r="BS350" s="2338"/>
      <c r="BT350" s="2338"/>
      <c r="BU350" s="2338"/>
      <c r="BV350" s="2338"/>
      <c r="BW350" s="2338"/>
      <c r="BX350" s="2338"/>
      <c r="BY350" s="2338"/>
      <c r="BZ350" s="2338"/>
      <c r="CA350" s="2338"/>
      <c r="CB350" s="2338"/>
      <c r="CC350" s="2338"/>
      <c r="CD350" s="2338"/>
      <c r="CE350" s="2338"/>
      <c r="CF350" s="2338"/>
      <c r="CG350" s="2338"/>
      <c r="CH350" s="2338"/>
      <c r="CI350" s="2338"/>
      <c r="CJ350" s="2338"/>
      <c r="CK350" s="2338"/>
      <c r="CL350" s="2338"/>
      <c r="CM350" s="2338"/>
      <c r="CN350" s="2338"/>
      <c r="CO350" s="2338"/>
      <c r="CP350" s="2338"/>
      <c r="CQ350" s="2338"/>
      <c r="CR350" s="2338"/>
      <c r="CS350" s="2338"/>
      <c r="CT350" s="2338"/>
      <c r="CU350" s="2338"/>
      <c r="CV350" s="2338"/>
      <c r="CW350" s="2338"/>
      <c r="CX350" s="2338"/>
      <c r="CY350" s="2338"/>
      <c r="CZ350" s="2338"/>
      <c r="DA350" s="2338"/>
      <c r="DB350" s="2338"/>
      <c r="DC350" s="2338"/>
      <c r="DD350" s="2338"/>
      <c r="DE350" s="2338"/>
      <c r="DF350" s="2338"/>
      <c r="DG350" s="2338"/>
    </row>
    <row r="351" spans="1:111" s="1118" customFormat="1" ht="15" hidden="1" customHeight="1" outlineLevel="1">
      <c r="A351" s="2339"/>
      <c r="B351" s="3052"/>
      <c r="C351" s="3048"/>
      <c r="D351" s="3048"/>
      <c r="E351" s="3047"/>
      <c r="F351" s="2340" t="s">
        <v>3862</v>
      </c>
      <c r="G351" s="2337"/>
      <c r="H351" s="2641"/>
      <c r="I351" s="2641"/>
      <c r="J351" s="2641"/>
      <c r="K351" s="2641"/>
      <c r="L351" s="2641"/>
      <c r="M351" s="2641"/>
      <c r="N351" s="2641"/>
      <c r="O351" s="2641"/>
      <c r="P351" s="2641"/>
      <c r="Q351" s="2649"/>
      <c r="R351" s="2641"/>
      <c r="S351" s="2641"/>
      <c r="T351" s="2650"/>
      <c r="U351" s="2649"/>
      <c r="V351" s="2566"/>
      <c r="W351" s="2566"/>
      <c r="X351" s="2566"/>
      <c r="Y351" s="2566"/>
      <c r="Z351" s="2642"/>
      <c r="AA351" s="2642"/>
      <c r="AB351" s="2642"/>
      <c r="AC351" s="2642"/>
      <c r="AD351" s="2642"/>
      <c r="AE351" s="2642"/>
      <c r="AF351" s="2642"/>
      <c r="AG351" s="2642"/>
      <c r="AH351" s="2642"/>
      <c r="AI351" s="2642"/>
      <c r="AJ351" s="2566"/>
      <c r="AK351" s="2338"/>
      <c r="AL351" s="2338"/>
      <c r="AM351" s="2338"/>
      <c r="AN351" s="2338"/>
      <c r="AO351" s="2338"/>
      <c r="AP351" s="2338"/>
      <c r="AQ351" s="2338"/>
      <c r="AR351" s="2338"/>
      <c r="AS351" s="2338"/>
      <c r="AT351" s="2338"/>
      <c r="AU351" s="2338"/>
      <c r="AV351" s="2338"/>
      <c r="AW351" s="2338"/>
      <c r="AX351" s="2338"/>
      <c r="AY351" s="2338"/>
      <c r="AZ351" s="2338"/>
      <c r="BA351" s="2338"/>
      <c r="BB351" s="2338"/>
      <c r="BC351" s="2338"/>
      <c r="BD351" s="2338"/>
      <c r="BE351" s="2338"/>
      <c r="BF351" s="2338"/>
      <c r="BG351" s="2338"/>
      <c r="BH351" s="2338"/>
      <c r="BI351" s="2338"/>
      <c r="BJ351" s="2338"/>
      <c r="BK351" s="2338"/>
      <c r="BL351" s="2338"/>
      <c r="BM351" s="2338"/>
      <c r="BN351" s="2338"/>
      <c r="BO351" s="2338"/>
      <c r="BP351" s="2338"/>
      <c r="BQ351" s="2338"/>
      <c r="BR351" s="2338"/>
      <c r="BS351" s="2338"/>
      <c r="BT351" s="2338"/>
      <c r="BU351" s="2338"/>
      <c r="BV351" s="2338"/>
      <c r="BW351" s="2338"/>
      <c r="BX351" s="2338"/>
      <c r="BY351" s="2338"/>
      <c r="BZ351" s="2338"/>
      <c r="CA351" s="2338"/>
      <c r="CB351" s="2338"/>
      <c r="CC351" s="2338"/>
      <c r="CD351" s="2338"/>
      <c r="CE351" s="2338"/>
      <c r="CF351" s="2338"/>
      <c r="CG351" s="2338"/>
      <c r="CH351" s="2338"/>
      <c r="CI351" s="2338"/>
      <c r="CJ351" s="2338"/>
      <c r="CK351" s="2338"/>
      <c r="CL351" s="2338"/>
      <c r="CM351" s="2338"/>
      <c r="CN351" s="2338"/>
      <c r="CO351" s="2338"/>
      <c r="CP351" s="2338"/>
      <c r="CQ351" s="2338"/>
      <c r="CR351" s="2338"/>
      <c r="CS351" s="2338"/>
      <c r="CT351" s="2338"/>
      <c r="CU351" s="2338"/>
      <c r="CV351" s="2338"/>
      <c r="CW351" s="2338"/>
      <c r="CX351" s="2338"/>
      <c r="CY351" s="2338"/>
      <c r="CZ351" s="2338"/>
      <c r="DA351" s="2338"/>
      <c r="DB351" s="2338"/>
      <c r="DC351" s="2338"/>
      <c r="DD351" s="2338"/>
      <c r="DE351" s="2338"/>
      <c r="DF351" s="2338"/>
      <c r="DG351" s="2338"/>
    </row>
    <row r="352" spans="1:111" s="1118" customFormat="1" ht="15" hidden="1" customHeight="1" outlineLevel="1">
      <c r="A352" s="2339"/>
      <c r="B352" s="3052"/>
      <c r="C352" s="3048"/>
      <c r="D352" s="3048"/>
      <c r="E352" s="3047"/>
      <c r="F352" s="2340" t="s">
        <v>3863</v>
      </c>
      <c r="G352" s="2337"/>
      <c r="H352" s="2641"/>
      <c r="I352" s="2641"/>
      <c r="J352" s="2641"/>
      <c r="K352" s="2641"/>
      <c r="L352" s="2641"/>
      <c r="M352" s="2641"/>
      <c r="N352" s="2641"/>
      <c r="O352" s="2641"/>
      <c r="P352" s="2641"/>
      <c r="Q352" s="2649"/>
      <c r="R352" s="2641"/>
      <c r="S352" s="2641"/>
      <c r="T352" s="2650"/>
      <c r="U352" s="2649"/>
      <c r="V352" s="2566"/>
      <c r="W352" s="2566"/>
      <c r="X352" s="2566"/>
      <c r="Y352" s="2566"/>
      <c r="Z352" s="2642"/>
      <c r="AA352" s="2642"/>
      <c r="AB352" s="2642"/>
      <c r="AC352" s="2642"/>
      <c r="AD352" s="2642"/>
      <c r="AE352" s="2642"/>
      <c r="AF352" s="2642"/>
      <c r="AG352" s="2642"/>
      <c r="AH352" s="2642"/>
      <c r="AI352" s="2642"/>
      <c r="AJ352" s="2566"/>
      <c r="AK352" s="2338"/>
      <c r="AL352" s="2338"/>
      <c r="AM352" s="2338"/>
      <c r="AN352" s="2338"/>
      <c r="AO352" s="2338"/>
      <c r="AP352" s="2338"/>
      <c r="AQ352" s="2338"/>
      <c r="AR352" s="2338"/>
      <c r="AS352" s="2338"/>
      <c r="AT352" s="2338"/>
      <c r="AU352" s="2338"/>
      <c r="AV352" s="2338"/>
      <c r="AW352" s="2338"/>
      <c r="AX352" s="2338"/>
      <c r="AY352" s="2338"/>
      <c r="AZ352" s="2338"/>
      <c r="BA352" s="2338"/>
      <c r="BB352" s="2338"/>
      <c r="BC352" s="2338"/>
      <c r="BD352" s="2338"/>
      <c r="BE352" s="2338"/>
      <c r="BF352" s="2338"/>
      <c r="BG352" s="2338"/>
      <c r="BH352" s="2338"/>
      <c r="BI352" s="2338"/>
      <c r="BJ352" s="2338"/>
      <c r="BK352" s="2338"/>
      <c r="BL352" s="2338"/>
      <c r="BM352" s="2338"/>
      <c r="BN352" s="2338"/>
      <c r="BO352" s="2338"/>
      <c r="BP352" s="2338"/>
      <c r="BQ352" s="2338"/>
      <c r="BR352" s="2338"/>
      <c r="BS352" s="2338"/>
      <c r="BT352" s="2338"/>
      <c r="BU352" s="2338"/>
      <c r="BV352" s="2338"/>
      <c r="BW352" s="2338"/>
      <c r="BX352" s="2338"/>
      <c r="BY352" s="2338"/>
      <c r="BZ352" s="2338"/>
      <c r="CA352" s="2338"/>
      <c r="CB352" s="2338"/>
      <c r="CC352" s="2338"/>
      <c r="CD352" s="2338"/>
      <c r="CE352" s="2338"/>
      <c r="CF352" s="2338"/>
      <c r="CG352" s="2338"/>
      <c r="CH352" s="2338"/>
      <c r="CI352" s="2338"/>
      <c r="CJ352" s="2338"/>
      <c r="CK352" s="2338"/>
      <c r="CL352" s="2338"/>
      <c r="CM352" s="2338"/>
      <c r="CN352" s="2338"/>
      <c r="CO352" s="2338"/>
      <c r="CP352" s="2338"/>
      <c r="CQ352" s="2338"/>
      <c r="CR352" s="2338"/>
      <c r="CS352" s="2338"/>
      <c r="CT352" s="2338"/>
      <c r="CU352" s="2338"/>
      <c r="CV352" s="2338"/>
      <c r="CW352" s="2338"/>
      <c r="CX352" s="2338"/>
      <c r="CY352" s="2338"/>
      <c r="CZ352" s="2338"/>
      <c r="DA352" s="2338"/>
      <c r="DB352" s="2338"/>
      <c r="DC352" s="2338"/>
      <c r="DD352" s="2338"/>
      <c r="DE352" s="2338"/>
      <c r="DF352" s="2338"/>
      <c r="DG352" s="2338"/>
    </row>
    <row r="353" spans="1:111" s="1118" customFormat="1" ht="15" hidden="1" customHeight="1" outlineLevel="1">
      <c r="A353" s="2339"/>
      <c r="B353" s="3052"/>
      <c r="C353" s="3048"/>
      <c r="D353" s="3048"/>
      <c r="E353" s="3047"/>
      <c r="F353" s="2340" t="s">
        <v>3864</v>
      </c>
      <c r="G353" s="2337"/>
      <c r="H353" s="2641"/>
      <c r="I353" s="2641"/>
      <c r="J353" s="2641"/>
      <c r="K353" s="2641"/>
      <c r="L353" s="2641"/>
      <c r="M353" s="2641"/>
      <c r="N353" s="2641"/>
      <c r="O353" s="2641"/>
      <c r="P353" s="2641"/>
      <c r="Q353" s="2649"/>
      <c r="R353" s="2641"/>
      <c r="S353" s="2641"/>
      <c r="T353" s="2650"/>
      <c r="U353" s="2649"/>
      <c r="V353" s="2566"/>
      <c r="W353" s="2566"/>
      <c r="X353" s="2566"/>
      <c r="Y353" s="2566"/>
      <c r="Z353" s="2642"/>
      <c r="AA353" s="2642"/>
      <c r="AB353" s="2642"/>
      <c r="AC353" s="2642"/>
      <c r="AD353" s="2642"/>
      <c r="AE353" s="2642"/>
      <c r="AF353" s="2642"/>
      <c r="AG353" s="2642"/>
      <c r="AH353" s="2642"/>
      <c r="AI353" s="2642"/>
      <c r="AJ353" s="2566"/>
      <c r="AK353" s="2338"/>
      <c r="AL353" s="2338"/>
      <c r="AM353" s="2338"/>
      <c r="AN353" s="2338"/>
      <c r="AO353" s="2338"/>
      <c r="AP353" s="2338"/>
      <c r="AQ353" s="2338"/>
      <c r="AR353" s="2338"/>
      <c r="AS353" s="2338"/>
      <c r="AT353" s="2338"/>
      <c r="AU353" s="2338"/>
      <c r="AV353" s="2338"/>
      <c r="AW353" s="2338"/>
      <c r="AX353" s="2338"/>
      <c r="AY353" s="2338"/>
      <c r="AZ353" s="2338"/>
      <c r="BA353" s="2338"/>
      <c r="BB353" s="2338"/>
      <c r="BC353" s="2338"/>
      <c r="BD353" s="2338"/>
      <c r="BE353" s="2338"/>
      <c r="BF353" s="2338"/>
      <c r="BG353" s="2338"/>
      <c r="BH353" s="2338"/>
      <c r="BI353" s="2338"/>
      <c r="BJ353" s="2338"/>
      <c r="BK353" s="2338"/>
      <c r="BL353" s="2338"/>
      <c r="BM353" s="2338"/>
      <c r="BN353" s="2338"/>
      <c r="BO353" s="2338"/>
      <c r="BP353" s="2338"/>
      <c r="BQ353" s="2338"/>
      <c r="BR353" s="2338"/>
      <c r="BS353" s="2338"/>
      <c r="BT353" s="2338"/>
      <c r="BU353" s="2338"/>
      <c r="BV353" s="2338"/>
      <c r="BW353" s="2338"/>
      <c r="BX353" s="2338"/>
      <c r="BY353" s="2338"/>
      <c r="BZ353" s="2338"/>
      <c r="CA353" s="2338"/>
      <c r="CB353" s="2338"/>
      <c r="CC353" s="2338"/>
      <c r="CD353" s="2338"/>
      <c r="CE353" s="2338"/>
      <c r="CF353" s="2338"/>
      <c r="CG353" s="2338"/>
      <c r="CH353" s="2338"/>
      <c r="CI353" s="2338"/>
      <c r="CJ353" s="2338"/>
      <c r="CK353" s="2338"/>
      <c r="CL353" s="2338"/>
      <c r="CM353" s="2338"/>
      <c r="CN353" s="2338"/>
      <c r="CO353" s="2338"/>
      <c r="CP353" s="2338"/>
      <c r="CQ353" s="2338"/>
      <c r="CR353" s="2338"/>
      <c r="CS353" s="2338"/>
      <c r="CT353" s="2338"/>
      <c r="CU353" s="2338"/>
      <c r="CV353" s="2338"/>
      <c r="CW353" s="2338"/>
      <c r="CX353" s="2338"/>
      <c r="CY353" s="2338"/>
      <c r="CZ353" s="2338"/>
      <c r="DA353" s="2338"/>
      <c r="DB353" s="2338"/>
      <c r="DC353" s="2338"/>
      <c r="DD353" s="2338"/>
      <c r="DE353" s="2338"/>
      <c r="DF353" s="2338"/>
      <c r="DG353" s="2338"/>
    </row>
    <row r="354" spans="1:111" s="1118" customFormat="1" ht="15" hidden="1" customHeight="1" outlineLevel="1">
      <c r="A354" s="2339"/>
      <c r="B354" s="3052"/>
      <c r="C354" s="3048"/>
      <c r="D354" s="3048"/>
      <c r="E354" s="3047"/>
      <c r="F354" s="2340" t="s">
        <v>3865</v>
      </c>
      <c r="G354" s="2337"/>
      <c r="H354" s="2641"/>
      <c r="I354" s="2641"/>
      <c r="J354" s="2641"/>
      <c r="K354" s="2641"/>
      <c r="L354" s="2641"/>
      <c r="M354" s="2641"/>
      <c r="N354" s="2641"/>
      <c r="O354" s="2641"/>
      <c r="P354" s="2641"/>
      <c r="Q354" s="2649"/>
      <c r="R354" s="2641"/>
      <c r="S354" s="2641"/>
      <c r="T354" s="2650"/>
      <c r="U354" s="2649"/>
      <c r="V354" s="2566"/>
      <c r="W354" s="2566"/>
      <c r="X354" s="2566"/>
      <c r="Y354" s="2566"/>
      <c r="Z354" s="2642"/>
      <c r="AA354" s="2642"/>
      <c r="AB354" s="2642"/>
      <c r="AC354" s="2642"/>
      <c r="AD354" s="2642"/>
      <c r="AE354" s="2642"/>
      <c r="AF354" s="2642"/>
      <c r="AG354" s="2642"/>
      <c r="AH354" s="2642"/>
      <c r="AI354" s="2642"/>
      <c r="AJ354" s="2566"/>
      <c r="AK354" s="2338"/>
      <c r="AL354" s="2338"/>
      <c r="AM354" s="2338"/>
      <c r="AN354" s="2338"/>
      <c r="AO354" s="2338"/>
      <c r="AP354" s="2338"/>
      <c r="AQ354" s="2338"/>
      <c r="AR354" s="2338"/>
      <c r="AS354" s="2338"/>
      <c r="AT354" s="2338"/>
      <c r="AU354" s="2338"/>
      <c r="AV354" s="2338"/>
      <c r="AW354" s="2338"/>
      <c r="AX354" s="2338"/>
      <c r="AY354" s="2338"/>
      <c r="AZ354" s="2338"/>
      <c r="BA354" s="2338"/>
      <c r="BB354" s="2338"/>
      <c r="BC354" s="2338"/>
      <c r="BD354" s="2338"/>
      <c r="BE354" s="2338"/>
      <c r="BF354" s="2338"/>
      <c r="BG354" s="2338"/>
      <c r="BH354" s="2338"/>
      <c r="BI354" s="2338"/>
      <c r="BJ354" s="2338"/>
      <c r="BK354" s="2338"/>
      <c r="BL354" s="2338"/>
      <c r="BM354" s="2338"/>
      <c r="BN354" s="2338"/>
      <c r="BO354" s="2338"/>
      <c r="BP354" s="2338"/>
      <c r="BQ354" s="2338"/>
      <c r="BR354" s="2338"/>
      <c r="BS354" s="2338"/>
      <c r="BT354" s="2338"/>
      <c r="BU354" s="2338"/>
      <c r="BV354" s="2338"/>
      <c r="BW354" s="2338"/>
      <c r="BX354" s="2338"/>
      <c r="BY354" s="2338"/>
      <c r="BZ354" s="2338"/>
      <c r="CA354" s="2338"/>
      <c r="CB354" s="2338"/>
      <c r="CC354" s="2338"/>
      <c r="CD354" s="2338"/>
      <c r="CE354" s="2338"/>
      <c r="CF354" s="2338"/>
      <c r="CG354" s="2338"/>
      <c r="CH354" s="2338"/>
      <c r="CI354" s="2338"/>
      <c r="CJ354" s="2338"/>
      <c r="CK354" s="2338"/>
      <c r="CL354" s="2338"/>
      <c r="CM354" s="2338"/>
      <c r="CN354" s="2338"/>
      <c r="CO354" s="2338"/>
      <c r="CP354" s="2338"/>
      <c r="CQ354" s="2338"/>
      <c r="CR354" s="2338"/>
      <c r="CS354" s="2338"/>
      <c r="CT354" s="2338"/>
      <c r="CU354" s="2338"/>
      <c r="CV354" s="2338"/>
      <c r="CW354" s="2338"/>
      <c r="CX354" s="2338"/>
      <c r="CY354" s="2338"/>
      <c r="CZ354" s="2338"/>
      <c r="DA354" s="2338"/>
      <c r="DB354" s="2338"/>
      <c r="DC354" s="2338"/>
      <c r="DD354" s="2338"/>
      <c r="DE354" s="2338"/>
      <c r="DF354" s="2338"/>
      <c r="DG354" s="2338"/>
    </row>
    <row r="355" spans="1:111" s="1118" customFormat="1" ht="15.75" hidden="1" customHeight="1" outlineLevel="1">
      <c r="A355" s="2339"/>
      <c r="B355" s="3052"/>
      <c r="C355" s="3048"/>
      <c r="D355" s="3048"/>
      <c r="E355" s="3049" t="s">
        <v>3910</v>
      </c>
      <c r="F355" s="2340" t="s">
        <v>3860</v>
      </c>
      <c r="G355" s="2337"/>
      <c r="H355" s="2641"/>
      <c r="I355" s="2641"/>
      <c r="J355" s="2641"/>
      <c r="K355" s="2641"/>
      <c r="L355" s="2641"/>
      <c r="M355" s="2641"/>
      <c r="N355" s="2641"/>
      <c r="O355" s="2641"/>
      <c r="P355" s="2641"/>
      <c r="Q355" s="2649"/>
      <c r="R355" s="2641"/>
      <c r="S355" s="2641"/>
      <c r="T355" s="2650"/>
      <c r="U355" s="2649"/>
      <c r="V355" s="2566"/>
      <c r="W355" s="2566"/>
      <c r="X355" s="2566"/>
      <c r="Y355" s="2566"/>
      <c r="Z355" s="2642"/>
      <c r="AA355" s="2642"/>
      <c r="AB355" s="2642"/>
      <c r="AC355" s="2642"/>
      <c r="AD355" s="2642"/>
      <c r="AE355" s="2642"/>
      <c r="AF355" s="2642"/>
      <c r="AG355" s="2642"/>
      <c r="AH355" s="2642"/>
      <c r="AI355" s="2642"/>
      <c r="AJ355" s="2566"/>
      <c r="AK355" s="2338"/>
      <c r="AL355" s="2338"/>
      <c r="AM355" s="2338"/>
      <c r="AN355" s="2338"/>
      <c r="AO355" s="2338"/>
      <c r="AP355" s="2338"/>
      <c r="AQ355" s="2338"/>
      <c r="AR355" s="2338"/>
      <c r="AS355" s="2338"/>
      <c r="AT355" s="2338"/>
      <c r="AU355" s="2338"/>
      <c r="AV355" s="2338"/>
      <c r="AW355" s="2338"/>
      <c r="AX355" s="2338"/>
      <c r="AY355" s="2338"/>
      <c r="AZ355" s="2338"/>
      <c r="BA355" s="2338"/>
      <c r="BB355" s="2338"/>
      <c r="BC355" s="2338"/>
      <c r="BD355" s="2338"/>
      <c r="BE355" s="2338"/>
      <c r="BF355" s="2338"/>
      <c r="BG355" s="2338"/>
      <c r="BH355" s="2338"/>
      <c r="BI355" s="2338"/>
      <c r="BJ355" s="2338"/>
      <c r="BK355" s="2338"/>
      <c r="BL355" s="2338"/>
      <c r="BM355" s="2338"/>
      <c r="BN355" s="2338"/>
      <c r="BO355" s="2338"/>
      <c r="BP355" s="2338"/>
      <c r="BQ355" s="2338"/>
      <c r="BR355" s="2338"/>
      <c r="BS355" s="2338"/>
      <c r="BT355" s="2338"/>
      <c r="BU355" s="2338"/>
      <c r="BV355" s="2338"/>
      <c r="BW355" s="2338"/>
      <c r="BX355" s="2338"/>
      <c r="BY355" s="2338"/>
      <c r="BZ355" s="2338"/>
      <c r="CA355" s="2338"/>
      <c r="CB355" s="2338"/>
      <c r="CC355" s="2338"/>
      <c r="CD355" s="2338"/>
      <c r="CE355" s="2338"/>
      <c r="CF355" s="2338"/>
      <c r="CG355" s="2338"/>
      <c r="CH355" s="2338"/>
      <c r="CI355" s="2338"/>
      <c r="CJ355" s="2338"/>
      <c r="CK355" s="2338"/>
      <c r="CL355" s="2338"/>
      <c r="CM355" s="2338"/>
      <c r="CN355" s="2338"/>
      <c r="CO355" s="2338"/>
      <c r="CP355" s="2338"/>
      <c r="CQ355" s="2338"/>
      <c r="CR355" s="2338"/>
      <c r="CS355" s="2338"/>
      <c r="CT355" s="2338"/>
      <c r="CU355" s="2338"/>
      <c r="CV355" s="2338"/>
      <c r="CW355" s="2338"/>
      <c r="CX355" s="2338"/>
      <c r="CY355" s="2338"/>
      <c r="CZ355" s="2338"/>
      <c r="DA355" s="2338"/>
      <c r="DB355" s="2338"/>
      <c r="DC355" s="2338"/>
      <c r="DD355" s="2338"/>
      <c r="DE355" s="2338"/>
      <c r="DF355" s="2338"/>
      <c r="DG355" s="2338"/>
    </row>
    <row r="356" spans="1:111" s="1118" customFormat="1" ht="15" hidden="1" customHeight="1" outlineLevel="1">
      <c r="A356" s="2339"/>
      <c r="B356" s="3052"/>
      <c r="C356" s="3048"/>
      <c r="D356" s="3048"/>
      <c r="E356" s="3049"/>
      <c r="F356" s="2340" t="s">
        <v>3861</v>
      </c>
      <c r="G356" s="2337"/>
      <c r="H356" s="2641"/>
      <c r="I356" s="2641"/>
      <c r="J356" s="2641"/>
      <c r="K356" s="2641"/>
      <c r="L356" s="2641"/>
      <c r="M356" s="2641"/>
      <c r="N356" s="2641"/>
      <c r="O356" s="2641"/>
      <c r="P356" s="2641"/>
      <c r="Q356" s="2649"/>
      <c r="R356" s="2641"/>
      <c r="S356" s="2641"/>
      <c r="T356" s="2650"/>
      <c r="U356" s="2649"/>
      <c r="V356" s="2566"/>
      <c r="W356" s="2566"/>
      <c r="X356" s="2566"/>
      <c r="Y356" s="2566"/>
      <c r="Z356" s="2642"/>
      <c r="AA356" s="2642"/>
      <c r="AB356" s="2642"/>
      <c r="AC356" s="2642"/>
      <c r="AD356" s="2642"/>
      <c r="AE356" s="2642"/>
      <c r="AF356" s="2642"/>
      <c r="AG356" s="2642"/>
      <c r="AH356" s="2642"/>
      <c r="AI356" s="2642"/>
      <c r="AJ356" s="2566"/>
      <c r="AK356" s="2338"/>
      <c r="AL356" s="2338"/>
      <c r="AM356" s="2338"/>
      <c r="AN356" s="2338"/>
      <c r="AO356" s="2338"/>
      <c r="AP356" s="2338"/>
      <c r="AQ356" s="2338"/>
      <c r="AR356" s="2338"/>
      <c r="AS356" s="2338"/>
      <c r="AT356" s="2338"/>
      <c r="AU356" s="2338"/>
      <c r="AV356" s="2338"/>
      <c r="AW356" s="2338"/>
      <c r="AX356" s="2338"/>
      <c r="AY356" s="2338"/>
      <c r="AZ356" s="2338"/>
      <c r="BA356" s="2338"/>
      <c r="BB356" s="2338"/>
      <c r="BC356" s="2338"/>
      <c r="BD356" s="2338"/>
      <c r="BE356" s="2338"/>
      <c r="BF356" s="2338"/>
      <c r="BG356" s="2338"/>
      <c r="BH356" s="2338"/>
      <c r="BI356" s="2338"/>
      <c r="BJ356" s="2338"/>
      <c r="BK356" s="2338"/>
      <c r="BL356" s="2338"/>
      <c r="BM356" s="2338"/>
      <c r="BN356" s="2338"/>
      <c r="BO356" s="2338"/>
      <c r="BP356" s="2338"/>
      <c r="BQ356" s="2338"/>
      <c r="BR356" s="2338"/>
      <c r="BS356" s="2338"/>
      <c r="BT356" s="2338"/>
      <c r="BU356" s="2338"/>
      <c r="BV356" s="2338"/>
      <c r="BW356" s="2338"/>
      <c r="BX356" s="2338"/>
      <c r="BY356" s="2338"/>
      <c r="BZ356" s="2338"/>
      <c r="CA356" s="2338"/>
      <c r="CB356" s="2338"/>
      <c r="CC356" s="2338"/>
      <c r="CD356" s="2338"/>
      <c r="CE356" s="2338"/>
      <c r="CF356" s="2338"/>
      <c r="CG356" s="2338"/>
      <c r="CH356" s="2338"/>
      <c r="CI356" s="2338"/>
      <c r="CJ356" s="2338"/>
      <c r="CK356" s="2338"/>
      <c r="CL356" s="2338"/>
      <c r="CM356" s="2338"/>
      <c r="CN356" s="2338"/>
      <c r="CO356" s="2338"/>
      <c r="CP356" s="2338"/>
      <c r="CQ356" s="2338"/>
      <c r="CR356" s="2338"/>
      <c r="CS356" s="2338"/>
      <c r="CT356" s="2338"/>
      <c r="CU356" s="2338"/>
      <c r="CV356" s="2338"/>
      <c r="CW356" s="2338"/>
      <c r="CX356" s="2338"/>
      <c r="CY356" s="2338"/>
      <c r="CZ356" s="2338"/>
      <c r="DA356" s="2338"/>
      <c r="DB356" s="2338"/>
      <c r="DC356" s="2338"/>
      <c r="DD356" s="2338"/>
      <c r="DE356" s="2338"/>
      <c r="DF356" s="2338"/>
      <c r="DG356" s="2338"/>
    </row>
    <row r="357" spans="1:111" s="2344" customFormat="1" ht="15" hidden="1" customHeight="1" outlineLevel="1">
      <c r="A357" s="2339"/>
      <c r="B357" s="3052"/>
      <c r="C357" s="3048"/>
      <c r="D357" s="3048"/>
      <c r="E357" s="3049"/>
      <c r="F357" s="2341" t="s">
        <v>3862</v>
      </c>
      <c r="G357" s="2342"/>
      <c r="H357" s="2641"/>
      <c r="I357" s="2641"/>
      <c r="J357" s="2641"/>
      <c r="K357" s="2641"/>
      <c r="L357" s="2641"/>
      <c r="M357" s="2641"/>
      <c r="N357" s="2641"/>
      <c r="O357" s="2641"/>
      <c r="P357" s="2641"/>
      <c r="Q357" s="2649"/>
      <c r="R357" s="2641"/>
      <c r="S357" s="2641"/>
      <c r="T357" s="2650"/>
      <c r="U357" s="2649"/>
      <c r="V357" s="2566"/>
      <c r="W357" s="2566"/>
      <c r="X357" s="2566"/>
      <c r="Y357" s="2566"/>
      <c r="Z357" s="2642"/>
      <c r="AA357" s="2642"/>
      <c r="AB357" s="2642"/>
      <c r="AC357" s="2642"/>
      <c r="AD357" s="2642"/>
      <c r="AE357" s="2642"/>
      <c r="AF357" s="2642"/>
      <c r="AG357" s="2642"/>
      <c r="AH357" s="2642"/>
      <c r="AI357" s="2642"/>
      <c r="AJ357" s="2566"/>
      <c r="AK357" s="2338"/>
      <c r="AL357" s="2338"/>
      <c r="AM357" s="2338"/>
      <c r="AN357" s="2338"/>
      <c r="AO357" s="2338"/>
      <c r="AP357" s="2338"/>
      <c r="AQ357" s="2338"/>
      <c r="AR357" s="2338"/>
      <c r="AS357" s="2338"/>
      <c r="AT357" s="2338"/>
      <c r="AU357" s="2338"/>
      <c r="AV357" s="2338"/>
      <c r="AW357" s="2338"/>
      <c r="AX357" s="2338"/>
      <c r="AY357" s="2338"/>
      <c r="AZ357" s="2338"/>
      <c r="BA357" s="2338"/>
      <c r="BB357" s="2338"/>
      <c r="BC357" s="2338"/>
      <c r="BD357" s="2338"/>
      <c r="BE357" s="2338"/>
      <c r="BF357" s="2338"/>
      <c r="BG357" s="2338"/>
      <c r="BH357" s="2338"/>
      <c r="BI357" s="2338"/>
      <c r="BJ357" s="2338"/>
      <c r="BK357" s="2338"/>
      <c r="BL357" s="2338"/>
      <c r="BM357" s="2338"/>
      <c r="BN357" s="2338"/>
      <c r="BO357" s="2338"/>
      <c r="BP357" s="2338"/>
      <c r="BQ357" s="2338"/>
      <c r="BR357" s="2338"/>
      <c r="BS357" s="2338"/>
      <c r="BT357" s="2338"/>
      <c r="BU357" s="2338"/>
      <c r="BV357" s="2338"/>
      <c r="BW357" s="2338"/>
      <c r="BX357" s="2338"/>
      <c r="BY357" s="2338"/>
      <c r="BZ357" s="2338"/>
      <c r="CA357" s="2338"/>
      <c r="CB357" s="2338"/>
      <c r="CC357" s="2338"/>
      <c r="CD357" s="2338"/>
      <c r="CE357" s="2338"/>
      <c r="CF357" s="2338"/>
      <c r="CG357" s="2338"/>
      <c r="CH357" s="2338"/>
      <c r="CI357" s="2338"/>
      <c r="CJ357" s="2338"/>
      <c r="CK357" s="2338"/>
      <c r="CL357" s="2338"/>
      <c r="CM357" s="2338"/>
      <c r="CN357" s="2338"/>
      <c r="CO357" s="2338"/>
      <c r="CP357" s="2338"/>
      <c r="CQ357" s="2338"/>
      <c r="CR357" s="2338"/>
      <c r="CS357" s="2338"/>
      <c r="CT357" s="2338"/>
      <c r="CU357" s="2338"/>
      <c r="CV357" s="2338"/>
      <c r="CW357" s="2338"/>
      <c r="CX357" s="2338"/>
      <c r="CY357" s="2338"/>
      <c r="CZ357" s="2338"/>
      <c r="DA357" s="2338"/>
      <c r="DB357" s="2338"/>
      <c r="DC357" s="2338"/>
      <c r="DD357" s="2338"/>
      <c r="DE357" s="2338"/>
      <c r="DF357" s="2338"/>
      <c r="DG357" s="2338"/>
    </row>
    <row r="358" spans="1:111" s="1118" customFormat="1" ht="15" hidden="1" customHeight="1" outlineLevel="1">
      <c r="A358" s="2339"/>
      <c r="B358" s="3052"/>
      <c r="C358" s="3048"/>
      <c r="D358" s="3048"/>
      <c r="E358" s="3049"/>
      <c r="F358" s="2340" t="s">
        <v>3863</v>
      </c>
      <c r="G358" s="2337"/>
      <c r="H358" s="2641"/>
      <c r="I358" s="2641"/>
      <c r="J358" s="2641"/>
      <c r="K358" s="2641"/>
      <c r="L358" s="2641"/>
      <c r="M358" s="2641"/>
      <c r="N358" s="2641"/>
      <c r="O358" s="2641"/>
      <c r="P358" s="2641"/>
      <c r="Q358" s="2649"/>
      <c r="R358" s="2641"/>
      <c r="S358" s="2641"/>
      <c r="T358" s="2650"/>
      <c r="U358" s="2649"/>
      <c r="V358" s="2566"/>
      <c r="W358" s="2566"/>
      <c r="X358" s="2566"/>
      <c r="Y358" s="2566"/>
      <c r="Z358" s="2642"/>
      <c r="AA358" s="2642"/>
      <c r="AB358" s="2642"/>
      <c r="AC358" s="2642"/>
      <c r="AD358" s="2642"/>
      <c r="AE358" s="2642"/>
      <c r="AF358" s="2642"/>
      <c r="AG358" s="2642"/>
      <c r="AH358" s="2642"/>
      <c r="AI358" s="2642"/>
      <c r="AJ358" s="2566"/>
      <c r="AK358" s="2338"/>
      <c r="AL358" s="2338"/>
      <c r="AM358" s="2338"/>
      <c r="AN358" s="2338"/>
      <c r="AO358" s="2338"/>
      <c r="AP358" s="2338"/>
      <c r="AQ358" s="2338"/>
      <c r="AR358" s="2338"/>
      <c r="AS358" s="2338"/>
      <c r="AT358" s="2338"/>
      <c r="AU358" s="2338"/>
      <c r="AV358" s="2338"/>
      <c r="AW358" s="2338"/>
      <c r="AX358" s="2338"/>
      <c r="AY358" s="2338"/>
      <c r="AZ358" s="2338"/>
      <c r="BA358" s="2338"/>
      <c r="BB358" s="2338"/>
      <c r="BC358" s="2338"/>
      <c r="BD358" s="2338"/>
      <c r="BE358" s="2338"/>
      <c r="BF358" s="2338"/>
      <c r="BG358" s="2338"/>
      <c r="BH358" s="2338"/>
      <c r="BI358" s="2338"/>
      <c r="BJ358" s="2338"/>
      <c r="BK358" s="2338"/>
      <c r="BL358" s="2338"/>
      <c r="BM358" s="2338"/>
      <c r="BN358" s="2338"/>
      <c r="BO358" s="2338"/>
      <c r="BP358" s="2338"/>
      <c r="BQ358" s="2338"/>
      <c r="BR358" s="2338"/>
      <c r="BS358" s="2338"/>
      <c r="BT358" s="2338"/>
      <c r="BU358" s="2338"/>
      <c r="BV358" s="2338"/>
      <c r="BW358" s="2338"/>
      <c r="BX358" s="2338"/>
      <c r="BY358" s="2338"/>
      <c r="BZ358" s="2338"/>
      <c r="CA358" s="2338"/>
      <c r="CB358" s="2338"/>
      <c r="CC358" s="2338"/>
      <c r="CD358" s="2338"/>
      <c r="CE358" s="2338"/>
      <c r="CF358" s="2338"/>
      <c r="CG358" s="2338"/>
      <c r="CH358" s="2338"/>
      <c r="CI358" s="2338"/>
      <c r="CJ358" s="2338"/>
      <c r="CK358" s="2338"/>
      <c r="CL358" s="2338"/>
      <c r="CM358" s="2338"/>
      <c r="CN358" s="2338"/>
      <c r="CO358" s="2338"/>
      <c r="CP358" s="2338"/>
      <c r="CQ358" s="2338"/>
      <c r="CR358" s="2338"/>
      <c r="CS358" s="2338"/>
      <c r="CT358" s="2338"/>
      <c r="CU358" s="2338"/>
      <c r="CV358" s="2338"/>
      <c r="CW358" s="2338"/>
      <c r="CX358" s="2338"/>
      <c r="CY358" s="2338"/>
      <c r="CZ358" s="2338"/>
      <c r="DA358" s="2338"/>
      <c r="DB358" s="2338"/>
      <c r="DC358" s="2338"/>
      <c r="DD358" s="2338"/>
      <c r="DE358" s="2338"/>
      <c r="DF358" s="2338"/>
      <c r="DG358" s="2338"/>
    </row>
    <row r="359" spans="1:111" s="1118" customFormat="1" ht="15" hidden="1" customHeight="1" outlineLevel="1">
      <c r="A359" s="2339"/>
      <c r="B359" s="3052"/>
      <c r="C359" s="3048"/>
      <c r="D359" s="3048"/>
      <c r="E359" s="3049"/>
      <c r="F359" s="2340" t="s">
        <v>3864</v>
      </c>
      <c r="G359" s="2337"/>
      <c r="H359" s="2641"/>
      <c r="I359" s="2641"/>
      <c r="J359" s="2641"/>
      <c r="K359" s="2641"/>
      <c r="L359" s="2641"/>
      <c r="M359" s="2641"/>
      <c r="N359" s="2641"/>
      <c r="O359" s="2641"/>
      <c r="P359" s="2641"/>
      <c r="Q359" s="2649"/>
      <c r="R359" s="2641"/>
      <c r="S359" s="2641"/>
      <c r="T359" s="2650"/>
      <c r="U359" s="2649"/>
      <c r="V359" s="2566"/>
      <c r="W359" s="2566"/>
      <c r="X359" s="2566"/>
      <c r="Y359" s="2566"/>
      <c r="Z359" s="2642"/>
      <c r="AA359" s="2642"/>
      <c r="AB359" s="2642"/>
      <c r="AC359" s="2642"/>
      <c r="AD359" s="2642"/>
      <c r="AE359" s="2642"/>
      <c r="AF359" s="2642"/>
      <c r="AG359" s="2642"/>
      <c r="AH359" s="2642"/>
      <c r="AI359" s="2642"/>
      <c r="AJ359" s="2566"/>
      <c r="AK359" s="2338"/>
      <c r="AL359" s="2338"/>
      <c r="AM359" s="2338"/>
      <c r="AN359" s="2338"/>
      <c r="AO359" s="2338"/>
      <c r="AP359" s="2338"/>
      <c r="AQ359" s="2338"/>
      <c r="AR359" s="2338"/>
      <c r="AS359" s="2338"/>
      <c r="AT359" s="2338"/>
      <c r="AU359" s="2338"/>
      <c r="AV359" s="2338"/>
      <c r="AW359" s="2338"/>
      <c r="AX359" s="2338"/>
      <c r="AY359" s="2338"/>
      <c r="AZ359" s="2338"/>
      <c r="BA359" s="2338"/>
      <c r="BB359" s="2338"/>
      <c r="BC359" s="2338"/>
      <c r="BD359" s="2338"/>
      <c r="BE359" s="2338"/>
      <c r="BF359" s="2338"/>
      <c r="BG359" s="2338"/>
      <c r="BH359" s="2338"/>
      <c r="BI359" s="2338"/>
      <c r="BJ359" s="2338"/>
      <c r="BK359" s="2338"/>
      <c r="BL359" s="2338"/>
      <c r="BM359" s="2338"/>
      <c r="BN359" s="2338"/>
      <c r="BO359" s="2338"/>
      <c r="BP359" s="2338"/>
      <c r="BQ359" s="2338"/>
      <c r="BR359" s="2338"/>
      <c r="BS359" s="2338"/>
      <c r="BT359" s="2338"/>
      <c r="BU359" s="2338"/>
      <c r="BV359" s="2338"/>
      <c r="BW359" s="2338"/>
      <c r="BX359" s="2338"/>
      <c r="BY359" s="2338"/>
      <c r="BZ359" s="2338"/>
      <c r="CA359" s="2338"/>
      <c r="CB359" s="2338"/>
      <c r="CC359" s="2338"/>
      <c r="CD359" s="2338"/>
      <c r="CE359" s="2338"/>
      <c r="CF359" s="2338"/>
      <c r="CG359" s="2338"/>
      <c r="CH359" s="2338"/>
      <c r="CI359" s="2338"/>
      <c r="CJ359" s="2338"/>
      <c r="CK359" s="2338"/>
      <c r="CL359" s="2338"/>
      <c r="CM359" s="2338"/>
      <c r="CN359" s="2338"/>
      <c r="CO359" s="2338"/>
      <c r="CP359" s="2338"/>
      <c r="CQ359" s="2338"/>
      <c r="CR359" s="2338"/>
      <c r="CS359" s="2338"/>
      <c r="CT359" s="2338"/>
      <c r="CU359" s="2338"/>
      <c r="CV359" s="2338"/>
      <c r="CW359" s="2338"/>
      <c r="CX359" s="2338"/>
      <c r="CY359" s="2338"/>
      <c r="CZ359" s="2338"/>
      <c r="DA359" s="2338"/>
      <c r="DB359" s="2338"/>
      <c r="DC359" s="2338"/>
      <c r="DD359" s="2338"/>
      <c r="DE359" s="2338"/>
      <c r="DF359" s="2338"/>
      <c r="DG359" s="2338"/>
    </row>
    <row r="360" spans="1:111" s="1118" customFormat="1" ht="15" hidden="1" customHeight="1" outlineLevel="1">
      <c r="A360" s="2339"/>
      <c r="B360" s="3052"/>
      <c r="C360" s="3048"/>
      <c r="D360" s="3048"/>
      <c r="E360" s="3049"/>
      <c r="F360" s="2340" t="s">
        <v>3865</v>
      </c>
      <c r="G360" s="2337"/>
      <c r="H360" s="2641"/>
      <c r="I360" s="2641"/>
      <c r="J360" s="2641"/>
      <c r="K360" s="2641"/>
      <c r="L360" s="2641"/>
      <c r="M360" s="2641"/>
      <c r="N360" s="2641"/>
      <c r="O360" s="2641"/>
      <c r="P360" s="2641"/>
      <c r="Q360" s="2649"/>
      <c r="R360" s="2641"/>
      <c r="S360" s="2641"/>
      <c r="T360" s="2650"/>
      <c r="U360" s="2649"/>
      <c r="V360" s="2566"/>
      <c r="W360" s="2566"/>
      <c r="X360" s="2566"/>
      <c r="Y360" s="2566"/>
      <c r="Z360" s="2642"/>
      <c r="AA360" s="2642"/>
      <c r="AB360" s="2642"/>
      <c r="AC360" s="2642"/>
      <c r="AD360" s="2642"/>
      <c r="AE360" s="2642"/>
      <c r="AF360" s="2642"/>
      <c r="AG360" s="2642"/>
      <c r="AH360" s="2642"/>
      <c r="AI360" s="2642"/>
      <c r="AJ360" s="2566"/>
      <c r="AK360" s="2338"/>
      <c r="AL360" s="2338"/>
      <c r="AM360" s="2338"/>
      <c r="AN360" s="2338"/>
      <c r="AO360" s="2338"/>
      <c r="AP360" s="2338"/>
      <c r="AQ360" s="2338"/>
      <c r="AR360" s="2338"/>
      <c r="AS360" s="2338"/>
      <c r="AT360" s="2338"/>
      <c r="AU360" s="2338"/>
      <c r="AV360" s="2338"/>
      <c r="AW360" s="2338"/>
      <c r="AX360" s="2338"/>
      <c r="AY360" s="2338"/>
      <c r="AZ360" s="2338"/>
      <c r="BA360" s="2338"/>
      <c r="BB360" s="2338"/>
      <c r="BC360" s="2338"/>
      <c r="BD360" s="2338"/>
      <c r="BE360" s="2338"/>
      <c r="BF360" s="2338"/>
      <c r="BG360" s="2338"/>
      <c r="BH360" s="2338"/>
      <c r="BI360" s="2338"/>
      <c r="BJ360" s="2338"/>
      <c r="BK360" s="2338"/>
      <c r="BL360" s="2338"/>
      <c r="BM360" s="2338"/>
      <c r="BN360" s="2338"/>
      <c r="BO360" s="2338"/>
      <c r="BP360" s="2338"/>
      <c r="BQ360" s="2338"/>
      <c r="BR360" s="2338"/>
      <c r="BS360" s="2338"/>
      <c r="BT360" s="2338"/>
      <c r="BU360" s="2338"/>
      <c r="BV360" s="2338"/>
      <c r="BW360" s="2338"/>
      <c r="BX360" s="2338"/>
      <c r="BY360" s="2338"/>
      <c r="BZ360" s="2338"/>
      <c r="CA360" s="2338"/>
      <c r="CB360" s="2338"/>
      <c r="CC360" s="2338"/>
      <c r="CD360" s="2338"/>
      <c r="CE360" s="2338"/>
      <c r="CF360" s="2338"/>
      <c r="CG360" s="2338"/>
      <c r="CH360" s="2338"/>
      <c r="CI360" s="2338"/>
      <c r="CJ360" s="2338"/>
      <c r="CK360" s="2338"/>
      <c r="CL360" s="2338"/>
      <c r="CM360" s="2338"/>
      <c r="CN360" s="2338"/>
      <c r="CO360" s="2338"/>
      <c r="CP360" s="2338"/>
      <c r="CQ360" s="2338"/>
      <c r="CR360" s="2338"/>
      <c r="CS360" s="2338"/>
      <c r="CT360" s="2338"/>
      <c r="CU360" s="2338"/>
      <c r="CV360" s="2338"/>
      <c r="CW360" s="2338"/>
      <c r="CX360" s="2338"/>
      <c r="CY360" s="2338"/>
      <c r="CZ360" s="2338"/>
      <c r="DA360" s="2338"/>
      <c r="DB360" s="2338"/>
      <c r="DC360" s="2338"/>
      <c r="DD360" s="2338"/>
      <c r="DE360" s="2338"/>
      <c r="DF360" s="2338"/>
      <c r="DG360" s="2338"/>
    </row>
    <row r="361" spans="1:111" s="1118" customFormat="1" ht="15.75" hidden="1" customHeight="1" outlineLevel="1">
      <c r="A361" s="2339"/>
      <c r="B361" s="3052"/>
      <c r="C361" s="3048"/>
      <c r="D361" s="3048" t="s">
        <v>3911</v>
      </c>
      <c r="E361" s="3047" t="s">
        <v>3909</v>
      </c>
      <c r="F361" s="2340" t="s">
        <v>3860</v>
      </c>
      <c r="G361" s="2337"/>
      <c r="H361" s="2641"/>
      <c r="I361" s="2641"/>
      <c r="J361" s="2641"/>
      <c r="K361" s="2641"/>
      <c r="L361" s="2641"/>
      <c r="M361" s="2641"/>
      <c r="N361" s="2641"/>
      <c r="O361" s="2641"/>
      <c r="P361" s="2641"/>
      <c r="Q361" s="2649"/>
      <c r="R361" s="2641"/>
      <c r="S361" s="2641"/>
      <c r="T361" s="2650"/>
      <c r="U361" s="2649"/>
      <c r="V361" s="2566"/>
      <c r="W361" s="2566"/>
      <c r="X361" s="2566"/>
      <c r="Y361" s="2566"/>
      <c r="Z361" s="2642"/>
      <c r="AA361" s="2642"/>
      <c r="AB361" s="2642"/>
      <c r="AC361" s="2642"/>
      <c r="AD361" s="2642"/>
      <c r="AE361" s="2642"/>
      <c r="AF361" s="2642"/>
      <c r="AG361" s="2642"/>
      <c r="AH361" s="2642"/>
      <c r="AI361" s="2642"/>
      <c r="AJ361" s="2566"/>
      <c r="AK361" s="2338"/>
      <c r="AL361" s="2338"/>
      <c r="AM361" s="2338"/>
      <c r="AN361" s="2338"/>
      <c r="AO361" s="2338"/>
      <c r="AP361" s="2338"/>
      <c r="AQ361" s="2338"/>
      <c r="AR361" s="2338"/>
      <c r="AS361" s="2338"/>
      <c r="AT361" s="2338"/>
      <c r="AU361" s="2338"/>
      <c r="AV361" s="2338"/>
      <c r="AW361" s="2338"/>
      <c r="AX361" s="2338"/>
      <c r="AY361" s="2338"/>
      <c r="AZ361" s="2338"/>
      <c r="BA361" s="2338"/>
      <c r="BB361" s="2338"/>
      <c r="BC361" s="2338"/>
      <c r="BD361" s="2338"/>
      <c r="BE361" s="2338"/>
      <c r="BF361" s="2338"/>
      <c r="BG361" s="2338"/>
      <c r="BH361" s="2338"/>
      <c r="BI361" s="2338"/>
      <c r="BJ361" s="2338"/>
      <c r="BK361" s="2338"/>
      <c r="BL361" s="2338"/>
      <c r="BM361" s="2338"/>
      <c r="BN361" s="2338"/>
      <c r="BO361" s="2338"/>
      <c r="BP361" s="2338"/>
      <c r="BQ361" s="2338"/>
      <c r="BR361" s="2338"/>
      <c r="BS361" s="2338"/>
      <c r="BT361" s="2338"/>
      <c r="BU361" s="2338"/>
      <c r="BV361" s="2338"/>
      <c r="BW361" s="2338"/>
      <c r="BX361" s="2338"/>
      <c r="BY361" s="2338"/>
      <c r="BZ361" s="2338"/>
      <c r="CA361" s="2338"/>
      <c r="CB361" s="2338"/>
      <c r="CC361" s="2338"/>
      <c r="CD361" s="2338"/>
      <c r="CE361" s="2338"/>
      <c r="CF361" s="2338"/>
      <c r="CG361" s="2338"/>
      <c r="CH361" s="2338"/>
      <c r="CI361" s="2338"/>
      <c r="CJ361" s="2338"/>
      <c r="CK361" s="2338"/>
      <c r="CL361" s="2338"/>
      <c r="CM361" s="2338"/>
      <c r="CN361" s="2338"/>
      <c r="CO361" s="2338"/>
      <c r="CP361" s="2338"/>
      <c r="CQ361" s="2338"/>
      <c r="CR361" s="2338"/>
      <c r="CS361" s="2338"/>
      <c r="CT361" s="2338"/>
      <c r="CU361" s="2338"/>
      <c r="CV361" s="2338"/>
      <c r="CW361" s="2338"/>
      <c r="CX361" s="2338"/>
      <c r="CY361" s="2338"/>
      <c r="CZ361" s="2338"/>
      <c r="DA361" s="2338"/>
      <c r="DB361" s="2338"/>
      <c r="DC361" s="2338"/>
      <c r="DD361" s="2338"/>
      <c r="DE361" s="2338"/>
      <c r="DF361" s="2338"/>
      <c r="DG361" s="2338"/>
    </row>
    <row r="362" spans="1:111" s="1118" customFormat="1" ht="15" hidden="1" customHeight="1" outlineLevel="1">
      <c r="A362" s="2339"/>
      <c r="B362" s="3052"/>
      <c r="C362" s="3048"/>
      <c r="D362" s="3048"/>
      <c r="E362" s="3047"/>
      <c r="F362" s="2340" t="s">
        <v>3861</v>
      </c>
      <c r="G362" s="2337"/>
      <c r="H362" s="2641"/>
      <c r="I362" s="2641"/>
      <c r="J362" s="2641"/>
      <c r="K362" s="2641"/>
      <c r="L362" s="2641"/>
      <c r="M362" s="2641"/>
      <c r="N362" s="2641"/>
      <c r="O362" s="2641"/>
      <c r="P362" s="2641"/>
      <c r="Q362" s="2649"/>
      <c r="R362" s="2641"/>
      <c r="S362" s="2641"/>
      <c r="T362" s="2650"/>
      <c r="U362" s="2649"/>
      <c r="V362" s="2566"/>
      <c r="W362" s="2566"/>
      <c r="X362" s="2566"/>
      <c r="Y362" s="2566"/>
      <c r="Z362" s="2642"/>
      <c r="AA362" s="2642"/>
      <c r="AB362" s="2642"/>
      <c r="AC362" s="2642"/>
      <c r="AD362" s="2642"/>
      <c r="AE362" s="2642"/>
      <c r="AF362" s="2642"/>
      <c r="AG362" s="2642"/>
      <c r="AH362" s="2642"/>
      <c r="AI362" s="2642"/>
      <c r="AJ362" s="2566"/>
      <c r="AK362" s="2338"/>
      <c r="AL362" s="2338"/>
      <c r="AM362" s="2338"/>
      <c r="AN362" s="2338"/>
      <c r="AO362" s="2338"/>
      <c r="AP362" s="2338"/>
      <c r="AQ362" s="2338"/>
      <c r="AR362" s="2338"/>
      <c r="AS362" s="2338"/>
      <c r="AT362" s="2338"/>
      <c r="AU362" s="2338"/>
      <c r="AV362" s="2338"/>
      <c r="AW362" s="2338"/>
      <c r="AX362" s="2338"/>
      <c r="AY362" s="2338"/>
      <c r="AZ362" s="2338"/>
      <c r="BA362" s="2338"/>
      <c r="BB362" s="2338"/>
      <c r="BC362" s="2338"/>
      <c r="BD362" s="2338"/>
      <c r="BE362" s="2338"/>
      <c r="BF362" s="2338"/>
      <c r="BG362" s="2338"/>
      <c r="BH362" s="2338"/>
      <c r="BI362" s="2338"/>
      <c r="BJ362" s="2338"/>
      <c r="BK362" s="2338"/>
      <c r="BL362" s="2338"/>
      <c r="BM362" s="2338"/>
      <c r="BN362" s="2338"/>
      <c r="BO362" s="2338"/>
      <c r="BP362" s="2338"/>
      <c r="BQ362" s="2338"/>
      <c r="BR362" s="2338"/>
      <c r="BS362" s="2338"/>
      <c r="BT362" s="2338"/>
      <c r="BU362" s="2338"/>
      <c r="BV362" s="2338"/>
      <c r="BW362" s="2338"/>
      <c r="BX362" s="2338"/>
      <c r="BY362" s="2338"/>
      <c r="BZ362" s="2338"/>
      <c r="CA362" s="2338"/>
      <c r="CB362" s="2338"/>
      <c r="CC362" s="2338"/>
      <c r="CD362" s="2338"/>
      <c r="CE362" s="2338"/>
      <c r="CF362" s="2338"/>
      <c r="CG362" s="2338"/>
      <c r="CH362" s="2338"/>
      <c r="CI362" s="2338"/>
      <c r="CJ362" s="2338"/>
      <c r="CK362" s="2338"/>
      <c r="CL362" s="2338"/>
      <c r="CM362" s="2338"/>
      <c r="CN362" s="2338"/>
      <c r="CO362" s="2338"/>
      <c r="CP362" s="2338"/>
      <c r="CQ362" s="2338"/>
      <c r="CR362" s="2338"/>
      <c r="CS362" s="2338"/>
      <c r="CT362" s="2338"/>
      <c r="CU362" s="2338"/>
      <c r="CV362" s="2338"/>
      <c r="CW362" s="2338"/>
      <c r="CX362" s="2338"/>
      <c r="CY362" s="2338"/>
      <c r="CZ362" s="2338"/>
      <c r="DA362" s="2338"/>
      <c r="DB362" s="2338"/>
      <c r="DC362" s="2338"/>
      <c r="DD362" s="2338"/>
      <c r="DE362" s="2338"/>
      <c r="DF362" s="2338"/>
      <c r="DG362" s="2338"/>
    </row>
    <row r="363" spans="1:111" s="1118" customFormat="1" ht="15" hidden="1" customHeight="1" outlineLevel="1">
      <c r="A363" s="2339"/>
      <c r="B363" s="3052"/>
      <c r="C363" s="3048"/>
      <c r="D363" s="3048"/>
      <c r="E363" s="3047"/>
      <c r="F363" s="2340" t="s">
        <v>3862</v>
      </c>
      <c r="G363" s="2337"/>
      <c r="H363" s="2641"/>
      <c r="I363" s="2641"/>
      <c r="J363" s="2641"/>
      <c r="K363" s="2641"/>
      <c r="L363" s="2641"/>
      <c r="M363" s="2641"/>
      <c r="N363" s="2641"/>
      <c r="O363" s="2641"/>
      <c r="P363" s="2641"/>
      <c r="Q363" s="2649"/>
      <c r="R363" s="2641"/>
      <c r="S363" s="2641"/>
      <c r="T363" s="2650"/>
      <c r="U363" s="2649"/>
      <c r="V363" s="2566"/>
      <c r="W363" s="2566"/>
      <c r="X363" s="2566"/>
      <c r="Y363" s="2566"/>
      <c r="Z363" s="2642"/>
      <c r="AA363" s="2642"/>
      <c r="AB363" s="2642"/>
      <c r="AC363" s="2642"/>
      <c r="AD363" s="2642"/>
      <c r="AE363" s="2642"/>
      <c r="AF363" s="2642"/>
      <c r="AG363" s="2642"/>
      <c r="AH363" s="2642"/>
      <c r="AI363" s="2642"/>
      <c r="AJ363" s="2566"/>
      <c r="AK363" s="2338"/>
      <c r="AL363" s="2338"/>
      <c r="AM363" s="2338"/>
      <c r="AN363" s="2338"/>
      <c r="AO363" s="2338"/>
      <c r="AP363" s="2338"/>
      <c r="AQ363" s="2338"/>
      <c r="AR363" s="2338"/>
      <c r="AS363" s="2338"/>
      <c r="AT363" s="2338"/>
      <c r="AU363" s="2338"/>
      <c r="AV363" s="2338"/>
      <c r="AW363" s="2338"/>
      <c r="AX363" s="2338"/>
      <c r="AY363" s="2338"/>
      <c r="AZ363" s="2338"/>
      <c r="BA363" s="2338"/>
      <c r="BB363" s="2338"/>
      <c r="BC363" s="2338"/>
      <c r="BD363" s="2338"/>
      <c r="BE363" s="2338"/>
      <c r="BF363" s="2338"/>
      <c r="BG363" s="2338"/>
      <c r="BH363" s="2338"/>
      <c r="BI363" s="2338"/>
      <c r="BJ363" s="2338"/>
      <c r="BK363" s="2338"/>
      <c r="BL363" s="2338"/>
      <c r="BM363" s="2338"/>
      <c r="BN363" s="2338"/>
      <c r="BO363" s="2338"/>
      <c r="BP363" s="2338"/>
      <c r="BQ363" s="2338"/>
      <c r="BR363" s="2338"/>
      <c r="BS363" s="2338"/>
      <c r="BT363" s="2338"/>
      <c r="BU363" s="2338"/>
      <c r="BV363" s="2338"/>
      <c r="BW363" s="2338"/>
      <c r="BX363" s="2338"/>
      <c r="BY363" s="2338"/>
      <c r="BZ363" s="2338"/>
      <c r="CA363" s="2338"/>
      <c r="CB363" s="2338"/>
      <c r="CC363" s="2338"/>
      <c r="CD363" s="2338"/>
      <c r="CE363" s="2338"/>
      <c r="CF363" s="2338"/>
      <c r="CG363" s="2338"/>
      <c r="CH363" s="2338"/>
      <c r="CI363" s="2338"/>
      <c r="CJ363" s="2338"/>
      <c r="CK363" s="2338"/>
      <c r="CL363" s="2338"/>
      <c r="CM363" s="2338"/>
      <c r="CN363" s="2338"/>
      <c r="CO363" s="2338"/>
      <c r="CP363" s="2338"/>
      <c r="CQ363" s="2338"/>
      <c r="CR363" s="2338"/>
      <c r="CS363" s="2338"/>
      <c r="CT363" s="2338"/>
      <c r="CU363" s="2338"/>
      <c r="CV363" s="2338"/>
      <c r="CW363" s="2338"/>
      <c r="CX363" s="2338"/>
      <c r="CY363" s="2338"/>
      <c r="CZ363" s="2338"/>
      <c r="DA363" s="2338"/>
      <c r="DB363" s="2338"/>
      <c r="DC363" s="2338"/>
      <c r="DD363" s="2338"/>
      <c r="DE363" s="2338"/>
      <c r="DF363" s="2338"/>
      <c r="DG363" s="2338"/>
    </row>
    <row r="364" spans="1:111" s="1118" customFormat="1" ht="15" hidden="1" customHeight="1" outlineLevel="1">
      <c r="A364" s="2339"/>
      <c r="B364" s="3052"/>
      <c r="C364" s="3048"/>
      <c r="D364" s="3048"/>
      <c r="E364" s="3047"/>
      <c r="F364" s="2340" t="s">
        <v>3863</v>
      </c>
      <c r="G364" s="2337"/>
      <c r="H364" s="2641"/>
      <c r="I364" s="2641"/>
      <c r="J364" s="2641"/>
      <c r="K364" s="2641"/>
      <c r="L364" s="2641"/>
      <c r="M364" s="2641"/>
      <c r="N364" s="2641"/>
      <c r="O364" s="2641"/>
      <c r="P364" s="2641"/>
      <c r="Q364" s="2649"/>
      <c r="R364" s="2641"/>
      <c r="S364" s="2641"/>
      <c r="T364" s="2650"/>
      <c r="U364" s="2649"/>
      <c r="V364" s="2566"/>
      <c r="W364" s="2566"/>
      <c r="X364" s="2566"/>
      <c r="Y364" s="2566"/>
      <c r="Z364" s="2642"/>
      <c r="AA364" s="2642"/>
      <c r="AB364" s="2642"/>
      <c r="AC364" s="2642"/>
      <c r="AD364" s="2642"/>
      <c r="AE364" s="2642"/>
      <c r="AF364" s="2642"/>
      <c r="AG364" s="2642"/>
      <c r="AH364" s="2642"/>
      <c r="AI364" s="2642"/>
      <c r="AJ364" s="2566"/>
      <c r="AK364" s="2338"/>
      <c r="AL364" s="2338"/>
      <c r="AM364" s="2338"/>
      <c r="AN364" s="2338"/>
      <c r="AO364" s="2338"/>
      <c r="AP364" s="2338"/>
      <c r="AQ364" s="2338"/>
      <c r="AR364" s="2338"/>
      <c r="AS364" s="2338"/>
      <c r="AT364" s="2338"/>
      <c r="AU364" s="2338"/>
      <c r="AV364" s="2338"/>
      <c r="AW364" s="2338"/>
      <c r="AX364" s="2338"/>
      <c r="AY364" s="2338"/>
      <c r="AZ364" s="2338"/>
      <c r="BA364" s="2338"/>
      <c r="BB364" s="2338"/>
      <c r="BC364" s="2338"/>
      <c r="BD364" s="2338"/>
      <c r="BE364" s="2338"/>
      <c r="BF364" s="2338"/>
      <c r="BG364" s="2338"/>
      <c r="BH364" s="2338"/>
      <c r="BI364" s="2338"/>
      <c r="BJ364" s="2338"/>
      <c r="BK364" s="2338"/>
      <c r="BL364" s="2338"/>
      <c r="BM364" s="2338"/>
      <c r="BN364" s="2338"/>
      <c r="BO364" s="2338"/>
      <c r="BP364" s="2338"/>
      <c r="BQ364" s="2338"/>
      <c r="BR364" s="2338"/>
      <c r="BS364" s="2338"/>
      <c r="BT364" s="2338"/>
      <c r="BU364" s="2338"/>
      <c r="BV364" s="2338"/>
      <c r="BW364" s="2338"/>
      <c r="BX364" s="2338"/>
      <c r="BY364" s="2338"/>
      <c r="BZ364" s="2338"/>
      <c r="CA364" s="2338"/>
      <c r="CB364" s="2338"/>
      <c r="CC364" s="2338"/>
      <c r="CD364" s="2338"/>
      <c r="CE364" s="2338"/>
      <c r="CF364" s="2338"/>
      <c r="CG364" s="2338"/>
      <c r="CH364" s="2338"/>
      <c r="CI364" s="2338"/>
      <c r="CJ364" s="2338"/>
      <c r="CK364" s="2338"/>
      <c r="CL364" s="2338"/>
      <c r="CM364" s="2338"/>
      <c r="CN364" s="2338"/>
      <c r="CO364" s="2338"/>
      <c r="CP364" s="2338"/>
      <c r="CQ364" s="2338"/>
      <c r="CR364" s="2338"/>
      <c r="CS364" s="2338"/>
      <c r="CT364" s="2338"/>
      <c r="CU364" s="2338"/>
      <c r="CV364" s="2338"/>
      <c r="CW364" s="2338"/>
      <c r="CX364" s="2338"/>
      <c r="CY364" s="2338"/>
      <c r="CZ364" s="2338"/>
      <c r="DA364" s="2338"/>
      <c r="DB364" s="2338"/>
      <c r="DC364" s="2338"/>
      <c r="DD364" s="2338"/>
      <c r="DE364" s="2338"/>
      <c r="DF364" s="2338"/>
      <c r="DG364" s="2338"/>
    </row>
    <row r="365" spans="1:111" s="1118" customFormat="1" ht="15" hidden="1" customHeight="1" outlineLevel="1">
      <c r="A365" s="2339"/>
      <c r="B365" s="3052"/>
      <c r="C365" s="3048"/>
      <c r="D365" s="3048"/>
      <c r="E365" s="3047"/>
      <c r="F365" s="2340" t="s">
        <v>3864</v>
      </c>
      <c r="G365" s="2337"/>
      <c r="H365" s="2641"/>
      <c r="I365" s="2641"/>
      <c r="J365" s="2641"/>
      <c r="K365" s="2641"/>
      <c r="L365" s="2641"/>
      <c r="M365" s="2641"/>
      <c r="N365" s="2641"/>
      <c r="O365" s="2641"/>
      <c r="P365" s="2641"/>
      <c r="Q365" s="2649"/>
      <c r="R365" s="2641"/>
      <c r="S365" s="2641"/>
      <c r="T365" s="2650"/>
      <c r="U365" s="2649"/>
      <c r="V365" s="2566"/>
      <c r="W365" s="2566"/>
      <c r="X365" s="2566"/>
      <c r="Y365" s="2566"/>
      <c r="Z365" s="2642"/>
      <c r="AA365" s="2642"/>
      <c r="AB365" s="2642"/>
      <c r="AC365" s="2642"/>
      <c r="AD365" s="2642"/>
      <c r="AE365" s="2642"/>
      <c r="AF365" s="2642"/>
      <c r="AG365" s="2642"/>
      <c r="AH365" s="2642"/>
      <c r="AI365" s="2642"/>
      <c r="AJ365" s="2566"/>
      <c r="AK365" s="2338"/>
      <c r="AL365" s="2338"/>
      <c r="AM365" s="2338"/>
      <c r="AN365" s="2338"/>
      <c r="AO365" s="2338"/>
      <c r="AP365" s="2338"/>
      <c r="AQ365" s="2338"/>
      <c r="AR365" s="2338"/>
      <c r="AS365" s="2338"/>
      <c r="AT365" s="2338"/>
      <c r="AU365" s="2338"/>
      <c r="AV365" s="2338"/>
      <c r="AW365" s="2338"/>
      <c r="AX365" s="2338"/>
      <c r="AY365" s="2338"/>
      <c r="AZ365" s="2338"/>
      <c r="BA365" s="2338"/>
      <c r="BB365" s="2338"/>
      <c r="BC365" s="2338"/>
      <c r="BD365" s="2338"/>
      <c r="BE365" s="2338"/>
      <c r="BF365" s="2338"/>
      <c r="BG365" s="2338"/>
      <c r="BH365" s="2338"/>
      <c r="BI365" s="2338"/>
      <c r="BJ365" s="2338"/>
      <c r="BK365" s="2338"/>
      <c r="BL365" s="2338"/>
      <c r="BM365" s="2338"/>
      <c r="BN365" s="2338"/>
      <c r="BO365" s="2338"/>
      <c r="BP365" s="2338"/>
      <c r="BQ365" s="2338"/>
      <c r="BR365" s="2338"/>
      <c r="BS365" s="2338"/>
      <c r="BT365" s="2338"/>
      <c r="BU365" s="2338"/>
      <c r="BV365" s="2338"/>
      <c r="BW365" s="2338"/>
      <c r="BX365" s="2338"/>
      <c r="BY365" s="2338"/>
      <c r="BZ365" s="2338"/>
      <c r="CA365" s="2338"/>
      <c r="CB365" s="2338"/>
      <c r="CC365" s="2338"/>
      <c r="CD365" s="2338"/>
      <c r="CE365" s="2338"/>
      <c r="CF365" s="2338"/>
      <c r="CG365" s="2338"/>
      <c r="CH365" s="2338"/>
      <c r="CI365" s="2338"/>
      <c r="CJ365" s="2338"/>
      <c r="CK365" s="2338"/>
      <c r="CL365" s="2338"/>
      <c r="CM365" s="2338"/>
      <c r="CN365" s="2338"/>
      <c r="CO365" s="2338"/>
      <c r="CP365" s="2338"/>
      <c r="CQ365" s="2338"/>
      <c r="CR365" s="2338"/>
      <c r="CS365" s="2338"/>
      <c r="CT365" s="2338"/>
      <c r="CU365" s="2338"/>
      <c r="CV365" s="2338"/>
      <c r="CW365" s="2338"/>
      <c r="CX365" s="2338"/>
      <c r="CY365" s="2338"/>
      <c r="CZ365" s="2338"/>
      <c r="DA365" s="2338"/>
      <c r="DB365" s="2338"/>
      <c r="DC365" s="2338"/>
      <c r="DD365" s="2338"/>
      <c r="DE365" s="2338"/>
      <c r="DF365" s="2338"/>
      <c r="DG365" s="2338"/>
    </row>
    <row r="366" spans="1:111" s="1118" customFormat="1" ht="15" hidden="1" customHeight="1" outlineLevel="1">
      <c r="A366" s="2339"/>
      <c r="B366" s="3052"/>
      <c r="C366" s="3048"/>
      <c r="D366" s="3048"/>
      <c r="E366" s="3047"/>
      <c r="F366" s="2340" t="s">
        <v>3865</v>
      </c>
      <c r="G366" s="2337"/>
      <c r="H366" s="2641"/>
      <c r="I366" s="2641"/>
      <c r="J366" s="2641"/>
      <c r="K366" s="2641"/>
      <c r="L366" s="2641"/>
      <c r="M366" s="2641"/>
      <c r="N366" s="2641"/>
      <c r="O366" s="2641"/>
      <c r="P366" s="2641"/>
      <c r="Q366" s="2649"/>
      <c r="R366" s="2641"/>
      <c r="S366" s="2641"/>
      <c r="T366" s="2650"/>
      <c r="U366" s="2649"/>
      <c r="V366" s="2566"/>
      <c r="W366" s="2566"/>
      <c r="X366" s="2566"/>
      <c r="Y366" s="2566"/>
      <c r="Z366" s="2642"/>
      <c r="AA366" s="2642"/>
      <c r="AB366" s="2642"/>
      <c r="AC366" s="2642"/>
      <c r="AD366" s="2642"/>
      <c r="AE366" s="2642"/>
      <c r="AF366" s="2642"/>
      <c r="AG366" s="2642"/>
      <c r="AH366" s="2642"/>
      <c r="AI366" s="2642"/>
      <c r="AJ366" s="2566"/>
      <c r="AK366" s="2338"/>
      <c r="AL366" s="2338"/>
      <c r="AM366" s="2338"/>
      <c r="AN366" s="2338"/>
      <c r="AO366" s="2338"/>
      <c r="AP366" s="2338"/>
      <c r="AQ366" s="2338"/>
      <c r="AR366" s="2338"/>
      <c r="AS366" s="2338"/>
      <c r="AT366" s="2338"/>
      <c r="AU366" s="2338"/>
      <c r="AV366" s="2338"/>
      <c r="AW366" s="2338"/>
      <c r="AX366" s="2338"/>
      <c r="AY366" s="2338"/>
      <c r="AZ366" s="2338"/>
      <c r="BA366" s="2338"/>
      <c r="BB366" s="2338"/>
      <c r="BC366" s="2338"/>
      <c r="BD366" s="2338"/>
      <c r="BE366" s="2338"/>
      <c r="BF366" s="2338"/>
      <c r="BG366" s="2338"/>
      <c r="BH366" s="2338"/>
      <c r="BI366" s="2338"/>
      <c r="BJ366" s="2338"/>
      <c r="BK366" s="2338"/>
      <c r="BL366" s="2338"/>
      <c r="BM366" s="2338"/>
      <c r="BN366" s="2338"/>
      <c r="BO366" s="2338"/>
      <c r="BP366" s="2338"/>
      <c r="BQ366" s="2338"/>
      <c r="BR366" s="2338"/>
      <c r="BS366" s="2338"/>
      <c r="BT366" s="2338"/>
      <c r="BU366" s="2338"/>
      <c r="BV366" s="2338"/>
      <c r="BW366" s="2338"/>
      <c r="BX366" s="2338"/>
      <c r="BY366" s="2338"/>
      <c r="BZ366" s="2338"/>
      <c r="CA366" s="2338"/>
      <c r="CB366" s="2338"/>
      <c r="CC366" s="2338"/>
      <c r="CD366" s="2338"/>
      <c r="CE366" s="2338"/>
      <c r="CF366" s="2338"/>
      <c r="CG366" s="2338"/>
      <c r="CH366" s="2338"/>
      <c r="CI366" s="2338"/>
      <c r="CJ366" s="2338"/>
      <c r="CK366" s="2338"/>
      <c r="CL366" s="2338"/>
      <c r="CM366" s="2338"/>
      <c r="CN366" s="2338"/>
      <c r="CO366" s="2338"/>
      <c r="CP366" s="2338"/>
      <c r="CQ366" s="2338"/>
      <c r="CR366" s="2338"/>
      <c r="CS366" s="2338"/>
      <c r="CT366" s="2338"/>
      <c r="CU366" s="2338"/>
      <c r="CV366" s="2338"/>
      <c r="CW366" s="2338"/>
      <c r="CX366" s="2338"/>
      <c r="CY366" s="2338"/>
      <c r="CZ366" s="2338"/>
      <c r="DA366" s="2338"/>
      <c r="DB366" s="2338"/>
      <c r="DC366" s="2338"/>
      <c r="DD366" s="2338"/>
      <c r="DE366" s="2338"/>
      <c r="DF366" s="2338"/>
      <c r="DG366" s="2338"/>
    </row>
    <row r="367" spans="1:111" s="2344" customFormat="1" ht="15.75" hidden="1" customHeight="1" outlineLevel="1">
      <c r="A367" s="2339"/>
      <c r="B367" s="3052"/>
      <c r="C367" s="3048"/>
      <c r="D367" s="3048"/>
      <c r="E367" s="3049" t="s">
        <v>3910</v>
      </c>
      <c r="F367" s="2341" t="s">
        <v>3860</v>
      </c>
      <c r="G367" s="2342"/>
      <c r="H367" s="2641"/>
      <c r="I367" s="2641"/>
      <c r="J367" s="2641"/>
      <c r="K367" s="2641"/>
      <c r="L367" s="2641"/>
      <c r="M367" s="2641"/>
      <c r="N367" s="2641"/>
      <c r="O367" s="2641"/>
      <c r="P367" s="2641"/>
      <c r="Q367" s="2649"/>
      <c r="R367" s="2641"/>
      <c r="S367" s="2641"/>
      <c r="T367" s="2650"/>
      <c r="U367" s="2649"/>
      <c r="V367" s="2566"/>
      <c r="W367" s="2566"/>
      <c r="X367" s="2566"/>
      <c r="Y367" s="2566"/>
      <c r="Z367" s="2642"/>
      <c r="AA367" s="2642"/>
      <c r="AB367" s="2642"/>
      <c r="AC367" s="2642"/>
      <c r="AD367" s="2642"/>
      <c r="AE367" s="2642"/>
      <c r="AF367" s="2642"/>
      <c r="AG367" s="2642"/>
      <c r="AH367" s="2642"/>
      <c r="AI367" s="2642"/>
      <c r="AJ367" s="2566"/>
      <c r="AK367" s="2338"/>
      <c r="AL367" s="2338"/>
      <c r="AM367" s="2338"/>
      <c r="AN367" s="2338"/>
      <c r="AO367" s="2338"/>
      <c r="AP367" s="2338"/>
      <c r="AQ367" s="2338"/>
      <c r="AR367" s="2338"/>
      <c r="AS367" s="2338"/>
      <c r="AT367" s="2338"/>
      <c r="AU367" s="2338"/>
      <c r="AV367" s="2338"/>
      <c r="AW367" s="2338"/>
      <c r="AX367" s="2338"/>
      <c r="AY367" s="2338"/>
      <c r="AZ367" s="2338"/>
      <c r="BA367" s="2338"/>
      <c r="BB367" s="2338"/>
      <c r="BC367" s="2338"/>
      <c r="BD367" s="2338"/>
      <c r="BE367" s="2338"/>
      <c r="BF367" s="2338"/>
      <c r="BG367" s="2338"/>
      <c r="BH367" s="2338"/>
      <c r="BI367" s="2338"/>
      <c r="BJ367" s="2338"/>
      <c r="BK367" s="2338"/>
      <c r="BL367" s="2338"/>
      <c r="BM367" s="2338"/>
      <c r="BN367" s="2338"/>
      <c r="BO367" s="2338"/>
      <c r="BP367" s="2338"/>
      <c r="BQ367" s="2338"/>
      <c r="BR367" s="2338"/>
      <c r="BS367" s="2338"/>
      <c r="BT367" s="2338"/>
      <c r="BU367" s="2338"/>
      <c r="BV367" s="2338"/>
      <c r="BW367" s="2338"/>
      <c r="BX367" s="2338"/>
      <c r="BY367" s="2338"/>
      <c r="BZ367" s="2338"/>
      <c r="CA367" s="2338"/>
      <c r="CB367" s="2338"/>
      <c r="CC367" s="2338"/>
      <c r="CD367" s="2338"/>
      <c r="CE367" s="2338"/>
      <c r="CF367" s="2338"/>
      <c r="CG367" s="2338"/>
      <c r="CH367" s="2338"/>
      <c r="CI367" s="2338"/>
      <c r="CJ367" s="2338"/>
      <c r="CK367" s="2338"/>
      <c r="CL367" s="2338"/>
      <c r="CM367" s="2338"/>
      <c r="CN367" s="2338"/>
      <c r="CO367" s="2338"/>
      <c r="CP367" s="2338"/>
      <c r="CQ367" s="2338"/>
      <c r="CR367" s="2338"/>
      <c r="CS367" s="2338"/>
      <c r="CT367" s="2338"/>
      <c r="CU367" s="2338"/>
      <c r="CV367" s="2338"/>
      <c r="CW367" s="2338"/>
      <c r="CX367" s="2338"/>
      <c r="CY367" s="2338"/>
      <c r="CZ367" s="2338"/>
      <c r="DA367" s="2338"/>
      <c r="DB367" s="2338"/>
      <c r="DC367" s="2338"/>
      <c r="DD367" s="2338"/>
      <c r="DE367" s="2338"/>
      <c r="DF367" s="2338"/>
      <c r="DG367" s="2338"/>
    </row>
    <row r="368" spans="1:111" s="2344" customFormat="1" ht="15" hidden="1" customHeight="1" outlineLevel="1">
      <c r="A368" s="2339"/>
      <c r="B368" s="3052"/>
      <c r="C368" s="3048"/>
      <c r="D368" s="3048"/>
      <c r="E368" s="3049"/>
      <c r="F368" s="2341" t="s">
        <v>3861</v>
      </c>
      <c r="G368" s="2342"/>
      <c r="H368" s="2641"/>
      <c r="I368" s="2641"/>
      <c r="J368" s="2641"/>
      <c r="K368" s="2641"/>
      <c r="L368" s="2641"/>
      <c r="M368" s="2641"/>
      <c r="N368" s="2641"/>
      <c r="O368" s="2641"/>
      <c r="P368" s="2641"/>
      <c r="Q368" s="2649"/>
      <c r="R368" s="2641"/>
      <c r="S368" s="2641"/>
      <c r="T368" s="2650"/>
      <c r="U368" s="2649"/>
      <c r="V368" s="2566"/>
      <c r="W368" s="2566"/>
      <c r="X368" s="2566"/>
      <c r="Y368" s="2566"/>
      <c r="Z368" s="2642"/>
      <c r="AA368" s="2642"/>
      <c r="AB368" s="2642"/>
      <c r="AC368" s="2642"/>
      <c r="AD368" s="2642"/>
      <c r="AE368" s="2642"/>
      <c r="AF368" s="2642"/>
      <c r="AG368" s="2642"/>
      <c r="AH368" s="2642"/>
      <c r="AI368" s="2642"/>
      <c r="AJ368" s="2566"/>
      <c r="AK368" s="2338"/>
      <c r="AL368" s="2338"/>
      <c r="AM368" s="2338"/>
      <c r="AN368" s="2338"/>
      <c r="AO368" s="2338"/>
      <c r="AP368" s="2338"/>
      <c r="AQ368" s="2338"/>
      <c r="AR368" s="2338"/>
      <c r="AS368" s="2338"/>
      <c r="AT368" s="2338"/>
      <c r="AU368" s="2338"/>
      <c r="AV368" s="2338"/>
      <c r="AW368" s="2338"/>
      <c r="AX368" s="2338"/>
      <c r="AY368" s="2338"/>
      <c r="AZ368" s="2338"/>
      <c r="BA368" s="2338"/>
      <c r="BB368" s="2338"/>
      <c r="BC368" s="2338"/>
      <c r="BD368" s="2338"/>
      <c r="BE368" s="2338"/>
      <c r="BF368" s="2338"/>
      <c r="BG368" s="2338"/>
      <c r="BH368" s="2338"/>
      <c r="BI368" s="2338"/>
      <c r="BJ368" s="2338"/>
      <c r="BK368" s="2338"/>
      <c r="BL368" s="2338"/>
      <c r="BM368" s="2338"/>
      <c r="BN368" s="2338"/>
      <c r="BO368" s="2338"/>
      <c r="BP368" s="2338"/>
      <c r="BQ368" s="2338"/>
      <c r="BR368" s="2338"/>
      <c r="BS368" s="2338"/>
      <c r="BT368" s="2338"/>
      <c r="BU368" s="2338"/>
      <c r="BV368" s="2338"/>
      <c r="BW368" s="2338"/>
      <c r="BX368" s="2338"/>
      <c r="BY368" s="2338"/>
      <c r="BZ368" s="2338"/>
      <c r="CA368" s="2338"/>
      <c r="CB368" s="2338"/>
      <c r="CC368" s="2338"/>
      <c r="CD368" s="2338"/>
      <c r="CE368" s="2338"/>
      <c r="CF368" s="2338"/>
      <c r="CG368" s="2338"/>
      <c r="CH368" s="2338"/>
      <c r="CI368" s="2338"/>
      <c r="CJ368" s="2338"/>
      <c r="CK368" s="2338"/>
      <c r="CL368" s="2338"/>
      <c r="CM368" s="2338"/>
      <c r="CN368" s="2338"/>
      <c r="CO368" s="2338"/>
      <c r="CP368" s="2338"/>
      <c r="CQ368" s="2338"/>
      <c r="CR368" s="2338"/>
      <c r="CS368" s="2338"/>
      <c r="CT368" s="2338"/>
      <c r="CU368" s="2338"/>
      <c r="CV368" s="2338"/>
      <c r="CW368" s="2338"/>
      <c r="CX368" s="2338"/>
      <c r="CY368" s="2338"/>
      <c r="CZ368" s="2338"/>
      <c r="DA368" s="2338"/>
      <c r="DB368" s="2338"/>
      <c r="DC368" s="2338"/>
      <c r="DD368" s="2338"/>
      <c r="DE368" s="2338"/>
      <c r="DF368" s="2338"/>
      <c r="DG368" s="2338"/>
    </row>
    <row r="369" spans="1:111" s="2344" customFormat="1" ht="15" hidden="1" customHeight="1" outlineLevel="1">
      <c r="A369" s="2339"/>
      <c r="B369" s="3052"/>
      <c r="C369" s="3048"/>
      <c r="D369" s="3048"/>
      <c r="E369" s="3049"/>
      <c r="F369" s="2341" t="s">
        <v>3862</v>
      </c>
      <c r="G369" s="2342"/>
      <c r="H369" s="2641"/>
      <c r="I369" s="2641"/>
      <c r="J369" s="2641"/>
      <c r="K369" s="2641"/>
      <c r="L369" s="2641"/>
      <c r="M369" s="2641"/>
      <c r="N369" s="2641"/>
      <c r="O369" s="2641"/>
      <c r="P369" s="2641"/>
      <c r="Q369" s="2649"/>
      <c r="R369" s="2641"/>
      <c r="S369" s="2641"/>
      <c r="T369" s="2650"/>
      <c r="U369" s="2649"/>
      <c r="V369" s="2566"/>
      <c r="W369" s="2566"/>
      <c r="X369" s="2566"/>
      <c r="Y369" s="2566"/>
      <c r="Z369" s="2642"/>
      <c r="AA369" s="2642"/>
      <c r="AB369" s="2642"/>
      <c r="AC369" s="2642"/>
      <c r="AD369" s="2642"/>
      <c r="AE369" s="2642"/>
      <c r="AF369" s="2642"/>
      <c r="AG369" s="2642"/>
      <c r="AH369" s="2642"/>
      <c r="AI369" s="2642"/>
      <c r="AJ369" s="2566"/>
      <c r="AK369" s="2338"/>
      <c r="AL369" s="2338"/>
      <c r="AM369" s="2338"/>
      <c r="AN369" s="2338"/>
      <c r="AO369" s="2338"/>
      <c r="AP369" s="2338"/>
      <c r="AQ369" s="2338"/>
      <c r="AR369" s="2338"/>
      <c r="AS369" s="2338"/>
      <c r="AT369" s="2338"/>
      <c r="AU369" s="2338"/>
      <c r="AV369" s="2338"/>
      <c r="AW369" s="2338"/>
      <c r="AX369" s="2338"/>
      <c r="AY369" s="2338"/>
      <c r="AZ369" s="2338"/>
      <c r="BA369" s="2338"/>
      <c r="BB369" s="2338"/>
      <c r="BC369" s="2338"/>
      <c r="BD369" s="2338"/>
      <c r="BE369" s="2338"/>
      <c r="BF369" s="2338"/>
      <c r="BG369" s="2338"/>
      <c r="BH369" s="2338"/>
      <c r="BI369" s="2338"/>
      <c r="BJ369" s="2338"/>
      <c r="BK369" s="2338"/>
      <c r="BL369" s="2338"/>
      <c r="BM369" s="2338"/>
      <c r="BN369" s="2338"/>
      <c r="BO369" s="2338"/>
      <c r="BP369" s="2338"/>
      <c r="BQ369" s="2338"/>
      <c r="BR369" s="2338"/>
      <c r="BS369" s="2338"/>
      <c r="BT369" s="2338"/>
      <c r="BU369" s="2338"/>
      <c r="BV369" s="2338"/>
      <c r="BW369" s="2338"/>
      <c r="BX369" s="2338"/>
      <c r="BY369" s="2338"/>
      <c r="BZ369" s="2338"/>
      <c r="CA369" s="2338"/>
      <c r="CB369" s="2338"/>
      <c r="CC369" s="2338"/>
      <c r="CD369" s="2338"/>
      <c r="CE369" s="2338"/>
      <c r="CF369" s="2338"/>
      <c r="CG369" s="2338"/>
      <c r="CH369" s="2338"/>
      <c r="CI369" s="2338"/>
      <c r="CJ369" s="2338"/>
      <c r="CK369" s="2338"/>
      <c r="CL369" s="2338"/>
      <c r="CM369" s="2338"/>
      <c r="CN369" s="2338"/>
      <c r="CO369" s="2338"/>
      <c r="CP369" s="2338"/>
      <c r="CQ369" s="2338"/>
      <c r="CR369" s="2338"/>
      <c r="CS369" s="2338"/>
      <c r="CT369" s="2338"/>
      <c r="CU369" s="2338"/>
      <c r="CV369" s="2338"/>
      <c r="CW369" s="2338"/>
      <c r="CX369" s="2338"/>
      <c r="CY369" s="2338"/>
      <c r="CZ369" s="2338"/>
      <c r="DA369" s="2338"/>
      <c r="DB369" s="2338"/>
      <c r="DC369" s="2338"/>
      <c r="DD369" s="2338"/>
      <c r="DE369" s="2338"/>
      <c r="DF369" s="2338"/>
      <c r="DG369" s="2338"/>
    </row>
    <row r="370" spans="1:111" s="2344" customFormat="1" ht="15" hidden="1" customHeight="1" outlineLevel="1">
      <c r="A370" s="2339"/>
      <c r="B370" s="3052"/>
      <c r="C370" s="3048"/>
      <c r="D370" s="3048"/>
      <c r="E370" s="3049"/>
      <c r="F370" s="2341" t="s">
        <v>3863</v>
      </c>
      <c r="G370" s="2342"/>
      <c r="H370" s="2641"/>
      <c r="I370" s="2641"/>
      <c r="J370" s="2641"/>
      <c r="K370" s="2641"/>
      <c r="L370" s="2641"/>
      <c r="M370" s="2641"/>
      <c r="N370" s="2641"/>
      <c r="O370" s="2641"/>
      <c r="P370" s="2641"/>
      <c r="Q370" s="2649"/>
      <c r="R370" s="2641"/>
      <c r="S370" s="2641"/>
      <c r="T370" s="2650"/>
      <c r="U370" s="2649"/>
      <c r="V370" s="2566"/>
      <c r="W370" s="2566"/>
      <c r="X370" s="2566"/>
      <c r="Y370" s="2566"/>
      <c r="Z370" s="2642"/>
      <c r="AA370" s="2642"/>
      <c r="AB370" s="2642"/>
      <c r="AC370" s="2642"/>
      <c r="AD370" s="2642"/>
      <c r="AE370" s="2642"/>
      <c r="AF370" s="2642"/>
      <c r="AG370" s="2642"/>
      <c r="AH370" s="2642"/>
      <c r="AI370" s="2642"/>
      <c r="AJ370" s="2566"/>
      <c r="AK370" s="2338"/>
      <c r="AL370" s="2338"/>
      <c r="AM370" s="2338"/>
      <c r="AN370" s="2338"/>
      <c r="AO370" s="2338"/>
      <c r="AP370" s="2338"/>
      <c r="AQ370" s="2338"/>
      <c r="AR370" s="2338"/>
      <c r="AS370" s="2338"/>
      <c r="AT370" s="2338"/>
      <c r="AU370" s="2338"/>
      <c r="AV370" s="2338"/>
      <c r="AW370" s="2338"/>
      <c r="AX370" s="2338"/>
      <c r="AY370" s="2338"/>
      <c r="AZ370" s="2338"/>
      <c r="BA370" s="2338"/>
      <c r="BB370" s="2338"/>
      <c r="BC370" s="2338"/>
      <c r="BD370" s="2338"/>
      <c r="BE370" s="2338"/>
      <c r="BF370" s="2338"/>
      <c r="BG370" s="2338"/>
      <c r="BH370" s="2338"/>
      <c r="BI370" s="2338"/>
      <c r="BJ370" s="2338"/>
      <c r="BK370" s="2338"/>
      <c r="BL370" s="2338"/>
      <c r="BM370" s="2338"/>
      <c r="BN370" s="2338"/>
      <c r="BO370" s="2338"/>
      <c r="BP370" s="2338"/>
      <c r="BQ370" s="2338"/>
      <c r="BR370" s="2338"/>
      <c r="BS370" s="2338"/>
      <c r="BT370" s="2338"/>
      <c r="BU370" s="2338"/>
      <c r="BV370" s="2338"/>
      <c r="BW370" s="2338"/>
      <c r="BX370" s="2338"/>
      <c r="BY370" s="2338"/>
      <c r="BZ370" s="2338"/>
      <c r="CA370" s="2338"/>
      <c r="CB370" s="2338"/>
      <c r="CC370" s="2338"/>
      <c r="CD370" s="2338"/>
      <c r="CE370" s="2338"/>
      <c r="CF370" s="2338"/>
      <c r="CG370" s="2338"/>
      <c r="CH370" s="2338"/>
      <c r="CI370" s="2338"/>
      <c r="CJ370" s="2338"/>
      <c r="CK370" s="2338"/>
      <c r="CL370" s="2338"/>
      <c r="CM370" s="2338"/>
      <c r="CN370" s="2338"/>
      <c r="CO370" s="2338"/>
      <c r="CP370" s="2338"/>
      <c r="CQ370" s="2338"/>
      <c r="CR370" s="2338"/>
      <c r="CS370" s="2338"/>
      <c r="CT370" s="2338"/>
      <c r="CU370" s="2338"/>
      <c r="CV370" s="2338"/>
      <c r="CW370" s="2338"/>
      <c r="CX370" s="2338"/>
      <c r="CY370" s="2338"/>
      <c r="CZ370" s="2338"/>
      <c r="DA370" s="2338"/>
      <c r="DB370" s="2338"/>
      <c r="DC370" s="2338"/>
      <c r="DD370" s="2338"/>
      <c r="DE370" s="2338"/>
      <c r="DF370" s="2338"/>
      <c r="DG370" s="2338"/>
    </row>
    <row r="371" spans="1:111" s="1118" customFormat="1" ht="15" hidden="1" customHeight="1" outlineLevel="1">
      <c r="A371" s="2339"/>
      <c r="B371" s="3052"/>
      <c r="C371" s="3048"/>
      <c r="D371" s="3048"/>
      <c r="E371" s="3049"/>
      <c r="F371" s="2340" t="s">
        <v>3864</v>
      </c>
      <c r="G371" s="2337"/>
      <c r="H371" s="2641"/>
      <c r="I371" s="2641"/>
      <c r="J371" s="2641"/>
      <c r="K371" s="2641"/>
      <c r="L371" s="2641"/>
      <c r="M371" s="2641"/>
      <c r="N371" s="2641"/>
      <c r="O371" s="2641"/>
      <c r="P371" s="2641"/>
      <c r="Q371" s="2649"/>
      <c r="R371" s="2641"/>
      <c r="S371" s="2641"/>
      <c r="T371" s="2650"/>
      <c r="U371" s="2649"/>
      <c r="V371" s="2566"/>
      <c r="W371" s="2566"/>
      <c r="X371" s="2566"/>
      <c r="Y371" s="2566"/>
      <c r="Z371" s="2642"/>
      <c r="AA371" s="2642"/>
      <c r="AB371" s="2642"/>
      <c r="AC371" s="2642"/>
      <c r="AD371" s="2642"/>
      <c r="AE371" s="2642"/>
      <c r="AF371" s="2642"/>
      <c r="AG371" s="2642"/>
      <c r="AH371" s="2642"/>
      <c r="AI371" s="2642"/>
      <c r="AJ371" s="2566"/>
      <c r="AK371" s="2338"/>
      <c r="AL371" s="2338"/>
      <c r="AM371" s="2338"/>
      <c r="AN371" s="2338"/>
      <c r="AO371" s="2338"/>
      <c r="AP371" s="2338"/>
      <c r="AQ371" s="2338"/>
      <c r="AR371" s="2338"/>
      <c r="AS371" s="2338"/>
      <c r="AT371" s="2338"/>
      <c r="AU371" s="2338"/>
      <c r="AV371" s="2338"/>
      <c r="AW371" s="2338"/>
      <c r="AX371" s="2338"/>
      <c r="AY371" s="2338"/>
      <c r="AZ371" s="2338"/>
      <c r="BA371" s="2338"/>
      <c r="BB371" s="2338"/>
      <c r="BC371" s="2338"/>
      <c r="BD371" s="2338"/>
      <c r="BE371" s="2338"/>
      <c r="BF371" s="2338"/>
      <c r="BG371" s="2338"/>
      <c r="BH371" s="2338"/>
      <c r="BI371" s="2338"/>
      <c r="BJ371" s="2338"/>
      <c r="BK371" s="2338"/>
      <c r="BL371" s="2338"/>
      <c r="BM371" s="2338"/>
      <c r="BN371" s="2338"/>
      <c r="BO371" s="2338"/>
      <c r="BP371" s="2338"/>
      <c r="BQ371" s="2338"/>
      <c r="BR371" s="2338"/>
      <c r="BS371" s="2338"/>
      <c r="BT371" s="2338"/>
      <c r="BU371" s="2338"/>
      <c r="BV371" s="2338"/>
      <c r="BW371" s="2338"/>
      <c r="BX371" s="2338"/>
      <c r="BY371" s="2338"/>
      <c r="BZ371" s="2338"/>
      <c r="CA371" s="2338"/>
      <c r="CB371" s="2338"/>
      <c r="CC371" s="2338"/>
      <c r="CD371" s="2338"/>
      <c r="CE371" s="2338"/>
      <c r="CF371" s="2338"/>
      <c r="CG371" s="2338"/>
      <c r="CH371" s="2338"/>
      <c r="CI371" s="2338"/>
      <c r="CJ371" s="2338"/>
      <c r="CK371" s="2338"/>
      <c r="CL371" s="2338"/>
      <c r="CM371" s="2338"/>
      <c r="CN371" s="2338"/>
      <c r="CO371" s="2338"/>
      <c r="CP371" s="2338"/>
      <c r="CQ371" s="2338"/>
      <c r="CR371" s="2338"/>
      <c r="CS371" s="2338"/>
      <c r="CT371" s="2338"/>
      <c r="CU371" s="2338"/>
      <c r="CV371" s="2338"/>
      <c r="CW371" s="2338"/>
      <c r="CX371" s="2338"/>
      <c r="CY371" s="2338"/>
      <c r="CZ371" s="2338"/>
      <c r="DA371" s="2338"/>
      <c r="DB371" s="2338"/>
      <c r="DC371" s="2338"/>
      <c r="DD371" s="2338"/>
      <c r="DE371" s="2338"/>
      <c r="DF371" s="2338"/>
      <c r="DG371" s="2338"/>
    </row>
    <row r="372" spans="1:111" s="1118" customFormat="1" ht="15" hidden="1" customHeight="1" outlineLevel="1">
      <c r="A372" s="2339"/>
      <c r="B372" s="3052"/>
      <c r="C372" s="3048"/>
      <c r="D372" s="3048"/>
      <c r="E372" s="3049"/>
      <c r="F372" s="2340" t="s">
        <v>3865</v>
      </c>
      <c r="G372" s="2337"/>
      <c r="H372" s="2641"/>
      <c r="I372" s="2641"/>
      <c r="J372" s="2641"/>
      <c r="K372" s="2641"/>
      <c r="L372" s="2641"/>
      <c r="M372" s="2641"/>
      <c r="N372" s="2641"/>
      <c r="O372" s="2641"/>
      <c r="P372" s="2641"/>
      <c r="Q372" s="2649"/>
      <c r="R372" s="2641"/>
      <c r="S372" s="2641"/>
      <c r="T372" s="2650"/>
      <c r="U372" s="2649"/>
      <c r="V372" s="2566"/>
      <c r="W372" s="2566"/>
      <c r="X372" s="2566"/>
      <c r="Y372" s="2566"/>
      <c r="Z372" s="2642"/>
      <c r="AA372" s="2642"/>
      <c r="AB372" s="2642"/>
      <c r="AC372" s="2642"/>
      <c r="AD372" s="2642"/>
      <c r="AE372" s="2642"/>
      <c r="AF372" s="2642"/>
      <c r="AG372" s="2642"/>
      <c r="AH372" s="2642"/>
      <c r="AI372" s="2642"/>
      <c r="AJ372" s="2566"/>
      <c r="AK372" s="2338"/>
      <c r="AL372" s="2338"/>
      <c r="AM372" s="2338"/>
      <c r="AN372" s="2338"/>
      <c r="AO372" s="2338"/>
      <c r="AP372" s="2338"/>
      <c r="AQ372" s="2338"/>
      <c r="AR372" s="2338"/>
      <c r="AS372" s="2338"/>
      <c r="AT372" s="2338"/>
      <c r="AU372" s="2338"/>
      <c r="AV372" s="2338"/>
      <c r="AW372" s="2338"/>
      <c r="AX372" s="2338"/>
      <c r="AY372" s="2338"/>
      <c r="AZ372" s="2338"/>
      <c r="BA372" s="2338"/>
      <c r="BB372" s="2338"/>
      <c r="BC372" s="2338"/>
      <c r="BD372" s="2338"/>
      <c r="BE372" s="2338"/>
      <c r="BF372" s="2338"/>
      <c r="BG372" s="2338"/>
      <c r="BH372" s="2338"/>
      <c r="BI372" s="2338"/>
      <c r="BJ372" s="2338"/>
      <c r="BK372" s="2338"/>
      <c r="BL372" s="2338"/>
      <c r="BM372" s="2338"/>
      <c r="BN372" s="2338"/>
      <c r="BO372" s="2338"/>
      <c r="BP372" s="2338"/>
      <c r="BQ372" s="2338"/>
      <c r="BR372" s="2338"/>
      <c r="BS372" s="2338"/>
      <c r="BT372" s="2338"/>
      <c r="BU372" s="2338"/>
      <c r="BV372" s="2338"/>
      <c r="BW372" s="2338"/>
      <c r="BX372" s="2338"/>
      <c r="BY372" s="2338"/>
      <c r="BZ372" s="2338"/>
      <c r="CA372" s="2338"/>
      <c r="CB372" s="2338"/>
      <c r="CC372" s="2338"/>
      <c r="CD372" s="2338"/>
      <c r="CE372" s="2338"/>
      <c r="CF372" s="2338"/>
      <c r="CG372" s="2338"/>
      <c r="CH372" s="2338"/>
      <c r="CI372" s="2338"/>
      <c r="CJ372" s="2338"/>
      <c r="CK372" s="2338"/>
      <c r="CL372" s="2338"/>
      <c r="CM372" s="2338"/>
      <c r="CN372" s="2338"/>
      <c r="CO372" s="2338"/>
      <c r="CP372" s="2338"/>
      <c r="CQ372" s="2338"/>
      <c r="CR372" s="2338"/>
      <c r="CS372" s="2338"/>
      <c r="CT372" s="2338"/>
      <c r="CU372" s="2338"/>
      <c r="CV372" s="2338"/>
      <c r="CW372" s="2338"/>
      <c r="CX372" s="2338"/>
      <c r="CY372" s="2338"/>
      <c r="CZ372" s="2338"/>
      <c r="DA372" s="2338"/>
      <c r="DB372" s="2338"/>
      <c r="DC372" s="2338"/>
      <c r="DD372" s="2338"/>
      <c r="DE372" s="2338"/>
      <c r="DF372" s="2338"/>
      <c r="DG372" s="2338"/>
    </row>
    <row r="373" spans="1:111" s="1118" customFormat="1" ht="15.75" hidden="1" customHeight="1" outlineLevel="1">
      <c r="A373" s="2339"/>
      <c r="B373" s="3052"/>
      <c r="C373" s="3048" t="s">
        <v>3912</v>
      </c>
      <c r="D373" s="3048" t="s">
        <v>3908</v>
      </c>
      <c r="E373" s="3047" t="s">
        <v>3909</v>
      </c>
      <c r="F373" s="2340" t="s">
        <v>3860</v>
      </c>
      <c r="G373" s="2337"/>
      <c r="H373" s="2641"/>
      <c r="I373" s="2641"/>
      <c r="J373" s="2641"/>
      <c r="K373" s="2641"/>
      <c r="L373" s="2641"/>
      <c r="M373" s="2641"/>
      <c r="N373" s="2641"/>
      <c r="O373" s="2641"/>
      <c r="P373" s="2641"/>
      <c r="Q373" s="2649"/>
      <c r="R373" s="2641"/>
      <c r="S373" s="2641"/>
      <c r="T373" s="2650"/>
      <c r="U373" s="2649"/>
      <c r="V373" s="2566"/>
      <c r="W373" s="2566"/>
      <c r="X373" s="2566"/>
      <c r="Y373" s="2566"/>
      <c r="Z373" s="2642"/>
      <c r="AA373" s="2642"/>
      <c r="AB373" s="2642"/>
      <c r="AC373" s="2642"/>
      <c r="AD373" s="2642"/>
      <c r="AE373" s="2642"/>
      <c r="AF373" s="2642"/>
      <c r="AG373" s="2642"/>
      <c r="AH373" s="2642"/>
      <c r="AI373" s="2642"/>
      <c r="AJ373" s="2566"/>
      <c r="AK373" s="2338"/>
      <c r="AL373" s="2338"/>
      <c r="AM373" s="2338"/>
      <c r="AN373" s="2338"/>
      <c r="AO373" s="2338"/>
      <c r="AP373" s="2338"/>
      <c r="AQ373" s="2338"/>
      <c r="AR373" s="2338"/>
      <c r="AS373" s="2338"/>
      <c r="AT373" s="2338"/>
      <c r="AU373" s="2338"/>
      <c r="AV373" s="2338"/>
      <c r="AW373" s="2338"/>
      <c r="AX373" s="2338"/>
      <c r="AY373" s="2338"/>
      <c r="AZ373" s="2338"/>
      <c r="BA373" s="2338"/>
      <c r="BB373" s="2338"/>
      <c r="BC373" s="2338"/>
      <c r="BD373" s="2338"/>
      <c r="BE373" s="2338"/>
      <c r="BF373" s="2338"/>
      <c r="BG373" s="2338"/>
      <c r="BH373" s="2338"/>
      <c r="BI373" s="2338"/>
      <c r="BJ373" s="2338"/>
      <c r="BK373" s="2338"/>
      <c r="BL373" s="2338"/>
      <c r="BM373" s="2338"/>
      <c r="BN373" s="2338"/>
      <c r="BO373" s="2338"/>
      <c r="BP373" s="2338"/>
      <c r="BQ373" s="2338"/>
      <c r="BR373" s="2338"/>
      <c r="BS373" s="2338"/>
      <c r="BT373" s="2338"/>
      <c r="BU373" s="2338"/>
      <c r="BV373" s="2338"/>
      <c r="BW373" s="2338"/>
      <c r="BX373" s="2338"/>
      <c r="BY373" s="2338"/>
      <c r="BZ373" s="2338"/>
      <c r="CA373" s="2338"/>
      <c r="CB373" s="2338"/>
      <c r="CC373" s="2338"/>
      <c r="CD373" s="2338"/>
      <c r="CE373" s="2338"/>
      <c r="CF373" s="2338"/>
      <c r="CG373" s="2338"/>
      <c r="CH373" s="2338"/>
      <c r="CI373" s="2338"/>
      <c r="CJ373" s="2338"/>
      <c r="CK373" s="2338"/>
      <c r="CL373" s="2338"/>
      <c r="CM373" s="2338"/>
      <c r="CN373" s="2338"/>
      <c r="CO373" s="2338"/>
      <c r="CP373" s="2338"/>
      <c r="CQ373" s="2338"/>
      <c r="CR373" s="2338"/>
      <c r="CS373" s="2338"/>
      <c r="CT373" s="2338"/>
      <c r="CU373" s="2338"/>
      <c r="CV373" s="2338"/>
      <c r="CW373" s="2338"/>
      <c r="CX373" s="2338"/>
      <c r="CY373" s="2338"/>
      <c r="CZ373" s="2338"/>
      <c r="DA373" s="2338"/>
      <c r="DB373" s="2338"/>
      <c r="DC373" s="2338"/>
      <c r="DD373" s="2338"/>
      <c r="DE373" s="2338"/>
      <c r="DF373" s="2338"/>
      <c r="DG373" s="2338"/>
    </row>
    <row r="374" spans="1:111" s="1118" customFormat="1" ht="15" hidden="1" customHeight="1" outlineLevel="1">
      <c r="A374" s="2339"/>
      <c r="B374" s="3052"/>
      <c r="C374" s="3048"/>
      <c r="D374" s="3048"/>
      <c r="E374" s="3047"/>
      <c r="F374" s="2340" t="s">
        <v>3861</v>
      </c>
      <c r="G374" s="2337"/>
      <c r="H374" s="2641"/>
      <c r="I374" s="2641"/>
      <c r="J374" s="2641"/>
      <c r="K374" s="2641"/>
      <c r="L374" s="2641"/>
      <c r="M374" s="2641"/>
      <c r="N374" s="2641"/>
      <c r="O374" s="2641"/>
      <c r="P374" s="2641"/>
      <c r="Q374" s="2649"/>
      <c r="R374" s="2641"/>
      <c r="S374" s="2641"/>
      <c r="T374" s="2650"/>
      <c r="U374" s="2649"/>
      <c r="V374" s="2566"/>
      <c r="W374" s="2566"/>
      <c r="X374" s="2566"/>
      <c r="Y374" s="2566"/>
      <c r="Z374" s="2642"/>
      <c r="AA374" s="2642"/>
      <c r="AB374" s="2642"/>
      <c r="AC374" s="2642"/>
      <c r="AD374" s="2642"/>
      <c r="AE374" s="2642"/>
      <c r="AF374" s="2642"/>
      <c r="AG374" s="2642"/>
      <c r="AH374" s="2642"/>
      <c r="AI374" s="2642"/>
      <c r="AJ374" s="2566"/>
      <c r="AK374" s="2338"/>
      <c r="AL374" s="2338"/>
      <c r="AM374" s="2338"/>
      <c r="AN374" s="2338"/>
      <c r="AO374" s="2338"/>
      <c r="AP374" s="2338"/>
      <c r="AQ374" s="2338"/>
      <c r="AR374" s="2338"/>
      <c r="AS374" s="2338"/>
      <c r="AT374" s="2338"/>
      <c r="AU374" s="2338"/>
      <c r="AV374" s="2338"/>
      <c r="AW374" s="2338"/>
      <c r="AX374" s="2338"/>
      <c r="AY374" s="2338"/>
      <c r="AZ374" s="2338"/>
      <c r="BA374" s="2338"/>
      <c r="BB374" s="2338"/>
      <c r="BC374" s="2338"/>
      <c r="BD374" s="2338"/>
      <c r="BE374" s="2338"/>
      <c r="BF374" s="2338"/>
      <c r="BG374" s="2338"/>
      <c r="BH374" s="2338"/>
      <c r="BI374" s="2338"/>
      <c r="BJ374" s="2338"/>
      <c r="BK374" s="2338"/>
      <c r="BL374" s="2338"/>
      <c r="BM374" s="2338"/>
      <c r="BN374" s="2338"/>
      <c r="BO374" s="2338"/>
      <c r="BP374" s="2338"/>
      <c r="BQ374" s="2338"/>
      <c r="BR374" s="2338"/>
      <c r="BS374" s="2338"/>
      <c r="BT374" s="2338"/>
      <c r="BU374" s="2338"/>
      <c r="BV374" s="2338"/>
      <c r="BW374" s="2338"/>
      <c r="BX374" s="2338"/>
      <c r="BY374" s="2338"/>
      <c r="BZ374" s="2338"/>
      <c r="CA374" s="2338"/>
      <c r="CB374" s="2338"/>
      <c r="CC374" s="2338"/>
      <c r="CD374" s="2338"/>
      <c r="CE374" s="2338"/>
      <c r="CF374" s="2338"/>
      <c r="CG374" s="2338"/>
      <c r="CH374" s="2338"/>
      <c r="CI374" s="2338"/>
      <c r="CJ374" s="2338"/>
      <c r="CK374" s="2338"/>
      <c r="CL374" s="2338"/>
      <c r="CM374" s="2338"/>
      <c r="CN374" s="2338"/>
      <c r="CO374" s="2338"/>
      <c r="CP374" s="2338"/>
      <c r="CQ374" s="2338"/>
      <c r="CR374" s="2338"/>
      <c r="CS374" s="2338"/>
      <c r="CT374" s="2338"/>
      <c r="CU374" s="2338"/>
      <c r="CV374" s="2338"/>
      <c r="CW374" s="2338"/>
      <c r="CX374" s="2338"/>
      <c r="CY374" s="2338"/>
      <c r="CZ374" s="2338"/>
      <c r="DA374" s="2338"/>
      <c r="DB374" s="2338"/>
      <c r="DC374" s="2338"/>
      <c r="DD374" s="2338"/>
      <c r="DE374" s="2338"/>
      <c r="DF374" s="2338"/>
      <c r="DG374" s="2338"/>
    </row>
    <row r="375" spans="1:111" s="1118" customFormat="1" ht="15" hidden="1" customHeight="1" outlineLevel="1">
      <c r="A375" s="2339"/>
      <c r="B375" s="3052"/>
      <c r="C375" s="3048"/>
      <c r="D375" s="3048"/>
      <c r="E375" s="3047"/>
      <c r="F375" s="2340" t="s">
        <v>3862</v>
      </c>
      <c r="G375" s="2337"/>
      <c r="H375" s="2641"/>
      <c r="I375" s="2641"/>
      <c r="J375" s="2641"/>
      <c r="K375" s="2641"/>
      <c r="L375" s="2641"/>
      <c r="M375" s="2641"/>
      <c r="N375" s="2641"/>
      <c r="O375" s="2641"/>
      <c r="P375" s="2641"/>
      <c r="Q375" s="2649"/>
      <c r="R375" s="2641"/>
      <c r="S375" s="2641"/>
      <c r="T375" s="2650"/>
      <c r="U375" s="2649"/>
      <c r="V375" s="2566"/>
      <c r="W375" s="2566"/>
      <c r="X375" s="2566"/>
      <c r="Y375" s="2566"/>
      <c r="Z375" s="2642"/>
      <c r="AA375" s="2642"/>
      <c r="AB375" s="2642"/>
      <c r="AC375" s="2642"/>
      <c r="AD375" s="2642"/>
      <c r="AE375" s="2642"/>
      <c r="AF375" s="2642"/>
      <c r="AG375" s="2642"/>
      <c r="AH375" s="2642"/>
      <c r="AI375" s="2642"/>
      <c r="AJ375" s="2566"/>
      <c r="AK375" s="2338"/>
      <c r="AL375" s="2338"/>
      <c r="AM375" s="2338"/>
      <c r="AN375" s="2338"/>
      <c r="AO375" s="2338"/>
      <c r="AP375" s="2338"/>
      <c r="AQ375" s="2338"/>
      <c r="AR375" s="2338"/>
      <c r="AS375" s="2338"/>
      <c r="AT375" s="2338"/>
      <c r="AU375" s="2338"/>
      <c r="AV375" s="2338"/>
      <c r="AW375" s="2338"/>
      <c r="AX375" s="2338"/>
      <c r="AY375" s="2338"/>
      <c r="AZ375" s="2338"/>
      <c r="BA375" s="2338"/>
      <c r="BB375" s="2338"/>
      <c r="BC375" s="2338"/>
      <c r="BD375" s="2338"/>
      <c r="BE375" s="2338"/>
      <c r="BF375" s="2338"/>
      <c r="BG375" s="2338"/>
      <c r="BH375" s="2338"/>
      <c r="BI375" s="2338"/>
      <c r="BJ375" s="2338"/>
      <c r="BK375" s="2338"/>
      <c r="BL375" s="2338"/>
      <c r="BM375" s="2338"/>
      <c r="BN375" s="2338"/>
      <c r="BO375" s="2338"/>
      <c r="BP375" s="2338"/>
      <c r="BQ375" s="2338"/>
      <c r="BR375" s="2338"/>
      <c r="BS375" s="2338"/>
      <c r="BT375" s="2338"/>
      <c r="BU375" s="2338"/>
      <c r="BV375" s="2338"/>
      <c r="BW375" s="2338"/>
      <c r="BX375" s="2338"/>
      <c r="BY375" s="2338"/>
      <c r="BZ375" s="2338"/>
      <c r="CA375" s="2338"/>
      <c r="CB375" s="2338"/>
      <c r="CC375" s="2338"/>
      <c r="CD375" s="2338"/>
      <c r="CE375" s="2338"/>
      <c r="CF375" s="2338"/>
      <c r="CG375" s="2338"/>
      <c r="CH375" s="2338"/>
      <c r="CI375" s="2338"/>
      <c r="CJ375" s="2338"/>
      <c r="CK375" s="2338"/>
      <c r="CL375" s="2338"/>
      <c r="CM375" s="2338"/>
      <c r="CN375" s="2338"/>
      <c r="CO375" s="2338"/>
      <c r="CP375" s="2338"/>
      <c r="CQ375" s="2338"/>
      <c r="CR375" s="2338"/>
      <c r="CS375" s="2338"/>
      <c r="CT375" s="2338"/>
      <c r="CU375" s="2338"/>
      <c r="CV375" s="2338"/>
      <c r="CW375" s="2338"/>
      <c r="CX375" s="2338"/>
      <c r="CY375" s="2338"/>
      <c r="CZ375" s="2338"/>
      <c r="DA375" s="2338"/>
      <c r="DB375" s="2338"/>
      <c r="DC375" s="2338"/>
      <c r="DD375" s="2338"/>
      <c r="DE375" s="2338"/>
      <c r="DF375" s="2338"/>
      <c r="DG375" s="2338"/>
    </row>
    <row r="376" spans="1:111" s="1118" customFormat="1" ht="15" hidden="1" customHeight="1" outlineLevel="1">
      <c r="A376" s="2339"/>
      <c r="B376" s="3052"/>
      <c r="C376" s="3048"/>
      <c r="D376" s="3048"/>
      <c r="E376" s="3047"/>
      <c r="F376" s="2340" t="s">
        <v>3863</v>
      </c>
      <c r="G376" s="2337"/>
      <c r="H376" s="2641"/>
      <c r="I376" s="2641"/>
      <c r="J376" s="2641"/>
      <c r="K376" s="2641"/>
      <c r="L376" s="2641"/>
      <c r="M376" s="2641"/>
      <c r="N376" s="2641"/>
      <c r="O376" s="2641"/>
      <c r="P376" s="2641"/>
      <c r="Q376" s="2649"/>
      <c r="R376" s="2641"/>
      <c r="S376" s="2641"/>
      <c r="T376" s="2650"/>
      <c r="U376" s="2649"/>
      <c r="V376" s="2566"/>
      <c r="W376" s="2566"/>
      <c r="X376" s="2566"/>
      <c r="Y376" s="2566"/>
      <c r="Z376" s="2642"/>
      <c r="AA376" s="2642"/>
      <c r="AB376" s="2642"/>
      <c r="AC376" s="2642"/>
      <c r="AD376" s="2642"/>
      <c r="AE376" s="2642"/>
      <c r="AF376" s="2642"/>
      <c r="AG376" s="2642"/>
      <c r="AH376" s="2642"/>
      <c r="AI376" s="2642"/>
      <c r="AJ376" s="2566"/>
      <c r="AK376" s="2338"/>
      <c r="AL376" s="2338"/>
      <c r="AM376" s="2338"/>
      <c r="AN376" s="2338"/>
      <c r="AO376" s="2338"/>
      <c r="AP376" s="2338"/>
      <c r="AQ376" s="2338"/>
      <c r="AR376" s="2338"/>
      <c r="AS376" s="2338"/>
      <c r="AT376" s="2338"/>
      <c r="AU376" s="2338"/>
      <c r="AV376" s="2338"/>
      <c r="AW376" s="2338"/>
      <c r="AX376" s="2338"/>
      <c r="AY376" s="2338"/>
      <c r="AZ376" s="2338"/>
      <c r="BA376" s="2338"/>
      <c r="BB376" s="2338"/>
      <c r="BC376" s="2338"/>
      <c r="BD376" s="2338"/>
      <c r="BE376" s="2338"/>
      <c r="BF376" s="2338"/>
      <c r="BG376" s="2338"/>
      <c r="BH376" s="2338"/>
      <c r="BI376" s="2338"/>
      <c r="BJ376" s="2338"/>
      <c r="BK376" s="2338"/>
      <c r="BL376" s="2338"/>
      <c r="BM376" s="2338"/>
      <c r="BN376" s="2338"/>
      <c r="BO376" s="2338"/>
      <c r="BP376" s="2338"/>
      <c r="BQ376" s="2338"/>
      <c r="BR376" s="2338"/>
      <c r="BS376" s="2338"/>
      <c r="BT376" s="2338"/>
      <c r="BU376" s="2338"/>
      <c r="BV376" s="2338"/>
      <c r="BW376" s="2338"/>
      <c r="BX376" s="2338"/>
      <c r="BY376" s="2338"/>
      <c r="BZ376" s="2338"/>
      <c r="CA376" s="2338"/>
      <c r="CB376" s="2338"/>
      <c r="CC376" s="2338"/>
      <c r="CD376" s="2338"/>
      <c r="CE376" s="2338"/>
      <c r="CF376" s="2338"/>
      <c r="CG376" s="2338"/>
      <c r="CH376" s="2338"/>
      <c r="CI376" s="2338"/>
      <c r="CJ376" s="2338"/>
      <c r="CK376" s="2338"/>
      <c r="CL376" s="2338"/>
      <c r="CM376" s="2338"/>
      <c r="CN376" s="2338"/>
      <c r="CO376" s="2338"/>
      <c r="CP376" s="2338"/>
      <c r="CQ376" s="2338"/>
      <c r="CR376" s="2338"/>
      <c r="CS376" s="2338"/>
      <c r="CT376" s="2338"/>
      <c r="CU376" s="2338"/>
      <c r="CV376" s="2338"/>
      <c r="CW376" s="2338"/>
      <c r="CX376" s="2338"/>
      <c r="CY376" s="2338"/>
      <c r="CZ376" s="2338"/>
      <c r="DA376" s="2338"/>
      <c r="DB376" s="2338"/>
      <c r="DC376" s="2338"/>
      <c r="DD376" s="2338"/>
      <c r="DE376" s="2338"/>
      <c r="DF376" s="2338"/>
      <c r="DG376" s="2338"/>
    </row>
    <row r="377" spans="1:111" s="1118" customFormat="1" ht="15" hidden="1" customHeight="1" outlineLevel="1">
      <c r="A377" s="2339"/>
      <c r="B377" s="3052"/>
      <c r="C377" s="3048"/>
      <c r="D377" s="3048"/>
      <c r="E377" s="3047"/>
      <c r="F377" s="2340" t="s">
        <v>3864</v>
      </c>
      <c r="G377" s="2337"/>
      <c r="H377" s="2641"/>
      <c r="I377" s="2641"/>
      <c r="J377" s="2641"/>
      <c r="K377" s="2641"/>
      <c r="L377" s="2641"/>
      <c r="M377" s="2641"/>
      <c r="N377" s="2641"/>
      <c r="O377" s="2641"/>
      <c r="P377" s="2641"/>
      <c r="Q377" s="2649"/>
      <c r="R377" s="2641"/>
      <c r="S377" s="2641"/>
      <c r="T377" s="2650"/>
      <c r="U377" s="2649"/>
      <c r="V377" s="2566"/>
      <c r="W377" s="2566"/>
      <c r="X377" s="2566"/>
      <c r="Y377" s="2566"/>
      <c r="Z377" s="2642"/>
      <c r="AA377" s="2642"/>
      <c r="AB377" s="2642"/>
      <c r="AC377" s="2642"/>
      <c r="AD377" s="2642"/>
      <c r="AE377" s="2642"/>
      <c r="AF377" s="2642"/>
      <c r="AG377" s="2642"/>
      <c r="AH377" s="2642"/>
      <c r="AI377" s="2642"/>
      <c r="AJ377" s="2566"/>
      <c r="AK377" s="2338"/>
      <c r="AL377" s="2338"/>
      <c r="AM377" s="2338"/>
      <c r="AN377" s="2338"/>
      <c r="AO377" s="2338"/>
      <c r="AP377" s="2338"/>
      <c r="AQ377" s="2338"/>
      <c r="AR377" s="2338"/>
      <c r="AS377" s="2338"/>
      <c r="AT377" s="2338"/>
      <c r="AU377" s="2338"/>
      <c r="AV377" s="2338"/>
      <c r="AW377" s="2338"/>
      <c r="AX377" s="2338"/>
      <c r="AY377" s="2338"/>
      <c r="AZ377" s="2338"/>
      <c r="BA377" s="2338"/>
      <c r="BB377" s="2338"/>
      <c r="BC377" s="2338"/>
      <c r="BD377" s="2338"/>
      <c r="BE377" s="2338"/>
      <c r="BF377" s="2338"/>
      <c r="BG377" s="2338"/>
      <c r="BH377" s="2338"/>
      <c r="BI377" s="2338"/>
      <c r="BJ377" s="2338"/>
      <c r="BK377" s="2338"/>
      <c r="BL377" s="2338"/>
      <c r="BM377" s="2338"/>
      <c r="BN377" s="2338"/>
      <c r="BO377" s="2338"/>
      <c r="BP377" s="2338"/>
      <c r="BQ377" s="2338"/>
      <c r="BR377" s="2338"/>
      <c r="BS377" s="2338"/>
      <c r="BT377" s="2338"/>
      <c r="BU377" s="2338"/>
      <c r="BV377" s="2338"/>
      <c r="BW377" s="2338"/>
      <c r="BX377" s="2338"/>
      <c r="BY377" s="2338"/>
      <c r="BZ377" s="2338"/>
      <c r="CA377" s="2338"/>
      <c r="CB377" s="2338"/>
      <c r="CC377" s="2338"/>
      <c r="CD377" s="2338"/>
      <c r="CE377" s="2338"/>
      <c r="CF377" s="2338"/>
      <c r="CG377" s="2338"/>
      <c r="CH377" s="2338"/>
      <c r="CI377" s="2338"/>
      <c r="CJ377" s="2338"/>
      <c r="CK377" s="2338"/>
      <c r="CL377" s="2338"/>
      <c r="CM377" s="2338"/>
      <c r="CN377" s="2338"/>
      <c r="CO377" s="2338"/>
      <c r="CP377" s="2338"/>
      <c r="CQ377" s="2338"/>
      <c r="CR377" s="2338"/>
      <c r="CS377" s="2338"/>
      <c r="CT377" s="2338"/>
      <c r="CU377" s="2338"/>
      <c r="CV377" s="2338"/>
      <c r="CW377" s="2338"/>
      <c r="CX377" s="2338"/>
      <c r="CY377" s="2338"/>
      <c r="CZ377" s="2338"/>
      <c r="DA377" s="2338"/>
      <c r="DB377" s="2338"/>
      <c r="DC377" s="2338"/>
      <c r="DD377" s="2338"/>
      <c r="DE377" s="2338"/>
      <c r="DF377" s="2338"/>
      <c r="DG377" s="2338"/>
    </row>
    <row r="378" spans="1:111" s="1118" customFormat="1" ht="15" hidden="1" customHeight="1" outlineLevel="1">
      <c r="A378" s="2339"/>
      <c r="B378" s="3052"/>
      <c r="C378" s="3048"/>
      <c r="D378" s="3048"/>
      <c r="E378" s="3047"/>
      <c r="F378" s="2340" t="s">
        <v>3865</v>
      </c>
      <c r="G378" s="2337"/>
      <c r="H378" s="2641"/>
      <c r="I378" s="2641"/>
      <c r="J378" s="2641"/>
      <c r="K378" s="2641"/>
      <c r="L378" s="2641"/>
      <c r="M378" s="2641"/>
      <c r="N378" s="2641"/>
      <c r="O378" s="2641"/>
      <c r="P378" s="2641"/>
      <c r="Q378" s="2649"/>
      <c r="R378" s="2641"/>
      <c r="S378" s="2641"/>
      <c r="T378" s="2650"/>
      <c r="U378" s="2649"/>
      <c r="V378" s="2566"/>
      <c r="W378" s="2566"/>
      <c r="X378" s="2566"/>
      <c r="Y378" s="2566"/>
      <c r="Z378" s="2642"/>
      <c r="AA378" s="2642"/>
      <c r="AB378" s="2642"/>
      <c r="AC378" s="2642"/>
      <c r="AD378" s="2642"/>
      <c r="AE378" s="2642"/>
      <c r="AF378" s="2642"/>
      <c r="AG378" s="2642"/>
      <c r="AH378" s="2642"/>
      <c r="AI378" s="2642"/>
      <c r="AJ378" s="2566"/>
      <c r="AK378" s="2338"/>
      <c r="AL378" s="2338"/>
      <c r="AM378" s="2338"/>
      <c r="AN378" s="2338"/>
      <c r="AO378" s="2338"/>
      <c r="AP378" s="2338"/>
      <c r="AQ378" s="2338"/>
      <c r="AR378" s="2338"/>
      <c r="AS378" s="2338"/>
      <c r="AT378" s="2338"/>
      <c r="AU378" s="2338"/>
      <c r="AV378" s="2338"/>
      <c r="AW378" s="2338"/>
      <c r="AX378" s="2338"/>
      <c r="AY378" s="2338"/>
      <c r="AZ378" s="2338"/>
      <c r="BA378" s="2338"/>
      <c r="BB378" s="2338"/>
      <c r="BC378" s="2338"/>
      <c r="BD378" s="2338"/>
      <c r="BE378" s="2338"/>
      <c r="BF378" s="2338"/>
      <c r="BG378" s="2338"/>
      <c r="BH378" s="2338"/>
      <c r="BI378" s="2338"/>
      <c r="BJ378" s="2338"/>
      <c r="BK378" s="2338"/>
      <c r="BL378" s="2338"/>
      <c r="BM378" s="2338"/>
      <c r="BN378" s="2338"/>
      <c r="BO378" s="2338"/>
      <c r="BP378" s="2338"/>
      <c r="BQ378" s="2338"/>
      <c r="BR378" s="2338"/>
      <c r="BS378" s="2338"/>
      <c r="BT378" s="2338"/>
      <c r="BU378" s="2338"/>
      <c r="BV378" s="2338"/>
      <c r="BW378" s="2338"/>
      <c r="BX378" s="2338"/>
      <c r="BY378" s="2338"/>
      <c r="BZ378" s="2338"/>
      <c r="CA378" s="2338"/>
      <c r="CB378" s="2338"/>
      <c r="CC378" s="2338"/>
      <c r="CD378" s="2338"/>
      <c r="CE378" s="2338"/>
      <c r="CF378" s="2338"/>
      <c r="CG378" s="2338"/>
      <c r="CH378" s="2338"/>
      <c r="CI378" s="2338"/>
      <c r="CJ378" s="2338"/>
      <c r="CK378" s="2338"/>
      <c r="CL378" s="2338"/>
      <c r="CM378" s="2338"/>
      <c r="CN378" s="2338"/>
      <c r="CO378" s="2338"/>
      <c r="CP378" s="2338"/>
      <c r="CQ378" s="2338"/>
      <c r="CR378" s="2338"/>
      <c r="CS378" s="2338"/>
      <c r="CT378" s="2338"/>
      <c r="CU378" s="2338"/>
      <c r="CV378" s="2338"/>
      <c r="CW378" s="2338"/>
      <c r="CX378" s="2338"/>
      <c r="CY378" s="2338"/>
      <c r="CZ378" s="2338"/>
      <c r="DA378" s="2338"/>
      <c r="DB378" s="2338"/>
      <c r="DC378" s="2338"/>
      <c r="DD378" s="2338"/>
      <c r="DE378" s="2338"/>
      <c r="DF378" s="2338"/>
      <c r="DG378" s="2338"/>
    </row>
    <row r="379" spans="1:111" s="2344" customFormat="1" ht="15.75" hidden="1" customHeight="1" outlineLevel="1">
      <c r="A379" s="2339"/>
      <c r="B379" s="3052"/>
      <c r="C379" s="3048"/>
      <c r="D379" s="3048" t="s">
        <v>3911</v>
      </c>
      <c r="E379" s="3049" t="s">
        <v>3909</v>
      </c>
      <c r="F379" s="2341" t="s">
        <v>3860</v>
      </c>
      <c r="G379" s="2342"/>
      <c r="H379" s="2641"/>
      <c r="I379" s="2641"/>
      <c r="J379" s="2641"/>
      <c r="K379" s="2641"/>
      <c r="L379" s="2641"/>
      <c r="M379" s="2641"/>
      <c r="N379" s="2641"/>
      <c r="O379" s="2641"/>
      <c r="P379" s="2641"/>
      <c r="Q379" s="2649"/>
      <c r="R379" s="2641"/>
      <c r="S379" s="2641"/>
      <c r="T379" s="2650"/>
      <c r="U379" s="2649"/>
      <c r="V379" s="2566"/>
      <c r="W379" s="2566"/>
      <c r="X379" s="2566"/>
      <c r="Y379" s="2566"/>
      <c r="Z379" s="2642"/>
      <c r="AA379" s="2642"/>
      <c r="AB379" s="2642"/>
      <c r="AC379" s="2642"/>
      <c r="AD379" s="2642"/>
      <c r="AE379" s="2642"/>
      <c r="AF379" s="2642"/>
      <c r="AG379" s="2642"/>
      <c r="AH379" s="2642"/>
      <c r="AI379" s="2642"/>
      <c r="AJ379" s="2566"/>
      <c r="AK379" s="2338"/>
      <c r="AL379" s="2338"/>
      <c r="AM379" s="2338"/>
      <c r="AN379" s="2338"/>
      <c r="AO379" s="2338"/>
      <c r="AP379" s="2338"/>
      <c r="AQ379" s="2338"/>
      <c r="AR379" s="2338"/>
      <c r="AS379" s="2338"/>
      <c r="AT379" s="2338"/>
      <c r="AU379" s="2338"/>
      <c r="AV379" s="2338"/>
      <c r="AW379" s="2338"/>
      <c r="AX379" s="2338"/>
      <c r="AY379" s="2338"/>
      <c r="AZ379" s="2338"/>
      <c r="BA379" s="2338"/>
      <c r="BB379" s="2338"/>
      <c r="BC379" s="2338"/>
      <c r="BD379" s="2338"/>
      <c r="BE379" s="2338"/>
      <c r="BF379" s="2338"/>
      <c r="BG379" s="2338"/>
      <c r="BH379" s="2338"/>
      <c r="BI379" s="2338"/>
      <c r="BJ379" s="2338"/>
      <c r="BK379" s="2338"/>
      <c r="BL379" s="2338"/>
      <c r="BM379" s="2338"/>
      <c r="BN379" s="2338"/>
      <c r="BO379" s="2338"/>
      <c r="BP379" s="2338"/>
      <c r="BQ379" s="2338"/>
      <c r="BR379" s="2338"/>
      <c r="BS379" s="2338"/>
      <c r="BT379" s="2338"/>
      <c r="BU379" s="2338"/>
      <c r="BV379" s="2338"/>
      <c r="BW379" s="2338"/>
      <c r="BX379" s="2338"/>
      <c r="BY379" s="2338"/>
      <c r="BZ379" s="2338"/>
      <c r="CA379" s="2338"/>
      <c r="CB379" s="2338"/>
      <c r="CC379" s="2338"/>
      <c r="CD379" s="2338"/>
      <c r="CE379" s="2338"/>
      <c r="CF379" s="2338"/>
      <c r="CG379" s="2338"/>
      <c r="CH379" s="2338"/>
      <c r="CI379" s="2338"/>
      <c r="CJ379" s="2338"/>
      <c r="CK379" s="2338"/>
      <c r="CL379" s="2338"/>
      <c r="CM379" s="2338"/>
      <c r="CN379" s="2338"/>
      <c r="CO379" s="2338"/>
      <c r="CP379" s="2338"/>
      <c r="CQ379" s="2338"/>
      <c r="CR379" s="2338"/>
      <c r="CS379" s="2338"/>
      <c r="CT379" s="2338"/>
      <c r="CU379" s="2338"/>
      <c r="CV379" s="2338"/>
      <c r="CW379" s="2338"/>
      <c r="CX379" s="2338"/>
      <c r="CY379" s="2338"/>
      <c r="CZ379" s="2338"/>
      <c r="DA379" s="2338"/>
      <c r="DB379" s="2338"/>
      <c r="DC379" s="2338"/>
      <c r="DD379" s="2338"/>
      <c r="DE379" s="2338"/>
      <c r="DF379" s="2338"/>
      <c r="DG379" s="2338"/>
    </row>
    <row r="380" spans="1:111" s="2344" customFormat="1" ht="15" hidden="1" customHeight="1" outlineLevel="1">
      <c r="A380" s="2339"/>
      <c r="B380" s="3052"/>
      <c r="C380" s="3048"/>
      <c r="D380" s="3048"/>
      <c r="E380" s="3049"/>
      <c r="F380" s="2341" t="s">
        <v>3861</v>
      </c>
      <c r="G380" s="2342"/>
      <c r="H380" s="2641"/>
      <c r="I380" s="2641"/>
      <c r="J380" s="2641"/>
      <c r="K380" s="2641"/>
      <c r="L380" s="2641"/>
      <c r="M380" s="2641"/>
      <c r="N380" s="2641"/>
      <c r="O380" s="2641"/>
      <c r="P380" s="2641"/>
      <c r="Q380" s="2649"/>
      <c r="R380" s="2641"/>
      <c r="S380" s="2641"/>
      <c r="T380" s="2650"/>
      <c r="U380" s="2649"/>
      <c r="V380" s="2566"/>
      <c r="W380" s="2566"/>
      <c r="X380" s="2566"/>
      <c r="Y380" s="2566"/>
      <c r="Z380" s="2642"/>
      <c r="AA380" s="2642"/>
      <c r="AB380" s="2642"/>
      <c r="AC380" s="2642"/>
      <c r="AD380" s="2642"/>
      <c r="AE380" s="2642"/>
      <c r="AF380" s="2642"/>
      <c r="AG380" s="2642"/>
      <c r="AH380" s="2642"/>
      <c r="AI380" s="2642"/>
      <c r="AJ380" s="2566"/>
      <c r="AK380" s="2338"/>
      <c r="AL380" s="2338"/>
      <c r="AM380" s="2338"/>
      <c r="AN380" s="2338"/>
      <c r="AO380" s="2338"/>
      <c r="AP380" s="2338"/>
      <c r="AQ380" s="2338"/>
      <c r="AR380" s="2338"/>
      <c r="AS380" s="2338"/>
      <c r="AT380" s="2338"/>
      <c r="AU380" s="2338"/>
      <c r="AV380" s="2338"/>
      <c r="AW380" s="2338"/>
      <c r="AX380" s="2338"/>
      <c r="AY380" s="2338"/>
      <c r="AZ380" s="2338"/>
      <c r="BA380" s="2338"/>
      <c r="BB380" s="2338"/>
      <c r="BC380" s="2338"/>
      <c r="BD380" s="2338"/>
      <c r="BE380" s="2338"/>
      <c r="BF380" s="2338"/>
      <c r="BG380" s="2338"/>
      <c r="BH380" s="2338"/>
      <c r="BI380" s="2338"/>
      <c r="BJ380" s="2338"/>
      <c r="BK380" s="2338"/>
      <c r="BL380" s="2338"/>
      <c r="BM380" s="2338"/>
      <c r="BN380" s="2338"/>
      <c r="BO380" s="2338"/>
      <c r="BP380" s="2338"/>
      <c r="BQ380" s="2338"/>
      <c r="BR380" s="2338"/>
      <c r="BS380" s="2338"/>
      <c r="BT380" s="2338"/>
      <c r="BU380" s="2338"/>
      <c r="BV380" s="2338"/>
      <c r="BW380" s="2338"/>
      <c r="BX380" s="2338"/>
      <c r="BY380" s="2338"/>
      <c r="BZ380" s="2338"/>
      <c r="CA380" s="2338"/>
      <c r="CB380" s="2338"/>
      <c r="CC380" s="2338"/>
      <c r="CD380" s="2338"/>
      <c r="CE380" s="2338"/>
      <c r="CF380" s="2338"/>
      <c r="CG380" s="2338"/>
      <c r="CH380" s="2338"/>
      <c r="CI380" s="2338"/>
      <c r="CJ380" s="2338"/>
      <c r="CK380" s="2338"/>
      <c r="CL380" s="2338"/>
      <c r="CM380" s="2338"/>
      <c r="CN380" s="2338"/>
      <c r="CO380" s="2338"/>
      <c r="CP380" s="2338"/>
      <c r="CQ380" s="2338"/>
      <c r="CR380" s="2338"/>
      <c r="CS380" s="2338"/>
      <c r="CT380" s="2338"/>
      <c r="CU380" s="2338"/>
      <c r="CV380" s="2338"/>
      <c r="CW380" s="2338"/>
      <c r="CX380" s="2338"/>
      <c r="CY380" s="2338"/>
      <c r="CZ380" s="2338"/>
      <c r="DA380" s="2338"/>
      <c r="DB380" s="2338"/>
      <c r="DC380" s="2338"/>
      <c r="DD380" s="2338"/>
      <c r="DE380" s="2338"/>
      <c r="DF380" s="2338"/>
      <c r="DG380" s="2338"/>
    </row>
    <row r="381" spans="1:111" s="2344" customFormat="1" ht="15" hidden="1" customHeight="1" outlineLevel="1">
      <c r="A381" s="2339"/>
      <c r="B381" s="3052"/>
      <c r="C381" s="3048"/>
      <c r="D381" s="3048"/>
      <c r="E381" s="3049"/>
      <c r="F381" s="2341" t="s">
        <v>3862</v>
      </c>
      <c r="G381" s="2342"/>
      <c r="H381" s="2641"/>
      <c r="I381" s="2641"/>
      <c r="J381" s="2641"/>
      <c r="K381" s="2641"/>
      <c r="L381" s="2641"/>
      <c r="M381" s="2641"/>
      <c r="N381" s="2641"/>
      <c r="O381" s="2641"/>
      <c r="P381" s="2641"/>
      <c r="Q381" s="2649"/>
      <c r="R381" s="2641"/>
      <c r="S381" s="2641"/>
      <c r="T381" s="2650"/>
      <c r="U381" s="2649"/>
      <c r="V381" s="2566"/>
      <c r="W381" s="2566"/>
      <c r="X381" s="2566"/>
      <c r="Y381" s="2566"/>
      <c r="Z381" s="2642"/>
      <c r="AA381" s="2642"/>
      <c r="AB381" s="2642"/>
      <c r="AC381" s="2642"/>
      <c r="AD381" s="2642"/>
      <c r="AE381" s="2642"/>
      <c r="AF381" s="2642"/>
      <c r="AG381" s="2642"/>
      <c r="AH381" s="2642"/>
      <c r="AI381" s="2642"/>
      <c r="AJ381" s="2566"/>
      <c r="AK381" s="2338"/>
      <c r="AL381" s="2338"/>
      <c r="AM381" s="2338"/>
      <c r="AN381" s="2338"/>
      <c r="AO381" s="2338"/>
      <c r="AP381" s="2338"/>
      <c r="AQ381" s="2338"/>
      <c r="AR381" s="2338"/>
      <c r="AS381" s="2338"/>
      <c r="AT381" s="2338"/>
      <c r="AU381" s="2338"/>
      <c r="AV381" s="2338"/>
      <c r="AW381" s="2338"/>
      <c r="AX381" s="2338"/>
      <c r="AY381" s="2338"/>
      <c r="AZ381" s="2338"/>
      <c r="BA381" s="2338"/>
      <c r="BB381" s="2338"/>
      <c r="BC381" s="2338"/>
      <c r="BD381" s="2338"/>
      <c r="BE381" s="2338"/>
      <c r="BF381" s="2338"/>
      <c r="BG381" s="2338"/>
      <c r="BH381" s="2338"/>
      <c r="BI381" s="2338"/>
      <c r="BJ381" s="2338"/>
      <c r="BK381" s="2338"/>
      <c r="BL381" s="2338"/>
      <c r="BM381" s="2338"/>
      <c r="BN381" s="2338"/>
      <c r="BO381" s="2338"/>
      <c r="BP381" s="2338"/>
      <c r="BQ381" s="2338"/>
      <c r="BR381" s="2338"/>
      <c r="BS381" s="2338"/>
      <c r="BT381" s="2338"/>
      <c r="BU381" s="2338"/>
      <c r="BV381" s="2338"/>
      <c r="BW381" s="2338"/>
      <c r="BX381" s="2338"/>
      <c r="BY381" s="2338"/>
      <c r="BZ381" s="2338"/>
      <c r="CA381" s="2338"/>
      <c r="CB381" s="2338"/>
      <c r="CC381" s="2338"/>
      <c r="CD381" s="2338"/>
      <c r="CE381" s="2338"/>
      <c r="CF381" s="2338"/>
      <c r="CG381" s="2338"/>
      <c r="CH381" s="2338"/>
      <c r="CI381" s="2338"/>
      <c r="CJ381" s="2338"/>
      <c r="CK381" s="2338"/>
      <c r="CL381" s="2338"/>
      <c r="CM381" s="2338"/>
      <c r="CN381" s="2338"/>
      <c r="CO381" s="2338"/>
      <c r="CP381" s="2338"/>
      <c r="CQ381" s="2338"/>
      <c r="CR381" s="2338"/>
      <c r="CS381" s="2338"/>
      <c r="CT381" s="2338"/>
      <c r="CU381" s="2338"/>
      <c r="CV381" s="2338"/>
      <c r="CW381" s="2338"/>
      <c r="CX381" s="2338"/>
      <c r="CY381" s="2338"/>
      <c r="CZ381" s="2338"/>
      <c r="DA381" s="2338"/>
      <c r="DB381" s="2338"/>
      <c r="DC381" s="2338"/>
      <c r="DD381" s="2338"/>
      <c r="DE381" s="2338"/>
      <c r="DF381" s="2338"/>
      <c r="DG381" s="2338"/>
    </row>
    <row r="382" spans="1:111" s="2344" customFormat="1" ht="15" hidden="1" customHeight="1" outlineLevel="1">
      <c r="A382" s="2339"/>
      <c r="B382" s="3052"/>
      <c r="C382" s="3048"/>
      <c r="D382" s="3048"/>
      <c r="E382" s="3049"/>
      <c r="F382" s="2341" t="s">
        <v>3863</v>
      </c>
      <c r="G382" s="2342"/>
      <c r="H382" s="2641"/>
      <c r="I382" s="2641"/>
      <c r="J382" s="2641"/>
      <c r="K382" s="2641"/>
      <c r="L382" s="2641"/>
      <c r="M382" s="2641"/>
      <c r="N382" s="2641"/>
      <c r="O382" s="2641"/>
      <c r="P382" s="2641"/>
      <c r="Q382" s="2649"/>
      <c r="R382" s="2641"/>
      <c r="S382" s="2641"/>
      <c r="T382" s="2650"/>
      <c r="U382" s="2649"/>
      <c r="V382" s="2566"/>
      <c r="W382" s="2566"/>
      <c r="X382" s="2566"/>
      <c r="Y382" s="2566"/>
      <c r="Z382" s="2642"/>
      <c r="AA382" s="2642"/>
      <c r="AB382" s="2642"/>
      <c r="AC382" s="2642"/>
      <c r="AD382" s="2642"/>
      <c r="AE382" s="2642"/>
      <c r="AF382" s="2642"/>
      <c r="AG382" s="2642"/>
      <c r="AH382" s="2642"/>
      <c r="AI382" s="2642"/>
      <c r="AJ382" s="2566"/>
      <c r="AK382" s="2338"/>
      <c r="AL382" s="2338"/>
      <c r="AM382" s="2338"/>
      <c r="AN382" s="2338"/>
      <c r="AO382" s="2338"/>
      <c r="AP382" s="2338"/>
      <c r="AQ382" s="2338"/>
      <c r="AR382" s="2338"/>
      <c r="AS382" s="2338"/>
      <c r="AT382" s="2338"/>
      <c r="AU382" s="2338"/>
      <c r="AV382" s="2338"/>
      <c r="AW382" s="2338"/>
      <c r="AX382" s="2338"/>
      <c r="AY382" s="2338"/>
      <c r="AZ382" s="2338"/>
      <c r="BA382" s="2338"/>
      <c r="BB382" s="2338"/>
      <c r="BC382" s="2338"/>
      <c r="BD382" s="2338"/>
      <c r="BE382" s="2338"/>
      <c r="BF382" s="2338"/>
      <c r="BG382" s="2338"/>
      <c r="BH382" s="2338"/>
      <c r="BI382" s="2338"/>
      <c r="BJ382" s="2338"/>
      <c r="BK382" s="2338"/>
      <c r="BL382" s="2338"/>
      <c r="BM382" s="2338"/>
      <c r="BN382" s="2338"/>
      <c r="BO382" s="2338"/>
      <c r="BP382" s="2338"/>
      <c r="BQ382" s="2338"/>
      <c r="BR382" s="2338"/>
      <c r="BS382" s="2338"/>
      <c r="BT382" s="2338"/>
      <c r="BU382" s="2338"/>
      <c r="BV382" s="2338"/>
      <c r="BW382" s="2338"/>
      <c r="BX382" s="2338"/>
      <c r="BY382" s="2338"/>
      <c r="BZ382" s="2338"/>
      <c r="CA382" s="2338"/>
      <c r="CB382" s="2338"/>
      <c r="CC382" s="2338"/>
      <c r="CD382" s="2338"/>
      <c r="CE382" s="2338"/>
      <c r="CF382" s="2338"/>
      <c r="CG382" s="2338"/>
      <c r="CH382" s="2338"/>
      <c r="CI382" s="2338"/>
      <c r="CJ382" s="2338"/>
      <c r="CK382" s="2338"/>
      <c r="CL382" s="2338"/>
      <c r="CM382" s="2338"/>
      <c r="CN382" s="2338"/>
      <c r="CO382" s="2338"/>
      <c r="CP382" s="2338"/>
      <c r="CQ382" s="2338"/>
      <c r="CR382" s="2338"/>
      <c r="CS382" s="2338"/>
      <c r="CT382" s="2338"/>
      <c r="CU382" s="2338"/>
      <c r="CV382" s="2338"/>
      <c r="CW382" s="2338"/>
      <c r="CX382" s="2338"/>
      <c r="CY382" s="2338"/>
      <c r="CZ382" s="2338"/>
      <c r="DA382" s="2338"/>
      <c r="DB382" s="2338"/>
      <c r="DC382" s="2338"/>
      <c r="DD382" s="2338"/>
      <c r="DE382" s="2338"/>
      <c r="DF382" s="2338"/>
      <c r="DG382" s="2338"/>
    </row>
    <row r="383" spans="1:111" s="1118" customFormat="1" ht="15" hidden="1" customHeight="1" outlineLevel="1">
      <c r="A383" s="2339"/>
      <c r="B383" s="3052"/>
      <c r="C383" s="3048"/>
      <c r="D383" s="3048"/>
      <c r="E383" s="3049"/>
      <c r="F383" s="2340" t="s">
        <v>3864</v>
      </c>
      <c r="G383" s="2337"/>
      <c r="H383" s="2641"/>
      <c r="I383" s="2641"/>
      <c r="J383" s="2641"/>
      <c r="K383" s="2641"/>
      <c r="L383" s="2641"/>
      <c r="M383" s="2641"/>
      <c r="N383" s="2641"/>
      <c r="O383" s="2641"/>
      <c r="P383" s="2641"/>
      <c r="Q383" s="2649"/>
      <c r="R383" s="2641"/>
      <c r="S383" s="2641"/>
      <c r="T383" s="2650"/>
      <c r="U383" s="2649"/>
      <c r="V383" s="2566"/>
      <c r="W383" s="2566"/>
      <c r="X383" s="2566"/>
      <c r="Y383" s="2566"/>
      <c r="Z383" s="2642"/>
      <c r="AA383" s="2642"/>
      <c r="AB383" s="2642"/>
      <c r="AC383" s="2642"/>
      <c r="AD383" s="2642"/>
      <c r="AE383" s="2642"/>
      <c r="AF383" s="2642"/>
      <c r="AG383" s="2642"/>
      <c r="AH383" s="2642"/>
      <c r="AI383" s="2642"/>
      <c r="AJ383" s="2566"/>
      <c r="AK383" s="2338"/>
      <c r="AL383" s="2338"/>
      <c r="AM383" s="2338"/>
      <c r="AN383" s="2338"/>
      <c r="AO383" s="2338"/>
      <c r="AP383" s="2338"/>
      <c r="AQ383" s="2338"/>
      <c r="AR383" s="2338"/>
      <c r="AS383" s="2338"/>
      <c r="AT383" s="2338"/>
      <c r="AU383" s="2338"/>
      <c r="AV383" s="2338"/>
      <c r="AW383" s="2338"/>
      <c r="AX383" s="2338"/>
      <c r="AY383" s="2338"/>
      <c r="AZ383" s="2338"/>
      <c r="BA383" s="2338"/>
      <c r="BB383" s="2338"/>
      <c r="BC383" s="2338"/>
      <c r="BD383" s="2338"/>
      <c r="BE383" s="2338"/>
      <c r="BF383" s="2338"/>
      <c r="BG383" s="2338"/>
      <c r="BH383" s="2338"/>
      <c r="BI383" s="2338"/>
      <c r="BJ383" s="2338"/>
      <c r="BK383" s="2338"/>
      <c r="BL383" s="2338"/>
      <c r="BM383" s="2338"/>
      <c r="BN383" s="2338"/>
      <c r="BO383" s="2338"/>
      <c r="BP383" s="2338"/>
      <c r="BQ383" s="2338"/>
      <c r="BR383" s="2338"/>
      <c r="BS383" s="2338"/>
      <c r="BT383" s="2338"/>
      <c r="BU383" s="2338"/>
      <c r="BV383" s="2338"/>
      <c r="BW383" s="2338"/>
      <c r="BX383" s="2338"/>
      <c r="BY383" s="2338"/>
      <c r="BZ383" s="2338"/>
      <c r="CA383" s="2338"/>
      <c r="CB383" s="2338"/>
      <c r="CC383" s="2338"/>
      <c r="CD383" s="2338"/>
      <c r="CE383" s="2338"/>
      <c r="CF383" s="2338"/>
      <c r="CG383" s="2338"/>
      <c r="CH383" s="2338"/>
      <c r="CI383" s="2338"/>
      <c r="CJ383" s="2338"/>
      <c r="CK383" s="2338"/>
      <c r="CL383" s="2338"/>
      <c r="CM383" s="2338"/>
      <c r="CN383" s="2338"/>
      <c r="CO383" s="2338"/>
      <c r="CP383" s="2338"/>
      <c r="CQ383" s="2338"/>
      <c r="CR383" s="2338"/>
      <c r="CS383" s="2338"/>
      <c r="CT383" s="2338"/>
      <c r="CU383" s="2338"/>
      <c r="CV383" s="2338"/>
      <c r="CW383" s="2338"/>
      <c r="CX383" s="2338"/>
      <c r="CY383" s="2338"/>
      <c r="CZ383" s="2338"/>
      <c r="DA383" s="2338"/>
      <c r="DB383" s="2338"/>
      <c r="DC383" s="2338"/>
      <c r="DD383" s="2338"/>
      <c r="DE383" s="2338"/>
      <c r="DF383" s="2338"/>
      <c r="DG383" s="2338"/>
    </row>
    <row r="384" spans="1:111" s="1118" customFormat="1" ht="15" hidden="1" customHeight="1" outlineLevel="1">
      <c r="A384" s="2339"/>
      <c r="B384" s="3052"/>
      <c r="C384" s="3048"/>
      <c r="D384" s="3048"/>
      <c r="E384" s="3049"/>
      <c r="F384" s="2340" t="s">
        <v>3865</v>
      </c>
      <c r="G384" s="2337"/>
      <c r="H384" s="2641"/>
      <c r="I384" s="2641"/>
      <c r="J384" s="2641"/>
      <c r="K384" s="2641"/>
      <c r="L384" s="2641"/>
      <c r="M384" s="2641"/>
      <c r="N384" s="2641"/>
      <c r="O384" s="2641"/>
      <c r="P384" s="2641"/>
      <c r="Q384" s="2649"/>
      <c r="R384" s="2641"/>
      <c r="S384" s="2641"/>
      <c r="T384" s="2650"/>
      <c r="U384" s="2649"/>
      <c r="V384" s="2566"/>
      <c r="W384" s="2566"/>
      <c r="X384" s="2566"/>
      <c r="Y384" s="2566"/>
      <c r="Z384" s="2642"/>
      <c r="AA384" s="2642"/>
      <c r="AB384" s="2642"/>
      <c r="AC384" s="2642"/>
      <c r="AD384" s="2642"/>
      <c r="AE384" s="2642"/>
      <c r="AF384" s="2642"/>
      <c r="AG384" s="2642"/>
      <c r="AH384" s="2642"/>
      <c r="AI384" s="2642"/>
      <c r="AJ384" s="2566"/>
      <c r="AK384" s="2338"/>
      <c r="AL384" s="2338"/>
      <c r="AM384" s="2338"/>
      <c r="AN384" s="2338"/>
      <c r="AO384" s="2338"/>
      <c r="AP384" s="2338"/>
      <c r="AQ384" s="2338"/>
      <c r="AR384" s="2338"/>
      <c r="AS384" s="2338"/>
      <c r="AT384" s="2338"/>
      <c r="AU384" s="2338"/>
      <c r="AV384" s="2338"/>
      <c r="AW384" s="2338"/>
      <c r="AX384" s="2338"/>
      <c r="AY384" s="2338"/>
      <c r="AZ384" s="2338"/>
      <c r="BA384" s="2338"/>
      <c r="BB384" s="2338"/>
      <c r="BC384" s="2338"/>
      <c r="BD384" s="2338"/>
      <c r="BE384" s="2338"/>
      <c r="BF384" s="2338"/>
      <c r="BG384" s="2338"/>
      <c r="BH384" s="2338"/>
      <c r="BI384" s="2338"/>
      <c r="BJ384" s="2338"/>
      <c r="BK384" s="2338"/>
      <c r="BL384" s="2338"/>
      <c r="BM384" s="2338"/>
      <c r="BN384" s="2338"/>
      <c r="BO384" s="2338"/>
      <c r="BP384" s="2338"/>
      <c r="BQ384" s="2338"/>
      <c r="BR384" s="2338"/>
      <c r="BS384" s="2338"/>
      <c r="BT384" s="2338"/>
      <c r="BU384" s="2338"/>
      <c r="BV384" s="2338"/>
      <c r="BW384" s="2338"/>
      <c r="BX384" s="2338"/>
      <c r="BY384" s="2338"/>
      <c r="BZ384" s="2338"/>
      <c r="CA384" s="2338"/>
      <c r="CB384" s="2338"/>
      <c r="CC384" s="2338"/>
      <c r="CD384" s="2338"/>
      <c r="CE384" s="2338"/>
      <c r="CF384" s="2338"/>
      <c r="CG384" s="2338"/>
      <c r="CH384" s="2338"/>
      <c r="CI384" s="2338"/>
      <c r="CJ384" s="2338"/>
      <c r="CK384" s="2338"/>
      <c r="CL384" s="2338"/>
      <c r="CM384" s="2338"/>
      <c r="CN384" s="2338"/>
      <c r="CO384" s="2338"/>
      <c r="CP384" s="2338"/>
      <c r="CQ384" s="2338"/>
      <c r="CR384" s="2338"/>
      <c r="CS384" s="2338"/>
      <c r="CT384" s="2338"/>
      <c r="CU384" s="2338"/>
      <c r="CV384" s="2338"/>
      <c r="CW384" s="2338"/>
      <c r="CX384" s="2338"/>
      <c r="CY384" s="2338"/>
      <c r="CZ384" s="2338"/>
      <c r="DA384" s="2338"/>
      <c r="DB384" s="2338"/>
      <c r="DC384" s="2338"/>
      <c r="DD384" s="2338"/>
      <c r="DE384" s="2338"/>
      <c r="DF384" s="2338"/>
      <c r="DG384" s="2338"/>
    </row>
    <row r="385" spans="1:111" s="1118" customFormat="1" ht="15.75" hidden="1" customHeight="1" outlineLevel="1">
      <c r="A385" s="2339"/>
      <c r="B385" s="3052"/>
      <c r="C385" s="3048"/>
      <c r="D385" s="3048"/>
      <c r="E385" s="3047" t="s">
        <v>3910</v>
      </c>
      <c r="F385" s="2340" t="s">
        <v>3860</v>
      </c>
      <c r="G385" s="2337"/>
      <c r="H385" s="2641"/>
      <c r="I385" s="2641"/>
      <c r="J385" s="2641"/>
      <c r="K385" s="2641"/>
      <c r="L385" s="2641"/>
      <c r="M385" s="2641"/>
      <c r="N385" s="2641"/>
      <c r="O385" s="2641"/>
      <c r="P385" s="2641"/>
      <c r="Q385" s="2649"/>
      <c r="R385" s="2641"/>
      <c r="S385" s="2641"/>
      <c r="T385" s="2650"/>
      <c r="U385" s="2649"/>
      <c r="V385" s="2566"/>
      <c r="W385" s="2566"/>
      <c r="X385" s="2566"/>
      <c r="Y385" s="2566"/>
      <c r="Z385" s="2642"/>
      <c r="AA385" s="2642"/>
      <c r="AB385" s="2642"/>
      <c r="AC385" s="2642"/>
      <c r="AD385" s="2642"/>
      <c r="AE385" s="2642"/>
      <c r="AF385" s="2642"/>
      <c r="AG385" s="2642"/>
      <c r="AH385" s="2642"/>
      <c r="AI385" s="2642"/>
      <c r="AJ385" s="2566"/>
      <c r="AK385" s="2338"/>
      <c r="AL385" s="2338"/>
      <c r="AM385" s="2338"/>
      <c r="AN385" s="2338"/>
      <c r="AO385" s="2338"/>
      <c r="AP385" s="2338"/>
      <c r="AQ385" s="2338"/>
      <c r="AR385" s="2338"/>
      <c r="AS385" s="2338"/>
      <c r="AT385" s="2338"/>
      <c r="AU385" s="2338"/>
      <c r="AV385" s="2338"/>
      <c r="AW385" s="2338"/>
      <c r="AX385" s="2338"/>
      <c r="AY385" s="2338"/>
      <c r="AZ385" s="2338"/>
      <c r="BA385" s="2338"/>
      <c r="BB385" s="2338"/>
      <c r="BC385" s="2338"/>
      <c r="BD385" s="2338"/>
      <c r="BE385" s="2338"/>
      <c r="BF385" s="2338"/>
      <c r="BG385" s="2338"/>
      <c r="BH385" s="2338"/>
      <c r="BI385" s="2338"/>
      <c r="BJ385" s="2338"/>
      <c r="BK385" s="2338"/>
      <c r="BL385" s="2338"/>
      <c r="BM385" s="2338"/>
      <c r="BN385" s="2338"/>
      <c r="BO385" s="2338"/>
      <c r="BP385" s="2338"/>
      <c r="BQ385" s="2338"/>
      <c r="BR385" s="2338"/>
      <c r="BS385" s="2338"/>
      <c r="BT385" s="2338"/>
      <c r="BU385" s="2338"/>
      <c r="BV385" s="2338"/>
      <c r="BW385" s="2338"/>
      <c r="BX385" s="2338"/>
      <c r="BY385" s="2338"/>
      <c r="BZ385" s="2338"/>
      <c r="CA385" s="2338"/>
      <c r="CB385" s="2338"/>
      <c r="CC385" s="2338"/>
      <c r="CD385" s="2338"/>
      <c r="CE385" s="2338"/>
      <c r="CF385" s="2338"/>
      <c r="CG385" s="2338"/>
      <c r="CH385" s="2338"/>
      <c r="CI385" s="2338"/>
      <c r="CJ385" s="2338"/>
      <c r="CK385" s="2338"/>
      <c r="CL385" s="2338"/>
      <c r="CM385" s="2338"/>
      <c r="CN385" s="2338"/>
      <c r="CO385" s="2338"/>
      <c r="CP385" s="2338"/>
      <c r="CQ385" s="2338"/>
      <c r="CR385" s="2338"/>
      <c r="CS385" s="2338"/>
      <c r="CT385" s="2338"/>
      <c r="CU385" s="2338"/>
      <c r="CV385" s="2338"/>
      <c r="CW385" s="2338"/>
      <c r="CX385" s="2338"/>
      <c r="CY385" s="2338"/>
      <c r="CZ385" s="2338"/>
      <c r="DA385" s="2338"/>
      <c r="DB385" s="2338"/>
      <c r="DC385" s="2338"/>
      <c r="DD385" s="2338"/>
      <c r="DE385" s="2338"/>
      <c r="DF385" s="2338"/>
      <c r="DG385" s="2338"/>
    </row>
    <row r="386" spans="1:111" s="1118" customFormat="1" ht="15" hidden="1" customHeight="1" outlineLevel="1">
      <c r="A386" s="2339"/>
      <c r="B386" s="3052"/>
      <c r="C386" s="3048"/>
      <c r="D386" s="3048"/>
      <c r="E386" s="3047"/>
      <c r="F386" s="2340" t="s">
        <v>3861</v>
      </c>
      <c r="G386" s="2337"/>
      <c r="H386" s="2641"/>
      <c r="I386" s="2641"/>
      <c r="J386" s="2641"/>
      <c r="K386" s="2641"/>
      <c r="L386" s="2641"/>
      <c r="M386" s="2641"/>
      <c r="N386" s="2641"/>
      <c r="O386" s="2641"/>
      <c r="P386" s="2641"/>
      <c r="Q386" s="2649"/>
      <c r="R386" s="2641"/>
      <c r="S386" s="2641"/>
      <c r="T386" s="2650"/>
      <c r="U386" s="2649"/>
      <c r="V386" s="2566"/>
      <c r="W386" s="2566"/>
      <c r="X386" s="2566"/>
      <c r="Y386" s="2566"/>
      <c r="Z386" s="2642"/>
      <c r="AA386" s="2642"/>
      <c r="AB386" s="2642"/>
      <c r="AC386" s="2642"/>
      <c r="AD386" s="2642"/>
      <c r="AE386" s="2642"/>
      <c r="AF386" s="2642"/>
      <c r="AG386" s="2642"/>
      <c r="AH386" s="2642"/>
      <c r="AI386" s="2642"/>
      <c r="AJ386" s="2566"/>
      <c r="AK386" s="2338"/>
      <c r="AL386" s="2338"/>
      <c r="AM386" s="2338"/>
      <c r="AN386" s="2338"/>
      <c r="AO386" s="2338"/>
      <c r="AP386" s="2338"/>
      <c r="AQ386" s="2338"/>
      <c r="AR386" s="2338"/>
      <c r="AS386" s="2338"/>
      <c r="AT386" s="2338"/>
      <c r="AU386" s="2338"/>
      <c r="AV386" s="2338"/>
      <c r="AW386" s="2338"/>
      <c r="AX386" s="2338"/>
      <c r="AY386" s="2338"/>
      <c r="AZ386" s="2338"/>
      <c r="BA386" s="2338"/>
      <c r="BB386" s="2338"/>
      <c r="BC386" s="2338"/>
      <c r="BD386" s="2338"/>
      <c r="BE386" s="2338"/>
      <c r="BF386" s="2338"/>
      <c r="BG386" s="2338"/>
      <c r="BH386" s="2338"/>
      <c r="BI386" s="2338"/>
      <c r="BJ386" s="2338"/>
      <c r="BK386" s="2338"/>
      <c r="BL386" s="2338"/>
      <c r="BM386" s="2338"/>
      <c r="BN386" s="2338"/>
      <c r="BO386" s="2338"/>
      <c r="BP386" s="2338"/>
      <c r="BQ386" s="2338"/>
      <c r="BR386" s="2338"/>
      <c r="BS386" s="2338"/>
      <c r="BT386" s="2338"/>
      <c r="BU386" s="2338"/>
      <c r="BV386" s="2338"/>
      <c r="BW386" s="2338"/>
      <c r="BX386" s="2338"/>
      <c r="BY386" s="2338"/>
      <c r="BZ386" s="2338"/>
      <c r="CA386" s="2338"/>
      <c r="CB386" s="2338"/>
      <c r="CC386" s="2338"/>
      <c r="CD386" s="2338"/>
      <c r="CE386" s="2338"/>
      <c r="CF386" s="2338"/>
      <c r="CG386" s="2338"/>
      <c r="CH386" s="2338"/>
      <c r="CI386" s="2338"/>
      <c r="CJ386" s="2338"/>
      <c r="CK386" s="2338"/>
      <c r="CL386" s="2338"/>
      <c r="CM386" s="2338"/>
      <c r="CN386" s="2338"/>
      <c r="CO386" s="2338"/>
      <c r="CP386" s="2338"/>
      <c r="CQ386" s="2338"/>
      <c r="CR386" s="2338"/>
      <c r="CS386" s="2338"/>
      <c r="CT386" s="2338"/>
      <c r="CU386" s="2338"/>
      <c r="CV386" s="2338"/>
      <c r="CW386" s="2338"/>
      <c r="CX386" s="2338"/>
      <c r="CY386" s="2338"/>
      <c r="CZ386" s="2338"/>
      <c r="DA386" s="2338"/>
      <c r="DB386" s="2338"/>
      <c r="DC386" s="2338"/>
      <c r="DD386" s="2338"/>
      <c r="DE386" s="2338"/>
      <c r="DF386" s="2338"/>
      <c r="DG386" s="2338"/>
    </row>
    <row r="387" spans="1:111" s="1118" customFormat="1" ht="15" hidden="1" customHeight="1" outlineLevel="1">
      <c r="A387" s="2339"/>
      <c r="B387" s="3052"/>
      <c r="C387" s="3048"/>
      <c r="D387" s="3048"/>
      <c r="E387" s="3047"/>
      <c r="F387" s="2340" t="s">
        <v>3862</v>
      </c>
      <c r="G387" s="2337"/>
      <c r="H387" s="2641"/>
      <c r="I387" s="2641"/>
      <c r="J387" s="2641"/>
      <c r="K387" s="2641"/>
      <c r="L387" s="2641"/>
      <c r="M387" s="2641"/>
      <c r="N387" s="2641"/>
      <c r="O387" s="2641"/>
      <c r="P387" s="2641"/>
      <c r="Q387" s="2649"/>
      <c r="R387" s="2641"/>
      <c r="S387" s="2641"/>
      <c r="T387" s="2650"/>
      <c r="U387" s="2649"/>
      <c r="V387" s="2566"/>
      <c r="W387" s="2566"/>
      <c r="X387" s="2566"/>
      <c r="Y387" s="2566"/>
      <c r="Z387" s="2642"/>
      <c r="AA387" s="2642"/>
      <c r="AB387" s="2642"/>
      <c r="AC387" s="2642"/>
      <c r="AD387" s="2642"/>
      <c r="AE387" s="2642"/>
      <c r="AF387" s="2642"/>
      <c r="AG387" s="2642"/>
      <c r="AH387" s="2642"/>
      <c r="AI387" s="2642"/>
      <c r="AJ387" s="2566"/>
      <c r="AK387" s="2338"/>
      <c r="AL387" s="2338"/>
      <c r="AM387" s="2338"/>
      <c r="AN387" s="2338"/>
      <c r="AO387" s="2338"/>
      <c r="AP387" s="2338"/>
      <c r="AQ387" s="2338"/>
      <c r="AR387" s="2338"/>
      <c r="AS387" s="2338"/>
      <c r="AT387" s="2338"/>
      <c r="AU387" s="2338"/>
      <c r="AV387" s="2338"/>
      <c r="AW387" s="2338"/>
      <c r="AX387" s="2338"/>
      <c r="AY387" s="2338"/>
      <c r="AZ387" s="2338"/>
      <c r="BA387" s="2338"/>
      <c r="BB387" s="2338"/>
      <c r="BC387" s="2338"/>
      <c r="BD387" s="2338"/>
      <c r="BE387" s="2338"/>
      <c r="BF387" s="2338"/>
      <c r="BG387" s="2338"/>
      <c r="BH387" s="2338"/>
      <c r="BI387" s="2338"/>
      <c r="BJ387" s="2338"/>
      <c r="BK387" s="2338"/>
      <c r="BL387" s="2338"/>
      <c r="BM387" s="2338"/>
      <c r="BN387" s="2338"/>
      <c r="BO387" s="2338"/>
      <c r="BP387" s="2338"/>
      <c r="BQ387" s="2338"/>
      <c r="BR387" s="2338"/>
      <c r="BS387" s="2338"/>
      <c r="BT387" s="2338"/>
      <c r="BU387" s="2338"/>
      <c r="BV387" s="2338"/>
      <c r="BW387" s="2338"/>
      <c r="BX387" s="2338"/>
      <c r="BY387" s="2338"/>
      <c r="BZ387" s="2338"/>
      <c r="CA387" s="2338"/>
      <c r="CB387" s="2338"/>
      <c r="CC387" s="2338"/>
      <c r="CD387" s="2338"/>
      <c r="CE387" s="2338"/>
      <c r="CF387" s="2338"/>
      <c r="CG387" s="2338"/>
      <c r="CH387" s="2338"/>
      <c r="CI387" s="2338"/>
      <c r="CJ387" s="2338"/>
      <c r="CK387" s="2338"/>
      <c r="CL387" s="2338"/>
      <c r="CM387" s="2338"/>
      <c r="CN387" s="2338"/>
      <c r="CO387" s="2338"/>
      <c r="CP387" s="2338"/>
      <c r="CQ387" s="2338"/>
      <c r="CR387" s="2338"/>
      <c r="CS387" s="2338"/>
      <c r="CT387" s="2338"/>
      <c r="CU387" s="2338"/>
      <c r="CV387" s="2338"/>
      <c r="CW387" s="2338"/>
      <c r="CX387" s="2338"/>
      <c r="CY387" s="2338"/>
      <c r="CZ387" s="2338"/>
      <c r="DA387" s="2338"/>
      <c r="DB387" s="2338"/>
      <c r="DC387" s="2338"/>
      <c r="DD387" s="2338"/>
      <c r="DE387" s="2338"/>
      <c r="DF387" s="2338"/>
      <c r="DG387" s="2338"/>
    </row>
    <row r="388" spans="1:111" s="1118" customFormat="1" ht="15" hidden="1" customHeight="1" outlineLevel="1">
      <c r="A388" s="2339"/>
      <c r="B388" s="3052"/>
      <c r="C388" s="3048"/>
      <c r="D388" s="3048"/>
      <c r="E388" s="3047"/>
      <c r="F388" s="2340" t="s">
        <v>3863</v>
      </c>
      <c r="G388" s="2337"/>
      <c r="H388" s="2641"/>
      <c r="I388" s="2641"/>
      <c r="J388" s="2641"/>
      <c r="K388" s="2641"/>
      <c r="L388" s="2641"/>
      <c r="M388" s="2641"/>
      <c r="N388" s="2641"/>
      <c r="O388" s="2641"/>
      <c r="P388" s="2641"/>
      <c r="Q388" s="2649"/>
      <c r="R388" s="2641"/>
      <c r="S388" s="2641"/>
      <c r="T388" s="2650"/>
      <c r="U388" s="2649"/>
      <c r="V388" s="2566"/>
      <c r="W388" s="2566"/>
      <c r="X388" s="2566"/>
      <c r="Y388" s="2566"/>
      <c r="Z388" s="2642"/>
      <c r="AA388" s="2642"/>
      <c r="AB388" s="2642"/>
      <c r="AC388" s="2642"/>
      <c r="AD388" s="2642"/>
      <c r="AE388" s="2642"/>
      <c r="AF388" s="2642"/>
      <c r="AG388" s="2642"/>
      <c r="AH388" s="2642"/>
      <c r="AI388" s="2642"/>
      <c r="AJ388" s="2566"/>
      <c r="AK388" s="2338"/>
      <c r="AL388" s="2338"/>
      <c r="AM388" s="2338"/>
      <c r="AN388" s="2338"/>
      <c r="AO388" s="2338"/>
      <c r="AP388" s="2338"/>
      <c r="AQ388" s="2338"/>
      <c r="AR388" s="2338"/>
      <c r="AS388" s="2338"/>
      <c r="AT388" s="2338"/>
      <c r="AU388" s="2338"/>
      <c r="AV388" s="2338"/>
      <c r="AW388" s="2338"/>
      <c r="AX388" s="2338"/>
      <c r="AY388" s="2338"/>
      <c r="AZ388" s="2338"/>
      <c r="BA388" s="2338"/>
      <c r="BB388" s="2338"/>
      <c r="BC388" s="2338"/>
      <c r="BD388" s="2338"/>
      <c r="BE388" s="2338"/>
      <c r="BF388" s="2338"/>
      <c r="BG388" s="2338"/>
      <c r="BH388" s="2338"/>
      <c r="BI388" s="2338"/>
      <c r="BJ388" s="2338"/>
      <c r="BK388" s="2338"/>
      <c r="BL388" s="2338"/>
      <c r="BM388" s="2338"/>
      <c r="BN388" s="2338"/>
      <c r="BO388" s="2338"/>
      <c r="BP388" s="2338"/>
      <c r="BQ388" s="2338"/>
      <c r="BR388" s="2338"/>
      <c r="BS388" s="2338"/>
      <c r="BT388" s="2338"/>
      <c r="BU388" s="2338"/>
      <c r="BV388" s="2338"/>
      <c r="BW388" s="2338"/>
      <c r="BX388" s="2338"/>
      <c r="BY388" s="2338"/>
      <c r="BZ388" s="2338"/>
      <c r="CA388" s="2338"/>
      <c r="CB388" s="2338"/>
      <c r="CC388" s="2338"/>
      <c r="CD388" s="2338"/>
      <c r="CE388" s="2338"/>
      <c r="CF388" s="2338"/>
      <c r="CG388" s="2338"/>
      <c r="CH388" s="2338"/>
      <c r="CI388" s="2338"/>
      <c r="CJ388" s="2338"/>
      <c r="CK388" s="2338"/>
      <c r="CL388" s="2338"/>
      <c r="CM388" s="2338"/>
      <c r="CN388" s="2338"/>
      <c r="CO388" s="2338"/>
      <c r="CP388" s="2338"/>
      <c r="CQ388" s="2338"/>
      <c r="CR388" s="2338"/>
      <c r="CS388" s="2338"/>
      <c r="CT388" s="2338"/>
      <c r="CU388" s="2338"/>
      <c r="CV388" s="2338"/>
      <c r="CW388" s="2338"/>
      <c r="CX388" s="2338"/>
      <c r="CY388" s="2338"/>
      <c r="CZ388" s="2338"/>
      <c r="DA388" s="2338"/>
      <c r="DB388" s="2338"/>
      <c r="DC388" s="2338"/>
      <c r="DD388" s="2338"/>
      <c r="DE388" s="2338"/>
      <c r="DF388" s="2338"/>
      <c r="DG388" s="2338"/>
    </row>
    <row r="389" spans="1:111" s="1118" customFormat="1" ht="15" hidden="1" customHeight="1" outlineLevel="1">
      <c r="A389" s="2339"/>
      <c r="B389" s="3052"/>
      <c r="C389" s="3048"/>
      <c r="D389" s="3048"/>
      <c r="E389" s="3047"/>
      <c r="F389" s="2340" t="s">
        <v>3864</v>
      </c>
      <c r="G389" s="2337"/>
      <c r="H389" s="2641"/>
      <c r="I389" s="2641"/>
      <c r="J389" s="2641"/>
      <c r="K389" s="2641"/>
      <c r="L389" s="2641"/>
      <c r="M389" s="2641"/>
      <c r="N389" s="2641"/>
      <c r="O389" s="2641"/>
      <c r="P389" s="2641"/>
      <c r="Q389" s="2649"/>
      <c r="R389" s="2641"/>
      <c r="S389" s="2641"/>
      <c r="T389" s="2650"/>
      <c r="U389" s="2649"/>
      <c r="V389" s="2566"/>
      <c r="W389" s="2566"/>
      <c r="X389" s="2566"/>
      <c r="Y389" s="2566"/>
      <c r="Z389" s="2642"/>
      <c r="AA389" s="2642"/>
      <c r="AB389" s="2642"/>
      <c r="AC389" s="2642"/>
      <c r="AD389" s="2642"/>
      <c r="AE389" s="2642"/>
      <c r="AF389" s="2642"/>
      <c r="AG389" s="2642"/>
      <c r="AH389" s="2642"/>
      <c r="AI389" s="2642"/>
      <c r="AJ389" s="2566"/>
      <c r="AK389" s="2338"/>
      <c r="AL389" s="2338"/>
      <c r="AM389" s="2338"/>
      <c r="AN389" s="2338"/>
      <c r="AO389" s="2338"/>
      <c r="AP389" s="2338"/>
      <c r="AQ389" s="2338"/>
      <c r="AR389" s="2338"/>
      <c r="AS389" s="2338"/>
      <c r="AT389" s="2338"/>
      <c r="AU389" s="2338"/>
      <c r="AV389" s="2338"/>
      <c r="AW389" s="2338"/>
      <c r="AX389" s="2338"/>
      <c r="AY389" s="2338"/>
      <c r="AZ389" s="2338"/>
      <c r="BA389" s="2338"/>
      <c r="BB389" s="2338"/>
      <c r="BC389" s="2338"/>
      <c r="BD389" s="2338"/>
      <c r="BE389" s="2338"/>
      <c r="BF389" s="2338"/>
      <c r="BG389" s="2338"/>
      <c r="BH389" s="2338"/>
      <c r="BI389" s="2338"/>
      <c r="BJ389" s="2338"/>
      <c r="BK389" s="2338"/>
      <c r="BL389" s="2338"/>
      <c r="BM389" s="2338"/>
      <c r="BN389" s="2338"/>
      <c r="BO389" s="2338"/>
      <c r="BP389" s="2338"/>
      <c r="BQ389" s="2338"/>
      <c r="BR389" s="2338"/>
      <c r="BS389" s="2338"/>
      <c r="BT389" s="2338"/>
      <c r="BU389" s="2338"/>
      <c r="BV389" s="2338"/>
      <c r="BW389" s="2338"/>
      <c r="BX389" s="2338"/>
      <c r="BY389" s="2338"/>
      <c r="BZ389" s="2338"/>
      <c r="CA389" s="2338"/>
      <c r="CB389" s="2338"/>
      <c r="CC389" s="2338"/>
      <c r="CD389" s="2338"/>
      <c r="CE389" s="2338"/>
      <c r="CF389" s="2338"/>
      <c r="CG389" s="2338"/>
      <c r="CH389" s="2338"/>
      <c r="CI389" s="2338"/>
      <c r="CJ389" s="2338"/>
      <c r="CK389" s="2338"/>
      <c r="CL389" s="2338"/>
      <c r="CM389" s="2338"/>
      <c r="CN389" s="2338"/>
      <c r="CO389" s="2338"/>
      <c r="CP389" s="2338"/>
      <c r="CQ389" s="2338"/>
      <c r="CR389" s="2338"/>
      <c r="CS389" s="2338"/>
      <c r="CT389" s="2338"/>
      <c r="CU389" s="2338"/>
      <c r="CV389" s="2338"/>
      <c r="CW389" s="2338"/>
      <c r="CX389" s="2338"/>
      <c r="CY389" s="2338"/>
      <c r="CZ389" s="2338"/>
      <c r="DA389" s="2338"/>
      <c r="DB389" s="2338"/>
      <c r="DC389" s="2338"/>
      <c r="DD389" s="2338"/>
      <c r="DE389" s="2338"/>
      <c r="DF389" s="2338"/>
      <c r="DG389" s="2338"/>
    </row>
    <row r="390" spans="1:111" s="1118" customFormat="1" ht="15" hidden="1" customHeight="1" outlineLevel="1">
      <c r="A390" s="2339"/>
      <c r="B390" s="3052"/>
      <c r="C390" s="3048"/>
      <c r="D390" s="3048"/>
      <c r="E390" s="3047"/>
      <c r="F390" s="2340" t="s">
        <v>3865</v>
      </c>
      <c r="G390" s="2337"/>
      <c r="H390" s="2641"/>
      <c r="I390" s="2641"/>
      <c r="J390" s="2641"/>
      <c r="K390" s="2641"/>
      <c r="L390" s="2641"/>
      <c r="M390" s="2641"/>
      <c r="N390" s="2641"/>
      <c r="O390" s="2641"/>
      <c r="P390" s="2641"/>
      <c r="Q390" s="2649"/>
      <c r="R390" s="2641"/>
      <c r="S390" s="2641"/>
      <c r="T390" s="2650"/>
      <c r="U390" s="2649"/>
      <c r="V390" s="2566"/>
      <c r="W390" s="2566"/>
      <c r="X390" s="2566"/>
      <c r="Y390" s="2566"/>
      <c r="Z390" s="2642"/>
      <c r="AA390" s="2642"/>
      <c r="AB390" s="2642"/>
      <c r="AC390" s="2642"/>
      <c r="AD390" s="2642"/>
      <c r="AE390" s="2642"/>
      <c r="AF390" s="2642"/>
      <c r="AG390" s="2642"/>
      <c r="AH390" s="2642"/>
      <c r="AI390" s="2642"/>
      <c r="AJ390" s="2566"/>
      <c r="AK390" s="2338"/>
      <c r="AL390" s="2338"/>
      <c r="AM390" s="2338"/>
      <c r="AN390" s="2338"/>
      <c r="AO390" s="2338"/>
      <c r="AP390" s="2338"/>
      <c r="AQ390" s="2338"/>
      <c r="AR390" s="2338"/>
      <c r="AS390" s="2338"/>
      <c r="AT390" s="2338"/>
      <c r="AU390" s="2338"/>
      <c r="AV390" s="2338"/>
      <c r="AW390" s="2338"/>
      <c r="AX390" s="2338"/>
      <c r="AY390" s="2338"/>
      <c r="AZ390" s="2338"/>
      <c r="BA390" s="2338"/>
      <c r="BB390" s="2338"/>
      <c r="BC390" s="2338"/>
      <c r="BD390" s="2338"/>
      <c r="BE390" s="2338"/>
      <c r="BF390" s="2338"/>
      <c r="BG390" s="2338"/>
      <c r="BH390" s="2338"/>
      <c r="BI390" s="2338"/>
      <c r="BJ390" s="2338"/>
      <c r="BK390" s="2338"/>
      <c r="BL390" s="2338"/>
      <c r="BM390" s="2338"/>
      <c r="BN390" s="2338"/>
      <c r="BO390" s="2338"/>
      <c r="BP390" s="2338"/>
      <c r="BQ390" s="2338"/>
      <c r="BR390" s="2338"/>
      <c r="BS390" s="2338"/>
      <c r="BT390" s="2338"/>
      <c r="BU390" s="2338"/>
      <c r="BV390" s="2338"/>
      <c r="BW390" s="2338"/>
      <c r="BX390" s="2338"/>
      <c r="BY390" s="2338"/>
      <c r="BZ390" s="2338"/>
      <c r="CA390" s="2338"/>
      <c r="CB390" s="2338"/>
      <c r="CC390" s="2338"/>
      <c r="CD390" s="2338"/>
      <c r="CE390" s="2338"/>
      <c r="CF390" s="2338"/>
      <c r="CG390" s="2338"/>
      <c r="CH390" s="2338"/>
      <c r="CI390" s="2338"/>
      <c r="CJ390" s="2338"/>
      <c r="CK390" s="2338"/>
      <c r="CL390" s="2338"/>
      <c r="CM390" s="2338"/>
      <c r="CN390" s="2338"/>
      <c r="CO390" s="2338"/>
      <c r="CP390" s="2338"/>
      <c r="CQ390" s="2338"/>
      <c r="CR390" s="2338"/>
      <c r="CS390" s="2338"/>
      <c r="CT390" s="2338"/>
      <c r="CU390" s="2338"/>
      <c r="CV390" s="2338"/>
      <c r="CW390" s="2338"/>
      <c r="CX390" s="2338"/>
      <c r="CY390" s="2338"/>
      <c r="CZ390" s="2338"/>
      <c r="DA390" s="2338"/>
      <c r="DB390" s="2338"/>
      <c r="DC390" s="2338"/>
      <c r="DD390" s="2338"/>
      <c r="DE390" s="2338"/>
      <c r="DF390" s="2338"/>
      <c r="DG390" s="2338"/>
    </row>
    <row r="391" spans="1:111" s="1118" customFormat="1" ht="15.75" hidden="1" customHeight="1" outlineLevel="1">
      <c r="A391" s="2339"/>
      <c r="B391" s="3052"/>
      <c r="C391" s="3050" t="s">
        <v>3913</v>
      </c>
      <c r="D391" s="3050" t="s">
        <v>3911</v>
      </c>
      <c r="E391" s="3049" t="s">
        <v>3910</v>
      </c>
      <c r="F391" s="2340" t="s">
        <v>3860</v>
      </c>
      <c r="G391" s="2337"/>
      <c r="H391" s="2641"/>
      <c r="I391" s="2641"/>
      <c r="J391" s="2641"/>
      <c r="K391" s="2641"/>
      <c r="L391" s="2641"/>
      <c r="M391" s="2641"/>
      <c r="N391" s="2641"/>
      <c r="O391" s="2641"/>
      <c r="P391" s="2641"/>
      <c r="Q391" s="2649"/>
      <c r="R391" s="2641"/>
      <c r="S391" s="2641"/>
      <c r="T391" s="2650"/>
      <c r="U391" s="2649"/>
      <c r="V391" s="2566"/>
      <c r="W391" s="2566"/>
      <c r="X391" s="2566"/>
      <c r="Y391" s="2566"/>
      <c r="Z391" s="2642"/>
      <c r="AA391" s="2642"/>
      <c r="AB391" s="2642"/>
      <c r="AC391" s="2642"/>
      <c r="AD391" s="2642"/>
      <c r="AE391" s="2642"/>
      <c r="AF391" s="2642"/>
      <c r="AG391" s="2642"/>
      <c r="AH391" s="2642"/>
      <c r="AI391" s="2642"/>
      <c r="AJ391" s="2566"/>
      <c r="AK391" s="2338"/>
      <c r="AL391" s="2338"/>
      <c r="AM391" s="2338"/>
      <c r="AN391" s="2338"/>
      <c r="AO391" s="2338"/>
      <c r="AP391" s="2338"/>
      <c r="AQ391" s="2338"/>
      <c r="AR391" s="2338"/>
      <c r="AS391" s="2338"/>
      <c r="AT391" s="2338"/>
      <c r="AU391" s="2338"/>
      <c r="AV391" s="2338"/>
      <c r="AW391" s="2338"/>
      <c r="AX391" s="2338"/>
      <c r="AY391" s="2338"/>
      <c r="AZ391" s="2338"/>
      <c r="BA391" s="2338"/>
      <c r="BB391" s="2338"/>
      <c r="BC391" s="2338"/>
      <c r="BD391" s="2338"/>
      <c r="BE391" s="2338"/>
      <c r="BF391" s="2338"/>
      <c r="BG391" s="2338"/>
      <c r="BH391" s="2338"/>
      <c r="BI391" s="2338"/>
      <c r="BJ391" s="2338"/>
      <c r="BK391" s="2338"/>
      <c r="BL391" s="2338"/>
      <c r="BM391" s="2338"/>
      <c r="BN391" s="2338"/>
      <c r="BO391" s="2338"/>
      <c r="BP391" s="2338"/>
      <c r="BQ391" s="2338"/>
      <c r="BR391" s="2338"/>
      <c r="BS391" s="2338"/>
      <c r="BT391" s="2338"/>
      <c r="BU391" s="2338"/>
      <c r="BV391" s="2338"/>
      <c r="BW391" s="2338"/>
      <c r="BX391" s="2338"/>
      <c r="BY391" s="2338"/>
      <c r="BZ391" s="2338"/>
      <c r="CA391" s="2338"/>
      <c r="CB391" s="2338"/>
      <c r="CC391" s="2338"/>
      <c r="CD391" s="2338"/>
      <c r="CE391" s="2338"/>
      <c r="CF391" s="2338"/>
      <c r="CG391" s="2338"/>
      <c r="CH391" s="2338"/>
      <c r="CI391" s="2338"/>
      <c r="CJ391" s="2338"/>
      <c r="CK391" s="2338"/>
      <c r="CL391" s="2338"/>
      <c r="CM391" s="2338"/>
      <c r="CN391" s="2338"/>
      <c r="CO391" s="2338"/>
      <c r="CP391" s="2338"/>
      <c r="CQ391" s="2338"/>
      <c r="CR391" s="2338"/>
      <c r="CS391" s="2338"/>
      <c r="CT391" s="2338"/>
      <c r="CU391" s="2338"/>
      <c r="CV391" s="2338"/>
      <c r="CW391" s="2338"/>
      <c r="CX391" s="2338"/>
      <c r="CY391" s="2338"/>
      <c r="CZ391" s="2338"/>
      <c r="DA391" s="2338"/>
      <c r="DB391" s="2338"/>
      <c r="DC391" s="2338"/>
      <c r="DD391" s="2338"/>
      <c r="DE391" s="2338"/>
      <c r="DF391" s="2338"/>
      <c r="DG391" s="2338"/>
    </row>
    <row r="392" spans="1:111" s="1118" customFormat="1" ht="15" hidden="1" customHeight="1" outlineLevel="1">
      <c r="A392" s="2339"/>
      <c r="B392" s="3052"/>
      <c r="C392" s="3050"/>
      <c r="D392" s="3050"/>
      <c r="E392" s="3049"/>
      <c r="F392" s="2340" t="s">
        <v>3861</v>
      </c>
      <c r="G392" s="2337"/>
      <c r="H392" s="2641"/>
      <c r="I392" s="2641"/>
      <c r="J392" s="2641"/>
      <c r="K392" s="2641"/>
      <c r="L392" s="2641"/>
      <c r="M392" s="2641"/>
      <c r="N392" s="2641"/>
      <c r="O392" s="2641"/>
      <c r="P392" s="2641"/>
      <c r="Q392" s="2649"/>
      <c r="R392" s="2641"/>
      <c r="S392" s="2641"/>
      <c r="T392" s="2650"/>
      <c r="U392" s="2649"/>
      <c r="V392" s="2566"/>
      <c r="W392" s="2566"/>
      <c r="X392" s="2566"/>
      <c r="Y392" s="2566"/>
      <c r="Z392" s="2642"/>
      <c r="AA392" s="2642"/>
      <c r="AB392" s="2642"/>
      <c r="AC392" s="2642"/>
      <c r="AD392" s="2642"/>
      <c r="AE392" s="2642"/>
      <c r="AF392" s="2642"/>
      <c r="AG392" s="2642"/>
      <c r="AH392" s="2642"/>
      <c r="AI392" s="2642"/>
      <c r="AJ392" s="2566"/>
      <c r="AK392" s="2338"/>
      <c r="AL392" s="2338"/>
      <c r="AM392" s="2338"/>
      <c r="AN392" s="2338"/>
      <c r="AO392" s="2338"/>
      <c r="AP392" s="2338"/>
      <c r="AQ392" s="2338"/>
      <c r="AR392" s="2338"/>
      <c r="AS392" s="2338"/>
      <c r="AT392" s="2338"/>
      <c r="AU392" s="2338"/>
      <c r="AV392" s="2338"/>
      <c r="AW392" s="2338"/>
      <c r="AX392" s="2338"/>
      <c r="AY392" s="2338"/>
      <c r="AZ392" s="2338"/>
      <c r="BA392" s="2338"/>
      <c r="BB392" s="2338"/>
      <c r="BC392" s="2338"/>
      <c r="BD392" s="2338"/>
      <c r="BE392" s="2338"/>
      <c r="BF392" s="2338"/>
      <c r="BG392" s="2338"/>
      <c r="BH392" s="2338"/>
      <c r="BI392" s="2338"/>
      <c r="BJ392" s="2338"/>
      <c r="BK392" s="2338"/>
      <c r="BL392" s="2338"/>
      <c r="BM392" s="2338"/>
      <c r="BN392" s="2338"/>
      <c r="BO392" s="2338"/>
      <c r="BP392" s="2338"/>
      <c r="BQ392" s="2338"/>
      <c r="BR392" s="2338"/>
      <c r="BS392" s="2338"/>
      <c r="BT392" s="2338"/>
      <c r="BU392" s="2338"/>
      <c r="BV392" s="2338"/>
      <c r="BW392" s="2338"/>
      <c r="BX392" s="2338"/>
      <c r="BY392" s="2338"/>
      <c r="BZ392" s="2338"/>
      <c r="CA392" s="2338"/>
      <c r="CB392" s="2338"/>
      <c r="CC392" s="2338"/>
      <c r="CD392" s="2338"/>
      <c r="CE392" s="2338"/>
      <c r="CF392" s="2338"/>
      <c r="CG392" s="2338"/>
      <c r="CH392" s="2338"/>
      <c r="CI392" s="2338"/>
      <c r="CJ392" s="2338"/>
      <c r="CK392" s="2338"/>
      <c r="CL392" s="2338"/>
      <c r="CM392" s="2338"/>
      <c r="CN392" s="2338"/>
      <c r="CO392" s="2338"/>
      <c r="CP392" s="2338"/>
      <c r="CQ392" s="2338"/>
      <c r="CR392" s="2338"/>
      <c r="CS392" s="2338"/>
      <c r="CT392" s="2338"/>
      <c r="CU392" s="2338"/>
      <c r="CV392" s="2338"/>
      <c r="CW392" s="2338"/>
      <c r="CX392" s="2338"/>
      <c r="CY392" s="2338"/>
      <c r="CZ392" s="2338"/>
      <c r="DA392" s="2338"/>
      <c r="DB392" s="2338"/>
      <c r="DC392" s="2338"/>
      <c r="DD392" s="2338"/>
      <c r="DE392" s="2338"/>
      <c r="DF392" s="2338"/>
      <c r="DG392" s="2338"/>
    </row>
    <row r="393" spans="1:111" s="1118" customFormat="1" ht="15" hidden="1" customHeight="1" outlineLevel="1">
      <c r="A393" s="2339"/>
      <c r="B393" s="3052"/>
      <c r="C393" s="3050"/>
      <c r="D393" s="3050"/>
      <c r="E393" s="3049"/>
      <c r="F393" s="2340" t="s">
        <v>3862</v>
      </c>
      <c r="G393" s="2337"/>
      <c r="H393" s="2641"/>
      <c r="I393" s="2641"/>
      <c r="J393" s="2641"/>
      <c r="K393" s="2641"/>
      <c r="L393" s="2641"/>
      <c r="M393" s="2641"/>
      <c r="N393" s="2641"/>
      <c r="O393" s="2641"/>
      <c r="P393" s="2641"/>
      <c r="Q393" s="2649"/>
      <c r="R393" s="2641"/>
      <c r="S393" s="2641"/>
      <c r="T393" s="2650"/>
      <c r="U393" s="2649"/>
      <c r="V393" s="2566"/>
      <c r="W393" s="2566"/>
      <c r="X393" s="2566"/>
      <c r="Y393" s="2566"/>
      <c r="Z393" s="2642"/>
      <c r="AA393" s="2642"/>
      <c r="AB393" s="2642"/>
      <c r="AC393" s="2642"/>
      <c r="AD393" s="2642"/>
      <c r="AE393" s="2642"/>
      <c r="AF393" s="2642"/>
      <c r="AG393" s="2642"/>
      <c r="AH393" s="2642"/>
      <c r="AI393" s="2642"/>
      <c r="AJ393" s="2566"/>
      <c r="AK393" s="2338"/>
      <c r="AL393" s="2338"/>
      <c r="AM393" s="2338"/>
      <c r="AN393" s="2338"/>
      <c r="AO393" s="2338"/>
      <c r="AP393" s="2338"/>
      <c r="AQ393" s="2338"/>
      <c r="AR393" s="2338"/>
      <c r="AS393" s="2338"/>
      <c r="AT393" s="2338"/>
      <c r="AU393" s="2338"/>
      <c r="AV393" s="2338"/>
      <c r="AW393" s="2338"/>
      <c r="AX393" s="2338"/>
      <c r="AY393" s="2338"/>
      <c r="AZ393" s="2338"/>
      <c r="BA393" s="2338"/>
      <c r="BB393" s="2338"/>
      <c r="BC393" s="2338"/>
      <c r="BD393" s="2338"/>
      <c r="BE393" s="2338"/>
      <c r="BF393" s="2338"/>
      <c r="BG393" s="2338"/>
      <c r="BH393" s="2338"/>
      <c r="BI393" s="2338"/>
      <c r="BJ393" s="2338"/>
      <c r="BK393" s="2338"/>
      <c r="BL393" s="2338"/>
      <c r="BM393" s="2338"/>
      <c r="BN393" s="2338"/>
      <c r="BO393" s="2338"/>
      <c r="BP393" s="2338"/>
      <c r="BQ393" s="2338"/>
      <c r="BR393" s="2338"/>
      <c r="BS393" s="2338"/>
      <c r="BT393" s="2338"/>
      <c r="BU393" s="2338"/>
      <c r="BV393" s="2338"/>
      <c r="BW393" s="2338"/>
      <c r="BX393" s="2338"/>
      <c r="BY393" s="2338"/>
      <c r="BZ393" s="2338"/>
      <c r="CA393" s="2338"/>
      <c r="CB393" s="2338"/>
      <c r="CC393" s="2338"/>
      <c r="CD393" s="2338"/>
      <c r="CE393" s="2338"/>
      <c r="CF393" s="2338"/>
      <c r="CG393" s="2338"/>
      <c r="CH393" s="2338"/>
      <c r="CI393" s="2338"/>
      <c r="CJ393" s="2338"/>
      <c r="CK393" s="2338"/>
      <c r="CL393" s="2338"/>
      <c r="CM393" s="2338"/>
      <c r="CN393" s="2338"/>
      <c r="CO393" s="2338"/>
      <c r="CP393" s="2338"/>
      <c r="CQ393" s="2338"/>
      <c r="CR393" s="2338"/>
      <c r="CS393" s="2338"/>
      <c r="CT393" s="2338"/>
      <c r="CU393" s="2338"/>
      <c r="CV393" s="2338"/>
      <c r="CW393" s="2338"/>
      <c r="CX393" s="2338"/>
      <c r="CY393" s="2338"/>
      <c r="CZ393" s="2338"/>
      <c r="DA393" s="2338"/>
      <c r="DB393" s="2338"/>
      <c r="DC393" s="2338"/>
      <c r="DD393" s="2338"/>
      <c r="DE393" s="2338"/>
      <c r="DF393" s="2338"/>
      <c r="DG393" s="2338"/>
    </row>
    <row r="394" spans="1:111" s="2344" customFormat="1" ht="15" hidden="1" customHeight="1" outlineLevel="1">
      <c r="A394" s="2339"/>
      <c r="B394" s="3052"/>
      <c r="C394" s="3050"/>
      <c r="D394" s="3050"/>
      <c r="E394" s="3049"/>
      <c r="F394" s="2341" t="s">
        <v>3863</v>
      </c>
      <c r="G394" s="2342"/>
      <c r="H394" s="2641"/>
      <c r="I394" s="2641"/>
      <c r="J394" s="2641"/>
      <c r="K394" s="2641"/>
      <c r="L394" s="2641"/>
      <c r="M394" s="2641"/>
      <c r="N394" s="2641"/>
      <c r="O394" s="2641"/>
      <c r="P394" s="2641"/>
      <c r="Q394" s="2649"/>
      <c r="R394" s="2641"/>
      <c r="S394" s="2641"/>
      <c r="T394" s="2650"/>
      <c r="U394" s="2649"/>
      <c r="V394" s="2566"/>
      <c r="W394" s="2566"/>
      <c r="X394" s="2566"/>
      <c r="Y394" s="2566"/>
      <c r="Z394" s="2642"/>
      <c r="AA394" s="2642"/>
      <c r="AB394" s="2642"/>
      <c r="AC394" s="2642"/>
      <c r="AD394" s="2642"/>
      <c r="AE394" s="2642"/>
      <c r="AF394" s="2642"/>
      <c r="AG394" s="2642"/>
      <c r="AH394" s="2642"/>
      <c r="AI394" s="2642"/>
      <c r="AJ394" s="2566"/>
      <c r="AK394" s="2338"/>
      <c r="AL394" s="2338"/>
      <c r="AM394" s="2338"/>
      <c r="AN394" s="2338"/>
      <c r="AO394" s="2338"/>
      <c r="AP394" s="2338"/>
      <c r="AQ394" s="2338"/>
      <c r="AR394" s="2338"/>
      <c r="AS394" s="2338"/>
      <c r="AT394" s="2338"/>
      <c r="AU394" s="2338"/>
      <c r="AV394" s="2338"/>
      <c r="AW394" s="2338"/>
      <c r="AX394" s="2338"/>
      <c r="AY394" s="2338"/>
      <c r="AZ394" s="2338"/>
      <c r="BA394" s="2338"/>
      <c r="BB394" s="2338"/>
      <c r="BC394" s="2338"/>
      <c r="BD394" s="2338"/>
      <c r="BE394" s="2338"/>
      <c r="BF394" s="2338"/>
      <c r="BG394" s="2338"/>
      <c r="BH394" s="2338"/>
      <c r="BI394" s="2338"/>
      <c r="BJ394" s="2338"/>
      <c r="BK394" s="2338"/>
      <c r="BL394" s="2338"/>
      <c r="BM394" s="2338"/>
      <c r="BN394" s="2338"/>
      <c r="BO394" s="2338"/>
      <c r="BP394" s="2338"/>
      <c r="BQ394" s="2338"/>
      <c r="BR394" s="2338"/>
      <c r="BS394" s="2338"/>
      <c r="BT394" s="2338"/>
      <c r="BU394" s="2338"/>
      <c r="BV394" s="2338"/>
      <c r="BW394" s="2338"/>
      <c r="BX394" s="2338"/>
      <c r="BY394" s="2338"/>
      <c r="BZ394" s="2338"/>
      <c r="CA394" s="2338"/>
      <c r="CB394" s="2338"/>
      <c r="CC394" s="2338"/>
      <c r="CD394" s="2338"/>
      <c r="CE394" s="2338"/>
      <c r="CF394" s="2338"/>
      <c r="CG394" s="2338"/>
      <c r="CH394" s="2338"/>
      <c r="CI394" s="2338"/>
      <c r="CJ394" s="2338"/>
      <c r="CK394" s="2338"/>
      <c r="CL394" s="2338"/>
      <c r="CM394" s="2338"/>
      <c r="CN394" s="2338"/>
      <c r="CO394" s="2338"/>
      <c r="CP394" s="2338"/>
      <c r="CQ394" s="2338"/>
      <c r="CR394" s="2338"/>
      <c r="CS394" s="2338"/>
      <c r="CT394" s="2338"/>
      <c r="CU394" s="2338"/>
      <c r="CV394" s="2338"/>
      <c r="CW394" s="2338"/>
      <c r="CX394" s="2338"/>
      <c r="CY394" s="2338"/>
      <c r="CZ394" s="2338"/>
      <c r="DA394" s="2338"/>
      <c r="DB394" s="2338"/>
      <c r="DC394" s="2338"/>
      <c r="DD394" s="2338"/>
      <c r="DE394" s="2338"/>
      <c r="DF394" s="2338"/>
      <c r="DG394" s="2338"/>
    </row>
    <row r="395" spans="1:111" s="1118" customFormat="1" ht="15" hidden="1" customHeight="1" outlineLevel="1">
      <c r="A395" s="2339"/>
      <c r="B395" s="3052"/>
      <c r="C395" s="3050"/>
      <c r="D395" s="3050"/>
      <c r="E395" s="3049"/>
      <c r="F395" s="2340" t="s">
        <v>3864</v>
      </c>
      <c r="G395" s="2337"/>
      <c r="H395" s="2641"/>
      <c r="I395" s="2641"/>
      <c r="J395" s="2641"/>
      <c r="K395" s="2641"/>
      <c r="L395" s="2641"/>
      <c r="M395" s="2641"/>
      <c r="N395" s="2641"/>
      <c r="O395" s="2641"/>
      <c r="P395" s="2641"/>
      <c r="Q395" s="2649"/>
      <c r="R395" s="2641"/>
      <c r="S395" s="2641"/>
      <c r="T395" s="2650"/>
      <c r="U395" s="2649"/>
      <c r="V395" s="2566"/>
      <c r="W395" s="2566"/>
      <c r="X395" s="2566"/>
      <c r="Y395" s="2566"/>
      <c r="Z395" s="2642"/>
      <c r="AA395" s="2642"/>
      <c r="AB395" s="2642"/>
      <c r="AC395" s="2642"/>
      <c r="AD395" s="2642"/>
      <c r="AE395" s="2642"/>
      <c r="AF395" s="2642"/>
      <c r="AG395" s="2642"/>
      <c r="AH395" s="2642"/>
      <c r="AI395" s="2642"/>
      <c r="AJ395" s="2566"/>
      <c r="AK395" s="2338"/>
      <c r="AL395" s="2338"/>
      <c r="AM395" s="2338"/>
      <c r="AN395" s="2338"/>
      <c r="AO395" s="2338"/>
      <c r="AP395" s="2338"/>
      <c r="AQ395" s="2338"/>
      <c r="AR395" s="2338"/>
      <c r="AS395" s="2338"/>
      <c r="AT395" s="2338"/>
      <c r="AU395" s="2338"/>
      <c r="AV395" s="2338"/>
      <c r="AW395" s="2338"/>
      <c r="AX395" s="2338"/>
      <c r="AY395" s="2338"/>
      <c r="AZ395" s="2338"/>
      <c r="BA395" s="2338"/>
      <c r="BB395" s="2338"/>
      <c r="BC395" s="2338"/>
      <c r="BD395" s="2338"/>
      <c r="BE395" s="2338"/>
      <c r="BF395" s="2338"/>
      <c r="BG395" s="2338"/>
      <c r="BH395" s="2338"/>
      <c r="BI395" s="2338"/>
      <c r="BJ395" s="2338"/>
      <c r="BK395" s="2338"/>
      <c r="BL395" s="2338"/>
      <c r="BM395" s="2338"/>
      <c r="BN395" s="2338"/>
      <c r="BO395" s="2338"/>
      <c r="BP395" s="2338"/>
      <c r="BQ395" s="2338"/>
      <c r="BR395" s="2338"/>
      <c r="BS395" s="2338"/>
      <c r="BT395" s="2338"/>
      <c r="BU395" s="2338"/>
      <c r="BV395" s="2338"/>
      <c r="BW395" s="2338"/>
      <c r="BX395" s="2338"/>
      <c r="BY395" s="2338"/>
      <c r="BZ395" s="2338"/>
      <c r="CA395" s="2338"/>
      <c r="CB395" s="2338"/>
      <c r="CC395" s="2338"/>
      <c r="CD395" s="2338"/>
      <c r="CE395" s="2338"/>
      <c r="CF395" s="2338"/>
      <c r="CG395" s="2338"/>
      <c r="CH395" s="2338"/>
      <c r="CI395" s="2338"/>
      <c r="CJ395" s="2338"/>
      <c r="CK395" s="2338"/>
      <c r="CL395" s="2338"/>
      <c r="CM395" s="2338"/>
      <c r="CN395" s="2338"/>
      <c r="CO395" s="2338"/>
      <c r="CP395" s="2338"/>
      <c r="CQ395" s="2338"/>
      <c r="CR395" s="2338"/>
      <c r="CS395" s="2338"/>
      <c r="CT395" s="2338"/>
      <c r="CU395" s="2338"/>
      <c r="CV395" s="2338"/>
      <c r="CW395" s="2338"/>
      <c r="CX395" s="2338"/>
      <c r="CY395" s="2338"/>
      <c r="CZ395" s="2338"/>
      <c r="DA395" s="2338"/>
      <c r="DB395" s="2338"/>
      <c r="DC395" s="2338"/>
      <c r="DD395" s="2338"/>
      <c r="DE395" s="2338"/>
      <c r="DF395" s="2338"/>
      <c r="DG395" s="2338"/>
    </row>
    <row r="396" spans="1:111" s="1118" customFormat="1" ht="15" hidden="1" customHeight="1" outlineLevel="1">
      <c r="A396" s="2339"/>
      <c r="B396" s="3052"/>
      <c r="C396" s="3050"/>
      <c r="D396" s="3050"/>
      <c r="E396" s="3049"/>
      <c r="F396" s="2340" t="s">
        <v>3865</v>
      </c>
      <c r="G396" s="2337"/>
      <c r="H396" s="2641"/>
      <c r="I396" s="2641"/>
      <c r="J396" s="2641"/>
      <c r="K396" s="2641"/>
      <c r="L396" s="2641"/>
      <c r="M396" s="2641"/>
      <c r="N396" s="2641"/>
      <c r="O396" s="2641"/>
      <c r="P396" s="2641"/>
      <c r="Q396" s="2649"/>
      <c r="R396" s="2641"/>
      <c r="S396" s="2641"/>
      <c r="T396" s="2650"/>
      <c r="U396" s="2649"/>
      <c r="V396" s="2566"/>
      <c r="W396" s="2566"/>
      <c r="X396" s="2566"/>
      <c r="Y396" s="2566"/>
      <c r="Z396" s="2642"/>
      <c r="AA396" s="2642"/>
      <c r="AB396" s="2642"/>
      <c r="AC396" s="2642"/>
      <c r="AD396" s="2642"/>
      <c r="AE396" s="2642"/>
      <c r="AF396" s="2642"/>
      <c r="AG396" s="2642"/>
      <c r="AH396" s="2642"/>
      <c r="AI396" s="2642"/>
      <c r="AJ396" s="2566"/>
      <c r="AK396" s="2338"/>
      <c r="AL396" s="2338"/>
      <c r="AM396" s="2338"/>
      <c r="AN396" s="2338"/>
      <c r="AO396" s="2338"/>
      <c r="AP396" s="2338"/>
      <c r="AQ396" s="2338"/>
      <c r="AR396" s="2338"/>
      <c r="AS396" s="2338"/>
      <c r="AT396" s="2338"/>
      <c r="AU396" s="2338"/>
      <c r="AV396" s="2338"/>
      <c r="AW396" s="2338"/>
      <c r="AX396" s="2338"/>
      <c r="AY396" s="2338"/>
      <c r="AZ396" s="2338"/>
      <c r="BA396" s="2338"/>
      <c r="BB396" s="2338"/>
      <c r="BC396" s="2338"/>
      <c r="BD396" s="2338"/>
      <c r="BE396" s="2338"/>
      <c r="BF396" s="2338"/>
      <c r="BG396" s="2338"/>
      <c r="BH396" s="2338"/>
      <c r="BI396" s="2338"/>
      <c r="BJ396" s="2338"/>
      <c r="BK396" s="2338"/>
      <c r="BL396" s="2338"/>
      <c r="BM396" s="2338"/>
      <c r="BN396" s="2338"/>
      <c r="BO396" s="2338"/>
      <c r="BP396" s="2338"/>
      <c r="BQ396" s="2338"/>
      <c r="BR396" s="2338"/>
      <c r="BS396" s="2338"/>
      <c r="BT396" s="2338"/>
      <c r="BU396" s="2338"/>
      <c r="BV396" s="2338"/>
      <c r="BW396" s="2338"/>
      <c r="BX396" s="2338"/>
      <c r="BY396" s="2338"/>
      <c r="BZ396" s="2338"/>
      <c r="CA396" s="2338"/>
      <c r="CB396" s="2338"/>
      <c r="CC396" s="2338"/>
      <c r="CD396" s="2338"/>
      <c r="CE396" s="2338"/>
      <c r="CF396" s="2338"/>
      <c r="CG396" s="2338"/>
      <c r="CH396" s="2338"/>
      <c r="CI396" s="2338"/>
      <c r="CJ396" s="2338"/>
      <c r="CK396" s="2338"/>
      <c r="CL396" s="2338"/>
      <c r="CM396" s="2338"/>
      <c r="CN396" s="2338"/>
      <c r="CO396" s="2338"/>
      <c r="CP396" s="2338"/>
      <c r="CQ396" s="2338"/>
      <c r="CR396" s="2338"/>
      <c r="CS396" s="2338"/>
      <c r="CT396" s="2338"/>
      <c r="CU396" s="2338"/>
      <c r="CV396" s="2338"/>
      <c r="CW396" s="2338"/>
      <c r="CX396" s="2338"/>
      <c r="CY396" s="2338"/>
      <c r="CZ396" s="2338"/>
      <c r="DA396" s="2338"/>
      <c r="DB396" s="2338"/>
      <c r="DC396" s="2338"/>
      <c r="DD396" s="2338"/>
      <c r="DE396" s="2338"/>
      <c r="DF396" s="2338"/>
      <c r="DG396" s="2338"/>
    </row>
    <row r="397" spans="1:111" s="1118" customFormat="1" ht="15.75" hidden="1" customHeight="1" outlineLevel="1">
      <c r="A397" s="2339"/>
      <c r="B397" s="3052"/>
      <c r="C397" s="3048" t="s">
        <v>3914</v>
      </c>
      <c r="D397" s="3048" t="s">
        <v>3908</v>
      </c>
      <c r="E397" s="3047" t="s">
        <v>3909</v>
      </c>
      <c r="F397" s="2340" t="s">
        <v>3860</v>
      </c>
      <c r="G397" s="2337"/>
      <c r="H397" s="2641"/>
      <c r="I397" s="2641"/>
      <c r="J397" s="2641"/>
      <c r="K397" s="2641"/>
      <c r="L397" s="2641"/>
      <c r="M397" s="2641"/>
      <c r="N397" s="2641"/>
      <c r="O397" s="2641"/>
      <c r="P397" s="2641"/>
      <c r="Q397" s="2649"/>
      <c r="R397" s="2641"/>
      <c r="S397" s="2641"/>
      <c r="T397" s="2650"/>
      <c r="U397" s="2649"/>
      <c r="V397" s="2566"/>
      <c r="W397" s="2566"/>
      <c r="X397" s="2566"/>
      <c r="Y397" s="2566"/>
      <c r="Z397" s="2642"/>
      <c r="AA397" s="2642"/>
      <c r="AB397" s="2642"/>
      <c r="AC397" s="2642"/>
      <c r="AD397" s="2642"/>
      <c r="AE397" s="2642"/>
      <c r="AF397" s="2642"/>
      <c r="AG397" s="2642"/>
      <c r="AH397" s="2642"/>
      <c r="AI397" s="2642"/>
      <c r="AJ397" s="2566"/>
      <c r="AK397" s="2338"/>
      <c r="AL397" s="2338"/>
      <c r="AM397" s="2338"/>
      <c r="AN397" s="2338"/>
      <c r="AO397" s="2338"/>
      <c r="AP397" s="2338"/>
      <c r="AQ397" s="2338"/>
      <c r="AR397" s="2338"/>
      <c r="AS397" s="2338"/>
      <c r="AT397" s="2338"/>
      <c r="AU397" s="2338"/>
      <c r="AV397" s="2338"/>
      <c r="AW397" s="2338"/>
      <c r="AX397" s="2338"/>
      <c r="AY397" s="2338"/>
      <c r="AZ397" s="2338"/>
      <c r="BA397" s="2338"/>
      <c r="BB397" s="2338"/>
      <c r="BC397" s="2338"/>
      <c r="BD397" s="2338"/>
      <c r="BE397" s="2338"/>
      <c r="BF397" s="2338"/>
      <c r="BG397" s="2338"/>
      <c r="BH397" s="2338"/>
      <c r="BI397" s="2338"/>
      <c r="BJ397" s="2338"/>
      <c r="BK397" s="2338"/>
      <c r="BL397" s="2338"/>
      <c r="BM397" s="2338"/>
      <c r="BN397" s="2338"/>
      <c r="BO397" s="2338"/>
      <c r="BP397" s="2338"/>
      <c r="BQ397" s="2338"/>
      <c r="BR397" s="2338"/>
      <c r="BS397" s="2338"/>
      <c r="BT397" s="2338"/>
      <c r="BU397" s="2338"/>
      <c r="BV397" s="2338"/>
      <c r="BW397" s="2338"/>
      <c r="BX397" s="2338"/>
      <c r="BY397" s="2338"/>
      <c r="BZ397" s="2338"/>
      <c r="CA397" s="2338"/>
      <c r="CB397" s="2338"/>
      <c r="CC397" s="2338"/>
      <c r="CD397" s="2338"/>
      <c r="CE397" s="2338"/>
      <c r="CF397" s="2338"/>
      <c r="CG397" s="2338"/>
      <c r="CH397" s="2338"/>
      <c r="CI397" s="2338"/>
      <c r="CJ397" s="2338"/>
      <c r="CK397" s="2338"/>
      <c r="CL397" s="2338"/>
      <c r="CM397" s="2338"/>
      <c r="CN397" s="2338"/>
      <c r="CO397" s="2338"/>
      <c r="CP397" s="2338"/>
      <c r="CQ397" s="2338"/>
      <c r="CR397" s="2338"/>
      <c r="CS397" s="2338"/>
      <c r="CT397" s="2338"/>
      <c r="CU397" s="2338"/>
      <c r="CV397" s="2338"/>
      <c r="CW397" s="2338"/>
      <c r="CX397" s="2338"/>
      <c r="CY397" s="2338"/>
      <c r="CZ397" s="2338"/>
      <c r="DA397" s="2338"/>
      <c r="DB397" s="2338"/>
      <c r="DC397" s="2338"/>
      <c r="DD397" s="2338"/>
      <c r="DE397" s="2338"/>
      <c r="DF397" s="2338"/>
      <c r="DG397" s="2338"/>
    </row>
    <row r="398" spans="1:111" s="1118" customFormat="1" ht="15" hidden="1" outlineLevel="1">
      <c r="A398" s="2339"/>
      <c r="B398" s="3052"/>
      <c r="C398" s="3048"/>
      <c r="D398" s="3048"/>
      <c r="E398" s="3047"/>
      <c r="F398" s="2340" t="s">
        <v>3861</v>
      </c>
      <c r="G398" s="2337"/>
      <c r="H398" s="2641"/>
      <c r="I398" s="2641"/>
      <c r="J398" s="2641"/>
      <c r="K398" s="2641"/>
      <c r="L398" s="2641"/>
      <c r="M398" s="2641"/>
      <c r="N398" s="2641"/>
      <c r="O398" s="2641"/>
      <c r="P398" s="2641"/>
      <c r="Q398" s="2649"/>
      <c r="R398" s="2641"/>
      <c r="S398" s="2641"/>
      <c r="T398" s="2650"/>
      <c r="U398" s="2649"/>
      <c r="V398" s="2566"/>
      <c r="W398" s="2566"/>
      <c r="X398" s="2566"/>
      <c r="Y398" s="2566"/>
      <c r="Z398" s="2642"/>
      <c r="AA398" s="2642"/>
      <c r="AB398" s="2642"/>
      <c r="AC398" s="2642"/>
      <c r="AD398" s="2642"/>
      <c r="AE398" s="2642"/>
      <c r="AF398" s="2642"/>
      <c r="AG398" s="2642"/>
      <c r="AH398" s="2642"/>
      <c r="AI398" s="2642"/>
      <c r="AJ398" s="2566"/>
      <c r="AK398" s="2338"/>
      <c r="AL398" s="2338"/>
      <c r="AM398" s="2338"/>
      <c r="AN398" s="2338"/>
      <c r="AO398" s="2338"/>
      <c r="AP398" s="2338"/>
      <c r="AQ398" s="2338"/>
      <c r="AR398" s="2338"/>
      <c r="AS398" s="2338"/>
      <c r="AT398" s="2338"/>
      <c r="AU398" s="2338"/>
      <c r="AV398" s="2338"/>
      <c r="AW398" s="2338"/>
      <c r="AX398" s="2338"/>
      <c r="AY398" s="2338"/>
      <c r="AZ398" s="2338"/>
      <c r="BA398" s="2338"/>
      <c r="BB398" s="2338"/>
      <c r="BC398" s="2338"/>
      <c r="BD398" s="2338"/>
      <c r="BE398" s="2338"/>
      <c r="BF398" s="2338"/>
      <c r="BG398" s="2338"/>
      <c r="BH398" s="2338"/>
      <c r="BI398" s="2338"/>
      <c r="BJ398" s="2338"/>
      <c r="BK398" s="2338"/>
      <c r="BL398" s="2338"/>
      <c r="BM398" s="2338"/>
      <c r="BN398" s="2338"/>
      <c r="BO398" s="2338"/>
      <c r="BP398" s="2338"/>
      <c r="BQ398" s="2338"/>
      <c r="BR398" s="2338"/>
      <c r="BS398" s="2338"/>
      <c r="BT398" s="2338"/>
      <c r="BU398" s="2338"/>
      <c r="BV398" s="2338"/>
      <c r="BW398" s="2338"/>
      <c r="BX398" s="2338"/>
      <c r="BY398" s="2338"/>
      <c r="BZ398" s="2338"/>
      <c r="CA398" s="2338"/>
      <c r="CB398" s="2338"/>
      <c r="CC398" s="2338"/>
      <c r="CD398" s="2338"/>
      <c r="CE398" s="2338"/>
      <c r="CF398" s="2338"/>
      <c r="CG398" s="2338"/>
      <c r="CH398" s="2338"/>
      <c r="CI398" s="2338"/>
      <c r="CJ398" s="2338"/>
      <c r="CK398" s="2338"/>
      <c r="CL398" s="2338"/>
      <c r="CM398" s="2338"/>
      <c r="CN398" s="2338"/>
      <c r="CO398" s="2338"/>
      <c r="CP398" s="2338"/>
      <c r="CQ398" s="2338"/>
      <c r="CR398" s="2338"/>
      <c r="CS398" s="2338"/>
      <c r="CT398" s="2338"/>
      <c r="CU398" s="2338"/>
      <c r="CV398" s="2338"/>
      <c r="CW398" s="2338"/>
      <c r="CX398" s="2338"/>
      <c r="CY398" s="2338"/>
      <c r="CZ398" s="2338"/>
      <c r="DA398" s="2338"/>
      <c r="DB398" s="2338"/>
      <c r="DC398" s="2338"/>
      <c r="DD398" s="2338"/>
      <c r="DE398" s="2338"/>
      <c r="DF398" s="2338"/>
      <c r="DG398" s="2338"/>
    </row>
    <row r="399" spans="1:111" s="1118" customFormat="1" ht="15" hidden="1" outlineLevel="1">
      <c r="A399" s="2339"/>
      <c r="B399" s="3052"/>
      <c r="C399" s="3048"/>
      <c r="D399" s="3048"/>
      <c r="E399" s="3047"/>
      <c r="F399" s="2340" t="s">
        <v>3862</v>
      </c>
      <c r="G399" s="2337"/>
      <c r="H399" s="2641"/>
      <c r="I399" s="2641"/>
      <c r="J399" s="2641"/>
      <c r="K399" s="2641"/>
      <c r="L399" s="2641"/>
      <c r="M399" s="2641"/>
      <c r="N399" s="2641"/>
      <c r="O399" s="2641"/>
      <c r="P399" s="2641"/>
      <c r="Q399" s="2649"/>
      <c r="R399" s="2641"/>
      <c r="S399" s="2641"/>
      <c r="T399" s="2650"/>
      <c r="U399" s="2649"/>
      <c r="V399" s="2566"/>
      <c r="W399" s="2566"/>
      <c r="X399" s="2566"/>
      <c r="Y399" s="2566"/>
      <c r="Z399" s="2642"/>
      <c r="AA399" s="2642"/>
      <c r="AB399" s="2642"/>
      <c r="AC399" s="2642"/>
      <c r="AD399" s="2642"/>
      <c r="AE399" s="2642"/>
      <c r="AF399" s="2642"/>
      <c r="AG399" s="2642"/>
      <c r="AH399" s="2642"/>
      <c r="AI399" s="2642"/>
      <c r="AJ399" s="2566"/>
      <c r="AK399" s="2338"/>
      <c r="AL399" s="2338"/>
      <c r="AM399" s="2338"/>
      <c r="AN399" s="2338"/>
      <c r="AO399" s="2338"/>
      <c r="AP399" s="2338"/>
      <c r="AQ399" s="2338"/>
      <c r="AR399" s="2338"/>
      <c r="AS399" s="2338"/>
      <c r="AT399" s="2338"/>
      <c r="AU399" s="2338"/>
      <c r="AV399" s="2338"/>
      <c r="AW399" s="2338"/>
      <c r="AX399" s="2338"/>
      <c r="AY399" s="2338"/>
      <c r="AZ399" s="2338"/>
      <c r="BA399" s="2338"/>
      <c r="BB399" s="2338"/>
      <c r="BC399" s="2338"/>
      <c r="BD399" s="2338"/>
      <c r="BE399" s="2338"/>
      <c r="BF399" s="2338"/>
      <c r="BG399" s="2338"/>
      <c r="BH399" s="2338"/>
      <c r="BI399" s="2338"/>
      <c r="BJ399" s="2338"/>
      <c r="BK399" s="2338"/>
      <c r="BL399" s="2338"/>
      <c r="BM399" s="2338"/>
      <c r="BN399" s="2338"/>
      <c r="BO399" s="2338"/>
      <c r="BP399" s="2338"/>
      <c r="BQ399" s="2338"/>
      <c r="BR399" s="2338"/>
      <c r="BS399" s="2338"/>
      <c r="BT399" s="2338"/>
      <c r="BU399" s="2338"/>
      <c r="BV399" s="2338"/>
      <c r="BW399" s="2338"/>
      <c r="BX399" s="2338"/>
      <c r="BY399" s="2338"/>
      <c r="BZ399" s="2338"/>
      <c r="CA399" s="2338"/>
      <c r="CB399" s="2338"/>
      <c r="CC399" s="2338"/>
      <c r="CD399" s="2338"/>
      <c r="CE399" s="2338"/>
      <c r="CF399" s="2338"/>
      <c r="CG399" s="2338"/>
      <c r="CH399" s="2338"/>
      <c r="CI399" s="2338"/>
      <c r="CJ399" s="2338"/>
      <c r="CK399" s="2338"/>
      <c r="CL399" s="2338"/>
      <c r="CM399" s="2338"/>
      <c r="CN399" s="2338"/>
      <c r="CO399" s="2338"/>
      <c r="CP399" s="2338"/>
      <c r="CQ399" s="2338"/>
      <c r="CR399" s="2338"/>
      <c r="CS399" s="2338"/>
      <c r="CT399" s="2338"/>
      <c r="CU399" s="2338"/>
      <c r="CV399" s="2338"/>
      <c r="CW399" s="2338"/>
      <c r="CX399" s="2338"/>
      <c r="CY399" s="2338"/>
      <c r="CZ399" s="2338"/>
      <c r="DA399" s="2338"/>
      <c r="DB399" s="2338"/>
      <c r="DC399" s="2338"/>
      <c r="DD399" s="2338"/>
      <c r="DE399" s="2338"/>
      <c r="DF399" s="2338"/>
      <c r="DG399" s="2338"/>
    </row>
    <row r="400" spans="1:111" s="2345" customFormat="1" ht="15" hidden="1" outlineLevel="1">
      <c r="A400" s="2339"/>
      <c r="B400" s="3052"/>
      <c r="C400" s="3048"/>
      <c r="D400" s="3048"/>
      <c r="E400" s="3047"/>
      <c r="F400" s="2340" t="s">
        <v>3863</v>
      </c>
      <c r="G400" s="2337"/>
      <c r="H400" s="2829"/>
      <c r="I400" s="2829"/>
      <c r="J400" s="2829"/>
      <c r="K400" s="2829"/>
      <c r="L400" s="2829"/>
      <c r="M400" s="2829"/>
      <c r="N400" s="2829"/>
      <c r="O400" s="2829"/>
      <c r="P400" s="2829"/>
      <c r="Q400" s="2830"/>
      <c r="R400" s="2829"/>
      <c r="S400" s="2829"/>
      <c r="T400" s="2650"/>
      <c r="U400" s="2649"/>
      <c r="V400" s="2566"/>
      <c r="W400" s="2566"/>
      <c r="X400" s="2566"/>
      <c r="Y400" s="2566"/>
      <c r="Z400" s="2642"/>
      <c r="AA400" s="2642"/>
      <c r="AB400" s="2642"/>
      <c r="AC400" s="2642"/>
      <c r="AD400" s="2642"/>
      <c r="AE400" s="2642"/>
      <c r="AF400" s="2642"/>
      <c r="AG400" s="2642"/>
      <c r="AH400" s="2642"/>
      <c r="AI400" s="2642"/>
      <c r="AJ400" s="2566"/>
    </row>
    <row r="401" spans="1:111" s="2345" customFormat="1" ht="15" hidden="1" outlineLevel="1">
      <c r="A401" s="2339"/>
      <c r="B401" s="3052"/>
      <c r="C401" s="3048"/>
      <c r="D401" s="3048"/>
      <c r="E401" s="3047"/>
      <c r="F401" s="2340" t="s">
        <v>3864</v>
      </c>
      <c r="G401" s="2337"/>
      <c r="H401" s="2831"/>
      <c r="I401" s="2831"/>
      <c r="J401" s="2831"/>
      <c r="K401" s="2831"/>
      <c r="L401" s="2831"/>
      <c r="M401" s="2831"/>
      <c r="N401" s="2831"/>
      <c r="O401" s="2831"/>
      <c r="P401" s="2831"/>
      <c r="Q401" s="2832"/>
      <c r="R401" s="2831"/>
      <c r="S401" s="2831"/>
      <c r="T401" s="2650"/>
      <c r="U401" s="2649"/>
      <c r="V401" s="2566"/>
      <c r="W401" s="2566"/>
      <c r="X401" s="2566"/>
      <c r="Y401" s="2566"/>
      <c r="Z401" s="2642"/>
      <c r="AA401" s="2642"/>
      <c r="AB401" s="2642"/>
      <c r="AC401" s="2642"/>
      <c r="AD401" s="2642"/>
      <c r="AE401" s="2642"/>
      <c r="AF401" s="2642"/>
      <c r="AG401" s="2642"/>
      <c r="AH401" s="2642"/>
      <c r="AI401" s="2642"/>
      <c r="AJ401" s="2566"/>
    </row>
    <row r="402" spans="1:111" s="2345" customFormat="1" ht="15" hidden="1" customHeight="1" outlineLevel="1">
      <c r="A402" s="2339"/>
      <c r="B402" s="3052"/>
      <c r="C402" s="3048"/>
      <c r="D402" s="3048"/>
      <c r="E402" s="3047"/>
      <c r="F402" s="2340" t="s">
        <v>3865</v>
      </c>
      <c r="G402" s="2337"/>
      <c r="H402" s="2833"/>
      <c r="I402" s="2833"/>
      <c r="J402" s="2833"/>
      <c r="K402" s="2833"/>
      <c r="L402" s="2833"/>
      <c r="M402" s="2833"/>
      <c r="N402" s="2833"/>
      <c r="O402" s="2834"/>
      <c r="P402" s="2834"/>
      <c r="Q402" s="2835"/>
      <c r="R402" s="2834"/>
      <c r="S402" s="2834"/>
      <c r="T402" s="2650"/>
      <c r="U402" s="2649"/>
      <c r="V402" s="2566"/>
      <c r="W402" s="2566"/>
      <c r="X402" s="2566"/>
      <c r="Y402" s="2566"/>
      <c r="Z402" s="2642"/>
      <c r="AA402" s="2642"/>
      <c r="AB402" s="2642"/>
      <c r="AC402" s="2642"/>
      <c r="AD402" s="2642"/>
      <c r="AE402" s="2642"/>
      <c r="AF402" s="2642"/>
      <c r="AG402" s="2642"/>
      <c r="AH402" s="2642"/>
      <c r="AI402" s="2642"/>
      <c r="AJ402" s="2566"/>
    </row>
    <row r="403" spans="1:111" s="2345" customFormat="1" ht="15" hidden="1" customHeight="1" outlineLevel="1">
      <c r="A403" s="2339"/>
      <c r="B403" s="3052"/>
      <c r="C403" s="3048"/>
      <c r="D403" s="3050" t="s">
        <v>3911</v>
      </c>
      <c r="E403" s="3049" t="s">
        <v>3910</v>
      </c>
      <c r="F403" s="2340" t="s">
        <v>3860</v>
      </c>
      <c r="G403" s="2337"/>
      <c r="H403" s="2636"/>
      <c r="I403" s="2636"/>
      <c r="J403" s="2636"/>
      <c r="K403" s="2636"/>
      <c r="L403" s="2636"/>
      <c r="M403" s="2636"/>
      <c r="N403" s="2636"/>
      <c r="O403" s="2636"/>
      <c r="P403" s="2636"/>
      <c r="Q403" s="2687"/>
      <c r="R403" s="2636"/>
      <c r="S403" s="2636"/>
      <c r="T403" s="2650"/>
      <c r="U403" s="2649"/>
      <c r="V403" s="2566"/>
      <c r="W403" s="2566"/>
      <c r="X403" s="2566"/>
      <c r="Y403" s="2566"/>
      <c r="Z403" s="2642"/>
      <c r="AA403" s="2642"/>
      <c r="AB403" s="2642"/>
      <c r="AC403" s="2642"/>
      <c r="AD403" s="2642"/>
      <c r="AE403" s="2642"/>
      <c r="AF403" s="2642"/>
      <c r="AG403" s="2642"/>
      <c r="AH403" s="2642"/>
      <c r="AI403" s="2642"/>
      <c r="AJ403" s="2566"/>
    </row>
    <row r="404" spans="1:111" s="2346" customFormat="1" ht="15" hidden="1" outlineLevel="1">
      <c r="A404" s="2339"/>
      <c r="B404" s="3052"/>
      <c r="C404" s="3048"/>
      <c r="D404" s="3050"/>
      <c r="E404" s="3049"/>
      <c r="F404" s="2341" t="s">
        <v>3861</v>
      </c>
      <c r="G404" s="2342"/>
      <c r="H404" s="2833"/>
      <c r="I404" s="2833"/>
      <c r="J404" s="2833"/>
      <c r="K404" s="2833"/>
      <c r="L404" s="2833"/>
      <c r="M404" s="2833"/>
      <c r="N404" s="2833"/>
      <c r="O404" s="2641"/>
      <c r="P404" s="2641"/>
      <c r="Q404" s="2649"/>
      <c r="R404" s="2641"/>
      <c r="S404" s="2641"/>
      <c r="T404" s="2650"/>
      <c r="U404" s="2649"/>
      <c r="V404" s="2566"/>
      <c r="W404" s="2566"/>
      <c r="X404" s="2566"/>
      <c r="Y404" s="2566"/>
      <c r="Z404" s="2642"/>
      <c r="AA404" s="2642"/>
      <c r="AB404" s="2642"/>
      <c r="AC404" s="2642"/>
      <c r="AD404" s="2642"/>
      <c r="AE404" s="2642"/>
      <c r="AF404" s="2642"/>
      <c r="AG404" s="2642"/>
      <c r="AH404" s="2642"/>
      <c r="AI404" s="2642"/>
      <c r="AJ404" s="2566"/>
      <c r="AK404" s="2345"/>
      <c r="AL404" s="2345"/>
      <c r="AM404" s="2345"/>
      <c r="AN404" s="2345"/>
      <c r="AO404" s="2345"/>
      <c r="AP404" s="2345"/>
      <c r="AQ404" s="2345"/>
      <c r="AR404" s="2345"/>
      <c r="AS404" s="2345"/>
      <c r="AT404" s="2345"/>
      <c r="AU404" s="2345"/>
      <c r="AV404" s="2345"/>
      <c r="AW404" s="2345"/>
      <c r="AX404" s="2345"/>
      <c r="AY404" s="2345"/>
      <c r="AZ404" s="2345"/>
      <c r="BA404" s="2345"/>
      <c r="BB404" s="2345"/>
      <c r="BC404" s="2345"/>
      <c r="BD404" s="2345"/>
      <c r="BE404" s="2345"/>
      <c r="BF404" s="2345"/>
      <c r="BG404" s="2345"/>
      <c r="BH404" s="2345"/>
      <c r="BI404" s="2345"/>
      <c r="BJ404" s="2345"/>
      <c r="BK404" s="2345"/>
      <c r="BL404" s="2345"/>
      <c r="BM404" s="2345"/>
      <c r="BN404" s="2345"/>
      <c r="BO404" s="2345"/>
      <c r="BP404" s="2345"/>
      <c r="BQ404" s="2345"/>
      <c r="BR404" s="2345"/>
      <c r="BS404" s="2345"/>
      <c r="BT404" s="2345"/>
      <c r="BU404" s="2345"/>
      <c r="BV404" s="2345"/>
      <c r="BW404" s="2345"/>
      <c r="BX404" s="2345"/>
      <c r="BY404" s="2345"/>
      <c r="BZ404" s="2345"/>
      <c r="CA404" s="2345"/>
      <c r="CB404" s="2345"/>
      <c r="CC404" s="2345"/>
      <c r="CD404" s="2345"/>
      <c r="CE404" s="2345"/>
      <c r="CF404" s="2345"/>
      <c r="CG404" s="2345"/>
      <c r="CH404" s="2345"/>
      <c r="CI404" s="2345"/>
      <c r="CJ404" s="2345"/>
      <c r="CK404" s="2345"/>
      <c r="CL404" s="2345"/>
      <c r="CM404" s="2345"/>
      <c r="CN404" s="2345"/>
      <c r="CO404" s="2345"/>
      <c r="CP404" s="2345"/>
      <c r="CQ404" s="2345"/>
      <c r="CR404" s="2345"/>
      <c r="CS404" s="2345"/>
      <c r="CT404" s="2345"/>
      <c r="CU404" s="2345"/>
      <c r="CV404" s="2345"/>
      <c r="CW404" s="2345"/>
      <c r="CX404" s="2345"/>
      <c r="CY404" s="2345"/>
      <c r="CZ404" s="2345"/>
      <c r="DA404" s="2345"/>
      <c r="DB404" s="2345"/>
      <c r="DC404" s="2345"/>
      <c r="DD404" s="2345"/>
      <c r="DE404" s="2345"/>
      <c r="DF404" s="2345"/>
      <c r="DG404" s="2345"/>
    </row>
    <row r="405" spans="1:111" s="2346" customFormat="1" ht="15" hidden="1" customHeight="1" outlineLevel="1">
      <c r="A405" s="2339"/>
      <c r="B405" s="3052"/>
      <c r="C405" s="3048"/>
      <c r="D405" s="3050"/>
      <c r="E405" s="3049"/>
      <c r="F405" s="2341" t="s">
        <v>3862</v>
      </c>
      <c r="G405" s="2342"/>
      <c r="H405" s="2636"/>
      <c r="I405" s="2636"/>
      <c r="J405" s="2636"/>
      <c r="K405" s="2636"/>
      <c r="L405" s="2636"/>
      <c r="M405" s="2636"/>
      <c r="N405" s="2636"/>
      <c r="O405" s="2641"/>
      <c r="P405" s="2641"/>
      <c r="Q405" s="2649"/>
      <c r="R405" s="2641"/>
      <c r="S405" s="2641"/>
      <c r="T405" s="2650"/>
      <c r="U405" s="2649"/>
      <c r="V405" s="2566"/>
      <c r="W405" s="2566"/>
      <c r="X405" s="2566"/>
      <c r="Y405" s="2566"/>
      <c r="Z405" s="2642"/>
      <c r="AA405" s="2642"/>
      <c r="AB405" s="2642"/>
      <c r="AC405" s="2642"/>
      <c r="AD405" s="2642"/>
      <c r="AE405" s="2642"/>
      <c r="AF405" s="2642"/>
      <c r="AG405" s="2642"/>
      <c r="AH405" s="2642"/>
      <c r="AI405" s="2642"/>
      <c r="AJ405" s="2566"/>
      <c r="AK405" s="2345"/>
      <c r="AL405" s="2345"/>
      <c r="AM405" s="2345"/>
      <c r="AN405" s="2345"/>
      <c r="AO405" s="2345"/>
      <c r="AP405" s="2345"/>
      <c r="AQ405" s="2345"/>
      <c r="AR405" s="2345"/>
      <c r="AS405" s="2345"/>
      <c r="AT405" s="2345"/>
      <c r="AU405" s="2345"/>
      <c r="AV405" s="2345"/>
      <c r="AW405" s="2345"/>
      <c r="AX405" s="2345"/>
      <c r="AY405" s="2345"/>
      <c r="AZ405" s="2345"/>
      <c r="BA405" s="2345"/>
      <c r="BB405" s="2345"/>
      <c r="BC405" s="2345"/>
      <c r="BD405" s="2345"/>
      <c r="BE405" s="2345"/>
      <c r="BF405" s="2345"/>
      <c r="BG405" s="2345"/>
      <c r="BH405" s="2345"/>
      <c r="BI405" s="2345"/>
      <c r="BJ405" s="2345"/>
      <c r="BK405" s="2345"/>
      <c r="BL405" s="2345"/>
      <c r="BM405" s="2345"/>
      <c r="BN405" s="2345"/>
      <c r="BO405" s="2345"/>
      <c r="BP405" s="2345"/>
      <c r="BQ405" s="2345"/>
      <c r="BR405" s="2345"/>
      <c r="BS405" s="2345"/>
      <c r="BT405" s="2345"/>
      <c r="BU405" s="2345"/>
      <c r="BV405" s="2345"/>
      <c r="BW405" s="2345"/>
      <c r="BX405" s="2345"/>
      <c r="BY405" s="2345"/>
      <c r="BZ405" s="2345"/>
      <c r="CA405" s="2345"/>
      <c r="CB405" s="2345"/>
      <c r="CC405" s="2345"/>
      <c r="CD405" s="2345"/>
      <c r="CE405" s="2345"/>
      <c r="CF405" s="2345"/>
      <c r="CG405" s="2345"/>
      <c r="CH405" s="2345"/>
      <c r="CI405" s="2345"/>
      <c r="CJ405" s="2345"/>
      <c r="CK405" s="2345"/>
      <c r="CL405" s="2345"/>
      <c r="CM405" s="2345"/>
      <c r="CN405" s="2345"/>
      <c r="CO405" s="2345"/>
      <c r="CP405" s="2345"/>
      <c r="CQ405" s="2345"/>
      <c r="CR405" s="2345"/>
      <c r="CS405" s="2345"/>
      <c r="CT405" s="2345"/>
      <c r="CU405" s="2345"/>
      <c r="CV405" s="2345"/>
      <c r="CW405" s="2345"/>
      <c r="CX405" s="2345"/>
      <c r="CY405" s="2345"/>
      <c r="CZ405" s="2345"/>
      <c r="DA405" s="2345"/>
      <c r="DB405" s="2345"/>
      <c r="DC405" s="2345"/>
      <c r="DD405" s="2345"/>
      <c r="DE405" s="2345"/>
      <c r="DF405" s="2345"/>
      <c r="DG405" s="2345"/>
    </row>
    <row r="406" spans="1:111" s="2346" customFormat="1" ht="15" hidden="1" customHeight="1" outlineLevel="1">
      <c r="A406" s="2339"/>
      <c r="B406" s="3052"/>
      <c r="C406" s="3048"/>
      <c r="D406" s="3050"/>
      <c r="E406" s="3049"/>
      <c r="F406" s="2341" t="s">
        <v>3863</v>
      </c>
      <c r="G406" s="2342"/>
      <c r="H406" s="2636"/>
      <c r="I406" s="2636"/>
      <c r="J406" s="2636"/>
      <c r="K406" s="2636"/>
      <c r="L406" s="2636"/>
      <c r="M406" s="2636"/>
      <c r="N406" s="2636"/>
      <c r="O406" s="2641"/>
      <c r="P406" s="2641"/>
      <c r="Q406" s="2649"/>
      <c r="R406" s="2641"/>
      <c r="S406" s="2641"/>
      <c r="T406" s="2650"/>
      <c r="U406" s="2649"/>
      <c r="V406" s="2566"/>
      <c r="W406" s="2566"/>
      <c r="X406" s="2566"/>
      <c r="Y406" s="2566"/>
      <c r="Z406" s="2642"/>
      <c r="AA406" s="2642"/>
      <c r="AB406" s="2642"/>
      <c r="AC406" s="2642"/>
      <c r="AD406" s="2642"/>
      <c r="AE406" s="2642"/>
      <c r="AF406" s="2642"/>
      <c r="AG406" s="2642"/>
      <c r="AH406" s="2642"/>
      <c r="AI406" s="2642"/>
      <c r="AJ406" s="2566"/>
      <c r="AK406" s="2345"/>
      <c r="AL406" s="2345"/>
      <c r="AM406" s="2345"/>
      <c r="AN406" s="2345"/>
      <c r="AO406" s="2345"/>
      <c r="AP406" s="2345"/>
      <c r="AQ406" s="2345"/>
      <c r="AR406" s="2345"/>
      <c r="AS406" s="2345"/>
      <c r="AT406" s="2345"/>
      <c r="AU406" s="2345"/>
      <c r="AV406" s="2345"/>
      <c r="AW406" s="2345"/>
      <c r="AX406" s="2345"/>
      <c r="AY406" s="2345"/>
      <c r="AZ406" s="2345"/>
      <c r="BA406" s="2345"/>
      <c r="BB406" s="2345"/>
      <c r="BC406" s="2345"/>
      <c r="BD406" s="2345"/>
      <c r="BE406" s="2345"/>
      <c r="BF406" s="2345"/>
      <c r="BG406" s="2345"/>
      <c r="BH406" s="2345"/>
      <c r="BI406" s="2345"/>
      <c r="BJ406" s="2345"/>
      <c r="BK406" s="2345"/>
      <c r="BL406" s="2345"/>
      <c r="BM406" s="2345"/>
      <c r="BN406" s="2345"/>
      <c r="BO406" s="2345"/>
      <c r="BP406" s="2345"/>
      <c r="BQ406" s="2345"/>
      <c r="BR406" s="2345"/>
      <c r="BS406" s="2345"/>
      <c r="BT406" s="2345"/>
      <c r="BU406" s="2345"/>
      <c r="BV406" s="2345"/>
      <c r="BW406" s="2345"/>
      <c r="BX406" s="2345"/>
      <c r="BY406" s="2345"/>
      <c r="BZ406" s="2345"/>
      <c r="CA406" s="2345"/>
      <c r="CB406" s="2345"/>
      <c r="CC406" s="2345"/>
      <c r="CD406" s="2345"/>
      <c r="CE406" s="2345"/>
      <c r="CF406" s="2345"/>
      <c r="CG406" s="2345"/>
      <c r="CH406" s="2345"/>
      <c r="CI406" s="2345"/>
      <c r="CJ406" s="2345"/>
      <c r="CK406" s="2345"/>
      <c r="CL406" s="2345"/>
      <c r="CM406" s="2345"/>
      <c r="CN406" s="2345"/>
      <c r="CO406" s="2345"/>
      <c r="CP406" s="2345"/>
      <c r="CQ406" s="2345"/>
      <c r="CR406" s="2345"/>
      <c r="CS406" s="2345"/>
      <c r="CT406" s="2345"/>
      <c r="CU406" s="2345"/>
      <c r="CV406" s="2345"/>
      <c r="CW406" s="2345"/>
      <c r="CX406" s="2345"/>
      <c r="CY406" s="2345"/>
      <c r="CZ406" s="2345"/>
      <c r="DA406" s="2345"/>
      <c r="DB406" s="2345"/>
      <c r="DC406" s="2345"/>
      <c r="DD406" s="2345"/>
      <c r="DE406" s="2345"/>
      <c r="DF406" s="2345"/>
      <c r="DG406" s="2345"/>
    </row>
    <row r="407" spans="1:111" s="2345" customFormat="1" ht="15" hidden="1" customHeight="1" outlineLevel="1">
      <c r="A407" s="2339"/>
      <c r="B407" s="3052"/>
      <c r="C407" s="3048"/>
      <c r="D407" s="3050"/>
      <c r="E407" s="3049"/>
      <c r="F407" s="2340" t="s">
        <v>3864</v>
      </c>
      <c r="G407" s="2337"/>
      <c r="H407" s="2636"/>
      <c r="I407" s="2636"/>
      <c r="J407" s="2636"/>
      <c r="K407" s="2636"/>
      <c r="L407" s="2636"/>
      <c r="M407" s="2636"/>
      <c r="N407" s="2636"/>
      <c r="O407" s="2641"/>
      <c r="P407" s="2641"/>
      <c r="Q407" s="2649"/>
      <c r="R407" s="2641"/>
      <c r="S407" s="2641"/>
      <c r="T407" s="2650"/>
      <c r="U407" s="2649"/>
      <c r="V407" s="2566"/>
      <c r="W407" s="2566"/>
      <c r="X407" s="2566"/>
      <c r="Y407" s="2566"/>
      <c r="Z407" s="2642"/>
      <c r="AA407" s="2642"/>
      <c r="AB407" s="2642"/>
      <c r="AC407" s="2642"/>
      <c r="AD407" s="2642"/>
      <c r="AE407" s="2642"/>
      <c r="AF407" s="2642"/>
      <c r="AG407" s="2642"/>
      <c r="AH407" s="2642"/>
      <c r="AI407" s="2642"/>
      <c r="AJ407" s="2566"/>
    </row>
    <row r="408" spans="1:111" s="2345" customFormat="1" ht="15" hidden="1" customHeight="1" outlineLevel="1">
      <c r="A408" s="2339"/>
      <c r="B408" s="3052"/>
      <c r="C408" s="3048"/>
      <c r="D408" s="3050"/>
      <c r="E408" s="3049"/>
      <c r="F408" s="2340" t="s">
        <v>3865</v>
      </c>
      <c r="G408" s="2337"/>
      <c r="H408" s="2636"/>
      <c r="I408" s="2636"/>
      <c r="J408" s="2636"/>
      <c r="K408" s="2636"/>
      <c r="L408" s="2636"/>
      <c r="M408" s="2636"/>
      <c r="N408" s="2636"/>
      <c r="O408" s="2641"/>
      <c r="P408" s="2641"/>
      <c r="Q408" s="2649"/>
      <c r="R408" s="2641"/>
      <c r="S408" s="2641"/>
      <c r="T408" s="2650"/>
      <c r="U408" s="2649"/>
      <c r="V408" s="2566"/>
      <c r="W408" s="2566"/>
      <c r="X408" s="2566"/>
      <c r="Y408" s="2566"/>
      <c r="Z408" s="2642"/>
      <c r="AA408" s="2642"/>
      <c r="AB408" s="2642"/>
      <c r="AC408" s="2642"/>
      <c r="AD408" s="2642"/>
      <c r="AE408" s="2642"/>
      <c r="AF408" s="2642"/>
      <c r="AG408" s="2642"/>
      <c r="AH408" s="2642"/>
      <c r="AI408" s="2642"/>
      <c r="AJ408" s="2566"/>
    </row>
    <row r="409" spans="1:111" s="2345" customFormat="1" ht="15" hidden="1" customHeight="1" outlineLevel="1">
      <c r="A409" s="2339"/>
      <c r="B409" s="3052"/>
      <c r="C409" s="3047" t="s">
        <v>3915</v>
      </c>
      <c r="D409" s="3048" t="s">
        <v>3908</v>
      </c>
      <c r="E409" s="3047" t="s">
        <v>3909</v>
      </c>
      <c r="F409" s="2340" t="s">
        <v>3860</v>
      </c>
      <c r="G409" s="2337"/>
      <c r="H409" s="2636"/>
      <c r="I409" s="2636"/>
      <c r="J409" s="2636"/>
      <c r="K409" s="2636"/>
      <c r="L409" s="2636"/>
      <c r="M409" s="2636"/>
      <c r="N409" s="2636"/>
      <c r="O409" s="2641"/>
      <c r="P409" s="2641"/>
      <c r="Q409" s="2649"/>
      <c r="R409" s="2641"/>
      <c r="S409" s="2641"/>
      <c r="T409" s="2650"/>
      <c r="U409" s="2649"/>
      <c r="V409" s="2566"/>
      <c r="W409" s="2566"/>
      <c r="X409" s="2566"/>
      <c r="Y409" s="2566"/>
      <c r="Z409" s="2642"/>
      <c r="AA409" s="2642"/>
      <c r="AB409" s="2642"/>
      <c r="AC409" s="2642"/>
      <c r="AD409" s="2642"/>
      <c r="AE409" s="2642"/>
      <c r="AF409" s="2642"/>
      <c r="AG409" s="2642"/>
      <c r="AH409" s="2642"/>
      <c r="AI409" s="2642"/>
      <c r="AJ409" s="2566"/>
    </row>
    <row r="410" spans="1:111" s="2345" customFormat="1" ht="15" hidden="1" customHeight="1" outlineLevel="1">
      <c r="A410" s="2339"/>
      <c r="B410" s="3052"/>
      <c r="C410" s="3047"/>
      <c r="D410" s="3048"/>
      <c r="E410" s="3047"/>
      <c r="F410" s="2340" t="s">
        <v>3861</v>
      </c>
      <c r="G410" s="2337"/>
      <c r="H410" s="2636"/>
      <c r="I410" s="2636"/>
      <c r="J410" s="2636"/>
      <c r="K410" s="2636"/>
      <c r="L410" s="2636"/>
      <c r="M410" s="2636"/>
      <c r="N410" s="2665"/>
      <c r="O410" s="2641"/>
      <c r="P410" s="2641"/>
      <c r="Q410" s="2649"/>
      <c r="R410" s="2641"/>
      <c r="S410" s="2641"/>
      <c r="T410" s="2650"/>
      <c r="U410" s="2649"/>
      <c r="V410" s="2566"/>
      <c r="W410" s="2566"/>
      <c r="X410" s="2566"/>
      <c r="Y410" s="2566"/>
      <c r="Z410" s="2642"/>
      <c r="AA410" s="2642"/>
      <c r="AB410" s="2642"/>
      <c r="AC410" s="2642"/>
      <c r="AD410" s="2642"/>
      <c r="AE410" s="2642"/>
      <c r="AF410" s="2642"/>
      <c r="AG410" s="2642"/>
      <c r="AH410" s="2642"/>
      <c r="AI410" s="2642"/>
      <c r="AJ410" s="2566"/>
    </row>
    <row r="411" spans="1:111" s="2345" customFormat="1" ht="15" hidden="1" customHeight="1" outlineLevel="1">
      <c r="A411" s="2339"/>
      <c r="B411" s="3052"/>
      <c r="C411" s="3047"/>
      <c r="D411" s="3048"/>
      <c r="E411" s="3047"/>
      <c r="F411" s="2340" t="s">
        <v>3862</v>
      </c>
      <c r="G411" s="2337"/>
      <c r="H411" s="2636"/>
      <c r="I411" s="2636"/>
      <c r="J411" s="2636"/>
      <c r="K411" s="2636"/>
      <c r="L411" s="2636"/>
      <c r="M411" s="2636"/>
      <c r="N411" s="2636"/>
      <c r="O411" s="2641"/>
      <c r="P411" s="2641"/>
      <c r="Q411" s="2649"/>
      <c r="R411" s="2641"/>
      <c r="S411" s="2641"/>
      <c r="T411" s="2650"/>
      <c r="U411" s="2649"/>
      <c r="V411" s="2566"/>
      <c r="W411" s="2566"/>
      <c r="X411" s="2566"/>
      <c r="Y411" s="2566"/>
      <c r="Z411" s="2642"/>
      <c r="AA411" s="2642"/>
      <c r="AB411" s="2642"/>
      <c r="AC411" s="2642"/>
      <c r="AD411" s="2642"/>
      <c r="AE411" s="2642"/>
      <c r="AF411" s="2642"/>
      <c r="AG411" s="2642"/>
      <c r="AH411" s="2642"/>
      <c r="AI411" s="2642"/>
      <c r="AJ411" s="2566"/>
    </row>
    <row r="412" spans="1:111" s="2345" customFormat="1" ht="15" hidden="1" customHeight="1" outlineLevel="1">
      <c r="A412" s="2339"/>
      <c r="B412" s="3052"/>
      <c r="C412" s="3047"/>
      <c r="D412" s="3048"/>
      <c r="E412" s="3047"/>
      <c r="F412" s="2340" t="s">
        <v>3863</v>
      </c>
      <c r="G412" s="2337"/>
      <c r="H412" s="2636"/>
      <c r="I412" s="2636"/>
      <c r="J412" s="2636"/>
      <c r="K412" s="2636"/>
      <c r="L412" s="2636"/>
      <c r="M412" s="2636"/>
      <c r="N412" s="2636"/>
      <c r="O412" s="2641"/>
      <c r="P412" s="2641"/>
      <c r="Q412" s="2649"/>
      <c r="R412" s="2641"/>
      <c r="S412" s="2641"/>
      <c r="T412" s="2650"/>
      <c r="U412" s="2649"/>
      <c r="V412" s="2566"/>
      <c r="W412" s="2566"/>
      <c r="X412" s="2566"/>
      <c r="Y412" s="2566"/>
      <c r="Z412" s="2642"/>
      <c r="AA412" s="2642"/>
      <c r="AB412" s="2642"/>
      <c r="AC412" s="2642"/>
      <c r="AD412" s="2642"/>
      <c r="AE412" s="2642"/>
      <c r="AF412" s="2642"/>
      <c r="AG412" s="2642"/>
      <c r="AH412" s="2642"/>
      <c r="AI412" s="2642"/>
      <c r="AJ412" s="2566"/>
    </row>
    <row r="413" spans="1:111" s="2345" customFormat="1" ht="15" hidden="1" customHeight="1" outlineLevel="1">
      <c r="A413" s="2339"/>
      <c r="B413" s="3052"/>
      <c r="C413" s="3047"/>
      <c r="D413" s="3048"/>
      <c r="E413" s="3047"/>
      <c r="F413" s="2340" t="s">
        <v>3864</v>
      </c>
      <c r="G413" s="2337"/>
      <c r="H413" s="2636"/>
      <c r="I413" s="2636"/>
      <c r="J413" s="2636"/>
      <c r="K413" s="2636"/>
      <c r="L413" s="2636"/>
      <c r="M413" s="2636"/>
      <c r="N413" s="2636"/>
      <c r="O413" s="2641"/>
      <c r="P413" s="2641"/>
      <c r="Q413" s="2649"/>
      <c r="R413" s="2641"/>
      <c r="S413" s="2641"/>
      <c r="T413" s="2650"/>
      <c r="U413" s="2649"/>
      <c r="V413" s="2566"/>
      <c r="W413" s="2566"/>
      <c r="X413" s="2566"/>
      <c r="Y413" s="2566"/>
      <c r="Z413" s="2642"/>
      <c r="AA413" s="2642"/>
      <c r="AB413" s="2642"/>
      <c r="AC413" s="2642"/>
      <c r="AD413" s="2642"/>
      <c r="AE413" s="2642"/>
      <c r="AF413" s="2642"/>
      <c r="AG413" s="2642"/>
      <c r="AH413" s="2642"/>
      <c r="AI413" s="2642"/>
      <c r="AJ413" s="2566"/>
    </row>
    <row r="414" spans="1:111" s="2345" customFormat="1" ht="15" hidden="1" customHeight="1" outlineLevel="1">
      <c r="A414" s="2339"/>
      <c r="B414" s="3052"/>
      <c r="C414" s="3047"/>
      <c r="D414" s="3048"/>
      <c r="E414" s="3047"/>
      <c r="F414" s="2340" t="s">
        <v>3865</v>
      </c>
      <c r="G414" s="2337"/>
      <c r="H414" s="2639"/>
      <c r="I414" s="2639"/>
      <c r="J414" s="2639"/>
      <c r="K414" s="2639"/>
      <c r="L414" s="2639"/>
      <c r="M414" s="2639"/>
      <c r="N414" s="2641"/>
      <c r="O414" s="2641"/>
      <c r="P414" s="2641"/>
      <c r="Q414" s="2649"/>
      <c r="R414" s="2641"/>
      <c r="S414" s="2641"/>
      <c r="T414" s="2650"/>
      <c r="U414" s="2649"/>
      <c r="V414" s="2566"/>
      <c r="W414" s="2566"/>
      <c r="X414" s="2566"/>
      <c r="Y414" s="2566"/>
      <c r="Z414" s="2642"/>
      <c r="AA414" s="2642"/>
      <c r="AB414" s="2642"/>
      <c r="AC414" s="2642"/>
      <c r="AD414" s="2642"/>
      <c r="AE414" s="2642"/>
      <c r="AF414" s="2642"/>
      <c r="AG414" s="2642"/>
      <c r="AH414" s="2642"/>
      <c r="AI414" s="2642"/>
      <c r="AJ414" s="2566"/>
    </row>
    <row r="415" spans="1:111" s="2346" customFormat="1" ht="15" hidden="1" customHeight="1" outlineLevel="1">
      <c r="A415" s="2339"/>
      <c r="B415" s="3052"/>
      <c r="C415" s="3047"/>
      <c r="D415" s="3048" t="s">
        <v>3911</v>
      </c>
      <c r="E415" s="3049" t="s">
        <v>3909</v>
      </c>
      <c r="F415" s="2341" t="s">
        <v>3860</v>
      </c>
      <c r="G415" s="2342"/>
      <c r="H415" s="2639"/>
      <c r="I415" s="2639"/>
      <c r="J415" s="2639"/>
      <c r="K415" s="2639"/>
      <c r="L415" s="2639"/>
      <c r="M415" s="2639"/>
      <c r="N415" s="2641"/>
      <c r="O415" s="2641"/>
      <c r="P415" s="2641"/>
      <c r="Q415" s="2649"/>
      <c r="R415" s="2641"/>
      <c r="S415" s="2641"/>
      <c r="T415" s="2650"/>
      <c r="U415" s="2649"/>
      <c r="V415" s="2566"/>
      <c r="W415" s="2566"/>
      <c r="X415" s="2566"/>
      <c r="Y415" s="2566"/>
      <c r="Z415" s="2642"/>
      <c r="AA415" s="2642"/>
      <c r="AB415" s="2642"/>
      <c r="AC415" s="2642"/>
      <c r="AD415" s="2642"/>
      <c r="AE415" s="2642"/>
      <c r="AF415" s="2642"/>
      <c r="AG415" s="2642"/>
      <c r="AH415" s="2642"/>
      <c r="AI415" s="2642"/>
      <c r="AJ415" s="2566"/>
      <c r="AK415" s="2345"/>
      <c r="AL415" s="2345"/>
      <c r="AM415" s="2345"/>
      <c r="AN415" s="2345"/>
      <c r="AO415" s="2345"/>
      <c r="AP415" s="2345"/>
      <c r="AQ415" s="2345"/>
      <c r="AR415" s="2345"/>
      <c r="AS415" s="2345"/>
      <c r="AT415" s="2345"/>
      <c r="AU415" s="2345"/>
      <c r="AV415" s="2345"/>
      <c r="AW415" s="2345"/>
      <c r="AX415" s="2345"/>
      <c r="AY415" s="2345"/>
      <c r="AZ415" s="2345"/>
      <c r="BA415" s="2345"/>
      <c r="BB415" s="2345"/>
      <c r="BC415" s="2345"/>
      <c r="BD415" s="2345"/>
      <c r="BE415" s="2345"/>
      <c r="BF415" s="2345"/>
      <c r="BG415" s="2345"/>
      <c r="BH415" s="2345"/>
      <c r="BI415" s="2345"/>
      <c r="BJ415" s="2345"/>
      <c r="BK415" s="2345"/>
      <c r="BL415" s="2345"/>
      <c r="BM415" s="2345"/>
      <c r="BN415" s="2345"/>
      <c r="BO415" s="2345"/>
      <c r="BP415" s="2345"/>
      <c r="BQ415" s="2345"/>
      <c r="BR415" s="2345"/>
      <c r="BS415" s="2345"/>
      <c r="BT415" s="2345"/>
      <c r="BU415" s="2345"/>
      <c r="BV415" s="2345"/>
      <c r="BW415" s="2345"/>
      <c r="BX415" s="2345"/>
      <c r="BY415" s="2345"/>
      <c r="BZ415" s="2345"/>
      <c r="CA415" s="2345"/>
      <c r="CB415" s="2345"/>
      <c r="CC415" s="2345"/>
      <c r="CD415" s="2345"/>
      <c r="CE415" s="2345"/>
      <c r="CF415" s="2345"/>
      <c r="CG415" s="2345"/>
      <c r="CH415" s="2345"/>
      <c r="CI415" s="2345"/>
      <c r="CJ415" s="2345"/>
      <c r="CK415" s="2345"/>
      <c r="CL415" s="2345"/>
      <c r="CM415" s="2345"/>
      <c r="CN415" s="2345"/>
      <c r="CO415" s="2345"/>
      <c r="CP415" s="2345"/>
      <c r="CQ415" s="2345"/>
      <c r="CR415" s="2345"/>
      <c r="CS415" s="2345"/>
      <c r="CT415" s="2345"/>
      <c r="CU415" s="2345"/>
      <c r="CV415" s="2345"/>
      <c r="CW415" s="2345"/>
      <c r="CX415" s="2345"/>
      <c r="CY415" s="2345"/>
      <c r="CZ415" s="2345"/>
      <c r="DA415" s="2345"/>
      <c r="DB415" s="2345"/>
      <c r="DC415" s="2345"/>
      <c r="DD415" s="2345"/>
      <c r="DE415" s="2345"/>
      <c r="DF415" s="2345"/>
      <c r="DG415" s="2345"/>
    </row>
    <row r="416" spans="1:111" s="2346" customFormat="1" ht="15" hidden="1" customHeight="1" outlineLevel="1">
      <c r="A416" s="2339"/>
      <c r="B416" s="3052"/>
      <c r="C416" s="3047"/>
      <c r="D416" s="3048"/>
      <c r="E416" s="3049"/>
      <c r="F416" s="2341" t="s">
        <v>3861</v>
      </c>
      <c r="G416" s="2342"/>
      <c r="H416" s="2639"/>
      <c r="I416" s="2639"/>
      <c r="J416" s="2639"/>
      <c r="K416" s="2639"/>
      <c r="L416" s="2639"/>
      <c r="M416" s="2639"/>
      <c r="N416" s="2641"/>
      <c r="O416" s="2641"/>
      <c r="P416" s="2641"/>
      <c r="Q416" s="2649"/>
      <c r="R416" s="2641"/>
      <c r="S416" s="2641"/>
      <c r="T416" s="2650"/>
      <c r="U416" s="2649"/>
      <c r="V416" s="2566"/>
      <c r="W416" s="2566"/>
      <c r="X416" s="2566"/>
      <c r="Y416" s="2566"/>
      <c r="Z416" s="2642"/>
      <c r="AA416" s="2642"/>
      <c r="AB416" s="2642"/>
      <c r="AC416" s="2642"/>
      <c r="AD416" s="2642"/>
      <c r="AE416" s="2642"/>
      <c r="AF416" s="2642"/>
      <c r="AG416" s="2642"/>
      <c r="AH416" s="2642"/>
      <c r="AI416" s="2642"/>
      <c r="AJ416" s="2566"/>
      <c r="AK416" s="2345"/>
      <c r="AL416" s="2345"/>
      <c r="AM416" s="2345"/>
      <c r="AN416" s="2345"/>
      <c r="AO416" s="2345"/>
      <c r="AP416" s="2345"/>
      <c r="AQ416" s="2345"/>
      <c r="AR416" s="2345"/>
      <c r="AS416" s="2345"/>
      <c r="AT416" s="2345"/>
      <c r="AU416" s="2345"/>
      <c r="AV416" s="2345"/>
      <c r="AW416" s="2345"/>
      <c r="AX416" s="2345"/>
      <c r="AY416" s="2345"/>
      <c r="AZ416" s="2345"/>
      <c r="BA416" s="2345"/>
      <c r="BB416" s="2345"/>
      <c r="BC416" s="2345"/>
      <c r="BD416" s="2345"/>
      <c r="BE416" s="2345"/>
      <c r="BF416" s="2345"/>
      <c r="BG416" s="2345"/>
      <c r="BH416" s="2345"/>
      <c r="BI416" s="2345"/>
      <c r="BJ416" s="2345"/>
      <c r="BK416" s="2345"/>
      <c r="BL416" s="2345"/>
      <c r="BM416" s="2345"/>
      <c r="BN416" s="2345"/>
      <c r="BO416" s="2345"/>
      <c r="BP416" s="2345"/>
      <c r="BQ416" s="2345"/>
      <c r="BR416" s="2345"/>
      <c r="BS416" s="2345"/>
      <c r="BT416" s="2345"/>
      <c r="BU416" s="2345"/>
      <c r="BV416" s="2345"/>
      <c r="BW416" s="2345"/>
      <c r="BX416" s="2345"/>
      <c r="BY416" s="2345"/>
      <c r="BZ416" s="2345"/>
      <c r="CA416" s="2345"/>
      <c r="CB416" s="2345"/>
      <c r="CC416" s="2345"/>
      <c r="CD416" s="2345"/>
      <c r="CE416" s="2345"/>
      <c r="CF416" s="2345"/>
      <c r="CG416" s="2345"/>
      <c r="CH416" s="2345"/>
      <c r="CI416" s="2345"/>
      <c r="CJ416" s="2345"/>
      <c r="CK416" s="2345"/>
      <c r="CL416" s="2345"/>
      <c r="CM416" s="2345"/>
      <c r="CN416" s="2345"/>
      <c r="CO416" s="2345"/>
      <c r="CP416" s="2345"/>
      <c r="CQ416" s="2345"/>
      <c r="CR416" s="2345"/>
      <c r="CS416" s="2345"/>
      <c r="CT416" s="2345"/>
      <c r="CU416" s="2345"/>
      <c r="CV416" s="2345"/>
      <c r="CW416" s="2345"/>
      <c r="CX416" s="2345"/>
      <c r="CY416" s="2345"/>
      <c r="CZ416" s="2345"/>
      <c r="DA416" s="2345"/>
      <c r="DB416" s="2345"/>
      <c r="DC416" s="2345"/>
      <c r="DD416" s="2345"/>
      <c r="DE416" s="2345"/>
      <c r="DF416" s="2345"/>
      <c r="DG416" s="2345"/>
    </row>
    <row r="417" spans="1:111" s="2346" customFormat="1" ht="15" hidden="1" customHeight="1" outlineLevel="1">
      <c r="A417" s="2339"/>
      <c r="B417" s="3052"/>
      <c r="C417" s="3047"/>
      <c r="D417" s="3048"/>
      <c r="E417" s="3049"/>
      <c r="F417" s="2341" t="s">
        <v>3862</v>
      </c>
      <c r="G417" s="2342"/>
      <c r="H417" s="2639"/>
      <c r="I417" s="2639"/>
      <c r="J417" s="2639"/>
      <c r="K417" s="2639"/>
      <c r="L417" s="2639"/>
      <c r="M417" s="2639"/>
      <c r="N417" s="2641"/>
      <c r="O417" s="2641"/>
      <c r="P417" s="2641"/>
      <c r="Q417" s="2649"/>
      <c r="R417" s="2641"/>
      <c r="S417" s="2641"/>
      <c r="T417" s="2650"/>
      <c r="U417" s="2649"/>
      <c r="V417" s="2566"/>
      <c r="W417" s="2566"/>
      <c r="X417" s="2566"/>
      <c r="Y417" s="2566"/>
      <c r="Z417" s="2642"/>
      <c r="AA417" s="2642"/>
      <c r="AB417" s="2642"/>
      <c r="AC417" s="2642"/>
      <c r="AD417" s="2642"/>
      <c r="AE417" s="2642"/>
      <c r="AF417" s="2642"/>
      <c r="AG417" s="2642"/>
      <c r="AH417" s="2642"/>
      <c r="AI417" s="2642"/>
      <c r="AJ417" s="2566"/>
      <c r="AK417" s="2345"/>
      <c r="AL417" s="2345"/>
      <c r="AM417" s="2345"/>
      <c r="AN417" s="2345"/>
      <c r="AO417" s="2345"/>
      <c r="AP417" s="2345"/>
      <c r="AQ417" s="2345"/>
      <c r="AR417" s="2345"/>
      <c r="AS417" s="2345"/>
      <c r="AT417" s="2345"/>
      <c r="AU417" s="2345"/>
      <c r="AV417" s="2345"/>
      <c r="AW417" s="2345"/>
      <c r="AX417" s="2345"/>
      <c r="AY417" s="2345"/>
      <c r="AZ417" s="2345"/>
      <c r="BA417" s="2345"/>
      <c r="BB417" s="2345"/>
      <c r="BC417" s="2345"/>
      <c r="BD417" s="2345"/>
      <c r="BE417" s="2345"/>
      <c r="BF417" s="2345"/>
      <c r="BG417" s="2345"/>
      <c r="BH417" s="2345"/>
      <c r="BI417" s="2345"/>
      <c r="BJ417" s="2345"/>
      <c r="BK417" s="2345"/>
      <c r="BL417" s="2345"/>
      <c r="BM417" s="2345"/>
      <c r="BN417" s="2345"/>
      <c r="BO417" s="2345"/>
      <c r="BP417" s="2345"/>
      <c r="BQ417" s="2345"/>
      <c r="BR417" s="2345"/>
      <c r="BS417" s="2345"/>
      <c r="BT417" s="2345"/>
      <c r="BU417" s="2345"/>
      <c r="BV417" s="2345"/>
      <c r="BW417" s="2345"/>
      <c r="BX417" s="2345"/>
      <c r="BY417" s="2345"/>
      <c r="BZ417" s="2345"/>
      <c r="CA417" s="2345"/>
      <c r="CB417" s="2345"/>
      <c r="CC417" s="2345"/>
      <c r="CD417" s="2345"/>
      <c r="CE417" s="2345"/>
      <c r="CF417" s="2345"/>
      <c r="CG417" s="2345"/>
      <c r="CH417" s="2345"/>
      <c r="CI417" s="2345"/>
      <c r="CJ417" s="2345"/>
      <c r="CK417" s="2345"/>
      <c r="CL417" s="2345"/>
      <c r="CM417" s="2345"/>
      <c r="CN417" s="2345"/>
      <c r="CO417" s="2345"/>
      <c r="CP417" s="2345"/>
      <c r="CQ417" s="2345"/>
      <c r="CR417" s="2345"/>
      <c r="CS417" s="2345"/>
      <c r="CT417" s="2345"/>
      <c r="CU417" s="2345"/>
      <c r="CV417" s="2345"/>
      <c r="CW417" s="2345"/>
      <c r="CX417" s="2345"/>
      <c r="CY417" s="2345"/>
      <c r="CZ417" s="2345"/>
      <c r="DA417" s="2345"/>
      <c r="DB417" s="2345"/>
      <c r="DC417" s="2345"/>
      <c r="DD417" s="2345"/>
      <c r="DE417" s="2345"/>
      <c r="DF417" s="2345"/>
      <c r="DG417" s="2345"/>
    </row>
    <row r="418" spans="1:111" s="2346" customFormat="1" ht="15" hidden="1" customHeight="1" outlineLevel="1">
      <c r="A418" s="2339"/>
      <c r="B418" s="3052"/>
      <c r="C418" s="3047"/>
      <c r="D418" s="3048"/>
      <c r="E418" s="3049"/>
      <c r="F418" s="2341" t="s">
        <v>3863</v>
      </c>
      <c r="G418" s="2342"/>
      <c r="H418" s="2639"/>
      <c r="I418" s="2639"/>
      <c r="J418" s="2639"/>
      <c r="K418" s="2639"/>
      <c r="L418" s="2639"/>
      <c r="M418" s="2639"/>
      <c r="N418" s="2641"/>
      <c r="O418" s="2641"/>
      <c r="P418" s="2641"/>
      <c r="Q418" s="2649"/>
      <c r="R418" s="2641"/>
      <c r="S418" s="2641"/>
      <c r="T418" s="2650"/>
      <c r="U418" s="2649"/>
      <c r="V418" s="2566"/>
      <c r="W418" s="2566"/>
      <c r="X418" s="2566"/>
      <c r="Y418" s="2566"/>
      <c r="Z418" s="2642"/>
      <c r="AA418" s="2642"/>
      <c r="AB418" s="2642"/>
      <c r="AC418" s="2642"/>
      <c r="AD418" s="2642"/>
      <c r="AE418" s="2642"/>
      <c r="AF418" s="2642"/>
      <c r="AG418" s="2642"/>
      <c r="AH418" s="2642"/>
      <c r="AI418" s="2642"/>
      <c r="AJ418" s="2566"/>
      <c r="AK418" s="2345"/>
      <c r="AL418" s="2345"/>
      <c r="AM418" s="2345"/>
      <c r="AN418" s="2345"/>
      <c r="AO418" s="2345"/>
      <c r="AP418" s="2345"/>
      <c r="AQ418" s="2345"/>
      <c r="AR418" s="2345"/>
      <c r="AS418" s="2345"/>
      <c r="AT418" s="2345"/>
      <c r="AU418" s="2345"/>
      <c r="AV418" s="2345"/>
      <c r="AW418" s="2345"/>
      <c r="AX418" s="2345"/>
      <c r="AY418" s="2345"/>
      <c r="AZ418" s="2345"/>
      <c r="BA418" s="2345"/>
      <c r="BB418" s="2345"/>
      <c r="BC418" s="2345"/>
      <c r="BD418" s="2345"/>
      <c r="BE418" s="2345"/>
      <c r="BF418" s="2345"/>
      <c r="BG418" s="2345"/>
      <c r="BH418" s="2345"/>
      <c r="BI418" s="2345"/>
      <c r="BJ418" s="2345"/>
      <c r="BK418" s="2345"/>
      <c r="BL418" s="2345"/>
      <c r="BM418" s="2345"/>
      <c r="BN418" s="2345"/>
      <c r="BO418" s="2345"/>
      <c r="BP418" s="2345"/>
      <c r="BQ418" s="2345"/>
      <c r="BR418" s="2345"/>
      <c r="BS418" s="2345"/>
      <c r="BT418" s="2345"/>
      <c r="BU418" s="2345"/>
      <c r="BV418" s="2345"/>
      <c r="BW418" s="2345"/>
      <c r="BX418" s="2345"/>
      <c r="BY418" s="2345"/>
      <c r="BZ418" s="2345"/>
      <c r="CA418" s="2345"/>
      <c r="CB418" s="2345"/>
      <c r="CC418" s="2345"/>
      <c r="CD418" s="2345"/>
      <c r="CE418" s="2345"/>
      <c r="CF418" s="2345"/>
      <c r="CG418" s="2345"/>
      <c r="CH418" s="2345"/>
      <c r="CI418" s="2345"/>
      <c r="CJ418" s="2345"/>
      <c r="CK418" s="2345"/>
      <c r="CL418" s="2345"/>
      <c r="CM418" s="2345"/>
      <c r="CN418" s="2345"/>
      <c r="CO418" s="2345"/>
      <c r="CP418" s="2345"/>
      <c r="CQ418" s="2345"/>
      <c r="CR418" s="2345"/>
      <c r="CS418" s="2345"/>
      <c r="CT418" s="2345"/>
      <c r="CU418" s="2345"/>
      <c r="CV418" s="2345"/>
      <c r="CW418" s="2345"/>
      <c r="CX418" s="2345"/>
      <c r="CY418" s="2345"/>
      <c r="CZ418" s="2345"/>
      <c r="DA418" s="2345"/>
      <c r="DB418" s="2345"/>
      <c r="DC418" s="2345"/>
      <c r="DD418" s="2345"/>
      <c r="DE418" s="2345"/>
      <c r="DF418" s="2345"/>
      <c r="DG418" s="2345"/>
    </row>
    <row r="419" spans="1:111" s="2345" customFormat="1" ht="15" hidden="1" customHeight="1" outlineLevel="1">
      <c r="A419" s="2339"/>
      <c r="B419" s="3052"/>
      <c r="C419" s="3047"/>
      <c r="D419" s="3048"/>
      <c r="E419" s="3049"/>
      <c r="F419" s="2340" t="s">
        <v>3864</v>
      </c>
      <c r="G419" s="2337"/>
      <c r="H419" s="2639"/>
      <c r="I419" s="2639"/>
      <c r="J419" s="2639"/>
      <c r="K419" s="2639"/>
      <c r="L419" s="2639"/>
      <c r="M419" s="2639"/>
      <c r="N419" s="2641"/>
      <c r="O419" s="2641"/>
      <c r="P419" s="2641"/>
      <c r="Q419" s="2649"/>
      <c r="R419" s="2641"/>
      <c r="S419" s="2641"/>
      <c r="T419" s="2650"/>
      <c r="U419" s="2649"/>
      <c r="V419" s="2566"/>
      <c r="W419" s="2566"/>
      <c r="X419" s="2566"/>
      <c r="Y419" s="2566"/>
      <c r="Z419" s="2642"/>
      <c r="AA419" s="2642"/>
      <c r="AB419" s="2642"/>
      <c r="AC419" s="2642"/>
      <c r="AD419" s="2642"/>
      <c r="AE419" s="2642"/>
      <c r="AF419" s="2642"/>
      <c r="AG419" s="2642"/>
      <c r="AH419" s="2642"/>
      <c r="AI419" s="2642"/>
      <c r="AJ419" s="2566"/>
    </row>
    <row r="420" spans="1:111" s="2345" customFormat="1" ht="15" hidden="1" customHeight="1" outlineLevel="1">
      <c r="A420" s="2339"/>
      <c r="B420" s="3052"/>
      <c r="C420" s="3047"/>
      <c r="D420" s="3048"/>
      <c r="E420" s="3049"/>
      <c r="F420" s="2340" t="s">
        <v>3865</v>
      </c>
      <c r="G420" s="2337"/>
      <c r="H420" s="2639"/>
      <c r="I420" s="2639"/>
      <c r="J420" s="2639"/>
      <c r="K420" s="2639"/>
      <c r="L420" s="2639"/>
      <c r="M420" s="2639"/>
      <c r="N420" s="2641"/>
      <c r="O420" s="2641"/>
      <c r="P420" s="2641"/>
      <c r="Q420" s="2649"/>
      <c r="R420" s="2641"/>
      <c r="S420" s="2641"/>
      <c r="T420" s="2650"/>
      <c r="U420" s="2649"/>
      <c r="V420" s="2566"/>
      <c r="W420" s="2566"/>
      <c r="X420" s="2566"/>
      <c r="Y420" s="2566"/>
      <c r="Z420" s="2642"/>
      <c r="AA420" s="2642"/>
      <c r="AB420" s="2642"/>
      <c r="AC420" s="2642"/>
      <c r="AD420" s="2642"/>
      <c r="AE420" s="2642"/>
      <c r="AF420" s="2642"/>
      <c r="AG420" s="2642"/>
      <c r="AH420" s="2642"/>
      <c r="AI420" s="2642"/>
      <c r="AJ420" s="2566"/>
    </row>
    <row r="421" spans="1:111" s="2345" customFormat="1" ht="15" hidden="1" customHeight="1" outlineLevel="1">
      <c r="A421" s="2339"/>
      <c r="B421" s="3052"/>
      <c r="C421" s="3047"/>
      <c r="D421" s="3048"/>
      <c r="E421" s="3047" t="s">
        <v>3910</v>
      </c>
      <c r="F421" s="2340" t="s">
        <v>3860</v>
      </c>
      <c r="G421" s="2337"/>
      <c r="H421" s="2640"/>
      <c r="I421" s="2640"/>
      <c r="J421" s="2640"/>
      <c r="K421" s="2640"/>
      <c r="L421" s="2640"/>
      <c r="M421" s="2640"/>
      <c r="N421" s="2641"/>
      <c r="O421" s="2641"/>
      <c r="P421" s="2641"/>
      <c r="Q421" s="2649"/>
      <c r="R421" s="2641"/>
      <c r="S421" s="2641"/>
      <c r="T421" s="2650"/>
      <c r="U421" s="2649"/>
      <c r="V421" s="2566"/>
      <c r="W421" s="2566"/>
      <c r="X421" s="2566"/>
      <c r="Y421" s="2566"/>
      <c r="Z421" s="2642"/>
      <c r="AA421" s="2642"/>
      <c r="AB421" s="2642"/>
      <c r="AC421" s="2642"/>
      <c r="AD421" s="2642"/>
      <c r="AE421" s="2642"/>
      <c r="AF421" s="2642"/>
      <c r="AG421" s="2642"/>
      <c r="AH421" s="2642"/>
      <c r="AI421" s="2642"/>
      <c r="AJ421" s="2566"/>
    </row>
    <row r="422" spans="1:111" s="2345" customFormat="1" ht="15" hidden="1" customHeight="1" outlineLevel="1">
      <c r="A422" s="2339"/>
      <c r="B422" s="3052"/>
      <c r="C422" s="3047"/>
      <c r="D422" s="3048"/>
      <c r="E422" s="3047"/>
      <c r="F422" s="2340" t="s">
        <v>3861</v>
      </c>
      <c r="G422" s="2337"/>
      <c r="H422" s="2641"/>
      <c r="I422" s="2641"/>
      <c r="J422" s="2641"/>
      <c r="K422" s="2641"/>
      <c r="L422" s="2641"/>
      <c r="M422" s="2641"/>
      <c r="N422" s="2641"/>
      <c r="O422" s="2641"/>
      <c r="P422" s="2641"/>
      <c r="Q422" s="2649"/>
      <c r="R422" s="2641"/>
      <c r="S422" s="2641"/>
      <c r="T422" s="2650"/>
      <c r="U422" s="2649"/>
      <c r="V422" s="2566"/>
      <c r="W422" s="2566"/>
      <c r="X422" s="2566"/>
      <c r="Y422" s="2566"/>
      <c r="Z422" s="2642"/>
      <c r="AA422" s="2642"/>
      <c r="AB422" s="2642"/>
      <c r="AC422" s="2642"/>
      <c r="AD422" s="2642"/>
      <c r="AE422" s="2642"/>
      <c r="AF422" s="2642"/>
      <c r="AG422" s="2642"/>
      <c r="AH422" s="2642"/>
      <c r="AI422" s="2642"/>
      <c r="AJ422" s="2566"/>
    </row>
    <row r="423" spans="1:111" s="2345" customFormat="1" ht="15" hidden="1" customHeight="1" outlineLevel="1">
      <c r="A423" s="2339"/>
      <c r="B423" s="3052"/>
      <c r="C423" s="3047"/>
      <c r="D423" s="3048"/>
      <c r="E423" s="3047"/>
      <c r="F423" s="2340" t="s">
        <v>3862</v>
      </c>
      <c r="G423" s="2337"/>
      <c r="H423" s="2641"/>
      <c r="I423" s="2641"/>
      <c r="J423" s="2641"/>
      <c r="K423" s="2641"/>
      <c r="L423" s="2641"/>
      <c r="M423" s="2641"/>
      <c r="N423" s="2641"/>
      <c r="O423" s="2641"/>
      <c r="P423" s="2641"/>
      <c r="Q423" s="2649"/>
      <c r="R423" s="2641"/>
      <c r="S423" s="2641"/>
      <c r="T423" s="2650"/>
      <c r="U423" s="2649"/>
      <c r="V423" s="2566"/>
      <c r="W423" s="2566"/>
      <c r="X423" s="2566"/>
      <c r="Y423" s="2566"/>
      <c r="Z423" s="2642"/>
      <c r="AA423" s="2642"/>
      <c r="AB423" s="2642"/>
      <c r="AC423" s="2642"/>
      <c r="AD423" s="2642"/>
      <c r="AE423" s="2642"/>
      <c r="AF423" s="2642"/>
      <c r="AG423" s="2642"/>
      <c r="AH423" s="2642"/>
      <c r="AI423" s="2642"/>
      <c r="AJ423" s="2566"/>
    </row>
    <row r="424" spans="1:111" s="2345" customFormat="1" ht="15" hidden="1" customHeight="1" outlineLevel="1">
      <c r="A424" s="2339"/>
      <c r="B424" s="3052"/>
      <c r="C424" s="3047"/>
      <c r="D424" s="3048"/>
      <c r="E424" s="3047"/>
      <c r="F424" s="2340" t="s">
        <v>3863</v>
      </c>
      <c r="G424" s="2337"/>
      <c r="H424" s="2641"/>
      <c r="I424" s="2641"/>
      <c r="J424" s="2641"/>
      <c r="K424" s="2641"/>
      <c r="L424" s="2641"/>
      <c r="M424" s="2641"/>
      <c r="N424" s="2641"/>
      <c r="O424" s="2641"/>
      <c r="P424" s="2641"/>
      <c r="Q424" s="2649"/>
      <c r="R424" s="2641"/>
      <c r="S424" s="2641"/>
      <c r="T424" s="2650"/>
      <c r="U424" s="2649"/>
      <c r="V424" s="2566"/>
      <c r="W424" s="2566"/>
      <c r="X424" s="2566"/>
      <c r="Y424" s="2566"/>
      <c r="Z424" s="2642"/>
      <c r="AA424" s="2642"/>
      <c r="AB424" s="2642"/>
      <c r="AC424" s="2642"/>
      <c r="AD424" s="2642"/>
      <c r="AE424" s="2642"/>
      <c r="AF424" s="2642"/>
      <c r="AG424" s="2642"/>
      <c r="AH424" s="2642"/>
      <c r="AI424" s="2642"/>
      <c r="AJ424" s="2566"/>
    </row>
    <row r="425" spans="1:111" s="2345" customFormat="1" ht="15" hidden="1" customHeight="1" outlineLevel="1">
      <c r="A425" s="2339"/>
      <c r="B425" s="3052"/>
      <c r="C425" s="3047"/>
      <c r="D425" s="3048"/>
      <c r="E425" s="3047"/>
      <c r="F425" s="2340" t="s">
        <v>3864</v>
      </c>
      <c r="G425" s="2337"/>
      <c r="H425" s="2641"/>
      <c r="I425" s="2641"/>
      <c r="J425" s="2641"/>
      <c r="K425" s="2641"/>
      <c r="L425" s="2641"/>
      <c r="M425" s="2641"/>
      <c r="N425" s="2641"/>
      <c r="O425" s="2641"/>
      <c r="P425" s="2641"/>
      <c r="Q425" s="2649"/>
      <c r="R425" s="2641"/>
      <c r="S425" s="2641"/>
      <c r="T425" s="2650"/>
      <c r="U425" s="2649"/>
      <c r="V425" s="2566"/>
      <c r="W425" s="2566"/>
      <c r="X425" s="2566"/>
      <c r="Y425" s="2566"/>
      <c r="Z425" s="2642"/>
      <c r="AA425" s="2642"/>
      <c r="AB425" s="2642"/>
      <c r="AC425" s="2642"/>
      <c r="AD425" s="2642"/>
      <c r="AE425" s="2642"/>
      <c r="AF425" s="2642"/>
      <c r="AG425" s="2642"/>
      <c r="AH425" s="2642"/>
      <c r="AI425" s="2642"/>
      <c r="AJ425" s="2566"/>
    </row>
    <row r="426" spans="1:111" s="2345" customFormat="1" ht="15" hidden="1" customHeight="1" outlineLevel="1">
      <c r="A426" s="2339"/>
      <c r="B426" s="3052"/>
      <c r="C426" s="3047"/>
      <c r="D426" s="3048"/>
      <c r="E426" s="3047"/>
      <c r="F426" s="2340" t="s">
        <v>3865</v>
      </c>
      <c r="G426" s="2337"/>
      <c r="H426" s="2641"/>
      <c r="I426" s="2641"/>
      <c r="J426" s="2641"/>
      <c r="K426" s="2641"/>
      <c r="L426" s="2641"/>
      <c r="M426" s="2641"/>
      <c r="N426" s="2641"/>
      <c r="O426" s="2641"/>
      <c r="P426" s="2641"/>
      <c r="Q426" s="2649"/>
      <c r="R426" s="2641"/>
      <c r="S426" s="2641"/>
      <c r="T426" s="2650"/>
      <c r="U426" s="2649"/>
      <c r="V426" s="2566"/>
      <c r="W426" s="2566"/>
      <c r="X426" s="2566"/>
      <c r="Y426" s="2566"/>
      <c r="Z426" s="2642"/>
      <c r="AA426" s="2642"/>
      <c r="AB426" s="2642"/>
      <c r="AC426" s="2642"/>
      <c r="AD426" s="2642"/>
      <c r="AE426" s="2642"/>
      <c r="AF426" s="2642"/>
      <c r="AG426" s="2642"/>
      <c r="AH426" s="2642"/>
      <c r="AI426" s="2642"/>
      <c r="AJ426" s="2566"/>
    </row>
    <row r="427" spans="1:111" s="2346" customFormat="1" ht="51" hidden="1" customHeight="1" outlineLevel="1">
      <c r="A427" s="2339"/>
      <c r="B427" s="3052" t="s">
        <v>2948</v>
      </c>
      <c r="C427" s="3048" t="s">
        <v>3907</v>
      </c>
      <c r="D427" s="3048" t="s">
        <v>3908</v>
      </c>
      <c r="E427" s="3049" t="s">
        <v>3909</v>
      </c>
      <c r="F427" s="2347" t="s">
        <v>3860</v>
      </c>
      <c r="G427" s="2348"/>
      <c r="H427" s="2641"/>
      <c r="I427" s="2641"/>
      <c r="J427" s="2641"/>
      <c r="K427" s="2641"/>
      <c r="L427" s="2641"/>
      <c r="M427" s="2641"/>
      <c r="N427" s="2641"/>
      <c r="O427" s="2641"/>
      <c r="P427" s="2641"/>
      <c r="Q427" s="2649"/>
      <c r="R427" s="2641"/>
      <c r="S427" s="2641"/>
      <c r="T427" s="2650"/>
      <c r="U427" s="2649"/>
      <c r="V427" s="2566"/>
      <c r="W427" s="2566"/>
      <c r="X427" s="2566"/>
      <c r="Y427" s="2566"/>
      <c r="Z427" s="2642"/>
      <c r="AA427" s="2642"/>
      <c r="AB427" s="2642"/>
      <c r="AC427" s="2642"/>
      <c r="AD427" s="2642"/>
      <c r="AE427" s="2642"/>
      <c r="AF427" s="2642"/>
      <c r="AG427" s="2642"/>
      <c r="AH427" s="2642"/>
      <c r="AI427" s="2642"/>
      <c r="AJ427" s="2566"/>
      <c r="AK427" s="2345"/>
      <c r="AL427" s="2345"/>
      <c r="AM427" s="2345"/>
      <c r="AN427" s="2345"/>
      <c r="AO427" s="2345"/>
      <c r="AP427" s="2345"/>
      <c r="AQ427" s="2345"/>
      <c r="AR427" s="2345"/>
      <c r="AS427" s="2345"/>
      <c r="AT427" s="2345"/>
      <c r="AU427" s="2345"/>
      <c r="AV427" s="2345"/>
      <c r="AW427" s="2345"/>
      <c r="AX427" s="2345"/>
      <c r="AY427" s="2345"/>
      <c r="AZ427" s="2345"/>
      <c r="BA427" s="2345"/>
      <c r="BB427" s="2345"/>
      <c r="BC427" s="2345"/>
      <c r="BD427" s="2345"/>
      <c r="BE427" s="2345"/>
      <c r="BF427" s="2345"/>
      <c r="BG427" s="2345"/>
      <c r="BH427" s="2345"/>
      <c r="BI427" s="2345"/>
      <c r="BJ427" s="2345"/>
      <c r="BK427" s="2345"/>
      <c r="BL427" s="2345"/>
      <c r="BM427" s="2345"/>
      <c r="BN427" s="2345"/>
      <c r="BO427" s="2345"/>
      <c r="BP427" s="2345"/>
      <c r="BQ427" s="2345"/>
      <c r="BR427" s="2345"/>
      <c r="BS427" s="2345"/>
      <c r="BT427" s="2345"/>
      <c r="BU427" s="2345"/>
      <c r="BV427" s="2345"/>
      <c r="BW427" s="2345"/>
      <c r="BX427" s="2345"/>
      <c r="BY427" s="2345"/>
      <c r="BZ427" s="2345"/>
      <c r="CA427" s="2345"/>
      <c r="CB427" s="2345"/>
      <c r="CC427" s="2345"/>
      <c r="CD427" s="2345"/>
      <c r="CE427" s="2345"/>
      <c r="CF427" s="2345"/>
      <c r="CG427" s="2345"/>
      <c r="CH427" s="2345"/>
      <c r="CI427" s="2345"/>
      <c r="CJ427" s="2345"/>
      <c r="CK427" s="2345"/>
      <c r="CL427" s="2345"/>
      <c r="CM427" s="2345"/>
      <c r="CN427" s="2345"/>
      <c r="CO427" s="2345"/>
      <c r="CP427" s="2345"/>
      <c r="CQ427" s="2345"/>
      <c r="CR427" s="2345"/>
      <c r="CS427" s="2345"/>
      <c r="CT427" s="2345"/>
      <c r="CU427" s="2345"/>
      <c r="CV427" s="2345"/>
      <c r="CW427" s="2345"/>
      <c r="CX427" s="2345"/>
      <c r="CY427" s="2345"/>
      <c r="CZ427" s="2345"/>
      <c r="DA427" s="2345"/>
      <c r="DB427" s="2345"/>
      <c r="DC427" s="2345"/>
      <c r="DD427" s="2345"/>
      <c r="DE427" s="2345"/>
      <c r="DF427" s="2345"/>
      <c r="DG427" s="2345"/>
    </row>
    <row r="428" spans="1:111" s="2345" customFormat="1" ht="15" hidden="1" customHeight="1" outlineLevel="1">
      <c r="A428" s="2339"/>
      <c r="B428" s="3052"/>
      <c r="C428" s="3048"/>
      <c r="D428" s="3048"/>
      <c r="E428" s="3049"/>
      <c r="F428" s="2340" t="s">
        <v>3861</v>
      </c>
      <c r="G428" s="2337"/>
      <c r="H428" s="2641"/>
      <c r="I428" s="2641"/>
      <c r="J428" s="2641"/>
      <c r="K428" s="2641"/>
      <c r="L428" s="2641"/>
      <c r="M428" s="2641"/>
      <c r="N428" s="2641"/>
      <c r="O428" s="2641"/>
      <c r="P428" s="2641"/>
      <c r="Q428" s="2649"/>
      <c r="R428" s="2641"/>
      <c r="S428" s="2641"/>
      <c r="T428" s="2650"/>
      <c r="U428" s="2649"/>
      <c r="V428" s="2566"/>
      <c r="W428" s="2566"/>
      <c r="X428" s="2566"/>
      <c r="Y428" s="2566"/>
      <c r="Z428" s="2642"/>
      <c r="AA428" s="2642"/>
      <c r="AB428" s="2642"/>
      <c r="AC428" s="2642"/>
      <c r="AD428" s="2642"/>
      <c r="AE428" s="2642"/>
      <c r="AF428" s="2642"/>
      <c r="AG428" s="2642"/>
      <c r="AH428" s="2642"/>
      <c r="AI428" s="2642"/>
      <c r="AJ428" s="2566"/>
    </row>
    <row r="429" spans="1:111" s="2345" customFormat="1" ht="15" hidden="1" customHeight="1" outlineLevel="1">
      <c r="A429" s="2339"/>
      <c r="B429" s="3052"/>
      <c r="C429" s="3048"/>
      <c r="D429" s="3048"/>
      <c r="E429" s="3049"/>
      <c r="F429" s="2340" t="s">
        <v>3862</v>
      </c>
      <c r="G429" s="2337"/>
      <c r="H429" s="2641"/>
      <c r="I429" s="2641"/>
      <c r="J429" s="2641"/>
      <c r="K429" s="2641"/>
      <c r="L429" s="2641"/>
      <c r="M429" s="2641"/>
      <c r="N429" s="2641"/>
      <c r="O429" s="2641"/>
      <c r="P429" s="2641"/>
      <c r="Q429" s="2649"/>
      <c r="R429" s="2641"/>
      <c r="S429" s="2641"/>
      <c r="T429" s="2650"/>
      <c r="U429" s="2649"/>
      <c r="V429" s="2566"/>
      <c r="W429" s="2566"/>
      <c r="X429" s="2566"/>
      <c r="Y429" s="2566"/>
      <c r="Z429" s="2642"/>
      <c r="AA429" s="2642"/>
      <c r="AB429" s="2642"/>
      <c r="AC429" s="2642"/>
      <c r="AD429" s="2642"/>
      <c r="AE429" s="2642"/>
      <c r="AF429" s="2642"/>
      <c r="AG429" s="2642"/>
      <c r="AH429" s="2642"/>
      <c r="AI429" s="2642"/>
      <c r="AJ429" s="2566"/>
    </row>
    <row r="430" spans="1:111" s="2345" customFormat="1" ht="15" hidden="1" customHeight="1" outlineLevel="1">
      <c r="A430" s="2339"/>
      <c r="B430" s="3052"/>
      <c r="C430" s="3048"/>
      <c r="D430" s="3048"/>
      <c r="E430" s="3049"/>
      <c r="F430" s="2340" t="s">
        <v>3863</v>
      </c>
      <c r="G430" s="2337"/>
      <c r="H430" s="2641"/>
      <c r="I430" s="2641"/>
      <c r="J430" s="2641"/>
      <c r="K430" s="2641"/>
      <c r="L430" s="2641"/>
      <c r="M430" s="2641"/>
      <c r="N430" s="2641"/>
      <c r="O430" s="2641"/>
      <c r="P430" s="2641"/>
      <c r="Q430" s="2649"/>
      <c r="R430" s="2641"/>
      <c r="S430" s="2641"/>
      <c r="T430" s="2650"/>
      <c r="U430" s="2649"/>
      <c r="V430" s="2566"/>
      <c r="W430" s="2566"/>
      <c r="X430" s="2566"/>
      <c r="Y430" s="2566"/>
      <c r="Z430" s="2642"/>
      <c r="AA430" s="2642"/>
      <c r="AB430" s="2642"/>
      <c r="AC430" s="2642"/>
      <c r="AD430" s="2642"/>
      <c r="AE430" s="2642"/>
      <c r="AF430" s="2642"/>
      <c r="AG430" s="2642"/>
      <c r="AH430" s="2642"/>
      <c r="AI430" s="2642"/>
      <c r="AJ430" s="2566"/>
    </row>
    <row r="431" spans="1:111" s="2345" customFormat="1" ht="15" hidden="1" customHeight="1" outlineLevel="1">
      <c r="A431" s="2339"/>
      <c r="B431" s="3052"/>
      <c r="C431" s="3048"/>
      <c r="D431" s="3048"/>
      <c r="E431" s="3049"/>
      <c r="F431" s="2340" t="s">
        <v>3864</v>
      </c>
      <c r="G431" s="2337"/>
      <c r="H431" s="2641"/>
      <c r="I431" s="2641"/>
      <c r="J431" s="2641"/>
      <c r="K431" s="2641"/>
      <c r="L431" s="2641"/>
      <c r="M431" s="2641"/>
      <c r="N431" s="2641"/>
      <c r="O431" s="2641"/>
      <c r="P431" s="2641"/>
      <c r="Q431" s="2649"/>
      <c r="R431" s="2641"/>
      <c r="S431" s="2641"/>
      <c r="T431" s="2650"/>
      <c r="U431" s="2649"/>
      <c r="V431" s="2566"/>
      <c r="W431" s="2566"/>
      <c r="X431" s="2566"/>
      <c r="Y431" s="2566"/>
      <c r="Z431" s="2642"/>
      <c r="AA431" s="2642"/>
      <c r="AB431" s="2642"/>
      <c r="AC431" s="2642"/>
      <c r="AD431" s="2642"/>
      <c r="AE431" s="2642"/>
      <c r="AF431" s="2642"/>
      <c r="AG431" s="2642"/>
      <c r="AH431" s="2642"/>
      <c r="AI431" s="2642"/>
      <c r="AJ431" s="2566"/>
    </row>
    <row r="432" spans="1:111" s="2345" customFormat="1" ht="15" hidden="1" outlineLevel="1">
      <c r="A432" s="2339"/>
      <c r="B432" s="3052"/>
      <c r="C432" s="3048"/>
      <c r="D432" s="3048"/>
      <c r="E432" s="3049"/>
      <c r="F432" s="2340" t="s">
        <v>3865</v>
      </c>
      <c r="G432" s="2337"/>
      <c r="H432" s="2836"/>
      <c r="I432" s="2836"/>
      <c r="J432" s="2836"/>
      <c r="K432" s="2836"/>
      <c r="L432" s="2836"/>
      <c r="M432" s="2836"/>
      <c r="N432" s="2836"/>
      <c r="O432" s="2836"/>
      <c r="P432" s="2836"/>
      <c r="Q432" s="2837"/>
      <c r="R432" s="2836"/>
      <c r="S432" s="2836"/>
      <c r="T432" s="2650"/>
      <c r="U432" s="2649"/>
      <c r="V432" s="2566"/>
      <c r="W432" s="2566"/>
      <c r="X432" s="2566"/>
      <c r="Y432" s="2566"/>
      <c r="Z432" s="2642"/>
      <c r="AA432" s="2642"/>
      <c r="AB432" s="2642"/>
      <c r="AC432" s="2642"/>
      <c r="AD432" s="2642"/>
      <c r="AE432" s="2642"/>
      <c r="AF432" s="2642"/>
      <c r="AG432" s="2642"/>
      <c r="AH432" s="2642"/>
      <c r="AI432" s="2642"/>
      <c r="AJ432" s="2566"/>
    </row>
    <row r="433" spans="1:111" s="2345" customFormat="1" ht="15" hidden="1" customHeight="1" outlineLevel="1">
      <c r="A433" s="2339"/>
      <c r="B433" s="3052"/>
      <c r="C433" s="3048"/>
      <c r="D433" s="3048"/>
      <c r="E433" s="3047" t="s">
        <v>3910</v>
      </c>
      <c r="F433" s="2340" t="s">
        <v>3860</v>
      </c>
      <c r="G433" s="2337"/>
      <c r="H433" s="2833"/>
      <c r="I433" s="2833"/>
      <c r="J433" s="2833"/>
      <c r="K433" s="2833"/>
      <c r="L433" s="2833"/>
      <c r="M433" s="2833"/>
      <c r="N433" s="2833"/>
      <c r="O433" s="2834"/>
      <c r="P433" s="2834"/>
      <c r="Q433" s="2835"/>
      <c r="R433" s="2834"/>
      <c r="S433" s="2834"/>
      <c r="T433" s="2650"/>
      <c r="U433" s="2649"/>
      <c r="V433" s="2566"/>
      <c r="W433" s="2566"/>
      <c r="X433" s="2566"/>
      <c r="Y433" s="2566"/>
      <c r="Z433" s="2642"/>
      <c r="AA433" s="2642"/>
      <c r="AB433" s="2642"/>
      <c r="AC433" s="2642"/>
      <c r="AD433" s="2642"/>
      <c r="AE433" s="2642"/>
      <c r="AF433" s="2642"/>
      <c r="AG433" s="2642"/>
      <c r="AH433" s="2642"/>
      <c r="AI433" s="2642"/>
      <c r="AJ433" s="2566"/>
    </row>
    <row r="434" spans="1:111" s="2345" customFormat="1" ht="15" hidden="1" customHeight="1" outlineLevel="1">
      <c r="A434" s="2339"/>
      <c r="B434" s="3052"/>
      <c r="C434" s="3048"/>
      <c r="D434" s="3048"/>
      <c r="E434" s="3047"/>
      <c r="F434" s="2340" t="s">
        <v>3861</v>
      </c>
      <c r="G434" s="2337"/>
      <c r="H434" s="2636"/>
      <c r="I434" s="2636"/>
      <c r="J434" s="2636"/>
      <c r="K434" s="2636"/>
      <c r="L434" s="2636"/>
      <c r="M434" s="2636"/>
      <c r="N434" s="2636"/>
      <c r="O434" s="2636"/>
      <c r="P434" s="2636"/>
      <c r="Q434" s="2687"/>
      <c r="R434" s="2636"/>
      <c r="S434" s="2636"/>
      <c r="T434" s="2650"/>
      <c r="U434" s="2649"/>
      <c r="V434" s="2566"/>
      <c r="W434" s="2566"/>
      <c r="X434" s="2566"/>
      <c r="Y434" s="2566"/>
      <c r="Z434" s="2642"/>
      <c r="AA434" s="2642"/>
      <c r="AB434" s="2642"/>
      <c r="AC434" s="2642"/>
      <c r="AD434" s="2642"/>
      <c r="AE434" s="2642"/>
      <c r="AF434" s="2642"/>
      <c r="AG434" s="2642"/>
      <c r="AH434" s="2642"/>
      <c r="AI434" s="2642"/>
      <c r="AJ434" s="2566"/>
    </row>
    <row r="435" spans="1:111" s="2345" customFormat="1" ht="15" hidden="1" customHeight="1" outlineLevel="1">
      <c r="A435" s="2339"/>
      <c r="B435" s="3052"/>
      <c r="C435" s="3048"/>
      <c r="D435" s="3048"/>
      <c r="E435" s="3047"/>
      <c r="F435" s="2340" t="s">
        <v>3862</v>
      </c>
      <c r="G435" s="2337"/>
      <c r="H435" s="2641"/>
      <c r="I435" s="2641"/>
      <c r="J435" s="2641"/>
      <c r="K435" s="2641"/>
      <c r="L435" s="2641"/>
      <c r="M435" s="2641"/>
      <c r="N435" s="2641"/>
      <c r="O435" s="2641"/>
      <c r="P435" s="2641"/>
      <c r="Q435" s="2649"/>
      <c r="R435" s="2641"/>
      <c r="S435" s="2641"/>
      <c r="T435" s="2650"/>
      <c r="U435" s="2649"/>
      <c r="V435" s="2566"/>
      <c r="W435" s="2566"/>
      <c r="X435" s="2566"/>
      <c r="Y435" s="2566"/>
      <c r="Z435" s="2642"/>
      <c r="AA435" s="2642"/>
      <c r="AB435" s="2642"/>
      <c r="AC435" s="2642"/>
      <c r="AD435" s="2642"/>
      <c r="AE435" s="2642"/>
      <c r="AF435" s="2642"/>
      <c r="AG435" s="2642"/>
      <c r="AH435" s="2642"/>
      <c r="AI435" s="2642"/>
      <c r="AJ435" s="2566"/>
    </row>
    <row r="436" spans="1:111" s="2345" customFormat="1" ht="15" hidden="1" customHeight="1" outlineLevel="1">
      <c r="A436" s="2339"/>
      <c r="B436" s="3052"/>
      <c r="C436" s="3048"/>
      <c r="D436" s="3048"/>
      <c r="E436" s="3047"/>
      <c r="F436" s="2340" t="s">
        <v>3863</v>
      </c>
      <c r="G436" s="2337"/>
      <c r="H436" s="2641"/>
      <c r="I436" s="2641"/>
      <c r="J436" s="2641"/>
      <c r="K436" s="2641"/>
      <c r="L436" s="2641"/>
      <c r="M436" s="2641"/>
      <c r="N436" s="2641"/>
      <c r="O436" s="2641"/>
      <c r="P436" s="2641"/>
      <c r="Q436" s="2649"/>
      <c r="R436" s="2641"/>
      <c r="S436" s="2641"/>
      <c r="T436" s="2650"/>
      <c r="U436" s="2649"/>
      <c r="V436" s="2566"/>
      <c r="W436" s="2566"/>
      <c r="X436" s="2566"/>
      <c r="Y436" s="2566"/>
      <c r="Z436" s="2642"/>
      <c r="AA436" s="2642"/>
      <c r="AB436" s="2642"/>
      <c r="AC436" s="2642"/>
      <c r="AD436" s="2642"/>
      <c r="AE436" s="2642"/>
      <c r="AF436" s="2642"/>
      <c r="AG436" s="2642"/>
      <c r="AH436" s="2642"/>
      <c r="AI436" s="2642"/>
      <c r="AJ436" s="2566"/>
    </row>
    <row r="437" spans="1:111" s="2345" customFormat="1" ht="15" hidden="1" customHeight="1" outlineLevel="1">
      <c r="A437" s="2339"/>
      <c r="B437" s="3052"/>
      <c r="C437" s="3048"/>
      <c r="D437" s="3048"/>
      <c r="E437" s="3047"/>
      <c r="F437" s="2340" t="s">
        <v>3864</v>
      </c>
      <c r="G437" s="2337"/>
      <c r="H437" s="2641"/>
      <c r="I437" s="2641"/>
      <c r="J437" s="2641"/>
      <c r="K437" s="2641"/>
      <c r="L437" s="2641"/>
      <c r="M437" s="2641"/>
      <c r="N437" s="2641"/>
      <c r="O437" s="2641"/>
      <c r="P437" s="2641"/>
      <c r="Q437" s="2649"/>
      <c r="R437" s="2641"/>
      <c r="S437" s="2641"/>
      <c r="T437" s="2650"/>
      <c r="U437" s="2649"/>
      <c r="V437" s="2566"/>
      <c r="W437" s="2566"/>
      <c r="X437" s="2566"/>
      <c r="Y437" s="2566"/>
      <c r="Z437" s="2642"/>
      <c r="AA437" s="2642"/>
      <c r="AB437" s="2642"/>
      <c r="AC437" s="2642"/>
      <c r="AD437" s="2642"/>
      <c r="AE437" s="2642"/>
      <c r="AF437" s="2642"/>
      <c r="AG437" s="2642"/>
      <c r="AH437" s="2642"/>
      <c r="AI437" s="2642"/>
      <c r="AJ437" s="2566"/>
    </row>
    <row r="438" spans="1:111" s="2345" customFormat="1" ht="15" hidden="1" customHeight="1" outlineLevel="1">
      <c r="A438" s="2339"/>
      <c r="B438" s="3052"/>
      <c r="C438" s="3048"/>
      <c r="D438" s="3048"/>
      <c r="E438" s="3047"/>
      <c r="F438" s="2340" t="s">
        <v>3865</v>
      </c>
      <c r="G438" s="2337"/>
      <c r="H438" s="2641"/>
      <c r="I438" s="2641"/>
      <c r="J438" s="2641"/>
      <c r="K438" s="2641"/>
      <c r="L438" s="2641"/>
      <c r="M438" s="2641"/>
      <c r="N438" s="2641"/>
      <c r="O438" s="2641"/>
      <c r="P438" s="2641"/>
      <c r="Q438" s="2649"/>
      <c r="R438" s="2641"/>
      <c r="S438" s="2641"/>
      <c r="T438" s="2650"/>
      <c r="U438" s="2649"/>
      <c r="V438" s="2566"/>
      <c r="W438" s="2566"/>
      <c r="X438" s="2566"/>
      <c r="Y438" s="2566"/>
      <c r="Z438" s="2642"/>
      <c r="AA438" s="2642"/>
      <c r="AB438" s="2642"/>
      <c r="AC438" s="2642"/>
      <c r="AD438" s="2642"/>
      <c r="AE438" s="2642"/>
      <c r="AF438" s="2642"/>
      <c r="AG438" s="2642"/>
      <c r="AH438" s="2642"/>
      <c r="AI438" s="2642"/>
      <c r="AJ438" s="2566"/>
    </row>
    <row r="439" spans="1:111" s="2345" customFormat="1" ht="15" hidden="1" customHeight="1" outlineLevel="1">
      <c r="A439" s="2339"/>
      <c r="B439" s="3052"/>
      <c r="C439" s="3048"/>
      <c r="D439" s="3048" t="s">
        <v>3911</v>
      </c>
      <c r="E439" s="3049" t="s">
        <v>3909</v>
      </c>
      <c r="F439" s="2340" t="s">
        <v>3860</v>
      </c>
      <c r="G439" s="2337"/>
      <c r="H439" s="2641"/>
      <c r="I439" s="2641"/>
      <c r="J439" s="2641"/>
      <c r="K439" s="2641"/>
      <c r="L439" s="2641"/>
      <c r="M439" s="2641"/>
      <c r="N439" s="2641"/>
      <c r="O439" s="2641"/>
      <c r="P439" s="2641"/>
      <c r="Q439" s="2649"/>
      <c r="R439" s="2641"/>
      <c r="S439" s="2641"/>
      <c r="T439" s="2650"/>
      <c r="U439" s="2649"/>
      <c r="V439" s="2566"/>
      <c r="W439" s="2566"/>
      <c r="X439" s="2566"/>
      <c r="Y439" s="2566"/>
      <c r="Z439" s="2642"/>
      <c r="AA439" s="2642"/>
      <c r="AB439" s="2642"/>
      <c r="AC439" s="2642"/>
      <c r="AD439" s="2642"/>
      <c r="AE439" s="2642"/>
      <c r="AF439" s="2642"/>
      <c r="AG439" s="2642"/>
      <c r="AH439" s="2642"/>
      <c r="AI439" s="2642"/>
      <c r="AJ439" s="2566"/>
    </row>
    <row r="440" spans="1:111" s="2345" customFormat="1" ht="15" hidden="1" customHeight="1" outlineLevel="1">
      <c r="A440" s="2339"/>
      <c r="B440" s="3052"/>
      <c r="C440" s="3048"/>
      <c r="D440" s="3048"/>
      <c r="E440" s="3049"/>
      <c r="F440" s="2340" t="s">
        <v>3861</v>
      </c>
      <c r="G440" s="2337"/>
      <c r="H440" s="2641"/>
      <c r="I440" s="2641"/>
      <c r="J440" s="2641"/>
      <c r="K440" s="2641"/>
      <c r="L440" s="2641"/>
      <c r="M440" s="2641"/>
      <c r="N440" s="2641"/>
      <c r="O440" s="2641"/>
      <c r="P440" s="2641"/>
      <c r="Q440" s="2649"/>
      <c r="R440" s="2641"/>
      <c r="S440" s="2641"/>
      <c r="T440" s="2650"/>
      <c r="U440" s="2649"/>
      <c r="V440" s="2566"/>
      <c r="W440" s="2566"/>
      <c r="X440" s="2566"/>
      <c r="Y440" s="2566"/>
      <c r="Z440" s="2642"/>
      <c r="AA440" s="2642"/>
      <c r="AB440" s="2642"/>
      <c r="AC440" s="2642"/>
      <c r="AD440" s="2642"/>
      <c r="AE440" s="2642"/>
      <c r="AF440" s="2642"/>
      <c r="AG440" s="2642"/>
      <c r="AH440" s="2642"/>
      <c r="AI440" s="2642"/>
      <c r="AJ440" s="2566"/>
    </row>
    <row r="441" spans="1:111" s="2346" customFormat="1" ht="45" hidden="1" customHeight="1" outlineLevel="1">
      <c r="A441" s="2339"/>
      <c r="B441" s="3052"/>
      <c r="C441" s="3048"/>
      <c r="D441" s="3048"/>
      <c r="E441" s="3049"/>
      <c r="F441" s="2341" t="s">
        <v>3862</v>
      </c>
      <c r="G441" s="2342"/>
      <c r="H441" s="2641"/>
      <c r="I441" s="2641"/>
      <c r="J441" s="2641"/>
      <c r="K441" s="2641"/>
      <c r="L441" s="2641"/>
      <c r="M441" s="2641"/>
      <c r="N441" s="2641"/>
      <c r="O441" s="2641"/>
      <c r="P441" s="2641"/>
      <c r="Q441" s="2649"/>
      <c r="R441" s="2641"/>
      <c r="S441" s="2641"/>
      <c r="T441" s="2650"/>
      <c r="U441" s="2649"/>
      <c r="V441" s="2566"/>
      <c r="W441" s="2566"/>
      <c r="X441" s="2566"/>
      <c r="Y441" s="2566"/>
      <c r="Z441" s="2642"/>
      <c r="AA441" s="2642"/>
      <c r="AB441" s="2642"/>
      <c r="AC441" s="2642"/>
      <c r="AD441" s="2642"/>
      <c r="AE441" s="2642"/>
      <c r="AF441" s="2642"/>
      <c r="AG441" s="2642"/>
      <c r="AH441" s="2642"/>
      <c r="AI441" s="2642"/>
      <c r="AJ441" s="2566"/>
      <c r="AK441" s="2345"/>
      <c r="AL441" s="2345"/>
      <c r="AM441" s="2345"/>
      <c r="AN441" s="2345"/>
      <c r="AO441" s="2345"/>
      <c r="AP441" s="2345"/>
      <c r="AQ441" s="2345"/>
      <c r="AR441" s="2345"/>
      <c r="AS441" s="2345"/>
      <c r="AT441" s="2345"/>
      <c r="AU441" s="2345"/>
      <c r="AV441" s="2345"/>
      <c r="AW441" s="2345"/>
      <c r="AX441" s="2345"/>
      <c r="AY441" s="2345"/>
      <c r="AZ441" s="2345"/>
      <c r="BA441" s="2345"/>
      <c r="BB441" s="2345"/>
      <c r="BC441" s="2345"/>
      <c r="BD441" s="2345"/>
      <c r="BE441" s="2345"/>
      <c r="BF441" s="2345"/>
      <c r="BG441" s="2345"/>
      <c r="BH441" s="2345"/>
      <c r="BI441" s="2345"/>
      <c r="BJ441" s="2345"/>
      <c r="BK441" s="2345"/>
      <c r="BL441" s="2345"/>
      <c r="BM441" s="2345"/>
      <c r="BN441" s="2345"/>
      <c r="BO441" s="2345"/>
      <c r="BP441" s="2345"/>
      <c r="BQ441" s="2345"/>
      <c r="BR441" s="2345"/>
      <c r="BS441" s="2345"/>
      <c r="BT441" s="2345"/>
      <c r="BU441" s="2345"/>
      <c r="BV441" s="2345"/>
      <c r="BW441" s="2345"/>
      <c r="BX441" s="2345"/>
      <c r="BY441" s="2345"/>
      <c r="BZ441" s="2345"/>
      <c r="CA441" s="2345"/>
      <c r="CB441" s="2345"/>
      <c r="CC441" s="2345"/>
      <c r="CD441" s="2345"/>
      <c r="CE441" s="2345"/>
      <c r="CF441" s="2345"/>
      <c r="CG441" s="2345"/>
      <c r="CH441" s="2345"/>
      <c r="CI441" s="2345"/>
      <c r="CJ441" s="2345"/>
      <c r="CK441" s="2345"/>
      <c r="CL441" s="2345"/>
      <c r="CM441" s="2345"/>
      <c r="CN441" s="2345"/>
      <c r="CO441" s="2345"/>
      <c r="CP441" s="2345"/>
      <c r="CQ441" s="2345"/>
      <c r="CR441" s="2345"/>
      <c r="CS441" s="2345"/>
      <c r="CT441" s="2345"/>
      <c r="CU441" s="2345"/>
      <c r="CV441" s="2345"/>
      <c r="CW441" s="2345"/>
      <c r="CX441" s="2345"/>
      <c r="CY441" s="2345"/>
      <c r="CZ441" s="2345"/>
      <c r="DA441" s="2345"/>
      <c r="DB441" s="2345"/>
      <c r="DC441" s="2345"/>
      <c r="DD441" s="2345"/>
      <c r="DE441" s="2345"/>
      <c r="DF441" s="2345"/>
      <c r="DG441" s="2345"/>
    </row>
    <row r="442" spans="1:111" s="2345" customFormat="1" ht="15" hidden="1" customHeight="1" outlineLevel="1">
      <c r="A442" s="2339"/>
      <c r="B442" s="3052"/>
      <c r="C442" s="3048"/>
      <c r="D442" s="3048"/>
      <c r="E442" s="3049"/>
      <c r="F442" s="2340" t="s">
        <v>3863</v>
      </c>
      <c r="G442" s="2337"/>
      <c r="H442" s="2641"/>
      <c r="I442" s="2641"/>
      <c r="J442" s="2641"/>
      <c r="K442" s="2641"/>
      <c r="L442" s="2641"/>
      <c r="M442" s="2641"/>
      <c r="N442" s="2641"/>
      <c r="O442" s="2641"/>
      <c r="P442" s="2641"/>
      <c r="Q442" s="2649"/>
      <c r="R442" s="2641"/>
      <c r="S442" s="2641"/>
      <c r="T442" s="2650"/>
      <c r="U442" s="2649"/>
      <c r="V442" s="2566"/>
      <c r="W442" s="2566"/>
      <c r="X442" s="2566"/>
      <c r="Y442" s="2566"/>
      <c r="Z442" s="2642"/>
      <c r="AA442" s="2642"/>
      <c r="AB442" s="2642"/>
      <c r="AC442" s="2642"/>
      <c r="AD442" s="2642"/>
      <c r="AE442" s="2642"/>
      <c r="AF442" s="2642"/>
      <c r="AG442" s="2642"/>
      <c r="AH442" s="2642"/>
      <c r="AI442" s="2642"/>
      <c r="AJ442" s="2566"/>
    </row>
    <row r="443" spans="1:111" s="2345" customFormat="1" ht="15" hidden="1" customHeight="1" outlineLevel="1">
      <c r="A443" s="2339"/>
      <c r="B443" s="3052"/>
      <c r="C443" s="3048"/>
      <c r="D443" s="3048"/>
      <c r="E443" s="3049"/>
      <c r="F443" s="2340" t="s">
        <v>3864</v>
      </c>
      <c r="G443" s="2337"/>
      <c r="H443" s="2641"/>
      <c r="I443" s="2641"/>
      <c r="J443" s="2641"/>
      <c r="K443" s="2641"/>
      <c r="L443" s="2641"/>
      <c r="M443" s="2641"/>
      <c r="N443" s="2641"/>
      <c r="O443" s="2641"/>
      <c r="P443" s="2641"/>
      <c r="Q443" s="2649"/>
      <c r="R443" s="2641"/>
      <c r="S443" s="2641"/>
      <c r="T443" s="2650"/>
      <c r="U443" s="2649"/>
      <c r="V443" s="2566"/>
      <c r="W443" s="2566"/>
      <c r="X443" s="2566"/>
      <c r="Y443" s="2566"/>
      <c r="Z443" s="2642"/>
      <c r="AA443" s="2642"/>
      <c r="AB443" s="2642"/>
      <c r="AC443" s="2642"/>
      <c r="AD443" s="2642"/>
      <c r="AE443" s="2642"/>
      <c r="AF443" s="2642"/>
      <c r="AG443" s="2642"/>
      <c r="AH443" s="2642"/>
      <c r="AI443" s="2642"/>
      <c r="AJ443" s="2566"/>
    </row>
    <row r="444" spans="1:111" s="2345" customFormat="1" ht="15" hidden="1" customHeight="1" outlineLevel="1">
      <c r="A444" s="2339"/>
      <c r="B444" s="3052"/>
      <c r="C444" s="3048"/>
      <c r="D444" s="3048"/>
      <c r="E444" s="3049"/>
      <c r="F444" s="2340" t="s">
        <v>3865</v>
      </c>
      <c r="G444" s="2337"/>
      <c r="H444" s="2641"/>
      <c r="I444" s="2641"/>
      <c r="J444" s="2641"/>
      <c r="K444" s="2641"/>
      <c r="L444" s="2641"/>
      <c r="M444" s="2641"/>
      <c r="N444" s="2641"/>
      <c r="O444" s="2641"/>
      <c r="P444" s="2641"/>
      <c r="Q444" s="2649"/>
      <c r="R444" s="2641"/>
      <c r="S444" s="2641"/>
      <c r="T444" s="2650"/>
      <c r="U444" s="2649"/>
      <c r="V444" s="2566"/>
      <c r="W444" s="2566"/>
      <c r="X444" s="2566"/>
      <c r="Y444" s="2566"/>
      <c r="Z444" s="2642"/>
      <c r="AA444" s="2642"/>
      <c r="AB444" s="2642"/>
      <c r="AC444" s="2642"/>
      <c r="AD444" s="2642"/>
      <c r="AE444" s="2642"/>
      <c r="AF444" s="2642"/>
      <c r="AG444" s="2642"/>
      <c r="AH444" s="2642"/>
      <c r="AI444" s="2642"/>
      <c r="AJ444" s="2566"/>
    </row>
    <row r="445" spans="1:111" s="2345" customFormat="1" ht="16.5" hidden="1" customHeight="1" outlineLevel="1">
      <c r="A445" s="2339"/>
      <c r="B445" s="3052"/>
      <c r="C445" s="3048"/>
      <c r="D445" s="3048"/>
      <c r="E445" s="3047" t="s">
        <v>3910</v>
      </c>
      <c r="F445" s="2340" t="s">
        <v>3860</v>
      </c>
      <c r="G445" s="2337"/>
      <c r="H445" s="2641"/>
      <c r="I445" s="2641"/>
      <c r="J445" s="2641"/>
      <c r="K445" s="2641"/>
      <c r="L445" s="2641"/>
      <c r="M445" s="2641"/>
      <c r="N445" s="2641"/>
      <c r="O445" s="2641"/>
      <c r="P445" s="2641"/>
      <c r="Q445" s="2649"/>
      <c r="R445" s="2641"/>
      <c r="S445" s="2641"/>
      <c r="T445" s="2650"/>
      <c r="U445" s="2649"/>
      <c r="V445" s="2566"/>
      <c r="W445" s="2566"/>
      <c r="X445" s="2566"/>
      <c r="Y445" s="2566"/>
      <c r="Z445" s="2642"/>
      <c r="AA445" s="2642"/>
      <c r="AB445" s="2642"/>
      <c r="AC445" s="2642"/>
      <c r="AD445" s="2642"/>
      <c r="AE445" s="2642"/>
      <c r="AF445" s="2642"/>
      <c r="AG445" s="2642"/>
      <c r="AH445" s="2642"/>
      <c r="AI445" s="2642"/>
      <c r="AJ445" s="2566"/>
    </row>
    <row r="446" spans="1:111" s="2345" customFormat="1" ht="15" hidden="1" customHeight="1" outlineLevel="1">
      <c r="A446" s="2339"/>
      <c r="B446" s="3052"/>
      <c r="C446" s="3048"/>
      <c r="D446" s="3048"/>
      <c r="E446" s="3047"/>
      <c r="F446" s="2340" t="s">
        <v>3861</v>
      </c>
      <c r="G446" s="2337"/>
      <c r="H446" s="2641"/>
      <c r="I446" s="2641"/>
      <c r="J446" s="2641"/>
      <c r="K446" s="2641"/>
      <c r="L446" s="2641"/>
      <c r="M446" s="2641"/>
      <c r="N446" s="2641"/>
      <c r="O446" s="2641"/>
      <c r="P446" s="2641"/>
      <c r="Q446" s="2649"/>
      <c r="R446" s="2641"/>
      <c r="S446" s="2641"/>
      <c r="T446" s="2650"/>
      <c r="U446" s="2649"/>
      <c r="V446" s="2566"/>
      <c r="W446" s="2566"/>
      <c r="X446" s="2566"/>
      <c r="Y446" s="2566"/>
      <c r="Z446" s="2642"/>
      <c r="AA446" s="2642"/>
      <c r="AB446" s="2642"/>
      <c r="AC446" s="2642"/>
      <c r="AD446" s="2642"/>
      <c r="AE446" s="2642"/>
      <c r="AF446" s="2642"/>
      <c r="AG446" s="2642"/>
      <c r="AH446" s="2642"/>
      <c r="AI446" s="2642"/>
      <c r="AJ446" s="2566"/>
    </row>
    <row r="447" spans="1:111" s="2345" customFormat="1" ht="15" hidden="1" customHeight="1" outlineLevel="1">
      <c r="A447" s="2339"/>
      <c r="B447" s="3052"/>
      <c r="C447" s="3048"/>
      <c r="D447" s="3048"/>
      <c r="E447" s="3047"/>
      <c r="F447" s="2340" t="s">
        <v>3862</v>
      </c>
      <c r="G447" s="2577"/>
      <c r="H447" s="2649"/>
      <c r="I447" s="2649"/>
      <c r="J447" s="2649"/>
      <c r="K447" s="2649"/>
      <c r="L447" s="2649"/>
      <c r="M447" s="2649"/>
      <c r="N447" s="2649"/>
      <c r="O447" s="2649"/>
      <c r="P447" s="2649"/>
      <c r="Q447" s="2649"/>
      <c r="R447" s="2649"/>
      <c r="S447" s="2649"/>
      <c r="T447" s="2649"/>
      <c r="U447" s="2649"/>
      <c r="V447" s="2566"/>
      <c r="W447" s="2566"/>
      <c r="X447" s="2566"/>
      <c r="Y447" s="2566"/>
      <c r="Z447" s="2642"/>
      <c r="AA447" s="2642"/>
      <c r="AB447" s="2642"/>
      <c r="AC447" s="2642"/>
      <c r="AD447" s="2642"/>
      <c r="AE447" s="2642"/>
      <c r="AF447" s="2642"/>
      <c r="AG447" s="2642"/>
      <c r="AH447" s="2642"/>
      <c r="AI447" s="2642"/>
      <c r="AJ447" s="2566"/>
    </row>
    <row r="448" spans="1:111" s="2345" customFormat="1" ht="15" hidden="1" customHeight="1" outlineLevel="1">
      <c r="A448" s="2339"/>
      <c r="B448" s="3052"/>
      <c r="C448" s="3048"/>
      <c r="D448" s="3048"/>
      <c r="E448" s="3047"/>
      <c r="F448" s="2340" t="s">
        <v>3863</v>
      </c>
      <c r="G448" s="2350"/>
      <c r="H448" s="2649"/>
      <c r="I448" s="2649"/>
      <c r="J448" s="2649"/>
      <c r="K448" s="2649"/>
      <c r="L448" s="2649"/>
      <c r="M448" s="2649"/>
      <c r="N448" s="2649"/>
      <c r="O448" s="2649"/>
      <c r="P448" s="2649"/>
      <c r="Q448" s="2649"/>
      <c r="R448" s="2649"/>
      <c r="S448" s="2649"/>
      <c r="T448" s="2649"/>
      <c r="U448" s="2649"/>
      <c r="V448" s="2566"/>
      <c r="W448" s="2566"/>
      <c r="X448" s="2566"/>
      <c r="Y448" s="2566"/>
      <c r="Z448" s="2642"/>
      <c r="AA448" s="2642"/>
      <c r="AB448" s="2642"/>
      <c r="AC448" s="2642"/>
      <c r="AD448" s="2642"/>
      <c r="AE448" s="2642"/>
      <c r="AF448" s="2642"/>
      <c r="AG448" s="2642"/>
      <c r="AH448" s="2642"/>
      <c r="AI448" s="2642"/>
      <c r="AJ448" s="2566"/>
    </row>
    <row r="449" spans="1:36" s="2345" customFormat="1" ht="15" hidden="1" customHeight="1" outlineLevel="1">
      <c r="A449" s="2339"/>
      <c r="B449" s="3052"/>
      <c r="C449" s="3048"/>
      <c r="D449" s="3048"/>
      <c r="E449" s="3047"/>
      <c r="F449" s="2340" t="s">
        <v>3864</v>
      </c>
      <c r="G449" s="2578"/>
      <c r="H449" s="2649"/>
      <c r="I449" s="2649"/>
      <c r="J449" s="2649"/>
      <c r="K449" s="2649"/>
      <c r="L449" s="2649"/>
      <c r="M449" s="2649"/>
      <c r="N449" s="2649"/>
      <c r="O449" s="2649"/>
      <c r="P449" s="2649"/>
      <c r="Q449" s="2649"/>
      <c r="R449" s="2649"/>
      <c r="S449" s="2649"/>
      <c r="T449" s="2649"/>
      <c r="U449" s="2649"/>
      <c r="V449" s="2566"/>
      <c r="W449" s="2566"/>
      <c r="X449" s="2566"/>
      <c r="Y449" s="2566"/>
      <c r="Z449" s="2642"/>
      <c r="AA449" s="2642"/>
      <c r="AB449" s="2642"/>
      <c r="AC449" s="2642"/>
      <c r="AD449" s="2642"/>
      <c r="AE449" s="2642"/>
      <c r="AF449" s="2642"/>
      <c r="AG449" s="2642"/>
      <c r="AH449" s="2642"/>
      <c r="AI449" s="2642"/>
      <c r="AJ449" s="2566"/>
    </row>
    <row r="450" spans="1:36" s="2345" customFormat="1" ht="15" hidden="1" customHeight="1" outlineLevel="1" thickBot="1">
      <c r="A450" s="2845"/>
      <c r="B450" s="3055"/>
      <c r="C450" s="3056"/>
      <c r="D450" s="3056"/>
      <c r="E450" s="3057"/>
      <c r="F450" s="2351" t="s">
        <v>3865</v>
      </c>
      <c r="G450" s="2579"/>
      <c r="H450" s="2812"/>
      <c r="I450" s="2812"/>
      <c r="J450" s="2812"/>
      <c r="K450" s="2812"/>
      <c r="L450" s="2812"/>
      <c r="M450" s="2812"/>
      <c r="N450" s="2812"/>
      <c r="O450" s="2812"/>
      <c r="P450" s="2812"/>
      <c r="Q450" s="2812"/>
      <c r="R450" s="2812"/>
      <c r="S450" s="2812"/>
      <c r="T450" s="2812"/>
      <c r="U450" s="2812"/>
      <c r="V450" s="2327"/>
      <c r="W450" s="2327"/>
      <c r="X450" s="2327"/>
      <c r="Y450" s="2327"/>
      <c r="Z450" s="2327"/>
      <c r="AA450" s="2327"/>
      <c r="AB450" s="2327"/>
      <c r="AC450" s="2327"/>
      <c r="AD450" s="2327"/>
      <c r="AE450" s="2327"/>
      <c r="AF450" s="2327"/>
      <c r="AG450" s="2327"/>
      <c r="AH450" s="2327"/>
      <c r="AI450" s="2327"/>
      <c r="AJ450" s="2327"/>
    </row>
    <row r="451" spans="1:36" s="2345" customFormat="1" ht="15" customHeight="1" collapsed="1">
      <c r="B451" s="2352"/>
      <c r="C451" s="2352"/>
      <c r="D451" s="2353"/>
      <c r="E451" s="2354"/>
      <c r="F451" s="2355"/>
      <c r="G451" s="2355"/>
      <c r="Z451"/>
      <c r="AA451"/>
      <c r="AB451"/>
      <c r="AC451"/>
      <c r="AD451"/>
      <c r="AE451"/>
      <c r="AF451"/>
      <c r="AG451"/>
      <c r="AH451"/>
      <c r="AI451"/>
    </row>
    <row r="452" spans="1:36" s="2345" customFormat="1" ht="15" customHeight="1" thickBot="1">
      <c r="D452" s="2356"/>
      <c r="E452" s="2330"/>
      <c r="F452" s="2357"/>
      <c r="G452" s="2357"/>
      <c r="Z452"/>
      <c r="AA452"/>
      <c r="AB452"/>
      <c r="AC452"/>
      <c r="AD452"/>
      <c r="AE452"/>
      <c r="AF452"/>
      <c r="AG452"/>
      <c r="AH452"/>
      <c r="AI452"/>
    </row>
    <row r="453" spans="1:36" s="2345" customFormat="1" ht="15" customHeight="1" thickBot="1">
      <c r="A453" s="3038"/>
      <c r="B453" s="3039"/>
      <c r="C453" s="3039"/>
      <c r="D453" s="3039"/>
      <c r="E453" s="3039"/>
      <c r="F453" s="3040"/>
      <c r="G453" s="3162" t="s">
        <v>3916</v>
      </c>
      <c r="H453" s="3163"/>
      <c r="I453" s="3163"/>
      <c r="J453" s="3163"/>
      <c r="K453" s="3163"/>
      <c r="L453" s="3163"/>
      <c r="M453" s="3163"/>
      <c r="N453" s="3163"/>
      <c r="O453" s="3163"/>
      <c r="P453" s="3163"/>
      <c r="Q453" s="3163"/>
      <c r="R453" s="3163"/>
      <c r="S453" s="3163"/>
      <c r="T453" s="3163"/>
      <c r="U453" s="3164"/>
      <c r="Z453"/>
      <c r="AA453"/>
      <c r="AB453"/>
      <c r="AC453"/>
      <c r="AD453"/>
      <c r="AE453"/>
      <c r="AF453"/>
      <c r="AG453"/>
      <c r="AH453"/>
      <c r="AI453"/>
    </row>
    <row r="454" spans="1:36" s="2345" customFormat="1" ht="60.75" customHeight="1">
      <c r="A454" s="3007" t="s">
        <v>0</v>
      </c>
      <c r="B454" s="3041" t="s">
        <v>3849</v>
      </c>
      <c r="C454" s="3043" t="s">
        <v>3904</v>
      </c>
      <c r="D454" s="3043" t="s">
        <v>3905</v>
      </c>
      <c r="E454" s="3043" t="s">
        <v>3906</v>
      </c>
      <c r="F454" s="3045" t="s">
        <v>3853</v>
      </c>
      <c r="G454" s="3003" t="s">
        <v>3854</v>
      </c>
      <c r="H454" s="3180" t="s">
        <v>3855</v>
      </c>
      <c r="I454" s="3181"/>
      <c r="J454" s="3181"/>
      <c r="K454" s="3181"/>
      <c r="L454" s="3182"/>
      <c r="M454" s="3133" t="s">
        <v>3856</v>
      </c>
      <c r="N454" s="3134"/>
      <c r="O454" s="3134"/>
      <c r="P454" s="3134"/>
      <c r="Q454" s="3135"/>
      <c r="R454" s="3133" t="s">
        <v>3870</v>
      </c>
      <c r="S454" s="3134"/>
      <c r="T454" s="3134"/>
      <c r="U454" s="3135"/>
      <c r="V454" s="3136" t="s">
        <v>3978</v>
      </c>
      <c r="W454" s="3137"/>
      <c r="X454" s="3137"/>
      <c r="Y454" s="3138"/>
      <c r="Z454" s="3132" t="s">
        <v>3858</v>
      </c>
      <c r="AA454" s="3132"/>
      <c r="AB454" s="3132"/>
      <c r="AC454" s="3132"/>
      <c r="AD454" s="3121" t="s">
        <v>3979</v>
      </c>
      <c r="AE454" s="3121"/>
      <c r="AF454" s="3121"/>
      <c r="AG454" s="3121"/>
      <c r="AH454" s="2496" t="s">
        <v>3980</v>
      </c>
      <c r="AI454" s="2500" t="s">
        <v>3974</v>
      </c>
      <c r="AJ454" s="2500" t="s">
        <v>3975</v>
      </c>
    </row>
    <row r="455" spans="1:36" s="2345" customFormat="1" ht="78.75" customHeight="1" thickBot="1">
      <c r="A455" s="3008"/>
      <c r="B455" s="3042"/>
      <c r="C455" s="3044"/>
      <c r="D455" s="3044"/>
      <c r="E455" s="3044"/>
      <c r="F455" s="3046"/>
      <c r="G455" s="3003"/>
      <c r="H455" s="2384">
        <f>H347</f>
        <v>2015</v>
      </c>
      <c r="I455" s="2468">
        <f>I347</f>
        <v>2016</v>
      </c>
      <c r="J455" s="2468">
        <f>J347</f>
        <v>2017</v>
      </c>
      <c r="K455" s="2468" t="str">
        <f>K347</f>
        <v>План (в случае отсутствия факта за 3 года)</v>
      </c>
      <c r="L455" s="2595" t="s">
        <v>2559</v>
      </c>
      <c r="M455" s="2468">
        <f>H455</f>
        <v>2015</v>
      </c>
      <c r="N455" s="2468">
        <f>I455</f>
        <v>2016</v>
      </c>
      <c r="O455" s="2468">
        <f>J455</f>
        <v>2017</v>
      </c>
      <c r="P455" s="2468" t="str">
        <f>P347</f>
        <v>План (в случае отсутствия факта за 3 года)</v>
      </c>
      <c r="Q455" s="2595" t="s">
        <v>2559</v>
      </c>
      <c r="R455" s="2468">
        <f>H455</f>
        <v>2015</v>
      </c>
      <c r="S455" s="2468">
        <f>I455</f>
        <v>2016</v>
      </c>
      <c r="T455" s="2385">
        <f>J455</f>
        <v>2017</v>
      </c>
      <c r="U455" s="2385" t="str">
        <f>U347</f>
        <v>План (в случае отсутствия факта за 3 года)</v>
      </c>
      <c r="V455" s="2496">
        <f>R455</f>
        <v>2015</v>
      </c>
      <c r="W455" s="2496">
        <f>S455</f>
        <v>2016</v>
      </c>
      <c r="X455" s="2496">
        <f>T455</f>
        <v>2017</v>
      </c>
      <c r="Y455" s="2496" t="s">
        <v>3925</v>
      </c>
      <c r="Z455" s="2588">
        <v>2016</v>
      </c>
      <c r="AA455" s="2588">
        <v>2017</v>
      </c>
      <c r="AB455" s="2588">
        <v>2018</v>
      </c>
      <c r="AC455" s="2588">
        <v>2019</v>
      </c>
      <c r="AD455" s="2703">
        <f>V455</f>
        <v>2015</v>
      </c>
      <c r="AE455" s="2703">
        <f>W455</f>
        <v>2016</v>
      </c>
      <c r="AF455" s="2703">
        <f>X455</f>
        <v>2017</v>
      </c>
      <c r="AG455" s="2703" t="str">
        <f>Y455</f>
        <v>План (в случае отсутствия факта за 3 года)</v>
      </c>
      <c r="AH455" s="2497" t="s">
        <v>3981</v>
      </c>
      <c r="AI455" s="2597" t="s">
        <v>3976</v>
      </c>
      <c r="AJ455" s="2597" t="s">
        <v>3977</v>
      </c>
    </row>
    <row r="456" spans="1:36" s="2345" customFormat="1" ht="15" customHeight="1" thickBot="1">
      <c r="A456" s="2316">
        <v>1</v>
      </c>
      <c r="B456" s="2470">
        <v>2</v>
      </c>
      <c r="C456" s="3014">
        <v>3</v>
      </c>
      <c r="D456" s="3015"/>
      <c r="E456" s="3015"/>
      <c r="F456" s="3016"/>
      <c r="G456" s="2317">
        <v>4</v>
      </c>
      <c r="H456" s="3017">
        <v>5</v>
      </c>
      <c r="I456" s="3018"/>
      <c r="J456" s="3018"/>
      <c r="K456" s="3018"/>
      <c r="L456" s="3019"/>
      <c r="M456" s="3017">
        <v>6</v>
      </c>
      <c r="N456" s="3018"/>
      <c r="O456" s="3018"/>
      <c r="P456" s="3018"/>
      <c r="Q456" s="3021"/>
      <c r="R456" s="3020">
        <v>7</v>
      </c>
      <c r="S456" s="3018"/>
      <c r="T456" s="3018"/>
      <c r="U456" s="3021"/>
      <c r="V456" s="3131">
        <v>8</v>
      </c>
      <c r="W456" s="3131"/>
      <c r="X456" s="3131"/>
      <c r="Y456" s="3131"/>
      <c r="Z456" s="3131">
        <v>9</v>
      </c>
      <c r="AA456" s="3131"/>
      <c r="AB456" s="3131"/>
      <c r="AC456" s="3131"/>
      <c r="AD456" s="3105">
        <v>10</v>
      </c>
      <c r="AE456" s="3106"/>
      <c r="AF456" s="3106"/>
      <c r="AG456" s="3107"/>
      <c r="AH456" s="2498">
        <v>11</v>
      </c>
      <c r="AI456" s="2498">
        <v>12</v>
      </c>
      <c r="AJ456" s="2499">
        <v>13</v>
      </c>
    </row>
    <row r="457" spans="1:36" s="2345" customFormat="1" ht="15" hidden="1" customHeight="1" outlineLevel="1">
      <c r="A457" s="2318"/>
      <c r="B457" s="3051" t="s">
        <v>2952</v>
      </c>
      <c r="C457" s="3053" t="s">
        <v>3907</v>
      </c>
      <c r="D457" s="3053" t="s">
        <v>3908</v>
      </c>
      <c r="E457" s="3054" t="s">
        <v>3909</v>
      </c>
      <c r="F457" s="2336" t="s">
        <v>3860</v>
      </c>
      <c r="G457" s="2386"/>
      <c r="H457" s="2826"/>
      <c r="I457" s="2826"/>
      <c r="J457" s="2826"/>
      <c r="K457" s="2826"/>
      <c r="L457" s="2826"/>
      <c r="M457" s="2826"/>
      <c r="N457" s="2826"/>
      <c r="O457" s="2826"/>
      <c r="P457" s="2826"/>
      <c r="Q457" s="2826"/>
      <c r="R457" s="2826"/>
      <c r="S457" s="2826"/>
      <c r="T457" s="2827"/>
      <c r="U457" s="2826"/>
      <c r="V457" s="2567"/>
      <c r="W457" s="2567"/>
      <c r="X457" s="2567"/>
      <c r="Y457" s="2567"/>
      <c r="Z457" s="2645">
        <f>$Z$13</f>
        <v>1.0528</v>
      </c>
      <c r="AA457" s="2645">
        <f>$AA$13</f>
        <v>1.0589</v>
      </c>
      <c r="AB457" s="2645">
        <f>$AB$13</f>
        <v>1.0507936887282501</v>
      </c>
      <c r="AC457" s="2645">
        <f>$AC$13</f>
        <v>1.04657781587849</v>
      </c>
      <c r="AD457" s="2706"/>
      <c r="AE457" s="2706"/>
      <c r="AF457" s="2706"/>
      <c r="AG457" s="2706"/>
      <c r="AH457" s="2706"/>
      <c r="AI457" s="2706"/>
      <c r="AJ457" s="2566"/>
    </row>
    <row r="458" spans="1:36" s="2345" customFormat="1" ht="15" hidden="1" customHeight="1" outlineLevel="1">
      <c r="A458" s="2339"/>
      <c r="B458" s="3052"/>
      <c r="C458" s="3048"/>
      <c r="D458" s="3048"/>
      <c r="E458" s="3047"/>
      <c r="F458" s="2340" t="s">
        <v>3861</v>
      </c>
      <c r="G458" s="2337"/>
      <c r="H458" s="2641"/>
      <c r="I458" s="2641"/>
      <c r="J458" s="2641"/>
      <c r="K458" s="2641"/>
      <c r="L458" s="2641"/>
      <c r="M458" s="2641"/>
      <c r="N458" s="2641"/>
      <c r="O458" s="2641"/>
      <c r="P458" s="2641"/>
      <c r="Q458" s="2649"/>
      <c r="R458" s="2641"/>
      <c r="S458" s="2641"/>
      <c r="T458" s="2650"/>
      <c r="U458" s="2649"/>
      <c r="V458" s="2566"/>
      <c r="W458" s="2566"/>
      <c r="X458" s="2566"/>
      <c r="Y458" s="2566"/>
      <c r="Z458" s="2642"/>
      <c r="AA458" s="2642"/>
      <c r="AB458" s="2642"/>
      <c r="AC458" s="2642"/>
      <c r="AD458" s="2706"/>
      <c r="AE458" s="2706"/>
      <c r="AF458" s="2706"/>
      <c r="AG458" s="2706"/>
      <c r="AH458" s="2706"/>
      <c r="AI458" s="2706"/>
      <c r="AJ458" s="2566"/>
    </row>
    <row r="459" spans="1:36" s="2345" customFormat="1" ht="15" hidden="1" customHeight="1" outlineLevel="1">
      <c r="A459" s="2339"/>
      <c r="B459" s="3052"/>
      <c r="C459" s="3048"/>
      <c r="D459" s="3048"/>
      <c r="E459" s="3047"/>
      <c r="F459" s="2340" t="s">
        <v>3862</v>
      </c>
      <c r="G459" s="2337"/>
      <c r="H459" s="2641"/>
      <c r="I459" s="2641"/>
      <c r="J459" s="2641"/>
      <c r="K459" s="2641"/>
      <c r="L459" s="2641"/>
      <c r="M459" s="2641"/>
      <c r="N459" s="2641"/>
      <c r="O459" s="2641"/>
      <c r="P459" s="2641"/>
      <c r="Q459" s="2649"/>
      <c r="R459" s="2641"/>
      <c r="S459" s="2641"/>
      <c r="T459" s="2650"/>
      <c r="U459" s="2649"/>
      <c r="V459" s="2566"/>
      <c r="W459" s="2566"/>
      <c r="X459" s="2566"/>
      <c r="Y459" s="2566"/>
      <c r="Z459" s="2642"/>
      <c r="AA459" s="2642"/>
      <c r="AB459" s="2642"/>
      <c r="AC459" s="2642"/>
      <c r="AD459" s="2706"/>
      <c r="AE459" s="2706"/>
      <c r="AF459" s="2706"/>
      <c r="AG459" s="2706"/>
      <c r="AH459" s="2706"/>
      <c r="AI459" s="2706"/>
      <c r="AJ459" s="2566"/>
    </row>
    <row r="460" spans="1:36" s="2345" customFormat="1" ht="15" hidden="1" customHeight="1" outlineLevel="1">
      <c r="A460" s="2339"/>
      <c r="B460" s="3052"/>
      <c r="C460" s="3048"/>
      <c r="D460" s="3048"/>
      <c r="E460" s="3047"/>
      <c r="F460" s="2340" t="s">
        <v>3863</v>
      </c>
      <c r="G460" s="2337"/>
      <c r="H460" s="2641"/>
      <c r="I460" s="2641"/>
      <c r="J460" s="2641"/>
      <c r="K460" s="2641"/>
      <c r="L460" s="2641"/>
      <c r="M460" s="2641"/>
      <c r="N460" s="2641"/>
      <c r="O460" s="2641"/>
      <c r="P460" s="2641"/>
      <c r="Q460" s="2649"/>
      <c r="R460" s="2641"/>
      <c r="S460" s="2641"/>
      <c r="T460" s="2650"/>
      <c r="U460" s="2649"/>
      <c r="V460" s="2566"/>
      <c r="W460" s="2566"/>
      <c r="X460" s="2566"/>
      <c r="Y460" s="2566"/>
      <c r="Z460" s="2642"/>
      <c r="AA460" s="2642"/>
      <c r="AB460" s="2642"/>
      <c r="AC460" s="2642"/>
      <c r="AD460" s="2706"/>
      <c r="AE460" s="2706"/>
      <c r="AF460" s="2706"/>
      <c r="AG460" s="2706"/>
      <c r="AH460" s="2706"/>
      <c r="AI460" s="2706"/>
      <c r="AJ460" s="2566"/>
    </row>
    <row r="461" spans="1:36" s="2345" customFormat="1" ht="15" hidden="1" customHeight="1" outlineLevel="1">
      <c r="A461" s="2339"/>
      <c r="B461" s="3052"/>
      <c r="C461" s="3048"/>
      <c r="D461" s="3048"/>
      <c r="E461" s="3047"/>
      <c r="F461" s="2340" t="s">
        <v>3864</v>
      </c>
      <c r="G461" s="2337"/>
      <c r="H461" s="2641"/>
      <c r="I461" s="2641"/>
      <c r="J461" s="2641"/>
      <c r="K461" s="2641"/>
      <c r="L461" s="2641"/>
      <c r="M461" s="2641"/>
      <c r="N461" s="2641"/>
      <c r="O461" s="2641"/>
      <c r="P461" s="2641"/>
      <c r="Q461" s="2649"/>
      <c r="R461" s="2641"/>
      <c r="S461" s="2641"/>
      <c r="T461" s="2650"/>
      <c r="U461" s="2649"/>
      <c r="V461" s="2566"/>
      <c r="W461" s="2566"/>
      <c r="X461" s="2566"/>
      <c r="Y461" s="2566"/>
      <c r="Z461" s="2642"/>
      <c r="AA461" s="2642"/>
      <c r="AB461" s="2642"/>
      <c r="AC461" s="2642"/>
      <c r="AD461" s="2706"/>
      <c r="AE461" s="2706"/>
      <c r="AF461" s="2706"/>
      <c r="AG461" s="2706"/>
      <c r="AH461" s="2706"/>
      <c r="AI461" s="2706"/>
      <c r="AJ461" s="2566"/>
    </row>
    <row r="462" spans="1:36" s="2345" customFormat="1" ht="15" hidden="1" customHeight="1" outlineLevel="1">
      <c r="A462" s="2339"/>
      <c r="B462" s="3052"/>
      <c r="C462" s="3048"/>
      <c r="D462" s="3048"/>
      <c r="E462" s="3047"/>
      <c r="F462" s="2340" t="s">
        <v>3865</v>
      </c>
      <c r="G462" s="2337"/>
      <c r="H462" s="2641"/>
      <c r="I462" s="2641"/>
      <c r="J462" s="2641"/>
      <c r="K462" s="2641"/>
      <c r="L462" s="2641"/>
      <c r="M462" s="2641"/>
      <c r="N462" s="2641"/>
      <c r="O462" s="2641"/>
      <c r="P462" s="2641"/>
      <c r="Q462" s="2649"/>
      <c r="R462" s="2641"/>
      <c r="S462" s="2641"/>
      <c r="T462" s="2650"/>
      <c r="U462" s="2649"/>
      <c r="V462" s="2566"/>
      <c r="W462" s="2566"/>
      <c r="X462" s="2566"/>
      <c r="Y462" s="2566"/>
      <c r="Z462" s="2642"/>
      <c r="AA462" s="2642"/>
      <c r="AB462" s="2642"/>
      <c r="AC462" s="2642"/>
      <c r="AD462" s="2706"/>
      <c r="AE462" s="2706"/>
      <c r="AF462" s="2706"/>
      <c r="AG462" s="2706"/>
      <c r="AH462" s="2706"/>
      <c r="AI462" s="2706"/>
      <c r="AJ462" s="2566"/>
    </row>
    <row r="463" spans="1:36" s="2345" customFormat="1" ht="15" hidden="1" customHeight="1" outlineLevel="1">
      <c r="A463" s="2339"/>
      <c r="B463" s="3052"/>
      <c r="C463" s="3048"/>
      <c r="D463" s="3048"/>
      <c r="E463" s="3049" t="s">
        <v>3910</v>
      </c>
      <c r="F463" s="2340" t="s">
        <v>3860</v>
      </c>
      <c r="G463" s="2337"/>
      <c r="H463" s="2641"/>
      <c r="I463" s="2641"/>
      <c r="J463" s="2641"/>
      <c r="K463" s="2641"/>
      <c r="L463" s="2641"/>
      <c r="M463" s="2641"/>
      <c r="N463" s="2641"/>
      <c r="O463" s="2641"/>
      <c r="P463" s="2641"/>
      <c r="Q463" s="2649"/>
      <c r="R463" s="2641"/>
      <c r="S463" s="2641"/>
      <c r="T463" s="2650"/>
      <c r="U463" s="2649"/>
      <c r="V463" s="2566"/>
      <c r="W463" s="2566"/>
      <c r="X463" s="2566"/>
      <c r="Y463" s="2566"/>
      <c r="Z463" s="2642"/>
      <c r="AA463" s="2642"/>
      <c r="AB463" s="2642"/>
      <c r="AC463" s="2642"/>
      <c r="AD463" s="2706"/>
      <c r="AE463" s="2706"/>
      <c r="AF463" s="2706"/>
      <c r="AG463" s="2706"/>
      <c r="AH463" s="2706"/>
      <c r="AI463" s="2706"/>
      <c r="AJ463" s="2566"/>
    </row>
    <row r="464" spans="1:36" s="2345" customFormat="1" ht="15" hidden="1" customHeight="1" outlineLevel="1">
      <c r="A464" s="2339"/>
      <c r="B464" s="3052"/>
      <c r="C464" s="3048"/>
      <c r="D464" s="3048"/>
      <c r="E464" s="3049"/>
      <c r="F464" s="2340" t="s">
        <v>3861</v>
      </c>
      <c r="G464" s="2337"/>
      <c r="H464" s="2641"/>
      <c r="I464" s="2641"/>
      <c r="J464" s="2641"/>
      <c r="K464" s="2641"/>
      <c r="L464" s="2641"/>
      <c r="M464" s="2641"/>
      <c r="N464" s="2641"/>
      <c r="O464" s="2641"/>
      <c r="P464" s="2641"/>
      <c r="Q464" s="2649"/>
      <c r="R464" s="2641"/>
      <c r="S464" s="2641"/>
      <c r="T464" s="2650"/>
      <c r="U464" s="2649"/>
      <c r="V464" s="2566"/>
      <c r="W464" s="2566"/>
      <c r="X464" s="2566"/>
      <c r="Y464" s="2566"/>
      <c r="Z464" s="2642"/>
      <c r="AA464" s="2642"/>
      <c r="AB464" s="2642"/>
      <c r="AC464" s="2642"/>
      <c r="AD464" s="2706"/>
      <c r="AE464" s="2706"/>
      <c r="AF464" s="2706"/>
      <c r="AG464" s="2706"/>
      <c r="AH464" s="2706"/>
      <c r="AI464" s="2706"/>
      <c r="AJ464" s="2566"/>
    </row>
    <row r="465" spans="1:39" s="2345" customFormat="1" ht="15" hidden="1" customHeight="1" outlineLevel="1">
      <c r="A465" s="2339"/>
      <c r="B465" s="3052"/>
      <c r="C465" s="3048"/>
      <c r="D465" s="3048"/>
      <c r="E465" s="3049"/>
      <c r="F465" s="2341" t="s">
        <v>3862</v>
      </c>
      <c r="G465" s="2342"/>
      <c r="H465" s="2641"/>
      <c r="I465" s="2641"/>
      <c r="J465" s="2641"/>
      <c r="K465" s="2641"/>
      <c r="L465" s="2641"/>
      <c r="M465" s="2641"/>
      <c r="N465" s="2641"/>
      <c r="O465" s="2641"/>
      <c r="P465" s="2641"/>
      <c r="Q465" s="2649"/>
      <c r="R465" s="2641"/>
      <c r="S465" s="2641"/>
      <c r="T465" s="2650"/>
      <c r="U465" s="2649"/>
      <c r="V465" s="2566"/>
      <c r="W465" s="2566"/>
      <c r="X465" s="2566"/>
      <c r="Y465" s="2566"/>
      <c r="Z465" s="2642"/>
      <c r="AA465" s="2642"/>
      <c r="AB465" s="2642"/>
      <c r="AC465" s="2642"/>
      <c r="AD465" s="2706"/>
      <c r="AE465" s="2706"/>
      <c r="AF465" s="2706"/>
      <c r="AG465" s="2706"/>
      <c r="AH465" s="2706"/>
      <c r="AI465" s="2706"/>
      <c r="AJ465" s="2566"/>
    </row>
    <row r="466" spans="1:39" s="2345" customFormat="1" ht="15" hidden="1" customHeight="1" outlineLevel="1">
      <c r="A466" s="2339"/>
      <c r="B466" s="3052"/>
      <c r="C466" s="3048"/>
      <c r="D466" s="3048"/>
      <c r="E466" s="3049"/>
      <c r="F466" s="2340" t="s">
        <v>3863</v>
      </c>
      <c r="G466" s="2337"/>
      <c r="H466" s="2641"/>
      <c r="I466" s="2641"/>
      <c r="J466" s="2641"/>
      <c r="K466" s="2641"/>
      <c r="L466" s="2641"/>
      <c r="M466" s="2641"/>
      <c r="N466" s="2641"/>
      <c r="O466" s="2641"/>
      <c r="P466" s="2641"/>
      <c r="Q466" s="2649"/>
      <c r="R466" s="2641"/>
      <c r="S466" s="2641"/>
      <c r="T466" s="2650"/>
      <c r="U466" s="2649"/>
      <c r="V466" s="2566"/>
      <c r="W466" s="2566"/>
      <c r="X466" s="2566"/>
      <c r="Y466" s="2566"/>
      <c r="Z466" s="2642"/>
      <c r="AA466" s="2642"/>
      <c r="AB466" s="2642"/>
      <c r="AC466" s="2642"/>
      <c r="AD466" s="2706"/>
      <c r="AE466" s="2706"/>
      <c r="AF466" s="2706"/>
      <c r="AG466" s="2706"/>
      <c r="AH466" s="2706"/>
      <c r="AI466" s="2706"/>
      <c r="AJ466" s="2566"/>
    </row>
    <row r="467" spans="1:39" s="2345" customFormat="1" ht="15" hidden="1" customHeight="1" outlineLevel="1">
      <c r="A467" s="2339"/>
      <c r="B467" s="3052"/>
      <c r="C467" s="3048"/>
      <c r="D467" s="3048"/>
      <c r="E467" s="3049"/>
      <c r="F467" s="2340" t="s">
        <v>3864</v>
      </c>
      <c r="G467" s="2337"/>
      <c r="H467" s="2641"/>
      <c r="I467" s="2641"/>
      <c r="J467" s="2641"/>
      <c r="K467" s="2641"/>
      <c r="L467" s="2641"/>
      <c r="M467" s="2641"/>
      <c r="N467" s="2641"/>
      <c r="O467" s="2641"/>
      <c r="P467" s="2641"/>
      <c r="Q467" s="2649"/>
      <c r="R467" s="2641"/>
      <c r="S467" s="2641"/>
      <c r="T467" s="2650"/>
      <c r="U467" s="2649"/>
      <c r="V467" s="2566"/>
      <c r="W467" s="2566"/>
      <c r="X467" s="2566"/>
      <c r="Y467" s="2566"/>
      <c r="Z467" s="2642"/>
      <c r="AA467" s="2642"/>
      <c r="AB467" s="2642"/>
      <c r="AC467" s="2642"/>
      <c r="AD467" s="2706"/>
      <c r="AE467" s="2706"/>
      <c r="AF467" s="2706"/>
      <c r="AG467" s="2706"/>
      <c r="AH467" s="2706"/>
      <c r="AI467" s="2706"/>
      <c r="AJ467" s="2566"/>
    </row>
    <row r="468" spans="1:39" s="2345" customFormat="1" ht="15" hidden="1" customHeight="1" outlineLevel="1">
      <c r="A468" s="2339"/>
      <c r="B468" s="3052"/>
      <c r="C468" s="3048"/>
      <c r="D468" s="3048"/>
      <c r="E468" s="3049"/>
      <c r="F468" s="2340" t="s">
        <v>3865</v>
      </c>
      <c r="G468" s="2337"/>
      <c r="H468" s="2641"/>
      <c r="I468" s="2641"/>
      <c r="J468" s="2641"/>
      <c r="K468" s="2641"/>
      <c r="L468" s="2641"/>
      <c r="M468" s="2641"/>
      <c r="N468" s="2641"/>
      <c r="O468" s="2641"/>
      <c r="P468" s="2641"/>
      <c r="Q468" s="2649"/>
      <c r="R468" s="2641"/>
      <c r="S468" s="2641"/>
      <c r="T468" s="2650"/>
      <c r="U468" s="2649"/>
      <c r="V468" s="2566"/>
      <c r="W468" s="2566"/>
      <c r="X468" s="2566"/>
      <c r="Y468" s="2566"/>
      <c r="Z468" s="2642"/>
      <c r="AA468" s="2642"/>
      <c r="AB468" s="2642"/>
      <c r="AC468" s="2642"/>
      <c r="AD468" s="2706"/>
      <c r="AE468" s="2706"/>
      <c r="AF468" s="2706"/>
      <c r="AG468" s="2706"/>
      <c r="AH468" s="2706"/>
      <c r="AI468" s="2706"/>
      <c r="AJ468" s="2566"/>
    </row>
    <row r="469" spans="1:39" s="2345" customFormat="1" ht="15" hidden="1" customHeight="1" outlineLevel="1">
      <c r="A469" s="2339"/>
      <c r="B469" s="3052"/>
      <c r="C469" s="3048"/>
      <c r="D469" s="3048" t="s">
        <v>3911</v>
      </c>
      <c r="E469" s="3047" t="s">
        <v>3909</v>
      </c>
      <c r="F469" s="2340" t="s">
        <v>3860</v>
      </c>
      <c r="G469" s="2337"/>
      <c r="H469" s="2641"/>
      <c r="I469" s="2641"/>
      <c r="J469" s="2641"/>
      <c r="K469" s="2641"/>
      <c r="L469" s="2641"/>
      <c r="M469" s="2641"/>
      <c r="N469" s="2641"/>
      <c r="O469" s="2641"/>
      <c r="P469" s="2641"/>
      <c r="Q469" s="2649"/>
      <c r="R469" s="2641"/>
      <c r="S469" s="2641"/>
      <c r="T469" s="2650"/>
      <c r="U469" s="2649"/>
      <c r="V469" s="2566"/>
      <c r="W469" s="2566"/>
      <c r="X469" s="2566"/>
      <c r="Y469" s="2566"/>
      <c r="Z469" s="2642"/>
      <c r="AA469" s="2642"/>
      <c r="AB469" s="2642"/>
      <c r="AC469" s="2642"/>
      <c r="AD469" s="2706"/>
      <c r="AE469" s="2706"/>
      <c r="AF469" s="2706"/>
      <c r="AG469" s="2706"/>
      <c r="AH469" s="2706"/>
      <c r="AI469" s="2706"/>
      <c r="AJ469" s="2566"/>
    </row>
    <row r="470" spans="1:39" s="2345" customFormat="1" ht="15" hidden="1" customHeight="1" outlineLevel="1">
      <c r="A470" s="2339"/>
      <c r="B470" s="3052"/>
      <c r="C470" s="3048"/>
      <c r="D470" s="3048"/>
      <c r="E470" s="3047"/>
      <c r="F470" s="2340" t="s">
        <v>3861</v>
      </c>
      <c r="G470" s="2337"/>
      <c r="H470" s="2641"/>
      <c r="I470" s="2641"/>
      <c r="J470" s="2641"/>
      <c r="K470" s="2641"/>
      <c r="L470" s="2641"/>
      <c r="M470" s="2641"/>
      <c r="N470" s="2641"/>
      <c r="O470" s="2641"/>
      <c r="P470" s="2641"/>
      <c r="Q470" s="2649"/>
      <c r="R470" s="2641"/>
      <c r="S470" s="2641"/>
      <c r="T470" s="2650"/>
      <c r="U470" s="2649"/>
      <c r="V470" s="2566"/>
      <c r="W470" s="2566"/>
      <c r="X470" s="2566"/>
      <c r="Y470" s="2566"/>
      <c r="Z470" s="2642"/>
      <c r="AA470" s="2642"/>
      <c r="AB470" s="2642"/>
      <c r="AC470" s="2642"/>
      <c r="AD470" s="2706"/>
      <c r="AE470" s="2706"/>
      <c r="AF470" s="2706"/>
      <c r="AG470" s="2706"/>
      <c r="AH470" s="2706"/>
      <c r="AI470" s="2706"/>
      <c r="AJ470" s="2566"/>
    </row>
    <row r="471" spans="1:39" s="2345" customFormat="1" ht="15" hidden="1" customHeight="1" outlineLevel="1">
      <c r="A471" s="2339"/>
      <c r="B471" s="3052"/>
      <c r="C471" s="3048"/>
      <c r="D471" s="3048"/>
      <c r="E471" s="3047"/>
      <c r="F471" s="2340" t="s">
        <v>3862</v>
      </c>
      <c r="G471" s="2337"/>
      <c r="H471" s="2641"/>
      <c r="I471" s="2641"/>
      <c r="J471" s="2641"/>
      <c r="K471" s="2641"/>
      <c r="L471" s="2641"/>
      <c r="M471" s="2641"/>
      <c r="N471" s="2641"/>
      <c r="O471" s="2641"/>
      <c r="P471" s="2641"/>
      <c r="Q471" s="2649"/>
      <c r="R471" s="2641"/>
      <c r="S471" s="2641"/>
      <c r="T471" s="2650"/>
      <c r="U471" s="2649"/>
      <c r="V471" s="2566"/>
      <c r="W471" s="2566"/>
      <c r="X471" s="2566"/>
      <c r="Y471" s="2566"/>
      <c r="Z471" s="2642"/>
      <c r="AA471" s="2642"/>
      <c r="AB471" s="2642"/>
      <c r="AC471" s="2642"/>
      <c r="AD471" s="2706"/>
      <c r="AE471" s="2706"/>
      <c r="AF471" s="2706"/>
      <c r="AG471" s="2706"/>
      <c r="AH471" s="2706"/>
      <c r="AI471" s="2706"/>
      <c r="AJ471" s="2566"/>
    </row>
    <row r="472" spans="1:39" s="2345" customFormat="1" ht="15" hidden="1" customHeight="1" outlineLevel="1">
      <c r="A472" s="2339"/>
      <c r="B472" s="3052"/>
      <c r="C472" s="3048"/>
      <c r="D472" s="3048"/>
      <c r="E472" s="3047"/>
      <c r="F472" s="2340" t="s">
        <v>3863</v>
      </c>
      <c r="G472" s="2337"/>
      <c r="H472" s="2641"/>
      <c r="I472" s="2641"/>
      <c r="J472" s="2641"/>
      <c r="K472" s="2641"/>
      <c r="L472" s="2641"/>
      <c r="M472" s="2641"/>
      <c r="N472" s="2641"/>
      <c r="O472" s="2641"/>
      <c r="P472" s="2641"/>
      <c r="Q472" s="2649"/>
      <c r="R472" s="2641"/>
      <c r="S472" s="2641"/>
      <c r="T472" s="2650"/>
      <c r="U472" s="2649"/>
      <c r="V472" s="2566"/>
      <c r="W472" s="2566"/>
      <c r="X472" s="2566"/>
      <c r="Y472" s="2566"/>
      <c r="Z472" s="2642"/>
      <c r="AA472" s="2642"/>
      <c r="AB472" s="2642"/>
      <c r="AC472" s="2642"/>
      <c r="AD472" s="2706"/>
      <c r="AE472" s="2706"/>
      <c r="AF472" s="2706"/>
      <c r="AG472" s="2706"/>
      <c r="AH472" s="2706"/>
      <c r="AI472" s="2706"/>
      <c r="AJ472" s="2566"/>
    </row>
    <row r="473" spans="1:39" s="2345" customFormat="1" ht="15" hidden="1" customHeight="1" outlineLevel="1">
      <c r="A473" s="2339"/>
      <c r="B473" s="3052"/>
      <c r="C473" s="3048"/>
      <c r="D473" s="3048"/>
      <c r="E473" s="3047"/>
      <c r="F473" s="2340" t="s">
        <v>3864</v>
      </c>
      <c r="G473" s="2337"/>
      <c r="H473" s="2641"/>
      <c r="I473" s="2641"/>
      <c r="J473" s="2641"/>
      <c r="K473" s="2641"/>
      <c r="L473" s="2641"/>
      <c r="M473" s="2641"/>
      <c r="N473" s="2641"/>
      <c r="O473" s="2641"/>
      <c r="P473" s="2641"/>
      <c r="Q473" s="2649"/>
      <c r="R473" s="2641"/>
      <c r="S473" s="2641"/>
      <c r="T473" s="2650"/>
      <c r="U473" s="2649"/>
      <c r="V473" s="2566"/>
      <c r="W473" s="2566"/>
      <c r="X473" s="2566"/>
      <c r="Y473" s="2566"/>
      <c r="Z473" s="2642"/>
      <c r="AA473" s="2642"/>
      <c r="AB473" s="2642"/>
      <c r="AC473" s="2642"/>
      <c r="AD473" s="2706"/>
      <c r="AE473" s="2706"/>
      <c r="AF473" s="2706"/>
      <c r="AG473" s="2706"/>
      <c r="AH473" s="2706"/>
      <c r="AI473" s="2706"/>
      <c r="AJ473" s="2566"/>
    </row>
    <row r="474" spans="1:39" s="2345" customFormat="1" ht="15" hidden="1" customHeight="1" outlineLevel="1">
      <c r="A474" s="2339"/>
      <c r="B474" s="3052"/>
      <c r="C474" s="3048"/>
      <c r="D474" s="3048"/>
      <c r="E474" s="3047"/>
      <c r="F474" s="2340" t="s">
        <v>3865</v>
      </c>
      <c r="G474" s="2337"/>
      <c r="H474" s="2641"/>
      <c r="I474" s="2641"/>
      <c r="J474" s="2641"/>
      <c r="K474" s="2641"/>
      <c r="L474" s="2641"/>
      <c r="M474" s="2641"/>
      <c r="N474" s="2641"/>
      <c r="O474" s="2641"/>
      <c r="P474" s="2641"/>
      <c r="Q474" s="2649"/>
      <c r="R474" s="2641"/>
      <c r="S474" s="2641"/>
      <c r="T474" s="2650"/>
      <c r="U474" s="2649"/>
      <c r="V474" s="2566"/>
      <c r="W474" s="2566"/>
      <c r="X474" s="2566"/>
      <c r="Y474" s="2566"/>
      <c r="Z474" s="2642"/>
      <c r="AA474" s="2642"/>
      <c r="AB474" s="2642"/>
      <c r="AC474" s="2642"/>
      <c r="AD474" s="2706"/>
      <c r="AE474" s="2706"/>
      <c r="AF474" s="2706"/>
      <c r="AG474" s="2706"/>
      <c r="AH474" s="2706"/>
      <c r="AI474" s="2706"/>
      <c r="AJ474" s="2566"/>
    </row>
    <row r="475" spans="1:39" s="2345" customFormat="1" ht="15" hidden="1" customHeight="1" outlineLevel="1">
      <c r="A475" s="2339"/>
      <c r="B475" s="3052"/>
      <c r="C475" s="3048"/>
      <c r="D475" s="3048"/>
      <c r="E475" s="3049" t="s">
        <v>3910</v>
      </c>
      <c r="F475" s="2341" t="s">
        <v>3860</v>
      </c>
      <c r="G475" s="2342"/>
      <c r="H475" s="2641"/>
      <c r="I475" s="2641"/>
      <c r="J475" s="2641"/>
      <c r="K475" s="2641"/>
      <c r="L475" s="2641"/>
      <c r="M475" s="2641"/>
      <c r="N475" s="2641"/>
      <c r="O475" s="2641"/>
      <c r="P475" s="2641"/>
      <c r="Q475" s="2649"/>
      <c r="R475" s="2641"/>
      <c r="S475" s="2641"/>
      <c r="T475" s="2650"/>
      <c r="U475" s="2649"/>
      <c r="V475" s="2566"/>
      <c r="W475" s="2566"/>
      <c r="X475" s="2566"/>
      <c r="Y475" s="2566"/>
      <c r="Z475" s="2642"/>
      <c r="AA475" s="2642"/>
      <c r="AB475" s="2642"/>
      <c r="AC475" s="2642"/>
      <c r="AD475" s="2706"/>
      <c r="AE475" s="2706"/>
      <c r="AF475" s="2706"/>
      <c r="AG475" s="2706"/>
      <c r="AH475" s="2706"/>
      <c r="AI475" s="2706"/>
      <c r="AJ475" s="2566"/>
    </row>
    <row r="476" spans="1:39" s="2345" customFormat="1" ht="15" hidden="1" customHeight="1" outlineLevel="1">
      <c r="A476" s="2339"/>
      <c r="B476" s="3052"/>
      <c r="C476" s="3048"/>
      <c r="D476" s="3048"/>
      <c r="E476" s="3049"/>
      <c r="F476" s="2341" t="s">
        <v>3861</v>
      </c>
      <c r="G476" s="2342"/>
      <c r="H476" s="2641"/>
      <c r="I476" s="2641"/>
      <c r="J476" s="2641"/>
      <c r="K476" s="2641"/>
      <c r="L476" s="2641"/>
      <c r="M476" s="2641"/>
      <c r="N476" s="2641"/>
      <c r="O476" s="2641"/>
      <c r="P476" s="2641"/>
      <c r="Q476" s="2649"/>
      <c r="R476" s="2641"/>
      <c r="S476" s="2641"/>
      <c r="T476" s="2650"/>
      <c r="U476" s="2649"/>
      <c r="V476" s="2566"/>
      <c r="W476" s="2566"/>
      <c r="X476" s="2566"/>
      <c r="Y476" s="2566"/>
      <c r="Z476" s="2642"/>
      <c r="AA476" s="2642"/>
      <c r="AB476" s="2642"/>
      <c r="AC476" s="2642"/>
      <c r="AD476" s="2706"/>
      <c r="AE476" s="2706"/>
      <c r="AF476" s="2706"/>
      <c r="AG476" s="2706"/>
      <c r="AH476" s="2706"/>
      <c r="AI476" s="2706"/>
      <c r="AJ476" s="2566"/>
    </row>
    <row r="477" spans="1:39" s="2345" customFormat="1" ht="15" customHeight="1" collapsed="1" thickBot="1">
      <c r="A477" s="2339"/>
      <c r="B477" s="3052"/>
      <c r="C477" s="3048"/>
      <c r="D477" s="3048"/>
      <c r="E477" s="3049"/>
      <c r="F477" s="2341" t="s">
        <v>3862</v>
      </c>
      <c r="G477" s="2342"/>
      <c r="H477" s="2641"/>
      <c r="I477" s="2641"/>
      <c r="J477" s="2641"/>
      <c r="K477" s="2641"/>
      <c r="L477" s="2662"/>
      <c r="M477" s="2641"/>
      <c r="N477" s="2641"/>
      <c r="O477" s="2641"/>
      <c r="P477" s="2641"/>
      <c r="Q477" s="2662"/>
      <c r="R477" s="2641"/>
      <c r="S477" s="2641"/>
      <c r="T477" s="2650"/>
      <c r="U477" s="2649"/>
      <c r="V477" s="2644" t="str">
        <f t="shared" ref="V477" si="71">IFERROR(R477*1000/(H477/1000),"")</f>
        <v/>
      </c>
      <c r="W477" s="2644" t="str">
        <f t="shared" ref="W477" si="72">IFERROR(S477*1000/(I477/1000),"")</f>
        <v/>
      </c>
      <c r="X477" s="2644" t="str">
        <f t="shared" ref="X477" si="73">IFERROR(T477*1000/(J477/1000),"")</f>
        <v/>
      </c>
      <c r="Y477" s="2644" t="str">
        <f>IFERROR(U477*1000/(K477/1000),"")</f>
        <v/>
      </c>
      <c r="Z477" s="2645">
        <f>$Z$13</f>
        <v>1.0528</v>
      </c>
      <c r="AA477" s="2645">
        <f>$AA$13</f>
        <v>1.0589</v>
      </c>
      <c r="AB477" s="2645">
        <f>$AB$13</f>
        <v>1.0507936887282501</v>
      </c>
      <c r="AC477" s="2645">
        <f>$AC$13</f>
        <v>1.04657781587849</v>
      </c>
      <c r="AD477" s="2706"/>
      <c r="AE477" s="2706"/>
      <c r="AF477" s="2707"/>
      <c r="AG477" s="2707" t="str">
        <f>IFERROR(Y477*$AC$457,"")</f>
        <v/>
      </c>
      <c r="AH477" s="2644">
        <f>SUM(AD477:AG477)</f>
        <v>0</v>
      </c>
      <c r="AI477" s="2700"/>
      <c r="AJ477" s="2701" t="str">
        <f>IFERROR((AI477*L477/1000)/Q477,"")</f>
        <v/>
      </c>
      <c r="AL477" s="2879"/>
      <c r="AM477" s="2879"/>
    </row>
    <row r="478" spans="1:39" s="2345" customFormat="1" ht="15" hidden="1" customHeight="1" outlineLevel="1">
      <c r="A478" s="2339"/>
      <c r="B478" s="3052"/>
      <c r="C478" s="3048"/>
      <c r="D478" s="3048"/>
      <c r="E478" s="3049"/>
      <c r="F478" s="2341" t="s">
        <v>3863</v>
      </c>
      <c r="G478" s="2342"/>
      <c r="H478" s="2641"/>
      <c r="I478" s="2641"/>
      <c r="J478" s="2641"/>
      <c r="K478" s="2641"/>
      <c r="L478" s="2641"/>
      <c r="M478" s="2641"/>
      <c r="N478" s="2641"/>
      <c r="O478" s="2641"/>
      <c r="P478" s="2641"/>
      <c r="Q478" s="2649"/>
      <c r="R478" s="2641"/>
      <c r="S478" s="2641"/>
      <c r="T478" s="2650"/>
      <c r="U478" s="2649"/>
      <c r="V478" s="2566"/>
      <c r="W478" s="2566"/>
      <c r="X478" s="2566"/>
      <c r="Y478" s="2566"/>
      <c r="Z478" s="2642"/>
      <c r="AA478" s="2642"/>
      <c r="AB478" s="2642"/>
      <c r="AC478" s="2642"/>
      <c r="AD478" s="2706"/>
      <c r="AE478" s="2706"/>
      <c r="AF478" s="2706"/>
      <c r="AG478" s="2706"/>
      <c r="AH478" s="2706"/>
      <c r="AI478" s="2706"/>
      <c r="AJ478" s="2566"/>
    </row>
    <row r="479" spans="1:39" s="2345" customFormat="1" ht="15" hidden="1" customHeight="1" outlineLevel="1">
      <c r="A479" s="2339"/>
      <c r="B479" s="3052"/>
      <c r="C479" s="3048"/>
      <c r="D479" s="3048"/>
      <c r="E479" s="3049"/>
      <c r="F479" s="2340" t="s">
        <v>3864</v>
      </c>
      <c r="G479" s="2337"/>
      <c r="H479" s="2641"/>
      <c r="I479" s="2641"/>
      <c r="J479" s="2641"/>
      <c r="K479" s="2641"/>
      <c r="L479" s="2641"/>
      <c r="M479" s="2641"/>
      <c r="N479" s="2641"/>
      <c r="O479" s="2641"/>
      <c r="P479" s="2641"/>
      <c r="Q479" s="2649"/>
      <c r="R479" s="2641"/>
      <c r="S479" s="2641"/>
      <c r="T479" s="2650"/>
      <c r="U479" s="2649"/>
      <c r="V479" s="2566"/>
      <c r="W479" s="2566"/>
      <c r="X479" s="2566"/>
      <c r="Y479" s="2566"/>
      <c r="Z479" s="2642"/>
      <c r="AA479" s="2642"/>
      <c r="AB479" s="2642"/>
      <c r="AC479" s="2642"/>
      <c r="AD479" s="2706"/>
      <c r="AE479" s="2706"/>
      <c r="AF479" s="2706"/>
      <c r="AG479" s="2706"/>
      <c r="AH479" s="2706"/>
      <c r="AI479" s="2706"/>
      <c r="AJ479" s="2566"/>
    </row>
    <row r="480" spans="1:39" s="2345" customFormat="1" ht="15" hidden="1" customHeight="1" outlineLevel="1">
      <c r="A480" s="2339"/>
      <c r="B480" s="3052"/>
      <c r="C480" s="3048"/>
      <c r="D480" s="3048"/>
      <c r="E480" s="3049"/>
      <c r="F480" s="2340" t="s">
        <v>3865</v>
      </c>
      <c r="G480" s="2337"/>
      <c r="H480" s="2641"/>
      <c r="I480" s="2641"/>
      <c r="J480" s="2641"/>
      <c r="K480" s="2641"/>
      <c r="L480" s="2641"/>
      <c r="M480" s="2641"/>
      <c r="N480" s="2641"/>
      <c r="O480" s="2641"/>
      <c r="P480" s="2641"/>
      <c r="Q480" s="2649"/>
      <c r="R480" s="2641"/>
      <c r="S480" s="2641"/>
      <c r="T480" s="2650"/>
      <c r="U480" s="2649"/>
      <c r="V480" s="2566"/>
      <c r="W480" s="2566"/>
      <c r="X480" s="2566"/>
      <c r="Y480" s="2566"/>
      <c r="Z480" s="2642"/>
      <c r="AA480" s="2642"/>
      <c r="AB480" s="2642"/>
      <c r="AC480" s="2642"/>
      <c r="AD480" s="2706"/>
      <c r="AE480" s="2706"/>
      <c r="AF480" s="2706"/>
      <c r="AG480" s="2706"/>
      <c r="AH480" s="2706"/>
      <c r="AI480" s="2706"/>
      <c r="AJ480" s="2566"/>
    </row>
    <row r="481" spans="1:36" s="2345" customFormat="1" ht="15" hidden="1" customHeight="1" outlineLevel="1">
      <c r="A481" s="2339"/>
      <c r="B481" s="3052"/>
      <c r="C481" s="3048" t="s">
        <v>3912</v>
      </c>
      <c r="D481" s="3048" t="s">
        <v>3908</v>
      </c>
      <c r="E481" s="3047" t="s">
        <v>3909</v>
      </c>
      <c r="F481" s="2340" t="s">
        <v>3860</v>
      </c>
      <c r="G481" s="2337"/>
      <c r="H481" s="2641"/>
      <c r="I481" s="2641"/>
      <c r="J481" s="2641"/>
      <c r="K481" s="2641"/>
      <c r="L481" s="2641"/>
      <c r="M481" s="2641"/>
      <c r="N481" s="2641"/>
      <c r="O481" s="2641"/>
      <c r="P481" s="2641"/>
      <c r="Q481" s="2649"/>
      <c r="R481" s="2641"/>
      <c r="S481" s="2641"/>
      <c r="T481" s="2650"/>
      <c r="U481" s="2827"/>
      <c r="V481" s="2566"/>
      <c r="W481" s="2566"/>
      <c r="X481" s="2566"/>
      <c r="Y481" s="2566"/>
      <c r="Z481" s="2642"/>
      <c r="AA481" s="2642"/>
      <c r="AB481" s="2642"/>
      <c r="AC481" s="2642"/>
      <c r="AD481" s="2706"/>
      <c r="AE481" s="2706"/>
      <c r="AF481" s="2706"/>
      <c r="AG481" s="2706"/>
      <c r="AH481" s="2706"/>
      <c r="AI481" s="2706"/>
      <c r="AJ481" s="2566"/>
    </row>
    <row r="482" spans="1:36" s="2345" customFormat="1" ht="15" hidden="1" customHeight="1" outlineLevel="1">
      <c r="A482" s="2339"/>
      <c r="B482" s="3052"/>
      <c r="C482" s="3048"/>
      <c r="D482" s="3048"/>
      <c r="E482" s="3047"/>
      <c r="F482" s="2340" t="s">
        <v>3861</v>
      </c>
      <c r="G482" s="2337"/>
      <c r="H482" s="2641"/>
      <c r="I482" s="2641"/>
      <c r="J482" s="2641"/>
      <c r="K482" s="2641"/>
      <c r="L482" s="2641"/>
      <c r="M482" s="2641"/>
      <c r="N482" s="2641"/>
      <c r="O482" s="2641"/>
      <c r="P482" s="2641"/>
      <c r="Q482" s="2649"/>
      <c r="R482" s="2641"/>
      <c r="S482" s="2641"/>
      <c r="T482" s="2650"/>
      <c r="U482" s="2828"/>
      <c r="V482" s="2566"/>
      <c r="W482" s="2566"/>
      <c r="X482" s="2566"/>
      <c r="Y482" s="2566"/>
      <c r="Z482" s="2642"/>
      <c r="AA482" s="2642"/>
      <c r="AB482" s="2642"/>
      <c r="AC482" s="2642"/>
      <c r="AD482" s="2706"/>
      <c r="AE482" s="2706"/>
      <c r="AF482" s="2706"/>
      <c r="AG482" s="2706"/>
      <c r="AH482" s="2706"/>
      <c r="AI482" s="2706"/>
      <c r="AJ482" s="2566"/>
    </row>
    <row r="483" spans="1:36" s="2345" customFormat="1" ht="15" hidden="1" customHeight="1" outlineLevel="1">
      <c r="A483" s="2339"/>
      <c r="B483" s="3052"/>
      <c r="C483" s="3048"/>
      <c r="D483" s="3048"/>
      <c r="E483" s="3047"/>
      <c r="F483" s="2340" t="s">
        <v>3862</v>
      </c>
      <c r="G483" s="2337"/>
      <c r="H483" s="2641"/>
      <c r="I483" s="2641"/>
      <c r="J483" s="2641"/>
      <c r="K483" s="2641"/>
      <c r="L483" s="2641"/>
      <c r="M483" s="2641"/>
      <c r="N483" s="2641"/>
      <c r="O483" s="2641"/>
      <c r="P483" s="2641"/>
      <c r="Q483" s="2649"/>
      <c r="R483" s="2641"/>
      <c r="S483" s="2641"/>
      <c r="T483" s="2650"/>
      <c r="U483" s="2828"/>
      <c r="V483" s="2566"/>
      <c r="W483" s="2566"/>
      <c r="X483" s="2566"/>
      <c r="Y483" s="2566"/>
      <c r="Z483" s="2642"/>
      <c r="AA483" s="2642"/>
      <c r="AB483" s="2642"/>
      <c r="AC483" s="2642"/>
      <c r="AD483" s="2706"/>
      <c r="AE483" s="2706"/>
      <c r="AF483" s="2706"/>
      <c r="AG483" s="2706"/>
      <c r="AH483" s="2706"/>
      <c r="AI483" s="2706"/>
      <c r="AJ483" s="2566"/>
    </row>
    <row r="484" spans="1:36" s="2345" customFormat="1" ht="15" hidden="1" customHeight="1" outlineLevel="1">
      <c r="A484" s="2339"/>
      <c r="B484" s="3052"/>
      <c r="C484" s="3048"/>
      <c r="D484" s="3048"/>
      <c r="E484" s="3047"/>
      <c r="F484" s="2340" t="s">
        <v>3863</v>
      </c>
      <c r="G484" s="2337"/>
      <c r="H484" s="2641"/>
      <c r="I484" s="2641"/>
      <c r="J484" s="2641"/>
      <c r="K484" s="2641"/>
      <c r="L484" s="2641"/>
      <c r="M484" s="2641"/>
      <c r="N484" s="2641"/>
      <c r="O484" s="2641"/>
      <c r="P484" s="2641"/>
      <c r="Q484" s="2649"/>
      <c r="R484" s="2641"/>
      <c r="S484" s="2641"/>
      <c r="T484" s="2650"/>
      <c r="U484" s="2828"/>
      <c r="V484" s="2566"/>
      <c r="W484" s="2566"/>
      <c r="X484" s="2566"/>
      <c r="Y484" s="2566"/>
      <c r="Z484" s="2642"/>
      <c r="AA484" s="2642"/>
      <c r="AB484" s="2642"/>
      <c r="AC484" s="2642"/>
      <c r="AD484" s="2706"/>
      <c r="AE484" s="2706"/>
      <c r="AF484" s="2706"/>
      <c r="AG484" s="2706"/>
      <c r="AH484" s="2706"/>
      <c r="AI484" s="2706"/>
      <c r="AJ484" s="2566"/>
    </row>
    <row r="485" spans="1:36" s="2345" customFormat="1" ht="15" hidden="1" customHeight="1" outlineLevel="1">
      <c r="A485" s="2339"/>
      <c r="B485" s="3052"/>
      <c r="C485" s="3048"/>
      <c r="D485" s="3048"/>
      <c r="E485" s="3047"/>
      <c r="F485" s="2340" t="s">
        <v>3864</v>
      </c>
      <c r="G485" s="2337"/>
      <c r="H485" s="2641"/>
      <c r="I485" s="2641"/>
      <c r="J485" s="2641"/>
      <c r="K485" s="2641"/>
      <c r="L485" s="2641"/>
      <c r="M485" s="2641"/>
      <c r="N485" s="2641"/>
      <c r="O485" s="2641"/>
      <c r="P485" s="2641"/>
      <c r="Q485" s="2649"/>
      <c r="R485" s="2641"/>
      <c r="S485" s="2641"/>
      <c r="T485" s="2650"/>
      <c r="U485" s="2828"/>
      <c r="V485" s="2566"/>
      <c r="W485" s="2566"/>
      <c r="X485" s="2566"/>
      <c r="Y485" s="2566"/>
      <c r="Z485" s="2642"/>
      <c r="AA485" s="2642"/>
      <c r="AB485" s="2642"/>
      <c r="AC485" s="2642"/>
      <c r="AD485" s="2706"/>
      <c r="AE485" s="2706"/>
      <c r="AF485" s="2706"/>
      <c r="AG485" s="2706"/>
      <c r="AH485" s="2706"/>
      <c r="AI485" s="2706"/>
      <c r="AJ485" s="2566"/>
    </row>
    <row r="486" spans="1:36" s="2345" customFormat="1" ht="15" hidden="1" customHeight="1" outlineLevel="1">
      <c r="A486" s="2339"/>
      <c r="B486" s="3052"/>
      <c r="C486" s="3048"/>
      <c r="D486" s="3048"/>
      <c r="E486" s="3047"/>
      <c r="F486" s="2340" t="s">
        <v>3865</v>
      </c>
      <c r="G486" s="2337"/>
      <c r="H486" s="2641"/>
      <c r="I486" s="2641"/>
      <c r="J486" s="2641"/>
      <c r="K486" s="2641"/>
      <c r="L486" s="2641"/>
      <c r="M486" s="2641"/>
      <c r="N486" s="2641"/>
      <c r="O486" s="2641"/>
      <c r="P486" s="2641"/>
      <c r="Q486" s="2649"/>
      <c r="R486" s="2641"/>
      <c r="S486" s="2641"/>
      <c r="T486" s="2650"/>
      <c r="U486" s="2828"/>
      <c r="V486" s="2566"/>
      <c r="W486" s="2566"/>
      <c r="X486" s="2566"/>
      <c r="Y486" s="2566"/>
      <c r="Z486" s="2642"/>
      <c r="AA486" s="2642"/>
      <c r="AB486" s="2642"/>
      <c r="AC486" s="2642"/>
      <c r="AD486" s="2706"/>
      <c r="AE486" s="2706"/>
      <c r="AF486" s="2706"/>
      <c r="AG486" s="2706"/>
      <c r="AH486" s="2706"/>
      <c r="AI486" s="2706"/>
      <c r="AJ486" s="2566"/>
    </row>
    <row r="487" spans="1:36" s="2345" customFormat="1" ht="15" hidden="1" customHeight="1" outlineLevel="1">
      <c r="A487" s="2339"/>
      <c r="B487" s="3052"/>
      <c r="C487" s="3048"/>
      <c r="D487" s="3048" t="s">
        <v>3911</v>
      </c>
      <c r="E487" s="3049" t="s">
        <v>3909</v>
      </c>
      <c r="F487" s="2341" t="s">
        <v>3860</v>
      </c>
      <c r="G487" s="2342"/>
      <c r="H487" s="2641"/>
      <c r="I487" s="2641"/>
      <c r="J487" s="2641"/>
      <c r="K487" s="2641"/>
      <c r="L487" s="2641"/>
      <c r="M487" s="2641"/>
      <c r="N487" s="2641"/>
      <c r="O487" s="2641"/>
      <c r="P487" s="2641"/>
      <c r="Q487" s="2649"/>
      <c r="R487" s="2641"/>
      <c r="S487" s="2641"/>
      <c r="T487" s="2650"/>
      <c r="U487" s="2828"/>
      <c r="V487" s="2566"/>
      <c r="W487" s="2566"/>
      <c r="X487" s="2566"/>
      <c r="Y487" s="2566"/>
      <c r="Z487" s="2642"/>
      <c r="AA487" s="2642"/>
      <c r="AB487" s="2642"/>
      <c r="AC487" s="2642"/>
      <c r="AD487" s="2706"/>
      <c r="AE487" s="2706"/>
      <c r="AF487" s="2706"/>
      <c r="AG487" s="2706"/>
      <c r="AH487" s="2706"/>
      <c r="AI487" s="2706"/>
      <c r="AJ487" s="2566"/>
    </row>
    <row r="488" spans="1:36" s="2345" customFormat="1" ht="15" hidden="1" customHeight="1" outlineLevel="1">
      <c r="A488" s="2339"/>
      <c r="B488" s="3052"/>
      <c r="C488" s="3048"/>
      <c r="D488" s="3048"/>
      <c r="E488" s="3049"/>
      <c r="F488" s="2341" t="s">
        <v>3861</v>
      </c>
      <c r="G488" s="2342"/>
      <c r="H488" s="2641"/>
      <c r="I488" s="2641"/>
      <c r="J488" s="2641"/>
      <c r="K488" s="2641"/>
      <c r="L488" s="2641"/>
      <c r="M488" s="2641"/>
      <c r="N488" s="2641"/>
      <c r="O488" s="2641"/>
      <c r="P488" s="2641"/>
      <c r="Q488" s="2649"/>
      <c r="R488" s="2641"/>
      <c r="S488" s="2641"/>
      <c r="T488" s="2650"/>
      <c r="U488" s="2828"/>
      <c r="V488" s="2566"/>
      <c r="W488" s="2566"/>
      <c r="X488" s="2566"/>
      <c r="Y488" s="2566"/>
      <c r="Z488" s="2642"/>
      <c r="AA488" s="2642"/>
      <c r="AB488" s="2642"/>
      <c r="AC488" s="2642"/>
      <c r="AD488" s="2706"/>
      <c r="AE488" s="2706"/>
      <c r="AF488" s="2706"/>
      <c r="AG488" s="2706"/>
      <c r="AH488" s="2706"/>
      <c r="AI488" s="2706"/>
      <c r="AJ488" s="2566"/>
    </row>
    <row r="489" spans="1:36" s="2345" customFormat="1" ht="15" hidden="1" customHeight="1" outlineLevel="1">
      <c r="A489" s="2339"/>
      <c r="B489" s="3052"/>
      <c r="C489" s="3048"/>
      <c r="D489" s="3048"/>
      <c r="E489" s="3049"/>
      <c r="F489" s="2341" t="s">
        <v>3862</v>
      </c>
      <c r="G489" s="2342"/>
      <c r="H489" s="2641"/>
      <c r="I489" s="2641"/>
      <c r="J489" s="2641"/>
      <c r="K489" s="2641"/>
      <c r="L489" s="2641"/>
      <c r="M489" s="2641"/>
      <c r="N489" s="2641"/>
      <c r="O489" s="2641"/>
      <c r="P489" s="2641"/>
      <c r="Q489" s="2649"/>
      <c r="R489" s="2641"/>
      <c r="S489" s="2641"/>
      <c r="T489" s="2650"/>
      <c r="U489" s="2828"/>
      <c r="V489" s="2566"/>
      <c r="W489" s="2566"/>
      <c r="X489" s="2566"/>
      <c r="Y489" s="2566"/>
      <c r="Z489" s="2642"/>
      <c r="AA489" s="2642"/>
      <c r="AB489" s="2642"/>
      <c r="AC489" s="2642"/>
      <c r="AD489" s="2706"/>
      <c r="AE489" s="2706"/>
      <c r="AF489" s="2706"/>
      <c r="AG489" s="2706"/>
      <c r="AH489" s="2706"/>
      <c r="AI489" s="2706"/>
      <c r="AJ489" s="2566"/>
    </row>
    <row r="490" spans="1:36" s="2345" customFormat="1" ht="15" hidden="1" customHeight="1" outlineLevel="1">
      <c r="A490" s="2339"/>
      <c r="B490" s="3052"/>
      <c r="C490" s="3048"/>
      <c r="D490" s="3048"/>
      <c r="E490" s="3049"/>
      <c r="F490" s="2341" t="s">
        <v>3863</v>
      </c>
      <c r="G490" s="2342"/>
      <c r="H490" s="2641"/>
      <c r="I490" s="2641"/>
      <c r="J490" s="2641"/>
      <c r="K490" s="2641"/>
      <c r="L490" s="2641"/>
      <c r="M490" s="2641"/>
      <c r="N490" s="2641"/>
      <c r="O490" s="2641"/>
      <c r="P490" s="2641"/>
      <c r="Q490" s="2649"/>
      <c r="R490" s="2641"/>
      <c r="S490" s="2641"/>
      <c r="T490" s="2650"/>
      <c r="U490" s="2828"/>
      <c r="V490" s="2566"/>
      <c r="W490" s="2566"/>
      <c r="X490" s="2566"/>
      <c r="Y490" s="2566"/>
      <c r="Z490" s="2642"/>
      <c r="AA490" s="2642"/>
      <c r="AB490" s="2642"/>
      <c r="AC490" s="2642"/>
      <c r="AD490" s="2706"/>
      <c r="AE490" s="2706"/>
      <c r="AF490" s="2706"/>
      <c r="AG490" s="2706"/>
      <c r="AH490" s="2706"/>
      <c r="AI490" s="2706"/>
      <c r="AJ490" s="2566"/>
    </row>
    <row r="491" spans="1:36" s="2345" customFormat="1" ht="15" hidden="1" customHeight="1" outlineLevel="1">
      <c r="A491" s="2339"/>
      <c r="B491" s="3052"/>
      <c r="C491" s="3048"/>
      <c r="D491" s="3048"/>
      <c r="E491" s="3049"/>
      <c r="F491" s="2340" t="s">
        <v>3864</v>
      </c>
      <c r="G491" s="2337"/>
      <c r="H491" s="2641"/>
      <c r="I491" s="2641"/>
      <c r="J491" s="2641"/>
      <c r="K491" s="2641"/>
      <c r="L491" s="2641"/>
      <c r="M491" s="2641"/>
      <c r="N491" s="2641"/>
      <c r="O491" s="2641"/>
      <c r="P491" s="2641"/>
      <c r="Q491" s="2649"/>
      <c r="R491" s="2641"/>
      <c r="S491" s="2641"/>
      <c r="T491" s="2650"/>
      <c r="U491" s="2828"/>
      <c r="V491" s="2566"/>
      <c r="W491" s="2566"/>
      <c r="X491" s="2566"/>
      <c r="Y491" s="2566"/>
      <c r="Z491" s="2642"/>
      <c r="AA491" s="2642"/>
      <c r="AB491" s="2642"/>
      <c r="AC491" s="2642"/>
      <c r="AD491" s="2706"/>
      <c r="AE491" s="2706"/>
      <c r="AF491" s="2706"/>
      <c r="AG491" s="2706"/>
      <c r="AH491" s="2706"/>
      <c r="AI491" s="2706"/>
      <c r="AJ491" s="2566"/>
    </row>
    <row r="492" spans="1:36" s="2345" customFormat="1" ht="15" hidden="1" customHeight="1" outlineLevel="1">
      <c r="A492" s="2339"/>
      <c r="B492" s="3052"/>
      <c r="C492" s="3048"/>
      <c r="D492" s="3048"/>
      <c r="E492" s="3049"/>
      <c r="F492" s="2340" t="s">
        <v>3865</v>
      </c>
      <c r="G492" s="2337"/>
      <c r="H492" s="2641"/>
      <c r="I492" s="2641"/>
      <c r="J492" s="2641"/>
      <c r="K492" s="2641"/>
      <c r="L492" s="2641"/>
      <c r="M492" s="2641"/>
      <c r="N492" s="2641"/>
      <c r="O492" s="2641"/>
      <c r="P492" s="2641"/>
      <c r="Q492" s="2649"/>
      <c r="R492" s="2641"/>
      <c r="S492" s="2641"/>
      <c r="T492" s="2650"/>
      <c r="U492" s="2828"/>
      <c r="V492" s="2566"/>
      <c r="W492" s="2566"/>
      <c r="X492" s="2566"/>
      <c r="Y492" s="2566"/>
      <c r="Z492" s="2642"/>
      <c r="AA492" s="2642"/>
      <c r="AB492" s="2642"/>
      <c r="AC492" s="2642"/>
      <c r="AD492" s="2706"/>
      <c r="AE492" s="2706"/>
      <c r="AF492" s="2706"/>
      <c r="AG492" s="2706"/>
      <c r="AH492" s="2706"/>
      <c r="AI492" s="2706"/>
      <c r="AJ492" s="2566"/>
    </row>
    <row r="493" spans="1:36" s="2345" customFormat="1" ht="15" hidden="1" customHeight="1" outlineLevel="1">
      <c r="A493" s="2339"/>
      <c r="B493" s="3052"/>
      <c r="C493" s="3048"/>
      <c r="D493" s="3048"/>
      <c r="E493" s="3047" t="s">
        <v>3910</v>
      </c>
      <c r="F493" s="2340" t="s">
        <v>3860</v>
      </c>
      <c r="G493" s="2337"/>
      <c r="H493" s="2641"/>
      <c r="I493" s="2641"/>
      <c r="J493" s="2641"/>
      <c r="K493" s="2641"/>
      <c r="L493" s="2641"/>
      <c r="M493" s="2641"/>
      <c r="N493" s="2641"/>
      <c r="O493" s="2641"/>
      <c r="P493" s="2641"/>
      <c r="Q493" s="2649"/>
      <c r="R493" s="2641"/>
      <c r="S493" s="2641"/>
      <c r="T493" s="2650"/>
      <c r="U493" s="2828"/>
      <c r="V493" s="2566"/>
      <c r="W493" s="2566"/>
      <c r="X493" s="2566"/>
      <c r="Y493" s="2566"/>
      <c r="Z493" s="2642"/>
      <c r="AA493" s="2642"/>
      <c r="AB493" s="2642"/>
      <c r="AC493" s="2642"/>
      <c r="AD493" s="2706"/>
      <c r="AE493" s="2706"/>
      <c r="AF493" s="2706"/>
      <c r="AG493" s="2706"/>
      <c r="AH493" s="2706"/>
      <c r="AI493" s="2706"/>
      <c r="AJ493" s="2566"/>
    </row>
    <row r="494" spans="1:36" s="2345" customFormat="1" ht="15" hidden="1" customHeight="1" outlineLevel="1">
      <c r="A494" s="2339"/>
      <c r="B494" s="3052"/>
      <c r="C494" s="3048"/>
      <c r="D494" s="3048"/>
      <c r="E494" s="3047"/>
      <c r="F494" s="2340" t="s">
        <v>3861</v>
      </c>
      <c r="G494" s="2337"/>
      <c r="H494" s="2641"/>
      <c r="I494" s="2641"/>
      <c r="J494" s="2641"/>
      <c r="K494" s="2641"/>
      <c r="L494" s="2641"/>
      <c r="M494" s="2641"/>
      <c r="N494" s="2641"/>
      <c r="O494" s="2641"/>
      <c r="P494" s="2641"/>
      <c r="Q494" s="2649"/>
      <c r="R494" s="2641"/>
      <c r="S494" s="2641"/>
      <c r="T494" s="2650"/>
      <c r="U494" s="2828"/>
      <c r="V494" s="2566"/>
      <c r="W494" s="2566"/>
      <c r="X494" s="2566"/>
      <c r="Y494" s="2566"/>
      <c r="Z494" s="2642"/>
      <c r="AA494" s="2642"/>
      <c r="AB494" s="2642"/>
      <c r="AC494" s="2642"/>
      <c r="AD494" s="2706"/>
      <c r="AE494" s="2706"/>
      <c r="AF494" s="2706"/>
      <c r="AG494" s="2706"/>
      <c r="AH494" s="2706"/>
      <c r="AI494" s="2706"/>
      <c r="AJ494" s="2566"/>
    </row>
    <row r="495" spans="1:36" s="2345" customFormat="1" ht="15" hidden="1" customHeight="1" outlineLevel="1">
      <c r="A495" s="2339"/>
      <c r="B495" s="3052"/>
      <c r="C495" s="3048"/>
      <c r="D495" s="3048"/>
      <c r="E495" s="3047"/>
      <c r="F495" s="2340" t="s">
        <v>3862</v>
      </c>
      <c r="G495" s="2337"/>
      <c r="H495" s="2641"/>
      <c r="I495" s="2641"/>
      <c r="J495" s="2641"/>
      <c r="K495" s="2641"/>
      <c r="L495" s="2641"/>
      <c r="M495" s="2641"/>
      <c r="N495" s="2641"/>
      <c r="O495" s="2641"/>
      <c r="P495" s="2641"/>
      <c r="Q495" s="2649"/>
      <c r="R495" s="2641"/>
      <c r="S495" s="2641"/>
      <c r="T495" s="2650"/>
      <c r="U495" s="2828"/>
      <c r="V495" s="2566"/>
      <c r="W495" s="2566"/>
      <c r="X495" s="2566"/>
      <c r="Y495" s="2566"/>
      <c r="Z495" s="2642"/>
      <c r="AA495" s="2642"/>
      <c r="AB495" s="2642"/>
      <c r="AC495" s="2642"/>
      <c r="AD495" s="2706"/>
      <c r="AE495" s="2706"/>
      <c r="AF495" s="2706"/>
      <c r="AG495" s="2706"/>
      <c r="AH495" s="2706"/>
      <c r="AI495" s="2706"/>
      <c r="AJ495" s="2566"/>
    </row>
    <row r="496" spans="1:36" s="2345" customFormat="1" ht="15" hidden="1" customHeight="1" outlineLevel="1">
      <c r="A496" s="2339"/>
      <c r="B496" s="3052"/>
      <c r="C496" s="3048"/>
      <c r="D496" s="3048"/>
      <c r="E496" s="3047"/>
      <c r="F496" s="2340" t="s">
        <v>3863</v>
      </c>
      <c r="G496" s="2337"/>
      <c r="H496" s="2641"/>
      <c r="I496" s="2641"/>
      <c r="J496" s="2641"/>
      <c r="K496" s="2641"/>
      <c r="L496" s="2641"/>
      <c r="M496" s="2641"/>
      <c r="N496" s="2641"/>
      <c r="O496" s="2641"/>
      <c r="P496" s="2641"/>
      <c r="Q496" s="2649"/>
      <c r="R496" s="2641"/>
      <c r="S496" s="2641"/>
      <c r="T496" s="2650"/>
      <c r="U496" s="2828"/>
      <c r="V496" s="2566"/>
      <c r="W496" s="2566"/>
      <c r="X496" s="2566"/>
      <c r="Y496" s="2566"/>
      <c r="Z496" s="2642"/>
      <c r="AA496" s="2642"/>
      <c r="AB496" s="2642"/>
      <c r="AC496" s="2642"/>
      <c r="AD496" s="2706"/>
      <c r="AE496" s="2706"/>
      <c r="AF496" s="2706"/>
      <c r="AG496" s="2706"/>
      <c r="AH496" s="2706"/>
      <c r="AI496" s="2706"/>
      <c r="AJ496" s="2566"/>
    </row>
    <row r="497" spans="1:36" s="2345" customFormat="1" ht="15" hidden="1" customHeight="1" outlineLevel="1">
      <c r="A497" s="2339"/>
      <c r="B497" s="3052"/>
      <c r="C497" s="3048"/>
      <c r="D497" s="3048"/>
      <c r="E497" s="3047"/>
      <c r="F497" s="2340" t="s">
        <v>3864</v>
      </c>
      <c r="G497" s="2337"/>
      <c r="H497" s="2641"/>
      <c r="I497" s="2641"/>
      <c r="J497" s="2641"/>
      <c r="K497" s="2641"/>
      <c r="L497" s="2641"/>
      <c r="M497" s="2641"/>
      <c r="N497" s="2641"/>
      <c r="O497" s="2641"/>
      <c r="P497" s="2641"/>
      <c r="Q497" s="2649"/>
      <c r="R497" s="2641"/>
      <c r="S497" s="2641"/>
      <c r="T497" s="2650"/>
      <c r="U497" s="2828"/>
      <c r="V497" s="2566"/>
      <c r="W497" s="2566"/>
      <c r="X497" s="2566"/>
      <c r="Y497" s="2566"/>
      <c r="Z497" s="2642"/>
      <c r="AA497" s="2642"/>
      <c r="AB497" s="2642"/>
      <c r="AC497" s="2642"/>
      <c r="AD497" s="2706"/>
      <c r="AE497" s="2706"/>
      <c r="AF497" s="2706"/>
      <c r="AG497" s="2706"/>
      <c r="AH497" s="2706"/>
      <c r="AI497" s="2706"/>
      <c r="AJ497" s="2566"/>
    </row>
    <row r="498" spans="1:36" s="2345" customFormat="1" ht="15" hidden="1" customHeight="1" outlineLevel="1">
      <c r="A498" s="2339"/>
      <c r="B498" s="3052"/>
      <c r="C498" s="3048"/>
      <c r="D498" s="3048"/>
      <c r="E498" s="3047"/>
      <c r="F498" s="2340" t="s">
        <v>3865</v>
      </c>
      <c r="G498" s="2337"/>
      <c r="H498" s="2641"/>
      <c r="I498" s="2641"/>
      <c r="J498" s="2641"/>
      <c r="K498" s="2641"/>
      <c r="L498" s="2641"/>
      <c r="M498" s="2641"/>
      <c r="N498" s="2641"/>
      <c r="O498" s="2641"/>
      <c r="P498" s="2641"/>
      <c r="Q498" s="2649"/>
      <c r="R498" s="2641"/>
      <c r="S498" s="2641"/>
      <c r="T498" s="2650"/>
      <c r="U498" s="2828"/>
      <c r="V498" s="2566"/>
      <c r="W498" s="2566"/>
      <c r="X498" s="2566"/>
      <c r="Y498" s="2566"/>
      <c r="Z498" s="2642"/>
      <c r="AA498" s="2642"/>
      <c r="AB498" s="2642"/>
      <c r="AC498" s="2642"/>
      <c r="AD498" s="2706"/>
      <c r="AE498" s="2706"/>
      <c r="AF498" s="2706"/>
      <c r="AG498" s="2706"/>
      <c r="AH498" s="2706"/>
      <c r="AI498" s="2706"/>
      <c r="AJ498" s="2566"/>
    </row>
    <row r="499" spans="1:36" s="2345" customFormat="1" ht="15" hidden="1" customHeight="1" outlineLevel="1">
      <c r="A499" s="2339"/>
      <c r="B499" s="3052"/>
      <c r="C499" s="3050" t="s">
        <v>3913</v>
      </c>
      <c r="D499" s="3050" t="s">
        <v>3911</v>
      </c>
      <c r="E499" s="3049" t="s">
        <v>3910</v>
      </c>
      <c r="F499" s="2340" t="s">
        <v>3860</v>
      </c>
      <c r="G499" s="2337"/>
      <c r="H499" s="2641"/>
      <c r="I499" s="2641"/>
      <c r="J499" s="2641"/>
      <c r="K499" s="2641"/>
      <c r="L499" s="2641"/>
      <c r="M499" s="2641"/>
      <c r="N499" s="2641"/>
      <c r="O499" s="2641"/>
      <c r="P499" s="2641"/>
      <c r="Q499" s="2649"/>
      <c r="R499" s="2641"/>
      <c r="S499" s="2641"/>
      <c r="T499" s="2650"/>
      <c r="U499" s="2828"/>
      <c r="V499" s="2566"/>
      <c r="W499" s="2566"/>
      <c r="X499" s="2566"/>
      <c r="Y499" s="2566"/>
      <c r="Z499" s="2642"/>
      <c r="AA499" s="2642"/>
      <c r="AB499" s="2642"/>
      <c r="AC499" s="2642"/>
      <c r="AD499" s="2706"/>
      <c r="AE499" s="2706"/>
      <c r="AF499" s="2706"/>
      <c r="AG499" s="2706"/>
      <c r="AH499" s="2706"/>
      <c r="AI499" s="2706"/>
      <c r="AJ499" s="2566"/>
    </row>
    <row r="500" spans="1:36" s="2345" customFormat="1" ht="15" hidden="1" customHeight="1" outlineLevel="1">
      <c r="A500" s="2339"/>
      <c r="B500" s="3052"/>
      <c r="C500" s="3050"/>
      <c r="D500" s="3050"/>
      <c r="E500" s="3049"/>
      <c r="F500" s="2340" t="s">
        <v>3861</v>
      </c>
      <c r="G500" s="2337"/>
      <c r="H500" s="2641"/>
      <c r="I500" s="2641"/>
      <c r="J500" s="2641"/>
      <c r="K500" s="2641"/>
      <c r="L500" s="2641"/>
      <c r="M500" s="2641"/>
      <c r="N500" s="2641"/>
      <c r="O500" s="2641"/>
      <c r="P500" s="2641"/>
      <c r="Q500" s="2649"/>
      <c r="R500" s="2641"/>
      <c r="S500" s="2641"/>
      <c r="T500" s="2650"/>
      <c r="U500" s="2828"/>
      <c r="V500" s="2566"/>
      <c r="W500" s="2566"/>
      <c r="X500" s="2566"/>
      <c r="Y500" s="2566"/>
      <c r="Z500" s="2642"/>
      <c r="AA500" s="2642"/>
      <c r="AB500" s="2642"/>
      <c r="AC500" s="2642"/>
      <c r="AD500" s="2706"/>
      <c r="AE500" s="2706"/>
      <c r="AF500" s="2706"/>
      <c r="AG500" s="2706"/>
      <c r="AH500" s="2706"/>
      <c r="AI500" s="2706"/>
      <c r="AJ500" s="2566"/>
    </row>
    <row r="501" spans="1:36" s="2345" customFormat="1" ht="15" hidden="1" customHeight="1" outlineLevel="1">
      <c r="A501" s="2339"/>
      <c r="B501" s="3052"/>
      <c r="C501" s="3050"/>
      <c r="D501" s="3050"/>
      <c r="E501" s="3049"/>
      <c r="F501" s="2340" t="s">
        <v>3862</v>
      </c>
      <c r="G501" s="2337"/>
      <c r="H501" s="2641"/>
      <c r="I501" s="2641"/>
      <c r="J501" s="2641"/>
      <c r="K501" s="2641"/>
      <c r="L501" s="2641"/>
      <c r="M501" s="2641"/>
      <c r="N501" s="2641"/>
      <c r="O501" s="2641"/>
      <c r="P501" s="2641"/>
      <c r="Q501" s="2649"/>
      <c r="R501" s="2641"/>
      <c r="S501" s="2641"/>
      <c r="T501" s="2650"/>
      <c r="U501" s="2828"/>
      <c r="V501" s="2566"/>
      <c r="W501" s="2566"/>
      <c r="X501" s="2566"/>
      <c r="Y501" s="2566"/>
      <c r="Z501" s="2642"/>
      <c r="AA501" s="2642"/>
      <c r="AB501" s="2642"/>
      <c r="AC501" s="2642"/>
      <c r="AD501" s="2706"/>
      <c r="AE501" s="2706"/>
      <c r="AF501" s="2706"/>
      <c r="AG501" s="2706"/>
      <c r="AH501" s="2706"/>
      <c r="AI501" s="2706"/>
      <c r="AJ501" s="2566"/>
    </row>
    <row r="502" spans="1:36" s="2345" customFormat="1" ht="15" hidden="1" customHeight="1" outlineLevel="1">
      <c r="A502" s="2339"/>
      <c r="B502" s="3052"/>
      <c r="C502" s="3050"/>
      <c r="D502" s="3050"/>
      <c r="E502" s="3049"/>
      <c r="F502" s="2341" t="s">
        <v>3863</v>
      </c>
      <c r="G502" s="2342"/>
      <c r="H502" s="2641"/>
      <c r="I502" s="2641"/>
      <c r="J502" s="2641"/>
      <c r="K502" s="2641"/>
      <c r="L502" s="2641"/>
      <c r="M502" s="2641"/>
      <c r="N502" s="2641"/>
      <c r="O502" s="2641"/>
      <c r="P502" s="2641"/>
      <c r="Q502" s="2649"/>
      <c r="R502" s="2641"/>
      <c r="S502" s="2641"/>
      <c r="T502" s="2650"/>
      <c r="U502" s="2828"/>
      <c r="V502" s="2566"/>
      <c r="W502" s="2566"/>
      <c r="X502" s="2566"/>
      <c r="Y502" s="2566"/>
      <c r="Z502" s="2642"/>
      <c r="AA502" s="2642"/>
      <c r="AB502" s="2642"/>
      <c r="AC502" s="2642"/>
      <c r="AD502" s="2706"/>
      <c r="AE502" s="2706"/>
      <c r="AF502" s="2706"/>
      <c r="AG502" s="2706"/>
      <c r="AH502" s="2706"/>
      <c r="AI502" s="2706"/>
      <c r="AJ502" s="2566"/>
    </row>
    <row r="503" spans="1:36" s="2345" customFormat="1" ht="15" hidden="1" customHeight="1" outlineLevel="1">
      <c r="A503" s="2339"/>
      <c r="B503" s="3052"/>
      <c r="C503" s="3050"/>
      <c r="D503" s="3050"/>
      <c r="E503" s="3049"/>
      <c r="F503" s="2340" t="s">
        <v>3864</v>
      </c>
      <c r="G503" s="2337"/>
      <c r="H503" s="2641"/>
      <c r="I503" s="2641"/>
      <c r="J503" s="2641"/>
      <c r="K503" s="2641"/>
      <c r="L503" s="2641"/>
      <c r="M503" s="2641"/>
      <c r="N503" s="2641"/>
      <c r="O503" s="2641"/>
      <c r="P503" s="2641"/>
      <c r="Q503" s="2649"/>
      <c r="R503" s="2641"/>
      <c r="S503" s="2641"/>
      <c r="T503" s="2650"/>
      <c r="U503" s="2828"/>
      <c r="V503" s="2566"/>
      <c r="W503" s="2566"/>
      <c r="X503" s="2566"/>
      <c r="Y503" s="2566"/>
      <c r="Z503" s="2642"/>
      <c r="AA503" s="2642"/>
      <c r="AB503" s="2642"/>
      <c r="AC503" s="2642"/>
      <c r="AD503" s="2706"/>
      <c r="AE503" s="2706"/>
      <c r="AF503" s="2706"/>
      <c r="AG503" s="2706"/>
      <c r="AH503" s="2706"/>
      <c r="AI503" s="2706"/>
      <c r="AJ503" s="2566"/>
    </row>
    <row r="504" spans="1:36" s="2345" customFormat="1" ht="15" hidden="1" customHeight="1" outlineLevel="1">
      <c r="A504" s="2339"/>
      <c r="B504" s="3052"/>
      <c r="C504" s="3050"/>
      <c r="D504" s="3050"/>
      <c r="E504" s="3049"/>
      <c r="F504" s="2340" t="s">
        <v>3865</v>
      </c>
      <c r="G504" s="2337"/>
      <c r="H504" s="2641"/>
      <c r="I504" s="2641"/>
      <c r="J504" s="2641"/>
      <c r="K504" s="2641"/>
      <c r="L504" s="2641"/>
      <c r="M504" s="2641"/>
      <c r="N504" s="2641"/>
      <c r="O504" s="2641"/>
      <c r="P504" s="2641"/>
      <c r="Q504" s="2649"/>
      <c r="R504" s="2641"/>
      <c r="S504" s="2641"/>
      <c r="T504" s="2650"/>
      <c r="U504" s="2828"/>
      <c r="V504" s="2566"/>
      <c r="W504" s="2566"/>
      <c r="X504" s="2566"/>
      <c r="Y504" s="2566"/>
      <c r="Z504" s="2642"/>
      <c r="AA504" s="2642"/>
      <c r="AB504" s="2642"/>
      <c r="AC504" s="2642"/>
      <c r="AD504" s="2706"/>
      <c r="AE504" s="2706"/>
      <c r="AF504" s="2706"/>
      <c r="AG504" s="2706"/>
      <c r="AH504" s="2706"/>
      <c r="AI504" s="2706"/>
      <c r="AJ504" s="2566"/>
    </row>
    <row r="505" spans="1:36" s="2345" customFormat="1" ht="15" hidden="1" customHeight="1" outlineLevel="1">
      <c r="A505" s="2339"/>
      <c r="B505" s="3052"/>
      <c r="C505" s="3048" t="s">
        <v>3914</v>
      </c>
      <c r="D505" s="3048" t="s">
        <v>3908</v>
      </c>
      <c r="E505" s="3047" t="s">
        <v>3909</v>
      </c>
      <c r="F505" s="2340" t="s">
        <v>3860</v>
      </c>
      <c r="G505" s="2337"/>
      <c r="H505" s="2641"/>
      <c r="I505" s="2641"/>
      <c r="J505" s="2641"/>
      <c r="K505" s="2641"/>
      <c r="L505" s="2641"/>
      <c r="M505" s="2641"/>
      <c r="N505" s="2641"/>
      <c r="O505" s="2641"/>
      <c r="P505" s="2641"/>
      <c r="Q505" s="2649"/>
      <c r="R505" s="2641"/>
      <c r="S505" s="2641"/>
      <c r="T505" s="2650"/>
      <c r="U505" s="2828"/>
      <c r="V505" s="2566"/>
      <c r="W505" s="2566"/>
      <c r="X505" s="2566"/>
      <c r="Y505" s="2566"/>
      <c r="Z505" s="2642"/>
      <c r="AA505" s="2642"/>
      <c r="AB505" s="2642"/>
      <c r="AC505" s="2642"/>
      <c r="AD505" s="2706"/>
      <c r="AE505" s="2706"/>
      <c r="AF505" s="2706"/>
      <c r="AG505" s="2706"/>
      <c r="AH505" s="2706"/>
      <c r="AI505" s="2706"/>
      <c r="AJ505" s="2566"/>
    </row>
    <row r="506" spans="1:36" s="2345" customFormat="1" ht="15" hidden="1" customHeight="1" outlineLevel="1">
      <c r="A506" s="2339"/>
      <c r="B506" s="3052"/>
      <c r="C506" s="3048"/>
      <c r="D506" s="3048"/>
      <c r="E506" s="3047"/>
      <c r="F506" s="2340" t="s">
        <v>3861</v>
      </c>
      <c r="G506" s="2337"/>
      <c r="H506" s="2641"/>
      <c r="I506" s="2641"/>
      <c r="J506" s="2641"/>
      <c r="K506" s="2641"/>
      <c r="L506" s="2641"/>
      <c r="M506" s="2641"/>
      <c r="N506" s="2641"/>
      <c r="O506" s="2641"/>
      <c r="P506" s="2641"/>
      <c r="Q506" s="2649"/>
      <c r="R506" s="2641"/>
      <c r="S506" s="2641"/>
      <c r="T506" s="2650"/>
      <c r="U506" s="2828"/>
      <c r="V506" s="2566"/>
      <c r="W506" s="2566"/>
      <c r="X506" s="2566"/>
      <c r="Y506" s="2566"/>
      <c r="Z506" s="2642"/>
      <c r="AA506" s="2642"/>
      <c r="AB506" s="2642"/>
      <c r="AC506" s="2642"/>
      <c r="AD506" s="2706"/>
      <c r="AE506" s="2706"/>
      <c r="AF506" s="2706"/>
      <c r="AG506" s="2706"/>
      <c r="AH506" s="2706"/>
      <c r="AI506" s="2706"/>
      <c r="AJ506" s="2566"/>
    </row>
    <row r="507" spans="1:36" s="2345" customFormat="1" ht="15" hidden="1" customHeight="1" outlineLevel="1">
      <c r="A507" s="2339"/>
      <c r="B507" s="3052"/>
      <c r="C507" s="3048"/>
      <c r="D507" s="3048"/>
      <c r="E507" s="3047"/>
      <c r="F507" s="2340" t="s">
        <v>3862</v>
      </c>
      <c r="G507" s="2337"/>
      <c r="H507" s="2641"/>
      <c r="I507" s="2641"/>
      <c r="J507" s="2641"/>
      <c r="K507" s="2641"/>
      <c r="L507" s="2641"/>
      <c r="M507" s="2641"/>
      <c r="N507" s="2641"/>
      <c r="O507" s="2641"/>
      <c r="P507" s="2641"/>
      <c r="Q507" s="2649"/>
      <c r="R507" s="2641"/>
      <c r="S507" s="2641"/>
      <c r="T507" s="2650"/>
      <c r="U507" s="2828"/>
      <c r="V507" s="2566"/>
      <c r="W507" s="2566"/>
      <c r="X507" s="2566"/>
      <c r="Y507" s="2566"/>
      <c r="Z507" s="2642"/>
      <c r="AA507" s="2642"/>
      <c r="AB507" s="2642"/>
      <c r="AC507" s="2642"/>
      <c r="AD507" s="2706"/>
      <c r="AE507" s="2706"/>
      <c r="AF507" s="2706"/>
      <c r="AG507" s="2706"/>
      <c r="AH507" s="2706"/>
      <c r="AI507" s="2706"/>
      <c r="AJ507" s="2566"/>
    </row>
    <row r="508" spans="1:36" s="2345" customFormat="1" ht="15" hidden="1" customHeight="1" outlineLevel="1">
      <c r="A508" s="2339"/>
      <c r="B508" s="3052"/>
      <c r="C508" s="3048"/>
      <c r="D508" s="3048"/>
      <c r="E508" s="3047"/>
      <c r="F508" s="2340" t="s">
        <v>3863</v>
      </c>
      <c r="G508" s="2337"/>
      <c r="H508" s="2829"/>
      <c r="I508" s="2829"/>
      <c r="J508" s="2829"/>
      <c r="K508" s="2829"/>
      <c r="L508" s="2829"/>
      <c r="M508" s="2829"/>
      <c r="N508" s="2829"/>
      <c r="O508" s="2829"/>
      <c r="P508" s="2829"/>
      <c r="Q508" s="2830"/>
      <c r="R508" s="2829"/>
      <c r="S508" s="2829"/>
      <c r="T508" s="2650"/>
      <c r="U508" s="2828"/>
      <c r="V508" s="2566"/>
      <c r="W508" s="2566"/>
      <c r="X508" s="2566"/>
      <c r="Y508" s="2566"/>
      <c r="Z508" s="2642"/>
      <c r="AA508" s="2642"/>
      <c r="AB508" s="2642"/>
      <c r="AC508" s="2642"/>
      <c r="AD508" s="2706"/>
      <c r="AE508" s="2706"/>
      <c r="AF508" s="2706"/>
      <c r="AG508" s="2706"/>
      <c r="AH508" s="2706"/>
      <c r="AI508" s="2706"/>
      <c r="AJ508" s="2566"/>
    </row>
    <row r="509" spans="1:36" s="2345" customFormat="1" ht="15" hidden="1" customHeight="1" outlineLevel="1">
      <c r="A509" s="2339"/>
      <c r="B509" s="3052"/>
      <c r="C509" s="3048"/>
      <c r="D509" s="3048"/>
      <c r="E509" s="3047"/>
      <c r="F509" s="2340" t="s">
        <v>3864</v>
      </c>
      <c r="G509" s="2337"/>
      <c r="H509" s="2831"/>
      <c r="I509" s="2831"/>
      <c r="J509" s="2831"/>
      <c r="K509" s="2831"/>
      <c r="L509" s="2831"/>
      <c r="M509" s="2831"/>
      <c r="N509" s="2831"/>
      <c r="O509" s="2831"/>
      <c r="P509" s="2831"/>
      <c r="Q509" s="2832"/>
      <c r="R509" s="2831"/>
      <c r="S509" s="2831"/>
      <c r="T509" s="2650"/>
      <c r="U509" s="2828"/>
      <c r="V509" s="2566"/>
      <c r="W509" s="2566"/>
      <c r="X509" s="2566"/>
      <c r="Y509" s="2566"/>
      <c r="Z509" s="2642"/>
      <c r="AA509" s="2642"/>
      <c r="AB509" s="2642"/>
      <c r="AC509" s="2642"/>
      <c r="AD509" s="2706"/>
      <c r="AE509" s="2706"/>
      <c r="AF509" s="2706"/>
      <c r="AG509" s="2706"/>
      <c r="AH509" s="2706"/>
      <c r="AI509" s="2706"/>
      <c r="AJ509" s="2566"/>
    </row>
    <row r="510" spans="1:36" s="2345" customFormat="1" ht="15" hidden="1" customHeight="1" outlineLevel="1">
      <c r="A510" s="2339"/>
      <c r="B510" s="3052"/>
      <c r="C510" s="3048"/>
      <c r="D510" s="3048"/>
      <c r="E510" s="3047"/>
      <c r="F510" s="2340" t="s">
        <v>3865</v>
      </c>
      <c r="G510" s="2337"/>
      <c r="H510" s="2833"/>
      <c r="I510" s="2833"/>
      <c r="J510" s="2833"/>
      <c r="K510" s="2833"/>
      <c r="L510" s="2833"/>
      <c r="M510" s="2833"/>
      <c r="N510" s="2833"/>
      <c r="O510" s="2834"/>
      <c r="P510" s="2834"/>
      <c r="Q510" s="2835"/>
      <c r="R510" s="2834"/>
      <c r="S510" s="2834"/>
      <c r="T510" s="2650"/>
      <c r="U510" s="2828"/>
      <c r="V510" s="2566"/>
      <c r="W510" s="2566"/>
      <c r="X510" s="2566"/>
      <c r="Y510" s="2566"/>
      <c r="Z510" s="2642"/>
      <c r="AA510" s="2642"/>
      <c r="AB510" s="2642"/>
      <c r="AC510" s="2642"/>
      <c r="AD510" s="2706"/>
      <c r="AE510" s="2706"/>
      <c r="AF510" s="2706"/>
      <c r="AG510" s="2706"/>
      <c r="AH510" s="2706"/>
      <c r="AI510" s="2706"/>
      <c r="AJ510" s="2566"/>
    </row>
    <row r="511" spans="1:36" s="2345" customFormat="1" ht="15" hidden="1" customHeight="1" outlineLevel="1">
      <c r="A511" s="2339"/>
      <c r="B511" s="3052"/>
      <c r="C511" s="3048"/>
      <c r="D511" s="3050" t="s">
        <v>3911</v>
      </c>
      <c r="E511" s="3049" t="s">
        <v>3910</v>
      </c>
      <c r="F511" s="2340" t="s">
        <v>3860</v>
      </c>
      <c r="G511" s="2337"/>
      <c r="H511" s="2636"/>
      <c r="I511" s="2636"/>
      <c r="J511" s="2636"/>
      <c r="K511" s="2636"/>
      <c r="L511" s="2636"/>
      <c r="M511" s="2636"/>
      <c r="N511" s="2636"/>
      <c r="O511" s="2636"/>
      <c r="P511" s="2636"/>
      <c r="Q511" s="2687"/>
      <c r="R511" s="2636"/>
      <c r="S511" s="2636"/>
      <c r="T511" s="2650"/>
      <c r="U511" s="2828"/>
      <c r="V511" s="2566"/>
      <c r="W511" s="2566"/>
      <c r="X511" s="2566"/>
      <c r="Y511" s="2566"/>
      <c r="Z511" s="2642"/>
      <c r="AA511" s="2642"/>
      <c r="AB511" s="2642"/>
      <c r="AC511" s="2642"/>
      <c r="AD511" s="2706"/>
      <c r="AE511" s="2706"/>
      <c r="AF511" s="2706"/>
      <c r="AG511" s="2706"/>
      <c r="AH511" s="2706"/>
      <c r="AI511" s="2706"/>
      <c r="AJ511" s="2566"/>
    </row>
    <row r="512" spans="1:36" s="2345" customFormat="1" ht="15" hidden="1" customHeight="1" outlineLevel="1">
      <c r="A512" s="2339"/>
      <c r="B512" s="3052"/>
      <c r="C512" s="3048"/>
      <c r="D512" s="3050"/>
      <c r="E512" s="3049"/>
      <c r="F512" s="2341" t="s">
        <v>3861</v>
      </c>
      <c r="G512" s="2342"/>
      <c r="H512" s="2833"/>
      <c r="I512" s="2833"/>
      <c r="J512" s="2833"/>
      <c r="K512" s="2833"/>
      <c r="L512" s="2833"/>
      <c r="M512" s="2833"/>
      <c r="N512" s="2833"/>
      <c r="O512" s="2641"/>
      <c r="P512" s="2641"/>
      <c r="Q512" s="2649"/>
      <c r="R512" s="2641"/>
      <c r="S512" s="2641"/>
      <c r="T512" s="2650"/>
      <c r="U512" s="2828"/>
      <c r="V512" s="2566"/>
      <c r="W512" s="2566"/>
      <c r="X512" s="2566"/>
      <c r="Y512" s="2566"/>
      <c r="Z512" s="2642"/>
      <c r="AA512" s="2642"/>
      <c r="AB512" s="2642"/>
      <c r="AC512" s="2642"/>
      <c r="AD512" s="2706"/>
      <c r="AE512" s="2706"/>
      <c r="AF512" s="2706"/>
      <c r="AG512" s="2706"/>
      <c r="AH512" s="2706"/>
      <c r="AI512" s="2706"/>
      <c r="AJ512" s="2566"/>
    </row>
    <row r="513" spans="1:36" s="2345" customFormat="1" ht="15" hidden="1" customHeight="1" outlineLevel="1">
      <c r="A513" s="2339"/>
      <c r="B513" s="3052"/>
      <c r="C513" s="3048"/>
      <c r="D513" s="3050"/>
      <c r="E513" s="3049"/>
      <c r="F513" s="2341" t="s">
        <v>3862</v>
      </c>
      <c r="G513" s="2342"/>
      <c r="H513" s="2636"/>
      <c r="I513" s="2636"/>
      <c r="J513" s="2636"/>
      <c r="K513" s="2636"/>
      <c r="L513" s="2636"/>
      <c r="M513" s="2636"/>
      <c r="N513" s="2636"/>
      <c r="O513" s="2641"/>
      <c r="P513" s="2641"/>
      <c r="Q513" s="2649"/>
      <c r="R513" s="2641"/>
      <c r="S513" s="2641"/>
      <c r="T513" s="2650"/>
      <c r="U513" s="2828"/>
      <c r="V513" s="2566"/>
      <c r="W513" s="2566"/>
      <c r="X513" s="2566"/>
      <c r="Y513" s="2566"/>
      <c r="Z513" s="2642"/>
      <c r="AA513" s="2642"/>
      <c r="AB513" s="2642"/>
      <c r="AC513" s="2642"/>
      <c r="AD513" s="2706"/>
      <c r="AE513" s="2706"/>
      <c r="AF513" s="2706"/>
      <c r="AG513" s="2706"/>
      <c r="AH513" s="2706"/>
      <c r="AI513" s="2706"/>
      <c r="AJ513" s="2566"/>
    </row>
    <row r="514" spans="1:36" s="2345" customFormat="1" ht="15" hidden="1" customHeight="1" outlineLevel="1">
      <c r="A514" s="2339"/>
      <c r="B514" s="3052"/>
      <c r="C514" s="3048"/>
      <c r="D514" s="3050"/>
      <c r="E514" s="3049"/>
      <c r="F514" s="2341" t="s">
        <v>3863</v>
      </c>
      <c r="G514" s="2342"/>
      <c r="H514" s="2636"/>
      <c r="I514" s="2636"/>
      <c r="J514" s="2636"/>
      <c r="K514" s="2636"/>
      <c r="L514" s="2636"/>
      <c r="M514" s="2636"/>
      <c r="N514" s="2636"/>
      <c r="O514" s="2641"/>
      <c r="P514" s="2641"/>
      <c r="Q514" s="2649"/>
      <c r="R514" s="2641"/>
      <c r="S514" s="2641"/>
      <c r="T514" s="2650"/>
      <c r="U514" s="2828"/>
      <c r="V514" s="2566"/>
      <c r="W514" s="2566"/>
      <c r="X514" s="2566"/>
      <c r="Y514" s="2566"/>
      <c r="Z514" s="2642"/>
      <c r="AA514" s="2642"/>
      <c r="AB514" s="2642"/>
      <c r="AC514" s="2642"/>
      <c r="AD514" s="2706"/>
      <c r="AE514" s="2706"/>
      <c r="AF514" s="2706"/>
      <c r="AG514" s="2706"/>
      <c r="AH514" s="2706"/>
      <c r="AI514" s="2706"/>
      <c r="AJ514" s="2566"/>
    </row>
    <row r="515" spans="1:36" s="2345" customFormat="1" ht="15" hidden="1" customHeight="1" outlineLevel="1">
      <c r="A515" s="2339"/>
      <c r="B515" s="3052"/>
      <c r="C515" s="3048"/>
      <c r="D515" s="3050"/>
      <c r="E515" s="3049"/>
      <c r="F515" s="2340" t="s">
        <v>3864</v>
      </c>
      <c r="G515" s="2337"/>
      <c r="H515" s="2636"/>
      <c r="I515" s="2636"/>
      <c r="J515" s="2636"/>
      <c r="K515" s="2636"/>
      <c r="L515" s="2636"/>
      <c r="M515" s="2636"/>
      <c r="N515" s="2636"/>
      <c r="O515" s="2641"/>
      <c r="P515" s="2641"/>
      <c r="Q515" s="2649"/>
      <c r="R515" s="2641"/>
      <c r="S515" s="2641"/>
      <c r="T515" s="2650"/>
      <c r="U515" s="2828"/>
      <c r="V515" s="2566"/>
      <c r="W515" s="2566"/>
      <c r="X515" s="2566"/>
      <c r="Y515" s="2566"/>
      <c r="Z515" s="2642"/>
      <c r="AA515" s="2642"/>
      <c r="AB515" s="2642"/>
      <c r="AC515" s="2642"/>
      <c r="AD515" s="2706"/>
      <c r="AE515" s="2706"/>
      <c r="AF515" s="2706"/>
      <c r="AG515" s="2706"/>
      <c r="AH515" s="2706"/>
      <c r="AI515" s="2706"/>
      <c r="AJ515" s="2566"/>
    </row>
    <row r="516" spans="1:36" s="2345" customFormat="1" ht="15" hidden="1" customHeight="1" outlineLevel="1">
      <c r="A516" s="2339"/>
      <c r="B516" s="3052"/>
      <c r="C516" s="3048"/>
      <c r="D516" s="3050"/>
      <c r="E516" s="3049"/>
      <c r="F516" s="2340" t="s">
        <v>3865</v>
      </c>
      <c r="G516" s="2337"/>
      <c r="H516" s="2636"/>
      <c r="I516" s="2636"/>
      <c r="J516" s="2636"/>
      <c r="K516" s="2636"/>
      <c r="L516" s="2636"/>
      <c r="M516" s="2636"/>
      <c r="N516" s="2636"/>
      <c r="O516" s="2641"/>
      <c r="P516" s="2641"/>
      <c r="Q516" s="2649"/>
      <c r="R516" s="2641"/>
      <c r="S516" s="2641"/>
      <c r="T516" s="2650"/>
      <c r="U516" s="2828"/>
      <c r="V516" s="2566"/>
      <c r="W516" s="2566"/>
      <c r="X516" s="2566"/>
      <c r="Y516" s="2566"/>
      <c r="Z516" s="2642"/>
      <c r="AA516" s="2642"/>
      <c r="AB516" s="2642"/>
      <c r="AC516" s="2642"/>
      <c r="AD516" s="2706"/>
      <c r="AE516" s="2706"/>
      <c r="AF516" s="2706"/>
      <c r="AG516" s="2706"/>
      <c r="AH516" s="2706"/>
      <c r="AI516" s="2706"/>
      <c r="AJ516" s="2566"/>
    </row>
    <row r="517" spans="1:36" s="2345" customFormat="1" ht="15" hidden="1" customHeight="1" outlineLevel="1">
      <c r="A517" s="2339"/>
      <c r="B517" s="3052"/>
      <c r="C517" s="3047" t="s">
        <v>3915</v>
      </c>
      <c r="D517" s="3048" t="s">
        <v>3908</v>
      </c>
      <c r="E517" s="3047" t="s">
        <v>3909</v>
      </c>
      <c r="F517" s="2340" t="s">
        <v>3860</v>
      </c>
      <c r="G517" s="2337"/>
      <c r="H517" s="2636"/>
      <c r="I517" s="2636"/>
      <c r="J517" s="2636"/>
      <c r="K517" s="2636"/>
      <c r="L517" s="2636"/>
      <c r="M517" s="2636"/>
      <c r="N517" s="2636"/>
      <c r="O517" s="2641"/>
      <c r="P517" s="2641"/>
      <c r="Q517" s="2649"/>
      <c r="R517" s="2641"/>
      <c r="S517" s="2641"/>
      <c r="T517" s="2650"/>
      <c r="U517" s="2828"/>
      <c r="V517" s="2566"/>
      <c r="W517" s="2566"/>
      <c r="X517" s="2566"/>
      <c r="Y517" s="2566"/>
      <c r="Z517" s="2642"/>
      <c r="AA517" s="2642"/>
      <c r="AB517" s="2642"/>
      <c r="AC517" s="2642"/>
      <c r="AD517" s="2706"/>
      <c r="AE517" s="2706"/>
      <c r="AF517" s="2706"/>
      <c r="AG517" s="2706"/>
      <c r="AH517" s="2706"/>
      <c r="AI517" s="2706"/>
      <c r="AJ517" s="2566"/>
    </row>
    <row r="518" spans="1:36" s="2345" customFormat="1" ht="15" hidden="1" customHeight="1" outlineLevel="1">
      <c r="A518" s="2339"/>
      <c r="B518" s="3052"/>
      <c r="C518" s="3047"/>
      <c r="D518" s="3048"/>
      <c r="E518" s="3047"/>
      <c r="F518" s="2340" t="s">
        <v>3861</v>
      </c>
      <c r="G518" s="2337"/>
      <c r="H518" s="2636"/>
      <c r="I518" s="2636"/>
      <c r="J518" s="2636"/>
      <c r="K518" s="2636"/>
      <c r="L518" s="2636"/>
      <c r="M518" s="2636"/>
      <c r="N518" s="2665"/>
      <c r="O518" s="2641"/>
      <c r="P518" s="2641"/>
      <c r="Q518" s="2649"/>
      <c r="R518" s="2641"/>
      <c r="S518" s="2641"/>
      <c r="T518" s="2650"/>
      <c r="U518" s="2828"/>
      <c r="V518" s="2566"/>
      <c r="W518" s="2566"/>
      <c r="X518" s="2566"/>
      <c r="Y518" s="2566"/>
      <c r="Z518" s="2642"/>
      <c r="AA518" s="2642"/>
      <c r="AB518" s="2642"/>
      <c r="AC518" s="2642"/>
      <c r="AD518" s="2706"/>
      <c r="AE518" s="2706"/>
      <c r="AF518" s="2706"/>
      <c r="AG518" s="2706"/>
      <c r="AH518" s="2706"/>
      <c r="AI518" s="2706"/>
      <c r="AJ518" s="2566"/>
    </row>
    <row r="519" spans="1:36" s="2345" customFormat="1" ht="15" hidden="1" customHeight="1" outlineLevel="1">
      <c r="A519" s="2339"/>
      <c r="B519" s="3052"/>
      <c r="C519" s="3047"/>
      <c r="D519" s="3048"/>
      <c r="E519" s="3047"/>
      <c r="F519" s="2340" t="s">
        <v>3862</v>
      </c>
      <c r="G519" s="2337"/>
      <c r="H519" s="2636"/>
      <c r="I519" s="2636"/>
      <c r="J519" s="2636"/>
      <c r="K519" s="2636"/>
      <c r="L519" s="2636"/>
      <c r="M519" s="2636"/>
      <c r="N519" s="2636"/>
      <c r="O519" s="2641"/>
      <c r="P519" s="2641"/>
      <c r="Q519" s="2649"/>
      <c r="R519" s="2641"/>
      <c r="S519" s="2641"/>
      <c r="T519" s="2650"/>
      <c r="U519" s="2828"/>
      <c r="V519" s="2566"/>
      <c r="W519" s="2566"/>
      <c r="X519" s="2566"/>
      <c r="Y519" s="2566"/>
      <c r="Z519" s="2642"/>
      <c r="AA519" s="2642"/>
      <c r="AB519" s="2642"/>
      <c r="AC519" s="2642"/>
      <c r="AD519" s="2706"/>
      <c r="AE519" s="2706"/>
      <c r="AF519" s="2706"/>
      <c r="AG519" s="2706"/>
      <c r="AH519" s="2706"/>
      <c r="AI519" s="2706"/>
      <c r="AJ519" s="2566"/>
    </row>
    <row r="520" spans="1:36" s="2345" customFormat="1" ht="15" hidden="1" customHeight="1" outlineLevel="1">
      <c r="A520" s="2339"/>
      <c r="B520" s="3052"/>
      <c r="C520" s="3047"/>
      <c r="D520" s="3048"/>
      <c r="E520" s="3047"/>
      <c r="F520" s="2340" t="s">
        <v>3863</v>
      </c>
      <c r="G520" s="2337"/>
      <c r="H520" s="2636"/>
      <c r="I520" s="2636"/>
      <c r="J520" s="2636"/>
      <c r="K520" s="2636"/>
      <c r="L520" s="2636"/>
      <c r="M520" s="2636"/>
      <c r="N520" s="2636"/>
      <c r="O520" s="2641"/>
      <c r="P520" s="2641"/>
      <c r="Q520" s="2649"/>
      <c r="R520" s="2641"/>
      <c r="S520" s="2641"/>
      <c r="T520" s="2650"/>
      <c r="U520" s="2828"/>
      <c r="V520" s="2566"/>
      <c r="W520" s="2566"/>
      <c r="X520" s="2566"/>
      <c r="Y520" s="2566"/>
      <c r="Z520" s="2642"/>
      <c r="AA520" s="2642"/>
      <c r="AB520" s="2642"/>
      <c r="AC520" s="2642"/>
      <c r="AD520" s="2706"/>
      <c r="AE520" s="2706"/>
      <c r="AF520" s="2706"/>
      <c r="AG520" s="2706"/>
      <c r="AH520" s="2706"/>
      <c r="AI520" s="2706"/>
      <c r="AJ520" s="2566"/>
    </row>
    <row r="521" spans="1:36" s="2345" customFormat="1" ht="15" hidden="1" customHeight="1" outlineLevel="1">
      <c r="A521" s="2339"/>
      <c r="B521" s="3052"/>
      <c r="C521" s="3047"/>
      <c r="D521" s="3048"/>
      <c r="E521" s="3047"/>
      <c r="F521" s="2340" t="s">
        <v>3864</v>
      </c>
      <c r="G521" s="2337"/>
      <c r="H521" s="2636"/>
      <c r="I521" s="2636"/>
      <c r="J521" s="2636"/>
      <c r="K521" s="2636"/>
      <c r="L521" s="2636"/>
      <c r="M521" s="2636"/>
      <c r="N521" s="2636"/>
      <c r="O521" s="2641"/>
      <c r="P521" s="2641"/>
      <c r="Q521" s="2649"/>
      <c r="R521" s="2641"/>
      <c r="S521" s="2641"/>
      <c r="T521" s="2650"/>
      <c r="U521" s="2828"/>
      <c r="V521" s="2566"/>
      <c r="W521" s="2566"/>
      <c r="X521" s="2566"/>
      <c r="Y521" s="2566"/>
      <c r="Z521" s="2642"/>
      <c r="AA521" s="2642"/>
      <c r="AB521" s="2642"/>
      <c r="AC521" s="2642"/>
      <c r="AD521" s="2706"/>
      <c r="AE521" s="2706"/>
      <c r="AF521" s="2706"/>
      <c r="AG521" s="2706"/>
      <c r="AH521" s="2706"/>
      <c r="AI521" s="2706"/>
      <c r="AJ521" s="2566"/>
    </row>
    <row r="522" spans="1:36" s="2345" customFormat="1" ht="15" hidden="1" customHeight="1" outlineLevel="1">
      <c r="A522" s="2339"/>
      <c r="B522" s="3052"/>
      <c r="C522" s="3047"/>
      <c r="D522" s="3048"/>
      <c r="E522" s="3047"/>
      <c r="F522" s="2340" t="s">
        <v>3865</v>
      </c>
      <c r="G522" s="2337"/>
      <c r="H522" s="2639"/>
      <c r="I522" s="2639"/>
      <c r="J522" s="2639"/>
      <c r="K522" s="2639"/>
      <c r="L522" s="2639"/>
      <c r="M522" s="2639"/>
      <c r="N522" s="2641"/>
      <c r="O522" s="2641"/>
      <c r="P522" s="2641"/>
      <c r="Q522" s="2649"/>
      <c r="R522" s="2641"/>
      <c r="S522" s="2641"/>
      <c r="T522" s="2650"/>
      <c r="U522" s="2828"/>
      <c r="V522" s="2566"/>
      <c r="W522" s="2566"/>
      <c r="X522" s="2566"/>
      <c r="Y522" s="2566"/>
      <c r="Z522" s="2642"/>
      <c r="AA522" s="2642"/>
      <c r="AB522" s="2642"/>
      <c r="AC522" s="2642"/>
      <c r="AD522" s="2706"/>
      <c r="AE522" s="2706"/>
      <c r="AF522" s="2706"/>
      <c r="AG522" s="2706"/>
      <c r="AH522" s="2706"/>
      <c r="AI522" s="2706"/>
      <c r="AJ522" s="2566"/>
    </row>
    <row r="523" spans="1:36" s="2345" customFormat="1" ht="15" hidden="1" customHeight="1" outlineLevel="1">
      <c r="A523" s="2339"/>
      <c r="B523" s="3052"/>
      <c r="C523" s="3047"/>
      <c r="D523" s="3048" t="s">
        <v>3911</v>
      </c>
      <c r="E523" s="3049" t="s">
        <v>3909</v>
      </c>
      <c r="F523" s="2341" t="s">
        <v>3860</v>
      </c>
      <c r="G523" s="2342"/>
      <c r="H523" s="2639"/>
      <c r="I523" s="2639"/>
      <c r="J523" s="2639"/>
      <c r="K523" s="2639"/>
      <c r="L523" s="2639"/>
      <c r="M523" s="2639"/>
      <c r="N523" s="2641"/>
      <c r="O523" s="2641"/>
      <c r="P523" s="2641"/>
      <c r="Q523" s="2649"/>
      <c r="R523" s="2641"/>
      <c r="S523" s="2641"/>
      <c r="T523" s="2650"/>
      <c r="U523" s="2828"/>
      <c r="V523" s="2566"/>
      <c r="W523" s="2566"/>
      <c r="X523" s="2566"/>
      <c r="Y523" s="2566"/>
      <c r="Z523" s="2642"/>
      <c r="AA523" s="2642"/>
      <c r="AB523" s="2642"/>
      <c r="AC523" s="2642"/>
      <c r="AD523" s="2706"/>
      <c r="AE523" s="2706"/>
      <c r="AF523" s="2706"/>
      <c r="AG523" s="2706"/>
      <c r="AH523" s="2706"/>
      <c r="AI523" s="2706"/>
      <c r="AJ523" s="2566"/>
    </row>
    <row r="524" spans="1:36" s="2345" customFormat="1" ht="15" hidden="1" customHeight="1" outlineLevel="1">
      <c r="A524" s="2339"/>
      <c r="B524" s="3052"/>
      <c r="C524" s="3047"/>
      <c r="D524" s="3048"/>
      <c r="E524" s="3049"/>
      <c r="F524" s="2341" t="s">
        <v>3861</v>
      </c>
      <c r="G524" s="2342"/>
      <c r="H524" s="2639"/>
      <c r="I524" s="2639"/>
      <c r="J524" s="2639"/>
      <c r="K524" s="2639"/>
      <c r="L524" s="2639"/>
      <c r="M524" s="2639"/>
      <c r="N524" s="2641"/>
      <c r="O524" s="2641"/>
      <c r="P524" s="2641"/>
      <c r="Q524" s="2649"/>
      <c r="R524" s="2641"/>
      <c r="S524" s="2641"/>
      <c r="T524" s="2650"/>
      <c r="U524" s="2828"/>
      <c r="V524" s="2566"/>
      <c r="W524" s="2566"/>
      <c r="X524" s="2566"/>
      <c r="Y524" s="2566"/>
      <c r="Z524" s="2642"/>
      <c r="AA524" s="2642"/>
      <c r="AB524" s="2642"/>
      <c r="AC524" s="2642"/>
      <c r="AD524" s="2706"/>
      <c r="AE524" s="2706"/>
      <c r="AF524" s="2706"/>
      <c r="AG524" s="2706"/>
      <c r="AH524" s="2706"/>
      <c r="AI524" s="2706"/>
      <c r="AJ524" s="2566"/>
    </row>
    <row r="525" spans="1:36" s="2345" customFormat="1" ht="15" hidden="1" customHeight="1" outlineLevel="1">
      <c r="A525" s="2339"/>
      <c r="B525" s="3052"/>
      <c r="C525" s="3047"/>
      <c r="D525" s="3048"/>
      <c r="E525" s="3049"/>
      <c r="F525" s="2341" t="s">
        <v>3862</v>
      </c>
      <c r="G525" s="2342"/>
      <c r="H525" s="2639"/>
      <c r="I525" s="2639"/>
      <c r="J525" s="2639"/>
      <c r="K525" s="2639"/>
      <c r="L525" s="2639"/>
      <c r="M525" s="2639"/>
      <c r="N525" s="2641"/>
      <c r="O525" s="2641"/>
      <c r="P525" s="2641"/>
      <c r="Q525" s="2649"/>
      <c r="R525" s="2641"/>
      <c r="S525" s="2641"/>
      <c r="T525" s="2650"/>
      <c r="U525" s="2828"/>
      <c r="V525" s="2566"/>
      <c r="W525" s="2566"/>
      <c r="X525" s="2566"/>
      <c r="Y525" s="2566"/>
      <c r="Z525" s="2642"/>
      <c r="AA525" s="2642"/>
      <c r="AB525" s="2642"/>
      <c r="AC525" s="2642"/>
      <c r="AD525" s="2706"/>
      <c r="AE525" s="2706"/>
      <c r="AF525" s="2706"/>
      <c r="AG525" s="2706"/>
      <c r="AH525" s="2706"/>
      <c r="AI525" s="2706"/>
      <c r="AJ525" s="2566"/>
    </row>
    <row r="526" spans="1:36" s="2345" customFormat="1" ht="15" hidden="1" customHeight="1" outlineLevel="1">
      <c r="A526" s="2339"/>
      <c r="B526" s="3052"/>
      <c r="C526" s="3047"/>
      <c r="D526" s="3048"/>
      <c r="E526" s="3049"/>
      <c r="F526" s="2341" t="s">
        <v>3863</v>
      </c>
      <c r="G526" s="2342"/>
      <c r="H526" s="2639"/>
      <c r="I526" s="2639"/>
      <c r="J526" s="2639"/>
      <c r="K526" s="2639"/>
      <c r="L526" s="2639"/>
      <c r="M526" s="2639"/>
      <c r="N526" s="2641"/>
      <c r="O526" s="2641"/>
      <c r="P526" s="2641"/>
      <c r="Q526" s="2649"/>
      <c r="R526" s="2641"/>
      <c r="S526" s="2641"/>
      <c r="T526" s="2650"/>
      <c r="U526" s="2828"/>
      <c r="V526" s="2566"/>
      <c r="W526" s="2566"/>
      <c r="X526" s="2566"/>
      <c r="Y526" s="2566"/>
      <c r="Z526" s="2642"/>
      <c r="AA526" s="2642"/>
      <c r="AB526" s="2642"/>
      <c r="AC526" s="2642"/>
      <c r="AD526" s="2706"/>
      <c r="AE526" s="2706"/>
      <c r="AF526" s="2706"/>
      <c r="AG526" s="2706"/>
      <c r="AH526" s="2706"/>
      <c r="AI526" s="2706"/>
      <c r="AJ526" s="2566"/>
    </row>
    <row r="527" spans="1:36" s="2345" customFormat="1" ht="15" hidden="1" customHeight="1" outlineLevel="1">
      <c r="A527" s="2339"/>
      <c r="B527" s="3052"/>
      <c r="C527" s="3047"/>
      <c r="D527" s="3048"/>
      <c r="E527" s="3049"/>
      <c r="F527" s="2340" t="s">
        <v>3864</v>
      </c>
      <c r="G527" s="2337"/>
      <c r="H527" s="2639"/>
      <c r="I527" s="2639"/>
      <c r="J527" s="2639"/>
      <c r="K527" s="2639"/>
      <c r="L527" s="2639"/>
      <c r="M527" s="2639"/>
      <c r="N527" s="2641"/>
      <c r="O527" s="2641"/>
      <c r="P527" s="2641"/>
      <c r="Q527" s="2649"/>
      <c r="R527" s="2641"/>
      <c r="S527" s="2641"/>
      <c r="T527" s="2650"/>
      <c r="U527" s="2828"/>
      <c r="V527" s="2566"/>
      <c r="W527" s="2566"/>
      <c r="X527" s="2566"/>
      <c r="Y527" s="2566"/>
      <c r="Z527" s="2642"/>
      <c r="AA527" s="2642"/>
      <c r="AB527" s="2642"/>
      <c r="AC527" s="2642"/>
      <c r="AD527" s="2706"/>
      <c r="AE527" s="2706"/>
      <c r="AF527" s="2706"/>
      <c r="AG527" s="2706"/>
      <c r="AH527" s="2706"/>
      <c r="AI527" s="2706"/>
      <c r="AJ527" s="2566"/>
    </row>
    <row r="528" spans="1:36" s="2345" customFormat="1" ht="15" hidden="1" customHeight="1" outlineLevel="1">
      <c r="A528" s="2339"/>
      <c r="B528" s="3052"/>
      <c r="C528" s="3047"/>
      <c r="D528" s="3048"/>
      <c r="E528" s="3049"/>
      <c r="F528" s="2340" t="s">
        <v>3865</v>
      </c>
      <c r="G528" s="2337"/>
      <c r="H528" s="2639"/>
      <c r="I528" s="2639"/>
      <c r="J528" s="2639"/>
      <c r="K528" s="2639"/>
      <c r="L528" s="2639"/>
      <c r="M528" s="2639"/>
      <c r="N528" s="2641"/>
      <c r="O528" s="2641"/>
      <c r="P528" s="2641"/>
      <c r="Q528" s="2649"/>
      <c r="R528" s="2641"/>
      <c r="S528" s="2641"/>
      <c r="T528" s="2650"/>
      <c r="U528" s="2828"/>
      <c r="V528" s="2566"/>
      <c r="W528" s="2566"/>
      <c r="X528" s="2566"/>
      <c r="Y528" s="2566"/>
      <c r="Z528" s="2642"/>
      <c r="AA528" s="2642"/>
      <c r="AB528" s="2642"/>
      <c r="AC528" s="2642"/>
      <c r="AD528" s="2706"/>
      <c r="AE528" s="2706"/>
      <c r="AF528" s="2706"/>
      <c r="AG528" s="2706"/>
      <c r="AH528" s="2706"/>
      <c r="AI528" s="2706"/>
      <c r="AJ528" s="2566"/>
    </row>
    <row r="529" spans="1:36" s="2345" customFormat="1" ht="15" hidden="1" customHeight="1" outlineLevel="1">
      <c r="A529" s="2339"/>
      <c r="B529" s="3052"/>
      <c r="C529" s="3047"/>
      <c r="D529" s="3048"/>
      <c r="E529" s="3047" t="s">
        <v>3910</v>
      </c>
      <c r="F529" s="2340" t="s">
        <v>3860</v>
      </c>
      <c r="G529" s="2337"/>
      <c r="H529" s="2640"/>
      <c r="I529" s="2640"/>
      <c r="J529" s="2640"/>
      <c r="K529" s="2640"/>
      <c r="L529" s="2640"/>
      <c r="M529" s="2640"/>
      <c r="N529" s="2641"/>
      <c r="O529" s="2641"/>
      <c r="P529" s="2641"/>
      <c r="Q529" s="2649"/>
      <c r="R529" s="2641"/>
      <c r="S529" s="2641"/>
      <c r="T529" s="2650"/>
      <c r="U529" s="2828"/>
      <c r="V529" s="2566"/>
      <c r="W529" s="2566"/>
      <c r="X529" s="2566"/>
      <c r="Y529" s="2566"/>
      <c r="Z529" s="2642"/>
      <c r="AA529" s="2642"/>
      <c r="AB529" s="2642"/>
      <c r="AC529" s="2642"/>
      <c r="AD529" s="2706"/>
      <c r="AE529" s="2706"/>
      <c r="AF529" s="2706"/>
      <c r="AG529" s="2706"/>
      <c r="AH529" s="2706"/>
      <c r="AI529" s="2706"/>
      <c r="AJ529" s="2566"/>
    </row>
    <row r="530" spans="1:36" s="2345" customFormat="1" ht="15" hidden="1" customHeight="1" outlineLevel="1">
      <c r="A530" s="2339"/>
      <c r="B530" s="3052"/>
      <c r="C530" s="3047"/>
      <c r="D530" s="3048"/>
      <c r="E530" s="3047"/>
      <c r="F530" s="2340" t="s">
        <v>3861</v>
      </c>
      <c r="G530" s="2337"/>
      <c r="H530" s="2641"/>
      <c r="I530" s="2641"/>
      <c r="J530" s="2641"/>
      <c r="K530" s="2641"/>
      <c r="L530" s="2641"/>
      <c r="M530" s="2641"/>
      <c r="N530" s="2641"/>
      <c r="O530" s="2641"/>
      <c r="P530" s="2641"/>
      <c r="Q530" s="2649"/>
      <c r="R530" s="2641"/>
      <c r="S530" s="2641"/>
      <c r="T530" s="2650"/>
      <c r="U530" s="2828"/>
      <c r="V530" s="2566"/>
      <c r="W530" s="2566"/>
      <c r="X530" s="2566"/>
      <c r="Y530" s="2566"/>
      <c r="Z530" s="2642"/>
      <c r="AA530" s="2642"/>
      <c r="AB530" s="2642"/>
      <c r="AC530" s="2642"/>
      <c r="AD530" s="2706"/>
      <c r="AE530" s="2706"/>
      <c r="AF530" s="2706"/>
      <c r="AG530" s="2706"/>
      <c r="AH530" s="2706"/>
      <c r="AI530" s="2706"/>
      <c r="AJ530" s="2566"/>
    </row>
    <row r="531" spans="1:36" s="2345" customFormat="1" ht="15" hidden="1" customHeight="1" outlineLevel="1">
      <c r="A531" s="2339"/>
      <c r="B531" s="3052"/>
      <c r="C531" s="3047"/>
      <c r="D531" s="3048"/>
      <c r="E531" s="3047"/>
      <c r="F531" s="2340" t="s">
        <v>3862</v>
      </c>
      <c r="G531" s="2337"/>
      <c r="H531" s="2641"/>
      <c r="I531" s="2641"/>
      <c r="J531" s="2641"/>
      <c r="K531" s="2641"/>
      <c r="L531" s="2641"/>
      <c r="M531" s="2641"/>
      <c r="N531" s="2641"/>
      <c r="O531" s="2641"/>
      <c r="P531" s="2641"/>
      <c r="Q531" s="2649"/>
      <c r="R531" s="2641"/>
      <c r="S531" s="2641"/>
      <c r="T531" s="2650"/>
      <c r="U531" s="2828"/>
      <c r="V531" s="2566"/>
      <c r="W531" s="2566"/>
      <c r="X531" s="2566"/>
      <c r="Y531" s="2566"/>
      <c r="Z531" s="2642"/>
      <c r="AA531" s="2642"/>
      <c r="AB531" s="2642"/>
      <c r="AC531" s="2642"/>
      <c r="AD531" s="2706"/>
      <c r="AE531" s="2706"/>
      <c r="AF531" s="2706"/>
      <c r="AG531" s="2706"/>
      <c r="AH531" s="2706"/>
      <c r="AI531" s="2706"/>
      <c r="AJ531" s="2566"/>
    </row>
    <row r="532" spans="1:36" s="2345" customFormat="1" ht="15" hidden="1" customHeight="1" outlineLevel="1">
      <c r="A532" s="2339"/>
      <c r="B532" s="3052"/>
      <c r="C532" s="3047"/>
      <c r="D532" s="3048"/>
      <c r="E532" s="3047"/>
      <c r="F532" s="2340" t="s">
        <v>3863</v>
      </c>
      <c r="G532" s="2337"/>
      <c r="H532" s="2641"/>
      <c r="I532" s="2641"/>
      <c r="J532" s="2641"/>
      <c r="K532" s="2641"/>
      <c r="L532" s="2641"/>
      <c r="M532" s="2641"/>
      <c r="N532" s="2641"/>
      <c r="O532" s="2641"/>
      <c r="P532" s="2641"/>
      <c r="Q532" s="2649"/>
      <c r="R532" s="2641"/>
      <c r="S532" s="2641"/>
      <c r="T532" s="2650"/>
      <c r="U532" s="2828"/>
      <c r="V532" s="2566"/>
      <c r="W532" s="2566"/>
      <c r="X532" s="2566"/>
      <c r="Y532" s="2566"/>
      <c r="Z532" s="2642"/>
      <c r="AA532" s="2642"/>
      <c r="AB532" s="2642"/>
      <c r="AC532" s="2642"/>
      <c r="AD532" s="2706"/>
      <c r="AE532" s="2706"/>
      <c r="AF532" s="2706"/>
      <c r="AG532" s="2706"/>
      <c r="AH532" s="2706"/>
      <c r="AI532" s="2706"/>
      <c r="AJ532" s="2566"/>
    </row>
    <row r="533" spans="1:36" s="2345" customFormat="1" ht="15" hidden="1" customHeight="1" outlineLevel="1">
      <c r="A533" s="2339"/>
      <c r="B533" s="3052"/>
      <c r="C533" s="3047"/>
      <c r="D533" s="3048"/>
      <c r="E533" s="3047"/>
      <c r="F533" s="2340" t="s">
        <v>3864</v>
      </c>
      <c r="G533" s="2337"/>
      <c r="H533" s="2641"/>
      <c r="I533" s="2641"/>
      <c r="J533" s="2641"/>
      <c r="K533" s="2641"/>
      <c r="L533" s="2641"/>
      <c r="M533" s="2641"/>
      <c r="N533" s="2641"/>
      <c r="O533" s="2641"/>
      <c r="P533" s="2641"/>
      <c r="Q533" s="2649"/>
      <c r="R533" s="2641"/>
      <c r="S533" s="2641"/>
      <c r="T533" s="2650"/>
      <c r="U533" s="2828"/>
      <c r="V533" s="2566"/>
      <c r="W533" s="2566"/>
      <c r="X533" s="2566"/>
      <c r="Y533" s="2566"/>
      <c r="Z533" s="2642"/>
      <c r="AA533" s="2642"/>
      <c r="AB533" s="2642"/>
      <c r="AC533" s="2642"/>
      <c r="AD533" s="2706"/>
      <c r="AE533" s="2706"/>
      <c r="AF533" s="2706"/>
      <c r="AG533" s="2706"/>
      <c r="AH533" s="2706"/>
      <c r="AI533" s="2706"/>
      <c r="AJ533" s="2566"/>
    </row>
    <row r="534" spans="1:36" s="2345" customFormat="1" ht="15" hidden="1" customHeight="1" outlineLevel="1">
      <c r="A534" s="2339"/>
      <c r="B534" s="3052"/>
      <c r="C534" s="3047"/>
      <c r="D534" s="3048"/>
      <c r="E534" s="3047"/>
      <c r="F534" s="2340" t="s">
        <v>3865</v>
      </c>
      <c r="G534" s="2337"/>
      <c r="H534" s="2641"/>
      <c r="I534" s="2641"/>
      <c r="J534" s="2641"/>
      <c r="K534" s="2641"/>
      <c r="L534" s="2641"/>
      <c r="M534" s="2641"/>
      <c r="N534" s="2641"/>
      <c r="O534" s="2641"/>
      <c r="P534" s="2641"/>
      <c r="Q534" s="2649"/>
      <c r="R534" s="2641"/>
      <c r="S534" s="2641"/>
      <c r="T534" s="2650"/>
      <c r="U534" s="2828"/>
      <c r="V534" s="2566"/>
      <c r="W534" s="2566"/>
      <c r="X534" s="2566"/>
      <c r="Y534" s="2566"/>
      <c r="Z534" s="2642"/>
      <c r="AA534" s="2642"/>
      <c r="AB534" s="2642"/>
      <c r="AC534" s="2642"/>
      <c r="AD534" s="2706"/>
      <c r="AE534" s="2706"/>
      <c r="AF534" s="2706"/>
      <c r="AG534" s="2706"/>
      <c r="AH534" s="2706"/>
      <c r="AI534" s="2706"/>
      <c r="AJ534" s="2566"/>
    </row>
    <row r="535" spans="1:36" s="2345" customFormat="1" ht="46.5" hidden="1" customHeight="1" outlineLevel="1">
      <c r="A535" s="2339"/>
      <c r="B535" s="3052" t="s">
        <v>2948</v>
      </c>
      <c r="C535" s="3048" t="s">
        <v>3907</v>
      </c>
      <c r="D535" s="3048" t="s">
        <v>3908</v>
      </c>
      <c r="E535" s="3049" t="s">
        <v>3909</v>
      </c>
      <c r="F535" s="2347" t="s">
        <v>3860</v>
      </c>
      <c r="G535" s="2348"/>
      <c r="H535" s="2641"/>
      <c r="I535" s="2641"/>
      <c r="J535" s="2641"/>
      <c r="K535" s="2641"/>
      <c r="L535" s="2641"/>
      <c r="M535" s="2641"/>
      <c r="N535" s="2641"/>
      <c r="O535" s="2641"/>
      <c r="P535" s="2641"/>
      <c r="Q535" s="2649"/>
      <c r="R535" s="2641"/>
      <c r="S535" s="2641"/>
      <c r="T535" s="2650"/>
      <c r="U535" s="2828"/>
      <c r="V535" s="2566"/>
      <c r="W535" s="2566"/>
      <c r="X535" s="2566"/>
      <c r="Y535" s="2566"/>
      <c r="Z535" s="2642"/>
      <c r="AA535" s="2642"/>
      <c r="AB535" s="2642"/>
      <c r="AC535" s="2642"/>
      <c r="AD535" s="2706"/>
      <c r="AE535" s="2706"/>
      <c r="AF535" s="2706"/>
      <c r="AG535" s="2706"/>
      <c r="AH535" s="2706"/>
      <c r="AI535" s="2706"/>
      <c r="AJ535" s="2566"/>
    </row>
    <row r="536" spans="1:36" s="2345" customFormat="1" ht="15" hidden="1" customHeight="1" outlineLevel="1">
      <c r="A536" s="2339"/>
      <c r="B536" s="3052"/>
      <c r="C536" s="3048"/>
      <c r="D536" s="3048"/>
      <c r="E536" s="3049"/>
      <c r="F536" s="2340" t="s">
        <v>3861</v>
      </c>
      <c r="G536" s="2337"/>
      <c r="H536" s="2641"/>
      <c r="I536" s="2641"/>
      <c r="J536" s="2641"/>
      <c r="K536" s="2641"/>
      <c r="L536" s="2641"/>
      <c r="M536" s="2641"/>
      <c r="N536" s="2641"/>
      <c r="O536" s="2641"/>
      <c r="P536" s="2641"/>
      <c r="Q536" s="2649"/>
      <c r="R536" s="2641"/>
      <c r="S536" s="2641"/>
      <c r="T536" s="2650"/>
      <c r="U536" s="2828"/>
      <c r="V536" s="2566"/>
      <c r="W536" s="2566"/>
      <c r="X536" s="2566"/>
      <c r="Y536" s="2566"/>
      <c r="Z536" s="2642"/>
      <c r="AA536" s="2642"/>
      <c r="AB536" s="2642"/>
      <c r="AC536" s="2642"/>
      <c r="AD536" s="2706"/>
      <c r="AE536" s="2706"/>
      <c r="AF536" s="2706"/>
      <c r="AG536" s="2706"/>
      <c r="AH536" s="2706"/>
      <c r="AI536" s="2706"/>
      <c r="AJ536" s="2566"/>
    </row>
    <row r="537" spans="1:36" s="2345" customFormat="1" ht="15" hidden="1" customHeight="1" outlineLevel="1">
      <c r="A537" s="2339"/>
      <c r="B537" s="3052"/>
      <c r="C537" s="3048"/>
      <c r="D537" s="3048"/>
      <c r="E537" s="3049"/>
      <c r="F537" s="2340" t="s">
        <v>3862</v>
      </c>
      <c r="G537" s="2337"/>
      <c r="H537" s="2641"/>
      <c r="I537" s="2641"/>
      <c r="J537" s="2641"/>
      <c r="K537" s="2641"/>
      <c r="L537" s="2641"/>
      <c r="M537" s="2641"/>
      <c r="N537" s="2641"/>
      <c r="O537" s="2641"/>
      <c r="P537" s="2641"/>
      <c r="Q537" s="2649"/>
      <c r="R537" s="2641"/>
      <c r="S537" s="2641"/>
      <c r="T537" s="2650"/>
      <c r="U537" s="2828"/>
      <c r="V537" s="2566"/>
      <c r="W537" s="2566"/>
      <c r="X537" s="2566"/>
      <c r="Y537" s="2566"/>
      <c r="Z537" s="2642"/>
      <c r="AA537" s="2642"/>
      <c r="AB537" s="2642"/>
      <c r="AC537" s="2642"/>
      <c r="AD537" s="2706"/>
      <c r="AE537" s="2706"/>
      <c r="AF537" s="2706"/>
      <c r="AG537" s="2706"/>
      <c r="AH537" s="2706"/>
      <c r="AI537" s="2706"/>
      <c r="AJ537" s="2566"/>
    </row>
    <row r="538" spans="1:36" s="2345" customFormat="1" ht="15" hidden="1" customHeight="1" outlineLevel="1">
      <c r="A538" s="2339"/>
      <c r="B538" s="3052"/>
      <c r="C538" s="3048"/>
      <c r="D538" s="3048"/>
      <c r="E538" s="3049"/>
      <c r="F538" s="2340" t="s">
        <v>3863</v>
      </c>
      <c r="G538" s="2337"/>
      <c r="H538" s="2641"/>
      <c r="I538" s="2641"/>
      <c r="J538" s="2641"/>
      <c r="K538" s="2641"/>
      <c r="L538" s="2641"/>
      <c r="M538" s="2641"/>
      <c r="N538" s="2641"/>
      <c r="O538" s="2641"/>
      <c r="P538" s="2641"/>
      <c r="Q538" s="2649"/>
      <c r="R538" s="2641"/>
      <c r="S538" s="2641"/>
      <c r="T538" s="2650"/>
      <c r="U538" s="2828"/>
      <c r="V538" s="2566"/>
      <c r="W538" s="2566"/>
      <c r="X538" s="2566"/>
      <c r="Y538" s="2566"/>
      <c r="Z538" s="2642"/>
      <c r="AA538" s="2642"/>
      <c r="AB538" s="2642"/>
      <c r="AC538" s="2642"/>
      <c r="AD538" s="2706"/>
      <c r="AE538" s="2706"/>
      <c r="AF538" s="2706"/>
      <c r="AG538" s="2706"/>
      <c r="AH538" s="2706"/>
      <c r="AI538" s="2706"/>
      <c r="AJ538" s="2566"/>
    </row>
    <row r="539" spans="1:36" s="2345" customFormat="1" ht="15" hidden="1" customHeight="1" outlineLevel="1">
      <c r="A539" s="2339"/>
      <c r="B539" s="3052"/>
      <c r="C539" s="3048"/>
      <c r="D539" s="3048"/>
      <c r="E539" s="3049"/>
      <c r="F539" s="2340" t="s">
        <v>3864</v>
      </c>
      <c r="G539" s="2337"/>
      <c r="H539" s="2641"/>
      <c r="I539" s="2641"/>
      <c r="J539" s="2641"/>
      <c r="K539" s="2641"/>
      <c r="L539" s="2641"/>
      <c r="M539" s="2641"/>
      <c r="N539" s="2641"/>
      <c r="O539" s="2641"/>
      <c r="P539" s="2641"/>
      <c r="Q539" s="2649"/>
      <c r="R539" s="2641"/>
      <c r="S539" s="2641"/>
      <c r="T539" s="2650"/>
      <c r="U539" s="2828"/>
      <c r="V539" s="2566"/>
      <c r="W539" s="2566"/>
      <c r="X539" s="2566"/>
      <c r="Y539" s="2566"/>
      <c r="Z539" s="2642"/>
      <c r="AA539" s="2642"/>
      <c r="AB539" s="2642"/>
      <c r="AC539" s="2642"/>
      <c r="AD539" s="2706"/>
      <c r="AE539" s="2706"/>
      <c r="AF539" s="2706"/>
      <c r="AG539" s="2706"/>
      <c r="AH539" s="2706"/>
      <c r="AI539" s="2706"/>
      <c r="AJ539" s="2566"/>
    </row>
    <row r="540" spans="1:36" s="2345" customFormat="1" ht="15" hidden="1" customHeight="1" outlineLevel="1">
      <c r="A540" s="2339"/>
      <c r="B540" s="3052"/>
      <c r="C540" s="3048"/>
      <c r="D540" s="3048"/>
      <c r="E540" s="3049"/>
      <c r="F540" s="2340" t="s">
        <v>3865</v>
      </c>
      <c r="G540" s="2337"/>
      <c r="H540" s="2836"/>
      <c r="I540" s="2836"/>
      <c r="J540" s="2836"/>
      <c r="K540" s="2836"/>
      <c r="L540" s="2836"/>
      <c r="M540" s="2836"/>
      <c r="N540" s="2836"/>
      <c r="O540" s="2836"/>
      <c r="P540" s="2836"/>
      <c r="Q540" s="2837"/>
      <c r="R540" s="2836"/>
      <c r="S540" s="2836"/>
      <c r="T540" s="2650"/>
      <c r="U540" s="2828"/>
      <c r="V540" s="2566"/>
      <c r="W540" s="2566"/>
      <c r="X540" s="2566"/>
      <c r="Y540" s="2566"/>
      <c r="Z540" s="2642"/>
      <c r="AA540" s="2642"/>
      <c r="AB540" s="2642"/>
      <c r="AC540" s="2642"/>
      <c r="AD540" s="2706"/>
      <c r="AE540" s="2706"/>
      <c r="AF540" s="2706"/>
      <c r="AG540" s="2706"/>
      <c r="AH540" s="2706"/>
      <c r="AI540" s="2706"/>
      <c r="AJ540" s="2566"/>
    </row>
    <row r="541" spans="1:36" s="2345" customFormat="1" ht="15" hidden="1" customHeight="1" outlineLevel="1">
      <c r="A541" s="2339"/>
      <c r="B541" s="3052"/>
      <c r="C541" s="3048"/>
      <c r="D541" s="3048"/>
      <c r="E541" s="3047" t="s">
        <v>3910</v>
      </c>
      <c r="F541" s="2340" t="s">
        <v>3860</v>
      </c>
      <c r="G541" s="2337"/>
      <c r="H541" s="2833"/>
      <c r="I541" s="2833"/>
      <c r="J541" s="2833"/>
      <c r="K541" s="2833"/>
      <c r="L541" s="2833"/>
      <c r="M541" s="2833"/>
      <c r="N541" s="2833"/>
      <c r="O541" s="2834"/>
      <c r="P541" s="2834"/>
      <c r="Q541" s="2835"/>
      <c r="R541" s="2834"/>
      <c r="S541" s="2834"/>
      <c r="T541" s="2650"/>
      <c r="U541" s="2828"/>
      <c r="V541" s="2566"/>
      <c r="W541" s="2566"/>
      <c r="X541" s="2566"/>
      <c r="Y541" s="2566"/>
      <c r="Z541" s="2642"/>
      <c r="AA541" s="2642"/>
      <c r="AB541" s="2642"/>
      <c r="AC541" s="2642"/>
      <c r="AD541" s="2706"/>
      <c r="AE541" s="2706"/>
      <c r="AF541" s="2706"/>
      <c r="AG541" s="2706"/>
      <c r="AH541" s="2706"/>
      <c r="AI541" s="2706"/>
      <c r="AJ541" s="2566"/>
    </row>
    <row r="542" spans="1:36" s="2345" customFormat="1" ht="15" hidden="1" customHeight="1" outlineLevel="1">
      <c r="A542" s="2339"/>
      <c r="B542" s="3052"/>
      <c r="C542" s="3048"/>
      <c r="D542" s="3048"/>
      <c r="E542" s="3047"/>
      <c r="F542" s="2340" t="s">
        <v>3861</v>
      </c>
      <c r="G542" s="2337"/>
      <c r="H542" s="2636"/>
      <c r="I542" s="2636"/>
      <c r="J542" s="2636"/>
      <c r="K542" s="2636"/>
      <c r="L542" s="2636"/>
      <c r="M542" s="2636"/>
      <c r="N542" s="2636"/>
      <c r="O542" s="2636"/>
      <c r="P542" s="2636"/>
      <c r="Q542" s="2687"/>
      <c r="R542" s="2636"/>
      <c r="S542" s="2636"/>
      <c r="T542" s="2650"/>
      <c r="U542" s="2828"/>
      <c r="V542" s="2566"/>
      <c r="W542" s="2566"/>
      <c r="X542" s="2566"/>
      <c r="Y542" s="2566"/>
      <c r="Z542" s="2642"/>
      <c r="AA542" s="2642"/>
      <c r="AB542" s="2642"/>
      <c r="AC542" s="2642"/>
      <c r="AD542" s="2706"/>
      <c r="AE542" s="2706"/>
      <c r="AF542" s="2706"/>
      <c r="AG542" s="2706"/>
      <c r="AH542" s="2706"/>
      <c r="AI542" s="2706"/>
      <c r="AJ542" s="2566"/>
    </row>
    <row r="543" spans="1:36" s="2345" customFormat="1" ht="15" hidden="1" customHeight="1" outlineLevel="1">
      <c r="A543" s="2339"/>
      <c r="B543" s="3052"/>
      <c r="C543" s="3048"/>
      <c r="D543" s="3048"/>
      <c r="E543" s="3047"/>
      <c r="F543" s="2340" t="s">
        <v>3862</v>
      </c>
      <c r="G543" s="2337"/>
      <c r="H543" s="2641"/>
      <c r="I543" s="2641"/>
      <c r="J543" s="2641"/>
      <c r="K543" s="2641"/>
      <c r="L543" s="2641"/>
      <c r="M543" s="2641"/>
      <c r="N543" s="2641"/>
      <c r="O543" s="2641"/>
      <c r="P543" s="2641"/>
      <c r="Q543" s="2649"/>
      <c r="R543" s="2641"/>
      <c r="S543" s="2641"/>
      <c r="T543" s="2650"/>
      <c r="U543" s="2828"/>
      <c r="V543" s="2566"/>
      <c r="W543" s="2566"/>
      <c r="X543" s="2566"/>
      <c r="Y543" s="2566"/>
      <c r="Z543" s="2642"/>
      <c r="AA543" s="2642"/>
      <c r="AB543" s="2642"/>
      <c r="AC543" s="2642"/>
      <c r="AD543" s="2706"/>
      <c r="AE543" s="2706"/>
      <c r="AF543" s="2706"/>
      <c r="AG543" s="2706"/>
      <c r="AH543" s="2706"/>
      <c r="AI543" s="2706"/>
      <c r="AJ543" s="2566"/>
    </row>
    <row r="544" spans="1:36" s="2345" customFormat="1" ht="15" hidden="1" customHeight="1" outlineLevel="1">
      <c r="A544" s="2339"/>
      <c r="B544" s="3052"/>
      <c r="C544" s="3048"/>
      <c r="D544" s="3048"/>
      <c r="E544" s="3047"/>
      <c r="F544" s="2340" t="s">
        <v>3863</v>
      </c>
      <c r="G544" s="2337"/>
      <c r="H544" s="2641"/>
      <c r="I544" s="2641"/>
      <c r="J544" s="2641"/>
      <c r="K544" s="2641"/>
      <c r="L544" s="2641"/>
      <c r="M544" s="2641"/>
      <c r="N544" s="2641"/>
      <c r="O544" s="2641"/>
      <c r="P544" s="2641"/>
      <c r="Q544" s="2649"/>
      <c r="R544" s="2641"/>
      <c r="S544" s="2641"/>
      <c r="T544" s="2650"/>
      <c r="U544" s="2828"/>
      <c r="V544" s="2566"/>
      <c r="W544" s="2566"/>
      <c r="X544" s="2566"/>
      <c r="Y544" s="2566"/>
      <c r="Z544" s="2642"/>
      <c r="AA544" s="2642"/>
      <c r="AB544" s="2642"/>
      <c r="AC544" s="2642"/>
      <c r="AD544" s="2706"/>
      <c r="AE544" s="2706"/>
      <c r="AF544" s="2706"/>
      <c r="AG544" s="2706"/>
      <c r="AH544" s="2706"/>
      <c r="AI544" s="2706"/>
      <c r="AJ544" s="2566"/>
    </row>
    <row r="545" spans="1:39" s="2345" customFormat="1" ht="15" hidden="1" customHeight="1" outlineLevel="1">
      <c r="A545" s="2339"/>
      <c r="B545" s="3052"/>
      <c r="C545" s="3048"/>
      <c r="D545" s="3048"/>
      <c r="E545" s="3047"/>
      <c r="F545" s="2340" t="s">
        <v>3864</v>
      </c>
      <c r="G545" s="2337"/>
      <c r="H545" s="2641"/>
      <c r="I545" s="2641"/>
      <c r="J545" s="2641"/>
      <c r="K545" s="2641"/>
      <c r="L545" s="2641"/>
      <c r="M545" s="2641"/>
      <c r="N545" s="2641"/>
      <c r="O545" s="2641"/>
      <c r="P545" s="2641"/>
      <c r="Q545" s="2649"/>
      <c r="R545" s="2641"/>
      <c r="S545" s="2641"/>
      <c r="T545" s="2650"/>
      <c r="U545" s="2828"/>
      <c r="V545" s="2566"/>
      <c r="W545" s="2566"/>
      <c r="X545" s="2566"/>
      <c r="Y545" s="2566"/>
      <c r="Z545" s="2642"/>
      <c r="AA545" s="2642"/>
      <c r="AB545" s="2642"/>
      <c r="AC545" s="2642"/>
      <c r="AD545" s="2706"/>
      <c r="AE545" s="2706"/>
      <c r="AF545" s="2706"/>
      <c r="AG545" s="2706"/>
      <c r="AH545" s="2706"/>
      <c r="AI545" s="2706"/>
      <c r="AJ545" s="2566"/>
    </row>
    <row r="546" spans="1:39" s="2345" customFormat="1" ht="15" hidden="1" customHeight="1" outlineLevel="1">
      <c r="A546" s="2339"/>
      <c r="B546" s="3052"/>
      <c r="C546" s="3048"/>
      <c r="D546" s="3048"/>
      <c r="E546" s="3047"/>
      <c r="F546" s="2340" t="s">
        <v>3865</v>
      </c>
      <c r="G546" s="2337"/>
      <c r="H546" s="2641"/>
      <c r="I546" s="2641"/>
      <c r="J546" s="2641"/>
      <c r="K546" s="2641"/>
      <c r="L546" s="2641"/>
      <c r="M546" s="2641"/>
      <c r="N546" s="2641"/>
      <c r="O546" s="2641"/>
      <c r="P546" s="2641"/>
      <c r="Q546" s="2649"/>
      <c r="R546" s="2641"/>
      <c r="S546" s="2641"/>
      <c r="T546" s="2650"/>
      <c r="U546" s="2828"/>
      <c r="V546" s="2566"/>
      <c r="W546" s="2566"/>
      <c r="X546" s="2566"/>
      <c r="Y546" s="2566"/>
      <c r="Z546" s="2642"/>
      <c r="AA546" s="2642"/>
      <c r="AB546" s="2642"/>
      <c r="AC546" s="2642"/>
      <c r="AD546" s="2706"/>
      <c r="AE546" s="2706"/>
      <c r="AF546" s="2706"/>
      <c r="AG546" s="2706"/>
      <c r="AH546" s="2706"/>
      <c r="AI546" s="2706"/>
      <c r="AJ546" s="2566"/>
    </row>
    <row r="547" spans="1:39" s="2345" customFormat="1" ht="15" hidden="1" customHeight="1" outlineLevel="1">
      <c r="A547" s="2339"/>
      <c r="B547" s="3052"/>
      <c r="C547" s="3048"/>
      <c r="D547" s="3048" t="s">
        <v>3911</v>
      </c>
      <c r="E547" s="3049" t="s">
        <v>3909</v>
      </c>
      <c r="F547" s="2340" t="s">
        <v>3860</v>
      </c>
      <c r="G547" s="2337"/>
      <c r="H547" s="2641"/>
      <c r="I547" s="2641"/>
      <c r="J547" s="2641"/>
      <c r="K547" s="2641"/>
      <c r="L547" s="2641"/>
      <c r="M547" s="2641"/>
      <c r="N547" s="2641"/>
      <c r="O547" s="2641"/>
      <c r="P547" s="2641"/>
      <c r="Q547" s="2649"/>
      <c r="R547" s="2641"/>
      <c r="S547" s="2641"/>
      <c r="T547" s="2650"/>
      <c r="U547" s="2828"/>
      <c r="V547" s="2566"/>
      <c r="W547" s="2566"/>
      <c r="X547" s="2566"/>
      <c r="Y547" s="2566"/>
      <c r="Z547" s="2642"/>
      <c r="AA547" s="2642"/>
      <c r="AB547" s="2642"/>
      <c r="AC547" s="2642"/>
      <c r="AD547" s="2706"/>
      <c r="AE547" s="2706"/>
      <c r="AF547" s="2706"/>
      <c r="AG547" s="2706"/>
      <c r="AH547" s="2706"/>
      <c r="AI547" s="2706"/>
      <c r="AJ547" s="2566"/>
    </row>
    <row r="548" spans="1:39" s="2345" customFormat="1" ht="15" hidden="1" customHeight="1" outlineLevel="1">
      <c r="A548" s="2339"/>
      <c r="B548" s="3052"/>
      <c r="C548" s="3048"/>
      <c r="D548" s="3048"/>
      <c r="E548" s="3049"/>
      <c r="F548" s="2340" t="s">
        <v>3861</v>
      </c>
      <c r="G548" s="2337"/>
      <c r="H548" s="2641"/>
      <c r="I548" s="2641"/>
      <c r="J548" s="2641"/>
      <c r="K548" s="2641"/>
      <c r="L548" s="2641"/>
      <c r="M548" s="2641"/>
      <c r="N548" s="2641"/>
      <c r="O548" s="2641"/>
      <c r="P548" s="2641"/>
      <c r="Q548" s="2649"/>
      <c r="R548" s="2641"/>
      <c r="S548" s="2641"/>
      <c r="T548" s="2650"/>
      <c r="U548" s="2828"/>
      <c r="V548" s="2566"/>
      <c r="W548" s="2566"/>
      <c r="X548" s="2566"/>
      <c r="Y548" s="2566"/>
      <c r="Z548" s="2642"/>
      <c r="AA548" s="2642"/>
      <c r="AB548" s="2642"/>
      <c r="AC548" s="2642"/>
      <c r="AD548" s="2706"/>
      <c r="AE548" s="2706"/>
      <c r="AF548" s="2706"/>
      <c r="AG548" s="2706"/>
      <c r="AH548" s="2706"/>
      <c r="AI548" s="2706"/>
      <c r="AJ548" s="2566"/>
    </row>
    <row r="549" spans="1:39" s="2345" customFormat="1" ht="46.5" hidden="1" customHeight="1" outlineLevel="1">
      <c r="A549" s="2339"/>
      <c r="B549" s="3052"/>
      <c r="C549" s="3048"/>
      <c r="D549" s="3048"/>
      <c r="E549" s="3049"/>
      <c r="F549" s="2341" t="s">
        <v>3862</v>
      </c>
      <c r="G549" s="2342"/>
      <c r="H549" s="2641"/>
      <c r="I549" s="2641"/>
      <c r="J549" s="2641"/>
      <c r="K549" s="2641"/>
      <c r="L549" s="2641"/>
      <c r="M549" s="2641"/>
      <c r="N549" s="2641"/>
      <c r="O549" s="2641"/>
      <c r="P549" s="2641"/>
      <c r="Q549" s="2649"/>
      <c r="R549" s="2641"/>
      <c r="S549" s="2641"/>
      <c r="T549" s="2650"/>
      <c r="U549" s="2828"/>
      <c r="V549" s="2566"/>
      <c r="W549" s="2566"/>
      <c r="X549" s="2566"/>
      <c r="Y549" s="2566"/>
      <c r="Z549" s="2642"/>
      <c r="AA549" s="2642"/>
      <c r="AB549" s="2642"/>
      <c r="AC549" s="2642"/>
      <c r="AD549" s="2706"/>
      <c r="AE549" s="2706"/>
      <c r="AF549" s="2706"/>
      <c r="AG549" s="2706"/>
      <c r="AH549" s="2706"/>
      <c r="AI549" s="2706"/>
      <c r="AJ549" s="2566"/>
    </row>
    <row r="550" spans="1:39" s="2345" customFormat="1" ht="15" hidden="1" customHeight="1" outlineLevel="1">
      <c r="A550" s="2339"/>
      <c r="B550" s="3052"/>
      <c r="C550" s="3048"/>
      <c r="D550" s="3048"/>
      <c r="E550" s="3049"/>
      <c r="F550" s="2340" t="s">
        <v>3863</v>
      </c>
      <c r="G550" s="2337"/>
      <c r="H550" s="2641"/>
      <c r="I550" s="2641"/>
      <c r="J550" s="2641"/>
      <c r="K550" s="2641"/>
      <c r="L550" s="2641"/>
      <c r="M550" s="2641"/>
      <c r="N550" s="2641"/>
      <c r="O550" s="2641"/>
      <c r="P550" s="2641"/>
      <c r="Q550" s="2649"/>
      <c r="R550" s="2641"/>
      <c r="S550" s="2641"/>
      <c r="T550" s="2650"/>
      <c r="U550" s="2828"/>
      <c r="V550" s="2566"/>
      <c r="W550" s="2566"/>
      <c r="X550" s="2566"/>
      <c r="Y550" s="2566"/>
      <c r="Z550" s="2642"/>
      <c r="AA550" s="2642"/>
      <c r="AB550" s="2642"/>
      <c r="AC550" s="2642"/>
      <c r="AD550" s="2706"/>
      <c r="AE550" s="2706"/>
      <c r="AF550" s="2706"/>
      <c r="AG550" s="2706"/>
      <c r="AH550" s="2706"/>
      <c r="AI550" s="2706"/>
      <c r="AJ550" s="2566"/>
    </row>
    <row r="551" spans="1:39" s="2345" customFormat="1" ht="15" hidden="1" customHeight="1" outlineLevel="1">
      <c r="A551" s="2339"/>
      <c r="B551" s="3052"/>
      <c r="C551" s="3048"/>
      <c r="D551" s="3048"/>
      <c r="E551" s="3049"/>
      <c r="F551" s="2340" t="s">
        <v>3864</v>
      </c>
      <c r="G551" s="2337"/>
      <c r="H551" s="2641"/>
      <c r="I551" s="2641"/>
      <c r="J551" s="2641"/>
      <c r="K551" s="2641"/>
      <c r="L551" s="2641"/>
      <c r="M551" s="2641"/>
      <c r="N551" s="2641"/>
      <c r="O551" s="2641"/>
      <c r="P551" s="2641"/>
      <c r="Q551" s="2649"/>
      <c r="R551" s="2641"/>
      <c r="S551" s="2641"/>
      <c r="T551" s="2650"/>
      <c r="U551" s="2828"/>
      <c r="V551" s="2566"/>
      <c r="W551" s="2566"/>
      <c r="X551" s="2566"/>
      <c r="Y551" s="2566"/>
      <c r="Z551" s="2642"/>
      <c r="AA551" s="2642"/>
      <c r="AB551" s="2642"/>
      <c r="AC551" s="2642"/>
      <c r="AD551" s="2706"/>
      <c r="AE551" s="2706"/>
      <c r="AF551" s="2706"/>
      <c r="AG551" s="2706"/>
      <c r="AH551" s="2706"/>
      <c r="AI551" s="2706"/>
      <c r="AJ551" s="2566"/>
    </row>
    <row r="552" spans="1:39" s="2345" customFormat="1" ht="15" hidden="1" customHeight="1" outlineLevel="1">
      <c r="A552" s="2339"/>
      <c r="B552" s="3052"/>
      <c r="C552" s="3048"/>
      <c r="D552" s="3048"/>
      <c r="E552" s="3049"/>
      <c r="F552" s="2340" t="s">
        <v>3865</v>
      </c>
      <c r="G552" s="2337"/>
      <c r="H552" s="2641"/>
      <c r="I552" s="2641"/>
      <c r="J552" s="2641"/>
      <c r="K552" s="2641"/>
      <c r="L552" s="2641"/>
      <c r="M552" s="2641"/>
      <c r="N552" s="2641"/>
      <c r="O552" s="2641"/>
      <c r="P552" s="2641"/>
      <c r="Q552" s="2649"/>
      <c r="R552" s="2641"/>
      <c r="S552" s="2641"/>
      <c r="T552" s="2650"/>
      <c r="U552" s="2828"/>
      <c r="V552" s="2566"/>
      <c r="W552" s="2566"/>
      <c r="X552" s="2566"/>
      <c r="Y552" s="2566"/>
      <c r="Z552" s="2642"/>
      <c r="AA552" s="2642"/>
      <c r="AB552" s="2642"/>
      <c r="AC552" s="2642"/>
      <c r="AD552" s="2706"/>
      <c r="AE552" s="2706"/>
      <c r="AF552" s="2706"/>
      <c r="AG552" s="2706"/>
      <c r="AH552" s="2706"/>
      <c r="AI552" s="2706"/>
      <c r="AJ552" s="2566"/>
    </row>
    <row r="553" spans="1:39" s="2345" customFormat="1" ht="15" hidden="1" customHeight="1" outlineLevel="1">
      <c r="A553" s="2339"/>
      <c r="B553" s="3052"/>
      <c r="C553" s="3048"/>
      <c r="D553" s="3048"/>
      <c r="E553" s="3047" t="s">
        <v>3910</v>
      </c>
      <c r="F553" s="2340" t="s">
        <v>3860</v>
      </c>
      <c r="G553" s="2337"/>
      <c r="H553" s="2838"/>
      <c r="I553" s="2838"/>
      <c r="J553" s="2838"/>
      <c r="K553" s="2838"/>
      <c r="L553" s="2838"/>
      <c r="M553" s="2838"/>
      <c r="N553" s="2838"/>
      <c r="O553" s="2838"/>
      <c r="P553" s="2838"/>
      <c r="Q553" s="2838"/>
      <c r="R553" s="2838"/>
      <c r="S553" s="2838"/>
      <c r="T553" s="2839"/>
      <c r="U553" s="2839"/>
      <c r="V553" s="2566"/>
      <c r="W553" s="2566"/>
      <c r="X553" s="2566"/>
      <c r="Y553" s="2566"/>
      <c r="Z553" s="2642"/>
      <c r="AA553" s="2642"/>
      <c r="AB553" s="2642"/>
      <c r="AC553" s="2642"/>
      <c r="AD553" s="2706"/>
      <c r="AE553" s="2706"/>
      <c r="AF553" s="2706"/>
      <c r="AG553" s="2706"/>
      <c r="AH553" s="2706"/>
      <c r="AI553" s="2706"/>
      <c r="AJ553" s="2566"/>
    </row>
    <row r="554" spans="1:39" s="2345" customFormat="1" ht="15" hidden="1" customHeight="1" outlineLevel="1">
      <c r="A554" s="2339"/>
      <c r="B554" s="3052"/>
      <c r="C554" s="3048"/>
      <c r="D554" s="3048"/>
      <c r="E554" s="3047"/>
      <c r="F554" s="2340" t="s">
        <v>3861</v>
      </c>
      <c r="G554" s="2576"/>
      <c r="H554" s="2649"/>
      <c r="I554" s="2649"/>
      <c r="J554" s="2649"/>
      <c r="K554" s="2649"/>
      <c r="L554" s="2649"/>
      <c r="M554" s="2649"/>
      <c r="N554" s="2649"/>
      <c r="O554" s="2649"/>
      <c r="P554" s="2649"/>
      <c r="Q554" s="2649"/>
      <c r="R554" s="2649"/>
      <c r="S554" s="2649"/>
      <c r="T554" s="2649"/>
      <c r="U554" s="2828"/>
      <c r="V554" s="2566"/>
      <c r="W554" s="2566"/>
      <c r="X554" s="2566"/>
      <c r="Y554" s="2566"/>
      <c r="Z554" s="2642"/>
      <c r="AA554" s="2642"/>
      <c r="AB554" s="2642"/>
      <c r="AC554" s="2642"/>
      <c r="AD554" s="2706"/>
      <c r="AE554" s="2706"/>
      <c r="AF554" s="2706"/>
      <c r="AG554" s="2706"/>
      <c r="AH554" s="2706"/>
      <c r="AI554" s="2706"/>
      <c r="AJ554" s="2566"/>
    </row>
    <row r="555" spans="1:39" s="2345" customFormat="1" ht="15" hidden="1" customHeight="1" outlineLevel="1">
      <c r="A555" s="2339"/>
      <c r="B555" s="3052"/>
      <c r="C555" s="3048"/>
      <c r="D555" s="3048"/>
      <c r="E555" s="3047"/>
      <c r="F555" s="2340" t="s">
        <v>3862</v>
      </c>
      <c r="G555" s="2577"/>
      <c r="H555" s="2649"/>
      <c r="I555" s="2649"/>
      <c r="J555" s="2649"/>
      <c r="K555" s="2649"/>
      <c r="L555" s="2649"/>
      <c r="M555" s="2649"/>
      <c r="N555" s="2649"/>
      <c r="O555" s="2649"/>
      <c r="P555" s="2649"/>
      <c r="Q555" s="2649"/>
      <c r="R555" s="2649"/>
      <c r="S555" s="2649"/>
      <c r="T555" s="2649"/>
      <c r="U555" s="2828"/>
      <c r="V555" s="2566"/>
      <c r="W555" s="2566"/>
      <c r="X555" s="2566"/>
      <c r="Y555" s="2566"/>
      <c r="Z555" s="2642"/>
      <c r="AA555" s="2642"/>
      <c r="AB555" s="2642"/>
      <c r="AC555" s="2642"/>
      <c r="AD555" s="2706"/>
      <c r="AE555" s="2706"/>
      <c r="AF555" s="2706"/>
      <c r="AG555" s="2706"/>
      <c r="AH555" s="2706"/>
      <c r="AI555" s="2706"/>
      <c r="AJ555" s="2566"/>
    </row>
    <row r="556" spans="1:39" s="2345" customFormat="1" ht="15" hidden="1" customHeight="1" outlineLevel="1">
      <c r="A556" s="2339"/>
      <c r="B556" s="3052"/>
      <c r="C556" s="3048"/>
      <c r="D556" s="3048"/>
      <c r="E556" s="3047"/>
      <c r="F556" s="2340" t="s">
        <v>3863</v>
      </c>
      <c r="G556" s="2350"/>
      <c r="H556" s="2649"/>
      <c r="I556" s="2649"/>
      <c r="J556" s="2649"/>
      <c r="K556" s="2649"/>
      <c r="L556" s="2649"/>
      <c r="M556" s="2649"/>
      <c r="N556" s="2649"/>
      <c r="O556" s="2649"/>
      <c r="P556" s="2649"/>
      <c r="Q556" s="2649"/>
      <c r="R556" s="2649"/>
      <c r="S556" s="2649"/>
      <c r="T556" s="2649"/>
      <c r="U556" s="2828"/>
      <c r="V556" s="2566"/>
      <c r="W556" s="2566"/>
      <c r="X556" s="2566"/>
      <c r="Y556" s="2566"/>
      <c r="Z556" s="2642"/>
      <c r="AA556" s="2642"/>
      <c r="AB556" s="2642"/>
      <c r="AC556" s="2642"/>
      <c r="AD556" s="2706"/>
      <c r="AE556" s="2706"/>
      <c r="AF556" s="2706"/>
      <c r="AG556" s="2706"/>
      <c r="AH556" s="2706"/>
      <c r="AI556" s="2706"/>
      <c r="AJ556" s="2566"/>
    </row>
    <row r="557" spans="1:39" s="2345" customFormat="1" ht="15" hidden="1" customHeight="1" outlineLevel="1">
      <c r="B557" s="3052"/>
      <c r="C557" s="3048"/>
      <c r="D557" s="3048"/>
      <c r="E557" s="3047"/>
      <c r="F557" s="2340" t="s">
        <v>3864</v>
      </c>
      <c r="G557" s="2578"/>
      <c r="H557" s="2649"/>
      <c r="I557" s="2649"/>
      <c r="J557" s="2649"/>
      <c r="K557" s="2649"/>
      <c r="L557" s="2649"/>
      <c r="M557" s="2649"/>
      <c r="N557" s="2649"/>
      <c r="O557" s="2649"/>
      <c r="P557" s="2649"/>
      <c r="Q557" s="2649"/>
      <c r="R557" s="2649"/>
      <c r="S557" s="2649"/>
      <c r="T557" s="2649"/>
      <c r="U557" s="2828"/>
      <c r="V557" s="2566"/>
      <c r="W557" s="2566"/>
      <c r="X557" s="2566"/>
      <c r="Y557" s="2566"/>
      <c r="Z557" s="2642"/>
      <c r="AA557" s="2642"/>
      <c r="AB557" s="2642"/>
      <c r="AC557" s="2642"/>
      <c r="AD557" s="2706"/>
      <c r="AE557" s="2706"/>
      <c r="AF557" s="2706"/>
      <c r="AG557" s="2706"/>
      <c r="AH557" s="2706"/>
      <c r="AI557" s="2706"/>
      <c r="AJ557" s="2566"/>
    </row>
    <row r="558" spans="1:39" s="2345" customFormat="1" ht="15" hidden="1" customHeight="1" outlineLevel="1" thickBot="1">
      <c r="B558" s="3055"/>
      <c r="C558" s="3056"/>
      <c r="D558" s="3056"/>
      <c r="E558" s="3057"/>
      <c r="F558" s="2351" t="s">
        <v>3865</v>
      </c>
      <c r="G558" s="2579"/>
      <c r="H558" s="2812"/>
      <c r="I558" s="2812"/>
      <c r="J558" s="2812"/>
      <c r="K558" s="2812"/>
      <c r="L558" s="2812"/>
      <c r="M558" s="2812"/>
      <c r="N558" s="2812"/>
      <c r="O558" s="2812"/>
      <c r="P558" s="2812"/>
      <c r="Q558" s="2812"/>
      <c r="R558" s="2812"/>
      <c r="S558" s="2812"/>
      <c r="T558" s="2812"/>
      <c r="U558" s="2840"/>
      <c r="V558" s="2327"/>
      <c r="W558" s="2327"/>
      <c r="X558" s="2327"/>
      <c r="Y558" s="2327"/>
      <c r="Z558" s="2772"/>
      <c r="AA558" s="2772"/>
      <c r="AB558" s="2772"/>
      <c r="AC558" s="2772"/>
      <c r="AD558" s="2815"/>
      <c r="AE558" s="2815"/>
      <c r="AF558" s="2815"/>
      <c r="AG558" s="2815"/>
      <c r="AH558" s="2815"/>
      <c r="AI558" s="2815"/>
      <c r="AJ558" s="2327"/>
    </row>
    <row r="559" spans="1:39" s="2345" customFormat="1" ht="15" customHeight="1" collapsed="1">
      <c r="A559" s="2352"/>
      <c r="B559" s="2352"/>
      <c r="C559" s="2352"/>
      <c r="D559" s="2353"/>
      <c r="E559" s="2354"/>
      <c r="F559" s="2355"/>
      <c r="G559" s="2355"/>
      <c r="Z559"/>
      <c r="AA559"/>
      <c r="AB559"/>
      <c r="AC559"/>
      <c r="AD559"/>
      <c r="AE559"/>
      <c r="AF559"/>
      <c r="AG559"/>
      <c r="AH559"/>
      <c r="AI559"/>
      <c r="AL559" s="2880"/>
      <c r="AM559" s="2880"/>
    </row>
    <row r="560" spans="1:39" s="2345" customFormat="1" ht="15" customHeight="1">
      <c r="D560" s="2356"/>
      <c r="F560" s="2357"/>
      <c r="G560" s="2357"/>
      <c r="Z560"/>
      <c r="AA560"/>
      <c r="AB560"/>
      <c r="AC560"/>
      <c r="AD560"/>
      <c r="AE560"/>
      <c r="AF560"/>
      <c r="AG560"/>
      <c r="AH560"/>
      <c r="AI560"/>
    </row>
    <row r="561" spans="1:111" s="2345" customFormat="1" ht="15" customHeight="1" thickBot="1">
      <c r="D561" s="2356"/>
      <c r="E561" s="2330"/>
      <c r="F561" s="2357"/>
      <c r="G561" s="2357"/>
      <c r="Z561"/>
      <c r="AA561"/>
      <c r="AB561"/>
      <c r="AC561"/>
      <c r="AD561"/>
      <c r="AE561"/>
      <c r="AF561"/>
      <c r="AG561"/>
      <c r="AH561"/>
      <c r="AI561"/>
    </row>
    <row r="562" spans="1:111" s="2345" customFormat="1" ht="21" customHeight="1" thickBot="1">
      <c r="A562" s="3061"/>
      <c r="B562" s="3062"/>
      <c r="C562" s="3062"/>
      <c r="D562" s="3062"/>
      <c r="E562" s="3062"/>
      <c r="F562" s="3063"/>
      <c r="G562" s="3149" t="s">
        <v>3927</v>
      </c>
      <c r="H562" s="3150"/>
      <c r="I562" s="3150"/>
      <c r="J562" s="3150"/>
      <c r="K562" s="3150"/>
      <c r="L562" s="3150"/>
      <c r="M562" s="3150"/>
      <c r="N562" s="3150"/>
      <c r="O562" s="3150"/>
      <c r="P562" s="3150"/>
      <c r="Q562" s="3150"/>
      <c r="R562" s="3150"/>
      <c r="S562" s="3150"/>
      <c r="T562" s="3150"/>
      <c r="U562" s="3151"/>
      <c r="Z562"/>
      <c r="AA562"/>
      <c r="AB562"/>
      <c r="AC562"/>
      <c r="AD562"/>
      <c r="AE562"/>
      <c r="AF562"/>
      <c r="AG562"/>
      <c r="AH562"/>
      <c r="AI562"/>
    </row>
    <row r="563" spans="1:111" s="2345" customFormat="1" ht="57.75" customHeight="1">
      <c r="A563" s="3007" t="s">
        <v>0</v>
      </c>
      <c r="B563" s="3064" t="s">
        <v>3849</v>
      </c>
      <c r="C563" s="3065"/>
      <c r="D563" s="3065"/>
      <c r="E563" s="3012" t="s">
        <v>3928</v>
      </c>
      <c r="F563" s="3010" t="s">
        <v>3929</v>
      </c>
      <c r="G563" s="3003" t="s">
        <v>3854</v>
      </c>
      <c r="H563" s="3133" t="s">
        <v>3868</v>
      </c>
      <c r="I563" s="3134"/>
      <c r="J563" s="3134"/>
      <c r="K563" s="3135"/>
      <c r="L563" s="2517"/>
      <c r="M563" s="3133" t="s">
        <v>3930</v>
      </c>
      <c r="N563" s="3134"/>
      <c r="O563" s="3134"/>
      <c r="P563" s="3135"/>
      <c r="Q563" s="2587"/>
      <c r="R563" s="3155" t="s">
        <v>3931</v>
      </c>
      <c r="S563" s="3156"/>
      <c r="T563" s="3156"/>
      <c r="U563" s="3157"/>
      <c r="V563" s="3136" t="s">
        <v>3978</v>
      </c>
      <c r="W563" s="3137"/>
      <c r="X563" s="3137"/>
      <c r="Y563" s="3138"/>
      <c r="Z563" s="3132" t="s">
        <v>3858</v>
      </c>
      <c r="AA563" s="3132"/>
      <c r="AB563" s="3132"/>
      <c r="AC563" s="3132"/>
      <c r="AD563" s="3121" t="s">
        <v>3979</v>
      </c>
      <c r="AE563" s="3121"/>
      <c r="AF563" s="3121"/>
      <c r="AG563" s="3121"/>
      <c r="AH563" s="2496" t="s">
        <v>3980</v>
      </c>
      <c r="AI563" s="2500" t="s">
        <v>3974</v>
      </c>
      <c r="AJ563" s="2500" t="s">
        <v>3975</v>
      </c>
    </row>
    <row r="564" spans="1:111" s="2345" customFormat="1" ht="79.5" customHeight="1" thickBot="1">
      <c r="A564" s="3008"/>
      <c r="B564" s="3066"/>
      <c r="C564" s="3026"/>
      <c r="D564" s="3026"/>
      <c r="E564" s="3031"/>
      <c r="F564" s="3030"/>
      <c r="G564" s="3003"/>
      <c r="H564" s="2471">
        <f>H11</f>
        <v>2015</v>
      </c>
      <c r="I564" s="2471">
        <f>I11</f>
        <v>2016</v>
      </c>
      <c r="J564" s="2471">
        <f>J11</f>
        <v>2017</v>
      </c>
      <c r="K564" s="2471" t="str">
        <f>K455</f>
        <v>План (в случае отсутствия факта за 3 года)</v>
      </c>
      <c r="L564" s="2595" t="s">
        <v>2559</v>
      </c>
      <c r="M564" s="2471">
        <f>H564</f>
        <v>2015</v>
      </c>
      <c r="N564" s="2471">
        <f>I564</f>
        <v>2016</v>
      </c>
      <c r="O564" s="2471">
        <f>J564</f>
        <v>2017</v>
      </c>
      <c r="P564" s="2471" t="str">
        <f>P455</f>
        <v>План (в случае отсутствия факта за 3 года)</v>
      </c>
      <c r="Q564" s="2595" t="s">
        <v>2559</v>
      </c>
      <c r="R564" s="2468">
        <f>H564</f>
        <v>2015</v>
      </c>
      <c r="S564" s="2468">
        <f>I564</f>
        <v>2016</v>
      </c>
      <c r="T564" s="2385">
        <f>J564</f>
        <v>2017</v>
      </c>
      <c r="U564" s="2385" t="str">
        <f>U455</f>
        <v>План (в случае отсутствия факта за 3 года)</v>
      </c>
      <c r="V564" s="2496">
        <f>R564</f>
        <v>2015</v>
      </c>
      <c r="W564" s="2496">
        <f>S564</f>
        <v>2016</v>
      </c>
      <c r="X564" s="2496">
        <f>T564</f>
        <v>2017</v>
      </c>
      <c r="Y564" s="2496" t="s">
        <v>3925</v>
      </c>
      <c r="Z564" s="2588">
        <v>2016</v>
      </c>
      <c r="AA564" s="2588">
        <v>2017</v>
      </c>
      <c r="AB564" s="2588">
        <v>2018</v>
      </c>
      <c r="AC564" s="2588">
        <v>2019</v>
      </c>
      <c r="AD564" s="2704">
        <f>V564</f>
        <v>2015</v>
      </c>
      <c r="AE564" s="2704">
        <f>W564</f>
        <v>2016</v>
      </c>
      <c r="AF564" s="2704">
        <f>X564</f>
        <v>2017</v>
      </c>
      <c r="AG564" s="2704" t="str">
        <f>Y564</f>
        <v>План (в случае отсутствия факта за 3 года)</v>
      </c>
      <c r="AH564" s="2497" t="s">
        <v>3981</v>
      </c>
      <c r="AI564" s="2597" t="s">
        <v>3976</v>
      </c>
      <c r="AJ564" s="2597" t="s">
        <v>3977</v>
      </c>
    </row>
    <row r="565" spans="1:111" s="2345" customFormat="1" ht="15" customHeight="1" thickBot="1">
      <c r="A565" s="2388">
        <v>1</v>
      </c>
      <c r="B565" s="3068">
        <v>2</v>
      </c>
      <c r="C565" s="3069"/>
      <c r="D565" s="3069"/>
      <c r="E565" s="3069">
        <v>3</v>
      </c>
      <c r="F565" s="3070"/>
      <c r="G565" s="2317">
        <v>4</v>
      </c>
      <c r="H565" s="3017">
        <v>5</v>
      </c>
      <c r="I565" s="3018"/>
      <c r="J565" s="3018"/>
      <c r="K565" s="3018"/>
      <c r="L565" s="3019"/>
      <c r="M565" s="3017">
        <v>6</v>
      </c>
      <c r="N565" s="3018"/>
      <c r="O565" s="3018"/>
      <c r="P565" s="3018"/>
      <c r="Q565" s="3021"/>
      <c r="R565" s="3020">
        <v>7</v>
      </c>
      <c r="S565" s="3018"/>
      <c r="T565" s="3018"/>
      <c r="U565" s="3021"/>
      <c r="V565" s="3131">
        <v>8</v>
      </c>
      <c r="W565" s="3131"/>
      <c r="X565" s="3131"/>
      <c r="Y565" s="3131"/>
      <c r="Z565" s="3131">
        <v>9</v>
      </c>
      <c r="AA565" s="3131"/>
      <c r="AB565" s="3131"/>
      <c r="AC565" s="3131"/>
      <c r="AD565" s="3105">
        <v>10</v>
      </c>
      <c r="AE565" s="3106"/>
      <c r="AF565" s="3106"/>
      <c r="AG565" s="3107"/>
      <c r="AH565" s="2498">
        <v>11</v>
      </c>
      <c r="AI565" s="2498">
        <v>12</v>
      </c>
      <c r="AJ565" s="2499">
        <v>13</v>
      </c>
    </row>
    <row r="566" spans="1:111" s="2345" customFormat="1" ht="15" hidden="1" customHeight="1" outlineLevel="1">
      <c r="A566" s="2389"/>
      <c r="B566" s="3064" t="s">
        <v>2952</v>
      </c>
      <c r="C566" s="3065"/>
      <c r="D566" s="3065"/>
      <c r="E566" s="3065" t="s">
        <v>3932</v>
      </c>
      <c r="F566" s="2390" t="s">
        <v>3933</v>
      </c>
      <c r="G566" s="2391"/>
      <c r="H566" s="2841"/>
      <c r="I566" s="2841"/>
      <c r="J566" s="2841"/>
      <c r="K566" s="2841"/>
      <c r="L566" s="2841"/>
      <c r="M566" s="2841"/>
      <c r="N566" s="2841"/>
      <c r="O566" s="2841"/>
      <c r="P566" s="2841"/>
      <c r="Q566" s="2826"/>
      <c r="R566" s="2826"/>
      <c r="S566" s="2826"/>
      <c r="T566" s="2827"/>
      <c r="U566" s="2827"/>
      <c r="V566" s="2567"/>
      <c r="W566" s="2567"/>
      <c r="X566" s="2567"/>
      <c r="Y566" s="2567"/>
      <c r="Z566" s="2645">
        <f>$Z$13</f>
        <v>1.0528</v>
      </c>
      <c r="AA566" s="2645">
        <f>$AA$13</f>
        <v>1.0589</v>
      </c>
      <c r="AB566" s="2645">
        <f>$AB$13</f>
        <v>1.0507936887282501</v>
      </c>
      <c r="AC566" s="2645">
        <f>$AC$13</f>
        <v>1.04657781587849</v>
      </c>
      <c r="AD566" s="2642"/>
      <c r="AE566" s="2642"/>
      <c r="AF566" s="2642"/>
      <c r="AG566" s="2642"/>
      <c r="AH566" s="2642"/>
      <c r="AI566" s="2642"/>
      <c r="AJ566" s="2566"/>
    </row>
    <row r="567" spans="1:111" s="2345" customFormat="1" ht="15" hidden="1" customHeight="1" outlineLevel="1">
      <c r="A567" s="2339"/>
      <c r="B567" s="3071"/>
      <c r="C567" s="3035"/>
      <c r="D567" s="3035"/>
      <c r="E567" s="3035"/>
      <c r="F567" s="2340" t="s">
        <v>3934</v>
      </c>
      <c r="G567" s="2337"/>
      <c r="H567" s="2641"/>
      <c r="I567" s="2641"/>
      <c r="J567" s="2641"/>
      <c r="K567" s="2641"/>
      <c r="L567" s="2641"/>
      <c r="M567" s="2641"/>
      <c r="N567" s="2641"/>
      <c r="O567" s="2641"/>
      <c r="P567" s="2641"/>
      <c r="Q567" s="2649"/>
      <c r="R567" s="2641"/>
      <c r="S567" s="2641"/>
      <c r="T567" s="2650"/>
      <c r="U567" s="2828"/>
      <c r="V567" s="2566"/>
      <c r="W567" s="2566"/>
      <c r="X567" s="2566"/>
      <c r="Y567" s="2566"/>
      <c r="Z567" s="2642"/>
      <c r="AA567" s="2642"/>
      <c r="AB567" s="2642"/>
      <c r="AC567" s="2642"/>
      <c r="AD567" s="2642"/>
      <c r="AE567" s="2642"/>
      <c r="AF567" s="2642"/>
      <c r="AG567" s="2642"/>
      <c r="AH567" s="2642"/>
      <c r="AI567" s="2642"/>
      <c r="AJ567" s="2566"/>
    </row>
    <row r="568" spans="1:111" s="2345" customFormat="1" ht="15" hidden="1" outlineLevel="1">
      <c r="A568" s="2339"/>
      <c r="B568" s="3071"/>
      <c r="C568" s="3035"/>
      <c r="D568" s="3035"/>
      <c r="E568" s="3035"/>
      <c r="F568" s="2340" t="s">
        <v>3935</v>
      </c>
      <c r="G568" s="2337"/>
      <c r="H568" s="2641"/>
      <c r="I568" s="2641"/>
      <c r="J568" s="2641"/>
      <c r="K568" s="2641"/>
      <c r="L568" s="2641"/>
      <c r="M568" s="2641"/>
      <c r="N568" s="2641"/>
      <c r="O568" s="2641"/>
      <c r="P568" s="2641"/>
      <c r="Q568" s="2649"/>
      <c r="R568" s="2641"/>
      <c r="S568" s="2641"/>
      <c r="T568" s="2650"/>
      <c r="U568" s="2828"/>
      <c r="V568" s="2566"/>
      <c r="W568" s="2566"/>
      <c r="X568" s="2566"/>
      <c r="Y568" s="2566"/>
      <c r="Z568" s="2642"/>
      <c r="AA568" s="2642"/>
      <c r="AB568" s="2642"/>
      <c r="AC568" s="2642"/>
      <c r="AD568" s="2642"/>
      <c r="AE568" s="2642"/>
      <c r="AF568" s="2642"/>
      <c r="AG568" s="2642"/>
      <c r="AH568" s="2642"/>
      <c r="AI568" s="2642"/>
      <c r="AJ568" s="2566"/>
    </row>
    <row r="569" spans="1:111" s="2345" customFormat="1" ht="15" hidden="1" outlineLevel="1">
      <c r="A569" s="2339"/>
      <c r="B569" s="3071"/>
      <c r="C569" s="3035"/>
      <c r="D569" s="3035"/>
      <c r="E569" s="3035"/>
      <c r="F569" s="2340" t="s">
        <v>3936</v>
      </c>
      <c r="G569" s="2337"/>
      <c r="H569" s="2641"/>
      <c r="I569" s="2641"/>
      <c r="J569" s="2641"/>
      <c r="K569" s="2641"/>
      <c r="L569" s="2641"/>
      <c r="M569" s="2641"/>
      <c r="N569" s="2641"/>
      <c r="O569" s="2641"/>
      <c r="P569" s="2641"/>
      <c r="Q569" s="2649"/>
      <c r="R569" s="2641"/>
      <c r="S569" s="2641"/>
      <c r="T569" s="2650"/>
      <c r="U569" s="2828"/>
      <c r="V569" s="2566"/>
      <c r="W569" s="2566"/>
      <c r="X569" s="2566"/>
      <c r="Y569" s="2566"/>
      <c r="Z569" s="2642"/>
      <c r="AA569" s="2642"/>
      <c r="AB569" s="2642"/>
      <c r="AC569" s="2642"/>
      <c r="AD569" s="2642"/>
      <c r="AE569" s="2642"/>
      <c r="AF569" s="2642"/>
      <c r="AG569" s="2642"/>
      <c r="AH569" s="2642"/>
      <c r="AI569" s="2642"/>
      <c r="AJ569" s="2566"/>
    </row>
    <row r="570" spans="1:111" s="1118" customFormat="1" ht="30" hidden="1" outlineLevel="1">
      <c r="A570" s="2318"/>
      <c r="B570" s="3071"/>
      <c r="C570" s="3035"/>
      <c r="D570" s="3035"/>
      <c r="E570" s="3035"/>
      <c r="F570" s="2340" t="s">
        <v>3937</v>
      </c>
      <c r="G570" s="2337"/>
      <c r="H570" s="2641"/>
      <c r="I570" s="2641"/>
      <c r="J570" s="2641"/>
      <c r="K570" s="2641"/>
      <c r="L570" s="2641"/>
      <c r="M570" s="2641"/>
      <c r="N570" s="2641"/>
      <c r="O570" s="2641"/>
      <c r="P570" s="2641"/>
      <c r="Q570" s="2649"/>
      <c r="R570" s="2641"/>
      <c r="S570" s="2641"/>
      <c r="T570" s="2650"/>
      <c r="U570" s="2828"/>
      <c r="V570" s="2566"/>
      <c r="W570" s="2566"/>
      <c r="X570" s="2566"/>
      <c r="Y570" s="2566"/>
      <c r="Z570" s="2642"/>
      <c r="AA570" s="2642"/>
      <c r="AB570" s="2642"/>
      <c r="AC570" s="2642"/>
      <c r="AD570" s="2642"/>
      <c r="AE570" s="2642"/>
      <c r="AF570" s="2642"/>
      <c r="AG570" s="2642"/>
      <c r="AH570" s="2642"/>
      <c r="AI570" s="2642"/>
      <c r="AJ570" s="2566"/>
      <c r="AK570" s="2338"/>
      <c r="AL570" s="2338"/>
      <c r="AM570" s="2338"/>
      <c r="AN570" s="2338"/>
      <c r="AO570" s="2338"/>
      <c r="AP570" s="2338"/>
      <c r="AQ570" s="2338"/>
      <c r="AR570" s="2338"/>
      <c r="AS570" s="2338"/>
      <c r="AT570" s="2338"/>
      <c r="AU570" s="2338"/>
      <c r="AV570" s="2338"/>
      <c r="AW570" s="2338"/>
      <c r="AX570" s="2338"/>
      <c r="AY570" s="2338"/>
      <c r="AZ570" s="2338"/>
      <c r="BA570" s="2338"/>
      <c r="BB570" s="2338"/>
      <c r="BC570" s="2338"/>
      <c r="BD570" s="2338"/>
      <c r="BE570" s="2338"/>
      <c r="BF570" s="2338"/>
      <c r="BG570" s="2338"/>
      <c r="BH570" s="2338"/>
      <c r="BI570" s="2338"/>
      <c r="BJ570" s="2338"/>
      <c r="BK570" s="2338"/>
      <c r="BL570" s="2338"/>
      <c r="BM570" s="2338"/>
      <c r="BN570" s="2338"/>
      <c r="BO570" s="2338"/>
      <c r="BP570" s="2338"/>
      <c r="BQ570" s="2338"/>
      <c r="BR570" s="2338"/>
      <c r="BS570" s="2338"/>
      <c r="BT570" s="2338"/>
      <c r="BU570" s="2338"/>
      <c r="BV570" s="2338"/>
      <c r="BW570" s="2338"/>
      <c r="BX570" s="2338"/>
      <c r="BY570" s="2338"/>
      <c r="BZ570" s="2338"/>
      <c r="CA570" s="2338"/>
      <c r="CB570" s="2338"/>
      <c r="CC570" s="2338"/>
      <c r="CD570" s="2338"/>
      <c r="CE570" s="2338"/>
      <c r="CF570" s="2338"/>
      <c r="CG570" s="2338"/>
      <c r="CH570" s="2338"/>
      <c r="CI570" s="2338"/>
      <c r="CJ570" s="2338"/>
      <c r="CK570" s="2338"/>
      <c r="CL570" s="2338"/>
      <c r="CM570" s="2338"/>
      <c r="CN570" s="2338"/>
      <c r="CO570" s="2338"/>
      <c r="CP570" s="2338"/>
      <c r="CQ570" s="2338"/>
      <c r="CR570" s="2338"/>
      <c r="CS570" s="2338"/>
      <c r="CT570" s="2338"/>
      <c r="CU570" s="2338"/>
      <c r="CV570" s="2338"/>
      <c r="CW570" s="2338"/>
      <c r="CX570" s="2338"/>
      <c r="CY570" s="2338"/>
      <c r="CZ570" s="2338"/>
      <c r="DA570" s="2338"/>
      <c r="DB570" s="2338"/>
      <c r="DC570" s="2338"/>
      <c r="DD570" s="2338"/>
      <c r="DE570" s="2338"/>
      <c r="DF570" s="2338"/>
      <c r="DG570" s="2338"/>
    </row>
    <row r="571" spans="1:111" s="1118" customFormat="1" ht="45" hidden="1" outlineLevel="1">
      <c r="A571" s="2318"/>
      <c r="B571" s="3071"/>
      <c r="C571" s="3035"/>
      <c r="D571" s="3035"/>
      <c r="E571" s="3035" t="s">
        <v>3938</v>
      </c>
      <c r="F571" s="2340" t="s">
        <v>3933</v>
      </c>
      <c r="G571" s="2337"/>
      <c r="H571" s="2641"/>
      <c r="I571" s="2641"/>
      <c r="J571" s="2641"/>
      <c r="K571" s="2641"/>
      <c r="L571" s="2641"/>
      <c r="M571" s="2641"/>
      <c r="N571" s="2641"/>
      <c r="O571" s="2641"/>
      <c r="P571" s="2641"/>
      <c r="Q571" s="2649"/>
      <c r="R571" s="2641"/>
      <c r="S571" s="2641"/>
      <c r="T571" s="2650"/>
      <c r="U571" s="2828"/>
      <c r="V571" s="2566"/>
      <c r="W571" s="2566"/>
      <c r="X571" s="2566"/>
      <c r="Y571" s="2566"/>
      <c r="Z571" s="2642"/>
      <c r="AA571" s="2642"/>
      <c r="AB571" s="2642"/>
      <c r="AC571" s="2642"/>
      <c r="AD571" s="2642"/>
      <c r="AE571" s="2642"/>
      <c r="AF571" s="2642"/>
      <c r="AG571" s="2642"/>
      <c r="AH571" s="2642"/>
      <c r="AI571" s="2642"/>
      <c r="AJ571" s="2566"/>
      <c r="AK571" s="2338"/>
      <c r="AL571" s="2338"/>
      <c r="AM571" s="2338"/>
      <c r="AN571" s="2338"/>
      <c r="AO571" s="2338"/>
      <c r="AP571" s="2338"/>
      <c r="AQ571" s="2338"/>
      <c r="AR571" s="2338"/>
      <c r="AS571" s="2338"/>
      <c r="AT571" s="2338"/>
      <c r="AU571" s="2338"/>
      <c r="AV571" s="2338"/>
      <c r="AW571" s="2338"/>
      <c r="AX571" s="2338"/>
      <c r="AY571" s="2338"/>
      <c r="AZ571" s="2338"/>
      <c r="BA571" s="2338"/>
      <c r="BB571" s="2338"/>
      <c r="BC571" s="2338"/>
      <c r="BD571" s="2338"/>
      <c r="BE571" s="2338"/>
      <c r="BF571" s="2338"/>
      <c r="BG571" s="2338"/>
      <c r="BH571" s="2338"/>
      <c r="BI571" s="2338"/>
      <c r="BJ571" s="2338"/>
      <c r="BK571" s="2338"/>
      <c r="BL571" s="2338"/>
      <c r="BM571" s="2338"/>
      <c r="BN571" s="2338"/>
      <c r="BO571" s="2338"/>
      <c r="BP571" s="2338"/>
      <c r="BQ571" s="2338"/>
      <c r="BR571" s="2338"/>
      <c r="BS571" s="2338"/>
      <c r="BT571" s="2338"/>
      <c r="BU571" s="2338"/>
      <c r="BV571" s="2338"/>
      <c r="BW571" s="2338"/>
      <c r="BX571" s="2338"/>
      <c r="BY571" s="2338"/>
      <c r="BZ571" s="2338"/>
      <c r="CA571" s="2338"/>
      <c r="CB571" s="2338"/>
      <c r="CC571" s="2338"/>
      <c r="CD571" s="2338"/>
      <c r="CE571" s="2338"/>
      <c r="CF571" s="2338"/>
      <c r="CG571" s="2338"/>
      <c r="CH571" s="2338"/>
      <c r="CI571" s="2338"/>
      <c r="CJ571" s="2338"/>
      <c r="CK571" s="2338"/>
      <c r="CL571" s="2338"/>
      <c r="CM571" s="2338"/>
      <c r="CN571" s="2338"/>
      <c r="CO571" s="2338"/>
      <c r="CP571" s="2338"/>
      <c r="CQ571" s="2338"/>
      <c r="CR571" s="2338"/>
      <c r="CS571" s="2338"/>
      <c r="CT571" s="2338"/>
      <c r="CU571" s="2338"/>
      <c r="CV571" s="2338"/>
      <c r="CW571" s="2338"/>
      <c r="CX571" s="2338"/>
      <c r="CY571" s="2338"/>
      <c r="CZ571" s="2338"/>
      <c r="DA571" s="2338"/>
      <c r="DB571" s="2338"/>
      <c r="DC571" s="2338"/>
      <c r="DD571" s="2338"/>
      <c r="DE571" s="2338"/>
      <c r="DF571" s="2338"/>
      <c r="DG571" s="2338"/>
    </row>
    <row r="572" spans="1:111" s="1118" customFormat="1" ht="15" hidden="1" outlineLevel="1">
      <c r="A572" s="2318"/>
      <c r="B572" s="3071"/>
      <c r="C572" s="3035"/>
      <c r="D572" s="3035"/>
      <c r="E572" s="3035"/>
      <c r="F572" s="2340" t="s">
        <v>3934</v>
      </c>
      <c r="G572" s="2337"/>
      <c r="H572" s="2641"/>
      <c r="I572" s="2641"/>
      <c r="J572" s="2641"/>
      <c r="K572" s="2641"/>
      <c r="L572" s="2641"/>
      <c r="M572" s="2641"/>
      <c r="N572" s="2641"/>
      <c r="O572" s="2641"/>
      <c r="P572" s="2641"/>
      <c r="Q572" s="2649"/>
      <c r="R572" s="2641"/>
      <c r="S572" s="2641"/>
      <c r="T572" s="2650"/>
      <c r="U572" s="2828"/>
      <c r="V572" s="2566"/>
      <c r="W572" s="2566"/>
      <c r="X572" s="2566"/>
      <c r="Y572" s="2566"/>
      <c r="Z572" s="2642"/>
      <c r="AA572" s="2642"/>
      <c r="AB572" s="2642"/>
      <c r="AC572" s="2642"/>
      <c r="AD572" s="2642"/>
      <c r="AE572" s="2642"/>
      <c r="AF572" s="2642"/>
      <c r="AG572" s="2642"/>
      <c r="AH572" s="2642"/>
      <c r="AI572" s="2642"/>
      <c r="AJ572" s="2566"/>
      <c r="AK572" s="2338"/>
      <c r="AL572" s="2338"/>
      <c r="AM572" s="2338"/>
      <c r="AN572" s="2338"/>
      <c r="AO572" s="2338"/>
      <c r="AP572" s="2338"/>
      <c r="AQ572" s="2338"/>
      <c r="AR572" s="2338"/>
      <c r="AS572" s="2338"/>
      <c r="AT572" s="2338"/>
      <c r="AU572" s="2338"/>
      <c r="AV572" s="2338"/>
      <c r="AW572" s="2338"/>
      <c r="AX572" s="2338"/>
      <c r="AY572" s="2338"/>
      <c r="AZ572" s="2338"/>
      <c r="BA572" s="2338"/>
      <c r="BB572" s="2338"/>
      <c r="BC572" s="2338"/>
      <c r="BD572" s="2338"/>
      <c r="BE572" s="2338"/>
      <c r="BF572" s="2338"/>
      <c r="BG572" s="2338"/>
      <c r="BH572" s="2338"/>
      <c r="BI572" s="2338"/>
      <c r="BJ572" s="2338"/>
      <c r="BK572" s="2338"/>
      <c r="BL572" s="2338"/>
      <c r="BM572" s="2338"/>
      <c r="BN572" s="2338"/>
      <c r="BO572" s="2338"/>
      <c r="BP572" s="2338"/>
      <c r="BQ572" s="2338"/>
      <c r="BR572" s="2338"/>
      <c r="BS572" s="2338"/>
      <c r="BT572" s="2338"/>
      <c r="BU572" s="2338"/>
      <c r="BV572" s="2338"/>
      <c r="BW572" s="2338"/>
      <c r="BX572" s="2338"/>
      <c r="BY572" s="2338"/>
      <c r="BZ572" s="2338"/>
      <c r="CA572" s="2338"/>
      <c r="CB572" s="2338"/>
      <c r="CC572" s="2338"/>
      <c r="CD572" s="2338"/>
      <c r="CE572" s="2338"/>
      <c r="CF572" s="2338"/>
      <c r="CG572" s="2338"/>
      <c r="CH572" s="2338"/>
      <c r="CI572" s="2338"/>
      <c r="CJ572" s="2338"/>
      <c r="CK572" s="2338"/>
      <c r="CL572" s="2338"/>
      <c r="CM572" s="2338"/>
      <c r="CN572" s="2338"/>
      <c r="CO572" s="2338"/>
      <c r="CP572" s="2338"/>
      <c r="CQ572" s="2338"/>
      <c r="CR572" s="2338"/>
      <c r="CS572" s="2338"/>
      <c r="CT572" s="2338"/>
      <c r="CU572" s="2338"/>
      <c r="CV572" s="2338"/>
      <c r="CW572" s="2338"/>
      <c r="CX572" s="2338"/>
      <c r="CY572" s="2338"/>
      <c r="CZ572" s="2338"/>
      <c r="DA572" s="2338"/>
      <c r="DB572" s="2338"/>
      <c r="DC572" s="2338"/>
      <c r="DD572" s="2338"/>
      <c r="DE572" s="2338"/>
      <c r="DF572" s="2338"/>
      <c r="DG572" s="2338"/>
    </row>
    <row r="573" spans="1:111" s="1118" customFormat="1" ht="15" hidden="1" outlineLevel="1">
      <c r="A573" s="2318"/>
      <c r="B573" s="3071"/>
      <c r="C573" s="3035"/>
      <c r="D573" s="3035"/>
      <c r="E573" s="3035"/>
      <c r="F573" s="2340" t="s">
        <v>3935</v>
      </c>
      <c r="G573" s="2337"/>
      <c r="H573" s="2641"/>
      <c r="I573" s="2641"/>
      <c r="J573" s="2641"/>
      <c r="K573" s="2641"/>
      <c r="L573" s="2641"/>
      <c r="M573" s="2641"/>
      <c r="N573" s="2641"/>
      <c r="O573" s="2641"/>
      <c r="P573" s="2641"/>
      <c r="Q573" s="2649"/>
      <c r="R573" s="2641"/>
      <c r="S573" s="2641"/>
      <c r="T573" s="2650"/>
      <c r="U573" s="2828"/>
      <c r="V573" s="2566"/>
      <c r="W573" s="2566"/>
      <c r="X573" s="2566"/>
      <c r="Y573" s="2566"/>
      <c r="Z573" s="2642"/>
      <c r="AA573" s="2642"/>
      <c r="AB573" s="2642"/>
      <c r="AC573" s="2642"/>
      <c r="AD573" s="2642"/>
      <c r="AE573" s="2642"/>
      <c r="AF573" s="2642"/>
      <c r="AG573" s="2642"/>
      <c r="AH573" s="2642"/>
      <c r="AI573" s="2642"/>
      <c r="AJ573" s="2566"/>
      <c r="AK573" s="2338"/>
      <c r="AL573" s="2338"/>
      <c r="AM573" s="2338"/>
      <c r="AN573" s="2338"/>
      <c r="AO573" s="2338"/>
      <c r="AP573" s="2338"/>
      <c r="AQ573" s="2338"/>
      <c r="AR573" s="2338"/>
      <c r="AS573" s="2338"/>
      <c r="AT573" s="2338"/>
      <c r="AU573" s="2338"/>
      <c r="AV573" s="2338"/>
      <c r="AW573" s="2338"/>
      <c r="AX573" s="2338"/>
      <c r="AY573" s="2338"/>
      <c r="AZ573" s="2338"/>
      <c r="BA573" s="2338"/>
      <c r="BB573" s="2338"/>
      <c r="BC573" s="2338"/>
      <c r="BD573" s="2338"/>
      <c r="BE573" s="2338"/>
      <c r="BF573" s="2338"/>
      <c r="BG573" s="2338"/>
      <c r="BH573" s="2338"/>
      <c r="BI573" s="2338"/>
      <c r="BJ573" s="2338"/>
      <c r="BK573" s="2338"/>
      <c r="BL573" s="2338"/>
      <c r="BM573" s="2338"/>
      <c r="BN573" s="2338"/>
      <c r="BO573" s="2338"/>
      <c r="BP573" s="2338"/>
      <c r="BQ573" s="2338"/>
      <c r="BR573" s="2338"/>
      <c r="BS573" s="2338"/>
      <c r="BT573" s="2338"/>
      <c r="BU573" s="2338"/>
      <c r="BV573" s="2338"/>
      <c r="BW573" s="2338"/>
      <c r="BX573" s="2338"/>
      <c r="BY573" s="2338"/>
      <c r="BZ573" s="2338"/>
      <c r="CA573" s="2338"/>
      <c r="CB573" s="2338"/>
      <c r="CC573" s="2338"/>
      <c r="CD573" s="2338"/>
      <c r="CE573" s="2338"/>
      <c r="CF573" s="2338"/>
      <c r="CG573" s="2338"/>
      <c r="CH573" s="2338"/>
      <c r="CI573" s="2338"/>
      <c r="CJ573" s="2338"/>
      <c r="CK573" s="2338"/>
      <c r="CL573" s="2338"/>
      <c r="CM573" s="2338"/>
      <c r="CN573" s="2338"/>
      <c r="CO573" s="2338"/>
      <c r="CP573" s="2338"/>
      <c r="CQ573" s="2338"/>
      <c r="CR573" s="2338"/>
      <c r="CS573" s="2338"/>
      <c r="CT573" s="2338"/>
      <c r="CU573" s="2338"/>
      <c r="CV573" s="2338"/>
      <c r="CW573" s="2338"/>
      <c r="CX573" s="2338"/>
      <c r="CY573" s="2338"/>
      <c r="CZ573" s="2338"/>
      <c r="DA573" s="2338"/>
      <c r="DB573" s="2338"/>
      <c r="DC573" s="2338"/>
      <c r="DD573" s="2338"/>
      <c r="DE573" s="2338"/>
      <c r="DF573" s="2338"/>
      <c r="DG573" s="2338"/>
    </row>
    <row r="574" spans="1:111" s="1118" customFormat="1" ht="15" hidden="1" outlineLevel="1">
      <c r="A574" s="2318"/>
      <c r="B574" s="3071"/>
      <c r="C574" s="3035"/>
      <c r="D574" s="3035"/>
      <c r="E574" s="3035"/>
      <c r="F574" s="2340" t="s">
        <v>3936</v>
      </c>
      <c r="G574" s="2337"/>
      <c r="H574" s="2641"/>
      <c r="I574" s="2641"/>
      <c r="J574" s="2641"/>
      <c r="K574" s="2641"/>
      <c r="L574" s="2641"/>
      <c r="M574" s="2641"/>
      <c r="N574" s="2641"/>
      <c r="O574" s="2641"/>
      <c r="P574" s="2641"/>
      <c r="Q574" s="2649"/>
      <c r="R574" s="2641"/>
      <c r="S574" s="2641"/>
      <c r="T574" s="2650"/>
      <c r="U574" s="2828"/>
      <c r="V574" s="2566"/>
      <c r="W574" s="2566"/>
      <c r="X574" s="2566"/>
      <c r="Y574" s="2566"/>
      <c r="Z574" s="2642"/>
      <c r="AA574" s="2642"/>
      <c r="AB574" s="2642"/>
      <c r="AC574" s="2642"/>
      <c r="AD574" s="2642"/>
      <c r="AE574" s="2642"/>
      <c r="AF574" s="2642"/>
      <c r="AG574" s="2642"/>
      <c r="AH574" s="2642"/>
      <c r="AI574" s="2642"/>
      <c r="AJ574" s="2566"/>
      <c r="AK574" s="2338"/>
      <c r="AL574" s="2338"/>
      <c r="AM574" s="2338"/>
      <c r="AN574" s="2338"/>
      <c r="AO574" s="2338"/>
      <c r="AP574" s="2338"/>
      <c r="AQ574" s="2338"/>
      <c r="AR574" s="2338"/>
      <c r="AS574" s="2338"/>
      <c r="AT574" s="2338"/>
      <c r="AU574" s="2338"/>
      <c r="AV574" s="2338"/>
      <c r="AW574" s="2338"/>
      <c r="AX574" s="2338"/>
      <c r="AY574" s="2338"/>
      <c r="AZ574" s="2338"/>
      <c r="BA574" s="2338"/>
      <c r="BB574" s="2338"/>
      <c r="BC574" s="2338"/>
      <c r="BD574" s="2338"/>
      <c r="BE574" s="2338"/>
      <c r="BF574" s="2338"/>
      <c r="BG574" s="2338"/>
      <c r="BH574" s="2338"/>
      <c r="BI574" s="2338"/>
      <c r="BJ574" s="2338"/>
      <c r="BK574" s="2338"/>
      <c r="BL574" s="2338"/>
      <c r="BM574" s="2338"/>
      <c r="BN574" s="2338"/>
      <c r="BO574" s="2338"/>
      <c r="BP574" s="2338"/>
      <c r="BQ574" s="2338"/>
      <c r="BR574" s="2338"/>
      <c r="BS574" s="2338"/>
      <c r="BT574" s="2338"/>
      <c r="BU574" s="2338"/>
      <c r="BV574" s="2338"/>
      <c r="BW574" s="2338"/>
      <c r="BX574" s="2338"/>
      <c r="BY574" s="2338"/>
      <c r="BZ574" s="2338"/>
      <c r="CA574" s="2338"/>
      <c r="CB574" s="2338"/>
      <c r="CC574" s="2338"/>
      <c r="CD574" s="2338"/>
      <c r="CE574" s="2338"/>
      <c r="CF574" s="2338"/>
      <c r="CG574" s="2338"/>
      <c r="CH574" s="2338"/>
      <c r="CI574" s="2338"/>
      <c r="CJ574" s="2338"/>
      <c r="CK574" s="2338"/>
      <c r="CL574" s="2338"/>
      <c r="CM574" s="2338"/>
      <c r="CN574" s="2338"/>
      <c r="CO574" s="2338"/>
      <c r="CP574" s="2338"/>
      <c r="CQ574" s="2338"/>
      <c r="CR574" s="2338"/>
      <c r="CS574" s="2338"/>
      <c r="CT574" s="2338"/>
      <c r="CU574" s="2338"/>
      <c r="CV574" s="2338"/>
      <c r="CW574" s="2338"/>
      <c r="CX574" s="2338"/>
      <c r="CY574" s="2338"/>
      <c r="CZ574" s="2338"/>
      <c r="DA574" s="2338"/>
      <c r="DB574" s="2338"/>
      <c r="DC574" s="2338"/>
      <c r="DD574" s="2338"/>
      <c r="DE574" s="2338"/>
      <c r="DF574" s="2338"/>
      <c r="DG574" s="2338"/>
    </row>
    <row r="575" spans="1:111" s="1118" customFormat="1" ht="30" hidden="1" outlineLevel="1">
      <c r="A575" s="2318"/>
      <c r="B575" s="3071"/>
      <c r="C575" s="3035"/>
      <c r="D575" s="3035"/>
      <c r="E575" s="3035"/>
      <c r="F575" s="2340" t="s">
        <v>3937</v>
      </c>
      <c r="G575" s="2337"/>
      <c r="H575" s="2641"/>
      <c r="I575" s="2641"/>
      <c r="J575" s="2641"/>
      <c r="K575" s="2641"/>
      <c r="L575" s="2641"/>
      <c r="M575" s="2641"/>
      <c r="N575" s="2641"/>
      <c r="O575" s="2641"/>
      <c r="P575" s="2641"/>
      <c r="Q575" s="2649"/>
      <c r="R575" s="2641"/>
      <c r="S575" s="2641"/>
      <c r="T575" s="2650"/>
      <c r="U575" s="2828"/>
      <c r="V575" s="2566"/>
      <c r="W575" s="2566"/>
      <c r="X575" s="2566"/>
      <c r="Y575" s="2566"/>
      <c r="Z575" s="2642"/>
      <c r="AA575" s="2642"/>
      <c r="AB575" s="2642"/>
      <c r="AC575" s="2642"/>
      <c r="AD575" s="2642"/>
      <c r="AE575" s="2642"/>
      <c r="AF575" s="2642"/>
      <c r="AG575" s="2642"/>
      <c r="AH575" s="2642"/>
      <c r="AI575" s="2642"/>
      <c r="AJ575" s="2566"/>
      <c r="AK575" s="2338"/>
      <c r="AL575" s="2338"/>
      <c r="AM575" s="2338"/>
      <c r="AN575" s="2338"/>
      <c r="AO575" s="2338"/>
      <c r="AP575" s="2338"/>
      <c r="AQ575" s="2338"/>
      <c r="AR575" s="2338"/>
      <c r="AS575" s="2338"/>
      <c r="AT575" s="2338"/>
      <c r="AU575" s="2338"/>
      <c r="AV575" s="2338"/>
      <c r="AW575" s="2338"/>
      <c r="AX575" s="2338"/>
      <c r="AY575" s="2338"/>
      <c r="AZ575" s="2338"/>
      <c r="BA575" s="2338"/>
      <c r="BB575" s="2338"/>
      <c r="BC575" s="2338"/>
      <c r="BD575" s="2338"/>
      <c r="BE575" s="2338"/>
      <c r="BF575" s="2338"/>
      <c r="BG575" s="2338"/>
      <c r="BH575" s="2338"/>
      <c r="BI575" s="2338"/>
      <c r="BJ575" s="2338"/>
      <c r="BK575" s="2338"/>
      <c r="BL575" s="2338"/>
      <c r="BM575" s="2338"/>
      <c r="BN575" s="2338"/>
      <c r="BO575" s="2338"/>
      <c r="BP575" s="2338"/>
      <c r="BQ575" s="2338"/>
      <c r="BR575" s="2338"/>
      <c r="BS575" s="2338"/>
      <c r="BT575" s="2338"/>
      <c r="BU575" s="2338"/>
      <c r="BV575" s="2338"/>
      <c r="BW575" s="2338"/>
      <c r="BX575" s="2338"/>
      <c r="BY575" s="2338"/>
      <c r="BZ575" s="2338"/>
      <c r="CA575" s="2338"/>
      <c r="CB575" s="2338"/>
      <c r="CC575" s="2338"/>
      <c r="CD575" s="2338"/>
      <c r="CE575" s="2338"/>
      <c r="CF575" s="2338"/>
      <c r="CG575" s="2338"/>
      <c r="CH575" s="2338"/>
      <c r="CI575" s="2338"/>
      <c r="CJ575" s="2338"/>
      <c r="CK575" s="2338"/>
      <c r="CL575" s="2338"/>
      <c r="CM575" s="2338"/>
      <c r="CN575" s="2338"/>
      <c r="CO575" s="2338"/>
      <c r="CP575" s="2338"/>
      <c r="CQ575" s="2338"/>
      <c r="CR575" s="2338"/>
      <c r="CS575" s="2338"/>
      <c r="CT575" s="2338"/>
      <c r="CU575" s="2338"/>
      <c r="CV575" s="2338"/>
      <c r="CW575" s="2338"/>
      <c r="CX575" s="2338"/>
      <c r="CY575" s="2338"/>
      <c r="CZ575" s="2338"/>
      <c r="DA575" s="2338"/>
      <c r="DB575" s="2338"/>
      <c r="DC575" s="2338"/>
      <c r="DD575" s="2338"/>
      <c r="DE575" s="2338"/>
      <c r="DF575" s="2338"/>
      <c r="DG575" s="2338"/>
    </row>
    <row r="576" spans="1:111" s="1118" customFormat="1" ht="45" hidden="1" outlineLevel="1">
      <c r="A576" s="2318"/>
      <c r="B576" s="3071"/>
      <c r="C576" s="3035"/>
      <c r="D576" s="3035"/>
      <c r="E576" s="3035" t="s">
        <v>3939</v>
      </c>
      <c r="F576" s="2340" t="s">
        <v>3933</v>
      </c>
      <c r="G576" s="2337"/>
      <c r="H576" s="2641"/>
      <c r="I576" s="2641"/>
      <c r="J576" s="2641"/>
      <c r="K576" s="2641"/>
      <c r="L576" s="2641"/>
      <c r="M576" s="2641"/>
      <c r="N576" s="2641"/>
      <c r="O576" s="2641"/>
      <c r="P576" s="2641"/>
      <c r="Q576" s="2649"/>
      <c r="R576" s="2641"/>
      <c r="S576" s="2641"/>
      <c r="T576" s="2650"/>
      <c r="U576" s="2828"/>
      <c r="V576" s="2566"/>
      <c r="W576" s="2566"/>
      <c r="X576" s="2566"/>
      <c r="Y576" s="2566"/>
      <c r="Z576" s="2642"/>
      <c r="AA576" s="2642"/>
      <c r="AB576" s="2642"/>
      <c r="AC576" s="2642"/>
      <c r="AD576" s="2642"/>
      <c r="AE576" s="2642"/>
      <c r="AF576" s="2642"/>
      <c r="AG576" s="2642"/>
      <c r="AH576" s="2642"/>
      <c r="AI576" s="2642"/>
      <c r="AJ576" s="2566"/>
      <c r="AK576" s="2338"/>
      <c r="AL576" s="2338"/>
      <c r="AM576" s="2338"/>
      <c r="AN576" s="2338"/>
      <c r="AO576" s="2338"/>
      <c r="AP576" s="2338"/>
      <c r="AQ576" s="2338"/>
      <c r="AR576" s="2338"/>
      <c r="AS576" s="2338"/>
      <c r="AT576" s="2338"/>
      <c r="AU576" s="2338"/>
      <c r="AV576" s="2338"/>
      <c r="AW576" s="2338"/>
      <c r="AX576" s="2338"/>
      <c r="AY576" s="2338"/>
      <c r="AZ576" s="2338"/>
      <c r="BA576" s="2338"/>
      <c r="BB576" s="2338"/>
      <c r="BC576" s="2338"/>
      <c r="BD576" s="2338"/>
      <c r="BE576" s="2338"/>
      <c r="BF576" s="2338"/>
      <c r="BG576" s="2338"/>
      <c r="BH576" s="2338"/>
      <c r="BI576" s="2338"/>
      <c r="BJ576" s="2338"/>
      <c r="BK576" s="2338"/>
      <c r="BL576" s="2338"/>
      <c r="BM576" s="2338"/>
      <c r="BN576" s="2338"/>
      <c r="BO576" s="2338"/>
      <c r="BP576" s="2338"/>
      <c r="BQ576" s="2338"/>
      <c r="BR576" s="2338"/>
      <c r="BS576" s="2338"/>
      <c r="BT576" s="2338"/>
      <c r="BU576" s="2338"/>
      <c r="BV576" s="2338"/>
      <c r="BW576" s="2338"/>
      <c r="BX576" s="2338"/>
      <c r="BY576" s="2338"/>
      <c r="BZ576" s="2338"/>
      <c r="CA576" s="2338"/>
      <c r="CB576" s="2338"/>
      <c r="CC576" s="2338"/>
      <c r="CD576" s="2338"/>
      <c r="CE576" s="2338"/>
      <c r="CF576" s="2338"/>
      <c r="CG576" s="2338"/>
      <c r="CH576" s="2338"/>
      <c r="CI576" s="2338"/>
      <c r="CJ576" s="2338"/>
      <c r="CK576" s="2338"/>
      <c r="CL576" s="2338"/>
      <c r="CM576" s="2338"/>
      <c r="CN576" s="2338"/>
      <c r="CO576" s="2338"/>
      <c r="CP576" s="2338"/>
      <c r="CQ576" s="2338"/>
      <c r="CR576" s="2338"/>
      <c r="CS576" s="2338"/>
      <c r="CT576" s="2338"/>
      <c r="CU576" s="2338"/>
      <c r="CV576" s="2338"/>
      <c r="CW576" s="2338"/>
      <c r="CX576" s="2338"/>
      <c r="CY576" s="2338"/>
      <c r="CZ576" s="2338"/>
      <c r="DA576" s="2338"/>
      <c r="DB576" s="2338"/>
      <c r="DC576" s="2338"/>
      <c r="DD576" s="2338"/>
      <c r="DE576" s="2338"/>
      <c r="DF576" s="2338"/>
      <c r="DG576" s="2338"/>
    </row>
    <row r="577" spans="1:111" s="1118" customFormat="1" ht="15" hidden="1" outlineLevel="1">
      <c r="A577" s="2318"/>
      <c r="B577" s="3071"/>
      <c r="C577" s="3035"/>
      <c r="D577" s="3035"/>
      <c r="E577" s="3035"/>
      <c r="F577" s="2340" t="s">
        <v>3934</v>
      </c>
      <c r="G577" s="2337"/>
      <c r="H577" s="2641"/>
      <c r="I577" s="2641"/>
      <c r="J577" s="2641"/>
      <c r="K577" s="2641"/>
      <c r="L577" s="2641"/>
      <c r="M577" s="2641"/>
      <c r="N577" s="2641"/>
      <c r="O577" s="2641"/>
      <c r="P577" s="2641"/>
      <c r="Q577" s="2649"/>
      <c r="R577" s="2641"/>
      <c r="S577" s="2641"/>
      <c r="T577" s="2650"/>
      <c r="U577" s="2828"/>
      <c r="V577" s="2566"/>
      <c r="W577" s="2566"/>
      <c r="X577" s="2566"/>
      <c r="Y577" s="2566"/>
      <c r="Z577" s="2642"/>
      <c r="AA577" s="2642"/>
      <c r="AB577" s="2642"/>
      <c r="AC577" s="2642"/>
      <c r="AD577" s="2642"/>
      <c r="AE577" s="2642"/>
      <c r="AF577" s="2642"/>
      <c r="AG577" s="2642"/>
      <c r="AH577" s="2642"/>
      <c r="AI577" s="2642"/>
      <c r="AJ577" s="2566"/>
      <c r="AK577" s="2338"/>
      <c r="AL577" s="2338"/>
      <c r="AM577" s="2338"/>
      <c r="AN577" s="2338"/>
      <c r="AO577" s="2338"/>
      <c r="AP577" s="2338"/>
      <c r="AQ577" s="2338"/>
      <c r="AR577" s="2338"/>
      <c r="AS577" s="2338"/>
      <c r="AT577" s="2338"/>
      <c r="AU577" s="2338"/>
      <c r="AV577" s="2338"/>
      <c r="AW577" s="2338"/>
      <c r="AX577" s="2338"/>
      <c r="AY577" s="2338"/>
      <c r="AZ577" s="2338"/>
      <c r="BA577" s="2338"/>
      <c r="BB577" s="2338"/>
      <c r="BC577" s="2338"/>
      <c r="BD577" s="2338"/>
      <c r="BE577" s="2338"/>
      <c r="BF577" s="2338"/>
      <c r="BG577" s="2338"/>
      <c r="BH577" s="2338"/>
      <c r="BI577" s="2338"/>
      <c r="BJ577" s="2338"/>
      <c r="BK577" s="2338"/>
      <c r="BL577" s="2338"/>
      <c r="BM577" s="2338"/>
      <c r="BN577" s="2338"/>
      <c r="BO577" s="2338"/>
      <c r="BP577" s="2338"/>
      <c r="BQ577" s="2338"/>
      <c r="BR577" s="2338"/>
      <c r="BS577" s="2338"/>
      <c r="BT577" s="2338"/>
      <c r="BU577" s="2338"/>
      <c r="BV577" s="2338"/>
      <c r="BW577" s="2338"/>
      <c r="BX577" s="2338"/>
      <c r="BY577" s="2338"/>
      <c r="BZ577" s="2338"/>
      <c r="CA577" s="2338"/>
      <c r="CB577" s="2338"/>
      <c r="CC577" s="2338"/>
      <c r="CD577" s="2338"/>
      <c r="CE577" s="2338"/>
      <c r="CF577" s="2338"/>
      <c r="CG577" s="2338"/>
      <c r="CH577" s="2338"/>
      <c r="CI577" s="2338"/>
      <c r="CJ577" s="2338"/>
      <c r="CK577" s="2338"/>
      <c r="CL577" s="2338"/>
      <c r="CM577" s="2338"/>
      <c r="CN577" s="2338"/>
      <c r="CO577" s="2338"/>
      <c r="CP577" s="2338"/>
      <c r="CQ577" s="2338"/>
      <c r="CR577" s="2338"/>
      <c r="CS577" s="2338"/>
      <c r="CT577" s="2338"/>
      <c r="CU577" s="2338"/>
      <c r="CV577" s="2338"/>
      <c r="CW577" s="2338"/>
      <c r="CX577" s="2338"/>
      <c r="CY577" s="2338"/>
      <c r="CZ577" s="2338"/>
      <c r="DA577" s="2338"/>
      <c r="DB577" s="2338"/>
      <c r="DC577" s="2338"/>
      <c r="DD577" s="2338"/>
      <c r="DE577" s="2338"/>
      <c r="DF577" s="2338"/>
      <c r="DG577" s="2338"/>
    </row>
    <row r="578" spans="1:111" s="1118" customFormat="1" ht="15" hidden="1" outlineLevel="1">
      <c r="A578" s="2318"/>
      <c r="B578" s="3071"/>
      <c r="C578" s="3035"/>
      <c r="D578" s="3035"/>
      <c r="E578" s="3035"/>
      <c r="F578" s="2340" t="s">
        <v>3935</v>
      </c>
      <c r="G578" s="2337"/>
      <c r="H578" s="2641"/>
      <c r="I578" s="2641"/>
      <c r="J578" s="2641"/>
      <c r="K578" s="2641"/>
      <c r="L578" s="2641"/>
      <c r="M578" s="2641"/>
      <c r="N578" s="2641"/>
      <c r="O578" s="2641"/>
      <c r="P578" s="2641"/>
      <c r="Q578" s="2649"/>
      <c r="R578" s="2641"/>
      <c r="S578" s="2641"/>
      <c r="T578" s="2650"/>
      <c r="U578" s="2828"/>
      <c r="V578" s="2566"/>
      <c r="W578" s="2566"/>
      <c r="X578" s="2566"/>
      <c r="Y578" s="2566"/>
      <c r="Z578" s="2642"/>
      <c r="AA578" s="2642"/>
      <c r="AB578" s="2642"/>
      <c r="AC578" s="2642"/>
      <c r="AD578" s="2642"/>
      <c r="AE578" s="2642"/>
      <c r="AF578" s="2642"/>
      <c r="AG578" s="2642"/>
      <c r="AH578" s="2642"/>
      <c r="AI578" s="2642"/>
      <c r="AJ578" s="2566"/>
      <c r="AK578" s="2338"/>
      <c r="AL578" s="2338"/>
      <c r="AM578" s="2338"/>
      <c r="AN578" s="2338"/>
      <c r="AO578" s="2338"/>
      <c r="AP578" s="2338"/>
      <c r="AQ578" s="2338"/>
      <c r="AR578" s="2338"/>
      <c r="AS578" s="2338"/>
      <c r="AT578" s="2338"/>
      <c r="AU578" s="2338"/>
      <c r="AV578" s="2338"/>
      <c r="AW578" s="2338"/>
      <c r="AX578" s="2338"/>
      <c r="AY578" s="2338"/>
      <c r="AZ578" s="2338"/>
      <c r="BA578" s="2338"/>
      <c r="BB578" s="2338"/>
      <c r="BC578" s="2338"/>
      <c r="BD578" s="2338"/>
      <c r="BE578" s="2338"/>
      <c r="BF578" s="2338"/>
      <c r="BG578" s="2338"/>
      <c r="BH578" s="2338"/>
      <c r="BI578" s="2338"/>
      <c r="BJ578" s="2338"/>
      <c r="BK578" s="2338"/>
      <c r="BL578" s="2338"/>
      <c r="BM578" s="2338"/>
      <c r="BN578" s="2338"/>
      <c r="BO578" s="2338"/>
      <c r="BP578" s="2338"/>
      <c r="BQ578" s="2338"/>
      <c r="BR578" s="2338"/>
      <c r="BS578" s="2338"/>
      <c r="BT578" s="2338"/>
      <c r="BU578" s="2338"/>
      <c r="BV578" s="2338"/>
      <c r="BW578" s="2338"/>
      <c r="BX578" s="2338"/>
      <c r="BY578" s="2338"/>
      <c r="BZ578" s="2338"/>
      <c r="CA578" s="2338"/>
      <c r="CB578" s="2338"/>
      <c r="CC578" s="2338"/>
      <c r="CD578" s="2338"/>
      <c r="CE578" s="2338"/>
      <c r="CF578" s="2338"/>
      <c r="CG578" s="2338"/>
      <c r="CH578" s="2338"/>
      <c r="CI578" s="2338"/>
      <c r="CJ578" s="2338"/>
      <c r="CK578" s="2338"/>
      <c r="CL578" s="2338"/>
      <c r="CM578" s="2338"/>
      <c r="CN578" s="2338"/>
      <c r="CO578" s="2338"/>
      <c r="CP578" s="2338"/>
      <c r="CQ578" s="2338"/>
      <c r="CR578" s="2338"/>
      <c r="CS578" s="2338"/>
      <c r="CT578" s="2338"/>
      <c r="CU578" s="2338"/>
      <c r="CV578" s="2338"/>
      <c r="CW578" s="2338"/>
      <c r="CX578" s="2338"/>
      <c r="CY578" s="2338"/>
      <c r="CZ578" s="2338"/>
      <c r="DA578" s="2338"/>
      <c r="DB578" s="2338"/>
      <c r="DC578" s="2338"/>
      <c r="DD578" s="2338"/>
      <c r="DE578" s="2338"/>
      <c r="DF578" s="2338"/>
      <c r="DG578" s="2338"/>
    </row>
    <row r="579" spans="1:111" s="1118" customFormat="1" ht="15" hidden="1" outlineLevel="1">
      <c r="A579" s="2318"/>
      <c r="B579" s="3071"/>
      <c r="C579" s="3035"/>
      <c r="D579" s="3035"/>
      <c r="E579" s="3035"/>
      <c r="F579" s="2340" t="s">
        <v>3936</v>
      </c>
      <c r="G579" s="2337"/>
      <c r="H579" s="2641"/>
      <c r="I579" s="2641"/>
      <c r="J579" s="2641"/>
      <c r="K579" s="2641"/>
      <c r="L579" s="2641"/>
      <c r="M579" s="2641"/>
      <c r="N579" s="2641"/>
      <c r="O579" s="2641"/>
      <c r="P579" s="2641"/>
      <c r="Q579" s="2649"/>
      <c r="R579" s="2641"/>
      <c r="S579" s="2641"/>
      <c r="T579" s="2650"/>
      <c r="U579" s="2828"/>
      <c r="V579" s="2566"/>
      <c r="W579" s="2566"/>
      <c r="X579" s="2566"/>
      <c r="Y579" s="2566"/>
      <c r="Z579" s="2642"/>
      <c r="AA579" s="2642"/>
      <c r="AB579" s="2642"/>
      <c r="AC579" s="2642"/>
      <c r="AD579" s="2642"/>
      <c r="AE579" s="2642"/>
      <c r="AF579" s="2642"/>
      <c r="AG579" s="2642"/>
      <c r="AH579" s="2642"/>
      <c r="AI579" s="2642"/>
      <c r="AJ579" s="2566"/>
      <c r="AK579" s="2338"/>
      <c r="AL579" s="2338"/>
      <c r="AM579" s="2338"/>
      <c r="AN579" s="2338"/>
      <c r="AO579" s="2338"/>
      <c r="AP579" s="2338"/>
      <c r="AQ579" s="2338"/>
      <c r="AR579" s="2338"/>
      <c r="AS579" s="2338"/>
      <c r="AT579" s="2338"/>
      <c r="AU579" s="2338"/>
      <c r="AV579" s="2338"/>
      <c r="AW579" s="2338"/>
      <c r="AX579" s="2338"/>
      <c r="AY579" s="2338"/>
      <c r="AZ579" s="2338"/>
      <c r="BA579" s="2338"/>
      <c r="BB579" s="2338"/>
      <c r="BC579" s="2338"/>
      <c r="BD579" s="2338"/>
      <c r="BE579" s="2338"/>
      <c r="BF579" s="2338"/>
      <c r="BG579" s="2338"/>
      <c r="BH579" s="2338"/>
      <c r="BI579" s="2338"/>
      <c r="BJ579" s="2338"/>
      <c r="BK579" s="2338"/>
      <c r="BL579" s="2338"/>
      <c r="BM579" s="2338"/>
      <c r="BN579" s="2338"/>
      <c r="BO579" s="2338"/>
      <c r="BP579" s="2338"/>
      <c r="BQ579" s="2338"/>
      <c r="BR579" s="2338"/>
      <c r="BS579" s="2338"/>
      <c r="BT579" s="2338"/>
      <c r="BU579" s="2338"/>
      <c r="BV579" s="2338"/>
      <c r="BW579" s="2338"/>
      <c r="BX579" s="2338"/>
      <c r="BY579" s="2338"/>
      <c r="BZ579" s="2338"/>
      <c r="CA579" s="2338"/>
      <c r="CB579" s="2338"/>
      <c r="CC579" s="2338"/>
      <c r="CD579" s="2338"/>
      <c r="CE579" s="2338"/>
      <c r="CF579" s="2338"/>
      <c r="CG579" s="2338"/>
      <c r="CH579" s="2338"/>
      <c r="CI579" s="2338"/>
      <c r="CJ579" s="2338"/>
      <c r="CK579" s="2338"/>
      <c r="CL579" s="2338"/>
      <c r="CM579" s="2338"/>
      <c r="CN579" s="2338"/>
      <c r="CO579" s="2338"/>
      <c r="CP579" s="2338"/>
      <c r="CQ579" s="2338"/>
      <c r="CR579" s="2338"/>
      <c r="CS579" s="2338"/>
      <c r="CT579" s="2338"/>
      <c r="CU579" s="2338"/>
      <c r="CV579" s="2338"/>
      <c r="CW579" s="2338"/>
      <c r="CX579" s="2338"/>
      <c r="CY579" s="2338"/>
      <c r="CZ579" s="2338"/>
      <c r="DA579" s="2338"/>
      <c r="DB579" s="2338"/>
      <c r="DC579" s="2338"/>
      <c r="DD579" s="2338"/>
      <c r="DE579" s="2338"/>
      <c r="DF579" s="2338"/>
      <c r="DG579" s="2338"/>
    </row>
    <row r="580" spans="1:111" s="1118" customFormat="1" ht="30" hidden="1" outlineLevel="1">
      <c r="A580" s="2318"/>
      <c r="B580" s="3071"/>
      <c r="C580" s="3035"/>
      <c r="D580" s="3035"/>
      <c r="E580" s="3035"/>
      <c r="F580" s="2340" t="s">
        <v>3937</v>
      </c>
      <c r="G580" s="2337"/>
      <c r="H580" s="2641"/>
      <c r="I580" s="2641"/>
      <c r="J580" s="2641"/>
      <c r="K580" s="2641"/>
      <c r="L580" s="2641"/>
      <c r="M580" s="2641"/>
      <c r="N580" s="2641"/>
      <c r="O580" s="2641"/>
      <c r="P580" s="2641"/>
      <c r="Q580" s="2649"/>
      <c r="R580" s="2641"/>
      <c r="S580" s="2641"/>
      <c r="T580" s="2650"/>
      <c r="U580" s="2828"/>
      <c r="V580" s="2566"/>
      <c r="W580" s="2566"/>
      <c r="X580" s="2566"/>
      <c r="Y580" s="2566"/>
      <c r="Z580" s="2642"/>
      <c r="AA580" s="2642"/>
      <c r="AB580" s="2642"/>
      <c r="AC580" s="2642"/>
      <c r="AD580" s="2642"/>
      <c r="AE580" s="2642"/>
      <c r="AF580" s="2642"/>
      <c r="AG580" s="2642"/>
      <c r="AH580" s="2642"/>
      <c r="AI580" s="2642"/>
      <c r="AJ580" s="2566"/>
      <c r="AK580" s="2338"/>
      <c r="AL580" s="2338"/>
      <c r="AM580" s="2338"/>
      <c r="AN580" s="2338"/>
      <c r="AO580" s="2338"/>
      <c r="AP580" s="2338"/>
      <c r="AQ580" s="2338"/>
      <c r="AR580" s="2338"/>
      <c r="AS580" s="2338"/>
      <c r="AT580" s="2338"/>
      <c r="AU580" s="2338"/>
      <c r="AV580" s="2338"/>
      <c r="AW580" s="2338"/>
      <c r="AX580" s="2338"/>
      <c r="AY580" s="2338"/>
      <c r="AZ580" s="2338"/>
      <c r="BA580" s="2338"/>
      <c r="BB580" s="2338"/>
      <c r="BC580" s="2338"/>
      <c r="BD580" s="2338"/>
      <c r="BE580" s="2338"/>
      <c r="BF580" s="2338"/>
      <c r="BG580" s="2338"/>
      <c r="BH580" s="2338"/>
      <c r="BI580" s="2338"/>
      <c r="BJ580" s="2338"/>
      <c r="BK580" s="2338"/>
      <c r="BL580" s="2338"/>
      <c r="BM580" s="2338"/>
      <c r="BN580" s="2338"/>
      <c r="BO580" s="2338"/>
      <c r="BP580" s="2338"/>
      <c r="BQ580" s="2338"/>
      <c r="BR580" s="2338"/>
      <c r="BS580" s="2338"/>
      <c r="BT580" s="2338"/>
      <c r="BU580" s="2338"/>
      <c r="BV580" s="2338"/>
      <c r="BW580" s="2338"/>
      <c r="BX580" s="2338"/>
      <c r="BY580" s="2338"/>
      <c r="BZ580" s="2338"/>
      <c r="CA580" s="2338"/>
      <c r="CB580" s="2338"/>
      <c r="CC580" s="2338"/>
      <c r="CD580" s="2338"/>
      <c r="CE580" s="2338"/>
      <c r="CF580" s="2338"/>
      <c r="CG580" s="2338"/>
      <c r="CH580" s="2338"/>
      <c r="CI580" s="2338"/>
      <c r="CJ580" s="2338"/>
      <c r="CK580" s="2338"/>
      <c r="CL580" s="2338"/>
      <c r="CM580" s="2338"/>
      <c r="CN580" s="2338"/>
      <c r="CO580" s="2338"/>
      <c r="CP580" s="2338"/>
      <c r="CQ580" s="2338"/>
      <c r="CR580" s="2338"/>
      <c r="CS580" s="2338"/>
      <c r="CT580" s="2338"/>
      <c r="CU580" s="2338"/>
      <c r="CV580" s="2338"/>
      <c r="CW580" s="2338"/>
      <c r="CX580" s="2338"/>
      <c r="CY580" s="2338"/>
      <c r="CZ580" s="2338"/>
      <c r="DA580" s="2338"/>
      <c r="DB580" s="2338"/>
      <c r="DC580" s="2338"/>
      <c r="DD580" s="2338"/>
      <c r="DE580" s="2338"/>
      <c r="DF580" s="2338"/>
      <c r="DG580" s="2338"/>
    </row>
    <row r="581" spans="1:111" s="1118" customFormat="1" ht="45" hidden="1" outlineLevel="1">
      <c r="A581" s="2318"/>
      <c r="B581" s="3033" t="s">
        <v>2948</v>
      </c>
      <c r="C581" s="3028"/>
      <c r="D581" s="3028"/>
      <c r="E581" s="3035" t="s">
        <v>3932</v>
      </c>
      <c r="F581" s="2340" t="s">
        <v>3933</v>
      </c>
      <c r="G581" s="2337"/>
      <c r="H581" s="2641"/>
      <c r="I581" s="2641"/>
      <c r="J581" s="2641"/>
      <c r="K581" s="2641"/>
      <c r="L581" s="2641"/>
      <c r="M581" s="2641"/>
      <c r="N581" s="2641"/>
      <c r="O581" s="2641"/>
      <c r="P581" s="2641"/>
      <c r="Q581" s="2649"/>
      <c r="R581" s="2641"/>
      <c r="S581" s="2641"/>
      <c r="T581" s="2650"/>
      <c r="U581" s="2828"/>
      <c r="V581" s="2566"/>
      <c r="W581" s="2566"/>
      <c r="X581" s="2566"/>
      <c r="Y581" s="2566"/>
      <c r="Z581" s="2642"/>
      <c r="AA581" s="2642"/>
      <c r="AB581" s="2642"/>
      <c r="AC581" s="2642"/>
      <c r="AD581" s="2642"/>
      <c r="AE581" s="2642"/>
      <c r="AF581" s="2642"/>
      <c r="AG581" s="2642"/>
      <c r="AH581" s="2642"/>
      <c r="AI581" s="2642"/>
      <c r="AJ581" s="2566"/>
      <c r="AK581" s="2338"/>
      <c r="AL581" s="2338"/>
      <c r="AM581" s="2338"/>
      <c r="AN581" s="2338"/>
      <c r="AO581" s="2338"/>
      <c r="AP581" s="2338"/>
      <c r="AQ581" s="2338"/>
      <c r="AR581" s="2338"/>
      <c r="AS581" s="2338"/>
      <c r="AT581" s="2338"/>
      <c r="AU581" s="2338"/>
      <c r="AV581" s="2338"/>
      <c r="AW581" s="2338"/>
      <c r="AX581" s="2338"/>
      <c r="AY581" s="2338"/>
      <c r="AZ581" s="2338"/>
      <c r="BA581" s="2338"/>
      <c r="BB581" s="2338"/>
      <c r="BC581" s="2338"/>
      <c r="BD581" s="2338"/>
      <c r="BE581" s="2338"/>
      <c r="BF581" s="2338"/>
      <c r="BG581" s="2338"/>
      <c r="BH581" s="2338"/>
      <c r="BI581" s="2338"/>
      <c r="BJ581" s="2338"/>
      <c r="BK581" s="2338"/>
      <c r="BL581" s="2338"/>
      <c r="BM581" s="2338"/>
      <c r="BN581" s="2338"/>
      <c r="BO581" s="2338"/>
      <c r="BP581" s="2338"/>
      <c r="BQ581" s="2338"/>
      <c r="BR581" s="2338"/>
      <c r="BS581" s="2338"/>
      <c r="BT581" s="2338"/>
      <c r="BU581" s="2338"/>
      <c r="BV581" s="2338"/>
      <c r="BW581" s="2338"/>
      <c r="BX581" s="2338"/>
      <c r="BY581" s="2338"/>
      <c r="BZ581" s="2338"/>
      <c r="CA581" s="2338"/>
      <c r="CB581" s="2338"/>
      <c r="CC581" s="2338"/>
      <c r="CD581" s="2338"/>
      <c r="CE581" s="2338"/>
      <c r="CF581" s="2338"/>
      <c r="CG581" s="2338"/>
      <c r="CH581" s="2338"/>
      <c r="CI581" s="2338"/>
      <c r="CJ581" s="2338"/>
      <c r="CK581" s="2338"/>
      <c r="CL581" s="2338"/>
      <c r="CM581" s="2338"/>
      <c r="CN581" s="2338"/>
      <c r="CO581" s="2338"/>
      <c r="CP581" s="2338"/>
      <c r="CQ581" s="2338"/>
      <c r="CR581" s="2338"/>
      <c r="CS581" s="2338"/>
      <c r="CT581" s="2338"/>
      <c r="CU581" s="2338"/>
      <c r="CV581" s="2338"/>
      <c r="CW581" s="2338"/>
      <c r="CX581" s="2338"/>
      <c r="CY581" s="2338"/>
      <c r="CZ581" s="2338"/>
      <c r="DA581" s="2338"/>
      <c r="DB581" s="2338"/>
      <c r="DC581" s="2338"/>
      <c r="DD581" s="2338"/>
      <c r="DE581" s="2338"/>
      <c r="DF581" s="2338"/>
      <c r="DG581" s="2338"/>
    </row>
    <row r="582" spans="1:111" s="1118" customFormat="1" ht="15" hidden="1" outlineLevel="1">
      <c r="A582" s="2318"/>
      <c r="B582" s="3033"/>
      <c r="C582" s="3028"/>
      <c r="D582" s="3028"/>
      <c r="E582" s="3035"/>
      <c r="F582" s="2340" t="s">
        <v>3934</v>
      </c>
      <c r="G582" s="2337"/>
      <c r="H582" s="2641"/>
      <c r="I582" s="2641"/>
      <c r="J582" s="2641"/>
      <c r="K582" s="2641"/>
      <c r="L582" s="2641"/>
      <c r="M582" s="2641"/>
      <c r="N582" s="2641"/>
      <c r="O582" s="2641"/>
      <c r="P582" s="2641"/>
      <c r="Q582" s="2649"/>
      <c r="R582" s="2641"/>
      <c r="S582" s="2641"/>
      <c r="T582" s="2650"/>
      <c r="U582" s="2828"/>
      <c r="V582" s="2566"/>
      <c r="W582" s="2566"/>
      <c r="X582" s="2566"/>
      <c r="Y582" s="2566"/>
      <c r="Z582" s="2642"/>
      <c r="AA582" s="2642"/>
      <c r="AB582" s="2642"/>
      <c r="AC582" s="2642"/>
      <c r="AD582" s="2642"/>
      <c r="AE582" s="2642"/>
      <c r="AF582" s="2642"/>
      <c r="AG582" s="2642"/>
      <c r="AH582" s="2642"/>
      <c r="AI582" s="2642"/>
      <c r="AJ582" s="2566"/>
      <c r="AK582" s="2338"/>
      <c r="AL582" s="2338"/>
      <c r="AM582" s="2338"/>
      <c r="AN582" s="2338"/>
      <c r="AO582" s="2338"/>
      <c r="AP582" s="2338"/>
      <c r="AQ582" s="2338"/>
      <c r="AR582" s="2338"/>
      <c r="AS582" s="2338"/>
      <c r="AT582" s="2338"/>
      <c r="AU582" s="2338"/>
      <c r="AV582" s="2338"/>
      <c r="AW582" s="2338"/>
      <c r="AX582" s="2338"/>
      <c r="AY582" s="2338"/>
      <c r="AZ582" s="2338"/>
      <c r="BA582" s="2338"/>
      <c r="BB582" s="2338"/>
      <c r="BC582" s="2338"/>
      <c r="BD582" s="2338"/>
      <c r="BE582" s="2338"/>
      <c r="BF582" s="2338"/>
      <c r="BG582" s="2338"/>
      <c r="BH582" s="2338"/>
      <c r="BI582" s="2338"/>
      <c r="BJ582" s="2338"/>
      <c r="BK582" s="2338"/>
      <c r="BL582" s="2338"/>
      <c r="BM582" s="2338"/>
      <c r="BN582" s="2338"/>
      <c r="BO582" s="2338"/>
      <c r="BP582" s="2338"/>
      <c r="BQ582" s="2338"/>
      <c r="BR582" s="2338"/>
      <c r="BS582" s="2338"/>
      <c r="BT582" s="2338"/>
      <c r="BU582" s="2338"/>
      <c r="BV582" s="2338"/>
      <c r="BW582" s="2338"/>
      <c r="BX582" s="2338"/>
      <c r="BY582" s="2338"/>
      <c r="BZ582" s="2338"/>
      <c r="CA582" s="2338"/>
      <c r="CB582" s="2338"/>
      <c r="CC582" s="2338"/>
      <c r="CD582" s="2338"/>
      <c r="CE582" s="2338"/>
      <c r="CF582" s="2338"/>
      <c r="CG582" s="2338"/>
      <c r="CH582" s="2338"/>
      <c r="CI582" s="2338"/>
      <c r="CJ582" s="2338"/>
      <c r="CK582" s="2338"/>
      <c r="CL582" s="2338"/>
      <c r="CM582" s="2338"/>
      <c r="CN582" s="2338"/>
      <c r="CO582" s="2338"/>
      <c r="CP582" s="2338"/>
      <c r="CQ582" s="2338"/>
      <c r="CR582" s="2338"/>
      <c r="CS582" s="2338"/>
      <c r="CT582" s="2338"/>
      <c r="CU582" s="2338"/>
      <c r="CV582" s="2338"/>
      <c r="CW582" s="2338"/>
      <c r="CX582" s="2338"/>
      <c r="CY582" s="2338"/>
      <c r="CZ582" s="2338"/>
      <c r="DA582" s="2338"/>
      <c r="DB582" s="2338"/>
      <c r="DC582" s="2338"/>
      <c r="DD582" s="2338"/>
      <c r="DE582" s="2338"/>
      <c r="DF582" s="2338"/>
      <c r="DG582" s="2338"/>
    </row>
    <row r="583" spans="1:111" s="1118" customFormat="1" ht="15" hidden="1" outlineLevel="1">
      <c r="A583" s="2318"/>
      <c r="B583" s="3033"/>
      <c r="C583" s="3028"/>
      <c r="D583" s="3028"/>
      <c r="E583" s="3035"/>
      <c r="F583" s="2340" t="s">
        <v>3935</v>
      </c>
      <c r="G583" s="2337"/>
      <c r="H583" s="2641"/>
      <c r="I583" s="2641"/>
      <c r="J583" s="2641"/>
      <c r="K583" s="2641"/>
      <c r="L583" s="2641"/>
      <c r="M583" s="2641"/>
      <c r="N583" s="2641"/>
      <c r="O583" s="2641"/>
      <c r="P583" s="2641"/>
      <c r="Q583" s="2649"/>
      <c r="R583" s="2641"/>
      <c r="S583" s="2641"/>
      <c r="T583" s="2650"/>
      <c r="U583" s="2828"/>
      <c r="V583" s="2566"/>
      <c r="W583" s="2566"/>
      <c r="X583" s="2566"/>
      <c r="Y583" s="2566"/>
      <c r="Z583" s="2642"/>
      <c r="AA583" s="2642"/>
      <c r="AB583" s="2642"/>
      <c r="AC583" s="2642"/>
      <c r="AD583" s="2642"/>
      <c r="AE583" s="2642"/>
      <c r="AF583" s="2642"/>
      <c r="AG583" s="2642"/>
      <c r="AH583" s="2642"/>
      <c r="AI583" s="2642"/>
      <c r="AJ583" s="2566"/>
      <c r="AK583" s="2338"/>
      <c r="AL583" s="2338"/>
      <c r="AM583" s="2338"/>
      <c r="AN583" s="2338"/>
      <c r="AO583" s="2338"/>
      <c r="AP583" s="2338"/>
      <c r="AQ583" s="2338"/>
      <c r="AR583" s="2338"/>
      <c r="AS583" s="2338"/>
      <c r="AT583" s="2338"/>
      <c r="AU583" s="2338"/>
      <c r="AV583" s="2338"/>
      <c r="AW583" s="2338"/>
      <c r="AX583" s="2338"/>
      <c r="AY583" s="2338"/>
      <c r="AZ583" s="2338"/>
      <c r="BA583" s="2338"/>
      <c r="BB583" s="2338"/>
      <c r="BC583" s="2338"/>
      <c r="BD583" s="2338"/>
      <c r="BE583" s="2338"/>
      <c r="BF583" s="2338"/>
      <c r="BG583" s="2338"/>
      <c r="BH583" s="2338"/>
      <c r="BI583" s="2338"/>
      <c r="BJ583" s="2338"/>
      <c r="BK583" s="2338"/>
      <c r="BL583" s="2338"/>
      <c r="BM583" s="2338"/>
      <c r="BN583" s="2338"/>
      <c r="BO583" s="2338"/>
      <c r="BP583" s="2338"/>
      <c r="BQ583" s="2338"/>
      <c r="BR583" s="2338"/>
      <c r="BS583" s="2338"/>
      <c r="BT583" s="2338"/>
      <c r="BU583" s="2338"/>
      <c r="BV583" s="2338"/>
      <c r="BW583" s="2338"/>
      <c r="BX583" s="2338"/>
      <c r="BY583" s="2338"/>
      <c r="BZ583" s="2338"/>
      <c r="CA583" s="2338"/>
      <c r="CB583" s="2338"/>
      <c r="CC583" s="2338"/>
      <c r="CD583" s="2338"/>
      <c r="CE583" s="2338"/>
      <c r="CF583" s="2338"/>
      <c r="CG583" s="2338"/>
      <c r="CH583" s="2338"/>
      <c r="CI583" s="2338"/>
      <c r="CJ583" s="2338"/>
      <c r="CK583" s="2338"/>
      <c r="CL583" s="2338"/>
      <c r="CM583" s="2338"/>
      <c r="CN583" s="2338"/>
      <c r="CO583" s="2338"/>
      <c r="CP583" s="2338"/>
      <c r="CQ583" s="2338"/>
      <c r="CR583" s="2338"/>
      <c r="CS583" s="2338"/>
      <c r="CT583" s="2338"/>
      <c r="CU583" s="2338"/>
      <c r="CV583" s="2338"/>
      <c r="CW583" s="2338"/>
      <c r="CX583" s="2338"/>
      <c r="CY583" s="2338"/>
      <c r="CZ583" s="2338"/>
      <c r="DA583" s="2338"/>
      <c r="DB583" s="2338"/>
      <c r="DC583" s="2338"/>
      <c r="DD583" s="2338"/>
      <c r="DE583" s="2338"/>
      <c r="DF583" s="2338"/>
      <c r="DG583" s="2338"/>
    </row>
    <row r="584" spans="1:111" s="1118" customFormat="1" ht="15" hidden="1" outlineLevel="1">
      <c r="A584" s="2318"/>
      <c r="B584" s="3033"/>
      <c r="C584" s="3028"/>
      <c r="D584" s="3028"/>
      <c r="E584" s="3035"/>
      <c r="F584" s="2340" t="s">
        <v>3936</v>
      </c>
      <c r="G584" s="2337"/>
      <c r="H584" s="2641"/>
      <c r="I584" s="2641"/>
      <c r="J584" s="2641"/>
      <c r="K584" s="2641"/>
      <c r="L584" s="2641"/>
      <c r="M584" s="2641"/>
      <c r="N584" s="2641"/>
      <c r="O584" s="2641"/>
      <c r="P584" s="2641"/>
      <c r="Q584" s="2649"/>
      <c r="R584" s="2641"/>
      <c r="S584" s="2641"/>
      <c r="T584" s="2650"/>
      <c r="U584" s="2828"/>
      <c r="V584" s="2566"/>
      <c r="W584" s="2566"/>
      <c r="X584" s="2566"/>
      <c r="Y584" s="2566"/>
      <c r="Z584" s="2642"/>
      <c r="AA584" s="2642"/>
      <c r="AB584" s="2642"/>
      <c r="AC584" s="2642"/>
      <c r="AD584" s="2642"/>
      <c r="AE584" s="2642"/>
      <c r="AF584" s="2642"/>
      <c r="AG584" s="2642"/>
      <c r="AH584" s="2642"/>
      <c r="AI584" s="2642"/>
      <c r="AJ584" s="2566"/>
      <c r="AK584" s="2338"/>
      <c r="AL584" s="2338"/>
      <c r="AM584" s="2338"/>
      <c r="AN584" s="2338"/>
      <c r="AO584" s="2338"/>
      <c r="AP584" s="2338"/>
      <c r="AQ584" s="2338"/>
      <c r="AR584" s="2338"/>
      <c r="AS584" s="2338"/>
      <c r="AT584" s="2338"/>
      <c r="AU584" s="2338"/>
      <c r="AV584" s="2338"/>
      <c r="AW584" s="2338"/>
      <c r="AX584" s="2338"/>
      <c r="AY584" s="2338"/>
      <c r="AZ584" s="2338"/>
      <c r="BA584" s="2338"/>
      <c r="BB584" s="2338"/>
      <c r="BC584" s="2338"/>
      <c r="BD584" s="2338"/>
      <c r="BE584" s="2338"/>
      <c r="BF584" s="2338"/>
      <c r="BG584" s="2338"/>
      <c r="BH584" s="2338"/>
      <c r="BI584" s="2338"/>
      <c r="BJ584" s="2338"/>
      <c r="BK584" s="2338"/>
      <c r="BL584" s="2338"/>
      <c r="BM584" s="2338"/>
      <c r="BN584" s="2338"/>
      <c r="BO584" s="2338"/>
      <c r="BP584" s="2338"/>
      <c r="BQ584" s="2338"/>
      <c r="BR584" s="2338"/>
      <c r="BS584" s="2338"/>
      <c r="BT584" s="2338"/>
      <c r="BU584" s="2338"/>
      <c r="BV584" s="2338"/>
      <c r="BW584" s="2338"/>
      <c r="BX584" s="2338"/>
      <c r="BY584" s="2338"/>
      <c r="BZ584" s="2338"/>
      <c r="CA584" s="2338"/>
      <c r="CB584" s="2338"/>
      <c r="CC584" s="2338"/>
      <c r="CD584" s="2338"/>
      <c r="CE584" s="2338"/>
      <c r="CF584" s="2338"/>
      <c r="CG584" s="2338"/>
      <c r="CH584" s="2338"/>
      <c r="CI584" s="2338"/>
      <c r="CJ584" s="2338"/>
      <c r="CK584" s="2338"/>
      <c r="CL584" s="2338"/>
      <c r="CM584" s="2338"/>
      <c r="CN584" s="2338"/>
      <c r="CO584" s="2338"/>
      <c r="CP584" s="2338"/>
      <c r="CQ584" s="2338"/>
      <c r="CR584" s="2338"/>
      <c r="CS584" s="2338"/>
      <c r="CT584" s="2338"/>
      <c r="CU584" s="2338"/>
      <c r="CV584" s="2338"/>
      <c r="CW584" s="2338"/>
      <c r="CX584" s="2338"/>
      <c r="CY584" s="2338"/>
      <c r="CZ584" s="2338"/>
      <c r="DA584" s="2338"/>
      <c r="DB584" s="2338"/>
      <c r="DC584" s="2338"/>
      <c r="DD584" s="2338"/>
      <c r="DE584" s="2338"/>
      <c r="DF584" s="2338"/>
      <c r="DG584" s="2338"/>
    </row>
    <row r="585" spans="1:111" s="1118" customFormat="1" ht="30" hidden="1" outlineLevel="1">
      <c r="A585" s="2318"/>
      <c r="B585" s="3033"/>
      <c r="C585" s="3028"/>
      <c r="D585" s="3028"/>
      <c r="E585" s="3035"/>
      <c r="F585" s="2340" t="s">
        <v>3937</v>
      </c>
      <c r="G585" s="2337"/>
      <c r="H585" s="2641"/>
      <c r="I585" s="2641"/>
      <c r="J585" s="2641"/>
      <c r="K585" s="2641"/>
      <c r="L585" s="2641"/>
      <c r="M585" s="2641"/>
      <c r="N585" s="2641"/>
      <c r="O585" s="2641"/>
      <c r="P585" s="2641"/>
      <c r="Q585" s="2649"/>
      <c r="R585" s="2641"/>
      <c r="S585" s="2641"/>
      <c r="T585" s="2650"/>
      <c r="U585" s="2828"/>
      <c r="V585" s="2566"/>
      <c r="W585" s="2566"/>
      <c r="X585" s="2566"/>
      <c r="Y585" s="2566"/>
      <c r="Z585" s="2642"/>
      <c r="AA585" s="2642"/>
      <c r="AB585" s="2642"/>
      <c r="AC585" s="2642"/>
      <c r="AD585" s="2642"/>
      <c r="AE585" s="2642"/>
      <c r="AF585" s="2642"/>
      <c r="AG585" s="2642"/>
      <c r="AH585" s="2642"/>
      <c r="AI585" s="2642"/>
      <c r="AJ585" s="2566"/>
      <c r="AK585" s="2338"/>
      <c r="AL585" s="2338"/>
      <c r="AM585" s="2338"/>
      <c r="AN585" s="2338"/>
      <c r="AO585" s="2338"/>
      <c r="AP585" s="2338"/>
      <c r="AQ585" s="2338"/>
      <c r="AR585" s="2338"/>
      <c r="AS585" s="2338"/>
      <c r="AT585" s="2338"/>
      <c r="AU585" s="2338"/>
      <c r="AV585" s="2338"/>
      <c r="AW585" s="2338"/>
      <c r="AX585" s="2338"/>
      <c r="AY585" s="2338"/>
      <c r="AZ585" s="2338"/>
      <c r="BA585" s="2338"/>
      <c r="BB585" s="2338"/>
      <c r="BC585" s="2338"/>
      <c r="BD585" s="2338"/>
      <c r="BE585" s="2338"/>
      <c r="BF585" s="2338"/>
      <c r="BG585" s="2338"/>
      <c r="BH585" s="2338"/>
      <c r="BI585" s="2338"/>
      <c r="BJ585" s="2338"/>
      <c r="BK585" s="2338"/>
      <c r="BL585" s="2338"/>
      <c r="BM585" s="2338"/>
      <c r="BN585" s="2338"/>
      <c r="BO585" s="2338"/>
      <c r="BP585" s="2338"/>
      <c r="BQ585" s="2338"/>
      <c r="BR585" s="2338"/>
      <c r="BS585" s="2338"/>
      <c r="BT585" s="2338"/>
      <c r="BU585" s="2338"/>
      <c r="BV585" s="2338"/>
      <c r="BW585" s="2338"/>
      <c r="BX585" s="2338"/>
      <c r="BY585" s="2338"/>
      <c r="BZ585" s="2338"/>
      <c r="CA585" s="2338"/>
      <c r="CB585" s="2338"/>
      <c r="CC585" s="2338"/>
      <c r="CD585" s="2338"/>
      <c r="CE585" s="2338"/>
      <c r="CF585" s="2338"/>
      <c r="CG585" s="2338"/>
      <c r="CH585" s="2338"/>
      <c r="CI585" s="2338"/>
      <c r="CJ585" s="2338"/>
      <c r="CK585" s="2338"/>
      <c r="CL585" s="2338"/>
      <c r="CM585" s="2338"/>
      <c r="CN585" s="2338"/>
      <c r="CO585" s="2338"/>
      <c r="CP585" s="2338"/>
      <c r="CQ585" s="2338"/>
      <c r="CR585" s="2338"/>
      <c r="CS585" s="2338"/>
      <c r="CT585" s="2338"/>
      <c r="CU585" s="2338"/>
      <c r="CV585" s="2338"/>
      <c r="CW585" s="2338"/>
      <c r="CX585" s="2338"/>
      <c r="CY585" s="2338"/>
      <c r="CZ585" s="2338"/>
      <c r="DA585" s="2338"/>
      <c r="DB585" s="2338"/>
      <c r="DC585" s="2338"/>
      <c r="DD585" s="2338"/>
      <c r="DE585" s="2338"/>
      <c r="DF585" s="2338"/>
      <c r="DG585" s="2338"/>
    </row>
    <row r="586" spans="1:111" s="1118" customFormat="1" ht="45" hidden="1" outlineLevel="1">
      <c r="A586" s="2318"/>
      <c r="B586" s="3033"/>
      <c r="C586" s="3028"/>
      <c r="D586" s="3028"/>
      <c r="E586" s="3035" t="s">
        <v>3938</v>
      </c>
      <c r="F586" s="2340" t="s">
        <v>3933</v>
      </c>
      <c r="G586" s="2337"/>
      <c r="H586" s="2641"/>
      <c r="I586" s="2641"/>
      <c r="J586" s="2641"/>
      <c r="K586" s="2641"/>
      <c r="L586" s="2641"/>
      <c r="M586" s="2641"/>
      <c r="N586" s="2641"/>
      <c r="O586" s="2641"/>
      <c r="P586" s="2641"/>
      <c r="Q586" s="2649"/>
      <c r="R586" s="2641"/>
      <c r="S586" s="2641"/>
      <c r="T586" s="2650"/>
      <c r="U586" s="2828"/>
      <c r="V586" s="2566"/>
      <c r="W586" s="2566"/>
      <c r="X586" s="2566"/>
      <c r="Y586" s="2566"/>
      <c r="Z586" s="2642"/>
      <c r="AA586" s="2642"/>
      <c r="AB586" s="2642"/>
      <c r="AC586" s="2642"/>
      <c r="AD586" s="2642"/>
      <c r="AE586" s="2642"/>
      <c r="AF586" s="2642"/>
      <c r="AG586" s="2642"/>
      <c r="AH586" s="2642"/>
      <c r="AI586" s="2642"/>
      <c r="AJ586" s="2566"/>
      <c r="AK586" s="2338"/>
      <c r="AL586" s="2338"/>
      <c r="AM586" s="2338"/>
      <c r="AN586" s="2338"/>
      <c r="AO586" s="2338"/>
      <c r="AP586" s="2338"/>
      <c r="AQ586" s="2338"/>
      <c r="AR586" s="2338"/>
      <c r="AS586" s="2338"/>
      <c r="AT586" s="2338"/>
      <c r="AU586" s="2338"/>
      <c r="AV586" s="2338"/>
      <c r="AW586" s="2338"/>
      <c r="AX586" s="2338"/>
      <c r="AY586" s="2338"/>
      <c r="AZ586" s="2338"/>
      <c r="BA586" s="2338"/>
      <c r="BB586" s="2338"/>
      <c r="BC586" s="2338"/>
      <c r="BD586" s="2338"/>
      <c r="BE586" s="2338"/>
      <c r="BF586" s="2338"/>
      <c r="BG586" s="2338"/>
      <c r="BH586" s="2338"/>
      <c r="BI586" s="2338"/>
      <c r="BJ586" s="2338"/>
      <c r="BK586" s="2338"/>
      <c r="BL586" s="2338"/>
      <c r="BM586" s="2338"/>
      <c r="BN586" s="2338"/>
      <c r="BO586" s="2338"/>
      <c r="BP586" s="2338"/>
      <c r="BQ586" s="2338"/>
      <c r="BR586" s="2338"/>
      <c r="BS586" s="2338"/>
      <c r="BT586" s="2338"/>
      <c r="BU586" s="2338"/>
      <c r="BV586" s="2338"/>
      <c r="BW586" s="2338"/>
      <c r="BX586" s="2338"/>
      <c r="BY586" s="2338"/>
      <c r="BZ586" s="2338"/>
      <c r="CA586" s="2338"/>
      <c r="CB586" s="2338"/>
      <c r="CC586" s="2338"/>
      <c r="CD586" s="2338"/>
      <c r="CE586" s="2338"/>
      <c r="CF586" s="2338"/>
      <c r="CG586" s="2338"/>
      <c r="CH586" s="2338"/>
      <c r="CI586" s="2338"/>
      <c r="CJ586" s="2338"/>
      <c r="CK586" s="2338"/>
      <c r="CL586" s="2338"/>
      <c r="CM586" s="2338"/>
      <c r="CN586" s="2338"/>
      <c r="CO586" s="2338"/>
      <c r="CP586" s="2338"/>
      <c r="CQ586" s="2338"/>
      <c r="CR586" s="2338"/>
      <c r="CS586" s="2338"/>
      <c r="CT586" s="2338"/>
      <c r="CU586" s="2338"/>
      <c r="CV586" s="2338"/>
      <c r="CW586" s="2338"/>
      <c r="CX586" s="2338"/>
      <c r="CY586" s="2338"/>
      <c r="CZ586" s="2338"/>
      <c r="DA586" s="2338"/>
      <c r="DB586" s="2338"/>
      <c r="DC586" s="2338"/>
      <c r="DD586" s="2338"/>
      <c r="DE586" s="2338"/>
      <c r="DF586" s="2338"/>
      <c r="DG586" s="2338"/>
    </row>
    <row r="587" spans="1:111" s="1118" customFormat="1" ht="15" hidden="1" outlineLevel="1">
      <c r="A587" s="2318"/>
      <c r="B587" s="3033"/>
      <c r="C587" s="3028"/>
      <c r="D587" s="3028"/>
      <c r="E587" s="3035"/>
      <c r="F587" s="2340" t="s">
        <v>3934</v>
      </c>
      <c r="G587" s="2337"/>
      <c r="H587" s="2641"/>
      <c r="I587" s="2641"/>
      <c r="J587" s="2641"/>
      <c r="K587" s="2641"/>
      <c r="L587" s="2641"/>
      <c r="M587" s="2641"/>
      <c r="N587" s="2641"/>
      <c r="O587" s="2641"/>
      <c r="P587" s="2641"/>
      <c r="Q587" s="2649"/>
      <c r="R587" s="2641"/>
      <c r="S587" s="2641"/>
      <c r="T587" s="2650"/>
      <c r="U587" s="2828"/>
      <c r="V587" s="2566"/>
      <c r="W587" s="2566"/>
      <c r="X587" s="2566"/>
      <c r="Y587" s="2566"/>
      <c r="Z587" s="2642"/>
      <c r="AA587" s="2642"/>
      <c r="AB587" s="2642"/>
      <c r="AC587" s="2642"/>
      <c r="AD587" s="2642"/>
      <c r="AE587" s="2642"/>
      <c r="AF587" s="2642"/>
      <c r="AG587" s="2642"/>
      <c r="AH587" s="2642"/>
      <c r="AI587" s="2642"/>
      <c r="AJ587" s="2566"/>
      <c r="AK587" s="2338"/>
      <c r="AL587" s="2338"/>
      <c r="AM587" s="2338"/>
      <c r="AN587" s="2338"/>
      <c r="AO587" s="2338"/>
      <c r="AP587" s="2338"/>
      <c r="AQ587" s="2338"/>
      <c r="AR587" s="2338"/>
      <c r="AS587" s="2338"/>
      <c r="AT587" s="2338"/>
      <c r="AU587" s="2338"/>
      <c r="AV587" s="2338"/>
      <c r="AW587" s="2338"/>
      <c r="AX587" s="2338"/>
      <c r="AY587" s="2338"/>
      <c r="AZ587" s="2338"/>
      <c r="BA587" s="2338"/>
      <c r="BB587" s="2338"/>
      <c r="BC587" s="2338"/>
      <c r="BD587" s="2338"/>
      <c r="BE587" s="2338"/>
      <c r="BF587" s="2338"/>
      <c r="BG587" s="2338"/>
      <c r="BH587" s="2338"/>
      <c r="BI587" s="2338"/>
      <c r="BJ587" s="2338"/>
      <c r="BK587" s="2338"/>
      <c r="BL587" s="2338"/>
      <c r="BM587" s="2338"/>
      <c r="BN587" s="2338"/>
      <c r="BO587" s="2338"/>
      <c r="BP587" s="2338"/>
      <c r="BQ587" s="2338"/>
      <c r="BR587" s="2338"/>
      <c r="BS587" s="2338"/>
      <c r="BT587" s="2338"/>
      <c r="BU587" s="2338"/>
      <c r="BV587" s="2338"/>
      <c r="BW587" s="2338"/>
      <c r="BX587" s="2338"/>
      <c r="BY587" s="2338"/>
      <c r="BZ587" s="2338"/>
      <c r="CA587" s="2338"/>
      <c r="CB587" s="2338"/>
      <c r="CC587" s="2338"/>
      <c r="CD587" s="2338"/>
      <c r="CE587" s="2338"/>
      <c r="CF587" s="2338"/>
      <c r="CG587" s="2338"/>
      <c r="CH587" s="2338"/>
      <c r="CI587" s="2338"/>
      <c r="CJ587" s="2338"/>
      <c r="CK587" s="2338"/>
      <c r="CL587" s="2338"/>
      <c r="CM587" s="2338"/>
      <c r="CN587" s="2338"/>
      <c r="CO587" s="2338"/>
      <c r="CP587" s="2338"/>
      <c r="CQ587" s="2338"/>
      <c r="CR587" s="2338"/>
      <c r="CS587" s="2338"/>
      <c r="CT587" s="2338"/>
      <c r="CU587" s="2338"/>
      <c r="CV587" s="2338"/>
      <c r="CW587" s="2338"/>
      <c r="CX587" s="2338"/>
      <c r="CY587" s="2338"/>
      <c r="CZ587" s="2338"/>
      <c r="DA587" s="2338"/>
      <c r="DB587" s="2338"/>
      <c r="DC587" s="2338"/>
      <c r="DD587" s="2338"/>
      <c r="DE587" s="2338"/>
      <c r="DF587" s="2338"/>
      <c r="DG587" s="2338"/>
    </row>
    <row r="588" spans="1:111" s="1118" customFormat="1" ht="15" hidden="1" outlineLevel="1">
      <c r="A588" s="2318"/>
      <c r="B588" s="3033"/>
      <c r="C588" s="3028"/>
      <c r="D588" s="3028"/>
      <c r="E588" s="3035"/>
      <c r="F588" s="2340" t="s">
        <v>3935</v>
      </c>
      <c r="G588" s="2337"/>
      <c r="H588" s="2641"/>
      <c r="I588" s="2641"/>
      <c r="J588" s="2641"/>
      <c r="K588" s="2641"/>
      <c r="L588" s="2641"/>
      <c r="M588" s="2641"/>
      <c r="N588" s="2641"/>
      <c r="O588" s="2641"/>
      <c r="P588" s="2641"/>
      <c r="Q588" s="2649"/>
      <c r="R588" s="2641"/>
      <c r="S588" s="2641"/>
      <c r="T588" s="2650"/>
      <c r="U588" s="2828"/>
      <c r="V588" s="2566"/>
      <c r="W588" s="2566"/>
      <c r="X588" s="2566"/>
      <c r="Y588" s="2566"/>
      <c r="Z588" s="2642"/>
      <c r="AA588" s="2642"/>
      <c r="AB588" s="2642"/>
      <c r="AC588" s="2642"/>
      <c r="AD588" s="2642"/>
      <c r="AE588" s="2642"/>
      <c r="AF588" s="2642"/>
      <c r="AG588" s="2642"/>
      <c r="AH588" s="2642"/>
      <c r="AI588" s="2642"/>
      <c r="AJ588" s="2566"/>
      <c r="AK588" s="2338"/>
      <c r="AL588" s="2338"/>
      <c r="AM588" s="2338"/>
      <c r="AN588" s="2338"/>
      <c r="AO588" s="2338"/>
      <c r="AP588" s="2338"/>
      <c r="AQ588" s="2338"/>
      <c r="AR588" s="2338"/>
      <c r="AS588" s="2338"/>
      <c r="AT588" s="2338"/>
      <c r="AU588" s="2338"/>
      <c r="AV588" s="2338"/>
      <c r="AW588" s="2338"/>
      <c r="AX588" s="2338"/>
      <c r="AY588" s="2338"/>
      <c r="AZ588" s="2338"/>
      <c r="BA588" s="2338"/>
      <c r="BB588" s="2338"/>
      <c r="BC588" s="2338"/>
      <c r="BD588" s="2338"/>
      <c r="BE588" s="2338"/>
      <c r="BF588" s="2338"/>
      <c r="BG588" s="2338"/>
      <c r="BH588" s="2338"/>
      <c r="BI588" s="2338"/>
      <c r="BJ588" s="2338"/>
      <c r="BK588" s="2338"/>
      <c r="BL588" s="2338"/>
      <c r="BM588" s="2338"/>
      <c r="BN588" s="2338"/>
      <c r="BO588" s="2338"/>
      <c r="BP588" s="2338"/>
      <c r="BQ588" s="2338"/>
      <c r="BR588" s="2338"/>
      <c r="BS588" s="2338"/>
      <c r="BT588" s="2338"/>
      <c r="BU588" s="2338"/>
      <c r="BV588" s="2338"/>
      <c r="BW588" s="2338"/>
      <c r="BX588" s="2338"/>
      <c r="BY588" s="2338"/>
      <c r="BZ588" s="2338"/>
      <c r="CA588" s="2338"/>
      <c r="CB588" s="2338"/>
      <c r="CC588" s="2338"/>
      <c r="CD588" s="2338"/>
      <c r="CE588" s="2338"/>
      <c r="CF588" s="2338"/>
      <c r="CG588" s="2338"/>
      <c r="CH588" s="2338"/>
      <c r="CI588" s="2338"/>
      <c r="CJ588" s="2338"/>
      <c r="CK588" s="2338"/>
      <c r="CL588" s="2338"/>
      <c r="CM588" s="2338"/>
      <c r="CN588" s="2338"/>
      <c r="CO588" s="2338"/>
      <c r="CP588" s="2338"/>
      <c r="CQ588" s="2338"/>
      <c r="CR588" s="2338"/>
      <c r="CS588" s="2338"/>
      <c r="CT588" s="2338"/>
      <c r="CU588" s="2338"/>
      <c r="CV588" s="2338"/>
      <c r="CW588" s="2338"/>
      <c r="CX588" s="2338"/>
      <c r="CY588" s="2338"/>
      <c r="CZ588" s="2338"/>
      <c r="DA588" s="2338"/>
      <c r="DB588" s="2338"/>
      <c r="DC588" s="2338"/>
      <c r="DD588" s="2338"/>
      <c r="DE588" s="2338"/>
      <c r="DF588" s="2338"/>
      <c r="DG588" s="2338"/>
    </row>
    <row r="589" spans="1:111" s="1118" customFormat="1" ht="15" hidden="1" outlineLevel="1">
      <c r="A589" s="2318"/>
      <c r="B589" s="3033"/>
      <c r="C589" s="3028"/>
      <c r="D589" s="3028"/>
      <c r="E589" s="3035"/>
      <c r="F589" s="2340" t="s">
        <v>3936</v>
      </c>
      <c r="G589" s="2337"/>
      <c r="H589" s="2641"/>
      <c r="I589" s="2641"/>
      <c r="J589" s="2641"/>
      <c r="K589" s="2641"/>
      <c r="L589" s="2641"/>
      <c r="M589" s="2641"/>
      <c r="N589" s="2641"/>
      <c r="O589" s="2641"/>
      <c r="P589" s="2641"/>
      <c r="Q589" s="2649"/>
      <c r="R589" s="2641"/>
      <c r="S589" s="2641"/>
      <c r="T589" s="2650"/>
      <c r="U589" s="2828"/>
      <c r="V589" s="2566"/>
      <c r="W589" s="2566"/>
      <c r="X589" s="2566"/>
      <c r="Y589" s="2566"/>
      <c r="Z589" s="2642"/>
      <c r="AA589" s="2642"/>
      <c r="AB589" s="2642"/>
      <c r="AC589" s="2642"/>
      <c r="AD589" s="2642"/>
      <c r="AE589" s="2642"/>
      <c r="AF589" s="2642"/>
      <c r="AG589" s="2642"/>
      <c r="AH589" s="2642"/>
      <c r="AI589" s="2642"/>
      <c r="AJ589" s="2566"/>
      <c r="AK589" s="2338"/>
      <c r="AL589" s="2338"/>
      <c r="AM589" s="2338"/>
      <c r="AN589" s="2338"/>
      <c r="AO589" s="2338"/>
      <c r="AP589" s="2338"/>
      <c r="AQ589" s="2338"/>
      <c r="AR589" s="2338"/>
      <c r="AS589" s="2338"/>
      <c r="AT589" s="2338"/>
      <c r="AU589" s="2338"/>
      <c r="AV589" s="2338"/>
      <c r="AW589" s="2338"/>
      <c r="AX589" s="2338"/>
      <c r="AY589" s="2338"/>
      <c r="AZ589" s="2338"/>
      <c r="BA589" s="2338"/>
      <c r="BB589" s="2338"/>
      <c r="BC589" s="2338"/>
      <c r="BD589" s="2338"/>
      <c r="BE589" s="2338"/>
      <c r="BF589" s="2338"/>
      <c r="BG589" s="2338"/>
      <c r="BH589" s="2338"/>
      <c r="BI589" s="2338"/>
      <c r="BJ589" s="2338"/>
      <c r="BK589" s="2338"/>
      <c r="BL589" s="2338"/>
      <c r="BM589" s="2338"/>
      <c r="BN589" s="2338"/>
      <c r="BO589" s="2338"/>
      <c r="BP589" s="2338"/>
      <c r="BQ589" s="2338"/>
      <c r="BR589" s="2338"/>
      <c r="BS589" s="2338"/>
      <c r="BT589" s="2338"/>
      <c r="BU589" s="2338"/>
      <c r="BV589" s="2338"/>
      <c r="BW589" s="2338"/>
      <c r="BX589" s="2338"/>
      <c r="BY589" s="2338"/>
      <c r="BZ589" s="2338"/>
      <c r="CA589" s="2338"/>
      <c r="CB589" s="2338"/>
      <c r="CC589" s="2338"/>
      <c r="CD589" s="2338"/>
      <c r="CE589" s="2338"/>
      <c r="CF589" s="2338"/>
      <c r="CG589" s="2338"/>
      <c r="CH589" s="2338"/>
      <c r="CI589" s="2338"/>
      <c r="CJ589" s="2338"/>
      <c r="CK589" s="2338"/>
      <c r="CL589" s="2338"/>
      <c r="CM589" s="2338"/>
      <c r="CN589" s="2338"/>
      <c r="CO589" s="2338"/>
      <c r="CP589" s="2338"/>
      <c r="CQ589" s="2338"/>
      <c r="CR589" s="2338"/>
      <c r="CS589" s="2338"/>
      <c r="CT589" s="2338"/>
      <c r="CU589" s="2338"/>
      <c r="CV589" s="2338"/>
      <c r="CW589" s="2338"/>
      <c r="CX589" s="2338"/>
      <c r="CY589" s="2338"/>
      <c r="CZ589" s="2338"/>
      <c r="DA589" s="2338"/>
      <c r="DB589" s="2338"/>
      <c r="DC589" s="2338"/>
      <c r="DD589" s="2338"/>
      <c r="DE589" s="2338"/>
      <c r="DF589" s="2338"/>
      <c r="DG589" s="2338"/>
    </row>
    <row r="590" spans="1:111" s="1118" customFormat="1" ht="30" hidden="1" outlineLevel="1">
      <c r="A590" s="2318"/>
      <c r="B590" s="3033"/>
      <c r="C590" s="3028"/>
      <c r="D590" s="3028"/>
      <c r="E590" s="3035"/>
      <c r="F590" s="2340" t="s">
        <v>3937</v>
      </c>
      <c r="G590" s="2337"/>
      <c r="H590" s="2641"/>
      <c r="I590" s="2641"/>
      <c r="J590" s="2641"/>
      <c r="K590" s="2641"/>
      <c r="L590" s="2641"/>
      <c r="M590" s="2641"/>
      <c r="N590" s="2641"/>
      <c r="O590" s="2641"/>
      <c r="P590" s="2641"/>
      <c r="Q590" s="2649"/>
      <c r="R590" s="2641"/>
      <c r="S590" s="2641"/>
      <c r="T590" s="2650"/>
      <c r="U590" s="2828"/>
      <c r="V590" s="2566"/>
      <c r="W590" s="2566"/>
      <c r="X590" s="2566"/>
      <c r="Y590" s="2566"/>
      <c r="Z590" s="2642"/>
      <c r="AA590" s="2642"/>
      <c r="AB590" s="2642"/>
      <c r="AC590" s="2642"/>
      <c r="AD590" s="2642"/>
      <c r="AE590" s="2642"/>
      <c r="AF590" s="2642"/>
      <c r="AG590" s="2642"/>
      <c r="AH590" s="2642"/>
      <c r="AI590" s="2642"/>
      <c r="AJ590" s="2566"/>
      <c r="AK590" s="2338"/>
      <c r="AL590" s="2338"/>
      <c r="AM590" s="2338"/>
      <c r="AN590" s="2338"/>
      <c r="AO590" s="2338"/>
      <c r="AP590" s="2338"/>
      <c r="AQ590" s="2338"/>
      <c r="AR590" s="2338"/>
      <c r="AS590" s="2338"/>
      <c r="AT590" s="2338"/>
      <c r="AU590" s="2338"/>
      <c r="AV590" s="2338"/>
      <c r="AW590" s="2338"/>
      <c r="AX590" s="2338"/>
      <c r="AY590" s="2338"/>
      <c r="AZ590" s="2338"/>
      <c r="BA590" s="2338"/>
      <c r="BB590" s="2338"/>
      <c r="BC590" s="2338"/>
      <c r="BD590" s="2338"/>
      <c r="BE590" s="2338"/>
      <c r="BF590" s="2338"/>
      <c r="BG590" s="2338"/>
      <c r="BH590" s="2338"/>
      <c r="BI590" s="2338"/>
      <c r="BJ590" s="2338"/>
      <c r="BK590" s="2338"/>
      <c r="BL590" s="2338"/>
      <c r="BM590" s="2338"/>
      <c r="BN590" s="2338"/>
      <c r="BO590" s="2338"/>
      <c r="BP590" s="2338"/>
      <c r="BQ590" s="2338"/>
      <c r="BR590" s="2338"/>
      <c r="BS590" s="2338"/>
      <c r="BT590" s="2338"/>
      <c r="BU590" s="2338"/>
      <c r="BV590" s="2338"/>
      <c r="BW590" s="2338"/>
      <c r="BX590" s="2338"/>
      <c r="BY590" s="2338"/>
      <c r="BZ590" s="2338"/>
      <c r="CA590" s="2338"/>
      <c r="CB590" s="2338"/>
      <c r="CC590" s="2338"/>
      <c r="CD590" s="2338"/>
      <c r="CE590" s="2338"/>
      <c r="CF590" s="2338"/>
      <c r="CG590" s="2338"/>
      <c r="CH590" s="2338"/>
      <c r="CI590" s="2338"/>
      <c r="CJ590" s="2338"/>
      <c r="CK590" s="2338"/>
      <c r="CL590" s="2338"/>
      <c r="CM590" s="2338"/>
      <c r="CN590" s="2338"/>
      <c r="CO590" s="2338"/>
      <c r="CP590" s="2338"/>
      <c r="CQ590" s="2338"/>
      <c r="CR590" s="2338"/>
      <c r="CS590" s="2338"/>
      <c r="CT590" s="2338"/>
      <c r="CU590" s="2338"/>
      <c r="CV590" s="2338"/>
      <c r="CW590" s="2338"/>
      <c r="CX590" s="2338"/>
      <c r="CY590" s="2338"/>
      <c r="CZ590" s="2338"/>
      <c r="DA590" s="2338"/>
      <c r="DB590" s="2338"/>
      <c r="DC590" s="2338"/>
      <c r="DD590" s="2338"/>
      <c r="DE590" s="2338"/>
      <c r="DF590" s="2338"/>
      <c r="DG590" s="2338"/>
    </row>
    <row r="591" spans="1:111" s="1118" customFormat="1" ht="45" hidden="1" outlineLevel="1">
      <c r="A591" s="2318"/>
      <c r="B591" s="3033"/>
      <c r="C591" s="3028"/>
      <c r="D591" s="3028"/>
      <c r="E591" s="3035" t="s">
        <v>3939</v>
      </c>
      <c r="F591" s="2340" t="s">
        <v>3933</v>
      </c>
      <c r="G591" s="2337"/>
      <c r="H591" s="2641"/>
      <c r="I591" s="2641"/>
      <c r="J591" s="2641"/>
      <c r="K591" s="2641"/>
      <c r="L591" s="2641"/>
      <c r="M591" s="2641"/>
      <c r="N591" s="2641"/>
      <c r="O591" s="3067"/>
      <c r="P591" s="3067"/>
      <c r="Q591" s="3161"/>
      <c r="R591" s="3067"/>
      <c r="S591" s="2834"/>
      <c r="T591" s="2650"/>
      <c r="U591" s="2828"/>
      <c r="V591" s="2566"/>
      <c r="W591" s="2566"/>
      <c r="X591" s="2566"/>
      <c r="Y591" s="2566"/>
      <c r="Z591" s="2642"/>
      <c r="AA591" s="2642"/>
      <c r="AB591" s="2642"/>
      <c r="AC591" s="2642"/>
      <c r="AD591" s="2642"/>
      <c r="AE591" s="2642"/>
      <c r="AF591" s="2642"/>
      <c r="AG591" s="2642"/>
      <c r="AH591" s="2642"/>
      <c r="AI591" s="2642"/>
      <c r="AJ591" s="2566"/>
      <c r="AK591" s="2338"/>
      <c r="AL591" s="2338"/>
      <c r="AM591" s="2338"/>
      <c r="AN591" s="2338"/>
      <c r="AO591" s="2338"/>
      <c r="AP591" s="2338"/>
      <c r="AQ591" s="2338"/>
      <c r="AR591" s="2338"/>
      <c r="AS591" s="2338"/>
      <c r="AT591" s="2338"/>
      <c r="AU591" s="2338"/>
      <c r="AV591" s="2338"/>
      <c r="AW591" s="2338"/>
      <c r="AX591" s="2338"/>
      <c r="AY591" s="2338"/>
      <c r="AZ591" s="2338"/>
      <c r="BA591" s="2338"/>
      <c r="BB591" s="2338"/>
      <c r="BC591" s="2338"/>
      <c r="BD591" s="2338"/>
      <c r="BE591" s="2338"/>
      <c r="BF591" s="2338"/>
      <c r="BG591" s="2338"/>
      <c r="BH591" s="2338"/>
      <c r="BI591" s="2338"/>
      <c r="BJ591" s="2338"/>
      <c r="BK591" s="2338"/>
      <c r="BL591" s="2338"/>
      <c r="BM591" s="2338"/>
      <c r="BN591" s="2338"/>
      <c r="BO591" s="2338"/>
      <c r="BP591" s="2338"/>
      <c r="BQ591" s="2338"/>
      <c r="BR591" s="2338"/>
      <c r="BS591" s="2338"/>
      <c r="BT591" s="2338"/>
      <c r="BU591" s="2338"/>
      <c r="BV591" s="2338"/>
      <c r="BW591" s="2338"/>
      <c r="BX591" s="2338"/>
      <c r="BY591" s="2338"/>
      <c r="BZ591" s="2338"/>
      <c r="CA591" s="2338"/>
      <c r="CB591" s="2338"/>
      <c r="CC591" s="2338"/>
      <c r="CD591" s="2338"/>
      <c r="CE591" s="2338"/>
      <c r="CF591" s="2338"/>
      <c r="CG591" s="2338"/>
      <c r="CH591" s="2338"/>
      <c r="CI591" s="2338"/>
      <c r="CJ591" s="2338"/>
      <c r="CK591" s="2338"/>
      <c r="CL591" s="2338"/>
      <c r="CM591" s="2338"/>
      <c r="CN591" s="2338"/>
      <c r="CO591" s="2338"/>
      <c r="CP591" s="2338"/>
      <c r="CQ591" s="2338"/>
      <c r="CR591" s="2338"/>
      <c r="CS591" s="2338"/>
      <c r="CT591" s="2338"/>
      <c r="CU591" s="2338"/>
      <c r="CV591" s="2338"/>
      <c r="CW591" s="2338"/>
      <c r="CX591" s="2338"/>
      <c r="CY591" s="2338"/>
      <c r="CZ591" s="2338"/>
      <c r="DA591" s="2338"/>
      <c r="DB591" s="2338"/>
      <c r="DC591" s="2338"/>
      <c r="DD591" s="2338"/>
      <c r="DE591" s="2338"/>
      <c r="DF591" s="2338"/>
      <c r="DG591" s="2338"/>
    </row>
    <row r="592" spans="1:111" s="1118" customFormat="1" ht="15" hidden="1" outlineLevel="1">
      <c r="A592" s="2318"/>
      <c r="B592" s="3033"/>
      <c r="C592" s="3028"/>
      <c r="D592" s="3028"/>
      <c r="E592" s="3035"/>
      <c r="F592" s="2340" t="s">
        <v>3934</v>
      </c>
      <c r="G592" s="2337"/>
      <c r="H592" s="2641"/>
      <c r="I592" s="2641"/>
      <c r="J592" s="2641"/>
      <c r="K592" s="2641"/>
      <c r="L592" s="2641"/>
      <c r="M592" s="2641"/>
      <c r="N592" s="2641"/>
      <c r="O592" s="2641"/>
      <c r="P592" s="2641"/>
      <c r="Q592" s="2649"/>
      <c r="R592" s="2641"/>
      <c r="S592" s="2641"/>
      <c r="T592" s="2650"/>
      <c r="U592" s="2828"/>
      <c r="V592" s="2566"/>
      <c r="W592" s="2566"/>
      <c r="X592" s="2566"/>
      <c r="Y592" s="2566"/>
      <c r="Z592" s="2642"/>
      <c r="AA592" s="2642"/>
      <c r="AB592" s="2642"/>
      <c r="AC592" s="2642"/>
      <c r="AD592" s="2642"/>
      <c r="AE592" s="2642"/>
      <c r="AF592" s="2642"/>
      <c r="AG592" s="2642"/>
      <c r="AH592" s="2642"/>
      <c r="AI592" s="2642"/>
      <c r="AJ592" s="2566"/>
      <c r="AK592" s="2338"/>
      <c r="AL592" s="2338"/>
      <c r="AM592" s="2338"/>
      <c r="AN592" s="2338"/>
      <c r="AO592" s="2338"/>
      <c r="AP592" s="2338"/>
      <c r="AQ592" s="2338"/>
      <c r="AR592" s="2338"/>
      <c r="AS592" s="2338"/>
      <c r="AT592" s="2338"/>
      <c r="AU592" s="2338"/>
      <c r="AV592" s="2338"/>
      <c r="AW592" s="2338"/>
      <c r="AX592" s="2338"/>
      <c r="AY592" s="2338"/>
      <c r="AZ592" s="2338"/>
      <c r="BA592" s="2338"/>
      <c r="BB592" s="2338"/>
      <c r="BC592" s="2338"/>
      <c r="BD592" s="2338"/>
      <c r="BE592" s="2338"/>
      <c r="BF592" s="2338"/>
      <c r="BG592" s="2338"/>
      <c r="BH592" s="2338"/>
      <c r="BI592" s="2338"/>
      <c r="BJ592" s="2338"/>
      <c r="BK592" s="2338"/>
      <c r="BL592" s="2338"/>
      <c r="BM592" s="2338"/>
      <c r="BN592" s="2338"/>
      <c r="BO592" s="2338"/>
      <c r="BP592" s="2338"/>
      <c r="BQ592" s="2338"/>
      <c r="BR592" s="2338"/>
      <c r="BS592" s="2338"/>
      <c r="BT592" s="2338"/>
      <c r="BU592" s="2338"/>
      <c r="BV592" s="2338"/>
      <c r="BW592" s="2338"/>
      <c r="BX592" s="2338"/>
      <c r="BY592" s="2338"/>
      <c r="BZ592" s="2338"/>
      <c r="CA592" s="2338"/>
      <c r="CB592" s="2338"/>
      <c r="CC592" s="2338"/>
      <c r="CD592" s="2338"/>
      <c r="CE592" s="2338"/>
      <c r="CF592" s="2338"/>
      <c r="CG592" s="2338"/>
      <c r="CH592" s="2338"/>
      <c r="CI592" s="2338"/>
      <c r="CJ592" s="2338"/>
      <c r="CK592" s="2338"/>
      <c r="CL592" s="2338"/>
      <c r="CM592" s="2338"/>
      <c r="CN592" s="2338"/>
      <c r="CO592" s="2338"/>
      <c r="CP592" s="2338"/>
      <c r="CQ592" s="2338"/>
      <c r="CR592" s="2338"/>
      <c r="CS592" s="2338"/>
      <c r="CT592" s="2338"/>
      <c r="CU592" s="2338"/>
      <c r="CV592" s="2338"/>
      <c r="CW592" s="2338"/>
      <c r="CX592" s="2338"/>
      <c r="CY592" s="2338"/>
      <c r="CZ592" s="2338"/>
      <c r="DA592" s="2338"/>
      <c r="DB592" s="2338"/>
      <c r="DC592" s="2338"/>
      <c r="DD592" s="2338"/>
      <c r="DE592" s="2338"/>
      <c r="DF592" s="2338"/>
      <c r="DG592" s="2338"/>
    </row>
    <row r="593" spans="1:111" s="1118" customFormat="1" ht="15" hidden="1" outlineLevel="1">
      <c r="A593" s="2318"/>
      <c r="B593" s="3033"/>
      <c r="C593" s="3028"/>
      <c r="D593" s="3028"/>
      <c r="E593" s="3035"/>
      <c r="F593" s="2340" t="s">
        <v>3935</v>
      </c>
      <c r="G593" s="2337"/>
      <c r="H593" s="2641"/>
      <c r="I593" s="2641"/>
      <c r="J593" s="2641"/>
      <c r="K593" s="2641"/>
      <c r="L593" s="2641"/>
      <c r="M593" s="2641"/>
      <c r="N593" s="2641"/>
      <c r="O593" s="2641"/>
      <c r="P593" s="2641"/>
      <c r="Q593" s="2649"/>
      <c r="R593" s="2641"/>
      <c r="S593" s="2641"/>
      <c r="T593" s="2650"/>
      <c r="U593" s="2828"/>
      <c r="V593" s="2566"/>
      <c r="W593" s="2566"/>
      <c r="X593" s="2566"/>
      <c r="Y593" s="2566"/>
      <c r="Z593" s="2642"/>
      <c r="AA593" s="2642"/>
      <c r="AB593" s="2642"/>
      <c r="AC593" s="2642"/>
      <c r="AD593" s="2642"/>
      <c r="AE593" s="2642"/>
      <c r="AF593" s="2642"/>
      <c r="AG593" s="2642"/>
      <c r="AH593" s="2642"/>
      <c r="AI593" s="2642"/>
      <c r="AJ593" s="2566"/>
      <c r="AK593" s="2338"/>
      <c r="AL593" s="2338"/>
      <c r="AM593" s="2338"/>
      <c r="AN593" s="2338"/>
      <c r="AO593" s="2338"/>
      <c r="AP593" s="2338"/>
      <c r="AQ593" s="2338"/>
      <c r="AR593" s="2338"/>
      <c r="AS593" s="2338"/>
      <c r="AT593" s="2338"/>
      <c r="AU593" s="2338"/>
      <c r="AV593" s="2338"/>
      <c r="AW593" s="2338"/>
      <c r="AX593" s="2338"/>
      <c r="AY593" s="2338"/>
      <c r="AZ593" s="2338"/>
      <c r="BA593" s="2338"/>
      <c r="BB593" s="2338"/>
      <c r="BC593" s="2338"/>
      <c r="BD593" s="2338"/>
      <c r="BE593" s="2338"/>
      <c r="BF593" s="2338"/>
      <c r="BG593" s="2338"/>
      <c r="BH593" s="2338"/>
      <c r="BI593" s="2338"/>
      <c r="BJ593" s="2338"/>
      <c r="BK593" s="2338"/>
      <c r="BL593" s="2338"/>
      <c r="BM593" s="2338"/>
      <c r="BN593" s="2338"/>
      <c r="BO593" s="2338"/>
      <c r="BP593" s="2338"/>
      <c r="BQ593" s="2338"/>
      <c r="BR593" s="2338"/>
      <c r="BS593" s="2338"/>
      <c r="BT593" s="2338"/>
      <c r="BU593" s="2338"/>
      <c r="BV593" s="2338"/>
      <c r="BW593" s="2338"/>
      <c r="BX593" s="2338"/>
      <c r="BY593" s="2338"/>
      <c r="BZ593" s="2338"/>
      <c r="CA593" s="2338"/>
      <c r="CB593" s="2338"/>
      <c r="CC593" s="2338"/>
      <c r="CD593" s="2338"/>
      <c r="CE593" s="2338"/>
      <c r="CF593" s="2338"/>
      <c r="CG593" s="2338"/>
      <c r="CH593" s="2338"/>
      <c r="CI593" s="2338"/>
      <c r="CJ593" s="2338"/>
      <c r="CK593" s="2338"/>
      <c r="CL593" s="2338"/>
      <c r="CM593" s="2338"/>
      <c r="CN593" s="2338"/>
      <c r="CO593" s="2338"/>
      <c r="CP593" s="2338"/>
      <c r="CQ593" s="2338"/>
      <c r="CR593" s="2338"/>
      <c r="CS593" s="2338"/>
      <c r="CT593" s="2338"/>
      <c r="CU593" s="2338"/>
      <c r="CV593" s="2338"/>
      <c r="CW593" s="2338"/>
      <c r="CX593" s="2338"/>
      <c r="CY593" s="2338"/>
      <c r="CZ593" s="2338"/>
      <c r="DA593" s="2338"/>
      <c r="DB593" s="2338"/>
      <c r="DC593" s="2338"/>
      <c r="DD593" s="2338"/>
      <c r="DE593" s="2338"/>
      <c r="DF593" s="2338"/>
      <c r="DG593" s="2338"/>
    </row>
    <row r="594" spans="1:111" s="1118" customFormat="1" ht="15" hidden="1" outlineLevel="1">
      <c r="A594" s="2318"/>
      <c r="B594" s="3033"/>
      <c r="C594" s="3028"/>
      <c r="D594" s="3028"/>
      <c r="E594" s="3035"/>
      <c r="F594" s="2340" t="s">
        <v>3936</v>
      </c>
      <c r="G594" s="2337"/>
      <c r="H594" s="2641"/>
      <c r="I594" s="2641"/>
      <c r="J594" s="2641"/>
      <c r="K594" s="2641"/>
      <c r="L594" s="2641"/>
      <c r="M594" s="2641"/>
      <c r="N594" s="2641"/>
      <c r="O594" s="2641"/>
      <c r="P594" s="2641"/>
      <c r="Q594" s="2649"/>
      <c r="R594" s="2641"/>
      <c r="S594" s="2641"/>
      <c r="T594" s="2650"/>
      <c r="U594" s="2828"/>
      <c r="V594" s="2566"/>
      <c r="W594" s="2566"/>
      <c r="X594" s="2566"/>
      <c r="Y594" s="2566"/>
      <c r="Z594" s="2642"/>
      <c r="AA594" s="2642"/>
      <c r="AB594" s="2642"/>
      <c r="AC594" s="2642"/>
      <c r="AD594" s="2642"/>
      <c r="AE594" s="2642"/>
      <c r="AF594" s="2642"/>
      <c r="AG594" s="2642"/>
      <c r="AH594" s="2642"/>
      <c r="AI594" s="2642"/>
      <c r="AJ594" s="2566"/>
      <c r="AK594" s="2338"/>
      <c r="AL594" s="2338"/>
      <c r="AM594" s="2338"/>
      <c r="AN594" s="2338"/>
      <c r="AO594" s="2338"/>
      <c r="AP594" s="2338"/>
      <c r="AQ594" s="2338"/>
      <c r="AR594" s="2338"/>
      <c r="AS594" s="2338"/>
      <c r="AT594" s="2338"/>
      <c r="AU594" s="2338"/>
      <c r="AV594" s="2338"/>
      <c r="AW594" s="2338"/>
      <c r="AX594" s="2338"/>
      <c r="AY594" s="2338"/>
      <c r="AZ594" s="2338"/>
      <c r="BA594" s="2338"/>
      <c r="BB594" s="2338"/>
      <c r="BC594" s="2338"/>
      <c r="BD594" s="2338"/>
      <c r="BE594" s="2338"/>
      <c r="BF594" s="2338"/>
      <c r="BG594" s="2338"/>
      <c r="BH594" s="2338"/>
      <c r="BI594" s="2338"/>
      <c r="BJ594" s="2338"/>
      <c r="BK594" s="2338"/>
      <c r="BL594" s="2338"/>
      <c r="BM594" s="2338"/>
      <c r="BN594" s="2338"/>
      <c r="BO594" s="2338"/>
      <c r="BP594" s="2338"/>
      <c r="BQ594" s="2338"/>
      <c r="BR594" s="2338"/>
      <c r="BS594" s="2338"/>
      <c r="BT594" s="2338"/>
      <c r="BU594" s="2338"/>
      <c r="BV594" s="2338"/>
      <c r="BW594" s="2338"/>
      <c r="BX594" s="2338"/>
      <c r="BY594" s="2338"/>
      <c r="BZ594" s="2338"/>
      <c r="CA594" s="2338"/>
      <c r="CB594" s="2338"/>
      <c r="CC594" s="2338"/>
      <c r="CD594" s="2338"/>
      <c r="CE594" s="2338"/>
      <c r="CF594" s="2338"/>
      <c r="CG594" s="2338"/>
      <c r="CH594" s="2338"/>
      <c r="CI594" s="2338"/>
      <c r="CJ594" s="2338"/>
      <c r="CK594" s="2338"/>
      <c r="CL594" s="2338"/>
      <c r="CM594" s="2338"/>
      <c r="CN594" s="2338"/>
      <c r="CO594" s="2338"/>
      <c r="CP594" s="2338"/>
      <c r="CQ594" s="2338"/>
      <c r="CR594" s="2338"/>
      <c r="CS594" s="2338"/>
      <c r="CT594" s="2338"/>
      <c r="CU594" s="2338"/>
      <c r="CV594" s="2338"/>
      <c r="CW594" s="2338"/>
      <c r="CX594" s="2338"/>
      <c r="CY594" s="2338"/>
      <c r="CZ594" s="2338"/>
      <c r="DA594" s="2338"/>
      <c r="DB594" s="2338"/>
      <c r="DC594" s="2338"/>
      <c r="DD594" s="2338"/>
      <c r="DE594" s="2338"/>
      <c r="DF594" s="2338"/>
      <c r="DG594" s="2338"/>
    </row>
    <row r="595" spans="1:111" s="1118" customFormat="1" ht="30.75" hidden="1" outlineLevel="1" thickBot="1">
      <c r="A595" s="2392"/>
      <c r="B595" s="3023"/>
      <c r="C595" s="3030"/>
      <c r="D595" s="3030"/>
      <c r="E595" s="3026"/>
      <c r="F595" s="2393" t="s">
        <v>3937</v>
      </c>
      <c r="G595" s="2394"/>
      <c r="H595" s="2812"/>
      <c r="I595" s="2812"/>
      <c r="J595" s="2812"/>
      <c r="K595" s="2812"/>
      <c r="L595" s="2812"/>
      <c r="M595" s="2812"/>
      <c r="N595" s="2812"/>
      <c r="O595" s="2812"/>
      <c r="P595" s="2812"/>
      <c r="Q595" s="2812"/>
      <c r="R595" s="2812"/>
      <c r="S595" s="2812"/>
      <c r="T595" s="2842"/>
      <c r="U595" s="2840"/>
      <c r="V595" s="2575"/>
      <c r="W595" s="2575"/>
      <c r="X595" s="2575"/>
      <c r="Y595" s="2575"/>
      <c r="Z595" s="2575"/>
      <c r="AA595" s="2575"/>
      <c r="AB595" s="2575"/>
      <c r="AC595" s="2575"/>
      <c r="AD595" s="2575"/>
      <c r="AE595" s="2575"/>
      <c r="AF595" s="2575"/>
      <c r="AG595" s="2575"/>
      <c r="AH595" s="2575"/>
      <c r="AI595" s="2575"/>
      <c r="AJ595" s="2327"/>
      <c r="AK595" s="2338"/>
      <c r="AL595" s="2338"/>
      <c r="AM595" s="2338"/>
      <c r="AN595" s="2338"/>
      <c r="AO595" s="2338"/>
      <c r="AP595" s="2338"/>
      <c r="AQ595" s="2338"/>
      <c r="AR595" s="2338"/>
      <c r="AS595" s="2338"/>
      <c r="AT595" s="2338"/>
      <c r="AU595" s="2338"/>
      <c r="AV595" s="2338"/>
      <c r="AW595" s="2338"/>
      <c r="AX595" s="2338"/>
      <c r="AY595" s="2338"/>
      <c r="AZ595" s="2338"/>
      <c r="BA595" s="2338"/>
      <c r="BB595" s="2338"/>
      <c r="BC595" s="2338"/>
      <c r="BD595" s="2338"/>
      <c r="BE595" s="2338"/>
      <c r="BF595" s="2338"/>
      <c r="BG595" s="2338"/>
      <c r="BH595" s="2338"/>
      <c r="BI595" s="2338"/>
      <c r="BJ595" s="2338"/>
      <c r="BK595" s="2338"/>
      <c r="BL595" s="2338"/>
      <c r="BM595" s="2338"/>
      <c r="BN595" s="2338"/>
      <c r="BO595" s="2338"/>
      <c r="BP595" s="2338"/>
      <c r="BQ595" s="2338"/>
      <c r="BR595" s="2338"/>
      <c r="BS595" s="2338"/>
      <c r="BT595" s="2338"/>
      <c r="BU595" s="2338"/>
      <c r="BV595" s="2338"/>
      <c r="BW595" s="2338"/>
      <c r="BX595" s="2338"/>
      <c r="BY595" s="2338"/>
      <c r="BZ595" s="2338"/>
      <c r="CA595" s="2338"/>
      <c r="CB595" s="2338"/>
      <c r="CC595" s="2338"/>
      <c r="CD595" s="2338"/>
      <c r="CE595" s="2338"/>
      <c r="CF595" s="2338"/>
      <c r="CG595" s="2338"/>
      <c r="CH595" s="2338"/>
      <c r="CI595" s="2338"/>
      <c r="CJ595" s="2338"/>
      <c r="CK595" s="2338"/>
      <c r="CL595" s="2338"/>
      <c r="CM595" s="2338"/>
      <c r="CN595" s="2338"/>
      <c r="CO595" s="2338"/>
      <c r="CP595" s="2338"/>
      <c r="CQ595" s="2338"/>
      <c r="CR595" s="2338"/>
      <c r="CS595" s="2338"/>
      <c r="CT595" s="2338"/>
      <c r="CU595" s="2338"/>
      <c r="CV595" s="2338"/>
      <c r="CW595" s="2338"/>
      <c r="CX595" s="2338"/>
      <c r="CY595" s="2338"/>
      <c r="CZ595" s="2338"/>
      <c r="DA595" s="2338"/>
      <c r="DB595" s="2338"/>
      <c r="DC595" s="2338"/>
      <c r="DD595" s="2338"/>
      <c r="DE595" s="2338"/>
      <c r="DF595" s="2338"/>
      <c r="DG595" s="2338"/>
    </row>
    <row r="596" spans="1:111" s="1118" customFormat="1" ht="15" collapsed="1">
      <c r="A596" s="2331"/>
      <c r="B596" s="2328"/>
      <c r="C596" s="2328"/>
      <c r="D596" s="2328"/>
      <c r="E596" s="2396"/>
      <c r="F596" s="2334"/>
      <c r="G596" s="2334"/>
      <c r="H596" s="2331"/>
      <c r="I596" s="2331"/>
      <c r="J596" s="2331"/>
      <c r="K596" s="2331"/>
      <c r="L596" s="2331"/>
      <c r="M596" s="2331"/>
      <c r="N596" s="2331"/>
      <c r="O596" s="2331"/>
      <c r="P596" s="2331"/>
      <c r="Q596" s="2331"/>
      <c r="R596" s="2331"/>
      <c r="S596" s="2331"/>
      <c r="T596" s="2331"/>
      <c r="U596" s="2331"/>
      <c r="V596" s="2338"/>
      <c r="W596" s="2338"/>
      <c r="X596" s="2338"/>
      <c r="Y596" s="2338"/>
      <c r="Z596"/>
      <c r="AA596"/>
      <c r="AB596"/>
      <c r="AC596"/>
      <c r="AD596"/>
      <c r="AE596"/>
      <c r="AF596"/>
      <c r="AG596"/>
      <c r="AH596"/>
      <c r="AI596"/>
      <c r="AJ596" s="2338"/>
      <c r="AK596" s="2338"/>
      <c r="AL596" s="2338"/>
      <c r="AM596" s="2338"/>
      <c r="AN596" s="2338"/>
      <c r="AO596" s="2338"/>
      <c r="AP596" s="2338"/>
      <c r="AQ596" s="2338"/>
      <c r="AR596" s="2338"/>
      <c r="AS596" s="2338"/>
      <c r="AT596" s="2338"/>
      <c r="AU596" s="2338"/>
      <c r="AV596" s="2338"/>
      <c r="AW596" s="2338"/>
      <c r="AX596" s="2338"/>
      <c r="AY596" s="2338"/>
      <c r="AZ596" s="2338"/>
      <c r="BA596" s="2338"/>
      <c r="BB596" s="2338"/>
      <c r="BC596" s="2338"/>
      <c r="BD596" s="2338"/>
      <c r="BE596" s="2338"/>
      <c r="BF596" s="2338"/>
      <c r="BG596" s="2338"/>
      <c r="BH596" s="2338"/>
      <c r="BI596" s="2338"/>
      <c r="BJ596" s="2338"/>
      <c r="BK596" s="2338"/>
      <c r="BL596" s="2338"/>
      <c r="BM596" s="2338"/>
      <c r="BN596" s="2338"/>
      <c r="BO596" s="2338"/>
      <c r="BP596" s="2338"/>
      <c r="BQ596" s="2338"/>
      <c r="BR596" s="2338"/>
      <c r="BS596" s="2338"/>
      <c r="BT596" s="2338"/>
      <c r="BU596" s="2338"/>
      <c r="BV596" s="2338"/>
      <c r="BW596" s="2338"/>
      <c r="BX596" s="2338"/>
      <c r="BY596" s="2338"/>
      <c r="BZ596" s="2338"/>
      <c r="CA596" s="2338"/>
      <c r="CB596" s="2338"/>
      <c r="CC596" s="2338"/>
      <c r="CD596" s="2338"/>
      <c r="CE596" s="2338"/>
      <c r="CF596" s="2338"/>
      <c r="CG596" s="2338"/>
      <c r="CH596" s="2338"/>
      <c r="CI596" s="2338"/>
      <c r="CJ596" s="2338"/>
      <c r="CK596" s="2338"/>
      <c r="CL596" s="2338"/>
      <c r="CM596" s="2338"/>
      <c r="CN596" s="2338"/>
      <c r="CO596" s="2338"/>
      <c r="CP596" s="2338"/>
      <c r="CQ596" s="2338"/>
      <c r="CR596" s="2338"/>
      <c r="CS596" s="2338"/>
      <c r="CT596" s="2338"/>
      <c r="CU596" s="2338"/>
      <c r="CV596" s="2338"/>
      <c r="CW596" s="2338"/>
      <c r="CX596" s="2338"/>
      <c r="CY596" s="2338"/>
      <c r="CZ596" s="2338"/>
      <c r="DA596" s="2338"/>
      <c r="DB596" s="2338"/>
      <c r="DC596" s="2338"/>
      <c r="DD596" s="2338"/>
      <c r="DE596" s="2338"/>
      <c r="DF596" s="2338"/>
      <c r="DG596" s="2338"/>
    </row>
    <row r="597" spans="1:111" s="1118" customFormat="1" ht="15.75" thickBot="1">
      <c r="F597" s="1119"/>
      <c r="G597" s="1119"/>
      <c r="V597" s="2338"/>
      <c r="W597" s="2338"/>
      <c r="X597" s="2338"/>
      <c r="Y597" s="2338"/>
      <c r="Z597"/>
      <c r="AA597"/>
      <c r="AB597"/>
      <c r="AC597"/>
      <c r="AD597"/>
      <c r="AE597"/>
      <c r="AF597"/>
      <c r="AG597"/>
      <c r="AH597"/>
      <c r="AI597"/>
      <c r="AJ597" s="2338"/>
      <c r="AK597" s="2338"/>
      <c r="AL597" s="2338"/>
      <c r="AM597" s="2338"/>
      <c r="AN597" s="2338"/>
      <c r="AO597" s="2338"/>
      <c r="AP597" s="2338"/>
      <c r="AQ597" s="2338"/>
      <c r="AR597" s="2338"/>
      <c r="AS597" s="2338"/>
      <c r="AT597" s="2338"/>
      <c r="AU597" s="2338"/>
      <c r="AV597" s="2338"/>
      <c r="AW597" s="2338"/>
      <c r="AX597" s="2338"/>
      <c r="AY597" s="2338"/>
      <c r="AZ597" s="2338"/>
      <c r="BA597" s="2338"/>
      <c r="BB597" s="2338"/>
      <c r="BC597" s="2338"/>
      <c r="BD597" s="2338"/>
      <c r="BE597" s="2338"/>
      <c r="BF597" s="2338"/>
      <c r="BG597" s="2338"/>
      <c r="BH597" s="2338"/>
      <c r="BI597" s="2338"/>
      <c r="BJ597" s="2338"/>
      <c r="BK597" s="2338"/>
      <c r="BL597" s="2338"/>
      <c r="BM597" s="2338"/>
      <c r="BN597" s="2338"/>
      <c r="BO597" s="2338"/>
      <c r="BP597" s="2338"/>
      <c r="BQ597" s="2338"/>
      <c r="BR597" s="2338"/>
      <c r="BS597" s="2338"/>
      <c r="BT597" s="2338"/>
      <c r="BU597" s="2338"/>
      <c r="BV597" s="2338"/>
      <c r="BW597" s="2338"/>
      <c r="BX597" s="2338"/>
      <c r="BY597" s="2338"/>
      <c r="BZ597" s="2338"/>
      <c r="CA597" s="2338"/>
      <c r="CB597" s="2338"/>
      <c r="CC597" s="2338"/>
      <c r="CD597" s="2338"/>
      <c r="CE597" s="2338"/>
      <c r="CF597" s="2338"/>
      <c r="CG597" s="2338"/>
      <c r="CH597" s="2338"/>
      <c r="CI597" s="2338"/>
      <c r="CJ597" s="2338"/>
      <c r="CK597" s="2338"/>
      <c r="CL597" s="2338"/>
      <c r="CM597" s="2338"/>
      <c r="CN597" s="2338"/>
      <c r="CO597" s="2338"/>
      <c r="CP597" s="2338"/>
      <c r="CQ597" s="2338"/>
      <c r="CR597" s="2338"/>
      <c r="CS597" s="2338"/>
      <c r="CT597" s="2338"/>
      <c r="CU597" s="2338"/>
      <c r="CV597" s="2338"/>
      <c r="CW597" s="2338"/>
      <c r="CX597" s="2338"/>
      <c r="CY597" s="2338"/>
      <c r="CZ597" s="2338"/>
      <c r="DA597" s="2338"/>
      <c r="DB597" s="2338"/>
      <c r="DC597" s="2338"/>
      <c r="DD597" s="2338"/>
      <c r="DE597" s="2338"/>
      <c r="DF597" s="2338"/>
      <c r="DG597" s="2338"/>
    </row>
    <row r="598" spans="1:111" s="1118" customFormat="1" ht="34.5" customHeight="1" thickBot="1">
      <c r="A598" s="3038"/>
      <c r="B598" s="3039"/>
      <c r="C598" s="3039"/>
      <c r="D598" s="3039"/>
      <c r="E598" s="3039"/>
      <c r="F598" s="3040"/>
      <c r="G598" s="3149" t="s">
        <v>4246</v>
      </c>
      <c r="H598" s="3150"/>
      <c r="I598" s="3150"/>
      <c r="J598" s="3150"/>
      <c r="K598" s="3150"/>
      <c r="L598" s="3150"/>
      <c r="M598" s="3150"/>
      <c r="N598" s="3150"/>
      <c r="O598" s="3150"/>
      <c r="P598" s="3150"/>
      <c r="Q598" s="3150"/>
      <c r="R598" s="3150"/>
      <c r="S598" s="3150"/>
      <c r="T598" s="3150"/>
      <c r="U598" s="3151"/>
      <c r="V598" s="2338"/>
      <c r="W598" s="2338"/>
      <c r="X598" s="2338"/>
      <c r="Y598" s="2338"/>
      <c r="Z598"/>
      <c r="AA598"/>
      <c r="AB598"/>
      <c r="AC598"/>
      <c r="AD598"/>
      <c r="AE598"/>
      <c r="AF598"/>
      <c r="AG598"/>
      <c r="AH598"/>
      <c r="AI598"/>
      <c r="AJ598" s="2338"/>
      <c r="AK598" s="2338"/>
      <c r="AL598" s="2338"/>
      <c r="AM598" s="2338"/>
      <c r="AN598" s="2338"/>
      <c r="AO598" s="2338"/>
      <c r="AP598" s="2338"/>
      <c r="AQ598" s="2338"/>
      <c r="AR598" s="2338"/>
      <c r="AS598" s="2338"/>
      <c r="AT598" s="2338"/>
      <c r="AU598" s="2338"/>
      <c r="AV598" s="2338"/>
      <c r="AW598" s="2338"/>
      <c r="AX598" s="2338"/>
      <c r="AY598" s="2338"/>
      <c r="AZ598" s="2338"/>
      <c r="BA598" s="2338"/>
      <c r="BB598" s="2338"/>
      <c r="BC598" s="2338"/>
      <c r="BD598" s="2338"/>
      <c r="BE598" s="2338"/>
      <c r="BF598" s="2338"/>
      <c r="BG598" s="2338"/>
      <c r="BH598" s="2338"/>
      <c r="BI598" s="2338"/>
      <c r="BJ598" s="2338"/>
      <c r="BK598" s="2338"/>
      <c r="BL598" s="2338"/>
      <c r="BM598" s="2338"/>
      <c r="BN598" s="2338"/>
      <c r="BO598" s="2338"/>
      <c r="BP598" s="2338"/>
      <c r="BQ598" s="2338"/>
      <c r="BR598" s="2338"/>
      <c r="BS598" s="2338"/>
      <c r="BT598" s="2338"/>
      <c r="BU598" s="2338"/>
      <c r="BV598" s="2338"/>
      <c r="BW598" s="2338"/>
      <c r="BX598" s="2338"/>
      <c r="BY598" s="2338"/>
      <c r="BZ598" s="2338"/>
      <c r="CA598" s="2338"/>
      <c r="CB598" s="2338"/>
      <c r="CC598" s="2338"/>
      <c r="CD598" s="2338"/>
      <c r="CE598" s="2338"/>
      <c r="CF598" s="2338"/>
      <c r="CG598" s="2338"/>
      <c r="CH598" s="2338"/>
      <c r="CI598" s="2338"/>
      <c r="CJ598" s="2338"/>
      <c r="CK598" s="2338"/>
      <c r="CL598" s="2338"/>
      <c r="CM598" s="2338"/>
      <c r="CN598" s="2338"/>
      <c r="CO598" s="2338"/>
      <c r="CP598" s="2338"/>
      <c r="CQ598" s="2338"/>
      <c r="CR598" s="2338"/>
      <c r="CS598" s="2338"/>
      <c r="CT598" s="2338"/>
      <c r="CU598" s="2338"/>
      <c r="CV598" s="2338"/>
      <c r="CW598" s="2338"/>
      <c r="CX598" s="2338"/>
      <c r="CY598" s="2338"/>
      <c r="CZ598" s="2338"/>
      <c r="DA598" s="2338"/>
      <c r="DB598" s="2338"/>
      <c r="DC598" s="2338"/>
      <c r="DD598" s="2338"/>
      <c r="DE598" s="2338"/>
      <c r="DF598" s="2338"/>
      <c r="DG598" s="2338"/>
    </row>
    <row r="599" spans="1:111" s="1118" customFormat="1" ht="30" customHeight="1">
      <c r="A599" s="3007" t="s">
        <v>0</v>
      </c>
      <c r="B599" s="3064" t="s">
        <v>3849</v>
      </c>
      <c r="C599" s="3065"/>
      <c r="D599" s="3065"/>
      <c r="E599" s="3043" t="s">
        <v>3866</v>
      </c>
      <c r="F599" s="3074" t="s">
        <v>3867</v>
      </c>
      <c r="G599" s="3003" t="s">
        <v>3854</v>
      </c>
      <c r="H599" s="3133" t="s">
        <v>3868</v>
      </c>
      <c r="I599" s="3134"/>
      <c r="J599" s="3134"/>
      <c r="K599" s="3134"/>
      <c r="L599" s="3135"/>
      <c r="M599" s="3133" t="s">
        <v>3869</v>
      </c>
      <c r="N599" s="3134"/>
      <c r="O599" s="3134"/>
      <c r="P599" s="3134"/>
      <c r="Q599" s="3135"/>
      <c r="R599" s="3155" t="s">
        <v>3870</v>
      </c>
      <c r="S599" s="3156"/>
      <c r="T599" s="3156"/>
      <c r="U599" s="3157"/>
      <c r="V599" s="3136" t="s">
        <v>3978</v>
      </c>
      <c r="W599" s="3137"/>
      <c r="X599" s="3137"/>
      <c r="Y599" s="3138"/>
      <c r="Z599" s="3132" t="s">
        <v>3858</v>
      </c>
      <c r="AA599" s="3132"/>
      <c r="AB599" s="3132"/>
      <c r="AC599" s="3132"/>
      <c r="AD599" s="3121" t="s">
        <v>3979</v>
      </c>
      <c r="AE599" s="3121"/>
      <c r="AF599" s="3121"/>
      <c r="AG599" s="3121"/>
      <c r="AH599" s="2496" t="s">
        <v>3980</v>
      </c>
      <c r="AI599" s="2500" t="s">
        <v>3974</v>
      </c>
      <c r="AJ599" s="2500" t="s">
        <v>3975</v>
      </c>
      <c r="AK599" s="2338"/>
      <c r="AL599" s="2338"/>
      <c r="AM599" s="2338"/>
      <c r="AN599" s="2338"/>
      <c r="AO599" s="2338"/>
      <c r="AP599" s="2338"/>
      <c r="AQ599" s="2338"/>
      <c r="AR599" s="2338"/>
      <c r="AS599" s="2338"/>
      <c r="AT599" s="2338"/>
      <c r="AU599" s="2338"/>
      <c r="AV599" s="2338"/>
      <c r="AW599" s="2338"/>
      <c r="AX599" s="2338"/>
      <c r="AY599" s="2338"/>
      <c r="AZ599" s="2338"/>
      <c r="BA599" s="2338"/>
      <c r="BB599" s="2338"/>
      <c r="BC599" s="2338"/>
      <c r="BD599" s="2338"/>
      <c r="BE599" s="2338"/>
      <c r="BF599" s="2338"/>
      <c r="BG599" s="2338"/>
      <c r="BH599" s="2338"/>
      <c r="BI599" s="2338"/>
      <c r="BJ599" s="2338"/>
      <c r="BK599" s="2338"/>
      <c r="BL599" s="2338"/>
      <c r="BM599" s="2338"/>
      <c r="BN599" s="2338"/>
      <c r="BO599" s="2338"/>
      <c r="BP599" s="2338"/>
      <c r="BQ599" s="2338"/>
      <c r="BR599" s="2338"/>
      <c r="BS599" s="2338"/>
      <c r="BT599" s="2338"/>
      <c r="BU599" s="2338"/>
      <c r="BV599" s="2338"/>
      <c r="BW599" s="2338"/>
      <c r="BX599" s="2338"/>
      <c r="BY599" s="2338"/>
      <c r="BZ599" s="2338"/>
      <c r="CA599" s="2338"/>
      <c r="CB599" s="2338"/>
      <c r="CC599" s="2338"/>
      <c r="CD599" s="2338"/>
      <c r="CE599" s="2338"/>
      <c r="CF599" s="2338"/>
      <c r="CG599" s="2338"/>
      <c r="CH599" s="2338"/>
      <c r="CI599" s="2338"/>
      <c r="CJ599" s="2338"/>
      <c r="CK599" s="2338"/>
      <c r="CL599" s="2338"/>
      <c r="CM599" s="2338"/>
      <c r="CN599" s="2338"/>
      <c r="CO599" s="2338"/>
      <c r="CP599" s="2338"/>
      <c r="CQ599" s="2338"/>
      <c r="CR599" s="2338"/>
      <c r="CS599" s="2338"/>
      <c r="CT599" s="2338"/>
      <c r="CU599" s="2338"/>
      <c r="CV599" s="2338"/>
      <c r="CW599" s="2338"/>
      <c r="CX599" s="2338"/>
      <c r="CY599" s="2338"/>
      <c r="CZ599" s="2338"/>
      <c r="DA599" s="2338"/>
      <c r="DB599" s="2338"/>
      <c r="DC599" s="2338"/>
      <c r="DD599" s="2338"/>
      <c r="DE599" s="2338"/>
      <c r="DF599" s="2338"/>
      <c r="DG599" s="2338"/>
    </row>
    <row r="600" spans="1:111" s="1118" customFormat="1" ht="75.75" customHeight="1" thickBot="1">
      <c r="A600" s="3072"/>
      <c r="B600" s="3066"/>
      <c r="C600" s="3026"/>
      <c r="D600" s="3026"/>
      <c r="E600" s="3073"/>
      <c r="F600" s="3075"/>
      <c r="G600" s="3076"/>
      <c r="H600" s="2471">
        <f>H11</f>
        <v>2015</v>
      </c>
      <c r="I600" s="2471">
        <f>I11</f>
        <v>2016</v>
      </c>
      <c r="J600" s="2471">
        <f>J11</f>
        <v>2017</v>
      </c>
      <c r="K600" s="2471" t="str">
        <f>K564</f>
        <v>План (в случае отсутствия факта за 3 года)</v>
      </c>
      <c r="L600" s="2595" t="s">
        <v>2559</v>
      </c>
      <c r="M600" s="2471">
        <f>H600</f>
        <v>2015</v>
      </c>
      <c r="N600" s="2471">
        <f>I600</f>
        <v>2016</v>
      </c>
      <c r="O600" s="2471">
        <f>J600</f>
        <v>2017</v>
      </c>
      <c r="P600" s="2471" t="str">
        <f>P564</f>
        <v>План (в случае отсутствия факта за 3 года)</v>
      </c>
      <c r="Q600" s="2595" t="s">
        <v>2559</v>
      </c>
      <c r="R600" s="2468">
        <f>H600</f>
        <v>2015</v>
      </c>
      <c r="S600" s="2468">
        <f>I600</f>
        <v>2016</v>
      </c>
      <c r="T600" s="2468">
        <f>J600</f>
        <v>2017</v>
      </c>
      <c r="U600" s="2468" t="str">
        <f>U564</f>
        <v>План (в случае отсутствия факта за 3 года)</v>
      </c>
      <c r="V600" s="2496">
        <f>R600</f>
        <v>2015</v>
      </c>
      <c r="W600" s="2496">
        <f>S600</f>
        <v>2016</v>
      </c>
      <c r="X600" s="2496">
        <f>T600</f>
        <v>2017</v>
      </c>
      <c r="Y600" s="2496" t="s">
        <v>3925</v>
      </c>
      <c r="Z600" s="2588">
        <v>2016</v>
      </c>
      <c r="AA600" s="2588">
        <v>2017</v>
      </c>
      <c r="AB600" s="2588">
        <v>2018</v>
      </c>
      <c r="AC600" s="2588">
        <v>2019</v>
      </c>
      <c r="AD600" s="2704">
        <f>V600</f>
        <v>2015</v>
      </c>
      <c r="AE600" s="2704">
        <f>W600</f>
        <v>2016</v>
      </c>
      <c r="AF600" s="2704">
        <f>X600</f>
        <v>2017</v>
      </c>
      <c r="AG600" s="2704" t="str">
        <f>Y600</f>
        <v>План (в случае отсутствия факта за 3 года)</v>
      </c>
      <c r="AH600" s="2497" t="s">
        <v>3981</v>
      </c>
      <c r="AI600" s="2597" t="s">
        <v>3976</v>
      </c>
      <c r="AJ600" s="2597" t="s">
        <v>3977</v>
      </c>
      <c r="AK600" s="2338"/>
      <c r="AL600" s="2338"/>
      <c r="AM600" s="2338"/>
      <c r="AN600" s="2338"/>
      <c r="AO600" s="2338"/>
      <c r="AP600" s="2338"/>
      <c r="AQ600" s="2338"/>
      <c r="AR600" s="2338"/>
      <c r="AS600" s="2338"/>
      <c r="AT600" s="2338"/>
      <c r="AU600" s="2338"/>
      <c r="AV600" s="2338"/>
      <c r="AW600" s="2338"/>
      <c r="AX600" s="2338"/>
      <c r="AY600" s="2338"/>
      <c r="AZ600" s="2338"/>
      <c r="BA600" s="2338"/>
      <c r="BB600" s="2338"/>
      <c r="BC600" s="2338"/>
      <c r="BD600" s="2338"/>
      <c r="BE600" s="2338"/>
      <c r="BF600" s="2338"/>
      <c r="BG600" s="2338"/>
      <c r="BH600" s="2338"/>
      <c r="BI600" s="2338"/>
      <c r="BJ600" s="2338"/>
      <c r="BK600" s="2338"/>
      <c r="BL600" s="2338"/>
      <c r="BM600" s="2338"/>
      <c r="BN600" s="2338"/>
      <c r="BO600" s="2338"/>
      <c r="BP600" s="2338"/>
      <c r="BQ600" s="2338"/>
      <c r="BR600" s="2338"/>
      <c r="BS600" s="2338"/>
      <c r="BT600" s="2338"/>
      <c r="BU600" s="2338"/>
      <c r="BV600" s="2338"/>
      <c r="BW600" s="2338"/>
      <c r="BX600" s="2338"/>
      <c r="BY600" s="2338"/>
      <c r="BZ600" s="2338"/>
      <c r="CA600" s="2338"/>
      <c r="CB600" s="2338"/>
      <c r="CC600" s="2338"/>
      <c r="CD600" s="2338"/>
      <c r="CE600" s="2338"/>
      <c r="CF600" s="2338"/>
      <c r="CG600" s="2338"/>
      <c r="CH600" s="2338"/>
      <c r="CI600" s="2338"/>
      <c r="CJ600" s="2338"/>
      <c r="CK600" s="2338"/>
      <c r="CL600" s="2338"/>
      <c r="CM600" s="2338"/>
      <c r="CN600" s="2338"/>
      <c r="CO600" s="2338"/>
      <c r="CP600" s="2338"/>
      <c r="CQ600" s="2338"/>
      <c r="CR600" s="2338"/>
      <c r="CS600" s="2338"/>
      <c r="CT600" s="2338"/>
      <c r="CU600" s="2338"/>
      <c r="CV600" s="2338"/>
      <c r="CW600" s="2338"/>
      <c r="CX600" s="2338"/>
      <c r="CY600" s="2338"/>
      <c r="CZ600" s="2338"/>
      <c r="DA600" s="2338"/>
      <c r="DB600" s="2338"/>
      <c r="DC600" s="2338"/>
      <c r="DD600" s="2338"/>
      <c r="DE600" s="2338"/>
      <c r="DF600" s="2338"/>
      <c r="DG600" s="2338"/>
    </row>
    <row r="601" spans="1:111" s="1118" customFormat="1" ht="15.75" thickBot="1">
      <c r="A601" s="2710">
        <v>1</v>
      </c>
      <c r="B601" s="3139">
        <v>2</v>
      </c>
      <c r="C601" s="3140"/>
      <c r="D601" s="3140"/>
      <c r="E601" s="3140">
        <v>3</v>
      </c>
      <c r="F601" s="3141"/>
      <c r="G601" s="2317">
        <v>4</v>
      </c>
      <c r="H601" s="3017">
        <v>5</v>
      </c>
      <c r="I601" s="3018"/>
      <c r="J601" s="3018"/>
      <c r="K601" s="3019"/>
      <c r="L601" s="2514"/>
      <c r="M601" s="3017">
        <v>6</v>
      </c>
      <c r="N601" s="3018"/>
      <c r="O601" s="3018"/>
      <c r="P601" s="3018"/>
      <c r="Q601" s="2584"/>
      <c r="R601" s="3158">
        <v>7</v>
      </c>
      <c r="S601" s="3098"/>
      <c r="T601" s="3098"/>
      <c r="U601" s="3159"/>
      <c r="V601" s="3131">
        <v>8</v>
      </c>
      <c r="W601" s="3131"/>
      <c r="X601" s="3131"/>
      <c r="Y601" s="3131"/>
      <c r="Z601" s="3131">
        <v>9</v>
      </c>
      <c r="AA601" s="3131"/>
      <c r="AB601" s="3131"/>
      <c r="AC601" s="3131"/>
      <c r="AD601" s="3105">
        <v>10</v>
      </c>
      <c r="AE601" s="3106"/>
      <c r="AF601" s="3106"/>
      <c r="AG601" s="3107"/>
      <c r="AH601" s="2498">
        <v>11</v>
      </c>
      <c r="AI601" s="2498">
        <v>12</v>
      </c>
      <c r="AJ601" s="2499">
        <v>13</v>
      </c>
      <c r="AK601" s="2338"/>
      <c r="AL601" s="2338"/>
      <c r="AM601" s="2338"/>
      <c r="AN601" s="2338"/>
      <c r="AO601" s="2338"/>
      <c r="AP601" s="2338"/>
      <c r="AQ601" s="2338"/>
      <c r="AR601" s="2338"/>
      <c r="AS601" s="2338"/>
      <c r="AT601" s="2338"/>
      <c r="AU601" s="2338"/>
      <c r="AV601" s="2338"/>
      <c r="AW601" s="2338"/>
      <c r="AX601" s="2338"/>
      <c r="AY601" s="2338"/>
      <c r="AZ601" s="2338"/>
      <c r="BA601" s="2338"/>
      <c r="BB601" s="2338"/>
      <c r="BC601" s="2338"/>
      <c r="BD601" s="2338"/>
      <c r="BE601" s="2338"/>
      <c r="BF601" s="2338"/>
      <c r="BG601" s="2338"/>
      <c r="BH601" s="2338"/>
      <c r="BI601" s="2338"/>
      <c r="BJ601" s="2338"/>
      <c r="BK601" s="2338"/>
      <c r="BL601" s="2338"/>
      <c r="BM601" s="2338"/>
      <c r="BN601" s="2338"/>
      <c r="BO601" s="2338"/>
      <c r="BP601" s="2338"/>
      <c r="BQ601" s="2338"/>
      <c r="BR601" s="2338"/>
      <c r="BS601" s="2338"/>
      <c r="BT601" s="2338"/>
      <c r="BU601" s="2338"/>
      <c r="BV601" s="2338"/>
      <c r="BW601" s="2338"/>
      <c r="BX601" s="2338"/>
      <c r="BY601" s="2338"/>
      <c r="BZ601" s="2338"/>
      <c r="CA601" s="2338"/>
      <c r="CB601" s="2338"/>
      <c r="CC601" s="2338"/>
      <c r="CD601" s="2338"/>
      <c r="CE601" s="2338"/>
      <c r="CF601" s="2338"/>
      <c r="CG601" s="2338"/>
      <c r="CH601" s="2338"/>
      <c r="CI601" s="2338"/>
      <c r="CJ601" s="2338"/>
      <c r="CK601" s="2338"/>
      <c r="CL601" s="2338"/>
      <c r="CM601" s="2338"/>
      <c r="CN601" s="2338"/>
      <c r="CO601" s="2338"/>
      <c r="CP601" s="2338"/>
      <c r="CQ601" s="2338"/>
      <c r="CR601" s="2338"/>
      <c r="CS601" s="2338"/>
      <c r="CT601" s="2338"/>
      <c r="CU601" s="2338"/>
      <c r="CV601" s="2338"/>
      <c r="CW601" s="2338"/>
      <c r="CX601" s="2338"/>
      <c r="CY601" s="2338"/>
      <c r="CZ601" s="2338"/>
      <c r="DA601" s="2338"/>
      <c r="DB601" s="2338"/>
      <c r="DC601" s="2338"/>
      <c r="DD601" s="2338"/>
      <c r="DE601" s="2338"/>
      <c r="DF601" s="2338"/>
      <c r="DG601" s="2338"/>
    </row>
    <row r="602" spans="1:111" s="1118" customFormat="1" ht="15.75" hidden="1" customHeight="1" outlineLevel="1">
      <c r="A602" s="2567"/>
      <c r="B602" s="3152" t="s">
        <v>2952</v>
      </c>
      <c r="C602" s="3152"/>
      <c r="D602" s="3152"/>
      <c r="E602" s="3153" t="s">
        <v>3871</v>
      </c>
      <c r="F602" s="2713" t="s">
        <v>2629</v>
      </c>
      <c r="G602" s="2675"/>
      <c r="H602" s="2785"/>
      <c r="I602" s="2785"/>
      <c r="J602" s="2785"/>
      <c r="K602" s="2785"/>
      <c r="L602" s="2785"/>
      <c r="M602" s="2785"/>
      <c r="N602" s="2785"/>
      <c r="O602" s="2785"/>
      <c r="P602" s="2785"/>
      <c r="Q602" s="2745"/>
      <c r="R602" s="2745"/>
      <c r="S602" s="2745"/>
      <c r="T602" s="2745"/>
      <c r="U602" s="2745"/>
      <c r="V602" s="2567"/>
      <c r="W602" s="2567"/>
      <c r="X602" s="2567"/>
      <c r="Y602" s="2567"/>
      <c r="Z602" s="2596">
        <v>1.0528</v>
      </c>
      <c r="AA602" s="2565">
        <v>1.06395203770775</v>
      </c>
      <c r="AB602" s="2565">
        <v>1.05001869746847</v>
      </c>
      <c r="AC602" s="2565">
        <v>1.0469610363690101</v>
      </c>
      <c r="AD602" s="2642"/>
      <c r="AE602" s="2642"/>
      <c r="AF602" s="2642"/>
      <c r="AG602" s="2642"/>
      <c r="AH602" s="2642"/>
      <c r="AI602" s="2642"/>
      <c r="AJ602" s="2566"/>
      <c r="AK602" s="2338"/>
      <c r="AL602" s="2338"/>
      <c r="AM602" s="2338"/>
      <c r="AN602" s="2338"/>
      <c r="AO602" s="2338"/>
      <c r="AP602" s="2338"/>
      <c r="AQ602" s="2338"/>
      <c r="AR602" s="2338"/>
      <c r="AS602" s="2338"/>
      <c r="AT602" s="2338"/>
      <c r="AU602" s="2338"/>
      <c r="AV602" s="2338"/>
      <c r="AW602" s="2338"/>
      <c r="AX602" s="2338"/>
      <c r="AY602" s="2338"/>
      <c r="AZ602" s="2338"/>
      <c r="BA602" s="2338"/>
      <c r="BB602" s="2338"/>
      <c r="BC602" s="2338"/>
      <c r="BD602" s="2338"/>
      <c r="BE602" s="2338"/>
      <c r="BF602" s="2338"/>
      <c r="BG602" s="2338"/>
      <c r="BH602" s="2338"/>
      <c r="BI602" s="2338"/>
      <c r="BJ602" s="2338"/>
      <c r="BK602" s="2338"/>
      <c r="BL602" s="2338"/>
      <c r="BM602" s="2338"/>
      <c r="BN602" s="2338"/>
      <c r="BO602" s="2338"/>
      <c r="BP602" s="2338"/>
      <c r="BQ602" s="2338"/>
      <c r="BR602" s="2338"/>
      <c r="BS602" s="2338"/>
      <c r="BT602" s="2338"/>
      <c r="BU602" s="2338"/>
      <c r="BV602" s="2338"/>
      <c r="BW602" s="2338"/>
      <c r="BX602" s="2338"/>
      <c r="BY602" s="2338"/>
      <c r="BZ602" s="2338"/>
      <c r="CA602" s="2338"/>
      <c r="CB602" s="2338"/>
      <c r="CC602" s="2338"/>
      <c r="CD602" s="2338"/>
      <c r="CE602" s="2338"/>
      <c r="CF602" s="2338"/>
      <c r="CG602" s="2338"/>
      <c r="CH602" s="2338"/>
      <c r="CI602" s="2338"/>
      <c r="CJ602" s="2338"/>
      <c r="CK602" s="2338"/>
      <c r="CL602" s="2338"/>
      <c r="CM602" s="2338"/>
      <c r="CN602" s="2338"/>
      <c r="CO602" s="2338"/>
      <c r="CP602" s="2338"/>
      <c r="CQ602" s="2338"/>
      <c r="CR602" s="2338"/>
      <c r="CS602" s="2338"/>
      <c r="CT602" s="2338"/>
      <c r="CU602" s="2338"/>
      <c r="CV602" s="2338"/>
      <c r="CW602" s="2338"/>
      <c r="CX602" s="2338"/>
      <c r="CY602" s="2338"/>
      <c r="CZ602" s="2338"/>
      <c r="DA602" s="2338"/>
      <c r="DB602" s="2338"/>
      <c r="DC602" s="2338"/>
      <c r="DD602" s="2338"/>
      <c r="DE602" s="2338"/>
      <c r="DF602" s="2338"/>
      <c r="DG602" s="2338"/>
    </row>
    <row r="603" spans="1:111" s="1118" customFormat="1" ht="14.25" hidden="1" customHeight="1" outlineLevel="1">
      <c r="A603" s="2567"/>
      <c r="B603" s="3152"/>
      <c r="C603" s="3152"/>
      <c r="D603" s="3152"/>
      <c r="E603" s="3153"/>
      <c r="F603" s="2713" t="s">
        <v>2631</v>
      </c>
      <c r="G603" s="2712"/>
      <c r="H603" s="2737"/>
      <c r="I603" s="2737"/>
      <c r="J603" s="2737"/>
      <c r="K603" s="2737"/>
      <c r="L603" s="2737"/>
      <c r="M603" s="2737"/>
      <c r="N603" s="2737"/>
      <c r="O603" s="2737"/>
      <c r="P603" s="2737"/>
      <c r="Q603" s="2754"/>
      <c r="R603" s="2737"/>
      <c r="S603" s="2737"/>
      <c r="T603" s="2737"/>
      <c r="U603" s="2737"/>
      <c r="V603" s="2566"/>
      <c r="W603" s="2566"/>
      <c r="X603" s="2566"/>
      <c r="Y603" s="2566"/>
      <c r="Z603" s="2642"/>
      <c r="AA603" s="2642"/>
      <c r="AB603" s="2642"/>
      <c r="AC603" s="2642"/>
      <c r="AD603" s="2642"/>
      <c r="AE603" s="2642"/>
      <c r="AF603" s="2642"/>
      <c r="AG603" s="2642"/>
      <c r="AH603" s="2642"/>
      <c r="AI603" s="2642"/>
      <c r="AJ603" s="2566"/>
      <c r="AK603" s="2338"/>
      <c r="AL603" s="2338"/>
      <c r="AM603" s="2338"/>
      <c r="AN603" s="2338"/>
      <c r="AO603" s="2338"/>
      <c r="AP603" s="2338"/>
      <c r="AQ603" s="2338"/>
      <c r="AR603" s="2338"/>
      <c r="AS603" s="2338"/>
      <c r="AT603" s="2338"/>
      <c r="AU603" s="2338"/>
      <c r="AV603" s="2338"/>
      <c r="AW603" s="2338"/>
      <c r="AX603" s="2338"/>
      <c r="AY603" s="2338"/>
      <c r="AZ603" s="2338"/>
      <c r="BA603" s="2338"/>
      <c r="BB603" s="2338"/>
      <c r="BC603" s="2338"/>
      <c r="BD603" s="2338"/>
      <c r="BE603" s="2338"/>
      <c r="BF603" s="2338"/>
      <c r="BG603" s="2338"/>
      <c r="BH603" s="2338"/>
      <c r="BI603" s="2338"/>
      <c r="BJ603" s="2338"/>
      <c r="BK603" s="2338"/>
      <c r="BL603" s="2338"/>
      <c r="BM603" s="2338"/>
      <c r="BN603" s="2338"/>
      <c r="BO603" s="2338"/>
      <c r="BP603" s="2338"/>
      <c r="BQ603" s="2338"/>
      <c r="BR603" s="2338"/>
      <c r="BS603" s="2338"/>
      <c r="BT603" s="2338"/>
      <c r="BU603" s="2338"/>
      <c r="BV603" s="2338"/>
      <c r="BW603" s="2338"/>
      <c r="BX603" s="2338"/>
      <c r="BY603" s="2338"/>
      <c r="BZ603" s="2338"/>
      <c r="CA603" s="2338"/>
      <c r="CB603" s="2338"/>
      <c r="CC603" s="2338"/>
      <c r="CD603" s="2338"/>
      <c r="CE603" s="2338"/>
      <c r="CF603" s="2338"/>
      <c r="CG603" s="2338"/>
      <c r="CH603" s="2338"/>
      <c r="CI603" s="2338"/>
      <c r="CJ603" s="2338"/>
      <c r="CK603" s="2338"/>
      <c r="CL603" s="2338"/>
      <c r="CM603" s="2338"/>
      <c r="CN603" s="2338"/>
      <c r="CO603" s="2338"/>
      <c r="CP603" s="2338"/>
      <c r="CQ603" s="2338"/>
      <c r="CR603" s="2338"/>
      <c r="CS603" s="2338"/>
      <c r="CT603" s="2338"/>
      <c r="CU603" s="2338"/>
      <c r="CV603" s="2338"/>
      <c r="CW603" s="2338"/>
      <c r="CX603" s="2338"/>
      <c r="CY603" s="2338"/>
      <c r="CZ603" s="2338"/>
      <c r="DA603" s="2338"/>
      <c r="DB603" s="2338"/>
      <c r="DC603" s="2338"/>
      <c r="DD603" s="2338"/>
      <c r="DE603" s="2338"/>
      <c r="DF603" s="2338"/>
      <c r="DG603" s="2338"/>
    </row>
    <row r="604" spans="1:111" s="1118" customFormat="1" ht="15" hidden="1" customHeight="1" outlineLevel="1">
      <c r="A604" s="2567"/>
      <c r="B604" s="3152"/>
      <c r="C604" s="3152"/>
      <c r="D604" s="3152"/>
      <c r="E604" s="3153"/>
      <c r="F604" s="2713" t="s">
        <v>2633</v>
      </c>
      <c r="G604" s="2712"/>
      <c r="H604" s="2737"/>
      <c r="I604" s="2737"/>
      <c r="J604" s="2737"/>
      <c r="K604" s="2737"/>
      <c r="L604" s="2737"/>
      <c r="M604" s="2737"/>
      <c r="N604" s="2737"/>
      <c r="O604" s="2737"/>
      <c r="P604" s="2737"/>
      <c r="Q604" s="2754"/>
      <c r="R604" s="2737"/>
      <c r="S604" s="2737"/>
      <c r="T604" s="2737"/>
      <c r="U604" s="2737"/>
      <c r="V604" s="2566"/>
      <c r="W604" s="2566"/>
      <c r="X604" s="2566"/>
      <c r="Y604" s="2566"/>
      <c r="Z604" s="2642"/>
      <c r="AA604" s="2642"/>
      <c r="AB604" s="2642"/>
      <c r="AC604" s="2642"/>
      <c r="AD604" s="2642"/>
      <c r="AE604" s="2642"/>
      <c r="AF604" s="2642"/>
      <c r="AG604" s="2642"/>
      <c r="AH604" s="2642"/>
      <c r="AI604" s="2642"/>
      <c r="AJ604" s="2566"/>
      <c r="AK604" s="2338"/>
      <c r="AL604" s="2338"/>
      <c r="AM604" s="2338"/>
      <c r="AN604" s="2338"/>
      <c r="AO604" s="2338"/>
      <c r="AP604" s="2338"/>
      <c r="AQ604" s="2338"/>
      <c r="AR604" s="2338"/>
      <c r="AS604" s="2338"/>
      <c r="AT604" s="2338"/>
      <c r="AU604" s="2338"/>
      <c r="AV604" s="2338"/>
      <c r="AW604" s="2338"/>
      <c r="AX604" s="2338"/>
      <c r="AY604" s="2338"/>
      <c r="AZ604" s="2338"/>
      <c r="BA604" s="2338"/>
      <c r="BB604" s="2338"/>
      <c r="BC604" s="2338"/>
      <c r="BD604" s="2338"/>
      <c r="BE604" s="2338"/>
      <c r="BF604" s="2338"/>
      <c r="BG604" s="2338"/>
      <c r="BH604" s="2338"/>
      <c r="BI604" s="2338"/>
      <c r="BJ604" s="2338"/>
      <c r="BK604" s="2338"/>
      <c r="BL604" s="2338"/>
      <c r="BM604" s="2338"/>
      <c r="BN604" s="2338"/>
      <c r="BO604" s="2338"/>
      <c r="BP604" s="2338"/>
      <c r="BQ604" s="2338"/>
      <c r="BR604" s="2338"/>
      <c r="BS604" s="2338"/>
      <c r="BT604" s="2338"/>
      <c r="BU604" s="2338"/>
      <c r="BV604" s="2338"/>
      <c r="BW604" s="2338"/>
      <c r="BX604" s="2338"/>
      <c r="BY604" s="2338"/>
      <c r="BZ604" s="2338"/>
      <c r="CA604" s="2338"/>
      <c r="CB604" s="2338"/>
      <c r="CC604" s="2338"/>
      <c r="CD604" s="2338"/>
      <c r="CE604" s="2338"/>
      <c r="CF604" s="2338"/>
      <c r="CG604" s="2338"/>
      <c r="CH604" s="2338"/>
      <c r="CI604" s="2338"/>
      <c r="CJ604" s="2338"/>
      <c r="CK604" s="2338"/>
      <c r="CL604" s="2338"/>
      <c r="CM604" s="2338"/>
      <c r="CN604" s="2338"/>
      <c r="CO604" s="2338"/>
      <c r="CP604" s="2338"/>
      <c r="CQ604" s="2338"/>
      <c r="CR604" s="2338"/>
      <c r="CS604" s="2338"/>
      <c r="CT604" s="2338"/>
      <c r="CU604" s="2338"/>
      <c r="CV604" s="2338"/>
      <c r="CW604" s="2338"/>
      <c r="CX604" s="2338"/>
      <c r="CY604" s="2338"/>
      <c r="CZ604" s="2338"/>
      <c r="DA604" s="2338"/>
      <c r="DB604" s="2338"/>
      <c r="DC604" s="2338"/>
      <c r="DD604" s="2338"/>
      <c r="DE604" s="2338"/>
      <c r="DF604" s="2338"/>
      <c r="DG604" s="2338"/>
    </row>
    <row r="605" spans="1:111" s="1118" customFormat="1" ht="15" hidden="1" customHeight="1" outlineLevel="1">
      <c r="A605" s="2567"/>
      <c r="B605" s="3152"/>
      <c r="C605" s="3152"/>
      <c r="D605" s="3152"/>
      <c r="E605" s="3153"/>
      <c r="F605" s="2713" t="s">
        <v>2635</v>
      </c>
      <c r="G605" s="2712"/>
      <c r="H605" s="2737"/>
      <c r="I605" s="2737"/>
      <c r="J605" s="2737"/>
      <c r="K605" s="2737"/>
      <c r="L605" s="2737"/>
      <c r="M605" s="2737"/>
      <c r="N605" s="2737"/>
      <c r="O605" s="2737"/>
      <c r="P605" s="2737"/>
      <c r="Q605" s="2754"/>
      <c r="R605" s="2737"/>
      <c r="S605" s="2737"/>
      <c r="T605" s="2737"/>
      <c r="U605" s="2737"/>
      <c r="V605" s="2566"/>
      <c r="W605" s="2566"/>
      <c r="X605" s="2566"/>
      <c r="Y605" s="2566"/>
      <c r="Z605" s="2642"/>
      <c r="AA605" s="2642"/>
      <c r="AB605" s="2642"/>
      <c r="AC605" s="2642"/>
      <c r="AD605" s="2642"/>
      <c r="AE605" s="2642"/>
      <c r="AF605" s="2642"/>
      <c r="AG605" s="2642"/>
      <c r="AH605" s="2642"/>
      <c r="AI605" s="2642"/>
      <c r="AJ605" s="2566"/>
      <c r="AK605" s="2338"/>
      <c r="AL605" s="2338"/>
      <c r="AM605" s="2338"/>
      <c r="AN605" s="2338"/>
      <c r="AO605" s="2338"/>
      <c r="AP605" s="2338"/>
      <c r="AQ605" s="2338"/>
      <c r="AR605" s="2338"/>
      <c r="AS605" s="2338"/>
      <c r="AT605" s="2338"/>
      <c r="AU605" s="2338"/>
      <c r="AV605" s="2338"/>
      <c r="AW605" s="2338"/>
      <c r="AX605" s="2338"/>
      <c r="AY605" s="2338"/>
      <c r="AZ605" s="2338"/>
      <c r="BA605" s="2338"/>
      <c r="BB605" s="2338"/>
      <c r="BC605" s="2338"/>
      <c r="BD605" s="2338"/>
      <c r="BE605" s="2338"/>
      <c r="BF605" s="2338"/>
      <c r="BG605" s="2338"/>
      <c r="BH605" s="2338"/>
      <c r="BI605" s="2338"/>
      <c r="BJ605" s="2338"/>
      <c r="BK605" s="2338"/>
      <c r="BL605" s="2338"/>
      <c r="BM605" s="2338"/>
      <c r="BN605" s="2338"/>
      <c r="BO605" s="2338"/>
      <c r="BP605" s="2338"/>
      <c r="BQ605" s="2338"/>
      <c r="BR605" s="2338"/>
      <c r="BS605" s="2338"/>
      <c r="BT605" s="2338"/>
      <c r="BU605" s="2338"/>
      <c r="BV605" s="2338"/>
      <c r="BW605" s="2338"/>
      <c r="BX605" s="2338"/>
      <c r="BY605" s="2338"/>
      <c r="BZ605" s="2338"/>
      <c r="CA605" s="2338"/>
      <c r="CB605" s="2338"/>
      <c r="CC605" s="2338"/>
      <c r="CD605" s="2338"/>
      <c r="CE605" s="2338"/>
      <c r="CF605" s="2338"/>
      <c r="CG605" s="2338"/>
      <c r="CH605" s="2338"/>
      <c r="CI605" s="2338"/>
      <c r="CJ605" s="2338"/>
      <c r="CK605" s="2338"/>
      <c r="CL605" s="2338"/>
      <c r="CM605" s="2338"/>
      <c r="CN605" s="2338"/>
      <c r="CO605" s="2338"/>
      <c r="CP605" s="2338"/>
      <c r="CQ605" s="2338"/>
      <c r="CR605" s="2338"/>
      <c r="CS605" s="2338"/>
      <c r="CT605" s="2338"/>
      <c r="CU605" s="2338"/>
      <c r="CV605" s="2338"/>
      <c r="CW605" s="2338"/>
      <c r="CX605" s="2338"/>
      <c r="CY605" s="2338"/>
      <c r="CZ605" s="2338"/>
      <c r="DA605" s="2338"/>
      <c r="DB605" s="2338"/>
      <c r="DC605" s="2338"/>
      <c r="DD605" s="2338"/>
      <c r="DE605" s="2338"/>
      <c r="DF605" s="2338"/>
      <c r="DG605" s="2338"/>
    </row>
    <row r="606" spans="1:111" s="1118" customFormat="1" ht="15" hidden="1" customHeight="1" outlineLevel="1">
      <c r="A606" s="2567"/>
      <c r="B606" s="3152"/>
      <c r="C606" s="3152"/>
      <c r="D606" s="3152"/>
      <c r="E606" s="3153"/>
      <c r="F606" s="2713" t="s">
        <v>2639</v>
      </c>
      <c r="G606" s="2712"/>
      <c r="H606" s="2737"/>
      <c r="I606" s="2737"/>
      <c r="J606" s="2737"/>
      <c r="K606" s="2737"/>
      <c r="L606" s="2737"/>
      <c r="M606" s="2737"/>
      <c r="N606" s="2737"/>
      <c r="O606" s="2737"/>
      <c r="P606" s="2737"/>
      <c r="Q606" s="2754"/>
      <c r="R606" s="2737"/>
      <c r="S606" s="2737"/>
      <c r="T606" s="2737"/>
      <c r="U606" s="2737"/>
      <c r="V606" s="2566"/>
      <c r="W606" s="2566"/>
      <c r="X606" s="2566"/>
      <c r="Y606" s="2566"/>
      <c r="Z606" s="2642"/>
      <c r="AA606" s="2642"/>
      <c r="AB606" s="2642"/>
      <c r="AC606" s="2642"/>
      <c r="AD606" s="2642"/>
      <c r="AE606" s="2642"/>
      <c r="AF606" s="2642"/>
      <c r="AG606" s="2642"/>
      <c r="AH606" s="2642"/>
      <c r="AI606" s="2642"/>
      <c r="AJ606" s="2566"/>
      <c r="AK606" s="2338"/>
      <c r="AL606" s="2338"/>
      <c r="AM606" s="2338"/>
      <c r="AN606" s="2338"/>
      <c r="AO606" s="2338"/>
      <c r="AP606" s="2338"/>
      <c r="AQ606" s="2338"/>
      <c r="AR606" s="2338"/>
      <c r="AS606" s="2338"/>
      <c r="AT606" s="2338"/>
      <c r="AU606" s="2338"/>
      <c r="AV606" s="2338"/>
      <c r="AW606" s="2338"/>
      <c r="AX606" s="2338"/>
      <c r="AY606" s="2338"/>
      <c r="AZ606" s="2338"/>
      <c r="BA606" s="2338"/>
      <c r="BB606" s="2338"/>
      <c r="BC606" s="2338"/>
      <c r="BD606" s="2338"/>
      <c r="BE606" s="2338"/>
      <c r="BF606" s="2338"/>
      <c r="BG606" s="2338"/>
      <c r="BH606" s="2338"/>
      <c r="BI606" s="2338"/>
      <c r="BJ606" s="2338"/>
      <c r="BK606" s="2338"/>
      <c r="BL606" s="2338"/>
      <c r="BM606" s="2338"/>
      <c r="BN606" s="2338"/>
      <c r="BO606" s="2338"/>
      <c r="BP606" s="2338"/>
      <c r="BQ606" s="2338"/>
      <c r="BR606" s="2338"/>
      <c r="BS606" s="2338"/>
      <c r="BT606" s="2338"/>
      <c r="BU606" s="2338"/>
      <c r="BV606" s="2338"/>
      <c r="BW606" s="2338"/>
      <c r="BX606" s="2338"/>
      <c r="BY606" s="2338"/>
      <c r="BZ606" s="2338"/>
      <c r="CA606" s="2338"/>
      <c r="CB606" s="2338"/>
      <c r="CC606" s="2338"/>
      <c r="CD606" s="2338"/>
      <c r="CE606" s="2338"/>
      <c r="CF606" s="2338"/>
      <c r="CG606" s="2338"/>
      <c r="CH606" s="2338"/>
      <c r="CI606" s="2338"/>
      <c r="CJ606" s="2338"/>
      <c r="CK606" s="2338"/>
      <c r="CL606" s="2338"/>
      <c r="CM606" s="2338"/>
      <c r="CN606" s="2338"/>
      <c r="CO606" s="2338"/>
      <c r="CP606" s="2338"/>
      <c r="CQ606" s="2338"/>
      <c r="CR606" s="2338"/>
      <c r="CS606" s="2338"/>
      <c r="CT606" s="2338"/>
      <c r="CU606" s="2338"/>
      <c r="CV606" s="2338"/>
      <c r="CW606" s="2338"/>
      <c r="CX606" s="2338"/>
      <c r="CY606" s="2338"/>
      <c r="CZ606" s="2338"/>
      <c r="DA606" s="2338"/>
      <c r="DB606" s="2338"/>
      <c r="DC606" s="2338"/>
      <c r="DD606" s="2338"/>
      <c r="DE606" s="2338"/>
      <c r="DF606" s="2338"/>
      <c r="DG606" s="2338"/>
    </row>
    <row r="607" spans="1:111" s="1118" customFormat="1" ht="15" hidden="1" customHeight="1" outlineLevel="1">
      <c r="A607" s="2567"/>
      <c r="B607" s="3152"/>
      <c r="C607" s="3152"/>
      <c r="D607" s="3152"/>
      <c r="E607" s="3153"/>
      <c r="F607" s="2713" t="s">
        <v>3872</v>
      </c>
      <c r="G607" s="2712"/>
      <c r="H607" s="2737"/>
      <c r="I607" s="2737"/>
      <c r="J607" s="2737"/>
      <c r="K607" s="2737"/>
      <c r="L607" s="2737"/>
      <c r="M607" s="2737"/>
      <c r="N607" s="2737"/>
      <c r="O607" s="2737"/>
      <c r="P607" s="2737"/>
      <c r="Q607" s="2754"/>
      <c r="R607" s="2737"/>
      <c r="S607" s="2737"/>
      <c r="T607" s="2737"/>
      <c r="U607" s="2737"/>
      <c r="V607" s="2566"/>
      <c r="W607" s="2566"/>
      <c r="X607" s="2566"/>
      <c r="Y607" s="2566"/>
      <c r="Z607" s="2642"/>
      <c r="AA607" s="2642"/>
      <c r="AB607" s="2642"/>
      <c r="AC607" s="2642"/>
      <c r="AD607" s="2642"/>
      <c r="AE607" s="2642"/>
      <c r="AF607" s="2642"/>
      <c r="AG607" s="2642"/>
      <c r="AH607" s="2642"/>
      <c r="AI607" s="2642"/>
      <c r="AJ607" s="2566"/>
      <c r="AK607" s="2338"/>
      <c r="AL607" s="2338"/>
      <c r="AM607" s="2338"/>
      <c r="AN607" s="2338"/>
      <c r="AO607" s="2338"/>
      <c r="AP607" s="2338"/>
      <c r="AQ607" s="2338"/>
      <c r="AR607" s="2338"/>
      <c r="AS607" s="2338"/>
      <c r="AT607" s="2338"/>
      <c r="AU607" s="2338"/>
      <c r="AV607" s="2338"/>
      <c r="AW607" s="2338"/>
      <c r="AX607" s="2338"/>
      <c r="AY607" s="2338"/>
      <c r="AZ607" s="2338"/>
      <c r="BA607" s="2338"/>
      <c r="BB607" s="2338"/>
      <c r="BC607" s="2338"/>
      <c r="BD607" s="2338"/>
      <c r="BE607" s="2338"/>
      <c r="BF607" s="2338"/>
      <c r="BG607" s="2338"/>
      <c r="BH607" s="2338"/>
      <c r="BI607" s="2338"/>
      <c r="BJ607" s="2338"/>
      <c r="BK607" s="2338"/>
      <c r="BL607" s="2338"/>
      <c r="BM607" s="2338"/>
      <c r="BN607" s="2338"/>
      <c r="BO607" s="2338"/>
      <c r="BP607" s="2338"/>
      <c r="BQ607" s="2338"/>
      <c r="BR607" s="2338"/>
      <c r="BS607" s="2338"/>
      <c r="BT607" s="2338"/>
      <c r="BU607" s="2338"/>
      <c r="BV607" s="2338"/>
      <c r="BW607" s="2338"/>
      <c r="BX607" s="2338"/>
      <c r="BY607" s="2338"/>
      <c r="BZ607" s="2338"/>
      <c r="CA607" s="2338"/>
      <c r="CB607" s="2338"/>
      <c r="CC607" s="2338"/>
      <c r="CD607" s="2338"/>
      <c r="CE607" s="2338"/>
      <c r="CF607" s="2338"/>
      <c r="CG607" s="2338"/>
      <c r="CH607" s="2338"/>
      <c r="CI607" s="2338"/>
      <c r="CJ607" s="2338"/>
      <c r="CK607" s="2338"/>
      <c r="CL607" s="2338"/>
      <c r="CM607" s="2338"/>
      <c r="CN607" s="2338"/>
      <c r="CO607" s="2338"/>
      <c r="CP607" s="2338"/>
      <c r="CQ607" s="2338"/>
      <c r="CR607" s="2338"/>
      <c r="CS607" s="2338"/>
      <c r="CT607" s="2338"/>
      <c r="CU607" s="2338"/>
      <c r="CV607" s="2338"/>
      <c r="CW607" s="2338"/>
      <c r="CX607" s="2338"/>
      <c r="CY607" s="2338"/>
      <c r="CZ607" s="2338"/>
      <c r="DA607" s="2338"/>
      <c r="DB607" s="2338"/>
      <c r="DC607" s="2338"/>
      <c r="DD607" s="2338"/>
      <c r="DE607" s="2338"/>
      <c r="DF607" s="2338"/>
      <c r="DG607" s="2338"/>
    </row>
    <row r="608" spans="1:111" s="1118" customFormat="1" ht="15" hidden="1" customHeight="1" outlineLevel="1">
      <c r="A608" s="2567"/>
      <c r="B608" s="3152"/>
      <c r="C608" s="3152"/>
      <c r="D608" s="3152"/>
      <c r="E608" s="3153" t="s">
        <v>3873</v>
      </c>
      <c r="F608" s="2713" t="s">
        <v>2629</v>
      </c>
      <c r="G608" s="2712"/>
      <c r="H608" s="2737"/>
      <c r="I608" s="2737"/>
      <c r="J608" s="2737"/>
      <c r="K608" s="2737"/>
      <c r="L608" s="2737"/>
      <c r="M608" s="2737"/>
      <c r="N608" s="2737"/>
      <c r="O608" s="2737"/>
      <c r="P608" s="2737"/>
      <c r="Q608" s="2754"/>
      <c r="R608" s="2737"/>
      <c r="S608" s="2737"/>
      <c r="T608" s="2737"/>
      <c r="U608" s="2737"/>
      <c r="V608" s="2566"/>
      <c r="W608" s="2566"/>
      <c r="X608" s="2566"/>
      <c r="Y608" s="2566"/>
      <c r="Z608" s="2642"/>
      <c r="AA608" s="2642"/>
      <c r="AB608" s="2642"/>
      <c r="AC608" s="2642"/>
      <c r="AD608" s="2642"/>
      <c r="AE608" s="2642"/>
      <c r="AF608" s="2642"/>
      <c r="AG608" s="2642"/>
      <c r="AH608" s="2642"/>
      <c r="AI608" s="2642"/>
      <c r="AJ608" s="2566"/>
      <c r="AK608" s="2338"/>
      <c r="AL608" s="2338"/>
      <c r="AM608" s="2338"/>
      <c r="AN608" s="2338"/>
      <c r="AO608" s="2338"/>
      <c r="AP608" s="2338"/>
      <c r="AQ608" s="2338"/>
      <c r="AR608" s="2338"/>
      <c r="AS608" s="2338"/>
      <c r="AT608" s="2338"/>
      <c r="AU608" s="2338"/>
      <c r="AV608" s="2338"/>
      <c r="AW608" s="2338"/>
      <c r="AX608" s="2338"/>
      <c r="AY608" s="2338"/>
      <c r="AZ608" s="2338"/>
      <c r="BA608" s="2338"/>
      <c r="BB608" s="2338"/>
      <c r="BC608" s="2338"/>
      <c r="BD608" s="2338"/>
      <c r="BE608" s="2338"/>
      <c r="BF608" s="2338"/>
      <c r="BG608" s="2338"/>
      <c r="BH608" s="2338"/>
      <c r="BI608" s="2338"/>
      <c r="BJ608" s="2338"/>
      <c r="BK608" s="2338"/>
      <c r="BL608" s="2338"/>
      <c r="BM608" s="2338"/>
      <c r="BN608" s="2338"/>
      <c r="BO608" s="2338"/>
      <c r="BP608" s="2338"/>
      <c r="BQ608" s="2338"/>
      <c r="BR608" s="2338"/>
      <c r="BS608" s="2338"/>
      <c r="BT608" s="2338"/>
      <c r="BU608" s="2338"/>
      <c r="BV608" s="2338"/>
      <c r="BW608" s="2338"/>
      <c r="BX608" s="2338"/>
      <c r="BY608" s="2338"/>
      <c r="BZ608" s="2338"/>
      <c r="CA608" s="2338"/>
      <c r="CB608" s="2338"/>
      <c r="CC608" s="2338"/>
      <c r="CD608" s="2338"/>
      <c r="CE608" s="2338"/>
      <c r="CF608" s="2338"/>
      <c r="CG608" s="2338"/>
      <c r="CH608" s="2338"/>
      <c r="CI608" s="2338"/>
      <c r="CJ608" s="2338"/>
      <c r="CK608" s="2338"/>
      <c r="CL608" s="2338"/>
      <c r="CM608" s="2338"/>
      <c r="CN608" s="2338"/>
      <c r="CO608" s="2338"/>
      <c r="CP608" s="2338"/>
      <c r="CQ608" s="2338"/>
      <c r="CR608" s="2338"/>
      <c r="CS608" s="2338"/>
      <c r="CT608" s="2338"/>
      <c r="CU608" s="2338"/>
      <c r="CV608" s="2338"/>
      <c r="CW608" s="2338"/>
      <c r="CX608" s="2338"/>
      <c r="CY608" s="2338"/>
      <c r="CZ608" s="2338"/>
      <c r="DA608" s="2338"/>
      <c r="DB608" s="2338"/>
      <c r="DC608" s="2338"/>
      <c r="DD608" s="2338"/>
      <c r="DE608" s="2338"/>
      <c r="DF608" s="2338"/>
      <c r="DG608" s="2338"/>
    </row>
    <row r="609" spans="1:111" s="1118" customFormat="1" ht="15" hidden="1" customHeight="1" outlineLevel="1">
      <c r="A609" s="2567"/>
      <c r="B609" s="3152"/>
      <c r="C609" s="3152"/>
      <c r="D609" s="3152"/>
      <c r="E609" s="3153"/>
      <c r="F609" s="2713" t="s">
        <v>2631</v>
      </c>
      <c r="G609" s="2712"/>
      <c r="H609" s="2737"/>
      <c r="I609" s="2737"/>
      <c r="J609" s="2737"/>
      <c r="K609" s="2737"/>
      <c r="L609" s="2737"/>
      <c r="M609" s="2737"/>
      <c r="N609" s="2737"/>
      <c r="O609" s="2737"/>
      <c r="P609" s="2737"/>
      <c r="Q609" s="2754"/>
      <c r="R609" s="2737"/>
      <c r="S609" s="2737"/>
      <c r="T609" s="2737"/>
      <c r="U609" s="2737"/>
      <c r="V609" s="2566"/>
      <c r="W609" s="2566"/>
      <c r="X609" s="2566"/>
      <c r="Y609" s="2566"/>
      <c r="Z609" s="2642"/>
      <c r="AA609" s="2642"/>
      <c r="AB609" s="2642"/>
      <c r="AC609" s="2642"/>
      <c r="AD609" s="2642"/>
      <c r="AE609" s="2642"/>
      <c r="AF609" s="2642"/>
      <c r="AG609" s="2642"/>
      <c r="AH609" s="2642"/>
      <c r="AI609" s="2642"/>
      <c r="AJ609" s="2566"/>
      <c r="AK609" s="2338"/>
      <c r="AL609" s="2338"/>
      <c r="AM609" s="2338"/>
      <c r="AN609" s="2338"/>
      <c r="AO609" s="2338"/>
      <c r="AP609" s="2338"/>
      <c r="AQ609" s="2338"/>
      <c r="AR609" s="2338"/>
      <c r="AS609" s="2338"/>
      <c r="AT609" s="2338"/>
      <c r="AU609" s="2338"/>
      <c r="AV609" s="2338"/>
      <c r="AW609" s="2338"/>
      <c r="AX609" s="2338"/>
      <c r="AY609" s="2338"/>
      <c r="AZ609" s="2338"/>
      <c r="BA609" s="2338"/>
      <c r="BB609" s="2338"/>
      <c r="BC609" s="2338"/>
      <c r="BD609" s="2338"/>
      <c r="BE609" s="2338"/>
      <c r="BF609" s="2338"/>
      <c r="BG609" s="2338"/>
      <c r="BH609" s="2338"/>
      <c r="BI609" s="2338"/>
      <c r="BJ609" s="2338"/>
      <c r="BK609" s="2338"/>
      <c r="BL609" s="2338"/>
      <c r="BM609" s="2338"/>
      <c r="BN609" s="2338"/>
      <c r="BO609" s="2338"/>
      <c r="BP609" s="2338"/>
      <c r="BQ609" s="2338"/>
      <c r="BR609" s="2338"/>
      <c r="BS609" s="2338"/>
      <c r="BT609" s="2338"/>
      <c r="BU609" s="2338"/>
      <c r="BV609" s="2338"/>
      <c r="BW609" s="2338"/>
      <c r="BX609" s="2338"/>
      <c r="BY609" s="2338"/>
      <c r="BZ609" s="2338"/>
      <c r="CA609" s="2338"/>
      <c r="CB609" s="2338"/>
      <c r="CC609" s="2338"/>
      <c r="CD609" s="2338"/>
      <c r="CE609" s="2338"/>
      <c r="CF609" s="2338"/>
      <c r="CG609" s="2338"/>
      <c r="CH609" s="2338"/>
      <c r="CI609" s="2338"/>
      <c r="CJ609" s="2338"/>
      <c r="CK609" s="2338"/>
      <c r="CL609" s="2338"/>
      <c r="CM609" s="2338"/>
      <c r="CN609" s="2338"/>
      <c r="CO609" s="2338"/>
      <c r="CP609" s="2338"/>
      <c r="CQ609" s="2338"/>
      <c r="CR609" s="2338"/>
      <c r="CS609" s="2338"/>
      <c r="CT609" s="2338"/>
      <c r="CU609" s="2338"/>
      <c r="CV609" s="2338"/>
      <c r="CW609" s="2338"/>
      <c r="CX609" s="2338"/>
      <c r="CY609" s="2338"/>
      <c r="CZ609" s="2338"/>
      <c r="DA609" s="2338"/>
      <c r="DB609" s="2338"/>
      <c r="DC609" s="2338"/>
      <c r="DD609" s="2338"/>
      <c r="DE609" s="2338"/>
      <c r="DF609" s="2338"/>
      <c r="DG609" s="2338"/>
    </row>
    <row r="610" spans="1:111" s="1118" customFormat="1" ht="15" hidden="1" customHeight="1" outlineLevel="1">
      <c r="A610" s="2567"/>
      <c r="B610" s="3152"/>
      <c r="C610" s="3152"/>
      <c r="D610" s="3152"/>
      <c r="E610" s="3153"/>
      <c r="F610" s="2713" t="s">
        <v>2633</v>
      </c>
      <c r="G610" s="2712"/>
      <c r="H610" s="2737"/>
      <c r="I610" s="2737"/>
      <c r="J610" s="2737"/>
      <c r="K610" s="2737"/>
      <c r="L610" s="2737"/>
      <c r="M610" s="2737"/>
      <c r="N610" s="2737"/>
      <c r="O610" s="2737"/>
      <c r="P610" s="2737"/>
      <c r="Q610" s="2754"/>
      <c r="R610" s="2737"/>
      <c r="S610" s="2737"/>
      <c r="T610" s="2737"/>
      <c r="U610" s="2737"/>
      <c r="V610" s="2566"/>
      <c r="W610" s="2566"/>
      <c r="X610" s="2566"/>
      <c r="Y610" s="2566"/>
      <c r="Z610" s="2642"/>
      <c r="AA610" s="2642"/>
      <c r="AB610" s="2642"/>
      <c r="AC610" s="2642"/>
      <c r="AD610" s="2642"/>
      <c r="AE610" s="2642"/>
      <c r="AF610" s="2642"/>
      <c r="AG610" s="2642"/>
      <c r="AH610" s="2642"/>
      <c r="AI610" s="2642"/>
      <c r="AJ610" s="2566"/>
      <c r="AK610" s="2338"/>
      <c r="AL610" s="2338"/>
      <c r="AM610" s="2338"/>
      <c r="AN610" s="2338"/>
      <c r="AO610" s="2338"/>
      <c r="AP610" s="2338"/>
      <c r="AQ610" s="2338"/>
      <c r="AR610" s="2338"/>
      <c r="AS610" s="2338"/>
      <c r="AT610" s="2338"/>
      <c r="AU610" s="2338"/>
      <c r="AV610" s="2338"/>
      <c r="AW610" s="2338"/>
      <c r="AX610" s="2338"/>
      <c r="AY610" s="2338"/>
      <c r="AZ610" s="2338"/>
      <c r="BA610" s="2338"/>
      <c r="BB610" s="2338"/>
      <c r="BC610" s="2338"/>
      <c r="BD610" s="2338"/>
      <c r="BE610" s="2338"/>
      <c r="BF610" s="2338"/>
      <c r="BG610" s="2338"/>
      <c r="BH610" s="2338"/>
      <c r="BI610" s="2338"/>
      <c r="BJ610" s="2338"/>
      <c r="BK610" s="2338"/>
      <c r="BL610" s="2338"/>
      <c r="BM610" s="2338"/>
      <c r="BN610" s="2338"/>
      <c r="BO610" s="2338"/>
      <c r="BP610" s="2338"/>
      <c r="BQ610" s="2338"/>
      <c r="BR610" s="2338"/>
      <c r="BS610" s="2338"/>
      <c r="BT610" s="2338"/>
      <c r="BU610" s="2338"/>
      <c r="BV610" s="2338"/>
      <c r="BW610" s="2338"/>
      <c r="BX610" s="2338"/>
      <c r="BY610" s="2338"/>
      <c r="BZ610" s="2338"/>
      <c r="CA610" s="2338"/>
      <c r="CB610" s="2338"/>
      <c r="CC610" s="2338"/>
      <c r="CD610" s="2338"/>
      <c r="CE610" s="2338"/>
      <c r="CF610" s="2338"/>
      <c r="CG610" s="2338"/>
      <c r="CH610" s="2338"/>
      <c r="CI610" s="2338"/>
      <c r="CJ610" s="2338"/>
      <c r="CK610" s="2338"/>
      <c r="CL610" s="2338"/>
      <c r="CM610" s="2338"/>
      <c r="CN610" s="2338"/>
      <c r="CO610" s="2338"/>
      <c r="CP610" s="2338"/>
      <c r="CQ610" s="2338"/>
      <c r="CR610" s="2338"/>
      <c r="CS610" s="2338"/>
      <c r="CT610" s="2338"/>
      <c r="CU610" s="2338"/>
      <c r="CV610" s="2338"/>
      <c r="CW610" s="2338"/>
      <c r="CX610" s="2338"/>
      <c r="CY610" s="2338"/>
      <c r="CZ610" s="2338"/>
      <c r="DA610" s="2338"/>
      <c r="DB610" s="2338"/>
      <c r="DC610" s="2338"/>
      <c r="DD610" s="2338"/>
      <c r="DE610" s="2338"/>
      <c r="DF610" s="2338"/>
      <c r="DG610" s="2338"/>
    </row>
    <row r="611" spans="1:111" s="1118" customFormat="1" ht="15" hidden="1" customHeight="1" outlineLevel="1">
      <c r="A611" s="2567"/>
      <c r="B611" s="3152"/>
      <c r="C611" s="3152"/>
      <c r="D611" s="3152"/>
      <c r="E611" s="3153"/>
      <c r="F611" s="2713" t="s">
        <v>2635</v>
      </c>
      <c r="G611" s="2712"/>
      <c r="H611" s="2737"/>
      <c r="I611" s="2737"/>
      <c r="J611" s="2737"/>
      <c r="K611" s="2737"/>
      <c r="L611" s="2737"/>
      <c r="M611" s="2737"/>
      <c r="N611" s="2737"/>
      <c r="O611" s="2737"/>
      <c r="P611" s="2737"/>
      <c r="Q611" s="2754"/>
      <c r="R611" s="2737"/>
      <c r="S611" s="2737"/>
      <c r="T611" s="2737"/>
      <c r="U611" s="2737"/>
      <c r="V611" s="2566"/>
      <c r="W611" s="2566"/>
      <c r="X611" s="2566"/>
      <c r="Y611" s="2566"/>
      <c r="Z611" s="2642"/>
      <c r="AA611" s="2642"/>
      <c r="AB611" s="2642"/>
      <c r="AC611" s="2642"/>
      <c r="AD611" s="2642"/>
      <c r="AE611" s="2642"/>
      <c r="AF611" s="2642"/>
      <c r="AG611" s="2642"/>
      <c r="AH611" s="2642"/>
      <c r="AI611" s="2642"/>
      <c r="AJ611" s="2566"/>
      <c r="AK611" s="2338"/>
      <c r="AL611" s="2338"/>
      <c r="AM611" s="2338"/>
      <c r="AN611" s="2338"/>
      <c r="AO611" s="2338"/>
      <c r="AP611" s="2338"/>
      <c r="AQ611" s="2338"/>
      <c r="AR611" s="2338"/>
      <c r="AS611" s="2338"/>
      <c r="AT611" s="2338"/>
      <c r="AU611" s="2338"/>
      <c r="AV611" s="2338"/>
      <c r="AW611" s="2338"/>
      <c r="AX611" s="2338"/>
      <c r="AY611" s="2338"/>
      <c r="AZ611" s="2338"/>
      <c r="BA611" s="2338"/>
      <c r="BB611" s="2338"/>
      <c r="BC611" s="2338"/>
      <c r="BD611" s="2338"/>
      <c r="BE611" s="2338"/>
      <c r="BF611" s="2338"/>
      <c r="BG611" s="2338"/>
      <c r="BH611" s="2338"/>
      <c r="BI611" s="2338"/>
      <c r="BJ611" s="2338"/>
      <c r="BK611" s="2338"/>
      <c r="BL611" s="2338"/>
      <c r="BM611" s="2338"/>
      <c r="BN611" s="2338"/>
      <c r="BO611" s="2338"/>
      <c r="BP611" s="2338"/>
      <c r="BQ611" s="2338"/>
      <c r="BR611" s="2338"/>
      <c r="BS611" s="2338"/>
      <c r="BT611" s="2338"/>
      <c r="BU611" s="2338"/>
      <c r="BV611" s="2338"/>
      <c r="BW611" s="2338"/>
      <c r="BX611" s="2338"/>
      <c r="BY611" s="2338"/>
      <c r="BZ611" s="2338"/>
      <c r="CA611" s="2338"/>
      <c r="CB611" s="2338"/>
      <c r="CC611" s="2338"/>
      <c r="CD611" s="2338"/>
      <c r="CE611" s="2338"/>
      <c r="CF611" s="2338"/>
      <c r="CG611" s="2338"/>
      <c r="CH611" s="2338"/>
      <c r="CI611" s="2338"/>
      <c r="CJ611" s="2338"/>
      <c r="CK611" s="2338"/>
      <c r="CL611" s="2338"/>
      <c r="CM611" s="2338"/>
      <c r="CN611" s="2338"/>
      <c r="CO611" s="2338"/>
      <c r="CP611" s="2338"/>
      <c r="CQ611" s="2338"/>
      <c r="CR611" s="2338"/>
      <c r="CS611" s="2338"/>
      <c r="CT611" s="2338"/>
      <c r="CU611" s="2338"/>
      <c r="CV611" s="2338"/>
      <c r="CW611" s="2338"/>
      <c r="CX611" s="2338"/>
      <c r="CY611" s="2338"/>
      <c r="CZ611" s="2338"/>
      <c r="DA611" s="2338"/>
      <c r="DB611" s="2338"/>
      <c r="DC611" s="2338"/>
      <c r="DD611" s="2338"/>
      <c r="DE611" s="2338"/>
      <c r="DF611" s="2338"/>
      <c r="DG611" s="2338"/>
    </row>
    <row r="612" spans="1:111" s="1118" customFormat="1" ht="15" hidden="1" customHeight="1" outlineLevel="1">
      <c r="A612" s="2567"/>
      <c r="B612" s="3152"/>
      <c r="C612" s="3152"/>
      <c r="D612" s="3152"/>
      <c r="E612" s="3153"/>
      <c r="F612" s="2713" t="s">
        <v>2639</v>
      </c>
      <c r="G612" s="2712"/>
      <c r="H612" s="2737"/>
      <c r="I612" s="2737"/>
      <c r="J612" s="2737"/>
      <c r="K612" s="2737"/>
      <c r="L612" s="2737"/>
      <c r="M612" s="2737"/>
      <c r="N612" s="2737"/>
      <c r="O612" s="2737"/>
      <c r="P612" s="2737"/>
      <c r="Q612" s="2754"/>
      <c r="R612" s="2737"/>
      <c r="S612" s="2737"/>
      <c r="T612" s="2737"/>
      <c r="U612" s="2737"/>
      <c r="V612" s="2566"/>
      <c r="W612" s="2566"/>
      <c r="X612" s="2566"/>
      <c r="Y612" s="2566"/>
      <c r="Z612" s="2642"/>
      <c r="AA612" s="2642"/>
      <c r="AB612" s="2642"/>
      <c r="AC612" s="2642"/>
      <c r="AD612" s="2642"/>
      <c r="AE612" s="2642"/>
      <c r="AF612" s="2642"/>
      <c r="AG612" s="2642"/>
      <c r="AH612" s="2642"/>
      <c r="AI612" s="2642"/>
      <c r="AJ612" s="2566"/>
      <c r="AK612" s="2338"/>
      <c r="AL612" s="2338"/>
      <c r="AM612" s="2338"/>
      <c r="AN612" s="2338"/>
      <c r="AO612" s="2338"/>
      <c r="AP612" s="2338"/>
      <c r="AQ612" s="2338"/>
      <c r="AR612" s="2338"/>
      <c r="AS612" s="2338"/>
      <c r="AT612" s="2338"/>
      <c r="AU612" s="2338"/>
      <c r="AV612" s="2338"/>
      <c r="AW612" s="2338"/>
      <c r="AX612" s="2338"/>
      <c r="AY612" s="2338"/>
      <c r="AZ612" s="2338"/>
      <c r="BA612" s="2338"/>
      <c r="BB612" s="2338"/>
      <c r="BC612" s="2338"/>
      <c r="BD612" s="2338"/>
      <c r="BE612" s="2338"/>
      <c r="BF612" s="2338"/>
      <c r="BG612" s="2338"/>
      <c r="BH612" s="2338"/>
      <c r="BI612" s="2338"/>
      <c r="BJ612" s="2338"/>
      <c r="BK612" s="2338"/>
      <c r="BL612" s="2338"/>
      <c r="BM612" s="2338"/>
      <c r="BN612" s="2338"/>
      <c r="BO612" s="2338"/>
      <c r="BP612" s="2338"/>
      <c r="BQ612" s="2338"/>
      <c r="BR612" s="2338"/>
      <c r="BS612" s="2338"/>
      <c r="BT612" s="2338"/>
      <c r="BU612" s="2338"/>
      <c r="BV612" s="2338"/>
      <c r="BW612" s="2338"/>
      <c r="BX612" s="2338"/>
      <c r="BY612" s="2338"/>
      <c r="BZ612" s="2338"/>
      <c r="CA612" s="2338"/>
      <c r="CB612" s="2338"/>
      <c r="CC612" s="2338"/>
      <c r="CD612" s="2338"/>
      <c r="CE612" s="2338"/>
      <c r="CF612" s="2338"/>
      <c r="CG612" s="2338"/>
      <c r="CH612" s="2338"/>
      <c r="CI612" s="2338"/>
      <c r="CJ612" s="2338"/>
      <c r="CK612" s="2338"/>
      <c r="CL612" s="2338"/>
      <c r="CM612" s="2338"/>
      <c r="CN612" s="2338"/>
      <c r="CO612" s="2338"/>
      <c r="CP612" s="2338"/>
      <c r="CQ612" s="2338"/>
      <c r="CR612" s="2338"/>
      <c r="CS612" s="2338"/>
      <c r="CT612" s="2338"/>
      <c r="CU612" s="2338"/>
      <c r="CV612" s="2338"/>
      <c r="CW612" s="2338"/>
      <c r="CX612" s="2338"/>
      <c r="CY612" s="2338"/>
      <c r="CZ612" s="2338"/>
      <c r="DA612" s="2338"/>
      <c r="DB612" s="2338"/>
      <c r="DC612" s="2338"/>
      <c r="DD612" s="2338"/>
      <c r="DE612" s="2338"/>
      <c r="DF612" s="2338"/>
      <c r="DG612" s="2338"/>
    </row>
    <row r="613" spans="1:111" s="1118" customFormat="1" ht="15" hidden="1" customHeight="1" outlineLevel="1">
      <c r="A613" s="2567"/>
      <c r="B613" s="3152"/>
      <c r="C613" s="3152"/>
      <c r="D613" s="3152"/>
      <c r="E613" s="3153"/>
      <c r="F613" s="2713" t="s">
        <v>3872</v>
      </c>
      <c r="G613" s="2712"/>
      <c r="H613" s="2737"/>
      <c r="I613" s="2737"/>
      <c r="J613" s="2737"/>
      <c r="K613" s="2737"/>
      <c r="L613" s="2737"/>
      <c r="M613" s="2737"/>
      <c r="N613" s="2737"/>
      <c r="O613" s="2737"/>
      <c r="P613" s="2737"/>
      <c r="Q613" s="2754"/>
      <c r="R613" s="2737"/>
      <c r="S613" s="2737"/>
      <c r="T613" s="2737"/>
      <c r="U613" s="2737"/>
      <c r="V613" s="2566"/>
      <c r="W613" s="2566"/>
      <c r="X613" s="2566"/>
      <c r="Y613" s="2566"/>
      <c r="Z613" s="2642"/>
      <c r="AA613" s="2642"/>
      <c r="AB613" s="2642"/>
      <c r="AC613" s="2642"/>
      <c r="AD613" s="2642"/>
      <c r="AE613" s="2642"/>
      <c r="AF613" s="2642"/>
      <c r="AG613" s="2642"/>
      <c r="AH613" s="2642"/>
      <c r="AI613" s="2642"/>
      <c r="AJ613" s="2566"/>
      <c r="AK613" s="2338"/>
      <c r="AL613" s="2338"/>
      <c r="AM613" s="2338"/>
      <c r="AN613" s="2338"/>
      <c r="AO613" s="2338"/>
      <c r="AP613" s="2338"/>
      <c r="AQ613" s="2338"/>
      <c r="AR613" s="2338"/>
      <c r="AS613" s="2338"/>
      <c r="AT613" s="2338"/>
      <c r="AU613" s="2338"/>
      <c r="AV613" s="2338"/>
      <c r="AW613" s="2338"/>
      <c r="AX613" s="2338"/>
      <c r="AY613" s="2338"/>
      <c r="AZ613" s="2338"/>
      <c r="BA613" s="2338"/>
      <c r="BB613" s="2338"/>
      <c r="BC613" s="2338"/>
      <c r="BD613" s="2338"/>
      <c r="BE613" s="2338"/>
      <c r="BF613" s="2338"/>
      <c r="BG613" s="2338"/>
      <c r="BH613" s="2338"/>
      <c r="BI613" s="2338"/>
      <c r="BJ613" s="2338"/>
      <c r="BK613" s="2338"/>
      <c r="BL613" s="2338"/>
      <c r="BM613" s="2338"/>
      <c r="BN613" s="2338"/>
      <c r="BO613" s="2338"/>
      <c r="BP613" s="2338"/>
      <c r="BQ613" s="2338"/>
      <c r="BR613" s="2338"/>
      <c r="BS613" s="2338"/>
      <c r="BT613" s="2338"/>
      <c r="BU613" s="2338"/>
      <c r="BV613" s="2338"/>
      <c r="BW613" s="2338"/>
      <c r="BX613" s="2338"/>
      <c r="BY613" s="2338"/>
      <c r="BZ613" s="2338"/>
      <c r="CA613" s="2338"/>
      <c r="CB613" s="2338"/>
      <c r="CC613" s="2338"/>
      <c r="CD613" s="2338"/>
      <c r="CE613" s="2338"/>
      <c r="CF613" s="2338"/>
      <c r="CG613" s="2338"/>
      <c r="CH613" s="2338"/>
      <c r="CI613" s="2338"/>
      <c r="CJ613" s="2338"/>
      <c r="CK613" s="2338"/>
      <c r="CL613" s="2338"/>
      <c r="CM613" s="2338"/>
      <c r="CN613" s="2338"/>
      <c r="CO613" s="2338"/>
      <c r="CP613" s="2338"/>
      <c r="CQ613" s="2338"/>
      <c r="CR613" s="2338"/>
      <c r="CS613" s="2338"/>
      <c r="CT613" s="2338"/>
      <c r="CU613" s="2338"/>
      <c r="CV613" s="2338"/>
      <c r="CW613" s="2338"/>
      <c r="CX613" s="2338"/>
      <c r="CY613" s="2338"/>
      <c r="CZ613" s="2338"/>
      <c r="DA613" s="2338"/>
      <c r="DB613" s="2338"/>
      <c r="DC613" s="2338"/>
      <c r="DD613" s="2338"/>
      <c r="DE613" s="2338"/>
      <c r="DF613" s="2338"/>
      <c r="DG613" s="2338"/>
    </row>
    <row r="614" spans="1:111" s="1118" customFormat="1" ht="15" customHeight="1" collapsed="1">
      <c r="A614" s="2567"/>
      <c r="B614" s="3154" t="s">
        <v>2948</v>
      </c>
      <c r="C614" s="3154"/>
      <c r="D614" s="3154"/>
      <c r="E614" s="3153" t="s">
        <v>3871</v>
      </c>
      <c r="F614" s="2713" t="s">
        <v>2629</v>
      </c>
      <c r="G614" s="2712"/>
      <c r="H614" s="2733">
        <f>' (стр.15)'!Q234+' (стр.15)'!Q235+' (стр.15)'!Q236</f>
        <v>3</v>
      </c>
      <c r="I614" s="2733">
        <f>'(стр.16)'!Q209</f>
        <v>1</v>
      </c>
      <c r="J614" s="2733"/>
      <c r="K614" s="2734"/>
      <c r="L614" s="2735">
        <f>SUM(H614:K614)</f>
        <v>4</v>
      </c>
      <c r="M614" s="2733">
        <f>' (стр.15)'!G234+' (стр.15)'!G235+' (стр.15)'!G236</f>
        <v>15</v>
      </c>
      <c r="N614" s="2733">
        <f>'(стр.16)'!G209</f>
        <v>15</v>
      </c>
      <c r="O614" s="2733"/>
      <c r="P614" s="2734"/>
      <c r="Q614" s="2735">
        <f>SUM(M614:P614)</f>
        <v>30</v>
      </c>
      <c r="R614" s="2733">
        <f>(' (стр.15)'!P234+' (стр.15)'!P235+' (стр.15)'!P236)/1000</f>
        <v>573.8198000000001</v>
      </c>
      <c r="S614" s="2733">
        <f>'(стр.16)'!P209/1000</f>
        <v>201.94121999999999</v>
      </c>
      <c r="T614" s="2733"/>
      <c r="U614" s="2734"/>
      <c r="V614" s="2740">
        <f>R614*1000/M614</f>
        <v>38254.653333333335</v>
      </c>
      <c r="W614" s="2726">
        <f>S614*1000/N614</f>
        <v>13462.748</v>
      </c>
      <c r="X614" s="2723"/>
      <c r="Y614" s="2723"/>
      <c r="Z614" s="2645">
        <f>$Z$13</f>
        <v>1.0528</v>
      </c>
      <c r="AA614" s="2645">
        <f>$AA$13</f>
        <v>1.0589</v>
      </c>
      <c r="AB614" s="2645">
        <f>$AB$13</f>
        <v>1.0507936887282501</v>
      </c>
      <c r="AC614" s="2645">
        <f>$AC$13</f>
        <v>1.04657781587849</v>
      </c>
      <c r="AD614" s="2632">
        <f>V614*$Z$614*$AA$614*$AB$614*$AC$614</f>
        <v>46900.133161036232</v>
      </c>
      <c r="AE614" s="2632">
        <f>W614*$AA$614*$AB$614*$AC$614</f>
        <v>15677.530177435603</v>
      </c>
      <c r="AF614" s="2632"/>
      <c r="AG614" s="2724"/>
      <c r="AH614" s="2632">
        <f>SUM(AD614:AG614)</f>
        <v>62577.663338471837</v>
      </c>
      <c r="AI614" s="2700">
        <f>AH614/2</f>
        <v>31288.831669235919</v>
      </c>
      <c r="AJ614" s="2701">
        <f>AI614</f>
        <v>31288.831669235919</v>
      </c>
      <c r="AK614" s="2338"/>
      <c r="AL614" s="2338"/>
      <c r="AM614" s="2338"/>
      <c r="AN614" s="2338"/>
      <c r="AO614" s="2338"/>
      <c r="AP614" s="2338"/>
      <c r="AQ614" s="2338"/>
      <c r="AR614" s="2338"/>
      <c r="AS614" s="2338"/>
      <c r="AT614" s="2338"/>
      <c r="AU614" s="2338"/>
      <c r="AV614" s="2338"/>
      <c r="AW614" s="2338"/>
      <c r="AX614" s="2338"/>
      <c r="AY614" s="2338"/>
      <c r="AZ614" s="2338"/>
      <c r="BA614" s="2338"/>
      <c r="BB614" s="2338"/>
      <c r="BC614" s="2338"/>
      <c r="BD614" s="2338"/>
      <c r="BE614" s="2338"/>
      <c r="BF614" s="2338"/>
      <c r="BG614" s="2338"/>
      <c r="BH614" s="2338"/>
      <c r="BI614" s="2338"/>
      <c r="BJ614" s="2338"/>
      <c r="BK614" s="2338"/>
      <c r="BL614" s="2338"/>
      <c r="BM614" s="2338"/>
      <c r="BN614" s="2338"/>
      <c r="BO614" s="2338"/>
      <c r="BP614" s="2338"/>
      <c r="BQ614" s="2338"/>
      <c r="BR614" s="2338"/>
      <c r="BS614" s="2338"/>
      <c r="BT614" s="2338"/>
      <c r="BU614" s="2338"/>
      <c r="BV614" s="2338"/>
      <c r="BW614" s="2338"/>
      <c r="BX614" s="2338"/>
      <c r="BY614" s="2338"/>
      <c r="BZ614" s="2338"/>
      <c r="CA614" s="2338"/>
      <c r="CB614" s="2338"/>
      <c r="CC614" s="2338"/>
      <c r="CD614" s="2338"/>
      <c r="CE614" s="2338"/>
      <c r="CF614" s="2338"/>
      <c r="CG614" s="2338"/>
      <c r="CH614" s="2338"/>
      <c r="CI614" s="2338"/>
      <c r="CJ614" s="2338"/>
      <c r="CK614" s="2338"/>
      <c r="CL614" s="2338"/>
      <c r="CM614" s="2338"/>
      <c r="CN614" s="2338"/>
      <c r="CO614" s="2338"/>
      <c r="CP614" s="2338"/>
      <c r="CQ614" s="2338"/>
      <c r="CR614" s="2338"/>
      <c r="CS614" s="2338"/>
      <c r="CT614" s="2338"/>
      <c r="CU614" s="2338"/>
      <c r="CV614" s="2338"/>
      <c r="CW614" s="2338"/>
      <c r="CX614" s="2338"/>
      <c r="CY614" s="2338"/>
      <c r="CZ614" s="2338"/>
      <c r="DA614" s="2338"/>
      <c r="DB614" s="2338"/>
      <c r="DC614" s="2338"/>
      <c r="DD614" s="2338"/>
      <c r="DE614" s="2338"/>
      <c r="DF614" s="2338"/>
      <c r="DG614" s="2338"/>
    </row>
    <row r="615" spans="1:111" s="1118" customFormat="1" ht="15" customHeight="1">
      <c r="A615" s="2567"/>
      <c r="B615" s="3154"/>
      <c r="C615" s="3154"/>
      <c r="D615" s="3154"/>
      <c r="E615" s="3153"/>
      <c r="F615" s="2713" t="s">
        <v>2631</v>
      </c>
      <c r="G615" s="2712"/>
      <c r="H615" s="2733"/>
      <c r="I615" s="2733">
        <f>'(стр.16)'!Q214</f>
        <v>1</v>
      </c>
      <c r="J615" s="2733"/>
      <c r="K615" s="2734"/>
      <c r="L615" s="2735">
        <f>SUM(H615:K615)</f>
        <v>1</v>
      </c>
      <c r="M615" s="2734"/>
      <c r="N615" s="2733">
        <f>'(стр.16)'!G214</f>
        <v>15</v>
      </c>
      <c r="O615" s="2733"/>
      <c r="P615" s="2733"/>
      <c r="Q615" s="2738">
        <f t="shared" ref="Q615:Q617" si="74">SUM(M615:P615)</f>
        <v>15</v>
      </c>
      <c r="R615" s="2733"/>
      <c r="S615" s="2733">
        <f>'(стр.16)'!P214/1000</f>
        <v>222.81171000000003</v>
      </c>
      <c r="T615" s="2734"/>
      <c r="U615" s="2734"/>
      <c r="V615" s="2566"/>
      <c r="W615" s="2726">
        <f>S615*1000/N615</f>
        <v>14854.114000000001</v>
      </c>
      <c r="X615" s="2566"/>
      <c r="Y615" s="2566"/>
      <c r="Z615" s="2645">
        <f>$Z$13</f>
        <v>1.0528</v>
      </c>
      <c r="AA615" s="2645">
        <f>$AA$13</f>
        <v>1.0589</v>
      </c>
      <c r="AB615" s="2645">
        <f>$AB$13</f>
        <v>1.0507936887282501</v>
      </c>
      <c r="AC615" s="2645">
        <f>$AC$13</f>
        <v>1.04657781587849</v>
      </c>
      <c r="AD615" s="2598"/>
      <c r="AE615" s="2632">
        <f>W615*$AA$614*$AB$614*$AC$614</f>
        <v>17297.792433912353</v>
      </c>
      <c r="AF615" s="2598"/>
      <c r="AG615" s="2642"/>
      <c r="AH615" s="2632">
        <f>SUM(AD615:AG615)</f>
        <v>17297.792433912353</v>
      </c>
      <c r="AI615" s="2700">
        <f>AH615/1</f>
        <v>17297.792433912353</v>
      </c>
      <c r="AJ615" s="2701">
        <f t="shared" ref="AJ615" si="75">AI615</f>
        <v>17297.792433912353</v>
      </c>
      <c r="AK615" s="2338"/>
      <c r="AL615" s="2338"/>
      <c r="AM615" s="2338"/>
      <c r="AN615" s="2338"/>
      <c r="AO615" s="2338"/>
      <c r="AP615" s="2338"/>
      <c r="AQ615" s="2338"/>
      <c r="AR615" s="2338"/>
      <c r="AS615" s="2338"/>
      <c r="AT615" s="2338"/>
      <c r="AU615" s="2338"/>
      <c r="AV615" s="2338"/>
      <c r="AW615" s="2338"/>
      <c r="AX615" s="2338"/>
      <c r="AY615" s="2338"/>
      <c r="AZ615" s="2338"/>
      <c r="BA615" s="2338"/>
      <c r="BB615" s="2338"/>
      <c r="BC615" s="2338"/>
      <c r="BD615" s="2338"/>
      <c r="BE615" s="2338"/>
      <c r="BF615" s="2338"/>
      <c r="BG615" s="2338"/>
      <c r="BH615" s="2338"/>
      <c r="BI615" s="2338"/>
      <c r="BJ615" s="2338"/>
      <c r="BK615" s="2338"/>
      <c r="BL615" s="2338"/>
      <c r="BM615" s="2338"/>
      <c r="BN615" s="2338"/>
      <c r="BO615" s="2338"/>
      <c r="BP615" s="2338"/>
      <c r="BQ615" s="2338"/>
      <c r="BR615" s="2338"/>
      <c r="BS615" s="2338"/>
      <c r="BT615" s="2338"/>
      <c r="BU615" s="2338"/>
      <c r="BV615" s="2338"/>
      <c r="BW615" s="2338"/>
      <c r="BX615" s="2338"/>
      <c r="BY615" s="2338"/>
      <c r="BZ615" s="2338"/>
      <c r="CA615" s="2338"/>
      <c r="CB615" s="2338"/>
      <c r="CC615" s="2338"/>
      <c r="CD615" s="2338"/>
      <c r="CE615" s="2338"/>
      <c r="CF615" s="2338"/>
      <c r="CG615" s="2338"/>
      <c r="CH615" s="2338"/>
      <c r="CI615" s="2338"/>
      <c r="CJ615" s="2338"/>
      <c r="CK615" s="2338"/>
      <c r="CL615" s="2338"/>
      <c r="CM615" s="2338"/>
      <c r="CN615" s="2338"/>
      <c r="CO615" s="2338"/>
      <c r="CP615" s="2338"/>
      <c r="CQ615" s="2338"/>
      <c r="CR615" s="2338"/>
      <c r="CS615" s="2338"/>
      <c r="CT615" s="2338"/>
      <c r="CU615" s="2338"/>
      <c r="CV615" s="2338"/>
      <c r="CW615" s="2338"/>
      <c r="CX615" s="2338"/>
      <c r="CY615" s="2338"/>
      <c r="CZ615" s="2338"/>
      <c r="DA615" s="2338"/>
      <c r="DB615" s="2338"/>
      <c r="DC615" s="2338"/>
      <c r="DD615" s="2338"/>
      <c r="DE615" s="2338"/>
      <c r="DF615" s="2338"/>
      <c r="DG615" s="2338"/>
    </row>
    <row r="616" spans="1:111" s="1118" customFormat="1" ht="15" customHeight="1">
      <c r="A616" s="2567"/>
      <c r="B616" s="3154"/>
      <c r="C616" s="3154"/>
      <c r="D616" s="3154"/>
      <c r="E616" s="3153"/>
      <c r="F616" s="2713" t="s">
        <v>2633</v>
      </c>
      <c r="G616" s="2712"/>
      <c r="H616" s="2736"/>
      <c r="I616" s="2736"/>
      <c r="J616" s="2736"/>
      <c r="K616" s="2737"/>
      <c r="L616" s="2737"/>
      <c r="M616" s="2737"/>
      <c r="N616" s="2737"/>
      <c r="O616" s="2737"/>
      <c r="P616" s="2737"/>
      <c r="Q616" s="2739"/>
      <c r="R616" s="2737"/>
      <c r="S616" s="2737"/>
      <c r="T616" s="2737"/>
      <c r="U616" s="2737"/>
      <c r="V616" s="2566"/>
      <c r="W616" s="2726"/>
      <c r="X616" s="2566"/>
      <c r="Y616" s="2566"/>
      <c r="Z616" s="2720"/>
      <c r="AA616" s="2720"/>
      <c r="AB616" s="2720"/>
      <c r="AC616" s="2720"/>
      <c r="AD616" s="2598"/>
      <c r="AE616" s="2632"/>
      <c r="AF616" s="2598"/>
      <c r="AG616" s="2642"/>
      <c r="AH616" s="2632"/>
      <c r="AI616" s="2642"/>
      <c r="AJ616" s="2566"/>
      <c r="AK616" s="2338"/>
      <c r="AL616" s="2338"/>
      <c r="AM616" s="2338"/>
      <c r="AN616" s="2338"/>
      <c r="AO616" s="2338"/>
      <c r="AP616" s="2338"/>
      <c r="AQ616" s="2338"/>
      <c r="AR616" s="2338"/>
      <c r="AS616" s="2338"/>
      <c r="AT616" s="2338"/>
      <c r="AU616" s="2338"/>
      <c r="AV616" s="2338"/>
      <c r="AW616" s="2338"/>
      <c r="AX616" s="2338"/>
      <c r="AY616" s="2338"/>
      <c r="AZ616" s="2338"/>
      <c r="BA616" s="2338"/>
      <c r="BB616" s="2338"/>
      <c r="BC616" s="2338"/>
      <c r="BD616" s="2338"/>
      <c r="BE616" s="2338"/>
      <c r="BF616" s="2338"/>
      <c r="BG616" s="2338"/>
      <c r="BH616" s="2338"/>
      <c r="BI616" s="2338"/>
      <c r="BJ616" s="2338"/>
      <c r="BK616" s="2338"/>
      <c r="BL616" s="2338"/>
      <c r="BM616" s="2338"/>
      <c r="BN616" s="2338"/>
      <c r="BO616" s="2338"/>
      <c r="BP616" s="2338"/>
      <c r="BQ616" s="2338"/>
      <c r="BR616" s="2338"/>
      <c r="BS616" s="2338"/>
      <c r="BT616" s="2338"/>
      <c r="BU616" s="2338"/>
      <c r="BV616" s="2338"/>
      <c r="BW616" s="2338"/>
      <c r="BX616" s="2338"/>
      <c r="BY616" s="2338"/>
      <c r="BZ616" s="2338"/>
      <c r="CA616" s="2338"/>
      <c r="CB616" s="2338"/>
      <c r="CC616" s="2338"/>
      <c r="CD616" s="2338"/>
      <c r="CE616" s="2338"/>
      <c r="CF616" s="2338"/>
      <c r="CG616" s="2338"/>
      <c r="CH616" s="2338"/>
      <c r="CI616" s="2338"/>
      <c r="CJ616" s="2338"/>
      <c r="CK616" s="2338"/>
      <c r="CL616" s="2338"/>
      <c r="CM616" s="2338"/>
      <c r="CN616" s="2338"/>
      <c r="CO616" s="2338"/>
      <c r="CP616" s="2338"/>
      <c r="CQ616" s="2338"/>
      <c r="CR616" s="2338"/>
      <c r="CS616" s="2338"/>
      <c r="CT616" s="2338"/>
      <c r="CU616" s="2338"/>
      <c r="CV616" s="2338"/>
      <c r="CW616" s="2338"/>
      <c r="CX616" s="2338"/>
      <c r="CY616" s="2338"/>
      <c r="CZ616" s="2338"/>
      <c r="DA616" s="2338"/>
      <c r="DB616" s="2338"/>
      <c r="DC616" s="2338"/>
      <c r="DD616" s="2338"/>
      <c r="DE616" s="2338"/>
      <c r="DF616" s="2338"/>
      <c r="DG616" s="2338"/>
    </row>
    <row r="617" spans="1:111" s="1118" customFormat="1" ht="15" customHeight="1">
      <c r="A617" s="2567"/>
      <c r="B617" s="3154"/>
      <c r="C617" s="3154"/>
      <c r="D617" s="3154"/>
      <c r="E617" s="3153"/>
      <c r="F617" s="2713" t="s">
        <v>2635</v>
      </c>
      <c r="G617" s="2712"/>
      <c r="H617" s="2736"/>
      <c r="I617" s="2733">
        <f>'(стр.16)'!Q192</f>
        <v>4</v>
      </c>
      <c r="J617" s="2736"/>
      <c r="K617" s="2737"/>
      <c r="L617" s="2735">
        <f>SUM(H617:K617)</f>
        <v>4</v>
      </c>
      <c r="M617" s="2737"/>
      <c r="N617" s="2733">
        <f>'(стр.16)'!G193+'(стр.16)'!G194</f>
        <v>1600</v>
      </c>
      <c r="O617" s="2733"/>
      <c r="P617" s="2733"/>
      <c r="Q617" s="2738">
        <f t="shared" si="74"/>
        <v>1600</v>
      </c>
      <c r="R617" s="2733"/>
      <c r="S617" s="2733">
        <f>'(стр.16)'!P192/1000</f>
        <v>1715.1566200000002</v>
      </c>
      <c r="T617" s="2737"/>
      <c r="U617" s="2737"/>
      <c r="V617" s="2566"/>
      <c r="W617" s="2726">
        <f>S617*1000/N617</f>
        <v>1071.9728875000001</v>
      </c>
      <c r="X617" s="2566"/>
      <c r="Y617" s="2566"/>
      <c r="Z617" s="2645">
        <f>$Z$13</f>
        <v>1.0528</v>
      </c>
      <c r="AA617" s="2645">
        <f>$AA$13</f>
        <v>1.0589</v>
      </c>
      <c r="AB617" s="2645">
        <f>$AB$13</f>
        <v>1.0507936887282501</v>
      </c>
      <c r="AC617" s="2645">
        <f>$AC$13</f>
        <v>1.04657781587849</v>
      </c>
      <c r="AD617" s="2598"/>
      <c r="AE617" s="2632">
        <f>W617*$AA$617*$AB$617*$AC$617</f>
        <v>1248.3251779780792</v>
      </c>
      <c r="AF617" s="2598"/>
      <c r="AG617" s="2642"/>
      <c r="AH617" s="2632">
        <f>SUM(AD617:AG617)</f>
        <v>1248.3251779780792</v>
      </c>
      <c r="AI617" s="2700">
        <f>AH617/1</f>
        <v>1248.3251779780792</v>
      </c>
      <c r="AJ617" s="2701">
        <f>AI617</f>
        <v>1248.3251779780792</v>
      </c>
      <c r="AK617" s="2338"/>
      <c r="AL617" s="2338"/>
      <c r="AM617" s="2338"/>
      <c r="AN617" s="2338"/>
      <c r="AO617" s="2338"/>
      <c r="AP617" s="2338"/>
      <c r="AQ617" s="2338"/>
      <c r="AR617" s="2338"/>
      <c r="AS617" s="2338"/>
      <c r="AT617" s="2338"/>
      <c r="AU617" s="2338"/>
      <c r="AV617" s="2338"/>
      <c r="AW617" s="2338"/>
      <c r="AX617" s="2338"/>
      <c r="AY617" s="2338"/>
      <c r="AZ617" s="2338"/>
      <c r="BA617" s="2338"/>
      <c r="BB617" s="2338"/>
      <c r="BC617" s="2338"/>
      <c r="BD617" s="2338"/>
      <c r="BE617" s="2338"/>
      <c r="BF617" s="2338"/>
      <c r="BG617" s="2338"/>
      <c r="BH617" s="2338"/>
      <c r="BI617" s="2338"/>
      <c r="BJ617" s="2338"/>
      <c r="BK617" s="2338"/>
      <c r="BL617" s="2338"/>
      <c r="BM617" s="2338"/>
      <c r="BN617" s="2338"/>
      <c r="BO617" s="2338"/>
      <c r="BP617" s="2338"/>
      <c r="BQ617" s="2338"/>
      <c r="BR617" s="2338"/>
      <c r="BS617" s="2338"/>
      <c r="BT617" s="2338"/>
      <c r="BU617" s="2338"/>
      <c r="BV617" s="2338"/>
      <c r="BW617" s="2338"/>
      <c r="BX617" s="2338"/>
      <c r="BY617" s="2338"/>
      <c r="BZ617" s="2338"/>
      <c r="CA617" s="2338"/>
      <c r="CB617" s="2338"/>
      <c r="CC617" s="2338"/>
      <c r="CD617" s="2338"/>
      <c r="CE617" s="2338"/>
      <c r="CF617" s="2338"/>
      <c r="CG617" s="2338"/>
      <c r="CH617" s="2338"/>
      <c r="CI617" s="2338"/>
      <c r="CJ617" s="2338"/>
      <c r="CK617" s="2338"/>
      <c r="CL617" s="2338"/>
      <c r="CM617" s="2338"/>
      <c r="CN617" s="2338"/>
      <c r="CO617" s="2338"/>
      <c r="CP617" s="2338"/>
      <c r="CQ617" s="2338"/>
      <c r="CR617" s="2338"/>
      <c r="CS617" s="2338"/>
      <c r="CT617" s="2338"/>
      <c r="CU617" s="2338"/>
      <c r="CV617" s="2338"/>
      <c r="CW617" s="2338"/>
      <c r="CX617" s="2338"/>
      <c r="CY617" s="2338"/>
      <c r="CZ617" s="2338"/>
      <c r="DA617" s="2338"/>
      <c r="DB617" s="2338"/>
      <c r="DC617" s="2338"/>
      <c r="DD617" s="2338"/>
      <c r="DE617" s="2338"/>
      <c r="DF617" s="2338"/>
      <c r="DG617" s="2338"/>
    </row>
    <row r="618" spans="1:111" s="1118" customFormat="1" ht="15" hidden="1" customHeight="1" outlineLevel="1">
      <c r="A618" s="2567"/>
      <c r="B618" s="3154"/>
      <c r="C618" s="3154"/>
      <c r="D618" s="3154"/>
      <c r="E618" s="3153"/>
      <c r="F618" s="2713" t="s">
        <v>2639</v>
      </c>
      <c r="G618" s="2712"/>
      <c r="H618" s="2737"/>
      <c r="I618" s="2737"/>
      <c r="J618" s="2737"/>
      <c r="K618" s="2737"/>
      <c r="L618" s="2737"/>
      <c r="M618" s="2737"/>
      <c r="N618" s="2737"/>
      <c r="O618" s="2737"/>
      <c r="P618" s="2737"/>
      <c r="Q618" s="2754"/>
      <c r="R618" s="2737"/>
      <c r="S618" s="2737"/>
      <c r="T618" s="2737"/>
      <c r="U618" s="2737"/>
      <c r="V618" s="2566"/>
      <c r="W618" s="2566"/>
      <c r="X618" s="2566"/>
      <c r="Y618" s="2566"/>
      <c r="Z618" s="2642"/>
      <c r="AA618" s="2642"/>
      <c r="AB618" s="2642"/>
      <c r="AC618" s="2642"/>
      <c r="AD618" s="2642"/>
      <c r="AE618" s="2642"/>
      <c r="AF618" s="2642"/>
      <c r="AG618" s="2642"/>
      <c r="AH618" s="2642"/>
      <c r="AI618" s="2642"/>
      <c r="AJ618" s="2566"/>
      <c r="AK618" s="2338"/>
      <c r="AL618" s="2338"/>
      <c r="AM618" s="2338"/>
      <c r="AN618" s="2338"/>
      <c r="AO618" s="2338"/>
      <c r="AP618" s="2338"/>
      <c r="AQ618" s="2338"/>
      <c r="AR618" s="2338"/>
      <c r="AS618" s="2338"/>
      <c r="AT618" s="2338"/>
      <c r="AU618" s="2338"/>
      <c r="AV618" s="2338"/>
      <c r="AW618" s="2338"/>
      <c r="AX618" s="2338"/>
      <c r="AY618" s="2338"/>
      <c r="AZ618" s="2338"/>
      <c r="BA618" s="2338"/>
      <c r="BB618" s="2338"/>
      <c r="BC618" s="2338"/>
      <c r="BD618" s="2338"/>
      <c r="BE618" s="2338"/>
      <c r="BF618" s="2338"/>
      <c r="BG618" s="2338"/>
      <c r="BH618" s="2338"/>
      <c r="BI618" s="2338"/>
      <c r="BJ618" s="2338"/>
      <c r="BK618" s="2338"/>
      <c r="BL618" s="2338"/>
      <c r="BM618" s="2338"/>
      <c r="BN618" s="2338"/>
      <c r="BO618" s="2338"/>
      <c r="BP618" s="2338"/>
      <c r="BQ618" s="2338"/>
      <c r="BR618" s="2338"/>
      <c r="BS618" s="2338"/>
      <c r="BT618" s="2338"/>
      <c r="BU618" s="2338"/>
      <c r="BV618" s="2338"/>
      <c r="BW618" s="2338"/>
      <c r="BX618" s="2338"/>
      <c r="BY618" s="2338"/>
      <c r="BZ618" s="2338"/>
      <c r="CA618" s="2338"/>
      <c r="CB618" s="2338"/>
      <c r="CC618" s="2338"/>
      <c r="CD618" s="2338"/>
      <c r="CE618" s="2338"/>
      <c r="CF618" s="2338"/>
      <c r="CG618" s="2338"/>
      <c r="CH618" s="2338"/>
      <c r="CI618" s="2338"/>
      <c r="CJ618" s="2338"/>
      <c r="CK618" s="2338"/>
      <c r="CL618" s="2338"/>
      <c r="CM618" s="2338"/>
      <c r="CN618" s="2338"/>
      <c r="CO618" s="2338"/>
      <c r="CP618" s="2338"/>
      <c r="CQ618" s="2338"/>
      <c r="CR618" s="2338"/>
      <c r="CS618" s="2338"/>
      <c r="CT618" s="2338"/>
      <c r="CU618" s="2338"/>
      <c r="CV618" s="2338"/>
      <c r="CW618" s="2338"/>
      <c r="CX618" s="2338"/>
      <c r="CY618" s="2338"/>
      <c r="CZ618" s="2338"/>
      <c r="DA618" s="2338"/>
      <c r="DB618" s="2338"/>
      <c r="DC618" s="2338"/>
      <c r="DD618" s="2338"/>
      <c r="DE618" s="2338"/>
      <c r="DF618" s="2338"/>
      <c r="DG618" s="2338"/>
    </row>
    <row r="619" spans="1:111" s="1118" customFormat="1" ht="15" hidden="1" customHeight="1" outlineLevel="1">
      <c r="A619" s="2567"/>
      <c r="B619" s="3154"/>
      <c r="C619" s="3154"/>
      <c r="D619" s="3154"/>
      <c r="E619" s="3153"/>
      <c r="F619" s="2713" t="s">
        <v>3872</v>
      </c>
      <c r="G619" s="2712"/>
      <c r="H619" s="2737"/>
      <c r="I619" s="2737"/>
      <c r="J619" s="2737"/>
      <c r="K619" s="2737"/>
      <c r="L619" s="2737"/>
      <c r="M619" s="2737"/>
      <c r="N619" s="2737"/>
      <c r="O619" s="2737"/>
      <c r="P619" s="2737"/>
      <c r="Q619" s="2754"/>
      <c r="R619" s="2737"/>
      <c r="S619" s="2737"/>
      <c r="T619" s="2737"/>
      <c r="U619" s="2737"/>
      <c r="V619" s="2566"/>
      <c r="W619" s="2566"/>
      <c r="X619" s="2566"/>
      <c r="Y619" s="2566"/>
      <c r="Z619" s="2642"/>
      <c r="AA619" s="2642"/>
      <c r="AB619" s="2642"/>
      <c r="AC619" s="2642"/>
      <c r="AD619" s="2642"/>
      <c r="AE619" s="2642"/>
      <c r="AF619" s="2642"/>
      <c r="AG619" s="2642"/>
      <c r="AH619" s="2642"/>
      <c r="AI619" s="2642"/>
      <c r="AJ619" s="2566"/>
      <c r="AK619" s="2338"/>
      <c r="AL619" s="2338"/>
      <c r="AM619" s="2338"/>
      <c r="AN619" s="2338"/>
      <c r="AO619" s="2338"/>
      <c r="AP619" s="2338"/>
      <c r="AQ619" s="2338"/>
      <c r="AR619" s="2338"/>
      <c r="AS619" s="2338"/>
      <c r="AT619" s="2338"/>
      <c r="AU619" s="2338"/>
      <c r="AV619" s="2338"/>
      <c r="AW619" s="2338"/>
      <c r="AX619" s="2338"/>
      <c r="AY619" s="2338"/>
      <c r="AZ619" s="2338"/>
      <c r="BA619" s="2338"/>
      <c r="BB619" s="2338"/>
      <c r="BC619" s="2338"/>
      <c r="BD619" s="2338"/>
      <c r="BE619" s="2338"/>
      <c r="BF619" s="2338"/>
      <c r="BG619" s="2338"/>
      <c r="BH619" s="2338"/>
      <c r="BI619" s="2338"/>
      <c r="BJ619" s="2338"/>
      <c r="BK619" s="2338"/>
      <c r="BL619" s="2338"/>
      <c r="BM619" s="2338"/>
      <c r="BN619" s="2338"/>
      <c r="BO619" s="2338"/>
      <c r="BP619" s="2338"/>
      <c r="BQ619" s="2338"/>
      <c r="BR619" s="2338"/>
      <c r="BS619" s="2338"/>
      <c r="BT619" s="2338"/>
      <c r="BU619" s="2338"/>
      <c r="BV619" s="2338"/>
      <c r="BW619" s="2338"/>
      <c r="BX619" s="2338"/>
      <c r="BY619" s="2338"/>
      <c r="BZ619" s="2338"/>
      <c r="CA619" s="2338"/>
      <c r="CB619" s="2338"/>
      <c r="CC619" s="2338"/>
      <c r="CD619" s="2338"/>
      <c r="CE619" s="2338"/>
      <c r="CF619" s="2338"/>
      <c r="CG619" s="2338"/>
      <c r="CH619" s="2338"/>
      <c r="CI619" s="2338"/>
      <c r="CJ619" s="2338"/>
      <c r="CK619" s="2338"/>
      <c r="CL619" s="2338"/>
      <c r="CM619" s="2338"/>
      <c r="CN619" s="2338"/>
      <c r="CO619" s="2338"/>
      <c r="CP619" s="2338"/>
      <c r="CQ619" s="2338"/>
      <c r="CR619" s="2338"/>
      <c r="CS619" s="2338"/>
      <c r="CT619" s="2338"/>
      <c r="CU619" s="2338"/>
      <c r="CV619" s="2338"/>
      <c r="CW619" s="2338"/>
      <c r="CX619" s="2338"/>
      <c r="CY619" s="2338"/>
      <c r="CZ619" s="2338"/>
      <c r="DA619" s="2338"/>
      <c r="DB619" s="2338"/>
      <c r="DC619" s="2338"/>
      <c r="DD619" s="2338"/>
      <c r="DE619" s="2338"/>
      <c r="DF619" s="2338"/>
      <c r="DG619" s="2338"/>
    </row>
    <row r="620" spans="1:111" s="1118" customFormat="1" ht="15.75" hidden="1" customHeight="1" outlineLevel="1">
      <c r="A620" s="2567"/>
      <c r="B620" s="3154"/>
      <c r="C620" s="3154"/>
      <c r="D620" s="3154"/>
      <c r="E620" s="3153" t="s">
        <v>3873</v>
      </c>
      <c r="F620" s="2713" t="s">
        <v>2629</v>
      </c>
      <c r="G620" s="2712"/>
      <c r="H620" s="2737"/>
      <c r="I620" s="2737"/>
      <c r="J620" s="2737"/>
      <c r="K620" s="2737"/>
      <c r="L620" s="2737"/>
      <c r="M620" s="2737"/>
      <c r="N620" s="2737"/>
      <c r="O620" s="2737"/>
      <c r="P620" s="2737"/>
      <c r="Q620" s="2754"/>
      <c r="R620" s="2737"/>
      <c r="S620" s="2737"/>
      <c r="T620" s="2737"/>
      <c r="U620" s="2737"/>
      <c r="V620" s="2566"/>
      <c r="W620" s="2566"/>
      <c r="X620" s="2566"/>
      <c r="Y620" s="2566"/>
      <c r="Z620" s="2642"/>
      <c r="AA620" s="2642"/>
      <c r="AB620" s="2642"/>
      <c r="AC620" s="2642"/>
      <c r="AD620" s="2642"/>
      <c r="AE620" s="2642"/>
      <c r="AF620" s="2642"/>
      <c r="AG620" s="2642"/>
      <c r="AH620" s="2642"/>
      <c r="AI620" s="2642"/>
      <c r="AJ620" s="2566"/>
      <c r="AK620" s="2338"/>
      <c r="AL620" s="2338"/>
      <c r="AM620" s="2338"/>
      <c r="AN620" s="2338"/>
      <c r="AO620" s="2338"/>
      <c r="AP620" s="2338"/>
      <c r="AQ620" s="2338"/>
      <c r="AR620" s="2338"/>
      <c r="AS620" s="2338"/>
      <c r="AT620" s="2338"/>
      <c r="AU620" s="2338"/>
      <c r="AV620" s="2338"/>
      <c r="AW620" s="2338"/>
      <c r="AX620" s="2338"/>
      <c r="AY620" s="2338"/>
      <c r="AZ620" s="2338"/>
      <c r="BA620" s="2338"/>
      <c r="BB620" s="2338"/>
      <c r="BC620" s="2338"/>
      <c r="BD620" s="2338"/>
      <c r="BE620" s="2338"/>
      <c r="BF620" s="2338"/>
      <c r="BG620" s="2338"/>
      <c r="BH620" s="2338"/>
      <c r="BI620" s="2338"/>
      <c r="BJ620" s="2338"/>
      <c r="BK620" s="2338"/>
      <c r="BL620" s="2338"/>
      <c r="BM620" s="2338"/>
      <c r="BN620" s="2338"/>
      <c r="BO620" s="2338"/>
      <c r="BP620" s="2338"/>
      <c r="BQ620" s="2338"/>
      <c r="BR620" s="2338"/>
      <c r="BS620" s="2338"/>
      <c r="BT620" s="2338"/>
      <c r="BU620" s="2338"/>
      <c r="BV620" s="2338"/>
      <c r="BW620" s="2338"/>
      <c r="BX620" s="2338"/>
      <c r="BY620" s="2338"/>
      <c r="BZ620" s="2338"/>
      <c r="CA620" s="2338"/>
      <c r="CB620" s="2338"/>
      <c r="CC620" s="2338"/>
      <c r="CD620" s="2338"/>
      <c r="CE620" s="2338"/>
      <c r="CF620" s="2338"/>
      <c r="CG620" s="2338"/>
      <c r="CH620" s="2338"/>
      <c r="CI620" s="2338"/>
      <c r="CJ620" s="2338"/>
      <c r="CK620" s="2338"/>
      <c r="CL620" s="2338"/>
      <c r="CM620" s="2338"/>
      <c r="CN620" s="2338"/>
      <c r="CO620" s="2338"/>
      <c r="CP620" s="2338"/>
      <c r="CQ620" s="2338"/>
      <c r="CR620" s="2338"/>
      <c r="CS620" s="2338"/>
      <c r="CT620" s="2338"/>
      <c r="CU620" s="2338"/>
      <c r="CV620" s="2338"/>
      <c r="CW620" s="2338"/>
      <c r="CX620" s="2338"/>
      <c r="CY620" s="2338"/>
      <c r="CZ620" s="2338"/>
      <c r="DA620" s="2338"/>
      <c r="DB620" s="2338"/>
      <c r="DC620" s="2338"/>
      <c r="DD620" s="2338"/>
      <c r="DE620" s="2338"/>
      <c r="DF620" s="2338"/>
      <c r="DG620" s="2338"/>
    </row>
    <row r="621" spans="1:111" s="1118" customFormat="1" ht="15.75" hidden="1" customHeight="1" outlineLevel="1">
      <c r="A621" s="2567"/>
      <c r="B621" s="3154"/>
      <c r="C621" s="3154"/>
      <c r="D621" s="3154"/>
      <c r="E621" s="3153"/>
      <c r="F621" s="2713" t="s">
        <v>2631</v>
      </c>
      <c r="G621" s="2712"/>
      <c r="H621" s="2737"/>
      <c r="I621" s="2737"/>
      <c r="J621" s="2737"/>
      <c r="K621" s="2737"/>
      <c r="L621" s="2737"/>
      <c r="M621" s="2737"/>
      <c r="N621" s="2737"/>
      <c r="O621" s="2737"/>
      <c r="P621" s="2737"/>
      <c r="Q621" s="2754"/>
      <c r="R621" s="2737"/>
      <c r="S621" s="2737"/>
      <c r="T621" s="2737"/>
      <c r="U621" s="2737"/>
      <c r="V621" s="2566"/>
      <c r="W621" s="2566"/>
      <c r="X621" s="2566"/>
      <c r="Y621" s="2566"/>
      <c r="Z621" s="2642"/>
      <c r="AA621" s="2642"/>
      <c r="AB621" s="2642"/>
      <c r="AC621" s="2642"/>
      <c r="AD621" s="2642"/>
      <c r="AE621" s="2642"/>
      <c r="AF621" s="2642"/>
      <c r="AG621" s="2642"/>
      <c r="AH621" s="2642"/>
      <c r="AI621" s="2642"/>
      <c r="AJ621" s="2566"/>
      <c r="AK621" s="2338"/>
      <c r="AL621" s="2338"/>
      <c r="AM621" s="2338"/>
      <c r="AN621" s="2338"/>
      <c r="AO621" s="2338"/>
      <c r="AP621" s="2338"/>
      <c r="AQ621" s="2338"/>
      <c r="AR621" s="2338"/>
      <c r="AS621" s="2338"/>
      <c r="AT621" s="2338"/>
      <c r="AU621" s="2338"/>
      <c r="AV621" s="2338"/>
      <c r="AW621" s="2338"/>
      <c r="AX621" s="2338"/>
      <c r="AY621" s="2338"/>
      <c r="AZ621" s="2338"/>
      <c r="BA621" s="2338"/>
      <c r="BB621" s="2338"/>
      <c r="BC621" s="2338"/>
      <c r="BD621" s="2338"/>
      <c r="BE621" s="2338"/>
      <c r="BF621" s="2338"/>
      <c r="BG621" s="2338"/>
      <c r="BH621" s="2338"/>
      <c r="BI621" s="2338"/>
      <c r="BJ621" s="2338"/>
      <c r="BK621" s="2338"/>
      <c r="BL621" s="2338"/>
      <c r="BM621" s="2338"/>
      <c r="BN621" s="2338"/>
      <c r="BO621" s="2338"/>
      <c r="BP621" s="2338"/>
      <c r="BQ621" s="2338"/>
      <c r="BR621" s="2338"/>
      <c r="BS621" s="2338"/>
      <c r="BT621" s="2338"/>
      <c r="BU621" s="2338"/>
      <c r="BV621" s="2338"/>
      <c r="BW621" s="2338"/>
      <c r="BX621" s="2338"/>
      <c r="BY621" s="2338"/>
      <c r="BZ621" s="2338"/>
      <c r="CA621" s="2338"/>
      <c r="CB621" s="2338"/>
      <c r="CC621" s="2338"/>
      <c r="CD621" s="2338"/>
      <c r="CE621" s="2338"/>
      <c r="CF621" s="2338"/>
      <c r="CG621" s="2338"/>
      <c r="CH621" s="2338"/>
      <c r="CI621" s="2338"/>
      <c r="CJ621" s="2338"/>
      <c r="CK621" s="2338"/>
      <c r="CL621" s="2338"/>
      <c r="CM621" s="2338"/>
      <c r="CN621" s="2338"/>
      <c r="CO621" s="2338"/>
      <c r="CP621" s="2338"/>
      <c r="CQ621" s="2338"/>
      <c r="CR621" s="2338"/>
      <c r="CS621" s="2338"/>
      <c r="CT621" s="2338"/>
      <c r="CU621" s="2338"/>
      <c r="CV621" s="2338"/>
      <c r="CW621" s="2338"/>
      <c r="CX621" s="2338"/>
      <c r="CY621" s="2338"/>
      <c r="CZ621" s="2338"/>
      <c r="DA621" s="2338"/>
      <c r="DB621" s="2338"/>
      <c r="DC621" s="2338"/>
      <c r="DD621" s="2338"/>
      <c r="DE621" s="2338"/>
      <c r="DF621" s="2338"/>
      <c r="DG621" s="2338"/>
    </row>
    <row r="622" spans="1:111" s="1118" customFormat="1" ht="15" hidden="1" customHeight="1" outlineLevel="1">
      <c r="A622" s="2567"/>
      <c r="B622" s="3154"/>
      <c r="C622" s="3154"/>
      <c r="D622" s="3154"/>
      <c r="E622" s="3153"/>
      <c r="F622" s="2713" t="s">
        <v>2633</v>
      </c>
      <c r="G622" s="2712"/>
      <c r="H622" s="2737"/>
      <c r="I622" s="2737"/>
      <c r="J622" s="2737"/>
      <c r="K622" s="2737"/>
      <c r="L622" s="2737"/>
      <c r="M622" s="2737"/>
      <c r="N622" s="2737"/>
      <c r="O622" s="2737"/>
      <c r="P622" s="2737"/>
      <c r="Q622" s="2754"/>
      <c r="R622" s="2737"/>
      <c r="S622" s="2737"/>
      <c r="T622" s="2737"/>
      <c r="U622" s="2737"/>
      <c r="V622" s="2566"/>
      <c r="W622" s="2566"/>
      <c r="X622" s="2566"/>
      <c r="Y622" s="2566"/>
      <c r="Z622" s="2642"/>
      <c r="AA622" s="2642"/>
      <c r="AB622" s="2642"/>
      <c r="AC622" s="2642"/>
      <c r="AD622" s="2642"/>
      <c r="AE622" s="2642"/>
      <c r="AF622" s="2642"/>
      <c r="AG622" s="2642"/>
      <c r="AH622" s="2642"/>
      <c r="AI622" s="2642"/>
      <c r="AJ622" s="2566"/>
      <c r="AK622" s="2338"/>
      <c r="AL622" s="2338"/>
      <c r="AM622" s="2338"/>
      <c r="AN622" s="2338"/>
      <c r="AO622" s="2338"/>
      <c r="AP622" s="2338"/>
      <c r="AQ622" s="2338"/>
      <c r="AR622" s="2338"/>
      <c r="AS622" s="2338"/>
      <c r="AT622" s="2338"/>
      <c r="AU622" s="2338"/>
      <c r="AV622" s="2338"/>
      <c r="AW622" s="2338"/>
      <c r="AX622" s="2338"/>
      <c r="AY622" s="2338"/>
      <c r="AZ622" s="2338"/>
      <c r="BA622" s="2338"/>
      <c r="BB622" s="2338"/>
      <c r="BC622" s="2338"/>
      <c r="BD622" s="2338"/>
      <c r="BE622" s="2338"/>
      <c r="BF622" s="2338"/>
      <c r="BG622" s="2338"/>
      <c r="BH622" s="2338"/>
      <c r="BI622" s="2338"/>
      <c r="BJ622" s="2338"/>
      <c r="BK622" s="2338"/>
      <c r="BL622" s="2338"/>
      <c r="BM622" s="2338"/>
      <c r="BN622" s="2338"/>
      <c r="BO622" s="2338"/>
      <c r="BP622" s="2338"/>
      <c r="BQ622" s="2338"/>
      <c r="BR622" s="2338"/>
      <c r="BS622" s="2338"/>
      <c r="BT622" s="2338"/>
      <c r="BU622" s="2338"/>
      <c r="BV622" s="2338"/>
      <c r="BW622" s="2338"/>
      <c r="BX622" s="2338"/>
      <c r="BY622" s="2338"/>
      <c r="BZ622" s="2338"/>
      <c r="CA622" s="2338"/>
      <c r="CB622" s="2338"/>
      <c r="CC622" s="2338"/>
      <c r="CD622" s="2338"/>
      <c r="CE622" s="2338"/>
      <c r="CF622" s="2338"/>
      <c r="CG622" s="2338"/>
      <c r="CH622" s="2338"/>
      <c r="CI622" s="2338"/>
      <c r="CJ622" s="2338"/>
      <c r="CK622" s="2338"/>
      <c r="CL622" s="2338"/>
      <c r="CM622" s="2338"/>
      <c r="CN622" s="2338"/>
      <c r="CO622" s="2338"/>
      <c r="CP622" s="2338"/>
      <c r="CQ622" s="2338"/>
      <c r="CR622" s="2338"/>
      <c r="CS622" s="2338"/>
      <c r="CT622" s="2338"/>
      <c r="CU622" s="2338"/>
      <c r="CV622" s="2338"/>
      <c r="CW622" s="2338"/>
      <c r="CX622" s="2338"/>
      <c r="CY622" s="2338"/>
      <c r="CZ622" s="2338"/>
      <c r="DA622" s="2338"/>
      <c r="DB622" s="2338"/>
      <c r="DC622" s="2338"/>
      <c r="DD622" s="2338"/>
      <c r="DE622" s="2338"/>
      <c r="DF622" s="2338"/>
      <c r="DG622" s="2338"/>
    </row>
    <row r="623" spans="1:111" s="1118" customFormat="1" ht="15" hidden="1" customHeight="1" outlineLevel="1">
      <c r="A623" s="2567"/>
      <c r="B623" s="3154"/>
      <c r="C623" s="3154"/>
      <c r="D623" s="3154"/>
      <c r="E623" s="3153"/>
      <c r="F623" s="2713" t="s">
        <v>2635</v>
      </c>
      <c r="G623" s="2712"/>
      <c r="H623" s="2737"/>
      <c r="I623" s="2737"/>
      <c r="J623" s="2737"/>
      <c r="K623" s="2737"/>
      <c r="L623" s="2737"/>
      <c r="M623" s="2737"/>
      <c r="N623" s="2737"/>
      <c r="O623" s="2737"/>
      <c r="P623" s="2737"/>
      <c r="Q623" s="2754"/>
      <c r="R623" s="2737"/>
      <c r="S623" s="2737"/>
      <c r="T623" s="2737"/>
      <c r="U623" s="2737"/>
      <c r="V623" s="2566"/>
      <c r="W623" s="2566"/>
      <c r="X623" s="2566"/>
      <c r="Y623" s="2566"/>
      <c r="Z623" s="2642"/>
      <c r="AA623" s="2642"/>
      <c r="AB623" s="2642"/>
      <c r="AC623" s="2642"/>
      <c r="AD623" s="2642"/>
      <c r="AE623" s="2642"/>
      <c r="AF623" s="2642"/>
      <c r="AG623" s="2642"/>
      <c r="AH623" s="2642"/>
      <c r="AI623" s="2642"/>
      <c r="AJ623" s="2566"/>
      <c r="AK623" s="2338"/>
      <c r="AL623" s="2338"/>
      <c r="AM623" s="2338"/>
      <c r="AN623" s="2338"/>
      <c r="AO623" s="2338"/>
      <c r="AP623" s="2338"/>
      <c r="AQ623" s="2338"/>
      <c r="AR623" s="2338"/>
      <c r="AS623" s="2338"/>
      <c r="AT623" s="2338"/>
      <c r="AU623" s="2338"/>
      <c r="AV623" s="2338"/>
      <c r="AW623" s="2338"/>
      <c r="AX623" s="2338"/>
      <c r="AY623" s="2338"/>
      <c r="AZ623" s="2338"/>
      <c r="BA623" s="2338"/>
      <c r="BB623" s="2338"/>
      <c r="BC623" s="2338"/>
      <c r="BD623" s="2338"/>
      <c r="BE623" s="2338"/>
      <c r="BF623" s="2338"/>
      <c r="BG623" s="2338"/>
      <c r="BH623" s="2338"/>
      <c r="BI623" s="2338"/>
      <c r="BJ623" s="2338"/>
      <c r="BK623" s="2338"/>
      <c r="BL623" s="2338"/>
      <c r="BM623" s="2338"/>
      <c r="BN623" s="2338"/>
      <c r="BO623" s="2338"/>
      <c r="BP623" s="2338"/>
      <c r="BQ623" s="2338"/>
      <c r="BR623" s="2338"/>
      <c r="BS623" s="2338"/>
      <c r="BT623" s="2338"/>
      <c r="BU623" s="2338"/>
      <c r="BV623" s="2338"/>
      <c r="BW623" s="2338"/>
      <c r="BX623" s="2338"/>
      <c r="BY623" s="2338"/>
      <c r="BZ623" s="2338"/>
      <c r="CA623" s="2338"/>
      <c r="CB623" s="2338"/>
      <c r="CC623" s="2338"/>
      <c r="CD623" s="2338"/>
      <c r="CE623" s="2338"/>
      <c r="CF623" s="2338"/>
      <c r="CG623" s="2338"/>
      <c r="CH623" s="2338"/>
      <c r="CI623" s="2338"/>
      <c r="CJ623" s="2338"/>
      <c r="CK623" s="2338"/>
      <c r="CL623" s="2338"/>
      <c r="CM623" s="2338"/>
      <c r="CN623" s="2338"/>
      <c r="CO623" s="2338"/>
      <c r="CP623" s="2338"/>
      <c r="CQ623" s="2338"/>
      <c r="CR623" s="2338"/>
      <c r="CS623" s="2338"/>
      <c r="CT623" s="2338"/>
      <c r="CU623" s="2338"/>
      <c r="CV623" s="2338"/>
      <c r="CW623" s="2338"/>
      <c r="CX623" s="2338"/>
      <c r="CY623" s="2338"/>
      <c r="CZ623" s="2338"/>
      <c r="DA623" s="2338"/>
      <c r="DB623" s="2338"/>
      <c r="DC623" s="2338"/>
      <c r="DD623" s="2338"/>
      <c r="DE623" s="2338"/>
      <c r="DF623" s="2338"/>
      <c r="DG623" s="2338"/>
    </row>
    <row r="624" spans="1:111" s="1118" customFormat="1" ht="15" hidden="1" customHeight="1" outlineLevel="1">
      <c r="A624" s="2567"/>
      <c r="B624" s="3154"/>
      <c r="C624" s="3154"/>
      <c r="D624" s="3154"/>
      <c r="E624" s="3153"/>
      <c r="F624" s="2713" t="s">
        <v>2639</v>
      </c>
      <c r="G624" s="2712"/>
      <c r="H624" s="2737"/>
      <c r="I624" s="2737"/>
      <c r="J624" s="2737"/>
      <c r="K624" s="2737"/>
      <c r="L624" s="2737"/>
      <c r="M624" s="2737"/>
      <c r="N624" s="2737"/>
      <c r="O624" s="2737"/>
      <c r="P624" s="2737"/>
      <c r="Q624" s="2754"/>
      <c r="R624" s="2737"/>
      <c r="S624" s="2737"/>
      <c r="T624" s="2737"/>
      <c r="U624" s="2737"/>
      <c r="V624" s="2566"/>
      <c r="W624" s="2566"/>
      <c r="X624" s="2566"/>
      <c r="Y624" s="2566"/>
      <c r="Z624" s="2642"/>
      <c r="AA624" s="2642"/>
      <c r="AB624" s="2642"/>
      <c r="AC624" s="2642"/>
      <c r="AD624" s="2642"/>
      <c r="AE624" s="2642"/>
      <c r="AF624" s="2642"/>
      <c r="AG624" s="2642"/>
      <c r="AH624" s="2642"/>
      <c r="AI624" s="2642"/>
      <c r="AJ624" s="2566"/>
      <c r="AK624" s="2338"/>
      <c r="AL624" s="2338"/>
      <c r="AM624" s="2338"/>
      <c r="AN624" s="2338"/>
      <c r="AO624" s="2338"/>
      <c r="AP624" s="2338"/>
      <c r="AQ624" s="2338"/>
      <c r="AR624" s="2338"/>
      <c r="AS624" s="2338"/>
      <c r="AT624" s="2338"/>
      <c r="AU624" s="2338"/>
      <c r="AV624" s="2338"/>
      <c r="AW624" s="2338"/>
      <c r="AX624" s="2338"/>
      <c r="AY624" s="2338"/>
      <c r="AZ624" s="2338"/>
      <c r="BA624" s="2338"/>
      <c r="BB624" s="2338"/>
      <c r="BC624" s="2338"/>
      <c r="BD624" s="2338"/>
      <c r="BE624" s="2338"/>
      <c r="BF624" s="2338"/>
      <c r="BG624" s="2338"/>
      <c r="BH624" s="2338"/>
      <c r="BI624" s="2338"/>
      <c r="BJ624" s="2338"/>
      <c r="BK624" s="2338"/>
      <c r="BL624" s="2338"/>
      <c r="BM624" s="2338"/>
      <c r="BN624" s="2338"/>
      <c r="BO624" s="2338"/>
      <c r="BP624" s="2338"/>
      <c r="BQ624" s="2338"/>
      <c r="BR624" s="2338"/>
      <c r="BS624" s="2338"/>
      <c r="BT624" s="2338"/>
      <c r="BU624" s="2338"/>
      <c r="BV624" s="2338"/>
      <c r="BW624" s="2338"/>
      <c r="BX624" s="2338"/>
      <c r="BY624" s="2338"/>
      <c r="BZ624" s="2338"/>
      <c r="CA624" s="2338"/>
      <c r="CB624" s="2338"/>
      <c r="CC624" s="2338"/>
      <c r="CD624" s="2338"/>
      <c r="CE624" s="2338"/>
      <c r="CF624" s="2338"/>
      <c r="CG624" s="2338"/>
      <c r="CH624" s="2338"/>
      <c r="CI624" s="2338"/>
      <c r="CJ624" s="2338"/>
      <c r="CK624" s="2338"/>
      <c r="CL624" s="2338"/>
      <c r="CM624" s="2338"/>
      <c r="CN624" s="2338"/>
      <c r="CO624" s="2338"/>
      <c r="CP624" s="2338"/>
      <c r="CQ624" s="2338"/>
      <c r="CR624" s="2338"/>
      <c r="CS624" s="2338"/>
      <c r="CT624" s="2338"/>
      <c r="CU624" s="2338"/>
      <c r="CV624" s="2338"/>
      <c r="CW624" s="2338"/>
      <c r="CX624" s="2338"/>
      <c r="CY624" s="2338"/>
      <c r="CZ624" s="2338"/>
      <c r="DA624" s="2338"/>
      <c r="DB624" s="2338"/>
      <c r="DC624" s="2338"/>
      <c r="DD624" s="2338"/>
      <c r="DE624" s="2338"/>
      <c r="DF624" s="2338"/>
      <c r="DG624" s="2338"/>
    </row>
    <row r="625" spans="1:111" s="1118" customFormat="1" ht="15" hidden="1" customHeight="1" outlineLevel="1" thickBot="1">
      <c r="A625" s="2567"/>
      <c r="B625" s="3154"/>
      <c r="C625" s="3154"/>
      <c r="D625" s="3154"/>
      <c r="E625" s="3153"/>
      <c r="F625" s="2713" t="s">
        <v>3872</v>
      </c>
      <c r="G625" s="2384"/>
      <c r="H625" s="2843"/>
      <c r="I625" s="2843"/>
      <c r="J625" s="2843"/>
      <c r="K625" s="2843"/>
      <c r="L625" s="2843"/>
      <c r="M625" s="2843"/>
      <c r="N625" s="2843"/>
      <c r="O625" s="2843"/>
      <c r="P625" s="2843"/>
      <c r="Q625" s="2843"/>
      <c r="R625" s="2843"/>
      <c r="S625" s="2843"/>
      <c r="T625" s="2843"/>
      <c r="U625" s="2843"/>
      <c r="V625" s="2566"/>
      <c r="W625" s="2566"/>
      <c r="X625" s="2566"/>
      <c r="Y625" s="2566"/>
      <c r="Z625" s="2642"/>
      <c r="AA625" s="2642"/>
      <c r="AB625" s="2642"/>
      <c r="AC625" s="2642"/>
      <c r="AD625" s="2642"/>
      <c r="AE625" s="2642"/>
      <c r="AF625" s="2642"/>
      <c r="AG625" s="2642"/>
      <c r="AH625" s="2642"/>
      <c r="AI625" s="2642"/>
      <c r="AJ625" s="2566"/>
      <c r="AK625" s="2338"/>
      <c r="AL625" s="2338"/>
      <c r="AM625" s="2338"/>
      <c r="AN625" s="2338"/>
      <c r="AO625" s="2338"/>
      <c r="AP625" s="2338"/>
      <c r="AQ625" s="2338"/>
      <c r="AR625" s="2338"/>
      <c r="AS625" s="2338"/>
      <c r="AT625" s="2338"/>
      <c r="AU625" s="2338"/>
      <c r="AV625" s="2338"/>
      <c r="AW625" s="2338"/>
      <c r="AX625" s="2338"/>
      <c r="AY625" s="2338"/>
      <c r="AZ625" s="2338"/>
      <c r="BA625" s="2338"/>
      <c r="BB625" s="2338"/>
      <c r="BC625" s="2338"/>
      <c r="BD625" s="2338"/>
      <c r="BE625" s="2338"/>
      <c r="BF625" s="2338"/>
      <c r="BG625" s="2338"/>
      <c r="BH625" s="2338"/>
      <c r="BI625" s="2338"/>
      <c r="BJ625" s="2338"/>
      <c r="BK625" s="2338"/>
      <c r="BL625" s="2338"/>
      <c r="BM625" s="2338"/>
      <c r="BN625" s="2338"/>
      <c r="BO625" s="2338"/>
      <c r="BP625" s="2338"/>
      <c r="BQ625" s="2338"/>
      <c r="BR625" s="2338"/>
      <c r="BS625" s="2338"/>
      <c r="BT625" s="2338"/>
      <c r="BU625" s="2338"/>
      <c r="BV625" s="2338"/>
      <c r="BW625" s="2338"/>
      <c r="BX625" s="2338"/>
      <c r="BY625" s="2338"/>
      <c r="BZ625" s="2338"/>
      <c r="CA625" s="2338"/>
      <c r="CB625" s="2338"/>
      <c r="CC625" s="2338"/>
      <c r="CD625" s="2338"/>
      <c r="CE625" s="2338"/>
      <c r="CF625" s="2338"/>
      <c r="CG625" s="2338"/>
      <c r="CH625" s="2338"/>
      <c r="CI625" s="2338"/>
      <c r="CJ625" s="2338"/>
      <c r="CK625" s="2338"/>
      <c r="CL625" s="2338"/>
      <c r="CM625" s="2338"/>
      <c r="CN625" s="2338"/>
      <c r="CO625" s="2338"/>
      <c r="CP625" s="2338"/>
      <c r="CQ625" s="2338"/>
      <c r="CR625" s="2338"/>
      <c r="CS625" s="2338"/>
      <c r="CT625" s="2338"/>
      <c r="CU625" s="2338"/>
      <c r="CV625" s="2338"/>
      <c r="CW625" s="2338"/>
      <c r="CX625" s="2338"/>
      <c r="CY625" s="2338"/>
      <c r="CZ625" s="2338"/>
      <c r="DA625" s="2338"/>
      <c r="DB625" s="2338"/>
      <c r="DC625" s="2338"/>
      <c r="DD625" s="2338"/>
      <c r="DE625" s="2338"/>
      <c r="DF625" s="2338"/>
      <c r="DG625" s="2338"/>
    </row>
    <row r="626" spans="1:111" s="1118" customFormat="1" ht="15" hidden="1" customHeight="1" outlineLevel="1">
      <c r="A626" s="2567"/>
      <c r="B626" s="3160" t="s">
        <v>3984</v>
      </c>
      <c r="C626" s="3160"/>
      <c r="D626" s="3160"/>
      <c r="E626" s="2708"/>
      <c r="F626" s="2709"/>
      <c r="G626" s="2333"/>
      <c r="H626" s="2844"/>
      <c r="I626" s="2739"/>
      <c r="J626" s="2739"/>
      <c r="K626" s="2844"/>
      <c r="L626" s="2844"/>
      <c r="M626" s="2844"/>
      <c r="N626" s="2739"/>
      <c r="O626" s="2739"/>
      <c r="P626" s="2844"/>
      <c r="Q626" s="2844"/>
      <c r="R626" s="2844"/>
      <c r="S626" s="2739"/>
      <c r="T626" s="2739"/>
      <c r="U626" s="2649"/>
      <c r="V626" s="2566"/>
      <c r="W626" s="2566"/>
      <c r="X626" s="2566"/>
      <c r="Y626" s="2566"/>
      <c r="Z626" s="2642"/>
      <c r="AA626" s="2642"/>
      <c r="AB626" s="2642"/>
      <c r="AC626" s="2642"/>
      <c r="AD626" s="2642"/>
      <c r="AE626" s="2642"/>
      <c r="AF626" s="2642"/>
      <c r="AG626" s="2642"/>
      <c r="AH626" s="2642"/>
      <c r="AI626" s="2642"/>
      <c r="AJ626" s="2566"/>
      <c r="AK626" s="2338"/>
      <c r="AL626" s="2338"/>
      <c r="AM626" s="2338"/>
      <c r="AN626" s="2338"/>
      <c r="AO626" s="2338"/>
      <c r="AP626" s="2338"/>
      <c r="AQ626" s="2338"/>
      <c r="AR626" s="2338"/>
      <c r="AS626" s="2338"/>
      <c r="AT626" s="2338"/>
      <c r="AU626" s="2338"/>
      <c r="AV626" s="2338"/>
      <c r="AW626" s="2338"/>
      <c r="AX626" s="2338"/>
      <c r="AY626" s="2338"/>
      <c r="AZ626" s="2338"/>
      <c r="BA626" s="2338"/>
      <c r="BB626" s="2338"/>
      <c r="BC626" s="2338"/>
      <c r="BD626" s="2338"/>
      <c r="BE626" s="2338"/>
      <c r="BF626" s="2338"/>
      <c r="BG626" s="2338"/>
      <c r="BH626" s="2338"/>
      <c r="BI626" s="2338"/>
      <c r="BJ626" s="2338"/>
      <c r="BK626" s="2338"/>
      <c r="BL626" s="2338"/>
      <c r="BM626" s="2338"/>
      <c r="BN626" s="2338"/>
      <c r="BO626" s="2338"/>
      <c r="BP626" s="2338"/>
      <c r="BQ626" s="2338"/>
      <c r="BR626" s="2338"/>
      <c r="BS626" s="2338"/>
      <c r="BT626" s="2338"/>
      <c r="BU626" s="2338"/>
      <c r="BV626" s="2338"/>
      <c r="BW626" s="2338"/>
      <c r="BX626" s="2338"/>
      <c r="BY626" s="2338"/>
      <c r="BZ626" s="2338"/>
      <c r="CA626" s="2338"/>
      <c r="CB626" s="2338"/>
      <c r="CC626" s="2338"/>
      <c r="CD626" s="2338"/>
      <c r="CE626" s="2338"/>
      <c r="CF626" s="2338"/>
      <c r="CG626" s="2338"/>
      <c r="CH626" s="2338"/>
      <c r="CI626" s="2338"/>
      <c r="CJ626" s="2338"/>
      <c r="CK626" s="2338"/>
      <c r="CL626" s="2338"/>
      <c r="CM626" s="2338"/>
      <c r="CN626" s="2338"/>
      <c r="CO626" s="2338"/>
      <c r="CP626" s="2338"/>
      <c r="CQ626" s="2338"/>
      <c r="CR626" s="2338"/>
      <c r="CS626" s="2338"/>
      <c r="CT626" s="2338"/>
      <c r="CU626" s="2338"/>
      <c r="CV626" s="2338"/>
      <c r="CW626" s="2338"/>
      <c r="CX626" s="2338"/>
      <c r="CY626" s="2338"/>
      <c r="CZ626" s="2338"/>
      <c r="DA626" s="2338"/>
      <c r="DB626" s="2338"/>
      <c r="DC626" s="2338"/>
      <c r="DD626" s="2338"/>
      <c r="DE626" s="2338"/>
      <c r="DF626" s="2338"/>
      <c r="DG626" s="2338"/>
    </row>
    <row r="627" spans="1:111" s="1118" customFormat="1" ht="15" customHeight="1" collapsed="1">
      <c r="A627" s="2331"/>
      <c r="B627" s="2331"/>
      <c r="C627" s="2331"/>
      <c r="D627" s="2331"/>
      <c r="E627" s="2331"/>
      <c r="F627" s="2334"/>
      <c r="G627" s="2334"/>
      <c r="H627" s="2749"/>
      <c r="I627" s="2750"/>
      <c r="J627" s="2581"/>
      <c r="K627" s="2447"/>
      <c r="L627" s="2447"/>
      <c r="M627" s="2749"/>
      <c r="N627" s="2750"/>
      <c r="O627" s="2581"/>
      <c r="P627" s="2447"/>
      <c r="Q627" s="2447"/>
      <c r="R627" s="2751"/>
      <c r="S627" s="2750"/>
      <c r="T627" s="2581"/>
      <c r="U627" s="2331"/>
      <c r="V627" s="2338"/>
      <c r="W627" s="2338"/>
      <c r="X627" s="2338"/>
      <c r="Y627" s="2338"/>
      <c r="Z627"/>
      <c r="AA627"/>
      <c r="AB627"/>
      <c r="AC627"/>
      <c r="AD627"/>
      <c r="AE627"/>
      <c r="AF627"/>
      <c r="AG627"/>
      <c r="AH627"/>
      <c r="AI627"/>
      <c r="AJ627" s="2338"/>
      <c r="AK627" s="2338"/>
      <c r="AL627" s="2338"/>
      <c r="AM627" s="2338"/>
      <c r="AN627" s="2338"/>
      <c r="AO627" s="2338"/>
      <c r="AP627" s="2338"/>
      <c r="AQ627" s="2338"/>
      <c r="AR627" s="2338"/>
      <c r="AS627" s="2338"/>
      <c r="AT627" s="2338"/>
      <c r="AU627" s="2338"/>
      <c r="AV627" s="2338"/>
      <c r="AW627" s="2338"/>
      <c r="AX627" s="2338"/>
      <c r="AY627" s="2338"/>
      <c r="AZ627" s="2338"/>
      <c r="BA627" s="2338"/>
      <c r="BB627" s="2338"/>
      <c r="BC627" s="2338"/>
      <c r="BD627" s="2338"/>
      <c r="BE627" s="2338"/>
      <c r="BF627" s="2338"/>
      <c r="BG627" s="2338"/>
      <c r="BH627" s="2338"/>
      <c r="BI627" s="2338"/>
      <c r="BJ627" s="2338"/>
      <c r="BK627" s="2338"/>
      <c r="BL627" s="2338"/>
      <c r="BM627" s="2338"/>
      <c r="BN627" s="2338"/>
      <c r="BO627" s="2338"/>
      <c r="BP627" s="2338"/>
      <c r="BQ627" s="2338"/>
      <c r="BR627" s="2338"/>
      <c r="BS627" s="2338"/>
      <c r="BT627" s="2338"/>
      <c r="BU627" s="2338"/>
      <c r="BV627" s="2338"/>
      <c r="BW627" s="2338"/>
      <c r="BX627" s="2338"/>
      <c r="BY627" s="2338"/>
      <c r="BZ627" s="2338"/>
      <c r="CA627" s="2338"/>
      <c r="CB627" s="2338"/>
      <c r="CC627" s="2338"/>
      <c r="CD627" s="2338"/>
      <c r="CE627" s="2338"/>
      <c r="CF627" s="2338"/>
      <c r="CG627" s="2338"/>
      <c r="CH627" s="2338"/>
      <c r="CI627" s="2338"/>
      <c r="CJ627" s="2338"/>
      <c r="CK627" s="2338"/>
      <c r="CL627" s="2338"/>
      <c r="CM627" s="2338"/>
      <c r="CN627" s="2338"/>
      <c r="CO627" s="2338"/>
      <c r="CP627" s="2338"/>
      <c r="CQ627" s="2338"/>
      <c r="CR627" s="2338"/>
      <c r="CS627" s="2338"/>
      <c r="CT627" s="2338"/>
      <c r="CU627" s="2338"/>
      <c r="CV627" s="2338"/>
      <c r="CW627" s="2338"/>
      <c r="CX627" s="2338"/>
      <c r="CY627" s="2338"/>
      <c r="CZ627" s="2338"/>
      <c r="DA627" s="2338"/>
      <c r="DB627" s="2338"/>
      <c r="DC627" s="2338"/>
      <c r="DD627" s="2338"/>
      <c r="DE627" s="2338"/>
      <c r="DF627" s="2338"/>
      <c r="DG627" s="2338"/>
    </row>
    <row r="628" spans="1:111" s="1118" customFormat="1" ht="15" customHeight="1">
      <c r="A628" s="2331"/>
      <c r="B628" s="2331"/>
      <c r="C628" s="2331"/>
      <c r="D628" s="2331"/>
      <c r="E628" s="2331"/>
      <c r="F628" s="2334"/>
      <c r="G628" s="2334"/>
      <c r="H628" s="2447"/>
      <c r="I628" s="2581"/>
      <c r="J628" s="2581"/>
      <c r="K628" s="2447"/>
      <c r="L628" s="2447"/>
      <c r="M628" s="2447"/>
      <c r="N628" s="2581"/>
      <c r="O628" s="2581"/>
      <c r="P628" s="2447"/>
      <c r="Q628" s="2447"/>
      <c r="R628" s="2447"/>
      <c r="S628" s="2581"/>
      <c r="T628" s="2581"/>
      <c r="U628" s="2331"/>
      <c r="V628" s="2338"/>
      <c r="W628" s="2338"/>
      <c r="X628" s="2338"/>
      <c r="Y628" s="2338"/>
      <c r="Z628"/>
      <c r="AA628"/>
      <c r="AB628"/>
      <c r="AC628"/>
      <c r="AD628"/>
      <c r="AE628"/>
      <c r="AF628"/>
      <c r="AG628"/>
      <c r="AH628"/>
      <c r="AI628"/>
      <c r="AJ628" s="2338"/>
      <c r="AK628" s="2338"/>
      <c r="AL628" s="2338"/>
      <c r="AM628" s="2338"/>
      <c r="AN628" s="2338"/>
      <c r="AO628" s="2338"/>
      <c r="AP628" s="2338"/>
      <c r="AQ628" s="2338"/>
      <c r="AR628" s="2338"/>
      <c r="AS628" s="2338"/>
      <c r="AT628" s="2338"/>
      <c r="AU628" s="2338"/>
      <c r="AV628" s="2338"/>
      <c r="AW628" s="2338"/>
      <c r="AX628" s="2338"/>
      <c r="AY628" s="2338"/>
      <c r="AZ628" s="2338"/>
      <c r="BA628" s="2338"/>
      <c r="BB628" s="2338"/>
      <c r="BC628" s="2338"/>
      <c r="BD628" s="2338"/>
      <c r="BE628" s="2338"/>
      <c r="BF628" s="2338"/>
      <c r="BG628" s="2338"/>
      <c r="BH628" s="2338"/>
      <c r="BI628" s="2338"/>
      <c r="BJ628" s="2338"/>
      <c r="BK628" s="2338"/>
      <c r="BL628" s="2338"/>
      <c r="BM628" s="2338"/>
      <c r="BN628" s="2338"/>
      <c r="BO628" s="2338"/>
      <c r="BP628" s="2338"/>
      <c r="BQ628" s="2338"/>
      <c r="BR628" s="2338"/>
      <c r="BS628" s="2338"/>
      <c r="BT628" s="2338"/>
      <c r="BU628" s="2338"/>
      <c r="BV628" s="2338"/>
      <c r="BW628" s="2338"/>
      <c r="BX628" s="2338"/>
      <c r="BY628" s="2338"/>
      <c r="BZ628" s="2338"/>
      <c r="CA628" s="2338"/>
      <c r="CB628" s="2338"/>
      <c r="CC628" s="2338"/>
      <c r="CD628" s="2338"/>
      <c r="CE628" s="2338"/>
      <c r="CF628" s="2338"/>
      <c r="CG628" s="2338"/>
      <c r="CH628" s="2338"/>
      <c r="CI628" s="2338"/>
      <c r="CJ628" s="2338"/>
      <c r="CK628" s="2338"/>
      <c r="CL628" s="2338"/>
      <c r="CM628" s="2338"/>
      <c r="CN628" s="2338"/>
      <c r="CO628" s="2338"/>
      <c r="CP628" s="2338"/>
      <c r="CQ628" s="2338"/>
      <c r="CR628" s="2338"/>
      <c r="CS628" s="2338"/>
      <c r="CT628" s="2338"/>
      <c r="CU628" s="2338"/>
      <c r="CV628" s="2338"/>
      <c r="CW628" s="2338"/>
      <c r="CX628" s="2338"/>
      <c r="CY628" s="2338"/>
      <c r="CZ628" s="2338"/>
      <c r="DA628" s="2338"/>
      <c r="DB628" s="2338"/>
      <c r="DC628" s="2338"/>
      <c r="DD628" s="2338"/>
      <c r="DE628" s="2338"/>
      <c r="DF628" s="2338"/>
      <c r="DG628" s="2338"/>
    </row>
    <row r="629" spans="1:111" s="1118" customFormat="1" ht="15" customHeight="1" thickBot="1">
      <c r="A629" s="2331"/>
      <c r="B629" s="2331"/>
      <c r="C629" s="2331"/>
      <c r="D629" s="2331"/>
      <c r="E629" s="2331"/>
      <c r="F629" s="2334"/>
      <c r="G629" s="2334"/>
      <c r="H629" s="2447"/>
      <c r="I629" s="2581"/>
      <c r="J629" s="2581"/>
      <c r="K629" s="2447"/>
      <c r="L629" s="2447"/>
      <c r="M629" s="2447"/>
      <c r="N629" s="2581"/>
      <c r="O629" s="2581"/>
      <c r="P629" s="2447"/>
      <c r="Q629" s="2447"/>
      <c r="R629" s="2447"/>
      <c r="S629" s="2581"/>
      <c r="T629" s="2581"/>
      <c r="U629" s="2331"/>
      <c r="V629" s="2338"/>
      <c r="W629" s="2338"/>
      <c r="X629" s="2338"/>
      <c r="Y629" s="2338"/>
      <c r="Z629"/>
      <c r="AA629"/>
      <c r="AB629"/>
      <c r="AC629"/>
      <c r="AD629"/>
      <c r="AE629"/>
      <c r="AF629"/>
      <c r="AG629"/>
      <c r="AH629"/>
      <c r="AI629"/>
      <c r="AJ629" s="2338"/>
      <c r="AK629" s="2338"/>
      <c r="AL629" s="2338"/>
      <c r="AM629" s="2338"/>
      <c r="AN629" s="2338"/>
      <c r="AO629" s="2338"/>
      <c r="AP629" s="2338"/>
      <c r="AQ629" s="2338"/>
      <c r="AR629" s="2338"/>
      <c r="AS629" s="2338"/>
      <c r="AT629" s="2338"/>
      <c r="AU629" s="2338"/>
      <c r="AV629" s="2338"/>
      <c r="AW629" s="2338"/>
      <c r="AX629" s="2338"/>
      <c r="AY629" s="2338"/>
      <c r="AZ629" s="2338"/>
      <c r="BA629" s="2338"/>
      <c r="BB629" s="2338"/>
      <c r="BC629" s="2338"/>
      <c r="BD629" s="2338"/>
      <c r="BE629" s="2338"/>
      <c r="BF629" s="2338"/>
      <c r="BG629" s="2338"/>
      <c r="BH629" s="2338"/>
      <c r="BI629" s="2338"/>
      <c r="BJ629" s="2338"/>
      <c r="BK629" s="2338"/>
      <c r="BL629" s="2338"/>
      <c r="BM629" s="2338"/>
      <c r="BN629" s="2338"/>
      <c r="BO629" s="2338"/>
      <c r="BP629" s="2338"/>
      <c r="BQ629" s="2338"/>
      <c r="BR629" s="2338"/>
      <c r="BS629" s="2338"/>
      <c r="BT629" s="2338"/>
      <c r="BU629" s="2338"/>
      <c r="BV629" s="2338"/>
      <c r="BW629" s="2338"/>
      <c r="BX629" s="2338"/>
      <c r="BY629" s="2338"/>
      <c r="BZ629" s="2338"/>
      <c r="CA629" s="2338"/>
      <c r="CB629" s="2338"/>
      <c r="CC629" s="2338"/>
      <c r="CD629" s="2338"/>
      <c r="CE629" s="2338"/>
      <c r="CF629" s="2338"/>
      <c r="CG629" s="2338"/>
      <c r="CH629" s="2338"/>
      <c r="CI629" s="2338"/>
      <c r="CJ629" s="2338"/>
      <c r="CK629" s="2338"/>
      <c r="CL629" s="2338"/>
      <c r="CM629" s="2338"/>
      <c r="CN629" s="2338"/>
      <c r="CO629" s="2338"/>
      <c r="CP629" s="2338"/>
      <c r="CQ629" s="2338"/>
      <c r="CR629" s="2338"/>
      <c r="CS629" s="2338"/>
      <c r="CT629" s="2338"/>
      <c r="CU629" s="2338"/>
      <c r="CV629" s="2338"/>
      <c r="CW629" s="2338"/>
      <c r="CX629" s="2338"/>
      <c r="CY629" s="2338"/>
      <c r="CZ629" s="2338"/>
      <c r="DA629" s="2338"/>
      <c r="DB629" s="2338"/>
      <c r="DC629" s="2338"/>
      <c r="DD629" s="2338"/>
      <c r="DE629" s="2338"/>
      <c r="DF629" s="2338"/>
      <c r="DG629" s="2338"/>
    </row>
    <row r="630" spans="1:111" s="1118" customFormat="1" ht="35.25" customHeight="1" thickBot="1">
      <c r="A630" s="3038"/>
      <c r="B630" s="3039"/>
      <c r="C630" s="3039"/>
      <c r="D630" s="3039"/>
      <c r="E630" s="3039"/>
      <c r="F630" s="3040"/>
      <c r="G630" s="3149" t="s">
        <v>4247</v>
      </c>
      <c r="H630" s="3150"/>
      <c r="I630" s="3150"/>
      <c r="J630" s="3150"/>
      <c r="K630" s="3150"/>
      <c r="L630" s="3150"/>
      <c r="M630" s="3150"/>
      <c r="N630" s="3150"/>
      <c r="O630" s="3150"/>
      <c r="P630" s="3150"/>
      <c r="Q630" s="3150"/>
      <c r="R630" s="3150"/>
      <c r="S630" s="3150"/>
      <c r="T630" s="3150"/>
      <c r="U630" s="3151"/>
      <c r="V630" s="2338"/>
      <c r="W630" s="2338"/>
      <c r="X630" s="2338"/>
      <c r="Y630" s="2338"/>
      <c r="Z630"/>
      <c r="AA630"/>
      <c r="AB630"/>
      <c r="AC630"/>
      <c r="AD630"/>
      <c r="AE630"/>
      <c r="AF630"/>
      <c r="AG630"/>
      <c r="AH630"/>
      <c r="AI630"/>
      <c r="AJ630" s="2338"/>
      <c r="AK630" s="2338"/>
      <c r="AL630" s="2338"/>
      <c r="AM630" s="2338"/>
      <c r="AN630" s="2338"/>
      <c r="AO630" s="2338"/>
      <c r="AP630" s="2338"/>
      <c r="AQ630" s="2338"/>
      <c r="AR630" s="2338"/>
      <c r="AS630" s="2338"/>
      <c r="AT630" s="2338"/>
      <c r="AU630" s="2338"/>
      <c r="AV630" s="2338"/>
      <c r="AW630" s="2338"/>
      <c r="AX630" s="2338"/>
      <c r="AY630" s="2338"/>
      <c r="AZ630" s="2338"/>
      <c r="BA630" s="2338"/>
      <c r="BB630" s="2338"/>
      <c r="BC630" s="2338"/>
      <c r="BD630" s="2338"/>
      <c r="BE630" s="2338"/>
      <c r="BF630" s="2338"/>
      <c r="BG630" s="2338"/>
      <c r="BH630" s="2338"/>
      <c r="BI630" s="2338"/>
      <c r="BJ630" s="2338"/>
      <c r="BK630" s="2338"/>
      <c r="BL630" s="2338"/>
      <c r="BM630" s="2338"/>
      <c r="BN630" s="2338"/>
      <c r="BO630" s="2338"/>
      <c r="BP630" s="2338"/>
      <c r="BQ630" s="2338"/>
      <c r="BR630" s="2338"/>
      <c r="BS630" s="2338"/>
      <c r="BT630" s="2338"/>
      <c r="BU630" s="2338"/>
      <c r="BV630" s="2338"/>
      <c r="BW630" s="2338"/>
      <c r="BX630" s="2338"/>
      <c r="BY630" s="2338"/>
      <c r="BZ630" s="2338"/>
      <c r="CA630" s="2338"/>
      <c r="CB630" s="2338"/>
      <c r="CC630" s="2338"/>
      <c r="CD630" s="2338"/>
      <c r="CE630" s="2338"/>
      <c r="CF630" s="2338"/>
      <c r="CG630" s="2338"/>
      <c r="CH630" s="2338"/>
      <c r="CI630" s="2338"/>
      <c r="CJ630" s="2338"/>
      <c r="CK630" s="2338"/>
      <c r="CL630" s="2338"/>
      <c r="CM630" s="2338"/>
      <c r="CN630" s="2338"/>
      <c r="CO630" s="2338"/>
      <c r="CP630" s="2338"/>
      <c r="CQ630" s="2338"/>
      <c r="CR630" s="2338"/>
      <c r="CS630" s="2338"/>
      <c r="CT630" s="2338"/>
      <c r="CU630" s="2338"/>
      <c r="CV630" s="2338"/>
      <c r="CW630" s="2338"/>
      <c r="CX630" s="2338"/>
      <c r="CY630" s="2338"/>
      <c r="CZ630" s="2338"/>
      <c r="DA630" s="2338"/>
      <c r="DB630" s="2338"/>
      <c r="DC630" s="2338"/>
      <c r="DD630" s="2338"/>
      <c r="DE630" s="2338"/>
      <c r="DF630" s="2338"/>
      <c r="DG630" s="2338"/>
    </row>
    <row r="631" spans="1:111" s="1118" customFormat="1" ht="67.5" customHeight="1">
      <c r="A631" s="3007" t="s">
        <v>0</v>
      </c>
      <c r="B631" s="3064" t="s">
        <v>3849</v>
      </c>
      <c r="C631" s="3065"/>
      <c r="D631" s="3065"/>
      <c r="E631" s="3043" t="s">
        <v>3866</v>
      </c>
      <c r="F631" s="3074" t="s">
        <v>3867</v>
      </c>
      <c r="G631" s="3003" t="s">
        <v>3854</v>
      </c>
      <c r="H631" s="3133" t="s">
        <v>3868</v>
      </c>
      <c r="I631" s="3134"/>
      <c r="J631" s="3134"/>
      <c r="K631" s="3134"/>
      <c r="L631" s="3135"/>
      <c r="M631" s="3133" t="s">
        <v>3869</v>
      </c>
      <c r="N631" s="3134"/>
      <c r="O631" s="3134"/>
      <c r="P631" s="3134"/>
      <c r="Q631" s="3135"/>
      <c r="R631" s="3155" t="s">
        <v>3870</v>
      </c>
      <c r="S631" s="3156"/>
      <c r="T631" s="3156"/>
      <c r="U631" s="3157"/>
      <c r="V631" s="3136" t="s">
        <v>3978</v>
      </c>
      <c r="W631" s="3137"/>
      <c r="X631" s="3137"/>
      <c r="Y631" s="3138"/>
      <c r="Z631" s="3132" t="s">
        <v>3858</v>
      </c>
      <c r="AA631" s="3132"/>
      <c r="AB631" s="3132"/>
      <c r="AC631" s="3132"/>
      <c r="AD631" s="3121" t="s">
        <v>3979</v>
      </c>
      <c r="AE631" s="3121"/>
      <c r="AF631" s="3121"/>
      <c r="AG631" s="3121"/>
      <c r="AH631" s="2496" t="s">
        <v>3980</v>
      </c>
      <c r="AI631" s="2500" t="s">
        <v>3974</v>
      </c>
      <c r="AJ631" s="2500" t="s">
        <v>3975</v>
      </c>
      <c r="AK631" s="2338"/>
      <c r="AL631" s="2338"/>
      <c r="AM631" s="2338"/>
      <c r="AN631" s="2338"/>
      <c r="AO631" s="2338"/>
      <c r="AP631" s="2338"/>
      <c r="AQ631" s="2338"/>
      <c r="AR631" s="2338"/>
      <c r="AS631" s="2338"/>
      <c r="AT631" s="2338"/>
      <c r="AU631" s="2338"/>
      <c r="AV631" s="2338"/>
      <c r="AW631" s="2338"/>
      <c r="AX631" s="2338"/>
      <c r="AY631" s="2338"/>
      <c r="AZ631" s="2338"/>
      <c r="BA631" s="2338"/>
      <c r="BB631" s="2338"/>
      <c r="BC631" s="2338"/>
      <c r="BD631" s="2338"/>
      <c r="BE631" s="2338"/>
      <c r="BF631" s="2338"/>
      <c r="BG631" s="2338"/>
      <c r="BH631" s="2338"/>
      <c r="BI631" s="2338"/>
      <c r="BJ631" s="2338"/>
      <c r="BK631" s="2338"/>
      <c r="BL631" s="2338"/>
      <c r="BM631" s="2338"/>
      <c r="BN631" s="2338"/>
      <c r="BO631" s="2338"/>
      <c r="BP631" s="2338"/>
      <c r="BQ631" s="2338"/>
      <c r="BR631" s="2338"/>
      <c r="BS631" s="2338"/>
      <c r="BT631" s="2338"/>
      <c r="BU631" s="2338"/>
      <c r="BV631" s="2338"/>
      <c r="BW631" s="2338"/>
      <c r="BX631" s="2338"/>
      <c r="BY631" s="2338"/>
      <c r="BZ631" s="2338"/>
      <c r="CA631" s="2338"/>
      <c r="CB631" s="2338"/>
      <c r="CC631" s="2338"/>
      <c r="CD631" s="2338"/>
      <c r="CE631" s="2338"/>
      <c r="CF631" s="2338"/>
      <c r="CG631" s="2338"/>
      <c r="CH631" s="2338"/>
      <c r="CI631" s="2338"/>
      <c r="CJ631" s="2338"/>
      <c r="CK631" s="2338"/>
      <c r="CL631" s="2338"/>
      <c r="CM631" s="2338"/>
      <c r="CN631" s="2338"/>
      <c r="CO631" s="2338"/>
      <c r="CP631" s="2338"/>
      <c r="CQ631" s="2338"/>
      <c r="CR631" s="2338"/>
      <c r="CS631" s="2338"/>
      <c r="CT631" s="2338"/>
      <c r="CU631" s="2338"/>
      <c r="CV631" s="2338"/>
      <c r="CW631" s="2338"/>
      <c r="CX631" s="2338"/>
      <c r="CY631" s="2338"/>
      <c r="CZ631" s="2338"/>
      <c r="DA631" s="2338"/>
      <c r="DB631" s="2338"/>
      <c r="DC631" s="2338"/>
      <c r="DD631" s="2338"/>
      <c r="DE631" s="2338"/>
      <c r="DF631" s="2338"/>
      <c r="DG631" s="2338"/>
    </row>
    <row r="632" spans="1:111" s="1118" customFormat="1" ht="76.5" customHeight="1" thickBot="1">
      <c r="A632" s="3072"/>
      <c r="B632" s="3066"/>
      <c r="C632" s="3026"/>
      <c r="D632" s="3026"/>
      <c r="E632" s="3073"/>
      <c r="F632" s="3075"/>
      <c r="G632" s="3076"/>
      <c r="H632" s="2676">
        <v>2015</v>
      </c>
      <c r="I632" s="2676">
        <v>2016</v>
      </c>
      <c r="J632" s="2676">
        <v>2017</v>
      </c>
      <c r="K632" s="2676" t="s">
        <v>3925</v>
      </c>
      <c r="L632" s="2595" t="s">
        <v>2559</v>
      </c>
      <c r="M632" s="2676">
        <f>H632</f>
        <v>2015</v>
      </c>
      <c r="N632" s="2676">
        <f>I632</f>
        <v>2016</v>
      </c>
      <c r="O632" s="2676">
        <f>J632</f>
        <v>2017</v>
      </c>
      <c r="P632" s="2676" t="s">
        <v>3925</v>
      </c>
      <c r="Q632" s="2595" t="s">
        <v>2559</v>
      </c>
      <c r="R632" s="2673">
        <f>H632</f>
        <v>2015</v>
      </c>
      <c r="S632" s="2673">
        <f>I632</f>
        <v>2016</v>
      </c>
      <c r="T632" s="2673">
        <f>J632</f>
        <v>2017</v>
      </c>
      <c r="U632" s="2676" t="s">
        <v>3925</v>
      </c>
      <c r="V632" s="2496">
        <f>R632</f>
        <v>2015</v>
      </c>
      <c r="W632" s="2496">
        <f>S632</f>
        <v>2016</v>
      </c>
      <c r="X632" s="2496">
        <f>T632</f>
        <v>2017</v>
      </c>
      <c r="Y632" s="2496" t="s">
        <v>3925</v>
      </c>
      <c r="Z632" s="2677">
        <v>2016</v>
      </c>
      <c r="AA632" s="2677">
        <v>2017</v>
      </c>
      <c r="AB632" s="2677">
        <v>2018</v>
      </c>
      <c r="AC632" s="2677">
        <v>2019</v>
      </c>
      <c r="AD632" s="2704">
        <f>V632</f>
        <v>2015</v>
      </c>
      <c r="AE632" s="2704">
        <f>W632</f>
        <v>2016</v>
      </c>
      <c r="AF632" s="2704">
        <f>X632</f>
        <v>2017</v>
      </c>
      <c r="AG632" s="2704" t="str">
        <f>Y632</f>
        <v>План (в случае отсутствия факта за 3 года)</v>
      </c>
      <c r="AH632" s="2497" t="s">
        <v>3981</v>
      </c>
      <c r="AI632" s="2597" t="s">
        <v>3976</v>
      </c>
      <c r="AJ632" s="2597" t="s">
        <v>3977</v>
      </c>
      <c r="AK632" s="2338"/>
      <c r="AL632" s="2338"/>
      <c r="AM632" s="2338"/>
      <c r="AN632" s="2338"/>
      <c r="AO632" s="2338"/>
      <c r="AP632" s="2338"/>
      <c r="AQ632" s="2338"/>
      <c r="AR632" s="2338"/>
      <c r="AS632" s="2338"/>
      <c r="AT632" s="2338"/>
      <c r="AU632" s="2338"/>
      <c r="AV632" s="2338"/>
      <c r="AW632" s="2338"/>
      <c r="AX632" s="2338"/>
      <c r="AY632" s="2338"/>
      <c r="AZ632" s="2338"/>
      <c r="BA632" s="2338"/>
      <c r="BB632" s="2338"/>
      <c r="BC632" s="2338"/>
      <c r="BD632" s="2338"/>
      <c r="BE632" s="2338"/>
      <c r="BF632" s="2338"/>
      <c r="BG632" s="2338"/>
      <c r="BH632" s="2338"/>
      <c r="BI632" s="2338"/>
      <c r="BJ632" s="2338"/>
      <c r="BK632" s="2338"/>
      <c r="BL632" s="2338"/>
      <c r="BM632" s="2338"/>
      <c r="BN632" s="2338"/>
      <c r="BO632" s="2338"/>
      <c r="BP632" s="2338"/>
      <c r="BQ632" s="2338"/>
      <c r="BR632" s="2338"/>
      <c r="BS632" s="2338"/>
      <c r="BT632" s="2338"/>
      <c r="BU632" s="2338"/>
      <c r="BV632" s="2338"/>
      <c r="BW632" s="2338"/>
      <c r="BX632" s="2338"/>
      <c r="BY632" s="2338"/>
      <c r="BZ632" s="2338"/>
      <c r="CA632" s="2338"/>
      <c r="CB632" s="2338"/>
      <c r="CC632" s="2338"/>
      <c r="CD632" s="2338"/>
      <c r="CE632" s="2338"/>
      <c r="CF632" s="2338"/>
      <c r="CG632" s="2338"/>
      <c r="CH632" s="2338"/>
      <c r="CI632" s="2338"/>
      <c r="CJ632" s="2338"/>
      <c r="CK632" s="2338"/>
      <c r="CL632" s="2338"/>
      <c r="CM632" s="2338"/>
      <c r="CN632" s="2338"/>
      <c r="CO632" s="2338"/>
      <c r="CP632" s="2338"/>
      <c r="CQ632" s="2338"/>
      <c r="CR632" s="2338"/>
      <c r="CS632" s="2338"/>
      <c r="CT632" s="2338"/>
      <c r="CU632" s="2338"/>
      <c r="CV632" s="2338"/>
      <c r="CW632" s="2338"/>
      <c r="CX632" s="2338"/>
      <c r="CY632" s="2338"/>
      <c r="CZ632" s="2338"/>
      <c r="DA632" s="2338"/>
      <c r="DB632" s="2338"/>
      <c r="DC632" s="2338"/>
      <c r="DD632" s="2338"/>
      <c r="DE632" s="2338"/>
      <c r="DF632" s="2338"/>
      <c r="DG632" s="2338"/>
    </row>
    <row r="633" spans="1:111" s="1118" customFormat="1" ht="15" customHeight="1" thickBot="1">
      <c r="A633" s="2710">
        <v>1</v>
      </c>
      <c r="B633" s="3139">
        <v>2</v>
      </c>
      <c r="C633" s="3140"/>
      <c r="D633" s="3140"/>
      <c r="E633" s="3140">
        <v>3</v>
      </c>
      <c r="F633" s="3141"/>
      <c r="G633" s="2678">
        <v>4</v>
      </c>
      <c r="H633" s="3142">
        <v>5</v>
      </c>
      <c r="I633" s="3143"/>
      <c r="J633" s="3143"/>
      <c r="K633" s="3144"/>
      <c r="L633" s="2730"/>
      <c r="M633" s="3142">
        <v>6</v>
      </c>
      <c r="N633" s="3143"/>
      <c r="O633" s="3143"/>
      <c r="P633" s="3143"/>
      <c r="Q633" s="2730"/>
      <c r="R633" s="3145">
        <v>7</v>
      </c>
      <c r="S633" s="3146"/>
      <c r="T633" s="3146"/>
      <c r="U633" s="3147"/>
      <c r="V633" s="3148">
        <v>8</v>
      </c>
      <c r="W633" s="3148"/>
      <c r="X633" s="3148"/>
      <c r="Y633" s="3148"/>
      <c r="Z633" s="3148">
        <v>9</v>
      </c>
      <c r="AA633" s="3148"/>
      <c r="AB633" s="3148"/>
      <c r="AC633" s="3148"/>
      <c r="AD633" s="3105">
        <v>10</v>
      </c>
      <c r="AE633" s="3106"/>
      <c r="AF633" s="3106"/>
      <c r="AG633" s="3107"/>
      <c r="AH633" s="2498">
        <v>11</v>
      </c>
      <c r="AI633" s="2498">
        <v>12</v>
      </c>
      <c r="AJ633" s="2499">
        <v>13</v>
      </c>
      <c r="AK633" s="2338"/>
      <c r="AL633" s="2338"/>
      <c r="AM633" s="2338"/>
      <c r="AN633" s="2338"/>
      <c r="AO633" s="2338"/>
      <c r="AP633" s="2338"/>
      <c r="AQ633" s="2338"/>
      <c r="AR633" s="2338"/>
      <c r="AS633" s="2338"/>
      <c r="AT633" s="2338"/>
      <c r="AU633" s="2338"/>
      <c r="AV633" s="2338"/>
      <c r="AW633" s="2338"/>
      <c r="AX633" s="2338"/>
      <c r="AY633" s="2338"/>
      <c r="AZ633" s="2338"/>
      <c r="BA633" s="2338"/>
      <c r="BB633" s="2338"/>
      <c r="BC633" s="2338"/>
      <c r="BD633" s="2338"/>
      <c r="BE633" s="2338"/>
      <c r="BF633" s="2338"/>
      <c r="BG633" s="2338"/>
      <c r="BH633" s="2338"/>
      <c r="BI633" s="2338"/>
      <c r="BJ633" s="2338"/>
      <c r="BK633" s="2338"/>
      <c r="BL633" s="2338"/>
      <c r="BM633" s="2338"/>
      <c r="BN633" s="2338"/>
      <c r="BO633" s="2338"/>
      <c r="BP633" s="2338"/>
      <c r="BQ633" s="2338"/>
      <c r="BR633" s="2338"/>
      <c r="BS633" s="2338"/>
      <c r="BT633" s="2338"/>
      <c r="BU633" s="2338"/>
      <c r="BV633" s="2338"/>
      <c r="BW633" s="2338"/>
      <c r="BX633" s="2338"/>
      <c r="BY633" s="2338"/>
      <c r="BZ633" s="2338"/>
      <c r="CA633" s="2338"/>
      <c r="CB633" s="2338"/>
      <c r="CC633" s="2338"/>
      <c r="CD633" s="2338"/>
      <c r="CE633" s="2338"/>
      <c r="CF633" s="2338"/>
      <c r="CG633" s="2338"/>
      <c r="CH633" s="2338"/>
      <c r="CI633" s="2338"/>
      <c r="CJ633" s="2338"/>
      <c r="CK633" s="2338"/>
      <c r="CL633" s="2338"/>
      <c r="CM633" s="2338"/>
      <c r="CN633" s="2338"/>
      <c r="CO633" s="2338"/>
      <c r="CP633" s="2338"/>
      <c r="CQ633" s="2338"/>
      <c r="CR633" s="2338"/>
      <c r="CS633" s="2338"/>
      <c r="CT633" s="2338"/>
      <c r="CU633" s="2338"/>
      <c r="CV633" s="2338"/>
      <c r="CW633" s="2338"/>
      <c r="CX633" s="2338"/>
      <c r="CY633" s="2338"/>
      <c r="CZ633" s="2338"/>
      <c r="DA633" s="2338"/>
      <c r="DB633" s="2338"/>
      <c r="DC633" s="2338"/>
      <c r="DD633" s="2338"/>
      <c r="DE633" s="2338"/>
      <c r="DF633" s="2338"/>
      <c r="DG633" s="2338"/>
    </row>
    <row r="634" spans="1:111" s="1118" customFormat="1" ht="15" hidden="1" customHeight="1" outlineLevel="1">
      <c r="A634" s="2567"/>
      <c r="B634" s="3152" t="s">
        <v>2952</v>
      </c>
      <c r="C634" s="3152"/>
      <c r="D634" s="3152"/>
      <c r="E634" s="3153" t="s">
        <v>3871</v>
      </c>
      <c r="F634" s="2713" t="s">
        <v>2629</v>
      </c>
      <c r="G634" s="2675"/>
      <c r="H634" s="2649"/>
      <c r="I634" s="2649"/>
      <c r="J634" s="2649"/>
      <c r="K634" s="2649"/>
      <c r="L634" s="2649"/>
      <c r="M634" s="2649"/>
      <c r="N634" s="2649"/>
      <c r="O634" s="2649"/>
      <c r="P634" s="2649"/>
      <c r="Q634" s="2649"/>
      <c r="R634" s="2649"/>
      <c r="S634" s="2649"/>
      <c r="T634" s="2649"/>
      <c r="U634" s="2649"/>
      <c r="V634" s="2567"/>
      <c r="W634" s="2567"/>
      <c r="X634" s="2567"/>
      <c r="Y634" s="2567"/>
      <c r="Z634" s="2645">
        <f>$Z$13</f>
        <v>1.0528</v>
      </c>
      <c r="AA634" s="2645">
        <f>$AA$13</f>
        <v>1.0589</v>
      </c>
      <c r="AB634" s="2645">
        <f>$AB$13</f>
        <v>1.0507936887282501</v>
      </c>
      <c r="AC634" s="2645">
        <f>$AC$13</f>
        <v>1.04657781587849</v>
      </c>
      <c r="AD634" s="2642"/>
      <c r="AE634" s="2642"/>
      <c r="AF634" s="2642"/>
      <c r="AG634" s="2642"/>
      <c r="AH634" s="2642"/>
      <c r="AI634" s="2642"/>
      <c r="AJ634" s="2566"/>
      <c r="AK634" s="2338"/>
      <c r="AL634" s="2338"/>
      <c r="AM634" s="2338"/>
      <c r="AN634" s="2338"/>
      <c r="AO634" s="2338"/>
      <c r="AP634" s="2338"/>
      <c r="AQ634" s="2338"/>
      <c r="AR634" s="2338"/>
      <c r="AS634" s="2338"/>
      <c r="AT634" s="2338"/>
      <c r="AU634" s="2338"/>
      <c r="AV634" s="2338"/>
      <c r="AW634" s="2338"/>
      <c r="AX634" s="2338"/>
      <c r="AY634" s="2338"/>
      <c r="AZ634" s="2338"/>
      <c r="BA634" s="2338"/>
      <c r="BB634" s="2338"/>
      <c r="BC634" s="2338"/>
      <c r="BD634" s="2338"/>
      <c r="BE634" s="2338"/>
      <c r="BF634" s="2338"/>
      <c r="BG634" s="2338"/>
      <c r="BH634" s="2338"/>
      <c r="BI634" s="2338"/>
      <c r="BJ634" s="2338"/>
      <c r="BK634" s="2338"/>
      <c r="BL634" s="2338"/>
      <c r="BM634" s="2338"/>
      <c r="BN634" s="2338"/>
      <c r="BO634" s="2338"/>
      <c r="BP634" s="2338"/>
      <c r="BQ634" s="2338"/>
      <c r="BR634" s="2338"/>
      <c r="BS634" s="2338"/>
      <c r="BT634" s="2338"/>
      <c r="BU634" s="2338"/>
      <c r="BV634" s="2338"/>
      <c r="BW634" s="2338"/>
      <c r="BX634" s="2338"/>
      <c r="BY634" s="2338"/>
      <c r="BZ634" s="2338"/>
      <c r="CA634" s="2338"/>
      <c r="CB634" s="2338"/>
      <c r="CC634" s="2338"/>
      <c r="CD634" s="2338"/>
      <c r="CE634" s="2338"/>
      <c r="CF634" s="2338"/>
      <c r="CG634" s="2338"/>
      <c r="CH634" s="2338"/>
      <c r="CI634" s="2338"/>
      <c r="CJ634" s="2338"/>
      <c r="CK634" s="2338"/>
      <c r="CL634" s="2338"/>
      <c r="CM634" s="2338"/>
      <c r="CN634" s="2338"/>
      <c r="CO634" s="2338"/>
      <c r="CP634" s="2338"/>
      <c r="CQ634" s="2338"/>
      <c r="CR634" s="2338"/>
      <c r="CS634" s="2338"/>
      <c r="CT634" s="2338"/>
      <c r="CU634" s="2338"/>
      <c r="CV634" s="2338"/>
      <c r="CW634" s="2338"/>
      <c r="CX634" s="2338"/>
      <c r="CY634" s="2338"/>
      <c r="CZ634" s="2338"/>
      <c r="DA634" s="2338"/>
      <c r="DB634" s="2338"/>
      <c r="DC634" s="2338"/>
      <c r="DD634" s="2338"/>
      <c r="DE634" s="2338"/>
      <c r="DF634" s="2338"/>
      <c r="DG634" s="2338"/>
    </row>
    <row r="635" spans="1:111" s="1118" customFormat="1" ht="15" hidden="1" customHeight="1" outlineLevel="1">
      <c r="A635" s="2567"/>
      <c r="B635" s="3152"/>
      <c r="C635" s="3152"/>
      <c r="D635" s="3152"/>
      <c r="E635" s="3153"/>
      <c r="F635" s="2713" t="s">
        <v>2631</v>
      </c>
      <c r="G635" s="2712"/>
      <c r="H635" s="2649"/>
      <c r="I635" s="2649"/>
      <c r="J635" s="2649"/>
      <c r="K635" s="2649"/>
      <c r="L635" s="2649"/>
      <c r="M635" s="2649"/>
      <c r="N635" s="2649"/>
      <c r="O635" s="2649"/>
      <c r="P635" s="2649"/>
      <c r="Q635" s="2649"/>
      <c r="R635" s="2649"/>
      <c r="S635" s="2649"/>
      <c r="T635" s="2649"/>
      <c r="U635" s="2649"/>
      <c r="V635" s="2567"/>
      <c r="W635" s="2567"/>
      <c r="X635" s="2567"/>
      <c r="Y635" s="2567"/>
      <c r="Z635" s="2567"/>
      <c r="AA635" s="2567"/>
      <c r="AB635" s="2567"/>
      <c r="AC635" s="2567"/>
      <c r="AD635" s="2642"/>
      <c r="AE635" s="2642"/>
      <c r="AF635" s="2642"/>
      <c r="AG635" s="2642"/>
      <c r="AH635" s="2642"/>
      <c r="AI635" s="2642"/>
      <c r="AJ635" s="2566"/>
      <c r="AK635" s="2338"/>
      <c r="AL635" s="2338"/>
      <c r="AM635" s="2338"/>
      <c r="AN635" s="2338"/>
      <c r="AO635" s="2338"/>
      <c r="AP635" s="2338"/>
      <c r="AQ635" s="2338"/>
      <c r="AR635" s="2338"/>
      <c r="AS635" s="2338"/>
      <c r="AT635" s="2338"/>
      <c r="AU635" s="2338"/>
      <c r="AV635" s="2338"/>
      <c r="AW635" s="2338"/>
      <c r="AX635" s="2338"/>
      <c r="AY635" s="2338"/>
      <c r="AZ635" s="2338"/>
      <c r="BA635" s="2338"/>
      <c r="BB635" s="2338"/>
      <c r="BC635" s="2338"/>
      <c r="BD635" s="2338"/>
      <c r="BE635" s="2338"/>
      <c r="BF635" s="2338"/>
      <c r="BG635" s="2338"/>
      <c r="BH635" s="2338"/>
      <c r="BI635" s="2338"/>
      <c r="BJ635" s="2338"/>
      <c r="BK635" s="2338"/>
      <c r="BL635" s="2338"/>
      <c r="BM635" s="2338"/>
      <c r="BN635" s="2338"/>
      <c r="BO635" s="2338"/>
      <c r="BP635" s="2338"/>
      <c r="BQ635" s="2338"/>
      <c r="BR635" s="2338"/>
      <c r="BS635" s="2338"/>
      <c r="BT635" s="2338"/>
      <c r="BU635" s="2338"/>
      <c r="BV635" s="2338"/>
      <c r="BW635" s="2338"/>
      <c r="BX635" s="2338"/>
      <c r="BY635" s="2338"/>
      <c r="BZ635" s="2338"/>
      <c r="CA635" s="2338"/>
      <c r="CB635" s="2338"/>
      <c r="CC635" s="2338"/>
      <c r="CD635" s="2338"/>
      <c r="CE635" s="2338"/>
      <c r="CF635" s="2338"/>
      <c r="CG635" s="2338"/>
      <c r="CH635" s="2338"/>
      <c r="CI635" s="2338"/>
      <c r="CJ635" s="2338"/>
      <c r="CK635" s="2338"/>
      <c r="CL635" s="2338"/>
      <c r="CM635" s="2338"/>
      <c r="CN635" s="2338"/>
      <c r="CO635" s="2338"/>
      <c r="CP635" s="2338"/>
      <c r="CQ635" s="2338"/>
      <c r="CR635" s="2338"/>
      <c r="CS635" s="2338"/>
      <c r="CT635" s="2338"/>
      <c r="CU635" s="2338"/>
      <c r="CV635" s="2338"/>
      <c r="CW635" s="2338"/>
      <c r="CX635" s="2338"/>
      <c r="CY635" s="2338"/>
      <c r="CZ635" s="2338"/>
      <c r="DA635" s="2338"/>
      <c r="DB635" s="2338"/>
      <c r="DC635" s="2338"/>
      <c r="DD635" s="2338"/>
      <c r="DE635" s="2338"/>
      <c r="DF635" s="2338"/>
      <c r="DG635" s="2338"/>
    </row>
    <row r="636" spans="1:111" s="1118" customFormat="1" ht="15" hidden="1" customHeight="1" outlineLevel="1">
      <c r="A636" s="2567"/>
      <c r="B636" s="3152"/>
      <c r="C636" s="3152"/>
      <c r="D636" s="3152"/>
      <c r="E636" s="3153"/>
      <c r="F636" s="2713" t="s">
        <v>2633</v>
      </c>
      <c r="G636" s="2712"/>
      <c r="H636" s="2649"/>
      <c r="I636" s="2649"/>
      <c r="J636" s="2649"/>
      <c r="K636" s="2649"/>
      <c r="L636" s="2649"/>
      <c r="M636" s="2649"/>
      <c r="N636" s="2649"/>
      <c r="O636" s="2649"/>
      <c r="P636" s="2649"/>
      <c r="Q636" s="2649"/>
      <c r="R636" s="2649"/>
      <c r="S636" s="2649"/>
      <c r="T636" s="2649"/>
      <c r="U636" s="2649"/>
      <c r="V636" s="2567"/>
      <c r="W636" s="2567"/>
      <c r="X636" s="2567"/>
      <c r="Y636" s="2567"/>
      <c r="Z636" s="2567"/>
      <c r="AA636" s="2567"/>
      <c r="AB636" s="2567"/>
      <c r="AC636" s="2567"/>
      <c r="AD636" s="2642"/>
      <c r="AE636" s="2642"/>
      <c r="AF636" s="2642"/>
      <c r="AG636" s="2642"/>
      <c r="AH636" s="2642"/>
      <c r="AI636" s="2642"/>
      <c r="AJ636" s="2566"/>
      <c r="AK636" s="2338"/>
      <c r="AL636" s="2338"/>
      <c r="AM636" s="2338"/>
      <c r="AN636" s="2338"/>
      <c r="AO636" s="2338"/>
      <c r="AP636" s="2338"/>
      <c r="AQ636" s="2338"/>
      <c r="AR636" s="2338"/>
      <c r="AS636" s="2338"/>
      <c r="AT636" s="2338"/>
      <c r="AU636" s="2338"/>
      <c r="AV636" s="2338"/>
      <c r="AW636" s="2338"/>
      <c r="AX636" s="2338"/>
      <c r="AY636" s="2338"/>
      <c r="AZ636" s="2338"/>
      <c r="BA636" s="2338"/>
      <c r="BB636" s="2338"/>
      <c r="BC636" s="2338"/>
      <c r="BD636" s="2338"/>
      <c r="BE636" s="2338"/>
      <c r="BF636" s="2338"/>
      <c r="BG636" s="2338"/>
      <c r="BH636" s="2338"/>
      <c r="BI636" s="2338"/>
      <c r="BJ636" s="2338"/>
      <c r="BK636" s="2338"/>
      <c r="BL636" s="2338"/>
      <c r="BM636" s="2338"/>
      <c r="BN636" s="2338"/>
      <c r="BO636" s="2338"/>
      <c r="BP636" s="2338"/>
      <c r="BQ636" s="2338"/>
      <c r="BR636" s="2338"/>
      <c r="BS636" s="2338"/>
      <c r="BT636" s="2338"/>
      <c r="BU636" s="2338"/>
      <c r="BV636" s="2338"/>
      <c r="BW636" s="2338"/>
      <c r="BX636" s="2338"/>
      <c r="BY636" s="2338"/>
      <c r="BZ636" s="2338"/>
      <c r="CA636" s="2338"/>
      <c r="CB636" s="2338"/>
      <c r="CC636" s="2338"/>
      <c r="CD636" s="2338"/>
      <c r="CE636" s="2338"/>
      <c r="CF636" s="2338"/>
      <c r="CG636" s="2338"/>
      <c r="CH636" s="2338"/>
      <c r="CI636" s="2338"/>
      <c r="CJ636" s="2338"/>
      <c r="CK636" s="2338"/>
      <c r="CL636" s="2338"/>
      <c r="CM636" s="2338"/>
      <c r="CN636" s="2338"/>
      <c r="CO636" s="2338"/>
      <c r="CP636" s="2338"/>
      <c r="CQ636" s="2338"/>
      <c r="CR636" s="2338"/>
      <c r="CS636" s="2338"/>
      <c r="CT636" s="2338"/>
      <c r="CU636" s="2338"/>
      <c r="CV636" s="2338"/>
      <c r="CW636" s="2338"/>
      <c r="CX636" s="2338"/>
      <c r="CY636" s="2338"/>
      <c r="CZ636" s="2338"/>
      <c r="DA636" s="2338"/>
      <c r="DB636" s="2338"/>
      <c r="DC636" s="2338"/>
      <c r="DD636" s="2338"/>
      <c r="DE636" s="2338"/>
      <c r="DF636" s="2338"/>
      <c r="DG636" s="2338"/>
    </row>
    <row r="637" spans="1:111" s="1118" customFormat="1" ht="15" hidden="1" customHeight="1" outlineLevel="1">
      <c r="A637" s="2567"/>
      <c r="B637" s="3152"/>
      <c r="C637" s="3152"/>
      <c r="D637" s="3152"/>
      <c r="E637" s="3153"/>
      <c r="F637" s="2713" t="s">
        <v>2635</v>
      </c>
      <c r="G637" s="2712"/>
      <c r="H637" s="2649"/>
      <c r="I637" s="2649"/>
      <c r="J637" s="2649"/>
      <c r="K637" s="2649"/>
      <c r="L637" s="2649"/>
      <c r="M637" s="2649"/>
      <c r="N637" s="2649"/>
      <c r="O637" s="2649"/>
      <c r="P637" s="2649"/>
      <c r="Q637" s="2649"/>
      <c r="R637" s="2649"/>
      <c r="S637" s="2649"/>
      <c r="T637" s="2649"/>
      <c r="U637" s="2649"/>
      <c r="V637" s="2567"/>
      <c r="W637" s="2567"/>
      <c r="X637" s="2567"/>
      <c r="Y637" s="2567"/>
      <c r="Z637" s="2567"/>
      <c r="AA637" s="2567"/>
      <c r="AB637" s="2567"/>
      <c r="AC637" s="2567"/>
      <c r="AD637" s="2642"/>
      <c r="AE637" s="2642"/>
      <c r="AF637" s="2642"/>
      <c r="AG637" s="2642"/>
      <c r="AH637" s="2642"/>
      <c r="AI637" s="2642"/>
      <c r="AJ637" s="2566"/>
      <c r="AK637" s="2338"/>
      <c r="AL637" s="2338"/>
      <c r="AM637" s="2338"/>
      <c r="AN637" s="2338"/>
      <c r="AO637" s="2338"/>
      <c r="AP637" s="2338"/>
      <c r="AQ637" s="2338"/>
      <c r="AR637" s="2338"/>
      <c r="AS637" s="2338"/>
      <c r="AT637" s="2338"/>
      <c r="AU637" s="2338"/>
      <c r="AV637" s="2338"/>
      <c r="AW637" s="2338"/>
      <c r="AX637" s="2338"/>
      <c r="AY637" s="2338"/>
      <c r="AZ637" s="2338"/>
      <c r="BA637" s="2338"/>
      <c r="BB637" s="2338"/>
      <c r="BC637" s="2338"/>
      <c r="BD637" s="2338"/>
      <c r="BE637" s="2338"/>
      <c r="BF637" s="2338"/>
      <c r="BG637" s="2338"/>
      <c r="BH637" s="2338"/>
      <c r="BI637" s="2338"/>
      <c r="BJ637" s="2338"/>
      <c r="BK637" s="2338"/>
      <c r="BL637" s="2338"/>
      <c r="BM637" s="2338"/>
      <c r="BN637" s="2338"/>
      <c r="BO637" s="2338"/>
      <c r="BP637" s="2338"/>
      <c r="BQ637" s="2338"/>
      <c r="BR637" s="2338"/>
      <c r="BS637" s="2338"/>
      <c r="BT637" s="2338"/>
      <c r="BU637" s="2338"/>
      <c r="BV637" s="2338"/>
      <c r="BW637" s="2338"/>
      <c r="BX637" s="2338"/>
      <c r="BY637" s="2338"/>
      <c r="BZ637" s="2338"/>
      <c r="CA637" s="2338"/>
      <c r="CB637" s="2338"/>
      <c r="CC637" s="2338"/>
      <c r="CD637" s="2338"/>
      <c r="CE637" s="2338"/>
      <c r="CF637" s="2338"/>
      <c r="CG637" s="2338"/>
      <c r="CH637" s="2338"/>
      <c r="CI637" s="2338"/>
      <c r="CJ637" s="2338"/>
      <c r="CK637" s="2338"/>
      <c r="CL637" s="2338"/>
      <c r="CM637" s="2338"/>
      <c r="CN637" s="2338"/>
      <c r="CO637" s="2338"/>
      <c r="CP637" s="2338"/>
      <c r="CQ637" s="2338"/>
      <c r="CR637" s="2338"/>
      <c r="CS637" s="2338"/>
      <c r="CT637" s="2338"/>
      <c r="CU637" s="2338"/>
      <c r="CV637" s="2338"/>
      <c r="CW637" s="2338"/>
      <c r="CX637" s="2338"/>
      <c r="CY637" s="2338"/>
      <c r="CZ637" s="2338"/>
      <c r="DA637" s="2338"/>
      <c r="DB637" s="2338"/>
      <c r="DC637" s="2338"/>
      <c r="DD637" s="2338"/>
      <c r="DE637" s="2338"/>
      <c r="DF637" s="2338"/>
      <c r="DG637" s="2338"/>
    </row>
    <row r="638" spans="1:111" s="1118" customFormat="1" ht="15" hidden="1" customHeight="1" outlineLevel="1">
      <c r="A638" s="2567"/>
      <c r="B638" s="3152"/>
      <c r="C638" s="3152"/>
      <c r="D638" s="3152"/>
      <c r="E638" s="3153"/>
      <c r="F638" s="2713" t="s">
        <v>2639</v>
      </c>
      <c r="G638" s="2712"/>
      <c r="H638" s="2649"/>
      <c r="I638" s="2649"/>
      <c r="J638" s="2649"/>
      <c r="K638" s="2649"/>
      <c r="L638" s="2649"/>
      <c r="M638" s="2649"/>
      <c r="N638" s="2649"/>
      <c r="O638" s="2649"/>
      <c r="P638" s="2649"/>
      <c r="Q638" s="2649"/>
      <c r="R638" s="2649"/>
      <c r="S638" s="2649"/>
      <c r="T638" s="2649"/>
      <c r="U638" s="2649"/>
      <c r="V638" s="2567"/>
      <c r="W638" s="2567"/>
      <c r="X638" s="2567"/>
      <c r="Y638" s="2567"/>
      <c r="Z638" s="2567"/>
      <c r="AA638" s="2567"/>
      <c r="AB638" s="2567"/>
      <c r="AC638" s="2567"/>
      <c r="AD638" s="2642"/>
      <c r="AE638" s="2642"/>
      <c r="AF638" s="2642"/>
      <c r="AG638" s="2642"/>
      <c r="AH638" s="2642"/>
      <c r="AI638" s="2642"/>
      <c r="AJ638" s="2566"/>
      <c r="AK638" s="2338"/>
      <c r="AL638" s="2338"/>
      <c r="AM638" s="2338"/>
      <c r="AN638" s="2338"/>
      <c r="AO638" s="2338"/>
      <c r="AP638" s="2338"/>
      <c r="AQ638" s="2338"/>
      <c r="AR638" s="2338"/>
      <c r="AS638" s="2338"/>
      <c r="AT638" s="2338"/>
      <c r="AU638" s="2338"/>
      <c r="AV638" s="2338"/>
      <c r="AW638" s="2338"/>
      <c r="AX638" s="2338"/>
      <c r="AY638" s="2338"/>
      <c r="AZ638" s="2338"/>
      <c r="BA638" s="2338"/>
      <c r="BB638" s="2338"/>
      <c r="BC638" s="2338"/>
      <c r="BD638" s="2338"/>
      <c r="BE638" s="2338"/>
      <c r="BF638" s="2338"/>
      <c r="BG638" s="2338"/>
      <c r="BH638" s="2338"/>
      <c r="BI638" s="2338"/>
      <c r="BJ638" s="2338"/>
      <c r="BK638" s="2338"/>
      <c r="BL638" s="2338"/>
      <c r="BM638" s="2338"/>
      <c r="BN638" s="2338"/>
      <c r="BO638" s="2338"/>
      <c r="BP638" s="2338"/>
      <c r="BQ638" s="2338"/>
      <c r="BR638" s="2338"/>
      <c r="BS638" s="2338"/>
      <c r="BT638" s="2338"/>
      <c r="BU638" s="2338"/>
      <c r="BV638" s="2338"/>
      <c r="BW638" s="2338"/>
      <c r="BX638" s="2338"/>
      <c r="BY638" s="2338"/>
      <c r="BZ638" s="2338"/>
      <c r="CA638" s="2338"/>
      <c r="CB638" s="2338"/>
      <c r="CC638" s="2338"/>
      <c r="CD638" s="2338"/>
      <c r="CE638" s="2338"/>
      <c r="CF638" s="2338"/>
      <c r="CG638" s="2338"/>
      <c r="CH638" s="2338"/>
      <c r="CI638" s="2338"/>
      <c r="CJ638" s="2338"/>
      <c r="CK638" s="2338"/>
      <c r="CL638" s="2338"/>
      <c r="CM638" s="2338"/>
      <c r="CN638" s="2338"/>
      <c r="CO638" s="2338"/>
      <c r="CP638" s="2338"/>
      <c r="CQ638" s="2338"/>
      <c r="CR638" s="2338"/>
      <c r="CS638" s="2338"/>
      <c r="CT638" s="2338"/>
      <c r="CU638" s="2338"/>
      <c r="CV638" s="2338"/>
      <c r="CW638" s="2338"/>
      <c r="CX638" s="2338"/>
      <c r="CY638" s="2338"/>
      <c r="CZ638" s="2338"/>
      <c r="DA638" s="2338"/>
      <c r="DB638" s="2338"/>
      <c r="DC638" s="2338"/>
      <c r="DD638" s="2338"/>
      <c r="DE638" s="2338"/>
      <c r="DF638" s="2338"/>
      <c r="DG638" s="2338"/>
    </row>
    <row r="639" spans="1:111" s="1118" customFormat="1" ht="15" hidden="1" customHeight="1" outlineLevel="1">
      <c r="A639" s="2567"/>
      <c r="B639" s="3152"/>
      <c r="C639" s="3152"/>
      <c r="D639" s="3152"/>
      <c r="E639" s="3153"/>
      <c r="F639" s="2713" t="s">
        <v>3872</v>
      </c>
      <c r="G639" s="2712"/>
      <c r="H639" s="2737"/>
      <c r="I639" s="2737"/>
      <c r="J639" s="2737"/>
      <c r="K639" s="2737"/>
      <c r="L639" s="2737"/>
      <c r="M639" s="2737"/>
      <c r="N639" s="2737"/>
      <c r="O639" s="2737"/>
      <c r="P639" s="2737"/>
      <c r="Q639" s="2754"/>
      <c r="R639" s="2737"/>
      <c r="S639" s="2737"/>
      <c r="T639" s="2737"/>
      <c r="U639" s="2737"/>
      <c r="V639" s="2566"/>
      <c r="W639" s="2566"/>
      <c r="X639" s="2566"/>
      <c r="Y639" s="2566"/>
      <c r="Z639" s="2642"/>
      <c r="AA639" s="2642"/>
      <c r="AB639" s="2642"/>
      <c r="AC639" s="2642"/>
      <c r="AD639" s="2642"/>
      <c r="AE639" s="2642"/>
      <c r="AF639" s="2642"/>
      <c r="AG639" s="2642"/>
      <c r="AH639" s="2642"/>
      <c r="AI639" s="2642"/>
      <c r="AJ639" s="2566"/>
      <c r="AK639" s="2338"/>
      <c r="AL639" s="2338"/>
      <c r="AM639" s="2338"/>
      <c r="AN639" s="2338"/>
      <c r="AO639" s="2338"/>
      <c r="AP639" s="2338"/>
      <c r="AQ639" s="2338"/>
      <c r="AR639" s="2338"/>
      <c r="AS639" s="2338"/>
      <c r="AT639" s="2338"/>
      <c r="AU639" s="2338"/>
      <c r="AV639" s="2338"/>
      <c r="AW639" s="2338"/>
      <c r="AX639" s="2338"/>
      <c r="AY639" s="2338"/>
      <c r="AZ639" s="2338"/>
      <c r="BA639" s="2338"/>
      <c r="BB639" s="2338"/>
      <c r="BC639" s="2338"/>
      <c r="BD639" s="2338"/>
      <c r="BE639" s="2338"/>
      <c r="BF639" s="2338"/>
      <c r="BG639" s="2338"/>
      <c r="BH639" s="2338"/>
      <c r="BI639" s="2338"/>
      <c r="BJ639" s="2338"/>
      <c r="BK639" s="2338"/>
      <c r="BL639" s="2338"/>
      <c r="BM639" s="2338"/>
      <c r="BN639" s="2338"/>
      <c r="BO639" s="2338"/>
      <c r="BP639" s="2338"/>
      <c r="BQ639" s="2338"/>
      <c r="BR639" s="2338"/>
      <c r="BS639" s="2338"/>
      <c r="BT639" s="2338"/>
      <c r="BU639" s="2338"/>
      <c r="BV639" s="2338"/>
      <c r="BW639" s="2338"/>
      <c r="BX639" s="2338"/>
      <c r="BY639" s="2338"/>
      <c r="BZ639" s="2338"/>
      <c r="CA639" s="2338"/>
      <c r="CB639" s="2338"/>
      <c r="CC639" s="2338"/>
      <c r="CD639" s="2338"/>
      <c r="CE639" s="2338"/>
      <c r="CF639" s="2338"/>
      <c r="CG639" s="2338"/>
      <c r="CH639" s="2338"/>
      <c r="CI639" s="2338"/>
      <c r="CJ639" s="2338"/>
      <c r="CK639" s="2338"/>
      <c r="CL639" s="2338"/>
      <c r="CM639" s="2338"/>
      <c r="CN639" s="2338"/>
      <c r="CO639" s="2338"/>
      <c r="CP639" s="2338"/>
      <c r="CQ639" s="2338"/>
      <c r="CR639" s="2338"/>
      <c r="CS639" s="2338"/>
      <c r="CT639" s="2338"/>
      <c r="CU639" s="2338"/>
      <c r="CV639" s="2338"/>
      <c r="CW639" s="2338"/>
      <c r="CX639" s="2338"/>
      <c r="CY639" s="2338"/>
      <c r="CZ639" s="2338"/>
      <c r="DA639" s="2338"/>
      <c r="DB639" s="2338"/>
      <c r="DC639" s="2338"/>
      <c r="DD639" s="2338"/>
      <c r="DE639" s="2338"/>
      <c r="DF639" s="2338"/>
      <c r="DG639" s="2338"/>
    </row>
    <row r="640" spans="1:111" s="1118" customFormat="1" ht="15" hidden="1" customHeight="1" outlineLevel="1">
      <c r="A640" s="2567"/>
      <c r="B640" s="3152"/>
      <c r="C640" s="3152"/>
      <c r="D640" s="3152"/>
      <c r="E640" s="3153" t="s">
        <v>3873</v>
      </c>
      <c r="F640" s="2713" t="s">
        <v>2629</v>
      </c>
      <c r="G640" s="2712"/>
      <c r="H640" s="2737"/>
      <c r="I640" s="2737"/>
      <c r="J640" s="2737"/>
      <c r="K640" s="2737"/>
      <c r="L640" s="2737"/>
      <c r="M640" s="2737"/>
      <c r="N640" s="2737"/>
      <c r="O640" s="2737"/>
      <c r="P640" s="2737"/>
      <c r="Q640" s="2754"/>
      <c r="R640" s="2737"/>
      <c r="S640" s="2737"/>
      <c r="T640" s="2737"/>
      <c r="U640" s="2737"/>
      <c r="V640" s="2566"/>
      <c r="W640" s="2566"/>
      <c r="X640" s="2566"/>
      <c r="Y640" s="2566"/>
      <c r="Z640" s="2642"/>
      <c r="AA640" s="2642"/>
      <c r="AB640" s="2642"/>
      <c r="AC640" s="2642"/>
      <c r="AD640" s="2642"/>
      <c r="AE640" s="2642"/>
      <c r="AF640" s="2642"/>
      <c r="AG640" s="2642"/>
      <c r="AH640" s="2642"/>
      <c r="AI640" s="2642"/>
      <c r="AJ640" s="2566"/>
      <c r="AK640" s="2338"/>
      <c r="AL640" s="2338"/>
      <c r="AM640" s="2338"/>
      <c r="AN640" s="2338"/>
      <c r="AO640" s="2338"/>
      <c r="AP640" s="2338"/>
      <c r="AQ640" s="2338"/>
      <c r="AR640" s="2338"/>
      <c r="AS640" s="2338"/>
      <c r="AT640" s="2338"/>
      <c r="AU640" s="2338"/>
      <c r="AV640" s="2338"/>
      <c r="AW640" s="2338"/>
      <c r="AX640" s="2338"/>
      <c r="AY640" s="2338"/>
      <c r="AZ640" s="2338"/>
      <c r="BA640" s="2338"/>
      <c r="BB640" s="2338"/>
      <c r="BC640" s="2338"/>
      <c r="BD640" s="2338"/>
      <c r="BE640" s="2338"/>
      <c r="BF640" s="2338"/>
      <c r="BG640" s="2338"/>
      <c r="BH640" s="2338"/>
      <c r="BI640" s="2338"/>
      <c r="BJ640" s="2338"/>
      <c r="BK640" s="2338"/>
      <c r="BL640" s="2338"/>
      <c r="BM640" s="2338"/>
      <c r="BN640" s="2338"/>
      <c r="BO640" s="2338"/>
      <c r="BP640" s="2338"/>
      <c r="BQ640" s="2338"/>
      <c r="BR640" s="2338"/>
      <c r="BS640" s="2338"/>
      <c r="BT640" s="2338"/>
      <c r="BU640" s="2338"/>
      <c r="BV640" s="2338"/>
      <c r="BW640" s="2338"/>
      <c r="BX640" s="2338"/>
      <c r="BY640" s="2338"/>
      <c r="BZ640" s="2338"/>
      <c r="CA640" s="2338"/>
      <c r="CB640" s="2338"/>
      <c r="CC640" s="2338"/>
      <c r="CD640" s="2338"/>
      <c r="CE640" s="2338"/>
      <c r="CF640" s="2338"/>
      <c r="CG640" s="2338"/>
      <c r="CH640" s="2338"/>
      <c r="CI640" s="2338"/>
      <c r="CJ640" s="2338"/>
      <c r="CK640" s="2338"/>
      <c r="CL640" s="2338"/>
      <c r="CM640" s="2338"/>
      <c r="CN640" s="2338"/>
      <c r="CO640" s="2338"/>
      <c r="CP640" s="2338"/>
      <c r="CQ640" s="2338"/>
      <c r="CR640" s="2338"/>
      <c r="CS640" s="2338"/>
      <c r="CT640" s="2338"/>
      <c r="CU640" s="2338"/>
      <c r="CV640" s="2338"/>
      <c r="CW640" s="2338"/>
      <c r="CX640" s="2338"/>
      <c r="CY640" s="2338"/>
      <c r="CZ640" s="2338"/>
      <c r="DA640" s="2338"/>
      <c r="DB640" s="2338"/>
      <c r="DC640" s="2338"/>
      <c r="DD640" s="2338"/>
      <c r="DE640" s="2338"/>
      <c r="DF640" s="2338"/>
      <c r="DG640" s="2338"/>
    </row>
    <row r="641" spans="1:111" s="1118" customFormat="1" ht="15" hidden="1" customHeight="1" outlineLevel="1">
      <c r="A641" s="2567"/>
      <c r="B641" s="3152"/>
      <c r="C641" s="3152"/>
      <c r="D641" s="3152"/>
      <c r="E641" s="3153"/>
      <c r="F641" s="2713" t="s">
        <v>2631</v>
      </c>
      <c r="G641" s="2712"/>
      <c r="H641" s="2737"/>
      <c r="I641" s="2737"/>
      <c r="J641" s="2737"/>
      <c r="K641" s="2737"/>
      <c r="L641" s="2737"/>
      <c r="M641" s="2737"/>
      <c r="N641" s="2737"/>
      <c r="O641" s="2737"/>
      <c r="P641" s="2737"/>
      <c r="Q641" s="2754"/>
      <c r="R641" s="2737"/>
      <c r="S641" s="2737"/>
      <c r="T641" s="2737"/>
      <c r="U641" s="2737"/>
      <c r="V641" s="2566"/>
      <c r="W641" s="2566"/>
      <c r="X641" s="2566"/>
      <c r="Y641" s="2566"/>
      <c r="Z641" s="2642"/>
      <c r="AA641" s="2642"/>
      <c r="AB641" s="2642"/>
      <c r="AC641" s="2642"/>
      <c r="AD641" s="2642"/>
      <c r="AE641" s="2642"/>
      <c r="AF641" s="2642"/>
      <c r="AG641" s="2642"/>
      <c r="AH641" s="2642"/>
      <c r="AI641" s="2642"/>
      <c r="AJ641" s="2566"/>
      <c r="AK641" s="2338"/>
      <c r="AL641" s="2338"/>
      <c r="AM641" s="2338"/>
      <c r="AN641" s="2338"/>
      <c r="AO641" s="2338"/>
      <c r="AP641" s="2338"/>
      <c r="AQ641" s="2338"/>
      <c r="AR641" s="2338"/>
      <c r="AS641" s="2338"/>
      <c r="AT641" s="2338"/>
      <c r="AU641" s="2338"/>
      <c r="AV641" s="2338"/>
      <c r="AW641" s="2338"/>
      <c r="AX641" s="2338"/>
      <c r="AY641" s="2338"/>
      <c r="AZ641" s="2338"/>
      <c r="BA641" s="2338"/>
      <c r="BB641" s="2338"/>
      <c r="BC641" s="2338"/>
      <c r="BD641" s="2338"/>
      <c r="BE641" s="2338"/>
      <c r="BF641" s="2338"/>
      <c r="BG641" s="2338"/>
      <c r="BH641" s="2338"/>
      <c r="BI641" s="2338"/>
      <c r="BJ641" s="2338"/>
      <c r="BK641" s="2338"/>
      <c r="BL641" s="2338"/>
      <c r="BM641" s="2338"/>
      <c r="BN641" s="2338"/>
      <c r="BO641" s="2338"/>
      <c r="BP641" s="2338"/>
      <c r="BQ641" s="2338"/>
      <c r="BR641" s="2338"/>
      <c r="BS641" s="2338"/>
      <c r="BT641" s="2338"/>
      <c r="BU641" s="2338"/>
      <c r="BV641" s="2338"/>
      <c r="BW641" s="2338"/>
      <c r="BX641" s="2338"/>
      <c r="BY641" s="2338"/>
      <c r="BZ641" s="2338"/>
      <c r="CA641" s="2338"/>
      <c r="CB641" s="2338"/>
      <c r="CC641" s="2338"/>
      <c r="CD641" s="2338"/>
      <c r="CE641" s="2338"/>
      <c r="CF641" s="2338"/>
      <c r="CG641" s="2338"/>
      <c r="CH641" s="2338"/>
      <c r="CI641" s="2338"/>
      <c r="CJ641" s="2338"/>
      <c r="CK641" s="2338"/>
      <c r="CL641" s="2338"/>
      <c r="CM641" s="2338"/>
      <c r="CN641" s="2338"/>
      <c r="CO641" s="2338"/>
      <c r="CP641" s="2338"/>
      <c r="CQ641" s="2338"/>
      <c r="CR641" s="2338"/>
      <c r="CS641" s="2338"/>
      <c r="CT641" s="2338"/>
      <c r="CU641" s="2338"/>
      <c r="CV641" s="2338"/>
      <c r="CW641" s="2338"/>
      <c r="CX641" s="2338"/>
      <c r="CY641" s="2338"/>
      <c r="CZ641" s="2338"/>
      <c r="DA641" s="2338"/>
      <c r="DB641" s="2338"/>
      <c r="DC641" s="2338"/>
      <c r="DD641" s="2338"/>
      <c r="DE641" s="2338"/>
      <c r="DF641" s="2338"/>
      <c r="DG641" s="2338"/>
    </row>
    <row r="642" spans="1:111" s="1118" customFormat="1" ht="15" hidden="1" customHeight="1" outlineLevel="1">
      <c r="A642" s="2567"/>
      <c r="B642" s="3152"/>
      <c r="C642" s="3152"/>
      <c r="D642" s="3152"/>
      <c r="E642" s="3153"/>
      <c r="F642" s="2713" t="s">
        <v>2633</v>
      </c>
      <c r="G642" s="2712"/>
      <c r="H642" s="2737"/>
      <c r="I642" s="2737"/>
      <c r="J642" s="2737"/>
      <c r="K642" s="2737"/>
      <c r="L642" s="2737"/>
      <c r="M642" s="2737"/>
      <c r="N642" s="2737"/>
      <c r="O642" s="2737"/>
      <c r="P642" s="2737"/>
      <c r="Q642" s="2754"/>
      <c r="R642" s="2737"/>
      <c r="S642" s="2737"/>
      <c r="T642" s="2737"/>
      <c r="U642" s="2737"/>
      <c r="V642" s="2566"/>
      <c r="W642" s="2566"/>
      <c r="X642" s="2566"/>
      <c r="Y642" s="2566"/>
      <c r="Z642" s="2642"/>
      <c r="AA642" s="2642"/>
      <c r="AB642" s="2642"/>
      <c r="AC642" s="2642"/>
      <c r="AD642" s="2642"/>
      <c r="AE642" s="2642"/>
      <c r="AF642" s="2642"/>
      <c r="AG642" s="2642"/>
      <c r="AH642" s="2642"/>
      <c r="AI642" s="2642"/>
      <c r="AJ642" s="2566"/>
      <c r="AK642" s="2338"/>
      <c r="AL642" s="2338"/>
      <c r="AM642" s="2338"/>
      <c r="AN642" s="2338"/>
      <c r="AO642" s="2338"/>
      <c r="AP642" s="2338"/>
      <c r="AQ642" s="2338"/>
      <c r="AR642" s="2338"/>
      <c r="AS642" s="2338"/>
      <c r="AT642" s="2338"/>
      <c r="AU642" s="2338"/>
      <c r="AV642" s="2338"/>
      <c r="AW642" s="2338"/>
      <c r="AX642" s="2338"/>
      <c r="AY642" s="2338"/>
      <c r="AZ642" s="2338"/>
      <c r="BA642" s="2338"/>
      <c r="BB642" s="2338"/>
      <c r="BC642" s="2338"/>
      <c r="BD642" s="2338"/>
      <c r="BE642" s="2338"/>
      <c r="BF642" s="2338"/>
      <c r="BG642" s="2338"/>
      <c r="BH642" s="2338"/>
      <c r="BI642" s="2338"/>
      <c r="BJ642" s="2338"/>
      <c r="BK642" s="2338"/>
      <c r="BL642" s="2338"/>
      <c r="BM642" s="2338"/>
      <c r="BN642" s="2338"/>
      <c r="BO642" s="2338"/>
      <c r="BP642" s="2338"/>
      <c r="BQ642" s="2338"/>
      <c r="BR642" s="2338"/>
      <c r="BS642" s="2338"/>
      <c r="BT642" s="2338"/>
      <c r="BU642" s="2338"/>
      <c r="BV642" s="2338"/>
      <c r="BW642" s="2338"/>
      <c r="BX642" s="2338"/>
      <c r="BY642" s="2338"/>
      <c r="BZ642" s="2338"/>
      <c r="CA642" s="2338"/>
      <c r="CB642" s="2338"/>
      <c r="CC642" s="2338"/>
      <c r="CD642" s="2338"/>
      <c r="CE642" s="2338"/>
      <c r="CF642" s="2338"/>
      <c r="CG642" s="2338"/>
      <c r="CH642" s="2338"/>
      <c r="CI642" s="2338"/>
      <c r="CJ642" s="2338"/>
      <c r="CK642" s="2338"/>
      <c r="CL642" s="2338"/>
      <c r="CM642" s="2338"/>
      <c r="CN642" s="2338"/>
      <c r="CO642" s="2338"/>
      <c r="CP642" s="2338"/>
      <c r="CQ642" s="2338"/>
      <c r="CR642" s="2338"/>
      <c r="CS642" s="2338"/>
      <c r="CT642" s="2338"/>
      <c r="CU642" s="2338"/>
      <c r="CV642" s="2338"/>
      <c r="CW642" s="2338"/>
      <c r="CX642" s="2338"/>
      <c r="CY642" s="2338"/>
      <c r="CZ642" s="2338"/>
      <c r="DA642" s="2338"/>
      <c r="DB642" s="2338"/>
      <c r="DC642" s="2338"/>
      <c r="DD642" s="2338"/>
      <c r="DE642" s="2338"/>
      <c r="DF642" s="2338"/>
      <c r="DG642" s="2338"/>
    </row>
    <row r="643" spans="1:111" s="1118" customFormat="1" ht="15" hidden="1" customHeight="1" outlineLevel="1">
      <c r="A643" s="2567"/>
      <c r="B643" s="3152"/>
      <c r="C643" s="3152"/>
      <c r="D643" s="3152"/>
      <c r="E643" s="3153"/>
      <c r="F643" s="2713" t="s">
        <v>2635</v>
      </c>
      <c r="G643" s="2712"/>
      <c r="H643" s="2737"/>
      <c r="I643" s="2737"/>
      <c r="J643" s="2737"/>
      <c r="K643" s="2737"/>
      <c r="L643" s="2737"/>
      <c r="M643" s="2737"/>
      <c r="N643" s="2737"/>
      <c r="O643" s="2737"/>
      <c r="P643" s="2737"/>
      <c r="Q643" s="2754"/>
      <c r="R643" s="2737"/>
      <c r="S643" s="2737"/>
      <c r="T643" s="2737"/>
      <c r="U643" s="2737"/>
      <c r="V643" s="2566"/>
      <c r="W643" s="2566"/>
      <c r="X643" s="2566"/>
      <c r="Y643" s="2566"/>
      <c r="Z643" s="2642"/>
      <c r="AA643" s="2642"/>
      <c r="AB643" s="2642"/>
      <c r="AC643" s="2642"/>
      <c r="AD643" s="2642"/>
      <c r="AE643" s="2642"/>
      <c r="AF643" s="2642"/>
      <c r="AG643" s="2642"/>
      <c r="AH643" s="2642"/>
      <c r="AI643" s="2642"/>
      <c r="AJ643" s="2566"/>
      <c r="AK643" s="2338"/>
      <c r="AL643" s="2338"/>
      <c r="AM643" s="2338"/>
      <c r="AN643" s="2338"/>
      <c r="AO643" s="2338"/>
      <c r="AP643" s="2338"/>
      <c r="AQ643" s="2338"/>
      <c r="AR643" s="2338"/>
      <c r="AS643" s="2338"/>
      <c r="AT643" s="2338"/>
      <c r="AU643" s="2338"/>
      <c r="AV643" s="2338"/>
      <c r="AW643" s="2338"/>
      <c r="AX643" s="2338"/>
      <c r="AY643" s="2338"/>
      <c r="AZ643" s="2338"/>
      <c r="BA643" s="2338"/>
      <c r="BB643" s="2338"/>
      <c r="BC643" s="2338"/>
      <c r="BD643" s="2338"/>
      <c r="BE643" s="2338"/>
      <c r="BF643" s="2338"/>
      <c r="BG643" s="2338"/>
      <c r="BH643" s="2338"/>
      <c r="BI643" s="2338"/>
      <c r="BJ643" s="2338"/>
      <c r="BK643" s="2338"/>
      <c r="BL643" s="2338"/>
      <c r="BM643" s="2338"/>
      <c r="BN643" s="2338"/>
      <c r="BO643" s="2338"/>
      <c r="BP643" s="2338"/>
      <c r="BQ643" s="2338"/>
      <c r="BR643" s="2338"/>
      <c r="BS643" s="2338"/>
      <c r="BT643" s="2338"/>
      <c r="BU643" s="2338"/>
      <c r="BV643" s="2338"/>
      <c r="BW643" s="2338"/>
      <c r="BX643" s="2338"/>
      <c r="BY643" s="2338"/>
      <c r="BZ643" s="2338"/>
      <c r="CA643" s="2338"/>
      <c r="CB643" s="2338"/>
      <c r="CC643" s="2338"/>
      <c r="CD643" s="2338"/>
      <c r="CE643" s="2338"/>
      <c r="CF643" s="2338"/>
      <c r="CG643" s="2338"/>
      <c r="CH643" s="2338"/>
      <c r="CI643" s="2338"/>
      <c r="CJ643" s="2338"/>
      <c r="CK643" s="2338"/>
      <c r="CL643" s="2338"/>
      <c r="CM643" s="2338"/>
      <c r="CN643" s="2338"/>
      <c r="CO643" s="2338"/>
      <c r="CP643" s="2338"/>
      <c r="CQ643" s="2338"/>
      <c r="CR643" s="2338"/>
      <c r="CS643" s="2338"/>
      <c r="CT643" s="2338"/>
      <c r="CU643" s="2338"/>
      <c r="CV643" s="2338"/>
      <c r="CW643" s="2338"/>
      <c r="CX643" s="2338"/>
      <c r="CY643" s="2338"/>
      <c r="CZ643" s="2338"/>
      <c r="DA643" s="2338"/>
      <c r="DB643" s="2338"/>
      <c r="DC643" s="2338"/>
      <c r="DD643" s="2338"/>
      <c r="DE643" s="2338"/>
      <c r="DF643" s="2338"/>
      <c r="DG643" s="2338"/>
    </row>
    <row r="644" spans="1:111" s="1118" customFormat="1" ht="15" hidden="1" customHeight="1" outlineLevel="1">
      <c r="A644" s="2567"/>
      <c r="B644" s="3152"/>
      <c r="C644" s="3152"/>
      <c r="D644" s="3152"/>
      <c r="E644" s="3153"/>
      <c r="F644" s="2713" t="s">
        <v>2639</v>
      </c>
      <c r="G644" s="2712"/>
      <c r="H644" s="2737"/>
      <c r="I644" s="2737"/>
      <c r="J644" s="2737"/>
      <c r="K644" s="2737"/>
      <c r="L644" s="2737"/>
      <c r="M644" s="2737"/>
      <c r="N644" s="2737"/>
      <c r="O644" s="2737"/>
      <c r="P644" s="2737"/>
      <c r="Q644" s="2754"/>
      <c r="R644" s="2737"/>
      <c r="S644" s="2737"/>
      <c r="T644" s="2737"/>
      <c r="U644" s="2737"/>
      <c r="V644" s="2566"/>
      <c r="W644" s="2566"/>
      <c r="X644" s="2566"/>
      <c r="Y644" s="2566"/>
      <c r="Z644" s="2642"/>
      <c r="AA644" s="2642"/>
      <c r="AB644" s="2642"/>
      <c r="AC644" s="2642"/>
      <c r="AD644" s="2642"/>
      <c r="AE644" s="2642"/>
      <c r="AF644" s="2642"/>
      <c r="AG644" s="2642"/>
      <c r="AH644" s="2642"/>
      <c r="AI644" s="2642"/>
      <c r="AJ644" s="2566"/>
      <c r="AK644" s="2338"/>
      <c r="AL644" s="2338"/>
      <c r="AM644" s="2338"/>
      <c r="AN644" s="2338"/>
      <c r="AO644" s="2338"/>
      <c r="AP644" s="2338"/>
      <c r="AQ644" s="2338"/>
      <c r="AR644" s="2338"/>
      <c r="AS644" s="2338"/>
      <c r="AT644" s="2338"/>
      <c r="AU644" s="2338"/>
      <c r="AV644" s="2338"/>
      <c r="AW644" s="2338"/>
      <c r="AX644" s="2338"/>
      <c r="AY644" s="2338"/>
      <c r="AZ644" s="2338"/>
      <c r="BA644" s="2338"/>
      <c r="BB644" s="2338"/>
      <c r="BC644" s="2338"/>
      <c r="BD644" s="2338"/>
      <c r="BE644" s="2338"/>
      <c r="BF644" s="2338"/>
      <c r="BG644" s="2338"/>
      <c r="BH644" s="2338"/>
      <c r="BI644" s="2338"/>
      <c r="BJ644" s="2338"/>
      <c r="BK644" s="2338"/>
      <c r="BL644" s="2338"/>
      <c r="BM644" s="2338"/>
      <c r="BN644" s="2338"/>
      <c r="BO644" s="2338"/>
      <c r="BP644" s="2338"/>
      <c r="BQ644" s="2338"/>
      <c r="BR644" s="2338"/>
      <c r="BS644" s="2338"/>
      <c r="BT644" s="2338"/>
      <c r="BU644" s="2338"/>
      <c r="BV644" s="2338"/>
      <c r="BW644" s="2338"/>
      <c r="BX644" s="2338"/>
      <c r="BY644" s="2338"/>
      <c r="BZ644" s="2338"/>
      <c r="CA644" s="2338"/>
      <c r="CB644" s="2338"/>
      <c r="CC644" s="2338"/>
      <c r="CD644" s="2338"/>
      <c r="CE644" s="2338"/>
      <c r="CF644" s="2338"/>
      <c r="CG644" s="2338"/>
      <c r="CH644" s="2338"/>
      <c r="CI644" s="2338"/>
      <c r="CJ644" s="2338"/>
      <c r="CK644" s="2338"/>
      <c r="CL644" s="2338"/>
      <c r="CM644" s="2338"/>
      <c r="CN644" s="2338"/>
      <c r="CO644" s="2338"/>
      <c r="CP644" s="2338"/>
      <c r="CQ644" s="2338"/>
      <c r="CR644" s="2338"/>
      <c r="CS644" s="2338"/>
      <c r="CT644" s="2338"/>
      <c r="CU644" s="2338"/>
      <c r="CV644" s="2338"/>
      <c r="CW644" s="2338"/>
      <c r="CX644" s="2338"/>
      <c r="CY644" s="2338"/>
      <c r="CZ644" s="2338"/>
      <c r="DA644" s="2338"/>
      <c r="DB644" s="2338"/>
      <c r="DC644" s="2338"/>
      <c r="DD644" s="2338"/>
      <c r="DE644" s="2338"/>
      <c r="DF644" s="2338"/>
      <c r="DG644" s="2338"/>
    </row>
    <row r="645" spans="1:111" s="1118" customFormat="1" ht="15" hidden="1" customHeight="1" outlineLevel="1">
      <c r="A645" s="2567"/>
      <c r="B645" s="3152"/>
      <c r="C645" s="3152"/>
      <c r="D645" s="3152"/>
      <c r="E645" s="3153"/>
      <c r="F645" s="2713" t="s">
        <v>3872</v>
      </c>
      <c r="G645" s="2712"/>
      <c r="H645" s="2843"/>
      <c r="I645" s="2843"/>
      <c r="J645" s="2843"/>
      <c r="K645" s="2843"/>
      <c r="L645" s="2843"/>
      <c r="M645" s="2843"/>
      <c r="N645" s="2843"/>
      <c r="O645" s="2843"/>
      <c r="P645" s="2843"/>
      <c r="Q645" s="2754"/>
      <c r="R645" s="2737"/>
      <c r="S645" s="2737"/>
      <c r="T645" s="2737"/>
      <c r="U645" s="2737"/>
      <c r="V645" s="2566"/>
      <c r="W645" s="2566"/>
      <c r="X645" s="2566"/>
      <c r="Y645" s="2566"/>
      <c r="Z645" s="2642"/>
      <c r="AA645" s="2642"/>
      <c r="AB645" s="2642"/>
      <c r="AC645" s="2642"/>
      <c r="AD645" s="2642"/>
      <c r="AE645" s="2642"/>
      <c r="AF645" s="2642"/>
      <c r="AG645" s="2642"/>
      <c r="AH645" s="2642"/>
      <c r="AI645" s="2642"/>
      <c r="AJ645" s="2566"/>
      <c r="AK645" s="2338"/>
      <c r="AL645" s="2338"/>
      <c r="AM645" s="2338"/>
      <c r="AN645" s="2338"/>
      <c r="AO645" s="2338"/>
      <c r="AP645" s="2338"/>
      <c r="AQ645" s="2338"/>
      <c r="AR645" s="2338"/>
      <c r="AS645" s="2338"/>
      <c r="AT645" s="2338"/>
      <c r="AU645" s="2338"/>
      <c r="AV645" s="2338"/>
      <c r="AW645" s="2338"/>
      <c r="AX645" s="2338"/>
      <c r="AY645" s="2338"/>
      <c r="AZ645" s="2338"/>
      <c r="BA645" s="2338"/>
      <c r="BB645" s="2338"/>
      <c r="BC645" s="2338"/>
      <c r="BD645" s="2338"/>
      <c r="BE645" s="2338"/>
      <c r="BF645" s="2338"/>
      <c r="BG645" s="2338"/>
      <c r="BH645" s="2338"/>
      <c r="BI645" s="2338"/>
      <c r="BJ645" s="2338"/>
      <c r="BK645" s="2338"/>
      <c r="BL645" s="2338"/>
      <c r="BM645" s="2338"/>
      <c r="BN645" s="2338"/>
      <c r="BO645" s="2338"/>
      <c r="BP645" s="2338"/>
      <c r="BQ645" s="2338"/>
      <c r="BR645" s="2338"/>
      <c r="BS645" s="2338"/>
      <c r="BT645" s="2338"/>
      <c r="BU645" s="2338"/>
      <c r="BV645" s="2338"/>
      <c r="BW645" s="2338"/>
      <c r="BX645" s="2338"/>
      <c r="BY645" s="2338"/>
      <c r="BZ645" s="2338"/>
      <c r="CA645" s="2338"/>
      <c r="CB645" s="2338"/>
      <c r="CC645" s="2338"/>
      <c r="CD645" s="2338"/>
      <c r="CE645" s="2338"/>
      <c r="CF645" s="2338"/>
      <c r="CG645" s="2338"/>
      <c r="CH645" s="2338"/>
      <c r="CI645" s="2338"/>
      <c r="CJ645" s="2338"/>
      <c r="CK645" s="2338"/>
      <c r="CL645" s="2338"/>
      <c r="CM645" s="2338"/>
      <c r="CN645" s="2338"/>
      <c r="CO645" s="2338"/>
      <c r="CP645" s="2338"/>
      <c r="CQ645" s="2338"/>
      <c r="CR645" s="2338"/>
      <c r="CS645" s="2338"/>
      <c r="CT645" s="2338"/>
      <c r="CU645" s="2338"/>
      <c r="CV645" s="2338"/>
      <c r="CW645" s="2338"/>
      <c r="CX645" s="2338"/>
      <c r="CY645" s="2338"/>
      <c r="CZ645" s="2338"/>
      <c r="DA645" s="2338"/>
      <c r="DB645" s="2338"/>
      <c r="DC645" s="2338"/>
      <c r="DD645" s="2338"/>
      <c r="DE645" s="2338"/>
      <c r="DF645" s="2338"/>
      <c r="DG645" s="2338"/>
    </row>
    <row r="646" spans="1:111" s="1118" customFormat="1" ht="15" customHeight="1" collapsed="1">
      <c r="A646" s="2567"/>
      <c r="B646" s="3154" t="s">
        <v>2948</v>
      </c>
      <c r="C646" s="3154"/>
      <c r="D646" s="3154"/>
      <c r="E646" s="3153" t="s">
        <v>3871</v>
      </c>
      <c r="F646" s="2713" t="s">
        <v>2629</v>
      </c>
      <c r="G646" s="2712"/>
      <c r="H646" s="2744">
        <f>' (стр.15)'!Q237</f>
        <v>1</v>
      </c>
      <c r="I646" s="2744"/>
      <c r="J646" s="2744">
        <f>'(Стр.17)'!Q168</f>
        <v>1</v>
      </c>
      <c r="K646" s="2744"/>
      <c r="L646" s="2738">
        <f>SUM(H646:K646)</f>
        <v>2</v>
      </c>
      <c r="M646" s="2744">
        <f>' (стр.15)'!G237</f>
        <v>18</v>
      </c>
      <c r="N646" s="2744"/>
      <c r="O646" s="2744">
        <f>'(Стр.17)'!G168</f>
        <v>3</v>
      </c>
      <c r="P646" s="2744"/>
      <c r="Q646" s="2738">
        <f>SUM(M646:P646)</f>
        <v>21</v>
      </c>
      <c r="R646" s="2744">
        <f>' (стр.15)'!P237/1000</f>
        <v>234.77735999999999</v>
      </c>
      <c r="S646" s="2744"/>
      <c r="T646" s="2744">
        <f>'(Стр.17)'!P168/1000</f>
        <v>255.60234</v>
      </c>
      <c r="U646" s="2754"/>
      <c r="V646" s="2725">
        <f>R646*1000/M646</f>
        <v>13043.186666666666</v>
      </c>
      <c r="W646" s="2725"/>
      <c r="X646" s="2725">
        <f t="shared" ref="X646:X647" si="76">T646*1000/O646</f>
        <v>85200.78</v>
      </c>
      <c r="Y646" s="2567"/>
      <c r="Z646" s="2645">
        <f>$Z$13</f>
        <v>1.0528</v>
      </c>
      <c r="AA646" s="2645">
        <f>$AA$13</f>
        <v>1.0589</v>
      </c>
      <c r="AB646" s="2645">
        <f>$AB$13</f>
        <v>1.0507936887282501</v>
      </c>
      <c r="AC646" s="2645">
        <f>$AC$13</f>
        <v>1.04657781587849</v>
      </c>
      <c r="AD646" s="2632">
        <f>V646*$Z$646*$AA$646*$AB$646*$AC$646</f>
        <v>15990.922363891563</v>
      </c>
      <c r="AE646" s="2632"/>
      <c r="AF646" s="2632">
        <f>X646*$AB$646*$AC$646</f>
        <v>93698.481181370968</v>
      </c>
      <c r="AG646" s="2731"/>
      <c r="AH646" s="2731">
        <f>SUM(AD646:AF646)</f>
        <v>109689.40354526252</v>
      </c>
      <c r="AI646" s="2700">
        <f>AH646/2</f>
        <v>54844.701772631262</v>
      </c>
      <c r="AJ646" s="2701">
        <f>AI646</f>
        <v>54844.701772631262</v>
      </c>
      <c r="AK646" s="2338"/>
      <c r="AL646" s="2338"/>
      <c r="AM646" s="2338"/>
      <c r="AN646" s="2338"/>
      <c r="AO646" s="2338"/>
      <c r="AP646" s="2338"/>
      <c r="AQ646" s="2338"/>
      <c r="AR646" s="2338"/>
      <c r="AS646" s="2338"/>
      <c r="AT646" s="2338"/>
      <c r="AU646" s="2338"/>
      <c r="AV646" s="2338"/>
      <c r="AW646" s="2338"/>
      <c r="AX646" s="2338"/>
      <c r="AY646" s="2338"/>
      <c r="AZ646" s="2338"/>
      <c r="BA646" s="2338"/>
      <c r="BB646" s="2338"/>
      <c r="BC646" s="2338"/>
      <c r="BD646" s="2338"/>
      <c r="BE646" s="2338"/>
      <c r="BF646" s="2338"/>
      <c r="BG646" s="2338"/>
      <c r="BH646" s="2338"/>
      <c r="BI646" s="2338"/>
      <c r="BJ646" s="2338"/>
      <c r="BK646" s="2338"/>
      <c r="BL646" s="2338"/>
      <c r="BM646" s="2338"/>
      <c r="BN646" s="2338"/>
      <c r="BO646" s="2338"/>
      <c r="BP646" s="2338"/>
      <c r="BQ646" s="2338"/>
      <c r="BR646" s="2338"/>
      <c r="BS646" s="2338"/>
      <c r="BT646" s="2338"/>
      <c r="BU646" s="2338"/>
      <c r="BV646" s="2338"/>
      <c r="BW646" s="2338"/>
      <c r="BX646" s="2338"/>
      <c r="BY646" s="2338"/>
      <c r="BZ646" s="2338"/>
      <c r="CA646" s="2338"/>
      <c r="CB646" s="2338"/>
      <c r="CC646" s="2338"/>
      <c r="CD646" s="2338"/>
      <c r="CE646" s="2338"/>
      <c r="CF646" s="2338"/>
      <c r="CG646" s="2338"/>
      <c r="CH646" s="2338"/>
      <c r="CI646" s="2338"/>
      <c r="CJ646" s="2338"/>
      <c r="CK646" s="2338"/>
      <c r="CL646" s="2338"/>
      <c r="CM646" s="2338"/>
      <c r="CN646" s="2338"/>
      <c r="CO646" s="2338"/>
      <c r="CP646" s="2338"/>
      <c r="CQ646" s="2338"/>
      <c r="CR646" s="2338"/>
      <c r="CS646" s="2338"/>
      <c r="CT646" s="2338"/>
      <c r="CU646" s="2338"/>
      <c r="CV646" s="2338"/>
      <c r="CW646" s="2338"/>
      <c r="CX646" s="2338"/>
      <c r="CY646" s="2338"/>
      <c r="CZ646" s="2338"/>
      <c r="DA646" s="2338"/>
      <c r="DB646" s="2338"/>
      <c r="DC646" s="2338"/>
      <c r="DD646" s="2338"/>
      <c r="DE646" s="2338"/>
      <c r="DF646" s="2338"/>
      <c r="DG646" s="2338"/>
    </row>
    <row r="647" spans="1:111" s="1118" customFormat="1" ht="15" customHeight="1">
      <c r="A647" s="2567"/>
      <c r="B647" s="3154"/>
      <c r="C647" s="3154"/>
      <c r="D647" s="3154"/>
      <c r="E647" s="3153"/>
      <c r="F647" s="2713" t="s">
        <v>2631</v>
      </c>
      <c r="G647" s="2712"/>
      <c r="H647" s="2744"/>
      <c r="I647" s="2744"/>
      <c r="J647" s="2744">
        <f>'(Стр.17)'!Q173</f>
        <v>2</v>
      </c>
      <c r="K647" s="2744"/>
      <c r="L647" s="2738">
        <f>SUM(H647:K647)</f>
        <v>2</v>
      </c>
      <c r="M647" s="2744"/>
      <c r="N647" s="2744"/>
      <c r="O647" s="2746">
        <f>'(Стр.17)'!G173</f>
        <v>39.5</v>
      </c>
      <c r="P647" s="2744"/>
      <c r="Q647" s="2738">
        <f>SUM(M647:P647)</f>
        <v>39.5</v>
      </c>
      <c r="R647" s="2744"/>
      <c r="S647" s="2744"/>
      <c r="T647" s="2744">
        <f>'(Стр.17)'!P173/1000</f>
        <v>427.48237</v>
      </c>
      <c r="U647" s="2744"/>
      <c r="V647" s="2725"/>
      <c r="W647" s="2725"/>
      <c r="X647" s="2725">
        <f t="shared" si="76"/>
        <v>10822.338481012657</v>
      </c>
      <c r="Y647" s="2726"/>
      <c r="Z647" s="2645">
        <f>$Z$13</f>
        <v>1.0528</v>
      </c>
      <c r="AA647" s="2645">
        <f>$AA$13</f>
        <v>1.0589</v>
      </c>
      <c r="AB647" s="2645">
        <f>$AB$13</f>
        <v>1.0507936887282501</v>
      </c>
      <c r="AC647" s="2645">
        <f>$AC$13</f>
        <v>1.04657781587849</v>
      </c>
      <c r="AD647" s="2632"/>
      <c r="AE647" s="2632"/>
      <c r="AF647" s="2632">
        <f>X647*$AB$647*$AC$647</f>
        <v>11901.729990049285</v>
      </c>
      <c r="AG647" s="2732"/>
      <c r="AH647" s="2731">
        <f t="shared" ref="AH647" si="77">SUM(AD647:AF647)</f>
        <v>11901.729990049285</v>
      </c>
      <c r="AI647" s="2700">
        <f>AH647/1</f>
        <v>11901.729990049285</v>
      </c>
      <c r="AJ647" s="2701">
        <f>AI647</f>
        <v>11901.729990049285</v>
      </c>
      <c r="AK647" s="2338"/>
      <c r="AL647" s="2338"/>
      <c r="AM647" s="2338"/>
      <c r="AN647" s="2338"/>
      <c r="AO647" s="2338"/>
      <c r="AP647" s="2338"/>
      <c r="AQ647" s="2338"/>
      <c r="AR647" s="2338"/>
      <c r="AS647" s="2338"/>
      <c r="AT647" s="2338"/>
      <c r="AU647" s="2338"/>
      <c r="AV647" s="2338"/>
      <c r="AW647" s="2338"/>
      <c r="AX647" s="2338"/>
      <c r="AY647" s="2338"/>
      <c r="AZ647" s="2338"/>
      <c r="BA647" s="2338"/>
      <c r="BB647" s="2338"/>
      <c r="BC647" s="2338"/>
      <c r="BD647" s="2338"/>
      <c r="BE647" s="2338"/>
      <c r="BF647" s="2338"/>
      <c r="BG647" s="2338"/>
      <c r="BH647" s="2338"/>
      <c r="BI647" s="2338"/>
      <c r="BJ647" s="2338"/>
      <c r="BK647" s="2338"/>
      <c r="BL647" s="2338"/>
      <c r="BM647" s="2338"/>
      <c r="BN647" s="2338"/>
      <c r="BO647" s="2338"/>
      <c r="BP647" s="2338"/>
      <c r="BQ647" s="2338"/>
      <c r="BR647" s="2338"/>
      <c r="BS647" s="2338"/>
      <c r="BT647" s="2338"/>
      <c r="BU647" s="2338"/>
      <c r="BV647" s="2338"/>
      <c r="BW647" s="2338"/>
      <c r="BX647" s="2338"/>
      <c r="BY647" s="2338"/>
      <c r="BZ647" s="2338"/>
      <c r="CA647" s="2338"/>
      <c r="CB647" s="2338"/>
      <c r="CC647" s="2338"/>
      <c r="CD647" s="2338"/>
      <c r="CE647" s="2338"/>
      <c r="CF647" s="2338"/>
      <c r="CG647" s="2338"/>
      <c r="CH647" s="2338"/>
      <c r="CI647" s="2338"/>
      <c r="CJ647" s="2338"/>
      <c r="CK647" s="2338"/>
      <c r="CL647" s="2338"/>
      <c r="CM647" s="2338"/>
      <c r="CN647" s="2338"/>
      <c r="CO647" s="2338"/>
      <c r="CP647" s="2338"/>
      <c r="CQ647" s="2338"/>
      <c r="CR647" s="2338"/>
      <c r="CS647" s="2338"/>
      <c r="CT647" s="2338"/>
      <c r="CU647" s="2338"/>
      <c r="CV647" s="2338"/>
      <c r="CW647" s="2338"/>
      <c r="CX647" s="2338"/>
      <c r="CY647" s="2338"/>
      <c r="CZ647" s="2338"/>
      <c r="DA647" s="2338"/>
      <c r="DB647" s="2338"/>
      <c r="DC647" s="2338"/>
      <c r="DD647" s="2338"/>
      <c r="DE647" s="2338"/>
      <c r="DF647" s="2338"/>
      <c r="DG647" s="2338"/>
    </row>
    <row r="648" spans="1:111" s="1118" customFormat="1" ht="15" customHeight="1">
      <c r="A648" s="2567"/>
      <c r="B648" s="3154"/>
      <c r="C648" s="3154"/>
      <c r="D648" s="3154"/>
      <c r="E648" s="3153"/>
      <c r="F648" s="2713" t="s">
        <v>2633</v>
      </c>
      <c r="G648" s="2712"/>
      <c r="H648" s="2747"/>
      <c r="I648" s="2747"/>
      <c r="J648" s="2747"/>
      <c r="K648" s="2747"/>
      <c r="L648" s="2735"/>
      <c r="M648" s="2747"/>
      <c r="N648" s="2747"/>
      <c r="O648" s="2747"/>
      <c r="P648" s="2747"/>
      <c r="Q648" s="2735"/>
      <c r="R648" s="2744"/>
      <c r="S648" s="2744"/>
      <c r="T648" s="2744"/>
      <c r="U648" s="2744"/>
      <c r="V648" s="2725"/>
      <c r="W648" s="2725"/>
      <c r="X648" s="2725"/>
      <c r="Y648" s="2726"/>
      <c r="Z648" s="2727"/>
      <c r="AA648" s="2727"/>
      <c r="AB648" s="2727"/>
      <c r="AC648" s="2727"/>
      <c r="AD648" s="2632"/>
      <c r="AE648" s="2731"/>
      <c r="AF648" s="2732"/>
      <c r="AG648" s="2732"/>
      <c r="AH648" s="2731"/>
      <c r="AI648" s="2728"/>
      <c r="AJ648" s="2743"/>
      <c r="AK648" s="2338"/>
      <c r="AL648" s="2338"/>
      <c r="AM648" s="2338"/>
      <c r="AN648" s="2338"/>
      <c r="AO648" s="2338"/>
      <c r="AP648" s="2338"/>
      <c r="AQ648" s="2338"/>
      <c r="AR648" s="2338"/>
      <c r="AS648" s="2338"/>
      <c r="AT648" s="2338"/>
      <c r="AU648" s="2338"/>
      <c r="AV648" s="2338"/>
      <c r="AW648" s="2338"/>
      <c r="AX648" s="2338"/>
      <c r="AY648" s="2338"/>
      <c r="AZ648" s="2338"/>
      <c r="BA648" s="2338"/>
      <c r="BB648" s="2338"/>
      <c r="BC648" s="2338"/>
      <c r="BD648" s="2338"/>
      <c r="BE648" s="2338"/>
      <c r="BF648" s="2338"/>
      <c r="BG648" s="2338"/>
      <c r="BH648" s="2338"/>
      <c r="BI648" s="2338"/>
      <c r="BJ648" s="2338"/>
      <c r="BK648" s="2338"/>
      <c r="BL648" s="2338"/>
      <c r="BM648" s="2338"/>
      <c r="BN648" s="2338"/>
      <c r="BO648" s="2338"/>
      <c r="BP648" s="2338"/>
      <c r="BQ648" s="2338"/>
      <c r="BR648" s="2338"/>
      <c r="BS648" s="2338"/>
      <c r="BT648" s="2338"/>
      <c r="BU648" s="2338"/>
      <c r="BV648" s="2338"/>
      <c r="BW648" s="2338"/>
      <c r="BX648" s="2338"/>
      <c r="BY648" s="2338"/>
      <c r="BZ648" s="2338"/>
      <c r="CA648" s="2338"/>
      <c r="CB648" s="2338"/>
      <c r="CC648" s="2338"/>
      <c r="CD648" s="2338"/>
      <c r="CE648" s="2338"/>
      <c r="CF648" s="2338"/>
      <c r="CG648" s="2338"/>
      <c r="CH648" s="2338"/>
      <c r="CI648" s="2338"/>
      <c r="CJ648" s="2338"/>
      <c r="CK648" s="2338"/>
      <c r="CL648" s="2338"/>
      <c r="CM648" s="2338"/>
      <c r="CN648" s="2338"/>
      <c r="CO648" s="2338"/>
      <c r="CP648" s="2338"/>
      <c r="CQ648" s="2338"/>
      <c r="CR648" s="2338"/>
      <c r="CS648" s="2338"/>
      <c r="CT648" s="2338"/>
      <c r="CU648" s="2338"/>
      <c r="CV648" s="2338"/>
      <c r="CW648" s="2338"/>
      <c r="CX648" s="2338"/>
      <c r="CY648" s="2338"/>
      <c r="CZ648" s="2338"/>
      <c r="DA648" s="2338"/>
      <c r="DB648" s="2338"/>
      <c r="DC648" s="2338"/>
      <c r="DD648" s="2338"/>
      <c r="DE648" s="2338"/>
      <c r="DF648" s="2338"/>
      <c r="DG648" s="2338"/>
    </row>
    <row r="649" spans="1:111" s="1118" customFormat="1" ht="15" customHeight="1">
      <c r="A649" s="2567"/>
      <c r="B649" s="3154"/>
      <c r="C649" s="3154"/>
      <c r="D649" s="3154"/>
      <c r="E649" s="3153"/>
      <c r="F649" s="2713" t="s">
        <v>2635</v>
      </c>
      <c r="G649" s="2712"/>
      <c r="H649" s="2747">
        <f>' (стр.15)'!Q242</f>
        <v>2</v>
      </c>
      <c r="I649" s="2747"/>
      <c r="J649" s="2747"/>
      <c r="K649" s="2747"/>
      <c r="L649" s="2735">
        <f>SUM(H649:K649)</f>
        <v>2</v>
      </c>
      <c r="M649" s="2747">
        <f>' (стр.15)'!G242</f>
        <v>151.69999999999999</v>
      </c>
      <c r="N649" s="2747"/>
      <c r="O649" s="2747"/>
      <c r="P649" s="2747"/>
      <c r="Q649" s="2735">
        <f>SUM(M649:P649)</f>
        <v>151.69999999999999</v>
      </c>
      <c r="R649" s="2744">
        <f>' (стр.15)'!P242/1000</f>
        <v>856.52384000000006</v>
      </c>
      <c r="S649" s="2744"/>
      <c r="T649" s="2744"/>
      <c r="U649" s="2744"/>
      <c r="V649" s="2725">
        <f>R649*1000/M649</f>
        <v>5646.1690177982873</v>
      </c>
      <c r="W649" s="2725"/>
      <c r="X649" s="2725"/>
      <c r="Y649" s="2726"/>
      <c r="Z649" s="2645">
        <f>$Z$13</f>
        <v>1.0528</v>
      </c>
      <c r="AA649" s="2645">
        <f>$AA$13</f>
        <v>1.0589</v>
      </c>
      <c r="AB649" s="2645">
        <f>$AB$13</f>
        <v>1.0507936887282501</v>
      </c>
      <c r="AC649" s="2645">
        <f>$AC$13</f>
        <v>1.04657781587849</v>
      </c>
      <c r="AD649" s="2632">
        <f>V649*$Z$649*$AA$649*$AB$649*$AC$649</f>
        <v>6922.1926147666081</v>
      </c>
      <c r="AE649" s="2632"/>
      <c r="AF649" s="2632"/>
      <c r="AG649" s="2732"/>
      <c r="AH649" s="2731">
        <f>SUM(AD649:AF649)</f>
        <v>6922.1926147666081</v>
      </c>
      <c r="AI649" s="2700">
        <f>AH649/1</f>
        <v>6922.1926147666081</v>
      </c>
      <c r="AJ649" s="2701">
        <f>AI649</f>
        <v>6922.1926147666081</v>
      </c>
      <c r="AK649" s="2338"/>
      <c r="AL649" s="2338"/>
      <c r="AM649" s="2338"/>
      <c r="AN649" s="2338"/>
      <c r="AO649" s="2338"/>
      <c r="AP649" s="2338"/>
      <c r="AQ649" s="2338"/>
      <c r="AR649" s="2338"/>
      <c r="AS649" s="2338"/>
      <c r="AT649" s="2338"/>
      <c r="AU649" s="2338"/>
      <c r="AV649" s="2338"/>
      <c r="AW649" s="2338"/>
      <c r="AX649" s="2338"/>
      <c r="AY649" s="2338"/>
      <c r="AZ649" s="2338"/>
      <c r="BA649" s="2338"/>
      <c r="BB649" s="2338"/>
      <c r="BC649" s="2338"/>
      <c r="BD649" s="2338"/>
      <c r="BE649" s="2338"/>
      <c r="BF649" s="2338"/>
      <c r="BG649" s="2338"/>
      <c r="BH649" s="2338"/>
      <c r="BI649" s="2338"/>
      <c r="BJ649" s="2338"/>
      <c r="BK649" s="2338"/>
      <c r="BL649" s="2338"/>
      <c r="BM649" s="2338"/>
      <c r="BN649" s="2338"/>
      <c r="BO649" s="2338"/>
      <c r="BP649" s="2338"/>
      <c r="BQ649" s="2338"/>
      <c r="BR649" s="2338"/>
      <c r="BS649" s="2338"/>
      <c r="BT649" s="2338"/>
      <c r="BU649" s="2338"/>
      <c r="BV649" s="2338"/>
      <c r="BW649" s="2338"/>
      <c r="BX649" s="2338"/>
      <c r="BY649" s="2338"/>
      <c r="BZ649" s="2338"/>
      <c r="CA649" s="2338"/>
      <c r="CB649" s="2338"/>
      <c r="CC649" s="2338"/>
      <c r="CD649" s="2338"/>
      <c r="CE649" s="2338"/>
      <c r="CF649" s="2338"/>
      <c r="CG649" s="2338"/>
      <c r="CH649" s="2338"/>
      <c r="CI649" s="2338"/>
      <c r="CJ649" s="2338"/>
      <c r="CK649" s="2338"/>
      <c r="CL649" s="2338"/>
      <c r="CM649" s="2338"/>
      <c r="CN649" s="2338"/>
      <c r="CO649" s="2338"/>
      <c r="CP649" s="2338"/>
      <c r="CQ649" s="2338"/>
      <c r="CR649" s="2338"/>
      <c r="CS649" s="2338"/>
      <c r="CT649" s="2338"/>
      <c r="CU649" s="2338"/>
      <c r="CV649" s="2338"/>
      <c r="CW649" s="2338"/>
      <c r="CX649" s="2338"/>
      <c r="CY649" s="2338"/>
      <c r="CZ649" s="2338"/>
      <c r="DA649" s="2338"/>
      <c r="DB649" s="2338"/>
      <c r="DC649" s="2338"/>
      <c r="DD649" s="2338"/>
      <c r="DE649" s="2338"/>
      <c r="DF649" s="2338"/>
      <c r="DG649" s="2338"/>
    </row>
    <row r="650" spans="1:111" s="1118" customFormat="1" ht="15" hidden="1" customHeight="1" outlineLevel="1">
      <c r="A650" s="2567"/>
      <c r="B650" s="3154"/>
      <c r="C650" s="3154"/>
      <c r="D650" s="3154"/>
      <c r="E650" s="3153"/>
      <c r="F650" s="2713" t="s">
        <v>2639</v>
      </c>
      <c r="G650" s="2712"/>
      <c r="H650" s="2747"/>
      <c r="I650" s="2747"/>
      <c r="J650" s="2747"/>
      <c r="K650" s="2747"/>
      <c r="L650" s="2747"/>
      <c r="M650" s="2747"/>
      <c r="N650" s="2747"/>
      <c r="O650" s="2747"/>
      <c r="P650" s="2747"/>
      <c r="Q650" s="2744"/>
      <c r="R650" s="2747"/>
      <c r="S650" s="2747"/>
      <c r="T650" s="2747"/>
      <c r="U650" s="2747"/>
      <c r="V650" s="2726"/>
      <c r="W650" s="2726"/>
      <c r="X650" s="2726"/>
      <c r="Y650" s="2726"/>
      <c r="Z650" s="2727"/>
      <c r="AA650" s="2727"/>
      <c r="AB650" s="2727"/>
      <c r="AC650" s="2727"/>
      <c r="AD650" s="2729"/>
      <c r="AE650" s="2729"/>
      <c r="AF650" s="2729"/>
      <c r="AG650" s="2729"/>
      <c r="AH650" s="2729"/>
      <c r="AI650" s="2729"/>
      <c r="AJ650" s="2566"/>
      <c r="AK650" s="2338"/>
      <c r="AL650" s="2338"/>
      <c r="AM650" s="2338"/>
      <c r="AN650" s="2338"/>
      <c r="AO650" s="2338"/>
      <c r="AP650" s="2338"/>
      <c r="AQ650" s="2338"/>
      <c r="AR650" s="2338"/>
      <c r="AS650" s="2338"/>
      <c r="AT650" s="2338"/>
      <c r="AU650" s="2338"/>
      <c r="AV650" s="2338"/>
      <c r="AW650" s="2338"/>
      <c r="AX650" s="2338"/>
      <c r="AY650" s="2338"/>
      <c r="AZ650" s="2338"/>
      <c r="BA650" s="2338"/>
      <c r="BB650" s="2338"/>
      <c r="BC650" s="2338"/>
      <c r="BD650" s="2338"/>
      <c r="BE650" s="2338"/>
      <c r="BF650" s="2338"/>
      <c r="BG650" s="2338"/>
      <c r="BH650" s="2338"/>
      <c r="BI650" s="2338"/>
      <c r="BJ650" s="2338"/>
      <c r="BK650" s="2338"/>
      <c r="BL650" s="2338"/>
      <c r="BM650" s="2338"/>
      <c r="BN650" s="2338"/>
      <c r="BO650" s="2338"/>
      <c r="BP650" s="2338"/>
      <c r="BQ650" s="2338"/>
      <c r="BR650" s="2338"/>
      <c r="BS650" s="2338"/>
      <c r="BT650" s="2338"/>
      <c r="BU650" s="2338"/>
      <c r="BV650" s="2338"/>
      <c r="BW650" s="2338"/>
      <c r="BX650" s="2338"/>
      <c r="BY650" s="2338"/>
      <c r="BZ650" s="2338"/>
      <c r="CA650" s="2338"/>
      <c r="CB650" s="2338"/>
      <c r="CC650" s="2338"/>
      <c r="CD650" s="2338"/>
      <c r="CE650" s="2338"/>
      <c r="CF650" s="2338"/>
      <c r="CG650" s="2338"/>
      <c r="CH650" s="2338"/>
      <c r="CI650" s="2338"/>
      <c r="CJ650" s="2338"/>
      <c r="CK650" s="2338"/>
      <c r="CL650" s="2338"/>
      <c r="CM650" s="2338"/>
      <c r="CN650" s="2338"/>
      <c r="CO650" s="2338"/>
      <c r="CP650" s="2338"/>
      <c r="CQ650" s="2338"/>
      <c r="CR650" s="2338"/>
      <c r="CS650" s="2338"/>
      <c r="CT650" s="2338"/>
      <c r="CU650" s="2338"/>
      <c r="CV650" s="2338"/>
      <c r="CW650" s="2338"/>
      <c r="CX650" s="2338"/>
      <c r="CY650" s="2338"/>
      <c r="CZ650" s="2338"/>
      <c r="DA650" s="2338"/>
      <c r="DB650" s="2338"/>
      <c r="DC650" s="2338"/>
      <c r="DD650" s="2338"/>
      <c r="DE650" s="2338"/>
      <c r="DF650" s="2338"/>
      <c r="DG650" s="2338"/>
    </row>
    <row r="651" spans="1:111" s="1118" customFormat="1" ht="15" hidden="1" customHeight="1" outlineLevel="1">
      <c r="A651" s="2567"/>
      <c r="B651" s="3154"/>
      <c r="C651" s="3154"/>
      <c r="D651" s="3154"/>
      <c r="E651" s="3153"/>
      <c r="F651" s="2713" t="s">
        <v>3872</v>
      </c>
      <c r="G651" s="2712"/>
      <c r="H651" s="2737"/>
      <c r="I651" s="2737"/>
      <c r="J651" s="2737"/>
      <c r="K651" s="2737"/>
      <c r="L651" s="2737"/>
      <c r="M651" s="2737"/>
      <c r="N651" s="2737"/>
      <c r="O651" s="2737"/>
      <c r="P651" s="2737"/>
      <c r="Q651" s="2754"/>
      <c r="R651" s="2737"/>
      <c r="S651" s="2737"/>
      <c r="T651" s="2737"/>
      <c r="U651" s="2737"/>
      <c r="V651" s="2566"/>
      <c r="W651" s="2566"/>
      <c r="X651" s="2566"/>
      <c r="Y651" s="2566"/>
      <c r="Z651" s="2642"/>
      <c r="AA651" s="2642"/>
      <c r="AB651" s="2642"/>
      <c r="AC651" s="2642"/>
      <c r="AD651" s="2729"/>
      <c r="AE651" s="2729"/>
      <c r="AF651" s="2729"/>
      <c r="AG651" s="2729"/>
      <c r="AH651" s="2729"/>
      <c r="AI651" s="2729"/>
      <c r="AJ651" s="2566"/>
      <c r="AK651" s="2338"/>
      <c r="AL651" s="2338"/>
      <c r="AM651" s="2338"/>
      <c r="AN651" s="2338"/>
      <c r="AO651" s="2338"/>
      <c r="AP651" s="2338"/>
      <c r="AQ651" s="2338"/>
      <c r="AR651" s="2338"/>
      <c r="AS651" s="2338"/>
      <c r="AT651" s="2338"/>
      <c r="AU651" s="2338"/>
      <c r="AV651" s="2338"/>
      <c r="AW651" s="2338"/>
      <c r="AX651" s="2338"/>
      <c r="AY651" s="2338"/>
      <c r="AZ651" s="2338"/>
      <c r="BA651" s="2338"/>
      <c r="BB651" s="2338"/>
      <c r="BC651" s="2338"/>
      <c r="BD651" s="2338"/>
      <c r="BE651" s="2338"/>
      <c r="BF651" s="2338"/>
      <c r="BG651" s="2338"/>
      <c r="BH651" s="2338"/>
      <c r="BI651" s="2338"/>
      <c r="BJ651" s="2338"/>
      <c r="BK651" s="2338"/>
      <c r="BL651" s="2338"/>
      <c r="BM651" s="2338"/>
      <c r="BN651" s="2338"/>
      <c r="BO651" s="2338"/>
      <c r="BP651" s="2338"/>
      <c r="BQ651" s="2338"/>
      <c r="BR651" s="2338"/>
      <c r="BS651" s="2338"/>
      <c r="BT651" s="2338"/>
      <c r="BU651" s="2338"/>
      <c r="BV651" s="2338"/>
      <c r="BW651" s="2338"/>
      <c r="BX651" s="2338"/>
      <c r="BY651" s="2338"/>
      <c r="BZ651" s="2338"/>
      <c r="CA651" s="2338"/>
      <c r="CB651" s="2338"/>
      <c r="CC651" s="2338"/>
      <c r="CD651" s="2338"/>
      <c r="CE651" s="2338"/>
      <c r="CF651" s="2338"/>
      <c r="CG651" s="2338"/>
      <c r="CH651" s="2338"/>
      <c r="CI651" s="2338"/>
      <c r="CJ651" s="2338"/>
      <c r="CK651" s="2338"/>
      <c r="CL651" s="2338"/>
      <c r="CM651" s="2338"/>
      <c r="CN651" s="2338"/>
      <c r="CO651" s="2338"/>
      <c r="CP651" s="2338"/>
      <c r="CQ651" s="2338"/>
      <c r="CR651" s="2338"/>
      <c r="CS651" s="2338"/>
      <c r="CT651" s="2338"/>
      <c r="CU651" s="2338"/>
      <c r="CV651" s="2338"/>
      <c r="CW651" s="2338"/>
      <c r="CX651" s="2338"/>
      <c r="CY651" s="2338"/>
      <c r="CZ651" s="2338"/>
      <c r="DA651" s="2338"/>
      <c r="DB651" s="2338"/>
      <c r="DC651" s="2338"/>
      <c r="DD651" s="2338"/>
      <c r="DE651" s="2338"/>
      <c r="DF651" s="2338"/>
      <c r="DG651" s="2338"/>
    </row>
    <row r="652" spans="1:111" s="1118" customFormat="1" ht="15" hidden="1" customHeight="1" outlineLevel="1">
      <c r="A652" s="2567"/>
      <c r="B652" s="3154"/>
      <c r="C652" s="3154"/>
      <c r="D652" s="3154"/>
      <c r="E652" s="3153" t="s">
        <v>3873</v>
      </c>
      <c r="F652" s="2713" t="s">
        <v>2629</v>
      </c>
      <c r="G652" s="2712"/>
      <c r="H652" s="2737"/>
      <c r="I652" s="2737"/>
      <c r="J652" s="2737"/>
      <c r="K652" s="2737"/>
      <c r="L652" s="2737"/>
      <c r="M652" s="2737"/>
      <c r="N652" s="2737"/>
      <c r="O652" s="2737"/>
      <c r="P652" s="2737"/>
      <c r="Q652" s="2754"/>
      <c r="R652" s="2737"/>
      <c r="S652" s="2737"/>
      <c r="T652" s="2737"/>
      <c r="U652" s="2737"/>
      <c r="V652" s="2566"/>
      <c r="W652" s="2566"/>
      <c r="X652" s="2566"/>
      <c r="Y652" s="2566"/>
      <c r="Z652" s="2642"/>
      <c r="AA652" s="2642"/>
      <c r="AB652" s="2642"/>
      <c r="AC652" s="2642"/>
      <c r="AD652" s="2642"/>
      <c r="AE652" s="2642"/>
      <c r="AF652" s="2642"/>
      <c r="AG652" s="2642"/>
      <c r="AH652" s="2642"/>
      <c r="AI652" s="2642"/>
      <c r="AJ652" s="2566"/>
      <c r="AK652" s="2338"/>
      <c r="AL652" s="2338"/>
      <c r="AM652" s="2338"/>
      <c r="AN652" s="2338"/>
      <c r="AO652" s="2338"/>
      <c r="AP652" s="2338"/>
      <c r="AQ652" s="2338"/>
      <c r="AR652" s="2338"/>
      <c r="AS652" s="2338"/>
      <c r="AT652" s="2338"/>
      <c r="AU652" s="2338"/>
      <c r="AV652" s="2338"/>
      <c r="AW652" s="2338"/>
      <c r="AX652" s="2338"/>
      <c r="AY652" s="2338"/>
      <c r="AZ652" s="2338"/>
      <c r="BA652" s="2338"/>
      <c r="BB652" s="2338"/>
      <c r="BC652" s="2338"/>
      <c r="BD652" s="2338"/>
      <c r="BE652" s="2338"/>
      <c r="BF652" s="2338"/>
      <c r="BG652" s="2338"/>
      <c r="BH652" s="2338"/>
      <c r="BI652" s="2338"/>
      <c r="BJ652" s="2338"/>
      <c r="BK652" s="2338"/>
      <c r="BL652" s="2338"/>
      <c r="BM652" s="2338"/>
      <c r="BN652" s="2338"/>
      <c r="BO652" s="2338"/>
      <c r="BP652" s="2338"/>
      <c r="BQ652" s="2338"/>
      <c r="BR652" s="2338"/>
      <c r="BS652" s="2338"/>
      <c r="BT652" s="2338"/>
      <c r="BU652" s="2338"/>
      <c r="BV652" s="2338"/>
      <c r="BW652" s="2338"/>
      <c r="BX652" s="2338"/>
      <c r="BY652" s="2338"/>
      <c r="BZ652" s="2338"/>
      <c r="CA652" s="2338"/>
      <c r="CB652" s="2338"/>
      <c r="CC652" s="2338"/>
      <c r="CD652" s="2338"/>
      <c r="CE652" s="2338"/>
      <c r="CF652" s="2338"/>
      <c r="CG652" s="2338"/>
      <c r="CH652" s="2338"/>
      <c r="CI652" s="2338"/>
      <c r="CJ652" s="2338"/>
      <c r="CK652" s="2338"/>
      <c r="CL652" s="2338"/>
      <c r="CM652" s="2338"/>
      <c r="CN652" s="2338"/>
      <c r="CO652" s="2338"/>
      <c r="CP652" s="2338"/>
      <c r="CQ652" s="2338"/>
      <c r="CR652" s="2338"/>
      <c r="CS652" s="2338"/>
      <c r="CT652" s="2338"/>
      <c r="CU652" s="2338"/>
      <c r="CV652" s="2338"/>
      <c r="CW652" s="2338"/>
      <c r="CX652" s="2338"/>
      <c r="CY652" s="2338"/>
      <c r="CZ652" s="2338"/>
      <c r="DA652" s="2338"/>
      <c r="DB652" s="2338"/>
      <c r="DC652" s="2338"/>
      <c r="DD652" s="2338"/>
      <c r="DE652" s="2338"/>
      <c r="DF652" s="2338"/>
      <c r="DG652" s="2338"/>
    </row>
    <row r="653" spans="1:111" s="1118" customFormat="1" ht="15" hidden="1" customHeight="1" outlineLevel="1">
      <c r="A653" s="2567"/>
      <c r="B653" s="3154"/>
      <c r="C653" s="3154"/>
      <c r="D653" s="3154"/>
      <c r="E653" s="3153"/>
      <c r="F653" s="2713" t="s">
        <v>2631</v>
      </c>
      <c r="G653" s="2712"/>
      <c r="H653" s="2737"/>
      <c r="I653" s="2737"/>
      <c r="J653" s="2737"/>
      <c r="K653" s="2737"/>
      <c r="L653" s="2737"/>
      <c r="M653" s="2737"/>
      <c r="N653" s="2737"/>
      <c r="O653" s="2737"/>
      <c r="P653" s="2737"/>
      <c r="Q653" s="2754"/>
      <c r="R653" s="2737"/>
      <c r="S653" s="2737"/>
      <c r="T653" s="2737"/>
      <c r="U653" s="2737"/>
      <c r="V653" s="2566"/>
      <c r="W653" s="2566"/>
      <c r="X653" s="2566"/>
      <c r="Y653" s="2566"/>
      <c r="Z653" s="2642"/>
      <c r="AA653" s="2642"/>
      <c r="AB653" s="2642"/>
      <c r="AC653" s="2642"/>
      <c r="AD653" s="2642"/>
      <c r="AE653" s="2642"/>
      <c r="AF653" s="2642"/>
      <c r="AG653" s="2642"/>
      <c r="AH653" s="2642"/>
      <c r="AI653" s="2642"/>
      <c r="AJ653" s="2566"/>
      <c r="AK653" s="2338"/>
      <c r="AL653" s="2338"/>
      <c r="AM653" s="2338"/>
      <c r="AN653" s="2338"/>
      <c r="AO653" s="2338"/>
      <c r="AP653" s="2338"/>
      <c r="AQ653" s="2338"/>
      <c r="AR653" s="2338"/>
      <c r="AS653" s="2338"/>
      <c r="AT653" s="2338"/>
      <c r="AU653" s="2338"/>
      <c r="AV653" s="2338"/>
      <c r="AW653" s="2338"/>
      <c r="AX653" s="2338"/>
      <c r="AY653" s="2338"/>
      <c r="AZ653" s="2338"/>
      <c r="BA653" s="2338"/>
      <c r="BB653" s="2338"/>
      <c r="BC653" s="2338"/>
      <c r="BD653" s="2338"/>
      <c r="BE653" s="2338"/>
      <c r="BF653" s="2338"/>
      <c r="BG653" s="2338"/>
      <c r="BH653" s="2338"/>
      <c r="BI653" s="2338"/>
      <c r="BJ653" s="2338"/>
      <c r="BK653" s="2338"/>
      <c r="BL653" s="2338"/>
      <c r="BM653" s="2338"/>
      <c r="BN653" s="2338"/>
      <c r="BO653" s="2338"/>
      <c r="BP653" s="2338"/>
      <c r="BQ653" s="2338"/>
      <c r="BR653" s="2338"/>
      <c r="BS653" s="2338"/>
      <c r="BT653" s="2338"/>
      <c r="BU653" s="2338"/>
      <c r="BV653" s="2338"/>
      <c r="BW653" s="2338"/>
      <c r="BX653" s="2338"/>
      <c r="BY653" s="2338"/>
      <c r="BZ653" s="2338"/>
      <c r="CA653" s="2338"/>
      <c r="CB653" s="2338"/>
      <c r="CC653" s="2338"/>
      <c r="CD653" s="2338"/>
      <c r="CE653" s="2338"/>
      <c r="CF653" s="2338"/>
      <c r="CG653" s="2338"/>
      <c r="CH653" s="2338"/>
      <c r="CI653" s="2338"/>
      <c r="CJ653" s="2338"/>
      <c r="CK653" s="2338"/>
      <c r="CL653" s="2338"/>
      <c r="CM653" s="2338"/>
      <c r="CN653" s="2338"/>
      <c r="CO653" s="2338"/>
      <c r="CP653" s="2338"/>
      <c r="CQ653" s="2338"/>
      <c r="CR653" s="2338"/>
      <c r="CS653" s="2338"/>
      <c r="CT653" s="2338"/>
      <c r="CU653" s="2338"/>
      <c r="CV653" s="2338"/>
      <c r="CW653" s="2338"/>
      <c r="CX653" s="2338"/>
      <c r="CY653" s="2338"/>
      <c r="CZ653" s="2338"/>
      <c r="DA653" s="2338"/>
      <c r="DB653" s="2338"/>
      <c r="DC653" s="2338"/>
      <c r="DD653" s="2338"/>
      <c r="DE653" s="2338"/>
      <c r="DF653" s="2338"/>
      <c r="DG653" s="2338"/>
    </row>
    <row r="654" spans="1:111" s="1118" customFormat="1" ht="15" hidden="1" customHeight="1" outlineLevel="1">
      <c r="A654" s="2567"/>
      <c r="B654" s="3154"/>
      <c r="C654" s="3154"/>
      <c r="D654" s="3154"/>
      <c r="E654" s="3153"/>
      <c r="F654" s="2713" t="s">
        <v>2633</v>
      </c>
      <c r="G654" s="2712"/>
      <c r="H654" s="2737"/>
      <c r="I654" s="2737"/>
      <c r="J654" s="2737"/>
      <c r="K654" s="2737"/>
      <c r="L654" s="2737"/>
      <c r="M654" s="2737"/>
      <c r="N654" s="2737"/>
      <c r="O654" s="2737"/>
      <c r="P654" s="2737"/>
      <c r="Q654" s="2754"/>
      <c r="R654" s="2737"/>
      <c r="S654" s="2737"/>
      <c r="T654" s="2737"/>
      <c r="U654" s="2737"/>
      <c r="V654" s="2566"/>
      <c r="W654" s="2566"/>
      <c r="X654" s="2566"/>
      <c r="Y654" s="2566"/>
      <c r="Z654" s="2642"/>
      <c r="AA654" s="2642"/>
      <c r="AB654" s="2642"/>
      <c r="AC654" s="2642"/>
      <c r="AD654" s="2642"/>
      <c r="AE654" s="2642"/>
      <c r="AF654" s="2642"/>
      <c r="AG654" s="2642"/>
      <c r="AH654" s="2642"/>
      <c r="AI654" s="2642"/>
      <c r="AJ654" s="2566"/>
      <c r="AK654" s="2338"/>
      <c r="AL654" s="2338"/>
      <c r="AM654" s="2338"/>
      <c r="AN654" s="2338"/>
      <c r="AO654" s="2338"/>
      <c r="AP654" s="2338"/>
      <c r="AQ654" s="2338"/>
      <c r="AR654" s="2338"/>
      <c r="AS654" s="2338"/>
      <c r="AT654" s="2338"/>
      <c r="AU654" s="2338"/>
      <c r="AV654" s="2338"/>
      <c r="AW654" s="2338"/>
      <c r="AX654" s="2338"/>
      <c r="AY654" s="2338"/>
      <c r="AZ654" s="2338"/>
      <c r="BA654" s="2338"/>
      <c r="BB654" s="2338"/>
      <c r="BC654" s="2338"/>
      <c r="BD654" s="2338"/>
      <c r="BE654" s="2338"/>
      <c r="BF654" s="2338"/>
      <c r="BG654" s="2338"/>
      <c r="BH654" s="2338"/>
      <c r="BI654" s="2338"/>
      <c r="BJ654" s="2338"/>
      <c r="BK654" s="2338"/>
      <c r="BL654" s="2338"/>
      <c r="BM654" s="2338"/>
      <c r="BN654" s="2338"/>
      <c r="BO654" s="2338"/>
      <c r="BP654" s="2338"/>
      <c r="BQ654" s="2338"/>
      <c r="BR654" s="2338"/>
      <c r="BS654" s="2338"/>
      <c r="BT654" s="2338"/>
      <c r="BU654" s="2338"/>
      <c r="BV654" s="2338"/>
      <c r="BW654" s="2338"/>
      <c r="BX654" s="2338"/>
      <c r="BY654" s="2338"/>
      <c r="BZ654" s="2338"/>
      <c r="CA654" s="2338"/>
      <c r="CB654" s="2338"/>
      <c r="CC654" s="2338"/>
      <c r="CD654" s="2338"/>
      <c r="CE654" s="2338"/>
      <c r="CF654" s="2338"/>
      <c r="CG654" s="2338"/>
      <c r="CH654" s="2338"/>
      <c r="CI654" s="2338"/>
      <c r="CJ654" s="2338"/>
      <c r="CK654" s="2338"/>
      <c r="CL654" s="2338"/>
      <c r="CM654" s="2338"/>
      <c r="CN654" s="2338"/>
      <c r="CO654" s="2338"/>
      <c r="CP654" s="2338"/>
      <c r="CQ654" s="2338"/>
      <c r="CR654" s="2338"/>
      <c r="CS654" s="2338"/>
      <c r="CT654" s="2338"/>
      <c r="CU654" s="2338"/>
      <c r="CV654" s="2338"/>
      <c r="CW654" s="2338"/>
      <c r="CX654" s="2338"/>
      <c r="CY654" s="2338"/>
      <c r="CZ654" s="2338"/>
      <c r="DA654" s="2338"/>
      <c r="DB654" s="2338"/>
      <c r="DC654" s="2338"/>
      <c r="DD654" s="2338"/>
      <c r="DE654" s="2338"/>
      <c r="DF654" s="2338"/>
      <c r="DG654" s="2338"/>
    </row>
    <row r="655" spans="1:111" s="1118" customFormat="1" ht="15" hidden="1" customHeight="1" outlineLevel="1">
      <c r="A655" s="2567"/>
      <c r="B655" s="3154"/>
      <c r="C655" s="3154"/>
      <c r="D655" s="3154"/>
      <c r="E655" s="3153"/>
      <c r="F655" s="2713" t="s">
        <v>2635</v>
      </c>
      <c r="G655" s="2712"/>
      <c r="H655" s="2737"/>
      <c r="I655" s="2737"/>
      <c r="J655" s="2737"/>
      <c r="K655" s="2737"/>
      <c r="L655" s="2737"/>
      <c r="M655" s="2737"/>
      <c r="N655" s="2737"/>
      <c r="O655" s="2737"/>
      <c r="P655" s="2737"/>
      <c r="Q655" s="2754"/>
      <c r="R655" s="2737"/>
      <c r="S655" s="2737"/>
      <c r="T655" s="2737"/>
      <c r="U655" s="2737"/>
      <c r="V655" s="2566"/>
      <c r="W655" s="2566"/>
      <c r="X655" s="2566"/>
      <c r="Y655" s="2566"/>
      <c r="Z655" s="2642"/>
      <c r="AA655" s="2642"/>
      <c r="AB655" s="2642"/>
      <c r="AC655" s="2642"/>
      <c r="AD655" s="2642"/>
      <c r="AE655" s="2642"/>
      <c r="AF655" s="2642"/>
      <c r="AG655" s="2642"/>
      <c r="AH655" s="2642"/>
      <c r="AI655" s="2642"/>
      <c r="AJ655" s="2566"/>
      <c r="AK655" s="2338"/>
      <c r="AL655" s="2338"/>
      <c r="AM655" s="2338"/>
      <c r="AN655" s="2338"/>
      <c r="AO655" s="2338"/>
      <c r="AP655" s="2338"/>
      <c r="AQ655" s="2338"/>
      <c r="AR655" s="2338"/>
      <c r="AS655" s="2338"/>
      <c r="AT655" s="2338"/>
      <c r="AU655" s="2338"/>
      <c r="AV655" s="2338"/>
      <c r="AW655" s="2338"/>
      <c r="AX655" s="2338"/>
      <c r="AY655" s="2338"/>
      <c r="AZ655" s="2338"/>
      <c r="BA655" s="2338"/>
      <c r="BB655" s="2338"/>
      <c r="BC655" s="2338"/>
      <c r="BD655" s="2338"/>
      <c r="BE655" s="2338"/>
      <c r="BF655" s="2338"/>
      <c r="BG655" s="2338"/>
      <c r="BH655" s="2338"/>
      <c r="BI655" s="2338"/>
      <c r="BJ655" s="2338"/>
      <c r="BK655" s="2338"/>
      <c r="BL655" s="2338"/>
      <c r="BM655" s="2338"/>
      <c r="BN655" s="2338"/>
      <c r="BO655" s="2338"/>
      <c r="BP655" s="2338"/>
      <c r="BQ655" s="2338"/>
      <c r="BR655" s="2338"/>
      <c r="BS655" s="2338"/>
      <c r="BT655" s="2338"/>
      <c r="BU655" s="2338"/>
      <c r="BV655" s="2338"/>
      <c r="BW655" s="2338"/>
      <c r="BX655" s="2338"/>
      <c r="BY655" s="2338"/>
      <c r="BZ655" s="2338"/>
      <c r="CA655" s="2338"/>
      <c r="CB655" s="2338"/>
      <c r="CC655" s="2338"/>
      <c r="CD655" s="2338"/>
      <c r="CE655" s="2338"/>
      <c r="CF655" s="2338"/>
      <c r="CG655" s="2338"/>
      <c r="CH655" s="2338"/>
      <c r="CI655" s="2338"/>
      <c r="CJ655" s="2338"/>
      <c r="CK655" s="2338"/>
      <c r="CL655" s="2338"/>
      <c r="CM655" s="2338"/>
      <c r="CN655" s="2338"/>
      <c r="CO655" s="2338"/>
      <c r="CP655" s="2338"/>
      <c r="CQ655" s="2338"/>
      <c r="CR655" s="2338"/>
      <c r="CS655" s="2338"/>
      <c r="CT655" s="2338"/>
      <c r="CU655" s="2338"/>
      <c r="CV655" s="2338"/>
      <c r="CW655" s="2338"/>
      <c r="CX655" s="2338"/>
      <c r="CY655" s="2338"/>
      <c r="CZ655" s="2338"/>
      <c r="DA655" s="2338"/>
      <c r="DB655" s="2338"/>
      <c r="DC655" s="2338"/>
      <c r="DD655" s="2338"/>
      <c r="DE655" s="2338"/>
      <c r="DF655" s="2338"/>
      <c r="DG655" s="2338"/>
    </row>
    <row r="656" spans="1:111" s="1118" customFormat="1" ht="15" hidden="1" customHeight="1" outlineLevel="1">
      <c r="A656" s="2567"/>
      <c r="B656" s="3154"/>
      <c r="C656" s="3154"/>
      <c r="D656" s="3154"/>
      <c r="E656" s="3153"/>
      <c r="F656" s="2713" t="s">
        <v>2639</v>
      </c>
      <c r="G656" s="2712"/>
      <c r="H656" s="2737"/>
      <c r="I656" s="2737"/>
      <c r="J656" s="2737"/>
      <c r="K656" s="2737"/>
      <c r="L656" s="2737"/>
      <c r="M656" s="2737"/>
      <c r="N656" s="2737"/>
      <c r="O656" s="2737"/>
      <c r="P656" s="2737"/>
      <c r="Q656" s="2754"/>
      <c r="R656" s="2737"/>
      <c r="S656" s="2737"/>
      <c r="T656" s="2737"/>
      <c r="U656" s="2737"/>
      <c r="V656" s="2566"/>
      <c r="W656" s="2566"/>
      <c r="X656" s="2566"/>
      <c r="Y656" s="2566"/>
      <c r="Z656" s="2642"/>
      <c r="AA656" s="2642"/>
      <c r="AB656" s="2642"/>
      <c r="AC656" s="2642"/>
      <c r="AD656" s="2642"/>
      <c r="AE656" s="2642"/>
      <c r="AF656" s="2642"/>
      <c r="AG656" s="2642"/>
      <c r="AH656" s="2642"/>
      <c r="AI656" s="2642"/>
      <c r="AJ656" s="2566"/>
      <c r="AK656" s="2338"/>
      <c r="AL656" s="2338"/>
      <c r="AM656" s="2338"/>
      <c r="AN656" s="2338"/>
      <c r="AO656" s="2338"/>
      <c r="AP656" s="2338"/>
      <c r="AQ656" s="2338"/>
      <c r="AR656" s="2338"/>
      <c r="AS656" s="2338"/>
      <c r="AT656" s="2338"/>
      <c r="AU656" s="2338"/>
      <c r="AV656" s="2338"/>
      <c r="AW656" s="2338"/>
      <c r="AX656" s="2338"/>
      <c r="AY656" s="2338"/>
      <c r="AZ656" s="2338"/>
      <c r="BA656" s="2338"/>
      <c r="BB656" s="2338"/>
      <c r="BC656" s="2338"/>
      <c r="BD656" s="2338"/>
      <c r="BE656" s="2338"/>
      <c r="BF656" s="2338"/>
      <c r="BG656" s="2338"/>
      <c r="BH656" s="2338"/>
      <c r="BI656" s="2338"/>
      <c r="BJ656" s="2338"/>
      <c r="BK656" s="2338"/>
      <c r="BL656" s="2338"/>
      <c r="BM656" s="2338"/>
      <c r="BN656" s="2338"/>
      <c r="BO656" s="2338"/>
      <c r="BP656" s="2338"/>
      <c r="BQ656" s="2338"/>
      <c r="BR656" s="2338"/>
      <c r="BS656" s="2338"/>
      <c r="BT656" s="2338"/>
      <c r="BU656" s="2338"/>
      <c r="BV656" s="2338"/>
      <c r="BW656" s="2338"/>
      <c r="BX656" s="2338"/>
      <c r="BY656" s="2338"/>
      <c r="BZ656" s="2338"/>
      <c r="CA656" s="2338"/>
      <c r="CB656" s="2338"/>
      <c r="CC656" s="2338"/>
      <c r="CD656" s="2338"/>
      <c r="CE656" s="2338"/>
      <c r="CF656" s="2338"/>
      <c r="CG656" s="2338"/>
      <c r="CH656" s="2338"/>
      <c r="CI656" s="2338"/>
      <c r="CJ656" s="2338"/>
      <c r="CK656" s="2338"/>
      <c r="CL656" s="2338"/>
      <c r="CM656" s="2338"/>
      <c r="CN656" s="2338"/>
      <c r="CO656" s="2338"/>
      <c r="CP656" s="2338"/>
      <c r="CQ656" s="2338"/>
      <c r="CR656" s="2338"/>
      <c r="CS656" s="2338"/>
      <c r="CT656" s="2338"/>
      <c r="CU656" s="2338"/>
      <c r="CV656" s="2338"/>
      <c r="CW656" s="2338"/>
      <c r="CX656" s="2338"/>
      <c r="CY656" s="2338"/>
      <c r="CZ656" s="2338"/>
      <c r="DA656" s="2338"/>
      <c r="DB656" s="2338"/>
      <c r="DC656" s="2338"/>
      <c r="DD656" s="2338"/>
      <c r="DE656" s="2338"/>
      <c r="DF656" s="2338"/>
      <c r="DG656" s="2338"/>
    </row>
    <row r="657" spans="1:111" s="1118" customFormat="1" ht="15" hidden="1" customHeight="1" outlineLevel="1" thickBot="1">
      <c r="A657" s="2567"/>
      <c r="B657" s="3154"/>
      <c r="C657" s="3154"/>
      <c r="D657" s="3154"/>
      <c r="E657" s="3153"/>
      <c r="F657" s="2713" t="s">
        <v>3872</v>
      </c>
      <c r="G657" s="2384"/>
      <c r="H657" s="2843"/>
      <c r="I657" s="2843"/>
      <c r="J657" s="2843"/>
      <c r="K657" s="2843"/>
      <c r="L657" s="2843"/>
      <c r="M657" s="2843"/>
      <c r="N657" s="2843"/>
      <c r="O657" s="2843"/>
      <c r="P657" s="2843"/>
      <c r="Q657" s="2843"/>
      <c r="R657" s="2843"/>
      <c r="S657" s="2843"/>
      <c r="T657" s="2843"/>
      <c r="U657" s="2843"/>
      <c r="V657" s="2566"/>
      <c r="W657" s="2566"/>
      <c r="X657" s="2566"/>
      <c r="Y657" s="2566"/>
      <c r="Z657" s="2642"/>
      <c r="AA657" s="2642"/>
      <c r="AB657" s="2642"/>
      <c r="AC657" s="2642"/>
      <c r="AD657" s="2642"/>
      <c r="AE657" s="2642"/>
      <c r="AF657" s="2642"/>
      <c r="AG657" s="2642"/>
      <c r="AH657" s="2642"/>
      <c r="AI657" s="2642"/>
      <c r="AJ657" s="2566"/>
      <c r="AK657" s="2338"/>
      <c r="AL657" s="2338"/>
      <c r="AM657" s="2338"/>
      <c r="AN657" s="2338"/>
      <c r="AO657" s="2338"/>
      <c r="AP657" s="2338"/>
      <c r="AQ657" s="2338"/>
      <c r="AR657" s="2338"/>
      <c r="AS657" s="2338"/>
      <c r="AT657" s="2338"/>
      <c r="AU657" s="2338"/>
      <c r="AV657" s="2338"/>
      <c r="AW657" s="2338"/>
      <c r="AX657" s="2338"/>
      <c r="AY657" s="2338"/>
      <c r="AZ657" s="2338"/>
      <c r="BA657" s="2338"/>
      <c r="BB657" s="2338"/>
      <c r="BC657" s="2338"/>
      <c r="BD657" s="2338"/>
      <c r="BE657" s="2338"/>
      <c r="BF657" s="2338"/>
      <c r="BG657" s="2338"/>
      <c r="BH657" s="2338"/>
      <c r="BI657" s="2338"/>
      <c r="BJ657" s="2338"/>
      <c r="BK657" s="2338"/>
      <c r="BL657" s="2338"/>
      <c r="BM657" s="2338"/>
      <c r="BN657" s="2338"/>
      <c r="BO657" s="2338"/>
      <c r="BP657" s="2338"/>
      <c r="BQ657" s="2338"/>
      <c r="BR657" s="2338"/>
      <c r="BS657" s="2338"/>
      <c r="BT657" s="2338"/>
      <c r="BU657" s="2338"/>
      <c r="BV657" s="2338"/>
      <c r="BW657" s="2338"/>
      <c r="BX657" s="2338"/>
      <c r="BY657" s="2338"/>
      <c r="BZ657" s="2338"/>
      <c r="CA657" s="2338"/>
      <c r="CB657" s="2338"/>
      <c r="CC657" s="2338"/>
      <c r="CD657" s="2338"/>
      <c r="CE657" s="2338"/>
      <c r="CF657" s="2338"/>
      <c r="CG657" s="2338"/>
      <c r="CH657" s="2338"/>
      <c r="CI657" s="2338"/>
      <c r="CJ657" s="2338"/>
      <c r="CK657" s="2338"/>
      <c r="CL657" s="2338"/>
      <c r="CM657" s="2338"/>
      <c r="CN657" s="2338"/>
      <c r="CO657" s="2338"/>
      <c r="CP657" s="2338"/>
      <c r="CQ657" s="2338"/>
      <c r="CR657" s="2338"/>
      <c r="CS657" s="2338"/>
      <c r="CT657" s="2338"/>
      <c r="CU657" s="2338"/>
      <c r="CV657" s="2338"/>
      <c r="CW657" s="2338"/>
      <c r="CX657" s="2338"/>
      <c r="CY657" s="2338"/>
      <c r="CZ657" s="2338"/>
      <c r="DA657" s="2338"/>
      <c r="DB657" s="2338"/>
      <c r="DC657" s="2338"/>
      <c r="DD657" s="2338"/>
      <c r="DE657" s="2338"/>
      <c r="DF657" s="2338"/>
      <c r="DG657" s="2338"/>
    </row>
    <row r="658" spans="1:111" s="1118" customFormat="1" ht="15" hidden="1" customHeight="1" outlineLevel="1">
      <c r="A658" s="2567"/>
      <c r="B658" s="3160" t="s">
        <v>3984</v>
      </c>
      <c r="C658" s="3160"/>
      <c r="D658" s="3160"/>
      <c r="E658" s="2708"/>
      <c r="F658" s="2709"/>
      <c r="G658" s="2333"/>
      <c r="H658" s="2844"/>
      <c r="I658" s="2739"/>
      <c r="J658" s="2739"/>
      <c r="K658" s="2844"/>
      <c r="L658" s="2844"/>
      <c r="M658" s="2844"/>
      <c r="N658" s="2739"/>
      <c r="O658" s="2739"/>
      <c r="P658" s="2844"/>
      <c r="Q658" s="2844"/>
      <c r="R658" s="2844"/>
      <c r="S658" s="2739"/>
      <c r="T658" s="2739"/>
      <c r="U658" s="2649"/>
      <c r="V658" s="2566"/>
      <c r="W658" s="2566"/>
      <c r="X658" s="2566"/>
      <c r="Y658" s="2566"/>
      <c r="Z658" s="2642"/>
      <c r="AA658" s="2642"/>
      <c r="AB658" s="2642"/>
      <c r="AC658" s="2642"/>
      <c r="AD658" s="2642"/>
      <c r="AE658" s="2642"/>
      <c r="AF658" s="2642"/>
      <c r="AG658" s="2642"/>
      <c r="AH658" s="2642"/>
      <c r="AI658" s="2642"/>
      <c r="AJ658" s="2566"/>
      <c r="AK658" s="2338"/>
      <c r="AL658" s="2338"/>
      <c r="AM658" s="2338"/>
      <c r="AN658" s="2338"/>
      <c r="AO658" s="2338"/>
      <c r="AP658" s="2338"/>
      <c r="AQ658" s="2338"/>
      <c r="AR658" s="2338"/>
      <c r="AS658" s="2338"/>
      <c r="AT658" s="2338"/>
      <c r="AU658" s="2338"/>
      <c r="AV658" s="2338"/>
      <c r="AW658" s="2338"/>
      <c r="AX658" s="2338"/>
      <c r="AY658" s="2338"/>
      <c r="AZ658" s="2338"/>
      <c r="BA658" s="2338"/>
      <c r="BB658" s="2338"/>
      <c r="BC658" s="2338"/>
      <c r="BD658" s="2338"/>
      <c r="BE658" s="2338"/>
      <c r="BF658" s="2338"/>
      <c r="BG658" s="2338"/>
      <c r="BH658" s="2338"/>
      <c r="BI658" s="2338"/>
      <c r="BJ658" s="2338"/>
      <c r="BK658" s="2338"/>
      <c r="BL658" s="2338"/>
      <c r="BM658" s="2338"/>
      <c r="BN658" s="2338"/>
      <c r="BO658" s="2338"/>
      <c r="BP658" s="2338"/>
      <c r="BQ658" s="2338"/>
      <c r="BR658" s="2338"/>
      <c r="BS658" s="2338"/>
      <c r="BT658" s="2338"/>
      <c r="BU658" s="2338"/>
      <c r="BV658" s="2338"/>
      <c r="BW658" s="2338"/>
      <c r="BX658" s="2338"/>
      <c r="BY658" s="2338"/>
      <c r="BZ658" s="2338"/>
      <c r="CA658" s="2338"/>
      <c r="CB658" s="2338"/>
      <c r="CC658" s="2338"/>
      <c r="CD658" s="2338"/>
      <c r="CE658" s="2338"/>
      <c r="CF658" s="2338"/>
      <c r="CG658" s="2338"/>
      <c r="CH658" s="2338"/>
      <c r="CI658" s="2338"/>
      <c r="CJ658" s="2338"/>
      <c r="CK658" s="2338"/>
      <c r="CL658" s="2338"/>
      <c r="CM658" s="2338"/>
      <c r="CN658" s="2338"/>
      <c r="CO658" s="2338"/>
      <c r="CP658" s="2338"/>
      <c r="CQ658" s="2338"/>
      <c r="CR658" s="2338"/>
      <c r="CS658" s="2338"/>
      <c r="CT658" s="2338"/>
      <c r="CU658" s="2338"/>
      <c r="CV658" s="2338"/>
      <c r="CW658" s="2338"/>
      <c r="CX658" s="2338"/>
      <c r="CY658" s="2338"/>
      <c r="CZ658" s="2338"/>
      <c r="DA658" s="2338"/>
      <c r="DB658" s="2338"/>
      <c r="DC658" s="2338"/>
      <c r="DD658" s="2338"/>
      <c r="DE658" s="2338"/>
      <c r="DF658" s="2338"/>
      <c r="DG658" s="2338"/>
    </row>
    <row r="659" spans="1:111" s="1118" customFormat="1" ht="15" customHeight="1" collapsed="1">
      <c r="A659" s="2331"/>
      <c r="B659" s="2331"/>
      <c r="C659" s="2331"/>
      <c r="D659" s="2331"/>
      <c r="E659" s="2331"/>
      <c r="F659" s="2334"/>
      <c r="G659" s="2334"/>
      <c r="H659" s="2752"/>
      <c r="I659" s="2581"/>
      <c r="J659" s="2750"/>
      <c r="K659" s="2447"/>
      <c r="L659" s="2447"/>
      <c r="M659" s="2753"/>
      <c r="N659" s="2581"/>
      <c r="O659" s="2750"/>
      <c r="P659" s="2447"/>
      <c r="Q659" s="2447"/>
      <c r="R659" s="2753"/>
      <c r="S659" s="2581"/>
      <c r="T659" s="2750"/>
      <c r="U659" s="2331"/>
      <c r="V659" s="2338"/>
      <c r="W659" s="2338"/>
      <c r="X659" s="2338"/>
      <c r="Y659" s="2338"/>
      <c r="Z659"/>
      <c r="AA659"/>
      <c r="AB659"/>
      <c r="AC659"/>
      <c r="AD659"/>
      <c r="AE659"/>
      <c r="AF659"/>
      <c r="AG659"/>
      <c r="AH659"/>
      <c r="AI659"/>
      <c r="AJ659" s="2338"/>
      <c r="AK659" s="2338"/>
      <c r="AL659" s="2338"/>
      <c r="AM659" s="2338"/>
      <c r="AN659" s="2338"/>
      <c r="AO659" s="2338"/>
      <c r="AP659" s="2338"/>
      <c r="AQ659" s="2338"/>
      <c r="AR659" s="2338"/>
      <c r="AS659" s="2338"/>
      <c r="AT659" s="2338"/>
      <c r="AU659" s="2338"/>
      <c r="AV659" s="2338"/>
      <c r="AW659" s="2338"/>
      <c r="AX659" s="2338"/>
      <c r="AY659" s="2338"/>
      <c r="AZ659" s="2338"/>
      <c r="BA659" s="2338"/>
      <c r="BB659" s="2338"/>
      <c r="BC659" s="2338"/>
      <c r="BD659" s="2338"/>
      <c r="BE659" s="2338"/>
      <c r="BF659" s="2338"/>
      <c r="BG659" s="2338"/>
      <c r="BH659" s="2338"/>
      <c r="BI659" s="2338"/>
      <c r="BJ659" s="2338"/>
      <c r="BK659" s="2338"/>
      <c r="BL659" s="2338"/>
      <c r="BM659" s="2338"/>
      <c r="BN659" s="2338"/>
      <c r="BO659" s="2338"/>
      <c r="BP659" s="2338"/>
      <c r="BQ659" s="2338"/>
      <c r="BR659" s="2338"/>
      <c r="BS659" s="2338"/>
      <c r="BT659" s="2338"/>
      <c r="BU659" s="2338"/>
      <c r="BV659" s="2338"/>
      <c r="BW659" s="2338"/>
      <c r="BX659" s="2338"/>
      <c r="BY659" s="2338"/>
      <c r="BZ659" s="2338"/>
      <c r="CA659" s="2338"/>
      <c r="CB659" s="2338"/>
      <c r="CC659" s="2338"/>
      <c r="CD659" s="2338"/>
      <c r="CE659" s="2338"/>
      <c r="CF659" s="2338"/>
      <c r="CG659" s="2338"/>
      <c r="CH659" s="2338"/>
      <c r="CI659" s="2338"/>
      <c r="CJ659" s="2338"/>
      <c r="CK659" s="2338"/>
      <c r="CL659" s="2338"/>
      <c r="CM659" s="2338"/>
      <c r="CN659" s="2338"/>
      <c r="CO659" s="2338"/>
      <c r="CP659" s="2338"/>
      <c r="CQ659" s="2338"/>
      <c r="CR659" s="2338"/>
      <c r="CS659" s="2338"/>
      <c r="CT659" s="2338"/>
      <c r="CU659" s="2338"/>
      <c r="CV659" s="2338"/>
      <c r="CW659" s="2338"/>
      <c r="CX659" s="2338"/>
      <c r="CY659" s="2338"/>
      <c r="CZ659" s="2338"/>
      <c r="DA659" s="2338"/>
      <c r="DB659" s="2338"/>
      <c r="DC659" s="2338"/>
      <c r="DD659" s="2338"/>
      <c r="DE659" s="2338"/>
      <c r="DF659" s="2338"/>
      <c r="DG659" s="2338"/>
    </row>
    <row r="660" spans="1:111" s="1118" customFormat="1" ht="12.75" customHeight="1">
      <c r="A660" s="2331"/>
      <c r="B660" s="2331"/>
      <c r="C660" s="2331"/>
      <c r="D660" s="2331"/>
      <c r="E660" s="2331"/>
      <c r="F660" s="2334"/>
      <c r="G660" s="2334"/>
      <c r="H660" s="2447"/>
      <c r="I660" s="2581"/>
      <c r="J660" s="2581"/>
      <c r="K660" s="2447"/>
      <c r="L660" s="2447"/>
      <c r="M660" s="2447"/>
      <c r="N660" s="2581"/>
      <c r="O660" s="2581"/>
      <c r="P660" s="2447"/>
      <c r="Q660" s="2447"/>
      <c r="R660" s="2447"/>
      <c r="S660" s="2581"/>
      <c r="T660" s="2581"/>
      <c r="U660" s="2331"/>
      <c r="V660" s="2338"/>
      <c r="W660" s="2338"/>
      <c r="X660" s="2338"/>
      <c r="Y660" s="2338"/>
      <c r="Z660"/>
      <c r="AA660"/>
      <c r="AB660"/>
      <c r="AC660"/>
      <c r="AD660"/>
      <c r="AE660"/>
      <c r="AF660"/>
      <c r="AG660"/>
      <c r="AH660"/>
      <c r="AI660"/>
      <c r="AJ660" s="2338"/>
      <c r="AK660" s="2338"/>
      <c r="AL660" s="2338"/>
      <c r="AM660" s="2338"/>
      <c r="AN660" s="2338"/>
      <c r="AO660" s="2338"/>
      <c r="AP660" s="2338"/>
      <c r="AQ660" s="2338"/>
      <c r="AR660" s="2338"/>
      <c r="AS660" s="2338"/>
      <c r="AT660" s="2338"/>
      <c r="AU660" s="2338"/>
      <c r="AV660" s="2338"/>
      <c r="AW660" s="2338"/>
      <c r="AX660" s="2338"/>
      <c r="AY660" s="2338"/>
      <c r="AZ660" s="2338"/>
      <c r="BA660" s="2338"/>
      <c r="BB660" s="2338"/>
      <c r="BC660" s="2338"/>
      <c r="BD660" s="2338"/>
      <c r="BE660" s="2338"/>
      <c r="BF660" s="2338"/>
      <c r="BG660" s="2338"/>
      <c r="BH660" s="2338"/>
      <c r="BI660" s="2338"/>
      <c r="BJ660" s="2338"/>
      <c r="BK660" s="2338"/>
      <c r="BL660" s="2338"/>
      <c r="BM660" s="2338"/>
      <c r="BN660" s="2338"/>
      <c r="BO660" s="2338"/>
      <c r="BP660" s="2338"/>
      <c r="BQ660" s="2338"/>
      <c r="BR660" s="2338"/>
      <c r="BS660" s="2338"/>
      <c r="BT660" s="2338"/>
      <c r="BU660" s="2338"/>
      <c r="BV660" s="2338"/>
      <c r="BW660" s="2338"/>
      <c r="BX660" s="2338"/>
      <c r="BY660" s="2338"/>
      <c r="BZ660" s="2338"/>
      <c r="CA660" s="2338"/>
      <c r="CB660" s="2338"/>
      <c r="CC660" s="2338"/>
      <c r="CD660" s="2338"/>
      <c r="CE660" s="2338"/>
      <c r="CF660" s="2338"/>
      <c r="CG660" s="2338"/>
      <c r="CH660" s="2338"/>
      <c r="CI660" s="2338"/>
      <c r="CJ660" s="2338"/>
      <c r="CK660" s="2338"/>
      <c r="CL660" s="2338"/>
      <c r="CM660" s="2338"/>
      <c r="CN660" s="2338"/>
      <c r="CO660" s="2338"/>
      <c r="CP660" s="2338"/>
      <c r="CQ660" s="2338"/>
      <c r="CR660" s="2338"/>
      <c r="CS660" s="2338"/>
      <c r="CT660" s="2338"/>
      <c r="CU660" s="2338"/>
      <c r="CV660" s="2338"/>
      <c r="CW660" s="2338"/>
      <c r="CX660" s="2338"/>
      <c r="CY660" s="2338"/>
      <c r="CZ660" s="2338"/>
      <c r="DA660" s="2338"/>
      <c r="DB660" s="2338"/>
      <c r="DC660" s="2338"/>
      <c r="DD660" s="2338"/>
      <c r="DE660" s="2338"/>
      <c r="DF660" s="2338"/>
      <c r="DG660" s="2338"/>
    </row>
    <row r="661" spans="1:111" s="1118" customFormat="1" ht="15" customHeight="1">
      <c r="A661" s="2331"/>
      <c r="B661" s="2331"/>
      <c r="C661" s="2331"/>
      <c r="D661" s="2331"/>
      <c r="E661" s="2331"/>
      <c r="F661" s="2334"/>
      <c r="G661" s="2334"/>
      <c r="H661" s="2447"/>
      <c r="I661" s="2581"/>
      <c r="J661" s="2581"/>
      <c r="K661" s="2447"/>
      <c r="L661" s="2447"/>
      <c r="M661" s="2447"/>
      <c r="N661" s="2581"/>
      <c r="O661" s="2581"/>
      <c r="P661" s="2447"/>
      <c r="Q661" s="2447"/>
      <c r="R661" s="2447"/>
      <c r="S661" s="2581"/>
      <c r="T661" s="2581"/>
      <c r="U661" s="2331"/>
      <c r="V661" s="2338"/>
      <c r="W661" s="2338"/>
      <c r="X661" s="2338"/>
      <c r="Y661" s="2338"/>
      <c r="Z661"/>
      <c r="AA661"/>
      <c r="AB661"/>
      <c r="AC661"/>
      <c r="AD661"/>
      <c r="AE661"/>
      <c r="AF661"/>
      <c r="AG661"/>
      <c r="AH661"/>
      <c r="AI661"/>
      <c r="AJ661" s="2338"/>
      <c r="AK661" s="2338"/>
      <c r="AL661" s="2338"/>
      <c r="AM661" s="2338"/>
      <c r="AN661" s="2338"/>
      <c r="AO661" s="2338"/>
      <c r="AP661" s="2338"/>
      <c r="AQ661" s="2338"/>
      <c r="AR661" s="2338"/>
      <c r="AS661" s="2338"/>
      <c r="AT661" s="2338"/>
      <c r="AU661" s="2338"/>
      <c r="AV661" s="2338"/>
      <c r="AW661" s="2338"/>
      <c r="AX661" s="2338"/>
      <c r="AY661" s="2338"/>
      <c r="AZ661" s="2338"/>
      <c r="BA661" s="2338"/>
      <c r="BB661" s="2338"/>
      <c r="BC661" s="2338"/>
      <c r="BD661" s="2338"/>
      <c r="BE661" s="2338"/>
      <c r="BF661" s="2338"/>
      <c r="BG661" s="2338"/>
      <c r="BH661" s="2338"/>
      <c r="BI661" s="2338"/>
      <c r="BJ661" s="2338"/>
      <c r="BK661" s="2338"/>
      <c r="BL661" s="2338"/>
      <c r="BM661" s="2338"/>
      <c r="BN661" s="2338"/>
      <c r="BO661" s="2338"/>
      <c r="BP661" s="2338"/>
      <c r="BQ661" s="2338"/>
      <c r="BR661" s="2338"/>
      <c r="BS661" s="2338"/>
      <c r="BT661" s="2338"/>
      <c r="BU661" s="2338"/>
      <c r="BV661" s="2338"/>
      <c r="BW661" s="2338"/>
      <c r="BX661" s="2338"/>
      <c r="BY661" s="2338"/>
      <c r="BZ661" s="2338"/>
      <c r="CA661" s="2338"/>
      <c r="CB661" s="2338"/>
      <c r="CC661" s="2338"/>
      <c r="CD661" s="2338"/>
      <c r="CE661" s="2338"/>
      <c r="CF661" s="2338"/>
      <c r="CG661" s="2338"/>
      <c r="CH661" s="2338"/>
      <c r="CI661" s="2338"/>
      <c r="CJ661" s="2338"/>
      <c r="CK661" s="2338"/>
      <c r="CL661" s="2338"/>
      <c r="CM661" s="2338"/>
      <c r="CN661" s="2338"/>
      <c r="CO661" s="2338"/>
      <c r="CP661" s="2338"/>
      <c r="CQ661" s="2338"/>
      <c r="CR661" s="2338"/>
      <c r="CS661" s="2338"/>
      <c r="CT661" s="2338"/>
      <c r="CU661" s="2338"/>
      <c r="CV661" s="2338"/>
      <c r="CW661" s="2338"/>
      <c r="CX661" s="2338"/>
      <c r="CY661" s="2338"/>
      <c r="CZ661" s="2338"/>
      <c r="DA661" s="2338"/>
      <c r="DB661" s="2338"/>
      <c r="DC661" s="2338"/>
      <c r="DD661" s="2338"/>
      <c r="DE661" s="2338"/>
      <c r="DF661" s="2338"/>
      <c r="DG661" s="2338"/>
    </row>
    <row r="662" spans="1:111" s="1118" customFormat="1" ht="15" customHeight="1" thickBot="1">
      <c r="F662" s="1119"/>
      <c r="G662" s="1119"/>
      <c r="H662" s="2447"/>
      <c r="I662" s="2448"/>
      <c r="J662" s="2439"/>
      <c r="K662" s="2439"/>
      <c r="L662" s="2439"/>
      <c r="M662" s="2439"/>
      <c r="N662" s="2439"/>
      <c r="O662" s="2439"/>
      <c r="P662" s="2439"/>
      <c r="Q662" s="2439"/>
      <c r="R662" s="2439"/>
      <c r="S662" s="2439"/>
      <c r="T662" s="2439"/>
      <c r="V662" s="2338"/>
      <c r="W662" s="2338"/>
      <c r="X662" s="2338"/>
      <c r="Y662" s="2338"/>
      <c r="Z662"/>
      <c r="AA662"/>
      <c r="AB662"/>
      <c r="AC662"/>
      <c r="AD662"/>
      <c r="AE662"/>
      <c r="AF662"/>
      <c r="AG662"/>
      <c r="AH662"/>
      <c r="AI662"/>
      <c r="AJ662" s="2338"/>
      <c r="AK662" s="2338"/>
      <c r="AL662" s="2338"/>
      <c r="AM662" s="2338"/>
      <c r="AN662" s="2338"/>
      <c r="AO662" s="2338"/>
      <c r="AP662" s="2338"/>
      <c r="AQ662" s="2338"/>
      <c r="AR662" s="2338"/>
      <c r="AS662" s="2338"/>
      <c r="AT662" s="2338"/>
      <c r="AU662" s="2338"/>
      <c r="AV662" s="2338"/>
      <c r="AW662" s="2338"/>
      <c r="AX662" s="2338"/>
      <c r="AY662" s="2338"/>
      <c r="AZ662" s="2338"/>
      <c r="BA662" s="2338"/>
      <c r="BB662" s="2338"/>
      <c r="BC662" s="2338"/>
      <c r="BD662" s="2338"/>
      <c r="BE662" s="2338"/>
      <c r="BF662" s="2338"/>
      <c r="BG662" s="2338"/>
      <c r="BH662" s="2338"/>
      <c r="BI662" s="2338"/>
      <c r="BJ662" s="2338"/>
      <c r="BK662" s="2338"/>
      <c r="BL662" s="2338"/>
      <c r="BM662" s="2338"/>
      <c r="BN662" s="2338"/>
      <c r="BO662" s="2338"/>
      <c r="BP662" s="2338"/>
      <c r="BQ662" s="2338"/>
      <c r="BR662" s="2338"/>
      <c r="BS662" s="2338"/>
      <c r="BT662" s="2338"/>
      <c r="BU662" s="2338"/>
      <c r="BV662" s="2338"/>
      <c r="BW662" s="2338"/>
      <c r="BX662" s="2338"/>
      <c r="BY662" s="2338"/>
      <c r="BZ662" s="2338"/>
      <c r="CA662" s="2338"/>
      <c r="CB662" s="2338"/>
      <c r="CC662" s="2338"/>
      <c r="CD662" s="2338"/>
      <c r="CE662" s="2338"/>
      <c r="CF662" s="2338"/>
      <c r="CG662" s="2338"/>
      <c r="CH662" s="2338"/>
      <c r="CI662" s="2338"/>
      <c r="CJ662" s="2338"/>
      <c r="CK662" s="2338"/>
      <c r="CL662" s="2338"/>
      <c r="CM662" s="2338"/>
      <c r="CN662" s="2338"/>
      <c r="CO662" s="2338"/>
      <c r="CP662" s="2338"/>
      <c r="CQ662" s="2338"/>
      <c r="CR662" s="2338"/>
      <c r="CS662" s="2338"/>
      <c r="CT662" s="2338"/>
      <c r="CU662" s="2338"/>
      <c r="CV662" s="2338"/>
      <c r="CW662" s="2338"/>
      <c r="CX662" s="2338"/>
      <c r="CY662" s="2338"/>
      <c r="CZ662" s="2338"/>
      <c r="DA662" s="2338"/>
      <c r="DB662" s="2338"/>
      <c r="DC662" s="2338"/>
      <c r="DD662" s="2338"/>
      <c r="DE662" s="2338"/>
      <c r="DF662" s="2338"/>
      <c r="DG662" s="2338"/>
    </row>
    <row r="663" spans="1:111" s="1118" customFormat="1" ht="15.75" customHeight="1" thickBot="1">
      <c r="A663" s="3080" t="s">
        <v>3874</v>
      </c>
      <c r="B663" s="3081"/>
      <c r="C663" s="3081"/>
      <c r="D663" s="3081"/>
      <c r="E663" s="3081"/>
      <c r="F663" s="3082"/>
      <c r="G663" s="3149" t="s">
        <v>3875</v>
      </c>
      <c r="H663" s="3150"/>
      <c r="I663" s="3150"/>
      <c r="J663" s="3150"/>
      <c r="K663" s="3150"/>
      <c r="L663" s="3150"/>
      <c r="M663" s="3150"/>
      <c r="N663" s="3150"/>
      <c r="O663" s="3150"/>
      <c r="P663" s="3150"/>
      <c r="Q663" s="3150"/>
      <c r="R663" s="3150"/>
      <c r="S663" s="3150"/>
      <c r="T663" s="3150"/>
      <c r="U663" s="3151"/>
      <c r="V663" s="2338"/>
      <c r="W663" s="2338"/>
      <c r="X663" s="2338"/>
      <c r="Y663" s="2338"/>
      <c r="Z663"/>
      <c r="AA663"/>
      <c r="AB663"/>
      <c r="AC663"/>
      <c r="AD663"/>
      <c r="AE663"/>
      <c r="AF663"/>
      <c r="AG663"/>
      <c r="AH663"/>
      <c r="AI663"/>
      <c r="AJ663" s="2338"/>
      <c r="AK663" s="2338"/>
      <c r="AL663" s="2338"/>
      <c r="AM663" s="2338"/>
      <c r="AN663" s="2338"/>
      <c r="AO663" s="2338"/>
      <c r="AP663" s="2338"/>
      <c r="AQ663" s="2338"/>
      <c r="AR663" s="2338"/>
      <c r="AS663" s="2338"/>
      <c r="AT663" s="2338"/>
      <c r="AU663" s="2338"/>
      <c r="AV663" s="2338"/>
      <c r="AW663" s="2338"/>
      <c r="AX663" s="2338"/>
      <c r="AY663" s="2338"/>
      <c r="AZ663" s="2338"/>
      <c r="BA663" s="2338"/>
      <c r="BB663" s="2338"/>
      <c r="BC663" s="2338"/>
      <c r="BD663" s="2338"/>
      <c r="BE663" s="2338"/>
      <c r="BF663" s="2338"/>
      <c r="BG663" s="2338"/>
      <c r="BH663" s="2338"/>
      <c r="BI663" s="2338"/>
      <c r="BJ663" s="2338"/>
      <c r="BK663" s="2338"/>
      <c r="BL663" s="2338"/>
      <c r="BM663" s="2338"/>
      <c r="BN663" s="2338"/>
      <c r="BO663" s="2338"/>
      <c r="BP663" s="2338"/>
      <c r="BQ663" s="2338"/>
      <c r="BR663" s="2338"/>
      <c r="BS663" s="2338"/>
      <c r="BT663" s="2338"/>
      <c r="BU663" s="2338"/>
      <c r="BV663" s="2338"/>
      <c r="BW663" s="2338"/>
      <c r="BX663" s="2338"/>
      <c r="BY663" s="2338"/>
      <c r="BZ663" s="2338"/>
      <c r="CA663" s="2338"/>
      <c r="CB663" s="2338"/>
      <c r="CC663" s="2338"/>
      <c r="CD663" s="2338"/>
      <c r="CE663" s="2338"/>
      <c r="CF663" s="2338"/>
      <c r="CG663" s="2338"/>
      <c r="CH663" s="2338"/>
      <c r="CI663" s="2338"/>
      <c r="CJ663" s="2338"/>
      <c r="CK663" s="2338"/>
      <c r="CL663" s="2338"/>
      <c r="CM663" s="2338"/>
      <c r="CN663" s="2338"/>
      <c r="CO663" s="2338"/>
      <c r="CP663" s="2338"/>
      <c r="CQ663" s="2338"/>
      <c r="CR663" s="2338"/>
      <c r="CS663" s="2338"/>
      <c r="CT663" s="2338"/>
      <c r="CU663" s="2338"/>
      <c r="CV663" s="2338"/>
      <c r="CW663" s="2338"/>
      <c r="CX663" s="2338"/>
      <c r="CY663" s="2338"/>
      <c r="CZ663" s="2338"/>
      <c r="DA663" s="2338"/>
      <c r="DB663" s="2338"/>
      <c r="DC663" s="2338"/>
      <c r="DD663" s="2338"/>
      <c r="DE663" s="2338"/>
      <c r="DF663" s="2338"/>
      <c r="DG663" s="2338"/>
    </row>
    <row r="664" spans="1:111" s="1118" customFormat="1" ht="29.25" customHeight="1">
      <c r="A664" s="3007" t="s">
        <v>0</v>
      </c>
      <c r="B664" s="3064" t="s">
        <v>3849</v>
      </c>
      <c r="C664" s="3065"/>
      <c r="D664" s="3065"/>
      <c r="E664" s="3043" t="s">
        <v>3876</v>
      </c>
      <c r="F664" s="3010" t="s">
        <v>3867</v>
      </c>
      <c r="G664" s="3003" t="s">
        <v>3854</v>
      </c>
      <c r="H664" s="3133" t="s">
        <v>3868</v>
      </c>
      <c r="I664" s="3134"/>
      <c r="J664" s="3134"/>
      <c r="K664" s="3135"/>
      <c r="L664" s="2517"/>
      <c r="M664" s="3133" t="s">
        <v>3869</v>
      </c>
      <c r="N664" s="3134"/>
      <c r="O664" s="3134"/>
      <c r="P664" s="3135"/>
      <c r="Q664" s="2587"/>
      <c r="R664" s="3155" t="s">
        <v>3870</v>
      </c>
      <c r="S664" s="3156"/>
      <c r="T664" s="3156"/>
      <c r="U664" s="3157"/>
      <c r="V664" s="3136" t="s">
        <v>3978</v>
      </c>
      <c r="W664" s="3137"/>
      <c r="X664" s="3137"/>
      <c r="Y664" s="3138"/>
      <c r="Z664" s="3132" t="s">
        <v>3858</v>
      </c>
      <c r="AA664" s="3132"/>
      <c r="AB664" s="3132"/>
      <c r="AC664" s="3132"/>
      <c r="AD664" s="3121" t="s">
        <v>3979</v>
      </c>
      <c r="AE664" s="3121"/>
      <c r="AF664" s="3121"/>
      <c r="AG664" s="3121"/>
      <c r="AH664" s="2496" t="s">
        <v>3980</v>
      </c>
      <c r="AI664" s="2500" t="s">
        <v>3974</v>
      </c>
      <c r="AJ664" s="2500" t="s">
        <v>3975</v>
      </c>
      <c r="AK664" s="2338"/>
      <c r="AL664" s="2338"/>
      <c r="AM664" s="2338"/>
      <c r="AN664" s="2338"/>
      <c r="AO664" s="2338"/>
      <c r="AP664" s="2338"/>
      <c r="AQ664" s="2338"/>
      <c r="AR664" s="2338"/>
      <c r="AS664" s="2338"/>
      <c r="AT664" s="2338"/>
      <c r="AU664" s="2338"/>
      <c r="AV664" s="2338"/>
      <c r="AW664" s="2338"/>
      <c r="AX664" s="2338"/>
      <c r="AY664" s="2338"/>
      <c r="AZ664" s="2338"/>
      <c r="BA664" s="2338"/>
      <c r="BB664" s="2338"/>
      <c r="BC664" s="2338"/>
      <c r="BD664" s="2338"/>
      <c r="BE664" s="2338"/>
      <c r="BF664" s="2338"/>
      <c r="BG664" s="2338"/>
      <c r="BH664" s="2338"/>
      <c r="BI664" s="2338"/>
      <c r="BJ664" s="2338"/>
      <c r="BK664" s="2338"/>
      <c r="BL664" s="2338"/>
      <c r="BM664" s="2338"/>
      <c r="BN664" s="2338"/>
      <c r="BO664" s="2338"/>
      <c r="BP664" s="2338"/>
      <c r="BQ664" s="2338"/>
      <c r="BR664" s="2338"/>
      <c r="BS664" s="2338"/>
      <c r="BT664" s="2338"/>
      <c r="BU664" s="2338"/>
      <c r="BV664" s="2338"/>
      <c r="BW664" s="2338"/>
      <c r="BX664" s="2338"/>
      <c r="BY664" s="2338"/>
      <c r="BZ664" s="2338"/>
      <c r="CA664" s="2338"/>
      <c r="CB664" s="2338"/>
      <c r="CC664" s="2338"/>
      <c r="CD664" s="2338"/>
      <c r="CE664" s="2338"/>
      <c r="CF664" s="2338"/>
      <c r="CG664" s="2338"/>
      <c r="CH664" s="2338"/>
      <c r="CI664" s="2338"/>
      <c r="CJ664" s="2338"/>
      <c r="CK664" s="2338"/>
      <c r="CL664" s="2338"/>
      <c r="CM664" s="2338"/>
      <c r="CN664" s="2338"/>
      <c r="CO664" s="2338"/>
      <c r="CP664" s="2338"/>
      <c r="CQ664" s="2338"/>
      <c r="CR664" s="2338"/>
      <c r="CS664" s="2338"/>
      <c r="CT664" s="2338"/>
      <c r="CU664" s="2338"/>
      <c r="CV664" s="2338"/>
      <c r="CW664" s="2338"/>
      <c r="CX664" s="2338"/>
      <c r="CY664" s="2338"/>
      <c r="CZ664" s="2338"/>
      <c r="DA664" s="2338"/>
      <c r="DB664" s="2338"/>
      <c r="DC664" s="2338"/>
      <c r="DD664" s="2338"/>
      <c r="DE664" s="2338"/>
      <c r="DF664" s="2338"/>
      <c r="DG664" s="2338"/>
    </row>
    <row r="665" spans="1:111" s="1118" customFormat="1" ht="78.75" customHeight="1" thickBot="1">
      <c r="A665" s="3072"/>
      <c r="B665" s="3066"/>
      <c r="C665" s="3026"/>
      <c r="D665" s="3026"/>
      <c r="E665" s="3073"/>
      <c r="F665" s="3030"/>
      <c r="G665" s="3076"/>
      <c r="H665" s="2471">
        <f>H11</f>
        <v>2015</v>
      </c>
      <c r="I665" s="2471">
        <f>I11</f>
        <v>2016</v>
      </c>
      <c r="J665" s="2471">
        <f>J11</f>
        <v>2017</v>
      </c>
      <c r="K665" s="2471" t="str">
        <f>K600</f>
        <v>План (в случае отсутствия факта за 3 года)</v>
      </c>
      <c r="L665" s="2518"/>
      <c r="M665" s="2471">
        <f>H665</f>
        <v>2015</v>
      </c>
      <c r="N665" s="2471">
        <f>I665</f>
        <v>2016</v>
      </c>
      <c r="O665" s="2471">
        <f>J665</f>
        <v>2017</v>
      </c>
      <c r="P665" s="2471" t="str">
        <f>P600</f>
        <v>План (в случае отсутствия факта за 3 года)</v>
      </c>
      <c r="Q665" s="2593"/>
      <c r="R665" s="2468">
        <f>H665</f>
        <v>2015</v>
      </c>
      <c r="S665" s="2468">
        <f>I665</f>
        <v>2016</v>
      </c>
      <c r="T665" s="2468">
        <f>J665</f>
        <v>2017</v>
      </c>
      <c r="U665" s="2468" t="str">
        <f>U600</f>
        <v>План (в случае отсутствия факта за 3 года)</v>
      </c>
      <c r="V665" s="2496">
        <f>R665</f>
        <v>2015</v>
      </c>
      <c r="W665" s="2496">
        <f>S665</f>
        <v>2016</v>
      </c>
      <c r="X665" s="2496">
        <f>T665</f>
        <v>2017</v>
      </c>
      <c r="Y665" s="2496" t="s">
        <v>3925</v>
      </c>
      <c r="Z665" s="2588">
        <v>2016</v>
      </c>
      <c r="AA665" s="2588">
        <v>2017</v>
      </c>
      <c r="AB665" s="2588">
        <v>2018</v>
      </c>
      <c r="AC665" s="2588">
        <v>2019</v>
      </c>
      <c r="AD665" s="2711">
        <f>V665</f>
        <v>2015</v>
      </c>
      <c r="AE665" s="2711">
        <f>W665</f>
        <v>2016</v>
      </c>
      <c r="AF665" s="2711">
        <f>X665</f>
        <v>2017</v>
      </c>
      <c r="AG665" s="2711" t="str">
        <f>Y665</f>
        <v>План (в случае отсутствия факта за 3 года)</v>
      </c>
      <c r="AH665" s="2497" t="s">
        <v>3981</v>
      </c>
      <c r="AI665" s="2597" t="s">
        <v>3976</v>
      </c>
      <c r="AJ665" s="2597" t="s">
        <v>3977</v>
      </c>
      <c r="AK665" s="2338"/>
      <c r="AL665" s="2338"/>
      <c r="AM665" s="2338"/>
      <c r="AN665" s="2338"/>
      <c r="AO665" s="2338"/>
      <c r="AP665" s="2338"/>
      <c r="AQ665" s="2338"/>
      <c r="AR665" s="2338"/>
      <c r="AS665" s="2338"/>
      <c r="AT665" s="2338"/>
      <c r="AU665" s="2338"/>
      <c r="AV665" s="2338"/>
      <c r="AW665" s="2338"/>
      <c r="AX665" s="2338"/>
      <c r="AY665" s="2338"/>
      <c r="AZ665" s="2338"/>
      <c r="BA665" s="2338"/>
      <c r="BB665" s="2338"/>
      <c r="BC665" s="2338"/>
      <c r="BD665" s="2338"/>
      <c r="BE665" s="2338"/>
      <c r="BF665" s="2338"/>
      <c r="BG665" s="2338"/>
      <c r="BH665" s="2338"/>
      <c r="BI665" s="2338"/>
      <c r="BJ665" s="2338"/>
      <c r="BK665" s="2338"/>
      <c r="BL665" s="2338"/>
      <c r="BM665" s="2338"/>
      <c r="BN665" s="2338"/>
      <c r="BO665" s="2338"/>
      <c r="BP665" s="2338"/>
      <c r="BQ665" s="2338"/>
      <c r="BR665" s="2338"/>
      <c r="BS665" s="2338"/>
      <c r="BT665" s="2338"/>
      <c r="BU665" s="2338"/>
      <c r="BV665" s="2338"/>
      <c r="BW665" s="2338"/>
      <c r="BX665" s="2338"/>
      <c r="BY665" s="2338"/>
      <c r="BZ665" s="2338"/>
      <c r="CA665" s="2338"/>
      <c r="CB665" s="2338"/>
      <c r="CC665" s="2338"/>
      <c r="CD665" s="2338"/>
      <c r="CE665" s="2338"/>
      <c r="CF665" s="2338"/>
      <c r="CG665" s="2338"/>
      <c r="CH665" s="2338"/>
      <c r="CI665" s="2338"/>
      <c r="CJ665" s="2338"/>
      <c r="CK665" s="2338"/>
      <c r="CL665" s="2338"/>
      <c r="CM665" s="2338"/>
      <c r="CN665" s="2338"/>
      <c r="CO665" s="2338"/>
      <c r="CP665" s="2338"/>
      <c r="CQ665" s="2338"/>
      <c r="CR665" s="2338"/>
      <c r="CS665" s="2338"/>
      <c r="CT665" s="2338"/>
      <c r="CU665" s="2338"/>
      <c r="CV665" s="2338"/>
      <c r="CW665" s="2338"/>
      <c r="CX665" s="2338"/>
      <c r="CY665" s="2338"/>
      <c r="CZ665" s="2338"/>
      <c r="DA665" s="2338"/>
      <c r="DB665" s="2338"/>
      <c r="DC665" s="2338"/>
      <c r="DD665" s="2338"/>
      <c r="DE665" s="2338"/>
      <c r="DF665" s="2338"/>
      <c r="DG665" s="2338"/>
    </row>
    <row r="666" spans="1:111" s="1118" customFormat="1" ht="15.75" thickBot="1">
      <c r="A666" s="2388">
        <v>1</v>
      </c>
      <c r="B666" s="3068">
        <v>2</v>
      </c>
      <c r="C666" s="3069"/>
      <c r="D666" s="3069"/>
      <c r="E666" s="3069">
        <v>3</v>
      </c>
      <c r="F666" s="3070"/>
      <c r="G666" s="2317">
        <v>4</v>
      </c>
      <c r="H666" s="3017">
        <v>5</v>
      </c>
      <c r="I666" s="3018"/>
      <c r="J666" s="3018"/>
      <c r="K666" s="3019"/>
      <c r="L666" s="2514"/>
      <c r="M666" s="3017">
        <v>6</v>
      </c>
      <c r="N666" s="3018"/>
      <c r="O666" s="3018"/>
      <c r="P666" s="3019"/>
      <c r="Q666" s="2584"/>
      <c r="R666" s="3017">
        <v>7</v>
      </c>
      <c r="S666" s="3018"/>
      <c r="T666" s="3018"/>
      <c r="U666" s="3019"/>
      <c r="V666" s="3131">
        <v>8</v>
      </c>
      <c r="W666" s="3131"/>
      <c r="X666" s="3131"/>
      <c r="Y666" s="3131"/>
      <c r="Z666" s="3131">
        <v>9</v>
      </c>
      <c r="AA666" s="3131"/>
      <c r="AB666" s="3131"/>
      <c r="AC666" s="3131"/>
      <c r="AD666" s="3105">
        <v>10</v>
      </c>
      <c r="AE666" s="3106"/>
      <c r="AF666" s="3106"/>
      <c r="AG666" s="3107"/>
      <c r="AH666" s="2498">
        <v>11</v>
      </c>
      <c r="AI666" s="2498">
        <v>12</v>
      </c>
      <c r="AJ666" s="2499">
        <v>13</v>
      </c>
      <c r="AK666" s="2338"/>
      <c r="AL666" s="2338"/>
      <c r="AM666" s="2338"/>
      <c r="AN666" s="2338"/>
      <c r="AO666" s="2338"/>
      <c r="AP666" s="2338"/>
      <c r="AQ666" s="2338"/>
      <c r="AR666" s="2338"/>
      <c r="AS666" s="2338"/>
      <c r="AT666" s="2338"/>
      <c r="AU666" s="2338"/>
      <c r="AV666" s="2338"/>
      <c r="AW666" s="2338"/>
      <c r="AX666" s="2338"/>
      <c r="AY666" s="2338"/>
      <c r="AZ666" s="2338"/>
      <c r="BA666" s="2338"/>
      <c r="BB666" s="2338"/>
      <c r="BC666" s="2338"/>
      <c r="BD666" s="2338"/>
      <c r="BE666" s="2338"/>
      <c r="BF666" s="2338"/>
      <c r="BG666" s="2338"/>
      <c r="BH666" s="2338"/>
      <c r="BI666" s="2338"/>
      <c r="BJ666" s="2338"/>
      <c r="BK666" s="2338"/>
      <c r="BL666" s="2338"/>
      <c r="BM666" s="2338"/>
      <c r="BN666" s="2338"/>
      <c r="BO666" s="2338"/>
      <c r="BP666" s="2338"/>
      <c r="BQ666" s="2338"/>
      <c r="BR666" s="2338"/>
      <c r="BS666" s="2338"/>
      <c r="BT666" s="2338"/>
      <c r="BU666" s="2338"/>
      <c r="BV666" s="2338"/>
      <c r="BW666" s="2338"/>
      <c r="BX666" s="2338"/>
      <c r="BY666" s="2338"/>
      <c r="BZ666" s="2338"/>
      <c r="CA666" s="2338"/>
      <c r="CB666" s="2338"/>
      <c r="CC666" s="2338"/>
      <c r="CD666" s="2338"/>
      <c r="CE666" s="2338"/>
      <c r="CF666" s="2338"/>
      <c r="CG666" s="2338"/>
      <c r="CH666" s="2338"/>
      <c r="CI666" s="2338"/>
      <c r="CJ666" s="2338"/>
      <c r="CK666" s="2338"/>
      <c r="CL666" s="2338"/>
      <c r="CM666" s="2338"/>
      <c r="CN666" s="2338"/>
      <c r="CO666" s="2338"/>
      <c r="CP666" s="2338"/>
      <c r="CQ666" s="2338"/>
      <c r="CR666" s="2338"/>
      <c r="CS666" s="2338"/>
      <c r="CT666" s="2338"/>
      <c r="CU666" s="2338"/>
      <c r="CV666" s="2338"/>
      <c r="CW666" s="2338"/>
      <c r="CX666" s="2338"/>
      <c r="CY666" s="2338"/>
      <c r="CZ666" s="2338"/>
      <c r="DA666" s="2338"/>
      <c r="DB666" s="2338"/>
      <c r="DC666" s="2338"/>
      <c r="DD666" s="2338"/>
      <c r="DE666" s="2338"/>
      <c r="DF666" s="2338"/>
      <c r="DG666" s="2338"/>
    </row>
    <row r="667" spans="1:111" s="1118" customFormat="1" ht="15" hidden="1" customHeight="1" outlineLevel="1">
      <c r="A667" s="2397"/>
      <c r="B667" s="3083" t="s">
        <v>2952</v>
      </c>
      <c r="C667" s="3084"/>
      <c r="D667" s="3084"/>
      <c r="E667" s="3043" t="s">
        <v>3871</v>
      </c>
      <c r="F667" s="2469" t="s">
        <v>2629</v>
      </c>
      <c r="G667" s="2467"/>
      <c r="H667" s="2841"/>
      <c r="I667" s="2841"/>
      <c r="J667" s="2841"/>
      <c r="K667" s="2841"/>
      <c r="L667" s="2841"/>
      <c r="M667" s="2841"/>
      <c r="N667" s="2841"/>
      <c r="O667" s="2841"/>
      <c r="P667" s="2841"/>
      <c r="Q667" s="2826"/>
      <c r="R667" s="2826"/>
      <c r="S667" s="2826"/>
      <c r="T667" s="2826"/>
      <c r="U667" s="2826"/>
      <c r="V667" s="2567"/>
      <c r="W667" s="2567"/>
      <c r="X667" s="2567"/>
      <c r="Y667" s="2567"/>
      <c r="Z667" s="2645">
        <f>$Z$13</f>
        <v>1.0528</v>
      </c>
      <c r="AA667" s="2645">
        <f>$AA$13</f>
        <v>1.0589</v>
      </c>
      <c r="AB667" s="2645">
        <f>$AB$13</f>
        <v>1.0507936887282501</v>
      </c>
      <c r="AC667" s="2645">
        <f>$AC$13</f>
        <v>1.04657781587849</v>
      </c>
      <c r="AD667" s="2642"/>
      <c r="AE667" s="2642"/>
      <c r="AF667" s="2642"/>
      <c r="AG667" s="2642"/>
      <c r="AH667" s="2642"/>
      <c r="AI667" s="2642"/>
      <c r="AJ667" s="2566"/>
      <c r="AK667" s="2338"/>
      <c r="AL667" s="2338"/>
      <c r="AM667" s="2338"/>
      <c r="AN667" s="2338"/>
      <c r="AO667" s="2338"/>
      <c r="AP667" s="2338"/>
      <c r="AQ667" s="2338"/>
      <c r="AR667" s="2338"/>
      <c r="AS667" s="2338"/>
      <c r="AT667" s="2338"/>
      <c r="AU667" s="2338"/>
      <c r="AV667" s="2338"/>
      <c r="AW667" s="2338"/>
      <c r="AX667" s="2338"/>
      <c r="AY667" s="2338"/>
      <c r="AZ667" s="2338"/>
      <c r="BA667" s="2338"/>
      <c r="BB667" s="2338"/>
      <c r="BC667" s="2338"/>
      <c r="BD667" s="2338"/>
      <c r="BE667" s="2338"/>
      <c r="BF667" s="2338"/>
      <c r="BG667" s="2338"/>
      <c r="BH667" s="2338"/>
      <c r="BI667" s="2338"/>
      <c r="BJ667" s="2338"/>
      <c r="BK667" s="2338"/>
      <c r="BL667" s="2338"/>
      <c r="BM667" s="2338"/>
      <c r="BN667" s="2338"/>
      <c r="BO667" s="2338"/>
      <c r="BP667" s="2338"/>
      <c r="BQ667" s="2338"/>
      <c r="BR667" s="2338"/>
      <c r="BS667" s="2338"/>
      <c r="BT667" s="2338"/>
      <c r="BU667" s="2338"/>
      <c r="BV667" s="2338"/>
      <c r="BW667" s="2338"/>
      <c r="BX667" s="2338"/>
      <c r="BY667" s="2338"/>
      <c r="BZ667" s="2338"/>
      <c r="CA667" s="2338"/>
      <c r="CB667" s="2338"/>
      <c r="CC667" s="2338"/>
      <c r="CD667" s="2338"/>
      <c r="CE667" s="2338"/>
      <c r="CF667" s="2338"/>
      <c r="CG667" s="2338"/>
      <c r="CH667" s="2338"/>
      <c r="CI667" s="2338"/>
      <c r="CJ667" s="2338"/>
      <c r="CK667" s="2338"/>
      <c r="CL667" s="2338"/>
      <c r="CM667" s="2338"/>
      <c r="CN667" s="2338"/>
      <c r="CO667" s="2338"/>
      <c r="CP667" s="2338"/>
      <c r="CQ667" s="2338"/>
      <c r="CR667" s="2338"/>
      <c r="CS667" s="2338"/>
      <c r="CT667" s="2338"/>
      <c r="CU667" s="2338"/>
      <c r="CV667" s="2338"/>
      <c r="CW667" s="2338"/>
      <c r="CX667" s="2338"/>
      <c r="CY667" s="2338"/>
      <c r="CZ667" s="2338"/>
      <c r="DA667" s="2338"/>
      <c r="DB667" s="2338"/>
      <c r="DC667" s="2338"/>
      <c r="DD667" s="2338"/>
      <c r="DE667" s="2338"/>
      <c r="DF667" s="2338"/>
      <c r="DG667" s="2338"/>
    </row>
    <row r="668" spans="1:111" s="1118" customFormat="1" ht="30" hidden="1" outlineLevel="1">
      <c r="A668" s="2318"/>
      <c r="B668" s="3085"/>
      <c r="C668" s="3048"/>
      <c r="D668" s="3048"/>
      <c r="E668" s="3086"/>
      <c r="F668" s="2476" t="s">
        <v>2631</v>
      </c>
      <c r="G668" s="2475"/>
      <c r="H668" s="2641"/>
      <c r="I668" s="2641"/>
      <c r="J668" s="2641"/>
      <c r="K668" s="2641"/>
      <c r="L668" s="2641"/>
      <c r="M668" s="2641"/>
      <c r="N668" s="2641"/>
      <c r="O668" s="2641"/>
      <c r="P668" s="2641"/>
      <c r="Q668" s="2649"/>
      <c r="R668" s="2641"/>
      <c r="S668" s="2641"/>
      <c r="T668" s="2641"/>
      <c r="U668" s="2641"/>
      <c r="V668" s="2566"/>
      <c r="W668" s="2566"/>
      <c r="X668" s="2566"/>
      <c r="Y668" s="2566"/>
      <c r="Z668" s="2642"/>
      <c r="AA668" s="2642"/>
      <c r="AB668" s="2642"/>
      <c r="AC668" s="2642"/>
      <c r="AD668" s="2642"/>
      <c r="AE668" s="2642"/>
      <c r="AF668" s="2642"/>
      <c r="AG668" s="2642"/>
      <c r="AH668" s="2642"/>
      <c r="AI668" s="2642"/>
      <c r="AJ668" s="2566"/>
      <c r="AK668" s="2338"/>
      <c r="AL668" s="2338"/>
      <c r="AM668" s="2338"/>
      <c r="AN668" s="2338"/>
      <c r="AO668" s="2338"/>
      <c r="AP668" s="2338"/>
      <c r="AQ668" s="2338"/>
      <c r="AR668" s="2338"/>
      <c r="AS668" s="2338"/>
      <c r="AT668" s="2338"/>
      <c r="AU668" s="2338"/>
      <c r="AV668" s="2338"/>
      <c r="AW668" s="2338"/>
      <c r="AX668" s="2338"/>
      <c r="AY668" s="2338"/>
      <c r="AZ668" s="2338"/>
      <c r="BA668" s="2338"/>
      <c r="BB668" s="2338"/>
      <c r="BC668" s="2338"/>
      <c r="BD668" s="2338"/>
      <c r="BE668" s="2338"/>
      <c r="BF668" s="2338"/>
      <c r="BG668" s="2338"/>
      <c r="BH668" s="2338"/>
      <c r="BI668" s="2338"/>
      <c r="BJ668" s="2338"/>
      <c r="BK668" s="2338"/>
      <c r="BL668" s="2338"/>
      <c r="BM668" s="2338"/>
      <c r="BN668" s="2338"/>
      <c r="BO668" s="2338"/>
      <c r="BP668" s="2338"/>
      <c r="BQ668" s="2338"/>
      <c r="BR668" s="2338"/>
      <c r="BS668" s="2338"/>
      <c r="BT668" s="2338"/>
      <c r="BU668" s="2338"/>
      <c r="BV668" s="2338"/>
      <c r="BW668" s="2338"/>
      <c r="BX668" s="2338"/>
      <c r="BY668" s="2338"/>
      <c r="BZ668" s="2338"/>
      <c r="CA668" s="2338"/>
      <c r="CB668" s="2338"/>
      <c r="CC668" s="2338"/>
      <c r="CD668" s="2338"/>
      <c r="CE668" s="2338"/>
      <c r="CF668" s="2338"/>
      <c r="CG668" s="2338"/>
      <c r="CH668" s="2338"/>
      <c r="CI668" s="2338"/>
      <c r="CJ668" s="2338"/>
      <c r="CK668" s="2338"/>
      <c r="CL668" s="2338"/>
      <c r="CM668" s="2338"/>
      <c r="CN668" s="2338"/>
      <c r="CO668" s="2338"/>
      <c r="CP668" s="2338"/>
      <c r="CQ668" s="2338"/>
      <c r="CR668" s="2338"/>
      <c r="CS668" s="2338"/>
      <c r="CT668" s="2338"/>
      <c r="CU668" s="2338"/>
      <c r="CV668" s="2338"/>
      <c r="CW668" s="2338"/>
      <c r="CX668" s="2338"/>
      <c r="CY668" s="2338"/>
      <c r="CZ668" s="2338"/>
      <c r="DA668" s="2338"/>
      <c r="DB668" s="2338"/>
      <c r="DC668" s="2338"/>
      <c r="DD668" s="2338"/>
      <c r="DE668" s="2338"/>
      <c r="DF668" s="2338"/>
      <c r="DG668" s="2338"/>
    </row>
    <row r="669" spans="1:111" s="1118" customFormat="1" ht="30" hidden="1" outlineLevel="1">
      <c r="A669" s="2318"/>
      <c r="B669" s="3085"/>
      <c r="C669" s="3048"/>
      <c r="D669" s="3048"/>
      <c r="E669" s="3086"/>
      <c r="F669" s="2476" t="s">
        <v>2633</v>
      </c>
      <c r="G669" s="2475"/>
      <c r="H669" s="2641"/>
      <c r="I669" s="2641"/>
      <c r="J669" s="2641"/>
      <c r="K669" s="2641"/>
      <c r="L669" s="2641"/>
      <c r="M669" s="2641"/>
      <c r="N669" s="2641"/>
      <c r="O669" s="2641"/>
      <c r="P669" s="2641"/>
      <c r="Q669" s="2649"/>
      <c r="R669" s="2641"/>
      <c r="S669" s="2641"/>
      <c r="T669" s="2641"/>
      <c r="U669" s="2641"/>
      <c r="V669" s="2566"/>
      <c r="W669" s="2566"/>
      <c r="X669" s="2566"/>
      <c r="Y669" s="2566"/>
      <c r="Z669" s="2642"/>
      <c r="AA669" s="2642"/>
      <c r="AB669" s="2642"/>
      <c r="AC669" s="2642"/>
      <c r="AD669" s="2642"/>
      <c r="AE669" s="2642"/>
      <c r="AF669" s="2642"/>
      <c r="AG669" s="2642"/>
      <c r="AH669" s="2642"/>
      <c r="AI669" s="2642"/>
      <c r="AJ669" s="2566"/>
      <c r="AK669" s="2338"/>
      <c r="AL669" s="2338"/>
      <c r="AM669" s="2338"/>
      <c r="AN669" s="2338"/>
      <c r="AO669" s="2338"/>
      <c r="AP669" s="2338"/>
      <c r="AQ669" s="2338"/>
      <c r="AR669" s="2338"/>
      <c r="AS669" s="2338"/>
      <c r="AT669" s="2338"/>
      <c r="AU669" s="2338"/>
      <c r="AV669" s="2338"/>
      <c r="AW669" s="2338"/>
      <c r="AX669" s="2338"/>
      <c r="AY669" s="2338"/>
      <c r="AZ669" s="2338"/>
      <c r="BA669" s="2338"/>
      <c r="BB669" s="2338"/>
      <c r="BC669" s="2338"/>
      <c r="BD669" s="2338"/>
      <c r="BE669" s="2338"/>
      <c r="BF669" s="2338"/>
      <c r="BG669" s="2338"/>
      <c r="BH669" s="2338"/>
      <c r="BI669" s="2338"/>
      <c r="BJ669" s="2338"/>
      <c r="BK669" s="2338"/>
      <c r="BL669" s="2338"/>
      <c r="BM669" s="2338"/>
      <c r="BN669" s="2338"/>
      <c r="BO669" s="2338"/>
      <c r="BP669" s="2338"/>
      <c r="BQ669" s="2338"/>
      <c r="BR669" s="2338"/>
      <c r="BS669" s="2338"/>
      <c r="BT669" s="2338"/>
      <c r="BU669" s="2338"/>
      <c r="BV669" s="2338"/>
      <c r="BW669" s="2338"/>
      <c r="BX669" s="2338"/>
      <c r="BY669" s="2338"/>
      <c r="BZ669" s="2338"/>
      <c r="CA669" s="2338"/>
      <c r="CB669" s="2338"/>
      <c r="CC669" s="2338"/>
      <c r="CD669" s="2338"/>
      <c r="CE669" s="2338"/>
      <c r="CF669" s="2338"/>
      <c r="CG669" s="2338"/>
      <c r="CH669" s="2338"/>
      <c r="CI669" s="2338"/>
      <c r="CJ669" s="2338"/>
      <c r="CK669" s="2338"/>
      <c r="CL669" s="2338"/>
      <c r="CM669" s="2338"/>
      <c r="CN669" s="2338"/>
      <c r="CO669" s="2338"/>
      <c r="CP669" s="2338"/>
      <c r="CQ669" s="2338"/>
      <c r="CR669" s="2338"/>
      <c r="CS669" s="2338"/>
      <c r="CT669" s="2338"/>
      <c r="CU669" s="2338"/>
      <c r="CV669" s="2338"/>
      <c r="CW669" s="2338"/>
      <c r="CX669" s="2338"/>
      <c r="CY669" s="2338"/>
      <c r="CZ669" s="2338"/>
      <c r="DA669" s="2338"/>
      <c r="DB669" s="2338"/>
      <c r="DC669" s="2338"/>
      <c r="DD669" s="2338"/>
      <c r="DE669" s="2338"/>
      <c r="DF669" s="2338"/>
      <c r="DG669" s="2338"/>
    </row>
    <row r="670" spans="1:111" s="1118" customFormat="1" ht="30" hidden="1" outlineLevel="1">
      <c r="A670" s="2318"/>
      <c r="B670" s="3085"/>
      <c r="C670" s="3048"/>
      <c r="D670" s="3048"/>
      <c r="E670" s="3086"/>
      <c r="F670" s="2476" t="s">
        <v>2635</v>
      </c>
      <c r="G670" s="2475"/>
      <c r="H670" s="2641"/>
      <c r="I670" s="2641"/>
      <c r="J670" s="2641"/>
      <c r="K670" s="2641"/>
      <c r="L670" s="2641"/>
      <c r="M670" s="2641"/>
      <c r="N670" s="2641"/>
      <c r="O670" s="2641"/>
      <c r="P670" s="2641"/>
      <c r="Q670" s="2649"/>
      <c r="R670" s="2641"/>
      <c r="S670" s="2641"/>
      <c r="T670" s="2641"/>
      <c r="U670" s="2641"/>
      <c r="V670" s="2566"/>
      <c r="W670" s="2566"/>
      <c r="X670" s="2566"/>
      <c r="Y670" s="2566"/>
      <c r="Z670" s="2642"/>
      <c r="AA670" s="2642"/>
      <c r="AB670" s="2642"/>
      <c r="AC670" s="2642"/>
      <c r="AD670" s="2642"/>
      <c r="AE670" s="2642"/>
      <c r="AF670" s="2642"/>
      <c r="AG670" s="2642"/>
      <c r="AH670" s="2642"/>
      <c r="AI670" s="2642"/>
      <c r="AJ670" s="2566"/>
      <c r="AK670" s="2338"/>
      <c r="AL670" s="2338"/>
      <c r="AM670" s="2338"/>
      <c r="AN670" s="2338"/>
      <c r="AO670" s="2338"/>
      <c r="AP670" s="2338"/>
      <c r="AQ670" s="2338"/>
      <c r="AR670" s="2338"/>
      <c r="AS670" s="2338"/>
      <c r="AT670" s="2338"/>
      <c r="AU670" s="2338"/>
      <c r="AV670" s="2338"/>
      <c r="AW670" s="2338"/>
      <c r="AX670" s="2338"/>
      <c r="AY670" s="2338"/>
      <c r="AZ670" s="2338"/>
      <c r="BA670" s="2338"/>
      <c r="BB670" s="2338"/>
      <c r="BC670" s="2338"/>
      <c r="BD670" s="2338"/>
      <c r="BE670" s="2338"/>
      <c r="BF670" s="2338"/>
      <c r="BG670" s="2338"/>
      <c r="BH670" s="2338"/>
      <c r="BI670" s="2338"/>
      <c r="BJ670" s="2338"/>
      <c r="BK670" s="2338"/>
      <c r="BL670" s="2338"/>
      <c r="BM670" s="2338"/>
      <c r="BN670" s="2338"/>
      <c r="BO670" s="2338"/>
      <c r="BP670" s="2338"/>
      <c r="BQ670" s="2338"/>
      <c r="BR670" s="2338"/>
      <c r="BS670" s="2338"/>
      <c r="BT670" s="2338"/>
      <c r="BU670" s="2338"/>
      <c r="BV670" s="2338"/>
      <c r="BW670" s="2338"/>
      <c r="BX670" s="2338"/>
      <c r="BY670" s="2338"/>
      <c r="BZ670" s="2338"/>
      <c r="CA670" s="2338"/>
      <c r="CB670" s="2338"/>
      <c r="CC670" s="2338"/>
      <c r="CD670" s="2338"/>
      <c r="CE670" s="2338"/>
      <c r="CF670" s="2338"/>
      <c r="CG670" s="2338"/>
      <c r="CH670" s="2338"/>
      <c r="CI670" s="2338"/>
      <c r="CJ670" s="2338"/>
      <c r="CK670" s="2338"/>
      <c r="CL670" s="2338"/>
      <c r="CM670" s="2338"/>
      <c r="CN670" s="2338"/>
      <c r="CO670" s="2338"/>
      <c r="CP670" s="2338"/>
      <c r="CQ670" s="2338"/>
      <c r="CR670" s="2338"/>
      <c r="CS670" s="2338"/>
      <c r="CT670" s="2338"/>
      <c r="CU670" s="2338"/>
      <c r="CV670" s="2338"/>
      <c r="CW670" s="2338"/>
      <c r="CX670" s="2338"/>
      <c r="CY670" s="2338"/>
      <c r="CZ670" s="2338"/>
      <c r="DA670" s="2338"/>
      <c r="DB670" s="2338"/>
      <c r="DC670" s="2338"/>
      <c r="DD670" s="2338"/>
      <c r="DE670" s="2338"/>
      <c r="DF670" s="2338"/>
      <c r="DG670" s="2338"/>
    </row>
    <row r="671" spans="1:111" s="1118" customFormat="1" ht="30" hidden="1" outlineLevel="1">
      <c r="A671" s="2318"/>
      <c r="B671" s="3085"/>
      <c r="C671" s="3048"/>
      <c r="D671" s="3048"/>
      <c r="E671" s="3086"/>
      <c r="F671" s="2476" t="s">
        <v>2639</v>
      </c>
      <c r="G671" s="2475"/>
      <c r="H671" s="2641"/>
      <c r="I671" s="2641"/>
      <c r="J671" s="2641"/>
      <c r="K671" s="2641"/>
      <c r="L671" s="2641"/>
      <c r="M671" s="2641"/>
      <c r="N671" s="2641"/>
      <c r="O671" s="2641"/>
      <c r="P671" s="2641"/>
      <c r="Q671" s="2649"/>
      <c r="R671" s="2641"/>
      <c r="S671" s="2641"/>
      <c r="T671" s="2641"/>
      <c r="U671" s="2641"/>
      <c r="V671" s="2566"/>
      <c r="W671" s="2566"/>
      <c r="X671" s="2566"/>
      <c r="Y671" s="2566"/>
      <c r="Z671" s="2642"/>
      <c r="AA671" s="2642"/>
      <c r="AB671" s="2642"/>
      <c r="AC671" s="2642"/>
      <c r="AD671" s="2642"/>
      <c r="AE671" s="2642"/>
      <c r="AF671" s="2642"/>
      <c r="AG671" s="2642"/>
      <c r="AH671" s="2642"/>
      <c r="AI671" s="2642"/>
      <c r="AJ671" s="2566"/>
      <c r="AK671" s="2338"/>
      <c r="AL671" s="2338"/>
      <c r="AM671" s="2338"/>
      <c r="AN671" s="2338"/>
      <c r="AO671" s="2338"/>
      <c r="AP671" s="2338"/>
      <c r="AQ671" s="2338"/>
      <c r="AR671" s="2338"/>
      <c r="AS671" s="2338"/>
      <c r="AT671" s="2338"/>
      <c r="AU671" s="2338"/>
      <c r="AV671" s="2338"/>
      <c r="AW671" s="2338"/>
      <c r="AX671" s="2338"/>
      <c r="AY671" s="2338"/>
      <c r="AZ671" s="2338"/>
      <c r="BA671" s="2338"/>
      <c r="BB671" s="2338"/>
      <c r="BC671" s="2338"/>
      <c r="BD671" s="2338"/>
      <c r="BE671" s="2338"/>
      <c r="BF671" s="2338"/>
      <c r="BG671" s="2338"/>
      <c r="BH671" s="2338"/>
      <c r="BI671" s="2338"/>
      <c r="BJ671" s="2338"/>
      <c r="BK671" s="2338"/>
      <c r="BL671" s="2338"/>
      <c r="BM671" s="2338"/>
      <c r="BN671" s="2338"/>
      <c r="BO671" s="2338"/>
      <c r="BP671" s="2338"/>
      <c r="BQ671" s="2338"/>
      <c r="BR671" s="2338"/>
      <c r="BS671" s="2338"/>
      <c r="BT671" s="2338"/>
      <c r="BU671" s="2338"/>
      <c r="BV671" s="2338"/>
      <c r="BW671" s="2338"/>
      <c r="BX671" s="2338"/>
      <c r="BY671" s="2338"/>
      <c r="BZ671" s="2338"/>
      <c r="CA671" s="2338"/>
      <c r="CB671" s="2338"/>
      <c r="CC671" s="2338"/>
      <c r="CD671" s="2338"/>
      <c r="CE671" s="2338"/>
      <c r="CF671" s="2338"/>
      <c r="CG671" s="2338"/>
      <c r="CH671" s="2338"/>
      <c r="CI671" s="2338"/>
      <c r="CJ671" s="2338"/>
      <c r="CK671" s="2338"/>
      <c r="CL671" s="2338"/>
      <c r="CM671" s="2338"/>
      <c r="CN671" s="2338"/>
      <c r="CO671" s="2338"/>
      <c r="CP671" s="2338"/>
      <c r="CQ671" s="2338"/>
      <c r="CR671" s="2338"/>
      <c r="CS671" s="2338"/>
      <c r="CT671" s="2338"/>
      <c r="CU671" s="2338"/>
      <c r="CV671" s="2338"/>
      <c r="CW671" s="2338"/>
      <c r="CX671" s="2338"/>
      <c r="CY671" s="2338"/>
      <c r="CZ671" s="2338"/>
      <c r="DA671" s="2338"/>
      <c r="DB671" s="2338"/>
      <c r="DC671" s="2338"/>
      <c r="DD671" s="2338"/>
      <c r="DE671" s="2338"/>
      <c r="DF671" s="2338"/>
      <c r="DG671" s="2338"/>
    </row>
    <row r="672" spans="1:111" s="1118" customFormat="1" ht="30" hidden="1" outlineLevel="1">
      <c r="A672" s="2318"/>
      <c r="B672" s="3085"/>
      <c r="C672" s="3048"/>
      <c r="D672" s="3048"/>
      <c r="E672" s="3086"/>
      <c r="F672" s="2476" t="s">
        <v>3872</v>
      </c>
      <c r="G672" s="2475"/>
      <c r="H672" s="2641"/>
      <c r="I672" s="2641"/>
      <c r="J672" s="2641"/>
      <c r="K672" s="2641"/>
      <c r="L672" s="2641"/>
      <c r="M672" s="2641"/>
      <c r="N672" s="2641"/>
      <c r="O672" s="2641"/>
      <c r="P672" s="2641"/>
      <c r="Q672" s="2649"/>
      <c r="R672" s="2641"/>
      <c r="S672" s="2641"/>
      <c r="T672" s="2641"/>
      <c r="U672" s="2641"/>
      <c r="V672" s="2566"/>
      <c r="W672" s="2566"/>
      <c r="X672" s="2566"/>
      <c r="Y672" s="2566"/>
      <c r="Z672" s="2642"/>
      <c r="AA672" s="2642"/>
      <c r="AB672" s="2642"/>
      <c r="AC672" s="2642"/>
      <c r="AD672" s="2642"/>
      <c r="AE672" s="2642"/>
      <c r="AF672" s="2642"/>
      <c r="AG672" s="2642"/>
      <c r="AH672" s="2642"/>
      <c r="AI672" s="2642"/>
      <c r="AJ672" s="2566"/>
      <c r="AK672" s="2338"/>
      <c r="AL672" s="2338"/>
      <c r="AM672" s="2338"/>
      <c r="AN672" s="2338"/>
      <c r="AO672" s="2338"/>
      <c r="AP672" s="2338"/>
      <c r="AQ672" s="2338"/>
      <c r="AR672" s="2338"/>
      <c r="AS672" s="2338"/>
      <c r="AT672" s="2338"/>
      <c r="AU672" s="2338"/>
      <c r="AV672" s="2338"/>
      <c r="AW672" s="2338"/>
      <c r="AX672" s="2338"/>
      <c r="AY672" s="2338"/>
      <c r="AZ672" s="2338"/>
      <c r="BA672" s="2338"/>
      <c r="BB672" s="2338"/>
      <c r="BC672" s="2338"/>
      <c r="BD672" s="2338"/>
      <c r="BE672" s="2338"/>
      <c r="BF672" s="2338"/>
      <c r="BG672" s="2338"/>
      <c r="BH672" s="2338"/>
      <c r="BI672" s="2338"/>
      <c r="BJ672" s="2338"/>
      <c r="BK672" s="2338"/>
      <c r="BL672" s="2338"/>
      <c r="BM672" s="2338"/>
      <c r="BN672" s="2338"/>
      <c r="BO672" s="2338"/>
      <c r="BP672" s="2338"/>
      <c r="BQ672" s="2338"/>
      <c r="BR672" s="2338"/>
      <c r="BS672" s="2338"/>
      <c r="BT672" s="2338"/>
      <c r="BU672" s="2338"/>
      <c r="BV672" s="2338"/>
      <c r="BW672" s="2338"/>
      <c r="BX672" s="2338"/>
      <c r="BY672" s="2338"/>
      <c r="BZ672" s="2338"/>
      <c r="CA672" s="2338"/>
      <c r="CB672" s="2338"/>
      <c r="CC672" s="2338"/>
      <c r="CD672" s="2338"/>
      <c r="CE672" s="2338"/>
      <c r="CF672" s="2338"/>
      <c r="CG672" s="2338"/>
      <c r="CH672" s="2338"/>
      <c r="CI672" s="2338"/>
      <c r="CJ672" s="2338"/>
      <c r="CK672" s="2338"/>
      <c r="CL672" s="2338"/>
      <c r="CM672" s="2338"/>
      <c r="CN672" s="2338"/>
      <c r="CO672" s="2338"/>
      <c r="CP672" s="2338"/>
      <c r="CQ672" s="2338"/>
      <c r="CR672" s="2338"/>
      <c r="CS672" s="2338"/>
      <c r="CT672" s="2338"/>
      <c r="CU672" s="2338"/>
      <c r="CV672" s="2338"/>
      <c r="CW672" s="2338"/>
      <c r="CX672" s="2338"/>
      <c r="CY672" s="2338"/>
      <c r="CZ672" s="2338"/>
      <c r="DA672" s="2338"/>
      <c r="DB672" s="2338"/>
      <c r="DC672" s="2338"/>
      <c r="DD672" s="2338"/>
      <c r="DE672" s="2338"/>
      <c r="DF672" s="2338"/>
      <c r="DG672" s="2338"/>
    </row>
    <row r="673" spans="1:111" s="1118" customFormat="1" ht="15" hidden="1" outlineLevel="1">
      <c r="A673" s="2318"/>
      <c r="B673" s="3052" t="s">
        <v>2948</v>
      </c>
      <c r="C673" s="3047"/>
      <c r="D673" s="3047"/>
      <c r="E673" s="3086" t="s">
        <v>3873</v>
      </c>
      <c r="F673" s="2476" t="s">
        <v>2629</v>
      </c>
      <c r="G673" s="2475"/>
      <c r="H673" s="2641"/>
      <c r="I673" s="2641"/>
      <c r="J673" s="2641"/>
      <c r="K673" s="2641"/>
      <c r="L673" s="2641"/>
      <c r="M673" s="2641"/>
      <c r="N673" s="2641"/>
      <c r="O673" s="2641"/>
      <c r="P673" s="2641"/>
      <c r="Q673" s="2649"/>
      <c r="R673" s="2641"/>
      <c r="S673" s="2641"/>
      <c r="T673" s="2641"/>
      <c r="U673" s="2641"/>
      <c r="V673" s="2566"/>
      <c r="W673" s="2566"/>
      <c r="X673" s="2566"/>
      <c r="Y673" s="2566"/>
      <c r="Z673" s="2642"/>
      <c r="AA673" s="2642"/>
      <c r="AB673" s="2642"/>
      <c r="AC673" s="2642"/>
      <c r="AD673" s="2642"/>
      <c r="AE673" s="2642"/>
      <c r="AF673" s="2642"/>
      <c r="AG673" s="2642"/>
      <c r="AH673" s="2642"/>
      <c r="AI673" s="2642"/>
      <c r="AJ673" s="2566"/>
      <c r="AK673" s="2338"/>
      <c r="AL673" s="2338"/>
      <c r="AM673" s="2338"/>
      <c r="AN673" s="2338"/>
      <c r="AO673" s="2338"/>
      <c r="AP673" s="2338"/>
      <c r="AQ673" s="2338"/>
      <c r="AR673" s="2338"/>
      <c r="AS673" s="2338"/>
      <c r="AT673" s="2338"/>
      <c r="AU673" s="2338"/>
      <c r="AV673" s="2338"/>
      <c r="AW673" s="2338"/>
      <c r="AX673" s="2338"/>
      <c r="AY673" s="2338"/>
      <c r="AZ673" s="2338"/>
      <c r="BA673" s="2338"/>
      <c r="BB673" s="2338"/>
      <c r="BC673" s="2338"/>
      <c r="BD673" s="2338"/>
      <c r="BE673" s="2338"/>
      <c r="BF673" s="2338"/>
      <c r="BG673" s="2338"/>
      <c r="BH673" s="2338"/>
      <c r="BI673" s="2338"/>
      <c r="BJ673" s="2338"/>
      <c r="BK673" s="2338"/>
      <c r="BL673" s="2338"/>
      <c r="BM673" s="2338"/>
      <c r="BN673" s="2338"/>
      <c r="BO673" s="2338"/>
      <c r="BP673" s="2338"/>
      <c r="BQ673" s="2338"/>
      <c r="BR673" s="2338"/>
      <c r="BS673" s="2338"/>
      <c r="BT673" s="2338"/>
      <c r="BU673" s="2338"/>
      <c r="BV673" s="2338"/>
      <c r="BW673" s="2338"/>
      <c r="BX673" s="2338"/>
      <c r="BY673" s="2338"/>
      <c r="BZ673" s="2338"/>
      <c r="CA673" s="2338"/>
      <c r="CB673" s="2338"/>
      <c r="CC673" s="2338"/>
      <c r="CD673" s="2338"/>
      <c r="CE673" s="2338"/>
      <c r="CF673" s="2338"/>
      <c r="CG673" s="2338"/>
      <c r="CH673" s="2338"/>
      <c r="CI673" s="2338"/>
      <c r="CJ673" s="2338"/>
      <c r="CK673" s="2338"/>
      <c r="CL673" s="2338"/>
      <c r="CM673" s="2338"/>
      <c r="CN673" s="2338"/>
      <c r="CO673" s="2338"/>
      <c r="CP673" s="2338"/>
      <c r="CQ673" s="2338"/>
      <c r="CR673" s="2338"/>
      <c r="CS673" s="2338"/>
      <c r="CT673" s="2338"/>
      <c r="CU673" s="2338"/>
      <c r="CV673" s="2338"/>
      <c r="CW673" s="2338"/>
      <c r="CX673" s="2338"/>
      <c r="CY673" s="2338"/>
      <c r="CZ673" s="2338"/>
      <c r="DA673" s="2338"/>
      <c r="DB673" s="2338"/>
      <c r="DC673" s="2338"/>
      <c r="DD673" s="2338"/>
      <c r="DE673" s="2338"/>
      <c r="DF673" s="2338"/>
      <c r="DG673" s="2338"/>
    </row>
    <row r="674" spans="1:111" s="1118" customFormat="1" ht="30" hidden="1" outlineLevel="1">
      <c r="A674" s="2318"/>
      <c r="B674" s="3052"/>
      <c r="C674" s="3047"/>
      <c r="D674" s="3047"/>
      <c r="E674" s="3086"/>
      <c r="F674" s="2476" t="s">
        <v>2631</v>
      </c>
      <c r="G674" s="2475"/>
      <c r="H674" s="2641"/>
      <c r="I674" s="2641"/>
      <c r="J674" s="2641"/>
      <c r="K674" s="2641"/>
      <c r="L674" s="2641"/>
      <c r="M674" s="2641"/>
      <c r="N674" s="2641"/>
      <c r="O674" s="2641"/>
      <c r="P674" s="2641"/>
      <c r="Q674" s="2649"/>
      <c r="R674" s="2641"/>
      <c r="S674" s="2641"/>
      <c r="T674" s="2641"/>
      <c r="U674" s="2641"/>
      <c r="V674" s="2566"/>
      <c r="W674" s="2566"/>
      <c r="X674" s="2566"/>
      <c r="Y674" s="2566"/>
      <c r="Z674" s="2642"/>
      <c r="AA674" s="2642"/>
      <c r="AB674" s="2642"/>
      <c r="AC674" s="2642"/>
      <c r="AD674" s="2642"/>
      <c r="AE674" s="2642"/>
      <c r="AF674" s="2642"/>
      <c r="AG674" s="2642"/>
      <c r="AH674" s="2642"/>
      <c r="AI674" s="2642"/>
      <c r="AJ674" s="2566"/>
      <c r="AK674" s="2338"/>
      <c r="AL674" s="2338"/>
      <c r="AM674" s="2338"/>
      <c r="AN674" s="2338"/>
      <c r="AO674" s="2338"/>
      <c r="AP674" s="2338"/>
      <c r="AQ674" s="2338"/>
      <c r="AR674" s="2338"/>
      <c r="AS674" s="2338"/>
      <c r="AT674" s="2338"/>
      <c r="AU674" s="2338"/>
      <c r="AV674" s="2338"/>
      <c r="AW674" s="2338"/>
      <c r="AX674" s="2338"/>
      <c r="AY674" s="2338"/>
      <c r="AZ674" s="2338"/>
      <c r="BA674" s="2338"/>
      <c r="BB674" s="2338"/>
      <c r="BC674" s="2338"/>
      <c r="BD674" s="2338"/>
      <c r="BE674" s="2338"/>
      <c r="BF674" s="2338"/>
      <c r="BG674" s="2338"/>
      <c r="BH674" s="2338"/>
      <c r="BI674" s="2338"/>
      <c r="BJ674" s="2338"/>
      <c r="BK674" s="2338"/>
      <c r="BL674" s="2338"/>
      <c r="BM674" s="2338"/>
      <c r="BN674" s="2338"/>
      <c r="BO674" s="2338"/>
      <c r="BP674" s="2338"/>
      <c r="BQ674" s="2338"/>
      <c r="BR674" s="2338"/>
      <c r="BS674" s="2338"/>
      <c r="BT674" s="2338"/>
      <c r="BU674" s="2338"/>
      <c r="BV674" s="2338"/>
      <c r="BW674" s="2338"/>
      <c r="BX674" s="2338"/>
      <c r="BY674" s="2338"/>
      <c r="BZ674" s="2338"/>
      <c r="CA674" s="2338"/>
      <c r="CB674" s="2338"/>
      <c r="CC674" s="2338"/>
      <c r="CD674" s="2338"/>
      <c r="CE674" s="2338"/>
      <c r="CF674" s="2338"/>
      <c r="CG674" s="2338"/>
      <c r="CH674" s="2338"/>
      <c r="CI674" s="2338"/>
      <c r="CJ674" s="2338"/>
      <c r="CK674" s="2338"/>
      <c r="CL674" s="2338"/>
      <c r="CM674" s="2338"/>
      <c r="CN674" s="2338"/>
      <c r="CO674" s="2338"/>
      <c r="CP674" s="2338"/>
      <c r="CQ674" s="2338"/>
      <c r="CR674" s="2338"/>
      <c r="CS674" s="2338"/>
      <c r="CT674" s="2338"/>
      <c r="CU674" s="2338"/>
      <c r="CV674" s="2338"/>
      <c r="CW674" s="2338"/>
      <c r="CX674" s="2338"/>
      <c r="CY674" s="2338"/>
      <c r="CZ674" s="2338"/>
      <c r="DA674" s="2338"/>
      <c r="DB674" s="2338"/>
      <c r="DC674" s="2338"/>
      <c r="DD674" s="2338"/>
      <c r="DE674" s="2338"/>
      <c r="DF674" s="2338"/>
      <c r="DG674" s="2338"/>
    </row>
    <row r="675" spans="1:111" s="1118" customFormat="1" ht="30" hidden="1" outlineLevel="1">
      <c r="A675" s="2318"/>
      <c r="B675" s="3052"/>
      <c r="C675" s="3047"/>
      <c r="D675" s="3047"/>
      <c r="E675" s="3086"/>
      <c r="F675" s="2476" t="s">
        <v>2633</v>
      </c>
      <c r="G675" s="2475"/>
      <c r="H675" s="2641"/>
      <c r="I675" s="2641"/>
      <c r="J675" s="2641"/>
      <c r="K675" s="2641"/>
      <c r="L675" s="2641"/>
      <c r="M675" s="2641"/>
      <c r="N675" s="2641"/>
      <c r="O675" s="2641"/>
      <c r="P675" s="2641"/>
      <c r="Q675" s="2649"/>
      <c r="R675" s="2641"/>
      <c r="S675" s="2641"/>
      <c r="T675" s="2641"/>
      <c r="U675" s="2641"/>
      <c r="V675" s="2566"/>
      <c r="W675" s="2566"/>
      <c r="X675" s="2566"/>
      <c r="Y675" s="2566"/>
      <c r="Z675" s="2642"/>
      <c r="AA675" s="2642"/>
      <c r="AB675" s="2642"/>
      <c r="AC675" s="2642"/>
      <c r="AD675" s="2642"/>
      <c r="AE675" s="2642"/>
      <c r="AF675" s="2642"/>
      <c r="AG675" s="2642"/>
      <c r="AH675" s="2642"/>
      <c r="AI675" s="2642"/>
      <c r="AJ675" s="2566"/>
      <c r="AK675" s="2338"/>
      <c r="AL675" s="2338"/>
      <c r="AM675" s="2338"/>
      <c r="AN675" s="2338"/>
      <c r="AO675" s="2338"/>
      <c r="AP675" s="2338"/>
      <c r="AQ675" s="2338"/>
      <c r="AR675" s="2338"/>
      <c r="AS675" s="2338"/>
      <c r="AT675" s="2338"/>
      <c r="AU675" s="2338"/>
      <c r="AV675" s="2338"/>
      <c r="AW675" s="2338"/>
      <c r="AX675" s="2338"/>
      <c r="AY675" s="2338"/>
      <c r="AZ675" s="2338"/>
      <c r="BA675" s="2338"/>
      <c r="BB675" s="2338"/>
      <c r="BC675" s="2338"/>
      <c r="BD675" s="2338"/>
      <c r="BE675" s="2338"/>
      <c r="BF675" s="2338"/>
      <c r="BG675" s="2338"/>
      <c r="BH675" s="2338"/>
      <c r="BI675" s="2338"/>
      <c r="BJ675" s="2338"/>
      <c r="BK675" s="2338"/>
      <c r="BL675" s="2338"/>
      <c r="BM675" s="2338"/>
      <c r="BN675" s="2338"/>
      <c r="BO675" s="2338"/>
      <c r="BP675" s="2338"/>
      <c r="BQ675" s="2338"/>
      <c r="BR675" s="2338"/>
      <c r="BS675" s="2338"/>
      <c r="BT675" s="2338"/>
      <c r="BU675" s="2338"/>
      <c r="BV675" s="2338"/>
      <c r="BW675" s="2338"/>
      <c r="BX675" s="2338"/>
      <c r="BY675" s="2338"/>
      <c r="BZ675" s="2338"/>
      <c r="CA675" s="2338"/>
      <c r="CB675" s="2338"/>
      <c r="CC675" s="2338"/>
      <c r="CD675" s="2338"/>
      <c r="CE675" s="2338"/>
      <c r="CF675" s="2338"/>
      <c r="CG675" s="2338"/>
      <c r="CH675" s="2338"/>
      <c r="CI675" s="2338"/>
      <c r="CJ675" s="2338"/>
      <c r="CK675" s="2338"/>
      <c r="CL675" s="2338"/>
      <c r="CM675" s="2338"/>
      <c r="CN675" s="2338"/>
      <c r="CO675" s="2338"/>
      <c r="CP675" s="2338"/>
      <c r="CQ675" s="2338"/>
      <c r="CR675" s="2338"/>
      <c r="CS675" s="2338"/>
      <c r="CT675" s="2338"/>
      <c r="CU675" s="2338"/>
      <c r="CV675" s="2338"/>
      <c r="CW675" s="2338"/>
      <c r="CX675" s="2338"/>
      <c r="CY675" s="2338"/>
      <c r="CZ675" s="2338"/>
      <c r="DA675" s="2338"/>
      <c r="DB675" s="2338"/>
      <c r="DC675" s="2338"/>
      <c r="DD675" s="2338"/>
      <c r="DE675" s="2338"/>
      <c r="DF675" s="2338"/>
      <c r="DG675" s="2338"/>
    </row>
    <row r="676" spans="1:111" s="1118" customFormat="1" ht="30" hidden="1" outlineLevel="1">
      <c r="A676" s="2318"/>
      <c r="B676" s="3052"/>
      <c r="C676" s="3047"/>
      <c r="D676" s="3047"/>
      <c r="E676" s="3086"/>
      <c r="F676" s="2476" t="s">
        <v>2635</v>
      </c>
      <c r="G676" s="2475"/>
      <c r="H676" s="2641"/>
      <c r="I676" s="2641"/>
      <c r="J676" s="2641"/>
      <c r="K676" s="2641"/>
      <c r="L676" s="2641"/>
      <c r="M676" s="2641"/>
      <c r="N676" s="2641"/>
      <c r="O676" s="2641"/>
      <c r="P676" s="2641"/>
      <c r="Q676" s="2649"/>
      <c r="R676" s="2641"/>
      <c r="S676" s="2641"/>
      <c r="T676" s="2641"/>
      <c r="U676" s="2641"/>
      <c r="V676" s="2566"/>
      <c r="W676" s="2566"/>
      <c r="X676" s="2566"/>
      <c r="Y676" s="2566"/>
      <c r="Z676" s="2642"/>
      <c r="AA676" s="2642"/>
      <c r="AB676" s="2642"/>
      <c r="AC676" s="2642"/>
      <c r="AD676" s="2642"/>
      <c r="AE676" s="2642"/>
      <c r="AF676" s="2642"/>
      <c r="AG676" s="2642"/>
      <c r="AH676" s="2642"/>
      <c r="AI676" s="2642"/>
      <c r="AJ676" s="2566"/>
      <c r="AK676" s="2338"/>
      <c r="AL676" s="2338"/>
      <c r="AM676" s="2338"/>
      <c r="AN676" s="2338"/>
      <c r="AO676" s="2338"/>
      <c r="AP676" s="2338"/>
      <c r="AQ676" s="2338"/>
      <c r="AR676" s="2338"/>
      <c r="AS676" s="2338"/>
      <c r="AT676" s="2338"/>
      <c r="AU676" s="2338"/>
      <c r="AV676" s="2338"/>
      <c r="AW676" s="2338"/>
      <c r="AX676" s="2338"/>
      <c r="AY676" s="2338"/>
      <c r="AZ676" s="2338"/>
      <c r="BA676" s="2338"/>
      <c r="BB676" s="2338"/>
      <c r="BC676" s="2338"/>
      <c r="BD676" s="2338"/>
      <c r="BE676" s="2338"/>
      <c r="BF676" s="2338"/>
      <c r="BG676" s="2338"/>
      <c r="BH676" s="2338"/>
      <c r="BI676" s="2338"/>
      <c r="BJ676" s="2338"/>
      <c r="BK676" s="2338"/>
      <c r="BL676" s="2338"/>
      <c r="BM676" s="2338"/>
      <c r="BN676" s="2338"/>
      <c r="BO676" s="2338"/>
      <c r="BP676" s="2338"/>
      <c r="BQ676" s="2338"/>
      <c r="BR676" s="2338"/>
      <c r="BS676" s="2338"/>
      <c r="BT676" s="2338"/>
      <c r="BU676" s="2338"/>
      <c r="BV676" s="2338"/>
      <c r="BW676" s="2338"/>
      <c r="BX676" s="2338"/>
      <c r="BY676" s="2338"/>
      <c r="BZ676" s="2338"/>
      <c r="CA676" s="2338"/>
      <c r="CB676" s="2338"/>
      <c r="CC676" s="2338"/>
      <c r="CD676" s="2338"/>
      <c r="CE676" s="2338"/>
      <c r="CF676" s="2338"/>
      <c r="CG676" s="2338"/>
      <c r="CH676" s="2338"/>
      <c r="CI676" s="2338"/>
      <c r="CJ676" s="2338"/>
      <c r="CK676" s="2338"/>
      <c r="CL676" s="2338"/>
      <c r="CM676" s="2338"/>
      <c r="CN676" s="2338"/>
      <c r="CO676" s="2338"/>
      <c r="CP676" s="2338"/>
      <c r="CQ676" s="2338"/>
      <c r="CR676" s="2338"/>
      <c r="CS676" s="2338"/>
      <c r="CT676" s="2338"/>
      <c r="CU676" s="2338"/>
      <c r="CV676" s="2338"/>
      <c r="CW676" s="2338"/>
      <c r="CX676" s="2338"/>
      <c r="CY676" s="2338"/>
      <c r="CZ676" s="2338"/>
      <c r="DA676" s="2338"/>
      <c r="DB676" s="2338"/>
      <c r="DC676" s="2338"/>
      <c r="DD676" s="2338"/>
      <c r="DE676" s="2338"/>
      <c r="DF676" s="2338"/>
      <c r="DG676" s="2338"/>
    </row>
    <row r="677" spans="1:111" s="1118" customFormat="1" ht="30" hidden="1" outlineLevel="1">
      <c r="A677" s="2318"/>
      <c r="B677" s="3052"/>
      <c r="C677" s="3047"/>
      <c r="D677" s="3047"/>
      <c r="E677" s="3086"/>
      <c r="F677" s="2476" t="s">
        <v>2639</v>
      </c>
      <c r="G677" s="2475"/>
      <c r="H677" s="2641"/>
      <c r="I677" s="2641"/>
      <c r="J677" s="2641"/>
      <c r="K677" s="2641"/>
      <c r="L677" s="2641"/>
      <c r="M677" s="2641"/>
      <c r="N677" s="2641"/>
      <c r="O677" s="2641"/>
      <c r="P677" s="2641"/>
      <c r="Q677" s="2649"/>
      <c r="R677" s="2641"/>
      <c r="S677" s="2641"/>
      <c r="T677" s="2641"/>
      <c r="U677" s="2641"/>
      <c r="V677" s="2566"/>
      <c r="W677" s="2566"/>
      <c r="X677" s="2566"/>
      <c r="Y677" s="2566"/>
      <c r="Z677" s="2642"/>
      <c r="AA677" s="2642"/>
      <c r="AB677" s="2642"/>
      <c r="AC677" s="2642"/>
      <c r="AD677" s="2642"/>
      <c r="AE677" s="2642"/>
      <c r="AF677" s="2642"/>
      <c r="AG677" s="2642"/>
      <c r="AH677" s="2642"/>
      <c r="AI677" s="2642"/>
      <c r="AJ677" s="2566"/>
      <c r="AK677" s="2338"/>
      <c r="AL677" s="2338"/>
      <c r="AM677" s="2338"/>
      <c r="AN677" s="2338"/>
      <c r="AO677" s="2338"/>
      <c r="AP677" s="2338"/>
      <c r="AQ677" s="2338"/>
      <c r="AR677" s="2338"/>
      <c r="AS677" s="2338"/>
      <c r="AT677" s="2338"/>
      <c r="AU677" s="2338"/>
      <c r="AV677" s="2338"/>
      <c r="AW677" s="2338"/>
      <c r="AX677" s="2338"/>
      <c r="AY677" s="2338"/>
      <c r="AZ677" s="2338"/>
      <c r="BA677" s="2338"/>
      <c r="BB677" s="2338"/>
      <c r="BC677" s="2338"/>
      <c r="BD677" s="2338"/>
      <c r="BE677" s="2338"/>
      <c r="BF677" s="2338"/>
      <c r="BG677" s="2338"/>
      <c r="BH677" s="2338"/>
      <c r="BI677" s="2338"/>
      <c r="BJ677" s="2338"/>
      <c r="BK677" s="2338"/>
      <c r="BL677" s="2338"/>
      <c r="BM677" s="2338"/>
      <c r="BN677" s="2338"/>
      <c r="BO677" s="2338"/>
      <c r="BP677" s="2338"/>
      <c r="BQ677" s="2338"/>
      <c r="BR677" s="2338"/>
      <c r="BS677" s="2338"/>
      <c r="BT677" s="2338"/>
      <c r="BU677" s="2338"/>
      <c r="BV677" s="2338"/>
      <c r="BW677" s="2338"/>
      <c r="BX677" s="2338"/>
      <c r="BY677" s="2338"/>
      <c r="BZ677" s="2338"/>
      <c r="CA677" s="2338"/>
      <c r="CB677" s="2338"/>
      <c r="CC677" s="2338"/>
      <c r="CD677" s="2338"/>
      <c r="CE677" s="2338"/>
      <c r="CF677" s="2338"/>
      <c r="CG677" s="2338"/>
      <c r="CH677" s="2338"/>
      <c r="CI677" s="2338"/>
      <c r="CJ677" s="2338"/>
      <c r="CK677" s="2338"/>
      <c r="CL677" s="2338"/>
      <c r="CM677" s="2338"/>
      <c r="CN677" s="2338"/>
      <c r="CO677" s="2338"/>
      <c r="CP677" s="2338"/>
      <c r="CQ677" s="2338"/>
      <c r="CR677" s="2338"/>
      <c r="CS677" s="2338"/>
      <c r="CT677" s="2338"/>
      <c r="CU677" s="2338"/>
      <c r="CV677" s="2338"/>
      <c r="CW677" s="2338"/>
      <c r="CX677" s="2338"/>
      <c r="CY677" s="2338"/>
      <c r="CZ677" s="2338"/>
      <c r="DA677" s="2338"/>
      <c r="DB677" s="2338"/>
      <c r="DC677" s="2338"/>
      <c r="DD677" s="2338"/>
      <c r="DE677" s="2338"/>
      <c r="DF677" s="2338"/>
      <c r="DG677" s="2338"/>
    </row>
    <row r="678" spans="1:111" s="1118" customFormat="1" ht="30.75" hidden="1" outlineLevel="1" thickBot="1">
      <c r="A678" s="2392"/>
      <c r="B678" s="3087"/>
      <c r="C678" s="3088"/>
      <c r="D678" s="3088"/>
      <c r="E678" s="3073"/>
      <c r="F678" s="2398" t="s">
        <v>3872</v>
      </c>
      <c r="G678" s="2399"/>
      <c r="H678" s="2812"/>
      <c r="I678" s="2812"/>
      <c r="J678" s="2812"/>
      <c r="K678" s="2812"/>
      <c r="L678" s="2812"/>
      <c r="M678" s="2812"/>
      <c r="N678" s="2812"/>
      <c r="O678" s="2812"/>
      <c r="P678" s="2812"/>
      <c r="Q678" s="2812"/>
      <c r="R678" s="2812"/>
      <c r="S678" s="2812"/>
      <c r="T678" s="2812"/>
      <c r="U678" s="2812"/>
      <c r="V678" s="2327"/>
      <c r="W678" s="2327"/>
      <c r="X678" s="2327"/>
      <c r="Y678" s="2327"/>
      <c r="Z678" s="2772"/>
      <c r="AA678" s="2772"/>
      <c r="AB678" s="2772"/>
      <c r="AC678" s="2772"/>
      <c r="AD678" s="2772"/>
      <c r="AE678" s="2772"/>
      <c r="AF678" s="2772"/>
      <c r="AG678" s="2772"/>
      <c r="AH678" s="2772"/>
      <c r="AI678" s="2772"/>
      <c r="AJ678" s="2772"/>
      <c r="AK678" s="2338"/>
      <c r="AL678" s="2338"/>
      <c r="AM678" s="2338"/>
      <c r="AN678" s="2338"/>
      <c r="AO678" s="2338"/>
      <c r="AP678" s="2338"/>
      <c r="AQ678" s="2338"/>
      <c r="AR678" s="2338"/>
      <c r="AS678" s="2338"/>
      <c r="AT678" s="2338"/>
      <c r="AU678" s="2338"/>
      <c r="AV678" s="2338"/>
      <c r="AW678" s="2338"/>
      <c r="AX678" s="2338"/>
      <c r="AY678" s="2338"/>
      <c r="AZ678" s="2338"/>
      <c r="BA678" s="2338"/>
      <c r="BB678" s="2338"/>
      <c r="BC678" s="2338"/>
      <c r="BD678" s="2338"/>
      <c r="BE678" s="2338"/>
      <c r="BF678" s="2338"/>
      <c r="BG678" s="2338"/>
      <c r="BH678" s="2338"/>
      <c r="BI678" s="2338"/>
      <c r="BJ678" s="2338"/>
      <c r="BK678" s="2338"/>
      <c r="BL678" s="2338"/>
      <c r="BM678" s="2338"/>
      <c r="BN678" s="2338"/>
      <c r="BO678" s="2338"/>
      <c r="BP678" s="2338"/>
      <c r="BQ678" s="2338"/>
      <c r="BR678" s="2338"/>
      <c r="BS678" s="2338"/>
      <c r="BT678" s="2338"/>
      <c r="BU678" s="2338"/>
      <c r="BV678" s="2338"/>
      <c r="BW678" s="2338"/>
      <c r="BX678" s="2338"/>
      <c r="BY678" s="2338"/>
      <c r="BZ678" s="2338"/>
      <c r="CA678" s="2338"/>
      <c r="CB678" s="2338"/>
      <c r="CC678" s="2338"/>
      <c r="CD678" s="2338"/>
      <c r="CE678" s="2338"/>
      <c r="CF678" s="2338"/>
      <c r="CG678" s="2338"/>
      <c r="CH678" s="2338"/>
      <c r="CI678" s="2338"/>
      <c r="CJ678" s="2338"/>
      <c r="CK678" s="2338"/>
      <c r="CL678" s="2338"/>
      <c r="CM678" s="2338"/>
      <c r="CN678" s="2338"/>
      <c r="CO678" s="2338"/>
      <c r="CP678" s="2338"/>
      <c r="CQ678" s="2338"/>
      <c r="CR678" s="2338"/>
      <c r="CS678" s="2338"/>
      <c r="CT678" s="2338"/>
      <c r="CU678" s="2338"/>
      <c r="CV678" s="2338"/>
      <c r="CW678" s="2338"/>
      <c r="CX678" s="2338"/>
      <c r="CY678" s="2338"/>
      <c r="CZ678" s="2338"/>
      <c r="DA678" s="2338"/>
      <c r="DB678" s="2338"/>
      <c r="DC678" s="2338"/>
      <c r="DD678" s="2338"/>
      <c r="DE678" s="2338"/>
      <c r="DF678" s="2338"/>
      <c r="DG678" s="2338"/>
    </row>
    <row r="679" spans="1:111" s="1118" customFormat="1" ht="15" collapsed="1">
      <c r="F679" s="1119"/>
      <c r="G679" s="1119"/>
      <c r="V679" s="2338"/>
      <c r="W679" s="2338"/>
      <c r="X679" s="2338"/>
      <c r="Y679" s="2338"/>
      <c r="Z679"/>
      <c r="AA679"/>
      <c r="AB679"/>
      <c r="AC679"/>
      <c r="AD679"/>
      <c r="AE679"/>
      <c r="AF679"/>
      <c r="AG679"/>
      <c r="AH679"/>
      <c r="AI679"/>
      <c r="AJ679" s="2338"/>
      <c r="AK679" s="2338"/>
      <c r="AL679" s="2338"/>
      <c r="AM679" s="2338"/>
      <c r="AN679" s="2338"/>
      <c r="AO679" s="2338"/>
      <c r="AP679" s="2338"/>
      <c r="AQ679" s="2338"/>
      <c r="AR679" s="2338"/>
      <c r="AS679" s="2338"/>
      <c r="AT679" s="2338"/>
      <c r="AU679" s="2338"/>
      <c r="AV679" s="2338"/>
      <c r="AW679" s="2338"/>
      <c r="AX679" s="2338"/>
      <c r="AY679" s="2338"/>
      <c r="AZ679" s="2338"/>
      <c r="BA679" s="2338"/>
      <c r="BB679" s="2338"/>
      <c r="BC679" s="2338"/>
      <c r="BD679" s="2338"/>
      <c r="BE679" s="2338"/>
      <c r="BF679" s="2338"/>
      <c r="BG679" s="2338"/>
      <c r="BH679" s="2338"/>
      <c r="BI679" s="2338"/>
      <c r="BJ679" s="2338"/>
      <c r="BK679" s="2338"/>
      <c r="BL679" s="2338"/>
      <c r="BM679" s="2338"/>
      <c r="BN679" s="2338"/>
      <c r="BO679" s="2338"/>
      <c r="BP679" s="2338"/>
      <c r="BQ679" s="2338"/>
      <c r="BR679" s="2338"/>
      <c r="BS679" s="2338"/>
      <c r="BT679" s="2338"/>
      <c r="BU679" s="2338"/>
      <c r="BV679" s="2338"/>
      <c r="BW679" s="2338"/>
      <c r="BX679" s="2338"/>
      <c r="BY679" s="2338"/>
      <c r="BZ679" s="2338"/>
      <c r="CA679" s="2338"/>
      <c r="CB679" s="2338"/>
      <c r="CC679" s="2338"/>
      <c r="CD679" s="2338"/>
      <c r="CE679" s="2338"/>
      <c r="CF679" s="2338"/>
      <c r="CG679" s="2338"/>
      <c r="CH679" s="2338"/>
      <c r="CI679" s="2338"/>
      <c r="CJ679" s="2338"/>
      <c r="CK679" s="2338"/>
      <c r="CL679" s="2338"/>
      <c r="CM679" s="2338"/>
      <c r="CN679" s="2338"/>
      <c r="CO679" s="2338"/>
      <c r="CP679" s="2338"/>
      <c r="CQ679" s="2338"/>
      <c r="CR679" s="2338"/>
      <c r="CS679" s="2338"/>
      <c r="CT679" s="2338"/>
      <c r="CU679" s="2338"/>
      <c r="CV679" s="2338"/>
      <c r="CW679" s="2338"/>
      <c r="CX679" s="2338"/>
      <c r="CY679" s="2338"/>
      <c r="CZ679" s="2338"/>
      <c r="DA679" s="2338"/>
      <c r="DB679" s="2338"/>
      <c r="DC679" s="2338"/>
      <c r="DD679" s="2338"/>
      <c r="DE679" s="2338"/>
      <c r="DF679" s="2338"/>
      <c r="DG679" s="2338"/>
    </row>
    <row r="680" spans="1:111" s="1118" customFormat="1" ht="15.75" thickBot="1">
      <c r="F680" s="1119"/>
      <c r="G680" s="1119"/>
      <c r="V680" s="2338"/>
      <c r="W680" s="2338"/>
      <c r="X680" s="2338"/>
      <c r="Y680" s="2338"/>
      <c r="Z680"/>
      <c r="AA680"/>
      <c r="AB680"/>
      <c r="AC680"/>
      <c r="AD680"/>
      <c r="AE680"/>
      <c r="AF680"/>
      <c r="AG680"/>
      <c r="AH680"/>
      <c r="AI680"/>
      <c r="AJ680" s="2338"/>
      <c r="AK680" s="2338"/>
      <c r="AL680" s="2338"/>
      <c r="AM680" s="2338"/>
      <c r="AN680" s="2338"/>
      <c r="AO680" s="2338"/>
      <c r="AP680" s="2338"/>
      <c r="AQ680" s="2338"/>
      <c r="AR680" s="2338"/>
      <c r="AS680" s="2338"/>
      <c r="AT680" s="2338"/>
      <c r="AU680" s="2338"/>
      <c r="AV680" s="2338"/>
      <c r="AW680" s="2338"/>
      <c r="AX680" s="2338"/>
      <c r="AY680" s="2338"/>
      <c r="AZ680" s="2338"/>
      <c r="BA680" s="2338"/>
      <c r="BB680" s="2338"/>
      <c r="BC680" s="2338"/>
      <c r="BD680" s="2338"/>
      <c r="BE680" s="2338"/>
      <c r="BF680" s="2338"/>
      <c r="BG680" s="2338"/>
      <c r="BH680" s="2338"/>
      <c r="BI680" s="2338"/>
      <c r="BJ680" s="2338"/>
      <c r="BK680" s="2338"/>
      <c r="BL680" s="2338"/>
      <c r="BM680" s="2338"/>
      <c r="BN680" s="2338"/>
      <c r="BO680" s="2338"/>
      <c r="BP680" s="2338"/>
      <c r="BQ680" s="2338"/>
      <c r="BR680" s="2338"/>
      <c r="BS680" s="2338"/>
      <c r="BT680" s="2338"/>
      <c r="BU680" s="2338"/>
      <c r="BV680" s="2338"/>
      <c r="BW680" s="2338"/>
      <c r="BX680" s="2338"/>
      <c r="BY680" s="2338"/>
      <c r="BZ680" s="2338"/>
      <c r="CA680" s="2338"/>
      <c r="CB680" s="2338"/>
      <c r="CC680" s="2338"/>
      <c r="CD680" s="2338"/>
      <c r="CE680" s="2338"/>
      <c r="CF680" s="2338"/>
      <c r="CG680" s="2338"/>
      <c r="CH680" s="2338"/>
      <c r="CI680" s="2338"/>
      <c r="CJ680" s="2338"/>
      <c r="CK680" s="2338"/>
      <c r="CL680" s="2338"/>
      <c r="CM680" s="2338"/>
      <c r="CN680" s="2338"/>
      <c r="CO680" s="2338"/>
      <c r="CP680" s="2338"/>
      <c r="CQ680" s="2338"/>
      <c r="CR680" s="2338"/>
      <c r="CS680" s="2338"/>
      <c r="CT680" s="2338"/>
      <c r="CU680" s="2338"/>
      <c r="CV680" s="2338"/>
      <c r="CW680" s="2338"/>
      <c r="CX680" s="2338"/>
      <c r="CY680" s="2338"/>
      <c r="CZ680" s="2338"/>
      <c r="DA680" s="2338"/>
      <c r="DB680" s="2338"/>
      <c r="DC680" s="2338"/>
      <c r="DD680" s="2338"/>
      <c r="DE680" s="2338"/>
      <c r="DF680" s="2338"/>
      <c r="DG680" s="2338"/>
    </row>
    <row r="681" spans="1:111" s="1118" customFormat="1" ht="15.75" customHeight="1" thickBot="1">
      <c r="A681" s="3038"/>
      <c r="B681" s="3039"/>
      <c r="C681" s="3039"/>
      <c r="D681" s="3039"/>
      <c r="E681" s="3039"/>
      <c r="F681" s="3040"/>
      <c r="G681" s="3149" t="s">
        <v>3877</v>
      </c>
      <c r="H681" s="3150"/>
      <c r="I681" s="3150"/>
      <c r="J681" s="3150"/>
      <c r="K681" s="3150"/>
      <c r="L681" s="3150"/>
      <c r="M681" s="3150"/>
      <c r="N681" s="3150"/>
      <c r="O681" s="3150"/>
      <c r="P681" s="3150"/>
      <c r="Q681" s="3150"/>
      <c r="R681" s="3150"/>
      <c r="S681" s="3150"/>
      <c r="T681" s="3150"/>
      <c r="U681" s="3151"/>
      <c r="V681" s="2338"/>
      <c r="W681" s="2338"/>
      <c r="X681" s="2338"/>
      <c r="Y681" s="2338"/>
      <c r="Z681"/>
      <c r="AA681"/>
      <c r="AB681"/>
      <c r="AC681"/>
      <c r="AD681"/>
      <c r="AE681"/>
      <c r="AF681"/>
      <c r="AG681"/>
      <c r="AH681"/>
      <c r="AI681"/>
      <c r="AJ681" s="2338"/>
      <c r="AK681" s="2338"/>
      <c r="AL681" s="2338"/>
      <c r="AM681" s="2338"/>
      <c r="AN681" s="2338"/>
      <c r="AO681" s="2338"/>
      <c r="AP681" s="2338"/>
      <c r="AQ681" s="2338"/>
      <c r="AR681" s="2338"/>
      <c r="AS681" s="2338"/>
      <c r="AT681" s="2338"/>
      <c r="AU681" s="2338"/>
      <c r="AV681" s="2338"/>
      <c r="AW681" s="2338"/>
      <c r="AX681" s="2338"/>
      <c r="AY681" s="2338"/>
      <c r="AZ681" s="2338"/>
      <c r="BA681" s="2338"/>
      <c r="BB681" s="2338"/>
      <c r="BC681" s="2338"/>
      <c r="BD681" s="2338"/>
      <c r="BE681" s="2338"/>
      <c r="BF681" s="2338"/>
      <c r="BG681" s="2338"/>
      <c r="BH681" s="2338"/>
      <c r="BI681" s="2338"/>
      <c r="BJ681" s="2338"/>
      <c r="BK681" s="2338"/>
      <c r="BL681" s="2338"/>
      <c r="BM681" s="2338"/>
      <c r="BN681" s="2338"/>
      <c r="BO681" s="2338"/>
      <c r="BP681" s="2338"/>
      <c r="BQ681" s="2338"/>
      <c r="BR681" s="2338"/>
      <c r="BS681" s="2338"/>
      <c r="BT681" s="2338"/>
      <c r="BU681" s="2338"/>
      <c r="BV681" s="2338"/>
      <c r="BW681" s="2338"/>
      <c r="BX681" s="2338"/>
      <c r="BY681" s="2338"/>
      <c r="BZ681" s="2338"/>
      <c r="CA681" s="2338"/>
      <c r="CB681" s="2338"/>
      <c r="CC681" s="2338"/>
      <c r="CD681" s="2338"/>
      <c r="CE681" s="2338"/>
      <c r="CF681" s="2338"/>
      <c r="CG681" s="2338"/>
      <c r="CH681" s="2338"/>
      <c r="CI681" s="2338"/>
      <c r="CJ681" s="2338"/>
      <c r="CK681" s="2338"/>
      <c r="CL681" s="2338"/>
      <c r="CM681" s="2338"/>
      <c r="CN681" s="2338"/>
      <c r="CO681" s="2338"/>
      <c r="CP681" s="2338"/>
      <c r="CQ681" s="2338"/>
      <c r="CR681" s="2338"/>
      <c r="CS681" s="2338"/>
      <c r="CT681" s="2338"/>
      <c r="CU681" s="2338"/>
      <c r="CV681" s="2338"/>
      <c r="CW681" s="2338"/>
      <c r="CX681" s="2338"/>
      <c r="CY681" s="2338"/>
      <c r="CZ681" s="2338"/>
      <c r="DA681" s="2338"/>
      <c r="DB681" s="2338"/>
      <c r="DC681" s="2338"/>
      <c r="DD681" s="2338"/>
      <c r="DE681" s="2338"/>
      <c r="DF681" s="2338"/>
      <c r="DG681" s="2338"/>
    </row>
    <row r="682" spans="1:111" s="1118" customFormat="1" ht="65.25" customHeight="1">
      <c r="A682" s="3007" t="s">
        <v>0</v>
      </c>
      <c r="B682" s="3064" t="s">
        <v>3849</v>
      </c>
      <c r="C682" s="3065"/>
      <c r="D682" s="3065"/>
      <c r="E682" s="3043" t="s">
        <v>3878</v>
      </c>
      <c r="F682" s="3043"/>
      <c r="G682" s="3003" t="s">
        <v>3854</v>
      </c>
      <c r="H682" s="3133" t="s">
        <v>3868</v>
      </c>
      <c r="I682" s="3134"/>
      <c r="J682" s="3134"/>
      <c r="K682" s="3135"/>
      <c r="L682" s="2517"/>
      <c r="M682" s="3133" t="s">
        <v>3869</v>
      </c>
      <c r="N682" s="3134"/>
      <c r="O682" s="3134"/>
      <c r="P682" s="3135"/>
      <c r="Q682" s="2587"/>
      <c r="R682" s="3155" t="s">
        <v>3870</v>
      </c>
      <c r="S682" s="3156"/>
      <c r="T682" s="3156"/>
      <c r="U682" s="3157"/>
      <c r="V682" s="3136" t="s">
        <v>3978</v>
      </c>
      <c r="W682" s="3137"/>
      <c r="X682" s="3137"/>
      <c r="Y682" s="3138"/>
      <c r="Z682" s="3132" t="s">
        <v>3858</v>
      </c>
      <c r="AA682" s="3132"/>
      <c r="AB682" s="3132"/>
      <c r="AC682" s="3132"/>
      <c r="AD682" s="3121" t="s">
        <v>3979</v>
      </c>
      <c r="AE682" s="3121"/>
      <c r="AF682" s="3121"/>
      <c r="AG682" s="3121"/>
      <c r="AH682" s="2496" t="s">
        <v>3980</v>
      </c>
      <c r="AI682" s="2500" t="s">
        <v>3974</v>
      </c>
      <c r="AJ682" s="2500" t="s">
        <v>3975</v>
      </c>
      <c r="AK682" s="2338"/>
      <c r="AL682" s="2338"/>
      <c r="AM682" s="2338"/>
      <c r="AN682" s="2338"/>
      <c r="AO682" s="2338"/>
      <c r="AP682" s="2338"/>
      <c r="AQ682" s="2338"/>
      <c r="AR682" s="2338"/>
      <c r="AS682" s="2338"/>
      <c r="AT682" s="2338"/>
      <c r="AU682" s="2338"/>
      <c r="AV682" s="2338"/>
      <c r="AW682" s="2338"/>
      <c r="AX682" s="2338"/>
      <c r="AY682" s="2338"/>
      <c r="AZ682" s="2338"/>
      <c r="BA682" s="2338"/>
      <c r="BB682" s="2338"/>
      <c r="BC682" s="2338"/>
      <c r="BD682" s="2338"/>
      <c r="BE682" s="2338"/>
      <c r="BF682" s="2338"/>
      <c r="BG682" s="2338"/>
      <c r="BH682" s="2338"/>
      <c r="BI682" s="2338"/>
      <c r="BJ682" s="2338"/>
      <c r="BK682" s="2338"/>
      <c r="BL682" s="2338"/>
      <c r="BM682" s="2338"/>
      <c r="BN682" s="2338"/>
      <c r="BO682" s="2338"/>
      <c r="BP682" s="2338"/>
      <c r="BQ682" s="2338"/>
      <c r="BR682" s="2338"/>
      <c r="BS682" s="2338"/>
      <c r="BT682" s="2338"/>
      <c r="BU682" s="2338"/>
      <c r="BV682" s="2338"/>
      <c r="BW682" s="2338"/>
      <c r="BX682" s="2338"/>
      <c r="BY682" s="2338"/>
      <c r="BZ682" s="2338"/>
      <c r="CA682" s="2338"/>
      <c r="CB682" s="2338"/>
      <c r="CC682" s="2338"/>
      <c r="CD682" s="2338"/>
      <c r="CE682" s="2338"/>
      <c r="CF682" s="2338"/>
      <c r="CG682" s="2338"/>
      <c r="CH682" s="2338"/>
      <c r="CI682" s="2338"/>
      <c r="CJ682" s="2338"/>
      <c r="CK682" s="2338"/>
      <c r="CL682" s="2338"/>
      <c r="CM682" s="2338"/>
      <c r="CN682" s="2338"/>
      <c r="CO682" s="2338"/>
      <c r="CP682" s="2338"/>
      <c r="CQ682" s="2338"/>
      <c r="CR682" s="2338"/>
      <c r="CS682" s="2338"/>
      <c r="CT682" s="2338"/>
      <c r="CU682" s="2338"/>
      <c r="CV682" s="2338"/>
      <c r="CW682" s="2338"/>
      <c r="CX682" s="2338"/>
      <c r="CY682" s="2338"/>
      <c r="CZ682" s="2338"/>
      <c r="DA682" s="2338"/>
      <c r="DB682" s="2338"/>
      <c r="DC682" s="2338"/>
      <c r="DD682" s="2338"/>
      <c r="DE682" s="2338"/>
      <c r="DF682" s="2338"/>
      <c r="DG682" s="2338"/>
    </row>
    <row r="683" spans="1:111" s="1118" customFormat="1" ht="75.75" customHeight="1" thickBot="1">
      <c r="A683" s="3072"/>
      <c r="B683" s="3066"/>
      <c r="C683" s="3026"/>
      <c r="D683" s="3026"/>
      <c r="E683" s="3073"/>
      <c r="F683" s="3073"/>
      <c r="G683" s="3076"/>
      <c r="H683" s="2471">
        <f>H11</f>
        <v>2015</v>
      </c>
      <c r="I683" s="2471">
        <f>I11</f>
        <v>2016</v>
      </c>
      <c r="J683" s="2471">
        <f>J11</f>
        <v>2017</v>
      </c>
      <c r="K683" s="2471" t="str">
        <f>K665</f>
        <v>План (в случае отсутствия факта за 3 года)</v>
      </c>
      <c r="L683" s="2518"/>
      <c r="M683" s="2471">
        <f>H683</f>
        <v>2015</v>
      </c>
      <c r="N683" s="2471">
        <f>I683</f>
        <v>2016</v>
      </c>
      <c r="O683" s="2471">
        <f>J683</f>
        <v>2017</v>
      </c>
      <c r="P683" s="2471" t="str">
        <f>P665</f>
        <v>План (в случае отсутствия факта за 3 года)</v>
      </c>
      <c r="Q683" s="2593"/>
      <c r="R683" s="2468">
        <f>H683</f>
        <v>2015</v>
      </c>
      <c r="S683" s="2468">
        <f>I683</f>
        <v>2016</v>
      </c>
      <c r="T683" s="2468">
        <f>J683</f>
        <v>2017</v>
      </c>
      <c r="U683" s="2468" t="str">
        <f>U665</f>
        <v>План (в случае отсутствия факта за 3 года)</v>
      </c>
      <c r="V683" s="2496">
        <f>R683</f>
        <v>2015</v>
      </c>
      <c r="W683" s="2496">
        <f>S683</f>
        <v>2016</v>
      </c>
      <c r="X683" s="2496">
        <f>T683</f>
        <v>2017</v>
      </c>
      <c r="Y683" s="2496" t="s">
        <v>3925</v>
      </c>
      <c r="Z683" s="2588">
        <v>2016</v>
      </c>
      <c r="AA683" s="2588">
        <v>2017</v>
      </c>
      <c r="AB683" s="2588">
        <v>2018</v>
      </c>
      <c r="AC683" s="2588">
        <v>2019</v>
      </c>
      <c r="AD683" s="2711">
        <f>V683</f>
        <v>2015</v>
      </c>
      <c r="AE683" s="2711">
        <f>W683</f>
        <v>2016</v>
      </c>
      <c r="AF683" s="2711">
        <f>X683</f>
        <v>2017</v>
      </c>
      <c r="AG683" s="2711" t="str">
        <f>Y683</f>
        <v>План (в случае отсутствия факта за 3 года)</v>
      </c>
      <c r="AH683" s="2497" t="s">
        <v>3981</v>
      </c>
      <c r="AI683" s="2597" t="s">
        <v>3976</v>
      </c>
      <c r="AJ683" s="2597" t="s">
        <v>3977</v>
      </c>
      <c r="AK683" s="2338"/>
      <c r="AL683" s="2338"/>
      <c r="AM683" s="2338"/>
      <c r="AN683" s="2338"/>
      <c r="AO683" s="2338"/>
      <c r="AP683" s="2338"/>
      <c r="AQ683" s="2338"/>
      <c r="AR683" s="2338"/>
      <c r="AS683" s="2338"/>
      <c r="AT683" s="2338"/>
      <c r="AU683" s="2338"/>
      <c r="AV683" s="2338"/>
      <c r="AW683" s="2338"/>
      <c r="AX683" s="2338"/>
      <c r="AY683" s="2338"/>
      <c r="AZ683" s="2338"/>
      <c r="BA683" s="2338"/>
      <c r="BB683" s="2338"/>
      <c r="BC683" s="2338"/>
      <c r="BD683" s="2338"/>
      <c r="BE683" s="2338"/>
      <c r="BF683" s="2338"/>
      <c r="BG683" s="2338"/>
      <c r="BH683" s="2338"/>
      <c r="BI683" s="2338"/>
      <c r="BJ683" s="2338"/>
      <c r="BK683" s="2338"/>
      <c r="BL683" s="2338"/>
      <c r="BM683" s="2338"/>
      <c r="BN683" s="2338"/>
      <c r="BO683" s="2338"/>
      <c r="BP683" s="2338"/>
      <c r="BQ683" s="2338"/>
      <c r="BR683" s="2338"/>
      <c r="BS683" s="2338"/>
      <c r="BT683" s="2338"/>
      <c r="BU683" s="2338"/>
      <c r="BV683" s="2338"/>
      <c r="BW683" s="2338"/>
      <c r="BX683" s="2338"/>
      <c r="BY683" s="2338"/>
      <c r="BZ683" s="2338"/>
      <c r="CA683" s="2338"/>
      <c r="CB683" s="2338"/>
      <c r="CC683" s="2338"/>
      <c r="CD683" s="2338"/>
      <c r="CE683" s="2338"/>
      <c r="CF683" s="2338"/>
      <c r="CG683" s="2338"/>
      <c r="CH683" s="2338"/>
      <c r="CI683" s="2338"/>
      <c r="CJ683" s="2338"/>
      <c r="CK683" s="2338"/>
      <c r="CL683" s="2338"/>
      <c r="CM683" s="2338"/>
      <c r="CN683" s="2338"/>
      <c r="CO683" s="2338"/>
      <c r="CP683" s="2338"/>
      <c r="CQ683" s="2338"/>
      <c r="CR683" s="2338"/>
      <c r="CS683" s="2338"/>
      <c r="CT683" s="2338"/>
      <c r="CU683" s="2338"/>
      <c r="CV683" s="2338"/>
      <c r="CW683" s="2338"/>
      <c r="CX683" s="2338"/>
      <c r="CY683" s="2338"/>
      <c r="CZ683" s="2338"/>
      <c r="DA683" s="2338"/>
      <c r="DB683" s="2338"/>
      <c r="DC683" s="2338"/>
      <c r="DD683" s="2338"/>
      <c r="DE683" s="2338"/>
      <c r="DF683" s="2338"/>
      <c r="DG683" s="2338"/>
    </row>
    <row r="684" spans="1:111" s="1118" customFormat="1" ht="15.75" thickBot="1">
      <c r="A684" s="2388">
        <v>1</v>
      </c>
      <c r="B684" s="3068">
        <v>2</v>
      </c>
      <c r="C684" s="3069"/>
      <c r="D684" s="3069"/>
      <c r="E684" s="3069">
        <v>3</v>
      </c>
      <c r="F684" s="3070"/>
      <c r="G684" s="2317">
        <v>4</v>
      </c>
      <c r="H684" s="3017">
        <v>5</v>
      </c>
      <c r="I684" s="3018"/>
      <c r="J684" s="3018"/>
      <c r="K684" s="3019"/>
      <c r="L684" s="2514"/>
      <c r="M684" s="3017">
        <v>6</v>
      </c>
      <c r="N684" s="3018"/>
      <c r="O684" s="3018"/>
      <c r="P684" s="3019"/>
      <c r="Q684" s="2584"/>
      <c r="R684" s="3017">
        <v>7</v>
      </c>
      <c r="S684" s="3018"/>
      <c r="T684" s="3018"/>
      <c r="U684" s="3019"/>
      <c r="V684" s="3131">
        <v>8</v>
      </c>
      <c r="W684" s="3131"/>
      <c r="X684" s="3131"/>
      <c r="Y684" s="3131"/>
      <c r="Z684" s="3131">
        <v>9</v>
      </c>
      <c r="AA684" s="3131"/>
      <c r="AB684" s="3131"/>
      <c r="AC684" s="3131"/>
      <c r="AD684" s="3105">
        <v>10</v>
      </c>
      <c r="AE684" s="3106"/>
      <c r="AF684" s="3106"/>
      <c r="AG684" s="3107"/>
      <c r="AH684" s="2498">
        <v>11</v>
      </c>
      <c r="AI684" s="2498">
        <v>12</v>
      </c>
      <c r="AJ684" s="2499">
        <v>13</v>
      </c>
      <c r="AK684" s="2338"/>
      <c r="AL684" s="2338"/>
      <c r="AM684" s="2338"/>
      <c r="AN684" s="2338"/>
      <c r="AO684" s="2338"/>
      <c r="AP684" s="2338"/>
      <c r="AQ684" s="2338"/>
      <c r="AR684" s="2338"/>
      <c r="AS684" s="2338"/>
      <c r="AT684" s="2338"/>
      <c r="AU684" s="2338"/>
      <c r="AV684" s="2338"/>
      <c r="AW684" s="2338"/>
      <c r="AX684" s="2338"/>
      <c r="AY684" s="2338"/>
      <c r="AZ684" s="2338"/>
      <c r="BA684" s="2338"/>
      <c r="BB684" s="2338"/>
      <c r="BC684" s="2338"/>
      <c r="BD684" s="2338"/>
      <c r="BE684" s="2338"/>
      <c r="BF684" s="2338"/>
      <c r="BG684" s="2338"/>
      <c r="BH684" s="2338"/>
      <c r="BI684" s="2338"/>
      <c r="BJ684" s="2338"/>
      <c r="BK684" s="2338"/>
      <c r="BL684" s="2338"/>
      <c r="BM684" s="2338"/>
      <c r="BN684" s="2338"/>
      <c r="BO684" s="2338"/>
      <c r="BP684" s="2338"/>
      <c r="BQ684" s="2338"/>
      <c r="BR684" s="2338"/>
      <c r="BS684" s="2338"/>
      <c r="BT684" s="2338"/>
      <c r="BU684" s="2338"/>
      <c r="BV684" s="2338"/>
      <c r="BW684" s="2338"/>
      <c r="BX684" s="2338"/>
      <c r="BY684" s="2338"/>
      <c r="BZ684" s="2338"/>
      <c r="CA684" s="2338"/>
      <c r="CB684" s="2338"/>
      <c r="CC684" s="2338"/>
      <c r="CD684" s="2338"/>
      <c r="CE684" s="2338"/>
      <c r="CF684" s="2338"/>
      <c r="CG684" s="2338"/>
      <c r="CH684" s="2338"/>
      <c r="CI684" s="2338"/>
      <c r="CJ684" s="2338"/>
      <c r="CK684" s="2338"/>
      <c r="CL684" s="2338"/>
      <c r="CM684" s="2338"/>
      <c r="CN684" s="2338"/>
      <c r="CO684" s="2338"/>
      <c r="CP684" s="2338"/>
      <c r="CQ684" s="2338"/>
      <c r="CR684" s="2338"/>
      <c r="CS684" s="2338"/>
      <c r="CT684" s="2338"/>
      <c r="CU684" s="2338"/>
      <c r="CV684" s="2338"/>
      <c r="CW684" s="2338"/>
      <c r="CX684" s="2338"/>
      <c r="CY684" s="2338"/>
      <c r="CZ684" s="2338"/>
      <c r="DA684" s="2338"/>
      <c r="DB684" s="2338"/>
      <c r="DC684" s="2338"/>
      <c r="DD684" s="2338"/>
      <c r="DE684" s="2338"/>
      <c r="DF684" s="2338"/>
      <c r="DG684" s="2338"/>
    </row>
    <row r="685" spans="1:111" s="1118" customFormat="1" ht="15" hidden="1" customHeight="1" outlineLevel="1">
      <c r="A685" s="2397"/>
      <c r="B685" s="3094" t="s">
        <v>2952</v>
      </c>
      <c r="C685" s="3095"/>
      <c r="D685" s="3095"/>
      <c r="E685" s="3096" t="s">
        <v>3879</v>
      </c>
      <c r="F685" s="3097"/>
      <c r="G685" s="2400"/>
      <c r="H685" s="2841"/>
      <c r="I685" s="2841"/>
      <c r="J685" s="2841"/>
      <c r="K685" s="2841"/>
      <c r="L685" s="2841"/>
      <c r="M685" s="2841"/>
      <c r="N685" s="2841"/>
      <c r="O685" s="2841"/>
      <c r="P685" s="2841"/>
      <c r="Q685" s="2826"/>
      <c r="R685" s="2826"/>
      <c r="S685" s="2826"/>
      <c r="T685" s="2826"/>
      <c r="U685" s="2826"/>
      <c r="V685" s="2567"/>
      <c r="W685" s="2567"/>
      <c r="X685" s="2567"/>
      <c r="Y685" s="2567"/>
      <c r="Z685" s="2645">
        <f>$Z$13</f>
        <v>1.0528</v>
      </c>
      <c r="AA685" s="2645">
        <f>$AA$13</f>
        <v>1.0589</v>
      </c>
      <c r="AB685" s="2645">
        <f>$AB$13</f>
        <v>1.0507936887282501</v>
      </c>
      <c r="AC685" s="2645">
        <f>$AC$13</f>
        <v>1.04657781587849</v>
      </c>
      <c r="AD685" s="2566"/>
      <c r="AE685" s="2566"/>
      <c r="AF685" s="2566"/>
      <c r="AG685" s="2566"/>
      <c r="AH685" s="2566"/>
      <c r="AI685" s="2566"/>
      <c r="AJ685" s="2566"/>
      <c r="AK685" s="2338"/>
      <c r="AL685" s="2338"/>
      <c r="AM685" s="2338"/>
      <c r="AN685" s="2338"/>
      <c r="AO685" s="2338"/>
      <c r="AP685" s="2338"/>
      <c r="AQ685" s="2338"/>
      <c r="AR685" s="2338"/>
      <c r="AS685" s="2338"/>
      <c r="AT685" s="2338"/>
      <c r="AU685" s="2338"/>
      <c r="AV685" s="2338"/>
      <c r="AW685" s="2338"/>
      <c r="AX685" s="2338"/>
      <c r="AY685" s="2338"/>
      <c r="AZ685" s="2338"/>
      <c r="BA685" s="2338"/>
      <c r="BB685" s="2338"/>
      <c r="BC685" s="2338"/>
      <c r="BD685" s="2338"/>
      <c r="BE685" s="2338"/>
      <c r="BF685" s="2338"/>
      <c r="BG685" s="2338"/>
      <c r="BH685" s="2338"/>
      <c r="BI685" s="2338"/>
      <c r="BJ685" s="2338"/>
      <c r="BK685" s="2338"/>
      <c r="BL685" s="2338"/>
      <c r="BM685" s="2338"/>
      <c r="BN685" s="2338"/>
      <c r="BO685" s="2338"/>
      <c r="BP685" s="2338"/>
      <c r="BQ685" s="2338"/>
      <c r="BR685" s="2338"/>
      <c r="BS685" s="2338"/>
      <c r="BT685" s="2338"/>
      <c r="BU685" s="2338"/>
      <c r="BV685" s="2338"/>
      <c r="BW685" s="2338"/>
      <c r="BX685" s="2338"/>
      <c r="BY685" s="2338"/>
      <c r="BZ685" s="2338"/>
      <c r="CA685" s="2338"/>
      <c r="CB685" s="2338"/>
      <c r="CC685" s="2338"/>
      <c r="CD685" s="2338"/>
      <c r="CE685" s="2338"/>
      <c r="CF685" s="2338"/>
      <c r="CG685" s="2338"/>
      <c r="CH685" s="2338"/>
      <c r="CI685" s="2338"/>
      <c r="CJ685" s="2338"/>
      <c r="CK685" s="2338"/>
      <c r="CL685" s="2338"/>
      <c r="CM685" s="2338"/>
      <c r="CN685" s="2338"/>
      <c r="CO685" s="2338"/>
      <c r="CP685" s="2338"/>
      <c r="CQ685" s="2338"/>
      <c r="CR685" s="2338"/>
      <c r="CS685" s="2338"/>
      <c r="CT685" s="2338"/>
      <c r="CU685" s="2338"/>
      <c r="CV685" s="2338"/>
      <c r="CW685" s="2338"/>
      <c r="CX685" s="2338"/>
      <c r="CY685" s="2338"/>
      <c r="CZ685" s="2338"/>
      <c r="DA685" s="2338"/>
      <c r="DB685" s="2338"/>
      <c r="DC685" s="2338"/>
      <c r="DD685" s="2338"/>
      <c r="DE685" s="2338"/>
      <c r="DF685" s="2338"/>
      <c r="DG685" s="2338"/>
    </row>
    <row r="686" spans="1:111" s="1118" customFormat="1" ht="15" hidden="1" outlineLevel="1">
      <c r="A686" s="2318"/>
      <c r="B686" s="3052"/>
      <c r="C686" s="3047"/>
      <c r="D686" s="3047"/>
      <c r="E686" s="3089" t="s">
        <v>3880</v>
      </c>
      <c r="F686" s="3090"/>
      <c r="G686" s="2401"/>
      <c r="H686" s="2641"/>
      <c r="I686" s="2641"/>
      <c r="J686" s="2641"/>
      <c r="K686" s="2641"/>
      <c r="L686" s="2641"/>
      <c r="M686" s="2641"/>
      <c r="N686" s="2641"/>
      <c r="O686" s="2641"/>
      <c r="P686" s="2641"/>
      <c r="Q686" s="2649"/>
      <c r="R686" s="2641"/>
      <c r="S686" s="2641"/>
      <c r="T686" s="2641"/>
      <c r="U686" s="2641"/>
      <c r="V686" s="2566"/>
      <c r="W686" s="2566"/>
      <c r="X686" s="2566"/>
      <c r="Y686" s="2566"/>
      <c r="Z686" s="2566"/>
      <c r="AA686" s="2566"/>
      <c r="AB686" s="2566"/>
      <c r="AC686" s="2566"/>
      <c r="AD686" s="2566"/>
      <c r="AE686" s="2566"/>
      <c r="AF686" s="2566"/>
      <c r="AG686" s="2566"/>
      <c r="AH686" s="2566"/>
      <c r="AI686" s="2566"/>
      <c r="AJ686" s="2566"/>
      <c r="AK686" s="2338"/>
      <c r="AL686" s="2338"/>
      <c r="AM686" s="2338"/>
      <c r="AN686" s="2338"/>
      <c r="AO686" s="2338"/>
      <c r="AP686" s="2338"/>
      <c r="AQ686" s="2338"/>
      <c r="AR686" s="2338"/>
      <c r="AS686" s="2338"/>
      <c r="AT686" s="2338"/>
      <c r="AU686" s="2338"/>
      <c r="AV686" s="2338"/>
      <c r="AW686" s="2338"/>
      <c r="AX686" s="2338"/>
      <c r="AY686" s="2338"/>
      <c r="AZ686" s="2338"/>
      <c r="BA686" s="2338"/>
      <c r="BB686" s="2338"/>
      <c r="BC686" s="2338"/>
      <c r="BD686" s="2338"/>
      <c r="BE686" s="2338"/>
      <c r="BF686" s="2338"/>
      <c r="BG686" s="2338"/>
      <c r="BH686" s="2338"/>
      <c r="BI686" s="2338"/>
      <c r="BJ686" s="2338"/>
      <c r="BK686" s="2338"/>
      <c r="BL686" s="2338"/>
      <c r="BM686" s="2338"/>
      <c r="BN686" s="2338"/>
      <c r="BO686" s="2338"/>
      <c r="BP686" s="2338"/>
      <c r="BQ686" s="2338"/>
      <c r="BR686" s="2338"/>
      <c r="BS686" s="2338"/>
      <c r="BT686" s="2338"/>
      <c r="BU686" s="2338"/>
      <c r="BV686" s="2338"/>
      <c r="BW686" s="2338"/>
      <c r="BX686" s="2338"/>
      <c r="BY686" s="2338"/>
      <c r="BZ686" s="2338"/>
      <c r="CA686" s="2338"/>
      <c r="CB686" s="2338"/>
      <c r="CC686" s="2338"/>
      <c r="CD686" s="2338"/>
      <c r="CE686" s="2338"/>
      <c r="CF686" s="2338"/>
      <c r="CG686" s="2338"/>
      <c r="CH686" s="2338"/>
      <c r="CI686" s="2338"/>
      <c r="CJ686" s="2338"/>
      <c r="CK686" s="2338"/>
      <c r="CL686" s="2338"/>
      <c r="CM686" s="2338"/>
      <c r="CN686" s="2338"/>
      <c r="CO686" s="2338"/>
      <c r="CP686" s="2338"/>
      <c r="CQ686" s="2338"/>
      <c r="CR686" s="2338"/>
      <c r="CS686" s="2338"/>
      <c r="CT686" s="2338"/>
      <c r="CU686" s="2338"/>
      <c r="CV686" s="2338"/>
      <c r="CW686" s="2338"/>
      <c r="CX686" s="2338"/>
      <c r="CY686" s="2338"/>
      <c r="CZ686" s="2338"/>
      <c r="DA686" s="2338"/>
      <c r="DB686" s="2338"/>
      <c r="DC686" s="2338"/>
      <c r="DD686" s="2338"/>
      <c r="DE686" s="2338"/>
      <c r="DF686" s="2338"/>
      <c r="DG686" s="2338"/>
    </row>
    <row r="687" spans="1:111" s="1118" customFormat="1" ht="15" hidden="1" outlineLevel="1">
      <c r="A687" s="2318"/>
      <c r="B687" s="3052" t="s">
        <v>2948</v>
      </c>
      <c r="C687" s="3047"/>
      <c r="D687" s="3047"/>
      <c r="E687" s="3089" t="s">
        <v>3879</v>
      </c>
      <c r="F687" s="3090"/>
      <c r="G687" s="2401"/>
      <c r="H687" s="2641"/>
      <c r="I687" s="2641"/>
      <c r="J687" s="2641"/>
      <c r="K687" s="2641"/>
      <c r="L687" s="2641"/>
      <c r="M687" s="2641"/>
      <c r="N687" s="2641"/>
      <c r="O687" s="2641"/>
      <c r="P687" s="2641"/>
      <c r="Q687" s="2649"/>
      <c r="R687" s="2641"/>
      <c r="S687" s="2641"/>
      <c r="T687" s="2641"/>
      <c r="U687" s="2641"/>
      <c r="V687" s="2566"/>
      <c r="W687" s="2566"/>
      <c r="X687" s="2566"/>
      <c r="Y687" s="2566"/>
      <c r="Z687" s="2566"/>
      <c r="AA687" s="2566"/>
      <c r="AB687" s="2566"/>
      <c r="AC687" s="2566"/>
      <c r="AD687" s="2566"/>
      <c r="AE687" s="2566"/>
      <c r="AF687" s="2566"/>
      <c r="AG687" s="2566"/>
      <c r="AH687" s="2566"/>
      <c r="AI687" s="2566"/>
      <c r="AJ687" s="2566"/>
      <c r="AK687" s="2338"/>
      <c r="AL687" s="2338"/>
      <c r="AM687" s="2338"/>
      <c r="AN687" s="2338"/>
      <c r="AO687" s="2338"/>
      <c r="AP687" s="2338"/>
      <c r="AQ687" s="2338"/>
      <c r="AR687" s="2338"/>
      <c r="AS687" s="2338"/>
      <c r="AT687" s="2338"/>
      <c r="AU687" s="2338"/>
      <c r="AV687" s="2338"/>
      <c r="AW687" s="2338"/>
      <c r="AX687" s="2338"/>
      <c r="AY687" s="2338"/>
      <c r="AZ687" s="2338"/>
      <c r="BA687" s="2338"/>
      <c r="BB687" s="2338"/>
      <c r="BC687" s="2338"/>
      <c r="BD687" s="2338"/>
      <c r="BE687" s="2338"/>
      <c r="BF687" s="2338"/>
      <c r="BG687" s="2338"/>
      <c r="BH687" s="2338"/>
      <c r="BI687" s="2338"/>
      <c r="BJ687" s="2338"/>
      <c r="BK687" s="2338"/>
      <c r="BL687" s="2338"/>
      <c r="BM687" s="2338"/>
      <c r="BN687" s="2338"/>
      <c r="BO687" s="2338"/>
      <c r="BP687" s="2338"/>
      <c r="BQ687" s="2338"/>
      <c r="BR687" s="2338"/>
      <c r="BS687" s="2338"/>
      <c r="BT687" s="2338"/>
      <c r="BU687" s="2338"/>
      <c r="BV687" s="2338"/>
      <c r="BW687" s="2338"/>
      <c r="BX687" s="2338"/>
      <c r="BY687" s="2338"/>
      <c r="BZ687" s="2338"/>
      <c r="CA687" s="2338"/>
      <c r="CB687" s="2338"/>
      <c r="CC687" s="2338"/>
      <c r="CD687" s="2338"/>
      <c r="CE687" s="2338"/>
      <c r="CF687" s="2338"/>
      <c r="CG687" s="2338"/>
      <c r="CH687" s="2338"/>
      <c r="CI687" s="2338"/>
      <c r="CJ687" s="2338"/>
      <c r="CK687" s="2338"/>
      <c r="CL687" s="2338"/>
      <c r="CM687" s="2338"/>
      <c r="CN687" s="2338"/>
      <c r="CO687" s="2338"/>
      <c r="CP687" s="2338"/>
      <c r="CQ687" s="2338"/>
      <c r="CR687" s="2338"/>
      <c r="CS687" s="2338"/>
      <c r="CT687" s="2338"/>
      <c r="CU687" s="2338"/>
      <c r="CV687" s="2338"/>
      <c r="CW687" s="2338"/>
      <c r="CX687" s="2338"/>
      <c r="CY687" s="2338"/>
      <c r="CZ687" s="2338"/>
      <c r="DA687" s="2338"/>
      <c r="DB687" s="2338"/>
      <c r="DC687" s="2338"/>
      <c r="DD687" s="2338"/>
      <c r="DE687" s="2338"/>
      <c r="DF687" s="2338"/>
      <c r="DG687" s="2338"/>
    </row>
    <row r="688" spans="1:111" s="1118" customFormat="1" ht="15.75" hidden="1" outlineLevel="1" thickBot="1">
      <c r="A688" s="2392"/>
      <c r="B688" s="3087"/>
      <c r="C688" s="3088"/>
      <c r="D688" s="3088"/>
      <c r="E688" s="3091" t="s">
        <v>3880</v>
      </c>
      <c r="F688" s="3092"/>
      <c r="G688" s="2402"/>
      <c r="H688" s="2812"/>
      <c r="I688" s="2812"/>
      <c r="J688" s="2812"/>
      <c r="K688" s="2812"/>
      <c r="L688" s="2812"/>
      <c r="M688" s="2812"/>
      <c r="N688" s="2812"/>
      <c r="O688" s="2812"/>
      <c r="P688" s="2812"/>
      <c r="Q688" s="2812"/>
      <c r="R688" s="2812"/>
      <c r="S688" s="2812"/>
      <c r="T688" s="2812"/>
      <c r="U688" s="2812"/>
      <c r="V688" s="2327"/>
      <c r="W688" s="2327"/>
      <c r="X688" s="2327"/>
      <c r="Y688" s="2327"/>
      <c r="Z688" s="2327"/>
      <c r="AA688" s="2327"/>
      <c r="AB688" s="2327"/>
      <c r="AC688" s="2327"/>
      <c r="AD688" s="2327"/>
      <c r="AE688" s="2327"/>
      <c r="AF688" s="2327"/>
      <c r="AG688" s="2327"/>
      <c r="AH688" s="2327"/>
      <c r="AI688" s="2327"/>
      <c r="AJ688" s="2327"/>
      <c r="AK688" s="2338"/>
      <c r="AL688" s="2338"/>
      <c r="AM688" s="2338"/>
      <c r="AN688" s="2338"/>
      <c r="AO688" s="2338"/>
      <c r="AP688" s="2338"/>
      <c r="AQ688" s="2338"/>
      <c r="AR688" s="2338"/>
      <c r="AS688" s="2338"/>
      <c r="AT688" s="2338"/>
      <c r="AU688" s="2338"/>
      <c r="AV688" s="2338"/>
      <c r="AW688" s="2338"/>
      <c r="AX688" s="2338"/>
      <c r="AY688" s="2338"/>
      <c r="AZ688" s="2338"/>
      <c r="BA688" s="2338"/>
      <c r="BB688" s="2338"/>
      <c r="BC688" s="2338"/>
      <c r="BD688" s="2338"/>
      <c r="BE688" s="2338"/>
      <c r="BF688" s="2338"/>
      <c r="BG688" s="2338"/>
      <c r="BH688" s="2338"/>
      <c r="BI688" s="2338"/>
      <c r="BJ688" s="2338"/>
      <c r="BK688" s="2338"/>
      <c r="BL688" s="2338"/>
      <c r="BM688" s="2338"/>
      <c r="BN688" s="2338"/>
      <c r="BO688" s="2338"/>
      <c r="BP688" s="2338"/>
      <c r="BQ688" s="2338"/>
      <c r="BR688" s="2338"/>
      <c r="BS688" s="2338"/>
      <c r="BT688" s="2338"/>
      <c r="BU688" s="2338"/>
      <c r="BV688" s="2338"/>
      <c r="BW688" s="2338"/>
      <c r="BX688" s="2338"/>
      <c r="BY688" s="2338"/>
      <c r="BZ688" s="2338"/>
      <c r="CA688" s="2338"/>
      <c r="CB688" s="2338"/>
      <c r="CC688" s="2338"/>
      <c r="CD688" s="2338"/>
      <c r="CE688" s="2338"/>
      <c r="CF688" s="2338"/>
      <c r="CG688" s="2338"/>
      <c r="CH688" s="2338"/>
      <c r="CI688" s="2338"/>
      <c r="CJ688" s="2338"/>
      <c r="CK688" s="2338"/>
      <c r="CL688" s="2338"/>
      <c r="CM688" s="2338"/>
      <c r="CN688" s="2338"/>
      <c r="CO688" s="2338"/>
      <c r="CP688" s="2338"/>
      <c r="CQ688" s="2338"/>
      <c r="CR688" s="2338"/>
      <c r="CS688" s="2338"/>
      <c r="CT688" s="2338"/>
      <c r="CU688" s="2338"/>
      <c r="CV688" s="2338"/>
      <c r="CW688" s="2338"/>
      <c r="CX688" s="2338"/>
      <c r="CY688" s="2338"/>
      <c r="CZ688" s="2338"/>
      <c r="DA688" s="2338"/>
      <c r="DB688" s="2338"/>
      <c r="DC688" s="2338"/>
      <c r="DD688" s="2338"/>
      <c r="DE688" s="2338"/>
      <c r="DF688" s="2338"/>
      <c r="DG688" s="2338"/>
    </row>
    <row r="689" spans="5:15" collapsed="1"/>
    <row r="691" spans="5:15" ht="18.75" hidden="1" outlineLevel="1">
      <c r="E691" s="2449" t="s">
        <v>3954</v>
      </c>
      <c r="F691" s="2450"/>
      <c r="G691" s="2450"/>
      <c r="H691" s="2450"/>
      <c r="I691" s="2451"/>
      <c r="J691" s="2451"/>
      <c r="K691" s="2451"/>
      <c r="L691" s="2451"/>
      <c r="M691" s="2450"/>
      <c r="N691" s="2450"/>
      <c r="O691" s="2449" t="s">
        <v>3955</v>
      </c>
    </row>
    <row r="692" spans="5:15" ht="18.75" hidden="1" outlineLevel="1">
      <c r="E692" s="2449"/>
      <c r="F692" s="2450"/>
      <c r="G692" s="2450"/>
      <c r="H692" s="2450"/>
      <c r="I692" s="2451"/>
      <c r="J692" s="2451"/>
      <c r="K692" s="2451"/>
      <c r="L692" s="2451"/>
      <c r="M692" s="2450"/>
      <c r="N692" s="2450"/>
      <c r="O692" s="2450"/>
    </row>
    <row r="693" spans="5:15" ht="18.75" hidden="1" outlineLevel="1">
      <c r="E693" s="2449"/>
      <c r="F693" s="2450"/>
      <c r="G693" s="2450"/>
      <c r="H693" s="2450"/>
      <c r="I693" s="2451"/>
      <c r="J693" s="2451"/>
      <c r="K693" s="2451"/>
      <c r="L693" s="2451"/>
      <c r="M693" s="2450"/>
      <c r="N693" s="2450"/>
      <c r="O693" s="2450"/>
    </row>
    <row r="694" spans="5:15" ht="18.75" hidden="1" outlineLevel="1">
      <c r="E694" s="2449" t="s">
        <v>3351</v>
      </c>
      <c r="F694" s="2450"/>
      <c r="G694" s="2450"/>
      <c r="H694" s="2450"/>
      <c r="I694" s="2451"/>
      <c r="J694" s="2451"/>
      <c r="K694" s="2451"/>
      <c r="L694" s="2451"/>
      <c r="M694" s="2450"/>
      <c r="N694" s="2450"/>
      <c r="O694" s="2449" t="s">
        <v>3352</v>
      </c>
    </row>
    <row r="695" spans="5:15" ht="18.75" hidden="1" outlineLevel="1">
      <c r="E695" s="2449"/>
      <c r="F695" s="2450"/>
      <c r="G695" s="2450"/>
      <c r="H695" s="2450"/>
      <c r="I695" s="2451"/>
      <c r="J695" s="2451"/>
      <c r="K695" s="2451"/>
      <c r="L695" s="2451"/>
      <c r="M695" s="2450"/>
      <c r="N695" s="2450"/>
      <c r="O695" s="2450"/>
    </row>
    <row r="696" spans="5:15" ht="18.75" hidden="1" outlineLevel="1">
      <c r="E696" s="2449"/>
      <c r="F696" s="2450"/>
      <c r="G696" s="2450"/>
      <c r="H696" s="2450"/>
      <c r="I696" s="2451"/>
      <c r="J696" s="2451"/>
      <c r="K696" s="2451"/>
      <c r="L696" s="2451"/>
      <c r="M696" s="2450"/>
      <c r="N696" s="2450"/>
      <c r="O696" s="2450"/>
    </row>
    <row r="697" spans="5:15" ht="18.75" hidden="1" outlineLevel="1">
      <c r="E697" s="2449" t="s">
        <v>3881</v>
      </c>
      <c r="F697" s="2450"/>
      <c r="G697" s="2450"/>
      <c r="H697" s="2450"/>
      <c r="I697" s="2451"/>
      <c r="J697" s="2451"/>
      <c r="K697" s="2451"/>
      <c r="L697" s="2451"/>
      <c r="M697" s="2450"/>
      <c r="N697" s="2450"/>
      <c r="O697" s="2449" t="s">
        <v>3882</v>
      </c>
    </row>
    <row r="698" spans="5:15" hidden="1" outlineLevel="1"/>
    <row r="699" spans="5:15" hidden="1" outlineLevel="1"/>
    <row r="700" spans="5:15" hidden="1" outlineLevel="1"/>
    <row r="701" spans="5:15" hidden="1" outlineLevel="1"/>
    <row r="702" spans="5:15" hidden="1" outlineLevel="1"/>
    <row r="703" spans="5:15" hidden="1" outlineLevel="1"/>
    <row r="704" spans="5:15" hidden="1" outlineLevel="1"/>
    <row r="705" spans="8:20" hidden="1" outlineLevel="1"/>
    <row r="706" spans="8:20" hidden="1" outlineLevel="1"/>
    <row r="707" spans="8:20" hidden="1" outlineLevel="1"/>
    <row r="708" spans="8:20" hidden="1" outlineLevel="1"/>
    <row r="709" spans="8:20" hidden="1" outlineLevel="1"/>
    <row r="710" spans="8:20" hidden="1" outlineLevel="1"/>
    <row r="711" spans="8:20" hidden="1" outlineLevel="1"/>
    <row r="712" spans="8:20" hidden="1" outlineLevel="1"/>
    <row r="713" spans="8:20" hidden="1" outlineLevel="1"/>
    <row r="714" spans="8:20" ht="13.5" hidden="1" outlineLevel="1" thickBot="1"/>
    <row r="715" spans="8:20" ht="13.5" hidden="1" outlineLevel="1" thickBot="1">
      <c r="K715" s="3122" t="s">
        <v>4253</v>
      </c>
      <c r="L715" s="3123"/>
      <c r="M715" s="3123"/>
      <c r="N715" s="3123"/>
      <c r="O715" s="3123"/>
      <c r="P715" s="3124"/>
    </row>
    <row r="716" spans="8:20" hidden="1" outlineLevel="1">
      <c r="H716" s="3125" t="s">
        <v>4251</v>
      </c>
      <c r="I716" s="3126"/>
      <c r="J716" s="3126"/>
      <c r="K716" s="1408"/>
      <c r="L716" s="1408"/>
      <c r="M716" s="3127" t="s">
        <v>4251</v>
      </c>
      <c r="N716" s="3128"/>
      <c r="O716" s="3128"/>
      <c r="P716" s="1408"/>
      <c r="Q716" s="2757"/>
      <c r="R716" s="3129" t="s">
        <v>4251</v>
      </c>
      <c r="S716" s="3126"/>
      <c r="T716" s="3130"/>
    </row>
    <row r="717" spans="8:20" hidden="1" outlineLevel="1">
      <c r="H717" s="3120" t="s">
        <v>4248</v>
      </c>
      <c r="I717" s="3113"/>
      <c r="J717" s="3113"/>
      <c r="K717" s="1408"/>
      <c r="L717" s="1408"/>
      <c r="M717" s="3114" t="s">
        <v>4250</v>
      </c>
      <c r="N717" s="3113"/>
      <c r="O717" s="3113"/>
      <c r="P717" s="1408"/>
      <c r="Q717" s="1408"/>
      <c r="R717" s="3114" t="s">
        <v>4249</v>
      </c>
      <c r="S717" s="3113"/>
      <c r="T717" s="3116"/>
    </row>
    <row r="718" spans="8:20" hidden="1" outlineLevel="1">
      <c r="H718" s="2758">
        <v>2015</v>
      </c>
      <c r="I718" s="2718">
        <v>2016</v>
      </c>
      <c r="J718" s="2718">
        <v>2017</v>
      </c>
      <c r="K718" s="1408"/>
      <c r="L718" s="1408"/>
      <c r="M718" s="2718">
        <v>2015</v>
      </c>
      <c r="N718" s="2718">
        <v>2016</v>
      </c>
      <c r="O718" s="2718">
        <v>2017</v>
      </c>
      <c r="P718" s="1408"/>
      <c r="Q718" s="1408"/>
      <c r="R718" s="2718">
        <v>2015</v>
      </c>
      <c r="S718" s="2718">
        <v>2016</v>
      </c>
      <c r="T718" s="2759">
        <v>2017</v>
      </c>
    </row>
    <row r="719" spans="8:20" hidden="1" outlineLevel="1">
      <c r="H719" s="2760">
        <f>(H19+H43+H44+H49+H77+H101+H218+H250+H274+H306)/1000</f>
        <v>17.510999999999999</v>
      </c>
      <c r="I719" s="2722">
        <f>(I19+I43+I44+I101+I213+I218+I219+I274)/1000</f>
        <v>11.125</v>
      </c>
      <c r="J719" s="2722">
        <f>(J19+J20+J25+J43+J77+J101+J194+J218+J274)/1000</f>
        <v>20.37</v>
      </c>
      <c r="K719" s="1408"/>
      <c r="L719" s="1408"/>
      <c r="M719" s="2717">
        <f>(M19+M43+M44+M49+M77+M101+M218+M250+M274+M306)/1000</f>
        <v>0.92623</v>
      </c>
      <c r="N719" s="2717">
        <f>(N19+N43+N44+N101+N213+N218+N219+N274)/1000</f>
        <v>4.7699099999999994</v>
      </c>
      <c r="O719" s="2717">
        <f>(O19+O20+O25+O43+O77+O101+O194+O218+O274)/1000</f>
        <v>0.50305</v>
      </c>
      <c r="P719" s="1408"/>
      <c r="Q719" s="1408"/>
      <c r="R719" s="2755">
        <f>(R19+R43+R44+R49+R77+R101+R218+R250+R274+R306)/1000</f>
        <v>10.421714165999999</v>
      </c>
      <c r="S719" s="2755">
        <f>(S19+S43+S44+S101+S213+S218+S219+S274)/1000</f>
        <v>8.9037595700000001</v>
      </c>
      <c r="T719" s="2761">
        <f>(T19+T20+T25+T43+T77+T101+T194+T218+T274)/1000</f>
        <v>13.208574739999998</v>
      </c>
    </row>
    <row r="720" spans="8:20" hidden="1" outlineLevel="1">
      <c r="H720" s="2762">
        <f>' (стр.15)'!F209</f>
        <v>17.510999999999999</v>
      </c>
      <c r="I720" s="2722">
        <f>'(стр.16)'!F181</f>
        <v>11.125</v>
      </c>
      <c r="J720" s="2722">
        <f>'(Стр.17)'!F141</f>
        <v>20.37</v>
      </c>
      <c r="K720" s="1408"/>
      <c r="L720" s="1408"/>
      <c r="M720" s="2717">
        <f>' (стр.15)'!G209/1000</f>
        <v>0.92623</v>
      </c>
      <c r="N720" s="2717">
        <f>'(стр.16)'!G181/1000</f>
        <v>4.7699099999999994</v>
      </c>
      <c r="O720" s="2717">
        <f>'(Стр.17)'!G141/1000</f>
        <v>0.50305</v>
      </c>
      <c r="P720" s="1408"/>
      <c r="Q720" s="1408"/>
      <c r="R720" s="2671">
        <f>' (стр.15)'!P209/1000000</f>
        <v>10.421714165999999</v>
      </c>
      <c r="S720" s="2671">
        <f>'(стр.16)'!P181/1000000</f>
        <v>8.9037595700000001</v>
      </c>
      <c r="T720" s="2763">
        <f>'(Стр.17)'!P141/1000000</f>
        <v>13.208574739999998</v>
      </c>
    </row>
    <row r="721" spans="8:20" hidden="1" outlineLevel="1">
      <c r="H721" s="2764" t="b">
        <f>H719=H720</f>
        <v>1</v>
      </c>
      <c r="I721" s="2756" t="b">
        <f>I720=I719</f>
        <v>1</v>
      </c>
      <c r="J721" s="2756" t="b">
        <f>J720=J719</f>
        <v>1</v>
      </c>
      <c r="K721" s="1408"/>
      <c r="L721" s="1408"/>
      <c r="M721" s="2756" t="b">
        <f>M720=M719</f>
        <v>1</v>
      </c>
      <c r="N721" s="2756" t="b">
        <f>N720=N719</f>
        <v>1</v>
      </c>
      <c r="O721" s="2756" t="b">
        <f>O720=O719</f>
        <v>1</v>
      </c>
      <c r="P721" s="1408"/>
      <c r="Q721" s="1408"/>
      <c r="R721" s="2756" t="b">
        <f>R720=R719</f>
        <v>1</v>
      </c>
      <c r="S721" s="2756" t="b">
        <f>S720=S719</f>
        <v>1</v>
      </c>
      <c r="T721" s="2765" t="b">
        <f>T720=T719</f>
        <v>1</v>
      </c>
    </row>
    <row r="722" spans="8:20" hidden="1" outlineLevel="1">
      <c r="H722" s="2766"/>
      <c r="I722" s="1408"/>
      <c r="J722" s="1408"/>
      <c r="K722" s="1408"/>
      <c r="L722" s="1408"/>
      <c r="M722" s="1408"/>
      <c r="N722" s="1408"/>
      <c r="O722" s="1408"/>
      <c r="P722" s="1408"/>
      <c r="Q722" s="1408"/>
      <c r="R722" s="1408"/>
      <c r="S722" s="1408"/>
      <c r="T722" s="2767"/>
    </row>
    <row r="723" spans="8:20" hidden="1" outlineLevel="1">
      <c r="H723" s="2766"/>
      <c r="I723" s="1408"/>
      <c r="J723" s="1408"/>
      <c r="K723" s="1408"/>
      <c r="L723" s="1408"/>
      <c r="M723" s="1408"/>
      <c r="N723" s="1408"/>
      <c r="O723" s="1408"/>
      <c r="P723" s="1408"/>
      <c r="Q723" s="1408"/>
      <c r="R723" s="1408"/>
      <c r="S723" s="1408"/>
      <c r="T723" s="2767"/>
    </row>
    <row r="724" spans="8:20" hidden="1" outlineLevel="1">
      <c r="H724" s="3112" t="s">
        <v>4252</v>
      </c>
      <c r="I724" s="3113"/>
      <c r="J724" s="3113"/>
      <c r="K724" s="1408"/>
      <c r="L724" s="1408"/>
      <c r="M724" s="3117" t="s">
        <v>4252</v>
      </c>
      <c r="N724" s="3118"/>
      <c r="O724" s="3119"/>
      <c r="P724" s="1408"/>
      <c r="Q724" s="1408"/>
      <c r="R724" s="3115" t="s">
        <v>4252</v>
      </c>
      <c r="S724" s="3113"/>
      <c r="T724" s="3116"/>
    </row>
    <row r="725" spans="8:20" hidden="1" outlineLevel="1">
      <c r="H725" s="3120" t="s">
        <v>4248</v>
      </c>
      <c r="I725" s="3113"/>
      <c r="J725" s="3113"/>
      <c r="K725" s="1408"/>
      <c r="L725" s="1408"/>
      <c r="M725" s="3114" t="s">
        <v>4250</v>
      </c>
      <c r="N725" s="3113"/>
      <c r="O725" s="3113"/>
      <c r="P725" s="1408"/>
      <c r="Q725" s="1408"/>
      <c r="R725" s="3114" t="s">
        <v>4249</v>
      </c>
      <c r="S725" s="3113"/>
      <c r="T725" s="3116"/>
    </row>
    <row r="726" spans="8:20" hidden="1" outlineLevel="1">
      <c r="H726" s="2758">
        <v>2015</v>
      </c>
      <c r="I726" s="2718">
        <v>2016</v>
      </c>
      <c r="J726" s="2718">
        <v>2017</v>
      </c>
      <c r="K726" s="1408"/>
      <c r="L726" s="1408"/>
      <c r="M726" s="2718">
        <v>2015</v>
      </c>
      <c r="N726" s="2718">
        <v>2016</v>
      </c>
      <c r="O726" s="2718">
        <v>2017</v>
      </c>
      <c r="P726" s="1408"/>
      <c r="Q726" s="1408"/>
      <c r="R726" s="2718">
        <v>2015</v>
      </c>
      <c r="S726" s="2718">
        <v>2016</v>
      </c>
      <c r="T726" s="2759">
        <v>2017</v>
      </c>
    </row>
    <row r="727" spans="8:20" hidden="1" outlineLevel="1">
      <c r="H727" s="2768">
        <f>H614+H646+H649</f>
        <v>6</v>
      </c>
      <c r="I727" s="2632">
        <f>I614+I615+I617</f>
        <v>6</v>
      </c>
      <c r="J727" s="2632">
        <f>J646+J647</f>
        <v>3</v>
      </c>
      <c r="K727" s="1408"/>
      <c r="L727" s="1408"/>
      <c r="M727" s="2632">
        <f>M614+M646+M649</f>
        <v>184.7</v>
      </c>
      <c r="N727" s="2632">
        <f>N614+N615+N617</f>
        <v>1630</v>
      </c>
      <c r="O727" s="2632">
        <f>O646+O647</f>
        <v>42.5</v>
      </c>
      <c r="P727" s="1408"/>
      <c r="Q727" s="1408"/>
      <c r="R727" s="2632">
        <f>R614+R646+R649</f>
        <v>1665.1210000000001</v>
      </c>
      <c r="S727" s="2632">
        <f>S614+S615+S617</f>
        <v>2139.9095500000003</v>
      </c>
      <c r="T727" s="2769">
        <f>T646+T647</f>
        <v>683.08470999999997</v>
      </c>
    </row>
    <row r="728" spans="8:20" hidden="1" outlineLevel="1">
      <c r="H728" s="2762">
        <f>' (стр.15)'!Q231</f>
        <v>6</v>
      </c>
      <c r="I728" s="2722">
        <f>'(стр.16)'!Q205+'(стр.16)'!Q230</f>
        <v>6</v>
      </c>
      <c r="J728" s="2722">
        <f>'(Стр.17)'!Q190</f>
        <v>3</v>
      </c>
      <c r="K728" s="1408"/>
      <c r="L728" s="1408"/>
      <c r="M728" s="2721">
        <f>' (стр.15)'!G231</f>
        <v>184.7</v>
      </c>
      <c r="N728" s="2718">
        <f>'(стр.16)'!G205+'(стр.16)'!G230</f>
        <v>1630</v>
      </c>
      <c r="O728" s="2718">
        <f>'(Стр.17)'!G190</f>
        <v>42.5</v>
      </c>
      <c r="P728" s="1408"/>
      <c r="Q728" s="1408"/>
      <c r="R728" s="2721">
        <f>' (стр.15)'!P231/1000</f>
        <v>1665.1210000000001</v>
      </c>
      <c r="S728" s="2721">
        <f>('(стр.16)'!P205+'(стр.16)'!P230)/1000</f>
        <v>2139.9095500000003</v>
      </c>
      <c r="T728" s="2770">
        <f>'(Стр.17)'!P190/1000</f>
        <v>683.08470999999997</v>
      </c>
    </row>
    <row r="729" spans="8:20" ht="13.5" hidden="1" outlineLevel="1" thickBot="1">
      <c r="H729" s="2771" t="b">
        <f>H728=H727</f>
        <v>1</v>
      </c>
      <c r="I729" s="2772" t="b">
        <f>I728=I727</f>
        <v>1</v>
      </c>
      <c r="J729" s="2772" t="b">
        <f>J728=J727</f>
        <v>1</v>
      </c>
      <c r="K729" s="2773"/>
      <c r="L729" s="2773"/>
      <c r="M729" s="2772" t="b">
        <f>M728=M727</f>
        <v>1</v>
      </c>
      <c r="N729" s="2772" t="b">
        <f>N728=N727</f>
        <v>1</v>
      </c>
      <c r="O729" s="2772" t="b">
        <f>O728=O727</f>
        <v>1</v>
      </c>
      <c r="P729" s="2773"/>
      <c r="Q729" s="2773"/>
      <c r="R729" s="2772" t="b">
        <f>R728=R727</f>
        <v>1</v>
      </c>
      <c r="S729" s="2772" t="b">
        <f>S728=S727</f>
        <v>1</v>
      </c>
      <c r="T729" s="2774" t="b">
        <f>T728=T727</f>
        <v>1</v>
      </c>
    </row>
    <row r="730" spans="8:20" collapsed="1"/>
  </sheetData>
  <mergeCells count="499">
    <mergeCell ref="AD664:AG664"/>
    <mergeCell ref="AD666:AG666"/>
    <mergeCell ref="AD682:AG682"/>
    <mergeCell ref="AD684:AG684"/>
    <mergeCell ref="AD456:AG456"/>
    <mergeCell ref="B626:D626"/>
    <mergeCell ref="AD293:AG293"/>
    <mergeCell ref="H454:L454"/>
    <mergeCell ref="H348:L348"/>
    <mergeCell ref="H293:L293"/>
    <mergeCell ref="B318:B341"/>
    <mergeCell ref="C318:C341"/>
    <mergeCell ref="D318:D329"/>
    <mergeCell ref="E318:E323"/>
    <mergeCell ref="E324:E329"/>
    <mergeCell ref="D330:D341"/>
    <mergeCell ref="E330:E335"/>
    <mergeCell ref="E336:E341"/>
    <mergeCell ref="C293:F293"/>
    <mergeCell ref="B294:B317"/>
    <mergeCell ref="C294:C317"/>
    <mergeCell ref="D294:D305"/>
    <mergeCell ref="E294:E299"/>
    <mergeCell ref="E300:E305"/>
    <mergeCell ref="H127:L127"/>
    <mergeCell ref="M454:Q454"/>
    <mergeCell ref="AD346:AG346"/>
    <mergeCell ref="AD348:AG348"/>
    <mergeCell ref="AD454:AG454"/>
    <mergeCell ref="AD235:AG235"/>
    <mergeCell ref="AD237:AG237"/>
    <mergeCell ref="AD291:AG291"/>
    <mergeCell ref="M127:Q127"/>
    <mergeCell ref="M181:Q181"/>
    <mergeCell ref="M237:Q237"/>
    <mergeCell ref="M293:Q293"/>
    <mergeCell ref="M348:Q348"/>
    <mergeCell ref="H235:L235"/>
    <mergeCell ref="M235:Q235"/>
    <mergeCell ref="V348:Y348"/>
    <mergeCell ref="V454:Y454"/>
    <mergeCell ref="Z348:AC348"/>
    <mergeCell ref="Z454:AC454"/>
    <mergeCell ref="H125:L125"/>
    <mergeCell ref="M125:Q125"/>
    <mergeCell ref="H291:L291"/>
    <mergeCell ref="M291:Q291"/>
    <mergeCell ref="H346:K346"/>
    <mergeCell ref="M346:P346"/>
    <mergeCell ref="AD181:AG181"/>
    <mergeCell ref="V291:Y291"/>
    <mergeCell ref="Z291:AC291"/>
    <mergeCell ref="R293:U293"/>
    <mergeCell ref="V293:Y293"/>
    <mergeCell ref="Z293:AC293"/>
    <mergeCell ref="G290:U290"/>
    <mergeCell ref="G291:G292"/>
    <mergeCell ref="R291:U291"/>
    <mergeCell ref="V346:Y346"/>
    <mergeCell ref="V235:Y235"/>
    <mergeCell ref="V127:Y127"/>
    <mergeCell ref="V179:Y179"/>
    <mergeCell ref="Z181:AC181"/>
    <mergeCell ref="Z235:AC235"/>
    <mergeCell ref="Z237:AC237"/>
    <mergeCell ref="Z346:AC346"/>
    <mergeCell ref="H237:L237"/>
    <mergeCell ref="A234:F234"/>
    <mergeCell ref="G234:U234"/>
    <mergeCell ref="A235:A236"/>
    <mergeCell ref="F235:F236"/>
    <mergeCell ref="G235:G236"/>
    <mergeCell ref="R235:U235"/>
    <mergeCell ref="B206:B229"/>
    <mergeCell ref="C206:C229"/>
    <mergeCell ref="D206:D217"/>
    <mergeCell ref="E206:E211"/>
    <mergeCell ref="E212:E217"/>
    <mergeCell ref="B235:B236"/>
    <mergeCell ref="C235:C236"/>
    <mergeCell ref="D235:D236"/>
    <mergeCell ref="E235:E236"/>
    <mergeCell ref="D218:D229"/>
    <mergeCell ref="E218:E223"/>
    <mergeCell ref="E224:E229"/>
    <mergeCell ref="D306:D317"/>
    <mergeCell ref="E306:E311"/>
    <mergeCell ref="E312:E317"/>
    <mergeCell ref="A290:F290"/>
    <mergeCell ref="A291:A292"/>
    <mergeCell ref="B291:B292"/>
    <mergeCell ref="C291:C292"/>
    <mergeCell ref="D291:D292"/>
    <mergeCell ref="E291:E292"/>
    <mergeCell ref="F291:F292"/>
    <mergeCell ref="V456:Y456"/>
    <mergeCell ref="V563:Y563"/>
    <mergeCell ref="V565:Y565"/>
    <mergeCell ref="V599:Y599"/>
    <mergeCell ref="V601:Y601"/>
    <mergeCell ref="V631:Y631"/>
    <mergeCell ref="B262:B285"/>
    <mergeCell ref="C262:C285"/>
    <mergeCell ref="D262:D273"/>
    <mergeCell ref="E262:E267"/>
    <mergeCell ref="E268:E273"/>
    <mergeCell ref="D274:D285"/>
    <mergeCell ref="E274:E279"/>
    <mergeCell ref="E280:E285"/>
    <mergeCell ref="R346:U346"/>
    <mergeCell ref="C348:F348"/>
    <mergeCell ref="R348:U348"/>
    <mergeCell ref="B344:T344"/>
    <mergeCell ref="A345:F345"/>
    <mergeCell ref="G345:U345"/>
    <mergeCell ref="A346:A347"/>
    <mergeCell ref="B346:B347"/>
    <mergeCell ref="C346:C347"/>
    <mergeCell ref="D346:D347"/>
    <mergeCell ref="C237:F237"/>
    <mergeCell ref="R237:U237"/>
    <mergeCell ref="V237:Y237"/>
    <mergeCell ref="B238:B261"/>
    <mergeCell ref="C238:C261"/>
    <mergeCell ref="D238:D249"/>
    <mergeCell ref="E238:E243"/>
    <mergeCell ref="E244:E249"/>
    <mergeCell ref="D250:D261"/>
    <mergeCell ref="E250:E255"/>
    <mergeCell ref="E256:E261"/>
    <mergeCell ref="C181:F181"/>
    <mergeCell ref="R181:U181"/>
    <mergeCell ref="V181:Y181"/>
    <mergeCell ref="B182:B205"/>
    <mergeCell ref="C182:C205"/>
    <mergeCell ref="D182:D193"/>
    <mergeCell ref="E182:E187"/>
    <mergeCell ref="E188:E193"/>
    <mergeCell ref="D194:D205"/>
    <mergeCell ref="E194:E199"/>
    <mergeCell ref="E200:E205"/>
    <mergeCell ref="H181:L181"/>
    <mergeCell ref="A178:F178"/>
    <mergeCell ref="G178:U178"/>
    <mergeCell ref="A179:A180"/>
    <mergeCell ref="B179:B180"/>
    <mergeCell ref="C179:C180"/>
    <mergeCell ref="D179:D180"/>
    <mergeCell ref="E179:E180"/>
    <mergeCell ref="F179:F180"/>
    <mergeCell ref="G179:G180"/>
    <mergeCell ref="M179:P179"/>
    <mergeCell ref="R179:U179"/>
    <mergeCell ref="H179:L179"/>
    <mergeCell ref="B152:B175"/>
    <mergeCell ref="C152:C175"/>
    <mergeCell ref="D152:D163"/>
    <mergeCell ref="E152:E157"/>
    <mergeCell ref="E158:E163"/>
    <mergeCell ref="D164:D175"/>
    <mergeCell ref="E164:E169"/>
    <mergeCell ref="E170:E175"/>
    <mergeCell ref="V68:Y68"/>
    <mergeCell ref="V125:Y125"/>
    <mergeCell ref="V70:Y70"/>
    <mergeCell ref="C127:F127"/>
    <mergeCell ref="R127:U127"/>
    <mergeCell ref="B128:B151"/>
    <mergeCell ref="C128:C151"/>
    <mergeCell ref="D128:D139"/>
    <mergeCell ref="E128:E133"/>
    <mergeCell ref="E134:E139"/>
    <mergeCell ref="D140:D151"/>
    <mergeCell ref="E140:E145"/>
    <mergeCell ref="E146:E151"/>
    <mergeCell ref="A124:F124"/>
    <mergeCell ref="G124:U124"/>
    <mergeCell ref="A125:A126"/>
    <mergeCell ref="B125:B126"/>
    <mergeCell ref="C125:C126"/>
    <mergeCell ref="D125:D126"/>
    <mergeCell ref="E125:E126"/>
    <mergeCell ref="F125:F126"/>
    <mergeCell ref="G125:G126"/>
    <mergeCell ref="R125:U125"/>
    <mergeCell ref="R68:U68"/>
    <mergeCell ref="R10:U10"/>
    <mergeCell ref="B37:B60"/>
    <mergeCell ref="C37:C60"/>
    <mergeCell ref="D37:D48"/>
    <mergeCell ref="E37:E42"/>
    <mergeCell ref="E43:E48"/>
    <mergeCell ref="D49:D60"/>
    <mergeCell ref="E49:E54"/>
    <mergeCell ref="E55:E60"/>
    <mergeCell ref="B13:B36"/>
    <mergeCell ref="C13:C36"/>
    <mergeCell ref="D13:D24"/>
    <mergeCell ref="E13:E18"/>
    <mergeCell ref="E19:E24"/>
    <mergeCell ref="D25:D36"/>
    <mergeCell ref="E25:E30"/>
    <mergeCell ref="V10:Y10"/>
    <mergeCell ref="C12:F12"/>
    <mergeCell ref="R12:U12"/>
    <mergeCell ref="V12:Y12"/>
    <mergeCell ref="A9:F9"/>
    <mergeCell ref="G9:U9"/>
    <mergeCell ref="A10:A11"/>
    <mergeCell ref="B10:B11"/>
    <mergeCell ref="C10:C11"/>
    <mergeCell ref="D10:D11"/>
    <mergeCell ref="E10:E11"/>
    <mergeCell ref="F10:F11"/>
    <mergeCell ref="G10:G11"/>
    <mergeCell ref="H10:L10"/>
    <mergeCell ref="M10:Q10"/>
    <mergeCell ref="H12:L12"/>
    <mergeCell ref="M12:Q12"/>
    <mergeCell ref="E31:E36"/>
    <mergeCell ref="C70:F70"/>
    <mergeCell ref="R70:U70"/>
    <mergeCell ref="A67:F67"/>
    <mergeCell ref="G67:U67"/>
    <mergeCell ref="A68:A69"/>
    <mergeCell ref="B68:B69"/>
    <mergeCell ref="C68:C69"/>
    <mergeCell ref="D68:D69"/>
    <mergeCell ref="E68:E69"/>
    <mergeCell ref="F68:F69"/>
    <mergeCell ref="G68:G69"/>
    <mergeCell ref="H68:L68"/>
    <mergeCell ref="M68:Q68"/>
    <mergeCell ref="H70:L70"/>
    <mergeCell ref="M70:Q70"/>
    <mergeCell ref="B95:B118"/>
    <mergeCell ref="C95:C118"/>
    <mergeCell ref="D95:D106"/>
    <mergeCell ref="E95:E100"/>
    <mergeCell ref="E101:E106"/>
    <mergeCell ref="D107:D118"/>
    <mergeCell ref="E107:E112"/>
    <mergeCell ref="E113:E118"/>
    <mergeCell ref="B71:B94"/>
    <mergeCell ref="C71:C94"/>
    <mergeCell ref="D71:D82"/>
    <mergeCell ref="E71:E76"/>
    <mergeCell ref="E77:E82"/>
    <mergeCell ref="D83:D94"/>
    <mergeCell ref="E83:E88"/>
    <mergeCell ref="E89:E94"/>
    <mergeCell ref="E346:E347"/>
    <mergeCell ref="F346:F347"/>
    <mergeCell ref="G346:G347"/>
    <mergeCell ref="E373:E378"/>
    <mergeCell ref="D379:D390"/>
    <mergeCell ref="E379:E384"/>
    <mergeCell ref="E385:E390"/>
    <mergeCell ref="C391:C396"/>
    <mergeCell ref="D391:D396"/>
    <mergeCell ref="E391:E396"/>
    <mergeCell ref="B349:B426"/>
    <mergeCell ref="C349:C372"/>
    <mergeCell ref="D349:D360"/>
    <mergeCell ref="E349:E354"/>
    <mergeCell ref="E355:E360"/>
    <mergeCell ref="D361:D372"/>
    <mergeCell ref="E361:E366"/>
    <mergeCell ref="E367:E372"/>
    <mergeCell ref="C373:C390"/>
    <mergeCell ref="D373:D378"/>
    <mergeCell ref="C397:C408"/>
    <mergeCell ref="D397:D402"/>
    <mergeCell ref="E397:E402"/>
    <mergeCell ref="D403:D408"/>
    <mergeCell ref="E403:E408"/>
    <mergeCell ref="C409:C426"/>
    <mergeCell ref="D409:D414"/>
    <mergeCell ref="E409:E414"/>
    <mergeCell ref="D415:D426"/>
    <mergeCell ref="E415:E420"/>
    <mergeCell ref="E421:E426"/>
    <mergeCell ref="B427:B450"/>
    <mergeCell ref="C427:C450"/>
    <mergeCell ref="D427:D438"/>
    <mergeCell ref="E427:E432"/>
    <mergeCell ref="E433:E438"/>
    <mergeCell ref="D439:D450"/>
    <mergeCell ref="E439:E444"/>
    <mergeCell ref="E445:E450"/>
    <mergeCell ref="R454:U454"/>
    <mergeCell ref="C456:F456"/>
    <mergeCell ref="R456:U456"/>
    <mergeCell ref="A453:F453"/>
    <mergeCell ref="G453:U453"/>
    <mergeCell ref="A454:A455"/>
    <mergeCell ref="B454:B455"/>
    <mergeCell ref="C454:C455"/>
    <mergeCell ref="D454:D455"/>
    <mergeCell ref="E454:E455"/>
    <mergeCell ref="F454:F455"/>
    <mergeCell ref="G454:G455"/>
    <mergeCell ref="M456:Q456"/>
    <mergeCell ref="H456:L456"/>
    <mergeCell ref="E481:E486"/>
    <mergeCell ref="D487:D498"/>
    <mergeCell ref="E487:E492"/>
    <mergeCell ref="E493:E498"/>
    <mergeCell ref="C499:C504"/>
    <mergeCell ref="D499:D504"/>
    <mergeCell ref="E499:E504"/>
    <mergeCell ref="B457:B534"/>
    <mergeCell ref="C457:C480"/>
    <mergeCell ref="D457:D468"/>
    <mergeCell ref="E457:E462"/>
    <mergeCell ref="E463:E468"/>
    <mergeCell ref="D469:D480"/>
    <mergeCell ref="E469:E474"/>
    <mergeCell ref="E475:E480"/>
    <mergeCell ref="C481:C498"/>
    <mergeCell ref="D481:D486"/>
    <mergeCell ref="C505:C516"/>
    <mergeCell ref="D505:D510"/>
    <mergeCell ref="E505:E510"/>
    <mergeCell ref="D511:D516"/>
    <mergeCell ref="E511:E516"/>
    <mergeCell ref="C517:C534"/>
    <mergeCell ref="D517:D522"/>
    <mergeCell ref="E517:E522"/>
    <mergeCell ref="D523:D534"/>
    <mergeCell ref="E523:E528"/>
    <mergeCell ref="E529:E534"/>
    <mergeCell ref="B535:B558"/>
    <mergeCell ref="C535:C558"/>
    <mergeCell ref="D535:D546"/>
    <mergeCell ref="E535:E540"/>
    <mergeCell ref="E541:E546"/>
    <mergeCell ref="D547:D558"/>
    <mergeCell ref="E547:E552"/>
    <mergeCell ref="E553:E558"/>
    <mergeCell ref="R565:U565"/>
    <mergeCell ref="B566:D580"/>
    <mergeCell ref="E566:E570"/>
    <mergeCell ref="E571:E575"/>
    <mergeCell ref="E576:E580"/>
    <mergeCell ref="M565:Q565"/>
    <mergeCell ref="H565:L565"/>
    <mergeCell ref="A562:F562"/>
    <mergeCell ref="G562:U562"/>
    <mergeCell ref="A563:A564"/>
    <mergeCell ref="B563:D564"/>
    <mergeCell ref="E563:E564"/>
    <mergeCell ref="F563:F564"/>
    <mergeCell ref="G563:G564"/>
    <mergeCell ref="H563:K563"/>
    <mergeCell ref="M563:P563"/>
    <mergeCell ref="R563:U563"/>
    <mergeCell ref="B666:D666"/>
    <mergeCell ref="E666:F666"/>
    <mergeCell ref="H666:K666"/>
    <mergeCell ref="M666:P666"/>
    <mergeCell ref="R666:U666"/>
    <mergeCell ref="B667:D672"/>
    <mergeCell ref="E667:E672"/>
    <mergeCell ref="A663:F663"/>
    <mergeCell ref="G663:U663"/>
    <mergeCell ref="A664:A665"/>
    <mergeCell ref="B664:D665"/>
    <mergeCell ref="E664:E665"/>
    <mergeCell ref="F664:F665"/>
    <mergeCell ref="G664:G665"/>
    <mergeCell ref="H664:K664"/>
    <mergeCell ref="M664:P664"/>
    <mergeCell ref="R664:U664"/>
    <mergeCell ref="R1:T1"/>
    <mergeCell ref="S3:T4"/>
    <mergeCell ref="S5:T5"/>
    <mergeCell ref="B6:S6"/>
    <mergeCell ref="B685:D686"/>
    <mergeCell ref="E685:F685"/>
    <mergeCell ref="E686:F686"/>
    <mergeCell ref="B687:D688"/>
    <mergeCell ref="E687:F687"/>
    <mergeCell ref="E688:F688"/>
    <mergeCell ref="R682:U682"/>
    <mergeCell ref="B684:D684"/>
    <mergeCell ref="E684:F684"/>
    <mergeCell ref="H684:K684"/>
    <mergeCell ref="M684:P684"/>
    <mergeCell ref="R684:U684"/>
    <mergeCell ref="B673:D678"/>
    <mergeCell ref="E673:E678"/>
    <mergeCell ref="A681:F681"/>
    <mergeCell ref="G681:U681"/>
    <mergeCell ref="A682:A683"/>
    <mergeCell ref="B682:D683"/>
    <mergeCell ref="E682:F683"/>
    <mergeCell ref="G682:G683"/>
    <mergeCell ref="Z10:AC10"/>
    <mergeCell ref="AD10:AG10"/>
    <mergeCell ref="AD12:AG12"/>
    <mergeCell ref="Z12:AC12"/>
    <mergeCell ref="Z68:AC68"/>
    <mergeCell ref="Z70:AC70"/>
    <mergeCell ref="Z125:AC125"/>
    <mergeCell ref="Z127:AC127"/>
    <mergeCell ref="Z179:AC179"/>
    <mergeCell ref="AD68:AG68"/>
    <mergeCell ref="AD70:AG70"/>
    <mergeCell ref="AD125:AG125"/>
    <mergeCell ref="AD127:AG127"/>
    <mergeCell ref="AD179:AG179"/>
    <mergeCell ref="Z456:AC456"/>
    <mergeCell ref="Z563:AC563"/>
    <mergeCell ref="Z565:AC565"/>
    <mergeCell ref="A631:A632"/>
    <mergeCell ref="B631:D632"/>
    <mergeCell ref="E631:E632"/>
    <mergeCell ref="F631:F632"/>
    <mergeCell ref="G631:G632"/>
    <mergeCell ref="R631:U631"/>
    <mergeCell ref="Z599:AC599"/>
    <mergeCell ref="Z601:AC601"/>
    <mergeCell ref="A599:A600"/>
    <mergeCell ref="E599:E600"/>
    <mergeCell ref="F599:F600"/>
    <mergeCell ref="G599:G600"/>
    <mergeCell ref="B581:D595"/>
    <mergeCell ref="E581:E585"/>
    <mergeCell ref="E586:E590"/>
    <mergeCell ref="E591:E595"/>
    <mergeCell ref="O591:R591"/>
    <mergeCell ref="A598:F598"/>
    <mergeCell ref="G598:U598"/>
    <mergeCell ref="B565:D565"/>
    <mergeCell ref="E565:F565"/>
    <mergeCell ref="Z664:AC664"/>
    <mergeCell ref="Z631:AC631"/>
    <mergeCell ref="B602:D613"/>
    <mergeCell ref="E602:E607"/>
    <mergeCell ref="E608:E613"/>
    <mergeCell ref="B614:D625"/>
    <mergeCell ref="E614:E619"/>
    <mergeCell ref="E620:E625"/>
    <mergeCell ref="R599:U599"/>
    <mergeCell ref="B601:D601"/>
    <mergeCell ref="E601:F601"/>
    <mergeCell ref="H601:K601"/>
    <mergeCell ref="M601:P601"/>
    <mergeCell ref="R601:U601"/>
    <mergeCell ref="B599:D600"/>
    <mergeCell ref="B646:D657"/>
    <mergeCell ref="E646:E651"/>
    <mergeCell ref="E652:E657"/>
    <mergeCell ref="B658:D658"/>
    <mergeCell ref="B634:D645"/>
    <mergeCell ref="E634:E639"/>
    <mergeCell ref="E640:E645"/>
    <mergeCell ref="AD599:AG599"/>
    <mergeCell ref="AD601:AG601"/>
    <mergeCell ref="AD631:AG631"/>
    <mergeCell ref="AD633:AG633"/>
    <mergeCell ref="H631:L631"/>
    <mergeCell ref="H599:L599"/>
    <mergeCell ref="M599:Q599"/>
    <mergeCell ref="M631:Q631"/>
    <mergeCell ref="B633:D633"/>
    <mergeCell ref="E633:F633"/>
    <mergeCell ref="H633:K633"/>
    <mergeCell ref="M633:P633"/>
    <mergeCell ref="R633:U633"/>
    <mergeCell ref="V633:Y633"/>
    <mergeCell ref="Z633:AC633"/>
    <mergeCell ref="A630:F630"/>
    <mergeCell ref="G630:U630"/>
    <mergeCell ref="H724:J724"/>
    <mergeCell ref="M725:O725"/>
    <mergeCell ref="R724:T724"/>
    <mergeCell ref="M724:O724"/>
    <mergeCell ref="H725:J725"/>
    <mergeCell ref="R725:T725"/>
    <mergeCell ref="AD563:AG563"/>
    <mergeCell ref="AD565:AG565"/>
    <mergeCell ref="K715:P715"/>
    <mergeCell ref="H717:J717"/>
    <mergeCell ref="R717:T717"/>
    <mergeCell ref="M717:O717"/>
    <mergeCell ref="H716:J716"/>
    <mergeCell ref="M716:O716"/>
    <mergeCell ref="R716:T716"/>
    <mergeCell ref="Z666:AC666"/>
    <mergeCell ref="Z682:AC682"/>
    <mergeCell ref="Z684:AC684"/>
    <mergeCell ref="H682:K682"/>
    <mergeCell ref="M682:P682"/>
    <mergeCell ref="V664:Y664"/>
    <mergeCell ref="V666:Y666"/>
    <mergeCell ref="V682:Y682"/>
    <mergeCell ref="V684:Y684"/>
  </mergeCells>
  <pageMargins left="0.7" right="0.7" top="0.75" bottom="0.75" header="0.3" footer="0.3"/>
  <pageSetup paperSize="9" scale="35" orientation="portrait" r:id="rId1"/>
  <rowBreaks count="1" manualBreakCount="1">
    <brk id="558" max="2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53"/>
  <sheetViews>
    <sheetView view="pageBreakPreview" zoomScale="85" zoomScaleNormal="78" zoomScaleSheetLayoutView="85" workbookViewId="0">
      <selection activeCell="A5" sqref="A5:O5"/>
    </sheetView>
  </sheetViews>
  <sheetFormatPr defaultRowHeight="15" outlineLevelRow="1" outlineLevelCol="1"/>
  <cols>
    <col min="1" max="1" width="17.5703125" style="1118" customWidth="1"/>
    <col min="2" max="2" width="6.7109375" style="1118" customWidth="1"/>
    <col min="3" max="3" width="33.42578125" style="1118" customWidth="1"/>
    <col min="4" max="4" width="14.42578125" style="1118" customWidth="1"/>
    <col min="5" max="5" width="16" style="1119" customWidth="1"/>
    <col min="6" max="8" width="14.42578125" style="1118" customWidth="1"/>
    <col min="9" max="9" width="15.7109375" style="1118" customWidth="1"/>
    <col min="10" max="12" width="14.42578125" style="1118" customWidth="1"/>
    <col min="13" max="13" width="16" style="1118" customWidth="1"/>
    <col min="14" max="15" width="14.42578125" style="1118" customWidth="1"/>
    <col min="16" max="16" width="23" style="1118" hidden="1" customWidth="1" outlineLevel="1"/>
    <col min="17" max="17" width="14.42578125" style="1118" hidden="1" customWidth="1" outlineLevel="1"/>
    <col min="18" max="18" width="16" style="1118" hidden="1" customWidth="1" outlineLevel="1"/>
    <col min="19" max="19" width="14.5703125" style="1118" hidden="1" customWidth="1" outlineLevel="1"/>
    <col min="20" max="20" width="15.5703125" style="1118" hidden="1" customWidth="1" outlineLevel="1"/>
    <col min="21" max="23" width="12.85546875" style="1118" hidden="1" customWidth="1" outlineLevel="1"/>
    <col min="24" max="24" width="18.42578125" style="1118" hidden="1" customWidth="1" outlineLevel="1"/>
    <col min="25" max="25" width="17.140625" style="1118" hidden="1" customWidth="1" outlineLevel="1"/>
    <col min="26" max="26" width="14.7109375" style="1118" hidden="1" customWidth="1" outlineLevel="1"/>
    <col min="27" max="28" width="12.85546875" style="1118" hidden="1" customWidth="1" outlineLevel="1"/>
    <col min="29" max="30" width="17.5703125" style="1118" hidden="1" customWidth="1" outlineLevel="1"/>
    <col min="31" max="31" width="14.5703125" style="1118" hidden="1" customWidth="1" outlineLevel="1"/>
    <col min="32" max="34" width="12.85546875" style="1118" hidden="1" customWidth="1" outlineLevel="1"/>
    <col min="35" max="35" width="12.85546875" style="1118" customWidth="1" collapsed="1"/>
    <col min="36" max="37" width="12.85546875" style="1118" customWidth="1"/>
    <col min="38" max="38" width="13.28515625" style="1118" customWidth="1"/>
    <col min="39" max="16384" width="9.140625" style="1118"/>
  </cols>
  <sheetData>
    <row r="1" spans="1:38" ht="53.25" customHeight="1">
      <c r="M1" s="2992"/>
      <c r="N1" s="2992"/>
      <c r="O1" s="2992"/>
    </row>
    <row r="3" spans="1:38" ht="45.75" customHeight="1">
      <c r="N3" s="2993" t="s">
        <v>3921</v>
      </c>
      <c r="O3" s="2993"/>
    </row>
    <row r="4" spans="1:38" ht="15" customHeight="1">
      <c r="M4" s="2376"/>
      <c r="N4" s="2993" t="s">
        <v>3847</v>
      </c>
      <c r="O4" s="2993"/>
    </row>
    <row r="5" spans="1:38" ht="25.5" customHeight="1">
      <c r="A5" s="3184" t="s">
        <v>4283</v>
      </c>
      <c r="B5" s="3184"/>
      <c r="C5" s="3184"/>
      <c r="D5" s="3184"/>
      <c r="E5" s="3184"/>
      <c r="F5" s="3184"/>
      <c r="G5" s="3184"/>
      <c r="H5" s="3184"/>
      <c r="I5" s="3184"/>
      <c r="J5" s="3184"/>
      <c r="K5" s="3184"/>
      <c r="L5" s="3184"/>
      <c r="M5" s="3184"/>
      <c r="N5" s="3184"/>
      <c r="O5" s="3184"/>
    </row>
    <row r="6" spans="1:38">
      <c r="O6" s="2377" t="s">
        <v>2555</v>
      </c>
    </row>
    <row r="7" spans="1:38" ht="21.75" customHeight="1">
      <c r="A7" s="3028" t="s">
        <v>3883</v>
      </c>
      <c r="B7" s="3028" t="s">
        <v>3735</v>
      </c>
      <c r="C7" s="3028" t="s">
        <v>3736</v>
      </c>
      <c r="D7" s="3028" t="s">
        <v>3884</v>
      </c>
      <c r="E7" s="3028"/>
      <c r="F7" s="3028"/>
      <c r="G7" s="3028"/>
      <c r="H7" s="3028"/>
      <c r="I7" s="3028"/>
      <c r="J7" s="3028"/>
      <c r="K7" s="3028"/>
      <c r="L7" s="3028"/>
      <c r="M7" s="3028"/>
      <c r="N7" s="3028"/>
      <c r="O7" s="3028"/>
    </row>
    <row r="8" spans="1:38" ht="42.75" customHeight="1">
      <c r="A8" s="3028"/>
      <c r="B8" s="3028"/>
      <c r="C8" s="3028"/>
      <c r="D8" s="3028" t="s">
        <v>4279</v>
      </c>
      <c r="E8" s="3028"/>
      <c r="F8" s="3028"/>
      <c r="G8" s="3028"/>
      <c r="H8" s="3028" t="s">
        <v>4280</v>
      </c>
      <c r="I8" s="3028"/>
      <c r="J8" s="3028"/>
      <c r="K8" s="3028"/>
      <c r="L8" s="3028">
        <v>2017</v>
      </c>
      <c r="M8" s="3028"/>
      <c r="N8" s="3028"/>
      <c r="O8" s="3028"/>
      <c r="P8" s="3183" t="s">
        <v>3885</v>
      </c>
      <c r="Q8" s="3183"/>
      <c r="R8" s="3183"/>
      <c r="S8" s="3183"/>
      <c r="T8" s="3188" t="s">
        <v>3886</v>
      </c>
      <c r="U8" s="3188"/>
      <c r="V8" s="3188"/>
      <c r="W8" s="3188"/>
      <c r="X8" s="3189" t="s">
        <v>3887</v>
      </c>
      <c r="Y8" s="3190"/>
      <c r="Z8" s="3191"/>
      <c r="AA8" s="3192" t="s">
        <v>3888</v>
      </c>
      <c r="AB8" s="3194" t="s">
        <v>3889</v>
      </c>
      <c r="AC8" s="3185" t="s">
        <v>4276</v>
      </c>
      <c r="AD8" s="3185" t="s">
        <v>4275</v>
      </c>
      <c r="AE8" s="3187" t="s">
        <v>4278</v>
      </c>
      <c r="AF8" s="3187" t="s">
        <v>4277</v>
      </c>
      <c r="AG8" s="2952"/>
      <c r="AH8" s="2952"/>
    </row>
    <row r="9" spans="1:38" ht="93.75" customHeight="1">
      <c r="A9" s="3028"/>
      <c r="B9" s="3028"/>
      <c r="C9" s="3028"/>
      <c r="D9" s="2963" t="s">
        <v>3890</v>
      </c>
      <c r="E9" s="2963" t="s">
        <v>3891</v>
      </c>
      <c r="F9" s="2963" t="s">
        <v>3892</v>
      </c>
      <c r="G9" s="2963" t="s">
        <v>3893</v>
      </c>
      <c r="H9" s="2963" t="s">
        <v>3890</v>
      </c>
      <c r="I9" s="2963" t="s">
        <v>3891</v>
      </c>
      <c r="J9" s="2963" t="s">
        <v>3892</v>
      </c>
      <c r="K9" s="2963" t="s">
        <v>3893</v>
      </c>
      <c r="L9" s="2963" t="s">
        <v>3890</v>
      </c>
      <c r="M9" s="2963" t="s">
        <v>3891</v>
      </c>
      <c r="N9" s="2963" t="s">
        <v>3892</v>
      </c>
      <c r="O9" s="2963" t="s">
        <v>3893</v>
      </c>
      <c r="P9" s="2312" t="s">
        <v>3890</v>
      </c>
      <c r="Q9" s="2312" t="s">
        <v>3891</v>
      </c>
      <c r="R9" s="2312" t="s">
        <v>3892</v>
      </c>
      <c r="S9" s="2312" t="s">
        <v>3893</v>
      </c>
      <c r="T9" s="2307">
        <v>2016</v>
      </c>
      <c r="U9" s="2307">
        <v>2017</v>
      </c>
      <c r="V9" s="2307">
        <v>2018</v>
      </c>
      <c r="W9" s="2307">
        <v>2019</v>
      </c>
      <c r="X9" s="2307">
        <v>2015</v>
      </c>
      <c r="Y9" s="2307">
        <f>X9+1</f>
        <v>2016</v>
      </c>
      <c r="Z9" s="2307">
        <f>Y9+1</f>
        <v>2017</v>
      </c>
      <c r="AA9" s="3193"/>
      <c r="AB9" s="3193"/>
      <c r="AC9" s="3186"/>
      <c r="AD9" s="3186"/>
      <c r="AE9" s="3187"/>
      <c r="AF9" s="3187"/>
      <c r="AG9" s="2952"/>
      <c r="AH9" s="2952"/>
    </row>
    <row r="10" spans="1:38">
      <c r="A10" s="2963">
        <v>1</v>
      </c>
      <c r="B10" s="2963">
        <v>2</v>
      </c>
      <c r="C10" s="2963">
        <v>3</v>
      </c>
      <c r="D10" s="2963">
        <v>4</v>
      </c>
      <c r="E10" s="2963">
        <v>5</v>
      </c>
      <c r="F10" s="2963">
        <v>6</v>
      </c>
      <c r="G10" s="2963">
        <v>7</v>
      </c>
      <c r="H10" s="2963">
        <v>8</v>
      </c>
      <c r="I10" s="2963">
        <v>9</v>
      </c>
      <c r="J10" s="2963">
        <v>10</v>
      </c>
      <c r="K10" s="2963">
        <v>11</v>
      </c>
      <c r="L10" s="2963">
        <v>12</v>
      </c>
      <c r="M10" s="2963">
        <v>13</v>
      </c>
      <c r="N10" s="2963">
        <v>14</v>
      </c>
      <c r="O10" s="2963">
        <v>15</v>
      </c>
      <c r="P10" s="2365">
        <f>O10+1</f>
        <v>16</v>
      </c>
      <c r="Q10" s="2365">
        <f t="shared" ref="Q10:AF10" si="0">P10+1</f>
        <v>17</v>
      </c>
      <c r="R10" s="2365">
        <f t="shared" si="0"/>
        <v>18</v>
      </c>
      <c r="S10" s="2365">
        <f t="shared" si="0"/>
        <v>19</v>
      </c>
      <c r="T10" s="2365">
        <f t="shared" si="0"/>
        <v>20</v>
      </c>
      <c r="U10" s="2365">
        <f t="shared" si="0"/>
        <v>21</v>
      </c>
      <c r="V10" s="2365">
        <f t="shared" si="0"/>
        <v>22</v>
      </c>
      <c r="W10" s="2365">
        <f t="shared" si="0"/>
        <v>23</v>
      </c>
      <c r="X10" s="2365">
        <f t="shared" si="0"/>
        <v>24</v>
      </c>
      <c r="Y10" s="2365">
        <f t="shared" si="0"/>
        <v>25</v>
      </c>
      <c r="Z10" s="2365">
        <f t="shared" si="0"/>
        <v>26</v>
      </c>
      <c r="AA10" s="2365">
        <f t="shared" si="0"/>
        <v>27</v>
      </c>
      <c r="AB10" s="2365">
        <f t="shared" si="0"/>
        <v>28</v>
      </c>
      <c r="AC10" s="2365">
        <f t="shared" si="0"/>
        <v>29</v>
      </c>
      <c r="AD10" s="2365">
        <f t="shared" si="0"/>
        <v>30</v>
      </c>
      <c r="AE10" s="2365">
        <f t="shared" si="0"/>
        <v>31</v>
      </c>
      <c r="AF10" s="2365">
        <f t="shared" si="0"/>
        <v>32</v>
      </c>
      <c r="AG10" s="2953"/>
      <c r="AH10" s="2953"/>
    </row>
    <row r="11" spans="1:38" ht="45" customHeight="1">
      <c r="A11" s="3028" t="s">
        <v>3894</v>
      </c>
      <c r="B11" s="2963" t="s">
        <v>3</v>
      </c>
      <c r="C11" s="2322" t="s">
        <v>3749</v>
      </c>
      <c r="D11" s="3755">
        <f>'Приложение 3'!F11*1000</f>
        <v>2992530.1617835858</v>
      </c>
      <c r="E11" s="3755">
        <f>'С1 2015'!BK18</f>
        <v>540</v>
      </c>
      <c r="F11" s="3755">
        <f>'С1 2015'!BK21</f>
        <v>8844.6849999999995</v>
      </c>
      <c r="G11" s="3755">
        <f>D11/E11</f>
        <v>5541.7225218214553</v>
      </c>
      <c r="H11" s="3755">
        <f ca="1">'Приложение 3'!E11*1000</f>
        <v>1624668.1742516176</v>
      </c>
      <c r="I11" s="3755">
        <f>'C1 2016'!BK18</f>
        <v>514</v>
      </c>
      <c r="J11" s="3755">
        <f>'C1 2016'!BK21</f>
        <v>4742.9769999999999</v>
      </c>
      <c r="K11" s="3755">
        <f ca="1">H11/I11</f>
        <v>3160.8330238358321</v>
      </c>
      <c r="L11" s="3755">
        <f ca="1">'Приложение 3'!D11*1000</f>
        <v>1794480.0023220945</v>
      </c>
      <c r="M11" s="3755">
        <f>'C1 2017'!BE18</f>
        <v>359</v>
      </c>
      <c r="N11" s="3755">
        <f>'C1 2017'!BK21</f>
        <v>3415.61</v>
      </c>
      <c r="O11" s="3755">
        <f ca="1">L11/M11</f>
        <v>4998.5515385016561</v>
      </c>
      <c r="P11" s="2816">
        <f ca="1">IFERROR(AVERAGE(D11,H11,L11),0)</f>
        <v>2137226.1127857659</v>
      </c>
      <c r="Q11" s="2816">
        <f>IFERROR(ROUND(AVERAGE(E11,I11,M11),0),0)</f>
        <v>471</v>
      </c>
      <c r="R11" s="2878">
        <f>IFERROR(AVERAGE(F11,J11,N11),0)</f>
        <v>5667.7573333333339</v>
      </c>
      <c r="S11" s="2816">
        <f ca="1">IFERROR(P11/Q11,0)</f>
        <v>4537.6350589931335</v>
      </c>
      <c r="T11" s="2308">
        <v>1.071</v>
      </c>
      <c r="U11" s="2308">
        <v>1.0368000000000002</v>
      </c>
      <c r="V11" s="2308">
        <v>1.0272700000000001</v>
      </c>
      <c r="W11" s="2309">
        <v>1.0464499999999999</v>
      </c>
      <c r="X11" s="2818">
        <f>IFERROR(G11*U11*V11*W11*T11,"")</f>
        <v>6615.0376987691634</v>
      </c>
      <c r="Y11" s="2818">
        <f ca="1">IFERROR(K11*V11*W11*U11,"")</f>
        <v>3522.8944410733443</v>
      </c>
      <c r="Z11" s="2818">
        <f ca="1">IFERROR(O11*V11*W11,"")</f>
        <v>5373.37638066613</v>
      </c>
      <c r="AA11" s="2819">
        <f ca="1">AVERAGE(X11:Z11)</f>
        <v>5170.4361735028788</v>
      </c>
      <c r="AB11" s="2849">
        <f ca="1">AA11*(E11+I11+M11)/(F11+J11+N11)</f>
        <v>429.67178982725011</v>
      </c>
      <c r="AC11" s="2955">
        <f>'Утв.СТС 2018г'!G6*'Приложение 2'!$W$11</f>
        <v>3125.6519694999993</v>
      </c>
      <c r="AD11" s="2955">
        <f>'Утв.СП 2018г'!G7*'Приложение 2'!$W$11</f>
        <v>204.00542749999997</v>
      </c>
      <c r="AE11" s="2957">
        <f t="shared" ref="AE11:AF13" ca="1" si="1">AA11/AC11-1</f>
        <v>0.65419446053361385</v>
      </c>
      <c r="AF11" s="2957">
        <f t="shared" ca="1" si="1"/>
        <v>1.1061782281613568</v>
      </c>
      <c r="AG11" s="2954"/>
      <c r="AH11" s="2954"/>
      <c r="AK11" s="2543"/>
      <c r="AL11" s="2459"/>
    </row>
    <row r="12" spans="1:38" ht="75">
      <c r="A12" s="3028"/>
      <c r="B12" s="2963" t="s">
        <v>8</v>
      </c>
      <c r="C12" s="2322" t="s">
        <v>3750</v>
      </c>
      <c r="D12" s="3755">
        <f>'Приложение 3'!I11*1000</f>
        <v>7217651.9079382131</v>
      </c>
      <c r="E12" s="3756">
        <f>E11</f>
        <v>540</v>
      </c>
      <c r="F12" s="3756">
        <f>F11</f>
        <v>8844.6849999999995</v>
      </c>
      <c r="G12" s="3755">
        <f>D12/E12</f>
        <v>13366.022051737431</v>
      </c>
      <c r="H12" s="3755">
        <f ca="1">'Приложение 3'!H11*1000</f>
        <v>5717577.7775583817</v>
      </c>
      <c r="I12" s="3756">
        <f>I11</f>
        <v>514</v>
      </c>
      <c r="J12" s="3756">
        <f>J11</f>
        <v>4742.9769999999999</v>
      </c>
      <c r="K12" s="3755">
        <f ca="1">H12/I12</f>
        <v>11123.692174238096</v>
      </c>
      <c r="L12" s="3755">
        <f ca="1">'Приложение 3'!G11*1000</f>
        <v>5648648.5376779046</v>
      </c>
      <c r="M12" s="3756">
        <f>M11</f>
        <v>359</v>
      </c>
      <c r="N12" s="3756">
        <f>N11</f>
        <v>3415.61</v>
      </c>
      <c r="O12" s="3755">
        <f t="shared" ref="O12" ca="1" si="2">L12/M12</f>
        <v>15734.397040885528</v>
      </c>
      <c r="P12" s="2816">
        <f ca="1">IFERROR(AVERAGE(D12,H12,L12),0)</f>
        <v>6194626.0743914992</v>
      </c>
      <c r="Q12" s="2817">
        <f>IFERROR(ROUND(AVERAGE(E12,I12,M12),0),0)</f>
        <v>471</v>
      </c>
      <c r="R12" s="2817">
        <f t="shared" ref="R12" si="3">IFERROR(AVERAGE(F12,J12,N12),0)</f>
        <v>5667.7573333333339</v>
      </c>
      <c r="S12" s="2816">
        <f t="shared" ref="S12" ca="1" si="4">IFERROR(P12/Q12,0)</f>
        <v>13152.072344780254</v>
      </c>
      <c r="T12" s="2308">
        <v>1.071</v>
      </c>
      <c r="U12" s="2308">
        <v>1.0389999999999999</v>
      </c>
      <c r="V12" s="2308">
        <v>1.0369999999999999</v>
      </c>
      <c r="W12" s="2309">
        <f>W11</f>
        <v>1.0464499999999999</v>
      </c>
      <c r="X12" s="2818">
        <f>IFERROR(G12*U12*V12*W12*T12,"")</f>
        <v>16140.033448051921</v>
      </c>
      <c r="Y12" s="2818">
        <f ca="1">IFERROR(K12*V12*W12*U12,"")</f>
        <v>12541.854218503124</v>
      </c>
      <c r="Z12" s="2818">
        <f ca="1">IFERROR(O12*V12*W12,"")</f>
        <v>17074.474395421741</v>
      </c>
      <c r="AA12" s="2819">
        <f ca="1">AVERAGE(X12:Z12)</f>
        <v>15252.120687325596</v>
      </c>
      <c r="AB12" s="2849">
        <f ca="1">AA12*(E12+I12+M12)/(F12+J12+N12)</f>
        <v>1267.4764322532196</v>
      </c>
      <c r="AC12" s="2955">
        <f>'Утв.СТС 2018г'!G7*'Приложение 2'!$W$11</f>
        <v>15751.259580499998</v>
      </c>
      <c r="AD12" s="2955">
        <f>'Утв.СП 2018г'!G8*'Приложение 2'!$W$11</f>
        <v>1028.0429444999997</v>
      </c>
      <c r="AE12" s="2957">
        <f t="shared" ca="1" si="1"/>
        <v>-3.1688824034893925E-2</v>
      </c>
      <c r="AF12" s="2957">
        <f t="shared" ca="1" si="1"/>
        <v>0.23290222362225443</v>
      </c>
      <c r="AG12" s="2954"/>
      <c r="AH12" s="2954"/>
    </row>
    <row r="13" spans="1:38" ht="30" customHeight="1">
      <c r="A13" s="3028" t="s">
        <v>3895</v>
      </c>
      <c r="B13" s="2963" t="s">
        <v>3</v>
      </c>
      <c r="C13" s="2322" t="s">
        <v>3896</v>
      </c>
      <c r="D13" s="3757">
        <f>'Приложение 3'!L11*1000</f>
        <v>0</v>
      </c>
      <c r="E13" s="3758"/>
      <c r="F13" s="3758"/>
      <c r="G13" s="3757" t="str">
        <f>IFERROR(D13/E13,"")</f>
        <v/>
      </c>
      <c r="H13" s="3757">
        <f>'Приложение 3'!K11*1000</f>
        <v>0</v>
      </c>
      <c r="I13" s="3757"/>
      <c r="J13" s="3757"/>
      <c r="K13" s="3757" t="str">
        <f>IFERROR(H13/I13,"")</f>
        <v/>
      </c>
      <c r="L13" s="3757">
        <f>'Приложение 3'!J11*1000</f>
        <v>0</v>
      </c>
      <c r="M13" s="3757"/>
      <c r="N13" s="3757"/>
      <c r="O13" s="3757" t="str">
        <f>IFERROR(L13/M13,"")</f>
        <v/>
      </c>
      <c r="R13" s="2459"/>
      <c r="AA13" s="2956">
        <f ca="1">AA11+AA12</f>
        <v>20422.556860828474</v>
      </c>
      <c r="AB13" s="2956">
        <f ca="1">AB11+AB12</f>
        <v>1697.1482220804696</v>
      </c>
      <c r="AC13" s="2956">
        <f>SUM(AC11:AC12)</f>
        <v>18876.911549999997</v>
      </c>
      <c r="AD13" s="2956">
        <f>SUM(AD11:AD12)</f>
        <v>1232.0483719999997</v>
      </c>
      <c r="AE13" s="2958">
        <f t="shared" ca="1" si="1"/>
        <v>8.1880200939357328E-2</v>
      </c>
      <c r="AF13" s="2958">
        <f t="shared" ca="1" si="1"/>
        <v>0.37750129025004697</v>
      </c>
      <c r="AG13" s="2409"/>
      <c r="AH13" s="2409"/>
    </row>
    <row r="14" spans="1:38" ht="75">
      <c r="A14" s="3028"/>
      <c r="B14" s="2963" t="s">
        <v>8</v>
      </c>
      <c r="C14" s="2322" t="s">
        <v>3750</v>
      </c>
      <c r="D14" s="3757">
        <f>'Приложение 3'!O11*1000</f>
        <v>0</v>
      </c>
      <c r="E14" s="3757"/>
      <c r="F14" s="3757"/>
      <c r="G14" s="3757" t="str">
        <f>IFERROR(D14/E14,"")</f>
        <v/>
      </c>
      <c r="H14" s="3757">
        <f>'Приложение 3'!N11*1000</f>
        <v>0</v>
      </c>
      <c r="I14" s="3757"/>
      <c r="J14" s="3757"/>
      <c r="K14" s="3757" t="str">
        <f>IFERROR(H14/I14,"")</f>
        <v/>
      </c>
      <c r="L14" s="3757">
        <f>'Приложение 3'!M11*1000</f>
        <v>0</v>
      </c>
      <c r="M14" s="3757"/>
      <c r="N14" s="3757"/>
      <c r="O14" s="3757" t="str">
        <f>IFERROR(L14/M14,"")</f>
        <v/>
      </c>
      <c r="P14" s="2458"/>
      <c r="Q14" s="2459"/>
      <c r="R14" s="2459"/>
      <c r="U14" s="1118">
        <f>'[23]1.ИПЦ (базовый)'!$B$5</f>
        <v>103.68</v>
      </c>
      <c r="V14" s="1118">
        <f>'[23]1.ИПЦ (базовый)'!$C$5</f>
        <v>102.727</v>
      </c>
      <c r="W14" s="1118">
        <f>'[23]1.ИПЦ (базовый)'!$D$5</f>
        <v>104.645</v>
      </c>
      <c r="AB14" s="2409"/>
      <c r="AC14" s="2409"/>
      <c r="AD14" s="2409"/>
      <c r="AE14" s="2409"/>
      <c r="AF14" s="2409"/>
      <c r="AG14" s="2409"/>
      <c r="AH14" s="2409"/>
    </row>
    <row r="15" spans="1:38">
      <c r="A15" s="2338" t="s">
        <v>4281</v>
      </c>
      <c r="B15" s="2338"/>
      <c r="C15" s="2338"/>
      <c r="D15" s="2338"/>
      <c r="E15" s="3637"/>
      <c r="F15" s="2338"/>
      <c r="G15" s="2338"/>
      <c r="H15" s="2338"/>
      <c r="I15" s="2338"/>
      <c r="J15" s="2338"/>
      <c r="K15" s="2338"/>
      <c r="L15" s="2338"/>
      <c r="M15" s="2338"/>
      <c r="N15" s="2338"/>
      <c r="O15" s="2338"/>
      <c r="P15" s="2458"/>
      <c r="R15" s="2877"/>
      <c r="AC15" s="2705"/>
    </row>
    <row r="16" spans="1:38" hidden="1">
      <c r="P16" s="2458"/>
    </row>
    <row r="17" spans="16:20" hidden="1">
      <c r="P17" s="2458"/>
    </row>
    <row r="18" spans="16:20" hidden="1">
      <c r="P18" s="2458"/>
    </row>
    <row r="19" spans="16:20" hidden="1">
      <c r="P19" s="2458"/>
    </row>
    <row r="20" spans="16:20" hidden="1">
      <c r="P20" s="2458"/>
      <c r="Q20" s="2877"/>
      <c r="R20" s="2877"/>
      <c r="S20" s="2458"/>
      <c r="T20" s="2458"/>
    </row>
    <row r="21" spans="16:20" hidden="1">
      <c r="P21" s="2458"/>
      <c r="Q21" s="2877"/>
      <c r="R21" s="2877"/>
      <c r="S21" s="2458"/>
    </row>
    <row r="22" spans="16:20" hidden="1">
      <c r="P22" s="2458"/>
    </row>
    <row r="23" spans="16:20" hidden="1">
      <c r="P23" s="2458"/>
    </row>
    <row r="24" spans="16:20" hidden="1">
      <c r="P24" s="2458"/>
    </row>
    <row r="25" spans="16:20" hidden="1">
      <c r="P25" s="2458"/>
    </row>
    <row r="26" spans="16:20" hidden="1">
      <c r="P26" s="2458"/>
    </row>
    <row r="27" spans="16:20" hidden="1">
      <c r="P27" s="2458"/>
    </row>
    <row r="28" spans="16:20" hidden="1">
      <c r="P28" s="2458"/>
    </row>
    <row r="29" spans="16:20" hidden="1">
      <c r="P29" s="2458"/>
    </row>
    <row r="30" spans="16:20" hidden="1">
      <c r="P30" s="2458"/>
    </row>
    <row r="31" spans="16:20" hidden="1">
      <c r="P31" s="2458"/>
    </row>
    <row r="32" spans="16:20" hidden="1">
      <c r="P32" s="2458"/>
    </row>
    <row r="33" spans="3:18" hidden="1">
      <c r="P33" s="2458"/>
    </row>
    <row r="34" spans="3:18" hidden="1">
      <c r="P34" s="2458"/>
    </row>
    <row r="35" spans="3:18" hidden="1">
      <c r="P35" s="2458"/>
    </row>
    <row r="36" spans="3:18" hidden="1">
      <c r="P36" s="2458"/>
    </row>
    <row r="37" spans="3:18" hidden="1">
      <c r="P37" s="2458"/>
    </row>
    <row r="38" spans="3:18" hidden="1">
      <c r="P38" s="2458"/>
    </row>
    <row r="39" spans="3:18" hidden="1">
      <c r="P39" s="2458"/>
    </row>
    <row r="40" spans="3:18" hidden="1">
      <c r="P40" s="2458"/>
    </row>
    <row r="41" spans="3:18" hidden="1">
      <c r="P41" s="2458"/>
    </row>
    <row r="42" spans="3:18" hidden="1">
      <c r="P42" s="2458"/>
    </row>
    <row r="43" spans="3:18" hidden="1">
      <c r="P43" s="2458"/>
      <c r="Q43" s="2458"/>
      <c r="R43" s="2458"/>
    </row>
    <row r="44" spans="3:18" hidden="1">
      <c r="P44" s="2458"/>
    </row>
    <row r="45" spans="3:18" hidden="1">
      <c r="P45" s="2458"/>
    </row>
    <row r="46" spans="3:18" hidden="1"/>
    <row r="47" spans="3:18" ht="15" hidden="1" customHeight="1" outlineLevel="1">
      <c r="C47" s="2449" t="s">
        <v>3954</v>
      </c>
      <c r="D47" s="2450"/>
      <c r="E47" s="2450"/>
      <c r="F47" s="2451"/>
      <c r="G47" s="2450"/>
      <c r="H47" s="2450"/>
      <c r="I47" s="2450"/>
      <c r="J47" s="2450"/>
      <c r="K47" s="2450"/>
      <c r="L47" s="2449" t="s">
        <v>3955</v>
      </c>
    </row>
    <row r="48" spans="3:18" ht="15" hidden="1" customHeight="1" outlineLevel="1">
      <c r="C48" s="2449"/>
      <c r="D48" s="2450"/>
      <c r="E48" s="2450"/>
      <c r="F48" s="2451"/>
      <c r="G48" s="2450"/>
      <c r="H48" s="2450"/>
      <c r="I48" s="2450"/>
      <c r="J48" s="2450"/>
      <c r="K48" s="2450"/>
      <c r="L48" s="2450"/>
    </row>
    <row r="49" spans="3:23" ht="18.75" hidden="1" outlineLevel="1">
      <c r="C49" s="2449"/>
      <c r="D49" s="2450"/>
      <c r="E49" s="2450"/>
      <c r="F49" s="2451"/>
      <c r="G49" s="2450"/>
      <c r="H49" s="2450"/>
      <c r="I49" s="2450"/>
      <c r="J49" s="2450"/>
      <c r="K49" s="2450"/>
      <c r="L49" s="2450"/>
      <c r="U49" s="1118" t="b">
        <f>U14/100=U11</f>
        <v>1</v>
      </c>
      <c r="V49" s="1118" t="b">
        <f t="shared" ref="V49:W49" si="5">V14/100=V11</f>
        <v>1</v>
      </c>
      <c r="W49" s="1118" t="b">
        <f t="shared" si="5"/>
        <v>1</v>
      </c>
    </row>
    <row r="50" spans="3:23" ht="18.75" hidden="1" outlineLevel="1">
      <c r="C50" s="2449" t="s">
        <v>3881</v>
      </c>
      <c r="D50" s="2450"/>
      <c r="E50" s="2450"/>
      <c r="F50" s="2451"/>
      <c r="G50" s="2450"/>
      <c r="H50" s="2450"/>
      <c r="I50" s="2450"/>
      <c r="J50" s="2450"/>
      <c r="K50" s="2450"/>
      <c r="L50" s="2449" t="s">
        <v>3882</v>
      </c>
      <c r="P50" s="2458"/>
      <c r="Q50" s="2458"/>
    </row>
    <row r="51" spans="3:23" ht="18.75" hidden="1" outlineLevel="1">
      <c r="C51" s="2449"/>
      <c r="D51" s="2450"/>
      <c r="E51" s="2450"/>
      <c r="F51" s="2451"/>
      <c r="G51" s="2450"/>
      <c r="H51" s="2450"/>
      <c r="I51" s="2450"/>
      <c r="J51" s="2450"/>
      <c r="K51" s="2450"/>
      <c r="L51" s="2450"/>
      <c r="P51" s="2458"/>
      <c r="Q51" s="2459"/>
      <c r="R51" s="2459"/>
    </row>
    <row r="52" spans="3:23" ht="18.75" collapsed="1">
      <c r="C52" s="2449"/>
      <c r="D52" s="2450"/>
      <c r="E52" s="2450"/>
      <c r="F52" s="2451"/>
      <c r="G52" s="2450"/>
      <c r="H52" s="2450"/>
      <c r="I52" s="2450"/>
      <c r="J52" s="2450"/>
      <c r="K52" s="2450"/>
      <c r="L52" s="2450"/>
    </row>
    <row r="53" spans="3:23" ht="18.75">
      <c r="C53" s="2449"/>
      <c r="D53" s="2450"/>
      <c r="E53" s="2450"/>
      <c r="F53" s="2451"/>
      <c r="G53" s="2450"/>
      <c r="H53" s="2450"/>
      <c r="I53" s="2450"/>
      <c r="J53" s="2450"/>
      <c r="K53" s="2450"/>
      <c r="L53" s="2449"/>
    </row>
  </sheetData>
  <mergeCells count="22">
    <mergeCell ref="AC8:AC9"/>
    <mergeCell ref="AD8:AD9"/>
    <mergeCell ref="AE8:AE9"/>
    <mergeCell ref="AF8:AF9"/>
    <mergeCell ref="T8:W8"/>
    <mergeCell ref="X8:Z8"/>
    <mergeCell ref="AA8:AA9"/>
    <mergeCell ref="AB8:AB9"/>
    <mergeCell ref="L8:O8"/>
    <mergeCell ref="P8:S8"/>
    <mergeCell ref="A11:A12"/>
    <mergeCell ref="A13:A14"/>
    <mergeCell ref="M1:O1"/>
    <mergeCell ref="N3:O3"/>
    <mergeCell ref="N4:O4"/>
    <mergeCell ref="A7:A9"/>
    <mergeCell ref="B7:B9"/>
    <mergeCell ref="C7:C9"/>
    <mergeCell ref="D7:O7"/>
    <mergeCell ref="D8:G8"/>
    <mergeCell ref="H8:K8"/>
    <mergeCell ref="A5:O5"/>
  </mergeCells>
  <pageMargins left="0.70866141732283472" right="0.70866141732283472" top="0.74803149606299213" bottom="0.74803149606299213" header="0.31496062992125984" footer="0.31496062992125984"/>
  <pageSetup paperSize="9" scale="56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39"/>
  <sheetViews>
    <sheetView view="pageBreakPreview" zoomScale="60" zoomScaleNormal="70" workbookViewId="0">
      <selection activeCell="B5" sqref="B5:O5"/>
    </sheetView>
  </sheetViews>
  <sheetFormatPr defaultRowHeight="15" outlineLevelRow="1" outlineLevelCol="1"/>
  <cols>
    <col min="1" max="1" width="10.140625" style="1118" customWidth="1"/>
    <col min="2" max="2" width="10" style="1118" customWidth="1"/>
    <col min="3" max="3" width="33.42578125" style="1118" customWidth="1"/>
    <col min="4" max="4" width="14.42578125" style="1118" customWidth="1"/>
    <col min="5" max="5" width="14.42578125" style="1119" customWidth="1"/>
    <col min="6" max="13" width="14.42578125" style="1118" customWidth="1"/>
    <col min="14" max="14" width="15.5703125" style="1118" customWidth="1"/>
    <col min="15" max="15" width="14.42578125" style="1118" customWidth="1"/>
    <col min="16" max="16" width="11.5703125" style="1118" hidden="1" customWidth="1" outlineLevel="1"/>
    <col min="17" max="18" width="14.42578125" style="1118" hidden="1" customWidth="1" outlineLevel="1"/>
    <col min="19" max="19" width="11" style="1118" hidden="1" customWidth="1" outlineLevel="1"/>
    <col min="20" max="20" width="16.42578125" style="1118" hidden="1" customWidth="1" outlineLevel="1"/>
    <col min="21" max="21" width="15.42578125" style="1118" hidden="1" customWidth="1" outlineLevel="1"/>
    <col min="22" max="23" width="16.28515625" style="1118" hidden="1" customWidth="1" outlineLevel="1"/>
    <col min="24" max="27" width="12.85546875" style="1118" hidden="1" customWidth="1" outlineLevel="1"/>
    <col min="28" max="28" width="12.85546875" style="1118" customWidth="1" collapsed="1"/>
    <col min="29" max="33" width="12.85546875" style="1118" customWidth="1"/>
    <col min="34" max="16384" width="9.140625" style="1118"/>
  </cols>
  <sheetData>
    <row r="1" spans="2:27" ht="51.75" customHeight="1">
      <c r="M1" s="2992"/>
      <c r="N1" s="3205"/>
      <c r="O1" s="3205"/>
    </row>
    <row r="2" spans="2:27">
      <c r="M2" s="2360"/>
    </row>
    <row r="3" spans="2:27" ht="67.5" customHeight="1">
      <c r="E3" s="1118"/>
      <c r="H3" s="2408"/>
      <c r="I3" s="2408"/>
      <c r="N3" s="2993" t="s">
        <v>3917</v>
      </c>
      <c r="O3" s="2993"/>
    </row>
    <row r="4" spans="2:27">
      <c r="E4" s="1118"/>
      <c r="N4" s="2993" t="s">
        <v>3847</v>
      </c>
      <c r="O4" s="2993"/>
    </row>
    <row r="5" spans="2:27" ht="36" customHeight="1">
      <c r="B5" s="3184" t="s">
        <v>4284</v>
      </c>
      <c r="C5" s="3184"/>
      <c r="D5" s="3184"/>
      <c r="E5" s="3184"/>
      <c r="F5" s="3184"/>
      <c r="G5" s="3184"/>
      <c r="H5" s="3184"/>
      <c r="I5" s="3184"/>
      <c r="J5" s="3184"/>
      <c r="K5" s="3184"/>
      <c r="L5" s="3184"/>
      <c r="M5" s="3184"/>
      <c r="N5" s="3184"/>
      <c r="O5" s="3184"/>
    </row>
    <row r="6" spans="2:27" ht="17.25" customHeight="1" thickBot="1">
      <c r="E6" s="1118"/>
      <c r="J6" s="2361"/>
      <c r="M6" s="2362"/>
      <c r="N6" s="2363"/>
      <c r="O6" s="2364" t="s">
        <v>3897</v>
      </c>
    </row>
    <row r="7" spans="2:27" ht="82.5" customHeight="1" thickBot="1">
      <c r="B7" s="3745" t="s">
        <v>3735</v>
      </c>
      <c r="C7" s="3074" t="s">
        <v>2</v>
      </c>
      <c r="D7" s="3745" t="s">
        <v>3898</v>
      </c>
      <c r="E7" s="3010"/>
      <c r="F7" s="3010"/>
      <c r="G7" s="3010" t="s">
        <v>3899</v>
      </c>
      <c r="H7" s="3010"/>
      <c r="I7" s="3074"/>
      <c r="J7" s="3745" t="s">
        <v>3898</v>
      </c>
      <c r="K7" s="3010"/>
      <c r="L7" s="3010"/>
      <c r="M7" s="3010" t="s">
        <v>3899</v>
      </c>
      <c r="N7" s="3010"/>
      <c r="O7" s="3074"/>
      <c r="P7" s="3188" t="s">
        <v>3886</v>
      </c>
      <c r="Q7" s="3188"/>
      <c r="R7" s="3188"/>
      <c r="S7" s="3188"/>
      <c r="T7" s="3195" t="s">
        <v>3898</v>
      </c>
      <c r="U7" s="3196"/>
      <c r="V7" s="3196"/>
      <c r="W7" s="3197"/>
      <c r="X7" s="3195" t="s">
        <v>3899</v>
      </c>
      <c r="Y7" s="3196"/>
      <c r="Z7" s="3196"/>
      <c r="AA7" s="3197"/>
    </row>
    <row r="8" spans="2:27" ht="25.5" customHeight="1">
      <c r="B8" s="3033"/>
      <c r="C8" s="3200"/>
      <c r="D8" s="2962">
        <v>2017</v>
      </c>
      <c r="E8" s="2963">
        <f>D8-1</f>
        <v>2016</v>
      </c>
      <c r="F8" s="2963">
        <f>E8-1</f>
        <v>2015</v>
      </c>
      <c r="G8" s="2963">
        <f>D8</f>
        <v>2017</v>
      </c>
      <c r="H8" s="2963">
        <f t="shared" ref="H8:I8" si="0">E8</f>
        <v>2016</v>
      </c>
      <c r="I8" s="2974">
        <f t="shared" si="0"/>
        <v>2015</v>
      </c>
      <c r="J8" s="2962">
        <v>2017</v>
      </c>
      <c r="K8" s="2963">
        <f>J8-1</f>
        <v>2016</v>
      </c>
      <c r="L8" s="2963">
        <f>K8-1</f>
        <v>2015</v>
      </c>
      <c r="M8" s="2963">
        <f>J8</f>
        <v>2017</v>
      </c>
      <c r="N8" s="2963">
        <f t="shared" ref="N8:O8" si="1">K8</f>
        <v>2016</v>
      </c>
      <c r="O8" s="2974">
        <f t="shared" si="1"/>
        <v>2015</v>
      </c>
      <c r="P8" s="2307">
        <v>2016</v>
      </c>
      <c r="Q8" s="2307">
        <v>2017</v>
      </c>
      <c r="R8" s="2307">
        <v>2018</v>
      </c>
      <c r="S8" s="2822">
        <v>2019</v>
      </c>
      <c r="T8" s="2821">
        <v>2017</v>
      </c>
      <c r="U8" s="2821">
        <f>T8-1</f>
        <v>2016</v>
      </c>
      <c r="V8" s="2821">
        <f>U8-1</f>
        <v>2015</v>
      </c>
      <c r="W8" s="2821" t="s">
        <v>3998</v>
      </c>
      <c r="X8" s="2821">
        <f>T8</f>
        <v>2017</v>
      </c>
      <c r="Y8" s="2821">
        <f t="shared" ref="Y8" si="2">U8</f>
        <v>2016</v>
      </c>
      <c r="Z8" s="2821">
        <f t="shared" ref="Z8" si="3">V8</f>
        <v>2015</v>
      </c>
      <c r="AA8" s="2821" t="s">
        <v>3998</v>
      </c>
    </row>
    <row r="9" spans="2:27">
      <c r="B9" s="2962">
        <v>1</v>
      </c>
      <c r="C9" s="2974">
        <v>2</v>
      </c>
      <c r="D9" s="2962">
        <v>3</v>
      </c>
      <c r="E9" s="2963">
        <v>4</v>
      </c>
      <c r="F9" s="2963">
        <v>5</v>
      </c>
      <c r="G9" s="2963">
        <v>6</v>
      </c>
      <c r="H9" s="2963">
        <v>7</v>
      </c>
      <c r="I9" s="2974">
        <v>8</v>
      </c>
      <c r="J9" s="2975">
        <v>9</v>
      </c>
      <c r="K9" s="2976">
        <v>10</v>
      </c>
      <c r="L9" s="2976">
        <v>11</v>
      </c>
      <c r="M9" s="2976">
        <v>12</v>
      </c>
      <c r="N9" s="2976">
        <v>13</v>
      </c>
      <c r="O9" s="2977">
        <v>14</v>
      </c>
      <c r="P9" s="2365"/>
      <c r="Q9" s="2365"/>
      <c r="R9" s="2365"/>
      <c r="S9" s="2365"/>
    </row>
    <row r="10" spans="2:27" ht="60.75" customHeight="1">
      <c r="B10" s="3198" t="s">
        <v>3883</v>
      </c>
      <c r="C10" s="3199"/>
      <c r="D10" s="3033" t="s">
        <v>3900</v>
      </c>
      <c r="E10" s="3028"/>
      <c r="F10" s="3028"/>
      <c r="G10" s="3028"/>
      <c r="H10" s="3028"/>
      <c r="I10" s="3200"/>
      <c r="J10" s="3201" t="s">
        <v>3901</v>
      </c>
      <c r="K10" s="3202"/>
      <c r="L10" s="3202"/>
      <c r="M10" s="3202"/>
      <c r="N10" s="3202"/>
      <c r="O10" s="3203"/>
      <c r="P10" s="2308">
        <v>1.071</v>
      </c>
      <c r="Q10" s="2308">
        <v>1.0389999999999999</v>
      </c>
      <c r="R10" s="2308">
        <v>1.0369999999999999</v>
      </c>
      <c r="S10" s="2309">
        <v>1.04</v>
      </c>
      <c r="T10" s="2567"/>
      <c r="U10" s="2567"/>
      <c r="V10" s="2567"/>
      <c r="W10" s="2825">
        <f ca="1">'Приложение 2'!AA11</f>
        <v>5170.4361735028788</v>
      </c>
      <c r="X10" s="2824"/>
      <c r="Y10" s="2824"/>
      <c r="Z10" s="2824"/>
      <c r="AA10" s="2825">
        <f ca="1">'Приложение 2'!AA12</f>
        <v>15252.120687325596</v>
      </c>
    </row>
    <row r="11" spans="2:27" ht="60">
      <c r="B11" s="2366" t="s">
        <v>3</v>
      </c>
      <c r="C11" s="2367" t="s">
        <v>3702</v>
      </c>
      <c r="D11" s="3759">
        <f ca="1">D12+D13+D14+D15+D16+D25</f>
        <v>1794.4800023220946</v>
      </c>
      <c r="E11" s="3760">
        <f ca="1">E12+E13+E14+E15+E16+E25</f>
        <v>1624.6681742516175</v>
      </c>
      <c r="F11" s="3760">
        <f t="shared" ref="F11:I11" si="4">F12+F13+F14+F15+F16+F25</f>
        <v>2992.5301617835858</v>
      </c>
      <c r="G11" s="3760">
        <f t="shared" ca="1" si="4"/>
        <v>5648.6485376779046</v>
      </c>
      <c r="H11" s="3760">
        <f t="shared" ca="1" si="4"/>
        <v>5717.577777558382</v>
      </c>
      <c r="I11" s="3760">
        <f t="shared" si="4"/>
        <v>7217.6519079382133</v>
      </c>
      <c r="J11" s="2962">
        <f>J12+J13+J14+J15+J16+J25</f>
        <v>0</v>
      </c>
      <c r="K11" s="2963">
        <f t="shared" ref="K11:O11" si="5">K12+K13+K14+K15+K16+K25</f>
        <v>0</v>
      </c>
      <c r="L11" s="2963">
        <f t="shared" si="5"/>
        <v>0</v>
      </c>
      <c r="M11" s="2963">
        <f t="shared" si="5"/>
        <v>0</v>
      </c>
      <c r="N11" s="2963">
        <f t="shared" si="5"/>
        <v>0</v>
      </c>
      <c r="O11" s="2974">
        <f t="shared" si="5"/>
        <v>0</v>
      </c>
      <c r="T11" s="2820">
        <f ca="1">T12+T13+T14+T15+T16+T25</f>
        <v>5390.8378632432668</v>
      </c>
      <c r="U11" s="2820">
        <f ca="1">U12+U13+U14+U15+U16+U25</f>
        <v>3541.8421123287799</v>
      </c>
      <c r="V11" s="2820">
        <f t="shared" ref="V11:Z11" si="6">V12+V13+V14+V15+V16+V25</f>
        <v>6650.6162725116119</v>
      </c>
      <c r="W11" s="2820">
        <f t="shared" ca="1" si="6"/>
        <v>5194.4320826945523</v>
      </c>
      <c r="X11" s="2820">
        <f t="shared" ca="1" si="6"/>
        <v>16969.232520654223</v>
      </c>
      <c r="Y11" s="2820">
        <f t="shared" ca="1" si="6"/>
        <v>12464.550037979123</v>
      </c>
      <c r="Z11" s="2820">
        <f t="shared" si="6"/>
        <v>16040.551183500405</v>
      </c>
      <c r="AA11" s="2820">
        <f t="shared" ref="AA11" ca="1" si="7">AA12+AA13+AA14+AA15+AA16+AA25</f>
        <v>15158.111247377918</v>
      </c>
    </row>
    <row r="12" spans="2:27" ht="27" customHeight="1">
      <c r="B12" s="2366" t="s">
        <v>4</v>
      </c>
      <c r="C12" s="2367" t="s">
        <v>3703</v>
      </c>
      <c r="D12" s="2403">
        <f ca="1">'C1 2017'!BI26/1000</f>
        <v>5.1151477458034895</v>
      </c>
      <c r="E12" s="2404">
        <f ca="1">'C1 2016'!BI26/1000</f>
        <v>13.681307338855932</v>
      </c>
      <c r="F12" s="2404">
        <f>'С1 2015'!BI26/1000</f>
        <v>12.645712447056697</v>
      </c>
      <c r="G12" s="2404">
        <f ca="1">'C1 2017'!BJ26/1000</f>
        <v>39.438732254196495</v>
      </c>
      <c r="H12" s="2404">
        <f ca="1">'C1 2016'!BJ26/1000</f>
        <v>58.824661461144061</v>
      </c>
      <c r="I12" s="2404">
        <f>'С1 2015'!BJ26/1000</f>
        <v>69.045377552943293</v>
      </c>
      <c r="J12" s="2366"/>
      <c r="K12" s="2368"/>
      <c r="L12" s="2368"/>
      <c r="M12" s="2368"/>
      <c r="N12" s="2368"/>
      <c r="O12" s="2367"/>
      <c r="T12" s="2823">
        <f ca="1">D12*$R$10*$S$10/'Приложение 2'!$M$11*1000</f>
        <v>15.366530754579797</v>
      </c>
      <c r="U12" s="2823">
        <f ca="1">E12*$R$10*$S$10*$Q$10/'Приложение 2'!$I$11*1000</f>
        <v>29.825801509772198</v>
      </c>
      <c r="V12" s="2823">
        <f>F12*$R$10*$S$10*$Q$10*$P$10/'Приложение 2'!$E$11*1000</f>
        <v>28.103904198503447</v>
      </c>
      <c r="W12" s="2823">
        <f ca="1">AVERAGE(T12:V12)</f>
        <v>24.432078820951816</v>
      </c>
      <c r="X12" s="2823">
        <f ca="1">G12*$R$10*$S$10/'Приложение 2'!$M$11*1000</f>
        <v>118.47878540809425</v>
      </c>
      <c r="Y12" s="2823">
        <f ca="1">H12*$R$10*$S$10*$Q$10/'Приложение 2'!$I$11*1000</f>
        <v>128.24013328293117</v>
      </c>
      <c r="Z12" s="2823">
        <f>I12*$R$10*$S$10*$Q$10*$P$10/'Приложение 2'!$E$11*1000</f>
        <v>153.44684486709633</v>
      </c>
      <c r="AA12" s="2823">
        <f ca="1">AVERAGE(X12:Z12)</f>
        <v>133.38858785270725</v>
      </c>
    </row>
    <row r="13" spans="2:27">
      <c r="B13" s="2366" t="s">
        <v>5</v>
      </c>
      <c r="C13" s="2367" t="s">
        <v>3704</v>
      </c>
      <c r="D13" s="2403">
        <f ca="1">'C1 2017'!BI30/1000</f>
        <v>2.0347149373342703</v>
      </c>
      <c r="E13" s="2404">
        <f ca="1">'C1 2016'!BI30/1000</f>
        <v>1.6002646066666666</v>
      </c>
      <c r="F13" s="2404">
        <f>'С1 2015'!BI30/1000</f>
        <v>5.8403196431590096</v>
      </c>
      <c r="G13" s="2404">
        <f ca="1">'C1 2017'!BJ30/1000</f>
        <v>4.515005062665729</v>
      </c>
      <c r="H13" s="2404">
        <f ca="1">'C1 2016'!BJ30/1000</f>
        <v>3.2005292133333327</v>
      </c>
      <c r="I13" s="2404">
        <f>'С1 2015'!BJ30/1000</f>
        <v>12.825080356840989</v>
      </c>
      <c r="J13" s="2366"/>
      <c r="K13" s="2368"/>
      <c r="L13" s="2368"/>
      <c r="M13" s="2368"/>
      <c r="N13" s="2368"/>
      <c r="O13" s="2367"/>
      <c r="T13" s="2823">
        <f ca="1">D13*$R$10*$S$10/'Приложение 2'!$M$11*1000</f>
        <v>6.1125330518558876</v>
      </c>
      <c r="U13" s="2823">
        <f ca="1">E13*$R$10*$S$10*$Q$10/'Приложение 2'!$I$11*1000</f>
        <v>3.4886413512544419</v>
      </c>
      <c r="V13" s="2823">
        <f>F13*$R$10*$S$10*$Q$10*$P$10/'Приложение 2'!$E$11*1000</f>
        <v>12.979560022984819</v>
      </c>
      <c r="W13" s="2823">
        <f t="shared" ref="W13:W15" ca="1" si="8">AVERAGE(T13:V13)</f>
        <v>7.5269114753650497</v>
      </c>
      <c r="X13" s="2823">
        <f ca="1">G13*$R$10*$S$10/'Приложение 2'!$M$11*1000</f>
        <v>13.563628579341879</v>
      </c>
      <c r="Y13" s="2823">
        <f ca="1">H13*$R$10*$S$10*$Q$10/'Приложение 2'!$I$11*1000</f>
        <v>6.9772827025088828</v>
      </c>
      <c r="Z13" s="2823">
        <f>I13*$R$10*$S$10*$Q$10*$P$10/'Приложение 2'!$E$11*1000</f>
        <v>28.502532474606372</v>
      </c>
      <c r="AA13" s="2823">
        <f t="shared" ref="AA13:AA15" ca="1" si="9">AVERAGE(X13:Z13)</f>
        <v>16.347814585485711</v>
      </c>
    </row>
    <row r="14" spans="2:27" ht="30">
      <c r="B14" s="2366" t="s">
        <v>6</v>
      </c>
      <c r="C14" s="2367" t="s">
        <v>3771</v>
      </c>
      <c r="D14" s="2403">
        <f ca="1">'C1 2017'!BI31/1000</f>
        <v>985.32461384614135</v>
      </c>
      <c r="E14" s="2404">
        <f ca="1">'C1 2016'!BI31/1000</f>
        <v>507.25041391644191</v>
      </c>
      <c r="F14" s="2404">
        <f>'С1 2015'!BI31/1000</f>
        <v>852.27821220766009</v>
      </c>
      <c r="G14" s="2404">
        <f ca="1">'C1 2017'!BJ31/1000</f>
        <v>3474.2453661538584</v>
      </c>
      <c r="H14" s="2404">
        <f ca="1">'C1 2016'!BJ31/1000</f>
        <v>2885.480880303558</v>
      </c>
      <c r="I14" s="2404">
        <f>'С1 2015'!BJ31/1000</f>
        <v>2392.0855777923398</v>
      </c>
      <c r="J14" s="2366"/>
      <c r="K14" s="2368"/>
      <c r="L14" s="2368"/>
      <c r="M14" s="2368"/>
      <c r="N14" s="2368"/>
      <c r="O14" s="2367"/>
      <c r="T14" s="2823">
        <f ca="1">D14*$R$10*$S$10/'Приложение 2'!$M$11*1000</f>
        <v>2960.0359040133326</v>
      </c>
      <c r="U14" s="2823">
        <f ca="1">E14*$R$10*$S$10*$Q$10/'Приложение 2'!$I$11*1000</f>
        <v>1105.8263502533614</v>
      </c>
      <c r="V14" s="2823">
        <f>F14*$R$10*$S$10*$Q$10*$P$10/'Приложение 2'!$E$11*1000</f>
        <v>1894.1080090691769</v>
      </c>
      <c r="W14" s="2823">
        <f t="shared" ca="1" si="8"/>
        <v>1986.6567544452903</v>
      </c>
      <c r="X14" s="2823">
        <f ca="1">G14*$R$10*$S$10/'Приложение 2'!$M$11*1000</f>
        <v>10437.058892728726</v>
      </c>
      <c r="Y14" s="2823">
        <f ca="1">H14*$R$10*$S$10*$Q$10/'Приложение 2'!$I$11*1000</f>
        <v>6290.4646365011331</v>
      </c>
      <c r="Z14" s="2823">
        <f>I14*$R$10*$S$10*$Q$10*$P$10/'Приложение 2'!$E$11*1000</f>
        <v>5316.1847696880704</v>
      </c>
      <c r="AA14" s="2823">
        <f t="shared" ca="1" si="9"/>
        <v>7347.9027663059778</v>
      </c>
    </row>
    <row r="15" spans="2:27">
      <c r="B15" s="2366" t="s">
        <v>7</v>
      </c>
      <c r="C15" s="2367" t="s">
        <v>3706</v>
      </c>
      <c r="D15" s="2403">
        <f ca="1">'C1 2017'!BI32/1000</f>
        <v>298.11103790407014</v>
      </c>
      <c r="E15" s="2404">
        <f ca="1">'C1 2016'!BI32/1000</f>
        <v>153.34345020631974</v>
      </c>
      <c r="F15" s="2404">
        <f>'С1 2015'!BI32/1000</f>
        <v>255.13629528985666</v>
      </c>
      <c r="G15" s="2404">
        <f ca="1">'C1 2017'!BJ32/1000</f>
        <v>1051.0010020959298</v>
      </c>
      <c r="H15" s="2404">
        <f ca="1">'C1 2016'!BJ32/1000</f>
        <v>872.48623021368007</v>
      </c>
      <c r="I15" s="2404">
        <f>'С1 2015'!BJ32/1000</f>
        <v>716.37953471014316</v>
      </c>
      <c r="J15" s="2962"/>
      <c r="K15" s="2368"/>
      <c r="L15" s="2368"/>
      <c r="M15" s="2963"/>
      <c r="N15" s="2368"/>
      <c r="O15" s="2367"/>
      <c r="T15" s="2823">
        <f ca="1">D15*$R$10*$S$10/'Приложение 2'!$M$11*1000</f>
        <v>895.56209514980947</v>
      </c>
      <c r="U15" s="2823">
        <f ca="1">E15*$R$10*$S$10*$Q$10/'Приложение 2'!$I$11*1000</f>
        <v>334.29490292115491</v>
      </c>
      <c r="V15" s="2823">
        <f>F15*$R$10*$S$10*$Q$10*$P$10/'Приложение 2'!$E$11*1000</f>
        <v>567.01637257742016</v>
      </c>
      <c r="W15" s="2823">
        <f t="shared" ca="1" si="8"/>
        <v>598.95779021612816</v>
      </c>
      <c r="X15" s="2823">
        <f ca="1">G15*$R$10*$S$10/'Приложение 2'!$M$11*1000</f>
        <v>3157.3358237894663</v>
      </c>
      <c r="Y15" s="2823">
        <f ca="1">H15*$R$10*$S$10*$Q$10/'Приложение 2'!$I$11*1000</f>
        <v>1902.0551529060751</v>
      </c>
      <c r="Z15" s="2823">
        <f>I15*$R$10*$S$10*$Q$10*$P$10/'Приложение 2'!$E$11*1000</f>
        <v>1592.0860052411144</v>
      </c>
      <c r="AA15" s="2823">
        <f t="shared" ca="1" si="9"/>
        <v>2217.1589939788851</v>
      </c>
    </row>
    <row r="16" spans="2:27" ht="30">
      <c r="B16" s="2366" t="s">
        <v>3707</v>
      </c>
      <c r="C16" s="2367" t="s">
        <v>3708</v>
      </c>
      <c r="D16" s="3759">
        <f ca="1">D17+D18+D19</f>
        <v>327.29196935142556</v>
      </c>
      <c r="E16" s="3760">
        <f t="shared" ref="E16:I16" ca="1" si="10">E17+E18+E19</f>
        <v>758.99835818333327</v>
      </c>
      <c r="F16" s="3760">
        <f t="shared" si="10"/>
        <v>1033.6865868729067</v>
      </c>
      <c r="G16" s="3760">
        <f t="shared" ca="1" si="10"/>
        <v>699.30257064857437</v>
      </c>
      <c r="H16" s="3760">
        <f t="shared" ca="1" si="10"/>
        <v>1517.9967163666665</v>
      </c>
      <c r="I16" s="3760">
        <f t="shared" si="10"/>
        <v>2229.2467121989671</v>
      </c>
      <c r="J16" s="2962">
        <f>J17+J18+J19</f>
        <v>0</v>
      </c>
      <c r="K16" s="2963">
        <f t="shared" ref="K16:O16" si="11">K17+K18+K19</f>
        <v>0</v>
      </c>
      <c r="L16" s="2963">
        <f t="shared" si="11"/>
        <v>0</v>
      </c>
      <c r="M16" s="2963">
        <f t="shared" si="11"/>
        <v>0</v>
      </c>
      <c r="N16" s="2963">
        <f t="shared" si="11"/>
        <v>0</v>
      </c>
      <c r="O16" s="2974">
        <f t="shared" si="11"/>
        <v>0</v>
      </c>
      <c r="T16" s="2820">
        <f ca="1">T17+T18+T19</f>
        <v>983.22518971065585</v>
      </c>
      <c r="U16" s="2820">
        <f t="shared" ref="U16:Z16" ca="1" si="12">U17+U18+U19</f>
        <v>1654.6470170380742</v>
      </c>
      <c r="V16" s="2820">
        <f t="shared" si="12"/>
        <v>2297.271026079336</v>
      </c>
      <c r="W16" s="2820">
        <f t="shared" ca="1" si="12"/>
        <v>1645.0477442760221</v>
      </c>
      <c r="X16" s="2820">
        <f t="shared" ca="1" si="12"/>
        <v>2100.7906306213777</v>
      </c>
      <c r="Y16" s="2820">
        <f t="shared" ca="1" si="12"/>
        <v>3309.2940340761484</v>
      </c>
      <c r="Z16" s="2820">
        <f t="shared" si="12"/>
        <v>4954.2907366243744</v>
      </c>
      <c r="AA16" s="2820">
        <f t="shared" ref="AA16" ca="1" si="13">AA17+AA18+AA19</f>
        <v>3454.7918004406333</v>
      </c>
    </row>
    <row r="17" spans="2:27" ht="30">
      <c r="B17" s="2366" t="s">
        <v>3709</v>
      </c>
      <c r="C17" s="2370" t="s">
        <v>3710</v>
      </c>
      <c r="D17" s="2403">
        <f ca="1">'C1 2017'!BI34/1000</f>
        <v>2.1557594796618238</v>
      </c>
      <c r="E17" s="2404">
        <f ca="1">'C1 2016'!BI34/1000</f>
        <v>4.7208402833333327</v>
      </c>
      <c r="F17" s="2404">
        <f>'С1 2015'!BI34/1000</f>
        <v>3.3414105533412068</v>
      </c>
      <c r="G17" s="2404">
        <f ca="1">'C1 2017'!BJ34/1000</f>
        <v>4.9986805203381763</v>
      </c>
      <c r="H17" s="2404">
        <f ca="1">'C1 2016'!BJ34/1000</f>
        <v>9.4416805666666654</v>
      </c>
      <c r="I17" s="2404">
        <f>'С1 2015'!BJ34/1000</f>
        <v>7.3136094466587922</v>
      </c>
      <c r="J17" s="2366"/>
      <c r="K17" s="2368"/>
      <c r="L17" s="2368"/>
      <c r="M17" s="2368"/>
      <c r="N17" s="2368"/>
      <c r="O17" s="2367"/>
      <c r="T17" s="2823">
        <f ca="1">D17*$R$10*$S$10/'Приложение 2'!$M$11*1000</f>
        <v>6.4761656925506514</v>
      </c>
      <c r="U17" s="2823">
        <f ca="1">E17*$R$10*$S$10*$Q$10/'Приложение 2'!$I$11*1000</f>
        <v>10.291622120800264</v>
      </c>
      <c r="V17" s="2823">
        <f>F17*$R$10*$S$10*$Q$10*$P$10/'Приложение 2'!$E$11*1000</f>
        <v>7.4259700647254991</v>
      </c>
      <c r="W17" s="2823">
        <f t="shared" ref="W17:W18" ca="1" si="14">AVERAGE(T17:V17)</f>
        <v>8.0645859593588032</v>
      </c>
      <c r="X17" s="2823">
        <f ca="1">G17*$R$10*$S$10/'Приложение 2'!$M$11*1000</f>
        <v>15.016648934747398</v>
      </c>
      <c r="Y17" s="2823">
        <f ca="1">H17*$R$10*$S$10*$Q$10/'Приложение 2'!$I$11*1000</f>
        <v>20.583244241600529</v>
      </c>
      <c r="Z17" s="2823">
        <f>I17*$R$10*$S$10*$Q$10*$P$10/'Приложение 2'!$E$11*1000</f>
        <v>16.253807770396392</v>
      </c>
      <c r="AA17" s="2823">
        <f t="shared" ref="AA17:AA18" ca="1" si="15">AVERAGE(X17:Z17)</f>
        <v>17.284566982248105</v>
      </c>
    </row>
    <row r="18" spans="2:27" ht="45">
      <c r="B18" s="2366" t="s">
        <v>3711</v>
      </c>
      <c r="C18" s="2370" t="s">
        <v>3712</v>
      </c>
      <c r="D18" s="2403">
        <f ca="1">'C1 2017'!BI35/1000</f>
        <v>6.710125759378843</v>
      </c>
      <c r="E18" s="2404">
        <f ca="1">'C1 2016'!BI35/1000</f>
        <v>5.2973755800000006</v>
      </c>
      <c r="F18" s="2404">
        <f>'С1 2015'!BI35/1000</f>
        <v>15.040242697222023</v>
      </c>
      <c r="G18" s="2404">
        <f ca="1">'C1 2017'!BJ35/1000</f>
        <v>14.684234240621157</v>
      </c>
      <c r="H18" s="2404">
        <f ca="1">'C1 2016'!BJ35/1000</f>
        <v>10.59475116</v>
      </c>
      <c r="I18" s="2404">
        <f>'С1 2015'!BJ35/1000</f>
        <v>32.567747302777981</v>
      </c>
      <c r="J18" s="2366"/>
      <c r="K18" s="2368"/>
      <c r="L18" s="2368"/>
      <c r="M18" s="2368"/>
      <c r="N18" s="2368"/>
      <c r="O18" s="2367"/>
      <c r="T18" s="2823">
        <f ca="1">D18*$R$10*$S$10/'Приложение 2'!$M$11*1000</f>
        <v>20.158040192130628</v>
      </c>
      <c r="U18" s="2823">
        <f ca="1">E18*$R$10*$S$10*$Q$10/'Приложение 2'!$I$11*1000</f>
        <v>11.548492308411708</v>
      </c>
      <c r="V18" s="2823">
        <f>F18*$R$10*$S$10*$Q$10*$P$10/'Приложение 2'!$E$11*1000</f>
        <v>33.425522022157807</v>
      </c>
      <c r="W18" s="2823">
        <f t="shared" ca="1" si="14"/>
        <v>21.710684840900047</v>
      </c>
      <c r="X18" s="2823">
        <f ca="1">G18*$R$10*$S$10/'Приложение 2'!$M$11*1000</f>
        <v>44.113239397841518</v>
      </c>
      <c r="Y18" s="2823">
        <f ca="1">H18*$R$10*$S$10*$Q$10/'Приложение 2'!$I$11*1000</f>
        <v>23.096984616823413</v>
      </c>
      <c r="Z18" s="2823">
        <f>I18*$R$10*$S$10*$Q$10*$P$10/'Приложение 2'!$E$11*1000</f>
        <v>72.378749239341914</v>
      </c>
      <c r="AA18" s="2823">
        <f t="shared" ca="1" si="15"/>
        <v>46.529657751335613</v>
      </c>
    </row>
    <row r="19" spans="2:27" ht="45">
      <c r="B19" s="2366" t="s">
        <v>3713</v>
      </c>
      <c r="C19" s="2370" t="s">
        <v>3714</v>
      </c>
      <c r="D19" s="3759">
        <f ca="1">D20+D21+D22+D23+D24</f>
        <v>318.4260841123849</v>
      </c>
      <c r="E19" s="3760">
        <f ca="1">E20+E21+E22+E23+E24</f>
        <v>748.98014231999991</v>
      </c>
      <c r="F19" s="3760">
        <f t="shared" ref="F19:I19" si="16">F20+F21+F22+F23+F24</f>
        <v>1015.3049336223435</v>
      </c>
      <c r="G19" s="3760">
        <f t="shared" ca="1" si="16"/>
        <v>679.61965588761507</v>
      </c>
      <c r="H19" s="3760">
        <f t="shared" ca="1" si="16"/>
        <v>1497.9602846399998</v>
      </c>
      <c r="I19" s="3760">
        <f t="shared" si="16"/>
        <v>2189.3653554495304</v>
      </c>
      <c r="J19" s="2962">
        <f>J20+J21+J22+J23+J24</f>
        <v>0</v>
      </c>
      <c r="K19" s="2963">
        <f t="shared" ref="K19:O19" si="17">K20+K21+K22+K23+K24</f>
        <v>0</v>
      </c>
      <c r="L19" s="2963">
        <f t="shared" si="17"/>
        <v>0</v>
      </c>
      <c r="M19" s="2963">
        <f t="shared" si="17"/>
        <v>0</v>
      </c>
      <c r="N19" s="2963">
        <f t="shared" si="17"/>
        <v>0</v>
      </c>
      <c r="O19" s="2974">
        <f t="shared" si="17"/>
        <v>0</v>
      </c>
      <c r="T19" s="2820">
        <f ca="1">T20+T21+T22+T23+T24</f>
        <v>956.5909838259746</v>
      </c>
      <c r="U19" s="2820">
        <f ca="1">U20+U21+U22+U23+U24</f>
        <v>1632.8069026088622</v>
      </c>
      <c r="V19" s="2820">
        <f t="shared" ref="V19:Z19" si="18">V20+V21+V22+V23+V24</f>
        <v>2256.4195339924527</v>
      </c>
      <c r="W19" s="2820">
        <f t="shared" ca="1" si="18"/>
        <v>1615.2724734757633</v>
      </c>
      <c r="X19" s="2820">
        <f t="shared" ca="1" si="18"/>
        <v>2041.6607422887887</v>
      </c>
      <c r="Y19" s="2820">
        <f t="shared" ca="1" si="18"/>
        <v>3265.6138052177243</v>
      </c>
      <c r="Z19" s="2820">
        <f t="shared" si="18"/>
        <v>4865.6581796146365</v>
      </c>
      <c r="AA19" s="2820">
        <f t="shared" ref="AA19" ca="1" si="19">AA20+AA21+AA22+AA23+AA24</f>
        <v>3390.9775757070497</v>
      </c>
    </row>
    <row r="20" spans="2:27">
      <c r="B20" s="2366" t="s">
        <v>3715</v>
      </c>
      <c r="C20" s="2367" t="s">
        <v>3716</v>
      </c>
      <c r="D20" s="2403">
        <f ca="1">'C1 2017'!BI37/1000</f>
        <v>0.91561774037237165</v>
      </c>
      <c r="E20" s="2404">
        <f ca="1">'C1 2016'!BI37/1000</f>
        <v>0.56917353999999998</v>
      </c>
      <c r="F20" s="2404">
        <f>'С1 2015'!BI37/1000</f>
        <v>3.1906476933859209</v>
      </c>
      <c r="G20" s="2404">
        <f ca="1">'C1 2017'!BJ37/1000</f>
        <v>2.0276822596276283</v>
      </c>
      <c r="H20" s="2404">
        <f ca="1">'C1 2016'!BJ37/1000</f>
        <v>1.13834708</v>
      </c>
      <c r="I20" s="2404">
        <f>'С1 2015'!BJ37/1000</f>
        <v>6.9570523066140799</v>
      </c>
      <c r="J20" s="2366"/>
      <c r="K20" s="2368"/>
      <c r="L20" s="2368"/>
      <c r="M20" s="2323"/>
      <c r="N20" s="2323"/>
      <c r="O20" s="2371"/>
      <c r="T20" s="2823">
        <f ca="1">D20*$R$10*$S$10/'Приложение 2'!$M$11*1000</f>
        <v>2.7506279126373134</v>
      </c>
      <c r="U20" s="2823">
        <f ca="1">E20*$R$10*$S$10*$Q$10/'Приложение 2'!$I$11*1000</f>
        <v>1.2408212613162426</v>
      </c>
      <c r="V20" s="2823">
        <f>F20*$R$10*$S$10*$Q$10*$P$10/'Приложение 2'!$E$11*1000</f>
        <v>7.0909138161657808</v>
      </c>
      <c r="W20" s="2823">
        <f ca="1">AVERAGE(T20:V20)</f>
        <v>3.6941209967064452</v>
      </c>
      <c r="X20" s="2823">
        <f ca="1">G20*$R$10*$S$10/'Приложение 2'!$M$11*1000</f>
        <v>6.0914060260813505</v>
      </c>
      <c r="Y20" s="2823">
        <f ca="1">H20*$R$10*$S$10*$Q$10/'Приложение 2'!$I$11*1000</f>
        <v>2.4816425226324852</v>
      </c>
      <c r="Z20" s="2823">
        <f>I20*$R$10*$S$10*$Q$10*$P$10/'Приложение 2'!$E$11*1000</f>
        <v>15.461393128116482</v>
      </c>
      <c r="AA20" s="2823">
        <f t="shared" ref="AA20:AA24" ca="1" si="20">AVERAGE(X20:Z20)</f>
        <v>8.0114805589434397</v>
      </c>
    </row>
    <row r="21" spans="2:27" ht="30">
      <c r="B21" s="2366" t="s">
        <v>3717</v>
      </c>
      <c r="C21" s="2367" t="s">
        <v>3718</v>
      </c>
      <c r="D21" s="2403">
        <f ca="1">'C1 2017'!BI38/1000</f>
        <v>1.859204794714697</v>
      </c>
      <c r="E21" s="2404">
        <f ca="1">'C1 2016'!BI38/1000</f>
        <v>1.1262167100000002</v>
      </c>
      <c r="F21" s="2404">
        <f>'С1 2015'!BI38/1000</f>
        <v>5.3791285624619256</v>
      </c>
      <c r="G21" s="2404">
        <f ca="1">'C1 2017'!BJ38/1000</f>
        <v>4.1179152052853043</v>
      </c>
      <c r="H21" s="2404">
        <f ca="1">'C1 2016'!BJ38/1000</f>
        <v>2.25243342</v>
      </c>
      <c r="I21" s="2404">
        <f>'С1 2015'!BJ38/1000</f>
        <v>11.728431437538074</v>
      </c>
      <c r="J21" s="2366"/>
      <c r="K21" s="2368"/>
      <c r="L21" s="2368"/>
      <c r="M21" s="2323"/>
      <c r="N21" s="2323"/>
      <c r="O21" s="2371"/>
      <c r="T21" s="2823">
        <f ca="1">D21*$R$10*$S$10/'Приложение 2'!$M$11*1000</f>
        <v>5.5852790724342798</v>
      </c>
      <c r="U21" s="2823">
        <f ca="1">E21*$R$10*$S$10*$Q$10/'Приложение 2'!$I$11*1000</f>
        <v>2.4551978270416948</v>
      </c>
      <c r="V21" s="2823">
        <f>F21*$R$10*$S$10*$Q$10*$P$10/'Приложение 2'!$E$11*1000</f>
        <v>11.954606308168074</v>
      </c>
      <c r="W21" s="2823">
        <f t="shared" ref="W21:W24" ca="1" si="21">AVERAGE(T21:V21)</f>
        <v>6.6650277358813499</v>
      </c>
      <c r="X21" s="2823">
        <f ca="1">G21*$R$10*$S$10/'Приложение 2'!$M$11*1000</f>
        <v>12.370721979376311</v>
      </c>
      <c r="Y21" s="2823">
        <f ca="1">H21*$R$10*$S$10*$Q$10/'Приложение 2'!$I$11*1000</f>
        <v>4.9103956540833886</v>
      </c>
      <c r="Z21" s="2823">
        <f>I21*$R$10*$S$10*$Q$10*$P$10/'Приложение 2'!$E$11*1000</f>
        <v>26.065333598187603</v>
      </c>
      <c r="AA21" s="2823">
        <f t="shared" ca="1" si="20"/>
        <v>14.44881707721577</v>
      </c>
    </row>
    <row r="22" spans="2:27" ht="60">
      <c r="B22" s="2366" t="s">
        <v>3719</v>
      </c>
      <c r="C22" s="2367" t="s">
        <v>3720</v>
      </c>
      <c r="D22" s="2403">
        <f ca="1">'C1 2017'!BI39/1000</f>
        <v>2.4199493655091802</v>
      </c>
      <c r="E22" s="2404">
        <f ca="1">'C1 2016'!BI39/1000</f>
        <v>1.7933122266666672</v>
      </c>
      <c r="F22" s="2404">
        <f>'С1 2015'!BI39/1000</f>
        <v>6.8188678902298712</v>
      </c>
      <c r="G22" s="2404">
        <f ca="1">'C1 2017'!BJ39/1000</f>
        <v>5.3639806344908205</v>
      </c>
      <c r="H22" s="2404">
        <f ca="1">'C1 2016'!BJ39/1000</f>
        <v>3.586624453333334</v>
      </c>
      <c r="I22" s="2404">
        <f>'С1 2015'!BJ39/1000</f>
        <v>14.866722109770127</v>
      </c>
      <c r="J22" s="2366"/>
      <c r="K22" s="2368"/>
      <c r="L22" s="2368"/>
      <c r="M22" s="2368"/>
      <c r="N22" s="2368"/>
      <c r="O22" s="2367"/>
      <c r="T22" s="2823">
        <f ca="1">D22*$R$10*$S$10/'Приложение 2'!$M$11*1000</f>
        <v>7.2698244894549884</v>
      </c>
      <c r="U22" s="2823">
        <f ca="1">E22*$R$10*$S$10*$Q$10/'Приложение 2'!$I$11*1000</f>
        <v>3.9094929448518871</v>
      </c>
      <c r="V22" s="2823">
        <f>F22*$R$10*$S$10*$Q$10*$P$10/'Приложение 2'!$E$11*1000</f>
        <v>15.154291285017734</v>
      </c>
      <c r="W22" s="2823">
        <f t="shared" ca="1" si="21"/>
        <v>8.7778695731082035</v>
      </c>
      <c r="X22" s="2823">
        <f ca="1">G22*$R$10*$S$10/'Приложение 2'!$M$11*1000</f>
        <v>16.11405524982078</v>
      </c>
      <c r="Y22" s="2823">
        <f ca="1">H22*$R$10*$S$10*$Q$10/'Приложение 2'!$I$11*1000</f>
        <v>7.8189858897037734</v>
      </c>
      <c r="Z22" s="2823">
        <f>I22*$R$10*$S$10*$Q$10*$P$10/'Приложение 2'!$E$11*1000</f>
        <v>33.039888868894778</v>
      </c>
      <c r="AA22" s="2823">
        <f t="shared" ca="1" si="20"/>
        <v>18.99097666947311</v>
      </c>
    </row>
    <row r="23" spans="2:27">
      <c r="B23" s="2366" t="s">
        <v>3721</v>
      </c>
      <c r="C23" s="2367" t="s">
        <v>3722</v>
      </c>
      <c r="D23" s="2403">
        <f ca="1">'C1 2017'!BI40/1000</f>
        <v>0.28377572907581239</v>
      </c>
      <c r="E23" s="2404">
        <f ca="1">'C1 2016'!BI40/1000</f>
        <v>4.2266336666666668E-2</v>
      </c>
      <c r="F23" s="2404">
        <f>'С1 2015'!BI40/1000</f>
        <v>0.19167125972659094</v>
      </c>
      <c r="G23" s="2404">
        <f ca="1">'C1 2017'!BJ40/1000</f>
        <v>0.62465427092418768</v>
      </c>
      <c r="H23" s="2404">
        <f ca="1">'C1 2016'!BJ40/1000</f>
        <v>8.4532673333333322E-2</v>
      </c>
      <c r="I23" s="2404">
        <f>'С1 2015'!BJ40/1000</f>
        <v>0.41740874027340896</v>
      </c>
      <c r="J23" s="2366"/>
      <c r="K23" s="2368"/>
      <c r="L23" s="2368"/>
      <c r="M23" s="2323"/>
      <c r="N23" s="2323"/>
      <c r="O23" s="2371"/>
      <c r="T23" s="2823">
        <f ca="1">D23*$R$10*$S$10/'Приложение 2'!$M$11*1000</f>
        <v>0.85249707045593903</v>
      </c>
      <c r="U23" s="2823">
        <f ca="1">E23*$R$10*$S$10*$Q$10/'Приложение 2'!$I$11*1000</f>
        <v>9.2142317743636321E-2</v>
      </c>
      <c r="V23" s="2823">
        <f>F23*$R$10*$S$10*$Q$10*$P$10/'Приложение 2'!$E$11*1000</f>
        <v>0.42597131189839338</v>
      </c>
      <c r="W23" s="2823">
        <f t="shared" ca="1" si="21"/>
        <v>0.45687023336598959</v>
      </c>
      <c r="X23" s="2823">
        <f ca="1">G23*$R$10*$S$10/'Приложение 2'!$M$11*1000</f>
        <v>1.876537989154089</v>
      </c>
      <c r="Y23" s="2823">
        <f ca="1">H23*$R$10*$S$10*$Q$10/'Приложение 2'!$I$11*1000</f>
        <v>0.18428463548727259</v>
      </c>
      <c r="Z23" s="2823">
        <f>I23*$R$10*$S$10*$Q$10*$P$10/'Приложение 2'!$E$11*1000</f>
        <v>0.92765158921451296</v>
      </c>
      <c r="AA23" s="2823">
        <f t="shared" ca="1" si="20"/>
        <v>0.99615807128529144</v>
      </c>
    </row>
    <row r="24" spans="2:27" ht="45">
      <c r="B24" s="2366" t="s">
        <v>3918</v>
      </c>
      <c r="C24" s="2367" t="s">
        <v>3724</v>
      </c>
      <c r="D24" s="2403">
        <f ca="1">'C1 2017'!BI43/1000</f>
        <v>312.94753648271285</v>
      </c>
      <c r="E24" s="2404">
        <f ca="1">'C1 2016'!BI43/1000</f>
        <v>745.44917350666663</v>
      </c>
      <c r="F24" s="2404">
        <f>'С1 2015'!BI43/1000</f>
        <v>999.72461821653917</v>
      </c>
      <c r="G24" s="2404">
        <f ca="1">'C1 2017'!BJ43/1000</f>
        <v>667.48542351728713</v>
      </c>
      <c r="H24" s="2404">
        <f ca="1">'C1 2016'!BJ43/1000</f>
        <v>1490.8983470133333</v>
      </c>
      <c r="I24" s="2404">
        <f>'С1 2015'!BJ43/1000</f>
        <v>2155.3957408553347</v>
      </c>
      <c r="J24" s="2366"/>
      <c r="K24" s="2368"/>
      <c r="L24" s="2368"/>
      <c r="M24" s="2323"/>
      <c r="N24" s="2323"/>
      <c r="O24" s="2371"/>
      <c r="T24" s="2823">
        <f ca="1">D24*$R$10*$S$10/'Приложение 2'!$M$11*1000</f>
        <v>940.13275528099211</v>
      </c>
      <c r="U24" s="2823">
        <f ca="1">E24*$R$10*$S$10*$Q$10/'Приложение 2'!$I$11*1000</f>
        <v>1625.1092482579088</v>
      </c>
      <c r="V24" s="2823">
        <f>F24*$R$10*$S$10*$Q$10*$P$10/'Приложение 2'!$E$11*1000</f>
        <v>2221.7937512712028</v>
      </c>
      <c r="W24" s="2823">
        <f t="shared" ca="1" si="21"/>
        <v>1595.6785849367013</v>
      </c>
      <c r="X24" s="2823">
        <f ca="1">G24*$R$10*$S$10/'Приложение 2'!$M$11*1000</f>
        <v>2005.2080210443562</v>
      </c>
      <c r="Y24" s="2823">
        <f ca="1">H24*$R$10*$S$10*$Q$10/'Приложение 2'!$I$11*1000</f>
        <v>3250.2184965158176</v>
      </c>
      <c r="Z24" s="2823">
        <f>I24*$R$10*$S$10*$Q$10*$P$10/'Приложение 2'!$E$11*1000</f>
        <v>4790.1639124302228</v>
      </c>
      <c r="AA24" s="2823">
        <f t="shared" ca="1" si="20"/>
        <v>3348.530143330132</v>
      </c>
    </row>
    <row r="25" spans="2:27" ht="30">
      <c r="B25" s="2366" t="s">
        <v>3725</v>
      </c>
      <c r="C25" s="2367" t="s">
        <v>3726</v>
      </c>
      <c r="D25" s="3759">
        <f>D26+D27+D28+D29</f>
        <v>176.60251853731998</v>
      </c>
      <c r="E25" s="3760">
        <f>E26+E27+E28+E29</f>
        <v>189.79438000000005</v>
      </c>
      <c r="F25" s="3760">
        <f t="shared" ref="F25:I25" si="22">F26+F27+F28+F29</f>
        <v>832.94303532294634</v>
      </c>
      <c r="G25" s="3760">
        <f t="shared" si="22"/>
        <v>380.14586146268016</v>
      </c>
      <c r="H25" s="3760">
        <f t="shared" si="22"/>
        <v>379.58875999999998</v>
      </c>
      <c r="I25" s="3760">
        <f t="shared" si="22"/>
        <v>1798.0696253269787</v>
      </c>
      <c r="J25" s="2962">
        <f>J26+J27+J28+J29</f>
        <v>0</v>
      </c>
      <c r="K25" s="2963">
        <f t="shared" ref="K25:O25" si="23">K26+K27+K28+K29</f>
        <v>0</v>
      </c>
      <c r="L25" s="2963">
        <f t="shared" si="23"/>
        <v>0</v>
      </c>
      <c r="M25" s="2963">
        <f t="shared" si="23"/>
        <v>0</v>
      </c>
      <c r="N25" s="2963">
        <f t="shared" si="23"/>
        <v>0</v>
      </c>
      <c r="O25" s="2974">
        <f t="shared" si="23"/>
        <v>0</v>
      </c>
      <c r="T25" s="2820">
        <f>T26+T27+T28+T29</f>
        <v>530.53561056303306</v>
      </c>
      <c r="U25" s="2820">
        <f t="shared" ref="U25:Z25" si="24">U26+U27+U28+U29</f>
        <v>413.75939925516269</v>
      </c>
      <c r="V25" s="2820">
        <f t="shared" si="24"/>
        <v>1851.1374005641899</v>
      </c>
      <c r="W25" s="2820">
        <f t="shared" si="24"/>
        <v>931.81080346079511</v>
      </c>
      <c r="X25" s="2820">
        <f t="shared" si="24"/>
        <v>1142.0047595272179</v>
      </c>
      <c r="Y25" s="2820">
        <f t="shared" si="24"/>
        <v>827.51879851032527</v>
      </c>
      <c r="Z25" s="2820">
        <f t="shared" si="24"/>
        <v>3996.040294605144</v>
      </c>
      <c r="AA25" s="2820">
        <f t="shared" ref="AA25" si="25">AA26+AA27+AA28+AA29</f>
        <v>1988.5212842142291</v>
      </c>
    </row>
    <row r="26" spans="2:27">
      <c r="B26" s="2366" t="s">
        <v>3727</v>
      </c>
      <c r="C26" s="2370" t="s">
        <v>3728</v>
      </c>
      <c r="D26" s="2403">
        <f>'C1 2017'!BI45/1000</f>
        <v>0</v>
      </c>
      <c r="E26" s="2404">
        <f>'C1 2016'!BI45/1000</f>
        <v>0</v>
      </c>
      <c r="F26" s="2404">
        <f>'С1 2015'!BI45/1000</f>
        <v>0</v>
      </c>
      <c r="G26" s="2404">
        <f>'C1 2017'!BJ45/1000</f>
        <v>0</v>
      </c>
      <c r="H26" s="2404">
        <f>'C1 2016'!BJ45/1000</f>
        <v>0</v>
      </c>
      <c r="I26" s="2404">
        <f>'С1 2015'!BJ45/1000</f>
        <v>0</v>
      </c>
      <c r="J26" s="2366"/>
      <c r="K26" s="2368"/>
      <c r="L26" s="2368"/>
      <c r="M26" s="2323"/>
      <c r="N26" s="2323"/>
      <c r="O26" s="2371"/>
      <c r="T26" s="2823">
        <f>D26*$R$10*$S$10/'Приложение 2'!$M$11*1000</f>
        <v>0</v>
      </c>
      <c r="U26" s="2823">
        <f>E26*$R$10*$S$10*$Q$10/'Приложение 2'!$I$11*1000</f>
        <v>0</v>
      </c>
      <c r="V26" s="2823">
        <f>F26*$R$10*$S$10*$Q$10*$P$10/'Приложение 2'!$E$11*1000</f>
        <v>0</v>
      </c>
      <c r="W26" s="2823">
        <f t="shared" ref="W26:W29" si="26">AVERAGE(T26:V26)</f>
        <v>0</v>
      </c>
      <c r="X26" s="2823">
        <f>G26*$R$10*$S$10/'Приложение 2'!$M$11*1000</f>
        <v>0</v>
      </c>
      <c r="Y26" s="2823">
        <f>H26*$R$10*$S$10*$Q$10/'Приложение 2'!$I$11*1000</f>
        <v>0</v>
      </c>
      <c r="Z26" s="2823">
        <f>I26*$R$10*$S$10*$Q$10*$P$10/'Приложение 2'!$E$11*1000</f>
        <v>0</v>
      </c>
      <c r="AA26" s="2823">
        <f t="shared" ref="AA26:AA29" si="27">AVERAGE(X26:Z26)</f>
        <v>0</v>
      </c>
    </row>
    <row r="27" spans="2:27">
      <c r="B27" s="2366" t="s">
        <v>3729</v>
      </c>
      <c r="C27" s="2370" t="s">
        <v>3730</v>
      </c>
      <c r="D27" s="2403">
        <f>'C1 2017'!BI46/1000</f>
        <v>0</v>
      </c>
      <c r="E27" s="2404">
        <f>'C1 2016'!BI46/1000</f>
        <v>0</v>
      </c>
      <c r="F27" s="2404">
        <f>'С1 2015'!BI46/1000</f>
        <v>742.70340348273771</v>
      </c>
      <c r="G27" s="2404">
        <f>'C1 2017'!BJ46/1000</f>
        <v>0</v>
      </c>
      <c r="H27" s="2404">
        <f>'C1 2016'!BJ46/1000</f>
        <v>0</v>
      </c>
      <c r="I27" s="2404">
        <f>'С1 2015'!BJ46/1000</f>
        <v>1602.7717665172627</v>
      </c>
      <c r="J27" s="2366"/>
      <c r="K27" s="2368"/>
      <c r="L27" s="2368"/>
      <c r="M27" s="2323"/>
      <c r="N27" s="2323"/>
      <c r="O27" s="2371"/>
      <c r="T27" s="2823">
        <f>D27*$R$10*$S$10/'Приложение 2'!$M$11*1000</f>
        <v>0</v>
      </c>
      <c r="U27" s="2823">
        <f>E27*$R$10*$S$10*$Q$10/'Приложение 2'!$I$11*1000</f>
        <v>0</v>
      </c>
      <c r="V27" s="2823">
        <f>F27*$R$10*$S$10*$Q$10*$P$10/'Приложение 2'!$E$11*1000</f>
        <v>1650.5883228619111</v>
      </c>
      <c r="W27" s="2823">
        <f t="shared" si="26"/>
        <v>550.19610762063701</v>
      </c>
      <c r="X27" s="2823">
        <f>G27*$R$10*$S$10/'Приложение 2'!$M$11*1000</f>
        <v>0</v>
      </c>
      <c r="Y27" s="2823">
        <f>H27*$R$10*$S$10*$Q$10/'Приложение 2'!$I$11*1000</f>
        <v>0</v>
      </c>
      <c r="Z27" s="2823">
        <f>I27*$R$10*$S$10*$Q$10*$P$10/'Приложение 2'!$E$11*1000</f>
        <v>3562.0092080103677</v>
      </c>
      <c r="AA27" s="2823">
        <f t="shared" si="27"/>
        <v>1187.3364026701227</v>
      </c>
    </row>
    <row r="28" spans="2:27">
      <c r="B28" s="2366" t="s">
        <v>3919</v>
      </c>
      <c r="C28" s="2370" t="s">
        <v>3732</v>
      </c>
      <c r="D28" s="2403">
        <f>'C1 2017'!BI47/1000</f>
        <v>118.56860510479667</v>
      </c>
      <c r="E28" s="2404">
        <f>'C1 2016'!BI47/1000</f>
        <v>157.13224000000017</v>
      </c>
      <c r="F28" s="2404">
        <f>'С1 2015'!BI47/1000</f>
        <v>78.250503219320564</v>
      </c>
      <c r="G28" s="2404">
        <f>'C1 2017'!BJ47/1000</f>
        <v>255.22492489520343</v>
      </c>
      <c r="H28" s="2404">
        <f>'C1 2016'!BJ47/1000</f>
        <v>314.26448000000028</v>
      </c>
      <c r="I28" s="2404">
        <f>'С1 2015'!BJ47/1000</f>
        <v>169.35082089626522</v>
      </c>
      <c r="J28" s="2366"/>
      <c r="K28" s="2368"/>
      <c r="L28" s="2368"/>
      <c r="M28" s="2323"/>
      <c r="N28" s="2323"/>
      <c r="O28" s="2371"/>
      <c r="T28" s="2823">
        <f>D28*$R$10*$S$10/'Приложение 2'!$M$11*1000</f>
        <v>356.19462182011455</v>
      </c>
      <c r="U28" s="2823">
        <f>E28*$R$10*$S$10*$Q$10/'Приложение 2'!$I$11*1000</f>
        <v>342.5546174023599</v>
      </c>
      <c r="V28" s="2823">
        <f>F28*$R$10*$S$10*$Q$10*$P$10/'Приложение 2'!$E$11*1000</f>
        <v>173.90436918185054</v>
      </c>
      <c r="W28" s="2823">
        <f t="shared" si="26"/>
        <v>290.88453613477503</v>
      </c>
      <c r="X28" s="2823">
        <f>G28*$R$10*$S$10/'Приложение 2'!$M$11*1000</f>
        <v>766.72695543448174</v>
      </c>
      <c r="Y28" s="2823">
        <f>H28*$R$10*$S$10*$Q$10/'Приложение 2'!$I$11*1000</f>
        <v>685.10923480471968</v>
      </c>
      <c r="Z28" s="2823">
        <f>I28*$R$10*$S$10*$Q$10*$P$10/'Приложение 2'!$E$11*1000</f>
        <v>376.36624004638924</v>
      </c>
      <c r="AA28" s="2823">
        <f t="shared" si="27"/>
        <v>609.4008100951969</v>
      </c>
    </row>
    <row r="29" spans="2:27" ht="45.75" thickBot="1">
      <c r="B29" s="2372" t="s">
        <v>3733</v>
      </c>
      <c r="C29" s="2373" t="s">
        <v>3734</v>
      </c>
      <c r="D29" s="2405">
        <f>'C1 2017'!BI48/1000</f>
        <v>58.033913432523306</v>
      </c>
      <c r="E29" s="2406">
        <f>'C1 2016'!BI48/1000</f>
        <v>32.662139999999866</v>
      </c>
      <c r="F29" s="2406">
        <f>'С1 2015'!BI48/1000</f>
        <v>11.989128620888103</v>
      </c>
      <c r="G29" s="2406">
        <f>'C1 2017'!BJ48/1000</f>
        <v>124.92093656747672</v>
      </c>
      <c r="H29" s="2406">
        <f>'C1 2016'!BJ48/1000</f>
        <v>65.324279999999717</v>
      </c>
      <c r="I29" s="2406">
        <f>'С1 2015'!BJ48/1000</f>
        <v>25.947037913450718</v>
      </c>
      <c r="J29" s="2372"/>
      <c r="K29" s="2374"/>
      <c r="L29" s="2374"/>
      <c r="M29" s="2327"/>
      <c r="N29" s="2327"/>
      <c r="O29" s="2375"/>
      <c r="T29" s="2823">
        <f>D29*$R$10*$S$10/'Приложение 2'!$M$11*1000</f>
        <v>174.34098874291848</v>
      </c>
      <c r="U29" s="2823">
        <f>E29*$R$10*$S$10*$Q$10/'Приложение 2'!$I$11*1000</f>
        <v>71.20478185280281</v>
      </c>
      <c r="V29" s="2823">
        <f>F29*$R$10*$S$10*$Q$10*$P$10/'Приложение 2'!$E$11*1000</f>
        <v>26.644708520428075</v>
      </c>
      <c r="W29" s="2823">
        <f t="shared" si="26"/>
        <v>90.73015970538313</v>
      </c>
      <c r="X29" s="2823">
        <f>G29*$R$10*$S$10/'Приложение 2'!$M$11*1000</f>
        <v>375.27780409273612</v>
      </c>
      <c r="Y29" s="2823">
        <f>H29*$R$10*$S$10*$Q$10/'Приложение 2'!$I$11*1000</f>
        <v>142.40956370560559</v>
      </c>
      <c r="Z29" s="2823">
        <f>I29*$R$10*$S$10*$Q$10*$P$10/'Приложение 2'!$E$11*1000</f>
        <v>57.664846548387303</v>
      </c>
      <c r="AA29" s="2823">
        <f t="shared" si="27"/>
        <v>191.78407144890969</v>
      </c>
    </row>
    <row r="31" spans="2:27" ht="14.25" customHeight="1"/>
    <row r="32" spans="2:27" ht="30.75" hidden="1" customHeight="1" outlineLevel="1">
      <c r="B32" s="3204" t="s">
        <v>3920</v>
      </c>
      <c r="C32" s="3204"/>
      <c r="D32" s="3204"/>
      <c r="E32" s="3204"/>
      <c r="F32" s="3204"/>
      <c r="G32" s="3204"/>
      <c r="H32" s="3204"/>
      <c r="I32" s="3204"/>
      <c r="J32" s="3204"/>
      <c r="K32" s="3204"/>
      <c r="L32" s="3204"/>
      <c r="M32" s="3204"/>
      <c r="N32" s="3204"/>
      <c r="O32" s="3204"/>
    </row>
    <row r="33" spans="3:9" hidden="1" outlineLevel="1"/>
    <row r="34" spans="3:9" hidden="1" outlineLevel="1"/>
    <row r="35" spans="3:9" hidden="1" outlineLevel="1"/>
    <row r="36" spans="3:9" ht="18.75" hidden="1" outlineLevel="1">
      <c r="C36" s="2449" t="s">
        <v>4254</v>
      </c>
      <c r="D36" s="2450"/>
      <c r="E36" s="2450"/>
      <c r="F36" s="2451"/>
      <c r="G36" s="2450"/>
      <c r="H36" s="2450"/>
      <c r="I36" s="2449" t="s">
        <v>3955</v>
      </c>
    </row>
    <row r="37" spans="3:9" collapsed="1">
      <c r="C37" s="2450"/>
      <c r="D37" s="2450"/>
      <c r="E37" s="2450"/>
      <c r="F37" s="2451"/>
      <c r="G37" s="2450"/>
      <c r="H37" s="2450"/>
      <c r="I37" s="2450"/>
    </row>
    <row r="38" spans="3:9" ht="18.75">
      <c r="C38" s="2449"/>
      <c r="D38" s="2450"/>
      <c r="E38" s="2450"/>
      <c r="F38" s="2451"/>
      <c r="G38" s="2450"/>
      <c r="H38" s="2450"/>
      <c r="I38" s="2449"/>
    </row>
    <row r="39" spans="3:9" ht="18.75">
      <c r="C39" s="2449"/>
      <c r="D39" s="2450"/>
      <c r="E39" s="2450"/>
      <c r="F39" s="2451"/>
      <c r="G39" s="2450"/>
      <c r="H39" s="2450"/>
      <c r="I39" s="2449"/>
    </row>
  </sheetData>
  <mergeCells count="17">
    <mergeCell ref="B32:O32"/>
    <mergeCell ref="M1:O1"/>
    <mergeCell ref="N3:O3"/>
    <mergeCell ref="N4:O4"/>
    <mergeCell ref="B5:O5"/>
    <mergeCell ref="B7:B8"/>
    <mergeCell ref="C7:C8"/>
    <mergeCell ref="D7:F7"/>
    <mergeCell ref="G7:I7"/>
    <mergeCell ref="J7:L7"/>
    <mergeCell ref="M7:O7"/>
    <mergeCell ref="P7:S7"/>
    <mergeCell ref="T7:W7"/>
    <mergeCell ref="X7:AA7"/>
    <mergeCell ref="B10:C10"/>
    <mergeCell ref="D10:I10"/>
    <mergeCell ref="J10:O10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442"/>
  <sheetViews>
    <sheetView view="pageBreakPreview" zoomScale="60" zoomScaleNormal="70" workbookViewId="0">
      <selection activeCell="B6" sqref="B6:N6"/>
    </sheetView>
  </sheetViews>
  <sheetFormatPr defaultRowHeight="15" outlineLevelRow="1" outlineLevelCol="1"/>
  <cols>
    <col min="1" max="1" width="9.140625" style="1118"/>
    <col min="2" max="2" width="47.7109375" style="1118" customWidth="1"/>
    <col min="3" max="3" width="24.85546875" style="1118" customWidth="1"/>
    <col min="4" max="4" width="17" style="1118" customWidth="1"/>
    <col min="5" max="5" width="18.7109375" style="1118" customWidth="1"/>
    <col min="6" max="6" width="17.28515625" style="1119" customWidth="1"/>
    <col min="7" max="7" width="14.5703125" style="1119" hidden="1" customWidth="1"/>
    <col min="8" max="10" width="14.42578125" style="1118" customWidth="1"/>
    <col min="11" max="11" width="16.7109375" style="1118" hidden="1" customWidth="1"/>
    <col min="12" max="12" width="14.42578125" style="1118" customWidth="1"/>
    <col min="13" max="13" width="13.5703125" style="1118" customWidth="1"/>
    <col min="14" max="14" width="13.42578125" style="1118" customWidth="1"/>
    <col min="15" max="15" width="15" style="1118" customWidth="1"/>
    <col min="16" max="16" width="16" style="1118" hidden="1" customWidth="1"/>
    <col min="17" max="17" width="16" style="1118" customWidth="1"/>
    <col min="18" max="18" width="15.42578125" style="1118" customWidth="1"/>
    <col min="19" max="19" width="16.28515625" style="1118" customWidth="1"/>
    <col min="20" max="20" width="17.7109375" style="1118" customWidth="1"/>
    <col min="21" max="21" width="15.5703125" style="1118" hidden="1" customWidth="1"/>
    <col min="22" max="22" width="14.5703125" style="1118" hidden="1" customWidth="1" outlineLevel="1"/>
    <col min="23" max="23" width="15.140625" style="1118" hidden="1" customWidth="1" outlineLevel="1"/>
    <col min="24" max="24" width="14.140625" style="1118" hidden="1" customWidth="1" outlineLevel="1"/>
    <col min="25" max="25" width="20.42578125" style="1118" hidden="1" customWidth="1" outlineLevel="1"/>
    <col min="26" max="27" width="11.7109375" style="1118" hidden="1" customWidth="1" outlineLevel="1"/>
    <col min="28" max="28" width="10.85546875" style="1118" hidden="1" customWidth="1" outlineLevel="1"/>
    <col min="29" max="29" width="14.42578125" style="1118" hidden="1" customWidth="1" outlineLevel="1"/>
    <col min="30" max="30" width="17.7109375" style="1118" hidden="1" customWidth="1" outlineLevel="1"/>
    <col min="31" max="31" width="14.5703125" style="1118" hidden="1" customWidth="1" outlineLevel="1"/>
    <col min="32" max="32" width="16.7109375" style="1118" hidden="1" customWidth="1" outlineLevel="1"/>
    <col min="33" max="33" width="20.42578125" style="1118" hidden="1" customWidth="1" outlineLevel="1"/>
    <col min="34" max="34" width="14.85546875" style="1118" hidden="1" customWidth="1" outlineLevel="1"/>
    <col min="35" max="35" width="14" style="1118" hidden="1" customWidth="1" outlineLevel="1"/>
    <col min="36" max="36" width="13.7109375" style="1118" hidden="1" customWidth="1" outlineLevel="1"/>
    <col min="37" max="37" width="15.42578125" style="1118" hidden="1" customWidth="1" outlineLevel="1"/>
    <col min="38" max="38" width="18.7109375" style="1118" hidden="1" customWidth="1" outlineLevel="1"/>
    <col min="39" max="39" width="24.28515625" style="1118" hidden="1" customWidth="1" outlineLevel="1"/>
    <col min="40" max="40" width="0" style="1118" hidden="1" customWidth="1" outlineLevel="1"/>
    <col min="41" max="41" width="9.140625" style="1118" collapsed="1"/>
    <col min="42" max="16384" width="9.140625" style="1118"/>
  </cols>
  <sheetData>
    <row r="1" spans="1:114" ht="48" customHeight="1">
      <c r="M1" s="2992"/>
      <c r="N1" s="3205"/>
      <c r="O1" s="3205"/>
      <c r="P1" s="2511"/>
      <c r="Q1" s="2851"/>
    </row>
    <row r="3" spans="1:114" ht="15" customHeight="1">
      <c r="N3" s="2993" t="s">
        <v>3902</v>
      </c>
      <c r="O3" s="2993"/>
      <c r="P3" s="2510"/>
      <c r="Q3" s="2850"/>
    </row>
    <row r="4" spans="1:114" ht="47.25" customHeight="1">
      <c r="N4" s="2993"/>
      <c r="O4" s="2993"/>
      <c r="P4" s="2510"/>
      <c r="Q4" s="2850"/>
    </row>
    <row r="5" spans="1:114" ht="15" customHeight="1">
      <c r="N5" s="2993" t="s">
        <v>3847</v>
      </c>
      <c r="O5" s="2993"/>
      <c r="P5" s="2510"/>
      <c r="Q5" s="2850"/>
    </row>
    <row r="6" spans="1:114" ht="30.75" customHeight="1">
      <c r="A6" s="2313"/>
      <c r="B6" s="2994" t="s">
        <v>4285</v>
      </c>
      <c r="C6" s="2994"/>
      <c r="D6" s="2994"/>
      <c r="E6" s="2994"/>
      <c r="F6" s="2994"/>
      <c r="G6" s="2994"/>
      <c r="H6" s="2994"/>
      <c r="I6" s="2994"/>
      <c r="J6" s="2994"/>
      <c r="K6" s="2994"/>
      <c r="L6" s="2994"/>
      <c r="M6" s="2994"/>
      <c r="N6" s="2994"/>
      <c r="O6" s="2313"/>
      <c r="P6" s="2313"/>
      <c r="Q6" s="2313"/>
      <c r="R6" s="2338"/>
      <c r="S6" s="2338"/>
      <c r="T6" s="2338"/>
      <c r="U6" s="2338"/>
    </row>
    <row r="7" spans="1:114" ht="15.75">
      <c r="A7" s="2313"/>
      <c r="B7" s="2973"/>
      <c r="C7" s="2973"/>
      <c r="D7" s="2973"/>
      <c r="E7" s="2973"/>
      <c r="F7" s="2973"/>
      <c r="G7" s="2973"/>
      <c r="H7" s="2973"/>
      <c r="I7" s="2973"/>
      <c r="J7" s="2973"/>
      <c r="K7" s="2973"/>
      <c r="L7" s="2973"/>
      <c r="M7" s="2973"/>
      <c r="N7" s="2973"/>
      <c r="O7" s="2973"/>
      <c r="P7" s="2973"/>
      <c r="Q7" s="2973"/>
      <c r="R7" s="2338"/>
      <c r="S7" s="2338"/>
      <c r="T7" s="2338"/>
      <c r="U7" s="2338"/>
    </row>
    <row r="8" spans="1:114" s="2345" customFormat="1" ht="15" customHeight="1">
      <c r="B8" s="2996" t="s">
        <v>3848</v>
      </c>
      <c r="C8" s="2996"/>
      <c r="D8" s="2996"/>
      <c r="E8" s="2996"/>
      <c r="F8" s="2996"/>
      <c r="G8" s="2996"/>
      <c r="H8" s="2996"/>
      <c r="I8" s="2996"/>
      <c r="J8" s="2996"/>
      <c r="K8" s="2996"/>
      <c r="L8" s="2996"/>
      <c r="M8" s="2996"/>
      <c r="N8" s="2996"/>
      <c r="O8" s="2996"/>
      <c r="P8" s="2996"/>
      <c r="Q8" s="2996"/>
      <c r="R8" s="2996"/>
      <c r="S8" s="2996"/>
      <c r="T8" s="2996"/>
    </row>
    <row r="9" spans="1:114" s="2345" customFormat="1" ht="22.5" customHeight="1">
      <c r="A9" s="3217"/>
      <c r="B9" s="3217"/>
      <c r="C9" s="3217"/>
      <c r="D9" s="3217"/>
      <c r="E9" s="3217"/>
      <c r="F9" s="3217"/>
      <c r="G9" s="3761" t="s">
        <v>3965</v>
      </c>
      <c r="H9" s="3761"/>
      <c r="I9" s="3761"/>
      <c r="J9" s="3761"/>
      <c r="K9" s="3761"/>
      <c r="L9" s="3761"/>
      <c r="M9" s="3761"/>
      <c r="N9" s="3761"/>
      <c r="O9" s="3761"/>
      <c r="P9" s="3761"/>
      <c r="Q9" s="3761"/>
      <c r="R9" s="3761"/>
      <c r="S9" s="3761"/>
      <c r="T9" s="3761"/>
      <c r="U9" s="3761"/>
      <c r="V9" s="2313"/>
      <c r="W9" s="2313"/>
      <c r="X9" s="2313"/>
      <c r="Y9" s="2313"/>
      <c r="Z9" s="1118"/>
      <c r="AA9" s="1118"/>
      <c r="AB9" s="1118"/>
      <c r="AC9" s="1118"/>
      <c r="AD9" s="1118"/>
      <c r="AE9" s="1118"/>
      <c r="AF9" s="1118"/>
      <c r="AG9" s="1118"/>
      <c r="AH9" s="1118"/>
      <c r="AI9" s="1118"/>
      <c r="AJ9" s="1118"/>
      <c r="AK9" s="1118"/>
      <c r="AL9" s="1118"/>
      <c r="AM9" s="1118"/>
    </row>
    <row r="10" spans="1:114" s="2345" customFormat="1" ht="86.25" customHeight="1">
      <c r="A10" s="3208" t="s">
        <v>0</v>
      </c>
      <c r="B10" s="3209" t="s">
        <v>3849</v>
      </c>
      <c r="C10" s="3210" t="s">
        <v>3850</v>
      </c>
      <c r="D10" s="3209" t="s">
        <v>3851</v>
      </c>
      <c r="E10" s="3209" t="s">
        <v>3852</v>
      </c>
      <c r="F10" s="3209" t="s">
        <v>3853</v>
      </c>
      <c r="G10" s="3209" t="s">
        <v>3854</v>
      </c>
      <c r="H10" s="3216" t="s">
        <v>3855</v>
      </c>
      <c r="I10" s="3216"/>
      <c r="J10" s="3216"/>
      <c r="K10" s="3216"/>
      <c r="L10" s="3216"/>
      <c r="M10" s="3216" t="s">
        <v>3856</v>
      </c>
      <c r="N10" s="3216"/>
      <c r="O10" s="3216"/>
      <c r="P10" s="3216"/>
      <c r="Q10" s="3216"/>
      <c r="R10" s="3216" t="s">
        <v>3857</v>
      </c>
      <c r="S10" s="3216"/>
      <c r="T10" s="3216"/>
      <c r="U10" s="3216"/>
      <c r="V10" s="3213" t="s">
        <v>3978</v>
      </c>
      <c r="W10" s="3213"/>
      <c r="X10" s="3213"/>
      <c r="Y10" s="3213"/>
      <c r="Z10" s="3214" t="s">
        <v>3858</v>
      </c>
      <c r="AA10" s="3214"/>
      <c r="AB10" s="3214"/>
      <c r="AC10" s="3214"/>
      <c r="AD10" s="3212" t="s">
        <v>3979</v>
      </c>
      <c r="AE10" s="3212"/>
      <c r="AF10" s="3212"/>
      <c r="AG10" s="3212"/>
      <c r="AH10" s="2929" t="s">
        <v>3980</v>
      </c>
      <c r="AI10" s="2934" t="s">
        <v>3974</v>
      </c>
      <c r="AJ10" s="2934" t="s">
        <v>3975</v>
      </c>
      <c r="AK10" s="2893" t="s">
        <v>4273</v>
      </c>
      <c r="AL10" s="2893" t="s">
        <v>4271</v>
      </c>
      <c r="AM10" s="2893" t="s">
        <v>4272</v>
      </c>
    </row>
    <row r="11" spans="1:114" s="2345" customFormat="1" ht="66.75" customHeight="1">
      <c r="A11" s="3208"/>
      <c r="B11" s="3209"/>
      <c r="C11" s="3210"/>
      <c r="D11" s="3209"/>
      <c r="E11" s="3209"/>
      <c r="F11" s="3209"/>
      <c r="G11" s="3209"/>
      <c r="H11" s="2980">
        <v>2015</v>
      </c>
      <c r="I11" s="2980">
        <v>2016</v>
      </c>
      <c r="J11" s="2980">
        <v>2017</v>
      </c>
      <c r="K11" s="2980" t="s">
        <v>3925</v>
      </c>
      <c r="L11" s="2981" t="s">
        <v>2559</v>
      </c>
      <c r="M11" s="2980">
        <f>H11</f>
        <v>2015</v>
      </c>
      <c r="N11" s="2980">
        <f>I11</f>
        <v>2016</v>
      </c>
      <c r="O11" s="2980">
        <f>J11</f>
        <v>2017</v>
      </c>
      <c r="P11" s="2980" t="s">
        <v>3925</v>
      </c>
      <c r="Q11" s="2981" t="s">
        <v>2559</v>
      </c>
      <c r="R11" s="2980">
        <f>H11</f>
        <v>2015</v>
      </c>
      <c r="S11" s="2980">
        <f>I11</f>
        <v>2016</v>
      </c>
      <c r="T11" s="2980">
        <f>J11</f>
        <v>2017</v>
      </c>
      <c r="U11" s="2980" t="s">
        <v>3925</v>
      </c>
      <c r="V11" s="2887">
        <f>R11</f>
        <v>2015</v>
      </c>
      <c r="W11" s="2887">
        <f>S11</f>
        <v>2016</v>
      </c>
      <c r="X11" s="2887">
        <f>T11</f>
        <v>2017</v>
      </c>
      <c r="Y11" s="2887" t="str">
        <f>U11</f>
        <v>План (в случае отсутствия факта за 3 года)</v>
      </c>
      <c r="Z11" s="2824">
        <v>2016</v>
      </c>
      <c r="AA11" s="2824">
        <v>2017</v>
      </c>
      <c r="AB11" s="2824">
        <v>2018</v>
      </c>
      <c r="AC11" s="2824">
        <v>2019</v>
      </c>
      <c r="AD11" s="2887">
        <f>V11</f>
        <v>2015</v>
      </c>
      <c r="AE11" s="2887">
        <f>W11</f>
        <v>2016</v>
      </c>
      <c r="AF11" s="2887">
        <f>X11</f>
        <v>2017</v>
      </c>
      <c r="AG11" s="2887" t="str">
        <f>Y11</f>
        <v>План (в случае отсутствия факта за 3 года)</v>
      </c>
      <c r="AH11" s="2889" t="s">
        <v>3981</v>
      </c>
      <c r="AI11" s="2935" t="s">
        <v>3976</v>
      </c>
      <c r="AJ11" s="2935" t="s">
        <v>3977</v>
      </c>
      <c r="AK11" s="2889">
        <v>2018</v>
      </c>
      <c r="AL11" s="2889" t="s">
        <v>4265</v>
      </c>
      <c r="AM11" s="2889" t="s">
        <v>4265</v>
      </c>
    </row>
    <row r="12" spans="1:114" hidden="1" outlineLevel="1">
      <c r="A12" s="3762"/>
      <c r="B12" s="3210" t="s">
        <v>2952</v>
      </c>
      <c r="C12" s="3208" t="s">
        <v>3859</v>
      </c>
      <c r="D12" s="3210" t="s">
        <v>2949</v>
      </c>
      <c r="E12" s="3037" t="s">
        <v>2950</v>
      </c>
      <c r="F12" s="2979" t="s">
        <v>3860</v>
      </c>
      <c r="G12" s="3763"/>
      <c r="H12" s="3673"/>
      <c r="I12" s="3673"/>
      <c r="J12" s="3673"/>
      <c r="K12" s="3673"/>
      <c r="L12" s="3673"/>
      <c r="M12" s="3673"/>
      <c r="N12" s="3673"/>
      <c r="O12" s="3673"/>
      <c r="P12" s="3673"/>
      <c r="Q12" s="3673"/>
      <c r="R12" s="3673"/>
      <c r="S12" s="3673"/>
      <c r="T12" s="3673"/>
      <c r="U12" s="3673"/>
      <c r="V12" s="2802" t="str">
        <f>'Приложение 1'!V13</f>
        <v/>
      </c>
      <c r="W12" s="2802" t="str">
        <f>'Приложение 1'!W13</f>
        <v/>
      </c>
      <c r="X12" s="2802" t="str">
        <f>'Приложение 1'!X13</f>
        <v/>
      </c>
      <c r="Y12" s="2802" t="str">
        <f>'Приложение 1'!Y13</f>
        <v/>
      </c>
      <c r="Z12" s="2937">
        <f>'Приложение 1'!Z13</f>
        <v>1.0528</v>
      </c>
      <c r="AA12" s="2937">
        <f>'Приложение 1'!AA13</f>
        <v>1.0589</v>
      </c>
      <c r="AB12" s="2937">
        <f>'Приложение 1'!AB13</f>
        <v>1.0507936887282501</v>
      </c>
      <c r="AC12" s="2937">
        <f>'Приложение 1'!AC13</f>
        <v>1.04657781587849</v>
      </c>
      <c r="AD12" s="2802" t="str">
        <f>'Приложение 1'!AD13</f>
        <v/>
      </c>
      <c r="AE12" s="2802" t="str">
        <f>'Приложение 1'!AE13</f>
        <v/>
      </c>
      <c r="AF12" s="2802" t="str">
        <f>'Приложение 1'!AF13</f>
        <v/>
      </c>
      <c r="AG12" s="2802"/>
      <c r="AH12" s="2802"/>
      <c r="AI12" s="2802"/>
      <c r="AJ12" s="2802" t="str">
        <f>'Приложение 1'!AJ13</f>
        <v/>
      </c>
      <c r="AK12" s="2566"/>
      <c r="AL12" s="2895">
        <f t="shared" ref="AL12:AL59" si="0">AK12*$AC$12</f>
        <v>0</v>
      </c>
      <c r="AM12" s="2566" t="str">
        <f>IFERROR(AJ12/AL12,"")</f>
        <v/>
      </c>
      <c r="AN12" s="2338"/>
      <c r="AO12" s="2338"/>
      <c r="AP12" s="2338"/>
      <c r="AQ12" s="2338"/>
      <c r="AR12" s="2338"/>
      <c r="AS12" s="2338"/>
      <c r="AT12" s="2338"/>
      <c r="AU12" s="2338"/>
      <c r="AV12" s="2338"/>
      <c r="AW12" s="2338"/>
      <c r="AX12" s="2338"/>
      <c r="AY12" s="2338"/>
      <c r="AZ12" s="2338"/>
      <c r="BA12" s="2338"/>
      <c r="BB12" s="2338"/>
      <c r="BC12" s="2338"/>
      <c r="BD12" s="2338"/>
      <c r="BE12" s="2338"/>
      <c r="BF12" s="2338"/>
      <c r="BG12" s="2338"/>
      <c r="BH12" s="2338"/>
      <c r="BI12" s="2338"/>
      <c r="BJ12" s="2338"/>
      <c r="BK12" s="2338"/>
      <c r="BL12" s="2338"/>
      <c r="BM12" s="2338"/>
      <c r="BN12" s="2338"/>
      <c r="BO12" s="2338"/>
      <c r="BP12" s="2338"/>
      <c r="BQ12" s="2338"/>
      <c r="BR12" s="2338"/>
      <c r="BS12" s="2338"/>
      <c r="BT12" s="2338"/>
      <c r="BU12" s="2338"/>
      <c r="BV12" s="2338"/>
      <c r="BW12" s="2338"/>
      <c r="BX12" s="2338"/>
      <c r="BY12" s="2338"/>
      <c r="BZ12" s="2338"/>
      <c r="CA12" s="2338"/>
      <c r="CB12" s="2338"/>
      <c r="CC12" s="2338"/>
      <c r="CD12" s="2338"/>
      <c r="CE12" s="2338"/>
      <c r="CF12" s="2338"/>
      <c r="CG12" s="2338"/>
      <c r="CH12" s="2338"/>
      <c r="CI12" s="2338"/>
      <c r="CJ12" s="2338"/>
      <c r="CK12" s="2338"/>
      <c r="CL12" s="2338"/>
      <c r="CM12" s="2338"/>
      <c r="CN12" s="2338"/>
      <c r="CO12" s="2338"/>
      <c r="CP12" s="2338"/>
      <c r="CQ12" s="2338"/>
      <c r="CR12" s="2338"/>
      <c r="CS12" s="2338"/>
      <c r="CT12" s="2338"/>
      <c r="CU12" s="2338"/>
      <c r="CV12" s="2338"/>
      <c r="CW12" s="2338"/>
      <c r="CX12" s="2338"/>
      <c r="CY12" s="2338"/>
      <c r="CZ12" s="2338"/>
      <c r="DA12" s="2338"/>
      <c r="DB12" s="2338"/>
      <c r="DC12" s="2338"/>
      <c r="DD12" s="2338"/>
      <c r="DE12" s="2338"/>
      <c r="DF12" s="2338"/>
      <c r="DG12" s="2338"/>
      <c r="DH12" s="2338"/>
      <c r="DI12" s="2338"/>
      <c r="DJ12" s="2338"/>
    </row>
    <row r="13" spans="1:114" hidden="1" outlineLevel="1">
      <c r="A13" s="3764"/>
      <c r="B13" s="3210"/>
      <c r="C13" s="3208"/>
      <c r="D13" s="3210"/>
      <c r="E13" s="3029"/>
      <c r="F13" s="2979" t="s">
        <v>3861</v>
      </c>
      <c r="G13" s="3763"/>
      <c r="H13" s="3673"/>
      <c r="I13" s="3673"/>
      <c r="J13" s="3673"/>
      <c r="K13" s="3673"/>
      <c r="L13" s="3673"/>
      <c r="M13" s="3673"/>
      <c r="N13" s="3673"/>
      <c r="O13" s="3673"/>
      <c r="P13" s="3673"/>
      <c r="Q13" s="3673"/>
      <c r="R13" s="3673"/>
      <c r="S13" s="3673"/>
      <c r="T13" s="3673"/>
      <c r="U13" s="3673"/>
      <c r="V13" s="2802" t="str">
        <f>'Приложение 1'!V14</f>
        <v/>
      </c>
      <c r="W13" s="2802" t="str">
        <f>'Приложение 1'!W14</f>
        <v/>
      </c>
      <c r="X13" s="2802" t="str">
        <f>'Приложение 1'!X14</f>
        <v/>
      </c>
      <c r="Y13" s="2802" t="str">
        <f>'Приложение 1'!Y14</f>
        <v/>
      </c>
      <c r="Z13" s="2937"/>
      <c r="AA13" s="2937"/>
      <c r="AB13" s="2937"/>
      <c r="AC13" s="2937"/>
      <c r="AD13" s="2802" t="str">
        <f>'Приложение 1'!AD14</f>
        <v/>
      </c>
      <c r="AE13" s="2802" t="str">
        <f>'Приложение 1'!AE14</f>
        <v/>
      </c>
      <c r="AF13" s="2802" t="str">
        <f>'Приложение 1'!AF14</f>
        <v/>
      </c>
      <c r="AG13" s="2802"/>
      <c r="AH13" s="2802"/>
      <c r="AI13" s="2802"/>
      <c r="AJ13" s="2802" t="str">
        <f>'Приложение 1'!AJ14</f>
        <v/>
      </c>
      <c r="AK13" s="2566"/>
      <c r="AL13" s="2895">
        <f t="shared" si="0"/>
        <v>0</v>
      </c>
      <c r="AM13" s="2566" t="str">
        <f t="shared" ref="AM13:AM59" si="1">IFERROR(AJ13/AL13,"")</f>
        <v/>
      </c>
      <c r="AN13" s="2338"/>
      <c r="AO13" s="2338"/>
      <c r="AP13" s="2338"/>
      <c r="AQ13" s="2338"/>
      <c r="AR13" s="2338"/>
      <c r="AS13" s="2338"/>
      <c r="AT13" s="2338"/>
      <c r="AU13" s="2338"/>
      <c r="AV13" s="2338"/>
      <c r="AW13" s="2338"/>
      <c r="AX13" s="2338"/>
      <c r="AY13" s="2338"/>
      <c r="AZ13" s="2338"/>
      <c r="BA13" s="2338"/>
      <c r="BB13" s="2338"/>
      <c r="BC13" s="2338"/>
      <c r="BD13" s="2338"/>
      <c r="BE13" s="2338"/>
      <c r="BF13" s="2338"/>
      <c r="BG13" s="2338"/>
      <c r="BH13" s="2338"/>
      <c r="BI13" s="2338"/>
      <c r="BJ13" s="2338"/>
      <c r="BK13" s="2338"/>
      <c r="BL13" s="2338"/>
      <c r="BM13" s="2338"/>
      <c r="BN13" s="2338"/>
      <c r="BO13" s="2338"/>
      <c r="BP13" s="2338"/>
      <c r="BQ13" s="2338"/>
      <c r="BR13" s="2338"/>
      <c r="BS13" s="2338"/>
      <c r="BT13" s="2338"/>
      <c r="BU13" s="2338"/>
      <c r="BV13" s="2338"/>
      <c r="BW13" s="2338"/>
      <c r="BX13" s="2338"/>
      <c r="BY13" s="2338"/>
      <c r="BZ13" s="2338"/>
      <c r="CA13" s="2338"/>
      <c r="CB13" s="2338"/>
      <c r="CC13" s="2338"/>
      <c r="CD13" s="2338"/>
      <c r="CE13" s="2338"/>
      <c r="CF13" s="2338"/>
      <c r="CG13" s="2338"/>
      <c r="CH13" s="2338"/>
      <c r="CI13" s="2338"/>
      <c r="CJ13" s="2338"/>
      <c r="CK13" s="2338"/>
      <c r="CL13" s="2338"/>
      <c r="CM13" s="2338"/>
      <c r="CN13" s="2338"/>
      <c r="CO13" s="2338"/>
      <c r="CP13" s="2338"/>
      <c r="CQ13" s="2338"/>
      <c r="CR13" s="2338"/>
      <c r="CS13" s="2338"/>
      <c r="CT13" s="2338"/>
      <c r="CU13" s="2338"/>
      <c r="CV13" s="2338"/>
      <c r="CW13" s="2338"/>
      <c r="CX13" s="2338"/>
      <c r="CY13" s="2338"/>
      <c r="CZ13" s="2338"/>
      <c r="DA13" s="2338"/>
      <c r="DB13" s="2338"/>
      <c r="DC13" s="2338"/>
      <c r="DD13" s="2338"/>
      <c r="DE13" s="2338"/>
      <c r="DF13" s="2338"/>
      <c r="DG13" s="2338"/>
      <c r="DH13" s="2338"/>
      <c r="DI13" s="2338"/>
      <c r="DJ13" s="2338"/>
    </row>
    <row r="14" spans="1:114" hidden="1" outlineLevel="1">
      <c r="A14" s="3764"/>
      <c r="B14" s="3210"/>
      <c r="C14" s="3208"/>
      <c r="D14" s="3210"/>
      <c r="E14" s="3029"/>
      <c r="F14" s="2979" t="s">
        <v>3862</v>
      </c>
      <c r="G14" s="3763"/>
      <c r="H14" s="3673"/>
      <c r="I14" s="3673"/>
      <c r="J14" s="3673"/>
      <c r="K14" s="3673"/>
      <c r="L14" s="3673"/>
      <c r="M14" s="3673"/>
      <c r="N14" s="3673"/>
      <c r="O14" s="3673"/>
      <c r="P14" s="3673"/>
      <c r="Q14" s="3673"/>
      <c r="R14" s="3673"/>
      <c r="S14" s="3673"/>
      <c r="T14" s="3673"/>
      <c r="U14" s="3673"/>
      <c r="V14" s="2802" t="str">
        <f>'Приложение 1'!V15</f>
        <v/>
      </c>
      <c r="W14" s="2802" t="str">
        <f>'Приложение 1'!W15</f>
        <v/>
      </c>
      <c r="X14" s="2802" t="str">
        <f>'Приложение 1'!X15</f>
        <v/>
      </c>
      <c r="Y14" s="2802" t="str">
        <f>'Приложение 1'!Y15</f>
        <v/>
      </c>
      <c r="Z14" s="2937"/>
      <c r="AA14" s="2937"/>
      <c r="AB14" s="2937"/>
      <c r="AC14" s="2937"/>
      <c r="AD14" s="2802" t="str">
        <f>'Приложение 1'!AD15</f>
        <v/>
      </c>
      <c r="AE14" s="2802" t="str">
        <f>'Приложение 1'!AE15</f>
        <v/>
      </c>
      <c r="AF14" s="2802" t="str">
        <f>'Приложение 1'!AF15</f>
        <v/>
      </c>
      <c r="AG14" s="2802"/>
      <c r="AH14" s="2802"/>
      <c r="AI14" s="2802"/>
      <c r="AJ14" s="2802" t="str">
        <f>'Приложение 1'!AJ15</f>
        <v/>
      </c>
      <c r="AK14" s="2566"/>
      <c r="AL14" s="2895">
        <f t="shared" si="0"/>
        <v>0</v>
      </c>
      <c r="AM14" s="2566" t="str">
        <f t="shared" si="1"/>
        <v/>
      </c>
      <c r="AN14" s="2338"/>
      <c r="AO14" s="2338"/>
      <c r="AP14" s="2338"/>
      <c r="AQ14" s="2338"/>
      <c r="AR14" s="2338"/>
      <c r="AS14" s="2338"/>
      <c r="AT14" s="2338"/>
      <c r="AU14" s="2338"/>
      <c r="AV14" s="2338"/>
      <c r="AW14" s="2338"/>
      <c r="AX14" s="2338"/>
      <c r="AY14" s="2338"/>
      <c r="AZ14" s="2338"/>
      <c r="BA14" s="2338"/>
      <c r="BB14" s="2338"/>
      <c r="BC14" s="2338"/>
      <c r="BD14" s="2338"/>
      <c r="BE14" s="2338"/>
      <c r="BF14" s="2338"/>
      <c r="BG14" s="2338"/>
      <c r="BH14" s="2338"/>
      <c r="BI14" s="2338"/>
      <c r="BJ14" s="2338"/>
      <c r="BK14" s="2338"/>
      <c r="BL14" s="2338"/>
      <c r="BM14" s="2338"/>
      <c r="BN14" s="2338"/>
      <c r="BO14" s="2338"/>
      <c r="BP14" s="2338"/>
      <c r="BQ14" s="2338"/>
      <c r="BR14" s="2338"/>
      <c r="BS14" s="2338"/>
      <c r="BT14" s="2338"/>
      <c r="BU14" s="2338"/>
      <c r="BV14" s="2338"/>
      <c r="BW14" s="2338"/>
      <c r="BX14" s="2338"/>
      <c r="BY14" s="2338"/>
      <c r="BZ14" s="2338"/>
      <c r="CA14" s="2338"/>
      <c r="CB14" s="2338"/>
      <c r="CC14" s="2338"/>
      <c r="CD14" s="2338"/>
      <c r="CE14" s="2338"/>
      <c r="CF14" s="2338"/>
      <c r="CG14" s="2338"/>
      <c r="CH14" s="2338"/>
      <c r="CI14" s="2338"/>
      <c r="CJ14" s="2338"/>
      <c r="CK14" s="2338"/>
      <c r="CL14" s="2338"/>
      <c r="CM14" s="2338"/>
      <c r="CN14" s="2338"/>
      <c r="CO14" s="2338"/>
      <c r="CP14" s="2338"/>
      <c r="CQ14" s="2338"/>
      <c r="CR14" s="2338"/>
      <c r="CS14" s="2338"/>
      <c r="CT14" s="2338"/>
      <c r="CU14" s="2338"/>
      <c r="CV14" s="2338"/>
      <c r="CW14" s="2338"/>
      <c r="CX14" s="2338"/>
      <c r="CY14" s="2338"/>
      <c r="CZ14" s="2338"/>
      <c r="DA14" s="2338"/>
      <c r="DB14" s="2338"/>
      <c r="DC14" s="2338"/>
      <c r="DD14" s="2338"/>
      <c r="DE14" s="2338"/>
      <c r="DF14" s="2338"/>
      <c r="DG14" s="2338"/>
      <c r="DH14" s="2338"/>
      <c r="DI14" s="2338"/>
      <c r="DJ14" s="2338"/>
    </row>
    <row r="15" spans="1:114" hidden="1" outlineLevel="1">
      <c r="A15" s="3764"/>
      <c r="B15" s="3210"/>
      <c r="C15" s="3208"/>
      <c r="D15" s="3210"/>
      <c r="E15" s="3029"/>
      <c r="F15" s="2979" t="s">
        <v>3863</v>
      </c>
      <c r="G15" s="3763"/>
      <c r="H15" s="3673"/>
      <c r="I15" s="3673"/>
      <c r="J15" s="3673"/>
      <c r="K15" s="3673"/>
      <c r="L15" s="3673"/>
      <c r="M15" s="3673"/>
      <c r="N15" s="3673"/>
      <c r="O15" s="3673"/>
      <c r="P15" s="3673"/>
      <c r="Q15" s="3673"/>
      <c r="R15" s="3673"/>
      <c r="S15" s="3673"/>
      <c r="T15" s="3673"/>
      <c r="U15" s="3673"/>
      <c r="V15" s="2802" t="str">
        <f>'Приложение 1'!V16</f>
        <v/>
      </c>
      <c r="W15" s="2802" t="str">
        <f>'Приложение 1'!W16</f>
        <v/>
      </c>
      <c r="X15" s="2802" t="str">
        <f>'Приложение 1'!X16</f>
        <v/>
      </c>
      <c r="Y15" s="2802" t="str">
        <f>'Приложение 1'!Y16</f>
        <v/>
      </c>
      <c r="Z15" s="2937"/>
      <c r="AA15" s="2937"/>
      <c r="AB15" s="2937"/>
      <c r="AC15" s="2937"/>
      <c r="AD15" s="2802" t="str">
        <f>'Приложение 1'!AD16</f>
        <v/>
      </c>
      <c r="AE15" s="2802" t="str">
        <f>'Приложение 1'!AE16</f>
        <v/>
      </c>
      <c r="AF15" s="2802" t="str">
        <f>'Приложение 1'!AF16</f>
        <v/>
      </c>
      <c r="AG15" s="2802"/>
      <c r="AH15" s="2802"/>
      <c r="AI15" s="2802"/>
      <c r="AJ15" s="2802" t="str">
        <f>'Приложение 1'!AJ16</f>
        <v/>
      </c>
      <c r="AK15" s="2566"/>
      <c r="AL15" s="2895">
        <f t="shared" si="0"/>
        <v>0</v>
      </c>
      <c r="AM15" s="2566" t="str">
        <f t="shared" si="1"/>
        <v/>
      </c>
      <c r="AN15" s="2338"/>
      <c r="AO15" s="2338"/>
      <c r="AP15" s="2338"/>
      <c r="AQ15" s="2338"/>
      <c r="AR15" s="2338"/>
      <c r="AS15" s="2338"/>
      <c r="AT15" s="2338"/>
      <c r="AU15" s="2338"/>
      <c r="AV15" s="2338"/>
      <c r="AW15" s="2338"/>
      <c r="AX15" s="2338"/>
      <c r="AY15" s="2338"/>
      <c r="AZ15" s="2338"/>
      <c r="BA15" s="2338"/>
      <c r="BB15" s="2338"/>
      <c r="BC15" s="2338"/>
      <c r="BD15" s="2338"/>
      <c r="BE15" s="2338"/>
      <c r="BF15" s="2338"/>
      <c r="BG15" s="2338"/>
      <c r="BH15" s="2338"/>
      <c r="BI15" s="2338"/>
      <c r="BJ15" s="2338"/>
      <c r="BK15" s="2338"/>
      <c r="BL15" s="2338"/>
      <c r="BM15" s="2338"/>
      <c r="BN15" s="2338"/>
      <c r="BO15" s="2338"/>
      <c r="BP15" s="2338"/>
      <c r="BQ15" s="2338"/>
      <c r="BR15" s="2338"/>
      <c r="BS15" s="2338"/>
      <c r="BT15" s="2338"/>
      <c r="BU15" s="2338"/>
      <c r="BV15" s="2338"/>
      <c r="BW15" s="2338"/>
      <c r="BX15" s="2338"/>
      <c r="BY15" s="2338"/>
      <c r="BZ15" s="2338"/>
      <c r="CA15" s="2338"/>
      <c r="CB15" s="2338"/>
      <c r="CC15" s="2338"/>
      <c r="CD15" s="2338"/>
      <c r="CE15" s="2338"/>
      <c r="CF15" s="2338"/>
      <c r="CG15" s="2338"/>
      <c r="CH15" s="2338"/>
      <c r="CI15" s="2338"/>
      <c r="CJ15" s="2338"/>
      <c r="CK15" s="2338"/>
      <c r="CL15" s="2338"/>
      <c r="CM15" s="2338"/>
      <c r="CN15" s="2338"/>
      <c r="CO15" s="2338"/>
      <c r="CP15" s="2338"/>
      <c r="CQ15" s="2338"/>
      <c r="CR15" s="2338"/>
      <c r="CS15" s="2338"/>
      <c r="CT15" s="2338"/>
      <c r="CU15" s="2338"/>
      <c r="CV15" s="2338"/>
      <c r="CW15" s="2338"/>
      <c r="CX15" s="2338"/>
      <c r="CY15" s="2338"/>
      <c r="CZ15" s="2338"/>
      <c r="DA15" s="2338"/>
      <c r="DB15" s="2338"/>
      <c r="DC15" s="2338"/>
      <c r="DD15" s="2338"/>
      <c r="DE15" s="2338"/>
      <c r="DF15" s="2338"/>
      <c r="DG15" s="2338"/>
      <c r="DH15" s="2338"/>
      <c r="DI15" s="2338"/>
      <c r="DJ15" s="2338"/>
    </row>
    <row r="16" spans="1:114" hidden="1" outlineLevel="1">
      <c r="A16" s="3764"/>
      <c r="B16" s="3210"/>
      <c r="C16" s="3208"/>
      <c r="D16" s="3210"/>
      <c r="E16" s="3029"/>
      <c r="F16" s="2980" t="s">
        <v>3864</v>
      </c>
      <c r="G16" s="3763"/>
      <c r="H16" s="3673"/>
      <c r="I16" s="3673"/>
      <c r="J16" s="3673"/>
      <c r="K16" s="3673"/>
      <c r="L16" s="3673"/>
      <c r="M16" s="3673"/>
      <c r="N16" s="3673"/>
      <c r="O16" s="3673"/>
      <c r="P16" s="3673"/>
      <c r="Q16" s="3673"/>
      <c r="R16" s="3673"/>
      <c r="S16" s="3673"/>
      <c r="T16" s="3673"/>
      <c r="U16" s="3673"/>
      <c r="V16" s="2802" t="str">
        <f>'Приложение 1'!V17</f>
        <v/>
      </c>
      <c r="W16" s="2802" t="str">
        <f>'Приложение 1'!W17</f>
        <v/>
      </c>
      <c r="X16" s="2802" t="str">
        <f>'Приложение 1'!X17</f>
        <v/>
      </c>
      <c r="Y16" s="2802" t="str">
        <f>'Приложение 1'!Y17</f>
        <v/>
      </c>
      <c r="Z16" s="2937"/>
      <c r="AA16" s="2937"/>
      <c r="AB16" s="2937"/>
      <c r="AC16" s="2937"/>
      <c r="AD16" s="2802" t="str">
        <f>'Приложение 1'!AD17</f>
        <v/>
      </c>
      <c r="AE16" s="2802" t="str">
        <f>'Приложение 1'!AE17</f>
        <v/>
      </c>
      <c r="AF16" s="2802" t="str">
        <f>'Приложение 1'!AF17</f>
        <v/>
      </c>
      <c r="AG16" s="2802"/>
      <c r="AH16" s="2802"/>
      <c r="AI16" s="2802"/>
      <c r="AJ16" s="2802" t="str">
        <f>'Приложение 1'!AJ17</f>
        <v/>
      </c>
      <c r="AK16" s="2566"/>
      <c r="AL16" s="2895">
        <f t="shared" si="0"/>
        <v>0</v>
      </c>
      <c r="AM16" s="2566" t="str">
        <f t="shared" si="1"/>
        <v/>
      </c>
      <c r="AN16" s="2338"/>
      <c r="AO16" s="2338"/>
      <c r="AP16" s="2338"/>
      <c r="AQ16" s="2338"/>
      <c r="AR16" s="2338"/>
      <c r="AS16" s="2338"/>
      <c r="AT16" s="2338"/>
      <c r="AU16" s="2338"/>
      <c r="AV16" s="2338"/>
      <c r="AW16" s="2338"/>
      <c r="AX16" s="2338"/>
      <c r="AY16" s="2338"/>
      <c r="AZ16" s="2338"/>
      <c r="BA16" s="2338"/>
      <c r="BB16" s="2338"/>
      <c r="BC16" s="2338"/>
      <c r="BD16" s="2338"/>
      <c r="BE16" s="2338"/>
      <c r="BF16" s="2338"/>
      <c r="BG16" s="2338"/>
      <c r="BH16" s="2338"/>
      <c r="BI16" s="2338"/>
      <c r="BJ16" s="2338"/>
      <c r="BK16" s="2338"/>
      <c r="BL16" s="2338"/>
      <c r="BM16" s="2338"/>
      <c r="BN16" s="2338"/>
      <c r="BO16" s="2338"/>
      <c r="BP16" s="2338"/>
      <c r="BQ16" s="2338"/>
      <c r="BR16" s="2338"/>
      <c r="BS16" s="2338"/>
      <c r="BT16" s="2338"/>
      <c r="BU16" s="2338"/>
      <c r="BV16" s="2338"/>
      <c r="BW16" s="2338"/>
      <c r="BX16" s="2338"/>
      <c r="BY16" s="2338"/>
      <c r="BZ16" s="2338"/>
      <c r="CA16" s="2338"/>
      <c r="CB16" s="2338"/>
      <c r="CC16" s="2338"/>
      <c r="CD16" s="2338"/>
      <c r="CE16" s="2338"/>
      <c r="CF16" s="2338"/>
      <c r="CG16" s="2338"/>
      <c r="CH16" s="2338"/>
      <c r="CI16" s="2338"/>
      <c r="CJ16" s="2338"/>
      <c r="CK16" s="2338"/>
      <c r="CL16" s="2338"/>
      <c r="CM16" s="2338"/>
      <c r="CN16" s="2338"/>
      <c r="CO16" s="2338"/>
      <c r="CP16" s="2338"/>
      <c r="CQ16" s="2338"/>
      <c r="CR16" s="2338"/>
      <c r="CS16" s="2338"/>
      <c r="CT16" s="2338"/>
      <c r="CU16" s="2338"/>
      <c r="CV16" s="2338"/>
      <c r="CW16" s="2338"/>
      <c r="CX16" s="2338"/>
      <c r="CY16" s="2338"/>
      <c r="CZ16" s="2338"/>
      <c r="DA16" s="2338"/>
      <c r="DB16" s="2338"/>
      <c r="DC16" s="2338"/>
      <c r="DD16" s="2338"/>
      <c r="DE16" s="2338"/>
      <c r="DF16" s="2338"/>
      <c r="DG16" s="2338"/>
      <c r="DH16" s="2338"/>
      <c r="DI16" s="2338"/>
      <c r="DJ16" s="2338"/>
    </row>
    <row r="17" spans="1:114" hidden="1" outlineLevel="1">
      <c r="A17" s="3764"/>
      <c r="B17" s="3210"/>
      <c r="C17" s="3208"/>
      <c r="D17" s="3210"/>
      <c r="E17" s="3029"/>
      <c r="F17" s="2980" t="s">
        <v>3865</v>
      </c>
      <c r="G17" s="3763"/>
      <c r="H17" s="3673"/>
      <c r="I17" s="3673"/>
      <c r="J17" s="3673"/>
      <c r="K17" s="3673"/>
      <c r="L17" s="3673"/>
      <c r="M17" s="3673"/>
      <c r="N17" s="3673"/>
      <c r="O17" s="3673"/>
      <c r="P17" s="3673"/>
      <c r="Q17" s="3673"/>
      <c r="R17" s="3673"/>
      <c r="S17" s="3673"/>
      <c r="T17" s="3673"/>
      <c r="U17" s="3673"/>
      <c r="V17" s="2802" t="str">
        <f>'Приложение 1'!V18</f>
        <v/>
      </c>
      <c r="W17" s="2802" t="str">
        <f>'Приложение 1'!W18</f>
        <v/>
      </c>
      <c r="X17" s="2802" t="str">
        <f>'Приложение 1'!X18</f>
        <v/>
      </c>
      <c r="Y17" s="2802" t="str">
        <f>'Приложение 1'!Y18</f>
        <v/>
      </c>
      <c r="Z17" s="2937"/>
      <c r="AA17" s="2937"/>
      <c r="AB17" s="2937"/>
      <c r="AC17" s="2937"/>
      <c r="AD17" s="2802" t="str">
        <f>'Приложение 1'!AD18</f>
        <v/>
      </c>
      <c r="AE17" s="2802" t="str">
        <f>'Приложение 1'!AE18</f>
        <v/>
      </c>
      <c r="AF17" s="2802" t="str">
        <f>'Приложение 1'!AF18</f>
        <v/>
      </c>
      <c r="AG17" s="2802"/>
      <c r="AH17" s="2802"/>
      <c r="AI17" s="2802"/>
      <c r="AJ17" s="2802" t="str">
        <f>'Приложение 1'!AJ18</f>
        <v/>
      </c>
      <c r="AK17" s="2566"/>
      <c r="AL17" s="2895">
        <f t="shared" si="0"/>
        <v>0</v>
      </c>
      <c r="AM17" s="2566" t="str">
        <f t="shared" si="1"/>
        <v/>
      </c>
      <c r="AN17" s="2338"/>
      <c r="AO17" s="2338"/>
      <c r="AP17" s="2338"/>
      <c r="AQ17" s="2338"/>
      <c r="AR17" s="2338"/>
      <c r="AS17" s="2338"/>
      <c r="AT17" s="2338"/>
      <c r="AU17" s="2338"/>
      <c r="AV17" s="2338"/>
      <c r="AW17" s="2338"/>
      <c r="AX17" s="2338"/>
      <c r="AY17" s="2338"/>
      <c r="AZ17" s="2338"/>
      <c r="BA17" s="2338"/>
      <c r="BB17" s="2338"/>
      <c r="BC17" s="2338"/>
      <c r="BD17" s="2338"/>
      <c r="BE17" s="2338"/>
      <c r="BF17" s="2338"/>
      <c r="BG17" s="2338"/>
      <c r="BH17" s="2338"/>
      <c r="BI17" s="2338"/>
      <c r="BJ17" s="2338"/>
      <c r="BK17" s="2338"/>
      <c r="BL17" s="2338"/>
      <c r="BM17" s="2338"/>
      <c r="BN17" s="2338"/>
      <c r="BO17" s="2338"/>
      <c r="BP17" s="2338"/>
      <c r="BQ17" s="2338"/>
      <c r="BR17" s="2338"/>
      <c r="BS17" s="2338"/>
      <c r="BT17" s="2338"/>
      <c r="BU17" s="2338"/>
      <c r="BV17" s="2338"/>
      <c r="BW17" s="2338"/>
      <c r="BX17" s="2338"/>
      <c r="BY17" s="2338"/>
      <c r="BZ17" s="2338"/>
      <c r="CA17" s="2338"/>
      <c r="CB17" s="2338"/>
      <c r="CC17" s="2338"/>
      <c r="CD17" s="2338"/>
      <c r="CE17" s="2338"/>
      <c r="CF17" s="2338"/>
      <c r="CG17" s="2338"/>
      <c r="CH17" s="2338"/>
      <c r="CI17" s="2338"/>
      <c r="CJ17" s="2338"/>
      <c r="CK17" s="2338"/>
      <c r="CL17" s="2338"/>
      <c r="CM17" s="2338"/>
      <c r="CN17" s="2338"/>
      <c r="CO17" s="2338"/>
      <c r="CP17" s="2338"/>
      <c r="CQ17" s="2338"/>
      <c r="CR17" s="2338"/>
      <c r="CS17" s="2338"/>
      <c r="CT17" s="2338"/>
      <c r="CU17" s="2338"/>
      <c r="CV17" s="2338"/>
      <c r="CW17" s="2338"/>
      <c r="CX17" s="2338"/>
      <c r="CY17" s="2338"/>
      <c r="CZ17" s="2338"/>
      <c r="DA17" s="2338"/>
      <c r="DB17" s="2338"/>
      <c r="DC17" s="2338"/>
      <c r="DD17" s="2338"/>
      <c r="DE17" s="2338"/>
      <c r="DF17" s="2338"/>
      <c r="DG17" s="2338"/>
      <c r="DH17" s="2338"/>
      <c r="DI17" s="2338"/>
      <c r="DJ17" s="2338"/>
    </row>
    <row r="18" spans="1:114" collapsed="1">
      <c r="A18" s="3764"/>
      <c r="B18" s="3210"/>
      <c r="C18" s="3208"/>
      <c r="D18" s="3210"/>
      <c r="E18" s="3029" t="s">
        <v>2946</v>
      </c>
      <c r="F18" s="2979" t="s">
        <v>3860</v>
      </c>
      <c r="G18" s="2936"/>
      <c r="H18" s="3673">
        <f>'Приложение 1'!H19</f>
        <v>1720</v>
      </c>
      <c r="I18" s="3673">
        <f>'Приложение 1'!I19</f>
        <v>490</v>
      </c>
      <c r="J18" s="3673">
        <f>'Приложение 1'!J19</f>
        <v>2749.0000000000005</v>
      </c>
      <c r="K18" s="3673"/>
      <c r="L18" s="3673">
        <f>'Приложение 1'!L19</f>
        <v>4959</v>
      </c>
      <c r="M18" s="3673">
        <f>'Приложение 1'!M19</f>
        <v>120.4</v>
      </c>
      <c r="N18" s="3673">
        <f>'Приложение 1'!N19</f>
        <v>24</v>
      </c>
      <c r="O18" s="3673">
        <f>'Приложение 1'!O19</f>
        <v>306.5</v>
      </c>
      <c r="P18" s="3673"/>
      <c r="Q18" s="3673">
        <f>'Приложение 1'!Q19</f>
        <v>450.9</v>
      </c>
      <c r="R18" s="3673">
        <f>'Приложение 1'!R19</f>
        <v>638.80056999999999</v>
      </c>
      <c r="S18" s="3673">
        <f>'Приложение 1'!S19</f>
        <v>256.41282000000001</v>
      </c>
      <c r="T18" s="3673">
        <f>'Приложение 1'!T19</f>
        <v>2298.3850899999998</v>
      </c>
      <c r="U18" s="3673"/>
      <c r="V18" s="2802">
        <f>'Приложение 1'!V19</f>
        <v>371395.68023255811</v>
      </c>
      <c r="W18" s="2802">
        <f>'Приложение 1'!W19</f>
        <v>523291.46938775515</v>
      </c>
      <c r="X18" s="2802">
        <f>'Приложение 1'!X19</f>
        <v>836080.42560931225</v>
      </c>
      <c r="Y18" s="2802" t="str">
        <f>'Приложение 1'!Y19</f>
        <v/>
      </c>
      <c r="Z18" s="2937">
        <f>'Приложение 1'!Z19</f>
        <v>1.0528</v>
      </c>
      <c r="AA18" s="2937">
        <f>'Приложение 1'!AA19</f>
        <v>1.0589</v>
      </c>
      <c r="AB18" s="2937">
        <f>'Приложение 1'!AB19</f>
        <v>1.0507936887282501</v>
      </c>
      <c r="AC18" s="2937">
        <f>'Приложение 1'!AC19</f>
        <v>1.04657781587849</v>
      </c>
      <c r="AD18" s="2802">
        <f>'Приложение 1'!AD19</f>
        <v>455330.40664527274</v>
      </c>
      <c r="AE18" s="2802">
        <f>'Приложение 1'!AE19</f>
        <v>609379.14034498378</v>
      </c>
      <c r="AF18" s="2802">
        <f>'Приложение 1'!AF19</f>
        <v>919468.88309082121</v>
      </c>
      <c r="AG18" s="2802"/>
      <c r="AH18" s="2802">
        <f>'Приложение 1'!AH19</f>
        <v>1984178.4300810779</v>
      </c>
      <c r="AI18" s="2780">
        <f>'Приложение 1'!AI19</f>
        <v>661392.81002702599</v>
      </c>
      <c r="AJ18" s="2780">
        <f>'Приложение 1'!AJ19</f>
        <v>7274.0007649678901</v>
      </c>
      <c r="AK18" s="2944">
        <f>'Утв.СП 2018г'!H21</f>
        <v>9822.4599999999991</v>
      </c>
      <c r="AL18" s="2895">
        <f>AK18*$AC$12</f>
        <v>10279.968733353831</v>
      </c>
      <c r="AM18" s="2948">
        <f>IFERROR(AJ18/AL18,"")</f>
        <v>0.70758977518745358</v>
      </c>
      <c r="AN18" s="2338" t="s">
        <v>4274</v>
      </c>
      <c r="AO18" s="2338"/>
      <c r="AP18" s="2338"/>
      <c r="AQ18" s="2338"/>
      <c r="AR18" s="2338"/>
      <c r="AS18" s="2338"/>
      <c r="AT18" s="2338"/>
      <c r="AU18" s="2338"/>
      <c r="AV18" s="2338"/>
      <c r="AW18" s="2338"/>
      <c r="AX18" s="2338"/>
      <c r="AY18" s="2338"/>
      <c r="AZ18" s="2338"/>
      <c r="BA18" s="2338"/>
      <c r="BB18" s="2338"/>
      <c r="BC18" s="2338"/>
      <c r="BD18" s="2338"/>
      <c r="BE18" s="2338"/>
      <c r="BF18" s="2338"/>
      <c r="BG18" s="2338"/>
      <c r="BH18" s="2338"/>
      <c r="BI18" s="2338"/>
      <c r="BJ18" s="2338"/>
      <c r="BK18" s="2338"/>
      <c r="BL18" s="2338"/>
      <c r="BM18" s="2338"/>
      <c r="BN18" s="2338"/>
      <c r="BO18" s="2338"/>
      <c r="BP18" s="2338"/>
      <c r="BQ18" s="2338"/>
      <c r="BR18" s="2338"/>
      <c r="BS18" s="2338"/>
      <c r="BT18" s="2338"/>
      <c r="BU18" s="2338"/>
      <c r="BV18" s="2338"/>
      <c r="BW18" s="2338"/>
      <c r="BX18" s="2338"/>
      <c r="BY18" s="2338"/>
      <c r="BZ18" s="2338"/>
      <c r="CA18" s="2338"/>
      <c r="CB18" s="2338"/>
      <c r="CC18" s="2338"/>
      <c r="CD18" s="2338"/>
      <c r="CE18" s="2338"/>
      <c r="CF18" s="2338"/>
      <c r="CG18" s="2338"/>
      <c r="CH18" s="2338"/>
      <c r="CI18" s="2338"/>
      <c r="CJ18" s="2338"/>
      <c r="CK18" s="2338"/>
      <c r="CL18" s="2338"/>
      <c r="CM18" s="2338"/>
      <c r="CN18" s="2338"/>
      <c r="CO18" s="2338"/>
      <c r="CP18" s="2338"/>
      <c r="CQ18" s="2338"/>
      <c r="CR18" s="2338"/>
      <c r="CS18" s="2338"/>
      <c r="CT18" s="2338"/>
      <c r="CU18" s="2338"/>
      <c r="CV18" s="2338"/>
      <c r="CW18" s="2338"/>
      <c r="CX18" s="2338"/>
      <c r="CY18" s="2338"/>
      <c r="CZ18" s="2338"/>
      <c r="DA18" s="2338"/>
      <c r="DB18" s="2338"/>
      <c r="DC18" s="2338"/>
      <c r="DD18" s="2338"/>
      <c r="DE18" s="2338"/>
      <c r="DF18" s="2338"/>
      <c r="DG18" s="2338"/>
      <c r="DH18" s="2338"/>
      <c r="DI18" s="2338"/>
      <c r="DJ18" s="2338"/>
    </row>
    <row r="19" spans="1:114">
      <c r="A19" s="3764"/>
      <c r="B19" s="3210"/>
      <c r="C19" s="3208"/>
      <c r="D19" s="3210"/>
      <c r="E19" s="3029"/>
      <c r="F19" s="2979" t="s">
        <v>3861</v>
      </c>
      <c r="G19" s="2359"/>
      <c r="H19" s="3673"/>
      <c r="I19" s="3673"/>
      <c r="J19" s="3673">
        <f>'Приложение 1'!J20</f>
        <v>780</v>
      </c>
      <c r="K19" s="3673"/>
      <c r="L19" s="3673">
        <f>'Приложение 1'!L20</f>
        <v>780</v>
      </c>
      <c r="M19" s="3673">
        <f>'Приложение 1'!M20</f>
        <v>0</v>
      </c>
      <c r="N19" s="3673">
        <f>'Приложение 1'!N20</f>
        <v>0</v>
      </c>
      <c r="O19" s="3673">
        <f>'Приложение 1'!O20</f>
        <v>16.55</v>
      </c>
      <c r="P19" s="3673"/>
      <c r="Q19" s="3673">
        <f>'Приложение 1'!Q20</f>
        <v>16.55</v>
      </c>
      <c r="R19" s="3673"/>
      <c r="S19" s="3673"/>
      <c r="T19" s="3673">
        <f>'Приложение 1'!T20</f>
        <v>504.04991000000001</v>
      </c>
      <c r="U19" s="3673"/>
      <c r="V19" s="2802" t="str">
        <f>'Приложение 1'!V20</f>
        <v/>
      </c>
      <c r="W19" s="2802" t="str">
        <f>'Приложение 1'!W20</f>
        <v/>
      </c>
      <c r="X19" s="2802">
        <f>'Приложение 1'!X20</f>
        <v>646217.83333333337</v>
      </c>
      <c r="Y19" s="2802" t="str">
        <f>'Приложение 1'!Y20</f>
        <v/>
      </c>
      <c r="Z19" s="2937">
        <f>'Приложение 1'!Z20</f>
        <v>1.0528</v>
      </c>
      <c r="AA19" s="2937">
        <f>'Приложение 1'!AA20</f>
        <v>1.0589</v>
      </c>
      <c r="AB19" s="2937">
        <f>'Приложение 1'!AB20</f>
        <v>1.0507936887282501</v>
      </c>
      <c r="AC19" s="2937">
        <f>'Приложение 1'!AC20</f>
        <v>1.04657781587849</v>
      </c>
      <c r="AD19" s="2802" t="str">
        <f>'Приложение 1'!AD20</f>
        <v/>
      </c>
      <c r="AE19" s="2802" t="str">
        <f>'Приложение 1'!AE20</f>
        <v/>
      </c>
      <c r="AF19" s="2802">
        <f>'Приложение 1'!AF20</f>
        <v>710669.89639824501</v>
      </c>
      <c r="AG19" s="2802"/>
      <c r="AH19" s="2802">
        <f>'Приложение 1'!AH20</f>
        <v>710669.89639824501</v>
      </c>
      <c r="AI19" s="2780">
        <f>'Приложение 1'!AI20</f>
        <v>710669.89639824501</v>
      </c>
      <c r="AJ19" s="2780">
        <f>'Приложение 1'!AJ20</f>
        <v>33493.807806080426</v>
      </c>
      <c r="AK19" s="2566"/>
      <c r="AL19" s="2895">
        <f t="shared" si="0"/>
        <v>0</v>
      </c>
      <c r="AM19" s="2566" t="str">
        <f t="shared" si="1"/>
        <v/>
      </c>
      <c r="AN19" s="2338"/>
      <c r="AO19" s="2338"/>
      <c r="AP19" s="2338"/>
      <c r="AQ19" s="2338"/>
      <c r="AR19" s="2338"/>
      <c r="AS19" s="2338"/>
      <c r="AT19" s="2338"/>
      <c r="AU19" s="2338"/>
      <c r="AV19" s="2338"/>
      <c r="AW19" s="2338"/>
      <c r="AX19" s="2338"/>
      <c r="AY19" s="2338"/>
      <c r="AZ19" s="2338"/>
      <c r="BA19" s="2338"/>
      <c r="BB19" s="2338"/>
      <c r="BC19" s="2338"/>
      <c r="BD19" s="2338"/>
      <c r="BE19" s="2338"/>
      <c r="BF19" s="2338"/>
      <c r="BG19" s="2338"/>
      <c r="BH19" s="2338"/>
      <c r="BI19" s="2338"/>
      <c r="BJ19" s="2338"/>
      <c r="BK19" s="2338"/>
      <c r="BL19" s="2338"/>
      <c r="BM19" s="2338"/>
      <c r="BN19" s="2338"/>
      <c r="BO19" s="2338"/>
      <c r="BP19" s="2338"/>
      <c r="BQ19" s="2338"/>
      <c r="BR19" s="2338"/>
      <c r="BS19" s="2338"/>
      <c r="BT19" s="2338"/>
      <c r="BU19" s="2338"/>
      <c r="BV19" s="2338"/>
      <c r="BW19" s="2338"/>
      <c r="BX19" s="2338"/>
      <c r="BY19" s="2338"/>
      <c r="BZ19" s="2338"/>
      <c r="CA19" s="2338"/>
      <c r="CB19" s="2338"/>
      <c r="CC19" s="2338"/>
      <c r="CD19" s="2338"/>
      <c r="CE19" s="2338"/>
      <c r="CF19" s="2338"/>
      <c r="CG19" s="2338"/>
      <c r="CH19" s="2338"/>
      <c r="CI19" s="2338"/>
      <c r="CJ19" s="2338"/>
      <c r="CK19" s="2338"/>
      <c r="CL19" s="2338"/>
      <c r="CM19" s="2338"/>
      <c r="CN19" s="2338"/>
      <c r="CO19" s="2338"/>
      <c r="CP19" s="2338"/>
      <c r="CQ19" s="2338"/>
      <c r="CR19" s="2338"/>
      <c r="CS19" s="2338"/>
      <c r="CT19" s="2338"/>
      <c r="CU19" s="2338"/>
      <c r="CV19" s="2338"/>
      <c r="CW19" s="2338"/>
      <c r="CX19" s="2338"/>
      <c r="CY19" s="2338"/>
      <c r="CZ19" s="2338"/>
      <c r="DA19" s="2338"/>
      <c r="DB19" s="2338"/>
      <c r="DC19" s="2338"/>
      <c r="DD19" s="2338"/>
      <c r="DE19" s="2338"/>
      <c r="DF19" s="2338"/>
      <c r="DG19" s="2338"/>
      <c r="DH19" s="2338"/>
      <c r="DI19" s="2338"/>
      <c r="DJ19" s="2338"/>
    </row>
    <row r="20" spans="1:114" hidden="1" outlineLevel="1">
      <c r="A20" s="3764"/>
      <c r="B20" s="3210"/>
      <c r="C20" s="3208"/>
      <c r="D20" s="3210"/>
      <c r="E20" s="3029"/>
      <c r="F20" s="2979" t="s">
        <v>3862</v>
      </c>
      <c r="G20" s="3765"/>
      <c r="H20" s="3673"/>
      <c r="I20" s="3673"/>
      <c r="J20" s="3673"/>
      <c r="K20" s="3673"/>
      <c r="L20" s="3673"/>
      <c r="M20" s="3673"/>
      <c r="N20" s="3673"/>
      <c r="O20" s="3673"/>
      <c r="P20" s="3673"/>
      <c r="Q20" s="3673"/>
      <c r="R20" s="3673"/>
      <c r="S20" s="3673"/>
      <c r="T20" s="3673"/>
      <c r="U20" s="3673"/>
      <c r="V20" s="2802" t="str">
        <f>'Приложение 1'!V21</f>
        <v/>
      </c>
      <c r="W20" s="2802" t="str">
        <f>'Приложение 1'!W21</f>
        <v/>
      </c>
      <c r="X20" s="2802" t="str">
        <f>'Приложение 1'!X21</f>
        <v/>
      </c>
      <c r="Y20" s="2802" t="str">
        <f>'Приложение 1'!Y21</f>
        <v/>
      </c>
      <c r="Z20" s="2937"/>
      <c r="AA20" s="2937"/>
      <c r="AB20" s="2937"/>
      <c r="AC20" s="2937"/>
      <c r="AD20" s="2802" t="str">
        <f>'Приложение 1'!AD21</f>
        <v/>
      </c>
      <c r="AE20" s="2802" t="str">
        <f>'Приложение 1'!AE21</f>
        <v/>
      </c>
      <c r="AF20" s="2802" t="str">
        <f>'Приложение 1'!AF21</f>
        <v/>
      </c>
      <c r="AG20" s="2802"/>
      <c r="AH20" s="2802"/>
      <c r="AI20" s="2802"/>
      <c r="AJ20" s="2802" t="str">
        <f>'Приложение 1'!AJ21</f>
        <v/>
      </c>
      <c r="AK20" s="2566"/>
      <c r="AL20" s="2895">
        <f t="shared" si="0"/>
        <v>0</v>
      </c>
      <c r="AM20" s="2566" t="str">
        <f t="shared" si="1"/>
        <v/>
      </c>
      <c r="AN20" s="2338"/>
      <c r="AO20" s="2338"/>
      <c r="AP20" s="2338"/>
      <c r="AQ20" s="2338"/>
      <c r="AR20" s="2338"/>
      <c r="AS20" s="2338"/>
      <c r="AT20" s="2338"/>
      <c r="AU20" s="2338"/>
      <c r="AV20" s="2338"/>
      <c r="AW20" s="2338"/>
      <c r="AX20" s="2338"/>
      <c r="AY20" s="2338"/>
      <c r="AZ20" s="2338"/>
      <c r="BA20" s="2338"/>
      <c r="BB20" s="2338"/>
      <c r="BC20" s="2338"/>
      <c r="BD20" s="2338"/>
      <c r="BE20" s="2338"/>
      <c r="BF20" s="2338"/>
      <c r="BG20" s="2338"/>
      <c r="BH20" s="2338"/>
      <c r="BI20" s="2338"/>
      <c r="BJ20" s="2338"/>
      <c r="BK20" s="2338"/>
      <c r="BL20" s="2338"/>
      <c r="BM20" s="2338"/>
      <c r="BN20" s="2338"/>
      <c r="BO20" s="2338"/>
      <c r="BP20" s="2338"/>
      <c r="BQ20" s="2338"/>
      <c r="BR20" s="2338"/>
      <c r="BS20" s="2338"/>
      <c r="BT20" s="2338"/>
      <c r="BU20" s="2338"/>
      <c r="BV20" s="2338"/>
      <c r="BW20" s="2338"/>
      <c r="BX20" s="2338"/>
      <c r="BY20" s="2338"/>
      <c r="BZ20" s="2338"/>
      <c r="CA20" s="2338"/>
      <c r="CB20" s="2338"/>
      <c r="CC20" s="2338"/>
      <c r="CD20" s="2338"/>
      <c r="CE20" s="2338"/>
      <c r="CF20" s="2338"/>
      <c r="CG20" s="2338"/>
      <c r="CH20" s="2338"/>
      <c r="CI20" s="2338"/>
      <c r="CJ20" s="2338"/>
      <c r="CK20" s="2338"/>
      <c r="CL20" s="2338"/>
      <c r="CM20" s="2338"/>
      <c r="CN20" s="2338"/>
      <c r="CO20" s="2338"/>
      <c r="CP20" s="2338"/>
      <c r="CQ20" s="2338"/>
      <c r="CR20" s="2338"/>
      <c r="CS20" s="2338"/>
      <c r="CT20" s="2338"/>
      <c r="CU20" s="2338"/>
      <c r="CV20" s="2338"/>
      <c r="CW20" s="2338"/>
      <c r="CX20" s="2338"/>
      <c r="CY20" s="2338"/>
      <c r="CZ20" s="2338"/>
      <c r="DA20" s="2338"/>
      <c r="DB20" s="2338"/>
      <c r="DC20" s="2338"/>
      <c r="DD20" s="2338"/>
      <c r="DE20" s="2338"/>
      <c r="DF20" s="2338"/>
      <c r="DG20" s="2338"/>
      <c r="DH20" s="2338"/>
      <c r="DI20" s="2338"/>
      <c r="DJ20" s="2338"/>
    </row>
    <row r="21" spans="1:114" hidden="1" outlineLevel="1">
      <c r="A21" s="3764"/>
      <c r="B21" s="3210"/>
      <c r="C21" s="3208"/>
      <c r="D21" s="3210"/>
      <c r="E21" s="3029"/>
      <c r="F21" s="2979" t="s">
        <v>3863</v>
      </c>
      <c r="G21" s="2338"/>
      <c r="H21" s="3673"/>
      <c r="I21" s="3673"/>
      <c r="J21" s="3673"/>
      <c r="K21" s="3673"/>
      <c r="L21" s="3673"/>
      <c r="M21" s="3673"/>
      <c r="N21" s="3673"/>
      <c r="O21" s="3673"/>
      <c r="P21" s="3673"/>
      <c r="Q21" s="3673"/>
      <c r="R21" s="3673"/>
      <c r="S21" s="3673"/>
      <c r="T21" s="3673"/>
      <c r="U21" s="3673"/>
      <c r="V21" s="2802" t="str">
        <f>'Приложение 1'!V22</f>
        <v/>
      </c>
      <c r="W21" s="2802" t="str">
        <f>'Приложение 1'!W22</f>
        <v/>
      </c>
      <c r="X21" s="2802" t="str">
        <f>'Приложение 1'!X22</f>
        <v/>
      </c>
      <c r="Y21" s="2802" t="str">
        <f>'Приложение 1'!Y22</f>
        <v/>
      </c>
      <c r="Z21" s="2937"/>
      <c r="AA21" s="2937"/>
      <c r="AB21" s="2937"/>
      <c r="AC21" s="2937"/>
      <c r="AD21" s="2802" t="str">
        <f>'Приложение 1'!AD22</f>
        <v/>
      </c>
      <c r="AE21" s="2802" t="str">
        <f>'Приложение 1'!AE22</f>
        <v/>
      </c>
      <c r="AF21" s="2802" t="str">
        <f>'Приложение 1'!AF22</f>
        <v/>
      </c>
      <c r="AG21" s="2802"/>
      <c r="AH21" s="2802"/>
      <c r="AI21" s="2802"/>
      <c r="AJ21" s="2802" t="str">
        <f>'Приложение 1'!AJ22</f>
        <v/>
      </c>
      <c r="AK21" s="2566"/>
      <c r="AL21" s="2895">
        <f t="shared" si="0"/>
        <v>0</v>
      </c>
      <c r="AM21" s="2566" t="str">
        <f t="shared" si="1"/>
        <v/>
      </c>
      <c r="AN21" s="2338"/>
      <c r="AO21" s="2338"/>
      <c r="AP21" s="2338"/>
      <c r="AQ21" s="2338"/>
      <c r="AR21" s="2338"/>
      <c r="AS21" s="2338"/>
      <c r="AT21" s="2338"/>
      <c r="AU21" s="2338"/>
      <c r="AV21" s="2338"/>
      <c r="AW21" s="2338"/>
      <c r="AX21" s="2338"/>
      <c r="AY21" s="2338"/>
      <c r="AZ21" s="2338"/>
      <c r="BA21" s="2338"/>
      <c r="BB21" s="2338"/>
      <c r="BC21" s="2338"/>
      <c r="BD21" s="2338"/>
      <c r="BE21" s="2338"/>
      <c r="BF21" s="2338"/>
      <c r="BG21" s="2338"/>
      <c r="BH21" s="2338"/>
      <c r="BI21" s="2338"/>
      <c r="BJ21" s="2338"/>
      <c r="BK21" s="2338"/>
      <c r="BL21" s="2338"/>
      <c r="BM21" s="2338"/>
      <c r="BN21" s="2338"/>
      <c r="BO21" s="2338"/>
      <c r="BP21" s="2338"/>
      <c r="BQ21" s="2338"/>
      <c r="BR21" s="2338"/>
      <c r="BS21" s="2338"/>
      <c r="BT21" s="2338"/>
      <c r="BU21" s="2338"/>
      <c r="BV21" s="2338"/>
      <c r="BW21" s="2338"/>
      <c r="BX21" s="2338"/>
      <c r="BY21" s="2338"/>
      <c r="BZ21" s="2338"/>
      <c r="CA21" s="2338"/>
      <c r="CB21" s="2338"/>
      <c r="CC21" s="2338"/>
      <c r="CD21" s="2338"/>
      <c r="CE21" s="2338"/>
      <c r="CF21" s="2338"/>
      <c r="CG21" s="2338"/>
      <c r="CH21" s="2338"/>
      <c r="CI21" s="2338"/>
      <c r="CJ21" s="2338"/>
      <c r="CK21" s="2338"/>
      <c r="CL21" s="2338"/>
      <c r="CM21" s="2338"/>
      <c r="CN21" s="2338"/>
      <c r="CO21" s="2338"/>
      <c r="CP21" s="2338"/>
      <c r="CQ21" s="2338"/>
      <c r="CR21" s="2338"/>
      <c r="CS21" s="2338"/>
      <c r="CT21" s="2338"/>
      <c r="CU21" s="2338"/>
      <c r="CV21" s="2338"/>
      <c r="CW21" s="2338"/>
      <c r="CX21" s="2338"/>
      <c r="CY21" s="2338"/>
      <c r="CZ21" s="2338"/>
      <c r="DA21" s="2338"/>
      <c r="DB21" s="2338"/>
      <c r="DC21" s="2338"/>
      <c r="DD21" s="2338"/>
      <c r="DE21" s="2338"/>
      <c r="DF21" s="2338"/>
      <c r="DG21" s="2338"/>
      <c r="DH21" s="2338"/>
      <c r="DI21" s="2338"/>
      <c r="DJ21" s="2338"/>
    </row>
    <row r="22" spans="1:114" ht="15.75" hidden="1" customHeight="1" outlineLevel="1">
      <c r="A22" s="3764"/>
      <c r="B22" s="3210"/>
      <c r="C22" s="3208"/>
      <c r="D22" s="3210"/>
      <c r="E22" s="3029"/>
      <c r="F22" s="2980" t="s">
        <v>3864</v>
      </c>
      <c r="G22" s="2338"/>
      <c r="H22" s="3673"/>
      <c r="I22" s="3673"/>
      <c r="J22" s="3673"/>
      <c r="K22" s="3673"/>
      <c r="L22" s="3673"/>
      <c r="M22" s="3673"/>
      <c r="N22" s="3673"/>
      <c r="O22" s="3673"/>
      <c r="P22" s="3673"/>
      <c r="Q22" s="3673"/>
      <c r="R22" s="3673"/>
      <c r="S22" s="3673"/>
      <c r="T22" s="3673"/>
      <c r="U22" s="3673"/>
      <c r="V22" s="2802" t="str">
        <f>'Приложение 1'!V23</f>
        <v/>
      </c>
      <c r="W22" s="2802" t="str">
        <f>'Приложение 1'!W23</f>
        <v/>
      </c>
      <c r="X22" s="2802" t="str">
        <f>'Приложение 1'!X23</f>
        <v/>
      </c>
      <c r="Y22" s="2802" t="str">
        <f>'Приложение 1'!Y23</f>
        <v/>
      </c>
      <c r="Z22" s="2937"/>
      <c r="AA22" s="2937"/>
      <c r="AB22" s="2937"/>
      <c r="AC22" s="2937"/>
      <c r="AD22" s="2802" t="str">
        <f>'Приложение 1'!AD23</f>
        <v/>
      </c>
      <c r="AE22" s="2802" t="str">
        <f>'Приложение 1'!AE23</f>
        <v/>
      </c>
      <c r="AF22" s="2802" t="str">
        <f>'Приложение 1'!AF23</f>
        <v/>
      </c>
      <c r="AG22" s="2802"/>
      <c r="AH22" s="2802"/>
      <c r="AI22" s="2802"/>
      <c r="AJ22" s="2802" t="str">
        <f>'Приложение 1'!AJ23</f>
        <v/>
      </c>
      <c r="AK22" s="2566"/>
      <c r="AL22" s="2895">
        <f t="shared" si="0"/>
        <v>0</v>
      </c>
      <c r="AM22" s="2566" t="str">
        <f t="shared" si="1"/>
        <v/>
      </c>
      <c r="AN22" s="2338"/>
      <c r="AO22" s="2338"/>
      <c r="AP22" s="2338"/>
      <c r="AQ22" s="2338"/>
      <c r="AR22" s="2338"/>
      <c r="AS22" s="2338"/>
      <c r="AT22" s="2338"/>
      <c r="AU22" s="2338"/>
      <c r="AV22" s="2338"/>
      <c r="AW22" s="2338"/>
      <c r="AX22" s="2338"/>
      <c r="AY22" s="2338"/>
      <c r="AZ22" s="2338"/>
      <c r="BA22" s="2338"/>
      <c r="BB22" s="2338"/>
      <c r="BC22" s="2338"/>
      <c r="BD22" s="2338"/>
      <c r="BE22" s="2338"/>
      <c r="BF22" s="2338"/>
      <c r="BG22" s="2338"/>
      <c r="BH22" s="2338"/>
      <c r="BI22" s="2338"/>
      <c r="BJ22" s="2338"/>
      <c r="BK22" s="2338"/>
      <c r="BL22" s="2338"/>
      <c r="BM22" s="2338"/>
      <c r="BN22" s="2338"/>
      <c r="BO22" s="2338"/>
      <c r="BP22" s="2338"/>
      <c r="BQ22" s="2338"/>
      <c r="BR22" s="2338"/>
      <c r="BS22" s="2338"/>
      <c r="BT22" s="2338"/>
      <c r="BU22" s="2338"/>
      <c r="BV22" s="2338"/>
      <c r="BW22" s="2338"/>
      <c r="BX22" s="2338"/>
      <c r="BY22" s="2338"/>
      <c r="BZ22" s="2338"/>
      <c r="CA22" s="2338"/>
      <c r="CB22" s="2338"/>
      <c r="CC22" s="2338"/>
      <c r="CD22" s="2338"/>
      <c r="CE22" s="2338"/>
      <c r="CF22" s="2338"/>
      <c r="CG22" s="2338"/>
      <c r="CH22" s="2338"/>
      <c r="CI22" s="2338"/>
      <c r="CJ22" s="2338"/>
      <c r="CK22" s="2338"/>
      <c r="CL22" s="2338"/>
      <c r="CM22" s="2338"/>
      <c r="CN22" s="2338"/>
      <c r="CO22" s="2338"/>
      <c r="CP22" s="2338"/>
      <c r="CQ22" s="2338"/>
      <c r="CR22" s="2338"/>
      <c r="CS22" s="2338"/>
      <c r="CT22" s="2338"/>
      <c r="CU22" s="2338"/>
      <c r="CV22" s="2338"/>
      <c r="CW22" s="2338"/>
      <c r="CX22" s="2338"/>
      <c r="CY22" s="2338"/>
      <c r="CZ22" s="2338"/>
      <c r="DA22" s="2338"/>
      <c r="DB22" s="2338"/>
      <c r="DC22" s="2338"/>
      <c r="DD22" s="2338"/>
      <c r="DE22" s="2338"/>
      <c r="DF22" s="2338"/>
      <c r="DG22" s="2338"/>
      <c r="DH22" s="2338"/>
      <c r="DI22" s="2338"/>
      <c r="DJ22" s="2338"/>
    </row>
    <row r="23" spans="1:114" hidden="1" outlineLevel="1">
      <c r="A23" s="3764"/>
      <c r="B23" s="3210"/>
      <c r="C23" s="3208"/>
      <c r="D23" s="3210"/>
      <c r="E23" s="3029"/>
      <c r="F23" s="2980" t="s">
        <v>3865</v>
      </c>
      <c r="G23" s="2338"/>
      <c r="H23" s="3673"/>
      <c r="I23" s="3673"/>
      <c r="J23" s="3673"/>
      <c r="K23" s="3673"/>
      <c r="L23" s="3673"/>
      <c r="M23" s="3673"/>
      <c r="N23" s="3673"/>
      <c r="O23" s="3673"/>
      <c r="P23" s="3673"/>
      <c r="Q23" s="3673"/>
      <c r="R23" s="3673"/>
      <c r="S23" s="3673"/>
      <c r="T23" s="3673"/>
      <c r="U23" s="3673"/>
      <c r="V23" s="2802" t="str">
        <f>'Приложение 1'!V24</f>
        <v/>
      </c>
      <c r="W23" s="2802" t="str">
        <f>'Приложение 1'!W24</f>
        <v/>
      </c>
      <c r="X23" s="2802" t="str">
        <f>'Приложение 1'!X24</f>
        <v/>
      </c>
      <c r="Y23" s="2802" t="str">
        <f>'Приложение 1'!Y24</f>
        <v/>
      </c>
      <c r="Z23" s="2937"/>
      <c r="AA23" s="2937"/>
      <c r="AB23" s="2937"/>
      <c r="AC23" s="2937"/>
      <c r="AD23" s="2802" t="str">
        <f>'Приложение 1'!AD24</f>
        <v/>
      </c>
      <c r="AE23" s="2802" t="str">
        <f>'Приложение 1'!AE24</f>
        <v/>
      </c>
      <c r="AF23" s="2802" t="str">
        <f>'Приложение 1'!AF24</f>
        <v/>
      </c>
      <c r="AG23" s="2802"/>
      <c r="AH23" s="2802"/>
      <c r="AI23" s="2802"/>
      <c r="AJ23" s="2802" t="str">
        <f>'Приложение 1'!AJ24</f>
        <v/>
      </c>
      <c r="AK23" s="2566"/>
      <c r="AL23" s="2895">
        <f t="shared" si="0"/>
        <v>0</v>
      </c>
      <c r="AM23" s="2566" t="str">
        <f t="shared" si="1"/>
        <v/>
      </c>
      <c r="AN23" s="2338"/>
      <c r="AO23" s="2338"/>
      <c r="AP23" s="2338"/>
      <c r="AQ23" s="2338"/>
      <c r="AR23" s="2338"/>
      <c r="AS23" s="2338"/>
      <c r="AT23" s="2338"/>
      <c r="AU23" s="2338"/>
      <c r="AV23" s="2338"/>
      <c r="AW23" s="2338"/>
      <c r="AX23" s="2338"/>
      <c r="AY23" s="2338"/>
      <c r="AZ23" s="2338"/>
      <c r="BA23" s="2338"/>
      <c r="BB23" s="2338"/>
      <c r="BC23" s="2338"/>
      <c r="BD23" s="2338"/>
      <c r="BE23" s="2338"/>
      <c r="BF23" s="2338"/>
      <c r="BG23" s="2338"/>
      <c r="BH23" s="2338"/>
      <c r="BI23" s="2338"/>
      <c r="BJ23" s="2338"/>
      <c r="BK23" s="2338"/>
      <c r="BL23" s="2338"/>
      <c r="BM23" s="2338"/>
      <c r="BN23" s="2338"/>
      <c r="BO23" s="2338"/>
      <c r="BP23" s="2338"/>
      <c r="BQ23" s="2338"/>
      <c r="BR23" s="2338"/>
      <c r="BS23" s="2338"/>
      <c r="BT23" s="2338"/>
      <c r="BU23" s="2338"/>
      <c r="BV23" s="2338"/>
      <c r="BW23" s="2338"/>
      <c r="BX23" s="2338"/>
      <c r="BY23" s="2338"/>
      <c r="BZ23" s="2338"/>
      <c r="CA23" s="2338"/>
      <c r="CB23" s="2338"/>
      <c r="CC23" s="2338"/>
      <c r="CD23" s="2338"/>
      <c r="CE23" s="2338"/>
      <c r="CF23" s="2338"/>
      <c r="CG23" s="2338"/>
      <c r="CH23" s="2338"/>
      <c r="CI23" s="2338"/>
      <c r="CJ23" s="2338"/>
      <c r="CK23" s="2338"/>
      <c r="CL23" s="2338"/>
      <c r="CM23" s="2338"/>
      <c r="CN23" s="2338"/>
      <c r="CO23" s="2338"/>
      <c r="CP23" s="2338"/>
      <c r="CQ23" s="2338"/>
      <c r="CR23" s="2338"/>
      <c r="CS23" s="2338"/>
      <c r="CT23" s="2338"/>
      <c r="CU23" s="2338"/>
      <c r="CV23" s="2338"/>
      <c r="CW23" s="2338"/>
      <c r="CX23" s="2338"/>
      <c r="CY23" s="2338"/>
      <c r="CZ23" s="2338"/>
      <c r="DA23" s="2338"/>
      <c r="DB23" s="2338"/>
      <c r="DC23" s="2338"/>
      <c r="DD23" s="2338"/>
      <c r="DE23" s="2338"/>
      <c r="DF23" s="2338"/>
      <c r="DG23" s="2338"/>
      <c r="DH23" s="2338"/>
      <c r="DI23" s="2338"/>
      <c r="DJ23" s="2338"/>
    </row>
    <row r="24" spans="1:114" collapsed="1">
      <c r="A24" s="3764"/>
      <c r="B24" s="3210"/>
      <c r="C24" s="3208"/>
      <c r="D24" s="3210" t="s">
        <v>2954</v>
      </c>
      <c r="E24" s="3029" t="s">
        <v>2950</v>
      </c>
      <c r="F24" s="2979" t="s">
        <v>3860</v>
      </c>
      <c r="G24" s="2338"/>
      <c r="H24" s="3673"/>
      <c r="I24" s="3673"/>
      <c r="J24" s="3673">
        <f>'Приложение 1'!J25</f>
        <v>80</v>
      </c>
      <c r="K24" s="3673"/>
      <c r="L24" s="3673">
        <f>'Приложение 1'!L25</f>
        <v>80</v>
      </c>
      <c r="M24" s="3673"/>
      <c r="N24" s="3673"/>
      <c r="O24" s="3673">
        <f>'Приложение 1'!O25</f>
        <v>4.3</v>
      </c>
      <c r="P24" s="3673"/>
      <c r="Q24" s="3673">
        <f>'Приложение 1'!Q25</f>
        <v>4.3</v>
      </c>
      <c r="R24" s="3673"/>
      <c r="S24" s="3673"/>
      <c r="T24" s="3673">
        <f>'Приложение 1'!T25</f>
        <v>57.053809999999999</v>
      </c>
      <c r="U24" s="3673"/>
      <c r="V24" s="2802" t="str">
        <f>'Приложение 1'!V25</f>
        <v/>
      </c>
      <c r="W24" s="2802" t="str">
        <f>'Приложение 1'!W25</f>
        <v/>
      </c>
      <c r="X24" s="2802">
        <f>'Приложение 1'!X25</f>
        <v>713172.625</v>
      </c>
      <c r="Y24" s="2802" t="str">
        <f>'Приложение 1'!Y25</f>
        <v/>
      </c>
      <c r="Z24" s="2937">
        <f>'Приложение 1'!Z25</f>
        <v>1.0528</v>
      </c>
      <c r="AA24" s="2937">
        <f>'Приложение 1'!AA25</f>
        <v>1.0589</v>
      </c>
      <c r="AB24" s="2937">
        <f>'Приложение 1'!AB25</f>
        <v>1.0507936887282501</v>
      </c>
      <c r="AC24" s="2937">
        <f>'Приложение 1'!AC25</f>
        <v>1.04657781587849</v>
      </c>
      <c r="AD24" s="2802" t="str">
        <f>'Приложение 1'!AD25</f>
        <v/>
      </c>
      <c r="AE24" s="2802" t="str">
        <f>'Приложение 1'!AE25</f>
        <v/>
      </c>
      <c r="AF24" s="2802">
        <f>'Приложение 1'!AF25</f>
        <v>784302.58247203182</v>
      </c>
      <c r="AG24" s="2802"/>
      <c r="AH24" s="2802">
        <f>'Приложение 1'!AH25</f>
        <v>784302.58247203182</v>
      </c>
      <c r="AI24" s="2780">
        <f>'Приложение 1'!AI25</f>
        <v>784302.58247203182</v>
      </c>
      <c r="AJ24" s="2780">
        <f>'Приложение 1'!AJ25</f>
        <v>14591.675952968035</v>
      </c>
      <c r="AK24" s="2566"/>
      <c r="AL24" s="2895">
        <f t="shared" si="0"/>
        <v>0</v>
      </c>
      <c r="AM24" s="2566" t="str">
        <f t="shared" si="1"/>
        <v/>
      </c>
      <c r="AN24" s="2338"/>
      <c r="AO24" s="2338"/>
      <c r="AP24" s="2338"/>
      <c r="AQ24" s="2338"/>
      <c r="AR24" s="2338"/>
      <c r="AS24" s="2338"/>
      <c r="AT24" s="2338"/>
      <c r="AU24" s="2338"/>
      <c r="AV24" s="2338"/>
      <c r="AW24" s="2338"/>
      <c r="AX24" s="2338"/>
      <c r="AY24" s="2338"/>
      <c r="AZ24" s="2338"/>
      <c r="BA24" s="2338"/>
      <c r="BB24" s="2338"/>
      <c r="BC24" s="2338"/>
      <c r="BD24" s="2338"/>
      <c r="BE24" s="2338"/>
      <c r="BF24" s="2338"/>
      <c r="BG24" s="2338"/>
      <c r="BH24" s="2338"/>
      <c r="BI24" s="2338"/>
      <c r="BJ24" s="2338"/>
      <c r="BK24" s="2338"/>
      <c r="BL24" s="2338"/>
      <c r="BM24" s="2338"/>
      <c r="BN24" s="2338"/>
      <c r="BO24" s="2338"/>
      <c r="BP24" s="2338"/>
      <c r="BQ24" s="2338"/>
      <c r="BR24" s="2338"/>
      <c r="BS24" s="2338"/>
      <c r="BT24" s="2338"/>
      <c r="BU24" s="2338"/>
      <c r="BV24" s="2338"/>
      <c r="BW24" s="2338"/>
      <c r="BX24" s="2338"/>
      <c r="BY24" s="2338"/>
      <c r="BZ24" s="2338"/>
      <c r="CA24" s="2338"/>
      <c r="CB24" s="2338"/>
      <c r="CC24" s="2338"/>
      <c r="CD24" s="2338"/>
      <c r="CE24" s="2338"/>
      <c r="CF24" s="2338"/>
      <c r="CG24" s="2338"/>
      <c r="CH24" s="2338"/>
      <c r="CI24" s="2338"/>
      <c r="CJ24" s="2338"/>
      <c r="CK24" s="2338"/>
      <c r="CL24" s="2338"/>
      <c r="CM24" s="2338"/>
      <c r="CN24" s="2338"/>
      <c r="CO24" s="2338"/>
      <c r="CP24" s="2338"/>
      <c r="CQ24" s="2338"/>
      <c r="CR24" s="2338"/>
      <c r="CS24" s="2338"/>
      <c r="CT24" s="2338"/>
      <c r="CU24" s="2338"/>
      <c r="CV24" s="2338"/>
      <c r="CW24" s="2338"/>
      <c r="CX24" s="2338"/>
      <c r="CY24" s="2338"/>
      <c r="CZ24" s="2338"/>
      <c r="DA24" s="2338"/>
      <c r="DB24" s="2338"/>
      <c r="DC24" s="2338"/>
      <c r="DD24" s="2338"/>
      <c r="DE24" s="2338"/>
      <c r="DF24" s="2338"/>
      <c r="DG24" s="2338"/>
      <c r="DH24" s="2338"/>
      <c r="DI24" s="2338"/>
      <c r="DJ24" s="2338"/>
    </row>
    <row r="25" spans="1:114" hidden="1" outlineLevel="1">
      <c r="A25" s="3764"/>
      <c r="B25" s="3210"/>
      <c r="C25" s="3208"/>
      <c r="D25" s="3210"/>
      <c r="E25" s="3029"/>
      <c r="F25" s="2979" t="s">
        <v>3861</v>
      </c>
      <c r="G25" s="2338"/>
      <c r="H25" s="3673"/>
      <c r="I25" s="3673"/>
      <c r="J25" s="3673"/>
      <c r="K25" s="3673"/>
      <c r="L25" s="3673"/>
      <c r="M25" s="3673"/>
      <c r="N25" s="3673"/>
      <c r="O25" s="3673"/>
      <c r="P25" s="3673"/>
      <c r="Q25" s="3673"/>
      <c r="R25" s="3673"/>
      <c r="S25" s="3673"/>
      <c r="T25" s="3673"/>
      <c r="U25" s="3673"/>
      <c r="V25" s="2802" t="str">
        <f>'Приложение 1'!V26</f>
        <v/>
      </c>
      <c r="W25" s="2802" t="str">
        <f>'Приложение 1'!W26</f>
        <v/>
      </c>
      <c r="X25" s="2802" t="str">
        <f>'Приложение 1'!X26</f>
        <v/>
      </c>
      <c r="Y25" s="2802" t="str">
        <f>'Приложение 1'!Y26</f>
        <v/>
      </c>
      <c r="Z25" s="2937"/>
      <c r="AA25" s="2937"/>
      <c r="AB25" s="2937"/>
      <c r="AC25" s="2937"/>
      <c r="AD25" s="2802" t="str">
        <f>'Приложение 1'!AD26</f>
        <v/>
      </c>
      <c r="AE25" s="2802" t="str">
        <f>'Приложение 1'!AE26</f>
        <v/>
      </c>
      <c r="AF25" s="2802" t="str">
        <f>'Приложение 1'!AF26</f>
        <v/>
      </c>
      <c r="AG25" s="2802"/>
      <c r="AH25" s="2802"/>
      <c r="AI25" s="2802"/>
      <c r="AJ25" s="2802" t="str">
        <f>'Приложение 1'!AJ26</f>
        <v/>
      </c>
      <c r="AK25" s="2566"/>
      <c r="AL25" s="2895">
        <f t="shared" si="0"/>
        <v>0</v>
      </c>
      <c r="AM25" s="2566" t="str">
        <f t="shared" si="1"/>
        <v/>
      </c>
      <c r="AN25" s="2338"/>
      <c r="AO25" s="2338"/>
      <c r="AP25" s="2338"/>
      <c r="AQ25" s="2338"/>
      <c r="AR25" s="2338"/>
      <c r="AS25" s="2338"/>
      <c r="AT25" s="2338"/>
      <c r="AU25" s="2338"/>
      <c r="AV25" s="2338"/>
      <c r="AW25" s="2338"/>
      <c r="AX25" s="2338"/>
      <c r="AY25" s="2338"/>
      <c r="AZ25" s="2338"/>
      <c r="BA25" s="2338"/>
      <c r="BB25" s="2338"/>
      <c r="BC25" s="2338"/>
      <c r="BD25" s="2338"/>
      <c r="BE25" s="2338"/>
      <c r="BF25" s="2338"/>
      <c r="BG25" s="2338"/>
      <c r="BH25" s="2338"/>
      <c r="BI25" s="2338"/>
      <c r="BJ25" s="2338"/>
      <c r="BK25" s="2338"/>
      <c r="BL25" s="2338"/>
      <c r="BM25" s="2338"/>
      <c r="BN25" s="2338"/>
      <c r="BO25" s="2338"/>
      <c r="BP25" s="2338"/>
      <c r="BQ25" s="2338"/>
      <c r="BR25" s="2338"/>
      <c r="BS25" s="2338"/>
      <c r="BT25" s="2338"/>
      <c r="BU25" s="2338"/>
      <c r="BV25" s="2338"/>
      <c r="BW25" s="2338"/>
      <c r="BX25" s="2338"/>
      <c r="BY25" s="2338"/>
      <c r="BZ25" s="2338"/>
      <c r="CA25" s="2338"/>
      <c r="CB25" s="2338"/>
      <c r="CC25" s="2338"/>
      <c r="CD25" s="2338"/>
      <c r="CE25" s="2338"/>
      <c r="CF25" s="2338"/>
      <c r="CG25" s="2338"/>
      <c r="CH25" s="2338"/>
      <c r="CI25" s="2338"/>
      <c r="CJ25" s="2338"/>
      <c r="CK25" s="2338"/>
      <c r="CL25" s="2338"/>
      <c r="CM25" s="2338"/>
      <c r="CN25" s="2338"/>
      <c r="CO25" s="2338"/>
      <c r="CP25" s="2338"/>
      <c r="CQ25" s="2338"/>
      <c r="CR25" s="2338"/>
      <c r="CS25" s="2338"/>
      <c r="CT25" s="2338"/>
      <c r="CU25" s="2338"/>
      <c r="CV25" s="2338"/>
      <c r="CW25" s="2338"/>
      <c r="CX25" s="2338"/>
      <c r="CY25" s="2338"/>
      <c r="CZ25" s="2338"/>
      <c r="DA25" s="2338"/>
      <c r="DB25" s="2338"/>
      <c r="DC25" s="2338"/>
      <c r="DD25" s="2338"/>
      <c r="DE25" s="2338"/>
      <c r="DF25" s="2338"/>
      <c r="DG25" s="2338"/>
      <c r="DH25" s="2338"/>
      <c r="DI25" s="2338"/>
      <c r="DJ25" s="2338"/>
    </row>
    <row r="26" spans="1:114" hidden="1" outlineLevel="1">
      <c r="A26" s="3764"/>
      <c r="B26" s="3210"/>
      <c r="C26" s="3208"/>
      <c r="D26" s="3210"/>
      <c r="E26" s="3029"/>
      <c r="F26" s="2979" t="s">
        <v>3862</v>
      </c>
      <c r="G26" s="2338"/>
      <c r="H26" s="3673"/>
      <c r="I26" s="3673"/>
      <c r="J26" s="3673"/>
      <c r="K26" s="3673"/>
      <c r="L26" s="3673"/>
      <c r="M26" s="3673"/>
      <c r="N26" s="3673"/>
      <c r="O26" s="3673"/>
      <c r="P26" s="3673"/>
      <c r="Q26" s="3673"/>
      <c r="R26" s="3673"/>
      <c r="S26" s="3673"/>
      <c r="T26" s="3673"/>
      <c r="U26" s="3673"/>
      <c r="V26" s="2802" t="str">
        <f>'Приложение 1'!V27</f>
        <v/>
      </c>
      <c r="W26" s="2802" t="str">
        <f>'Приложение 1'!W27</f>
        <v/>
      </c>
      <c r="X26" s="2802" t="str">
        <f>'Приложение 1'!X27</f>
        <v/>
      </c>
      <c r="Y26" s="2802" t="str">
        <f>'Приложение 1'!Y27</f>
        <v/>
      </c>
      <c r="Z26" s="2937"/>
      <c r="AA26" s="2937"/>
      <c r="AB26" s="2937"/>
      <c r="AC26" s="2937"/>
      <c r="AD26" s="2802" t="str">
        <f>'Приложение 1'!AD27</f>
        <v/>
      </c>
      <c r="AE26" s="2802" t="str">
        <f>'Приложение 1'!AE27</f>
        <v/>
      </c>
      <c r="AF26" s="2802" t="str">
        <f>'Приложение 1'!AF27</f>
        <v/>
      </c>
      <c r="AG26" s="2802"/>
      <c r="AH26" s="2802"/>
      <c r="AI26" s="2802"/>
      <c r="AJ26" s="2802" t="str">
        <f>'Приложение 1'!AJ27</f>
        <v/>
      </c>
      <c r="AK26" s="2566"/>
      <c r="AL26" s="2895">
        <f t="shared" si="0"/>
        <v>0</v>
      </c>
      <c r="AM26" s="2566" t="str">
        <f t="shared" si="1"/>
        <v/>
      </c>
      <c r="AN26" s="2338"/>
      <c r="AO26" s="2338"/>
      <c r="AP26" s="2338"/>
      <c r="AQ26" s="2338"/>
      <c r="AR26" s="2338"/>
      <c r="AS26" s="2338"/>
      <c r="AT26" s="2338"/>
      <c r="AU26" s="2338"/>
      <c r="AV26" s="2338"/>
      <c r="AW26" s="2338"/>
      <c r="AX26" s="2338"/>
      <c r="AY26" s="2338"/>
      <c r="AZ26" s="2338"/>
      <c r="BA26" s="2338"/>
      <c r="BB26" s="2338"/>
      <c r="BC26" s="2338"/>
      <c r="BD26" s="2338"/>
      <c r="BE26" s="2338"/>
      <c r="BF26" s="2338"/>
      <c r="BG26" s="2338"/>
      <c r="BH26" s="2338"/>
      <c r="BI26" s="2338"/>
      <c r="BJ26" s="2338"/>
      <c r="BK26" s="2338"/>
      <c r="BL26" s="2338"/>
      <c r="BM26" s="2338"/>
      <c r="BN26" s="2338"/>
      <c r="BO26" s="2338"/>
      <c r="BP26" s="2338"/>
      <c r="BQ26" s="2338"/>
      <c r="BR26" s="2338"/>
      <c r="BS26" s="2338"/>
      <c r="BT26" s="2338"/>
      <c r="BU26" s="2338"/>
      <c r="BV26" s="2338"/>
      <c r="BW26" s="2338"/>
      <c r="BX26" s="2338"/>
      <c r="BY26" s="2338"/>
      <c r="BZ26" s="2338"/>
      <c r="CA26" s="2338"/>
      <c r="CB26" s="2338"/>
      <c r="CC26" s="2338"/>
      <c r="CD26" s="2338"/>
      <c r="CE26" s="2338"/>
      <c r="CF26" s="2338"/>
      <c r="CG26" s="2338"/>
      <c r="CH26" s="2338"/>
      <c r="CI26" s="2338"/>
      <c r="CJ26" s="2338"/>
      <c r="CK26" s="2338"/>
      <c r="CL26" s="2338"/>
      <c r="CM26" s="2338"/>
      <c r="CN26" s="2338"/>
      <c r="CO26" s="2338"/>
      <c r="CP26" s="2338"/>
      <c r="CQ26" s="2338"/>
      <c r="CR26" s="2338"/>
      <c r="CS26" s="2338"/>
      <c r="CT26" s="2338"/>
      <c r="CU26" s="2338"/>
      <c r="CV26" s="2338"/>
      <c r="CW26" s="2338"/>
      <c r="CX26" s="2338"/>
      <c r="CY26" s="2338"/>
      <c r="CZ26" s="2338"/>
      <c r="DA26" s="2338"/>
      <c r="DB26" s="2338"/>
      <c r="DC26" s="2338"/>
      <c r="DD26" s="2338"/>
      <c r="DE26" s="2338"/>
      <c r="DF26" s="2338"/>
      <c r="DG26" s="2338"/>
      <c r="DH26" s="2338"/>
      <c r="DI26" s="2338"/>
      <c r="DJ26" s="2338"/>
    </row>
    <row r="27" spans="1:114" hidden="1" outlineLevel="1">
      <c r="A27" s="3764"/>
      <c r="B27" s="3210"/>
      <c r="C27" s="3208"/>
      <c r="D27" s="3210"/>
      <c r="E27" s="3029"/>
      <c r="F27" s="2979" t="s">
        <v>3863</v>
      </c>
      <c r="G27" s="2338"/>
      <c r="H27" s="3673"/>
      <c r="I27" s="3673"/>
      <c r="J27" s="3673"/>
      <c r="K27" s="3673"/>
      <c r="L27" s="3673"/>
      <c r="M27" s="3673"/>
      <c r="N27" s="3673"/>
      <c r="O27" s="3673"/>
      <c r="P27" s="3673"/>
      <c r="Q27" s="3673"/>
      <c r="R27" s="3673"/>
      <c r="S27" s="3673"/>
      <c r="T27" s="3673"/>
      <c r="U27" s="3673"/>
      <c r="V27" s="2802" t="str">
        <f>'Приложение 1'!V28</f>
        <v/>
      </c>
      <c r="W27" s="2802" t="str">
        <f>'Приложение 1'!W28</f>
        <v/>
      </c>
      <c r="X27" s="2802" t="str">
        <f>'Приложение 1'!X28</f>
        <v/>
      </c>
      <c r="Y27" s="2802" t="str">
        <f>'Приложение 1'!Y28</f>
        <v/>
      </c>
      <c r="Z27" s="2937"/>
      <c r="AA27" s="2937"/>
      <c r="AB27" s="2937"/>
      <c r="AC27" s="2937"/>
      <c r="AD27" s="2802" t="str">
        <f>'Приложение 1'!AD28</f>
        <v/>
      </c>
      <c r="AE27" s="2802" t="str">
        <f>'Приложение 1'!AE28</f>
        <v/>
      </c>
      <c r="AF27" s="2802" t="str">
        <f>'Приложение 1'!AF28</f>
        <v/>
      </c>
      <c r="AG27" s="2802"/>
      <c r="AH27" s="2802"/>
      <c r="AI27" s="2802"/>
      <c r="AJ27" s="2802" t="str">
        <f>'Приложение 1'!AJ28</f>
        <v/>
      </c>
      <c r="AK27" s="2566"/>
      <c r="AL27" s="2895">
        <f t="shared" si="0"/>
        <v>0</v>
      </c>
      <c r="AM27" s="2566" t="str">
        <f t="shared" si="1"/>
        <v/>
      </c>
      <c r="AN27" s="2338"/>
      <c r="AO27" s="2338"/>
      <c r="AP27" s="2338"/>
      <c r="AQ27" s="2338"/>
      <c r="AR27" s="2338"/>
      <c r="AS27" s="2338"/>
      <c r="AT27" s="2338"/>
      <c r="AU27" s="2338"/>
      <c r="AV27" s="2338"/>
      <c r="AW27" s="2338"/>
      <c r="AX27" s="2338"/>
      <c r="AY27" s="2338"/>
      <c r="AZ27" s="2338"/>
      <c r="BA27" s="2338"/>
      <c r="BB27" s="2338"/>
      <c r="BC27" s="2338"/>
      <c r="BD27" s="2338"/>
      <c r="BE27" s="2338"/>
      <c r="BF27" s="2338"/>
      <c r="BG27" s="2338"/>
      <c r="BH27" s="2338"/>
      <c r="BI27" s="2338"/>
      <c r="BJ27" s="2338"/>
      <c r="BK27" s="2338"/>
      <c r="BL27" s="2338"/>
      <c r="BM27" s="2338"/>
      <c r="BN27" s="2338"/>
      <c r="BO27" s="2338"/>
      <c r="BP27" s="2338"/>
      <c r="BQ27" s="2338"/>
      <c r="BR27" s="2338"/>
      <c r="BS27" s="2338"/>
      <c r="BT27" s="2338"/>
      <c r="BU27" s="2338"/>
      <c r="BV27" s="2338"/>
      <c r="BW27" s="2338"/>
      <c r="BX27" s="2338"/>
      <c r="BY27" s="2338"/>
      <c r="BZ27" s="2338"/>
      <c r="CA27" s="2338"/>
      <c r="CB27" s="2338"/>
      <c r="CC27" s="2338"/>
      <c r="CD27" s="2338"/>
      <c r="CE27" s="2338"/>
      <c r="CF27" s="2338"/>
      <c r="CG27" s="2338"/>
      <c r="CH27" s="2338"/>
      <c r="CI27" s="2338"/>
      <c r="CJ27" s="2338"/>
      <c r="CK27" s="2338"/>
      <c r="CL27" s="2338"/>
      <c r="CM27" s="2338"/>
      <c r="CN27" s="2338"/>
      <c r="CO27" s="2338"/>
      <c r="CP27" s="2338"/>
      <c r="CQ27" s="2338"/>
      <c r="CR27" s="2338"/>
      <c r="CS27" s="2338"/>
      <c r="CT27" s="2338"/>
      <c r="CU27" s="2338"/>
      <c r="CV27" s="2338"/>
      <c r="CW27" s="2338"/>
      <c r="CX27" s="2338"/>
      <c r="CY27" s="2338"/>
      <c r="CZ27" s="2338"/>
      <c r="DA27" s="2338"/>
      <c r="DB27" s="2338"/>
      <c r="DC27" s="2338"/>
      <c r="DD27" s="2338"/>
      <c r="DE27" s="2338"/>
      <c r="DF27" s="2338"/>
      <c r="DG27" s="2338"/>
      <c r="DH27" s="2338"/>
      <c r="DI27" s="2338"/>
      <c r="DJ27" s="2338"/>
    </row>
    <row r="28" spans="1:114" hidden="1" outlineLevel="1">
      <c r="A28" s="3764"/>
      <c r="B28" s="3210"/>
      <c r="C28" s="3208"/>
      <c r="D28" s="3210"/>
      <c r="E28" s="3029"/>
      <c r="F28" s="2980" t="s">
        <v>3864</v>
      </c>
      <c r="G28" s="3637"/>
      <c r="H28" s="3673"/>
      <c r="I28" s="3673"/>
      <c r="J28" s="3673"/>
      <c r="K28" s="3673"/>
      <c r="L28" s="3673"/>
      <c r="M28" s="3673"/>
      <c r="N28" s="3673"/>
      <c r="O28" s="3673"/>
      <c r="P28" s="3673"/>
      <c r="Q28" s="3673"/>
      <c r="R28" s="3673"/>
      <c r="S28" s="3673"/>
      <c r="T28" s="3673"/>
      <c r="U28" s="3673"/>
      <c r="V28" s="2802" t="str">
        <f>'Приложение 1'!V29</f>
        <v/>
      </c>
      <c r="W28" s="2802" t="str">
        <f>'Приложение 1'!W29</f>
        <v/>
      </c>
      <c r="X28" s="2802" t="str">
        <f>'Приложение 1'!X29</f>
        <v/>
      </c>
      <c r="Y28" s="2802" t="str">
        <f>'Приложение 1'!Y29</f>
        <v/>
      </c>
      <c r="Z28" s="2937"/>
      <c r="AA28" s="2937"/>
      <c r="AB28" s="2937"/>
      <c r="AC28" s="2937"/>
      <c r="AD28" s="2802" t="str">
        <f>'Приложение 1'!AD29</f>
        <v/>
      </c>
      <c r="AE28" s="2802" t="str">
        <f>'Приложение 1'!AE29</f>
        <v/>
      </c>
      <c r="AF28" s="2802" t="str">
        <f>'Приложение 1'!AF29</f>
        <v/>
      </c>
      <c r="AG28" s="2802"/>
      <c r="AH28" s="2802"/>
      <c r="AI28" s="2802"/>
      <c r="AJ28" s="2802" t="str">
        <f>'Приложение 1'!AJ29</f>
        <v/>
      </c>
      <c r="AK28" s="2566"/>
      <c r="AL28" s="2895">
        <f t="shared" si="0"/>
        <v>0</v>
      </c>
      <c r="AM28" s="2566" t="str">
        <f t="shared" si="1"/>
        <v/>
      </c>
      <c r="AN28" s="2338"/>
      <c r="AO28" s="2338"/>
      <c r="AP28" s="2338"/>
      <c r="AQ28" s="2338"/>
      <c r="AR28" s="2338"/>
      <c r="AS28" s="2338"/>
      <c r="AT28" s="2338"/>
      <c r="AU28" s="2338"/>
      <c r="AV28" s="2338"/>
      <c r="AW28" s="2338"/>
      <c r="AX28" s="2338"/>
      <c r="AY28" s="2338"/>
      <c r="AZ28" s="2338"/>
      <c r="BA28" s="2338"/>
      <c r="BB28" s="2338"/>
      <c r="BC28" s="2338"/>
      <c r="BD28" s="2338"/>
      <c r="BE28" s="2338"/>
      <c r="BF28" s="2338"/>
      <c r="BG28" s="2338"/>
      <c r="BH28" s="2338"/>
      <c r="BI28" s="2338"/>
      <c r="BJ28" s="2338"/>
      <c r="BK28" s="2338"/>
      <c r="BL28" s="2338"/>
      <c r="BM28" s="2338"/>
      <c r="BN28" s="2338"/>
      <c r="BO28" s="2338"/>
      <c r="BP28" s="2338"/>
      <c r="BQ28" s="2338"/>
      <c r="BR28" s="2338"/>
      <c r="BS28" s="2338"/>
      <c r="BT28" s="2338"/>
      <c r="BU28" s="2338"/>
      <c r="BV28" s="2338"/>
      <c r="BW28" s="2338"/>
      <c r="BX28" s="2338"/>
      <c r="BY28" s="2338"/>
      <c r="BZ28" s="2338"/>
      <c r="CA28" s="2338"/>
      <c r="CB28" s="2338"/>
      <c r="CC28" s="2338"/>
      <c r="CD28" s="2338"/>
      <c r="CE28" s="2338"/>
      <c r="CF28" s="2338"/>
      <c r="CG28" s="2338"/>
      <c r="CH28" s="2338"/>
      <c r="CI28" s="2338"/>
      <c r="CJ28" s="2338"/>
      <c r="CK28" s="2338"/>
      <c r="CL28" s="2338"/>
      <c r="CM28" s="2338"/>
      <c r="CN28" s="2338"/>
      <c r="CO28" s="2338"/>
      <c r="CP28" s="2338"/>
      <c r="CQ28" s="2338"/>
      <c r="CR28" s="2338"/>
      <c r="CS28" s="2338"/>
      <c r="CT28" s="2338"/>
      <c r="CU28" s="2338"/>
      <c r="CV28" s="2338"/>
      <c r="CW28" s="2338"/>
      <c r="CX28" s="2338"/>
      <c r="CY28" s="2338"/>
      <c r="CZ28" s="2338"/>
      <c r="DA28" s="2338"/>
      <c r="DB28" s="2338"/>
      <c r="DC28" s="2338"/>
      <c r="DD28" s="2338"/>
      <c r="DE28" s="2338"/>
      <c r="DF28" s="2338"/>
      <c r="DG28" s="2338"/>
      <c r="DH28" s="2338"/>
      <c r="DI28" s="2338"/>
      <c r="DJ28" s="2338"/>
    </row>
    <row r="29" spans="1:114" hidden="1" outlineLevel="1">
      <c r="A29" s="3764"/>
      <c r="B29" s="3210"/>
      <c r="C29" s="3208"/>
      <c r="D29" s="3210"/>
      <c r="E29" s="3029"/>
      <c r="F29" s="2980" t="s">
        <v>3865</v>
      </c>
      <c r="G29" s="3637"/>
      <c r="H29" s="3673"/>
      <c r="I29" s="3673"/>
      <c r="J29" s="3673"/>
      <c r="K29" s="3673"/>
      <c r="L29" s="3673"/>
      <c r="M29" s="3673"/>
      <c r="N29" s="3673"/>
      <c r="O29" s="3673"/>
      <c r="P29" s="3673"/>
      <c r="Q29" s="3673"/>
      <c r="R29" s="3673"/>
      <c r="S29" s="3673"/>
      <c r="T29" s="3673"/>
      <c r="U29" s="3673"/>
      <c r="V29" s="2802" t="str">
        <f>'Приложение 1'!V30</f>
        <v/>
      </c>
      <c r="W29" s="2802" t="str">
        <f>'Приложение 1'!W30</f>
        <v/>
      </c>
      <c r="X29" s="2802" t="str">
        <f>'Приложение 1'!X30</f>
        <v/>
      </c>
      <c r="Y29" s="2802" t="str">
        <f>'Приложение 1'!Y30</f>
        <v/>
      </c>
      <c r="Z29" s="2937"/>
      <c r="AA29" s="2937"/>
      <c r="AB29" s="2937"/>
      <c r="AC29" s="2937"/>
      <c r="AD29" s="2802" t="str">
        <f>'Приложение 1'!AD30</f>
        <v/>
      </c>
      <c r="AE29" s="2802" t="str">
        <f>'Приложение 1'!AE30</f>
        <v/>
      </c>
      <c r="AF29" s="2802" t="str">
        <f>'Приложение 1'!AF30</f>
        <v/>
      </c>
      <c r="AG29" s="2802"/>
      <c r="AH29" s="2802"/>
      <c r="AI29" s="2802"/>
      <c r="AJ29" s="2802" t="str">
        <f>'Приложение 1'!AJ30</f>
        <v/>
      </c>
      <c r="AK29" s="2566"/>
      <c r="AL29" s="2895">
        <f t="shared" si="0"/>
        <v>0</v>
      </c>
      <c r="AM29" s="2566" t="str">
        <f t="shared" si="1"/>
        <v/>
      </c>
      <c r="AN29" s="2338"/>
      <c r="AO29" s="2338"/>
      <c r="AP29" s="2338"/>
      <c r="AQ29" s="2338"/>
      <c r="AR29" s="2338"/>
      <c r="AS29" s="2338"/>
      <c r="AT29" s="2338"/>
      <c r="AU29" s="2338"/>
      <c r="AV29" s="2338"/>
      <c r="AW29" s="2338"/>
      <c r="AX29" s="2338"/>
      <c r="AY29" s="2338"/>
      <c r="AZ29" s="2338"/>
      <c r="BA29" s="2338"/>
      <c r="BB29" s="2338"/>
      <c r="BC29" s="2338"/>
      <c r="BD29" s="2338"/>
      <c r="BE29" s="2338"/>
      <c r="BF29" s="2338"/>
      <c r="BG29" s="2338"/>
      <c r="BH29" s="2338"/>
      <c r="BI29" s="2338"/>
      <c r="BJ29" s="2338"/>
      <c r="BK29" s="2338"/>
      <c r="BL29" s="2338"/>
      <c r="BM29" s="2338"/>
      <c r="BN29" s="2338"/>
      <c r="BO29" s="2338"/>
      <c r="BP29" s="2338"/>
      <c r="BQ29" s="2338"/>
      <c r="BR29" s="2338"/>
      <c r="BS29" s="2338"/>
      <c r="BT29" s="2338"/>
      <c r="BU29" s="2338"/>
      <c r="BV29" s="2338"/>
      <c r="BW29" s="2338"/>
      <c r="BX29" s="2338"/>
      <c r="BY29" s="2338"/>
      <c r="BZ29" s="2338"/>
      <c r="CA29" s="2338"/>
      <c r="CB29" s="2338"/>
      <c r="CC29" s="2338"/>
      <c r="CD29" s="2338"/>
      <c r="CE29" s="2338"/>
      <c r="CF29" s="2338"/>
      <c r="CG29" s="2338"/>
      <c r="CH29" s="2338"/>
      <c r="CI29" s="2338"/>
      <c r="CJ29" s="2338"/>
      <c r="CK29" s="2338"/>
      <c r="CL29" s="2338"/>
      <c r="CM29" s="2338"/>
      <c r="CN29" s="2338"/>
      <c r="CO29" s="2338"/>
      <c r="CP29" s="2338"/>
      <c r="CQ29" s="2338"/>
      <c r="CR29" s="2338"/>
      <c r="CS29" s="2338"/>
      <c r="CT29" s="2338"/>
      <c r="CU29" s="2338"/>
      <c r="CV29" s="2338"/>
      <c r="CW29" s="2338"/>
      <c r="CX29" s="2338"/>
      <c r="CY29" s="2338"/>
      <c r="CZ29" s="2338"/>
      <c r="DA29" s="2338"/>
      <c r="DB29" s="2338"/>
      <c r="DC29" s="2338"/>
      <c r="DD29" s="2338"/>
      <c r="DE29" s="2338"/>
      <c r="DF29" s="2338"/>
      <c r="DG29" s="2338"/>
      <c r="DH29" s="2338"/>
      <c r="DI29" s="2338"/>
      <c r="DJ29" s="2338"/>
    </row>
    <row r="30" spans="1:114" hidden="1" outlineLevel="1">
      <c r="A30" s="3764"/>
      <c r="B30" s="3210"/>
      <c r="C30" s="3208"/>
      <c r="D30" s="3210"/>
      <c r="E30" s="3029" t="s">
        <v>2946</v>
      </c>
      <c r="F30" s="2979" t="s">
        <v>3860</v>
      </c>
      <c r="G30" s="3637"/>
      <c r="H30" s="3673"/>
      <c r="I30" s="3673"/>
      <c r="J30" s="3673"/>
      <c r="K30" s="3673"/>
      <c r="L30" s="3673"/>
      <c r="M30" s="3673"/>
      <c r="N30" s="3673"/>
      <c r="O30" s="3673"/>
      <c r="P30" s="3673"/>
      <c r="Q30" s="3673"/>
      <c r="R30" s="3673"/>
      <c r="S30" s="3673"/>
      <c r="T30" s="3673"/>
      <c r="U30" s="3673"/>
      <c r="V30" s="2802" t="str">
        <f>'Приложение 1'!V31</f>
        <v/>
      </c>
      <c r="W30" s="2802" t="str">
        <f>'Приложение 1'!W31</f>
        <v/>
      </c>
      <c r="X30" s="2802" t="str">
        <f>'Приложение 1'!X31</f>
        <v/>
      </c>
      <c r="Y30" s="2802" t="str">
        <f>'Приложение 1'!Y31</f>
        <v/>
      </c>
      <c r="Z30" s="2937"/>
      <c r="AA30" s="2937"/>
      <c r="AB30" s="2937"/>
      <c r="AC30" s="2937"/>
      <c r="AD30" s="2802" t="str">
        <f>'Приложение 1'!AD31</f>
        <v/>
      </c>
      <c r="AE30" s="2802" t="str">
        <f>'Приложение 1'!AE31</f>
        <v/>
      </c>
      <c r="AF30" s="2802" t="str">
        <f>'Приложение 1'!AF31</f>
        <v/>
      </c>
      <c r="AG30" s="2802"/>
      <c r="AH30" s="2802"/>
      <c r="AI30" s="2802"/>
      <c r="AJ30" s="2802" t="str">
        <f>'Приложение 1'!AJ31</f>
        <v/>
      </c>
      <c r="AK30" s="2566"/>
      <c r="AL30" s="2895">
        <f t="shared" si="0"/>
        <v>0</v>
      </c>
      <c r="AM30" s="2566" t="str">
        <f t="shared" si="1"/>
        <v/>
      </c>
      <c r="AN30" s="2338"/>
      <c r="AO30" s="2338"/>
      <c r="AP30" s="2338"/>
      <c r="AQ30" s="2338"/>
      <c r="AR30" s="2338"/>
      <c r="AS30" s="2338"/>
      <c r="AT30" s="2338"/>
      <c r="AU30" s="2338"/>
      <c r="AV30" s="2338"/>
      <c r="AW30" s="2338"/>
      <c r="AX30" s="2338"/>
      <c r="AY30" s="2338"/>
      <c r="AZ30" s="2338"/>
      <c r="BA30" s="2338"/>
      <c r="BB30" s="2338"/>
      <c r="BC30" s="2338"/>
      <c r="BD30" s="2338"/>
      <c r="BE30" s="2338"/>
      <c r="BF30" s="2338"/>
      <c r="BG30" s="2338"/>
      <c r="BH30" s="2338"/>
      <c r="BI30" s="2338"/>
      <c r="BJ30" s="2338"/>
      <c r="BK30" s="2338"/>
      <c r="BL30" s="2338"/>
      <c r="BM30" s="2338"/>
      <c r="BN30" s="2338"/>
      <c r="BO30" s="2338"/>
      <c r="BP30" s="2338"/>
      <c r="BQ30" s="2338"/>
      <c r="BR30" s="2338"/>
      <c r="BS30" s="2338"/>
      <c r="BT30" s="2338"/>
      <c r="BU30" s="2338"/>
      <c r="BV30" s="2338"/>
      <c r="BW30" s="2338"/>
      <c r="BX30" s="2338"/>
      <c r="BY30" s="2338"/>
      <c r="BZ30" s="2338"/>
      <c r="CA30" s="2338"/>
      <c r="CB30" s="2338"/>
      <c r="CC30" s="2338"/>
      <c r="CD30" s="2338"/>
      <c r="CE30" s="2338"/>
      <c r="CF30" s="2338"/>
      <c r="CG30" s="2338"/>
      <c r="CH30" s="2338"/>
      <c r="CI30" s="2338"/>
      <c r="CJ30" s="2338"/>
      <c r="CK30" s="2338"/>
      <c r="CL30" s="2338"/>
      <c r="CM30" s="2338"/>
      <c r="CN30" s="2338"/>
      <c r="CO30" s="2338"/>
      <c r="CP30" s="2338"/>
      <c r="CQ30" s="2338"/>
      <c r="CR30" s="2338"/>
      <c r="CS30" s="2338"/>
      <c r="CT30" s="2338"/>
      <c r="CU30" s="2338"/>
      <c r="CV30" s="2338"/>
      <c r="CW30" s="2338"/>
      <c r="CX30" s="2338"/>
      <c r="CY30" s="2338"/>
      <c r="CZ30" s="2338"/>
      <c r="DA30" s="2338"/>
      <c r="DB30" s="2338"/>
      <c r="DC30" s="2338"/>
      <c r="DD30" s="2338"/>
      <c r="DE30" s="2338"/>
      <c r="DF30" s="2338"/>
      <c r="DG30" s="2338"/>
      <c r="DH30" s="2338"/>
      <c r="DI30" s="2338"/>
      <c r="DJ30" s="2338"/>
    </row>
    <row r="31" spans="1:114" hidden="1" outlineLevel="1">
      <c r="A31" s="3764"/>
      <c r="B31" s="3210"/>
      <c r="C31" s="3208"/>
      <c r="D31" s="3210"/>
      <c r="E31" s="3029"/>
      <c r="F31" s="2979" t="s">
        <v>3861</v>
      </c>
      <c r="G31" s="3637"/>
      <c r="H31" s="3673"/>
      <c r="I31" s="3673"/>
      <c r="J31" s="3673"/>
      <c r="K31" s="3673"/>
      <c r="L31" s="3673"/>
      <c r="M31" s="3673"/>
      <c r="N31" s="3673"/>
      <c r="O31" s="3673"/>
      <c r="P31" s="3673"/>
      <c r="Q31" s="3673"/>
      <c r="R31" s="3673"/>
      <c r="S31" s="3673"/>
      <c r="T31" s="3673"/>
      <c r="U31" s="3673"/>
      <c r="V31" s="2802" t="str">
        <f>'Приложение 1'!V32</f>
        <v/>
      </c>
      <c r="W31" s="2802" t="str">
        <f>'Приложение 1'!W32</f>
        <v/>
      </c>
      <c r="X31" s="2802" t="str">
        <f>'Приложение 1'!X32</f>
        <v/>
      </c>
      <c r="Y31" s="2802" t="str">
        <f>'Приложение 1'!Y32</f>
        <v/>
      </c>
      <c r="Z31" s="2937"/>
      <c r="AA31" s="2937"/>
      <c r="AB31" s="2937"/>
      <c r="AC31" s="2937"/>
      <c r="AD31" s="2802" t="str">
        <f>'Приложение 1'!AD32</f>
        <v/>
      </c>
      <c r="AE31" s="2802" t="str">
        <f>'Приложение 1'!AE32</f>
        <v/>
      </c>
      <c r="AF31" s="2802" t="str">
        <f>'Приложение 1'!AF32</f>
        <v/>
      </c>
      <c r="AG31" s="2802"/>
      <c r="AH31" s="2802"/>
      <c r="AI31" s="2802"/>
      <c r="AJ31" s="2802" t="str">
        <f>'Приложение 1'!AJ32</f>
        <v/>
      </c>
      <c r="AK31" s="2566"/>
      <c r="AL31" s="2895">
        <f t="shared" si="0"/>
        <v>0</v>
      </c>
      <c r="AM31" s="2566" t="str">
        <f t="shared" si="1"/>
        <v/>
      </c>
      <c r="AN31" s="2338"/>
      <c r="AO31" s="2338"/>
      <c r="AP31" s="2338"/>
      <c r="AQ31" s="2338"/>
      <c r="AR31" s="2338"/>
      <c r="AS31" s="2338"/>
      <c r="AT31" s="2338"/>
      <c r="AU31" s="2338"/>
      <c r="AV31" s="2338"/>
      <c r="AW31" s="2338"/>
      <c r="AX31" s="2338"/>
      <c r="AY31" s="2338"/>
      <c r="AZ31" s="2338"/>
      <c r="BA31" s="2338"/>
      <c r="BB31" s="2338"/>
      <c r="BC31" s="2338"/>
      <c r="BD31" s="2338"/>
      <c r="BE31" s="2338"/>
      <c r="BF31" s="2338"/>
      <c r="BG31" s="2338"/>
      <c r="BH31" s="2338"/>
      <c r="BI31" s="2338"/>
      <c r="BJ31" s="2338"/>
      <c r="BK31" s="2338"/>
      <c r="BL31" s="2338"/>
      <c r="BM31" s="2338"/>
      <c r="BN31" s="2338"/>
      <c r="BO31" s="2338"/>
      <c r="BP31" s="2338"/>
      <c r="BQ31" s="2338"/>
      <c r="BR31" s="2338"/>
      <c r="BS31" s="2338"/>
      <c r="BT31" s="2338"/>
      <c r="BU31" s="2338"/>
      <c r="BV31" s="2338"/>
      <c r="BW31" s="2338"/>
      <c r="BX31" s="2338"/>
      <c r="BY31" s="2338"/>
      <c r="BZ31" s="2338"/>
      <c r="CA31" s="2338"/>
      <c r="CB31" s="2338"/>
      <c r="CC31" s="2338"/>
      <c r="CD31" s="2338"/>
      <c r="CE31" s="2338"/>
      <c r="CF31" s="2338"/>
      <c r="CG31" s="2338"/>
      <c r="CH31" s="2338"/>
      <c r="CI31" s="2338"/>
      <c r="CJ31" s="2338"/>
      <c r="CK31" s="2338"/>
      <c r="CL31" s="2338"/>
      <c r="CM31" s="2338"/>
      <c r="CN31" s="2338"/>
      <c r="CO31" s="2338"/>
      <c r="CP31" s="2338"/>
      <c r="CQ31" s="2338"/>
      <c r="CR31" s="2338"/>
      <c r="CS31" s="2338"/>
      <c r="CT31" s="2338"/>
      <c r="CU31" s="2338"/>
      <c r="CV31" s="2338"/>
      <c r="CW31" s="2338"/>
      <c r="CX31" s="2338"/>
      <c r="CY31" s="2338"/>
      <c r="CZ31" s="2338"/>
      <c r="DA31" s="2338"/>
      <c r="DB31" s="2338"/>
      <c r="DC31" s="2338"/>
      <c r="DD31" s="2338"/>
      <c r="DE31" s="2338"/>
      <c r="DF31" s="2338"/>
      <c r="DG31" s="2338"/>
      <c r="DH31" s="2338"/>
      <c r="DI31" s="2338"/>
      <c r="DJ31" s="2338"/>
    </row>
    <row r="32" spans="1:114" hidden="1" outlineLevel="1">
      <c r="A32" s="3764"/>
      <c r="B32" s="3210"/>
      <c r="C32" s="3208"/>
      <c r="D32" s="3210"/>
      <c r="E32" s="3029"/>
      <c r="F32" s="2979" t="s">
        <v>3862</v>
      </c>
      <c r="G32" s="3637"/>
      <c r="H32" s="3673"/>
      <c r="I32" s="3673"/>
      <c r="J32" s="3673"/>
      <c r="K32" s="3673"/>
      <c r="L32" s="3673"/>
      <c r="M32" s="3673"/>
      <c r="N32" s="3673"/>
      <c r="O32" s="3673"/>
      <c r="P32" s="3673"/>
      <c r="Q32" s="3673"/>
      <c r="R32" s="3673"/>
      <c r="S32" s="3673"/>
      <c r="T32" s="3673"/>
      <c r="U32" s="3673"/>
      <c r="V32" s="2802" t="str">
        <f>'Приложение 1'!V33</f>
        <v/>
      </c>
      <c r="W32" s="2802" t="str">
        <f>'Приложение 1'!W33</f>
        <v/>
      </c>
      <c r="X32" s="2802" t="str">
        <f>'Приложение 1'!X33</f>
        <v/>
      </c>
      <c r="Y32" s="2802" t="str">
        <f>'Приложение 1'!Y33</f>
        <v/>
      </c>
      <c r="Z32" s="2937"/>
      <c r="AA32" s="2937"/>
      <c r="AB32" s="2937"/>
      <c r="AC32" s="2937"/>
      <c r="AD32" s="2802" t="str">
        <f>'Приложение 1'!AD33</f>
        <v/>
      </c>
      <c r="AE32" s="2802" t="str">
        <f>'Приложение 1'!AE33</f>
        <v/>
      </c>
      <c r="AF32" s="2802" t="str">
        <f>'Приложение 1'!AF33</f>
        <v/>
      </c>
      <c r="AG32" s="2802"/>
      <c r="AH32" s="2802"/>
      <c r="AI32" s="2802"/>
      <c r="AJ32" s="2802" t="str">
        <f>'Приложение 1'!AJ33</f>
        <v/>
      </c>
      <c r="AK32" s="2566"/>
      <c r="AL32" s="2895">
        <f t="shared" si="0"/>
        <v>0</v>
      </c>
      <c r="AM32" s="2566" t="str">
        <f t="shared" si="1"/>
        <v/>
      </c>
      <c r="AN32" s="2338"/>
      <c r="AO32" s="2338"/>
      <c r="AP32" s="2338"/>
      <c r="AQ32" s="2338"/>
      <c r="AR32" s="2338"/>
      <c r="AS32" s="2338"/>
      <c r="AT32" s="2338"/>
      <c r="AU32" s="2338"/>
      <c r="AV32" s="2338"/>
      <c r="AW32" s="2338"/>
      <c r="AX32" s="2338"/>
      <c r="AY32" s="2338"/>
      <c r="AZ32" s="2338"/>
      <c r="BA32" s="2338"/>
      <c r="BB32" s="2338"/>
      <c r="BC32" s="2338"/>
      <c r="BD32" s="2338"/>
      <c r="BE32" s="2338"/>
      <c r="BF32" s="2338"/>
      <c r="BG32" s="2338"/>
      <c r="BH32" s="2338"/>
      <c r="BI32" s="2338"/>
      <c r="BJ32" s="2338"/>
      <c r="BK32" s="2338"/>
      <c r="BL32" s="2338"/>
      <c r="BM32" s="2338"/>
      <c r="BN32" s="2338"/>
      <c r="BO32" s="2338"/>
      <c r="BP32" s="2338"/>
      <c r="BQ32" s="2338"/>
      <c r="BR32" s="2338"/>
      <c r="BS32" s="2338"/>
      <c r="BT32" s="2338"/>
      <c r="BU32" s="2338"/>
      <c r="BV32" s="2338"/>
      <c r="BW32" s="2338"/>
      <c r="BX32" s="2338"/>
      <c r="BY32" s="2338"/>
      <c r="BZ32" s="2338"/>
      <c r="CA32" s="2338"/>
      <c r="CB32" s="2338"/>
      <c r="CC32" s="2338"/>
      <c r="CD32" s="2338"/>
      <c r="CE32" s="2338"/>
      <c r="CF32" s="2338"/>
      <c r="CG32" s="2338"/>
      <c r="CH32" s="2338"/>
      <c r="CI32" s="2338"/>
      <c r="CJ32" s="2338"/>
      <c r="CK32" s="2338"/>
      <c r="CL32" s="2338"/>
      <c r="CM32" s="2338"/>
      <c r="CN32" s="2338"/>
      <c r="CO32" s="2338"/>
      <c r="CP32" s="2338"/>
      <c r="CQ32" s="2338"/>
      <c r="CR32" s="2338"/>
      <c r="CS32" s="2338"/>
      <c r="CT32" s="2338"/>
      <c r="CU32" s="2338"/>
      <c r="CV32" s="2338"/>
      <c r="CW32" s="2338"/>
      <c r="CX32" s="2338"/>
      <c r="CY32" s="2338"/>
      <c r="CZ32" s="2338"/>
      <c r="DA32" s="2338"/>
      <c r="DB32" s="2338"/>
      <c r="DC32" s="2338"/>
      <c r="DD32" s="2338"/>
      <c r="DE32" s="2338"/>
      <c r="DF32" s="2338"/>
      <c r="DG32" s="2338"/>
      <c r="DH32" s="2338"/>
      <c r="DI32" s="2338"/>
      <c r="DJ32" s="2338"/>
    </row>
    <row r="33" spans="1:114" hidden="1" outlineLevel="1">
      <c r="A33" s="3764"/>
      <c r="B33" s="3210"/>
      <c r="C33" s="3208"/>
      <c r="D33" s="3210"/>
      <c r="E33" s="3029"/>
      <c r="F33" s="2979" t="s">
        <v>3863</v>
      </c>
      <c r="G33" s="3637"/>
      <c r="H33" s="3673"/>
      <c r="I33" s="3673"/>
      <c r="J33" s="3673"/>
      <c r="K33" s="3673"/>
      <c r="L33" s="3673"/>
      <c r="M33" s="3673"/>
      <c r="N33" s="3673"/>
      <c r="O33" s="3673"/>
      <c r="P33" s="3673"/>
      <c r="Q33" s="3673"/>
      <c r="R33" s="3673"/>
      <c r="S33" s="3673"/>
      <c r="T33" s="3673"/>
      <c r="U33" s="3673"/>
      <c r="V33" s="2802" t="str">
        <f>'Приложение 1'!V34</f>
        <v/>
      </c>
      <c r="W33" s="2802" t="str">
        <f>'Приложение 1'!W34</f>
        <v/>
      </c>
      <c r="X33" s="2802" t="str">
        <f>'Приложение 1'!X34</f>
        <v/>
      </c>
      <c r="Y33" s="2802" t="str">
        <f>'Приложение 1'!Y34</f>
        <v/>
      </c>
      <c r="Z33" s="2937"/>
      <c r="AA33" s="2937"/>
      <c r="AB33" s="2937"/>
      <c r="AC33" s="2937"/>
      <c r="AD33" s="2802" t="str">
        <f>'Приложение 1'!AD34</f>
        <v/>
      </c>
      <c r="AE33" s="2802" t="str">
        <f>'Приложение 1'!AE34</f>
        <v/>
      </c>
      <c r="AF33" s="2802" t="str">
        <f>'Приложение 1'!AF34</f>
        <v/>
      </c>
      <c r="AG33" s="2802"/>
      <c r="AH33" s="2802"/>
      <c r="AI33" s="2802"/>
      <c r="AJ33" s="2802" t="str">
        <f>'Приложение 1'!AJ34</f>
        <v/>
      </c>
      <c r="AK33" s="2566"/>
      <c r="AL33" s="2895">
        <f t="shared" si="0"/>
        <v>0</v>
      </c>
      <c r="AM33" s="2566" t="str">
        <f t="shared" si="1"/>
        <v/>
      </c>
      <c r="AN33" s="2338"/>
      <c r="AO33" s="2338"/>
      <c r="AP33" s="2338"/>
      <c r="AQ33" s="2338"/>
      <c r="AR33" s="2338"/>
      <c r="AS33" s="2338"/>
      <c r="AT33" s="2338"/>
      <c r="AU33" s="2338"/>
      <c r="AV33" s="2338"/>
      <c r="AW33" s="2338"/>
      <c r="AX33" s="2338"/>
      <c r="AY33" s="2338"/>
      <c r="AZ33" s="2338"/>
      <c r="BA33" s="2338"/>
      <c r="BB33" s="2338"/>
      <c r="BC33" s="2338"/>
      <c r="BD33" s="2338"/>
      <c r="BE33" s="2338"/>
      <c r="BF33" s="2338"/>
      <c r="BG33" s="2338"/>
      <c r="BH33" s="2338"/>
      <c r="BI33" s="2338"/>
      <c r="BJ33" s="2338"/>
      <c r="BK33" s="2338"/>
      <c r="BL33" s="2338"/>
      <c r="BM33" s="2338"/>
      <c r="BN33" s="2338"/>
      <c r="BO33" s="2338"/>
      <c r="BP33" s="2338"/>
      <c r="BQ33" s="2338"/>
      <c r="BR33" s="2338"/>
      <c r="BS33" s="2338"/>
      <c r="BT33" s="2338"/>
      <c r="BU33" s="2338"/>
      <c r="BV33" s="2338"/>
      <c r="BW33" s="2338"/>
      <c r="BX33" s="2338"/>
      <c r="BY33" s="2338"/>
      <c r="BZ33" s="2338"/>
      <c r="CA33" s="2338"/>
      <c r="CB33" s="2338"/>
      <c r="CC33" s="2338"/>
      <c r="CD33" s="2338"/>
      <c r="CE33" s="2338"/>
      <c r="CF33" s="2338"/>
      <c r="CG33" s="2338"/>
      <c r="CH33" s="2338"/>
      <c r="CI33" s="2338"/>
      <c r="CJ33" s="2338"/>
      <c r="CK33" s="2338"/>
      <c r="CL33" s="2338"/>
      <c r="CM33" s="2338"/>
      <c r="CN33" s="2338"/>
      <c r="CO33" s="2338"/>
      <c r="CP33" s="2338"/>
      <c r="CQ33" s="2338"/>
      <c r="CR33" s="2338"/>
      <c r="CS33" s="2338"/>
      <c r="CT33" s="2338"/>
      <c r="CU33" s="2338"/>
      <c r="CV33" s="2338"/>
      <c r="CW33" s="2338"/>
      <c r="CX33" s="2338"/>
      <c r="CY33" s="2338"/>
      <c r="CZ33" s="2338"/>
      <c r="DA33" s="2338"/>
      <c r="DB33" s="2338"/>
      <c r="DC33" s="2338"/>
      <c r="DD33" s="2338"/>
      <c r="DE33" s="2338"/>
      <c r="DF33" s="2338"/>
      <c r="DG33" s="2338"/>
      <c r="DH33" s="2338"/>
      <c r="DI33" s="2338"/>
      <c r="DJ33" s="2338"/>
    </row>
    <row r="34" spans="1:114" hidden="1" outlineLevel="1">
      <c r="A34" s="3764"/>
      <c r="B34" s="3210"/>
      <c r="C34" s="3208"/>
      <c r="D34" s="3210"/>
      <c r="E34" s="3029"/>
      <c r="F34" s="2980" t="s">
        <v>3864</v>
      </c>
      <c r="G34" s="3637"/>
      <c r="H34" s="3673"/>
      <c r="I34" s="3673"/>
      <c r="J34" s="3673"/>
      <c r="K34" s="3673"/>
      <c r="L34" s="3673"/>
      <c r="M34" s="3673"/>
      <c r="N34" s="3673"/>
      <c r="O34" s="3673"/>
      <c r="P34" s="3673"/>
      <c r="Q34" s="3673"/>
      <c r="R34" s="3673"/>
      <c r="S34" s="3673"/>
      <c r="T34" s="3673"/>
      <c r="U34" s="3673"/>
      <c r="V34" s="2802" t="str">
        <f>'Приложение 1'!V35</f>
        <v/>
      </c>
      <c r="W34" s="2802" t="str">
        <f>'Приложение 1'!W35</f>
        <v/>
      </c>
      <c r="X34" s="2802" t="str">
        <f>'Приложение 1'!X35</f>
        <v/>
      </c>
      <c r="Y34" s="2802" t="str">
        <f>'Приложение 1'!Y35</f>
        <v/>
      </c>
      <c r="Z34" s="2937"/>
      <c r="AA34" s="2937"/>
      <c r="AB34" s="2937"/>
      <c r="AC34" s="2937"/>
      <c r="AD34" s="2802" t="str">
        <f>'Приложение 1'!AD35</f>
        <v/>
      </c>
      <c r="AE34" s="2802" t="str">
        <f>'Приложение 1'!AE35</f>
        <v/>
      </c>
      <c r="AF34" s="2802" t="str">
        <f>'Приложение 1'!AF35</f>
        <v/>
      </c>
      <c r="AG34" s="2802"/>
      <c r="AH34" s="2802"/>
      <c r="AI34" s="2802"/>
      <c r="AJ34" s="2802" t="str">
        <f>'Приложение 1'!AJ35</f>
        <v/>
      </c>
      <c r="AK34" s="2566"/>
      <c r="AL34" s="2895">
        <f t="shared" si="0"/>
        <v>0</v>
      </c>
      <c r="AM34" s="2566" t="str">
        <f t="shared" si="1"/>
        <v/>
      </c>
      <c r="AN34" s="2338"/>
      <c r="AO34" s="2338"/>
      <c r="AP34" s="2338"/>
      <c r="AQ34" s="2338"/>
      <c r="AR34" s="2338"/>
      <c r="AS34" s="2338"/>
      <c r="AT34" s="2338"/>
      <c r="AU34" s="2338"/>
      <c r="AV34" s="2338"/>
      <c r="AW34" s="2338"/>
      <c r="AX34" s="2338"/>
      <c r="AY34" s="2338"/>
      <c r="AZ34" s="2338"/>
      <c r="BA34" s="2338"/>
      <c r="BB34" s="2338"/>
      <c r="BC34" s="2338"/>
      <c r="BD34" s="2338"/>
      <c r="BE34" s="2338"/>
      <c r="BF34" s="2338"/>
      <c r="BG34" s="2338"/>
      <c r="BH34" s="2338"/>
      <c r="BI34" s="2338"/>
      <c r="BJ34" s="2338"/>
      <c r="BK34" s="2338"/>
      <c r="BL34" s="2338"/>
      <c r="BM34" s="2338"/>
      <c r="BN34" s="2338"/>
      <c r="BO34" s="2338"/>
      <c r="BP34" s="2338"/>
      <c r="BQ34" s="2338"/>
      <c r="BR34" s="2338"/>
      <c r="BS34" s="2338"/>
      <c r="BT34" s="2338"/>
      <c r="BU34" s="2338"/>
      <c r="BV34" s="2338"/>
      <c r="BW34" s="2338"/>
      <c r="BX34" s="2338"/>
      <c r="BY34" s="2338"/>
      <c r="BZ34" s="2338"/>
      <c r="CA34" s="2338"/>
      <c r="CB34" s="2338"/>
      <c r="CC34" s="2338"/>
      <c r="CD34" s="2338"/>
      <c r="CE34" s="2338"/>
      <c r="CF34" s="2338"/>
      <c r="CG34" s="2338"/>
      <c r="CH34" s="2338"/>
      <c r="CI34" s="2338"/>
      <c r="CJ34" s="2338"/>
      <c r="CK34" s="2338"/>
      <c r="CL34" s="2338"/>
      <c r="CM34" s="2338"/>
      <c r="CN34" s="2338"/>
      <c r="CO34" s="2338"/>
      <c r="CP34" s="2338"/>
      <c r="CQ34" s="2338"/>
      <c r="CR34" s="2338"/>
      <c r="CS34" s="2338"/>
      <c r="CT34" s="2338"/>
      <c r="CU34" s="2338"/>
      <c r="CV34" s="2338"/>
      <c r="CW34" s="2338"/>
      <c r="CX34" s="2338"/>
      <c r="CY34" s="2338"/>
      <c r="CZ34" s="2338"/>
      <c r="DA34" s="2338"/>
      <c r="DB34" s="2338"/>
      <c r="DC34" s="2338"/>
      <c r="DD34" s="2338"/>
      <c r="DE34" s="2338"/>
      <c r="DF34" s="2338"/>
      <c r="DG34" s="2338"/>
      <c r="DH34" s="2338"/>
      <c r="DI34" s="2338"/>
      <c r="DJ34" s="2338"/>
    </row>
    <row r="35" spans="1:114" hidden="1" outlineLevel="1">
      <c r="A35" s="3764"/>
      <c r="B35" s="3210"/>
      <c r="C35" s="3208"/>
      <c r="D35" s="3210"/>
      <c r="E35" s="3029"/>
      <c r="F35" s="2980" t="s">
        <v>3865</v>
      </c>
      <c r="G35" s="3637"/>
      <c r="H35" s="3673"/>
      <c r="I35" s="3673"/>
      <c r="J35" s="3673"/>
      <c r="K35" s="3673"/>
      <c r="L35" s="3673"/>
      <c r="M35" s="3673"/>
      <c r="N35" s="3673"/>
      <c r="O35" s="3673"/>
      <c r="P35" s="3673"/>
      <c r="Q35" s="3673"/>
      <c r="R35" s="3673"/>
      <c r="S35" s="3673"/>
      <c r="T35" s="3673"/>
      <c r="U35" s="3673"/>
      <c r="V35" s="2802" t="str">
        <f>'Приложение 1'!V36</f>
        <v/>
      </c>
      <c r="W35" s="2802" t="str">
        <f>'Приложение 1'!W36</f>
        <v/>
      </c>
      <c r="X35" s="2802" t="str">
        <f>'Приложение 1'!X36</f>
        <v/>
      </c>
      <c r="Y35" s="2802" t="str">
        <f>'Приложение 1'!Y36</f>
        <v/>
      </c>
      <c r="Z35" s="2937"/>
      <c r="AA35" s="2937"/>
      <c r="AB35" s="2937"/>
      <c r="AC35" s="2937"/>
      <c r="AD35" s="2802" t="str">
        <f>'Приложение 1'!AD36</f>
        <v/>
      </c>
      <c r="AE35" s="2802" t="str">
        <f>'Приложение 1'!AE36</f>
        <v/>
      </c>
      <c r="AF35" s="2802" t="str">
        <f>'Приложение 1'!AF36</f>
        <v/>
      </c>
      <c r="AG35" s="2802"/>
      <c r="AH35" s="2802"/>
      <c r="AI35" s="2802"/>
      <c r="AJ35" s="2802" t="str">
        <f>'Приложение 1'!AJ36</f>
        <v/>
      </c>
      <c r="AK35" s="2566"/>
      <c r="AL35" s="2895">
        <f t="shared" si="0"/>
        <v>0</v>
      </c>
      <c r="AM35" s="2566" t="str">
        <f t="shared" si="1"/>
        <v/>
      </c>
      <c r="AN35" s="2338"/>
      <c r="AO35" s="2338"/>
      <c r="AP35" s="2338"/>
      <c r="AQ35" s="2338"/>
      <c r="AR35" s="2338"/>
      <c r="AS35" s="2338"/>
      <c r="AT35" s="2338"/>
      <c r="AU35" s="2338"/>
      <c r="AV35" s="2338"/>
      <c r="AW35" s="2338"/>
      <c r="AX35" s="2338"/>
      <c r="AY35" s="2338"/>
      <c r="AZ35" s="2338"/>
      <c r="BA35" s="2338"/>
      <c r="BB35" s="2338"/>
      <c r="BC35" s="2338"/>
      <c r="BD35" s="2338"/>
      <c r="BE35" s="2338"/>
      <c r="BF35" s="2338"/>
      <c r="BG35" s="2338"/>
      <c r="BH35" s="2338"/>
      <c r="BI35" s="2338"/>
      <c r="BJ35" s="2338"/>
      <c r="BK35" s="2338"/>
      <c r="BL35" s="2338"/>
      <c r="BM35" s="2338"/>
      <c r="BN35" s="2338"/>
      <c r="BO35" s="2338"/>
      <c r="BP35" s="2338"/>
      <c r="BQ35" s="2338"/>
      <c r="BR35" s="2338"/>
      <c r="BS35" s="2338"/>
      <c r="BT35" s="2338"/>
      <c r="BU35" s="2338"/>
      <c r="BV35" s="2338"/>
      <c r="BW35" s="2338"/>
      <c r="BX35" s="2338"/>
      <c r="BY35" s="2338"/>
      <c r="BZ35" s="2338"/>
      <c r="CA35" s="2338"/>
      <c r="CB35" s="2338"/>
      <c r="CC35" s="2338"/>
      <c r="CD35" s="2338"/>
      <c r="CE35" s="2338"/>
      <c r="CF35" s="2338"/>
      <c r="CG35" s="2338"/>
      <c r="CH35" s="2338"/>
      <c r="CI35" s="2338"/>
      <c r="CJ35" s="2338"/>
      <c r="CK35" s="2338"/>
      <c r="CL35" s="2338"/>
      <c r="CM35" s="2338"/>
      <c r="CN35" s="2338"/>
      <c r="CO35" s="2338"/>
      <c r="CP35" s="2338"/>
      <c r="CQ35" s="2338"/>
      <c r="CR35" s="2338"/>
      <c r="CS35" s="2338"/>
      <c r="CT35" s="2338"/>
      <c r="CU35" s="2338"/>
      <c r="CV35" s="2338"/>
      <c r="CW35" s="2338"/>
      <c r="CX35" s="2338"/>
      <c r="CY35" s="2338"/>
      <c r="CZ35" s="2338"/>
      <c r="DA35" s="2338"/>
      <c r="DB35" s="2338"/>
      <c r="DC35" s="2338"/>
      <c r="DD35" s="2338"/>
      <c r="DE35" s="2338"/>
      <c r="DF35" s="2338"/>
      <c r="DG35" s="2338"/>
      <c r="DH35" s="2338"/>
      <c r="DI35" s="2338"/>
      <c r="DJ35" s="2338"/>
    </row>
    <row r="36" spans="1:114" hidden="1" outlineLevel="1">
      <c r="A36" s="3764"/>
      <c r="B36" s="3210" t="s">
        <v>2948</v>
      </c>
      <c r="C36" s="3208" t="s">
        <v>3859</v>
      </c>
      <c r="D36" s="3210" t="s">
        <v>2949</v>
      </c>
      <c r="E36" s="3029" t="s">
        <v>2950</v>
      </c>
      <c r="F36" s="2979" t="s">
        <v>3860</v>
      </c>
      <c r="G36" s="3637"/>
      <c r="H36" s="3673"/>
      <c r="I36" s="3673"/>
      <c r="J36" s="3673"/>
      <c r="K36" s="3673"/>
      <c r="L36" s="3673"/>
      <c r="M36" s="3673"/>
      <c r="N36" s="3673"/>
      <c r="O36" s="3673"/>
      <c r="P36" s="3673"/>
      <c r="Q36" s="3673"/>
      <c r="R36" s="3673"/>
      <c r="S36" s="3673"/>
      <c r="T36" s="3673"/>
      <c r="U36" s="3673"/>
      <c r="V36" s="2802" t="str">
        <f>'Приложение 1'!V37</f>
        <v/>
      </c>
      <c r="W36" s="2802" t="str">
        <f>'Приложение 1'!W37</f>
        <v/>
      </c>
      <c r="X36" s="2802" t="str">
        <f>'Приложение 1'!X37</f>
        <v/>
      </c>
      <c r="Y36" s="2802" t="str">
        <f>'Приложение 1'!Y37</f>
        <v/>
      </c>
      <c r="Z36" s="2937"/>
      <c r="AA36" s="2937"/>
      <c r="AB36" s="2937"/>
      <c r="AC36" s="2937"/>
      <c r="AD36" s="2802" t="str">
        <f>'Приложение 1'!AD37</f>
        <v/>
      </c>
      <c r="AE36" s="2802" t="str">
        <f>'Приложение 1'!AE37</f>
        <v/>
      </c>
      <c r="AF36" s="2802" t="str">
        <f>'Приложение 1'!AF37</f>
        <v/>
      </c>
      <c r="AG36" s="2802"/>
      <c r="AH36" s="2802"/>
      <c r="AI36" s="2802"/>
      <c r="AJ36" s="2802" t="str">
        <f>'Приложение 1'!AJ37</f>
        <v/>
      </c>
      <c r="AK36" s="2566"/>
      <c r="AL36" s="2895">
        <f t="shared" si="0"/>
        <v>0</v>
      </c>
      <c r="AM36" s="2566" t="str">
        <f t="shared" si="1"/>
        <v/>
      </c>
      <c r="AN36" s="2338"/>
      <c r="AO36" s="2338"/>
      <c r="AP36" s="2338"/>
      <c r="AQ36" s="2338"/>
      <c r="AR36" s="2338"/>
      <c r="AS36" s="2338"/>
      <c r="AT36" s="2338"/>
      <c r="AU36" s="2338"/>
      <c r="AV36" s="2338"/>
      <c r="AW36" s="2338"/>
      <c r="AX36" s="2338"/>
      <c r="AY36" s="2338"/>
      <c r="AZ36" s="2338"/>
      <c r="BA36" s="2338"/>
      <c r="BB36" s="2338"/>
      <c r="BC36" s="2338"/>
      <c r="BD36" s="2338"/>
      <c r="BE36" s="2338"/>
      <c r="BF36" s="2338"/>
      <c r="BG36" s="2338"/>
      <c r="BH36" s="2338"/>
      <c r="BI36" s="2338"/>
      <c r="BJ36" s="2338"/>
      <c r="BK36" s="2338"/>
      <c r="BL36" s="2338"/>
      <c r="BM36" s="2338"/>
      <c r="BN36" s="2338"/>
      <c r="BO36" s="2338"/>
      <c r="BP36" s="2338"/>
      <c r="BQ36" s="2338"/>
      <c r="BR36" s="2338"/>
      <c r="BS36" s="2338"/>
      <c r="BT36" s="2338"/>
      <c r="BU36" s="2338"/>
      <c r="BV36" s="2338"/>
      <c r="BW36" s="2338"/>
      <c r="BX36" s="2338"/>
      <c r="BY36" s="2338"/>
      <c r="BZ36" s="2338"/>
      <c r="CA36" s="2338"/>
      <c r="CB36" s="2338"/>
      <c r="CC36" s="2338"/>
      <c r="CD36" s="2338"/>
      <c r="CE36" s="2338"/>
      <c r="CF36" s="2338"/>
      <c r="CG36" s="2338"/>
      <c r="CH36" s="2338"/>
      <c r="CI36" s="2338"/>
      <c r="CJ36" s="2338"/>
      <c r="CK36" s="2338"/>
      <c r="CL36" s="2338"/>
      <c r="CM36" s="2338"/>
      <c r="CN36" s="2338"/>
      <c r="CO36" s="2338"/>
      <c r="CP36" s="2338"/>
      <c r="CQ36" s="2338"/>
      <c r="CR36" s="2338"/>
      <c r="CS36" s="2338"/>
      <c r="CT36" s="2338"/>
      <c r="CU36" s="2338"/>
      <c r="CV36" s="2338"/>
      <c r="CW36" s="2338"/>
      <c r="CX36" s="2338"/>
      <c r="CY36" s="2338"/>
      <c r="CZ36" s="2338"/>
      <c r="DA36" s="2338"/>
      <c r="DB36" s="2338"/>
      <c r="DC36" s="2338"/>
      <c r="DD36" s="2338"/>
      <c r="DE36" s="2338"/>
      <c r="DF36" s="2338"/>
      <c r="DG36" s="2338"/>
      <c r="DH36" s="2338"/>
      <c r="DI36" s="2338"/>
      <c r="DJ36" s="2338"/>
    </row>
    <row r="37" spans="1:114" hidden="1" outlineLevel="1">
      <c r="A37" s="3764"/>
      <c r="B37" s="3210"/>
      <c r="C37" s="3208"/>
      <c r="D37" s="3210"/>
      <c r="E37" s="3029"/>
      <c r="F37" s="2979" t="s">
        <v>3861</v>
      </c>
      <c r="G37" s="3637"/>
      <c r="H37" s="3673"/>
      <c r="I37" s="3673"/>
      <c r="J37" s="3673"/>
      <c r="K37" s="3673"/>
      <c r="L37" s="3673"/>
      <c r="M37" s="3673"/>
      <c r="N37" s="3673"/>
      <c r="O37" s="3673"/>
      <c r="P37" s="3673"/>
      <c r="Q37" s="3673"/>
      <c r="R37" s="3673"/>
      <c r="S37" s="3673"/>
      <c r="T37" s="3673"/>
      <c r="U37" s="3673"/>
      <c r="V37" s="2802" t="str">
        <f>'Приложение 1'!V38</f>
        <v/>
      </c>
      <c r="W37" s="2802" t="str">
        <f>'Приложение 1'!W38</f>
        <v/>
      </c>
      <c r="X37" s="2802" t="str">
        <f>'Приложение 1'!X38</f>
        <v/>
      </c>
      <c r="Y37" s="2802" t="str">
        <f>'Приложение 1'!Y38</f>
        <v/>
      </c>
      <c r="Z37" s="2937"/>
      <c r="AA37" s="2937"/>
      <c r="AB37" s="2937"/>
      <c r="AC37" s="2937"/>
      <c r="AD37" s="2802" t="str">
        <f>'Приложение 1'!AD38</f>
        <v/>
      </c>
      <c r="AE37" s="2802" t="str">
        <f>'Приложение 1'!AE38</f>
        <v/>
      </c>
      <c r="AF37" s="2802" t="str">
        <f>'Приложение 1'!AF38</f>
        <v/>
      </c>
      <c r="AG37" s="2802"/>
      <c r="AH37" s="2802"/>
      <c r="AI37" s="2802"/>
      <c r="AJ37" s="2802" t="str">
        <f>'Приложение 1'!AJ38</f>
        <v/>
      </c>
      <c r="AK37" s="2566"/>
      <c r="AL37" s="2895">
        <f t="shared" si="0"/>
        <v>0</v>
      </c>
      <c r="AM37" s="2566" t="str">
        <f t="shared" si="1"/>
        <v/>
      </c>
      <c r="AN37" s="2338"/>
      <c r="AO37" s="2338"/>
      <c r="AP37" s="2338"/>
      <c r="AQ37" s="2338"/>
      <c r="AR37" s="2338"/>
      <c r="AS37" s="2338"/>
      <c r="AT37" s="2338"/>
      <c r="AU37" s="2338"/>
      <c r="AV37" s="2338"/>
      <c r="AW37" s="2338"/>
      <c r="AX37" s="2338"/>
      <c r="AY37" s="2338"/>
      <c r="AZ37" s="2338"/>
      <c r="BA37" s="2338"/>
      <c r="BB37" s="2338"/>
      <c r="BC37" s="2338"/>
      <c r="BD37" s="2338"/>
      <c r="BE37" s="2338"/>
      <c r="BF37" s="2338"/>
      <c r="BG37" s="2338"/>
      <c r="BH37" s="2338"/>
      <c r="BI37" s="2338"/>
      <c r="BJ37" s="2338"/>
      <c r="BK37" s="2338"/>
      <c r="BL37" s="2338"/>
      <c r="BM37" s="2338"/>
      <c r="BN37" s="2338"/>
      <c r="BO37" s="2338"/>
      <c r="BP37" s="2338"/>
      <c r="BQ37" s="2338"/>
      <c r="BR37" s="2338"/>
      <c r="BS37" s="2338"/>
      <c r="BT37" s="2338"/>
      <c r="BU37" s="2338"/>
      <c r="BV37" s="2338"/>
      <c r="BW37" s="2338"/>
      <c r="BX37" s="2338"/>
      <c r="BY37" s="2338"/>
      <c r="BZ37" s="2338"/>
      <c r="CA37" s="2338"/>
      <c r="CB37" s="2338"/>
      <c r="CC37" s="2338"/>
      <c r="CD37" s="2338"/>
      <c r="CE37" s="2338"/>
      <c r="CF37" s="2338"/>
      <c r="CG37" s="2338"/>
      <c r="CH37" s="2338"/>
      <c r="CI37" s="2338"/>
      <c r="CJ37" s="2338"/>
      <c r="CK37" s="2338"/>
      <c r="CL37" s="2338"/>
      <c r="CM37" s="2338"/>
      <c r="CN37" s="2338"/>
      <c r="CO37" s="2338"/>
      <c r="CP37" s="2338"/>
      <c r="CQ37" s="2338"/>
      <c r="CR37" s="2338"/>
      <c r="CS37" s="2338"/>
      <c r="CT37" s="2338"/>
      <c r="CU37" s="2338"/>
      <c r="CV37" s="2338"/>
      <c r="CW37" s="2338"/>
      <c r="CX37" s="2338"/>
      <c r="CY37" s="2338"/>
      <c r="CZ37" s="2338"/>
      <c r="DA37" s="2338"/>
      <c r="DB37" s="2338"/>
      <c r="DC37" s="2338"/>
      <c r="DD37" s="2338"/>
      <c r="DE37" s="2338"/>
      <c r="DF37" s="2338"/>
      <c r="DG37" s="2338"/>
      <c r="DH37" s="2338"/>
      <c r="DI37" s="2338"/>
      <c r="DJ37" s="2338"/>
    </row>
    <row r="38" spans="1:114" hidden="1" outlineLevel="1">
      <c r="A38" s="3764"/>
      <c r="B38" s="3210"/>
      <c r="C38" s="3208"/>
      <c r="D38" s="3210"/>
      <c r="E38" s="3029"/>
      <c r="F38" s="2979" t="s">
        <v>3862</v>
      </c>
      <c r="G38" s="3637"/>
      <c r="H38" s="3673"/>
      <c r="I38" s="3673"/>
      <c r="J38" s="3673"/>
      <c r="K38" s="3673"/>
      <c r="L38" s="3673"/>
      <c r="M38" s="3673"/>
      <c r="N38" s="3673"/>
      <c r="O38" s="3673"/>
      <c r="P38" s="3673"/>
      <c r="Q38" s="3673"/>
      <c r="R38" s="3673"/>
      <c r="S38" s="3673"/>
      <c r="T38" s="3673"/>
      <c r="U38" s="3673"/>
      <c r="V38" s="2802" t="str">
        <f>'Приложение 1'!V39</f>
        <v/>
      </c>
      <c r="W38" s="2802" t="str">
        <f>'Приложение 1'!W39</f>
        <v/>
      </c>
      <c r="X38" s="2802" t="str">
        <f>'Приложение 1'!X39</f>
        <v/>
      </c>
      <c r="Y38" s="2802" t="str">
        <f>'Приложение 1'!Y39</f>
        <v/>
      </c>
      <c r="Z38" s="2937"/>
      <c r="AA38" s="2937"/>
      <c r="AB38" s="2937"/>
      <c r="AC38" s="2937"/>
      <c r="AD38" s="2802" t="str">
        <f>'Приложение 1'!AD39</f>
        <v/>
      </c>
      <c r="AE38" s="2802" t="str">
        <f>'Приложение 1'!AE39</f>
        <v/>
      </c>
      <c r="AF38" s="2802" t="str">
        <f>'Приложение 1'!AF39</f>
        <v/>
      </c>
      <c r="AG38" s="2802"/>
      <c r="AH38" s="2802"/>
      <c r="AI38" s="2802"/>
      <c r="AJ38" s="2802" t="str">
        <f>'Приложение 1'!AJ39</f>
        <v/>
      </c>
      <c r="AK38" s="2566"/>
      <c r="AL38" s="2895">
        <f t="shared" si="0"/>
        <v>0</v>
      </c>
      <c r="AM38" s="2566" t="str">
        <f t="shared" si="1"/>
        <v/>
      </c>
      <c r="AN38" s="2338"/>
      <c r="AO38" s="2338"/>
      <c r="AP38" s="2338"/>
      <c r="AQ38" s="2338"/>
      <c r="AR38" s="2338"/>
      <c r="AS38" s="2338"/>
      <c r="AT38" s="2338"/>
      <c r="AU38" s="2338"/>
      <c r="AV38" s="2338"/>
      <c r="AW38" s="2338"/>
      <c r="AX38" s="2338"/>
      <c r="AY38" s="2338"/>
      <c r="AZ38" s="2338"/>
      <c r="BA38" s="2338"/>
      <c r="BB38" s="2338"/>
      <c r="BC38" s="2338"/>
      <c r="BD38" s="2338"/>
      <c r="BE38" s="2338"/>
      <c r="BF38" s="2338"/>
      <c r="BG38" s="2338"/>
      <c r="BH38" s="2338"/>
      <c r="BI38" s="2338"/>
      <c r="BJ38" s="2338"/>
      <c r="BK38" s="2338"/>
      <c r="BL38" s="2338"/>
      <c r="BM38" s="2338"/>
      <c r="BN38" s="2338"/>
      <c r="BO38" s="2338"/>
      <c r="BP38" s="2338"/>
      <c r="BQ38" s="2338"/>
      <c r="BR38" s="2338"/>
      <c r="BS38" s="2338"/>
      <c r="BT38" s="2338"/>
      <c r="BU38" s="2338"/>
      <c r="BV38" s="2338"/>
      <c r="BW38" s="2338"/>
      <c r="BX38" s="2338"/>
      <c r="BY38" s="2338"/>
      <c r="BZ38" s="2338"/>
      <c r="CA38" s="2338"/>
      <c r="CB38" s="2338"/>
      <c r="CC38" s="2338"/>
      <c r="CD38" s="2338"/>
      <c r="CE38" s="2338"/>
      <c r="CF38" s="2338"/>
      <c r="CG38" s="2338"/>
      <c r="CH38" s="2338"/>
      <c r="CI38" s="2338"/>
      <c r="CJ38" s="2338"/>
      <c r="CK38" s="2338"/>
      <c r="CL38" s="2338"/>
      <c r="CM38" s="2338"/>
      <c r="CN38" s="2338"/>
      <c r="CO38" s="2338"/>
      <c r="CP38" s="2338"/>
      <c r="CQ38" s="2338"/>
      <c r="CR38" s="2338"/>
      <c r="CS38" s="2338"/>
      <c r="CT38" s="2338"/>
      <c r="CU38" s="2338"/>
      <c r="CV38" s="2338"/>
      <c r="CW38" s="2338"/>
      <c r="CX38" s="2338"/>
      <c r="CY38" s="2338"/>
      <c r="CZ38" s="2338"/>
      <c r="DA38" s="2338"/>
      <c r="DB38" s="2338"/>
      <c r="DC38" s="2338"/>
      <c r="DD38" s="2338"/>
      <c r="DE38" s="2338"/>
      <c r="DF38" s="2338"/>
      <c r="DG38" s="2338"/>
      <c r="DH38" s="2338"/>
      <c r="DI38" s="2338"/>
      <c r="DJ38" s="2338"/>
    </row>
    <row r="39" spans="1:114" hidden="1" outlineLevel="1">
      <c r="A39" s="3764"/>
      <c r="B39" s="3210"/>
      <c r="C39" s="3208"/>
      <c r="D39" s="3210"/>
      <c r="E39" s="3029"/>
      <c r="F39" s="2979" t="s">
        <v>3863</v>
      </c>
      <c r="G39" s="3637"/>
      <c r="H39" s="3673"/>
      <c r="I39" s="3673"/>
      <c r="J39" s="3673"/>
      <c r="K39" s="3673"/>
      <c r="L39" s="3673"/>
      <c r="M39" s="3673"/>
      <c r="N39" s="3673"/>
      <c r="O39" s="3673"/>
      <c r="P39" s="3673"/>
      <c r="Q39" s="3673"/>
      <c r="R39" s="3673"/>
      <c r="S39" s="3673"/>
      <c r="T39" s="3673"/>
      <c r="U39" s="3673"/>
      <c r="V39" s="2802" t="str">
        <f>'Приложение 1'!V40</f>
        <v/>
      </c>
      <c r="W39" s="2802" t="str">
        <f>'Приложение 1'!W40</f>
        <v/>
      </c>
      <c r="X39" s="2802" t="str">
        <f>'Приложение 1'!X40</f>
        <v/>
      </c>
      <c r="Y39" s="2802" t="str">
        <f>'Приложение 1'!Y40</f>
        <v/>
      </c>
      <c r="Z39" s="2937"/>
      <c r="AA39" s="2937"/>
      <c r="AB39" s="2937"/>
      <c r="AC39" s="2937"/>
      <c r="AD39" s="2802" t="str">
        <f>'Приложение 1'!AD40</f>
        <v/>
      </c>
      <c r="AE39" s="2802" t="str">
        <f>'Приложение 1'!AE40</f>
        <v/>
      </c>
      <c r="AF39" s="2802" t="str">
        <f>'Приложение 1'!AF40</f>
        <v/>
      </c>
      <c r="AG39" s="2802"/>
      <c r="AH39" s="2802"/>
      <c r="AI39" s="2802"/>
      <c r="AJ39" s="2802" t="str">
        <f>'Приложение 1'!AJ40</f>
        <v/>
      </c>
      <c r="AK39" s="2566"/>
      <c r="AL39" s="2895">
        <f t="shared" si="0"/>
        <v>0</v>
      </c>
      <c r="AM39" s="2566" t="str">
        <f t="shared" si="1"/>
        <v/>
      </c>
      <c r="AN39" s="2338"/>
      <c r="AO39" s="2338"/>
      <c r="AP39" s="2338"/>
      <c r="AQ39" s="2338"/>
      <c r="AR39" s="2338"/>
      <c r="AS39" s="2338"/>
      <c r="AT39" s="2338"/>
      <c r="AU39" s="2338"/>
      <c r="AV39" s="2338"/>
      <c r="AW39" s="2338"/>
      <c r="AX39" s="2338"/>
      <c r="AY39" s="2338"/>
      <c r="AZ39" s="2338"/>
      <c r="BA39" s="2338"/>
      <c r="BB39" s="2338"/>
      <c r="BC39" s="2338"/>
      <c r="BD39" s="2338"/>
      <c r="BE39" s="2338"/>
      <c r="BF39" s="2338"/>
      <c r="BG39" s="2338"/>
      <c r="BH39" s="2338"/>
      <c r="BI39" s="2338"/>
      <c r="BJ39" s="2338"/>
      <c r="BK39" s="2338"/>
      <c r="BL39" s="2338"/>
      <c r="BM39" s="2338"/>
      <c r="BN39" s="2338"/>
      <c r="BO39" s="2338"/>
      <c r="BP39" s="2338"/>
      <c r="BQ39" s="2338"/>
      <c r="BR39" s="2338"/>
      <c r="BS39" s="2338"/>
      <c r="BT39" s="2338"/>
      <c r="BU39" s="2338"/>
      <c r="BV39" s="2338"/>
      <c r="BW39" s="2338"/>
      <c r="BX39" s="2338"/>
      <c r="BY39" s="2338"/>
      <c r="BZ39" s="2338"/>
      <c r="CA39" s="2338"/>
      <c r="CB39" s="2338"/>
      <c r="CC39" s="2338"/>
      <c r="CD39" s="2338"/>
      <c r="CE39" s="2338"/>
      <c r="CF39" s="2338"/>
      <c r="CG39" s="2338"/>
      <c r="CH39" s="2338"/>
      <c r="CI39" s="2338"/>
      <c r="CJ39" s="2338"/>
      <c r="CK39" s="2338"/>
      <c r="CL39" s="2338"/>
      <c r="CM39" s="2338"/>
      <c r="CN39" s="2338"/>
      <c r="CO39" s="2338"/>
      <c r="CP39" s="2338"/>
      <c r="CQ39" s="2338"/>
      <c r="CR39" s="2338"/>
      <c r="CS39" s="2338"/>
      <c r="CT39" s="2338"/>
      <c r="CU39" s="2338"/>
      <c r="CV39" s="2338"/>
      <c r="CW39" s="2338"/>
      <c r="CX39" s="2338"/>
      <c r="CY39" s="2338"/>
      <c r="CZ39" s="2338"/>
      <c r="DA39" s="2338"/>
      <c r="DB39" s="2338"/>
      <c r="DC39" s="2338"/>
      <c r="DD39" s="2338"/>
      <c r="DE39" s="2338"/>
      <c r="DF39" s="2338"/>
      <c r="DG39" s="2338"/>
      <c r="DH39" s="2338"/>
      <c r="DI39" s="2338"/>
      <c r="DJ39" s="2338"/>
    </row>
    <row r="40" spans="1:114" hidden="1" outlineLevel="1">
      <c r="A40" s="3764"/>
      <c r="B40" s="3210"/>
      <c r="C40" s="3208"/>
      <c r="D40" s="3210"/>
      <c r="E40" s="3029"/>
      <c r="F40" s="2980" t="s">
        <v>3864</v>
      </c>
      <c r="G40" s="3637"/>
      <c r="H40" s="3673"/>
      <c r="I40" s="3673"/>
      <c r="J40" s="3673"/>
      <c r="K40" s="3673"/>
      <c r="L40" s="3673"/>
      <c r="M40" s="3673"/>
      <c r="N40" s="3673"/>
      <c r="O40" s="3673"/>
      <c r="P40" s="3673"/>
      <c r="Q40" s="3673"/>
      <c r="R40" s="3673"/>
      <c r="S40" s="3673"/>
      <c r="T40" s="3673"/>
      <c r="U40" s="3673"/>
      <c r="V40" s="2802" t="str">
        <f>'Приложение 1'!V41</f>
        <v/>
      </c>
      <c r="W40" s="2802" t="str">
        <f>'Приложение 1'!W41</f>
        <v/>
      </c>
      <c r="X40" s="2802" t="str">
        <f>'Приложение 1'!X41</f>
        <v/>
      </c>
      <c r="Y40" s="2802" t="str">
        <f>'Приложение 1'!Y41</f>
        <v/>
      </c>
      <c r="Z40" s="2937"/>
      <c r="AA40" s="2937"/>
      <c r="AB40" s="2937"/>
      <c r="AC40" s="2937"/>
      <c r="AD40" s="2802" t="str">
        <f>'Приложение 1'!AD41</f>
        <v/>
      </c>
      <c r="AE40" s="2802" t="str">
        <f>'Приложение 1'!AE41</f>
        <v/>
      </c>
      <c r="AF40" s="2802" t="str">
        <f>'Приложение 1'!AF41</f>
        <v/>
      </c>
      <c r="AG40" s="2802"/>
      <c r="AH40" s="2802"/>
      <c r="AI40" s="2802"/>
      <c r="AJ40" s="2802" t="str">
        <f>'Приложение 1'!AJ41</f>
        <v/>
      </c>
      <c r="AK40" s="2566"/>
      <c r="AL40" s="2895">
        <f t="shared" si="0"/>
        <v>0</v>
      </c>
      <c r="AM40" s="2566" t="str">
        <f t="shared" si="1"/>
        <v/>
      </c>
      <c r="AN40" s="2338"/>
      <c r="AO40" s="2338"/>
      <c r="AP40" s="2338"/>
      <c r="AQ40" s="2338"/>
      <c r="AR40" s="2338"/>
      <c r="AS40" s="2338"/>
      <c r="AT40" s="2338"/>
      <c r="AU40" s="2338"/>
      <c r="AV40" s="2338"/>
      <c r="AW40" s="2338"/>
      <c r="AX40" s="2338"/>
      <c r="AY40" s="2338"/>
      <c r="AZ40" s="2338"/>
      <c r="BA40" s="2338"/>
      <c r="BB40" s="2338"/>
      <c r="BC40" s="2338"/>
      <c r="BD40" s="2338"/>
      <c r="BE40" s="2338"/>
      <c r="BF40" s="2338"/>
      <c r="BG40" s="2338"/>
      <c r="BH40" s="2338"/>
      <c r="BI40" s="2338"/>
      <c r="BJ40" s="2338"/>
      <c r="BK40" s="2338"/>
      <c r="BL40" s="2338"/>
      <c r="BM40" s="2338"/>
      <c r="BN40" s="2338"/>
      <c r="BO40" s="2338"/>
      <c r="BP40" s="2338"/>
      <c r="BQ40" s="2338"/>
      <c r="BR40" s="2338"/>
      <c r="BS40" s="2338"/>
      <c r="BT40" s="2338"/>
      <c r="BU40" s="2338"/>
      <c r="BV40" s="2338"/>
      <c r="BW40" s="2338"/>
      <c r="BX40" s="2338"/>
      <c r="BY40" s="2338"/>
      <c r="BZ40" s="2338"/>
      <c r="CA40" s="2338"/>
      <c r="CB40" s="2338"/>
      <c r="CC40" s="2338"/>
      <c r="CD40" s="2338"/>
      <c r="CE40" s="2338"/>
      <c r="CF40" s="2338"/>
      <c r="CG40" s="2338"/>
      <c r="CH40" s="2338"/>
      <c r="CI40" s="2338"/>
      <c r="CJ40" s="2338"/>
      <c r="CK40" s="2338"/>
      <c r="CL40" s="2338"/>
      <c r="CM40" s="2338"/>
      <c r="CN40" s="2338"/>
      <c r="CO40" s="2338"/>
      <c r="CP40" s="2338"/>
      <c r="CQ40" s="2338"/>
      <c r="CR40" s="2338"/>
      <c r="CS40" s="2338"/>
      <c r="CT40" s="2338"/>
      <c r="CU40" s="2338"/>
      <c r="CV40" s="2338"/>
      <c r="CW40" s="2338"/>
      <c r="CX40" s="2338"/>
      <c r="CY40" s="2338"/>
      <c r="CZ40" s="2338"/>
      <c r="DA40" s="2338"/>
      <c r="DB40" s="2338"/>
      <c r="DC40" s="2338"/>
      <c r="DD40" s="2338"/>
      <c r="DE40" s="2338"/>
      <c r="DF40" s="2338"/>
      <c r="DG40" s="2338"/>
      <c r="DH40" s="2338"/>
      <c r="DI40" s="2338"/>
      <c r="DJ40" s="2338"/>
    </row>
    <row r="41" spans="1:114" hidden="1" outlineLevel="1">
      <c r="A41" s="3764"/>
      <c r="B41" s="3210"/>
      <c r="C41" s="3208"/>
      <c r="D41" s="3210"/>
      <c r="E41" s="3029"/>
      <c r="F41" s="2980" t="s">
        <v>3865</v>
      </c>
      <c r="G41" s="3637"/>
      <c r="H41" s="3673"/>
      <c r="I41" s="3673"/>
      <c r="J41" s="3673"/>
      <c r="K41" s="3673"/>
      <c r="L41" s="3673"/>
      <c r="M41" s="3673"/>
      <c r="N41" s="3673"/>
      <c r="O41" s="3673"/>
      <c r="P41" s="3673"/>
      <c r="Q41" s="3673"/>
      <c r="R41" s="3673"/>
      <c r="S41" s="3673"/>
      <c r="T41" s="3673"/>
      <c r="U41" s="3673"/>
      <c r="V41" s="2802" t="str">
        <f>'Приложение 1'!V42</f>
        <v/>
      </c>
      <c r="W41" s="2802" t="str">
        <f>'Приложение 1'!W42</f>
        <v/>
      </c>
      <c r="X41" s="2802" t="str">
        <f>'Приложение 1'!X42</f>
        <v/>
      </c>
      <c r="Y41" s="2802" t="str">
        <f>'Приложение 1'!Y42</f>
        <v/>
      </c>
      <c r="Z41" s="2937"/>
      <c r="AA41" s="2937"/>
      <c r="AB41" s="2937"/>
      <c r="AC41" s="2937"/>
      <c r="AD41" s="2802" t="str">
        <f>'Приложение 1'!AD42</f>
        <v/>
      </c>
      <c r="AE41" s="2802" t="str">
        <f>'Приложение 1'!AE42</f>
        <v/>
      </c>
      <c r="AF41" s="2802" t="str">
        <f>'Приложение 1'!AF42</f>
        <v/>
      </c>
      <c r="AG41" s="2802"/>
      <c r="AH41" s="2802"/>
      <c r="AI41" s="2802"/>
      <c r="AJ41" s="2802" t="str">
        <f>'Приложение 1'!AJ42</f>
        <v/>
      </c>
      <c r="AK41" s="2566"/>
      <c r="AL41" s="2895">
        <f t="shared" si="0"/>
        <v>0</v>
      </c>
      <c r="AM41" s="2566" t="str">
        <f t="shared" si="1"/>
        <v/>
      </c>
      <c r="AN41" s="2338"/>
      <c r="AO41" s="2338"/>
      <c r="AP41" s="2338"/>
      <c r="AQ41" s="2338"/>
      <c r="AR41" s="2338"/>
      <c r="AS41" s="2338"/>
      <c r="AT41" s="2338"/>
      <c r="AU41" s="2338"/>
      <c r="AV41" s="2338"/>
      <c r="AW41" s="2338"/>
      <c r="AX41" s="2338"/>
      <c r="AY41" s="2338"/>
      <c r="AZ41" s="2338"/>
      <c r="BA41" s="2338"/>
      <c r="BB41" s="2338"/>
      <c r="BC41" s="2338"/>
      <c r="BD41" s="2338"/>
      <c r="BE41" s="2338"/>
      <c r="BF41" s="2338"/>
      <c r="BG41" s="2338"/>
      <c r="BH41" s="2338"/>
      <c r="BI41" s="2338"/>
      <c r="BJ41" s="2338"/>
      <c r="BK41" s="2338"/>
      <c r="BL41" s="2338"/>
      <c r="BM41" s="2338"/>
      <c r="BN41" s="2338"/>
      <c r="BO41" s="2338"/>
      <c r="BP41" s="2338"/>
      <c r="BQ41" s="2338"/>
      <c r="BR41" s="2338"/>
      <c r="BS41" s="2338"/>
      <c r="BT41" s="2338"/>
      <c r="BU41" s="2338"/>
      <c r="BV41" s="2338"/>
      <c r="BW41" s="2338"/>
      <c r="BX41" s="2338"/>
      <c r="BY41" s="2338"/>
      <c r="BZ41" s="2338"/>
      <c r="CA41" s="2338"/>
      <c r="CB41" s="2338"/>
      <c r="CC41" s="2338"/>
      <c r="CD41" s="2338"/>
      <c r="CE41" s="2338"/>
      <c r="CF41" s="2338"/>
      <c r="CG41" s="2338"/>
      <c r="CH41" s="2338"/>
      <c r="CI41" s="2338"/>
      <c r="CJ41" s="2338"/>
      <c r="CK41" s="2338"/>
      <c r="CL41" s="2338"/>
      <c r="CM41" s="2338"/>
      <c r="CN41" s="2338"/>
      <c r="CO41" s="2338"/>
      <c r="CP41" s="2338"/>
      <c r="CQ41" s="2338"/>
      <c r="CR41" s="2338"/>
      <c r="CS41" s="2338"/>
      <c r="CT41" s="2338"/>
      <c r="CU41" s="2338"/>
      <c r="CV41" s="2338"/>
      <c r="CW41" s="2338"/>
      <c r="CX41" s="2338"/>
      <c r="CY41" s="2338"/>
      <c r="CZ41" s="2338"/>
      <c r="DA41" s="2338"/>
      <c r="DB41" s="2338"/>
      <c r="DC41" s="2338"/>
      <c r="DD41" s="2338"/>
      <c r="DE41" s="2338"/>
      <c r="DF41" s="2338"/>
      <c r="DG41" s="2338"/>
      <c r="DH41" s="2338"/>
      <c r="DI41" s="2338"/>
      <c r="DJ41" s="2338"/>
    </row>
    <row r="42" spans="1:114" collapsed="1">
      <c r="A42" s="3764"/>
      <c r="B42" s="3210"/>
      <c r="C42" s="3208"/>
      <c r="D42" s="3210"/>
      <c r="E42" s="3029" t="s">
        <v>2946</v>
      </c>
      <c r="F42" s="2979" t="s">
        <v>3860</v>
      </c>
      <c r="G42" s="3637"/>
      <c r="H42" s="3673">
        <f>'Приложение 1'!H43</f>
        <v>4370</v>
      </c>
      <c r="I42" s="3673">
        <f>'Приложение 1'!I43</f>
        <v>1960.0000000000005</v>
      </c>
      <c r="J42" s="3673">
        <f>'Приложение 1'!J43</f>
        <v>113</v>
      </c>
      <c r="K42" s="3673"/>
      <c r="L42" s="3673">
        <f>'Приложение 1'!L43</f>
        <v>6443</v>
      </c>
      <c r="M42" s="3673">
        <f>'Приложение 1'!M43</f>
        <v>273.78999999999996</v>
      </c>
      <c r="N42" s="3673">
        <f>'Приложение 1'!N43</f>
        <v>241.91000000000003</v>
      </c>
      <c r="O42" s="3673">
        <f>'Приложение 1'!O43</f>
        <v>15.5</v>
      </c>
      <c r="P42" s="3673"/>
      <c r="Q42" s="3673">
        <f>'Приложение 1'!Q43</f>
        <v>531.20000000000005</v>
      </c>
      <c r="R42" s="3673">
        <f>'Приложение 1'!R43</f>
        <v>2071.2818499999998</v>
      </c>
      <c r="S42" s="3673">
        <f>'Приложение 1'!S43</f>
        <v>961.67685999999992</v>
      </c>
      <c r="T42" s="3673">
        <f>'Приложение 1'!T43</f>
        <v>130.71203</v>
      </c>
      <c r="U42" s="3673"/>
      <c r="V42" s="2802">
        <f>'Приложение 1'!V43</f>
        <v>473977.54004576657</v>
      </c>
      <c r="W42" s="2802">
        <f>'Приложение 1'!W43</f>
        <v>490651.45918367332</v>
      </c>
      <c r="X42" s="2802">
        <f>'Приложение 1'!X43</f>
        <v>1156743.6283185841</v>
      </c>
      <c r="Y42" s="2802" t="str">
        <f>'Приложение 1'!Y43</f>
        <v/>
      </c>
      <c r="Z42" s="2937">
        <f>'Приложение 1'!Z43</f>
        <v>1.0528</v>
      </c>
      <c r="AA42" s="2937">
        <f>'Приложение 1'!AA43</f>
        <v>1.0589</v>
      </c>
      <c r="AB42" s="2937">
        <f>'Приложение 1'!AB43</f>
        <v>1.0507936887282501</v>
      </c>
      <c r="AC42" s="2937">
        <f>'Приложение 1'!AC43</f>
        <v>1.04657781587849</v>
      </c>
      <c r="AD42" s="2802">
        <f>'Приложение 1'!AD43</f>
        <v>581095.57417207025</v>
      </c>
      <c r="AE42" s="2802">
        <f>'Приложение 1'!AE43</f>
        <v>571369.46022868808</v>
      </c>
      <c r="AF42" s="2802">
        <f>'Приложение 1'!AF43</f>
        <v>1272114.1882701032</v>
      </c>
      <c r="AG42" s="2802"/>
      <c r="AH42" s="2802">
        <f>'Приложение 1'!AH43</f>
        <v>2424579.2226708615</v>
      </c>
      <c r="AI42" s="2780">
        <f>'Приложение 1'!AI43</f>
        <v>808193.07422362047</v>
      </c>
      <c r="AJ42" s="2780">
        <f>'Приложение 1'!AJ43</f>
        <v>9802.6882101332576</v>
      </c>
      <c r="AK42" s="2853">
        <f>'Утв.СП 2018г'!H45</f>
        <v>7364.27</v>
      </c>
      <c r="AL42" s="2895">
        <f t="shared" si="0"/>
        <v>7707.2816121394881</v>
      </c>
      <c r="AM42" s="2853">
        <f t="shared" si="1"/>
        <v>1.2718736259349033</v>
      </c>
      <c r="AN42" s="2338"/>
      <c r="AO42" s="2338"/>
      <c r="AP42" s="2338"/>
      <c r="AQ42" s="2338"/>
      <c r="AR42" s="2338"/>
      <c r="AS42" s="2338"/>
      <c r="AT42" s="2338"/>
      <c r="AU42" s="2338"/>
      <c r="AV42" s="2338"/>
      <c r="AW42" s="2338"/>
      <c r="AX42" s="2338"/>
      <c r="AY42" s="2338"/>
      <c r="AZ42" s="2338"/>
      <c r="BA42" s="2338"/>
      <c r="BB42" s="2338"/>
      <c r="BC42" s="2338"/>
      <c r="BD42" s="2338"/>
      <c r="BE42" s="2338"/>
      <c r="BF42" s="2338"/>
      <c r="BG42" s="2338"/>
      <c r="BH42" s="2338"/>
      <c r="BI42" s="2338"/>
      <c r="BJ42" s="2338"/>
      <c r="BK42" s="2338"/>
      <c r="BL42" s="2338"/>
      <c r="BM42" s="2338"/>
      <c r="BN42" s="2338"/>
      <c r="BO42" s="2338"/>
      <c r="BP42" s="2338"/>
      <c r="BQ42" s="2338"/>
      <c r="BR42" s="2338"/>
      <c r="BS42" s="2338"/>
      <c r="BT42" s="2338"/>
      <c r="BU42" s="2338"/>
      <c r="BV42" s="2338"/>
      <c r="BW42" s="2338"/>
      <c r="BX42" s="2338"/>
      <c r="BY42" s="2338"/>
      <c r="BZ42" s="2338"/>
      <c r="CA42" s="2338"/>
      <c r="CB42" s="2338"/>
      <c r="CC42" s="2338"/>
      <c r="CD42" s="2338"/>
      <c r="CE42" s="2338"/>
      <c r="CF42" s="2338"/>
      <c r="CG42" s="2338"/>
      <c r="CH42" s="2338"/>
      <c r="CI42" s="2338"/>
      <c r="CJ42" s="2338"/>
      <c r="CK42" s="2338"/>
      <c r="CL42" s="2338"/>
      <c r="CM42" s="2338"/>
      <c r="CN42" s="2338"/>
      <c r="CO42" s="2338"/>
      <c r="CP42" s="2338"/>
      <c r="CQ42" s="2338"/>
      <c r="CR42" s="2338"/>
      <c r="CS42" s="2338"/>
      <c r="CT42" s="2338"/>
      <c r="CU42" s="2338"/>
      <c r="CV42" s="2338"/>
      <c r="CW42" s="2338"/>
      <c r="CX42" s="2338"/>
      <c r="CY42" s="2338"/>
      <c r="CZ42" s="2338"/>
      <c r="DA42" s="2338"/>
      <c r="DB42" s="2338"/>
      <c r="DC42" s="2338"/>
      <c r="DD42" s="2338"/>
      <c r="DE42" s="2338"/>
      <c r="DF42" s="2338"/>
      <c r="DG42" s="2338"/>
      <c r="DH42" s="2338"/>
      <c r="DI42" s="2338"/>
      <c r="DJ42" s="2338"/>
    </row>
    <row r="43" spans="1:114">
      <c r="A43" s="3764"/>
      <c r="B43" s="3210"/>
      <c r="C43" s="3208"/>
      <c r="D43" s="3210"/>
      <c r="E43" s="3029"/>
      <c r="F43" s="2979" t="s">
        <v>3861</v>
      </c>
      <c r="G43" s="3637"/>
      <c r="H43" s="3673">
        <f>'Приложение 1'!H44</f>
        <v>180</v>
      </c>
      <c r="I43" s="3673">
        <f>'Приложение 1'!I44</f>
        <v>3452</v>
      </c>
      <c r="J43" s="3673"/>
      <c r="K43" s="3673"/>
      <c r="L43" s="3673">
        <f>'Приложение 1'!L44</f>
        <v>3632</v>
      </c>
      <c r="M43" s="3673">
        <f>'Приложение 1'!M44</f>
        <v>8</v>
      </c>
      <c r="N43" s="3673">
        <f>'Приложение 1'!N44</f>
        <v>1488</v>
      </c>
      <c r="O43" s="3673"/>
      <c r="P43" s="3673"/>
      <c r="Q43" s="3673">
        <f>'Приложение 1'!Q44</f>
        <v>1496</v>
      </c>
      <c r="R43" s="3673">
        <f>'Приложение 1'!R44</f>
        <v>99.586019999999991</v>
      </c>
      <c r="S43" s="3673">
        <f>'Приложение 1'!S44</f>
        <v>2983.8598400000001</v>
      </c>
      <c r="T43" s="3673"/>
      <c r="U43" s="3673"/>
      <c r="V43" s="2802">
        <f>'Приложение 1'!V44</f>
        <v>553255.66666666663</v>
      </c>
      <c r="W43" s="2802">
        <f>'Приложение 1'!W44</f>
        <v>864385.81691772887</v>
      </c>
      <c r="X43" s="2802" t="str">
        <f>'Приложение 1'!X44</f>
        <v/>
      </c>
      <c r="Y43" s="2802" t="str">
        <f>'Приложение 1'!Y44</f>
        <v/>
      </c>
      <c r="Z43" s="2937">
        <f>'Приложение 1'!Z44</f>
        <v>1.0528</v>
      </c>
      <c r="AA43" s="2937">
        <f>'Приложение 1'!AA44</f>
        <v>1.0589</v>
      </c>
      <c r="AB43" s="2937">
        <f>'Приложение 1'!AB44</f>
        <v>1.0507936887282501</v>
      </c>
      <c r="AC43" s="2937">
        <f>'Приложение 1'!AC44</f>
        <v>1.04657781587849</v>
      </c>
      <c r="AD43" s="2802">
        <f>'Приложение 1'!AD44</f>
        <v>678290.40855939116</v>
      </c>
      <c r="AE43" s="2802">
        <f>'Приложение 1'!AE44</f>
        <v>1006587.5651594325</v>
      </c>
      <c r="AF43" s="2802" t="str">
        <f>'Приложение 1'!AF44</f>
        <v/>
      </c>
      <c r="AG43" s="2802"/>
      <c r="AH43" s="2802">
        <f>'Приложение 1'!AH44</f>
        <v>1684877.9737188236</v>
      </c>
      <c r="AI43" s="2780">
        <f>'Приложение 1'!AI44</f>
        <v>842438.98685941182</v>
      </c>
      <c r="AJ43" s="2780">
        <f>'Приложение 1'!AJ44</f>
        <v>2045.2796793271282</v>
      </c>
      <c r="AK43" s="2853">
        <f>'Утв.СП 2018г'!H46</f>
        <v>2651.64</v>
      </c>
      <c r="AL43" s="2895">
        <f>AK43*$AC$12</f>
        <v>2775.1475996960389</v>
      </c>
      <c r="AM43" s="2948">
        <f t="shared" si="1"/>
        <v>0.73699852200695448</v>
      </c>
      <c r="AN43" s="2338" t="s">
        <v>4274</v>
      </c>
      <c r="AO43" s="2338"/>
      <c r="AP43" s="2338"/>
      <c r="AQ43" s="2338"/>
      <c r="AR43" s="2338"/>
      <c r="AS43" s="2338"/>
      <c r="AT43" s="2338"/>
      <c r="AU43" s="2338"/>
      <c r="AV43" s="2338"/>
      <c r="AW43" s="2338"/>
      <c r="AX43" s="2338"/>
      <c r="AY43" s="2338"/>
      <c r="AZ43" s="2338"/>
      <c r="BA43" s="2338"/>
      <c r="BB43" s="2338"/>
      <c r="BC43" s="2338"/>
      <c r="BD43" s="2338"/>
      <c r="BE43" s="2338"/>
      <c r="BF43" s="2338"/>
      <c r="BG43" s="2338"/>
      <c r="BH43" s="2338"/>
      <c r="BI43" s="2338"/>
      <c r="BJ43" s="2338"/>
      <c r="BK43" s="2338"/>
      <c r="BL43" s="2338"/>
      <c r="BM43" s="2338"/>
      <c r="BN43" s="2338"/>
      <c r="BO43" s="2338"/>
      <c r="BP43" s="2338"/>
      <c r="BQ43" s="2338"/>
      <c r="BR43" s="2338"/>
      <c r="BS43" s="2338"/>
      <c r="BT43" s="2338"/>
      <c r="BU43" s="2338"/>
      <c r="BV43" s="2338"/>
      <c r="BW43" s="2338"/>
      <c r="BX43" s="2338"/>
      <c r="BY43" s="2338"/>
      <c r="BZ43" s="2338"/>
      <c r="CA43" s="2338"/>
      <c r="CB43" s="2338"/>
      <c r="CC43" s="2338"/>
      <c r="CD43" s="2338"/>
      <c r="CE43" s="2338"/>
      <c r="CF43" s="2338"/>
      <c r="CG43" s="2338"/>
      <c r="CH43" s="2338"/>
      <c r="CI43" s="2338"/>
      <c r="CJ43" s="2338"/>
      <c r="CK43" s="2338"/>
      <c r="CL43" s="2338"/>
      <c r="CM43" s="2338"/>
      <c r="CN43" s="2338"/>
      <c r="CO43" s="2338"/>
      <c r="CP43" s="2338"/>
      <c r="CQ43" s="2338"/>
      <c r="CR43" s="2338"/>
      <c r="CS43" s="2338"/>
      <c r="CT43" s="2338"/>
      <c r="CU43" s="2338"/>
      <c r="CV43" s="2338"/>
      <c r="CW43" s="2338"/>
      <c r="CX43" s="2338"/>
      <c r="CY43" s="2338"/>
      <c r="CZ43" s="2338"/>
      <c r="DA43" s="2338"/>
      <c r="DB43" s="2338"/>
      <c r="DC43" s="2338"/>
      <c r="DD43" s="2338"/>
      <c r="DE43" s="2338"/>
      <c r="DF43" s="2338"/>
      <c r="DG43" s="2338"/>
      <c r="DH43" s="2338"/>
      <c r="DI43" s="2338"/>
      <c r="DJ43" s="2338"/>
    </row>
    <row r="44" spans="1:114" hidden="1" outlineLevel="1">
      <c r="A44" s="3764"/>
      <c r="B44" s="3210"/>
      <c r="C44" s="3208"/>
      <c r="D44" s="3210"/>
      <c r="E44" s="3029"/>
      <c r="F44" s="2979" t="s">
        <v>3862</v>
      </c>
      <c r="G44" s="3637"/>
      <c r="H44" s="3673"/>
      <c r="I44" s="3673"/>
      <c r="J44" s="3673"/>
      <c r="K44" s="3673"/>
      <c r="L44" s="3673"/>
      <c r="M44" s="3673"/>
      <c r="N44" s="3673"/>
      <c r="O44" s="3673"/>
      <c r="P44" s="3673"/>
      <c r="Q44" s="3673"/>
      <c r="R44" s="3673"/>
      <c r="S44" s="3673"/>
      <c r="T44" s="3673"/>
      <c r="U44" s="3673"/>
      <c r="V44" s="2802" t="str">
        <f>'Приложение 1'!V45</f>
        <v/>
      </c>
      <c r="W44" s="2802" t="str">
        <f>'Приложение 1'!W45</f>
        <v/>
      </c>
      <c r="X44" s="2802" t="str">
        <f>'Приложение 1'!X45</f>
        <v/>
      </c>
      <c r="Y44" s="2802" t="str">
        <f>'Приложение 1'!Y45</f>
        <v/>
      </c>
      <c r="Z44" s="2937"/>
      <c r="AA44" s="2937"/>
      <c r="AB44" s="2937"/>
      <c r="AC44" s="2937"/>
      <c r="AD44" s="2802" t="str">
        <f>'Приложение 1'!AD45</f>
        <v/>
      </c>
      <c r="AE44" s="2802" t="str">
        <f>'Приложение 1'!AE45</f>
        <v/>
      </c>
      <c r="AF44" s="2802" t="str">
        <f>'Приложение 1'!AF45</f>
        <v/>
      </c>
      <c r="AG44" s="2802"/>
      <c r="AH44" s="2802"/>
      <c r="AI44" s="2802"/>
      <c r="AJ44" s="2802" t="str">
        <f>'Приложение 1'!AJ45</f>
        <v/>
      </c>
      <c r="AK44" s="2566"/>
      <c r="AL44" s="2895">
        <f t="shared" si="0"/>
        <v>0</v>
      </c>
      <c r="AM44" s="2566" t="str">
        <f t="shared" si="1"/>
        <v/>
      </c>
      <c r="AN44" s="2338"/>
      <c r="AO44" s="2338"/>
      <c r="AP44" s="2338"/>
      <c r="AQ44" s="2338"/>
      <c r="AR44" s="2338"/>
      <c r="AS44" s="2338"/>
      <c r="AT44" s="2338"/>
      <c r="AU44" s="2338"/>
      <c r="AV44" s="2338"/>
      <c r="AW44" s="2338"/>
      <c r="AX44" s="2338"/>
      <c r="AY44" s="2338"/>
      <c r="AZ44" s="2338"/>
      <c r="BA44" s="2338"/>
      <c r="BB44" s="2338"/>
      <c r="BC44" s="2338"/>
      <c r="BD44" s="2338"/>
      <c r="BE44" s="2338"/>
      <c r="BF44" s="2338"/>
      <c r="BG44" s="2338"/>
      <c r="BH44" s="2338"/>
      <c r="BI44" s="2338"/>
      <c r="BJ44" s="2338"/>
      <c r="BK44" s="2338"/>
      <c r="BL44" s="2338"/>
      <c r="BM44" s="2338"/>
      <c r="BN44" s="2338"/>
      <c r="BO44" s="2338"/>
      <c r="BP44" s="2338"/>
      <c r="BQ44" s="2338"/>
      <c r="BR44" s="2338"/>
      <c r="BS44" s="2338"/>
      <c r="BT44" s="2338"/>
      <c r="BU44" s="2338"/>
      <c r="BV44" s="2338"/>
      <c r="BW44" s="2338"/>
      <c r="BX44" s="2338"/>
      <c r="BY44" s="2338"/>
      <c r="BZ44" s="2338"/>
      <c r="CA44" s="2338"/>
      <c r="CB44" s="2338"/>
      <c r="CC44" s="2338"/>
      <c r="CD44" s="2338"/>
      <c r="CE44" s="2338"/>
      <c r="CF44" s="2338"/>
      <c r="CG44" s="2338"/>
      <c r="CH44" s="2338"/>
      <c r="CI44" s="2338"/>
      <c r="CJ44" s="2338"/>
      <c r="CK44" s="2338"/>
      <c r="CL44" s="2338"/>
      <c r="CM44" s="2338"/>
      <c r="CN44" s="2338"/>
      <c r="CO44" s="2338"/>
      <c r="CP44" s="2338"/>
      <c r="CQ44" s="2338"/>
      <c r="CR44" s="2338"/>
      <c r="CS44" s="2338"/>
      <c r="CT44" s="2338"/>
      <c r="CU44" s="2338"/>
      <c r="CV44" s="2338"/>
      <c r="CW44" s="2338"/>
      <c r="CX44" s="2338"/>
      <c r="CY44" s="2338"/>
      <c r="CZ44" s="2338"/>
      <c r="DA44" s="2338"/>
      <c r="DB44" s="2338"/>
      <c r="DC44" s="2338"/>
      <c r="DD44" s="2338"/>
      <c r="DE44" s="2338"/>
      <c r="DF44" s="2338"/>
      <c r="DG44" s="2338"/>
      <c r="DH44" s="2338"/>
      <c r="DI44" s="2338"/>
      <c r="DJ44" s="2338"/>
    </row>
    <row r="45" spans="1:114" hidden="1" outlineLevel="1">
      <c r="A45" s="3764"/>
      <c r="B45" s="3210"/>
      <c r="C45" s="3208"/>
      <c r="D45" s="3210"/>
      <c r="E45" s="3029"/>
      <c r="F45" s="2979" t="s">
        <v>3863</v>
      </c>
      <c r="G45" s="3637"/>
      <c r="H45" s="3673"/>
      <c r="I45" s="3673"/>
      <c r="J45" s="3673"/>
      <c r="K45" s="3673"/>
      <c r="L45" s="3673"/>
      <c r="M45" s="3673"/>
      <c r="N45" s="3673"/>
      <c r="O45" s="3673"/>
      <c r="P45" s="3673"/>
      <c r="Q45" s="3673"/>
      <c r="R45" s="3673"/>
      <c r="S45" s="3673"/>
      <c r="T45" s="3673"/>
      <c r="U45" s="3673"/>
      <c r="V45" s="2802" t="str">
        <f>'Приложение 1'!V46</f>
        <v/>
      </c>
      <c r="W45" s="2802" t="str">
        <f>'Приложение 1'!W46</f>
        <v/>
      </c>
      <c r="X45" s="2802" t="str">
        <f>'Приложение 1'!X46</f>
        <v/>
      </c>
      <c r="Y45" s="2802" t="str">
        <f>'Приложение 1'!Y46</f>
        <v/>
      </c>
      <c r="Z45" s="2937"/>
      <c r="AA45" s="2937"/>
      <c r="AB45" s="2937"/>
      <c r="AC45" s="2937"/>
      <c r="AD45" s="2802" t="str">
        <f>'Приложение 1'!AD46</f>
        <v/>
      </c>
      <c r="AE45" s="2802" t="str">
        <f>'Приложение 1'!AE46</f>
        <v/>
      </c>
      <c r="AF45" s="2802" t="str">
        <f>'Приложение 1'!AF46</f>
        <v/>
      </c>
      <c r="AG45" s="2802"/>
      <c r="AH45" s="2802"/>
      <c r="AI45" s="2802"/>
      <c r="AJ45" s="2802" t="str">
        <f>'Приложение 1'!AJ46</f>
        <v/>
      </c>
      <c r="AK45" s="2566"/>
      <c r="AL45" s="2895">
        <f t="shared" si="0"/>
        <v>0</v>
      </c>
      <c r="AM45" s="2566" t="str">
        <f t="shared" si="1"/>
        <v/>
      </c>
      <c r="AN45" s="2338"/>
      <c r="AO45" s="2338"/>
      <c r="AP45" s="2338"/>
      <c r="AQ45" s="2338"/>
      <c r="AR45" s="2338"/>
      <c r="AS45" s="2338"/>
      <c r="AT45" s="2338"/>
      <c r="AU45" s="2338"/>
      <c r="AV45" s="2338"/>
      <c r="AW45" s="2338"/>
      <c r="AX45" s="2338"/>
      <c r="AY45" s="2338"/>
      <c r="AZ45" s="2338"/>
      <c r="BA45" s="2338"/>
      <c r="BB45" s="2338"/>
      <c r="BC45" s="2338"/>
      <c r="BD45" s="2338"/>
      <c r="BE45" s="2338"/>
      <c r="BF45" s="2338"/>
      <c r="BG45" s="2338"/>
      <c r="BH45" s="2338"/>
      <c r="BI45" s="2338"/>
      <c r="BJ45" s="2338"/>
      <c r="BK45" s="2338"/>
      <c r="BL45" s="2338"/>
      <c r="BM45" s="2338"/>
      <c r="BN45" s="2338"/>
      <c r="BO45" s="2338"/>
      <c r="BP45" s="2338"/>
      <c r="BQ45" s="2338"/>
      <c r="BR45" s="2338"/>
      <c r="BS45" s="2338"/>
      <c r="BT45" s="2338"/>
      <c r="BU45" s="2338"/>
      <c r="BV45" s="2338"/>
      <c r="BW45" s="2338"/>
      <c r="BX45" s="2338"/>
      <c r="BY45" s="2338"/>
      <c r="BZ45" s="2338"/>
      <c r="CA45" s="2338"/>
      <c r="CB45" s="2338"/>
      <c r="CC45" s="2338"/>
      <c r="CD45" s="2338"/>
      <c r="CE45" s="2338"/>
      <c r="CF45" s="2338"/>
      <c r="CG45" s="2338"/>
      <c r="CH45" s="2338"/>
      <c r="CI45" s="2338"/>
      <c r="CJ45" s="2338"/>
      <c r="CK45" s="2338"/>
      <c r="CL45" s="2338"/>
      <c r="CM45" s="2338"/>
      <c r="CN45" s="2338"/>
      <c r="CO45" s="2338"/>
      <c r="CP45" s="2338"/>
      <c r="CQ45" s="2338"/>
      <c r="CR45" s="2338"/>
      <c r="CS45" s="2338"/>
      <c r="CT45" s="2338"/>
      <c r="CU45" s="2338"/>
      <c r="CV45" s="2338"/>
      <c r="CW45" s="2338"/>
      <c r="CX45" s="2338"/>
      <c r="CY45" s="2338"/>
      <c r="CZ45" s="2338"/>
      <c r="DA45" s="2338"/>
      <c r="DB45" s="2338"/>
      <c r="DC45" s="2338"/>
      <c r="DD45" s="2338"/>
      <c r="DE45" s="2338"/>
      <c r="DF45" s="2338"/>
      <c r="DG45" s="2338"/>
      <c r="DH45" s="2338"/>
      <c r="DI45" s="2338"/>
      <c r="DJ45" s="2338"/>
    </row>
    <row r="46" spans="1:114" hidden="1" outlineLevel="1">
      <c r="A46" s="3764"/>
      <c r="B46" s="3210"/>
      <c r="C46" s="3208"/>
      <c r="D46" s="3210"/>
      <c r="E46" s="3029"/>
      <c r="F46" s="2980" t="s">
        <v>3864</v>
      </c>
      <c r="G46" s="3637"/>
      <c r="H46" s="3673"/>
      <c r="I46" s="3673"/>
      <c r="J46" s="3673"/>
      <c r="K46" s="3673"/>
      <c r="L46" s="3673"/>
      <c r="M46" s="3673"/>
      <c r="N46" s="3673"/>
      <c r="O46" s="3673"/>
      <c r="P46" s="3673"/>
      <c r="Q46" s="3673"/>
      <c r="R46" s="3673"/>
      <c r="S46" s="3673"/>
      <c r="T46" s="3673"/>
      <c r="U46" s="3673"/>
      <c r="V46" s="2802" t="str">
        <f>'Приложение 1'!V47</f>
        <v/>
      </c>
      <c r="W46" s="2802" t="str">
        <f>'Приложение 1'!W47</f>
        <v/>
      </c>
      <c r="X46" s="2802" t="str">
        <f>'Приложение 1'!X47</f>
        <v/>
      </c>
      <c r="Y46" s="2802" t="str">
        <f>'Приложение 1'!Y47</f>
        <v/>
      </c>
      <c r="Z46" s="2937"/>
      <c r="AA46" s="2937"/>
      <c r="AB46" s="2937"/>
      <c r="AC46" s="2937"/>
      <c r="AD46" s="2802" t="str">
        <f>'Приложение 1'!AD47</f>
        <v/>
      </c>
      <c r="AE46" s="2802" t="str">
        <f>'Приложение 1'!AE47</f>
        <v/>
      </c>
      <c r="AF46" s="2802" t="str">
        <f>'Приложение 1'!AF47</f>
        <v/>
      </c>
      <c r="AG46" s="2802"/>
      <c r="AH46" s="2802"/>
      <c r="AI46" s="2802"/>
      <c r="AJ46" s="2802" t="str">
        <f>'Приложение 1'!AJ47</f>
        <v/>
      </c>
      <c r="AK46" s="2566"/>
      <c r="AL46" s="2895">
        <f t="shared" si="0"/>
        <v>0</v>
      </c>
      <c r="AM46" s="2566" t="str">
        <f t="shared" si="1"/>
        <v/>
      </c>
      <c r="AN46" s="2338"/>
      <c r="AO46" s="2338"/>
      <c r="AP46" s="2338"/>
      <c r="AQ46" s="2338"/>
      <c r="AR46" s="2338"/>
      <c r="AS46" s="2338"/>
      <c r="AT46" s="2338"/>
      <c r="AU46" s="2338"/>
      <c r="AV46" s="2338"/>
      <c r="AW46" s="2338"/>
      <c r="AX46" s="2338"/>
      <c r="AY46" s="2338"/>
      <c r="AZ46" s="2338"/>
      <c r="BA46" s="2338"/>
      <c r="BB46" s="2338"/>
      <c r="BC46" s="2338"/>
      <c r="BD46" s="2338"/>
      <c r="BE46" s="2338"/>
      <c r="BF46" s="2338"/>
      <c r="BG46" s="2338"/>
      <c r="BH46" s="2338"/>
      <c r="BI46" s="2338"/>
      <c r="BJ46" s="2338"/>
      <c r="BK46" s="2338"/>
      <c r="BL46" s="2338"/>
      <c r="BM46" s="2338"/>
      <c r="BN46" s="2338"/>
      <c r="BO46" s="2338"/>
      <c r="BP46" s="2338"/>
      <c r="BQ46" s="2338"/>
      <c r="BR46" s="2338"/>
      <c r="BS46" s="2338"/>
      <c r="BT46" s="2338"/>
      <c r="BU46" s="2338"/>
      <c r="BV46" s="2338"/>
      <c r="BW46" s="2338"/>
      <c r="BX46" s="2338"/>
      <c r="BY46" s="2338"/>
      <c r="BZ46" s="2338"/>
      <c r="CA46" s="2338"/>
      <c r="CB46" s="2338"/>
      <c r="CC46" s="2338"/>
      <c r="CD46" s="2338"/>
      <c r="CE46" s="2338"/>
      <c r="CF46" s="2338"/>
      <c r="CG46" s="2338"/>
      <c r="CH46" s="2338"/>
      <c r="CI46" s="2338"/>
      <c r="CJ46" s="2338"/>
      <c r="CK46" s="2338"/>
      <c r="CL46" s="2338"/>
      <c r="CM46" s="2338"/>
      <c r="CN46" s="2338"/>
      <c r="CO46" s="2338"/>
      <c r="CP46" s="2338"/>
      <c r="CQ46" s="2338"/>
      <c r="CR46" s="2338"/>
      <c r="CS46" s="2338"/>
      <c r="CT46" s="2338"/>
      <c r="CU46" s="2338"/>
      <c r="CV46" s="2338"/>
      <c r="CW46" s="2338"/>
      <c r="CX46" s="2338"/>
      <c r="CY46" s="2338"/>
      <c r="CZ46" s="2338"/>
      <c r="DA46" s="2338"/>
      <c r="DB46" s="2338"/>
      <c r="DC46" s="2338"/>
      <c r="DD46" s="2338"/>
      <c r="DE46" s="2338"/>
      <c r="DF46" s="2338"/>
      <c r="DG46" s="2338"/>
      <c r="DH46" s="2338"/>
      <c r="DI46" s="2338"/>
      <c r="DJ46" s="2338"/>
    </row>
    <row r="47" spans="1:114" hidden="1" outlineLevel="1">
      <c r="A47" s="3764"/>
      <c r="B47" s="3210"/>
      <c r="C47" s="3208"/>
      <c r="D47" s="3210"/>
      <c r="E47" s="3029"/>
      <c r="F47" s="2980" t="s">
        <v>3865</v>
      </c>
      <c r="G47" s="3637"/>
      <c r="H47" s="3673"/>
      <c r="I47" s="3673"/>
      <c r="J47" s="3673"/>
      <c r="K47" s="3673"/>
      <c r="L47" s="3673"/>
      <c r="M47" s="3673"/>
      <c r="N47" s="3673"/>
      <c r="O47" s="3673"/>
      <c r="P47" s="3673"/>
      <c r="Q47" s="3673"/>
      <c r="R47" s="3673"/>
      <c r="S47" s="3673"/>
      <c r="T47" s="3673"/>
      <c r="U47" s="3673"/>
      <c r="V47" s="2802" t="str">
        <f>'Приложение 1'!V48</f>
        <v/>
      </c>
      <c r="W47" s="2802" t="str">
        <f>'Приложение 1'!W48</f>
        <v/>
      </c>
      <c r="X47" s="2802" t="str">
        <f>'Приложение 1'!X48</f>
        <v/>
      </c>
      <c r="Y47" s="2802" t="str">
        <f>'Приложение 1'!Y48</f>
        <v/>
      </c>
      <c r="Z47" s="2937"/>
      <c r="AA47" s="2937"/>
      <c r="AB47" s="2937"/>
      <c r="AC47" s="2937"/>
      <c r="AD47" s="2802" t="str">
        <f>'Приложение 1'!AD48</f>
        <v/>
      </c>
      <c r="AE47" s="2802" t="str">
        <f>'Приложение 1'!AE48</f>
        <v/>
      </c>
      <c r="AF47" s="2802" t="str">
        <f>'Приложение 1'!AF48</f>
        <v/>
      </c>
      <c r="AG47" s="2802"/>
      <c r="AH47" s="2802"/>
      <c r="AI47" s="2802"/>
      <c r="AJ47" s="2802" t="str">
        <f>'Приложение 1'!AJ48</f>
        <v/>
      </c>
      <c r="AK47" s="2566"/>
      <c r="AL47" s="2895">
        <f t="shared" si="0"/>
        <v>0</v>
      </c>
      <c r="AM47" s="2566" t="str">
        <f t="shared" si="1"/>
        <v/>
      </c>
      <c r="AN47" s="2338"/>
      <c r="AO47" s="2338"/>
      <c r="AP47" s="2338"/>
      <c r="AQ47" s="2338"/>
      <c r="AR47" s="2338"/>
      <c r="AS47" s="2338"/>
      <c r="AT47" s="2338"/>
      <c r="AU47" s="2338"/>
      <c r="AV47" s="2338"/>
      <c r="AW47" s="2338"/>
      <c r="AX47" s="2338"/>
      <c r="AY47" s="2338"/>
      <c r="AZ47" s="2338"/>
      <c r="BA47" s="2338"/>
      <c r="BB47" s="2338"/>
      <c r="BC47" s="2338"/>
      <c r="BD47" s="2338"/>
      <c r="BE47" s="2338"/>
      <c r="BF47" s="2338"/>
      <c r="BG47" s="2338"/>
      <c r="BH47" s="2338"/>
      <c r="BI47" s="2338"/>
      <c r="BJ47" s="2338"/>
      <c r="BK47" s="2338"/>
      <c r="BL47" s="2338"/>
      <c r="BM47" s="2338"/>
      <c r="BN47" s="2338"/>
      <c r="BO47" s="2338"/>
      <c r="BP47" s="2338"/>
      <c r="BQ47" s="2338"/>
      <c r="BR47" s="2338"/>
      <c r="BS47" s="2338"/>
      <c r="BT47" s="2338"/>
      <c r="BU47" s="2338"/>
      <c r="BV47" s="2338"/>
      <c r="BW47" s="2338"/>
      <c r="BX47" s="2338"/>
      <c r="BY47" s="2338"/>
      <c r="BZ47" s="2338"/>
      <c r="CA47" s="2338"/>
      <c r="CB47" s="2338"/>
      <c r="CC47" s="2338"/>
      <c r="CD47" s="2338"/>
      <c r="CE47" s="2338"/>
      <c r="CF47" s="2338"/>
      <c r="CG47" s="2338"/>
      <c r="CH47" s="2338"/>
      <c r="CI47" s="2338"/>
      <c r="CJ47" s="2338"/>
      <c r="CK47" s="2338"/>
      <c r="CL47" s="2338"/>
      <c r="CM47" s="2338"/>
      <c r="CN47" s="2338"/>
      <c r="CO47" s="2338"/>
      <c r="CP47" s="2338"/>
      <c r="CQ47" s="2338"/>
      <c r="CR47" s="2338"/>
      <c r="CS47" s="2338"/>
      <c r="CT47" s="2338"/>
      <c r="CU47" s="2338"/>
      <c r="CV47" s="2338"/>
      <c r="CW47" s="2338"/>
      <c r="CX47" s="2338"/>
      <c r="CY47" s="2338"/>
      <c r="CZ47" s="2338"/>
      <c r="DA47" s="2338"/>
      <c r="DB47" s="2338"/>
      <c r="DC47" s="2338"/>
      <c r="DD47" s="2338"/>
      <c r="DE47" s="2338"/>
      <c r="DF47" s="2338"/>
      <c r="DG47" s="2338"/>
      <c r="DH47" s="2338"/>
      <c r="DI47" s="2338"/>
      <c r="DJ47" s="2338"/>
    </row>
    <row r="48" spans="1:114" collapsed="1">
      <c r="A48" s="3764"/>
      <c r="B48" s="3210"/>
      <c r="C48" s="3208"/>
      <c r="D48" s="3210" t="s">
        <v>2954</v>
      </c>
      <c r="E48" s="3029" t="s">
        <v>2950</v>
      </c>
      <c r="F48" s="2979" t="s">
        <v>3860</v>
      </c>
      <c r="G48" s="3637"/>
      <c r="H48" s="3673">
        <f>'Приложение 1'!H49</f>
        <v>200</v>
      </c>
      <c r="I48" s="3673"/>
      <c r="J48" s="3673"/>
      <c r="K48" s="3673"/>
      <c r="L48" s="3673">
        <f>'Приложение 1'!L49</f>
        <v>200</v>
      </c>
      <c r="M48" s="3673">
        <f>'Приложение 1'!M49</f>
        <v>16.079999999999998</v>
      </c>
      <c r="N48" s="3673"/>
      <c r="O48" s="3673"/>
      <c r="P48" s="3673"/>
      <c r="Q48" s="3673">
        <f>'Приложение 1'!Q49</f>
        <v>16.079999999999998</v>
      </c>
      <c r="R48" s="3673">
        <f>'Приложение 1'!R49</f>
        <v>171.20831000000001</v>
      </c>
      <c r="S48" s="3673"/>
      <c r="T48" s="3673"/>
      <c r="U48" s="3673"/>
      <c r="V48" s="2802">
        <f>'Приложение 1'!V49</f>
        <v>856041.54999999993</v>
      </c>
      <c r="W48" s="2802" t="str">
        <f>'Приложение 1'!W49</f>
        <v/>
      </c>
      <c r="X48" s="2802" t="str">
        <f>'Приложение 1'!X49</f>
        <v/>
      </c>
      <c r="Y48" s="2802" t="str">
        <f>'Приложение 1'!Y49</f>
        <v/>
      </c>
      <c r="Z48" s="2937">
        <f>'Приложение 1'!Z49</f>
        <v>1.0528</v>
      </c>
      <c r="AA48" s="2937">
        <f>'Приложение 1'!AA49</f>
        <v>1.0589</v>
      </c>
      <c r="AB48" s="2937">
        <f>'Приложение 1'!AB49</f>
        <v>1.0507936887282501</v>
      </c>
      <c r="AC48" s="2937">
        <f>'Приложение 1'!AC49</f>
        <v>1.04657781587849</v>
      </c>
      <c r="AD48" s="2802">
        <f>'Приложение 1'!AD49</f>
        <v>1049505.3330256254</v>
      </c>
      <c r="AE48" s="2802" t="str">
        <f>'Приложение 1'!AE49</f>
        <v/>
      </c>
      <c r="AF48" s="2802" t="str">
        <f>'Приложение 1'!AF49</f>
        <v/>
      </c>
      <c r="AG48" s="2802"/>
      <c r="AH48" s="2802">
        <f>'Приложение 1'!AH49</f>
        <v>1049505.3330256254</v>
      </c>
      <c r="AI48" s="2780">
        <f>'Приложение 1'!AI49</f>
        <v>1049505.3330256254</v>
      </c>
      <c r="AJ48" s="2780">
        <f>'Приложение 1'!AJ49</f>
        <v>13053.548918229173</v>
      </c>
      <c r="AK48" s="2853">
        <f>'Утв.СП 2018г'!H51</f>
        <v>8792.59</v>
      </c>
      <c r="AL48" s="2895">
        <f t="shared" si="0"/>
        <v>9202.1296381150514</v>
      </c>
      <c r="AM48" s="2853">
        <f t="shared" si="1"/>
        <v>1.4185356468095836</v>
      </c>
      <c r="AN48" s="2338"/>
      <c r="AO48" s="2338"/>
      <c r="AP48" s="2338"/>
      <c r="AQ48" s="2338"/>
      <c r="AR48" s="2338"/>
      <c r="AS48" s="2338"/>
      <c r="AT48" s="2338"/>
      <c r="AU48" s="2338"/>
      <c r="AV48" s="2338"/>
      <c r="AW48" s="2338"/>
      <c r="AX48" s="2338"/>
      <c r="AY48" s="2338"/>
      <c r="AZ48" s="2338"/>
      <c r="BA48" s="2338"/>
      <c r="BB48" s="2338"/>
      <c r="BC48" s="2338"/>
      <c r="BD48" s="2338"/>
      <c r="BE48" s="2338"/>
      <c r="BF48" s="2338"/>
      <c r="BG48" s="2338"/>
      <c r="BH48" s="2338"/>
      <c r="BI48" s="2338"/>
      <c r="BJ48" s="2338"/>
      <c r="BK48" s="2338"/>
      <c r="BL48" s="2338"/>
      <c r="BM48" s="2338"/>
      <c r="BN48" s="2338"/>
      <c r="BO48" s="2338"/>
      <c r="BP48" s="2338"/>
      <c r="BQ48" s="2338"/>
      <c r="BR48" s="2338"/>
      <c r="BS48" s="2338"/>
      <c r="BT48" s="2338"/>
      <c r="BU48" s="2338"/>
      <c r="BV48" s="2338"/>
      <c r="BW48" s="2338"/>
      <c r="BX48" s="2338"/>
      <c r="BY48" s="2338"/>
      <c r="BZ48" s="2338"/>
      <c r="CA48" s="2338"/>
      <c r="CB48" s="2338"/>
      <c r="CC48" s="2338"/>
      <c r="CD48" s="2338"/>
      <c r="CE48" s="2338"/>
      <c r="CF48" s="2338"/>
      <c r="CG48" s="2338"/>
      <c r="CH48" s="2338"/>
      <c r="CI48" s="2338"/>
      <c r="CJ48" s="2338"/>
      <c r="CK48" s="2338"/>
      <c r="CL48" s="2338"/>
      <c r="CM48" s="2338"/>
      <c r="CN48" s="2338"/>
      <c r="CO48" s="2338"/>
      <c r="CP48" s="2338"/>
      <c r="CQ48" s="2338"/>
      <c r="CR48" s="2338"/>
      <c r="CS48" s="2338"/>
      <c r="CT48" s="2338"/>
      <c r="CU48" s="2338"/>
      <c r="CV48" s="2338"/>
      <c r="CW48" s="2338"/>
      <c r="CX48" s="2338"/>
      <c r="CY48" s="2338"/>
      <c r="CZ48" s="2338"/>
      <c r="DA48" s="2338"/>
      <c r="DB48" s="2338"/>
      <c r="DC48" s="2338"/>
      <c r="DD48" s="2338"/>
      <c r="DE48" s="2338"/>
      <c r="DF48" s="2338"/>
      <c r="DG48" s="2338"/>
      <c r="DH48" s="2338"/>
      <c r="DI48" s="2338"/>
      <c r="DJ48" s="2338"/>
    </row>
    <row r="49" spans="1:114" hidden="1" outlineLevel="1">
      <c r="A49" s="3764"/>
      <c r="B49" s="3210"/>
      <c r="C49" s="3208"/>
      <c r="D49" s="3210"/>
      <c r="E49" s="3029"/>
      <c r="F49" s="2979" t="s">
        <v>3861</v>
      </c>
      <c r="G49" s="3637"/>
      <c r="H49" s="3673"/>
      <c r="I49" s="3673"/>
      <c r="J49" s="3673"/>
      <c r="K49" s="3673"/>
      <c r="L49" s="3673"/>
      <c r="M49" s="3673"/>
      <c r="N49" s="3673"/>
      <c r="O49" s="3673"/>
      <c r="P49" s="3673"/>
      <c r="Q49" s="3673"/>
      <c r="R49" s="3673"/>
      <c r="S49" s="3673"/>
      <c r="T49" s="3673"/>
      <c r="U49" s="3673"/>
      <c r="V49" s="2802" t="str">
        <f>'Приложение 1'!V50</f>
        <v/>
      </c>
      <c r="W49" s="2802" t="str">
        <f>'Приложение 1'!W50</f>
        <v/>
      </c>
      <c r="X49" s="2802" t="str">
        <f>'Приложение 1'!X50</f>
        <v/>
      </c>
      <c r="Y49" s="2802" t="str">
        <f>'Приложение 1'!Y50</f>
        <v/>
      </c>
      <c r="Z49" s="2937"/>
      <c r="AA49" s="2937"/>
      <c r="AB49" s="2937"/>
      <c r="AC49" s="2937"/>
      <c r="AD49" s="2802" t="str">
        <f>'Приложение 1'!AD50</f>
        <v/>
      </c>
      <c r="AE49" s="2802" t="str">
        <f>'Приложение 1'!AE50</f>
        <v/>
      </c>
      <c r="AF49" s="2802" t="str">
        <f>'Приложение 1'!AF50</f>
        <v/>
      </c>
      <c r="AG49" s="2802"/>
      <c r="AH49" s="2802"/>
      <c r="AI49" s="2802"/>
      <c r="AJ49" s="2802" t="str">
        <f>'Приложение 1'!AJ50</f>
        <v/>
      </c>
      <c r="AK49" s="2853"/>
      <c r="AL49" s="2895">
        <f t="shared" si="0"/>
        <v>0</v>
      </c>
      <c r="AM49" s="2566" t="str">
        <f t="shared" si="1"/>
        <v/>
      </c>
      <c r="AN49" s="2338"/>
      <c r="AO49" s="2338"/>
      <c r="AP49" s="2338"/>
      <c r="AQ49" s="2338"/>
      <c r="AR49" s="2338"/>
      <c r="AS49" s="2338"/>
      <c r="AT49" s="2338"/>
      <c r="AU49" s="2338"/>
      <c r="AV49" s="2338"/>
      <c r="AW49" s="2338"/>
      <c r="AX49" s="2338"/>
      <c r="AY49" s="2338"/>
      <c r="AZ49" s="2338"/>
      <c r="BA49" s="2338"/>
      <c r="BB49" s="2338"/>
      <c r="BC49" s="2338"/>
      <c r="BD49" s="2338"/>
      <c r="BE49" s="2338"/>
      <c r="BF49" s="2338"/>
      <c r="BG49" s="2338"/>
      <c r="BH49" s="2338"/>
      <c r="BI49" s="2338"/>
      <c r="BJ49" s="2338"/>
      <c r="BK49" s="2338"/>
      <c r="BL49" s="2338"/>
      <c r="BM49" s="2338"/>
      <c r="BN49" s="2338"/>
      <c r="BO49" s="2338"/>
      <c r="BP49" s="2338"/>
      <c r="BQ49" s="2338"/>
      <c r="BR49" s="2338"/>
      <c r="BS49" s="2338"/>
      <c r="BT49" s="2338"/>
      <c r="BU49" s="2338"/>
      <c r="BV49" s="2338"/>
      <c r="BW49" s="2338"/>
      <c r="BX49" s="2338"/>
      <c r="BY49" s="2338"/>
      <c r="BZ49" s="2338"/>
      <c r="CA49" s="2338"/>
      <c r="CB49" s="2338"/>
      <c r="CC49" s="2338"/>
      <c r="CD49" s="2338"/>
      <c r="CE49" s="2338"/>
      <c r="CF49" s="2338"/>
      <c r="CG49" s="2338"/>
      <c r="CH49" s="2338"/>
      <c r="CI49" s="2338"/>
      <c r="CJ49" s="2338"/>
      <c r="CK49" s="2338"/>
      <c r="CL49" s="2338"/>
      <c r="CM49" s="2338"/>
      <c r="CN49" s="2338"/>
      <c r="CO49" s="2338"/>
      <c r="CP49" s="2338"/>
      <c r="CQ49" s="2338"/>
      <c r="CR49" s="2338"/>
      <c r="CS49" s="2338"/>
      <c r="CT49" s="2338"/>
      <c r="CU49" s="2338"/>
      <c r="CV49" s="2338"/>
      <c r="CW49" s="2338"/>
      <c r="CX49" s="2338"/>
      <c r="CY49" s="2338"/>
      <c r="CZ49" s="2338"/>
      <c r="DA49" s="2338"/>
      <c r="DB49" s="2338"/>
      <c r="DC49" s="2338"/>
      <c r="DD49" s="2338"/>
      <c r="DE49" s="2338"/>
      <c r="DF49" s="2338"/>
      <c r="DG49" s="2338"/>
      <c r="DH49" s="2338"/>
      <c r="DI49" s="2338"/>
      <c r="DJ49" s="2338"/>
    </row>
    <row r="50" spans="1:114" hidden="1" outlineLevel="1">
      <c r="A50" s="3764"/>
      <c r="B50" s="3210"/>
      <c r="C50" s="3208"/>
      <c r="D50" s="3210"/>
      <c r="E50" s="3029"/>
      <c r="F50" s="2979" t="s">
        <v>3862</v>
      </c>
      <c r="G50" s="3637"/>
      <c r="H50" s="3673"/>
      <c r="I50" s="3673"/>
      <c r="J50" s="3673"/>
      <c r="K50" s="3673"/>
      <c r="L50" s="3673"/>
      <c r="M50" s="3673"/>
      <c r="N50" s="3673"/>
      <c r="O50" s="3673"/>
      <c r="P50" s="3673"/>
      <c r="Q50" s="3673"/>
      <c r="R50" s="3673"/>
      <c r="S50" s="3673"/>
      <c r="T50" s="3673"/>
      <c r="U50" s="3673"/>
      <c r="V50" s="2802" t="str">
        <f>'Приложение 1'!V51</f>
        <v/>
      </c>
      <c r="W50" s="2802" t="str">
        <f>'Приложение 1'!W51</f>
        <v/>
      </c>
      <c r="X50" s="2802" t="str">
        <f>'Приложение 1'!X51</f>
        <v/>
      </c>
      <c r="Y50" s="2802" t="str">
        <f>'Приложение 1'!Y51</f>
        <v/>
      </c>
      <c r="Z50" s="2937"/>
      <c r="AA50" s="2937"/>
      <c r="AB50" s="2937"/>
      <c r="AC50" s="2937"/>
      <c r="AD50" s="2802" t="str">
        <f>'Приложение 1'!AD51</f>
        <v/>
      </c>
      <c r="AE50" s="2802" t="str">
        <f>'Приложение 1'!AE51</f>
        <v/>
      </c>
      <c r="AF50" s="2802" t="str">
        <f>'Приложение 1'!AF51</f>
        <v/>
      </c>
      <c r="AG50" s="2802"/>
      <c r="AH50" s="2802"/>
      <c r="AI50" s="2802"/>
      <c r="AJ50" s="2802" t="str">
        <f>'Приложение 1'!AJ51</f>
        <v/>
      </c>
      <c r="AK50" s="2853"/>
      <c r="AL50" s="2895">
        <f t="shared" si="0"/>
        <v>0</v>
      </c>
      <c r="AM50" s="2566" t="str">
        <f t="shared" si="1"/>
        <v/>
      </c>
      <c r="AN50" s="2338"/>
      <c r="AO50" s="2338"/>
      <c r="AP50" s="2338"/>
      <c r="AQ50" s="2338"/>
      <c r="AR50" s="2338"/>
      <c r="AS50" s="2338"/>
      <c r="AT50" s="2338"/>
      <c r="AU50" s="2338"/>
      <c r="AV50" s="2338"/>
      <c r="AW50" s="2338"/>
      <c r="AX50" s="2338"/>
      <c r="AY50" s="2338"/>
      <c r="AZ50" s="2338"/>
      <c r="BA50" s="2338"/>
      <c r="BB50" s="2338"/>
      <c r="BC50" s="2338"/>
      <c r="BD50" s="2338"/>
      <c r="BE50" s="2338"/>
      <c r="BF50" s="2338"/>
      <c r="BG50" s="2338"/>
      <c r="BH50" s="2338"/>
      <c r="BI50" s="2338"/>
      <c r="BJ50" s="2338"/>
      <c r="BK50" s="2338"/>
      <c r="BL50" s="2338"/>
      <c r="BM50" s="2338"/>
      <c r="BN50" s="2338"/>
      <c r="BO50" s="2338"/>
      <c r="BP50" s="2338"/>
      <c r="BQ50" s="2338"/>
      <c r="BR50" s="2338"/>
      <c r="BS50" s="2338"/>
      <c r="BT50" s="2338"/>
      <c r="BU50" s="2338"/>
      <c r="BV50" s="2338"/>
      <c r="BW50" s="2338"/>
      <c r="BX50" s="2338"/>
      <c r="BY50" s="2338"/>
      <c r="BZ50" s="2338"/>
      <c r="CA50" s="2338"/>
      <c r="CB50" s="2338"/>
      <c r="CC50" s="2338"/>
      <c r="CD50" s="2338"/>
      <c r="CE50" s="2338"/>
      <c r="CF50" s="2338"/>
      <c r="CG50" s="2338"/>
      <c r="CH50" s="2338"/>
      <c r="CI50" s="2338"/>
      <c r="CJ50" s="2338"/>
      <c r="CK50" s="2338"/>
      <c r="CL50" s="2338"/>
      <c r="CM50" s="2338"/>
      <c r="CN50" s="2338"/>
      <c r="CO50" s="2338"/>
      <c r="CP50" s="2338"/>
      <c r="CQ50" s="2338"/>
      <c r="CR50" s="2338"/>
      <c r="CS50" s="2338"/>
      <c r="CT50" s="2338"/>
      <c r="CU50" s="2338"/>
      <c r="CV50" s="2338"/>
      <c r="CW50" s="2338"/>
      <c r="CX50" s="2338"/>
      <c r="CY50" s="2338"/>
      <c r="CZ50" s="2338"/>
      <c r="DA50" s="2338"/>
      <c r="DB50" s="2338"/>
      <c r="DC50" s="2338"/>
      <c r="DD50" s="2338"/>
      <c r="DE50" s="2338"/>
      <c r="DF50" s="2338"/>
      <c r="DG50" s="2338"/>
      <c r="DH50" s="2338"/>
      <c r="DI50" s="2338"/>
      <c r="DJ50" s="2338"/>
    </row>
    <row r="51" spans="1:114" hidden="1" outlineLevel="1">
      <c r="A51" s="3764"/>
      <c r="B51" s="3210"/>
      <c r="C51" s="3208"/>
      <c r="D51" s="3210"/>
      <c r="E51" s="3029"/>
      <c r="F51" s="2979" t="s">
        <v>3863</v>
      </c>
      <c r="G51" s="3637"/>
      <c r="H51" s="3673"/>
      <c r="I51" s="3673"/>
      <c r="J51" s="3673"/>
      <c r="K51" s="3673"/>
      <c r="L51" s="3673"/>
      <c r="M51" s="3673"/>
      <c r="N51" s="3673"/>
      <c r="O51" s="3673"/>
      <c r="P51" s="3673"/>
      <c r="Q51" s="3673"/>
      <c r="R51" s="3673"/>
      <c r="S51" s="3673"/>
      <c r="T51" s="3673"/>
      <c r="U51" s="3673"/>
      <c r="V51" s="2802" t="str">
        <f>'Приложение 1'!V52</f>
        <v/>
      </c>
      <c r="W51" s="2802" t="str">
        <f>'Приложение 1'!W52</f>
        <v/>
      </c>
      <c r="X51" s="2802" t="str">
        <f>'Приложение 1'!X52</f>
        <v/>
      </c>
      <c r="Y51" s="2802" t="str">
        <f>'Приложение 1'!Y52</f>
        <v/>
      </c>
      <c r="Z51" s="2937"/>
      <c r="AA51" s="2937"/>
      <c r="AB51" s="2937"/>
      <c r="AC51" s="2937"/>
      <c r="AD51" s="2802" t="str">
        <f>'Приложение 1'!AD52</f>
        <v/>
      </c>
      <c r="AE51" s="2802" t="str">
        <f>'Приложение 1'!AE52</f>
        <v/>
      </c>
      <c r="AF51" s="2802" t="str">
        <f>'Приложение 1'!AF52</f>
        <v/>
      </c>
      <c r="AG51" s="2802"/>
      <c r="AH51" s="2802"/>
      <c r="AI51" s="2802"/>
      <c r="AJ51" s="2802" t="str">
        <f>'Приложение 1'!AJ52</f>
        <v/>
      </c>
      <c r="AK51" s="2853"/>
      <c r="AL51" s="2895">
        <f t="shared" si="0"/>
        <v>0</v>
      </c>
      <c r="AM51" s="2566" t="str">
        <f t="shared" si="1"/>
        <v/>
      </c>
      <c r="AN51" s="2338"/>
      <c r="AO51" s="2338"/>
      <c r="AP51" s="2338"/>
      <c r="AQ51" s="2338"/>
      <c r="AR51" s="2338"/>
      <c r="AS51" s="2338"/>
      <c r="AT51" s="2338"/>
      <c r="AU51" s="2338"/>
      <c r="AV51" s="2338"/>
      <c r="AW51" s="2338"/>
      <c r="AX51" s="2338"/>
      <c r="AY51" s="2338"/>
      <c r="AZ51" s="2338"/>
      <c r="BA51" s="2338"/>
      <c r="BB51" s="2338"/>
      <c r="BC51" s="2338"/>
      <c r="BD51" s="2338"/>
      <c r="BE51" s="2338"/>
      <c r="BF51" s="2338"/>
      <c r="BG51" s="2338"/>
      <c r="BH51" s="2338"/>
      <c r="BI51" s="2338"/>
      <c r="BJ51" s="2338"/>
      <c r="BK51" s="2338"/>
      <c r="BL51" s="2338"/>
      <c r="BM51" s="2338"/>
      <c r="BN51" s="2338"/>
      <c r="BO51" s="2338"/>
      <c r="BP51" s="2338"/>
      <c r="BQ51" s="2338"/>
      <c r="BR51" s="2338"/>
      <c r="BS51" s="2338"/>
      <c r="BT51" s="2338"/>
      <c r="BU51" s="2338"/>
      <c r="BV51" s="2338"/>
      <c r="BW51" s="2338"/>
      <c r="BX51" s="2338"/>
      <c r="BY51" s="2338"/>
      <c r="BZ51" s="2338"/>
      <c r="CA51" s="2338"/>
      <c r="CB51" s="2338"/>
      <c r="CC51" s="2338"/>
      <c r="CD51" s="2338"/>
      <c r="CE51" s="2338"/>
      <c r="CF51" s="2338"/>
      <c r="CG51" s="2338"/>
      <c r="CH51" s="2338"/>
      <c r="CI51" s="2338"/>
      <c r="CJ51" s="2338"/>
      <c r="CK51" s="2338"/>
      <c r="CL51" s="2338"/>
      <c r="CM51" s="2338"/>
      <c r="CN51" s="2338"/>
      <c r="CO51" s="2338"/>
      <c r="CP51" s="2338"/>
      <c r="CQ51" s="2338"/>
      <c r="CR51" s="2338"/>
      <c r="CS51" s="2338"/>
      <c r="CT51" s="2338"/>
      <c r="CU51" s="2338"/>
      <c r="CV51" s="2338"/>
      <c r="CW51" s="2338"/>
      <c r="CX51" s="2338"/>
      <c r="CY51" s="2338"/>
      <c r="CZ51" s="2338"/>
      <c r="DA51" s="2338"/>
      <c r="DB51" s="2338"/>
      <c r="DC51" s="2338"/>
      <c r="DD51" s="2338"/>
      <c r="DE51" s="2338"/>
      <c r="DF51" s="2338"/>
      <c r="DG51" s="2338"/>
      <c r="DH51" s="2338"/>
      <c r="DI51" s="2338"/>
      <c r="DJ51" s="2338"/>
    </row>
    <row r="52" spans="1:114" hidden="1" outlineLevel="1">
      <c r="A52" s="3764"/>
      <c r="B52" s="3210"/>
      <c r="C52" s="3208"/>
      <c r="D52" s="3210"/>
      <c r="E52" s="3029"/>
      <c r="F52" s="2980" t="s">
        <v>3864</v>
      </c>
      <c r="G52" s="3637"/>
      <c r="H52" s="3673"/>
      <c r="I52" s="3673"/>
      <c r="J52" s="3673"/>
      <c r="K52" s="3673"/>
      <c r="L52" s="3673"/>
      <c r="M52" s="3673"/>
      <c r="N52" s="3673"/>
      <c r="O52" s="3673"/>
      <c r="P52" s="3673"/>
      <c r="Q52" s="3673"/>
      <c r="R52" s="3673"/>
      <c r="S52" s="3673"/>
      <c r="T52" s="3673"/>
      <c r="U52" s="3673"/>
      <c r="V52" s="2802" t="str">
        <f>'Приложение 1'!V53</f>
        <v/>
      </c>
      <c r="W52" s="2802" t="str">
        <f>'Приложение 1'!W53</f>
        <v/>
      </c>
      <c r="X52" s="2802" t="str">
        <f>'Приложение 1'!X53</f>
        <v/>
      </c>
      <c r="Y52" s="2802" t="str">
        <f>'Приложение 1'!Y53</f>
        <v/>
      </c>
      <c r="Z52" s="2937"/>
      <c r="AA52" s="2937"/>
      <c r="AB52" s="2937"/>
      <c r="AC52" s="2937"/>
      <c r="AD52" s="2802" t="str">
        <f>'Приложение 1'!AD53</f>
        <v/>
      </c>
      <c r="AE52" s="2802" t="str">
        <f>'Приложение 1'!AE53</f>
        <v/>
      </c>
      <c r="AF52" s="2802" t="str">
        <f>'Приложение 1'!AF53</f>
        <v/>
      </c>
      <c r="AG52" s="2802"/>
      <c r="AH52" s="2802"/>
      <c r="AI52" s="2802"/>
      <c r="AJ52" s="2802" t="str">
        <f>'Приложение 1'!AJ53</f>
        <v/>
      </c>
      <c r="AK52" s="2853"/>
      <c r="AL52" s="2895">
        <f t="shared" si="0"/>
        <v>0</v>
      </c>
      <c r="AM52" s="2566" t="str">
        <f t="shared" si="1"/>
        <v/>
      </c>
      <c r="AN52" s="2338"/>
      <c r="AO52" s="2338"/>
      <c r="AP52" s="2338"/>
      <c r="AQ52" s="2338"/>
      <c r="AR52" s="2338"/>
      <c r="AS52" s="2338"/>
      <c r="AT52" s="2338"/>
      <c r="AU52" s="2338"/>
      <c r="AV52" s="2338"/>
      <c r="AW52" s="2338"/>
      <c r="AX52" s="2338"/>
      <c r="AY52" s="2338"/>
      <c r="AZ52" s="2338"/>
      <c r="BA52" s="2338"/>
      <c r="BB52" s="2338"/>
      <c r="BC52" s="2338"/>
      <c r="BD52" s="2338"/>
      <c r="BE52" s="2338"/>
      <c r="BF52" s="2338"/>
      <c r="BG52" s="2338"/>
      <c r="BH52" s="2338"/>
      <c r="BI52" s="2338"/>
      <c r="BJ52" s="2338"/>
      <c r="BK52" s="2338"/>
      <c r="BL52" s="2338"/>
      <c r="BM52" s="2338"/>
      <c r="BN52" s="2338"/>
      <c r="BO52" s="2338"/>
      <c r="BP52" s="2338"/>
      <c r="BQ52" s="2338"/>
      <c r="BR52" s="2338"/>
      <c r="BS52" s="2338"/>
      <c r="BT52" s="2338"/>
      <c r="BU52" s="2338"/>
      <c r="BV52" s="2338"/>
      <c r="BW52" s="2338"/>
      <c r="BX52" s="2338"/>
      <c r="BY52" s="2338"/>
      <c r="BZ52" s="2338"/>
      <c r="CA52" s="2338"/>
      <c r="CB52" s="2338"/>
      <c r="CC52" s="2338"/>
      <c r="CD52" s="2338"/>
      <c r="CE52" s="2338"/>
      <c r="CF52" s="2338"/>
      <c r="CG52" s="2338"/>
      <c r="CH52" s="2338"/>
      <c r="CI52" s="2338"/>
      <c r="CJ52" s="2338"/>
      <c r="CK52" s="2338"/>
      <c r="CL52" s="2338"/>
      <c r="CM52" s="2338"/>
      <c r="CN52" s="2338"/>
      <c r="CO52" s="2338"/>
      <c r="CP52" s="2338"/>
      <c r="CQ52" s="2338"/>
      <c r="CR52" s="2338"/>
      <c r="CS52" s="2338"/>
      <c r="CT52" s="2338"/>
      <c r="CU52" s="2338"/>
      <c r="CV52" s="2338"/>
      <c r="CW52" s="2338"/>
      <c r="CX52" s="2338"/>
      <c r="CY52" s="2338"/>
      <c r="CZ52" s="2338"/>
      <c r="DA52" s="2338"/>
      <c r="DB52" s="2338"/>
      <c r="DC52" s="2338"/>
      <c r="DD52" s="2338"/>
      <c r="DE52" s="2338"/>
      <c r="DF52" s="2338"/>
      <c r="DG52" s="2338"/>
      <c r="DH52" s="2338"/>
      <c r="DI52" s="2338"/>
      <c r="DJ52" s="2338"/>
    </row>
    <row r="53" spans="1:114" hidden="1" outlineLevel="1">
      <c r="A53" s="3764"/>
      <c r="B53" s="3210"/>
      <c r="C53" s="3208"/>
      <c r="D53" s="3210"/>
      <c r="E53" s="3029"/>
      <c r="F53" s="2980" t="s">
        <v>3865</v>
      </c>
      <c r="G53" s="3637"/>
      <c r="H53" s="3673"/>
      <c r="I53" s="3673"/>
      <c r="J53" s="3673"/>
      <c r="K53" s="3673"/>
      <c r="L53" s="3673"/>
      <c r="M53" s="3673"/>
      <c r="N53" s="3673"/>
      <c r="O53" s="3673"/>
      <c r="P53" s="3673"/>
      <c r="Q53" s="3673"/>
      <c r="R53" s="3673"/>
      <c r="S53" s="3673"/>
      <c r="T53" s="3673"/>
      <c r="U53" s="3673"/>
      <c r="V53" s="2802" t="str">
        <f>'Приложение 1'!V54</f>
        <v/>
      </c>
      <c r="W53" s="2802" t="str">
        <f>'Приложение 1'!W54</f>
        <v/>
      </c>
      <c r="X53" s="2802" t="str">
        <f>'Приложение 1'!X54</f>
        <v/>
      </c>
      <c r="Y53" s="2802" t="str">
        <f>'Приложение 1'!Y54</f>
        <v/>
      </c>
      <c r="Z53" s="2937"/>
      <c r="AA53" s="2937"/>
      <c r="AB53" s="2937"/>
      <c r="AC53" s="2937"/>
      <c r="AD53" s="2802" t="str">
        <f>'Приложение 1'!AD54</f>
        <v/>
      </c>
      <c r="AE53" s="2802" t="str">
        <f>'Приложение 1'!AE54</f>
        <v/>
      </c>
      <c r="AF53" s="2802" t="str">
        <f>'Приложение 1'!AF54</f>
        <v/>
      </c>
      <c r="AG53" s="2802"/>
      <c r="AH53" s="2802"/>
      <c r="AI53" s="2802"/>
      <c r="AJ53" s="2802" t="str">
        <f>'Приложение 1'!AJ54</f>
        <v/>
      </c>
      <c r="AK53" s="2853"/>
      <c r="AL53" s="2895">
        <f t="shared" si="0"/>
        <v>0</v>
      </c>
      <c r="AM53" s="2566" t="str">
        <f t="shared" si="1"/>
        <v/>
      </c>
      <c r="AN53" s="2338"/>
      <c r="AO53" s="2338"/>
      <c r="AP53" s="2338"/>
      <c r="AQ53" s="2338"/>
      <c r="AR53" s="2338"/>
      <c r="AS53" s="2338"/>
      <c r="AT53" s="2338"/>
      <c r="AU53" s="2338"/>
      <c r="AV53" s="2338"/>
      <c r="AW53" s="2338"/>
      <c r="AX53" s="2338"/>
      <c r="AY53" s="2338"/>
      <c r="AZ53" s="2338"/>
      <c r="BA53" s="2338"/>
      <c r="BB53" s="2338"/>
      <c r="BC53" s="2338"/>
      <c r="BD53" s="2338"/>
      <c r="BE53" s="2338"/>
      <c r="BF53" s="2338"/>
      <c r="BG53" s="2338"/>
      <c r="BH53" s="2338"/>
      <c r="BI53" s="2338"/>
      <c r="BJ53" s="2338"/>
      <c r="BK53" s="2338"/>
      <c r="BL53" s="2338"/>
      <c r="BM53" s="2338"/>
      <c r="BN53" s="2338"/>
      <c r="BO53" s="2338"/>
      <c r="BP53" s="2338"/>
      <c r="BQ53" s="2338"/>
      <c r="BR53" s="2338"/>
      <c r="BS53" s="2338"/>
      <c r="BT53" s="2338"/>
      <c r="BU53" s="2338"/>
      <c r="BV53" s="2338"/>
      <c r="BW53" s="2338"/>
      <c r="BX53" s="2338"/>
      <c r="BY53" s="2338"/>
      <c r="BZ53" s="2338"/>
      <c r="CA53" s="2338"/>
      <c r="CB53" s="2338"/>
      <c r="CC53" s="2338"/>
      <c r="CD53" s="2338"/>
      <c r="CE53" s="2338"/>
      <c r="CF53" s="2338"/>
      <c r="CG53" s="2338"/>
      <c r="CH53" s="2338"/>
      <c r="CI53" s="2338"/>
      <c r="CJ53" s="2338"/>
      <c r="CK53" s="2338"/>
      <c r="CL53" s="2338"/>
      <c r="CM53" s="2338"/>
      <c r="CN53" s="2338"/>
      <c r="CO53" s="2338"/>
      <c r="CP53" s="2338"/>
      <c r="CQ53" s="2338"/>
      <c r="CR53" s="2338"/>
      <c r="CS53" s="2338"/>
      <c r="CT53" s="2338"/>
      <c r="CU53" s="2338"/>
      <c r="CV53" s="2338"/>
      <c r="CW53" s="2338"/>
      <c r="CX53" s="2338"/>
      <c r="CY53" s="2338"/>
      <c r="CZ53" s="2338"/>
      <c r="DA53" s="2338"/>
      <c r="DB53" s="2338"/>
      <c r="DC53" s="2338"/>
      <c r="DD53" s="2338"/>
      <c r="DE53" s="2338"/>
      <c r="DF53" s="2338"/>
      <c r="DG53" s="2338"/>
      <c r="DH53" s="2338"/>
      <c r="DI53" s="2338"/>
      <c r="DJ53" s="2338"/>
    </row>
    <row r="54" spans="1:114" hidden="1" outlineLevel="1">
      <c r="A54" s="3764"/>
      <c r="B54" s="3210"/>
      <c r="C54" s="3208"/>
      <c r="D54" s="3210"/>
      <c r="E54" s="3209" t="s">
        <v>2946</v>
      </c>
      <c r="F54" s="2979" t="s">
        <v>3860</v>
      </c>
      <c r="G54" s="3637"/>
      <c r="H54" s="3673"/>
      <c r="I54" s="3673"/>
      <c r="J54" s="3673"/>
      <c r="K54" s="3673"/>
      <c r="L54" s="3673"/>
      <c r="M54" s="3673"/>
      <c r="N54" s="3673"/>
      <c r="O54" s="3673"/>
      <c r="P54" s="3673"/>
      <c r="Q54" s="3673"/>
      <c r="R54" s="3673"/>
      <c r="S54" s="3673"/>
      <c r="T54" s="3673"/>
      <c r="U54" s="3673"/>
      <c r="V54" s="2802" t="str">
        <f>'Приложение 1'!V55</f>
        <v/>
      </c>
      <c r="W54" s="2802" t="str">
        <f>'Приложение 1'!W55</f>
        <v/>
      </c>
      <c r="X54" s="2802" t="str">
        <f>'Приложение 1'!X55</f>
        <v/>
      </c>
      <c r="Y54" s="2802" t="str">
        <f>'Приложение 1'!Y55</f>
        <v/>
      </c>
      <c r="Z54" s="2937"/>
      <c r="AA54" s="2937"/>
      <c r="AB54" s="2937"/>
      <c r="AC54" s="2937"/>
      <c r="AD54" s="2802" t="str">
        <f>'Приложение 1'!AD55</f>
        <v/>
      </c>
      <c r="AE54" s="2802" t="str">
        <f>'Приложение 1'!AE55</f>
        <v/>
      </c>
      <c r="AF54" s="2802" t="str">
        <f>'Приложение 1'!AF55</f>
        <v/>
      </c>
      <c r="AG54" s="2802"/>
      <c r="AH54" s="2802"/>
      <c r="AI54" s="2802"/>
      <c r="AJ54" s="2802" t="str">
        <f>'Приложение 1'!AJ55</f>
        <v/>
      </c>
      <c r="AK54" s="2853">
        <f>'Утв.СП 2018г'!H57</f>
        <v>13326.6</v>
      </c>
      <c r="AL54" s="2895">
        <f t="shared" si="0"/>
        <v>13947.323921086285</v>
      </c>
      <c r="AM54" s="2566" t="str">
        <f t="shared" si="1"/>
        <v/>
      </c>
      <c r="AN54" s="2338"/>
      <c r="AO54" s="2338"/>
      <c r="AP54" s="2338"/>
      <c r="AQ54" s="2338"/>
      <c r="AR54" s="2338"/>
      <c r="AS54" s="2338"/>
      <c r="AT54" s="2338"/>
      <c r="AU54" s="2338"/>
      <c r="AV54" s="2338"/>
      <c r="AW54" s="2338"/>
      <c r="AX54" s="2338"/>
      <c r="AY54" s="2338"/>
      <c r="AZ54" s="2338"/>
      <c r="BA54" s="2338"/>
      <c r="BB54" s="2338"/>
      <c r="BC54" s="2338"/>
      <c r="BD54" s="2338"/>
      <c r="BE54" s="2338"/>
      <c r="BF54" s="2338"/>
      <c r="BG54" s="2338"/>
      <c r="BH54" s="2338"/>
      <c r="BI54" s="2338"/>
      <c r="BJ54" s="2338"/>
      <c r="BK54" s="2338"/>
      <c r="BL54" s="2338"/>
      <c r="BM54" s="2338"/>
      <c r="BN54" s="2338"/>
      <c r="BO54" s="2338"/>
      <c r="BP54" s="2338"/>
      <c r="BQ54" s="2338"/>
      <c r="BR54" s="2338"/>
      <c r="BS54" s="2338"/>
      <c r="BT54" s="2338"/>
      <c r="BU54" s="2338"/>
      <c r="BV54" s="2338"/>
      <c r="BW54" s="2338"/>
      <c r="BX54" s="2338"/>
      <c r="BY54" s="2338"/>
      <c r="BZ54" s="2338"/>
      <c r="CA54" s="2338"/>
      <c r="CB54" s="2338"/>
      <c r="CC54" s="2338"/>
      <c r="CD54" s="2338"/>
      <c r="CE54" s="2338"/>
      <c r="CF54" s="2338"/>
      <c r="CG54" s="2338"/>
      <c r="CH54" s="2338"/>
      <c r="CI54" s="2338"/>
      <c r="CJ54" s="2338"/>
      <c r="CK54" s="2338"/>
      <c r="CL54" s="2338"/>
      <c r="CM54" s="2338"/>
      <c r="CN54" s="2338"/>
      <c r="CO54" s="2338"/>
      <c r="CP54" s="2338"/>
      <c r="CQ54" s="2338"/>
      <c r="CR54" s="2338"/>
      <c r="CS54" s="2338"/>
      <c r="CT54" s="2338"/>
      <c r="CU54" s="2338"/>
      <c r="CV54" s="2338"/>
      <c r="CW54" s="2338"/>
      <c r="CX54" s="2338"/>
      <c r="CY54" s="2338"/>
      <c r="CZ54" s="2338"/>
      <c r="DA54" s="2338"/>
      <c r="DB54" s="2338"/>
      <c r="DC54" s="2338"/>
      <c r="DD54" s="2338"/>
      <c r="DE54" s="2338"/>
      <c r="DF54" s="2338"/>
      <c r="DG54" s="2338"/>
      <c r="DH54" s="2338"/>
      <c r="DI54" s="2338"/>
      <c r="DJ54" s="2338"/>
    </row>
    <row r="55" spans="1:114" hidden="1" outlineLevel="1">
      <c r="A55" s="3764"/>
      <c r="B55" s="3210"/>
      <c r="C55" s="3208"/>
      <c r="D55" s="3210"/>
      <c r="E55" s="3209"/>
      <c r="F55" s="2979" t="s">
        <v>3861</v>
      </c>
      <c r="G55" s="3637"/>
      <c r="H55" s="3673"/>
      <c r="I55" s="3673"/>
      <c r="J55" s="3673"/>
      <c r="K55" s="3673"/>
      <c r="L55" s="3673"/>
      <c r="M55" s="3673"/>
      <c r="N55" s="3673"/>
      <c r="O55" s="3673"/>
      <c r="P55" s="3673"/>
      <c r="Q55" s="3673"/>
      <c r="R55" s="3673"/>
      <c r="S55" s="3673"/>
      <c r="T55" s="3673"/>
      <c r="U55" s="3673"/>
      <c r="V55" s="2802" t="str">
        <f>'Приложение 1'!V56</f>
        <v/>
      </c>
      <c r="W55" s="2802" t="str">
        <f>'Приложение 1'!W56</f>
        <v/>
      </c>
      <c r="X55" s="2802" t="str">
        <f>'Приложение 1'!X56</f>
        <v/>
      </c>
      <c r="Y55" s="2802" t="str">
        <f>'Приложение 1'!Y56</f>
        <v/>
      </c>
      <c r="Z55" s="2937"/>
      <c r="AA55" s="2937"/>
      <c r="AB55" s="2937"/>
      <c r="AC55" s="2937"/>
      <c r="AD55" s="2802" t="str">
        <f>'Приложение 1'!AD56</f>
        <v/>
      </c>
      <c r="AE55" s="2802" t="str">
        <f>'Приложение 1'!AE56</f>
        <v/>
      </c>
      <c r="AF55" s="2802" t="str">
        <f>'Приложение 1'!AF56</f>
        <v/>
      </c>
      <c r="AG55" s="2802"/>
      <c r="AH55" s="2802"/>
      <c r="AI55" s="2802"/>
      <c r="AJ55" s="2802" t="str">
        <f>'Приложение 1'!AJ56</f>
        <v/>
      </c>
      <c r="AK55" s="2853"/>
      <c r="AL55" s="2895">
        <f t="shared" si="0"/>
        <v>0</v>
      </c>
      <c r="AM55" s="2566" t="str">
        <f t="shared" si="1"/>
        <v/>
      </c>
      <c r="AN55" s="2338"/>
      <c r="AO55" s="2338"/>
      <c r="AP55" s="2338"/>
      <c r="AQ55" s="2338"/>
      <c r="AR55" s="2338"/>
      <c r="AS55" s="2338"/>
      <c r="AT55" s="2338"/>
      <c r="AU55" s="2338"/>
      <c r="AV55" s="2338"/>
      <c r="AW55" s="2338"/>
      <c r="AX55" s="2338"/>
      <c r="AY55" s="2338"/>
      <c r="AZ55" s="2338"/>
      <c r="BA55" s="2338"/>
      <c r="BB55" s="2338"/>
      <c r="BC55" s="2338"/>
      <c r="BD55" s="2338"/>
      <c r="BE55" s="2338"/>
      <c r="BF55" s="2338"/>
      <c r="BG55" s="2338"/>
      <c r="BH55" s="2338"/>
      <c r="BI55" s="2338"/>
      <c r="BJ55" s="2338"/>
      <c r="BK55" s="2338"/>
      <c r="BL55" s="2338"/>
      <c r="BM55" s="2338"/>
      <c r="BN55" s="2338"/>
      <c r="BO55" s="2338"/>
      <c r="BP55" s="2338"/>
      <c r="BQ55" s="2338"/>
      <c r="BR55" s="2338"/>
      <c r="BS55" s="2338"/>
      <c r="BT55" s="2338"/>
      <c r="BU55" s="2338"/>
      <c r="BV55" s="2338"/>
      <c r="BW55" s="2338"/>
      <c r="BX55" s="2338"/>
      <c r="BY55" s="2338"/>
      <c r="BZ55" s="2338"/>
      <c r="CA55" s="2338"/>
      <c r="CB55" s="2338"/>
      <c r="CC55" s="2338"/>
      <c r="CD55" s="2338"/>
      <c r="CE55" s="2338"/>
      <c r="CF55" s="2338"/>
      <c r="CG55" s="2338"/>
      <c r="CH55" s="2338"/>
      <c r="CI55" s="2338"/>
      <c r="CJ55" s="2338"/>
      <c r="CK55" s="2338"/>
      <c r="CL55" s="2338"/>
      <c r="CM55" s="2338"/>
      <c r="CN55" s="2338"/>
      <c r="CO55" s="2338"/>
      <c r="CP55" s="2338"/>
      <c r="CQ55" s="2338"/>
      <c r="CR55" s="2338"/>
      <c r="CS55" s="2338"/>
      <c r="CT55" s="2338"/>
      <c r="CU55" s="2338"/>
      <c r="CV55" s="2338"/>
      <c r="CW55" s="2338"/>
      <c r="CX55" s="2338"/>
      <c r="CY55" s="2338"/>
      <c r="CZ55" s="2338"/>
      <c r="DA55" s="2338"/>
      <c r="DB55" s="2338"/>
      <c r="DC55" s="2338"/>
      <c r="DD55" s="2338"/>
      <c r="DE55" s="2338"/>
      <c r="DF55" s="2338"/>
      <c r="DG55" s="2338"/>
      <c r="DH55" s="2338"/>
      <c r="DI55" s="2338"/>
      <c r="DJ55" s="2338"/>
    </row>
    <row r="56" spans="1:114" hidden="1" outlineLevel="1">
      <c r="A56" s="3764"/>
      <c r="B56" s="3210"/>
      <c r="C56" s="3208"/>
      <c r="D56" s="3210"/>
      <c r="E56" s="3209"/>
      <c r="F56" s="2979" t="s">
        <v>3862</v>
      </c>
      <c r="G56" s="3637"/>
      <c r="H56" s="3673"/>
      <c r="I56" s="3673"/>
      <c r="J56" s="3673"/>
      <c r="K56" s="3673"/>
      <c r="L56" s="3673"/>
      <c r="M56" s="3673"/>
      <c r="N56" s="3673"/>
      <c r="O56" s="3673"/>
      <c r="P56" s="3673"/>
      <c r="Q56" s="3673"/>
      <c r="R56" s="3673"/>
      <c r="S56" s="3673"/>
      <c r="T56" s="3673"/>
      <c r="U56" s="3673"/>
      <c r="V56" s="2802" t="str">
        <f>'Приложение 1'!V57</f>
        <v/>
      </c>
      <c r="W56" s="2802" t="str">
        <f>'Приложение 1'!W57</f>
        <v/>
      </c>
      <c r="X56" s="2802" t="str">
        <f>'Приложение 1'!X57</f>
        <v/>
      </c>
      <c r="Y56" s="2802" t="str">
        <f>'Приложение 1'!Y57</f>
        <v/>
      </c>
      <c r="Z56" s="2937"/>
      <c r="AA56" s="2937"/>
      <c r="AB56" s="2937"/>
      <c r="AC56" s="2937"/>
      <c r="AD56" s="2802" t="str">
        <f>'Приложение 1'!AD57</f>
        <v/>
      </c>
      <c r="AE56" s="2802" t="str">
        <f>'Приложение 1'!AE57</f>
        <v/>
      </c>
      <c r="AF56" s="2802" t="str">
        <f>'Приложение 1'!AF57</f>
        <v/>
      </c>
      <c r="AG56" s="2802"/>
      <c r="AH56" s="2802"/>
      <c r="AI56" s="2802"/>
      <c r="AJ56" s="2802" t="str">
        <f>'Приложение 1'!AJ57</f>
        <v/>
      </c>
      <c r="AK56" s="2853"/>
      <c r="AL56" s="2895">
        <f t="shared" si="0"/>
        <v>0</v>
      </c>
      <c r="AM56" s="2566" t="str">
        <f t="shared" si="1"/>
        <v/>
      </c>
      <c r="AN56" s="2338"/>
      <c r="AO56" s="2338"/>
      <c r="AP56" s="2338"/>
      <c r="AQ56" s="2338"/>
      <c r="AR56" s="2338"/>
      <c r="AS56" s="2338"/>
      <c r="AT56" s="2338"/>
      <c r="AU56" s="2338"/>
      <c r="AV56" s="2338"/>
      <c r="AW56" s="2338"/>
      <c r="AX56" s="2338"/>
      <c r="AY56" s="2338"/>
      <c r="AZ56" s="2338"/>
      <c r="BA56" s="2338"/>
      <c r="BB56" s="2338"/>
      <c r="BC56" s="2338"/>
      <c r="BD56" s="2338"/>
      <c r="BE56" s="2338"/>
      <c r="BF56" s="2338"/>
      <c r="BG56" s="2338"/>
      <c r="BH56" s="2338"/>
      <c r="BI56" s="2338"/>
      <c r="BJ56" s="2338"/>
      <c r="BK56" s="2338"/>
      <c r="BL56" s="2338"/>
      <c r="BM56" s="2338"/>
      <c r="BN56" s="2338"/>
      <c r="BO56" s="2338"/>
      <c r="BP56" s="2338"/>
      <c r="BQ56" s="2338"/>
      <c r="BR56" s="2338"/>
      <c r="BS56" s="2338"/>
      <c r="BT56" s="2338"/>
      <c r="BU56" s="2338"/>
      <c r="BV56" s="2338"/>
      <c r="BW56" s="2338"/>
      <c r="BX56" s="2338"/>
      <c r="BY56" s="2338"/>
      <c r="BZ56" s="2338"/>
      <c r="CA56" s="2338"/>
      <c r="CB56" s="2338"/>
      <c r="CC56" s="2338"/>
      <c r="CD56" s="2338"/>
      <c r="CE56" s="2338"/>
      <c r="CF56" s="2338"/>
      <c r="CG56" s="2338"/>
      <c r="CH56" s="2338"/>
      <c r="CI56" s="2338"/>
      <c r="CJ56" s="2338"/>
      <c r="CK56" s="2338"/>
      <c r="CL56" s="2338"/>
      <c r="CM56" s="2338"/>
      <c r="CN56" s="2338"/>
      <c r="CO56" s="2338"/>
      <c r="CP56" s="2338"/>
      <c r="CQ56" s="2338"/>
      <c r="CR56" s="2338"/>
      <c r="CS56" s="2338"/>
      <c r="CT56" s="2338"/>
      <c r="CU56" s="2338"/>
      <c r="CV56" s="2338"/>
      <c r="CW56" s="2338"/>
      <c r="CX56" s="2338"/>
      <c r="CY56" s="2338"/>
      <c r="CZ56" s="2338"/>
      <c r="DA56" s="2338"/>
      <c r="DB56" s="2338"/>
      <c r="DC56" s="2338"/>
      <c r="DD56" s="2338"/>
      <c r="DE56" s="2338"/>
      <c r="DF56" s="2338"/>
      <c r="DG56" s="2338"/>
      <c r="DH56" s="2338"/>
      <c r="DI56" s="2338"/>
      <c r="DJ56" s="2338"/>
    </row>
    <row r="57" spans="1:114" hidden="1" outlineLevel="1">
      <c r="A57" s="3764"/>
      <c r="B57" s="3210"/>
      <c r="C57" s="3208"/>
      <c r="D57" s="3210"/>
      <c r="E57" s="3209"/>
      <c r="F57" s="2979" t="s">
        <v>3863</v>
      </c>
      <c r="G57" s="3637"/>
      <c r="H57" s="3673"/>
      <c r="I57" s="3673"/>
      <c r="J57" s="3673"/>
      <c r="K57" s="3673"/>
      <c r="L57" s="3673"/>
      <c r="M57" s="3673"/>
      <c r="N57" s="3673"/>
      <c r="O57" s="3673"/>
      <c r="P57" s="3673"/>
      <c r="Q57" s="3673"/>
      <c r="R57" s="3673"/>
      <c r="S57" s="3673"/>
      <c r="T57" s="3673"/>
      <c r="U57" s="3673"/>
      <c r="V57" s="2802" t="str">
        <f>'Приложение 1'!V58</f>
        <v/>
      </c>
      <c r="W57" s="2802" t="str">
        <f>'Приложение 1'!W58</f>
        <v/>
      </c>
      <c r="X57" s="2802" t="str">
        <f>'Приложение 1'!X58</f>
        <v/>
      </c>
      <c r="Y57" s="2802" t="str">
        <f>'Приложение 1'!Y58</f>
        <v/>
      </c>
      <c r="Z57" s="2937"/>
      <c r="AA57" s="2937"/>
      <c r="AB57" s="2937"/>
      <c r="AC57" s="2937"/>
      <c r="AD57" s="2802" t="str">
        <f>'Приложение 1'!AD58</f>
        <v/>
      </c>
      <c r="AE57" s="2802" t="str">
        <f>'Приложение 1'!AE58</f>
        <v/>
      </c>
      <c r="AF57" s="2802" t="str">
        <f>'Приложение 1'!AF58</f>
        <v/>
      </c>
      <c r="AG57" s="2802"/>
      <c r="AH57" s="2802"/>
      <c r="AI57" s="2802"/>
      <c r="AJ57" s="2802" t="str">
        <f>'Приложение 1'!AJ58</f>
        <v/>
      </c>
      <c r="AK57" s="2853"/>
      <c r="AL57" s="2895">
        <f t="shared" si="0"/>
        <v>0</v>
      </c>
      <c r="AM57" s="2566" t="str">
        <f t="shared" si="1"/>
        <v/>
      </c>
      <c r="AN57" s="2338"/>
      <c r="AO57" s="2338"/>
      <c r="AP57" s="2338"/>
      <c r="AQ57" s="2338"/>
      <c r="AR57" s="2338"/>
      <c r="AS57" s="2338"/>
      <c r="AT57" s="2338"/>
      <c r="AU57" s="2338"/>
      <c r="AV57" s="2338"/>
      <c r="AW57" s="2338"/>
      <c r="AX57" s="2338"/>
      <c r="AY57" s="2338"/>
      <c r="AZ57" s="2338"/>
      <c r="BA57" s="2338"/>
      <c r="BB57" s="2338"/>
      <c r="BC57" s="2338"/>
      <c r="BD57" s="2338"/>
      <c r="BE57" s="2338"/>
      <c r="BF57" s="2338"/>
      <c r="BG57" s="2338"/>
      <c r="BH57" s="2338"/>
      <c r="BI57" s="2338"/>
      <c r="BJ57" s="2338"/>
      <c r="BK57" s="2338"/>
      <c r="BL57" s="2338"/>
      <c r="BM57" s="2338"/>
      <c r="BN57" s="2338"/>
      <c r="BO57" s="2338"/>
      <c r="BP57" s="2338"/>
      <c r="BQ57" s="2338"/>
      <c r="BR57" s="2338"/>
      <c r="BS57" s="2338"/>
      <c r="BT57" s="2338"/>
      <c r="BU57" s="2338"/>
      <c r="BV57" s="2338"/>
      <c r="BW57" s="2338"/>
      <c r="BX57" s="2338"/>
      <c r="BY57" s="2338"/>
      <c r="BZ57" s="2338"/>
      <c r="CA57" s="2338"/>
      <c r="CB57" s="2338"/>
      <c r="CC57" s="2338"/>
      <c r="CD57" s="2338"/>
      <c r="CE57" s="2338"/>
      <c r="CF57" s="2338"/>
      <c r="CG57" s="2338"/>
      <c r="CH57" s="2338"/>
      <c r="CI57" s="2338"/>
      <c r="CJ57" s="2338"/>
      <c r="CK57" s="2338"/>
      <c r="CL57" s="2338"/>
      <c r="CM57" s="2338"/>
      <c r="CN57" s="2338"/>
      <c r="CO57" s="2338"/>
      <c r="CP57" s="2338"/>
      <c r="CQ57" s="2338"/>
      <c r="CR57" s="2338"/>
      <c r="CS57" s="2338"/>
      <c r="CT57" s="2338"/>
      <c r="CU57" s="2338"/>
      <c r="CV57" s="2338"/>
      <c r="CW57" s="2338"/>
      <c r="CX57" s="2338"/>
      <c r="CY57" s="2338"/>
      <c r="CZ57" s="2338"/>
      <c r="DA57" s="2338"/>
      <c r="DB57" s="2338"/>
      <c r="DC57" s="2338"/>
      <c r="DD57" s="2338"/>
      <c r="DE57" s="2338"/>
      <c r="DF57" s="2338"/>
      <c r="DG57" s="2338"/>
      <c r="DH57" s="2338"/>
      <c r="DI57" s="2338"/>
      <c r="DJ57" s="2338"/>
    </row>
    <row r="58" spans="1:114" hidden="1" outlineLevel="1">
      <c r="A58" s="3764"/>
      <c r="B58" s="3210"/>
      <c r="C58" s="3208"/>
      <c r="D58" s="3210"/>
      <c r="E58" s="3209"/>
      <c r="F58" s="2980" t="s">
        <v>3864</v>
      </c>
      <c r="G58" s="3637"/>
      <c r="H58" s="3673"/>
      <c r="I58" s="3673"/>
      <c r="J58" s="3673"/>
      <c r="K58" s="3673"/>
      <c r="L58" s="3673"/>
      <c r="M58" s="3673"/>
      <c r="N58" s="3673"/>
      <c r="O58" s="3673"/>
      <c r="P58" s="3673"/>
      <c r="Q58" s="3673"/>
      <c r="R58" s="3673"/>
      <c r="S58" s="3673"/>
      <c r="T58" s="3673"/>
      <c r="U58" s="3673"/>
      <c r="V58" s="2802" t="str">
        <f>'Приложение 1'!V59</f>
        <v/>
      </c>
      <c r="W58" s="2802" t="str">
        <f>'Приложение 1'!W59</f>
        <v/>
      </c>
      <c r="X58" s="2802" t="str">
        <f>'Приложение 1'!X59</f>
        <v/>
      </c>
      <c r="Y58" s="2802" t="str">
        <f>'Приложение 1'!Y59</f>
        <v/>
      </c>
      <c r="Z58" s="2937"/>
      <c r="AA58" s="2937"/>
      <c r="AB58" s="2937"/>
      <c r="AC58" s="2937"/>
      <c r="AD58" s="2802" t="str">
        <f>'Приложение 1'!AD59</f>
        <v/>
      </c>
      <c r="AE58" s="2802" t="str">
        <f>'Приложение 1'!AE59</f>
        <v/>
      </c>
      <c r="AF58" s="2802" t="str">
        <f>'Приложение 1'!AF59</f>
        <v/>
      </c>
      <c r="AG58" s="2802"/>
      <c r="AH58" s="2802"/>
      <c r="AI58" s="2802"/>
      <c r="AJ58" s="2802" t="str">
        <f>'Приложение 1'!AJ59</f>
        <v/>
      </c>
      <c r="AK58" s="2853"/>
      <c r="AL58" s="2895">
        <f t="shared" si="0"/>
        <v>0</v>
      </c>
      <c r="AM58" s="2566" t="str">
        <f t="shared" si="1"/>
        <v/>
      </c>
      <c r="AN58" s="2338"/>
      <c r="AO58" s="2338"/>
      <c r="AP58" s="2338"/>
      <c r="AQ58" s="2338"/>
      <c r="AR58" s="2338"/>
      <c r="AS58" s="2338"/>
      <c r="AT58" s="2338"/>
      <c r="AU58" s="2338"/>
      <c r="AV58" s="2338"/>
      <c r="AW58" s="2338"/>
      <c r="AX58" s="2338"/>
      <c r="AY58" s="2338"/>
      <c r="AZ58" s="2338"/>
      <c r="BA58" s="2338"/>
      <c r="BB58" s="2338"/>
      <c r="BC58" s="2338"/>
      <c r="BD58" s="2338"/>
      <c r="BE58" s="2338"/>
      <c r="BF58" s="2338"/>
      <c r="BG58" s="2338"/>
      <c r="BH58" s="2338"/>
      <c r="BI58" s="2338"/>
      <c r="BJ58" s="2338"/>
      <c r="BK58" s="2338"/>
      <c r="BL58" s="2338"/>
      <c r="BM58" s="2338"/>
      <c r="BN58" s="2338"/>
      <c r="BO58" s="2338"/>
      <c r="BP58" s="2338"/>
      <c r="BQ58" s="2338"/>
      <c r="BR58" s="2338"/>
      <c r="BS58" s="2338"/>
      <c r="BT58" s="2338"/>
      <c r="BU58" s="2338"/>
      <c r="BV58" s="2338"/>
      <c r="BW58" s="2338"/>
      <c r="BX58" s="2338"/>
      <c r="BY58" s="2338"/>
      <c r="BZ58" s="2338"/>
      <c r="CA58" s="2338"/>
      <c r="CB58" s="2338"/>
      <c r="CC58" s="2338"/>
      <c r="CD58" s="2338"/>
      <c r="CE58" s="2338"/>
      <c r="CF58" s="2338"/>
      <c r="CG58" s="2338"/>
      <c r="CH58" s="2338"/>
      <c r="CI58" s="2338"/>
      <c r="CJ58" s="2338"/>
      <c r="CK58" s="2338"/>
      <c r="CL58" s="2338"/>
      <c r="CM58" s="2338"/>
      <c r="CN58" s="2338"/>
      <c r="CO58" s="2338"/>
      <c r="CP58" s="2338"/>
      <c r="CQ58" s="2338"/>
      <c r="CR58" s="2338"/>
      <c r="CS58" s="2338"/>
      <c r="CT58" s="2338"/>
      <c r="CU58" s="2338"/>
      <c r="CV58" s="2338"/>
      <c r="CW58" s="2338"/>
      <c r="CX58" s="2338"/>
      <c r="CY58" s="2338"/>
      <c r="CZ58" s="2338"/>
      <c r="DA58" s="2338"/>
      <c r="DB58" s="2338"/>
      <c r="DC58" s="2338"/>
      <c r="DD58" s="2338"/>
      <c r="DE58" s="2338"/>
      <c r="DF58" s="2338"/>
      <c r="DG58" s="2338"/>
      <c r="DH58" s="2338"/>
      <c r="DI58" s="2338"/>
      <c r="DJ58" s="2338"/>
    </row>
    <row r="59" spans="1:114" hidden="1" outlineLevel="1">
      <c r="A59" s="3764"/>
      <c r="B59" s="3210"/>
      <c r="C59" s="3208"/>
      <c r="D59" s="3210"/>
      <c r="E59" s="3209"/>
      <c r="F59" s="2980" t="s">
        <v>3865</v>
      </c>
      <c r="G59" s="3637"/>
      <c r="H59" s="3673"/>
      <c r="I59" s="3673"/>
      <c r="J59" s="3673"/>
      <c r="K59" s="3673"/>
      <c r="L59" s="3673"/>
      <c r="M59" s="3673"/>
      <c r="N59" s="3673"/>
      <c r="O59" s="3673"/>
      <c r="P59" s="3673"/>
      <c r="Q59" s="3673"/>
      <c r="R59" s="3673"/>
      <c r="S59" s="3673"/>
      <c r="T59" s="3673"/>
      <c r="U59" s="3673"/>
      <c r="V59" s="2802" t="str">
        <f>'Приложение 1'!V60</f>
        <v/>
      </c>
      <c r="W59" s="2802" t="str">
        <f>'Приложение 1'!W60</f>
        <v/>
      </c>
      <c r="X59" s="2802" t="str">
        <f>'Приложение 1'!X60</f>
        <v/>
      </c>
      <c r="Y59" s="2802" t="str">
        <f>'Приложение 1'!Y60</f>
        <v/>
      </c>
      <c r="Z59" s="2937"/>
      <c r="AA59" s="2937"/>
      <c r="AB59" s="2937"/>
      <c r="AC59" s="2937"/>
      <c r="AD59" s="2802" t="str">
        <f>'Приложение 1'!AD60</f>
        <v/>
      </c>
      <c r="AE59" s="2802" t="str">
        <f>'Приложение 1'!AE60</f>
        <v/>
      </c>
      <c r="AF59" s="2802" t="str">
        <f>'Приложение 1'!AF60</f>
        <v/>
      </c>
      <c r="AG59" s="2802"/>
      <c r="AH59" s="2802"/>
      <c r="AI59" s="2802"/>
      <c r="AJ59" s="2802" t="str">
        <f>'Приложение 1'!AJ60</f>
        <v/>
      </c>
      <c r="AK59" s="2853"/>
      <c r="AL59" s="2895">
        <f t="shared" si="0"/>
        <v>0</v>
      </c>
      <c r="AM59" s="2566" t="str">
        <f t="shared" si="1"/>
        <v/>
      </c>
      <c r="AN59" s="2338"/>
      <c r="AO59" s="2338"/>
      <c r="AP59" s="2338"/>
      <c r="AQ59" s="2338"/>
      <c r="AR59" s="2338"/>
      <c r="AS59" s="2338"/>
      <c r="AT59" s="2338"/>
      <c r="AU59" s="2338"/>
      <c r="AV59" s="2338"/>
      <c r="AW59" s="2338"/>
      <c r="AX59" s="2338"/>
      <c r="AY59" s="2338"/>
      <c r="AZ59" s="2338"/>
      <c r="BA59" s="2338"/>
      <c r="BB59" s="2338"/>
      <c r="BC59" s="2338"/>
      <c r="BD59" s="2338"/>
      <c r="BE59" s="2338"/>
      <c r="BF59" s="2338"/>
      <c r="BG59" s="2338"/>
      <c r="BH59" s="2338"/>
      <c r="BI59" s="2338"/>
      <c r="BJ59" s="2338"/>
      <c r="BK59" s="2338"/>
      <c r="BL59" s="2338"/>
      <c r="BM59" s="2338"/>
      <c r="BN59" s="2338"/>
      <c r="BO59" s="2338"/>
      <c r="BP59" s="2338"/>
      <c r="BQ59" s="2338"/>
      <c r="BR59" s="2338"/>
      <c r="BS59" s="2338"/>
      <c r="BT59" s="2338"/>
      <c r="BU59" s="2338"/>
      <c r="BV59" s="2338"/>
      <c r="BW59" s="2338"/>
      <c r="BX59" s="2338"/>
      <c r="BY59" s="2338"/>
      <c r="BZ59" s="2338"/>
      <c r="CA59" s="2338"/>
      <c r="CB59" s="2338"/>
      <c r="CC59" s="2338"/>
      <c r="CD59" s="2338"/>
      <c r="CE59" s="2338"/>
      <c r="CF59" s="2338"/>
      <c r="CG59" s="2338"/>
      <c r="CH59" s="2338"/>
      <c r="CI59" s="2338"/>
      <c r="CJ59" s="2338"/>
      <c r="CK59" s="2338"/>
      <c r="CL59" s="2338"/>
      <c r="CM59" s="2338"/>
      <c r="CN59" s="2338"/>
      <c r="CO59" s="2338"/>
      <c r="CP59" s="2338"/>
      <c r="CQ59" s="2338"/>
      <c r="CR59" s="2338"/>
      <c r="CS59" s="2338"/>
      <c r="CT59" s="2338"/>
      <c r="CU59" s="2338"/>
      <c r="CV59" s="2338"/>
      <c r="CW59" s="2338"/>
      <c r="CX59" s="2338"/>
      <c r="CY59" s="2338"/>
      <c r="CZ59" s="2338"/>
      <c r="DA59" s="2338"/>
      <c r="DB59" s="2338"/>
      <c r="DC59" s="2338"/>
      <c r="DD59" s="2338"/>
      <c r="DE59" s="2338"/>
      <c r="DF59" s="2338"/>
      <c r="DG59" s="2338"/>
      <c r="DH59" s="2338"/>
      <c r="DI59" s="2338"/>
      <c r="DJ59" s="2338"/>
    </row>
    <row r="60" spans="1:114" collapsed="1">
      <c r="A60" s="2338"/>
      <c r="B60" s="2338"/>
      <c r="C60" s="2338"/>
      <c r="D60" s="2338"/>
      <c r="E60" s="2338"/>
      <c r="F60" s="3637"/>
      <c r="G60" s="3637"/>
      <c r="H60" s="3766"/>
      <c r="I60" s="3766"/>
      <c r="J60" s="3766"/>
      <c r="K60" s="3766"/>
      <c r="L60" s="3766"/>
      <c r="M60" s="3766"/>
      <c r="N60" s="3766"/>
      <c r="O60" s="3766"/>
      <c r="P60" s="3766"/>
      <c r="Q60" s="3766"/>
      <c r="R60" s="3766"/>
      <c r="S60" s="3766"/>
      <c r="T60" s="3766"/>
      <c r="U60" s="3766"/>
      <c r="V60" s="2338"/>
      <c r="W60" s="2338"/>
      <c r="X60" s="2338"/>
      <c r="Y60" s="2338"/>
      <c r="Z60" s="2938"/>
      <c r="AA60" s="2938"/>
      <c r="AB60" s="2938"/>
      <c r="AC60" s="2938"/>
      <c r="AD60" s="2338"/>
      <c r="AE60" s="2338"/>
      <c r="AF60" s="2338"/>
      <c r="AG60" s="2338"/>
      <c r="AH60" s="2338"/>
      <c r="AI60" s="2338"/>
      <c r="AJ60" s="2338"/>
      <c r="AK60" s="2338"/>
      <c r="AL60" s="2338"/>
      <c r="AM60" s="2338"/>
      <c r="AN60" s="2338"/>
      <c r="AO60" s="2338"/>
      <c r="AP60" s="2338"/>
      <c r="AQ60" s="2338"/>
      <c r="AR60" s="2338"/>
      <c r="AS60" s="2338"/>
      <c r="AT60" s="2338"/>
      <c r="AU60" s="2338"/>
      <c r="AV60" s="2338"/>
      <c r="AW60" s="2338"/>
      <c r="AX60" s="2338"/>
      <c r="AY60" s="2338"/>
      <c r="AZ60" s="2338"/>
      <c r="BA60" s="2338"/>
      <c r="BB60" s="2338"/>
      <c r="BC60" s="2338"/>
      <c r="BD60" s="2338"/>
      <c r="BE60" s="2338"/>
      <c r="BF60" s="2338"/>
      <c r="BG60" s="2338"/>
      <c r="BH60" s="2338"/>
      <c r="BI60" s="2338"/>
      <c r="BJ60" s="2338"/>
      <c r="BK60" s="2338"/>
      <c r="BL60" s="2338"/>
      <c r="BM60" s="2338"/>
      <c r="BN60" s="2338"/>
      <c r="BO60" s="2338"/>
      <c r="BP60" s="2338"/>
      <c r="BQ60" s="2338"/>
      <c r="BR60" s="2338"/>
      <c r="BS60" s="2338"/>
      <c r="BT60" s="2338"/>
      <c r="BU60" s="2338"/>
      <c r="BV60" s="2338"/>
      <c r="BW60" s="2338"/>
      <c r="BX60" s="2338"/>
      <c r="BY60" s="2338"/>
      <c r="BZ60" s="2338"/>
      <c r="CA60" s="2338"/>
      <c r="CB60" s="2338"/>
      <c r="CC60" s="2338"/>
      <c r="CD60" s="2338"/>
      <c r="CE60" s="2338"/>
      <c r="CF60" s="2338"/>
      <c r="CG60" s="2338"/>
      <c r="CH60" s="2338"/>
      <c r="CI60" s="2338"/>
      <c r="CJ60" s="2338"/>
      <c r="CK60" s="2338"/>
      <c r="CL60" s="2338"/>
      <c r="CM60" s="2338"/>
      <c r="CN60" s="2338"/>
      <c r="CO60" s="2338"/>
      <c r="CP60" s="2338"/>
      <c r="CQ60" s="2338"/>
      <c r="CR60" s="2338"/>
      <c r="CS60" s="2338"/>
      <c r="CT60" s="2338"/>
      <c r="CU60" s="2338"/>
      <c r="CV60" s="2338"/>
      <c r="CW60" s="2338"/>
      <c r="CX60" s="2338"/>
      <c r="CY60" s="2338"/>
      <c r="CZ60" s="2338"/>
      <c r="DA60" s="2338"/>
      <c r="DB60" s="2338"/>
      <c r="DC60" s="2338"/>
      <c r="DD60" s="2338"/>
      <c r="DE60" s="2338"/>
      <c r="DF60" s="2338"/>
      <c r="DG60" s="2338"/>
      <c r="DH60" s="2338"/>
      <c r="DI60" s="2338"/>
      <c r="DJ60" s="2338"/>
    </row>
    <row r="61" spans="1:114">
      <c r="A61" s="2338"/>
      <c r="B61" s="2338"/>
      <c r="C61" s="2338"/>
      <c r="D61" s="2338"/>
      <c r="E61" s="2338"/>
      <c r="F61" s="3637"/>
      <c r="G61" s="3637"/>
      <c r="H61" s="2338"/>
      <c r="I61" s="2338"/>
      <c r="J61" s="2338"/>
      <c r="K61" s="2338"/>
      <c r="L61" s="2338"/>
      <c r="M61" s="2338"/>
      <c r="N61" s="2338"/>
      <c r="O61" s="2338"/>
      <c r="P61" s="2338"/>
      <c r="Q61" s="2338"/>
      <c r="R61" s="2338"/>
      <c r="S61" s="2338"/>
      <c r="T61" s="2338"/>
      <c r="U61" s="2338"/>
      <c r="V61" s="2338"/>
      <c r="W61" s="2338"/>
      <c r="X61" s="2338"/>
      <c r="Y61" s="2338"/>
      <c r="Z61" s="2338"/>
      <c r="AA61" s="2338"/>
      <c r="AB61" s="2338"/>
      <c r="AC61" s="2338"/>
      <c r="AD61" s="2338"/>
      <c r="AE61" s="2338"/>
      <c r="AF61" s="2338"/>
      <c r="AG61" s="2338"/>
      <c r="AH61" s="2338"/>
      <c r="AI61" s="2338"/>
      <c r="AJ61" s="2338"/>
      <c r="AK61" s="2338"/>
      <c r="AL61" s="2338"/>
      <c r="AM61" s="2338"/>
      <c r="AN61" s="2338"/>
      <c r="AO61" s="2338"/>
      <c r="AP61" s="2338"/>
      <c r="AQ61" s="2338"/>
      <c r="AR61" s="2338"/>
      <c r="AS61" s="2338"/>
      <c r="AT61" s="2338"/>
      <c r="AU61" s="2338"/>
      <c r="AV61" s="2338"/>
      <c r="AW61" s="2338"/>
      <c r="AX61" s="2338"/>
      <c r="AY61" s="2338"/>
      <c r="AZ61" s="2338"/>
      <c r="BA61" s="2338"/>
      <c r="BB61" s="2338"/>
      <c r="BC61" s="2338"/>
      <c r="BD61" s="2338"/>
      <c r="BE61" s="2338"/>
      <c r="BF61" s="2338"/>
      <c r="BG61" s="2338"/>
      <c r="BH61" s="2338"/>
      <c r="BI61" s="2338"/>
      <c r="BJ61" s="2338"/>
      <c r="BK61" s="2338"/>
      <c r="BL61" s="2338"/>
      <c r="BM61" s="2338"/>
      <c r="BN61" s="2338"/>
      <c r="BO61" s="2338"/>
      <c r="BP61" s="2338"/>
      <c r="BQ61" s="2338"/>
      <c r="BR61" s="2338"/>
      <c r="BS61" s="2338"/>
      <c r="BT61" s="2338"/>
      <c r="BU61" s="2338"/>
      <c r="BV61" s="2338"/>
      <c r="BW61" s="2338"/>
      <c r="BX61" s="2338"/>
      <c r="BY61" s="2338"/>
      <c r="BZ61" s="2338"/>
      <c r="CA61" s="2338"/>
      <c r="CB61" s="2338"/>
      <c r="CC61" s="2338"/>
      <c r="CD61" s="2338"/>
      <c r="CE61" s="2338"/>
      <c r="CF61" s="2338"/>
      <c r="CG61" s="2338"/>
      <c r="CH61" s="2338"/>
      <c r="CI61" s="2338"/>
      <c r="CJ61" s="2338"/>
      <c r="CK61" s="2338"/>
      <c r="CL61" s="2338"/>
      <c r="CM61" s="2338"/>
      <c r="CN61" s="2338"/>
      <c r="CO61" s="2338"/>
      <c r="CP61" s="2338"/>
      <c r="CQ61" s="2338"/>
      <c r="CR61" s="2338"/>
      <c r="CS61" s="2338"/>
      <c r="CT61" s="2338"/>
      <c r="CU61" s="2338"/>
      <c r="CV61" s="2338"/>
      <c r="CW61" s="2338"/>
      <c r="CX61" s="2338"/>
      <c r="CY61" s="2338"/>
      <c r="CZ61" s="2338"/>
      <c r="DA61" s="2338"/>
      <c r="DB61" s="2338"/>
      <c r="DC61" s="2338"/>
      <c r="DD61" s="2338"/>
      <c r="DE61" s="2338"/>
      <c r="DF61" s="2338"/>
      <c r="DG61" s="2338"/>
      <c r="DH61" s="2338"/>
      <c r="DI61" s="2338"/>
      <c r="DJ61" s="2338"/>
    </row>
    <row r="62" spans="1:114">
      <c r="A62" s="2338"/>
      <c r="B62" s="2338"/>
      <c r="C62" s="2338"/>
      <c r="D62" s="2338"/>
      <c r="E62" s="2338"/>
      <c r="F62" s="3637"/>
      <c r="G62" s="3637"/>
      <c r="H62" s="2338"/>
      <c r="I62" s="2338"/>
      <c r="J62" s="2338"/>
      <c r="K62" s="2338"/>
      <c r="L62" s="2338"/>
      <c r="M62" s="2338"/>
      <c r="N62" s="2338"/>
      <c r="O62" s="2338"/>
      <c r="P62" s="2338"/>
      <c r="Q62" s="2338"/>
      <c r="R62" s="2338"/>
      <c r="S62" s="2338"/>
      <c r="T62" s="2338"/>
      <c r="U62" s="2338"/>
      <c r="V62" s="2338"/>
      <c r="W62" s="2338"/>
      <c r="X62" s="2338"/>
      <c r="Y62" s="2338"/>
      <c r="Z62" s="2338"/>
      <c r="AA62" s="2338"/>
      <c r="AB62" s="2338"/>
      <c r="AC62" s="2338"/>
      <c r="AD62" s="2338"/>
      <c r="AE62" s="2338"/>
      <c r="AF62" s="2338"/>
      <c r="AG62" s="2338"/>
      <c r="AH62" s="2338"/>
      <c r="AI62" s="2338"/>
      <c r="AJ62" s="2338"/>
      <c r="AK62" s="2338"/>
      <c r="AL62" s="2338"/>
      <c r="AM62" s="2338"/>
      <c r="AN62" s="2338"/>
      <c r="AO62" s="2338"/>
      <c r="AP62" s="2338"/>
      <c r="AQ62" s="2338"/>
      <c r="AR62" s="2338"/>
      <c r="AS62" s="2338"/>
      <c r="AT62" s="2338"/>
      <c r="AU62" s="2338"/>
      <c r="AV62" s="2338"/>
      <c r="AW62" s="2338"/>
      <c r="AX62" s="2338"/>
      <c r="AY62" s="2338"/>
      <c r="AZ62" s="2338"/>
      <c r="BA62" s="2338"/>
      <c r="BB62" s="2338"/>
      <c r="BC62" s="2338"/>
      <c r="BD62" s="2338"/>
      <c r="BE62" s="2338"/>
      <c r="BF62" s="2338"/>
      <c r="BG62" s="2338"/>
      <c r="BH62" s="2338"/>
      <c r="BI62" s="2338"/>
      <c r="BJ62" s="2338"/>
      <c r="BK62" s="2338"/>
      <c r="BL62" s="2338"/>
      <c r="BM62" s="2338"/>
      <c r="BN62" s="2338"/>
      <c r="BO62" s="2338"/>
      <c r="BP62" s="2338"/>
      <c r="BQ62" s="2338"/>
      <c r="BR62" s="2338"/>
      <c r="BS62" s="2338"/>
      <c r="BT62" s="2338"/>
      <c r="BU62" s="2338"/>
      <c r="BV62" s="2338"/>
      <c r="BW62" s="2338"/>
      <c r="BX62" s="2338"/>
      <c r="BY62" s="2338"/>
      <c r="BZ62" s="2338"/>
      <c r="CA62" s="2338"/>
      <c r="CB62" s="2338"/>
      <c r="CC62" s="2338"/>
      <c r="CD62" s="2338"/>
      <c r="CE62" s="2338"/>
      <c r="CF62" s="2338"/>
      <c r="CG62" s="2338"/>
      <c r="CH62" s="2338"/>
      <c r="CI62" s="2338"/>
      <c r="CJ62" s="2338"/>
      <c r="CK62" s="2338"/>
      <c r="CL62" s="2338"/>
      <c r="CM62" s="2338"/>
      <c r="CN62" s="2338"/>
      <c r="CO62" s="2338"/>
      <c r="CP62" s="2338"/>
      <c r="CQ62" s="2338"/>
      <c r="CR62" s="2338"/>
      <c r="CS62" s="2338"/>
      <c r="CT62" s="2338"/>
      <c r="CU62" s="2338"/>
      <c r="CV62" s="2338"/>
      <c r="CW62" s="2338"/>
      <c r="CX62" s="2338"/>
      <c r="CY62" s="2338"/>
      <c r="CZ62" s="2338"/>
      <c r="DA62" s="2338"/>
      <c r="DB62" s="2338"/>
      <c r="DC62" s="2338"/>
      <c r="DD62" s="2338"/>
      <c r="DE62" s="2338"/>
      <c r="DF62" s="2338"/>
      <c r="DG62" s="2338"/>
      <c r="DH62" s="2338"/>
      <c r="DI62" s="2338"/>
      <c r="DJ62" s="2338"/>
    </row>
    <row r="63" spans="1:114">
      <c r="A63" s="2338"/>
      <c r="B63" s="2338"/>
      <c r="C63" s="2338"/>
      <c r="D63" s="2338"/>
      <c r="E63" s="2338"/>
      <c r="F63" s="3637"/>
      <c r="G63" s="3637"/>
      <c r="H63" s="2338"/>
      <c r="I63" s="2338"/>
      <c r="J63" s="2338"/>
      <c r="K63" s="2338"/>
      <c r="L63" s="2338"/>
      <c r="M63" s="2338"/>
      <c r="N63" s="2338"/>
      <c r="O63" s="2338"/>
      <c r="P63" s="2338"/>
      <c r="Q63" s="2338"/>
      <c r="R63" s="2338"/>
      <c r="S63" s="2338"/>
      <c r="T63" s="2338"/>
      <c r="U63" s="2338"/>
      <c r="V63" s="2338"/>
      <c r="W63" s="2338"/>
      <c r="X63" s="2338"/>
      <c r="Y63" s="2338"/>
      <c r="Z63" s="2338"/>
      <c r="AA63" s="2338"/>
      <c r="AB63" s="2338"/>
      <c r="AC63" s="2338"/>
      <c r="AD63" s="2338"/>
      <c r="AE63" s="2338"/>
      <c r="AF63" s="2338"/>
      <c r="AG63" s="2338"/>
      <c r="AH63" s="2338"/>
      <c r="AI63" s="2338"/>
      <c r="AJ63" s="2338"/>
      <c r="AK63" s="2338"/>
      <c r="AL63" s="2338"/>
      <c r="AM63" s="2338"/>
      <c r="AN63" s="2338"/>
      <c r="AO63" s="2338"/>
      <c r="AP63" s="2338"/>
      <c r="AQ63" s="2338"/>
      <c r="AR63" s="2338"/>
      <c r="AS63" s="2338"/>
      <c r="AT63" s="2338"/>
      <c r="AU63" s="2338"/>
      <c r="AV63" s="2338"/>
      <c r="AW63" s="2338"/>
      <c r="AX63" s="2338"/>
      <c r="AY63" s="2338"/>
      <c r="AZ63" s="2338"/>
      <c r="BA63" s="2338"/>
      <c r="BB63" s="2338"/>
      <c r="BC63" s="2338"/>
      <c r="BD63" s="2338"/>
      <c r="BE63" s="2338"/>
      <c r="BF63" s="2338"/>
      <c r="BG63" s="2338"/>
      <c r="BH63" s="2338"/>
      <c r="BI63" s="2338"/>
      <c r="BJ63" s="2338"/>
      <c r="BK63" s="2338"/>
      <c r="BL63" s="2338"/>
      <c r="BM63" s="2338"/>
      <c r="BN63" s="2338"/>
      <c r="BO63" s="2338"/>
      <c r="BP63" s="2338"/>
      <c r="BQ63" s="2338"/>
      <c r="BR63" s="2338"/>
      <c r="BS63" s="2338"/>
      <c r="BT63" s="2338"/>
      <c r="BU63" s="2338"/>
      <c r="BV63" s="2338"/>
      <c r="BW63" s="2338"/>
      <c r="BX63" s="2338"/>
      <c r="BY63" s="2338"/>
      <c r="BZ63" s="2338"/>
      <c r="CA63" s="2338"/>
      <c r="CB63" s="2338"/>
      <c r="CC63" s="2338"/>
      <c r="CD63" s="2338"/>
      <c r="CE63" s="2338"/>
      <c r="CF63" s="2338"/>
      <c r="CG63" s="2338"/>
      <c r="CH63" s="2338"/>
      <c r="CI63" s="2338"/>
      <c r="CJ63" s="2338"/>
      <c r="CK63" s="2338"/>
      <c r="CL63" s="2338"/>
      <c r="CM63" s="2338"/>
      <c r="CN63" s="2338"/>
      <c r="CO63" s="2338"/>
      <c r="CP63" s="2338"/>
      <c r="CQ63" s="2338"/>
      <c r="CR63" s="2338"/>
      <c r="CS63" s="2338"/>
      <c r="CT63" s="2338"/>
      <c r="CU63" s="2338"/>
      <c r="CV63" s="2338"/>
      <c r="CW63" s="2338"/>
      <c r="CX63" s="2338"/>
      <c r="CY63" s="2338"/>
      <c r="CZ63" s="2338"/>
      <c r="DA63" s="2338"/>
      <c r="DB63" s="2338"/>
      <c r="DC63" s="2338"/>
      <c r="DD63" s="2338"/>
      <c r="DE63" s="2338"/>
      <c r="DF63" s="2338"/>
      <c r="DG63" s="2338"/>
      <c r="DH63" s="2338"/>
      <c r="DI63" s="2338"/>
      <c r="DJ63" s="2338"/>
    </row>
    <row r="64" spans="1:114">
      <c r="A64" s="2338"/>
      <c r="B64" s="2338"/>
      <c r="C64" s="2338"/>
      <c r="D64" s="2338"/>
      <c r="E64" s="2338"/>
      <c r="F64" s="3637"/>
      <c r="G64" s="3637"/>
      <c r="H64" s="2338"/>
      <c r="I64" s="2338"/>
      <c r="J64" s="2338"/>
      <c r="K64" s="2338"/>
      <c r="L64" s="2338"/>
      <c r="M64" s="2338"/>
      <c r="N64" s="2338"/>
      <c r="O64" s="2338"/>
      <c r="P64" s="2338"/>
      <c r="Q64" s="2338"/>
      <c r="R64" s="2338"/>
      <c r="S64" s="2338"/>
      <c r="T64" s="2338"/>
      <c r="U64" s="2338"/>
      <c r="V64" s="2338"/>
      <c r="W64" s="2338"/>
      <c r="X64" s="2338"/>
      <c r="Y64" s="2338"/>
      <c r="Z64" s="2338"/>
      <c r="AA64" s="2338"/>
      <c r="AB64" s="2338"/>
      <c r="AC64" s="2338"/>
      <c r="AD64" s="2338"/>
      <c r="AE64" s="2338"/>
      <c r="AF64" s="2338"/>
      <c r="AG64" s="2338"/>
      <c r="AH64" s="2338"/>
      <c r="AI64" s="2338"/>
      <c r="AJ64" s="2338"/>
      <c r="AK64" s="2338"/>
      <c r="AL64" s="2338"/>
      <c r="AM64" s="2338"/>
      <c r="AN64" s="2338"/>
      <c r="AO64" s="2338"/>
      <c r="AP64" s="2338"/>
      <c r="AQ64" s="2338"/>
      <c r="AR64" s="2338"/>
      <c r="AS64" s="2338"/>
      <c r="AT64" s="2338"/>
      <c r="AU64" s="2338"/>
      <c r="AV64" s="2338"/>
      <c r="AW64" s="2338"/>
      <c r="AX64" s="2338"/>
      <c r="AY64" s="2338"/>
      <c r="AZ64" s="2338"/>
      <c r="BA64" s="2338"/>
      <c r="BB64" s="2338"/>
      <c r="BC64" s="2338"/>
      <c r="BD64" s="2338"/>
      <c r="BE64" s="2338"/>
      <c r="BF64" s="2338"/>
      <c r="BG64" s="2338"/>
      <c r="BH64" s="2338"/>
      <c r="BI64" s="2338"/>
      <c r="BJ64" s="2338"/>
      <c r="BK64" s="2338"/>
      <c r="BL64" s="2338"/>
      <c r="BM64" s="2338"/>
      <c r="BN64" s="2338"/>
      <c r="BO64" s="2338"/>
      <c r="BP64" s="2338"/>
      <c r="BQ64" s="2338"/>
      <c r="BR64" s="2338"/>
      <c r="BS64" s="2338"/>
      <c r="BT64" s="2338"/>
      <c r="BU64" s="2338"/>
      <c r="BV64" s="2338"/>
      <c r="BW64" s="2338"/>
      <c r="BX64" s="2338"/>
      <c r="BY64" s="2338"/>
      <c r="BZ64" s="2338"/>
      <c r="CA64" s="2338"/>
      <c r="CB64" s="2338"/>
      <c r="CC64" s="2338"/>
      <c r="CD64" s="2338"/>
      <c r="CE64" s="2338"/>
      <c r="CF64" s="2338"/>
      <c r="CG64" s="2338"/>
      <c r="CH64" s="2338"/>
      <c r="CI64" s="2338"/>
      <c r="CJ64" s="2338"/>
      <c r="CK64" s="2338"/>
      <c r="CL64" s="2338"/>
      <c r="CM64" s="2338"/>
      <c r="CN64" s="2338"/>
      <c r="CO64" s="2338"/>
      <c r="CP64" s="2338"/>
      <c r="CQ64" s="2338"/>
      <c r="CR64" s="2338"/>
      <c r="CS64" s="2338"/>
      <c r="CT64" s="2338"/>
      <c r="CU64" s="2338"/>
      <c r="CV64" s="2338"/>
      <c r="CW64" s="2338"/>
      <c r="CX64" s="2338"/>
      <c r="CY64" s="2338"/>
      <c r="CZ64" s="2338"/>
      <c r="DA64" s="2338"/>
      <c r="DB64" s="2338"/>
      <c r="DC64" s="2338"/>
      <c r="DD64" s="2338"/>
      <c r="DE64" s="2338"/>
      <c r="DF64" s="2338"/>
      <c r="DG64" s="2338"/>
      <c r="DH64" s="2338"/>
      <c r="DI64" s="2338"/>
      <c r="DJ64" s="2338"/>
    </row>
    <row r="65" spans="1:114">
      <c r="A65" s="2338"/>
      <c r="B65" s="2338"/>
      <c r="C65" s="2338"/>
      <c r="D65" s="2338"/>
      <c r="E65" s="2338"/>
      <c r="F65" s="3637"/>
      <c r="G65" s="3637"/>
      <c r="H65" s="2338"/>
      <c r="I65" s="2338"/>
      <c r="J65" s="2338"/>
      <c r="K65" s="2338"/>
      <c r="L65" s="2338"/>
      <c r="M65" s="2338"/>
      <c r="N65" s="2338"/>
      <c r="O65" s="2338"/>
      <c r="P65" s="2338"/>
      <c r="Q65" s="2338"/>
      <c r="R65" s="2338"/>
      <c r="S65" s="2338"/>
      <c r="T65" s="2338"/>
      <c r="U65" s="2338"/>
      <c r="V65" s="2338"/>
      <c r="W65" s="2338"/>
      <c r="X65" s="2338"/>
      <c r="Y65" s="2338"/>
      <c r="Z65" s="2338"/>
      <c r="AA65" s="2338"/>
      <c r="AB65" s="2338"/>
      <c r="AC65" s="2338"/>
      <c r="AD65" s="2338"/>
      <c r="AE65" s="2338"/>
      <c r="AF65" s="2338"/>
      <c r="AG65" s="2338"/>
      <c r="AH65" s="2338"/>
      <c r="AI65" s="2338"/>
      <c r="AJ65" s="2338"/>
      <c r="AK65" s="2338"/>
      <c r="AL65" s="2338"/>
      <c r="AM65" s="2338"/>
      <c r="AN65" s="2338"/>
      <c r="AO65" s="2338"/>
      <c r="AP65" s="2338"/>
      <c r="AQ65" s="2338"/>
      <c r="AR65" s="2338"/>
      <c r="AS65" s="2338"/>
      <c r="AT65" s="2338"/>
      <c r="AU65" s="2338"/>
      <c r="AV65" s="2338"/>
      <c r="AW65" s="2338"/>
      <c r="AX65" s="2338"/>
      <c r="AY65" s="2338"/>
      <c r="AZ65" s="2338"/>
      <c r="BA65" s="2338"/>
      <c r="BB65" s="2338"/>
      <c r="BC65" s="2338"/>
      <c r="BD65" s="2338"/>
      <c r="BE65" s="2338"/>
      <c r="BF65" s="2338"/>
      <c r="BG65" s="2338"/>
      <c r="BH65" s="2338"/>
      <c r="BI65" s="2338"/>
      <c r="BJ65" s="2338"/>
      <c r="BK65" s="2338"/>
      <c r="BL65" s="2338"/>
      <c r="BM65" s="2338"/>
      <c r="BN65" s="2338"/>
      <c r="BO65" s="2338"/>
      <c r="BP65" s="2338"/>
      <c r="BQ65" s="2338"/>
      <c r="BR65" s="2338"/>
      <c r="BS65" s="2338"/>
      <c r="BT65" s="2338"/>
      <c r="BU65" s="2338"/>
      <c r="BV65" s="2338"/>
      <c r="BW65" s="2338"/>
      <c r="BX65" s="2338"/>
      <c r="BY65" s="2338"/>
      <c r="BZ65" s="2338"/>
      <c r="CA65" s="2338"/>
      <c r="CB65" s="2338"/>
      <c r="CC65" s="2338"/>
      <c r="CD65" s="2338"/>
      <c r="CE65" s="2338"/>
      <c r="CF65" s="2338"/>
      <c r="CG65" s="2338"/>
      <c r="CH65" s="2338"/>
      <c r="CI65" s="2338"/>
      <c r="CJ65" s="2338"/>
      <c r="CK65" s="2338"/>
      <c r="CL65" s="2338"/>
      <c r="CM65" s="2338"/>
      <c r="CN65" s="2338"/>
      <c r="CO65" s="2338"/>
      <c r="CP65" s="2338"/>
      <c r="CQ65" s="2338"/>
      <c r="CR65" s="2338"/>
      <c r="CS65" s="2338"/>
      <c r="CT65" s="2338"/>
      <c r="CU65" s="2338"/>
      <c r="CV65" s="2338"/>
      <c r="CW65" s="2338"/>
      <c r="CX65" s="2338"/>
      <c r="CY65" s="2338"/>
      <c r="CZ65" s="2338"/>
      <c r="DA65" s="2338"/>
      <c r="DB65" s="2338"/>
      <c r="DC65" s="2338"/>
      <c r="DD65" s="2338"/>
      <c r="DE65" s="2338"/>
      <c r="DF65" s="2338"/>
      <c r="DG65" s="2338"/>
      <c r="DH65" s="2338"/>
      <c r="DI65" s="2338"/>
      <c r="DJ65" s="2338"/>
    </row>
    <row r="66" spans="1:114">
      <c r="A66" s="2338"/>
      <c r="B66" s="2338"/>
      <c r="C66" s="2338"/>
      <c r="D66" s="2338"/>
      <c r="E66" s="2338"/>
      <c r="F66" s="3637"/>
      <c r="G66" s="3637"/>
      <c r="H66" s="2338"/>
      <c r="I66" s="2338"/>
      <c r="J66" s="2338"/>
      <c r="K66" s="2338"/>
      <c r="L66" s="2338"/>
      <c r="M66" s="2338"/>
      <c r="N66" s="2338"/>
      <c r="O66" s="2338"/>
      <c r="P66" s="2338"/>
      <c r="Q66" s="2338"/>
      <c r="R66" s="2338"/>
      <c r="S66" s="2338"/>
      <c r="T66" s="2338"/>
      <c r="U66" s="2338"/>
      <c r="V66" s="2338"/>
      <c r="W66" s="2338"/>
      <c r="X66" s="2338"/>
      <c r="Y66" s="2338"/>
      <c r="Z66" s="2338"/>
      <c r="AA66" s="2338"/>
      <c r="AB66" s="2338"/>
      <c r="AC66" s="2338"/>
      <c r="AD66" s="2338"/>
      <c r="AE66" s="2338"/>
      <c r="AF66" s="2338"/>
      <c r="AG66" s="2338"/>
      <c r="AH66" s="2338"/>
      <c r="AI66" s="2338"/>
      <c r="AJ66" s="2338"/>
      <c r="AK66" s="2338"/>
      <c r="AL66" s="2338"/>
      <c r="AM66" s="2338"/>
      <c r="AN66" s="2338"/>
      <c r="AO66" s="2338"/>
      <c r="AP66" s="2338"/>
      <c r="AQ66" s="2338"/>
      <c r="AR66" s="2338"/>
      <c r="AS66" s="2338"/>
      <c r="AT66" s="2338"/>
      <c r="AU66" s="2338"/>
      <c r="AV66" s="2338"/>
      <c r="AW66" s="2338"/>
      <c r="AX66" s="2338"/>
      <c r="AY66" s="2338"/>
      <c r="AZ66" s="2338"/>
      <c r="BA66" s="2338"/>
      <c r="BB66" s="2338"/>
      <c r="BC66" s="2338"/>
      <c r="BD66" s="2338"/>
      <c r="BE66" s="2338"/>
      <c r="BF66" s="2338"/>
      <c r="BG66" s="2338"/>
      <c r="BH66" s="2338"/>
      <c r="BI66" s="2338"/>
      <c r="BJ66" s="2338"/>
      <c r="BK66" s="2338"/>
      <c r="BL66" s="2338"/>
      <c r="BM66" s="2338"/>
      <c r="BN66" s="2338"/>
      <c r="BO66" s="2338"/>
      <c r="BP66" s="2338"/>
      <c r="BQ66" s="2338"/>
      <c r="BR66" s="2338"/>
      <c r="BS66" s="2338"/>
      <c r="BT66" s="2338"/>
      <c r="BU66" s="2338"/>
      <c r="BV66" s="2338"/>
      <c r="BW66" s="2338"/>
      <c r="BX66" s="2338"/>
      <c r="BY66" s="2338"/>
      <c r="BZ66" s="2338"/>
      <c r="CA66" s="2338"/>
      <c r="CB66" s="2338"/>
      <c r="CC66" s="2338"/>
      <c r="CD66" s="2338"/>
      <c r="CE66" s="2338"/>
      <c r="CF66" s="2338"/>
      <c r="CG66" s="2338"/>
      <c r="CH66" s="2338"/>
      <c r="CI66" s="2338"/>
      <c r="CJ66" s="2338"/>
      <c r="CK66" s="2338"/>
      <c r="CL66" s="2338"/>
      <c r="CM66" s="2338"/>
      <c r="CN66" s="2338"/>
      <c r="CO66" s="2338"/>
      <c r="CP66" s="2338"/>
      <c r="CQ66" s="2338"/>
      <c r="CR66" s="2338"/>
      <c r="CS66" s="2338"/>
      <c r="CT66" s="2338"/>
      <c r="CU66" s="2338"/>
      <c r="CV66" s="2338"/>
      <c r="CW66" s="2338"/>
      <c r="CX66" s="2338"/>
      <c r="CY66" s="2338"/>
      <c r="CZ66" s="2338"/>
      <c r="DA66" s="2338"/>
      <c r="DB66" s="2338"/>
      <c r="DC66" s="2338"/>
      <c r="DD66" s="2338"/>
      <c r="DE66" s="2338"/>
      <c r="DF66" s="2338"/>
      <c r="DG66" s="2338"/>
      <c r="DH66" s="2338"/>
      <c r="DI66" s="2338"/>
      <c r="DJ66" s="2338"/>
    </row>
    <row r="67" spans="1:114" ht="18.75">
      <c r="A67" s="3217"/>
      <c r="B67" s="3217"/>
      <c r="C67" s="3217"/>
      <c r="D67" s="3217"/>
      <c r="E67" s="3217"/>
      <c r="F67" s="3217"/>
      <c r="G67" s="3761" t="str">
        <f>'Приложение 1'!G67</f>
        <v>ВЛ 6-10 кВ (до 670 кВт)</v>
      </c>
      <c r="H67" s="3761"/>
      <c r="I67" s="3761"/>
      <c r="J67" s="3761"/>
      <c r="K67" s="3761"/>
      <c r="L67" s="3761"/>
      <c r="M67" s="3761"/>
      <c r="N67" s="3761"/>
      <c r="O67" s="3761"/>
      <c r="P67" s="3761"/>
      <c r="Q67" s="3761"/>
      <c r="R67" s="3761"/>
      <c r="S67" s="3761"/>
      <c r="T67" s="3761"/>
      <c r="U67" s="3761"/>
      <c r="V67" s="2313"/>
      <c r="W67" s="2313"/>
      <c r="X67" s="2313"/>
      <c r="Y67" s="2313"/>
      <c r="AN67" s="2338"/>
      <c r="AO67" s="2338"/>
      <c r="AP67" s="2338"/>
      <c r="AQ67" s="2338"/>
      <c r="AR67" s="2338"/>
      <c r="AS67" s="2338"/>
      <c r="AT67" s="2338"/>
      <c r="AU67" s="2338"/>
      <c r="AV67" s="2338"/>
      <c r="AW67" s="2338"/>
      <c r="AX67" s="2338"/>
      <c r="AY67" s="2338"/>
      <c r="AZ67" s="2338"/>
      <c r="BA67" s="2338"/>
      <c r="BB67" s="2338"/>
      <c r="BC67" s="2338"/>
      <c r="BD67" s="2338"/>
      <c r="BE67" s="2338"/>
      <c r="BF67" s="2338"/>
      <c r="BG67" s="2338"/>
      <c r="BH67" s="2338"/>
      <c r="BI67" s="2338"/>
      <c r="BJ67" s="2338"/>
      <c r="BK67" s="2338"/>
      <c r="BL67" s="2338"/>
      <c r="BM67" s="2338"/>
      <c r="BN67" s="2338"/>
      <c r="BO67" s="2338"/>
      <c r="BP67" s="2338"/>
      <c r="BQ67" s="2338"/>
      <c r="BR67" s="2338"/>
      <c r="BS67" s="2338"/>
      <c r="BT67" s="2338"/>
      <c r="BU67" s="2338"/>
      <c r="BV67" s="2338"/>
      <c r="BW67" s="2338"/>
      <c r="BX67" s="2338"/>
      <c r="BY67" s="2338"/>
      <c r="BZ67" s="2338"/>
      <c r="CA67" s="2338"/>
      <c r="CB67" s="2338"/>
      <c r="CC67" s="2338"/>
      <c r="CD67" s="2338"/>
      <c r="CE67" s="2338"/>
      <c r="CF67" s="2338"/>
      <c r="CG67" s="2338"/>
      <c r="CH67" s="2338"/>
      <c r="CI67" s="2338"/>
      <c r="CJ67" s="2338"/>
      <c r="CK67" s="2338"/>
      <c r="CL67" s="2338"/>
      <c r="CM67" s="2338"/>
      <c r="CN67" s="2338"/>
      <c r="CO67" s="2338"/>
      <c r="CP67" s="2338"/>
      <c r="CQ67" s="2338"/>
      <c r="CR67" s="2338"/>
      <c r="CS67" s="2338"/>
      <c r="CT67" s="2338"/>
      <c r="CU67" s="2338"/>
      <c r="CV67" s="2338"/>
      <c r="CW67" s="2338"/>
      <c r="CX67" s="2338"/>
      <c r="CY67" s="2338"/>
      <c r="CZ67" s="2338"/>
      <c r="DA67" s="2338"/>
      <c r="DB67" s="2338"/>
      <c r="DC67" s="2338"/>
      <c r="DD67" s="2338"/>
      <c r="DE67" s="2338"/>
      <c r="DF67" s="2338"/>
      <c r="DG67" s="2338"/>
      <c r="DH67" s="2338"/>
      <c r="DI67" s="2338"/>
      <c r="DJ67" s="2338"/>
    </row>
    <row r="68" spans="1:114" ht="60">
      <c r="A68" s="3208" t="s">
        <v>0</v>
      </c>
      <c r="B68" s="3209" t="s">
        <v>3849</v>
      </c>
      <c r="C68" s="3210" t="s">
        <v>3850</v>
      </c>
      <c r="D68" s="3209" t="s">
        <v>3851</v>
      </c>
      <c r="E68" s="3209" t="s">
        <v>3852</v>
      </c>
      <c r="F68" s="3209" t="s">
        <v>3853</v>
      </c>
      <c r="G68" s="3209" t="s">
        <v>3854</v>
      </c>
      <c r="H68" s="3216" t="s">
        <v>3855</v>
      </c>
      <c r="I68" s="3216"/>
      <c r="J68" s="3216"/>
      <c r="K68" s="3216"/>
      <c r="L68" s="3216"/>
      <c r="M68" s="3216" t="s">
        <v>3856</v>
      </c>
      <c r="N68" s="3216"/>
      <c r="O68" s="3216"/>
      <c r="P68" s="3216"/>
      <c r="Q68" s="3216"/>
      <c r="R68" s="3216" t="s">
        <v>3857</v>
      </c>
      <c r="S68" s="3216"/>
      <c r="T68" s="3216"/>
      <c r="U68" s="3216"/>
      <c r="V68" s="3213" t="s">
        <v>3978</v>
      </c>
      <c r="W68" s="3213"/>
      <c r="X68" s="3213"/>
      <c r="Y68" s="3213"/>
      <c r="Z68" s="3214" t="s">
        <v>3858</v>
      </c>
      <c r="AA68" s="3214"/>
      <c r="AB68" s="3214"/>
      <c r="AC68" s="3214"/>
      <c r="AD68" s="3212" t="s">
        <v>3979</v>
      </c>
      <c r="AE68" s="3212"/>
      <c r="AF68" s="3212"/>
      <c r="AG68" s="3212"/>
      <c r="AH68" s="2929" t="s">
        <v>3980</v>
      </c>
      <c r="AI68" s="2934" t="s">
        <v>3974</v>
      </c>
      <c r="AJ68" s="2934" t="s">
        <v>3975</v>
      </c>
      <c r="AK68" s="2893" t="s">
        <v>4273</v>
      </c>
      <c r="AL68" s="2893" t="s">
        <v>4271</v>
      </c>
      <c r="AM68" s="2893" t="s">
        <v>4272</v>
      </c>
      <c r="AN68" s="2338"/>
      <c r="AO68" s="2338"/>
      <c r="AP68" s="2338"/>
      <c r="AQ68" s="2338"/>
      <c r="AR68" s="2338"/>
      <c r="AS68" s="2338"/>
      <c r="AT68" s="2338"/>
      <c r="AU68" s="2338"/>
      <c r="AV68" s="2338"/>
      <c r="AW68" s="2338"/>
      <c r="AX68" s="2338"/>
      <c r="AY68" s="2338"/>
      <c r="AZ68" s="2338"/>
      <c r="BA68" s="2338"/>
      <c r="BB68" s="2338"/>
      <c r="BC68" s="2338"/>
      <c r="BD68" s="2338"/>
      <c r="BE68" s="2338"/>
      <c r="BF68" s="2338"/>
      <c r="BG68" s="2338"/>
      <c r="BH68" s="2338"/>
      <c r="BI68" s="2338"/>
      <c r="BJ68" s="2338"/>
      <c r="BK68" s="2338"/>
      <c r="BL68" s="2338"/>
      <c r="BM68" s="2338"/>
      <c r="BN68" s="2338"/>
      <c r="BO68" s="2338"/>
      <c r="BP68" s="2338"/>
      <c r="BQ68" s="2338"/>
      <c r="BR68" s="2338"/>
      <c r="BS68" s="2338"/>
      <c r="BT68" s="2338"/>
      <c r="BU68" s="2338"/>
      <c r="BV68" s="2338"/>
      <c r="BW68" s="2338"/>
      <c r="BX68" s="2338"/>
      <c r="BY68" s="2338"/>
      <c r="BZ68" s="2338"/>
      <c r="CA68" s="2338"/>
      <c r="CB68" s="2338"/>
      <c r="CC68" s="2338"/>
      <c r="CD68" s="2338"/>
      <c r="CE68" s="2338"/>
      <c r="CF68" s="2338"/>
      <c r="CG68" s="2338"/>
      <c r="CH68" s="2338"/>
      <c r="CI68" s="2338"/>
      <c r="CJ68" s="2338"/>
      <c r="CK68" s="2338"/>
      <c r="CL68" s="2338"/>
      <c r="CM68" s="2338"/>
      <c r="CN68" s="2338"/>
      <c r="CO68" s="2338"/>
      <c r="CP68" s="2338"/>
      <c r="CQ68" s="2338"/>
      <c r="CR68" s="2338"/>
      <c r="CS68" s="2338"/>
      <c r="CT68" s="2338"/>
      <c r="CU68" s="2338"/>
      <c r="CV68" s="2338"/>
      <c r="CW68" s="2338"/>
      <c r="CX68" s="2338"/>
      <c r="CY68" s="2338"/>
      <c r="CZ68" s="2338"/>
      <c r="DA68" s="2338"/>
      <c r="DB68" s="2338"/>
      <c r="DC68" s="2338"/>
      <c r="DD68" s="2338"/>
      <c r="DE68" s="2338"/>
      <c r="DF68" s="2338"/>
      <c r="DG68" s="2338"/>
      <c r="DH68" s="2338"/>
      <c r="DI68" s="2338"/>
      <c r="DJ68" s="2338"/>
    </row>
    <row r="69" spans="1:114" ht="60">
      <c r="A69" s="3208"/>
      <c r="B69" s="3209"/>
      <c r="C69" s="3210"/>
      <c r="D69" s="3209"/>
      <c r="E69" s="3209"/>
      <c r="F69" s="3209"/>
      <c r="G69" s="3209"/>
      <c r="H69" s="2980">
        <v>2015</v>
      </c>
      <c r="I69" s="2980">
        <v>2016</v>
      </c>
      <c r="J69" s="2980">
        <v>2017</v>
      </c>
      <c r="K69" s="2980" t="s">
        <v>3925</v>
      </c>
      <c r="L69" s="2981" t="s">
        <v>2559</v>
      </c>
      <c r="M69" s="2980">
        <f>H69</f>
        <v>2015</v>
      </c>
      <c r="N69" s="2980">
        <f>I69</f>
        <v>2016</v>
      </c>
      <c r="O69" s="2980">
        <f>J69</f>
        <v>2017</v>
      </c>
      <c r="P69" s="2980" t="s">
        <v>3925</v>
      </c>
      <c r="Q69" s="2981" t="s">
        <v>2559</v>
      </c>
      <c r="R69" s="2980">
        <f>H69</f>
        <v>2015</v>
      </c>
      <c r="S69" s="2980">
        <f>I69</f>
        <v>2016</v>
      </c>
      <c r="T69" s="2980">
        <f>J69</f>
        <v>2017</v>
      </c>
      <c r="U69" s="2980" t="s">
        <v>3925</v>
      </c>
      <c r="V69" s="2887">
        <f>R69</f>
        <v>2015</v>
      </c>
      <c r="W69" s="2887">
        <f>S69</f>
        <v>2016</v>
      </c>
      <c r="X69" s="2887">
        <f>T69</f>
        <v>2017</v>
      </c>
      <c r="Y69" s="2887" t="str">
        <f>U69</f>
        <v>План (в случае отсутствия факта за 3 года)</v>
      </c>
      <c r="Z69" s="2824">
        <v>2016</v>
      </c>
      <c r="AA69" s="2824">
        <v>2017</v>
      </c>
      <c r="AB69" s="2824">
        <v>2018</v>
      </c>
      <c r="AC69" s="2824">
        <v>2019</v>
      </c>
      <c r="AD69" s="2887">
        <f>V69</f>
        <v>2015</v>
      </c>
      <c r="AE69" s="2887">
        <f>W69</f>
        <v>2016</v>
      </c>
      <c r="AF69" s="2887">
        <f>X69</f>
        <v>2017</v>
      </c>
      <c r="AG69" s="2887" t="str">
        <f>Y69</f>
        <v>План (в случае отсутствия факта за 3 года)</v>
      </c>
      <c r="AH69" s="2889" t="s">
        <v>3981</v>
      </c>
      <c r="AI69" s="2935" t="s">
        <v>3976</v>
      </c>
      <c r="AJ69" s="2935" t="s">
        <v>3977</v>
      </c>
      <c r="AK69" s="2889">
        <v>2018</v>
      </c>
      <c r="AL69" s="2889" t="s">
        <v>4265</v>
      </c>
      <c r="AM69" s="2889" t="s">
        <v>4265</v>
      </c>
      <c r="AN69" s="2338"/>
      <c r="AO69" s="2338"/>
      <c r="AP69" s="2338"/>
      <c r="AQ69" s="2338"/>
      <c r="AR69" s="2338"/>
      <c r="AS69" s="2338"/>
      <c r="AT69" s="2338"/>
      <c r="AU69" s="2338"/>
      <c r="AV69" s="2338"/>
      <c r="AW69" s="2338"/>
      <c r="AX69" s="2338"/>
      <c r="AY69" s="2338"/>
      <c r="AZ69" s="2338"/>
      <c r="BA69" s="2338"/>
      <c r="BB69" s="2338"/>
      <c r="BC69" s="2338"/>
      <c r="BD69" s="2338"/>
      <c r="BE69" s="2338"/>
      <c r="BF69" s="2338"/>
      <c r="BG69" s="2338"/>
      <c r="BH69" s="2338"/>
      <c r="BI69" s="2338"/>
      <c r="BJ69" s="2338"/>
      <c r="BK69" s="2338"/>
      <c r="BL69" s="2338"/>
      <c r="BM69" s="2338"/>
      <c r="BN69" s="2338"/>
      <c r="BO69" s="2338"/>
      <c r="BP69" s="2338"/>
      <c r="BQ69" s="2338"/>
      <c r="BR69" s="2338"/>
      <c r="BS69" s="2338"/>
      <c r="BT69" s="2338"/>
      <c r="BU69" s="2338"/>
      <c r="BV69" s="2338"/>
      <c r="BW69" s="2338"/>
      <c r="BX69" s="2338"/>
      <c r="BY69" s="2338"/>
      <c r="BZ69" s="2338"/>
      <c r="CA69" s="2338"/>
      <c r="CB69" s="2338"/>
      <c r="CC69" s="2338"/>
      <c r="CD69" s="2338"/>
      <c r="CE69" s="2338"/>
      <c r="CF69" s="2338"/>
      <c r="CG69" s="2338"/>
      <c r="CH69" s="2338"/>
      <c r="CI69" s="2338"/>
      <c r="CJ69" s="2338"/>
      <c r="CK69" s="2338"/>
      <c r="CL69" s="2338"/>
      <c r="CM69" s="2338"/>
      <c r="CN69" s="2338"/>
      <c r="CO69" s="2338"/>
      <c r="CP69" s="2338"/>
      <c r="CQ69" s="2338"/>
      <c r="CR69" s="2338"/>
      <c r="CS69" s="2338"/>
      <c r="CT69" s="2338"/>
      <c r="CU69" s="2338"/>
      <c r="CV69" s="2338"/>
      <c r="CW69" s="2338"/>
      <c r="CX69" s="2338"/>
      <c r="CY69" s="2338"/>
      <c r="CZ69" s="2338"/>
      <c r="DA69" s="2338"/>
      <c r="DB69" s="2338"/>
      <c r="DC69" s="2338"/>
      <c r="DD69" s="2338"/>
      <c r="DE69" s="2338"/>
      <c r="DF69" s="2338"/>
      <c r="DG69" s="2338"/>
      <c r="DH69" s="2338"/>
      <c r="DI69" s="2338"/>
      <c r="DJ69" s="2338"/>
    </row>
    <row r="70" spans="1:114" hidden="1" outlineLevel="1">
      <c r="A70" s="3217"/>
      <c r="B70" s="3210" t="s">
        <v>2952</v>
      </c>
      <c r="C70" s="3208" t="s">
        <v>3859</v>
      </c>
      <c r="D70" s="3210" t="s">
        <v>2949</v>
      </c>
      <c r="E70" s="3037" t="s">
        <v>2950</v>
      </c>
      <c r="F70" s="2979" t="s">
        <v>3860</v>
      </c>
      <c r="G70" s="3637"/>
      <c r="H70" s="3673"/>
      <c r="I70" s="3673"/>
      <c r="J70" s="3673"/>
      <c r="K70" s="3673"/>
      <c r="L70" s="3673"/>
      <c r="M70" s="3673"/>
      <c r="N70" s="3673"/>
      <c r="O70" s="3673"/>
      <c r="P70" s="3673"/>
      <c r="Q70" s="3673"/>
      <c r="R70" s="3673"/>
      <c r="S70" s="3673"/>
      <c r="T70" s="3673"/>
      <c r="U70" s="3673"/>
      <c r="V70" s="2802" t="str">
        <f>'Приложение 1'!V71</f>
        <v/>
      </c>
      <c r="W70" s="2802" t="str">
        <f>'Приложение 1'!W71</f>
        <v/>
      </c>
      <c r="X70" s="2802" t="str">
        <f>'Приложение 1'!X71</f>
        <v/>
      </c>
      <c r="Y70" s="2802" t="str">
        <f>'Приложение 1'!Y71</f>
        <v/>
      </c>
      <c r="Z70" s="2937">
        <f>'Приложение 1'!Z71</f>
        <v>1.0528</v>
      </c>
      <c r="AA70" s="2937">
        <f>'Приложение 1'!AA71</f>
        <v>1.0589</v>
      </c>
      <c r="AB70" s="2937">
        <f>'Приложение 1'!AB71</f>
        <v>1.0507936887282501</v>
      </c>
      <c r="AC70" s="2937">
        <f>'Приложение 1'!AC71</f>
        <v>1.04657781587849</v>
      </c>
      <c r="AD70" s="2937" t="str">
        <f>'Приложение 1'!AD71</f>
        <v/>
      </c>
      <c r="AE70" s="2937" t="str">
        <f>'Приложение 1'!AE71</f>
        <v/>
      </c>
      <c r="AF70" s="2937" t="str">
        <f>'Приложение 1'!AF71</f>
        <v/>
      </c>
      <c r="AG70" s="2937" t="str">
        <f>'Приложение 1'!AG71</f>
        <v/>
      </c>
      <c r="AH70" s="2937"/>
      <c r="AI70" s="2937"/>
      <c r="AJ70" s="2937" t="str">
        <f>'Приложение 1'!AJ71</f>
        <v/>
      </c>
      <c r="AK70" s="2945"/>
      <c r="AL70" s="2895">
        <f t="shared" ref="AL70:AL117" si="2">AK70*$AC$12</f>
        <v>0</v>
      </c>
      <c r="AM70" s="2566" t="str">
        <f t="shared" ref="AM70:AM117" si="3">IFERROR(AJ70/AL70,"")</f>
        <v/>
      </c>
      <c r="AN70" s="2338"/>
      <c r="AO70" s="2338"/>
      <c r="AP70" s="2338"/>
      <c r="AQ70" s="2338"/>
      <c r="AR70" s="2338"/>
      <c r="AS70" s="2338"/>
      <c r="AT70" s="2338"/>
      <c r="AU70" s="2338"/>
      <c r="AV70" s="2338"/>
      <c r="AW70" s="2338"/>
      <c r="AX70" s="2338"/>
      <c r="AY70" s="2338"/>
      <c r="AZ70" s="2338"/>
      <c r="BA70" s="2338"/>
      <c r="BB70" s="2338"/>
      <c r="BC70" s="2338"/>
      <c r="BD70" s="2338"/>
      <c r="BE70" s="2338"/>
      <c r="BF70" s="2338"/>
      <c r="BG70" s="2338"/>
      <c r="BH70" s="2338"/>
      <c r="BI70" s="2338"/>
      <c r="BJ70" s="2338"/>
      <c r="BK70" s="2338"/>
      <c r="BL70" s="2338"/>
      <c r="BM70" s="2338"/>
      <c r="BN70" s="2338"/>
      <c r="BO70" s="2338"/>
      <c r="BP70" s="2338"/>
      <c r="BQ70" s="2338"/>
      <c r="BR70" s="2338"/>
      <c r="BS70" s="2338"/>
      <c r="BT70" s="2338"/>
      <c r="BU70" s="2338"/>
      <c r="BV70" s="2338"/>
      <c r="BW70" s="2338"/>
      <c r="BX70" s="2338"/>
      <c r="BY70" s="2338"/>
      <c r="BZ70" s="2338"/>
      <c r="CA70" s="2338"/>
      <c r="CB70" s="2338"/>
      <c r="CC70" s="2338"/>
      <c r="CD70" s="2338"/>
      <c r="CE70" s="2338"/>
      <c r="CF70" s="2338"/>
      <c r="CG70" s="2338"/>
      <c r="CH70" s="2338"/>
      <c r="CI70" s="2338"/>
      <c r="CJ70" s="2338"/>
      <c r="CK70" s="2338"/>
      <c r="CL70" s="2338"/>
      <c r="CM70" s="2338"/>
      <c r="CN70" s="2338"/>
      <c r="CO70" s="2338"/>
      <c r="CP70" s="2338"/>
      <c r="CQ70" s="2338"/>
      <c r="CR70" s="2338"/>
      <c r="CS70" s="2338"/>
      <c r="CT70" s="2338"/>
      <c r="CU70" s="2338"/>
      <c r="CV70" s="2338"/>
      <c r="CW70" s="2338"/>
      <c r="CX70" s="2338"/>
      <c r="CY70" s="2338"/>
      <c r="CZ70" s="2338"/>
      <c r="DA70" s="2338"/>
      <c r="DB70" s="2338"/>
      <c r="DC70" s="2338"/>
      <c r="DD70" s="2338"/>
      <c r="DE70" s="2338"/>
      <c r="DF70" s="2338"/>
      <c r="DG70" s="2338"/>
      <c r="DH70" s="2338"/>
      <c r="DI70" s="2338"/>
      <c r="DJ70" s="2338"/>
    </row>
    <row r="71" spans="1:114" hidden="1" outlineLevel="1">
      <c r="A71" s="3217"/>
      <c r="B71" s="3210"/>
      <c r="C71" s="3208"/>
      <c r="D71" s="3210"/>
      <c r="E71" s="3029"/>
      <c r="F71" s="2979" t="s">
        <v>3861</v>
      </c>
      <c r="G71" s="3637"/>
      <c r="H71" s="3673"/>
      <c r="I71" s="3673"/>
      <c r="J71" s="3673"/>
      <c r="K71" s="3673"/>
      <c r="L71" s="3673"/>
      <c r="M71" s="3673"/>
      <c r="N71" s="3673"/>
      <c r="O71" s="3673"/>
      <c r="P71" s="3673"/>
      <c r="Q71" s="3673"/>
      <c r="R71" s="3673"/>
      <c r="S71" s="3673"/>
      <c r="T71" s="3673"/>
      <c r="U71" s="3673"/>
      <c r="V71" s="2802" t="str">
        <f>'Приложение 1'!V72</f>
        <v/>
      </c>
      <c r="W71" s="2802" t="str">
        <f>'Приложение 1'!W72</f>
        <v/>
      </c>
      <c r="X71" s="2802" t="str">
        <f>'Приложение 1'!X72</f>
        <v/>
      </c>
      <c r="Y71" s="2802" t="str">
        <f>'Приложение 1'!Y72</f>
        <v/>
      </c>
      <c r="Z71" s="2937"/>
      <c r="AA71" s="2937"/>
      <c r="AB71" s="2937"/>
      <c r="AC71" s="2937"/>
      <c r="AD71" s="2937" t="str">
        <f>'Приложение 1'!AD72</f>
        <v/>
      </c>
      <c r="AE71" s="2937" t="str">
        <f>'Приложение 1'!AE72</f>
        <v/>
      </c>
      <c r="AF71" s="2937" t="str">
        <f>'Приложение 1'!AF72</f>
        <v/>
      </c>
      <c r="AG71" s="2937"/>
      <c r="AH71" s="2937"/>
      <c r="AI71" s="2937"/>
      <c r="AJ71" s="2937" t="str">
        <f>'Приложение 1'!AJ72</f>
        <v/>
      </c>
      <c r="AK71" s="2945"/>
      <c r="AL71" s="2895">
        <f t="shared" si="2"/>
        <v>0</v>
      </c>
      <c r="AM71" s="2566" t="str">
        <f t="shared" si="3"/>
        <v/>
      </c>
      <c r="AN71" s="2338"/>
      <c r="AO71" s="2338"/>
      <c r="AP71" s="2338"/>
      <c r="AQ71" s="2338"/>
      <c r="AR71" s="2338"/>
      <c r="AS71" s="2338"/>
      <c r="AT71" s="2338"/>
      <c r="AU71" s="2338"/>
      <c r="AV71" s="2338"/>
      <c r="AW71" s="2338"/>
      <c r="AX71" s="2338"/>
      <c r="AY71" s="2338"/>
      <c r="AZ71" s="2338"/>
      <c r="BA71" s="2338"/>
      <c r="BB71" s="2338"/>
      <c r="BC71" s="2338"/>
      <c r="BD71" s="2338"/>
      <c r="BE71" s="2338"/>
      <c r="BF71" s="2338"/>
      <c r="BG71" s="2338"/>
      <c r="BH71" s="2338"/>
      <c r="BI71" s="2338"/>
      <c r="BJ71" s="2338"/>
      <c r="BK71" s="2338"/>
      <c r="BL71" s="2338"/>
      <c r="BM71" s="2338"/>
      <c r="BN71" s="2338"/>
      <c r="BO71" s="2338"/>
      <c r="BP71" s="2338"/>
      <c r="BQ71" s="2338"/>
      <c r="BR71" s="2338"/>
      <c r="BS71" s="2338"/>
      <c r="BT71" s="2338"/>
      <c r="BU71" s="2338"/>
      <c r="BV71" s="2338"/>
      <c r="BW71" s="2338"/>
      <c r="BX71" s="2338"/>
      <c r="BY71" s="2338"/>
      <c r="BZ71" s="2338"/>
      <c r="CA71" s="2338"/>
      <c r="CB71" s="2338"/>
      <c r="CC71" s="2338"/>
      <c r="CD71" s="2338"/>
      <c r="CE71" s="2338"/>
      <c r="CF71" s="2338"/>
      <c r="CG71" s="2338"/>
      <c r="CH71" s="2338"/>
      <c r="CI71" s="2338"/>
      <c r="CJ71" s="2338"/>
      <c r="CK71" s="2338"/>
      <c r="CL71" s="2338"/>
      <c r="CM71" s="2338"/>
      <c r="CN71" s="2338"/>
      <c r="CO71" s="2338"/>
      <c r="CP71" s="2338"/>
      <c r="CQ71" s="2338"/>
      <c r="CR71" s="2338"/>
      <c r="CS71" s="2338"/>
      <c r="CT71" s="2338"/>
      <c r="CU71" s="2338"/>
      <c r="CV71" s="2338"/>
      <c r="CW71" s="2338"/>
      <c r="CX71" s="2338"/>
      <c r="CY71" s="2338"/>
      <c r="CZ71" s="2338"/>
      <c r="DA71" s="2338"/>
      <c r="DB71" s="2338"/>
      <c r="DC71" s="2338"/>
      <c r="DD71" s="2338"/>
      <c r="DE71" s="2338"/>
      <c r="DF71" s="2338"/>
      <c r="DG71" s="2338"/>
      <c r="DH71" s="2338"/>
      <c r="DI71" s="2338"/>
      <c r="DJ71" s="2338"/>
    </row>
    <row r="72" spans="1:114" hidden="1" outlineLevel="1">
      <c r="A72" s="3217"/>
      <c r="B72" s="3210"/>
      <c r="C72" s="3208"/>
      <c r="D72" s="3210"/>
      <c r="E72" s="3029"/>
      <c r="F72" s="2979" t="s">
        <v>3862</v>
      </c>
      <c r="G72" s="3637"/>
      <c r="H72" s="3673"/>
      <c r="I72" s="3673"/>
      <c r="J72" s="3673"/>
      <c r="K72" s="3673"/>
      <c r="L72" s="3673"/>
      <c r="M72" s="3673"/>
      <c r="N72" s="3673"/>
      <c r="O72" s="3673"/>
      <c r="P72" s="3673"/>
      <c r="Q72" s="3673"/>
      <c r="R72" s="3673"/>
      <c r="S72" s="3673"/>
      <c r="T72" s="3673"/>
      <c r="U72" s="3673"/>
      <c r="V72" s="2802" t="str">
        <f>'Приложение 1'!V73</f>
        <v/>
      </c>
      <c r="W72" s="2802" t="str">
        <f>'Приложение 1'!W73</f>
        <v/>
      </c>
      <c r="X72" s="2802" t="str">
        <f>'Приложение 1'!X73</f>
        <v/>
      </c>
      <c r="Y72" s="2802" t="str">
        <f>'Приложение 1'!Y73</f>
        <v/>
      </c>
      <c r="Z72" s="2937"/>
      <c r="AA72" s="2937"/>
      <c r="AB72" s="2937"/>
      <c r="AC72" s="2937"/>
      <c r="AD72" s="2937" t="str">
        <f>'Приложение 1'!AD73</f>
        <v/>
      </c>
      <c r="AE72" s="2937" t="str">
        <f>'Приложение 1'!AE73</f>
        <v/>
      </c>
      <c r="AF72" s="2937" t="str">
        <f>'Приложение 1'!AF73</f>
        <v/>
      </c>
      <c r="AG72" s="2937"/>
      <c r="AH72" s="2937"/>
      <c r="AI72" s="2937"/>
      <c r="AJ72" s="2937" t="str">
        <f>'Приложение 1'!AJ73</f>
        <v/>
      </c>
      <c r="AK72" s="2945"/>
      <c r="AL72" s="2895">
        <f t="shared" si="2"/>
        <v>0</v>
      </c>
      <c r="AM72" s="2566" t="str">
        <f t="shared" si="3"/>
        <v/>
      </c>
      <c r="AN72" s="2338"/>
      <c r="AO72" s="2338"/>
      <c r="AP72" s="2338"/>
      <c r="AQ72" s="2338"/>
      <c r="AR72" s="2338"/>
      <c r="AS72" s="2338"/>
      <c r="AT72" s="2338"/>
      <c r="AU72" s="2338"/>
      <c r="AV72" s="2338"/>
      <c r="AW72" s="2338"/>
      <c r="AX72" s="2338"/>
      <c r="AY72" s="2338"/>
      <c r="AZ72" s="2338"/>
      <c r="BA72" s="2338"/>
      <c r="BB72" s="2338"/>
      <c r="BC72" s="2338"/>
      <c r="BD72" s="2338"/>
      <c r="BE72" s="2338"/>
      <c r="BF72" s="2338"/>
      <c r="BG72" s="2338"/>
      <c r="BH72" s="2338"/>
      <c r="BI72" s="2338"/>
      <c r="BJ72" s="2338"/>
      <c r="BK72" s="2338"/>
      <c r="BL72" s="2338"/>
      <c r="BM72" s="2338"/>
      <c r="BN72" s="2338"/>
      <c r="BO72" s="2338"/>
      <c r="BP72" s="2338"/>
      <c r="BQ72" s="2338"/>
      <c r="BR72" s="2338"/>
      <c r="BS72" s="2338"/>
      <c r="BT72" s="2338"/>
      <c r="BU72" s="2338"/>
      <c r="BV72" s="2338"/>
      <c r="BW72" s="2338"/>
      <c r="BX72" s="2338"/>
      <c r="BY72" s="2338"/>
      <c r="BZ72" s="2338"/>
      <c r="CA72" s="2338"/>
      <c r="CB72" s="2338"/>
      <c r="CC72" s="2338"/>
      <c r="CD72" s="2338"/>
      <c r="CE72" s="2338"/>
      <c r="CF72" s="2338"/>
      <c r="CG72" s="2338"/>
      <c r="CH72" s="2338"/>
      <c r="CI72" s="2338"/>
      <c r="CJ72" s="2338"/>
      <c r="CK72" s="2338"/>
      <c r="CL72" s="2338"/>
      <c r="CM72" s="2338"/>
      <c r="CN72" s="2338"/>
      <c r="CO72" s="2338"/>
      <c r="CP72" s="2338"/>
      <c r="CQ72" s="2338"/>
      <c r="CR72" s="2338"/>
      <c r="CS72" s="2338"/>
      <c r="CT72" s="2338"/>
      <c r="CU72" s="2338"/>
      <c r="CV72" s="2338"/>
      <c r="CW72" s="2338"/>
      <c r="CX72" s="2338"/>
      <c r="CY72" s="2338"/>
      <c r="CZ72" s="2338"/>
      <c r="DA72" s="2338"/>
      <c r="DB72" s="2338"/>
      <c r="DC72" s="2338"/>
      <c r="DD72" s="2338"/>
      <c r="DE72" s="2338"/>
      <c r="DF72" s="2338"/>
      <c r="DG72" s="2338"/>
      <c r="DH72" s="2338"/>
      <c r="DI72" s="2338"/>
      <c r="DJ72" s="2338"/>
    </row>
    <row r="73" spans="1:114" hidden="1" outlineLevel="1">
      <c r="A73" s="3217"/>
      <c r="B73" s="3210"/>
      <c r="C73" s="3208"/>
      <c r="D73" s="3210"/>
      <c r="E73" s="3029"/>
      <c r="F73" s="2979" t="s">
        <v>3863</v>
      </c>
      <c r="G73" s="3637"/>
      <c r="H73" s="3673"/>
      <c r="I73" s="3673"/>
      <c r="J73" s="3673"/>
      <c r="K73" s="3673"/>
      <c r="L73" s="3673"/>
      <c r="M73" s="3673"/>
      <c r="N73" s="3673"/>
      <c r="O73" s="3673"/>
      <c r="P73" s="3673"/>
      <c r="Q73" s="3673"/>
      <c r="R73" s="3673"/>
      <c r="S73" s="3673"/>
      <c r="T73" s="3673"/>
      <c r="U73" s="3673"/>
      <c r="V73" s="2802" t="str">
        <f>'Приложение 1'!V74</f>
        <v/>
      </c>
      <c r="W73" s="2802" t="str">
        <f>'Приложение 1'!W74</f>
        <v/>
      </c>
      <c r="X73" s="2802" t="str">
        <f>'Приложение 1'!X74</f>
        <v/>
      </c>
      <c r="Y73" s="2802" t="str">
        <f>'Приложение 1'!Y74</f>
        <v/>
      </c>
      <c r="Z73" s="2937"/>
      <c r="AA73" s="2937"/>
      <c r="AB73" s="2937"/>
      <c r="AC73" s="2937"/>
      <c r="AD73" s="2937" t="str">
        <f>'Приложение 1'!AD74</f>
        <v/>
      </c>
      <c r="AE73" s="2937" t="str">
        <f>'Приложение 1'!AE74</f>
        <v/>
      </c>
      <c r="AF73" s="2937" t="str">
        <f>'Приложение 1'!AF74</f>
        <v/>
      </c>
      <c r="AG73" s="2937"/>
      <c r="AH73" s="2937"/>
      <c r="AI73" s="2937"/>
      <c r="AJ73" s="2937" t="str">
        <f>'Приложение 1'!AJ74</f>
        <v/>
      </c>
      <c r="AK73" s="2945"/>
      <c r="AL73" s="2895">
        <f t="shared" si="2"/>
        <v>0</v>
      </c>
      <c r="AM73" s="2566" t="str">
        <f t="shared" si="3"/>
        <v/>
      </c>
      <c r="AN73" s="2338"/>
      <c r="AO73" s="2338"/>
      <c r="AP73" s="2338"/>
      <c r="AQ73" s="2338"/>
      <c r="AR73" s="2338"/>
      <c r="AS73" s="2338"/>
      <c r="AT73" s="2338"/>
      <c r="AU73" s="2338"/>
      <c r="AV73" s="2338"/>
      <c r="AW73" s="2338"/>
      <c r="AX73" s="2338"/>
      <c r="AY73" s="2338"/>
      <c r="AZ73" s="2338"/>
      <c r="BA73" s="2338"/>
      <c r="BB73" s="2338"/>
      <c r="BC73" s="2338"/>
      <c r="BD73" s="2338"/>
      <c r="BE73" s="2338"/>
      <c r="BF73" s="2338"/>
      <c r="BG73" s="2338"/>
      <c r="BH73" s="2338"/>
      <c r="BI73" s="2338"/>
      <c r="BJ73" s="2338"/>
      <c r="BK73" s="2338"/>
      <c r="BL73" s="2338"/>
      <c r="BM73" s="2338"/>
      <c r="BN73" s="2338"/>
      <c r="BO73" s="2338"/>
      <c r="BP73" s="2338"/>
      <c r="BQ73" s="2338"/>
      <c r="BR73" s="2338"/>
      <c r="BS73" s="2338"/>
      <c r="BT73" s="2338"/>
      <c r="BU73" s="2338"/>
      <c r="BV73" s="2338"/>
      <c r="BW73" s="2338"/>
      <c r="BX73" s="2338"/>
      <c r="BY73" s="2338"/>
      <c r="BZ73" s="2338"/>
      <c r="CA73" s="2338"/>
      <c r="CB73" s="2338"/>
      <c r="CC73" s="2338"/>
      <c r="CD73" s="2338"/>
      <c r="CE73" s="2338"/>
      <c r="CF73" s="2338"/>
      <c r="CG73" s="2338"/>
      <c r="CH73" s="2338"/>
      <c r="CI73" s="2338"/>
      <c r="CJ73" s="2338"/>
      <c r="CK73" s="2338"/>
      <c r="CL73" s="2338"/>
      <c r="CM73" s="2338"/>
      <c r="CN73" s="2338"/>
      <c r="CO73" s="2338"/>
      <c r="CP73" s="2338"/>
      <c r="CQ73" s="2338"/>
      <c r="CR73" s="2338"/>
      <c r="CS73" s="2338"/>
      <c r="CT73" s="2338"/>
      <c r="CU73" s="2338"/>
      <c r="CV73" s="2338"/>
      <c r="CW73" s="2338"/>
      <c r="CX73" s="2338"/>
      <c r="CY73" s="2338"/>
      <c r="CZ73" s="2338"/>
      <c r="DA73" s="2338"/>
      <c r="DB73" s="2338"/>
      <c r="DC73" s="2338"/>
      <c r="DD73" s="2338"/>
      <c r="DE73" s="2338"/>
      <c r="DF73" s="2338"/>
      <c r="DG73" s="2338"/>
      <c r="DH73" s="2338"/>
      <c r="DI73" s="2338"/>
      <c r="DJ73" s="2338"/>
    </row>
    <row r="74" spans="1:114" hidden="1" outlineLevel="1">
      <c r="A74" s="3217"/>
      <c r="B74" s="3210"/>
      <c r="C74" s="3208"/>
      <c r="D74" s="3210"/>
      <c r="E74" s="3029"/>
      <c r="F74" s="2980" t="s">
        <v>3864</v>
      </c>
      <c r="G74" s="3637"/>
      <c r="H74" s="3673"/>
      <c r="I74" s="3673"/>
      <c r="J74" s="3673"/>
      <c r="K74" s="3673"/>
      <c r="L74" s="3673"/>
      <c r="M74" s="3673"/>
      <c r="N74" s="3673"/>
      <c r="O74" s="3673"/>
      <c r="P74" s="3673"/>
      <c r="Q74" s="3673"/>
      <c r="R74" s="3673"/>
      <c r="S74" s="3673"/>
      <c r="T74" s="3673"/>
      <c r="U74" s="3673"/>
      <c r="V74" s="2802" t="str">
        <f>'Приложение 1'!V75</f>
        <v/>
      </c>
      <c r="W74" s="2802" t="str">
        <f>'Приложение 1'!W75</f>
        <v/>
      </c>
      <c r="X74" s="2802" t="str">
        <f>'Приложение 1'!X75</f>
        <v/>
      </c>
      <c r="Y74" s="2802" t="str">
        <f>'Приложение 1'!Y75</f>
        <v/>
      </c>
      <c r="Z74" s="2937"/>
      <c r="AA74" s="2937"/>
      <c r="AB74" s="2937"/>
      <c r="AC74" s="2937"/>
      <c r="AD74" s="2937" t="str">
        <f>'Приложение 1'!AD75</f>
        <v/>
      </c>
      <c r="AE74" s="2937" t="str">
        <f>'Приложение 1'!AE75</f>
        <v/>
      </c>
      <c r="AF74" s="2937" t="str">
        <f>'Приложение 1'!AF75</f>
        <v/>
      </c>
      <c r="AG74" s="2937"/>
      <c r="AH74" s="2937"/>
      <c r="AI74" s="2937"/>
      <c r="AJ74" s="2937" t="str">
        <f>'Приложение 1'!AJ75</f>
        <v/>
      </c>
      <c r="AK74" s="2945"/>
      <c r="AL74" s="2895">
        <f t="shared" si="2"/>
        <v>0</v>
      </c>
      <c r="AM74" s="2566" t="str">
        <f t="shared" si="3"/>
        <v/>
      </c>
      <c r="AN74" s="2338"/>
      <c r="AO74" s="2338"/>
      <c r="AP74" s="2338"/>
      <c r="AQ74" s="2338"/>
      <c r="AR74" s="2338"/>
      <c r="AS74" s="2338"/>
      <c r="AT74" s="2338"/>
      <c r="AU74" s="2338"/>
      <c r="AV74" s="2338"/>
      <c r="AW74" s="2338"/>
      <c r="AX74" s="2338"/>
      <c r="AY74" s="2338"/>
      <c r="AZ74" s="2338"/>
      <c r="BA74" s="2338"/>
      <c r="BB74" s="2338"/>
      <c r="BC74" s="2338"/>
      <c r="BD74" s="2338"/>
      <c r="BE74" s="2338"/>
      <c r="BF74" s="2338"/>
      <c r="BG74" s="2338"/>
      <c r="BH74" s="2338"/>
      <c r="BI74" s="2338"/>
      <c r="BJ74" s="2338"/>
      <c r="BK74" s="2338"/>
      <c r="BL74" s="2338"/>
      <c r="BM74" s="2338"/>
      <c r="BN74" s="2338"/>
      <c r="BO74" s="2338"/>
      <c r="BP74" s="2338"/>
      <c r="BQ74" s="2338"/>
      <c r="BR74" s="2338"/>
      <c r="BS74" s="2338"/>
      <c r="BT74" s="2338"/>
      <c r="BU74" s="2338"/>
      <c r="BV74" s="2338"/>
      <c r="BW74" s="2338"/>
      <c r="BX74" s="2338"/>
      <c r="BY74" s="2338"/>
      <c r="BZ74" s="2338"/>
      <c r="CA74" s="2338"/>
      <c r="CB74" s="2338"/>
      <c r="CC74" s="2338"/>
      <c r="CD74" s="2338"/>
      <c r="CE74" s="2338"/>
      <c r="CF74" s="2338"/>
      <c r="CG74" s="2338"/>
      <c r="CH74" s="2338"/>
      <c r="CI74" s="2338"/>
      <c r="CJ74" s="2338"/>
      <c r="CK74" s="2338"/>
      <c r="CL74" s="2338"/>
      <c r="CM74" s="2338"/>
      <c r="CN74" s="2338"/>
      <c r="CO74" s="2338"/>
      <c r="CP74" s="2338"/>
      <c r="CQ74" s="2338"/>
      <c r="CR74" s="2338"/>
      <c r="CS74" s="2338"/>
      <c r="CT74" s="2338"/>
      <c r="CU74" s="2338"/>
      <c r="CV74" s="2338"/>
      <c r="CW74" s="2338"/>
      <c r="CX74" s="2338"/>
      <c r="CY74" s="2338"/>
      <c r="CZ74" s="2338"/>
      <c r="DA74" s="2338"/>
      <c r="DB74" s="2338"/>
      <c r="DC74" s="2338"/>
      <c r="DD74" s="2338"/>
      <c r="DE74" s="2338"/>
      <c r="DF74" s="2338"/>
      <c r="DG74" s="2338"/>
      <c r="DH74" s="2338"/>
      <c r="DI74" s="2338"/>
      <c r="DJ74" s="2338"/>
    </row>
    <row r="75" spans="1:114" hidden="1" outlineLevel="1">
      <c r="A75" s="3217"/>
      <c r="B75" s="3210"/>
      <c r="C75" s="3208"/>
      <c r="D75" s="3210"/>
      <c r="E75" s="3029"/>
      <c r="F75" s="2980" t="s">
        <v>3865</v>
      </c>
      <c r="G75" s="3637"/>
      <c r="H75" s="3673"/>
      <c r="I75" s="3673"/>
      <c r="J75" s="3673"/>
      <c r="K75" s="3673"/>
      <c r="L75" s="3673"/>
      <c r="M75" s="3673"/>
      <c r="N75" s="3673"/>
      <c r="O75" s="3673"/>
      <c r="P75" s="3673"/>
      <c r="Q75" s="3673"/>
      <c r="R75" s="3673"/>
      <c r="S75" s="3673"/>
      <c r="T75" s="3673"/>
      <c r="U75" s="3673"/>
      <c r="V75" s="2802" t="str">
        <f>'Приложение 1'!V76</f>
        <v/>
      </c>
      <c r="W75" s="2802" t="str">
        <f>'Приложение 1'!W76</f>
        <v/>
      </c>
      <c r="X75" s="2802" t="str">
        <f>'Приложение 1'!X76</f>
        <v/>
      </c>
      <c r="Y75" s="2802" t="str">
        <f>'Приложение 1'!Y76</f>
        <v/>
      </c>
      <c r="Z75" s="2937"/>
      <c r="AA75" s="2937"/>
      <c r="AB75" s="2937"/>
      <c r="AC75" s="2937"/>
      <c r="AD75" s="2937" t="str">
        <f>'Приложение 1'!AD76</f>
        <v/>
      </c>
      <c r="AE75" s="2937" t="str">
        <f>'Приложение 1'!AE76</f>
        <v/>
      </c>
      <c r="AF75" s="2937" t="str">
        <f>'Приложение 1'!AF76</f>
        <v/>
      </c>
      <c r="AG75" s="2937"/>
      <c r="AH75" s="2937"/>
      <c r="AI75" s="2937"/>
      <c r="AJ75" s="2937" t="str">
        <f>'Приложение 1'!AJ76</f>
        <v/>
      </c>
      <c r="AK75" s="2945"/>
      <c r="AL75" s="2895">
        <f t="shared" si="2"/>
        <v>0</v>
      </c>
      <c r="AM75" s="2566" t="str">
        <f t="shared" si="3"/>
        <v/>
      </c>
      <c r="AN75" s="2338"/>
      <c r="AO75" s="2338"/>
      <c r="AP75" s="2338"/>
      <c r="AQ75" s="2338"/>
      <c r="AR75" s="2338"/>
      <c r="AS75" s="2338"/>
      <c r="AT75" s="2338"/>
      <c r="AU75" s="2338"/>
      <c r="AV75" s="2338"/>
      <c r="AW75" s="2338"/>
      <c r="AX75" s="2338"/>
      <c r="AY75" s="2338"/>
      <c r="AZ75" s="2338"/>
      <c r="BA75" s="2338"/>
      <c r="BB75" s="2338"/>
      <c r="BC75" s="2338"/>
      <c r="BD75" s="2338"/>
      <c r="BE75" s="2338"/>
      <c r="BF75" s="2338"/>
      <c r="BG75" s="2338"/>
      <c r="BH75" s="2338"/>
      <c r="BI75" s="2338"/>
      <c r="BJ75" s="2338"/>
      <c r="BK75" s="2338"/>
      <c r="BL75" s="2338"/>
      <c r="BM75" s="2338"/>
      <c r="BN75" s="2338"/>
      <c r="BO75" s="2338"/>
      <c r="BP75" s="2338"/>
      <c r="BQ75" s="2338"/>
      <c r="BR75" s="2338"/>
      <c r="BS75" s="2338"/>
      <c r="BT75" s="2338"/>
      <c r="BU75" s="2338"/>
      <c r="BV75" s="2338"/>
      <c r="BW75" s="2338"/>
      <c r="BX75" s="2338"/>
      <c r="BY75" s="2338"/>
      <c r="BZ75" s="2338"/>
      <c r="CA75" s="2338"/>
      <c r="CB75" s="2338"/>
      <c r="CC75" s="2338"/>
      <c r="CD75" s="2338"/>
      <c r="CE75" s="2338"/>
      <c r="CF75" s="2338"/>
      <c r="CG75" s="2338"/>
      <c r="CH75" s="2338"/>
      <c r="CI75" s="2338"/>
      <c r="CJ75" s="2338"/>
      <c r="CK75" s="2338"/>
      <c r="CL75" s="2338"/>
      <c r="CM75" s="2338"/>
      <c r="CN75" s="2338"/>
      <c r="CO75" s="2338"/>
      <c r="CP75" s="2338"/>
      <c r="CQ75" s="2338"/>
      <c r="CR75" s="2338"/>
      <c r="CS75" s="2338"/>
      <c r="CT75" s="2338"/>
      <c r="CU75" s="2338"/>
      <c r="CV75" s="2338"/>
      <c r="CW75" s="2338"/>
      <c r="CX75" s="2338"/>
      <c r="CY75" s="2338"/>
      <c r="CZ75" s="2338"/>
      <c r="DA75" s="2338"/>
      <c r="DB75" s="2338"/>
      <c r="DC75" s="2338"/>
      <c r="DD75" s="2338"/>
      <c r="DE75" s="2338"/>
      <c r="DF75" s="2338"/>
      <c r="DG75" s="2338"/>
      <c r="DH75" s="2338"/>
      <c r="DI75" s="2338"/>
      <c r="DJ75" s="2338"/>
    </row>
    <row r="76" spans="1:114" hidden="1" outlineLevel="1">
      <c r="A76" s="3217"/>
      <c r="B76" s="3210"/>
      <c r="C76" s="3208"/>
      <c r="D76" s="3210"/>
      <c r="E76" s="3029" t="s">
        <v>2946</v>
      </c>
      <c r="F76" s="2979" t="s">
        <v>3860</v>
      </c>
      <c r="G76" s="3637"/>
      <c r="H76" s="3673"/>
      <c r="I76" s="3673"/>
      <c r="J76" s="3673"/>
      <c r="K76" s="3673"/>
      <c r="L76" s="3673"/>
      <c r="M76" s="3673"/>
      <c r="N76" s="3673"/>
      <c r="O76" s="3673"/>
      <c r="P76" s="3673"/>
      <c r="Q76" s="3673"/>
      <c r="R76" s="3673"/>
      <c r="S76" s="3673"/>
      <c r="T76" s="3673"/>
      <c r="U76" s="3673"/>
      <c r="V76" s="2802" t="str">
        <f>'Приложение 1'!V77</f>
        <v/>
      </c>
      <c r="W76" s="2802" t="str">
        <f>'Приложение 1'!W77</f>
        <v/>
      </c>
      <c r="X76" s="2802" t="str">
        <f>'Приложение 1'!X77</f>
        <v/>
      </c>
      <c r="Y76" s="2802" t="str">
        <f>'Приложение 1'!Y77</f>
        <v/>
      </c>
      <c r="Z76" s="2937"/>
      <c r="AA76" s="2937"/>
      <c r="AB76" s="2937"/>
      <c r="AC76" s="2937"/>
      <c r="AD76" s="2937" t="str">
        <f>'Приложение 1'!AD77</f>
        <v/>
      </c>
      <c r="AE76" s="2937" t="str">
        <f>'Приложение 1'!AE77</f>
        <v/>
      </c>
      <c r="AF76" s="2937" t="str">
        <f>'Приложение 1'!AF77</f>
        <v/>
      </c>
      <c r="AG76" s="2937"/>
      <c r="AH76" s="2937"/>
      <c r="AI76" s="2937"/>
      <c r="AJ76" s="2937" t="str">
        <f>'Приложение 1'!AJ77</f>
        <v/>
      </c>
      <c r="AK76" s="2945"/>
      <c r="AL76" s="2895">
        <f t="shared" si="2"/>
        <v>0</v>
      </c>
      <c r="AM76" s="2566" t="str">
        <f t="shared" si="3"/>
        <v/>
      </c>
      <c r="AN76" s="2338"/>
      <c r="AO76" s="2338"/>
      <c r="AP76" s="2338"/>
      <c r="AQ76" s="2338"/>
      <c r="AR76" s="2338"/>
      <c r="AS76" s="2338"/>
      <c r="AT76" s="2338"/>
      <c r="AU76" s="2338"/>
      <c r="AV76" s="2338"/>
      <c r="AW76" s="2338"/>
      <c r="AX76" s="2338"/>
      <c r="AY76" s="2338"/>
      <c r="AZ76" s="2338"/>
      <c r="BA76" s="2338"/>
      <c r="BB76" s="2338"/>
      <c r="BC76" s="2338"/>
      <c r="BD76" s="2338"/>
      <c r="BE76" s="2338"/>
      <c r="BF76" s="2338"/>
      <c r="BG76" s="2338"/>
      <c r="BH76" s="2338"/>
      <c r="BI76" s="2338"/>
      <c r="BJ76" s="2338"/>
      <c r="BK76" s="2338"/>
      <c r="BL76" s="2338"/>
      <c r="BM76" s="2338"/>
      <c r="BN76" s="2338"/>
      <c r="BO76" s="2338"/>
      <c r="BP76" s="2338"/>
      <c r="BQ76" s="2338"/>
      <c r="BR76" s="2338"/>
      <c r="BS76" s="2338"/>
      <c r="BT76" s="2338"/>
      <c r="BU76" s="2338"/>
      <c r="BV76" s="2338"/>
      <c r="BW76" s="2338"/>
      <c r="BX76" s="2338"/>
      <c r="BY76" s="2338"/>
      <c r="BZ76" s="2338"/>
      <c r="CA76" s="2338"/>
      <c r="CB76" s="2338"/>
      <c r="CC76" s="2338"/>
      <c r="CD76" s="2338"/>
      <c r="CE76" s="2338"/>
      <c r="CF76" s="2338"/>
      <c r="CG76" s="2338"/>
      <c r="CH76" s="2338"/>
      <c r="CI76" s="2338"/>
      <c r="CJ76" s="2338"/>
      <c r="CK76" s="2338"/>
      <c r="CL76" s="2338"/>
      <c r="CM76" s="2338"/>
      <c r="CN76" s="2338"/>
      <c r="CO76" s="2338"/>
      <c r="CP76" s="2338"/>
      <c r="CQ76" s="2338"/>
      <c r="CR76" s="2338"/>
      <c r="CS76" s="2338"/>
      <c r="CT76" s="2338"/>
      <c r="CU76" s="2338"/>
      <c r="CV76" s="2338"/>
      <c r="CW76" s="2338"/>
      <c r="CX76" s="2338"/>
      <c r="CY76" s="2338"/>
      <c r="CZ76" s="2338"/>
      <c r="DA76" s="2338"/>
      <c r="DB76" s="2338"/>
      <c r="DC76" s="2338"/>
      <c r="DD76" s="2338"/>
      <c r="DE76" s="2338"/>
      <c r="DF76" s="2338"/>
      <c r="DG76" s="2338"/>
      <c r="DH76" s="2338"/>
      <c r="DI76" s="2338"/>
      <c r="DJ76" s="2338"/>
    </row>
    <row r="77" spans="1:114" hidden="1" outlineLevel="1">
      <c r="A77" s="3217"/>
      <c r="B77" s="3210"/>
      <c r="C77" s="3208"/>
      <c r="D77" s="3210"/>
      <c r="E77" s="3029"/>
      <c r="F77" s="2979" t="s">
        <v>3861</v>
      </c>
      <c r="G77" s="3637"/>
      <c r="H77" s="3673"/>
      <c r="I77" s="3673"/>
      <c r="J77" s="3673"/>
      <c r="K77" s="3673"/>
      <c r="L77" s="3673"/>
      <c r="M77" s="3673"/>
      <c r="N77" s="3673"/>
      <c r="O77" s="3673"/>
      <c r="P77" s="3673"/>
      <c r="Q77" s="3673"/>
      <c r="R77" s="3673"/>
      <c r="S77" s="3673"/>
      <c r="T77" s="3673"/>
      <c r="U77" s="3673"/>
      <c r="V77" s="2802" t="str">
        <f>'Приложение 1'!V78</f>
        <v/>
      </c>
      <c r="W77" s="2802" t="str">
        <f>'Приложение 1'!W78</f>
        <v/>
      </c>
      <c r="X77" s="2802" t="str">
        <f>'Приложение 1'!X78</f>
        <v/>
      </c>
      <c r="Y77" s="2802" t="str">
        <f>'Приложение 1'!Y78</f>
        <v/>
      </c>
      <c r="Z77" s="2937"/>
      <c r="AA77" s="2937"/>
      <c r="AB77" s="2937"/>
      <c r="AC77" s="2937"/>
      <c r="AD77" s="2937" t="str">
        <f>'Приложение 1'!AD78</f>
        <v/>
      </c>
      <c r="AE77" s="2937" t="str">
        <f>'Приложение 1'!AE78</f>
        <v/>
      </c>
      <c r="AF77" s="2937" t="str">
        <f>'Приложение 1'!AF78</f>
        <v/>
      </c>
      <c r="AG77" s="2937"/>
      <c r="AH77" s="2937"/>
      <c r="AI77" s="2937"/>
      <c r="AJ77" s="2937" t="str">
        <f>'Приложение 1'!AJ78</f>
        <v/>
      </c>
      <c r="AK77" s="2945"/>
      <c r="AL77" s="2895">
        <f t="shared" si="2"/>
        <v>0</v>
      </c>
      <c r="AM77" s="2566" t="str">
        <f t="shared" si="3"/>
        <v/>
      </c>
      <c r="AN77" s="2338"/>
      <c r="AO77" s="2338"/>
      <c r="AP77" s="2338"/>
      <c r="AQ77" s="2338"/>
      <c r="AR77" s="2338"/>
      <c r="AS77" s="2338"/>
      <c r="AT77" s="2338"/>
      <c r="AU77" s="2338"/>
      <c r="AV77" s="2338"/>
      <c r="AW77" s="2338"/>
      <c r="AX77" s="2338"/>
      <c r="AY77" s="2338"/>
      <c r="AZ77" s="2338"/>
      <c r="BA77" s="2338"/>
      <c r="BB77" s="2338"/>
      <c r="BC77" s="2338"/>
      <c r="BD77" s="2338"/>
      <c r="BE77" s="2338"/>
      <c r="BF77" s="2338"/>
      <c r="BG77" s="2338"/>
      <c r="BH77" s="2338"/>
      <c r="BI77" s="2338"/>
      <c r="BJ77" s="2338"/>
      <c r="BK77" s="2338"/>
      <c r="BL77" s="2338"/>
      <c r="BM77" s="2338"/>
      <c r="BN77" s="2338"/>
      <c r="BO77" s="2338"/>
      <c r="BP77" s="2338"/>
      <c r="BQ77" s="2338"/>
      <c r="BR77" s="2338"/>
      <c r="BS77" s="2338"/>
      <c r="BT77" s="2338"/>
      <c r="BU77" s="2338"/>
      <c r="BV77" s="2338"/>
      <c r="BW77" s="2338"/>
      <c r="BX77" s="2338"/>
      <c r="BY77" s="2338"/>
      <c r="BZ77" s="2338"/>
      <c r="CA77" s="2338"/>
      <c r="CB77" s="2338"/>
      <c r="CC77" s="2338"/>
      <c r="CD77" s="2338"/>
      <c r="CE77" s="2338"/>
      <c r="CF77" s="2338"/>
      <c r="CG77" s="2338"/>
      <c r="CH77" s="2338"/>
      <c r="CI77" s="2338"/>
      <c r="CJ77" s="2338"/>
      <c r="CK77" s="2338"/>
      <c r="CL77" s="2338"/>
      <c r="CM77" s="2338"/>
      <c r="CN77" s="2338"/>
      <c r="CO77" s="2338"/>
      <c r="CP77" s="2338"/>
      <c r="CQ77" s="2338"/>
      <c r="CR77" s="2338"/>
      <c r="CS77" s="2338"/>
      <c r="CT77" s="2338"/>
      <c r="CU77" s="2338"/>
      <c r="CV77" s="2338"/>
      <c r="CW77" s="2338"/>
      <c r="CX77" s="2338"/>
      <c r="CY77" s="2338"/>
      <c r="CZ77" s="2338"/>
      <c r="DA77" s="2338"/>
      <c r="DB77" s="2338"/>
      <c r="DC77" s="2338"/>
      <c r="DD77" s="2338"/>
      <c r="DE77" s="2338"/>
      <c r="DF77" s="2338"/>
      <c r="DG77" s="2338"/>
      <c r="DH77" s="2338"/>
      <c r="DI77" s="2338"/>
      <c r="DJ77" s="2338"/>
    </row>
    <row r="78" spans="1:114" hidden="1" outlineLevel="1">
      <c r="A78" s="3217"/>
      <c r="B78" s="3210"/>
      <c r="C78" s="3208"/>
      <c r="D78" s="3210"/>
      <c r="E78" s="3029"/>
      <c r="F78" s="2979" t="s">
        <v>3862</v>
      </c>
      <c r="G78" s="3637"/>
      <c r="H78" s="3673"/>
      <c r="I78" s="3673"/>
      <c r="J78" s="3673"/>
      <c r="K78" s="3673"/>
      <c r="L78" s="3673"/>
      <c r="M78" s="3673"/>
      <c r="N78" s="3673"/>
      <c r="O78" s="3673"/>
      <c r="P78" s="3673"/>
      <c r="Q78" s="3673"/>
      <c r="R78" s="3673"/>
      <c r="S78" s="3673"/>
      <c r="T78" s="3673"/>
      <c r="U78" s="3673"/>
      <c r="V78" s="2802" t="str">
        <f>'Приложение 1'!V79</f>
        <v/>
      </c>
      <c r="W78" s="2802" t="str">
        <f>'Приложение 1'!W79</f>
        <v/>
      </c>
      <c r="X78" s="2802" t="str">
        <f>'Приложение 1'!X79</f>
        <v/>
      </c>
      <c r="Y78" s="2802" t="str">
        <f>'Приложение 1'!Y79</f>
        <v/>
      </c>
      <c r="Z78" s="2937"/>
      <c r="AA78" s="2937"/>
      <c r="AB78" s="2937"/>
      <c r="AC78" s="2937"/>
      <c r="AD78" s="2937" t="str">
        <f>'Приложение 1'!AD79</f>
        <v/>
      </c>
      <c r="AE78" s="2937" t="str">
        <f>'Приложение 1'!AE79</f>
        <v/>
      </c>
      <c r="AF78" s="2937" t="str">
        <f>'Приложение 1'!AF79</f>
        <v/>
      </c>
      <c r="AG78" s="2937"/>
      <c r="AH78" s="2937"/>
      <c r="AI78" s="2937"/>
      <c r="AJ78" s="2937" t="str">
        <f>'Приложение 1'!AJ79</f>
        <v/>
      </c>
      <c r="AK78" s="2945"/>
      <c r="AL78" s="2895">
        <f t="shared" si="2"/>
        <v>0</v>
      </c>
      <c r="AM78" s="2566" t="str">
        <f t="shared" si="3"/>
        <v/>
      </c>
      <c r="AN78" s="2338"/>
      <c r="AO78" s="2338"/>
      <c r="AP78" s="2338"/>
      <c r="AQ78" s="2338"/>
      <c r="AR78" s="2338"/>
      <c r="AS78" s="2338"/>
      <c r="AT78" s="2338"/>
      <c r="AU78" s="2338"/>
      <c r="AV78" s="2338"/>
      <c r="AW78" s="2338"/>
      <c r="AX78" s="2338"/>
      <c r="AY78" s="2338"/>
      <c r="AZ78" s="2338"/>
      <c r="BA78" s="2338"/>
      <c r="BB78" s="2338"/>
      <c r="BC78" s="2338"/>
      <c r="BD78" s="2338"/>
      <c r="BE78" s="2338"/>
      <c r="BF78" s="2338"/>
      <c r="BG78" s="2338"/>
      <c r="BH78" s="2338"/>
      <c r="BI78" s="2338"/>
      <c r="BJ78" s="2338"/>
      <c r="BK78" s="2338"/>
      <c r="BL78" s="2338"/>
      <c r="BM78" s="2338"/>
      <c r="BN78" s="2338"/>
      <c r="BO78" s="2338"/>
      <c r="BP78" s="2338"/>
      <c r="BQ78" s="2338"/>
      <c r="BR78" s="2338"/>
      <c r="BS78" s="2338"/>
      <c r="BT78" s="2338"/>
      <c r="BU78" s="2338"/>
      <c r="BV78" s="2338"/>
      <c r="BW78" s="2338"/>
      <c r="BX78" s="2338"/>
      <c r="BY78" s="2338"/>
      <c r="BZ78" s="2338"/>
      <c r="CA78" s="2338"/>
      <c r="CB78" s="2338"/>
      <c r="CC78" s="2338"/>
      <c r="CD78" s="2338"/>
      <c r="CE78" s="2338"/>
      <c r="CF78" s="2338"/>
      <c r="CG78" s="2338"/>
      <c r="CH78" s="2338"/>
      <c r="CI78" s="2338"/>
      <c r="CJ78" s="2338"/>
      <c r="CK78" s="2338"/>
      <c r="CL78" s="2338"/>
      <c r="CM78" s="2338"/>
      <c r="CN78" s="2338"/>
      <c r="CO78" s="2338"/>
      <c r="CP78" s="2338"/>
      <c r="CQ78" s="2338"/>
      <c r="CR78" s="2338"/>
      <c r="CS78" s="2338"/>
      <c r="CT78" s="2338"/>
      <c r="CU78" s="2338"/>
      <c r="CV78" s="2338"/>
      <c r="CW78" s="2338"/>
      <c r="CX78" s="2338"/>
      <c r="CY78" s="2338"/>
      <c r="CZ78" s="2338"/>
      <c r="DA78" s="2338"/>
      <c r="DB78" s="2338"/>
      <c r="DC78" s="2338"/>
      <c r="DD78" s="2338"/>
      <c r="DE78" s="2338"/>
      <c r="DF78" s="2338"/>
      <c r="DG78" s="2338"/>
      <c r="DH78" s="2338"/>
      <c r="DI78" s="2338"/>
      <c r="DJ78" s="2338"/>
    </row>
    <row r="79" spans="1:114" hidden="1" outlineLevel="1">
      <c r="A79" s="3217"/>
      <c r="B79" s="3210"/>
      <c r="C79" s="3208"/>
      <c r="D79" s="3210"/>
      <c r="E79" s="3029"/>
      <c r="F79" s="2979" t="s">
        <v>3863</v>
      </c>
      <c r="G79" s="3637"/>
      <c r="H79" s="3673"/>
      <c r="I79" s="3673"/>
      <c r="J79" s="3673"/>
      <c r="K79" s="3673"/>
      <c r="L79" s="3673"/>
      <c r="M79" s="3673"/>
      <c r="N79" s="3673"/>
      <c r="O79" s="3673"/>
      <c r="P79" s="3673"/>
      <c r="Q79" s="3673"/>
      <c r="R79" s="3673"/>
      <c r="S79" s="3673"/>
      <c r="T79" s="3673"/>
      <c r="U79" s="3673"/>
      <c r="V79" s="2802" t="str">
        <f>'Приложение 1'!V80</f>
        <v/>
      </c>
      <c r="W79" s="2802" t="str">
        <f>'Приложение 1'!W80</f>
        <v/>
      </c>
      <c r="X79" s="2802" t="str">
        <f>'Приложение 1'!X80</f>
        <v/>
      </c>
      <c r="Y79" s="2802" t="str">
        <f>'Приложение 1'!Y80</f>
        <v/>
      </c>
      <c r="Z79" s="2937"/>
      <c r="AA79" s="2937"/>
      <c r="AB79" s="2937"/>
      <c r="AC79" s="2937"/>
      <c r="AD79" s="2937" t="str">
        <f>'Приложение 1'!AD80</f>
        <v/>
      </c>
      <c r="AE79" s="2937" t="str">
        <f>'Приложение 1'!AE80</f>
        <v/>
      </c>
      <c r="AF79" s="2937" t="str">
        <f>'Приложение 1'!AF80</f>
        <v/>
      </c>
      <c r="AG79" s="2937"/>
      <c r="AH79" s="2937"/>
      <c r="AI79" s="2937"/>
      <c r="AJ79" s="2937" t="str">
        <f>'Приложение 1'!AJ80</f>
        <v/>
      </c>
      <c r="AK79" s="2945"/>
      <c r="AL79" s="2895">
        <f t="shared" si="2"/>
        <v>0</v>
      </c>
      <c r="AM79" s="2566" t="str">
        <f t="shared" si="3"/>
        <v/>
      </c>
      <c r="AN79" s="2338"/>
      <c r="AO79" s="2338"/>
      <c r="AP79" s="2338"/>
      <c r="AQ79" s="2338"/>
      <c r="AR79" s="2338"/>
      <c r="AS79" s="2338"/>
      <c r="AT79" s="2338"/>
      <c r="AU79" s="2338"/>
      <c r="AV79" s="2338"/>
      <c r="AW79" s="2338"/>
      <c r="AX79" s="2338"/>
      <c r="AY79" s="2338"/>
      <c r="AZ79" s="2338"/>
      <c r="BA79" s="2338"/>
      <c r="BB79" s="2338"/>
      <c r="BC79" s="2338"/>
      <c r="BD79" s="2338"/>
      <c r="BE79" s="2338"/>
      <c r="BF79" s="2338"/>
      <c r="BG79" s="2338"/>
      <c r="BH79" s="2338"/>
      <c r="BI79" s="2338"/>
      <c r="BJ79" s="2338"/>
      <c r="BK79" s="2338"/>
      <c r="BL79" s="2338"/>
      <c r="BM79" s="2338"/>
      <c r="BN79" s="2338"/>
      <c r="BO79" s="2338"/>
      <c r="BP79" s="2338"/>
      <c r="BQ79" s="2338"/>
      <c r="BR79" s="2338"/>
      <c r="BS79" s="2338"/>
      <c r="BT79" s="2338"/>
      <c r="BU79" s="2338"/>
      <c r="BV79" s="2338"/>
      <c r="BW79" s="2338"/>
      <c r="BX79" s="2338"/>
      <c r="BY79" s="2338"/>
      <c r="BZ79" s="2338"/>
      <c r="CA79" s="2338"/>
      <c r="CB79" s="2338"/>
      <c r="CC79" s="2338"/>
      <c r="CD79" s="2338"/>
      <c r="CE79" s="2338"/>
      <c r="CF79" s="2338"/>
      <c r="CG79" s="2338"/>
      <c r="CH79" s="2338"/>
      <c r="CI79" s="2338"/>
      <c r="CJ79" s="2338"/>
      <c r="CK79" s="2338"/>
      <c r="CL79" s="2338"/>
      <c r="CM79" s="2338"/>
      <c r="CN79" s="2338"/>
      <c r="CO79" s="2338"/>
      <c r="CP79" s="2338"/>
      <c r="CQ79" s="2338"/>
      <c r="CR79" s="2338"/>
      <c r="CS79" s="2338"/>
      <c r="CT79" s="2338"/>
      <c r="CU79" s="2338"/>
      <c r="CV79" s="2338"/>
      <c r="CW79" s="2338"/>
      <c r="CX79" s="2338"/>
      <c r="CY79" s="2338"/>
      <c r="CZ79" s="2338"/>
      <c r="DA79" s="2338"/>
      <c r="DB79" s="2338"/>
      <c r="DC79" s="2338"/>
      <c r="DD79" s="2338"/>
      <c r="DE79" s="2338"/>
      <c r="DF79" s="2338"/>
      <c r="DG79" s="2338"/>
      <c r="DH79" s="2338"/>
      <c r="DI79" s="2338"/>
      <c r="DJ79" s="2338"/>
    </row>
    <row r="80" spans="1:114" hidden="1" outlineLevel="1">
      <c r="A80" s="3217"/>
      <c r="B80" s="3210"/>
      <c r="C80" s="3208"/>
      <c r="D80" s="3210"/>
      <c r="E80" s="3029"/>
      <c r="F80" s="2980" t="s">
        <v>3864</v>
      </c>
      <c r="G80" s="3637"/>
      <c r="H80" s="3673"/>
      <c r="I80" s="3673"/>
      <c r="J80" s="3673"/>
      <c r="K80" s="3673"/>
      <c r="L80" s="3673"/>
      <c r="M80" s="3673"/>
      <c r="N80" s="3673"/>
      <c r="O80" s="3673"/>
      <c r="P80" s="3673"/>
      <c r="Q80" s="3673"/>
      <c r="R80" s="3673"/>
      <c r="S80" s="3673"/>
      <c r="T80" s="3673"/>
      <c r="U80" s="3673"/>
      <c r="V80" s="2802" t="str">
        <f>'Приложение 1'!V81</f>
        <v/>
      </c>
      <c r="W80" s="2802" t="str">
        <f>'Приложение 1'!W81</f>
        <v/>
      </c>
      <c r="X80" s="2802" t="str">
        <f>'Приложение 1'!X81</f>
        <v/>
      </c>
      <c r="Y80" s="2802" t="str">
        <f>'Приложение 1'!Y81</f>
        <v/>
      </c>
      <c r="Z80" s="2937"/>
      <c r="AA80" s="2937"/>
      <c r="AB80" s="2937"/>
      <c r="AC80" s="2937"/>
      <c r="AD80" s="2937" t="str">
        <f>'Приложение 1'!AD81</f>
        <v/>
      </c>
      <c r="AE80" s="2937" t="str">
        <f>'Приложение 1'!AE81</f>
        <v/>
      </c>
      <c r="AF80" s="2937" t="str">
        <f>'Приложение 1'!AF81</f>
        <v/>
      </c>
      <c r="AG80" s="2937"/>
      <c r="AH80" s="2937"/>
      <c r="AI80" s="2937"/>
      <c r="AJ80" s="2937" t="str">
        <f>'Приложение 1'!AJ81</f>
        <v/>
      </c>
      <c r="AK80" s="2945"/>
      <c r="AL80" s="2895">
        <f t="shared" si="2"/>
        <v>0</v>
      </c>
      <c r="AM80" s="2566" t="str">
        <f t="shared" si="3"/>
        <v/>
      </c>
      <c r="AN80" s="2338"/>
      <c r="AO80" s="2338"/>
      <c r="AP80" s="2338"/>
      <c r="AQ80" s="2338"/>
      <c r="AR80" s="2338"/>
      <c r="AS80" s="2338"/>
      <c r="AT80" s="2338"/>
      <c r="AU80" s="2338"/>
      <c r="AV80" s="2338"/>
      <c r="AW80" s="2338"/>
      <c r="AX80" s="2338"/>
      <c r="AY80" s="2338"/>
      <c r="AZ80" s="2338"/>
      <c r="BA80" s="2338"/>
      <c r="BB80" s="2338"/>
      <c r="BC80" s="2338"/>
      <c r="BD80" s="2338"/>
      <c r="BE80" s="2338"/>
      <c r="BF80" s="2338"/>
      <c r="BG80" s="2338"/>
      <c r="BH80" s="2338"/>
      <c r="BI80" s="2338"/>
      <c r="BJ80" s="2338"/>
      <c r="BK80" s="2338"/>
      <c r="BL80" s="2338"/>
      <c r="BM80" s="2338"/>
      <c r="BN80" s="2338"/>
      <c r="BO80" s="2338"/>
      <c r="BP80" s="2338"/>
      <c r="BQ80" s="2338"/>
      <c r="BR80" s="2338"/>
      <c r="BS80" s="2338"/>
      <c r="BT80" s="2338"/>
      <c r="BU80" s="2338"/>
      <c r="BV80" s="2338"/>
      <c r="BW80" s="2338"/>
      <c r="BX80" s="2338"/>
      <c r="BY80" s="2338"/>
      <c r="BZ80" s="2338"/>
      <c r="CA80" s="2338"/>
      <c r="CB80" s="2338"/>
      <c r="CC80" s="2338"/>
      <c r="CD80" s="2338"/>
      <c r="CE80" s="2338"/>
      <c r="CF80" s="2338"/>
      <c r="CG80" s="2338"/>
      <c r="CH80" s="2338"/>
      <c r="CI80" s="2338"/>
      <c r="CJ80" s="2338"/>
      <c r="CK80" s="2338"/>
      <c r="CL80" s="2338"/>
      <c r="CM80" s="2338"/>
      <c r="CN80" s="2338"/>
      <c r="CO80" s="2338"/>
      <c r="CP80" s="2338"/>
      <c r="CQ80" s="2338"/>
      <c r="CR80" s="2338"/>
      <c r="CS80" s="2338"/>
      <c r="CT80" s="2338"/>
      <c r="CU80" s="2338"/>
      <c r="CV80" s="2338"/>
      <c r="CW80" s="2338"/>
      <c r="CX80" s="2338"/>
      <c r="CY80" s="2338"/>
      <c r="CZ80" s="2338"/>
      <c r="DA80" s="2338"/>
      <c r="DB80" s="2338"/>
      <c r="DC80" s="2338"/>
      <c r="DD80" s="2338"/>
      <c r="DE80" s="2338"/>
      <c r="DF80" s="2338"/>
      <c r="DG80" s="2338"/>
      <c r="DH80" s="2338"/>
      <c r="DI80" s="2338"/>
      <c r="DJ80" s="2338"/>
    </row>
    <row r="81" spans="1:114" hidden="1" outlineLevel="1">
      <c r="A81" s="3217"/>
      <c r="B81" s="3210"/>
      <c r="C81" s="3208"/>
      <c r="D81" s="3210"/>
      <c r="E81" s="3029"/>
      <c r="F81" s="2980" t="s">
        <v>3865</v>
      </c>
      <c r="G81" s="3637"/>
      <c r="H81" s="3673"/>
      <c r="I81" s="3673"/>
      <c r="J81" s="3673"/>
      <c r="K81" s="3673"/>
      <c r="L81" s="3673"/>
      <c r="M81" s="3673"/>
      <c r="N81" s="3673"/>
      <c r="O81" s="3673"/>
      <c r="P81" s="3673"/>
      <c r="Q81" s="3673"/>
      <c r="R81" s="3673"/>
      <c r="S81" s="3673"/>
      <c r="T81" s="3673"/>
      <c r="U81" s="3673"/>
      <c r="V81" s="2802" t="str">
        <f>'Приложение 1'!V82</f>
        <v/>
      </c>
      <c r="W81" s="2802" t="str">
        <f>'Приложение 1'!W82</f>
        <v/>
      </c>
      <c r="X81" s="2802" t="str">
        <f>'Приложение 1'!X82</f>
        <v/>
      </c>
      <c r="Y81" s="2802" t="str">
        <f>'Приложение 1'!Y82</f>
        <v/>
      </c>
      <c r="Z81" s="2937"/>
      <c r="AA81" s="2937"/>
      <c r="AB81" s="2937"/>
      <c r="AC81" s="2937"/>
      <c r="AD81" s="2937" t="str">
        <f>'Приложение 1'!AD82</f>
        <v/>
      </c>
      <c r="AE81" s="2937" t="str">
        <f>'Приложение 1'!AE82</f>
        <v/>
      </c>
      <c r="AF81" s="2937" t="str">
        <f>'Приложение 1'!AF82</f>
        <v/>
      </c>
      <c r="AG81" s="2937"/>
      <c r="AH81" s="2937"/>
      <c r="AI81" s="2937"/>
      <c r="AJ81" s="2937" t="str">
        <f>'Приложение 1'!AJ82</f>
        <v/>
      </c>
      <c r="AK81" s="2945"/>
      <c r="AL81" s="2895">
        <f t="shared" si="2"/>
        <v>0</v>
      </c>
      <c r="AM81" s="2566" t="str">
        <f t="shared" si="3"/>
        <v/>
      </c>
      <c r="AN81" s="2338"/>
      <c r="AO81" s="2338"/>
      <c r="AP81" s="2338"/>
      <c r="AQ81" s="2338"/>
      <c r="AR81" s="2338"/>
      <c r="AS81" s="2338"/>
      <c r="AT81" s="2338"/>
      <c r="AU81" s="2338"/>
      <c r="AV81" s="2338"/>
      <c r="AW81" s="2338"/>
      <c r="AX81" s="2338"/>
      <c r="AY81" s="2338"/>
      <c r="AZ81" s="2338"/>
      <c r="BA81" s="2338"/>
      <c r="BB81" s="2338"/>
      <c r="BC81" s="2338"/>
      <c r="BD81" s="2338"/>
      <c r="BE81" s="2338"/>
      <c r="BF81" s="2338"/>
      <c r="BG81" s="2338"/>
      <c r="BH81" s="2338"/>
      <c r="BI81" s="2338"/>
      <c r="BJ81" s="2338"/>
      <c r="BK81" s="2338"/>
      <c r="BL81" s="2338"/>
      <c r="BM81" s="2338"/>
      <c r="BN81" s="2338"/>
      <c r="BO81" s="2338"/>
      <c r="BP81" s="2338"/>
      <c r="BQ81" s="2338"/>
      <c r="BR81" s="2338"/>
      <c r="BS81" s="2338"/>
      <c r="BT81" s="2338"/>
      <c r="BU81" s="2338"/>
      <c r="BV81" s="2338"/>
      <c r="BW81" s="2338"/>
      <c r="BX81" s="2338"/>
      <c r="BY81" s="2338"/>
      <c r="BZ81" s="2338"/>
      <c r="CA81" s="2338"/>
      <c r="CB81" s="2338"/>
      <c r="CC81" s="2338"/>
      <c r="CD81" s="2338"/>
      <c r="CE81" s="2338"/>
      <c r="CF81" s="2338"/>
      <c r="CG81" s="2338"/>
      <c r="CH81" s="2338"/>
      <c r="CI81" s="2338"/>
      <c r="CJ81" s="2338"/>
      <c r="CK81" s="2338"/>
      <c r="CL81" s="2338"/>
      <c r="CM81" s="2338"/>
      <c r="CN81" s="2338"/>
      <c r="CO81" s="2338"/>
      <c r="CP81" s="2338"/>
      <c r="CQ81" s="2338"/>
      <c r="CR81" s="2338"/>
      <c r="CS81" s="2338"/>
      <c r="CT81" s="2338"/>
      <c r="CU81" s="2338"/>
      <c r="CV81" s="2338"/>
      <c r="CW81" s="2338"/>
      <c r="CX81" s="2338"/>
      <c r="CY81" s="2338"/>
      <c r="CZ81" s="2338"/>
      <c r="DA81" s="2338"/>
      <c r="DB81" s="2338"/>
      <c r="DC81" s="2338"/>
      <c r="DD81" s="2338"/>
      <c r="DE81" s="2338"/>
      <c r="DF81" s="2338"/>
      <c r="DG81" s="2338"/>
      <c r="DH81" s="2338"/>
      <c r="DI81" s="2338"/>
      <c r="DJ81" s="2338"/>
    </row>
    <row r="82" spans="1:114" collapsed="1">
      <c r="A82" s="3217"/>
      <c r="B82" s="3210"/>
      <c r="C82" s="3208"/>
      <c r="D82" s="3210" t="s">
        <v>2954</v>
      </c>
      <c r="E82" s="3029" t="s">
        <v>2950</v>
      </c>
      <c r="F82" s="2979" t="s">
        <v>3860</v>
      </c>
      <c r="G82" s="3637"/>
      <c r="H82" s="3673">
        <f>'Приложение 1'!H83</f>
        <v>385</v>
      </c>
      <c r="I82" s="3673"/>
      <c r="J82" s="3673">
        <f>'Приложение 1'!J83</f>
        <v>110</v>
      </c>
      <c r="K82" s="3673"/>
      <c r="L82" s="3673">
        <f>'Приложение 1'!L83</f>
        <v>495</v>
      </c>
      <c r="M82" s="3673">
        <f>'Приложение 1'!M83</f>
        <v>345.36</v>
      </c>
      <c r="N82" s="3673"/>
      <c r="O82" s="3673">
        <f>'Приложение 1'!O83</f>
        <v>15</v>
      </c>
      <c r="P82" s="3673"/>
      <c r="Q82" s="3673">
        <f>'Приложение 1'!Q83</f>
        <v>360.36</v>
      </c>
      <c r="R82" s="3673">
        <f>'Приложение 1'!R83</f>
        <v>427.93105000000003</v>
      </c>
      <c r="S82" s="3673"/>
      <c r="T82" s="3673">
        <f>'Приложение 1'!T83</f>
        <v>103.95427000000001</v>
      </c>
      <c r="U82" s="3673"/>
      <c r="V82" s="2802">
        <f>'Приложение 1'!V83</f>
        <v>1111509.2207792208</v>
      </c>
      <c r="W82" s="2802" t="str">
        <f>'Приложение 1'!W83</f>
        <v/>
      </c>
      <c r="X82" s="2802">
        <f>'Приложение 1'!X83</f>
        <v>945038.81818181823</v>
      </c>
      <c r="Y82" s="2802" t="str">
        <f>'Приложение 1'!Y83</f>
        <v/>
      </c>
      <c r="Z82" s="2937">
        <f>'Приложение 1'!Z83</f>
        <v>1.0528</v>
      </c>
      <c r="AA82" s="2937">
        <f>'Приложение 1'!AA83</f>
        <v>1.0589</v>
      </c>
      <c r="AB82" s="2937">
        <f>'Приложение 1'!AB83</f>
        <v>1.0507936887282501</v>
      </c>
      <c r="AC82" s="2937">
        <f>'Приложение 1'!AC83</f>
        <v>1.04657781587849</v>
      </c>
      <c r="AD82" s="2937">
        <f>'Приложение 1'!AD83</f>
        <v>1362708.2177435772</v>
      </c>
      <c r="AE82" s="2937" t="str">
        <f>'Приложение 1'!AE83</f>
        <v/>
      </c>
      <c r="AF82" s="2937">
        <f>'Приложение 1'!AF83</f>
        <v>1039294.4984902035</v>
      </c>
      <c r="AG82" s="2937"/>
      <c r="AH82" s="2937">
        <f>'Приложение 1'!AH83</f>
        <v>2402002.7162337806</v>
      </c>
      <c r="AI82" s="2780">
        <f>'Приложение 1'!AI83</f>
        <v>1201001.3581168903</v>
      </c>
      <c r="AJ82" s="2780">
        <f>'Приложение 1'!AJ83</f>
        <v>1649.7271402704534</v>
      </c>
      <c r="AK82" s="2945">
        <f>'Утв.СП 2018г'!H79</f>
        <v>1457.68</v>
      </c>
      <c r="AL82" s="2895">
        <f t="shared" si="2"/>
        <v>1525.5755506497574</v>
      </c>
      <c r="AM82" s="2853">
        <f t="shared" si="3"/>
        <v>1.081380164730497</v>
      </c>
      <c r="AN82" s="2338"/>
      <c r="AO82" s="2338"/>
      <c r="AP82" s="2338"/>
      <c r="AQ82" s="2338"/>
      <c r="AR82" s="2338"/>
      <c r="AS82" s="2338"/>
      <c r="AT82" s="2338"/>
      <c r="AU82" s="2338"/>
      <c r="AV82" s="2338"/>
      <c r="AW82" s="2338"/>
      <c r="AX82" s="2338"/>
      <c r="AY82" s="2338"/>
      <c r="AZ82" s="2338"/>
      <c r="BA82" s="2338"/>
      <c r="BB82" s="2338"/>
      <c r="BC82" s="2338"/>
      <c r="BD82" s="2338"/>
      <c r="BE82" s="2338"/>
      <c r="BF82" s="2338"/>
      <c r="BG82" s="2338"/>
      <c r="BH82" s="2338"/>
      <c r="BI82" s="2338"/>
      <c r="BJ82" s="2338"/>
      <c r="BK82" s="2338"/>
      <c r="BL82" s="2338"/>
      <c r="BM82" s="2338"/>
      <c r="BN82" s="2338"/>
      <c r="BO82" s="2338"/>
      <c r="BP82" s="2338"/>
      <c r="BQ82" s="2338"/>
      <c r="BR82" s="2338"/>
      <c r="BS82" s="2338"/>
      <c r="BT82" s="2338"/>
      <c r="BU82" s="2338"/>
      <c r="BV82" s="2338"/>
      <c r="BW82" s="2338"/>
      <c r="BX82" s="2338"/>
      <c r="BY82" s="2338"/>
      <c r="BZ82" s="2338"/>
      <c r="CA82" s="2338"/>
      <c r="CB82" s="2338"/>
      <c r="CC82" s="2338"/>
      <c r="CD82" s="2338"/>
      <c r="CE82" s="2338"/>
      <c r="CF82" s="2338"/>
      <c r="CG82" s="2338"/>
      <c r="CH82" s="2338"/>
      <c r="CI82" s="2338"/>
      <c r="CJ82" s="2338"/>
      <c r="CK82" s="2338"/>
      <c r="CL82" s="2338"/>
      <c r="CM82" s="2338"/>
      <c r="CN82" s="2338"/>
      <c r="CO82" s="2338"/>
      <c r="CP82" s="2338"/>
      <c r="CQ82" s="2338"/>
      <c r="CR82" s="2338"/>
      <c r="CS82" s="2338"/>
      <c r="CT82" s="2338"/>
      <c r="CU82" s="2338"/>
      <c r="CV82" s="2338"/>
      <c r="CW82" s="2338"/>
      <c r="CX82" s="2338"/>
      <c r="CY82" s="2338"/>
      <c r="CZ82" s="2338"/>
      <c r="DA82" s="2338"/>
      <c r="DB82" s="2338"/>
      <c r="DC82" s="2338"/>
      <c r="DD82" s="2338"/>
      <c r="DE82" s="2338"/>
      <c r="DF82" s="2338"/>
      <c r="DG82" s="2338"/>
      <c r="DH82" s="2338"/>
      <c r="DI82" s="2338"/>
      <c r="DJ82" s="2338"/>
    </row>
    <row r="83" spans="1:114" hidden="1" outlineLevel="1">
      <c r="A83" s="3217"/>
      <c r="B83" s="3210"/>
      <c r="C83" s="3208"/>
      <c r="D83" s="3210"/>
      <c r="E83" s="3029"/>
      <c r="F83" s="2979" t="s">
        <v>3861</v>
      </c>
      <c r="G83" s="3637"/>
      <c r="H83" s="3673"/>
      <c r="I83" s="3673"/>
      <c r="J83" s="3673"/>
      <c r="K83" s="3673"/>
      <c r="L83" s="3673"/>
      <c r="M83" s="3673"/>
      <c r="N83" s="3673"/>
      <c r="O83" s="3673"/>
      <c r="P83" s="3673"/>
      <c r="Q83" s="3673"/>
      <c r="R83" s="3673"/>
      <c r="S83" s="3673"/>
      <c r="T83" s="3673"/>
      <c r="U83" s="3673"/>
      <c r="V83" s="2802" t="str">
        <f>'Приложение 1'!V84</f>
        <v/>
      </c>
      <c r="W83" s="2802" t="str">
        <f>'Приложение 1'!W84</f>
        <v/>
      </c>
      <c r="X83" s="2802" t="str">
        <f>'Приложение 1'!X84</f>
        <v/>
      </c>
      <c r="Y83" s="2802" t="str">
        <f>'Приложение 1'!Y84</f>
        <v/>
      </c>
      <c r="Z83" s="2937"/>
      <c r="AA83" s="2937"/>
      <c r="AB83" s="2937"/>
      <c r="AC83" s="2937"/>
      <c r="AD83" s="2937" t="str">
        <f>'Приложение 1'!AD84</f>
        <v/>
      </c>
      <c r="AE83" s="2937" t="str">
        <f>'Приложение 1'!AE84</f>
        <v/>
      </c>
      <c r="AF83" s="2937" t="str">
        <f>'Приложение 1'!AF84</f>
        <v/>
      </c>
      <c r="AG83" s="2937"/>
      <c r="AH83" s="2937"/>
      <c r="AI83" s="2937"/>
      <c r="AJ83" s="2937" t="str">
        <f>'Приложение 1'!AJ84</f>
        <v/>
      </c>
      <c r="AK83" s="2945"/>
      <c r="AL83" s="2895">
        <f t="shared" si="2"/>
        <v>0</v>
      </c>
      <c r="AM83" s="2566" t="str">
        <f t="shared" si="3"/>
        <v/>
      </c>
      <c r="AN83" s="2338"/>
      <c r="AO83" s="2338"/>
      <c r="AP83" s="2338"/>
      <c r="AQ83" s="2338"/>
      <c r="AR83" s="2338"/>
      <c r="AS83" s="2338"/>
      <c r="AT83" s="2338"/>
      <c r="AU83" s="2338"/>
      <c r="AV83" s="2338"/>
      <c r="AW83" s="2338"/>
      <c r="AX83" s="2338"/>
      <c r="AY83" s="2338"/>
      <c r="AZ83" s="2338"/>
      <c r="BA83" s="2338"/>
      <c r="BB83" s="2338"/>
      <c r="BC83" s="2338"/>
      <c r="BD83" s="2338"/>
      <c r="BE83" s="2338"/>
      <c r="BF83" s="2338"/>
      <c r="BG83" s="2338"/>
      <c r="BH83" s="2338"/>
      <c r="BI83" s="2338"/>
      <c r="BJ83" s="2338"/>
      <c r="BK83" s="2338"/>
      <c r="BL83" s="2338"/>
      <c r="BM83" s="2338"/>
      <c r="BN83" s="2338"/>
      <c r="BO83" s="2338"/>
      <c r="BP83" s="2338"/>
      <c r="BQ83" s="2338"/>
      <c r="BR83" s="2338"/>
      <c r="BS83" s="2338"/>
      <c r="BT83" s="2338"/>
      <c r="BU83" s="2338"/>
      <c r="BV83" s="2338"/>
      <c r="BW83" s="2338"/>
      <c r="BX83" s="2338"/>
      <c r="BY83" s="2338"/>
      <c r="BZ83" s="2338"/>
      <c r="CA83" s="2338"/>
      <c r="CB83" s="2338"/>
      <c r="CC83" s="2338"/>
      <c r="CD83" s="2338"/>
      <c r="CE83" s="2338"/>
      <c r="CF83" s="2338"/>
      <c r="CG83" s="2338"/>
      <c r="CH83" s="2338"/>
      <c r="CI83" s="2338"/>
      <c r="CJ83" s="2338"/>
      <c r="CK83" s="2338"/>
      <c r="CL83" s="2338"/>
      <c r="CM83" s="2338"/>
      <c r="CN83" s="2338"/>
      <c r="CO83" s="2338"/>
      <c r="CP83" s="2338"/>
      <c r="CQ83" s="2338"/>
      <c r="CR83" s="2338"/>
      <c r="CS83" s="2338"/>
      <c r="CT83" s="2338"/>
      <c r="CU83" s="2338"/>
      <c r="CV83" s="2338"/>
      <c r="CW83" s="2338"/>
      <c r="CX83" s="2338"/>
      <c r="CY83" s="2338"/>
      <c r="CZ83" s="2338"/>
      <c r="DA83" s="2338"/>
      <c r="DB83" s="2338"/>
      <c r="DC83" s="2338"/>
      <c r="DD83" s="2338"/>
      <c r="DE83" s="2338"/>
      <c r="DF83" s="2338"/>
      <c r="DG83" s="2338"/>
      <c r="DH83" s="2338"/>
      <c r="DI83" s="2338"/>
      <c r="DJ83" s="2338"/>
    </row>
    <row r="84" spans="1:114" hidden="1" outlineLevel="1">
      <c r="A84" s="3217"/>
      <c r="B84" s="3210"/>
      <c r="C84" s="3208"/>
      <c r="D84" s="3210"/>
      <c r="E84" s="3029"/>
      <c r="F84" s="2979" t="s">
        <v>3862</v>
      </c>
      <c r="G84" s="3637"/>
      <c r="H84" s="3673"/>
      <c r="I84" s="3673"/>
      <c r="J84" s="3673"/>
      <c r="K84" s="3673"/>
      <c r="L84" s="3673"/>
      <c r="M84" s="3673"/>
      <c r="N84" s="3673"/>
      <c r="O84" s="3673"/>
      <c r="P84" s="3673"/>
      <c r="Q84" s="3673"/>
      <c r="R84" s="3673"/>
      <c r="S84" s="3673"/>
      <c r="T84" s="3673"/>
      <c r="U84" s="3673"/>
      <c r="V84" s="2802" t="str">
        <f>'Приложение 1'!V85</f>
        <v/>
      </c>
      <c r="W84" s="2802" t="str">
        <f>'Приложение 1'!W85</f>
        <v/>
      </c>
      <c r="X84" s="2802" t="str">
        <f>'Приложение 1'!X85</f>
        <v/>
      </c>
      <c r="Y84" s="2802" t="str">
        <f>'Приложение 1'!Y85</f>
        <v/>
      </c>
      <c r="Z84" s="2937"/>
      <c r="AA84" s="2937"/>
      <c r="AB84" s="2937"/>
      <c r="AC84" s="2937"/>
      <c r="AD84" s="2937" t="str">
        <f>'Приложение 1'!AD85</f>
        <v/>
      </c>
      <c r="AE84" s="2937" t="str">
        <f>'Приложение 1'!AE85</f>
        <v/>
      </c>
      <c r="AF84" s="2937" t="str">
        <f>'Приложение 1'!AF85</f>
        <v/>
      </c>
      <c r="AG84" s="2937"/>
      <c r="AH84" s="2937"/>
      <c r="AI84" s="2937"/>
      <c r="AJ84" s="2937" t="str">
        <f>'Приложение 1'!AJ85</f>
        <v/>
      </c>
      <c r="AK84" s="2945"/>
      <c r="AL84" s="2895">
        <f t="shared" si="2"/>
        <v>0</v>
      </c>
      <c r="AM84" s="2566" t="str">
        <f t="shared" si="3"/>
        <v/>
      </c>
      <c r="AN84" s="2338"/>
      <c r="AO84" s="2338"/>
      <c r="AP84" s="2338"/>
      <c r="AQ84" s="2338"/>
      <c r="AR84" s="2338"/>
      <c r="AS84" s="2338"/>
      <c r="AT84" s="2338"/>
      <c r="AU84" s="2338"/>
      <c r="AV84" s="2338"/>
      <c r="AW84" s="2338"/>
      <c r="AX84" s="2338"/>
      <c r="AY84" s="2338"/>
      <c r="AZ84" s="2338"/>
      <c r="BA84" s="2338"/>
      <c r="BB84" s="2338"/>
      <c r="BC84" s="2338"/>
      <c r="BD84" s="2338"/>
      <c r="BE84" s="2338"/>
      <c r="BF84" s="2338"/>
      <c r="BG84" s="2338"/>
      <c r="BH84" s="2338"/>
      <c r="BI84" s="2338"/>
      <c r="BJ84" s="2338"/>
      <c r="BK84" s="2338"/>
      <c r="BL84" s="2338"/>
      <c r="BM84" s="2338"/>
      <c r="BN84" s="2338"/>
      <c r="BO84" s="2338"/>
      <c r="BP84" s="2338"/>
      <c r="BQ84" s="2338"/>
      <c r="BR84" s="2338"/>
      <c r="BS84" s="2338"/>
      <c r="BT84" s="2338"/>
      <c r="BU84" s="2338"/>
      <c r="BV84" s="2338"/>
      <c r="BW84" s="2338"/>
      <c r="BX84" s="2338"/>
      <c r="BY84" s="2338"/>
      <c r="BZ84" s="2338"/>
      <c r="CA84" s="2338"/>
      <c r="CB84" s="2338"/>
      <c r="CC84" s="2338"/>
      <c r="CD84" s="2338"/>
      <c r="CE84" s="2338"/>
      <c r="CF84" s="2338"/>
      <c r="CG84" s="2338"/>
      <c r="CH84" s="2338"/>
      <c r="CI84" s="2338"/>
      <c r="CJ84" s="2338"/>
      <c r="CK84" s="2338"/>
      <c r="CL84" s="2338"/>
      <c r="CM84" s="2338"/>
      <c r="CN84" s="2338"/>
      <c r="CO84" s="2338"/>
      <c r="CP84" s="2338"/>
      <c r="CQ84" s="2338"/>
      <c r="CR84" s="2338"/>
      <c r="CS84" s="2338"/>
      <c r="CT84" s="2338"/>
      <c r="CU84" s="2338"/>
      <c r="CV84" s="2338"/>
      <c r="CW84" s="2338"/>
      <c r="CX84" s="2338"/>
      <c r="CY84" s="2338"/>
      <c r="CZ84" s="2338"/>
      <c r="DA84" s="2338"/>
      <c r="DB84" s="2338"/>
      <c r="DC84" s="2338"/>
      <c r="DD84" s="2338"/>
      <c r="DE84" s="2338"/>
      <c r="DF84" s="2338"/>
      <c r="DG84" s="2338"/>
      <c r="DH84" s="2338"/>
      <c r="DI84" s="2338"/>
      <c r="DJ84" s="2338"/>
    </row>
    <row r="85" spans="1:114" hidden="1" outlineLevel="1">
      <c r="A85" s="3217"/>
      <c r="B85" s="3210"/>
      <c r="C85" s="3208"/>
      <c r="D85" s="3210"/>
      <c r="E85" s="3029"/>
      <c r="F85" s="2979" t="s">
        <v>3863</v>
      </c>
      <c r="G85" s="3637"/>
      <c r="H85" s="3673"/>
      <c r="I85" s="3673"/>
      <c r="J85" s="3673"/>
      <c r="K85" s="3673"/>
      <c r="L85" s="3673"/>
      <c r="M85" s="3673"/>
      <c r="N85" s="3673"/>
      <c r="O85" s="3673"/>
      <c r="P85" s="3673"/>
      <c r="Q85" s="3673"/>
      <c r="R85" s="3673"/>
      <c r="S85" s="3673"/>
      <c r="T85" s="3673"/>
      <c r="U85" s="3673"/>
      <c r="V85" s="2802" t="str">
        <f>'Приложение 1'!V86</f>
        <v/>
      </c>
      <c r="W85" s="2802" t="str">
        <f>'Приложение 1'!W86</f>
        <v/>
      </c>
      <c r="X85" s="2802" t="str">
        <f>'Приложение 1'!X86</f>
        <v/>
      </c>
      <c r="Y85" s="2802" t="str">
        <f>'Приложение 1'!Y86</f>
        <v/>
      </c>
      <c r="Z85" s="2937"/>
      <c r="AA85" s="2937"/>
      <c r="AB85" s="2937"/>
      <c r="AC85" s="2937"/>
      <c r="AD85" s="2937" t="str">
        <f>'Приложение 1'!AD86</f>
        <v/>
      </c>
      <c r="AE85" s="2937" t="str">
        <f>'Приложение 1'!AE86</f>
        <v/>
      </c>
      <c r="AF85" s="2937" t="str">
        <f>'Приложение 1'!AF86</f>
        <v/>
      </c>
      <c r="AG85" s="2937"/>
      <c r="AH85" s="2937"/>
      <c r="AI85" s="2937"/>
      <c r="AJ85" s="2937" t="str">
        <f>'Приложение 1'!AJ86</f>
        <v/>
      </c>
      <c r="AK85" s="2945"/>
      <c r="AL85" s="2895">
        <f t="shared" si="2"/>
        <v>0</v>
      </c>
      <c r="AM85" s="2566" t="str">
        <f t="shared" si="3"/>
        <v/>
      </c>
      <c r="AN85" s="2338"/>
      <c r="AO85" s="2338"/>
      <c r="AP85" s="2338"/>
      <c r="AQ85" s="2338"/>
      <c r="AR85" s="2338"/>
      <c r="AS85" s="2338"/>
      <c r="AT85" s="2338"/>
      <c r="AU85" s="2338"/>
      <c r="AV85" s="2338"/>
      <c r="AW85" s="2338"/>
      <c r="AX85" s="2338"/>
      <c r="AY85" s="2338"/>
      <c r="AZ85" s="2338"/>
      <c r="BA85" s="2338"/>
      <c r="BB85" s="2338"/>
      <c r="BC85" s="2338"/>
      <c r="BD85" s="2338"/>
      <c r="BE85" s="2338"/>
      <c r="BF85" s="2338"/>
      <c r="BG85" s="2338"/>
      <c r="BH85" s="2338"/>
      <c r="BI85" s="2338"/>
      <c r="BJ85" s="2338"/>
      <c r="BK85" s="2338"/>
      <c r="BL85" s="2338"/>
      <c r="BM85" s="2338"/>
      <c r="BN85" s="2338"/>
      <c r="BO85" s="2338"/>
      <c r="BP85" s="2338"/>
      <c r="BQ85" s="2338"/>
      <c r="BR85" s="2338"/>
      <c r="BS85" s="2338"/>
      <c r="BT85" s="2338"/>
      <c r="BU85" s="2338"/>
      <c r="BV85" s="2338"/>
      <c r="BW85" s="2338"/>
      <c r="BX85" s="2338"/>
      <c r="BY85" s="2338"/>
      <c r="BZ85" s="2338"/>
      <c r="CA85" s="2338"/>
      <c r="CB85" s="2338"/>
      <c r="CC85" s="2338"/>
      <c r="CD85" s="2338"/>
      <c r="CE85" s="2338"/>
      <c r="CF85" s="2338"/>
      <c r="CG85" s="2338"/>
      <c r="CH85" s="2338"/>
      <c r="CI85" s="2338"/>
      <c r="CJ85" s="2338"/>
      <c r="CK85" s="2338"/>
      <c r="CL85" s="2338"/>
      <c r="CM85" s="2338"/>
      <c r="CN85" s="2338"/>
      <c r="CO85" s="2338"/>
      <c r="CP85" s="2338"/>
      <c r="CQ85" s="2338"/>
      <c r="CR85" s="2338"/>
      <c r="CS85" s="2338"/>
      <c r="CT85" s="2338"/>
      <c r="CU85" s="2338"/>
      <c r="CV85" s="2338"/>
      <c r="CW85" s="2338"/>
      <c r="CX85" s="2338"/>
      <c r="CY85" s="2338"/>
      <c r="CZ85" s="2338"/>
      <c r="DA85" s="2338"/>
      <c r="DB85" s="2338"/>
      <c r="DC85" s="2338"/>
      <c r="DD85" s="2338"/>
      <c r="DE85" s="2338"/>
      <c r="DF85" s="2338"/>
      <c r="DG85" s="2338"/>
      <c r="DH85" s="2338"/>
      <c r="DI85" s="2338"/>
      <c r="DJ85" s="2338"/>
    </row>
    <row r="86" spans="1:114" hidden="1" outlineLevel="1">
      <c r="A86" s="3217"/>
      <c r="B86" s="3210"/>
      <c r="C86" s="3208"/>
      <c r="D86" s="3210"/>
      <c r="E86" s="3029"/>
      <c r="F86" s="2980" t="s">
        <v>3864</v>
      </c>
      <c r="G86" s="3637"/>
      <c r="H86" s="3673"/>
      <c r="I86" s="3673"/>
      <c r="J86" s="3673"/>
      <c r="K86" s="3673"/>
      <c r="L86" s="3673"/>
      <c r="M86" s="3673"/>
      <c r="N86" s="3673"/>
      <c r="O86" s="3673"/>
      <c r="P86" s="3673"/>
      <c r="Q86" s="3673"/>
      <c r="R86" s="3673"/>
      <c r="S86" s="3673"/>
      <c r="T86" s="3673"/>
      <c r="U86" s="3673"/>
      <c r="V86" s="2802" t="str">
        <f>'Приложение 1'!V87</f>
        <v/>
      </c>
      <c r="W86" s="2802" t="str">
        <f>'Приложение 1'!W87</f>
        <v/>
      </c>
      <c r="X86" s="2802" t="str">
        <f>'Приложение 1'!X87</f>
        <v/>
      </c>
      <c r="Y86" s="2802" t="str">
        <f>'Приложение 1'!Y87</f>
        <v/>
      </c>
      <c r="Z86" s="2937"/>
      <c r="AA86" s="2937"/>
      <c r="AB86" s="2937"/>
      <c r="AC86" s="2937"/>
      <c r="AD86" s="2937" t="str">
        <f>'Приложение 1'!AD87</f>
        <v/>
      </c>
      <c r="AE86" s="2937" t="str">
        <f>'Приложение 1'!AE87</f>
        <v/>
      </c>
      <c r="AF86" s="2937" t="str">
        <f>'Приложение 1'!AF87</f>
        <v/>
      </c>
      <c r="AG86" s="2937"/>
      <c r="AH86" s="2937"/>
      <c r="AI86" s="2937"/>
      <c r="AJ86" s="2937" t="str">
        <f>'Приложение 1'!AJ87</f>
        <v/>
      </c>
      <c r="AK86" s="2945"/>
      <c r="AL86" s="2895">
        <f t="shared" si="2"/>
        <v>0</v>
      </c>
      <c r="AM86" s="2566" t="str">
        <f t="shared" si="3"/>
        <v/>
      </c>
      <c r="AN86" s="2338"/>
      <c r="AO86" s="2338"/>
      <c r="AP86" s="2338"/>
      <c r="AQ86" s="2338"/>
      <c r="AR86" s="2338"/>
      <c r="AS86" s="2338"/>
      <c r="AT86" s="2338"/>
      <c r="AU86" s="2338"/>
      <c r="AV86" s="2338"/>
      <c r="AW86" s="2338"/>
      <c r="AX86" s="2338"/>
      <c r="AY86" s="2338"/>
      <c r="AZ86" s="2338"/>
      <c r="BA86" s="2338"/>
      <c r="BB86" s="2338"/>
      <c r="BC86" s="2338"/>
      <c r="BD86" s="2338"/>
      <c r="BE86" s="2338"/>
      <c r="BF86" s="2338"/>
      <c r="BG86" s="2338"/>
      <c r="BH86" s="2338"/>
      <c r="BI86" s="2338"/>
      <c r="BJ86" s="2338"/>
      <c r="BK86" s="2338"/>
      <c r="BL86" s="2338"/>
      <c r="BM86" s="2338"/>
      <c r="BN86" s="2338"/>
      <c r="BO86" s="2338"/>
      <c r="BP86" s="2338"/>
      <c r="BQ86" s="2338"/>
      <c r="BR86" s="2338"/>
      <c r="BS86" s="2338"/>
      <c r="BT86" s="2338"/>
      <c r="BU86" s="2338"/>
      <c r="BV86" s="2338"/>
      <c r="BW86" s="2338"/>
      <c r="BX86" s="2338"/>
      <c r="BY86" s="2338"/>
      <c r="BZ86" s="2338"/>
      <c r="CA86" s="2338"/>
      <c r="CB86" s="2338"/>
      <c r="CC86" s="2338"/>
      <c r="CD86" s="2338"/>
      <c r="CE86" s="2338"/>
      <c r="CF86" s="2338"/>
      <c r="CG86" s="2338"/>
      <c r="CH86" s="2338"/>
      <c r="CI86" s="2338"/>
      <c r="CJ86" s="2338"/>
      <c r="CK86" s="2338"/>
      <c r="CL86" s="2338"/>
      <c r="CM86" s="2338"/>
      <c r="CN86" s="2338"/>
      <c r="CO86" s="2338"/>
      <c r="CP86" s="2338"/>
      <c r="CQ86" s="2338"/>
      <c r="CR86" s="2338"/>
      <c r="CS86" s="2338"/>
      <c r="CT86" s="2338"/>
      <c r="CU86" s="2338"/>
      <c r="CV86" s="2338"/>
      <c r="CW86" s="2338"/>
      <c r="CX86" s="2338"/>
      <c r="CY86" s="2338"/>
      <c r="CZ86" s="2338"/>
      <c r="DA86" s="2338"/>
      <c r="DB86" s="2338"/>
      <c r="DC86" s="2338"/>
      <c r="DD86" s="2338"/>
      <c r="DE86" s="2338"/>
      <c r="DF86" s="2338"/>
      <c r="DG86" s="2338"/>
      <c r="DH86" s="2338"/>
      <c r="DI86" s="2338"/>
      <c r="DJ86" s="2338"/>
    </row>
    <row r="87" spans="1:114" hidden="1" outlineLevel="1">
      <c r="A87" s="3217"/>
      <c r="B87" s="3210"/>
      <c r="C87" s="3208"/>
      <c r="D87" s="3210"/>
      <c r="E87" s="3029"/>
      <c r="F87" s="2980" t="s">
        <v>3865</v>
      </c>
      <c r="G87" s="3637"/>
      <c r="H87" s="3673"/>
      <c r="I87" s="3673"/>
      <c r="J87" s="3673"/>
      <c r="K87" s="3673"/>
      <c r="L87" s="3673"/>
      <c r="M87" s="3673"/>
      <c r="N87" s="3673"/>
      <c r="O87" s="3673"/>
      <c r="P87" s="3673"/>
      <c r="Q87" s="3673"/>
      <c r="R87" s="3673"/>
      <c r="S87" s="3673"/>
      <c r="T87" s="3673"/>
      <c r="U87" s="3673"/>
      <c r="V87" s="2802" t="str">
        <f>'Приложение 1'!V88</f>
        <v/>
      </c>
      <c r="W87" s="2802" t="str">
        <f>'Приложение 1'!W88</f>
        <v/>
      </c>
      <c r="X87" s="2802" t="str">
        <f>'Приложение 1'!X88</f>
        <v/>
      </c>
      <c r="Y87" s="2802" t="str">
        <f>'Приложение 1'!Y88</f>
        <v/>
      </c>
      <c r="Z87" s="2937"/>
      <c r="AA87" s="2937"/>
      <c r="AB87" s="2937"/>
      <c r="AC87" s="2937"/>
      <c r="AD87" s="2937" t="str">
        <f>'Приложение 1'!AD88</f>
        <v/>
      </c>
      <c r="AE87" s="2937" t="str">
        <f>'Приложение 1'!AE88</f>
        <v/>
      </c>
      <c r="AF87" s="2937" t="str">
        <f>'Приложение 1'!AF88</f>
        <v/>
      </c>
      <c r="AG87" s="2937"/>
      <c r="AH87" s="2937"/>
      <c r="AI87" s="2937"/>
      <c r="AJ87" s="2937" t="str">
        <f>'Приложение 1'!AJ88</f>
        <v/>
      </c>
      <c r="AK87" s="2945"/>
      <c r="AL87" s="2895">
        <f t="shared" si="2"/>
        <v>0</v>
      </c>
      <c r="AM87" s="2566" t="str">
        <f t="shared" si="3"/>
        <v/>
      </c>
      <c r="AN87" s="2338"/>
      <c r="AO87" s="2338"/>
      <c r="AP87" s="2338"/>
      <c r="AQ87" s="2338"/>
      <c r="AR87" s="2338"/>
      <c r="AS87" s="2338"/>
      <c r="AT87" s="2338"/>
      <c r="AU87" s="2338"/>
      <c r="AV87" s="2338"/>
      <c r="AW87" s="2338"/>
      <c r="AX87" s="2338"/>
      <c r="AY87" s="2338"/>
      <c r="AZ87" s="2338"/>
      <c r="BA87" s="2338"/>
      <c r="BB87" s="2338"/>
      <c r="BC87" s="2338"/>
      <c r="BD87" s="2338"/>
      <c r="BE87" s="2338"/>
      <c r="BF87" s="2338"/>
      <c r="BG87" s="2338"/>
      <c r="BH87" s="2338"/>
      <c r="BI87" s="2338"/>
      <c r="BJ87" s="2338"/>
      <c r="BK87" s="2338"/>
      <c r="BL87" s="2338"/>
      <c r="BM87" s="2338"/>
      <c r="BN87" s="2338"/>
      <c r="BO87" s="2338"/>
      <c r="BP87" s="2338"/>
      <c r="BQ87" s="2338"/>
      <c r="BR87" s="2338"/>
      <c r="BS87" s="2338"/>
      <c r="BT87" s="2338"/>
      <c r="BU87" s="2338"/>
      <c r="BV87" s="2338"/>
      <c r="BW87" s="2338"/>
      <c r="BX87" s="2338"/>
      <c r="BY87" s="2338"/>
      <c r="BZ87" s="2338"/>
      <c r="CA87" s="2338"/>
      <c r="CB87" s="2338"/>
      <c r="CC87" s="2338"/>
      <c r="CD87" s="2338"/>
      <c r="CE87" s="2338"/>
      <c r="CF87" s="2338"/>
      <c r="CG87" s="2338"/>
      <c r="CH87" s="2338"/>
      <c r="CI87" s="2338"/>
      <c r="CJ87" s="2338"/>
      <c r="CK87" s="2338"/>
      <c r="CL87" s="2338"/>
      <c r="CM87" s="2338"/>
      <c r="CN87" s="2338"/>
      <c r="CO87" s="2338"/>
      <c r="CP87" s="2338"/>
      <c r="CQ87" s="2338"/>
      <c r="CR87" s="2338"/>
      <c r="CS87" s="2338"/>
      <c r="CT87" s="2338"/>
      <c r="CU87" s="2338"/>
      <c r="CV87" s="2338"/>
      <c r="CW87" s="2338"/>
      <c r="CX87" s="2338"/>
      <c r="CY87" s="2338"/>
      <c r="CZ87" s="2338"/>
      <c r="DA87" s="2338"/>
      <c r="DB87" s="2338"/>
      <c r="DC87" s="2338"/>
      <c r="DD87" s="2338"/>
      <c r="DE87" s="2338"/>
      <c r="DF87" s="2338"/>
      <c r="DG87" s="2338"/>
      <c r="DH87" s="2338"/>
      <c r="DI87" s="2338"/>
      <c r="DJ87" s="2338"/>
    </row>
    <row r="88" spans="1:114" hidden="1" outlineLevel="1">
      <c r="A88" s="3217"/>
      <c r="B88" s="3210"/>
      <c r="C88" s="3208"/>
      <c r="D88" s="3210"/>
      <c r="E88" s="3029" t="s">
        <v>2946</v>
      </c>
      <c r="F88" s="2979" t="s">
        <v>3860</v>
      </c>
      <c r="G88" s="3637"/>
      <c r="H88" s="3673"/>
      <c r="I88" s="3673"/>
      <c r="J88" s="3673"/>
      <c r="K88" s="3673"/>
      <c r="L88" s="3673"/>
      <c r="M88" s="3673"/>
      <c r="N88" s="3673"/>
      <c r="O88" s="3673"/>
      <c r="P88" s="3673"/>
      <c r="Q88" s="3673"/>
      <c r="R88" s="3673"/>
      <c r="S88" s="3673"/>
      <c r="T88" s="3673"/>
      <c r="U88" s="3673"/>
      <c r="V88" s="2802" t="str">
        <f>'Приложение 1'!V89</f>
        <v/>
      </c>
      <c r="W88" s="2802" t="str">
        <f>'Приложение 1'!W89</f>
        <v/>
      </c>
      <c r="X88" s="2802" t="str">
        <f>'Приложение 1'!X89</f>
        <v/>
      </c>
      <c r="Y88" s="2802" t="str">
        <f>'Приложение 1'!Y89</f>
        <v/>
      </c>
      <c r="Z88" s="2937"/>
      <c r="AA88" s="2937"/>
      <c r="AB88" s="2937"/>
      <c r="AC88" s="2937"/>
      <c r="AD88" s="2937" t="str">
        <f>'Приложение 1'!AD89</f>
        <v/>
      </c>
      <c r="AE88" s="2937" t="str">
        <f>'Приложение 1'!AE89</f>
        <v/>
      </c>
      <c r="AF88" s="2937" t="str">
        <f>'Приложение 1'!AF89</f>
        <v/>
      </c>
      <c r="AG88" s="2937"/>
      <c r="AH88" s="2937"/>
      <c r="AI88" s="2937"/>
      <c r="AJ88" s="2937" t="str">
        <f>'Приложение 1'!AJ89</f>
        <v/>
      </c>
      <c r="AK88" s="2945"/>
      <c r="AL88" s="2895">
        <f t="shared" si="2"/>
        <v>0</v>
      </c>
      <c r="AM88" s="2566" t="str">
        <f t="shared" si="3"/>
        <v/>
      </c>
      <c r="AN88" s="2338"/>
      <c r="AO88" s="2338"/>
      <c r="AP88" s="2338"/>
      <c r="AQ88" s="2338"/>
      <c r="AR88" s="2338"/>
      <c r="AS88" s="2338"/>
      <c r="AT88" s="2338"/>
      <c r="AU88" s="2338"/>
      <c r="AV88" s="2338"/>
      <c r="AW88" s="2338"/>
      <c r="AX88" s="2338"/>
      <c r="AY88" s="2338"/>
      <c r="AZ88" s="2338"/>
      <c r="BA88" s="2338"/>
      <c r="BB88" s="2338"/>
      <c r="BC88" s="2338"/>
      <c r="BD88" s="2338"/>
      <c r="BE88" s="2338"/>
      <c r="BF88" s="2338"/>
      <c r="BG88" s="2338"/>
      <c r="BH88" s="2338"/>
      <c r="BI88" s="2338"/>
      <c r="BJ88" s="2338"/>
      <c r="BK88" s="2338"/>
      <c r="BL88" s="2338"/>
      <c r="BM88" s="2338"/>
      <c r="BN88" s="2338"/>
      <c r="BO88" s="2338"/>
      <c r="BP88" s="2338"/>
      <c r="BQ88" s="2338"/>
      <c r="BR88" s="2338"/>
      <c r="BS88" s="2338"/>
      <c r="BT88" s="2338"/>
      <c r="BU88" s="2338"/>
      <c r="BV88" s="2338"/>
      <c r="BW88" s="2338"/>
      <c r="BX88" s="2338"/>
      <c r="BY88" s="2338"/>
      <c r="BZ88" s="2338"/>
      <c r="CA88" s="2338"/>
      <c r="CB88" s="2338"/>
      <c r="CC88" s="2338"/>
      <c r="CD88" s="2338"/>
      <c r="CE88" s="2338"/>
      <c r="CF88" s="2338"/>
      <c r="CG88" s="2338"/>
      <c r="CH88" s="2338"/>
      <c r="CI88" s="2338"/>
      <c r="CJ88" s="2338"/>
      <c r="CK88" s="2338"/>
      <c r="CL88" s="2338"/>
      <c r="CM88" s="2338"/>
      <c r="CN88" s="2338"/>
      <c r="CO88" s="2338"/>
      <c r="CP88" s="2338"/>
      <c r="CQ88" s="2338"/>
      <c r="CR88" s="2338"/>
      <c r="CS88" s="2338"/>
      <c r="CT88" s="2338"/>
      <c r="CU88" s="2338"/>
      <c r="CV88" s="2338"/>
      <c r="CW88" s="2338"/>
      <c r="CX88" s="2338"/>
      <c r="CY88" s="2338"/>
      <c r="CZ88" s="2338"/>
      <c r="DA88" s="2338"/>
      <c r="DB88" s="2338"/>
      <c r="DC88" s="2338"/>
      <c r="DD88" s="2338"/>
      <c r="DE88" s="2338"/>
      <c r="DF88" s="2338"/>
      <c r="DG88" s="2338"/>
      <c r="DH88" s="2338"/>
      <c r="DI88" s="2338"/>
      <c r="DJ88" s="2338"/>
    </row>
    <row r="89" spans="1:114" hidden="1" outlineLevel="1">
      <c r="A89" s="3217"/>
      <c r="B89" s="3210"/>
      <c r="C89" s="3208"/>
      <c r="D89" s="3210"/>
      <c r="E89" s="3029"/>
      <c r="F89" s="2979" t="s">
        <v>3861</v>
      </c>
      <c r="G89" s="3637"/>
      <c r="H89" s="3673"/>
      <c r="I89" s="3673"/>
      <c r="J89" s="3673"/>
      <c r="K89" s="3673"/>
      <c r="L89" s="3673"/>
      <c r="M89" s="3673"/>
      <c r="N89" s="3673"/>
      <c r="O89" s="3673"/>
      <c r="P89" s="3673"/>
      <c r="Q89" s="3673"/>
      <c r="R89" s="3673"/>
      <c r="S89" s="3673"/>
      <c r="T89" s="3673"/>
      <c r="U89" s="3673"/>
      <c r="V89" s="2802" t="str">
        <f>'Приложение 1'!V90</f>
        <v/>
      </c>
      <c r="W89" s="2802" t="str">
        <f>'Приложение 1'!W90</f>
        <v/>
      </c>
      <c r="X89" s="2802" t="str">
        <f>'Приложение 1'!X90</f>
        <v/>
      </c>
      <c r="Y89" s="2802" t="str">
        <f>'Приложение 1'!Y90</f>
        <v/>
      </c>
      <c r="Z89" s="2937"/>
      <c r="AA89" s="2937"/>
      <c r="AB89" s="2937"/>
      <c r="AC89" s="2937"/>
      <c r="AD89" s="2937" t="str">
        <f>'Приложение 1'!AD90</f>
        <v/>
      </c>
      <c r="AE89" s="2937" t="str">
        <f>'Приложение 1'!AE90</f>
        <v/>
      </c>
      <c r="AF89" s="2937" t="str">
        <f>'Приложение 1'!AF90</f>
        <v/>
      </c>
      <c r="AG89" s="2937"/>
      <c r="AH89" s="2937"/>
      <c r="AI89" s="2937"/>
      <c r="AJ89" s="2937" t="str">
        <f>'Приложение 1'!AJ90</f>
        <v/>
      </c>
      <c r="AK89" s="2945"/>
      <c r="AL89" s="2895">
        <f t="shared" si="2"/>
        <v>0</v>
      </c>
      <c r="AM89" s="2566" t="str">
        <f t="shared" si="3"/>
        <v/>
      </c>
      <c r="AN89" s="2338"/>
      <c r="AO89" s="2338"/>
      <c r="AP89" s="2338"/>
      <c r="AQ89" s="2338"/>
      <c r="AR89" s="2338"/>
      <c r="AS89" s="2338"/>
      <c r="AT89" s="2338"/>
      <c r="AU89" s="2338"/>
      <c r="AV89" s="2338"/>
      <c r="AW89" s="2338"/>
      <c r="AX89" s="2338"/>
      <c r="AY89" s="2338"/>
      <c r="AZ89" s="2338"/>
      <c r="BA89" s="2338"/>
      <c r="BB89" s="2338"/>
      <c r="BC89" s="2338"/>
      <c r="BD89" s="2338"/>
      <c r="BE89" s="2338"/>
      <c r="BF89" s="2338"/>
      <c r="BG89" s="2338"/>
      <c r="BH89" s="2338"/>
      <c r="BI89" s="2338"/>
      <c r="BJ89" s="2338"/>
      <c r="BK89" s="2338"/>
      <c r="BL89" s="2338"/>
      <c r="BM89" s="2338"/>
      <c r="BN89" s="2338"/>
      <c r="BO89" s="2338"/>
      <c r="BP89" s="2338"/>
      <c r="BQ89" s="2338"/>
      <c r="BR89" s="2338"/>
      <c r="BS89" s="2338"/>
      <c r="BT89" s="2338"/>
      <c r="BU89" s="2338"/>
      <c r="BV89" s="2338"/>
      <c r="BW89" s="2338"/>
      <c r="BX89" s="2338"/>
      <c r="BY89" s="2338"/>
      <c r="BZ89" s="2338"/>
      <c r="CA89" s="2338"/>
      <c r="CB89" s="2338"/>
      <c r="CC89" s="2338"/>
      <c r="CD89" s="2338"/>
      <c r="CE89" s="2338"/>
      <c r="CF89" s="2338"/>
      <c r="CG89" s="2338"/>
      <c r="CH89" s="2338"/>
      <c r="CI89" s="2338"/>
      <c r="CJ89" s="2338"/>
      <c r="CK89" s="2338"/>
      <c r="CL89" s="2338"/>
      <c r="CM89" s="2338"/>
      <c r="CN89" s="2338"/>
      <c r="CO89" s="2338"/>
      <c r="CP89" s="2338"/>
      <c r="CQ89" s="2338"/>
      <c r="CR89" s="2338"/>
      <c r="CS89" s="2338"/>
      <c r="CT89" s="2338"/>
      <c r="CU89" s="2338"/>
      <c r="CV89" s="2338"/>
      <c r="CW89" s="2338"/>
      <c r="CX89" s="2338"/>
      <c r="CY89" s="2338"/>
      <c r="CZ89" s="2338"/>
      <c r="DA89" s="2338"/>
      <c r="DB89" s="2338"/>
      <c r="DC89" s="2338"/>
      <c r="DD89" s="2338"/>
      <c r="DE89" s="2338"/>
      <c r="DF89" s="2338"/>
      <c r="DG89" s="2338"/>
      <c r="DH89" s="2338"/>
      <c r="DI89" s="2338"/>
      <c r="DJ89" s="2338"/>
    </row>
    <row r="90" spans="1:114" hidden="1" outlineLevel="1">
      <c r="A90" s="3217"/>
      <c r="B90" s="3210"/>
      <c r="C90" s="3208"/>
      <c r="D90" s="3210"/>
      <c r="E90" s="3029"/>
      <c r="F90" s="2979" t="s">
        <v>3862</v>
      </c>
      <c r="G90" s="3637"/>
      <c r="H90" s="3673"/>
      <c r="I90" s="3673"/>
      <c r="J90" s="3673"/>
      <c r="K90" s="3673"/>
      <c r="L90" s="3673"/>
      <c r="M90" s="3673"/>
      <c r="N90" s="3673"/>
      <c r="O90" s="3673"/>
      <c r="P90" s="3673"/>
      <c r="Q90" s="3673"/>
      <c r="R90" s="3673"/>
      <c r="S90" s="3673"/>
      <c r="T90" s="3673"/>
      <c r="U90" s="3673"/>
      <c r="V90" s="2802" t="str">
        <f>'Приложение 1'!V91</f>
        <v/>
      </c>
      <c r="W90" s="2802" t="str">
        <f>'Приложение 1'!W91</f>
        <v/>
      </c>
      <c r="X90" s="2802" t="str">
        <f>'Приложение 1'!X91</f>
        <v/>
      </c>
      <c r="Y90" s="2802" t="str">
        <f>'Приложение 1'!Y91</f>
        <v/>
      </c>
      <c r="Z90" s="2937"/>
      <c r="AA90" s="2937"/>
      <c r="AB90" s="2937"/>
      <c r="AC90" s="2937"/>
      <c r="AD90" s="2937" t="str">
        <f>'Приложение 1'!AD91</f>
        <v/>
      </c>
      <c r="AE90" s="2937" t="str">
        <f>'Приложение 1'!AE91</f>
        <v/>
      </c>
      <c r="AF90" s="2937" t="str">
        <f>'Приложение 1'!AF91</f>
        <v/>
      </c>
      <c r="AG90" s="2937"/>
      <c r="AH90" s="2937"/>
      <c r="AI90" s="2937"/>
      <c r="AJ90" s="2937" t="str">
        <f>'Приложение 1'!AJ91</f>
        <v/>
      </c>
      <c r="AK90" s="2945"/>
      <c r="AL90" s="2895">
        <f t="shared" si="2"/>
        <v>0</v>
      </c>
      <c r="AM90" s="2566" t="str">
        <f t="shared" si="3"/>
        <v/>
      </c>
      <c r="AN90" s="2338"/>
      <c r="AO90" s="2338"/>
      <c r="AP90" s="2338"/>
      <c r="AQ90" s="2338"/>
      <c r="AR90" s="2338"/>
      <c r="AS90" s="2338"/>
      <c r="AT90" s="2338"/>
      <c r="AU90" s="2338"/>
      <c r="AV90" s="2338"/>
      <c r="AW90" s="2338"/>
      <c r="AX90" s="2338"/>
      <c r="AY90" s="2338"/>
      <c r="AZ90" s="2338"/>
      <c r="BA90" s="2338"/>
      <c r="BB90" s="2338"/>
      <c r="BC90" s="2338"/>
      <c r="BD90" s="2338"/>
      <c r="BE90" s="2338"/>
      <c r="BF90" s="2338"/>
      <c r="BG90" s="2338"/>
      <c r="BH90" s="2338"/>
      <c r="BI90" s="2338"/>
      <c r="BJ90" s="2338"/>
      <c r="BK90" s="2338"/>
      <c r="BL90" s="2338"/>
      <c r="BM90" s="2338"/>
      <c r="BN90" s="2338"/>
      <c r="BO90" s="2338"/>
      <c r="BP90" s="2338"/>
      <c r="BQ90" s="2338"/>
      <c r="BR90" s="2338"/>
      <c r="BS90" s="2338"/>
      <c r="BT90" s="2338"/>
      <c r="BU90" s="2338"/>
      <c r="BV90" s="2338"/>
      <c r="BW90" s="2338"/>
      <c r="BX90" s="2338"/>
      <c r="BY90" s="2338"/>
      <c r="BZ90" s="2338"/>
      <c r="CA90" s="2338"/>
      <c r="CB90" s="2338"/>
      <c r="CC90" s="2338"/>
      <c r="CD90" s="2338"/>
      <c r="CE90" s="2338"/>
      <c r="CF90" s="2338"/>
      <c r="CG90" s="2338"/>
      <c r="CH90" s="2338"/>
      <c r="CI90" s="2338"/>
      <c r="CJ90" s="2338"/>
      <c r="CK90" s="2338"/>
      <c r="CL90" s="2338"/>
      <c r="CM90" s="2338"/>
      <c r="CN90" s="2338"/>
      <c r="CO90" s="2338"/>
      <c r="CP90" s="2338"/>
      <c r="CQ90" s="2338"/>
      <c r="CR90" s="2338"/>
      <c r="CS90" s="2338"/>
      <c r="CT90" s="2338"/>
      <c r="CU90" s="2338"/>
      <c r="CV90" s="2338"/>
      <c r="CW90" s="2338"/>
      <c r="CX90" s="2338"/>
      <c r="CY90" s="2338"/>
      <c r="CZ90" s="2338"/>
      <c r="DA90" s="2338"/>
      <c r="DB90" s="2338"/>
      <c r="DC90" s="2338"/>
      <c r="DD90" s="2338"/>
      <c r="DE90" s="2338"/>
      <c r="DF90" s="2338"/>
      <c r="DG90" s="2338"/>
      <c r="DH90" s="2338"/>
      <c r="DI90" s="2338"/>
      <c r="DJ90" s="2338"/>
    </row>
    <row r="91" spans="1:114" hidden="1" outlineLevel="1">
      <c r="A91" s="3217"/>
      <c r="B91" s="3210"/>
      <c r="C91" s="3208"/>
      <c r="D91" s="3210"/>
      <c r="E91" s="3029"/>
      <c r="F91" s="2979" t="s">
        <v>3863</v>
      </c>
      <c r="G91" s="3637"/>
      <c r="H91" s="3673"/>
      <c r="I91" s="3673"/>
      <c r="J91" s="3673"/>
      <c r="K91" s="3673"/>
      <c r="L91" s="3673"/>
      <c r="M91" s="3673"/>
      <c r="N91" s="3673"/>
      <c r="O91" s="3673"/>
      <c r="P91" s="3673"/>
      <c r="Q91" s="3673"/>
      <c r="R91" s="3673"/>
      <c r="S91" s="3673"/>
      <c r="T91" s="3673"/>
      <c r="U91" s="3673"/>
      <c r="V91" s="2802" t="str">
        <f>'Приложение 1'!V92</f>
        <v/>
      </c>
      <c r="W91" s="2802" t="str">
        <f>'Приложение 1'!W92</f>
        <v/>
      </c>
      <c r="X91" s="2802" t="str">
        <f>'Приложение 1'!X92</f>
        <v/>
      </c>
      <c r="Y91" s="2802" t="str">
        <f>'Приложение 1'!Y92</f>
        <v/>
      </c>
      <c r="Z91" s="2937"/>
      <c r="AA91" s="2937"/>
      <c r="AB91" s="2937"/>
      <c r="AC91" s="2937"/>
      <c r="AD91" s="2937" t="str">
        <f>'Приложение 1'!AD92</f>
        <v/>
      </c>
      <c r="AE91" s="2937" t="str">
        <f>'Приложение 1'!AE92</f>
        <v/>
      </c>
      <c r="AF91" s="2937" t="str">
        <f>'Приложение 1'!AF92</f>
        <v/>
      </c>
      <c r="AG91" s="2937"/>
      <c r="AH91" s="2937"/>
      <c r="AI91" s="2937"/>
      <c r="AJ91" s="2937" t="str">
        <f>'Приложение 1'!AJ92</f>
        <v/>
      </c>
      <c r="AK91" s="2945"/>
      <c r="AL91" s="2895">
        <f t="shared" si="2"/>
        <v>0</v>
      </c>
      <c r="AM91" s="2566" t="str">
        <f t="shared" si="3"/>
        <v/>
      </c>
      <c r="AN91" s="2338"/>
      <c r="AO91" s="2338"/>
      <c r="AP91" s="2338"/>
      <c r="AQ91" s="2338"/>
      <c r="AR91" s="2338"/>
      <c r="AS91" s="2338"/>
      <c r="AT91" s="2338"/>
      <c r="AU91" s="2338"/>
      <c r="AV91" s="2338"/>
      <c r="AW91" s="2338"/>
      <c r="AX91" s="2338"/>
      <c r="AY91" s="2338"/>
      <c r="AZ91" s="2338"/>
      <c r="BA91" s="2338"/>
      <c r="BB91" s="2338"/>
      <c r="BC91" s="2338"/>
      <c r="BD91" s="2338"/>
      <c r="BE91" s="2338"/>
      <c r="BF91" s="2338"/>
      <c r="BG91" s="2338"/>
      <c r="BH91" s="2338"/>
      <c r="BI91" s="2338"/>
      <c r="BJ91" s="2338"/>
      <c r="BK91" s="2338"/>
      <c r="BL91" s="2338"/>
      <c r="BM91" s="2338"/>
      <c r="BN91" s="2338"/>
      <c r="BO91" s="2338"/>
      <c r="BP91" s="2338"/>
      <c r="BQ91" s="2338"/>
      <c r="BR91" s="2338"/>
      <c r="BS91" s="2338"/>
      <c r="BT91" s="2338"/>
      <c r="BU91" s="2338"/>
      <c r="BV91" s="2338"/>
      <c r="BW91" s="2338"/>
      <c r="BX91" s="2338"/>
      <c r="BY91" s="2338"/>
      <c r="BZ91" s="2338"/>
      <c r="CA91" s="2338"/>
      <c r="CB91" s="2338"/>
      <c r="CC91" s="2338"/>
      <c r="CD91" s="2338"/>
      <c r="CE91" s="2338"/>
      <c r="CF91" s="2338"/>
      <c r="CG91" s="2338"/>
      <c r="CH91" s="2338"/>
      <c r="CI91" s="2338"/>
      <c r="CJ91" s="2338"/>
      <c r="CK91" s="2338"/>
      <c r="CL91" s="2338"/>
      <c r="CM91" s="2338"/>
      <c r="CN91" s="2338"/>
      <c r="CO91" s="2338"/>
      <c r="CP91" s="2338"/>
      <c r="CQ91" s="2338"/>
      <c r="CR91" s="2338"/>
      <c r="CS91" s="2338"/>
      <c r="CT91" s="2338"/>
      <c r="CU91" s="2338"/>
      <c r="CV91" s="2338"/>
      <c r="CW91" s="2338"/>
      <c r="CX91" s="2338"/>
      <c r="CY91" s="2338"/>
      <c r="CZ91" s="2338"/>
      <c r="DA91" s="2338"/>
      <c r="DB91" s="2338"/>
      <c r="DC91" s="2338"/>
      <c r="DD91" s="2338"/>
      <c r="DE91" s="2338"/>
      <c r="DF91" s="2338"/>
      <c r="DG91" s="2338"/>
      <c r="DH91" s="2338"/>
      <c r="DI91" s="2338"/>
      <c r="DJ91" s="2338"/>
    </row>
    <row r="92" spans="1:114" hidden="1" outlineLevel="1">
      <c r="A92" s="3217"/>
      <c r="B92" s="3210"/>
      <c r="C92" s="3208"/>
      <c r="D92" s="3210"/>
      <c r="E92" s="3029"/>
      <c r="F92" s="2980" t="s">
        <v>3864</v>
      </c>
      <c r="G92" s="3637"/>
      <c r="H92" s="3673"/>
      <c r="I92" s="3673"/>
      <c r="J92" s="3673"/>
      <c r="K92" s="3673"/>
      <c r="L92" s="3673"/>
      <c r="M92" s="3673"/>
      <c r="N92" s="3673"/>
      <c r="O92" s="3673"/>
      <c r="P92" s="3673"/>
      <c r="Q92" s="3673"/>
      <c r="R92" s="3673"/>
      <c r="S92" s="3673"/>
      <c r="T92" s="3673"/>
      <c r="U92" s="3673"/>
      <c r="V92" s="2802" t="str">
        <f>'Приложение 1'!V93</f>
        <v/>
      </c>
      <c r="W92" s="2802" t="str">
        <f>'Приложение 1'!W93</f>
        <v/>
      </c>
      <c r="X92" s="2802" t="str">
        <f>'Приложение 1'!X93</f>
        <v/>
      </c>
      <c r="Y92" s="2802" t="str">
        <f>'Приложение 1'!Y93</f>
        <v/>
      </c>
      <c r="Z92" s="2937"/>
      <c r="AA92" s="2937"/>
      <c r="AB92" s="2937"/>
      <c r="AC92" s="2937"/>
      <c r="AD92" s="2937" t="str">
        <f>'Приложение 1'!AD93</f>
        <v/>
      </c>
      <c r="AE92" s="2937" t="str">
        <f>'Приложение 1'!AE93</f>
        <v/>
      </c>
      <c r="AF92" s="2937" t="str">
        <f>'Приложение 1'!AF93</f>
        <v/>
      </c>
      <c r="AG92" s="2937"/>
      <c r="AH92" s="2937"/>
      <c r="AI92" s="2937"/>
      <c r="AJ92" s="2937" t="str">
        <f>'Приложение 1'!AJ93</f>
        <v/>
      </c>
      <c r="AK92" s="2945"/>
      <c r="AL92" s="2895">
        <f t="shared" si="2"/>
        <v>0</v>
      </c>
      <c r="AM92" s="2566" t="str">
        <f t="shared" si="3"/>
        <v/>
      </c>
      <c r="AN92" s="2338"/>
      <c r="AO92" s="2338"/>
      <c r="AP92" s="2338"/>
      <c r="AQ92" s="2338"/>
      <c r="AR92" s="2338"/>
      <c r="AS92" s="2338"/>
      <c r="AT92" s="2338"/>
      <c r="AU92" s="2338"/>
      <c r="AV92" s="2338"/>
      <c r="AW92" s="2338"/>
      <c r="AX92" s="2338"/>
      <c r="AY92" s="2338"/>
      <c r="AZ92" s="2338"/>
      <c r="BA92" s="2338"/>
      <c r="BB92" s="2338"/>
      <c r="BC92" s="2338"/>
      <c r="BD92" s="2338"/>
      <c r="BE92" s="2338"/>
      <c r="BF92" s="2338"/>
      <c r="BG92" s="2338"/>
      <c r="BH92" s="2338"/>
      <c r="BI92" s="2338"/>
      <c r="BJ92" s="2338"/>
      <c r="BK92" s="2338"/>
      <c r="BL92" s="2338"/>
      <c r="BM92" s="2338"/>
      <c r="BN92" s="2338"/>
      <c r="BO92" s="2338"/>
      <c r="BP92" s="2338"/>
      <c r="BQ92" s="2338"/>
      <c r="BR92" s="2338"/>
      <c r="BS92" s="2338"/>
      <c r="BT92" s="2338"/>
      <c r="BU92" s="2338"/>
      <c r="BV92" s="2338"/>
      <c r="BW92" s="2338"/>
      <c r="BX92" s="2338"/>
      <c r="BY92" s="2338"/>
      <c r="BZ92" s="2338"/>
      <c r="CA92" s="2338"/>
      <c r="CB92" s="2338"/>
      <c r="CC92" s="2338"/>
      <c r="CD92" s="2338"/>
      <c r="CE92" s="2338"/>
      <c r="CF92" s="2338"/>
      <c r="CG92" s="2338"/>
      <c r="CH92" s="2338"/>
      <c r="CI92" s="2338"/>
      <c r="CJ92" s="2338"/>
      <c r="CK92" s="2338"/>
      <c r="CL92" s="2338"/>
      <c r="CM92" s="2338"/>
      <c r="CN92" s="2338"/>
      <c r="CO92" s="2338"/>
      <c r="CP92" s="2338"/>
      <c r="CQ92" s="2338"/>
      <c r="CR92" s="2338"/>
      <c r="CS92" s="2338"/>
      <c r="CT92" s="2338"/>
      <c r="CU92" s="2338"/>
      <c r="CV92" s="2338"/>
      <c r="CW92" s="2338"/>
      <c r="CX92" s="2338"/>
      <c r="CY92" s="2338"/>
      <c r="CZ92" s="2338"/>
      <c r="DA92" s="2338"/>
      <c r="DB92" s="2338"/>
      <c r="DC92" s="2338"/>
      <c r="DD92" s="2338"/>
      <c r="DE92" s="2338"/>
      <c r="DF92" s="2338"/>
      <c r="DG92" s="2338"/>
      <c r="DH92" s="2338"/>
      <c r="DI92" s="2338"/>
      <c r="DJ92" s="2338"/>
    </row>
    <row r="93" spans="1:114" hidden="1" outlineLevel="1">
      <c r="A93" s="3217"/>
      <c r="B93" s="3210"/>
      <c r="C93" s="3208"/>
      <c r="D93" s="3210"/>
      <c r="E93" s="3029"/>
      <c r="F93" s="2980" t="s">
        <v>3865</v>
      </c>
      <c r="G93" s="3637"/>
      <c r="H93" s="3673"/>
      <c r="I93" s="3673"/>
      <c r="J93" s="3673"/>
      <c r="K93" s="3673"/>
      <c r="L93" s="3673"/>
      <c r="M93" s="3673"/>
      <c r="N93" s="3673"/>
      <c r="O93" s="3673"/>
      <c r="P93" s="3673"/>
      <c r="Q93" s="3673"/>
      <c r="R93" s="3673"/>
      <c r="S93" s="3673"/>
      <c r="T93" s="3673"/>
      <c r="U93" s="3673"/>
      <c r="V93" s="2802" t="str">
        <f>'Приложение 1'!V94</f>
        <v/>
      </c>
      <c r="W93" s="2802" t="str">
        <f>'Приложение 1'!W94</f>
        <v/>
      </c>
      <c r="X93" s="2802" t="str">
        <f>'Приложение 1'!X94</f>
        <v/>
      </c>
      <c r="Y93" s="2802" t="str">
        <f>'Приложение 1'!Y94</f>
        <v/>
      </c>
      <c r="Z93" s="2937"/>
      <c r="AA93" s="2937"/>
      <c r="AB93" s="2937"/>
      <c r="AC93" s="2937"/>
      <c r="AD93" s="2937" t="str">
        <f>'Приложение 1'!AD94</f>
        <v/>
      </c>
      <c r="AE93" s="2937" t="str">
        <f>'Приложение 1'!AE94</f>
        <v/>
      </c>
      <c r="AF93" s="2937" t="str">
        <f>'Приложение 1'!AF94</f>
        <v/>
      </c>
      <c r="AG93" s="2937"/>
      <c r="AH93" s="2937"/>
      <c r="AI93" s="2937"/>
      <c r="AJ93" s="2937" t="str">
        <f>'Приложение 1'!AJ94</f>
        <v/>
      </c>
      <c r="AK93" s="2945"/>
      <c r="AL93" s="2895">
        <f t="shared" si="2"/>
        <v>0</v>
      </c>
      <c r="AM93" s="2566" t="str">
        <f t="shared" si="3"/>
        <v/>
      </c>
      <c r="AN93" s="2338"/>
      <c r="AO93" s="2338"/>
      <c r="AP93" s="2338"/>
      <c r="AQ93" s="2338"/>
      <c r="AR93" s="2338"/>
      <c r="AS93" s="2338"/>
      <c r="AT93" s="2338"/>
      <c r="AU93" s="2338"/>
      <c r="AV93" s="2338"/>
      <c r="AW93" s="2338"/>
      <c r="AX93" s="2338"/>
      <c r="AY93" s="2338"/>
      <c r="AZ93" s="2338"/>
      <c r="BA93" s="2338"/>
      <c r="BB93" s="2338"/>
      <c r="BC93" s="2338"/>
      <c r="BD93" s="2338"/>
      <c r="BE93" s="2338"/>
      <c r="BF93" s="2338"/>
      <c r="BG93" s="2338"/>
      <c r="BH93" s="2338"/>
      <c r="BI93" s="2338"/>
      <c r="BJ93" s="2338"/>
      <c r="BK93" s="2338"/>
      <c r="BL93" s="2338"/>
      <c r="BM93" s="2338"/>
      <c r="BN93" s="2338"/>
      <c r="BO93" s="2338"/>
      <c r="BP93" s="2338"/>
      <c r="BQ93" s="2338"/>
      <c r="BR93" s="2338"/>
      <c r="BS93" s="2338"/>
      <c r="BT93" s="2338"/>
      <c r="BU93" s="2338"/>
      <c r="BV93" s="2338"/>
      <c r="BW93" s="2338"/>
      <c r="BX93" s="2338"/>
      <c r="BY93" s="2338"/>
      <c r="BZ93" s="2338"/>
      <c r="CA93" s="2338"/>
      <c r="CB93" s="2338"/>
      <c r="CC93" s="2338"/>
      <c r="CD93" s="2338"/>
      <c r="CE93" s="2338"/>
      <c r="CF93" s="2338"/>
      <c r="CG93" s="2338"/>
      <c r="CH93" s="2338"/>
      <c r="CI93" s="2338"/>
      <c r="CJ93" s="2338"/>
      <c r="CK93" s="2338"/>
      <c r="CL93" s="2338"/>
      <c r="CM93" s="2338"/>
      <c r="CN93" s="2338"/>
      <c r="CO93" s="2338"/>
      <c r="CP93" s="2338"/>
      <c r="CQ93" s="2338"/>
      <c r="CR93" s="2338"/>
      <c r="CS93" s="2338"/>
      <c r="CT93" s="2338"/>
      <c r="CU93" s="2338"/>
      <c r="CV93" s="2338"/>
      <c r="CW93" s="2338"/>
      <c r="CX93" s="2338"/>
      <c r="CY93" s="2338"/>
      <c r="CZ93" s="2338"/>
      <c r="DA93" s="2338"/>
      <c r="DB93" s="2338"/>
      <c r="DC93" s="2338"/>
      <c r="DD93" s="2338"/>
      <c r="DE93" s="2338"/>
      <c r="DF93" s="2338"/>
      <c r="DG93" s="2338"/>
      <c r="DH93" s="2338"/>
      <c r="DI93" s="2338"/>
      <c r="DJ93" s="2338"/>
    </row>
    <row r="94" spans="1:114" hidden="1" outlineLevel="1">
      <c r="A94" s="3217"/>
      <c r="B94" s="3210" t="s">
        <v>2948</v>
      </c>
      <c r="C94" s="3208" t="s">
        <v>3859</v>
      </c>
      <c r="D94" s="3210" t="s">
        <v>2949</v>
      </c>
      <c r="E94" s="3029" t="s">
        <v>2950</v>
      </c>
      <c r="F94" s="2979" t="s">
        <v>3860</v>
      </c>
      <c r="G94" s="3637"/>
      <c r="H94" s="3673"/>
      <c r="I94" s="3673"/>
      <c r="J94" s="3673"/>
      <c r="K94" s="3673"/>
      <c r="L94" s="3673"/>
      <c r="M94" s="3673"/>
      <c r="N94" s="3673"/>
      <c r="O94" s="3673"/>
      <c r="P94" s="3673"/>
      <c r="Q94" s="3673"/>
      <c r="R94" s="3673"/>
      <c r="S94" s="3673"/>
      <c r="T94" s="3673"/>
      <c r="U94" s="3673"/>
      <c r="V94" s="2802" t="str">
        <f>'Приложение 1'!V95</f>
        <v/>
      </c>
      <c r="W94" s="2802" t="str">
        <f>'Приложение 1'!W95</f>
        <v/>
      </c>
      <c r="X94" s="2802" t="str">
        <f>'Приложение 1'!X95</f>
        <v/>
      </c>
      <c r="Y94" s="2802" t="str">
        <f>'Приложение 1'!Y95</f>
        <v/>
      </c>
      <c r="Z94" s="2937"/>
      <c r="AA94" s="2937"/>
      <c r="AB94" s="2937"/>
      <c r="AC94" s="2937"/>
      <c r="AD94" s="2937" t="str">
        <f>'Приложение 1'!AD95</f>
        <v/>
      </c>
      <c r="AE94" s="2937" t="str">
        <f>'Приложение 1'!AE95</f>
        <v/>
      </c>
      <c r="AF94" s="2937" t="str">
        <f>'Приложение 1'!AF95</f>
        <v/>
      </c>
      <c r="AG94" s="2937"/>
      <c r="AH94" s="2937"/>
      <c r="AI94" s="2937"/>
      <c r="AJ94" s="2937" t="str">
        <f>'Приложение 1'!AJ95</f>
        <v/>
      </c>
      <c r="AK94" s="2945"/>
      <c r="AL94" s="2895">
        <f t="shared" si="2"/>
        <v>0</v>
      </c>
      <c r="AM94" s="2566" t="str">
        <f t="shared" si="3"/>
        <v/>
      </c>
      <c r="AN94" s="2338"/>
      <c r="AO94" s="2338"/>
      <c r="AP94" s="2338"/>
      <c r="AQ94" s="2338"/>
      <c r="AR94" s="2338"/>
      <c r="AS94" s="2338"/>
      <c r="AT94" s="2338"/>
      <c r="AU94" s="2338"/>
      <c r="AV94" s="2338"/>
      <c r="AW94" s="2338"/>
      <c r="AX94" s="2338"/>
      <c r="AY94" s="2338"/>
      <c r="AZ94" s="2338"/>
      <c r="BA94" s="2338"/>
      <c r="BB94" s="2338"/>
      <c r="BC94" s="2338"/>
      <c r="BD94" s="2338"/>
      <c r="BE94" s="2338"/>
      <c r="BF94" s="2338"/>
      <c r="BG94" s="2338"/>
      <c r="BH94" s="2338"/>
      <c r="BI94" s="2338"/>
      <c r="BJ94" s="2338"/>
      <c r="BK94" s="2338"/>
      <c r="BL94" s="2338"/>
      <c r="BM94" s="2338"/>
      <c r="BN94" s="2338"/>
      <c r="BO94" s="2338"/>
      <c r="BP94" s="2338"/>
      <c r="BQ94" s="2338"/>
      <c r="BR94" s="2338"/>
      <c r="BS94" s="2338"/>
      <c r="BT94" s="2338"/>
      <c r="BU94" s="2338"/>
      <c r="BV94" s="2338"/>
      <c r="BW94" s="2338"/>
      <c r="BX94" s="2338"/>
      <c r="BY94" s="2338"/>
      <c r="BZ94" s="2338"/>
      <c r="CA94" s="2338"/>
      <c r="CB94" s="2338"/>
      <c r="CC94" s="2338"/>
      <c r="CD94" s="2338"/>
      <c r="CE94" s="2338"/>
      <c r="CF94" s="2338"/>
      <c r="CG94" s="2338"/>
      <c r="CH94" s="2338"/>
      <c r="CI94" s="2338"/>
      <c r="CJ94" s="2338"/>
      <c r="CK94" s="2338"/>
      <c r="CL94" s="2338"/>
      <c r="CM94" s="2338"/>
      <c r="CN94" s="2338"/>
      <c r="CO94" s="2338"/>
      <c r="CP94" s="2338"/>
      <c r="CQ94" s="2338"/>
      <c r="CR94" s="2338"/>
      <c r="CS94" s="2338"/>
      <c r="CT94" s="2338"/>
      <c r="CU94" s="2338"/>
      <c r="CV94" s="2338"/>
      <c r="CW94" s="2338"/>
      <c r="CX94" s="2338"/>
      <c r="CY94" s="2338"/>
      <c r="CZ94" s="2338"/>
      <c r="DA94" s="2338"/>
      <c r="DB94" s="2338"/>
      <c r="DC94" s="2338"/>
      <c r="DD94" s="2338"/>
      <c r="DE94" s="2338"/>
      <c r="DF94" s="2338"/>
      <c r="DG94" s="2338"/>
      <c r="DH94" s="2338"/>
      <c r="DI94" s="2338"/>
      <c r="DJ94" s="2338"/>
    </row>
    <row r="95" spans="1:114" hidden="1" outlineLevel="1">
      <c r="A95" s="3217"/>
      <c r="B95" s="3210"/>
      <c r="C95" s="3208"/>
      <c r="D95" s="3210"/>
      <c r="E95" s="3029"/>
      <c r="F95" s="2979" t="s">
        <v>3861</v>
      </c>
      <c r="G95" s="3637"/>
      <c r="H95" s="3673"/>
      <c r="I95" s="3673"/>
      <c r="J95" s="3673"/>
      <c r="K95" s="3673"/>
      <c r="L95" s="3673"/>
      <c r="M95" s="3673"/>
      <c r="N95" s="3673"/>
      <c r="O95" s="3673"/>
      <c r="P95" s="3673"/>
      <c r="Q95" s="3673"/>
      <c r="R95" s="3673"/>
      <c r="S95" s="3673"/>
      <c r="T95" s="3673"/>
      <c r="U95" s="3673"/>
      <c r="V95" s="2802" t="str">
        <f>'Приложение 1'!V96</f>
        <v/>
      </c>
      <c r="W95" s="2802" t="str">
        <f>'Приложение 1'!W96</f>
        <v/>
      </c>
      <c r="X95" s="2802" t="str">
        <f>'Приложение 1'!X96</f>
        <v/>
      </c>
      <c r="Y95" s="2802" t="str">
        <f>'Приложение 1'!Y96</f>
        <v/>
      </c>
      <c r="Z95" s="2937"/>
      <c r="AA95" s="2937"/>
      <c r="AB95" s="2937"/>
      <c r="AC95" s="2937"/>
      <c r="AD95" s="2937" t="str">
        <f>'Приложение 1'!AD96</f>
        <v/>
      </c>
      <c r="AE95" s="2937" t="str">
        <f>'Приложение 1'!AE96</f>
        <v/>
      </c>
      <c r="AF95" s="2937" t="str">
        <f>'Приложение 1'!AF96</f>
        <v/>
      </c>
      <c r="AG95" s="2937"/>
      <c r="AH95" s="2937"/>
      <c r="AI95" s="2937"/>
      <c r="AJ95" s="2937" t="str">
        <f>'Приложение 1'!AJ96</f>
        <v/>
      </c>
      <c r="AK95" s="2945"/>
      <c r="AL95" s="2895">
        <f t="shared" si="2"/>
        <v>0</v>
      </c>
      <c r="AM95" s="2566" t="str">
        <f t="shared" si="3"/>
        <v/>
      </c>
      <c r="AN95" s="2338"/>
      <c r="AO95" s="2338"/>
      <c r="AP95" s="2338"/>
      <c r="AQ95" s="2338"/>
      <c r="AR95" s="2338"/>
      <c r="AS95" s="2338"/>
      <c r="AT95" s="2338"/>
      <c r="AU95" s="2338"/>
      <c r="AV95" s="2338"/>
      <c r="AW95" s="2338"/>
      <c r="AX95" s="2338"/>
      <c r="AY95" s="2338"/>
      <c r="AZ95" s="2338"/>
      <c r="BA95" s="2338"/>
      <c r="BB95" s="2338"/>
      <c r="BC95" s="2338"/>
      <c r="BD95" s="2338"/>
      <c r="BE95" s="2338"/>
      <c r="BF95" s="2338"/>
      <c r="BG95" s="2338"/>
      <c r="BH95" s="2338"/>
      <c r="BI95" s="2338"/>
      <c r="BJ95" s="2338"/>
      <c r="BK95" s="2338"/>
      <c r="BL95" s="2338"/>
      <c r="BM95" s="2338"/>
      <c r="BN95" s="2338"/>
      <c r="BO95" s="2338"/>
      <c r="BP95" s="2338"/>
      <c r="BQ95" s="2338"/>
      <c r="BR95" s="2338"/>
      <c r="BS95" s="2338"/>
      <c r="BT95" s="2338"/>
      <c r="BU95" s="2338"/>
      <c r="BV95" s="2338"/>
      <c r="BW95" s="2338"/>
      <c r="BX95" s="2338"/>
      <c r="BY95" s="2338"/>
      <c r="BZ95" s="2338"/>
      <c r="CA95" s="2338"/>
      <c r="CB95" s="2338"/>
      <c r="CC95" s="2338"/>
      <c r="CD95" s="2338"/>
      <c r="CE95" s="2338"/>
      <c r="CF95" s="2338"/>
      <c r="CG95" s="2338"/>
      <c r="CH95" s="2338"/>
      <c r="CI95" s="2338"/>
      <c r="CJ95" s="2338"/>
      <c r="CK95" s="2338"/>
      <c r="CL95" s="2338"/>
      <c r="CM95" s="2338"/>
      <c r="CN95" s="2338"/>
      <c r="CO95" s="2338"/>
      <c r="CP95" s="2338"/>
      <c r="CQ95" s="2338"/>
      <c r="CR95" s="2338"/>
      <c r="CS95" s="2338"/>
      <c r="CT95" s="2338"/>
      <c r="CU95" s="2338"/>
      <c r="CV95" s="2338"/>
      <c r="CW95" s="2338"/>
      <c r="CX95" s="2338"/>
      <c r="CY95" s="2338"/>
      <c r="CZ95" s="2338"/>
      <c r="DA95" s="2338"/>
      <c r="DB95" s="2338"/>
      <c r="DC95" s="2338"/>
      <c r="DD95" s="2338"/>
      <c r="DE95" s="2338"/>
      <c r="DF95" s="2338"/>
      <c r="DG95" s="2338"/>
      <c r="DH95" s="2338"/>
      <c r="DI95" s="2338"/>
      <c r="DJ95" s="2338"/>
    </row>
    <row r="96" spans="1:114" hidden="1" outlineLevel="1">
      <c r="A96" s="3217"/>
      <c r="B96" s="3210"/>
      <c r="C96" s="3208"/>
      <c r="D96" s="3210"/>
      <c r="E96" s="3029"/>
      <c r="F96" s="2979" t="s">
        <v>3862</v>
      </c>
      <c r="G96" s="3637"/>
      <c r="H96" s="3673"/>
      <c r="I96" s="3673"/>
      <c r="J96" s="3673"/>
      <c r="K96" s="3673"/>
      <c r="L96" s="3673"/>
      <c r="M96" s="3673"/>
      <c r="N96" s="3673"/>
      <c r="O96" s="3673"/>
      <c r="P96" s="3673"/>
      <c r="Q96" s="3673"/>
      <c r="R96" s="3673"/>
      <c r="S96" s="3673"/>
      <c r="T96" s="3673"/>
      <c r="U96" s="3673"/>
      <c r="V96" s="2802" t="str">
        <f>'Приложение 1'!V97</f>
        <v/>
      </c>
      <c r="W96" s="2802" t="str">
        <f>'Приложение 1'!W97</f>
        <v/>
      </c>
      <c r="X96" s="2802" t="str">
        <f>'Приложение 1'!X97</f>
        <v/>
      </c>
      <c r="Y96" s="2802" t="str">
        <f>'Приложение 1'!Y97</f>
        <v/>
      </c>
      <c r="Z96" s="2937"/>
      <c r="AA96" s="2937"/>
      <c r="AB96" s="2937"/>
      <c r="AC96" s="2937"/>
      <c r="AD96" s="2937" t="str">
        <f>'Приложение 1'!AD97</f>
        <v/>
      </c>
      <c r="AE96" s="2937" t="str">
        <f>'Приложение 1'!AE97</f>
        <v/>
      </c>
      <c r="AF96" s="2937" t="str">
        <f>'Приложение 1'!AF97</f>
        <v/>
      </c>
      <c r="AG96" s="2937"/>
      <c r="AH96" s="2937"/>
      <c r="AI96" s="2937"/>
      <c r="AJ96" s="2937" t="str">
        <f>'Приложение 1'!AJ97</f>
        <v/>
      </c>
      <c r="AK96" s="2945"/>
      <c r="AL96" s="2895">
        <f t="shared" si="2"/>
        <v>0</v>
      </c>
      <c r="AM96" s="2566" t="str">
        <f t="shared" si="3"/>
        <v/>
      </c>
      <c r="AN96" s="2338"/>
      <c r="AO96" s="2338"/>
      <c r="AP96" s="2338"/>
      <c r="AQ96" s="2338"/>
      <c r="AR96" s="2338"/>
      <c r="AS96" s="2338"/>
      <c r="AT96" s="2338"/>
      <c r="AU96" s="2338"/>
      <c r="AV96" s="2338"/>
      <c r="AW96" s="2338"/>
      <c r="AX96" s="2338"/>
      <c r="AY96" s="2338"/>
      <c r="AZ96" s="2338"/>
      <c r="BA96" s="2338"/>
      <c r="BB96" s="2338"/>
      <c r="BC96" s="2338"/>
      <c r="BD96" s="2338"/>
      <c r="BE96" s="2338"/>
      <c r="BF96" s="2338"/>
      <c r="BG96" s="2338"/>
      <c r="BH96" s="2338"/>
      <c r="BI96" s="2338"/>
      <c r="BJ96" s="2338"/>
      <c r="BK96" s="2338"/>
      <c r="BL96" s="2338"/>
      <c r="BM96" s="2338"/>
      <c r="BN96" s="2338"/>
      <c r="BO96" s="2338"/>
      <c r="BP96" s="2338"/>
      <c r="BQ96" s="2338"/>
      <c r="BR96" s="2338"/>
      <c r="BS96" s="2338"/>
      <c r="BT96" s="2338"/>
      <c r="BU96" s="2338"/>
      <c r="BV96" s="2338"/>
      <c r="BW96" s="2338"/>
      <c r="BX96" s="2338"/>
      <c r="BY96" s="2338"/>
      <c r="BZ96" s="2338"/>
      <c r="CA96" s="2338"/>
      <c r="CB96" s="2338"/>
      <c r="CC96" s="2338"/>
      <c r="CD96" s="2338"/>
      <c r="CE96" s="2338"/>
      <c r="CF96" s="2338"/>
      <c r="CG96" s="2338"/>
      <c r="CH96" s="2338"/>
      <c r="CI96" s="2338"/>
      <c r="CJ96" s="2338"/>
      <c r="CK96" s="2338"/>
      <c r="CL96" s="2338"/>
      <c r="CM96" s="2338"/>
      <c r="CN96" s="2338"/>
      <c r="CO96" s="2338"/>
      <c r="CP96" s="2338"/>
      <c r="CQ96" s="2338"/>
      <c r="CR96" s="2338"/>
      <c r="CS96" s="2338"/>
      <c r="CT96" s="2338"/>
      <c r="CU96" s="2338"/>
      <c r="CV96" s="2338"/>
      <c r="CW96" s="2338"/>
      <c r="CX96" s="2338"/>
      <c r="CY96" s="2338"/>
      <c r="CZ96" s="2338"/>
      <c r="DA96" s="2338"/>
      <c r="DB96" s="2338"/>
      <c r="DC96" s="2338"/>
      <c r="DD96" s="2338"/>
      <c r="DE96" s="2338"/>
      <c r="DF96" s="2338"/>
      <c r="DG96" s="2338"/>
      <c r="DH96" s="2338"/>
      <c r="DI96" s="2338"/>
      <c r="DJ96" s="2338"/>
    </row>
    <row r="97" spans="1:114" hidden="1" outlineLevel="1">
      <c r="A97" s="3217"/>
      <c r="B97" s="3210"/>
      <c r="C97" s="3208"/>
      <c r="D97" s="3210"/>
      <c r="E97" s="3029"/>
      <c r="F97" s="2979" t="s">
        <v>3863</v>
      </c>
      <c r="G97" s="3637"/>
      <c r="H97" s="3673"/>
      <c r="I97" s="3673"/>
      <c r="J97" s="3673"/>
      <c r="K97" s="3673"/>
      <c r="L97" s="3673"/>
      <c r="M97" s="3673"/>
      <c r="N97" s="3673"/>
      <c r="O97" s="3673"/>
      <c r="P97" s="3673"/>
      <c r="Q97" s="3673"/>
      <c r="R97" s="3673"/>
      <c r="S97" s="3673"/>
      <c r="T97" s="3673"/>
      <c r="U97" s="3673"/>
      <c r="V97" s="2802" t="str">
        <f>'Приложение 1'!V98</f>
        <v/>
      </c>
      <c r="W97" s="2802" t="str">
        <f>'Приложение 1'!W98</f>
        <v/>
      </c>
      <c r="X97" s="2802" t="str">
        <f>'Приложение 1'!X98</f>
        <v/>
      </c>
      <c r="Y97" s="2802" t="str">
        <f>'Приложение 1'!Y98</f>
        <v/>
      </c>
      <c r="Z97" s="2937"/>
      <c r="AA97" s="2937"/>
      <c r="AB97" s="2937"/>
      <c r="AC97" s="2937"/>
      <c r="AD97" s="2937" t="str">
        <f>'Приложение 1'!AD98</f>
        <v/>
      </c>
      <c r="AE97" s="2937" t="str">
        <f>'Приложение 1'!AE98</f>
        <v/>
      </c>
      <c r="AF97" s="2937" t="str">
        <f>'Приложение 1'!AF98</f>
        <v/>
      </c>
      <c r="AG97" s="2937"/>
      <c r="AH97" s="2937"/>
      <c r="AI97" s="2937"/>
      <c r="AJ97" s="2937" t="str">
        <f>'Приложение 1'!AJ98</f>
        <v/>
      </c>
      <c r="AK97" s="2945"/>
      <c r="AL97" s="2895">
        <f t="shared" si="2"/>
        <v>0</v>
      </c>
      <c r="AM97" s="2566" t="str">
        <f t="shared" si="3"/>
        <v/>
      </c>
      <c r="AN97" s="2338"/>
      <c r="AO97" s="2338"/>
      <c r="AP97" s="2338"/>
      <c r="AQ97" s="2338"/>
      <c r="AR97" s="2338"/>
      <c r="AS97" s="2338"/>
      <c r="AT97" s="2338"/>
      <c r="AU97" s="2338"/>
      <c r="AV97" s="2338"/>
      <c r="AW97" s="2338"/>
      <c r="AX97" s="2338"/>
      <c r="AY97" s="2338"/>
      <c r="AZ97" s="2338"/>
      <c r="BA97" s="2338"/>
      <c r="BB97" s="2338"/>
      <c r="BC97" s="2338"/>
      <c r="BD97" s="2338"/>
      <c r="BE97" s="2338"/>
      <c r="BF97" s="2338"/>
      <c r="BG97" s="2338"/>
      <c r="BH97" s="2338"/>
      <c r="BI97" s="2338"/>
      <c r="BJ97" s="2338"/>
      <c r="BK97" s="2338"/>
      <c r="BL97" s="2338"/>
      <c r="BM97" s="2338"/>
      <c r="BN97" s="2338"/>
      <c r="BO97" s="2338"/>
      <c r="BP97" s="2338"/>
      <c r="BQ97" s="2338"/>
      <c r="BR97" s="2338"/>
      <c r="BS97" s="2338"/>
      <c r="BT97" s="2338"/>
      <c r="BU97" s="2338"/>
      <c r="BV97" s="2338"/>
      <c r="BW97" s="2338"/>
      <c r="BX97" s="2338"/>
      <c r="BY97" s="2338"/>
      <c r="BZ97" s="2338"/>
      <c r="CA97" s="2338"/>
      <c r="CB97" s="2338"/>
      <c r="CC97" s="2338"/>
      <c r="CD97" s="2338"/>
      <c r="CE97" s="2338"/>
      <c r="CF97" s="2338"/>
      <c r="CG97" s="2338"/>
      <c r="CH97" s="2338"/>
      <c r="CI97" s="2338"/>
      <c r="CJ97" s="2338"/>
      <c r="CK97" s="2338"/>
      <c r="CL97" s="2338"/>
      <c r="CM97" s="2338"/>
      <c r="CN97" s="2338"/>
      <c r="CO97" s="2338"/>
      <c r="CP97" s="2338"/>
      <c r="CQ97" s="2338"/>
      <c r="CR97" s="2338"/>
      <c r="CS97" s="2338"/>
      <c r="CT97" s="2338"/>
      <c r="CU97" s="2338"/>
      <c r="CV97" s="2338"/>
      <c r="CW97" s="2338"/>
      <c r="CX97" s="2338"/>
      <c r="CY97" s="2338"/>
      <c r="CZ97" s="2338"/>
      <c r="DA97" s="2338"/>
      <c r="DB97" s="2338"/>
      <c r="DC97" s="2338"/>
      <c r="DD97" s="2338"/>
      <c r="DE97" s="2338"/>
      <c r="DF97" s="2338"/>
      <c r="DG97" s="2338"/>
      <c r="DH97" s="2338"/>
      <c r="DI97" s="2338"/>
      <c r="DJ97" s="2338"/>
    </row>
    <row r="98" spans="1:114" hidden="1" outlineLevel="1">
      <c r="A98" s="3217"/>
      <c r="B98" s="3210"/>
      <c r="C98" s="3208"/>
      <c r="D98" s="3210"/>
      <c r="E98" s="3029"/>
      <c r="F98" s="2980" t="s">
        <v>3864</v>
      </c>
      <c r="G98" s="3637"/>
      <c r="H98" s="3673"/>
      <c r="I98" s="3673"/>
      <c r="J98" s="3673"/>
      <c r="K98" s="3673"/>
      <c r="L98" s="3673"/>
      <c r="M98" s="3673"/>
      <c r="N98" s="3673"/>
      <c r="O98" s="3673"/>
      <c r="P98" s="3673"/>
      <c r="Q98" s="3673"/>
      <c r="R98" s="3673"/>
      <c r="S98" s="3673"/>
      <c r="T98" s="3673"/>
      <c r="U98" s="3673"/>
      <c r="V98" s="2802" t="str">
        <f>'Приложение 1'!V99</f>
        <v/>
      </c>
      <c r="W98" s="2802" t="str">
        <f>'Приложение 1'!W99</f>
        <v/>
      </c>
      <c r="X98" s="2802" t="str">
        <f>'Приложение 1'!X99</f>
        <v/>
      </c>
      <c r="Y98" s="2802" t="str">
        <f>'Приложение 1'!Y99</f>
        <v/>
      </c>
      <c r="Z98" s="2937"/>
      <c r="AA98" s="2937"/>
      <c r="AB98" s="2937"/>
      <c r="AC98" s="2937"/>
      <c r="AD98" s="2937" t="str">
        <f>'Приложение 1'!AD99</f>
        <v/>
      </c>
      <c r="AE98" s="2937" t="str">
        <f>'Приложение 1'!AE99</f>
        <v/>
      </c>
      <c r="AF98" s="2937" t="str">
        <f>'Приложение 1'!AF99</f>
        <v/>
      </c>
      <c r="AG98" s="2937"/>
      <c r="AH98" s="2937"/>
      <c r="AI98" s="2937"/>
      <c r="AJ98" s="2937" t="str">
        <f>'Приложение 1'!AJ99</f>
        <v/>
      </c>
      <c r="AK98" s="2945"/>
      <c r="AL98" s="2895">
        <f t="shared" si="2"/>
        <v>0</v>
      </c>
      <c r="AM98" s="2566" t="str">
        <f t="shared" si="3"/>
        <v/>
      </c>
      <c r="AN98" s="2338"/>
      <c r="AO98" s="2338"/>
      <c r="AP98" s="2338"/>
      <c r="AQ98" s="2338"/>
      <c r="AR98" s="2338"/>
      <c r="AS98" s="2338"/>
      <c r="AT98" s="2338"/>
      <c r="AU98" s="2338"/>
      <c r="AV98" s="2338"/>
      <c r="AW98" s="2338"/>
      <c r="AX98" s="2338"/>
      <c r="AY98" s="2338"/>
      <c r="AZ98" s="2338"/>
      <c r="BA98" s="2338"/>
      <c r="BB98" s="2338"/>
      <c r="BC98" s="2338"/>
      <c r="BD98" s="2338"/>
      <c r="BE98" s="2338"/>
      <c r="BF98" s="2338"/>
      <c r="BG98" s="2338"/>
      <c r="BH98" s="2338"/>
      <c r="BI98" s="2338"/>
      <c r="BJ98" s="2338"/>
      <c r="BK98" s="2338"/>
      <c r="BL98" s="2338"/>
      <c r="BM98" s="2338"/>
      <c r="BN98" s="2338"/>
      <c r="BO98" s="2338"/>
      <c r="BP98" s="2338"/>
      <c r="BQ98" s="2338"/>
      <c r="BR98" s="2338"/>
      <c r="BS98" s="2338"/>
      <c r="BT98" s="2338"/>
      <c r="BU98" s="2338"/>
      <c r="BV98" s="2338"/>
      <c r="BW98" s="2338"/>
      <c r="BX98" s="2338"/>
      <c r="BY98" s="2338"/>
      <c r="BZ98" s="2338"/>
      <c r="CA98" s="2338"/>
      <c r="CB98" s="2338"/>
      <c r="CC98" s="2338"/>
      <c r="CD98" s="2338"/>
      <c r="CE98" s="2338"/>
      <c r="CF98" s="2338"/>
      <c r="CG98" s="2338"/>
      <c r="CH98" s="2338"/>
      <c r="CI98" s="2338"/>
      <c r="CJ98" s="2338"/>
      <c r="CK98" s="2338"/>
      <c r="CL98" s="2338"/>
      <c r="CM98" s="2338"/>
      <c r="CN98" s="2338"/>
      <c r="CO98" s="2338"/>
      <c r="CP98" s="2338"/>
      <c r="CQ98" s="2338"/>
      <c r="CR98" s="2338"/>
      <c r="CS98" s="2338"/>
      <c r="CT98" s="2338"/>
      <c r="CU98" s="2338"/>
      <c r="CV98" s="2338"/>
      <c r="CW98" s="2338"/>
      <c r="CX98" s="2338"/>
      <c r="CY98" s="2338"/>
      <c r="CZ98" s="2338"/>
      <c r="DA98" s="2338"/>
      <c r="DB98" s="2338"/>
      <c r="DC98" s="2338"/>
      <c r="DD98" s="2338"/>
      <c r="DE98" s="2338"/>
      <c r="DF98" s="2338"/>
      <c r="DG98" s="2338"/>
      <c r="DH98" s="2338"/>
      <c r="DI98" s="2338"/>
      <c r="DJ98" s="2338"/>
    </row>
    <row r="99" spans="1:114" hidden="1" outlineLevel="1">
      <c r="A99" s="3217"/>
      <c r="B99" s="3210"/>
      <c r="C99" s="3208"/>
      <c r="D99" s="3210"/>
      <c r="E99" s="3029"/>
      <c r="F99" s="2980" t="s">
        <v>3865</v>
      </c>
      <c r="G99" s="3637"/>
      <c r="H99" s="3673"/>
      <c r="I99" s="3673"/>
      <c r="J99" s="3673"/>
      <c r="K99" s="3673"/>
      <c r="L99" s="3673"/>
      <c r="M99" s="3673"/>
      <c r="N99" s="3673"/>
      <c r="O99" s="3673"/>
      <c r="P99" s="3673"/>
      <c r="Q99" s="3673"/>
      <c r="R99" s="3673"/>
      <c r="S99" s="3673"/>
      <c r="T99" s="3673"/>
      <c r="U99" s="3673"/>
      <c r="V99" s="2802" t="str">
        <f>'Приложение 1'!V100</f>
        <v/>
      </c>
      <c r="W99" s="2802" t="str">
        <f>'Приложение 1'!W100</f>
        <v/>
      </c>
      <c r="X99" s="2802" t="str">
        <f>'Приложение 1'!X100</f>
        <v/>
      </c>
      <c r="Y99" s="2802" t="str">
        <f>'Приложение 1'!Y100</f>
        <v/>
      </c>
      <c r="Z99" s="2937"/>
      <c r="AA99" s="2937"/>
      <c r="AB99" s="2937"/>
      <c r="AC99" s="2937"/>
      <c r="AD99" s="2937" t="str">
        <f>'Приложение 1'!AD100</f>
        <v/>
      </c>
      <c r="AE99" s="2937" t="str">
        <f>'Приложение 1'!AE100</f>
        <v/>
      </c>
      <c r="AF99" s="2937" t="str">
        <f>'Приложение 1'!AF100</f>
        <v/>
      </c>
      <c r="AG99" s="2937"/>
      <c r="AH99" s="2937"/>
      <c r="AI99" s="2937"/>
      <c r="AJ99" s="2937" t="str">
        <f>'Приложение 1'!AJ100</f>
        <v/>
      </c>
      <c r="AK99" s="2945"/>
      <c r="AL99" s="2895">
        <f t="shared" si="2"/>
        <v>0</v>
      </c>
      <c r="AM99" s="2566" t="str">
        <f t="shared" si="3"/>
        <v/>
      </c>
      <c r="AN99" s="2338"/>
      <c r="AO99" s="2338"/>
      <c r="AP99" s="2338"/>
      <c r="AQ99" s="2338"/>
      <c r="AR99" s="2338"/>
      <c r="AS99" s="2338"/>
      <c r="AT99" s="2338"/>
      <c r="AU99" s="2338"/>
      <c r="AV99" s="2338"/>
      <c r="AW99" s="2338"/>
      <c r="AX99" s="2338"/>
      <c r="AY99" s="2338"/>
      <c r="AZ99" s="2338"/>
      <c r="BA99" s="2338"/>
      <c r="BB99" s="2338"/>
      <c r="BC99" s="2338"/>
      <c r="BD99" s="2338"/>
      <c r="BE99" s="2338"/>
      <c r="BF99" s="2338"/>
      <c r="BG99" s="2338"/>
      <c r="BH99" s="2338"/>
      <c r="BI99" s="2338"/>
      <c r="BJ99" s="2338"/>
      <c r="BK99" s="2338"/>
      <c r="BL99" s="2338"/>
      <c r="BM99" s="2338"/>
      <c r="BN99" s="2338"/>
      <c r="BO99" s="2338"/>
      <c r="BP99" s="2338"/>
      <c r="BQ99" s="2338"/>
      <c r="BR99" s="2338"/>
      <c r="BS99" s="2338"/>
      <c r="BT99" s="2338"/>
      <c r="BU99" s="2338"/>
      <c r="BV99" s="2338"/>
      <c r="BW99" s="2338"/>
      <c r="BX99" s="2338"/>
      <c r="BY99" s="2338"/>
      <c r="BZ99" s="2338"/>
      <c r="CA99" s="2338"/>
      <c r="CB99" s="2338"/>
      <c r="CC99" s="2338"/>
      <c r="CD99" s="2338"/>
      <c r="CE99" s="2338"/>
      <c r="CF99" s="2338"/>
      <c r="CG99" s="2338"/>
      <c r="CH99" s="2338"/>
      <c r="CI99" s="2338"/>
      <c r="CJ99" s="2338"/>
      <c r="CK99" s="2338"/>
      <c r="CL99" s="2338"/>
      <c r="CM99" s="2338"/>
      <c r="CN99" s="2338"/>
      <c r="CO99" s="2338"/>
      <c r="CP99" s="2338"/>
      <c r="CQ99" s="2338"/>
      <c r="CR99" s="2338"/>
      <c r="CS99" s="2338"/>
      <c r="CT99" s="2338"/>
      <c r="CU99" s="2338"/>
      <c r="CV99" s="2338"/>
      <c r="CW99" s="2338"/>
      <c r="CX99" s="2338"/>
      <c r="CY99" s="2338"/>
      <c r="CZ99" s="2338"/>
      <c r="DA99" s="2338"/>
      <c r="DB99" s="2338"/>
      <c r="DC99" s="2338"/>
      <c r="DD99" s="2338"/>
      <c r="DE99" s="2338"/>
      <c r="DF99" s="2338"/>
      <c r="DG99" s="2338"/>
      <c r="DH99" s="2338"/>
      <c r="DI99" s="2338"/>
      <c r="DJ99" s="2338"/>
    </row>
    <row r="100" spans="1:114" hidden="1" outlineLevel="1">
      <c r="A100" s="3217"/>
      <c r="B100" s="3210"/>
      <c r="C100" s="3208"/>
      <c r="D100" s="3210"/>
      <c r="E100" s="3029" t="s">
        <v>2946</v>
      </c>
      <c r="F100" s="2979" t="s">
        <v>3860</v>
      </c>
      <c r="G100" s="3637"/>
      <c r="H100" s="3673"/>
      <c r="I100" s="3673"/>
      <c r="J100" s="3673"/>
      <c r="K100" s="3673"/>
      <c r="L100" s="3673"/>
      <c r="M100" s="3673"/>
      <c r="N100" s="3673"/>
      <c r="O100" s="3673"/>
      <c r="P100" s="3673"/>
      <c r="Q100" s="3673"/>
      <c r="R100" s="3673"/>
      <c r="S100" s="3673"/>
      <c r="T100" s="3673"/>
      <c r="U100" s="3673"/>
      <c r="V100" s="2802" t="str">
        <f>'Приложение 1'!V101</f>
        <v/>
      </c>
      <c r="W100" s="2802" t="str">
        <f>'Приложение 1'!W101</f>
        <v/>
      </c>
      <c r="X100" s="2802" t="str">
        <f>'Приложение 1'!X101</f>
        <v/>
      </c>
      <c r="Y100" s="2802" t="str">
        <f>'Приложение 1'!Y101</f>
        <v/>
      </c>
      <c r="Z100" s="2937"/>
      <c r="AA100" s="2937"/>
      <c r="AB100" s="2937"/>
      <c r="AC100" s="2937"/>
      <c r="AD100" s="2937" t="str">
        <f>'Приложение 1'!AD101</f>
        <v/>
      </c>
      <c r="AE100" s="2937" t="str">
        <f>'Приложение 1'!AE101</f>
        <v/>
      </c>
      <c r="AF100" s="2937" t="str">
        <f>'Приложение 1'!AF101</f>
        <v/>
      </c>
      <c r="AG100" s="2937"/>
      <c r="AH100" s="2937"/>
      <c r="AI100" s="2937"/>
      <c r="AJ100" s="2937" t="str">
        <f>'Приложение 1'!AJ101</f>
        <v/>
      </c>
      <c r="AK100" s="2945"/>
      <c r="AL100" s="2895">
        <f t="shared" si="2"/>
        <v>0</v>
      </c>
      <c r="AM100" s="2566" t="str">
        <f t="shared" si="3"/>
        <v/>
      </c>
      <c r="AN100" s="2338"/>
      <c r="AO100" s="2338"/>
      <c r="AP100" s="2338"/>
      <c r="AQ100" s="2338"/>
      <c r="AR100" s="2338"/>
      <c r="AS100" s="2338"/>
      <c r="AT100" s="2338"/>
      <c r="AU100" s="2338"/>
      <c r="AV100" s="2338"/>
      <c r="AW100" s="2338"/>
      <c r="AX100" s="2338"/>
      <c r="AY100" s="2338"/>
      <c r="AZ100" s="2338"/>
      <c r="BA100" s="2338"/>
      <c r="BB100" s="2338"/>
      <c r="BC100" s="2338"/>
      <c r="BD100" s="2338"/>
      <c r="BE100" s="2338"/>
      <c r="BF100" s="2338"/>
      <c r="BG100" s="2338"/>
      <c r="BH100" s="2338"/>
      <c r="BI100" s="2338"/>
      <c r="BJ100" s="2338"/>
      <c r="BK100" s="2338"/>
      <c r="BL100" s="2338"/>
      <c r="BM100" s="2338"/>
      <c r="BN100" s="2338"/>
      <c r="BO100" s="2338"/>
      <c r="BP100" s="2338"/>
      <c r="BQ100" s="2338"/>
      <c r="BR100" s="2338"/>
      <c r="BS100" s="2338"/>
      <c r="BT100" s="2338"/>
      <c r="BU100" s="2338"/>
      <c r="BV100" s="2338"/>
      <c r="BW100" s="2338"/>
      <c r="BX100" s="2338"/>
      <c r="BY100" s="2338"/>
      <c r="BZ100" s="2338"/>
      <c r="CA100" s="2338"/>
      <c r="CB100" s="2338"/>
      <c r="CC100" s="2338"/>
      <c r="CD100" s="2338"/>
      <c r="CE100" s="2338"/>
      <c r="CF100" s="2338"/>
      <c r="CG100" s="2338"/>
      <c r="CH100" s="2338"/>
      <c r="CI100" s="2338"/>
      <c r="CJ100" s="2338"/>
      <c r="CK100" s="2338"/>
      <c r="CL100" s="2338"/>
      <c r="CM100" s="2338"/>
      <c r="CN100" s="2338"/>
      <c r="CO100" s="2338"/>
      <c r="CP100" s="2338"/>
      <c r="CQ100" s="2338"/>
      <c r="CR100" s="2338"/>
      <c r="CS100" s="2338"/>
      <c r="CT100" s="2338"/>
      <c r="CU100" s="2338"/>
      <c r="CV100" s="2338"/>
      <c r="CW100" s="2338"/>
      <c r="CX100" s="2338"/>
      <c r="CY100" s="2338"/>
      <c r="CZ100" s="2338"/>
      <c r="DA100" s="2338"/>
      <c r="DB100" s="2338"/>
      <c r="DC100" s="2338"/>
      <c r="DD100" s="2338"/>
      <c r="DE100" s="2338"/>
      <c r="DF100" s="2338"/>
      <c r="DG100" s="2338"/>
      <c r="DH100" s="2338"/>
      <c r="DI100" s="2338"/>
      <c r="DJ100" s="2338"/>
    </row>
    <row r="101" spans="1:114" collapsed="1">
      <c r="A101" s="3217"/>
      <c r="B101" s="3210"/>
      <c r="C101" s="3208"/>
      <c r="D101" s="3210"/>
      <c r="E101" s="3029"/>
      <c r="F101" s="2979" t="s">
        <v>3861</v>
      </c>
      <c r="G101" s="3637"/>
      <c r="H101" s="3673"/>
      <c r="I101" s="3673">
        <f>'Приложение 1'!I102</f>
        <v>474.00000000000006</v>
      </c>
      <c r="J101" s="3673"/>
      <c r="K101" s="3673"/>
      <c r="L101" s="3673">
        <f>'Приложение 1'!L102</f>
        <v>474.00000000000006</v>
      </c>
      <c r="M101" s="3673"/>
      <c r="N101" s="3673">
        <f>'Приложение 1'!N102</f>
        <v>1488</v>
      </c>
      <c r="O101" s="3673"/>
      <c r="P101" s="3673"/>
      <c r="Q101" s="3673">
        <f>'Приложение 1'!Q102</f>
        <v>1488</v>
      </c>
      <c r="R101" s="3673"/>
      <c r="S101" s="3673">
        <f>'Приложение 1'!S102</f>
        <v>464.16136</v>
      </c>
      <c r="T101" s="3673"/>
      <c r="U101" s="3673"/>
      <c r="V101" s="2802" t="str">
        <f>'Приложение 1'!V102</f>
        <v/>
      </c>
      <c r="W101" s="2802">
        <f>'Приложение 1'!W102</f>
        <v>979243.37552742602</v>
      </c>
      <c r="X101" s="2802" t="str">
        <f>'Приложение 1'!X102</f>
        <v/>
      </c>
      <c r="Y101" s="2802" t="str">
        <f>'Приложение 1'!Y102</f>
        <v/>
      </c>
      <c r="Z101" s="2937">
        <f>'Приложение 1'!Z102</f>
        <v>1.0528</v>
      </c>
      <c r="AA101" s="2937">
        <f>'Приложение 1'!AA102</f>
        <v>1.0589</v>
      </c>
      <c r="AB101" s="2937">
        <f>'Приложение 1'!AB102</f>
        <v>1.0507936887282501</v>
      </c>
      <c r="AC101" s="2937">
        <f>'Приложение 1'!AC102</f>
        <v>1.04657781587849</v>
      </c>
      <c r="AD101" s="2937" t="str">
        <f>'Приложение 1'!AD102</f>
        <v/>
      </c>
      <c r="AE101" s="2937">
        <f>'Приложение 1'!AE102</f>
        <v>1140340.5583232434</v>
      </c>
      <c r="AF101" s="2937" t="str">
        <f>'Приложение 1'!AF102</f>
        <v/>
      </c>
      <c r="AG101" s="2937"/>
      <c r="AH101" s="2937">
        <f>'Приложение 1'!AH102</f>
        <v>1140340.5583232434</v>
      </c>
      <c r="AI101" s="2780">
        <f>'Приложение 1'!AI102</f>
        <v>1140340.5583232434</v>
      </c>
      <c r="AJ101" s="2780">
        <f>'Приложение 1'!AJ102</f>
        <v>363.25364559490413</v>
      </c>
      <c r="AK101" s="2945">
        <f>'Утв.СП 2018г'!H98</f>
        <v>348.5</v>
      </c>
      <c r="AL101" s="2895">
        <f t="shared" si="2"/>
        <v>364.73236883365377</v>
      </c>
      <c r="AM101" s="2853">
        <f t="shared" si="3"/>
        <v>0.99594573071899728</v>
      </c>
      <c r="AN101" s="2338"/>
      <c r="AO101" s="2338"/>
      <c r="AP101" s="2338"/>
      <c r="AQ101" s="2338"/>
      <c r="AR101" s="2338"/>
      <c r="AS101" s="2338"/>
      <c r="AT101" s="2338"/>
      <c r="AU101" s="2338"/>
      <c r="AV101" s="2338"/>
      <c r="AW101" s="2338"/>
      <c r="AX101" s="2338"/>
      <c r="AY101" s="2338"/>
      <c r="AZ101" s="2338"/>
      <c r="BA101" s="2338"/>
      <c r="BB101" s="2338"/>
      <c r="BC101" s="2338"/>
      <c r="BD101" s="2338"/>
      <c r="BE101" s="2338"/>
      <c r="BF101" s="2338"/>
      <c r="BG101" s="2338"/>
      <c r="BH101" s="2338"/>
      <c r="BI101" s="2338"/>
      <c r="BJ101" s="2338"/>
      <c r="BK101" s="2338"/>
      <c r="BL101" s="2338"/>
      <c r="BM101" s="2338"/>
      <c r="BN101" s="2338"/>
      <c r="BO101" s="2338"/>
      <c r="BP101" s="2338"/>
      <c r="BQ101" s="2338"/>
      <c r="BR101" s="2338"/>
      <c r="BS101" s="2338"/>
      <c r="BT101" s="2338"/>
      <c r="BU101" s="2338"/>
      <c r="BV101" s="2338"/>
      <c r="BW101" s="2338"/>
      <c r="BX101" s="2338"/>
      <c r="BY101" s="2338"/>
      <c r="BZ101" s="2338"/>
      <c r="CA101" s="2338"/>
      <c r="CB101" s="2338"/>
      <c r="CC101" s="2338"/>
      <c r="CD101" s="2338"/>
      <c r="CE101" s="2338"/>
      <c r="CF101" s="2338"/>
      <c r="CG101" s="2338"/>
      <c r="CH101" s="2338"/>
      <c r="CI101" s="2338"/>
      <c r="CJ101" s="2338"/>
      <c r="CK101" s="2338"/>
      <c r="CL101" s="2338"/>
      <c r="CM101" s="2338"/>
      <c r="CN101" s="2338"/>
      <c r="CO101" s="2338"/>
      <c r="CP101" s="2338"/>
      <c r="CQ101" s="2338"/>
      <c r="CR101" s="2338"/>
      <c r="CS101" s="2338"/>
      <c r="CT101" s="2338"/>
      <c r="CU101" s="2338"/>
      <c r="CV101" s="2338"/>
      <c r="CW101" s="2338"/>
      <c r="CX101" s="2338"/>
      <c r="CY101" s="2338"/>
      <c r="CZ101" s="2338"/>
      <c r="DA101" s="2338"/>
      <c r="DB101" s="2338"/>
      <c r="DC101" s="2338"/>
      <c r="DD101" s="2338"/>
      <c r="DE101" s="2338"/>
      <c r="DF101" s="2338"/>
      <c r="DG101" s="2338"/>
      <c r="DH101" s="2338"/>
      <c r="DI101" s="2338"/>
      <c r="DJ101" s="2338"/>
    </row>
    <row r="102" spans="1:114" hidden="1" outlineLevel="1">
      <c r="A102" s="3217"/>
      <c r="B102" s="3210"/>
      <c r="C102" s="3208"/>
      <c r="D102" s="3210"/>
      <c r="E102" s="3029"/>
      <c r="F102" s="2979" t="s">
        <v>3862</v>
      </c>
      <c r="G102" s="3637"/>
      <c r="H102" s="3673"/>
      <c r="I102" s="3673"/>
      <c r="J102" s="3673"/>
      <c r="K102" s="3673"/>
      <c r="L102" s="3673"/>
      <c r="M102" s="3673"/>
      <c r="N102" s="3673"/>
      <c r="O102" s="3673"/>
      <c r="P102" s="3673"/>
      <c r="Q102" s="3673"/>
      <c r="R102" s="3673"/>
      <c r="S102" s="3673"/>
      <c r="T102" s="3673"/>
      <c r="U102" s="3673"/>
      <c r="V102" s="2802" t="str">
        <f>'Приложение 1'!V103</f>
        <v/>
      </c>
      <c r="W102" s="2802" t="str">
        <f>'Приложение 1'!W103</f>
        <v/>
      </c>
      <c r="X102" s="2802" t="str">
        <f>'Приложение 1'!X103</f>
        <v/>
      </c>
      <c r="Y102" s="2802" t="str">
        <f>'Приложение 1'!Y103</f>
        <v/>
      </c>
      <c r="Z102" s="2937"/>
      <c r="AA102" s="2937"/>
      <c r="AB102" s="2937"/>
      <c r="AC102" s="2937"/>
      <c r="AD102" s="2937" t="str">
        <f>'Приложение 1'!AD103</f>
        <v/>
      </c>
      <c r="AE102" s="2937" t="str">
        <f>'Приложение 1'!AE103</f>
        <v/>
      </c>
      <c r="AF102" s="2937" t="str">
        <f>'Приложение 1'!AF103</f>
        <v/>
      </c>
      <c r="AG102" s="2937"/>
      <c r="AH102" s="2937"/>
      <c r="AI102" s="2937"/>
      <c r="AJ102" s="2937" t="str">
        <f>'Приложение 1'!AJ103</f>
        <v/>
      </c>
      <c r="AK102" s="2945"/>
      <c r="AL102" s="2895">
        <f t="shared" si="2"/>
        <v>0</v>
      </c>
      <c r="AM102" s="2566" t="str">
        <f t="shared" si="3"/>
        <v/>
      </c>
      <c r="AN102" s="2338"/>
      <c r="AO102" s="2338"/>
      <c r="AP102" s="2338"/>
      <c r="AQ102" s="2338"/>
      <c r="AR102" s="2338"/>
      <c r="AS102" s="2338"/>
      <c r="AT102" s="2338"/>
      <c r="AU102" s="2338"/>
      <c r="AV102" s="2338"/>
      <c r="AW102" s="2338"/>
      <c r="AX102" s="2338"/>
      <c r="AY102" s="2338"/>
      <c r="AZ102" s="2338"/>
      <c r="BA102" s="2338"/>
      <c r="BB102" s="2338"/>
      <c r="BC102" s="2338"/>
      <c r="BD102" s="2338"/>
      <c r="BE102" s="2338"/>
      <c r="BF102" s="2338"/>
      <c r="BG102" s="2338"/>
      <c r="BH102" s="2338"/>
      <c r="BI102" s="2338"/>
      <c r="BJ102" s="2338"/>
      <c r="BK102" s="2338"/>
      <c r="BL102" s="2338"/>
      <c r="BM102" s="2338"/>
      <c r="BN102" s="2338"/>
      <c r="BO102" s="2338"/>
      <c r="BP102" s="2338"/>
      <c r="BQ102" s="2338"/>
      <c r="BR102" s="2338"/>
      <c r="BS102" s="2338"/>
      <c r="BT102" s="2338"/>
      <c r="BU102" s="2338"/>
      <c r="BV102" s="2338"/>
      <c r="BW102" s="2338"/>
      <c r="BX102" s="2338"/>
      <c r="BY102" s="2338"/>
      <c r="BZ102" s="2338"/>
      <c r="CA102" s="2338"/>
      <c r="CB102" s="2338"/>
      <c r="CC102" s="2338"/>
      <c r="CD102" s="2338"/>
      <c r="CE102" s="2338"/>
      <c r="CF102" s="2338"/>
      <c r="CG102" s="2338"/>
      <c r="CH102" s="2338"/>
      <c r="CI102" s="2338"/>
      <c r="CJ102" s="2338"/>
      <c r="CK102" s="2338"/>
      <c r="CL102" s="2338"/>
      <c r="CM102" s="2338"/>
      <c r="CN102" s="2338"/>
      <c r="CO102" s="2338"/>
      <c r="CP102" s="2338"/>
      <c r="CQ102" s="2338"/>
      <c r="CR102" s="2338"/>
      <c r="CS102" s="2338"/>
      <c r="CT102" s="2338"/>
      <c r="CU102" s="2338"/>
      <c r="CV102" s="2338"/>
      <c r="CW102" s="2338"/>
      <c r="CX102" s="2338"/>
      <c r="CY102" s="2338"/>
      <c r="CZ102" s="2338"/>
      <c r="DA102" s="2338"/>
      <c r="DB102" s="2338"/>
      <c r="DC102" s="2338"/>
      <c r="DD102" s="2338"/>
      <c r="DE102" s="2338"/>
      <c r="DF102" s="2338"/>
      <c r="DG102" s="2338"/>
      <c r="DH102" s="2338"/>
      <c r="DI102" s="2338"/>
      <c r="DJ102" s="2338"/>
    </row>
    <row r="103" spans="1:114" hidden="1" outlineLevel="1">
      <c r="A103" s="3217"/>
      <c r="B103" s="3210"/>
      <c r="C103" s="3208"/>
      <c r="D103" s="3210"/>
      <c r="E103" s="3029"/>
      <c r="F103" s="2979" t="s">
        <v>3863</v>
      </c>
      <c r="G103" s="3637"/>
      <c r="H103" s="3673"/>
      <c r="I103" s="3673"/>
      <c r="J103" s="3673"/>
      <c r="K103" s="3673"/>
      <c r="L103" s="3673"/>
      <c r="M103" s="3673"/>
      <c r="N103" s="3673"/>
      <c r="O103" s="3673"/>
      <c r="P103" s="3673"/>
      <c r="Q103" s="3673"/>
      <c r="R103" s="3673"/>
      <c r="S103" s="3673"/>
      <c r="T103" s="3673"/>
      <c r="U103" s="3673"/>
      <c r="V103" s="2802" t="str">
        <f>'Приложение 1'!V104</f>
        <v/>
      </c>
      <c r="W103" s="2802" t="str">
        <f>'Приложение 1'!W104</f>
        <v/>
      </c>
      <c r="X103" s="2802" t="str">
        <f>'Приложение 1'!X104</f>
        <v/>
      </c>
      <c r="Y103" s="2802" t="str">
        <f>'Приложение 1'!Y104</f>
        <v/>
      </c>
      <c r="Z103" s="2937"/>
      <c r="AA103" s="2937"/>
      <c r="AB103" s="2937"/>
      <c r="AC103" s="2937"/>
      <c r="AD103" s="2937" t="str">
        <f>'Приложение 1'!AD104</f>
        <v/>
      </c>
      <c r="AE103" s="2937" t="str">
        <f>'Приложение 1'!AE104</f>
        <v/>
      </c>
      <c r="AF103" s="2937" t="str">
        <f>'Приложение 1'!AF104</f>
        <v/>
      </c>
      <c r="AG103" s="2937"/>
      <c r="AH103" s="2937"/>
      <c r="AI103" s="2937"/>
      <c r="AJ103" s="2937" t="str">
        <f>'Приложение 1'!AJ104</f>
        <v/>
      </c>
      <c r="AK103" s="2945"/>
      <c r="AL103" s="2895">
        <f t="shared" si="2"/>
        <v>0</v>
      </c>
      <c r="AM103" s="2566" t="str">
        <f t="shared" si="3"/>
        <v/>
      </c>
      <c r="AN103" s="2338"/>
      <c r="AO103" s="2338"/>
      <c r="AP103" s="2338"/>
      <c r="AQ103" s="2338"/>
      <c r="AR103" s="2338"/>
      <c r="AS103" s="2338"/>
      <c r="AT103" s="2338"/>
      <c r="AU103" s="2338"/>
      <c r="AV103" s="2338"/>
      <c r="AW103" s="2338"/>
      <c r="AX103" s="2338"/>
      <c r="AY103" s="2338"/>
      <c r="AZ103" s="2338"/>
      <c r="BA103" s="2338"/>
      <c r="BB103" s="2338"/>
      <c r="BC103" s="2338"/>
      <c r="BD103" s="2338"/>
      <c r="BE103" s="2338"/>
      <c r="BF103" s="2338"/>
      <c r="BG103" s="2338"/>
      <c r="BH103" s="2338"/>
      <c r="BI103" s="2338"/>
      <c r="BJ103" s="2338"/>
      <c r="BK103" s="2338"/>
      <c r="BL103" s="2338"/>
      <c r="BM103" s="2338"/>
      <c r="BN103" s="2338"/>
      <c r="BO103" s="2338"/>
      <c r="BP103" s="2338"/>
      <c r="BQ103" s="2338"/>
      <c r="BR103" s="2338"/>
      <c r="BS103" s="2338"/>
      <c r="BT103" s="2338"/>
      <c r="BU103" s="2338"/>
      <c r="BV103" s="2338"/>
      <c r="BW103" s="2338"/>
      <c r="BX103" s="2338"/>
      <c r="BY103" s="2338"/>
      <c r="BZ103" s="2338"/>
      <c r="CA103" s="2338"/>
      <c r="CB103" s="2338"/>
      <c r="CC103" s="2338"/>
      <c r="CD103" s="2338"/>
      <c r="CE103" s="2338"/>
      <c r="CF103" s="2338"/>
      <c r="CG103" s="2338"/>
      <c r="CH103" s="2338"/>
      <c r="CI103" s="2338"/>
      <c r="CJ103" s="2338"/>
      <c r="CK103" s="2338"/>
      <c r="CL103" s="2338"/>
      <c r="CM103" s="2338"/>
      <c r="CN103" s="2338"/>
      <c r="CO103" s="2338"/>
      <c r="CP103" s="2338"/>
      <c r="CQ103" s="2338"/>
      <c r="CR103" s="2338"/>
      <c r="CS103" s="2338"/>
      <c r="CT103" s="2338"/>
      <c r="CU103" s="2338"/>
      <c r="CV103" s="2338"/>
      <c r="CW103" s="2338"/>
      <c r="CX103" s="2338"/>
      <c r="CY103" s="2338"/>
      <c r="CZ103" s="2338"/>
      <c r="DA103" s="2338"/>
      <c r="DB103" s="2338"/>
      <c r="DC103" s="2338"/>
      <c r="DD103" s="2338"/>
      <c r="DE103" s="2338"/>
      <c r="DF103" s="2338"/>
      <c r="DG103" s="2338"/>
      <c r="DH103" s="2338"/>
      <c r="DI103" s="2338"/>
      <c r="DJ103" s="2338"/>
    </row>
    <row r="104" spans="1:114" hidden="1" outlineLevel="1">
      <c r="A104" s="3217"/>
      <c r="B104" s="3210"/>
      <c r="C104" s="3208"/>
      <c r="D104" s="3210"/>
      <c r="E104" s="3029"/>
      <c r="F104" s="2980" t="s">
        <v>3864</v>
      </c>
      <c r="G104" s="3637"/>
      <c r="H104" s="3673"/>
      <c r="I104" s="3673"/>
      <c r="J104" s="3673"/>
      <c r="K104" s="3673"/>
      <c r="L104" s="3673"/>
      <c r="M104" s="3673"/>
      <c r="N104" s="3673"/>
      <c r="O104" s="3673"/>
      <c r="P104" s="3673"/>
      <c r="Q104" s="3673"/>
      <c r="R104" s="3673"/>
      <c r="S104" s="3673"/>
      <c r="T104" s="3673"/>
      <c r="U104" s="3673"/>
      <c r="V104" s="2802" t="str">
        <f>'Приложение 1'!V105</f>
        <v/>
      </c>
      <c r="W104" s="2802" t="str">
        <f>'Приложение 1'!W105</f>
        <v/>
      </c>
      <c r="X104" s="2802" t="str">
        <f>'Приложение 1'!X105</f>
        <v/>
      </c>
      <c r="Y104" s="2802" t="str">
        <f>'Приложение 1'!Y105</f>
        <v/>
      </c>
      <c r="Z104" s="2937"/>
      <c r="AA104" s="2937"/>
      <c r="AB104" s="2937"/>
      <c r="AC104" s="2937"/>
      <c r="AD104" s="2937" t="str">
        <f>'Приложение 1'!AD105</f>
        <v/>
      </c>
      <c r="AE104" s="2937" t="str">
        <f>'Приложение 1'!AE105</f>
        <v/>
      </c>
      <c r="AF104" s="2937" t="str">
        <f>'Приложение 1'!AF105</f>
        <v/>
      </c>
      <c r="AG104" s="2937"/>
      <c r="AH104" s="2937"/>
      <c r="AI104" s="2937"/>
      <c r="AJ104" s="2937" t="str">
        <f>'Приложение 1'!AJ105</f>
        <v/>
      </c>
      <c r="AK104" s="2945"/>
      <c r="AL104" s="2895">
        <f t="shared" si="2"/>
        <v>0</v>
      </c>
      <c r="AM104" s="2566" t="str">
        <f t="shared" si="3"/>
        <v/>
      </c>
      <c r="AN104" s="2338"/>
      <c r="AO104" s="2338"/>
      <c r="AP104" s="2338"/>
      <c r="AQ104" s="2338"/>
      <c r="AR104" s="2338"/>
      <c r="AS104" s="2338"/>
      <c r="AT104" s="2338"/>
      <c r="AU104" s="2338"/>
      <c r="AV104" s="2338"/>
      <c r="AW104" s="2338"/>
      <c r="AX104" s="2338"/>
      <c r="AY104" s="2338"/>
      <c r="AZ104" s="2338"/>
      <c r="BA104" s="2338"/>
      <c r="BB104" s="2338"/>
      <c r="BC104" s="2338"/>
      <c r="BD104" s="2338"/>
      <c r="BE104" s="2338"/>
      <c r="BF104" s="2338"/>
      <c r="BG104" s="2338"/>
      <c r="BH104" s="2338"/>
      <c r="BI104" s="2338"/>
      <c r="BJ104" s="2338"/>
      <c r="BK104" s="2338"/>
      <c r="BL104" s="2338"/>
      <c r="BM104" s="2338"/>
      <c r="BN104" s="2338"/>
      <c r="BO104" s="2338"/>
      <c r="BP104" s="2338"/>
      <c r="BQ104" s="2338"/>
      <c r="BR104" s="2338"/>
      <c r="BS104" s="2338"/>
      <c r="BT104" s="2338"/>
      <c r="BU104" s="2338"/>
      <c r="BV104" s="2338"/>
      <c r="BW104" s="2338"/>
      <c r="BX104" s="2338"/>
      <c r="BY104" s="2338"/>
      <c r="BZ104" s="2338"/>
      <c r="CA104" s="2338"/>
      <c r="CB104" s="2338"/>
      <c r="CC104" s="2338"/>
      <c r="CD104" s="2338"/>
      <c r="CE104" s="2338"/>
      <c r="CF104" s="2338"/>
      <c r="CG104" s="2338"/>
      <c r="CH104" s="2338"/>
      <c r="CI104" s="2338"/>
      <c r="CJ104" s="2338"/>
      <c r="CK104" s="2338"/>
      <c r="CL104" s="2338"/>
      <c r="CM104" s="2338"/>
      <c r="CN104" s="2338"/>
      <c r="CO104" s="2338"/>
      <c r="CP104" s="2338"/>
      <c r="CQ104" s="2338"/>
      <c r="CR104" s="2338"/>
      <c r="CS104" s="2338"/>
      <c r="CT104" s="2338"/>
      <c r="CU104" s="2338"/>
      <c r="CV104" s="2338"/>
      <c r="CW104" s="2338"/>
      <c r="CX104" s="2338"/>
      <c r="CY104" s="2338"/>
      <c r="CZ104" s="2338"/>
      <c r="DA104" s="2338"/>
      <c r="DB104" s="2338"/>
      <c r="DC104" s="2338"/>
      <c r="DD104" s="2338"/>
      <c r="DE104" s="2338"/>
      <c r="DF104" s="2338"/>
      <c r="DG104" s="2338"/>
      <c r="DH104" s="2338"/>
      <c r="DI104" s="2338"/>
      <c r="DJ104" s="2338"/>
    </row>
    <row r="105" spans="1:114" hidden="1" outlineLevel="1">
      <c r="A105" s="3217"/>
      <c r="B105" s="3210"/>
      <c r="C105" s="3208"/>
      <c r="D105" s="3210"/>
      <c r="E105" s="3029"/>
      <c r="F105" s="2980" t="s">
        <v>3865</v>
      </c>
      <c r="G105" s="3637"/>
      <c r="H105" s="3673"/>
      <c r="I105" s="3673"/>
      <c r="J105" s="3673"/>
      <c r="K105" s="3673"/>
      <c r="L105" s="3673"/>
      <c r="M105" s="3673"/>
      <c r="N105" s="3673"/>
      <c r="O105" s="3673"/>
      <c r="P105" s="3673"/>
      <c r="Q105" s="3673"/>
      <c r="R105" s="3673"/>
      <c r="S105" s="3673"/>
      <c r="T105" s="3673"/>
      <c r="U105" s="3673"/>
      <c r="V105" s="2802" t="str">
        <f>'Приложение 1'!V106</f>
        <v/>
      </c>
      <c r="W105" s="2802" t="str">
        <f>'Приложение 1'!W106</f>
        <v/>
      </c>
      <c r="X105" s="2802" t="str">
        <f>'Приложение 1'!X106</f>
        <v/>
      </c>
      <c r="Y105" s="2802" t="str">
        <f>'Приложение 1'!Y106</f>
        <v/>
      </c>
      <c r="Z105" s="2937"/>
      <c r="AA105" s="2937"/>
      <c r="AB105" s="2937"/>
      <c r="AC105" s="2937"/>
      <c r="AD105" s="2937" t="str">
        <f>'Приложение 1'!AD106</f>
        <v/>
      </c>
      <c r="AE105" s="2937" t="str">
        <f>'Приложение 1'!AE106</f>
        <v/>
      </c>
      <c r="AF105" s="2937" t="str">
        <f>'Приложение 1'!AF106</f>
        <v/>
      </c>
      <c r="AG105" s="2937"/>
      <c r="AH105" s="2937"/>
      <c r="AI105" s="2937"/>
      <c r="AJ105" s="2937" t="str">
        <f>'Приложение 1'!AJ106</f>
        <v/>
      </c>
      <c r="AK105" s="2945"/>
      <c r="AL105" s="2895">
        <f t="shared" si="2"/>
        <v>0</v>
      </c>
      <c r="AM105" s="2566" t="str">
        <f t="shared" si="3"/>
        <v/>
      </c>
      <c r="AN105" s="2338"/>
      <c r="AO105" s="2338"/>
      <c r="AP105" s="2338"/>
      <c r="AQ105" s="2338"/>
      <c r="AR105" s="2338"/>
      <c r="AS105" s="2338"/>
      <c r="AT105" s="2338"/>
      <c r="AU105" s="2338"/>
      <c r="AV105" s="2338"/>
      <c r="AW105" s="2338"/>
      <c r="AX105" s="2338"/>
      <c r="AY105" s="2338"/>
      <c r="AZ105" s="2338"/>
      <c r="BA105" s="2338"/>
      <c r="BB105" s="2338"/>
      <c r="BC105" s="2338"/>
      <c r="BD105" s="2338"/>
      <c r="BE105" s="2338"/>
      <c r="BF105" s="2338"/>
      <c r="BG105" s="2338"/>
      <c r="BH105" s="2338"/>
      <c r="BI105" s="2338"/>
      <c r="BJ105" s="2338"/>
      <c r="BK105" s="2338"/>
      <c r="BL105" s="2338"/>
      <c r="BM105" s="2338"/>
      <c r="BN105" s="2338"/>
      <c r="BO105" s="2338"/>
      <c r="BP105" s="2338"/>
      <c r="BQ105" s="2338"/>
      <c r="BR105" s="2338"/>
      <c r="BS105" s="2338"/>
      <c r="BT105" s="2338"/>
      <c r="BU105" s="2338"/>
      <c r="BV105" s="2338"/>
      <c r="BW105" s="2338"/>
      <c r="BX105" s="2338"/>
      <c r="BY105" s="2338"/>
      <c r="BZ105" s="2338"/>
      <c r="CA105" s="2338"/>
      <c r="CB105" s="2338"/>
      <c r="CC105" s="2338"/>
      <c r="CD105" s="2338"/>
      <c r="CE105" s="2338"/>
      <c r="CF105" s="2338"/>
      <c r="CG105" s="2338"/>
      <c r="CH105" s="2338"/>
      <c r="CI105" s="2338"/>
      <c r="CJ105" s="2338"/>
      <c r="CK105" s="2338"/>
      <c r="CL105" s="2338"/>
      <c r="CM105" s="2338"/>
      <c r="CN105" s="2338"/>
      <c r="CO105" s="2338"/>
      <c r="CP105" s="2338"/>
      <c r="CQ105" s="2338"/>
      <c r="CR105" s="2338"/>
      <c r="CS105" s="2338"/>
      <c r="CT105" s="2338"/>
      <c r="CU105" s="2338"/>
      <c r="CV105" s="2338"/>
      <c r="CW105" s="2338"/>
      <c r="CX105" s="2338"/>
      <c r="CY105" s="2338"/>
      <c r="CZ105" s="2338"/>
      <c r="DA105" s="2338"/>
      <c r="DB105" s="2338"/>
      <c r="DC105" s="2338"/>
      <c r="DD105" s="2338"/>
      <c r="DE105" s="2338"/>
      <c r="DF105" s="2338"/>
      <c r="DG105" s="2338"/>
      <c r="DH105" s="2338"/>
      <c r="DI105" s="2338"/>
      <c r="DJ105" s="2338"/>
    </row>
    <row r="106" spans="1:114" collapsed="1">
      <c r="A106" s="3217"/>
      <c r="B106" s="3210"/>
      <c r="C106" s="3208"/>
      <c r="D106" s="3210" t="s">
        <v>2954</v>
      </c>
      <c r="E106" s="3029" t="s">
        <v>2950</v>
      </c>
      <c r="F106" s="2979" t="s">
        <v>3860</v>
      </c>
      <c r="G106" s="3637"/>
      <c r="H106" s="3673">
        <f>'Приложение 1'!H107</f>
        <v>10655.999999999998</v>
      </c>
      <c r="I106" s="3673">
        <f>'Приложение 1'!I107</f>
        <v>1797</v>
      </c>
      <c r="J106" s="3673">
        <f>'Приложение 1'!J107</f>
        <v>16538</v>
      </c>
      <c r="K106" s="3673"/>
      <c r="L106" s="3673">
        <f>'Приложение 1'!L107</f>
        <v>28991</v>
      </c>
      <c r="M106" s="3673">
        <f>'Приложение 1'!M107</f>
        <v>162.6</v>
      </c>
      <c r="N106" s="3673">
        <f>'Приложение 1'!N107</f>
        <v>40</v>
      </c>
      <c r="O106" s="3673">
        <f>'Приложение 1'!O107</f>
        <v>145.19999999999999</v>
      </c>
      <c r="P106" s="3673"/>
      <c r="Q106" s="3673">
        <f>'Приложение 1'!Q107</f>
        <v>347.79999999999995</v>
      </c>
      <c r="R106" s="3673">
        <f>'Приложение 1'!R107</f>
        <v>7012.9063659999993</v>
      </c>
      <c r="S106" s="3673">
        <f>'Приложение 1'!S107</f>
        <v>1346.92227</v>
      </c>
      <c r="T106" s="3673">
        <f>'Приложение 1'!T107</f>
        <v>10114.419629999999</v>
      </c>
      <c r="U106" s="3673"/>
      <c r="V106" s="2802">
        <f>'Приложение 1'!V107</f>
        <v>658118.08990240237</v>
      </c>
      <c r="W106" s="2802">
        <f>'Приложение 1'!W107</f>
        <v>749539.38230383978</v>
      </c>
      <c r="X106" s="2802">
        <f>'Приложение 1'!X107</f>
        <v>611586.62655702012</v>
      </c>
      <c r="Y106" s="2802" t="str">
        <f>'Приложение 1'!Y107</f>
        <v/>
      </c>
      <c r="Z106" s="2937">
        <f>'Приложение 1'!Z107</f>
        <v>1.0528</v>
      </c>
      <c r="AA106" s="2937">
        <f>'Приложение 1'!AA107</f>
        <v>1.0589</v>
      </c>
      <c r="AB106" s="2937">
        <f>'Приложение 1'!AB107</f>
        <v>1.0507936887282501</v>
      </c>
      <c r="AC106" s="2937">
        <f>'Приложение 1'!AC107</f>
        <v>1.04657781587849</v>
      </c>
      <c r="AD106" s="2937">
        <f>'Приложение 1'!AD107</f>
        <v>806851.54256029893</v>
      </c>
      <c r="AE106" s="2937">
        <f>'Приложение 1'!AE107</f>
        <v>872847.52602105378</v>
      </c>
      <c r="AF106" s="2937">
        <f>'Приложение 1'!AF107</f>
        <v>672584.66435672436</v>
      </c>
      <c r="AG106" s="2937"/>
      <c r="AH106" s="2937">
        <f>'Приложение 1'!AH107</f>
        <v>2352283.7329380773</v>
      </c>
      <c r="AI106" s="2780">
        <f>'Приложение 1'!AI107</f>
        <v>784094.57764602581</v>
      </c>
      <c r="AJ106" s="2780">
        <f>'Приложение 1'!AJ107</f>
        <v>65358.498851454679</v>
      </c>
      <c r="AK106" s="2945">
        <f>'Утв.СП 2018г'!H103</f>
        <v>26408.02</v>
      </c>
      <c r="AL106" s="2895">
        <f t="shared" si="2"/>
        <v>27638.047893275481</v>
      </c>
      <c r="AM106" s="2853">
        <f t="shared" si="3"/>
        <v>2.3648015628251673</v>
      </c>
      <c r="AN106" s="2338"/>
      <c r="AO106" s="2338"/>
      <c r="AP106" s="2338"/>
      <c r="AQ106" s="2338"/>
      <c r="AR106" s="2338"/>
      <c r="AS106" s="2338"/>
      <c r="AT106" s="2338"/>
      <c r="AU106" s="2338"/>
      <c r="AV106" s="2338"/>
      <c r="AW106" s="2338"/>
      <c r="AX106" s="2338"/>
      <c r="AY106" s="2338"/>
      <c r="AZ106" s="2338"/>
      <c r="BA106" s="2338"/>
      <c r="BB106" s="2338"/>
      <c r="BC106" s="2338"/>
      <c r="BD106" s="2338"/>
      <c r="BE106" s="2338"/>
      <c r="BF106" s="2338"/>
      <c r="BG106" s="2338"/>
      <c r="BH106" s="2338"/>
      <c r="BI106" s="2338"/>
      <c r="BJ106" s="2338"/>
      <c r="BK106" s="2338"/>
      <c r="BL106" s="2338"/>
      <c r="BM106" s="2338"/>
      <c r="BN106" s="2338"/>
      <c r="BO106" s="2338"/>
      <c r="BP106" s="2338"/>
      <c r="BQ106" s="2338"/>
      <c r="BR106" s="2338"/>
      <c r="BS106" s="2338"/>
      <c r="BT106" s="2338"/>
      <c r="BU106" s="2338"/>
      <c r="BV106" s="2338"/>
      <c r="BW106" s="2338"/>
      <c r="BX106" s="2338"/>
      <c r="BY106" s="2338"/>
      <c r="BZ106" s="2338"/>
      <c r="CA106" s="2338"/>
      <c r="CB106" s="2338"/>
      <c r="CC106" s="2338"/>
      <c r="CD106" s="2338"/>
      <c r="CE106" s="2338"/>
      <c r="CF106" s="2338"/>
      <c r="CG106" s="2338"/>
      <c r="CH106" s="2338"/>
      <c r="CI106" s="2338"/>
      <c r="CJ106" s="2338"/>
      <c r="CK106" s="2338"/>
      <c r="CL106" s="2338"/>
      <c r="CM106" s="2338"/>
      <c r="CN106" s="2338"/>
      <c r="CO106" s="2338"/>
      <c r="CP106" s="2338"/>
      <c r="CQ106" s="2338"/>
      <c r="CR106" s="2338"/>
      <c r="CS106" s="2338"/>
      <c r="CT106" s="2338"/>
      <c r="CU106" s="2338"/>
      <c r="CV106" s="2338"/>
      <c r="CW106" s="2338"/>
      <c r="CX106" s="2338"/>
      <c r="CY106" s="2338"/>
      <c r="CZ106" s="2338"/>
      <c r="DA106" s="2338"/>
      <c r="DB106" s="2338"/>
      <c r="DC106" s="2338"/>
      <c r="DD106" s="2338"/>
      <c r="DE106" s="2338"/>
      <c r="DF106" s="2338"/>
      <c r="DG106" s="2338"/>
      <c r="DH106" s="2338"/>
      <c r="DI106" s="2338"/>
      <c r="DJ106" s="2338"/>
    </row>
    <row r="107" spans="1:114">
      <c r="A107" s="3217"/>
      <c r="B107" s="3210"/>
      <c r="C107" s="3208"/>
      <c r="D107" s="3210"/>
      <c r="E107" s="3029"/>
      <c r="F107" s="2979" t="s">
        <v>3861</v>
      </c>
      <c r="G107" s="3637"/>
      <c r="H107" s="3673"/>
      <c r="I107" s="3673">
        <f>'Приложение 1'!I108</f>
        <v>2952</v>
      </c>
      <c r="J107" s="3673"/>
      <c r="K107" s="3673"/>
      <c r="L107" s="3673">
        <f>'Приложение 1'!L108</f>
        <v>2952</v>
      </c>
      <c r="M107" s="3673"/>
      <c r="N107" s="3673">
        <f>'Приложение 1'!N108</f>
        <v>1488</v>
      </c>
      <c r="O107" s="3673"/>
      <c r="P107" s="3673"/>
      <c r="Q107" s="3673">
        <f>'Приложение 1'!Q108</f>
        <v>1488</v>
      </c>
      <c r="R107" s="3673"/>
      <c r="S107" s="3673">
        <f>'Приложение 1'!S108</f>
        <v>2890.72642</v>
      </c>
      <c r="T107" s="3673"/>
      <c r="U107" s="3673"/>
      <c r="V107" s="2802" t="str">
        <f>'Приложение 1'!V108</f>
        <v/>
      </c>
      <c r="W107" s="2802">
        <f>'Приложение 1'!W108</f>
        <v>979243.36720867211</v>
      </c>
      <c r="X107" s="2802" t="str">
        <f>'Приложение 1'!X108</f>
        <v/>
      </c>
      <c r="Y107" s="2802" t="str">
        <f>'Приложение 1'!Y108</f>
        <v/>
      </c>
      <c r="Z107" s="2937">
        <f>'Приложение 1'!Z108</f>
        <v>1.0528</v>
      </c>
      <c r="AA107" s="2937">
        <f>'Приложение 1'!AA108</f>
        <v>1.0589</v>
      </c>
      <c r="AB107" s="2937">
        <f>'Приложение 1'!AB108</f>
        <v>1.0507936887282501</v>
      </c>
      <c r="AC107" s="2937">
        <f>'Приложение 1'!AC108</f>
        <v>1.04657781587849</v>
      </c>
      <c r="AD107" s="2937" t="str">
        <f>'Приложение 1'!AD108</f>
        <v/>
      </c>
      <c r="AE107" s="2937">
        <f>'Приложение 1'!AE108</f>
        <v>1140340.5486359554</v>
      </c>
      <c r="AF107" s="2937" t="str">
        <f>'Приложение 1'!AF108</f>
        <v/>
      </c>
      <c r="AG107" s="2937"/>
      <c r="AH107" s="2937">
        <f>'Приложение 1'!AH108</f>
        <v>1140340.5486359554</v>
      </c>
      <c r="AI107" s="2780">
        <f>'Приложение 1'!AI108</f>
        <v>1140340.5486359554</v>
      </c>
      <c r="AJ107" s="2780">
        <f>'Приложение 1'!AJ108</f>
        <v>2262.2885077777823</v>
      </c>
      <c r="AK107" s="2945" t="str">
        <f>'Утв.СП 2018г'!H104</f>
        <v>2170,38</v>
      </c>
      <c r="AL107" s="2895">
        <f t="shared" si="2"/>
        <v>2271.4715600263571</v>
      </c>
      <c r="AM107" s="2853">
        <f>IFERROR(AJ107/AL107,"")</f>
        <v>0.99595722332157743</v>
      </c>
      <c r="AN107" s="2338"/>
      <c r="AO107" s="2338"/>
      <c r="AP107" s="2338"/>
      <c r="AQ107" s="2338"/>
      <c r="AR107" s="2338"/>
      <c r="AS107" s="2338"/>
      <c r="AT107" s="2338"/>
      <c r="AU107" s="2338"/>
      <c r="AV107" s="2338"/>
      <c r="AW107" s="2338"/>
      <c r="AX107" s="2338"/>
      <c r="AY107" s="2338"/>
      <c r="AZ107" s="2338"/>
      <c r="BA107" s="2338"/>
      <c r="BB107" s="2338"/>
      <c r="BC107" s="2338"/>
      <c r="BD107" s="2338"/>
      <c r="BE107" s="2338"/>
      <c r="BF107" s="2338"/>
      <c r="BG107" s="2338"/>
      <c r="BH107" s="2338"/>
      <c r="BI107" s="2338"/>
      <c r="BJ107" s="2338"/>
      <c r="BK107" s="2338"/>
      <c r="BL107" s="2338"/>
      <c r="BM107" s="2338"/>
      <c r="BN107" s="2338"/>
      <c r="BO107" s="2338"/>
      <c r="BP107" s="2338"/>
      <c r="BQ107" s="2338"/>
      <c r="BR107" s="2338"/>
      <c r="BS107" s="2338"/>
      <c r="BT107" s="2338"/>
      <c r="BU107" s="2338"/>
      <c r="BV107" s="2338"/>
      <c r="BW107" s="2338"/>
      <c r="BX107" s="2338"/>
      <c r="BY107" s="2338"/>
      <c r="BZ107" s="2338"/>
      <c r="CA107" s="2338"/>
      <c r="CB107" s="2338"/>
      <c r="CC107" s="2338"/>
      <c r="CD107" s="2338"/>
      <c r="CE107" s="2338"/>
      <c r="CF107" s="2338"/>
      <c r="CG107" s="2338"/>
      <c r="CH107" s="2338"/>
      <c r="CI107" s="2338"/>
      <c r="CJ107" s="2338"/>
      <c r="CK107" s="2338"/>
      <c r="CL107" s="2338"/>
      <c r="CM107" s="2338"/>
      <c r="CN107" s="2338"/>
      <c r="CO107" s="2338"/>
      <c r="CP107" s="2338"/>
      <c r="CQ107" s="2338"/>
      <c r="CR107" s="2338"/>
      <c r="CS107" s="2338"/>
      <c r="CT107" s="2338"/>
      <c r="CU107" s="2338"/>
      <c r="CV107" s="2338"/>
      <c r="CW107" s="2338"/>
      <c r="CX107" s="2338"/>
      <c r="CY107" s="2338"/>
      <c r="CZ107" s="2338"/>
      <c r="DA107" s="2338"/>
      <c r="DB107" s="2338"/>
      <c r="DC107" s="2338"/>
      <c r="DD107" s="2338"/>
      <c r="DE107" s="2338"/>
      <c r="DF107" s="2338"/>
      <c r="DG107" s="2338"/>
      <c r="DH107" s="2338"/>
      <c r="DI107" s="2338"/>
      <c r="DJ107" s="2338"/>
    </row>
    <row r="108" spans="1:114" hidden="1" outlineLevel="1">
      <c r="A108" s="3217"/>
      <c r="B108" s="3210"/>
      <c r="C108" s="3208"/>
      <c r="D108" s="3210"/>
      <c r="E108" s="3029"/>
      <c r="F108" s="2979" t="s">
        <v>3862</v>
      </c>
      <c r="G108" s="3637"/>
      <c r="H108" s="3673"/>
      <c r="I108" s="3673"/>
      <c r="J108" s="3673"/>
      <c r="K108" s="3673"/>
      <c r="L108" s="3673"/>
      <c r="M108" s="3673"/>
      <c r="N108" s="3673"/>
      <c r="O108" s="3673"/>
      <c r="P108" s="3673"/>
      <c r="Q108" s="3673"/>
      <c r="R108" s="3673"/>
      <c r="S108" s="3673"/>
      <c r="T108" s="3673"/>
      <c r="U108" s="3673"/>
      <c r="V108" s="2802" t="str">
        <f>'Приложение 1'!V109</f>
        <v/>
      </c>
      <c r="W108" s="2802" t="str">
        <f>'Приложение 1'!W109</f>
        <v/>
      </c>
      <c r="X108" s="2802" t="str">
        <f>'Приложение 1'!X109</f>
        <v/>
      </c>
      <c r="Y108" s="2802" t="str">
        <f>'Приложение 1'!Y109</f>
        <v/>
      </c>
      <c r="Z108" s="2937"/>
      <c r="AA108" s="2937"/>
      <c r="AB108" s="2937"/>
      <c r="AC108" s="2937"/>
      <c r="AD108" s="2937" t="str">
        <f>'Приложение 1'!AD109</f>
        <v/>
      </c>
      <c r="AE108" s="2937" t="str">
        <f>'Приложение 1'!AE109</f>
        <v/>
      </c>
      <c r="AF108" s="2937" t="str">
        <f>'Приложение 1'!AF109</f>
        <v/>
      </c>
      <c r="AG108" s="2937"/>
      <c r="AH108" s="2937"/>
      <c r="AI108" s="2937"/>
      <c r="AJ108" s="2937" t="str">
        <f>'Приложение 1'!AJ109</f>
        <v/>
      </c>
      <c r="AK108" s="2945"/>
      <c r="AL108" s="2895">
        <f t="shared" si="2"/>
        <v>0</v>
      </c>
      <c r="AM108" s="2566" t="str">
        <f t="shared" si="3"/>
        <v/>
      </c>
      <c r="AN108" s="2338"/>
      <c r="AO108" s="2338"/>
      <c r="AP108" s="2338"/>
      <c r="AQ108" s="2338"/>
      <c r="AR108" s="2338"/>
      <c r="AS108" s="2338"/>
      <c r="AT108" s="2338"/>
      <c r="AU108" s="2338"/>
      <c r="AV108" s="2338"/>
      <c r="AW108" s="2338"/>
      <c r="AX108" s="2338"/>
      <c r="AY108" s="2338"/>
      <c r="AZ108" s="2338"/>
      <c r="BA108" s="2338"/>
      <c r="BB108" s="2338"/>
      <c r="BC108" s="2338"/>
      <c r="BD108" s="2338"/>
      <c r="BE108" s="2338"/>
      <c r="BF108" s="2338"/>
      <c r="BG108" s="2338"/>
      <c r="BH108" s="2338"/>
      <c r="BI108" s="2338"/>
      <c r="BJ108" s="2338"/>
      <c r="BK108" s="2338"/>
      <c r="BL108" s="2338"/>
      <c r="BM108" s="2338"/>
      <c r="BN108" s="2338"/>
      <c r="BO108" s="2338"/>
      <c r="BP108" s="2338"/>
      <c r="BQ108" s="2338"/>
      <c r="BR108" s="2338"/>
      <c r="BS108" s="2338"/>
      <c r="BT108" s="2338"/>
      <c r="BU108" s="2338"/>
      <c r="BV108" s="2338"/>
      <c r="BW108" s="2338"/>
      <c r="BX108" s="2338"/>
      <c r="BY108" s="2338"/>
      <c r="BZ108" s="2338"/>
      <c r="CA108" s="2338"/>
      <c r="CB108" s="2338"/>
      <c r="CC108" s="2338"/>
      <c r="CD108" s="2338"/>
      <c r="CE108" s="2338"/>
      <c r="CF108" s="2338"/>
      <c r="CG108" s="2338"/>
      <c r="CH108" s="2338"/>
      <c r="CI108" s="2338"/>
      <c r="CJ108" s="2338"/>
      <c r="CK108" s="2338"/>
      <c r="CL108" s="2338"/>
      <c r="CM108" s="2338"/>
      <c r="CN108" s="2338"/>
      <c r="CO108" s="2338"/>
      <c r="CP108" s="2338"/>
      <c r="CQ108" s="2338"/>
      <c r="CR108" s="2338"/>
      <c r="CS108" s="2338"/>
      <c r="CT108" s="2338"/>
      <c r="CU108" s="2338"/>
      <c r="CV108" s="2338"/>
      <c r="CW108" s="2338"/>
      <c r="CX108" s="2338"/>
      <c r="CY108" s="2338"/>
      <c r="CZ108" s="2338"/>
      <c r="DA108" s="2338"/>
      <c r="DB108" s="2338"/>
      <c r="DC108" s="2338"/>
      <c r="DD108" s="2338"/>
      <c r="DE108" s="2338"/>
      <c r="DF108" s="2338"/>
      <c r="DG108" s="2338"/>
      <c r="DH108" s="2338"/>
      <c r="DI108" s="2338"/>
      <c r="DJ108" s="2338"/>
    </row>
    <row r="109" spans="1:114" hidden="1" outlineLevel="1">
      <c r="A109" s="3217"/>
      <c r="B109" s="3210"/>
      <c r="C109" s="3208"/>
      <c r="D109" s="3210"/>
      <c r="E109" s="3029"/>
      <c r="F109" s="2979" t="s">
        <v>3863</v>
      </c>
      <c r="G109" s="3637"/>
      <c r="H109" s="3673"/>
      <c r="I109" s="3673"/>
      <c r="J109" s="3673"/>
      <c r="K109" s="3673"/>
      <c r="L109" s="3673"/>
      <c r="M109" s="3673"/>
      <c r="N109" s="3673"/>
      <c r="O109" s="3673"/>
      <c r="P109" s="3673"/>
      <c r="Q109" s="3673"/>
      <c r="R109" s="3673"/>
      <c r="S109" s="3673"/>
      <c r="T109" s="3673"/>
      <c r="U109" s="3673"/>
      <c r="V109" s="2802" t="str">
        <f>'Приложение 1'!V110</f>
        <v/>
      </c>
      <c r="W109" s="2802" t="str">
        <f>'Приложение 1'!W110</f>
        <v/>
      </c>
      <c r="X109" s="2802" t="str">
        <f>'Приложение 1'!X110</f>
        <v/>
      </c>
      <c r="Y109" s="2802" t="str">
        <f>'Приложение 1'!Y110</f>
        <v/>
      </c>
      <c r="Z109" s="2937"/>
      <c r="AA109" s="2937"/>
      <c r="AB109" s="2937"/>
      <c r="AC109" s="2937"/>
      <c r="AD109" s="2937" t="str">
        <f>'Приложение 1'!AD110</f>
        <v/>
      </c>
      <c r="AE109" s="2937" t="str">
        <f>'Приложение 1'!AE110</f>
        <v/>
      </c>
      <c r="AF109" s="2937" t="str">
        <f>'Приложение 1'!AF110</f>
        <v/>
      </c>
      <c r="AG109" s="2937"/>
      <c r="AH109" s="2937"/>
      <c r="AI109" s="2937"/>
      <c r="AJ109" s="2937" t="str">
        <f>'Приложение 1'!AJ110</f>
        <v/>
      </c>
      <c r="AK109" s="2945"/>
      <c r="AL109" s="2895">
        <f t="shared" si="2"/>
        <v>0</v>
      </c>
      <c r="AM109" s="2566" t="str">
        <f t="shared" si="3"/>
        <v/>
      </c>
      <c r="AN109" s="2338"/>
      <c r="AO109" s="2338"/>
      <c r="AP109" s="2338"/>
      <c r="AQ109" s="2338"/>
      <c r="AR109" s="2338"/>
      <c r="AS109" s="2338"/>
      <c r="AT109" s="2338"/>
      <c r="AU109" s="2338"/>
      <c r="AV109" s="2338"/>
      <c r="AW109" s="2338"/>
      <c r="AX109" s="2338"/>
      <c r="AY109" s="2338"/>
      <c r="AZ109" s="2338"/>
      <c r="BA109" s="2338"/>
      <c r="BB109" s="2338"/>
      <c r="BC109" s="2338"/>
      <c r="BD109" s="2338"/>
      <c r="BE109" s="2338"/>
      <c r="BF109" s="2338"/>
      <c r="BG109" s="2338"/>
      <c r="BH109" s="2338"/>
      <c r="BI109" s="2338"/>
      <c r="BJ109" s="2338"/>
      <c r="BK109" s="2338"/>
      <c r="BL109" s="2338"/>
      <c r="BM109" s="2338"/>
      <c r="BN109" s="2338"/>
      <c r="BO109" s="2338"/>
      <c r="BP109" s="2338"/>
      <c r="BQ109" s="2338"/>
      <c r="BR109" s="2338"/>
      <c r="BS109" s="2338"/>
      <c r="BT109" s="2338"/>
      <c r="BU109" s="2338"/>
      <c r="BV109" s="2338"/>
      <c r="BW109" s="2338"/>
      <c r="BX109" s="2338"/>
      <c r="BY109" s="2338"/>
      <c r="BZ109" s="2338"/>
      <c r="CA109" s="2338"/>
      <c r="CB109" s="2338"/>
      <c r="CC109" s="2338"/>
      <c r="CD109" s="2338"/>
      <c r="CE109" s="2338"/>
      <c r="CF109" s="2338"/>
      <c r="CG109" s="2338"/>
      <c r="CH109" s="2338"/>
      <c r="CI109" s="2338"/>
      <c r="CJ109" s="2338"/>
      <c r="CK109" s="2338"/>
      <c r="CL109" s="2338"/>
      <c r="CM109" s="2338"/>
      <c r="CN109" s="2338"/>
      <c r="CO109" s="2338"/>
      <c r="CP109" s="2338"/>
      <c r="CQ109" s="2338"/>
      <c r="CR109" s="2338"/>
      <c r="CS109" s="2338"/>
      <c r="CT109" s="2338"/>
      <c r="CU109" s="2338"/>
      <c r="CV109" s="2338"/>
      <c r="CW109" s="2338"/>
      <c r="CX109" s="2338"/>
      <c r="CY109" s="2338"/>
      <c r="CZ109" s="2338"/>
      <c r="DA109" s="2338"/>
      <c r="DB109" s="2338"/>
      <c r="DC109" s="2338"/>
      <c r="DD109" s="2338"/>
      <c r="DE109" s="2338"/>
      <c r="DF109" s="2338"/>
      <c r="DG109" s="2338"/>
      <c r="DH109" s="2338"/>
      <c r="DI109" s="2338"/>
      <c r="DJ109" s="2338"/>
    </row>
    <row r="110" spans="1:114" hidden="1" outlineLevel="1">
      <c r="A110" s="3217"/>
      <c r="B110" s="3210"/>
      <c r="C110" s="3208"/>
      <c r="D110" s="3210"/>
      <c r="E110" s="3029"/>
      <c r="F110" s="2980" t="s">
        <v>3864</v>
      </c>
      <c r="G110" s="3637"/>
      <c r="H110" s="3673"/>
      <c r="I110" s="3673"/>
      <c r="J110" s="3673"/>
      <c r="K110" s="3673"/>
      <c r="L110" s="3673"/>
      <c r="M110" s="3673"/>
      <c r="N110" s="3673"/>
      <c r="O110" s="3673"/>
      <c r="P110" s="3673"/>
      <c r="Q110" s="3673"/>
      <c r="R110" s="3673"/>
      <c r="S110" s="3673"/>
      <c r="T110" s="3673"/>
      <c r="U110" s="3673"/>
      <c r="V110" s="2802" t="str">
        <f>'Приложение 1'!V111</f>
        <v/>
      </c>
      <c r="W110" s="2802" t="str">
        <f>'Приложение 1'!W111</f>
        <v/>
      </c>
      <c r="X110" s="2802" t="str">
        <f>'Приложение 1'!X111</f>
        <v/>
      </c>
      <c r="Y110" s="2802" t="str">
        <f>'Приложение 1'!Y111</f>
        <v/>
      </c>
      <c r="Z110" s="2937"/>
      <c r="AA110" s="2937"/>
      <c r="AB110" s="2937"/>
      <c r="AC110" s="2937"/>
      <c r="AD110" s="2937" t="str">
        <f>'Приложение 1'!AD111</f>
        <v/>
      </c>
      <c r="AE110" s="2937" t="str">
        <f>'Приложение 1'!AE111</f>
        <v/>
      </c>
      <c r="AF110" s="2937" t="str">
        <f>'Приложение 1'!AF111</f>
        <v/>
      </c>
      <c r="AG110" s="2937"/>
      <c r="AH110" s="2937"/>
      <c r="AI110" s="2937"/>
      <c r="AJ110" s="2937" t="str">
        <f>'Приложение 1'!AJ111</f>
        <v/>
      </c>
      <c r="AK110" s="2945"/>
      <c r="AL110" s="2895">
        <f t="shared" si="2"/>
        <v>0</v>
      </c>
      <c r="AM110" s="2566" t="str">
        <f t="shared" si="3"/>
        <v/>
      </c>
      <c r="AN110" s="2338"/>
      <c r="AO110" s="2338"/>
      <c r="AP110" s="2338"/>
      <c r="AQ110" s="2338"/>
      <c r="AR110" s="2338"/>
      <c r="AS110" s="2338"/>
      <c r="AT110" s="2338"/>
      <c r="AU110" s="2338"/>
      <c r="AV110" s="2338"/>
      <c r="AW110" s="2338"/>
      <c r="AX110" s="2338"/>
      <c r="AY110" s="2338"/>
      <c r="AZ110" s="2338"/>
      <c r="BA110" s="2338"/>
      <c r="BB110" s="2338"/>
      <c r="BC110" s="2338"/>
      <c r="BD110" s="2338"/>
      <c r="BE110" s="2338"/>
      <c r="BF110" s="2338"/>
      <c r="BG110" s="2338"/>
      <c r="BH110" s="2338"/>
      <c r="BI110" s="2338"/>
      <c r="BJ110" s="2338"/>
      <c r="BK110" s="2338"/>
      <c r="BL110" s="2338"/>
      <c r="BM110" s="2338"/>
      <c r="BN110" s="2338"/>
      <c r="BO110" s="2338"/>
      <c r="BP110" s="2338"/>
      <c r="BQ110" s="2338"/>
      <c r="BR110" s="2338"/>
      <c r="BS110" s="2338"/>
      <c r="BT110" s="2338"/>
      <c r="BU110" s="2338"/>
      <c r="BV110" s="2338"/>
      <c r="BW110" s="2338"/>
      <c r="BX110" s="2338"/>
      <c r="BY110" s="2338"/>
      <c r="BZ110" s="2338"/>
      <c r="CA110" s="2338"/>
      <c r="CB110" s="2338"/>
      <c r="CC110" s="2338"/>
      <c r="CD110" s="2338"/>
      <c r="CE110" s="2338"/>
      <c r="CF110" s="2338"/>
      <c r="CG110" s="2338"/>
      <c r="CH110" s="2338"/>
      <c r="CI110" s="2338"/>
      <c r="CJ110" s="2338"/>
      <c r="CK110" s="2338"/>
      <c r="CL110" s="2338"/>
      <c r="CM110" s="2338"/>
      <c r="CN110" s="2338"/>
      <c r="CO110" s="2338"/>
      <c r="CP110" s="2338"/>
      <c r="CQ110" s="2338"/>
      <c r="CR110" s="2338"/>
      <c r="CS110" s="2338"/>
      <c r="CT110" s="2338"/>
      <c r="CU110" s="2338"/>
      <c r="CV110" s="2338"/>
      <c r="CW110" s="2338"/>
      <c r="CX110" s="2338"/>
      <c r="CY110" s="2338"/>
      <c r="CZ110" s="2338"/>
      <c r="DA110" s="2338"/>
      <c r="DB110" s="2338"/>
      <c r="DC110" s="2338"/>
      <c r="DD110" s="2338"/>
      <c r="DE110" s="2338"/>
      <c r="DF110" s="2338"/>
      <c r="DG110" s="2338"/>
      <c r="DH110" s="2338"/>
      <c r="DI110" s="2338"/>
      <c r="DJ110" s="2338"/>
    </row>
    <row r="111" spans="1:114" hidden="1" outlineLevel="1">
      <c r="A111" s="3217"/>
      <c r="B111" s="3210"/>
      <c r="C111" s="3208"/>
      <c r="D111" s="3210"/>
      <c r="E111" s="3029"/>
      <c r="F111" s="2980" t="s">
        <v>3865</v>
      </c>
      <c r="G111" s="3637"/>
      <c r="H111" s="3673"/>
      <c r="I111" s="3673"/>
      <c r="J111" s="3673"/>
      <c r="K111" s="3673"/>
      <c r="L111" s="3673"/>
      <c r="M111" s="3673"/>
      <c r="N111" s="3673"/>
      <c r="O111" s="3673"/>
      <c r="P111" s="3673"/>
      <c r="Q111" s="3673"/>
      <c r="R111" s="3673"/>
      <c r="S111" s="3673"/>
      <c r="T111" s="3673"/>
      <c r="U111" s="3673"/>
      <c r="V111" s="2802" t="str">
        <f>'Приложение 1'!V112</f>
        <v/>
      </c>
      <c r="W111" s="2802" t="str">
        <f>'Приложение 1'!W112</f>
        <v/>
      </c>
      <c r="X111" s="2802" t="str">
        <f>'Приложение 1'!X112</f>
        <v/>
      </c>
      <c r="Y111" s="2802" t="str">
        <f>'Приложение 1'!Y112</f>
        <v/>
      </c>
      <c r="Z111" s="2937"/>
      <c r="AA111" s="2937"/>
      <c r="AB111" s="2937"/>
      <c r="AC111" s="2937"/>
      <c r="AD111" s="2937" t="str">
        <f>'Приложение 1'!AD112</f>
        <v/>
      </c>
      <c r="AE111" s="2937" t="str">
        <f>'Приложение 1'!AE112</f>
        <v/>
      </c>
      <c r="AF111" s="2937" t="str">
        <f>'Приложение 1'!AF112</f>
        <v/>
      </c>
      <c r="AG111" s="2937"/>
      <c r="AH111" s="2937"/>
      <c r="AI111" s="2937"/>
      <c r="AJ111" s="2937" t="str">
        <f>'Приложение 1'!AJ112</f>
        <v/>
      </c>
      <c r="AK111" s="2945"/>
      <c r="AL111" s="2895">
        <f t="shared" si="2"/>
        <v>0</v>
      </c>
      <c r="AM111" s="2566" t="str">
        <f t="shared" si="3"/>
        <v/>
      </c>
      <c r="AN111" s="2338"/>
      <c r="AO111" s="2338"/>
      <c r="AP111" s="2338"/>
      <c r="AQ111" s="2338"/>
      <c r="AR111" s="2338"/>
      <c r="AS111" s="2338"/>
      <c r="AT111" s="2338"/>
      <c r="AU111" s="2338"/>
      <c r="AV111" s="2338"/>
      <c r="AW111" s="2338"/>
      <c r="AX111" s="2338"/>
      <c r="AY111" s="2338"/>
      <c r="AZ111" s="2338"/>
      <c r="BA111" s="2338"/>
      <c r="BB111" s="2338"/>
      <c r="BC111" s="2338"/>
      <c r="BD111" s="2338"/>
      <c r="BE111" s="2338"/>
      <c r="BF111" s="2338"/>
      <c r="BG111" s="2338"/>
      <c r="BH111" s="2338"/>
      <c r="BI111" s="2338"/>
      <c r="BJ111" s="2338"/>
      <c r="BK111" s="2338"/>
      <c r="BL111" s="2338"/>
      <c r="BM111" s="2338"/>
      <c r="BN111" s="2338"/>
      <c r="BO111" s="2338"/>
      <c r="BP111" s="2338"/>
      <c r="BQ111" s="2338"/>
      <c r="BR111" s="2338"/>
      <c r="BS111" s="2338"/>
      <c r="BT111" s="2338"/>
      <c r="BU111" s="2338"/>
      <c r="BV111" s="2338"/>
      <c r="BW111" s="2338"/>
      <c r="BX111" s="2338"/>
      <c r="BY111" s="2338"/>
      <c r="BZ111" s="2338"/>
      <c r="CA111" s="2338"/>
      <c r="CB111" s="2338"/>
      <c r="CC111" s="2338"/>
      <c r="CD111" s="2338"/>
      <c r="CE111" s="2338"/>
      <c r="CF111" s="2338"/>
      <c r="CG111" s="2338"/>
      <c r="CH111" s="2338"/>
      <c r="CI111" s="2338"/>
      <c r="CJ111" s="2338"/>
      <c r="CK111" s="2338"/>
      <c r="CL111" s="2338"/>
      <c r="CM111" s="2338"/>
      <c r="CN111" s="2338"/>
      <c r="CO111" s="2338"/>
      <c r="CP111" s="2338"/>
      <c r="CQ111" s="2338"/>
      <c r="CR111" s="2338"/>
      <c r="CS111" s="2338"/>
      <c r="CT111" s="2338"/>
      <c r="CU111" s="2338"/>
      <c r="CV111" s="2338"/>
      <c r="CW111" s="2338"/>
      <c r="CX111" s="2338"/>
      <c r="CY111" s="2338"/>
      <c r="CZ111" s="2338"/>
      <c r="DA111" s="2338"/>
      <c r="DB111" s="2338"/>
      <c r="DC111" s="2338"/>
      <c r="DD111" s="2338"/>
      <c r="DE111" s="2338"/>
      <c r="DF111" s="2338"/>
      <c r="DG111" s="2338"/>
      <c r="DH111" s="2338"/>
      <c r="DI111" s="2338"/>
      <c r="DJ111" s="2338"/>
    </row>
    <row r="112" spans="1:114" hidden="1" outlineLevel="1">
      <c r="A112" s="3217"/>
      <c r="B112" s="3210"/>
      <c r="C112" s="3208"/>
      <c r="D112" s="3210"/>
      <c r="E112" s="3209" t="s">
        <v>2946</v>
      </c>
      <c r="F112" s="2979" t="s">
        <v>3860</v>
      </c>
      <c r="G112" s="3637"/>
      <c r="H112" s="3673"/>
      <c r="I112" s="3673"/>
      <c r="J112" s="3673"/>
      <c r="K112" s="3673"/>
      <c r="L112" s="3673"/>
      <c r="M112" s="3673"/>
      <c r="N112" s="3673"/>
      <c r="O112" s="3673"/>
      <c r="P112" s="3673"/>
      <c r="Q112" s="3673"/>
      <c r="R112" s="3673"/>
      <c r="S112" s="3673"/>
      <c r="T112" s="3673"/>
      <c r="U112" s="3673"/>
      <c r="V112" s="2802" t="str">
        <f>'Приложение 1'!V113</f>
        <v/>
      </c>
      <c r="W112" s="2802" t="str">
        <f>'Приложение 1'!W113</f>
        <v/>
      </c>
      <c r="X112" s="2802" t="str">
        <f>'Приложение 1'!X113</f>
        <v/>
      </c>
      <c r="Y112" s="2802" t="str">
        <f>'Приложение 1'!Y113</f>
        <v/>
      </c>
      <c r="Z112" s="2937"/>
      <c r="AA112" s="2937"/>
      <c r="AB112" s="2937"/>
      <c r="AC112" s="2937"/>
      <c r="AD112" s="2937" t="str">
        <f>'Приложение 1'!AD113</f>
        <v/>
      </c>
      <c r="AE112" s="2937" t="str">
        <f>'Приложение 1'!AE113</f>
        <v/>
      </c>
      <c r="AF112" s="2937" t="str">
        <f>'Приложение 1'!AF113</f>
        <v/>
      </c>
      <c r="AG112" s="2937"/>
      <c r="AH112" s="2937"/>
      <c r="AI112" s="2937"/>
      <c r="AJ112" s="2937" t="str">
        <f>'Приложение 1'!AJ113</f>
        <v/>
      </c>
      <c r="AK112" s="2945"/>
      <c r="AL112" s="2895">
        <f t="shared" si="2"/>
        <v>0</v>
      </c>
      <c r="AM112" s="2566" t="str">
        <f t="shared" si="3"/>
        <v/>
      </c>
      <c r="AN112" s="2338"/>
      <c r="AO112" s="2338"/>
      <c r="AP112" s="2338"/>
      <c r="AQ112" s="2338"/>
      <c r="AR112" s="2338"/>
      <c r="AS112" s="2338"/>
      <c r="AT112" s="2338"/>
      <c r="AU112" s="2338"/>
      <c r="AV112" s="2338"/>
      <c r="AW112" s="2338"/>
      <c r="AX112" s="2338"/>
      <c r="AY112" s="2338"/>
      <c r="AZ112" s="2338"/>
      <c r="BA112" s="2338"/>
      <c r="BB112" s="2338"/>
      <c r="BC112" s="2338"/>
      <c r="BD112" s="2338"/>
      <c r="BE112" s="2338"/>
      <c r="BF112" s="2338"/>
      <c r="BG112" s="2338"/>
      <c r="BH112" s="2338"/>
      <c r="BI112" s="2338"/>
      <c r="BJ112" s="2338"/>
      <c r="BK112" s="2338"/>
      <c r="BL112" s="2338"/>
      <c r="BM112" s="2338"/>
      <c r="BN112" s="2338"/>
      <c r="BO112" s="2338"/>
      <c r="BP112" s="2338"/>
      <c r="BQ112" s="2338"/>
      <c r="BR112" s="2338"/>
      <c r="BS112" s="2338"/>
      <c r="BT112" s="2338"/>
      <c r="BU112" s="2338"/>
      <c r="BV112" s="2338"/>
      <c r="BW112" s="2338"/>
      <c r="BX112" s="2338"/>
      <c r="BY112" s="2338"/>
      <c r="BZ112" s="2338"/>
      <c r="CA112" s="2338"/>
      <c r="CB112" s="2338"/>
      <c r="CC112" s="2338"/>
      <c r="CD112" s="2338"/>
      <c r="CE112" s="2338"/>
      <c r="CF112" s="2338"/>
      <c r="CG112" s="2338"/>
      <c r="CH112" s="2338"/>
      <c r="CI112" s="2338"/>
      <c r="CJ112" s="2338"/>
      <c r="CK112" s="2338"/>
      <c r="CL112" s="2338"/>
      <c r="CM112" s="2338"/>
      <c r="CN112" s="2338"/>
      <c r="CO112" s="2338"/>
      <c r="CP112" s="2338"/>
      <c r="CQ112" s="2338"/>
      <c r="CR112" s="2338"/>
      <c r="CS112" s="2338"/>
      <c r="CT112" s="2338"/>
      <c r="CU112" s="2338"/>
      <c r="CV112" s="2338"/>
      <c r="CW112" s="2338"/>
      <c r="CX112" s="2338"/>
      <c r="CY112" s="2338"/>
      <c r="CZ112" s="2338"/>
      <c r="DA112" s="2338"/>
      <c r="DB112" s="2338"/>
      <c r="DC112" s="2338"/>
      <c r="DD112" s="2338"/>
      <c r="DE112" s="2338"/>
      <c r="DF112" s="2338"/>
      <c r="DG112" s="2338"/>
      <c r="DH112" s="2338"/>
      <c r="DI112" s="2338"/>
      <c r="DJ112" s="2338"/>
    </row>
    <row r="113" spans="1:114" hidden="1" outlineLevel="1">
      <c r="A113" s="3217"/>
      <c r="B113" s="3210"/>
      <c r="C113" s="3208"/>
      <c r="D113" s="3210"/>
      <c r="E113" s="3209"/>
      <c r="F113" s="2979" t="s">
        <v>3861</v>
      </c>
      <c r="G113" s="3637"/>
      <c r="H113" s="3673"/>
      <c r="I113" s="3673"/>
      <c r="J113" s="3673"/>
      <c r="K113" s="3673"/>
      <c r="L113" s="3673"/>
      <c r="M113" s="3673"/>
      <c r="N113" s="3673"/>
      <c r="O113" s="3673"/>
      <c r="P113" s="3673"/>
      <c r="Q113" s="3673"/>
      <c r="R113" s="3673"/>
      <c r="S113" s="3673"/>
      <c r="T113" s="3673"/>
      <c r="U113" s="3673"/>
      <c r="V113" s="2802" t="str">
        <f>'Приложение 1'!V114</f>
        <v/>
      </c>
      <c r="W113" s="2802" t="str">
        <f>'Приложение 1'!W114</f>
        <v/>
      </c>
      <c r="X113" s="2802" t="str">
        <f>'Приложение 1'!X114</f>
        <v/>
      </c>
      <c r="Y113" s="2802" t="str">
        <f>'Приложение 1'!Y114</f>
        <v/>
      </c>
      <c r="Z113" s="2937"/>
      <c r="AA113" s="2937"/>
      <c r="AB113" s="2937"/>
      <c r="AC113" s="2937"/>
      <c r="AD113" s="2937" t="str">
        <f>'Приложение 1'!AD114</f>
        <v/>
      </c>
      <c r="AE113" s="2937" t="str">
        <f>'Приложение 1'!AE114</f>
        <v/>
      </c>
      <c r="AF113" s="2937" t="str">
        <f>'Приложение 1'!AF114</f>
        <v/>
      </c>
      <c r="AG113" s="2937"/>
      <c r="AH113" s="2937"/>
      <c r="AI113" s="2937"/>
      <c r="AJ113" s="2937" t="str">
        <f>'Приложение 1'!AJ114</f>
        <v/>
      </c>
      <c r="AK113" s="2945"/>
      <c r="AL113" s="2895">
        <f t="shared" si="2"/>
        <v>0</v>
      </c>
      <c r="AM113" s="2566" t="str">
        <f t="shared" si="3"/>
        <v/>
      </c>
      <c r="AN113" s="2338"/>
      <c r="AO113" s="2338"/>
      <c r="AP113" s="2338"/>
      <c r="AQ113" s="2338"/>
      <c r="AR113" s="2338"/>
      <c r="AS113" s="2338"/>
      <c r="AT113" s="2338"/>
      <c r="AU113" s="2338"/>
      <c r="AV113" s="2338"/>
      <c r="AW113" s="2338"/>
      <c r="AX113" s="2338"/>
      <c r="AY113" s="2338"/>
      <c r="AZ113" s="2338"/>
      <c r="BA113" s="2338"/>
      <c r="BB113" s="2338"/>
      <c r="BC113" s="2338"/>
      <c r="BD113" s="2338"/>
      <c r="BE113" s="2338"/>
      <c r="BF113" s="2338"/>
      <c r="BG113" s="2338"/>
      <c r="BH113" s="2338"/>
      <c r="BI113" s="2338"/>
      <c r="BJ113" s="2338"/>
      <c r="BK113" s="2338"/>
      <c r="BL113" s="2338"/>
      <c r="BM113" s="2338"/>
      <c r="BN113" s="2338"/>
      <c r="BO113" s="2338"/>
      <c r="BP113" s="2338"/>
      <c r="BQ113" s="2338"/>
      <c r="BR113" s="2338"/>
      <c r="BS113" s="2338"/>
      <c r="BT113" s="2338"/>
      <c r="BU113" s="2338"/>
      <c r="BV113" s="2338"/>
      <c r="BW113" s="2338"/>
      <c r="BX113" s="2338"/>
      <c r="BY113" s="2338"/>
      <c r="BZ113" s="2338"/>
      <c r="CA113" s="2338"/>
      <c r="CB113" s="2338"/>
      <c r="CC113" s="2338"/>
      <c r="CD113" s="2338"/>
      <c r="CE113" s="2338"/>
      <c r="CF113" s="2338"/>
      <c r="CG113" s="2338"/>
      <c r="CH113" s="2338"/>
      <c r="CI113" s="2338"/>
      <c r="CJ113" s="2338"/>
      <c r="CK113" s="2338"/>
      <c r="CL113" s="2338"/>
      <c r="CM113" s="2338"/>
      <c r="CN113" s="2338"/>
      <c r="CO113" s="2338"/>
      <c r="CP113" s="2338"/>
      <c r="CQ113" s="2338"/>
      <c r="CR113" s="2338"/>
      <c r="CS113" s="2338"/>
      <c r="CT113" s="2338"/>
      <c r="CU113" s="2338"/>
      <c r="CV113" s="2338"/>
      <c r="CW113" s="2338"/>
      <c r="CX113" s="2338"/>
      <c r="CY113" s="2338"/>
      <c r="CZ113" s="2338"/>
      <c r="DA113" s="2338"/>
      <c r="DB113" s="2338"/>
      <c r="DC113" s="2338"/>
      <c r="DD113" s="2338"/>
      <c r="DE113" s="2338"/>
      <c r="DF113" s="2338"/>
      <c r="DG113" s="2338"/>
      <c r="DH113" s="2338"/>
      <c r="DI113" s="2338"/>
      <c r="DJ113" s="2338"/>
    </row>
    <row r="114" spans="1:114" hidden="1" outlineLevel="1">
      <c r="A114" s="3217"/>
      <c r="B114" s="3210"/>
      <c r="C114" s="3208"/>
      <c r="D114" s="3210"/>
      <c r="E114" s="3209"/>
      <c r="F114" s="2979" t="s">
        <v>3862</v>
      </c>
      <c r="G114" s="3637"/>
      <c r="H114" s="3673"/>
      <c r="I114" s="3673"/>
      <c r="J114" s="3673"/>
      <c r="K114" s="3673"/>
      <c r="L114" s="3673"/>
      <c r="M114" s="3673"/>
      <c r="N114" s="3673"/>
      <c r="O114" s="3673"/>
      <c r="P114" s="3673"/>
      <c r="Q114" s="3673"/>
      <c r="R114" s="3673"/>
      <c r="S114" s="3673"/>
      <c r="T114" s="3673"/>
      <c r="U114" s="3673"/>
      <c r="V114" s="2802" t="str">
        <f>'Приложение 1'!V115</f>
        <v/>
      </c>
      <c r="W114" s="2802" t="str">
        <f>'Приложение 1'!W115</f>
        <v/>
      </c>
      <c r="X114" s="2802" t="str">
        <f>'Приложение 1'!X115</f>
        <v/>
      </c>
      <c r="Y114" s="2802" t="str">
        <f>'Приложение 1'!Y115</f>
        <v/>
      </c>
      <c r="Z114" s="2937"/>
      <c r="AA114" s="2937"/>
      <c r="AB114" s="2937"/>
      <c r="AC114" s="2937"/>
      <c r="AD114" s="2937" t="str">
        <f>'Приложение 1'!AD115</f>
        <v/>
      </c>
      <c r="AE114" s="2937" t="str">
        <f>'Приложение 1'!AE115</f>
        <v/>
      </c>
      <c r="AF114" s="2937" t="str">
        <f>'Приложение 1'!AF115</f>
        <v/>
      </c>
      <c r="AG114" s="2937"/>
      <c r="AH114" s="2937"/>
      <c r="AI114" s="2937"/>
      <c r="AJ114" s="2937" t="str">
        <f>'Приложение 1'!AJ115</f>
        <v/>
      </c>
      <c r="AK114" s="2945"/>
      <c r="AL114" s="2895">
        <f t="shared" si="2"/>
        <v>0</v>
      </c>
      <c r="AM114" s="2566" t="str">
        <f t="shared" si="3"/>
        <v/>
      </c>
      <c r="AN114" s="2338"/>
      <c r="AO114" s="2338"/>
      <c r="AP114" s="2338"/>
      <c r="AQ114" s="2338"/>
      <c r="AR114" s="2338"/>
      <c r="AS114" s="2338"/>
      <c r="AT114" s="2338"/>
      <c r="AU114" s="2338"/>
      <c r="AV114" s="2338"/>
      <c r="AW114" s="2338"/>
      <c r="AX114" s="2338"/>
      <c r="AY114" s="2338"/>
      <c r="AZ114" s="2338"/>
      <c r="BA114" s="2338"/>
      <c r="BB114" s="2338"/>
      <c r="BC114" s="2338"/>
      <c r="BD114" s="2338"/>
      <c r="BE114" s="2338"/>
      <c r="BF114" s="2338"/>
      <c r="BG114" s="2338"/>
      <c r="BH114" s="2338"/>
      <c r="BI114" s="2338"/>
      <c r="BJ114" s="2338"/>
      <c r="BK114" s="2338"/>
      <c r="BL114" s="2338"/>
      <c r="BM114" s="2338"/>
      <c r="BN114" s="2338"/>
      <c r="BO114" s="2338"/>
      <c r="BP114" s="2338"/>
      <c r="BQ114" s="2338"/>
      <c r="BR114" s="2338"/>
      <c r="BS114" s="2338"/>
      <c r="BT114" s="2338"/>
      <c r="BU114" s="2338"/>
      <c r="BV114" s="2338"/>
      <c r="BW114" s="2338"/>
      <c r="BX114" s="2338"/>
      <c r="BY114" s="2338"/>
      <c r="BZ114" s="2338"/>
      <c r="CA114" s="2338"/>
      <c r="CB114" s="2338"/>
      <c r="CC114" s="2338"/>
      <c r="CD114" s="2338"/>
      <c r="CE114" s="2338"/>
      <c r="CF114" s="2338"/>
      <c r="CG114" s="2338"/>
      <c r="CH114" s="2338"/>
      <c r="CI114" s="2338"/>
      <c r="CJ114" s="2338"/>
      <c r="CK114" s="2338"/>
      <c r="CL114" s="2338"/>
      <c r="CM114" s="2338"/>
      <c r="CN114" s="2338"/>
      <c r="CO114" s="2338"/>
      <c r="CP114" s="2338"/>
      <c r="CQ114" s="2338"/>
      <c r="CR114" s="2338"/>
      <c r="CS114" s="2338"/>
      <c r="CT114" s="2338"/>
      <c r="CU114" s="2338"/>
      <c r="CV114" s="2338"/>
      <c r="CW114" s="2338"/>
      <c r="CX114" s="2338"/>
      <c r="CY114" s="2338"/>
      <c r="CZ114" s="2338"/>
      <c r="DA114" s="2338"/>
      <c r="DB114" s="2338"/>
      <c r="DC114" s="2338"/>
      <c r="DD114" s="2338"/>
      <c r="DE114" s="2338"/>
      <c r="DF114" s="2338"/>
      <c r="DG114" s="2338"/>
      <c r="DH114" s="2338"/>
      <c r="DI114" s="2338"/>
      <c r="DJ114" s="2338"/>
    </row>
    <row r="115" spans="1:114" hidden="1" outlineLevel="1">
      <c r="A115" s="3217"/>
      <c r="B115" s="3210"/>
      <c r="C115" s="3208"/>
      <c r="D115" s="3210"/>
      <c r="E115" s="3209"/>
      <c r="F115" s="2979" t="s">
        <v>3863</v>
      </c>
      <c r="G115" s="3637"/>
      <c r="H115" s="3673"/>
      <c r="I115" s="3673"/>
      <c r="J115" s="3673"/>
      <c r="K115" s="3673"/>
      <c r="L115" s="3673"/>
      <c r="M115" s="3673"/>
      <c r="N115" s="3673"/>
      <c r="O115" s="3673"/>
      <c r="P115" s="3673"/>
      <c r="Q115" s="3673"/>
      <c r="R115" s="3673"/>
      <c r="S115" s="3673"/>
      <c r="T115" s="3673"/>
      <c r="U115" s="3673"/>
      <c r="V115" s="2802" t="str">
        <f>'Приложение 1'!V116</f>
        <v/>
      </c>
      <c r="W115" s="2802" t="str">
        <f>'Приложение 1'!W116</f>
        <v/>
      </c>
      <c r="X115" s="2802" t="str">
        <f>'Приложение 1'!X116</f>
        <v/>
      </c>
      <c r="Y115" s="2802" t="str">
        <f>'Приложение 1'!Y116</f>
        <v/>
      </c>
      <c r="Z115" s="2937"/>
      <c r="AA115" s="2937"/>
      <c r="AB115" s="2937"/>
      <c r="AC115" s="2937"/>
      <c r="AD115" s="2937" t="str">
        <f>'Приложение 1'!AD116</f>
        <v/>
      </c>
      <c r="AE115" s="2937" t="str">
        <f>'Приложение 1'!AE116</f>
        <v/>
      </c>
      <c r="AF115" s="2937" t="str">
        <f>'Приложение 1'!AF116</f>
        <v/>
      </c>
      <c r="AG115" s="2937"/>
      <c r="AH115" s="2937"/>
      <c r="AI115" s="2937"/>
      <c r="AJ115" s="2937" t="str">
        <f>'Приложение 1'!AJ116</f>
        <v/>
      </c>
      <c r="AK115" s="2945"/>
      <c r="AL115" s="2895">
        <f t="shared" si="2"/>
        <v>0</v>
      </c>
      <c r="AM115" s="2566" t="str">
        <f t="shared" si="3"/>
        <v/>
      </c>
      <c r="AN115" s="2338"/>
      <c r="AO115" s="2338"/>
      <c r="AP115" s="2338"/>
      <c r="AQ115" s="2338"/>
      <c r="AR115" s="2338"/>
      <c r="AS115" s="2338"/>
      <c r="AT115" s="2338"/>
      <c r="AU115" s="2338"/>
      <c r="AV115" s="2338"/>
      <c r="AW115" s="2338"/>
      <c r="AX115" s="2338"/>
      <c r="AY115" s="2338"/>
      <c r="AZ115" s="2338"/>
      <c r="BA115" s="2338"/>
      <c r="BB115" s="2338"/>
      <c r="BC115" s="2338"/>
      <c r="BD115" s="2338"/>
      <c r="BE115" s="2338"/>
      <c r="BF115" s="2338"/>
      <c r="BG115" s="2338"/>
      <c r="BH115" s="2338"/>
      <c r="BI115" s="2338"/>
      <c r="BJ115" s="2338"/>
      <c r="BK115" s="2338"/>
      <c r="BL115" s="2338"/>
      <c r="BM115" s="2338"/>
      <c r="BN115" s="2338"/>
      <c r="BO115" s="2338"/>
      <c r="BP115" s="2338"/>
      <c r="BQ115" s="2338"/>
      <c r="BR115" s="2338"/>
      <c r="BS115" s="2338"/>
      <c r="BT115" s="2338"/>
      <c r="BU115" s="2338"/>
      <c r="BV115" s="2338"/>
      <c r="BW115" s="2338"/>
      <c r="BX115" s="2338"/>
      <c r="BY115" s="2338"/>
      <c r="BZ115" s="2338"/>
      <c r="CA115" s="2338"/>
      <c r="CB115" s="2338"/>
      <c r="CC115" s="2338"/>
      <c r="CD115" s="2338"/>
      <c r="CE115" s="2338"/>
      <c r="CF115" s="2338"/>
      <c r="CG115" s="2338"/>
      <c r="CH115" s="2338"/>
      <c r="CI115" s="2338"/>
      <c r="CJ115" s="2338"/>
      <c r="CK115" s="2338"/>
      <c r="CL115" s="2338"/>
      <c r="CM115" s="2338"/>
      <c r="CN115" s="2338"/>
      <c r="CO115" s="2338"/>
      <c r="CP115" s="2338"/>
      <c r="CQ115" s="2338"/>
      <c r="CR115" s="2338"/>
      <c r="CS115" s="2338"/>
      <c r="CT115" s="2338"/>
      <c r="CU115" s="2338"/>
      <c r="CV115" s="2338"/>
      <c r="CW115" s="2338"/>
      <c r="CX115" s="2338"/>
      <c r="CY115" s="2338"/>
      <c r="CZ115" s="2338"/>
      <c r="DA115" s="2338"/>
      <c r="DB115" s="2338"/>
      <c r="DC115" s="2338"/>
      <c r="DD115" s="2338"/>
      <c r="DE115" s="2338"/>
      <c r="DF115" s="2338"/>
      <c r="DG115" s="2338"/>
      <c r="DH115" s="2338"/>
      <c r="DI115" s="2338"/>
      <c r="DJ115" s="2338"/>
    </row>
    <row r="116" spans="1:114" hidden="1" outlineLevel="1">
      <c r="A116" s="3217"/>
      <c r="B116" s="3210"/>
      <c r="C116" s="3208"/>
      <c r="D116" s="3210"/>
      <c r="E116" s="3209"/>
      <c r="F116" s="2980" t="s">
        <v>3864</v>
      </c>
      <c r="G116" s="3637"/>
      <c r="H116" s="3673"/>
      <c r="I116" s="3673"/>
      <c r="J116" s="3673"/>
      <c r="K116" s="3673"/>
      <c r="L116" s="3673"/>
      <c r="M116" s="3673"/>
      <c r="N116" s="3673"/>
      <c r="O116" s="3673"/>
      <c r="P116" s="3673"/>
      <c r="Q116" s="3673"/>
      <c r="R116" s="3673"/>
      <c r="S116" s="3673"/>
      <c r="T116" s="3673"/>
      <c r="U116" s="3673"/>
      <c r="V116" s="2802" t="str">
        <f>'Приложение 1'!V117</f>
        <v/>
      </c>
      <c r="W116" s="2802" t="str">
        <f>'Приложение 1'!W117</f>
        <v/>
      </c>
      <c r="X116" s="2802" t="str">
        <f>'Приложение 1'!X117</f>
        <v/>
      </c>
      <c r="Y116" s="2802" t="str">
        <f>'Приложение 1'!Y117</f>
        <v/>
      </c>
      <c r="Z116" s="2937"/>
      <c r="AA116" s="2937"/>
      <c r="AB116" s="2937"/>
      <c r="AC116" s="2937"/>
      <c r="AD116" s="2937" t="str">
        <f>'Приложение 1'!AD117</f>
        <v/>
      </c>
      <c r="AE116" s="2937" t="str">
        <f>'Приложение 1'!AE117</f>
        <v/>
      </c>
      <c r="AF116" s="2937" t="str">
        <f>'Приложение 1'!AF117</f>
        <v/>
      </c>
      <c r="AG116" s="2937"/>
      <c r="AH116" s="2937"/>
      <c r="AI116" s="2937"/>
      <c r="AJ116" s="2937" t="str">
        <f>'Приложение 1'!AJ117</f>
        <v/>
      </c>
      <c r="AK116" s="2945"/>
      <c r="AL116" s="2895">
        <f t="shared" si="2"/>
        <v>0</v>
      </c>
      <c r="AM116" s="2566" t="str">
        <f t="shared" si="3"/>
        <v/>
      </c>
      <c r="AN116" s="2338"/>
      <c r="AO116" s="2338"/>
      <c r="AP116" s="2338"/>
      <c r="AQ116" s="2338"/>
      <c r="AR116" s="2338"/>
      <c r="AS116" s="2338"/>
      <c r="AT116" s="2338"/>
      <c r="AU116" s="2338"/>
      <c r="AV116" s="2338"/>
      <c r="AW116" s="2338"/>
      <c r="AX116" s="2338"/>
      <c r="AY116" s="2338"/>
      <c r="AZ116" s="2338"/>
      <c r="BA116" s="2338"/>
      <c r="BB116" s="2338"/>
      <c r="BC116" s="2338"/>
      <c r="BD116" s="2338"/>
      <c r="BE116" s="2338"/>
      <c r="BF116" s="2338"/>
      <c r="BG116" s="2338"/>
      <c r="BH116" s="2338"/>
      <c r="BI116" s="2338"/>
      <c r="BJ116" s="2338"/>
      <c r="BK116" s="2338"/>
      <c r="BL116" s="2338"/>
      <c r="BM116" s="2338"/>
      <c r="BN116" s="2338"/>
      <c r="BO116" s="2338"/>
      <c r="BP116" s="2338"/>
      <c r="BQ116" s="2338"/>
      <c r="BR116" s="2338"/>
      <c r="BS116" s="2338"/>
      <c r="BT116" s="2338"/>
      <c r="BU116" s="2338"/>
      <c r="BV116" s="2338"/>
      <c r="BW116" s="2338"/>
      <c r="BX116" s="2338"/>
      <c r="BY116" s="2338"/>
      <c r="BZ116" s="2338"/>
      <c r="CA116" s="2338"/>
      <c r="CB116" s="2338"/>
      <c r="CC116" s="2338"/>
      <c r="CD116" s="2338"/>
      <c r="CE116" s="2338"/>
      <c r="CF116" s="2338"/>
      <c r="CG116" s="2338"/>
      <c r="CH116" s="2338"/>
      <c r="CI116" s="2338"/>
      <c r="CJ116" s="2338"/>
      <c r="CK116" s="2338"/>
      <c r="CL116" s="2338"/>
      <c r="CM116" s="2338"/>
      <c r="CN116" s="2338"/>
      <c r="CO116" s="2338"/>
      <c r="CP116" s="2338"/>
      <c r="CQ116" s="2338"/>
      <c r="CR116" s="2338"/>
      <c r="CS116" s="2338"/>
      <c r="CT116" s="2338"/>
      <c r="CU116" s="2338"/>
      <c r="CV116" s="2338"/>
      <c r="CW116" s="2338"/>
      <c r="CX116" s="2338"/>
      <c r="CY116" s="2338"/>
      <c r="CZ116" s="2338"/>
      <c r="DA116" s="2338"/>
      <c r="DB116" s="2338"/>
      <c r="DC116" s="2338"/>
      <c r="DD116" s="2338"/>
      <c r="DE116" s="2338"/>
      <c r="DF116" s="2338"/>
      <c r="DG116" s="2338"/>
      <c r="DH116" s="2338"/>
      <c r="DI116" s="2338"/>
      <c r="DJ116" s="2338"/>
    </row>
    <row r="117" spans="1:114" hidden="1" outlineLevel="1">
      <c r="A117" s="3217"/>
      <c r="B117" s="3210"/>
      <c r="C117" s="3208"/>
      <c r="D117" s="3210"/>
      <c r="E117" s="3209"/>
      <c r="F117" s="2980" t="s">
        <v>3865</v>
      </c>
      <c r="G117" s="3637"/>
      <c r="H117" s="3673"/>
      <c r="I117" s="3673"/>
      <c r="J117" s="3673"/>
      <c r="K117" s="3673"/>
      <c r="L117" s="3673"/>
      <c r="M117" s="3673"/>
      <c r="N117" s="3673"/>
      <c r="O117" s="3673"/>
      <c r="P117" s="3673"/>
      <c r="Q117" s="3673"/>
      <c r="R117" s="3673"/>
      <c r="S117" s="3673"/>
      <c r="T117" s="3673"/>
      <c r="U117" s="3673"/>
      <c r="V117" s="2802" t="str">
        <f>'Приложение 1'!V118</f>
        <v/>
      </c>
      <c r="W117" s="2802" t="str">
        <f>'Приложение 1'!W118</f>
        <v/>
      </c>
      <c r="X117" s="2802" t="str">
        <f>'Приложение 1'!X118</f>
        <v/>
      </c>
      <c r="Y117" s="2802" t="str">
        <f>'Приложение 1'!Y118</f>
        <v/>
      </c>
      <c r="Z117" s="2937"/>
      <c r="AA117" s="2937"/>
      <c r="AB117" s="2937"/>
      <c r="AC117" s="2937"/>
      <c r="AD117" s="2937" t="str">
        <f>'Приложение 1'!AD118</f>
        <v/>
      </c>
      <c r="AE117" s="2937" t="str">
        <f>'Приложение 1'!AE118</f>
        <v/>
      </c>
      <c r="AF117" s="2937" t="str">
        <f>'Приложение 1'!AF118</f>
        <v/>
      </c>
      <c r="AG117" s="2937"/>
      <c r="AH117" s="2937"/>
      <c r="AI117" s="2937"/>
      <c r="AJ117" s="2937" t="str">
        <f>'Приложение 1'!AJ118</f>
        <v/>
      </c>
      <c r="AK117" s="2945"/>
      <c r="AL117" s="2895">
        <f t="shared" si="2"/>
        <v>0</v>
      </c>
      <c r="AM117" s="2566" t="str">
        <f t="shared" si="3"/>
        <v/>
      </c>
      <c r="AN117" s="2338"/>
      <c r="AO117" s="2338"/>
      <c r="AP117" s="2338"/>
      <c r="AQ117" s="2338"/>
      <c r="AR117" s="2338"/>
      <c r="AS117" s="2338"/>
      <c r="AT117" s="2338"/>
      <c r="AU117" s="2338"/>
      <c r="AV117" s="2338"/>
      <c r="AW117" s="2338"/>
      <c r="AX117" s="2338"/>
      <c r="AY117" s="2338"/>
      <c r="AZ117" s="2338"/>
      <c r="BA117" s="2338"/>
      <c r="BB117" s="2338"/>
      <c r="BC117" s="2338"/>
      <c r="BD117" s="2338"/>
      <c r="BE117" s="2338"/>
      <c r="BF117" s="2338"/>
      <c r="BG117" s="2338"/>
      <c r="BH117" s="2338"/>
      <c r="BI117" s="2338"/>
      <c r="BJ117" s="2338"/>
      <c r="BK117" s="2338"/>
      <c r="BL117" s="2338"/>
      <c r="BM117" s="2338"/>
      <c r="BN117" s="2338"/>
      <c r="BO117" s="2338"/>
      <c r="BP117" s="2338"/>
      <c r="BQ117" s="2338"/>
      <c r="BR117" s="2338"/>
      <c r="BS117" s="2338"/>
      <c r="BT117" s="2338"/>
      <c r="BU117" s="2338"/>
      <c r="BV117" s="2338"/>
      <c r="BW117" s="2338"/>
      <c r="BX117" s="2338"/>
      <c r="BY117" s="2338"/>
      <c r="BZ117" s="2338"/>
      <c r="CA117" s="2338"/>
      <c r="CB117" s="2338"/>
      <c r="CC117" s="2338"/>
      <c r="CD117" s="2338"/>
      <c r="CE117" s="2338"/>
      <c r="CF117" s="2338"/>
      <c r="CG117" s="2338"/>
      <c r="CH117" s="2338"/>
      <c r="CI117" s="2338"/>
      <c r="CJ117" s="2338"/>
      <c r="CK117" s="2338"/>
      <c r="CL117" s="2338"/>
      <c r="CM117" s="2338"/>
      <c r="CN117" s="2338"/>
      <c r="CO117" s="2338"/>
      <c r="CP117" s="2338"/>
      <c r="CQ117" s="2338"/>
      <c r="CR117" s="2338"/>
      <c r="CS117" s="2338"/>
      <c r="CT117" s="2338"/>
      <c r="CU117" s="2338"/>
      <c r="CV117" s="2338"/>
      <c r="CW117" s="2338"/>
      <c r="CX117" s="2338"/>
      <c r="CY117" s="2338"/>
      <c r="CZ117" s="2338"/>
      <c r="DA117" s="2338"/>
      <c r="DB117" s="2338"/>
      <c r="DC117" s="2338"/>
      <c r="DD117" s="2338"/>
      <c r="DE117" s="2338"/>
      <c r="DF117" s="2338"/>
      <c r="DG117" s="2338"/>
      <c r="DH117" s="2338"/>
      <c r="DI117" s="2338"/>
      <c r="DJ117" s="2338"/>
    </row>
    <row r="118" spans="1:114" collapsed="1">
      <c r="A118" s="2338"/>
      <c r="B118" s="2338"/>
      <c r="C118" s="2338"/>
      <c r="D118" s="2338"/>
      <c r="E118" s="2338"/>
      <c r="F118" s="3637"/>
      <c r="G118" s="3637"/>
      <c r="H118" s="3766"/>
      <c r="I118" s="3766"/>
      <c r="J118" s="3766"/>
      <c r="K118" s="3766"/>
      <c r="L118" s="3766"/>
      <c r="M118" s="3766"/>
      <c r="N118" s="3766"/>
      <c r="O118" s="3766"/>
      <c r="P118" s="3766"/>
      <c r="Q118" s="3766"/>
      <c r="R118" s="3766"/>
      <c r="S118" s="3766"/>
      <c r="T118" s="3766"/>
      <c r="U118" s="3766"/>
      <c r="V118" s="2338"/>
      <c r="W118" s="2338"/>
      <c r="X118" s="2338"/>
      <c r="Y118" s="2338"/>
      <c r="Z118" s="2338"/>
      <c r="AA118" s="2338"/>
      <c r="AB118" s="2338"/>
      <c r="AC118" s="2338"/>
      <c r="AD118" s="2338"/>
      <c r="AE118" s="2338"/>
      <c r="AF118" s="2338"/>
      <c r="AG118" s="2338"/>
      <c r="AH118" s="2338"/>
      <c r="AI118" s="2338"/>
      <c r="AJ118" s="2338"/>
      <c r="AK118" s="2338"/>
      <c r="AL118" s="2338"/>
      <c r="AM118" s="2338"/>
      <c r="AN118" s="2338"/>
      <c r="AO118" s="2338"/>
      <c r="AP118" s="2338"/>
      <c r="AQ118" s="2338"/>
      <c r="AR118" s="2338"/>
      <c r="AS118" s="2338"/>
      <c r="AT118" s="2338"/>
      <c r="AU118" s="2338"/>
      <c r="AV118" s="2338"/>
      <c r="AW118" s="2338"/>
      <c r="AX118" s="2338"/>
      <c r="AY118" s="2338"/>
      <c r="AZ118" s="2338"/>
      <c r="BA118" s="2338"/>
      <c r="BB118" s="2338"/>
      <c r="BC118" s="2338"/>
      <c r="BD118" s="2338"/>
      <c r="BE118" s="2338"/>
      <c r="BF118" s="2338"/>
      <c r="BG118" s="2338"/>
      <c r="BH118" s="2338"/>
      <c r="BI118" s="2338"/>
      <c r="BJ118" s="2338"/>
      <c r="BK118" s="2338"/>
      <c r="BL118" s="2338"/>
      <c r="BM118" s="2338"/>
      <c r="BN118" s="2338"/>
      <c r="BO118" s="2338"/>
      <c r="BP118" s="2338"/>
      <c r="BQ118" s="2338"/>
      <c r="BR118" s="2338"/>
      <c r="BS118" s="2338"/>
      <c r="BT118" s="2338"/>
      <c r="BU118" s="2338"/>
      <c r="BV118" s="2338"/>
      <c r="BW118" s="2338"/>
      <c r="BX118" s="2338"/>
      <c r="BY118" s="2338"/>
      <c r="BZ118" s="2338"/>
      <c r="CA118" s="2338"/>
      <c r="CB118" s="2338"/>
      <c r="CC118" s="2338"/>
      <c r="CD118" s="2338"/>
      <c r="CE118" s="2338"/>
      <c r="CF118" s="2338"/>
      <c r="CG118" s="2338"/>
      <c r="CH118" s="2338"/>
      <c r="CI118" s="2338"/>
      <c r="CJ118" s="2338"/>
      <c r="CK118" s="2338"/>
      <c r="CL118" s="2338"/>
      <c r="CM118" s="2338"/>
      <c r="CN118" s="2338"/>
      <c r="CO118" s="2338"/>
      <c r="CP118" s="2338"/>
      <c r="CQ118" s="2338"/>
      <c r="CR118" s="2338"/>
      <c r="CS118" s="2338"/>
      <c r="CT118" s="2338"/>
      <c r="CU118" s="2338"/>
      <c r="CV118" s="2338"/>
      <c r="CW118" s="2338"/>
      <c r="CX118" s="2338"/>
      <c r="CY118" s="2338"/>
      <c r="CZ118" s="2338"/>
      <c r="DA118" s="2338"/>
      <c r="DB118" s="2338"/>
      <c r="DC118" s="2338"/>
      <c r="DD118" s="2338"/>
      <c r="DE118" s="2338"/>
      <c r="DF118" s="2338"/>
      <c r="DG118" s="2338"/>
      <c r="DH118" s="2338"/>
      <c r="DI118" s="2338"/>
      <c r="DJ118" s="2338"/>
    </row>
    <row r="119" spans="1:114">
      <c r="A119" s="2338"/>
      <c r="B119" s="2338"/>
      <c r="C119" s="2338"/>
      <c r="D119" s="2338"/>
      <c r="E119" s="2338"/>
      <c r="F119" s="3637"/>
      <c r="G119" s="3637"/>
      <c r="H119" s="2338"/>
      <c r="I119" s="2338"/>
      <c r="J119" s="2338"/>
      <c r="K119" s="2338"/>
      <c r="L119" s="2338"/>
      <c r="M119" s="2338"/>
      <c r="N119" s="2338"/>
      <c r="O119" s="2338"/>
      <c r="P119" s="2338"/>
      <c r="Q119" s="2338"/>
      <c r="R119" s="2338"/>
      <c r="S119" s="2338"/>
      <c r="T119" s="2338"/>
      <c r="U119" s="2338"/>
      <c r="V119" s="2338"/>
      <c r="W119" s="2338"/>
      <c r="X119" s="2338"/>
      <c r="Y119" s="2338"/>
      <c r="Z119" s="2338"/>
      <c r="AA119" s="2338"/>
      <c r="AB119" s="2338"/>
      <c r="AC119" s="2338"/>
      <c r="AD119" s="2338"/>
      <c r="AE119" s="2338"/>
      <c r="AF119" s="2338"/>
      <c r="AG119" s="2338"/>
      <c r="AH119" s="2338"/>
      <c r="AI119" s="2338"/>
      <c r="AJ119" s="2338"/>
      <c r="AK119" s="2338"/>
      <c r="AL119" s="2338"/>
      <c r="AM119" s="2338"/>
      <c r="AN119" s="2338"/>
      <c r="AO119" s="2338"/>
      <c r="AP119" s="2338"/>
      <c r="AQ119" s="2338"/>
      <c r="AR119" s="2338"/>
      <c r="AS119" s="2338"/>
      <c r="AT119" s="2338"/>
      <c r="AU119" s="2338"/>
      <c r="AV119" s="2338"/>
      <c r="AW119" s="2338"/>
      <c r="AX119" s="2338"/>
      <c r="AY119" s="2338"/>
      <c r="AZ119" s="2338"/>
      <c r="BA119" s="2338"/>
      <c r="BB119" s="2338"/>
      <c r="BC119" s="2338"/>
      <c r="BD119" s="2338"/>
      <c r="BE119" s="2338"/>
      <c r="BF119" s="2338"/>
      <c r="BG119" s="2338"/>
      <c r="BH119" s="2338"/>
      <c r="BI119" s="2338"/>
      <c r="BJ119" s="2338"/>
      <c r="BK119" s="2338"/>
      <c r="BL119" s="2338"/>
      <c r="BM119" s="2338"/>
      <c r="BN119" s="2338"/>
      <c r="BO119" s="2338"/>
      <c r="BP119" s="2338"/>
      <c r="BQ119" s="2338"/>
      <c r="BR119" s="2338"/>
      <c r="BS119" s="2338"/>
      <c r="BT119" s="2338"/>
      <c r="BU119" s="2338"/>
      <c r="BV119" s="2338"/>
      <c r="BW119" s="2338"/>
      <c r="BX119" s="2338"/>
      <c r="BY119" s="2338"/>
      <c r="BZ119" s="2338"/>
      <c r="CA119" s="2338"/>
      <c r="CB119" s="2338"/>
      <c r="CC119" s="2338"/>
      <c r="CD119" s="2338"/>
      <c r="CE119" s="2338"/>
      <c r="CF119" s="2338"/>
      <c r="CG119" s="2338"/>
      <c r="CH119" s="2338"/>
      <c r="CI119" s="2338"/>
      <c r="CJ119" s="2338"/>
      <c r="CK119" s="2338"/>
      <c r="CL119" s="2338"/>
      <c r="CM119" s="2338"/>
      <c r="CN119" s="2338"/>
      <c r="CO119" s="2338"/>
      <c r="CP119" s="2338"/>
      <c r="CQ119" s="2338"/>
      <c r="CR119" s="2338"/>
      <c r="CS119" s="2338"/>
      <c r="CT119" s="2338"/>
      <c r="CU119" s="2338"/>
      <c r="CV119" s="2338"/>
      <c r="CW119" s="2338"/>
      <c r="CX119" s="2338"/>
      <c r="CY119" s="2338"/>
      <c r="CZ119" s="2338"/>
      <c r="DA119" s="2338"/>
      <c r="DB119" s="2338"/>
      <c r="DC119" s="2338"/>
      <c r="DD119" s="2338"/>
      <c r="DE119" s="2338"/>
      <c r="DF119" s="2338"/>
      <c r="DG119" s="2338"/>
      <c r="DH119" s="2338"/>
      <c r="DI119" s="2338"/>
      <c r="DJ119" s="2338"/>
    </row>
    <row r="120" spans="1:114">
      <c r="A120" s="2338"/>
      <c r="B120" s="2338"/>
      <c r="C120" s="2338"/>
      <c r="D120" s="2338"/>
      <c r="E120" s="2338"/>
      <c r="F120" s="3637"/>
      <c r="G120" s="3637"/>
      <c r="H120" s="2338"/>
      <c r="I120" s="2338"/>
      <c r="J120" s="2338"/>
      <c r="K120" s="2338"/>
      <c r="L120" s="2338"/>
      <c r="M120" s="2338"/>
      <c r="N120" s="2338"/>
      <c r="O120" s="2338"/>
      <c r="P120" s="2338"/>
      <c r="Q120" s="2338"/>
      <c r="R120" s="2338"/>
      <c r="S120" s="2338"/>
      <c r="T120" s="2338"/>
      <c r="U120" s="2338"/>
      <c r="V120" s="2338"/>
      <c r="W120" s="2338"/>
      <c r="X120" s="2338"/>
      <c r="Y120" s="2338"/>
      <c r="Z120" s="2338"/>
      <c r="AA120" s="2338"/>
      <c r="AB120" s="2338"/>
      <c r="AC120" s="2338"/>
      <c r="AD120" s="2338"/>
      <c r="AE120" s="2338"/>
      <c r="AF120" s="2338"/>
      <c r="AG120" s="2338"/>
      <c r="AH120" s="2338"/>
      <c r="AI120" s="2338"/>
      <c r="AJ120" s="2338"/>
      <c r="AK120" s="2338"/>
      <c r="AL120" s="2338"/>
      <c r="AM120" s="2338"/>
      <c r="AN120" s="2338"/>
      <c r="AO120" s="2338"/>
      <c r="AP120" s="2338"/>
      <c r="AQ120" s="2338"/>
      <c r="AR120" s="2338"/>
      <c r="AS120" s="2338"/>
      <c r="AT120" s="2338"/>
      <c r="AU120" s="2338"/>
      <c r="AV120" s="2338"/>
      <c r="AW120" s="2338"/>
      <c r="AX120" s="2338"/>
      <c r="AY120" s="2338"/>
      <c r="AZ120" s="2338"/>
      <c r="BA120" s="2338"/>
      <c r="BB120" s="2338"/>
      <c r="BC120" s="2338"/>
      <c r="BD120" s="2338"/>
      <c r="BE120" s="2338"/>
      <c r="BF120" s="2338"/>
      <c r="BG120" s="2338"/>
      <c r="BH120" s="2338"/>
      <c r="BI120" s="2338"/>
      <c r="BJ120" s="2338"/>
      <c r="BK120" s="2338"/>
      <c r="BL120" s="2338"/>
      <c r="BM120" s="2338"/>
      <c r="BN120" s="2338"/>
      <c r="BO120" s="2338"/>
      <c r="BP120" s="2338"/>
      <c r="BQ120" s="2338"/>
      <c r="BR120" s="2338"/>
      <c r="BS120" s="2338"/>
      <c r="BT120" s="2338"/>
      <c r="BU120" s="2338"/>
      <c r="BV120" s="2338"/>
      <c r="BW120" s="2338"/>
      <c r="BX120" s="2338"/>
      <c r="BY120" s="2338"/>
      <c r="BZ120" s="2338"/>
      <c r="CA120" s="2338"/>
      <c r="CB120" s="2338"/>
      <c r="CC120" s="2338"/>
      <c r="CD120" s="2338"/>
      <c r="CE120" s="2338"/>
      <c r="CF120" s="2338"/>
      <c r="CG120" s="2338"/>
      <c r="CH120" s="2338"/>
      <c r="CI120" s="2338"/>
      <c r="CJ120" s="2338"/>
      <c r="CK120" s="2338"/>
      <c r="CL120" s="2338"/>
      <c r="CM120" s="2338"/>
      <c r="CN120" s="2338"/>
      <c r="CO120" s="2338"/>
      <c r="CP120" s="2338"/>
      <c r="CQ120" s="2338"/>
      <c r="CR120" s="2338"/>
      <c r="CS120" s="2338"/>
      <c r="CT120" s="2338"/>
      <c r="CU120" s="2338"/>
      <c r="CV120" s="2338"/>
      <c r="CW120" s="2338"/>
      <c r="CX120" s="2338"/>
      <c r="CY120" s="2338"/>
      <c r="CZ120" s="2338"/>
      <c r="DA120" s="2338"/>
      <c r="DB120" s="2338"/>
      <c r="DC120" s="2338"/>
      <c r="DD120" s="2338"/>
      <c r="DE120" s="2338"/>
      <c r="DF120" s="2338"/>
      <c r="DG120" s="2338"/>
      <c r="DH120" s="2338"/>
      <c r="DI120" s="2338"/>
      <c r="DJ120" s="2338"/>
    </row>
    <row r="121" spans="1:114">
      <c r="A121" s="2338"/>
      <c r="B121" s="2338"/>
      <c r="C121" s="2338"/>
      <c r="D121" s="2338"/>
      <c r="E121" s="2338"/>
      <c r="F121" s="3637"/>
      <c r="G121" s="3637"/>
      <c r="H121" s="2338"/>
      <c r="I121" s="2338"/>
      <c r="J121" s="2338"/>
      <c r="K121" s="2338"/>
      <c r="L121" s="2338"/>
      <c r="M121" s="2338"/>
      <c r="N121" s="2338"/>
      <c r="O121" s="2338"/>
      <c r="P121" s="2338"/>
      <c r="Q121" s="2338"/>
      <c r="R121" s="2338"/>
      <c r="S121" s="2338"/>
      <c r="T121" s="2338"/>
      <c r="U121" s="2338"/>
      <c r="V121" s="2338"/>
      <c r="W121" s="2338"/>
      <c r="X121" s="2338"/>
      <c r="Y121" s="2338"/>
      <c r="Z121" s="2338"/>
      <c r="AA121" s="2338"/>
      <c r="AB121" s="2338"/>
      <c r="AC121" s="2338"/>
      <c r="AD121" s="2338"/>
      <c r="AE121" s="2338"/>
      <c r="AF121" s="2338"/>
      <c r="AG121" s="2338"/>
      <c r="AH121" s="2338"/>
      <c r="AI121" s="2338"/>
      <c r="AJ121" s="2338"/>
      <c r="AK121" s="2338"/>
      <c r="AL121" s="2338"/>
      <c r="AM121" s="2338"/>
      <c r="AN121" s="2338"/>
      <c r="AO121" s="2338"/>
      <c r="AP121" s="2338"/>
      <c r="AQ121" s="2338"/>
      <c r="AR121" s="2338"/>
      <c r="AS121" s="2338"/>
      <c r="AT121" s="2338"/>
      <c r="AU121" s="2338"/>
      <c r="AV121" s="2338"/>
      <c r="AW121" s="2338"/>
      <c r="AX121" s="2338"/>
      <c r="AY121" s="2338"/>
      <c r="AZ121" s="2338"/>
      <c r="BA121" s="2338"/>
      <c r="BB121" s="2338"/>
      <c r="BC121" s="2338"/>
      <c r="BD121" s="2338"/>
      <c r="BE121" s="2338"/>
      <c r="BF121" s="2338"/>
      <c r="BG121" s="2338"/>
      <c r="BH121" s="2338"/>
      <c r="BI121" s="2338"/>
      <c r="BJ121" s="2338"/>
      <c r="BK121" s="2338"/>
      <c r="BL121" s="2338"/>
      <c r="BM121" s="2338"/>
      <c r="BN121" s="2338"/>
      <c r="BO121" s="2338"/>
      <c r="BP121" s="2338"/>
      <c r="BQ121" s="2338"/>
      <c r="BR121" s="2338"/>
      <c r="BS121" s="2338"/>
      <c r="BT121" s="2338"/>
      <c r="BU121" s="2338"/>
      <c r="BV121" s="2338"/>
      <c r="BW121" s="2338"/>
      <c r="BX121" s="2338"/>
      <c r="BY121" s="2338"/>
      <c r="BZ121" s="2338"/>
      <c r="CA121" s="2338"/>
      <c r="CB121" s="2338"/>
      <c r="CC121" s="2338"/>
      <c r="CD121" s="2338"/>
      <c r="CE121" s="2338"/>
      <c r="CF121" s="2338"/>
      <c r="CG121" s="2338"/>
      <c r="CH121" s="2338"/>
      <c r="CI121" s="2338"/>
      <c r="CJ121" s="2338"/>
      <c r="CK121" s="2338"/>
      <c r="CL121" s="2338"/>
      <c r="CM121" s="2338"/>
      <c r="CN121" s="2338"/>
      <c r="CO121" s="2338"/>
      <c r="CP121" s="2338"/>
      <c r="CQ121" s="2338"/>
      <c r="CR121" s="2338"/>
      <c r="CS121" s="2338"/>
      <c r="CT121" s="2338"/>
      <c r="CU121" s="2338"/>
      <c r="CV121" s="2338"/>
      <c r="CW121" s="2338"/>
      <c r="CX121" s="2338"/>
      <c r="CY121" s="2338"/>
      <c r="CZ121" s="2338"/>
      <c r="DA121" s="2338"/>
      <c r="DB121" s="2338"/>
      <c r="DC121" s="2338"/>
      <c r="DD121" s="2338"/>
      <c r="DE121" s="2338"/>
      <c r="DF121" s="2338"/>
      <c r="DG121" s="2338"/>
      <c r="DH121" s="2338"/>
      <c r="DI121" s="2338"/>
      <c r="DJ121" s="2338"/>
    </row>
    <row r="122" spans="1:114" ht="15.75" thickBot="1">
      <c r="A122" s="2338"/>
      <c r="B122" s="2338"/>
      <c r="C122" s="2338"/>
      <c r="D122" s="2338"/>
      <c r="E122" s="2338"/>
      <c r="F122" s="3637"/>
      <c r="G122" s="3637"/>
      <c r="H122" s="2338"/>
      <c r="I122" s="2338"/>
      <c r="J122" s="2338"/>
      <c r="K122" s="2338"/>
      <c r="L122" s="2338"/>
      <c r="M122" s="2338"/>
      <c r="N122" s="2338"/>
      <c r="O122" s="2338"/>
      <c r="P122" s="2338"/>
      <c r="Q122" s="2338"/>
      <c r="R122" s="2338"/>
      <c r="S122" s="2338"/>
      <c r="T122" s="2338"/>
      <c r="U122" s="2338"/>
      <c r="V122" s="2338"/>
      <c r="W122" s="2338"/>
      <c r="X122" s="2338"/>
      <c r="Y122" s="2338"/>
      <c r="Z122" s="2338"/>
      <c r="AA122" s="2338"/>
      <c r="AB122" s="2338"/>
      <c r="AC122" s="2338"/>
      <c r="AD122" s="2338"/>
      <c r="AE122" s="2338"/>
      <c r="AF122" s="2338"/>
      <c r="AG122" s="2338"/>
      <c r="AH122" s="2338"/>
      <c r="AI122" s="2338"/>
      <c r="AJ122" s="2338"/>
      <c r="AK122" s="2338"/>
      <c r="AL122" s="2338"/>
      <c r="AM122" s="2338"/>
      <c r="AN122" s="2338"/>
      <c r="AO122" s="2338"/>
      <c r="AP122" s="2338"/>
      <c r="AQ122" s="2338"/>
      <c r="AR122" s="2338"/>
      <c r="AS122" s="2338"/>
      <c r="AT122" s="2338"/>
      <c r="AU122" s="2338"/>
      <c r="AV122" s="2338"/>
      <c r="AW122" s="2338"/>
      <c r="AX122" s="2338"/>
      <c r="AY122" s="2338"/>
      <c r="AZ122" s="2338"/>
      <c r="BA122" s="2338"/>
      <c r="BB122" s="2338"/>
      <c r="BC122" s="2338"/>
      <c r="BD122" s="2338"/>
      <c r="BE122" s="2338"/>
      <c r="BF122" s="2338"/>
      <c r="BG122" s="2338"/>
      <c r="BH122" s="2338"/>
      <c r="BI122" s="2338"/>
      <c r="BJ122" s="2338"/>
      <c r="BK122" s="2338"/>
      <c r="BL122" s="2338"/>
      <c r="BM122" s="2338"/>
      <c r="BN122" s="2338"/>
      <c r="BO122" s="2338"/>
      <c r="BP122" s="2338"/>
      <c r="BQ122" s="2338"/>
      <c r="BR122" s="2338"/>
      <c r="BS122" s="2338"/>
      <c r="BT122" s="2338"/>
      <c r="BU122" s="2338"/>
      <c r="BV122" s="2338"/>
      <c r="BW122" s="2338"/>
      <c r="BX122" s="2338"/>
      <c r="BY122" s="2338"/>
      <c r="BZ122" s="2338"/>
      <c r="CA122" s="2338"/>
      <c r="CB122" s="2338"/>
      <c r="CC122" s="2338"/>
      <c r="CD122" s="2338"/>
      <c r="CE122" s="2338"/>
      <c r="CF122" s="2338"/>
      <c r="CG122" s="2338"/>
      <c r="CH122" s="2338"/>
      <c r="CI122" s="2338"/>
      <c r="CJ122" s="2338"/>
      <c r="CK122" s="2338"/>
      <c r="CL122" s="2338"/>
      <c r="CM122" s="2338"/>
      <c r="CN122" s="2338"/>
      <c r="CO122" s="2338"/>
      <c r="CP122" s="2338"/>
      <c r="CQ122" s="2338"/>
      <c r="CR122" s="2338"/>
      <c r="CS122" s="2338"/>
      <c r="CT122" s="2338"/>
      <c r="CU122" s="2338"/>
      <c r="CV122" s="2338"/>
      <c r="CW122" s="2338"/>
      <c r="CX122" s="2338"/>
      <c r="CY122" s="2338"/>
      <c r="CZ122" s="2338"/>
      <c r="DA122" s="2338"/>
      <c r="DB122" s="2338"/>
      <c r="DC122" s="2338"/>
      <c r="DD122" s="2338"/>
      <c r="DE122" s="2338"/>
      <c r="DF122" s="2338"/>
      <c r="DG122" s="2338"/>
      <c r="DH122" s="2338"/>
      <c r="DI122" s="2338"/>
      <c r="DJ122" s="2338"/>
    </row>
    <row r="123" spans="1:114" ht="18.75">
      <c r="A123" s="3217"/>
      <c r="B123" s="3217"/>
      <c r="C123" s="3217"/>
      <c r="D123" s="3217"/>
      <c r="E123" s="3217"/>
      <c r="F123" s="3217"/>
      <c r="G123" s="3646" t="s">
        <v>3903</v>
      </c>
      <c r="H123" s="3646"/>
      <c r="I123" s="3646"/>
      <c r="J123" s="3646"/>
      <c r="K123" s="3646"/>
      <c r="L123" s="3646"/>
      <c r="M123" s="3646"/>
      <c r="N123" s="3646"/>
      <c r="O123" s="3646"/>
      <c r="P123" s="3646"/>
      <c r="Q123" s="3646"/>
      <c r="R123" s="3646"/>
      <c r="S123" s="3646"/>
      <c r="T123" s="3646"/>
      <c r="U123" s="3647"/>
      <c r="V123" s="2502"/>
      <c r="W123" s="2502"/>
      <c r="X123" s="2502"/>
      <c r="Y123" s="2502"/>
      <c r="AN123" s="2338"/>
      <c r="AO123" s="2338"/>
      <c r="AP123" s="2338"/>
      <c r="AQ123" s="2338"/>
      <c r="AR123" s="2338"/>
      <c r="AS123" s="2338"/>
      <c r="AT123" s="2338"/>
      <c r="AU123" s="2338"/>
      <c r="AV123" s="2338"/>
      <c r="AW123" s="2338"/>
      <c r="AX123" s="2338"/>
      <c r="AY123" s="2338"/>
      <c r="AZ123" s="2338"/>
      <c r="BA123" s="2338"/>
      <c r="BB123" s="2338"/>
      <c r="BC123" s="2338"/>
      <c r="BD123" s="2338"/>
      <c r="BE123" s="2338"/>
      <c r="BF123" s="2338"/>
      <c r="BG123" s="2338"/>
      <c r="BH123" s="2338"/>
      <c r="BI123" s="2338"/>
      <c r="BJ123" s="2338"/>
      <c r="BK123" s="2338"/>
      <c r="BL123" s="2338"/>
      <c r="BM123" s="2338"/>
      <c r="BN123" s="2338"/>
      <c r="BO123" s="2338"/>
      <c r="BP123" s="2338"/>
      <c r="BQ123" s="2338"/>
      <c r="BR123" s="2338"/>
      <c r="BS123" s="2338"/>
      <c r="BT123" s="2338"/>
      <c r="BU123" s="2338"/>
      <c r="BV123" s="2338"/>
      <c r="BW123" s="2338"/>
      <c r="BX123" s="2338"/>
      <c r="BY123" s="2338"/>
      <c r="BZ123" s="2338"/>
      <c r="CA123" s="2338"/>
      <c r="CB123" s="2338"/>
      <c r="CC123" s="2338"/>
      <c r="CD123" s="2338"/>
      <c r="CE123" s="2338"/>
      <c r="CF123" s="2338"/>
      <c r="CG123" s="2338"/>
      <c r="CH123" s="2338"/>
      <c r="CI123" s="2338"/>
      <c r="CJ123" s="2338"/>
      <c r="CK123" s="2338"/>
      <c r="CL123" s="2338"/>
      <c r="CM123" s="2338"/>
      <c r="CN123" s="2338"/>
      <c r="CO123" s="2338"/>
      <c r="CP123" s="2338"/>
      <c r="CQ123" s="2338"/>
      <c r="CR123" s="2338"/>
      <c r="CS123" s="2338"/>
      <c r="CT123" s="2338"/>
      <c r="CU123" s="2338"/>
      <c r="CV123" s="2338"/>
      <c r="CW123" s="2338"/>
      <c r="CX123" s="2338"/>
      <c r="CY123" s="2338"/>
      <c r="CZ123" s="2338"/>
      <c r="DA123" s="2338"/>
      <c r="DB123" s="2338"/>
      <c r="DC123" s="2338"/>
      <c r="DD123" s="2338"/>
      <c r="DE123" s="2338"/>
      <c r="DF123" s="2338"/>
      <c r="DG123" s="2338"/>
      <c r="DH123" s="2338"/>
      <c r="DI123" s="2338"/>
      <c r="DJ123" s="2338"/>
    </row>
    <row r="124" spans="1:114" ht="60">
      <c r="A124" s="3208" t="s">
        <v>0</v>
      </c>
      <c r="B124" s="3209" t="s">
        <v>3849</v>
      </c>
      <c r="C124" s="3209" t="s">
        <v>3904</v>
      </c>
      <c r="D124" s="3209" t="s">
        <v>3905</v>
      </c>
      <c r="E124" s="3209" t="s">
        <v>3906</v>
      </c>
      <c r="F124" s="3209" t="s">
        <v>3853</v>
      </c>
      <c r="G124" s="3215" t="s">
        <v>3854</v>
      </c>
      <c r="H124" s="3004" t="s">
        <v>3855</v>
      </c>
      <c r="I124" s="3005"/>
      <c r="J124" s="3005"/>
      <c r="K124" s="3005"/>
      <c r="L124" s="3006"/>
      <c r="M124" s="3004" t="s">
        <v>3856</v>
      </c>
      <c r="N124" s="3005"/>
      <c r="O124" s="3005"/>
      <c r="P124" s="3005"/>
      <c r="Q124" s="3006"/>
      <c r="R124" s="3687" t="s">
        <v>3870</v>
      </c>
      <c r="S124" s="3688"/>
      <c r="T124" s="3688"/>
      <c r="U124" s="3689"/>
      <c r="V124" s="3099" t="s">
        <v>3978</v>
      </c>
      <c r="W124" s="3100"/>
      <c r="X124" s="3100"/>
      <c r="Y124" s="3101"/>
      <c r="Z124" s="3093" t="s">
        <v>3858</v>
      </c>
      <c r="AA124" s="3093"/>
      <c r="AB124" s="3093"/>
      <c r="AC124" s="3093"/>
      <c r="AD124" s="3102" t="s">
        <v>3979</v>
      </c>
      <c r="AE124" s="3103"/>
      <c r="AF124" s="3103"/>
      <c r="AG124" s="3104"/>
      <c r="AH124" s="2779" t="s">
        <v>3980</v>
      </c>
      <c r="AI124" s="2500" t="s">
        <v>3974</v>
      </c>
      <c r="AJ124" s="2500" t="s">
        <v>3975</v>
      </c>
      <c r="AK124" s="2893" t="s">
        <v>4273</v>
      </c>
      <c r="AL124" s="2893" t="s">
        <v>4271</v>
      </c>
      <c r="AM124" s="2893" t="s">
        <v>4272</v>
      </c>
      <c r="AN124" s="2338"/>
      <c r="AO124" s="2338"/>
      <c r="AP124" s="2338"/>
      <c r="AQ124" s="2338"/>
      <c r="AR124" s="2338"/>
      <c r="AS124" s="2338"/>
      <c r="AT124" s="2338"/>
      <c r="AU124" s="2338"/>
      <c r="AV124" s="2338"/>
      <c r="AW124" s="2338"/>
      <c r="AX124" s="2338"/>
      <c r="AY124" s="2338"/>
      <c r="AZ124" s="2338"/>
      <c r="BA124" s="2338"/>
      <c r="BB124" s="2338"/>
      <c r="BC124" s="2338"/>
      <c r="BD124" s="2338"/>
      <c r="BE124" s="2338"/>
      <c r="BF124" s="2338"/>
      <c r="BG124" s="2338"/>
      <c r="BH124" s="2338"/>
      <c r="BI124" s="2338"/>
      <c r="BJ124" s="2338"/>
      <c r="BK124" s="2338"/>
      <c r="BL124" s="2338"/>
      <c r="BM124" s="2338"/>
      <c r="BN124" s="2338"/>
      <c r="BO124" s="2338"/>
      <c r="BP124" s="2338"/>
      <c r="BQ124" s="2338"/>
      <c r="BR124" s="2338"/>
      <c r="BS124" s="2338"/>
      <c r="BT124" s="2338"/>
      <c r="BU124" s="2338"/>
      <c r="BV124" s="2338"/>
      <c r="BW124" s="2338"/>
      <c r="BX124" s="2338"/>
      <c r="BY124" s="2338"/>
      <c r="BZ124" s="2338"/>
      <c r="CA124" s="2338"/>
      <c r="CB124" s="2338"/>
      <c r="CC124" s="2338"/>
      <c r="CD124" s="2338"/>
      <c r="CE124" s="2338"/>
      <c r="CF124" s="2338"/>
      <c r="CG124" s="2338"/>
      <c r="CH124" s="2338"/>
      <c r="CI124" s="2338"/>
      <c r="CJ124" s="2338"/>
      <c r="CK124" s="2338"/>
      <c r="CL124" s="2338"/>
      <c r="CM124" s="2338"/>
      <c r="CN124" s="2338"/>
      <c r="CO124" s="2338"/>
      <c r="CP124" s="2338"/>
      <c r="CQ124" s="2338"/>
      <c r="CR124" s="2338"/>
      <c r="CS124" s="2338"/>
      <c r="CT124" s="2338"/>
      <c r="CU124" s="2338"/>
      <c r="CV124" s="2338"/>
      <c r="CW124" s="2338"/>
      <c r="CX124" s="2338"/>
      <c r="CY124" s="2338"/>
      <c r="CZ124" s="2338"/>
      <c r="DA124" s="2338"/>
      <c r="DB124" s="2338"/>
      <c r="DC124" s="2338"/>
      <c r="DD124" s="2338"/>
      <c r="DE124" s="2338"/>
      <c r="DF124" s="2338"/>
      <c r="DG124" s="2338"/>
      <c r="DH124" s="2338"/>
      <c r="DI124" s="2338"/>
      <c r="DJ124" s="2338"/>
    </row>
    <row r="125" spans="1:114" ht="60.75" thickBot="1">
      <c r="A125" s="3208"/>
      <c r="B125" s="3209"/>
      <c r="C125" s="3209"/>
      <c r="D125" s="3209"/>
      <c r="E125" s="3209"/>
      <c r="F125" s="3209"/>
      <c r="G125" s="3215"/>
      <c r="H125" s="2982">
        <f>H11</f>
        <v>2015</v>
      </c>
      <c r="I125" s="2971">
        <f>I11</f>
        <v>2016</v>
      </c>
      <c r="J125" s="2971">
        <f>J11</f>
        <v>2017</v>
      </c>
      <c r="K125" s="2971" t="str">
        <f>K69</f>
        <v>План (в случае отсутствия факта за 3 года)</v>
      </c>
      <c r="L125" s="2508" t="s">
        <v>2559</v>
      </c>
      <c r="M125" s="2971">
        <f>H125</f>
        <v>2015</v>
      </c>
      <c r="N125" s="2971">
        <f>I125</f>
        <v>2016</v>
      </c>
      <c r="O125" s="2971">
        <f>J125</f>
        <v>2017</v>
      </c>
      <c r="P125" s="2971" t="str">
        <f>P69</f>
        <v>План (в случае отсутствия факта за 3 года)</v>
      </c>
      <c r="Q125" s="2508" t="s">
        <v>2559</v>
      </c>
      <c r="R125" s="2971">
        <f>H125</f>
        <v>2015</v>
      </c>
      <c r="S125" s="2971">
        <f>I125</f>
        <v>2016</v>
      </c>
      <c r="T125" s="2380">
        <f>J125</f>
        <v>2017</v>
      </c>
      <c r="U125" s="2380" t="str">
        <f>U69</f>
        <v>План (в случае отсутствия факта за 3 года)</v>
      </c>
      <c r="V125" s="2496">
        <f>R125</f>
        <v>2015</v>
      </c>
      <c r="W125" s="2496">
        <f>S125</f>
        <v>2016</v>
      </c>
      <c r="X125" s="2496">
        <f>T125</f>
        <v>2017</v>
      </c>
      <c r="Y125" s="2496" t="str">
        <f>U125</f>
        <v>План (в случае отсутствия факта за 3 года)</v>
      </c>
      <c r="Z125" s="2884">
        <v>2016</v>
      </c>
      <c r="AA125" s="2884">
        <v>2017</v>
      </c>
      <c r="AB125" s="2884">
        <v>2018</v>
      </c>
      <c r="AC125" s="2884">
        <v>2019</v>
      </c>
      <c r="AD125" s="2503">
        <f>V125</f>
        <v>2015</v>
      </c>
      <c r="AE125" s="2503">
        <f>W125</f>
        <v>2016</v>
      </c>
      <c r="AF125" s="2503">
        <f>X125</f>
        <v>2017</v>
      </c>
      <c r="AG125" s="2503" t="str">
        <f>Y125</f>
        <v>План (в случае отсутствия факта за 3 года)</v>
      </c>
      <c r="AH125" s="2497" t="s">
        <v>3981</v>
      </c>
      <c r="AI125" s="2505" t="s">
        <v>3976</v>
      </c>
      <c r="AJ125" s="2505" t="s">
        <v>3977</v>
      </c>
      <c r="AK125" s="2889">
        <v>2018</v>
      </c>
      <c r="AL125" s="2890" t="s">
        <v>4265</v>
      </c>
      <c r="AM125" s="2889" t="s">
        <v>4265</v>
      </c>
      <c r="AN125" s="2338"/>
      <c r="AO125" s="2338"/>
      <c r="AP125" s="2338"/>
      <c r="AQ125" s="2338"/>
      <c r="AR125" s="2338"/>
      <c r="AS125" s="2338"/>
      <c r="AT125" s="2338"/>
      <c r="AU125" s="2338"/>
      <c r="AV125" s="2338"/>
      <c r="AW125" s="2338"/>
      <c r="AX125" s="2338"/>
      <c r="AY125" s="2338"/>
      <c r="AZ125" s="2338"/>
      <c r="BA125" s="2338"/>
      <c r="BB125" s="2338"/>
      <c r="BC125" s="2338"/>
      <c r="BD125" s="2338"/>
      <c r="BE125" s="2338"/>
      <c r="BF125" s="2338"/>
      <c r="BG125" s="2338"/>
      <c r="BH125" s="2338"/>
      <c r="BI125" s="2338"/>
      <c r="BJ125" s="2338"/>
      <c r="BK125" s="2338"/>
      <c r="BL125" s="2338"/>
      <c r="BM125" s="2338"/>
      <c r="BN125" s="2338"/>
      <c r="BO125" s="2338"/>
      <c r="BP125" s="2338"/>
      <c r="BQ125" s="2338"/>
      <c r="BR125" s="2338"/>
      <c r="BS125" s="2338"/>
      <c r="BT125" s="2338"/>
      <c r="BU125" s="2338"/>
      <c r="BV125" s="2338"/>
      <c r="BW125" s="2338"/>
      <c r="BX125" s="2338"/>
      <c r="BY125" s="2338"/>
      <c r="BZ125" s="2338"/>
      <c r="CA125" s="2338"/>
      <c r="CB125" s="2338"/>
      <c r="CC125" s="2338"/>
      <c r="CD125" s="2338"/>
      <c r="CE125" s="2338"/>
      <c r="CF125" s="2338"/>
      <c r="CG125" s="2338"/>
      <c r="CH125" s="2338"/>
      <c r="CI125" s="2338"/>
      <c r="CJ125" s="2338"/>
      <c r="CK125" s="2338"/>
      <c r="CL125" s="2338"/>
      <c r="CM125" s="2338"/>
      <c r="CN125" s="2338"/>
      <c r="CO125" s="2338"/>
      <c r="CP125" s="2338"/>
      <c r="CQ125" s="2338"/>
      <c r="CR125" s="2338"/>
      <c r="CS125" s="2338"/>
      <c r="CT125" s="2338"/>
      <c r="CU125" s="2338"/>
      <c r="CV125" s="2338"/>
      <c r="CW125" s="2338"/>
      <c r="CX125" s="2338"/>
      <c r="CY125" s="2338"/>
      <c r="CZ125" s="2338"/>
      <c r="DA125" s="2338"/>
      <c r="DB125" s="2338"/>
      <c r="DC125" s="2338"/>
      <c r="DD125" s="2338"/>
      <c r="DE125" s="2338"/>
      <c r="DF125" s="2338"/>
      <c r="DG125" s="2338"/>
      <c r="DH125" s="2338"/>
      <c r="DI125" s="2338"/>
      <c r="DJ125" s="2338"/>
    </row>
    <row r="126" spans="1:114" ht="15.75" hidden="1" outlineLevel="1" thickBot="1">
      <c r="A126" s="2978">
        <v>1</v>
      </c>
      <c r="B126" s="2978">
        <v>2</v>
      </c>
      <c r="C126" s="3208">
        <v>3</v>
      </c>
      <c r="D126" s="3208"/>
      <c r="E126" s="3208"/>
      <c r="F126" s="3208"/>
      <c r="G126" s="3725">
        <v>4</v>
      </c>
      <c r="H126" s="3656">
        <v>5</v>
      </c>
      <c r="I126" s="3657"/>
      <c r="J126" s="3657"/>
      <c r="K126" s="3658"/>
      <c r="L126" s="3659"/>
      <c r="M126" s="3656">
        <v>6</v>
      </c>
      <c r="N126" s="3657"/>
      <c r="O126" s="3657"/>
      <c r="P126" s="3658"/>
      <c r="Q126" s="3659"/>
      <c r="R126" s="3656">
        <v>7</v>
      </c>
      <c r="S126" s="3657"/>
      <c r="T126" s="3657"/>
      <c r="U126" s="3658"/>
      <c r="V126" s="3022">
        <v>8</v>
      </c>
      <c r="W126" s="3022"/>
      <c r="X126" s="3022"/>
      <c r="Y126" s="2884"/>
      <c r="Z126" s="3022">
        <v>9</v>
      </c>
      <c r="AA126" s="3022"/>
      <c r="AB126" s="3022"/>
      <c r="AC126" s="3022"/>
      <c r="AD126" s="3105">
        <v>10</v>
      </c>
      <c r="AE126" s="3106"/>
      <c r="AF126" s="3106"/>
      <c r="AG126" s="3107"/>
      <c r="AH126" s="2498">
        <v>11</v>
      </c>
      <c r="AI126" s="2498">
        <v>12</v>
      </c>
      <c r="AJ126" s="2499">
        <v>13</v>
      </c>
      <c r="AK126" s="2891">
        <v>10</v>
      </c>
      <c r="AL126" s="2892">
        <v>11</v>
      </c>
      <c r="AM126" s="2891">
        <v>12</v>
      </c>
      <c r="AN126" s="2338"/>
      <c r="AO126" s="2338"/>
      <c r="AP126" s="2338"/>
      <c r="AQ126" s="2338"/>
      <c r="AR126" s="2338"/>
      <c r="AS126" s="2338"/>
      <c r="AT126" s="2338"/>
      <c r="AU126" s="2338"/>
      <c r="AV126" s="2338"/>
      <c r="AW126" s="2338"/>
      <c r="AX126" s="2338"/>
      <c r="AY126" s="2338"/>
      <c r="AZ126" s="2338"/>
      <c r="BA126" s="2338"/>
      <c r="BB126" s="2338"/>
      <c r="BC126" s="2338"/>
      <c r="BD126" s="2338"/>
      <c r="BE126" s="2338"/>
      <c r="BF126" s="2338"/>
      <c r="BG126" s="2338"/>
      <c r="BH126" s="2338"/>
      <c r="BI126" s="2338"/>
      <c r="BJ126" s="2338"/>
      <c r="BK126" s="2338"/>
      <c r="BL126" s="2338"/>
      <c r="BM126" s="2338"/>
      <c r="BN126" s="2338"/>
      <c r="BO126" s="2338"/>
      <c r="BP126" s="2338"/>
      <c r="BQ126" s="2338"/>
      <c r="BR126" s="2338"/>
      <c r="BS126" s="2338"/>
      <c r="BT126" s="2338"/>
      <c r="BU126" s="2338"/>
      <c r="BV126" s="2338"/>
      <c r="BW126" s="2338"/>
      <c r="BX126" s="2338"/>
      <c r="BY126" s="2338"/>
      <c r="BZ126" s="2338"/>
      <c r="CA126" s="2338"/>
      <c r="CB126" s="2338"/>
      <c r="CC126" s="2338"/>
      <c r="CD126" s="2338"/>
      <c r="CE126" s="2338"/>
      <c r="CF126" s="2338"/>
      <c r="CG126" s="2338"/>
      <c r="CH126" s="2338"/>
      <c r="CI126" s="2338"/>
      <c r="CJ126" s="2338"/>
      <c r="CK126" s="2338"/>
      <c r="CL126" s="2338"/>
      <c r="CM126" s="2338"/>
      <c r="CN126" s="2338"/>
      <c r="CO126" s="2338"/>
      <c r="CP126" s="2338"/>
      <c r="CQ126" s="2338"/>
      <c r="CR126" s="2338"/>
      <c r="CS126" s="2338"/>
      <c r="CT126" s="2338"/>
      <c r="CU126" s="2338"/>
      <c r="CV126" s="2338"/>
      <c r="CW126" s="2338"/>
      <c r="CX126" s="2338"/>
      <c r="CY126" s="2338"/>
      <c r="CZ126" s="2338"/>
      <c r="DA126" s="2338"/>
      <c r="DB126" s="2338"/>
      <c r="DC126" s="2338"/>
      <c r="DD126" s="2338"/>
      <c r="DE126" s="2338"/>
      <c r="DF126" s="2338"/>
      <c r="DG126" s="2338"/>
      <c r="DH126" s="2338"/>
      <c r="DI126" s="2338"/>
      <c r="DJ126" s="2338"/>
    </row>
    <row r="127" spans="1:114" hidden="1" outlineLevel="1">
      <c r="A127" s="2566"/>
      <c r="B127" s="3210" t="s">
        <v>2952</v>
      </c>
      <c r="C127" s="3208" t="s">
        <v>3907</v>
      </c>
      <c r="D127" s="3208" t="s">
        <v>3908</v>
      </c>
      <c r="E127" s="3210" t="s">
        <v>3909</v>
      </c>
      <c r="F127" s="3767" t="s">
        <v>3860</v>
      </c>
      <c r="G127" s="3768"/>
      <c r="H127" s="2329"/>
      <c r="I127" s="2329"/>
      <c r="J127" s="2329"/>
      <c r="K127" s="2329"/>
      <c r="L127" s="2329"/>
      <c r="M127" s="2329"/>
      <c r="N127" s="2329"/>
      <c r="O127" s="2329"/>
      <c r="P127" s="2329"/>
      <c r="Q127" s="2329"/>
      <c r="R127" s="2329"/>
      <c r="S127" s="2329"/>
      <c r="T127" s="2382"/>
      <c r="U127" s="2382"/>
      <c r="V127" s="2319"/>
      <c r="W127" s="2319"/>
      <c r="X127" s="2319"/>
      <c r="Y127" s="2319"/>
      <c r="Z127" s="2596">
        <v>1.0528</v>
      </c>
      <c r="AA127" s="2565">
        <v>1.06395203770775</v>
      </c>
      <c r="AB127" s="2565">
        <v>1.05001869746847</v>
      </c>
      <c r="AC127" s="2565">
        <v>1.0469610363690101</v>
      </c>
      <c r="AD127" s="2323"/>
      <c r="AE127" s="2323"/>
      <c r="AF127" s="2323"/>
      <c r="AG127" s="2323"/>
      <c r="AH127" s="2323"/>
      <c r="AI127" s="2323"/>
      <c r="AJ127" s="2323"/>
      <c r="AK127" s="2898"/>
      <c r="AL127" s="2895">
        <f t="shared" ref="AL127:AL190" si="4">AK127*$AC$12</f>
        <v>0</v>
      </c>
      <c r="AM127" s="2896" t="str">
        <f>IFERROR(AI127/AL127,"")</f>
        <v/>
      </c>
      <c r="AN127" s="2338"/>
      <c r="AO127" s="2338"/>
      <c r="AP127" s="2338"/>
      <c r="AQ127" s="2338"/>
      <c r="AR127" s="2338"/>
      <c r="AS127" s="2338"/>
      <c r="AT127" s="2338"/>
      <c r="AU127" s="2338"/>
      <c r="AV127" s="2338"/>
      <c r="AW127" s="2338"/>
      <c r="AX127" s="2338"/>
      <c r="AY127" s="2338"/>
      <c r="AZ127" s="2338"/>
      <c r="BA127" s="2338"/>
      <c r="BB127" s="2338"/>
      <c r="BC127" s="2338"/>
      <c r="BD127" s="2338"/>
      <c r="BE127" s="2338"/>
      <c r="BF127" s="2338"/>
      <c r="BG127" s="2338"/>
      <c r="BH127" s="2338"/>
      <c r="BI127" s="2338"/>
      <c r="BJ127" s="2338"/>
      <c r="BK127" s="2338"/>
      <c r="BL127" s="2338"/>
      <c r="BM127" s="2338"/>
      <c r="BN127" s="2338"/>
      <c r="BO127" s="2338"/>
      <c r="BP127" s="2338"/>
      <c r="BQ127" s="2338"/>
      <c r="BR127" s="2338"/>
      <c r="BS127" s="2338"/>
      <c r="BT127" s="2338"/>
      <c r="BU127" s="2338"/>
      <c r="BV127" s="2338"/>
      <c r="BW127" s="2338"/>
      <c r="BX127" s="2338"/>
      <c r="BY127" s="2338"/>
      <c r="BZ127" s="2338"/>
      <c r="CA127" s="2338"/>
      <c r="CB127" s="2338"/>
      <c r="CC127" s="2338"/>
      <c r="CD127" s="2338"/>
      <c r="CE127" s="2338"/>
      <c r="CF127" s="2338"/>
      <c r="CG127" s="2338"/>
      <c r="CH127" s="2338"/>
      <c r="CI127" s="2338"/>
      <c r="CJ127" s="2338"/>
      <c r="CK127" s="2338"/>
      <c r="CL127" s="2338"/>
      <c r="CM127" s="2338"/>
      <c r="CN127" s="2338"/>
      <c r="CO127" s="2338"/>
      <c r="CP127" s="2338"/>
      <c r="CQ127" s="2338"/>
      <c r="CR127" s="2338"/>
      <c r="CS127" s="2338"/>
      <c r="CT127" s="2338"/>
      <c r="CU127" s="2338"/>
      <c r="CV127" s="2338"/>
      <c r="CW127" s="2338"/>
      <c r="CX127" s="2338"/>
      <c r="CY127" s="2338"/>
      <c r="CZ127" s="2338"/>
      <c r="DA127" s="2338"/>
      <c r="DB127" s="2338"/>
      <c r="DC127" s="2338"/>
      <c r="DD127" s="2338"/>
      <c r="DE127" s="2338"/>
      <c r="DF127" s="2338"/>
      <c r="DG127" s="2338"/>
      <c r="DH127" s="2338"/>
      <c r="DI127" s="2338"/>
      <c r="DJ127" s="2338"/>
    </row>
    <row r="128" spans="1:114" hidden="1" outlineLevel="1">
      <c r="A128" s="2566"/>
      <c r="B128" s="3210"/>
      <c r="C128" s="3208"/>
      <c r="D128" s="3208"/>
      <c r="E128" s="3210"/>
      <c r="F128" s="3767" t="s">
        <v>3861</v>
      </c>
      <c r="G128" s="3769"/>
      <c r="H128" s="2323"/>
      <c r="I128" s="2323"/>
      <c r="J128" s="2323"/>
      <c r="K128" s="2323"/>
      <c r="L128" s="2323"/>
      <c r="M128" s="2323"/>
      <c r="N128" s="2323"/>
      <c r="O128" s="2323"/>
      <c r="P128" s="2323"/>
      <c r="Q128" s="2323"/>
      <c r="R128" s="2323"/>
      <c r="S128" s="2323"/>
      <c r="T128" s="2383"/>
      <c r="U128" s="2383"/>
      <c r="V128" s="2319"/>
      <c r="W128" s="2319"/>
      <c r="X128" s="2319"/>
      <c r="Y128" s="2319"/>
      <c r="Z128" s="2566"/>
      <c r="AA128" s="2566"/>
      <c r="AB128" s="2566"/>
      <c r="AC128" s="2566"/>
      <c r="AD128" s="2323"/>
      <c r="AE128" s="2323"/>
      <c r="AF128" s="2323"/>
      <c r="AG128" s="2323"/>
      <c r="AH128" s="2323"/>
      <c r="AI128" s="2323"/>
      <c r="AJ128" s="2323"/>
      <c r="AK128" s="2898"/>
      <c r="AL128" s="2895">
        <f t="shared" si="4"/>
        <v>0</v>
      </c>
      <c r="AM128" s="2896" t="str">
        <f t="shared" ref="AM128:AM191" si="5">IFERROR(AI128/AL128,"")</f>
        <v/>
      </c>
      <c r="AN128" s="2338"/>
      <c r="AO128" s="2338"/>
      <c r="AP128" s="2338"/>
      <c r="AQ128" s="2338"/>
      <c r="AR128" s="2338"/>
      <c r="AS128" s="2338"/>
      <c r="AT128" s="2338"/>
      <c r="AU128" s="2338"/>
      <c r="AV128" s="2338"/>
      <c r="AW128" s="2338"/>
      <c r="AX128" s="2338"/>
      <c r="AY128" s="2338"/>
      <c r="AZ128" s="2338"/>
      <c r="BA128" s="2338"/>
      <c r="BB128" s="2338"/>
      <c r="BC128" s="2338"/>
      <c r="BD128" s="2338"/>
      <c r="BE128" s="2338"/>
      <c r="BF128" s="2338"/>
      <c r="BG128" s="2338"/>
      <c r="BH128" s="2338"/>
      <c r="BI128" s="2338"/>
      <c r="BJ128" s="2338"/>
      <c r="BK128" s="2338"/>
      <c r="BL128" s="2338"/>
      <c r="BM128" s="2338"/>
      <c r="BN128" s="2338"/>
      <c r="BO128" s="2338"/>
      <c r="BP128" s="2338"/>
      <c r="BQ128" s="2338"/>
      <c r="BR128" s="2338"/>
      <c r="BS128" s="2338"/>
      <c r="BT128" s="2338"/>
      <c r="BU128" s="2338"/>
      <c r="BV128" s="2338"/>
      <c r="BW128" s="2338"/>
      <c r="BX128" s="2338"/>
      <c r="BY128" s="2338"/>
      <c r="BZ128" s="2338"/>
      <c r="CA128" s="2338"/>
      <c r="CB128" s="2338"/>
      <c r="CC128" s="2338"/>
      <c r="CD128" s="2338"/>
      <c r="CE128" s="2338"/>
      <c r="CF128" s="2338"/>
      <c r="CG128" s="2338"/>
      <c r="CH128" s="2338"/>
      <c r="CI128" s="2338"/>
      <c r="CJ128" s="2338"/>
      <c r="CK128" s="2338"/>
      <c r="CL128" s="2338"/>
      <c r="CM128" s="2338"/>
      <c r="CN128" s="2338"/>
      <c r="CO128" s="2338"/>
      <c r="CP128" s="2338"/>
      <c r="CQ128" s="2338"/>
      <c r="CR128" s="2338"/>
      <c r="CS128" s="2338"/>
      <c r="CT128" s="2338"/>
      <c r="CU128" s="2338"/>
      <c r="CV128" s="2338"/>
      <c r="CW128" s="2338"/>
      <c r="CX128" s="2338"/>
      <c r="CY128" s="2338"/>
      <c r="CZ128" s="2338"/>
      <c r="DA128" s="2338"/>
      <c r="DB128" s="2338"/>
      <c r="DC128" s="2338"/>
      <c r="DD128" s="2338"/>
      <c r="DE128" s="2338"/>
      <c r="DF128" s="2338"/>
      <c r="DG128" s="2338"/>
      <c r="DH128" s="2338"/>
      <c r="DI128" s="2338"/>
      <c r="DJ128" s="2338"/>
    </row>
    <row r="129" spans="1:114" hidden="1" outlineLevel="1">
      <c r="A129" s="2566"/>
      <c r="B129" s="3210"/>
      <c r="C129" s="3208"/>
      <c r="D129" s="3208"/>
      <c r="E129" s="3210"/>
      <c r="F129" s="3767" t="s">
        <v>3862</v>
      </c>
      <c r="G129" s="3769"/>
      <c r="H129" s="2323"/>
      <c r="I129" s="2323"/>
      <c r="J129" s="2323"/>
      <c r="K129" s="2323"/>
      <c r="L129" s="2323"/>
      <c r="M129" s="2323"/>
      <c r="N129" s="2323"/>
      <c r="O129" s="2323"/>
      <c r="P129" s="2323"/>
      <c r="Q129" s="2323"/>
      <c r="R129" s="2323"/>
      <c r="S129" s="2323"/>
      <c r="T129" s="2383"/>
      <c r="U129" s="2383"/>
      <c r="V129" s="2319"/>
      <c r="W129" s="2319"/>
      <c r="X129" s="2319"/>
      <c r="Y129" s="2319"/>
      <c r="Z129" s="2566"/>
      <c r="AA129" s="2566"/>
      <c r="AB129" s="2566"/>
      <c r="AC129" s="2566"/>
      <c r="AD129" s="2323"/>
      <c r="AE129" s="2323"/>
      <c r="AF129" s="2323"/>
      <c r="AG129" s="2323"/>
      <c r="AH129" s="2323"/>
      <c r="AI129" s="2323"/>
      <c r="AJ129" s="2323"/>
      <c r="AK129" s="2898"/>
      <c r="AL129" s="2895">
        <f t="shared" si="4"/>
        <v>0</v>
      </c>
      <c r="AM129" s="2896" t="str">
        <f t="shared" si="5"/>
        <v/>
      </c>
      <c r="AN129" s="2338"/>
      <c r="AO129" s="2338"/>
      <c r="AP129" s="2338"/>
      <c r="AQ129" s="2338"/>
      <c r="AR129" s="2338"/>
      <c r="AS129" s="2338"/>
      <c r="AT129" s="2338"/>
      <c r="AU129" s="2338"/>
      <c r="AV129" s="2338"/>
      <c r="AW129" s="2338"/>
      <c r="AX129" s="2338"/>
      <c r="AY129" s="2338"/>
      <c r="AZ129" s="2338"/>
      <c r="BA129" s="2338"/>
      <c r="BB129" s="2338"/>
      <c r="BC129" s="2338"/>
      <c r="BD129" s="2338"/>
      <c r="BE129" s="2338"/>
      <c r="BF129" s="2338"/>
      <c r="BG129" s="2338"/>
      <c r="BH129" s="2338"/>
      <c r="BI129" s="2338"/>
      <c r="BJ129" s="2338"/>
      <c r="BK129" s="2338"/>
      <c r="BL129" s="2338"/>
      <c r="BM129" s="2338"/>
      <c r="BN129" s="2338"/>
      <c r="BO129" s="2338"/>
      <c r="BP129" s="2338"/>
      <c r="BQ129" s="2338"/>
      <c r="BR129" s="2338"/>
      <c r="BS129" s="2338"/>
      <c r="BT129" s="2338"/>
      <c r="BU129" s="2338"/>
      <c r="BV129" s="2338"/>
      <c r="BW129" s="2338"/>
      <c r="BX129" s="2338"/>
      <c r="BY129" s="2338"/>
      <c r="BZ129" s="2338"/>
      <c r="CA129" s="2338"/>
      <c r="CB129" s="2338"/>
      <c r="CC129" s="2338"/>
      <c r="CD129" s="2338"/>
      <c r="CE129" s="2338"/>
      <c r="CF129" s="2338"/>
      <c r="CG129" s="2338"/>
      <c r="CH129" s="2338"/>
      <c r="CI129" s="2338"/>
      <c r="CJ129" s="2338"/>
      <c r="CK129" s="2338"/>
      <c r="CL129" s="2338"/>
      <c r="CM129" s="2338"/>
      <c r="CN129" s="2338"/>
      <c r="CO129" s="2338"/>
      <c r="CP129" s="2338"/>
      <c r="CQ129" s="2338"/>
      <c r="CR129" s="2338"/>
      <c r="CS129" s="2338"/>
      <c r="CT129" s="2338"/>
      <c r="CU129" s="2338"/>
      <c r="CV129" s="2338"/>
      <c r="CW129" s="2338"/>
      <c r="CX129" s="2338"/>
      <c r="CY129" s="2338"/>
      <c r="CZ129" s="2338"/>
      <c r="DA129" s="2338"/>
      <c r="DB129" s="2338"/>
      <c r="DC129" s="2338"/>
      <c r="DD129" s="2338"/>
      <c r="DE129" s="2338"/>
      <c r="DF129" s="2338"/>
      <c r="DG129" s="2338"/>
      <c r="DH129" s="2338"/>
      <c r="DI129" s="2338"/>
      <c r="DJ129" s="2338"/>
    </row>
    <row r="130" spans="1:114" hidden="1" outlineLevel="1">
      <c r="A130" s="2566"/>
      <c r="B130" s="3210"/>
      <c r="C130" s="3208"/>
      <c r="D130" s="3208"/>
      <c r="E130" s="3210"/>
      <c r="F130" s="3767" t="s">
        <v>3863</v>
      </c>
      <c r="G130" s="3769"/>
      <c r="H130" s="2323"/>
      <c r="I130" s="2323"/>
      <c r="J130" s="2323"/>
      <c r="K130" s="2323"/>
      <c r="L130" s="2323"/>
      <c r="M130" s="2323"/>
      <c r="N130" s="2323"/>
      <c r="O130" s="2323"/>
      <c r="P130" s="2323"/>
      <c r="Q130" s="2323"/>
      <c r="R130" s="2323"/>
      <c r="S130" s="2323"/>
      <c r="T130" s="2383"/>
      <c r="U130" s="2383"/>
      <c r="V130" s="2319"/>
      <c r="W130" s="2319"/>
      <c r="X130" s="2319"/>
      <c r="Y130" s="2319"/>
      <c r="Z130" s="2566"/>
      <c r="AA130" s="2566"/>
      <c r="AB130" s="2566"/>
      <c r="AC130" s="2566"/>
      <c r="AD130" s="2323"/>
      <c r="AE130" s="2323"/>
      <c r="AF130" s="2323"/>
      <c r="AG130" s="2323"/>
      <c r="AH130" s="2323"/>
      <c r="AI130" s="2323"/>
      <c r="AJ130" s="2323"/>
      <c r="AK130" s="2898"/>
      <c r="AL130" s="2895">
        <f t="shared" si="4"/>
        <v>0</v>
      </c>
      <c r="AM130" s="2896" t="str">
        <f t="shared" si="5"/>
        <v/>
      </c>
      <c r="AN130" s="2338"/>
      <c r="AO130" s="2338"/>
      <c r="AP130" s="2338"/>
      <c r="AQ130" s="2338"/>
      <c r="AR130" s="2338"/>
      <c r="AS130" s="2338"/>
      <c r="AT130" s="2338"/>
      <c r="AU130" s="2338"/>
      <c r="AV130" s="2338"/>
      <c r="AW130" s="2338"/>
      <c r="AX130" s="2338"/>
      <c r="AY130" s="2338"/>
      <c r="AZ130" s="2338"/>
      <c r="BA130" s="2338"/>
      <c r="BB130" s="2338"/>
      <c r="BC130" s="2338"/>
      <c r="BD130" s="2338"/>
      <c r="BE130" s="2338"/>
      <c r="BF130" s="2338"/>
      <c r="BG130" s="2338"/>
      <c r="BH130" s="2338"/>
      <c r="BI130" s="2338"/>
      <c r="BJ130" s="2338"/>
      <c r="BK130" s="2338"/>
      <c r="BL130" s="2338"/>
      <c r="BM130" s="2338"/>
      <c r="BN130" s="2338"/>
      <c r="BO130" s="2338"/>
      <c r="BP130" s="2338"/>
      <c r="BQ130" s="2338"/>
      <c r="BR130" s="2338"/>
      <c r="BS130" s="2338"/>
      <c r="BT130" s="2338"/>
      <c r="BU130" s="2338"/>
      <c r="BV130" s="2338"/>
      <c r="BW130" s="2338"/>
      <c r="BX130" s="2338"/>
      <c r="BY130" s="2338"/>
      <c r="BZ130" s="2338"/>
      <c r="CA130" s="2338"/>
      <c r="CB130" s="2338"/>
      <c r="CC130" s="2338"/>
      <c r="CD130" s="2338"/>
      <c r="CE130" s="2338"/>
      <c r="CF130" s="2338"/>
      <c r="CG130" s="2338"/>
      <c r="CH130" s="2338"/>
      <c r="CI130" s="2338"/>
      <c r="CJ130" s="2338"/>
      <c r="CK130" s="2338"/>
      <c r="CL130" s="2338"/>
      <c r="CM130" s="2338"/>
      <c r="CN130" s="2338"/>
      <c r="CO130" s="2338"/>
      <c r="CP130" s="2338"/>
      <c r="CQ130" s="2338"/>
      <c r="CR130" s="2338"/>
      <c r="CS130" s="2338"/>
      <c r="CT130" s="2338"/>
      <c r="CU130" s="2338"/>
      <c r="CV130" s="2338"/>
      <c r="CW130" s="2338"/>
      <c r="CX130" s="2338"/>
      <c r="CY130" s="2338"/>
      <c r="CZ130" s="2338"/>
      <c r="DA130" s="2338"/>
      <c r="DB130" s="2338"/>
      <c r="DC130" s="2338"/>
      <c r="DD130" s="2338"/>
      <c r="DE130" s="2338"/>
      <c r="DF130" s="2338"/>
      <c r="DG130" s="2338"/>
      <c r="DH130" s="2338"/>
      <c r="DI130" s="2338"/>
      <c r="DJ130" s="2338"/>
    </row>
    <row r="131" spans="1:114" hidden="1" outlineLevel="1">
      <c r="A131" s="2566"/>
      <c r="B131" s="3210"/>
      <c r="C131" s="3208"/>
      <c r="D131" s="3208"/>
      <c r="E131" s="3210"/>
      <c r="F131" s="3767" t="s">
        <v>3864</v>
      </c>
      <c r="G131" s="3769"/>
      <c r="H131" s="2323"/>
      <c r="I131" s="2323"/>
      <c r="J131" s="2323"/>
      <c r="K131" s="2323"/>
      <c r="L131" s="2323"/>
      <c r="M131" s="2323"/>
      <c r="N131" s="2323"/>
      <c r="O131" s="2323"/>
      <c r="P131" s="2323"/>
      <c r="Q131" s="2323"/>
      <c r="R131" s="2323"/>
      <c r="S131" s="2323"/>
      <c r="T131" s="2383"/>
      <c r="U131" s="2383"/>
      <c r="V131" s="2319"/>
      <c r="W131" s="2319"/>
      <c r="X131" s="2319"/>
      <c r="Y131" s="2319"/>
      <c r="Z131" s="2566"/>
      <c r="AA131" s="2566"/>
      <c r="AB131" s="2566"/>
      <c r="AC131" s="2566"/>
      <c r="AD131" s="2323"/>
      <c r="AE131" s="2323"/>
      <c r="AF131" s="2323"/>
      <c r="AG131" s="2323"/>
      <c r="AH131" s="2323"/>
      <c r="AI131" s="2323"/>
      <c r="AJ131" s="2323"/>
      <c r="AK131" s="2898"/>
      <c r="AL131" s="2895">
        <f t="shared" si="4"/>
        <v>0</v>
      </c>
      <c r="AM131" s="2896" t="str">
        <f t="shared" si="5"/>
        <v/>
      </c>
      <c r="AN131" s="2338"/>
      <c r="AO131" s="2338"/>
      <c r="AP131" s="2338"/>
      <c r="AQ131" s="2338"/>
      <c r="AR131" s="2338"/>
      <c r="AS131" s="2338"/>
      <c r="AT131" s="2338"/>
      <c r="AU131" s="2338"/>
      <c r="AV131" s="2338"/>
      <c r="AW131" s="2338"/>
      <c r="AX131" s="2338"/>
      <c r="AY131" s="2338"/>
      <c r="AZ131" s="2338"/>
      <c r="BA131" s="2338"/>
      <c r="BB131" s="2338"/>
      <c r="BC131" s="2338"/>
      <c r="BD131" s="2338"/>
      <c r="BE131" s="2338"/>
      <c r="BF131" s="2338"/>
      <c r="BG131" s="2338"/>
      <c r="BH131" s="2338"/>
      <c r="BI131" s="2338"/>
      <c r="BJ131" s="2338"/>
      <c r="BK131" s="2338"/>
      <c r="BL131" s="2338"/>
      <c r="BM131" s="2338"/>
      <c r="BN131" s="2338"/>
      <c r="BO131" s="2338"/>
      <c r="BP131" s="2338"/>
      <c r="BQ131" s="2338"/>
      <c r="BR131" s="2338"/>
      <c r="BS131" s="2338"/>
      <c r="BT131" s="2338"/>
      <c r="BU131" s="2338"/>
      <c r="BV131" s="2338"/>
      <c r="BW131" s="2338"/>
      <c r="BX131" s="2338"/>
      <c r="BY131" s="2338"/>
      <c r="BZ131" s="2338"/>
      <c r="CA131" s="2338"/>
      <c r="CB131" s="2338"/>
      <c r="CC131" s="2338"/>
      <c r="CD131" s="2338"/>
      <c r="CE131" s="2338"/>
      <c r="CF131" s="2338"/>
      <c r="CG131" s="2338"/>
      <c r="CH131" s="2338"/>
      <c r="CI131" s="2338"/>
      <c r="CJ131" s="2338"/>
      <c r="CK131" s="2338"/>
      <c r="CL131" s="2338"/>
      <c r="CM131" s="2338"/>
      <c r="CN131" s="2338"/>
      <c r="CO131" s="2338"/>
      <c r="CP131" s="2338"/>
      <c r="CQ131" s="2338"/>
      <c r="CR131" s="2338"/>
      <c r="CS131" s="2338"/>
      <c r="CT131" s="2338"/>
      <c r="CU131" s="2338"/>
      <c r="CV131" s="2338"/>
      <c r="CW131" s="2338"/>
      <c r="CX131" s="2338"/>
      <c r="CY131" s="2338"/>
      <c r="CZ131" s="2338"/>
      <c r="DA131" s="2338"/>
      <c r="DB131" s="2338"/>
      <c r="DC131" s="2338"/>
      <c r="DD131" s="2338"/>
      <c r="DE131" s="2338"/>
      <c r="DF131" s="2338"/>
      <c r="DG131" s="2338"/>
      <c r="DH131" s="2338"/>
      <c r="DI131" s="2338"/>
      <c r="DJ131" s="2338"/>
    </row>
    <row r="132" spans="1:114" hidden="1" outlineLevel="1">
      <c r="A132" s="2566"/>
      <c r="B132" s="3210"/>
      <c r="C132" s="3208"/>
      <c r="D132" s="3208"/>
      <c r="E132" s="3210"/>
      <c r="F132" s="3767" t="s">
        <v>3865</v>
      </c>
      <c r="G132" s="3769"/>
      <c r="H132" s="2323"/>
      <c r="I132" s="2323"/>
      <c r="J132" s="2323"/>
      <c r="K132" s="2323"/>
      <c r="L132" s="2323"/>
      <c r="M132" s="2323"/>
      <c r="N132" s="2323"/>
      <c r="O132" s="2323"/>
      <c r="P132" s="2323"/>
      <c r="Q132" s="2323"/>
      <c r="R132" s="2323"/>
      <c r="S132" s="2323"/>
      <c r="T132" s="2383"/>
      <c r="U132" s="2383"/>
      <c r="V132" s="2319"/>
      <c r="W132" s="2319"/>
      <c r="X132" s="2319"/>
      <c r="Y132" s="2319"/>
      <c r="Z132" s="2566"/>
      <c r="AA132" s="2566"/>
      <c r="AB132" s="2566"/>
      <c r="AC132" s="2566"/>
      <c r="AD132" s="2323"/>
      <c r="AE132" s="2323"/>
      <c r="AF132" s="2323"/>
      <c r="AG132" s="2323"/>
      <c r="AH132" s="2323"/>
      <c r="AI132" s="2323"/>
      <c r="AJ132" s="2323"/>
      <c r="AK132" s="2898"/>
      <c r="AL132" s="2895">
        <f t="shared" si="4"/>
        <v>0</v>
      </c>
      <c r="AM132" s="2896" t="str">
        <f t="shared" si="5"/>
        <v/>
      </c>
      <c r="AN132" s="2338"/>
      <c r="AO132" s="2338"/>
      <c r="AP132" s="2338"/>
      <c r="AQ132" s="2338"/>
      <c r="AR132" s="2338"/>
      <c r="AS132" s="2338"/>
      <c r="AT132" s="2338"/>
      <c r="AU132" s="2338"/>
      <c r="AV132" s="2338"/>
      <c r="AW132" s="2338"/>
      <c r="AX132" s="2338"/>
      <c r="AY132" s="2338"/>
      <c r="AZ132" s="2338"/>
      <c r="BA132" s="2338"/>
      <c r="BB132" s="2338"/>
      <c r="BC132" s="2338"/>
      <c r="BD132" s="2338"/>
      <c r="BE132" s="2338"/>
      <c r="BF132" s="2338"/>
      <c r="BG132" s="2338"/>
      <c r="BH132" s="2338"/>
      <c r="BI132" s="2338"/>
      <c r="BJ132" s="2338"/>
      <c r="BK132" s="2338"/>
      <c r="BL132" s="2338"/>
      <c r="BM132" s="2338"/>
      <c r="BN132" s="2338"/>
      <c r="BO132" s="2338"/>
      <c r="BP132" s="2338"/>
      <c r="BQ132" s="2338"/>
      <c r="BR132" s="2338"/>
      <c r="BS132" s="2338"/>
      <c r="BT132" s="2338"/>
      <c r="BU132" s="2338"/>
      <c r="BV132" s="2338"/>
      <c r="BW132" s="2338"/>
      <c r="BX132" s="2338"/>
      <c r="BY132" s="2338"/>
      <c r="BZ132" s="2338"/>
      <c r="CA132" s="2338"/>
      <c r="CB132" s="2338"/>
      <c r="CC132" s="2338"/>
      <c r="CD132" s="2338"/>
      <c r="CE132" s="2338"/>
      <c r="CF132" s="2338"/>
      <c r="CG132" s="2338"/>
      <c r="CH132" s="2338"/>
      <c r="CI132" s="2338"/>
      <c r="CJ132" s="2338"/>
      <c r="CK132" s="2338"/>
      <c r="CL132" s="2338"/>
      <c r="CM132" s="2338"/>
      <c r="CN132" s="2338"/>
      <c r="CO132" s="2338"/>
      <c r="CP132" s="2338"/>
      <c r="CQ132" s="2338"/>
      <c r="CR132" s="2338"/>
      <c r="CS132" s="2338"/>
      <c r="CT132" s="2338"/>
      <c r="CU132" s="2338"/>
      <c r="CV132" s="2338"/>
      <c r="CW132" s="2338"/>
      <c r="CX132" s="2338"/>
      <c r="CY132" s="2338"/>
      <c r="CZ132" s="2338"/>
      <c r="DA132" s="2338"/>
      <c r="DB132" s="2338"/>
      <c r="DC132" s="2338"/>
      <c r="DD132" s="2338"/>
      <c r="DE132" s="2338"/>
      <c r="DF132" s="2338"/>
      <c r="DG132" s="2338"/>
      <c r="DH132" s="2338"/>
      <c r="DI132" s="2338"/>
      <c r="DJ132" s="2338"/>
    </row>
    <row r="133" spans="1:114" hidden="1" outlineLevel="1">
      <c r="A133" s="2566"/>
      <c r="B133" s="3210"/>
      <c r="C133" s="3208"/>
      <c r="D133" s="3208"/>
      <c r="E133" s="3210" t="s">
        <v>3910</v>
      </c>
      <c r="F133" s="3767" t="s">
        <v>3860</v>
      </c>
      <c r="G133" s="3769"/>
      <c r="H133" s="2323"/>
      <c r="I133" s="2323"/>
      <c r="J133" s="2323"/>
      <c r="K133" s="2323"/>
      <c r="L133" s="2323"/>
      <c r="M133" s="2323"/>
      <c r="N133" s="2323"/>
      <c r="O133" s="2323"/>
      <c r="P133" s="2323"/>
      <c r="Q133" s="2323"/>
      <c r="R133" s="2323"/>
      <c r="S133" s="2323"/>
      <c r="T133" s="2383"/>
      <c r="U133" s="2383"/>
      <c r="V133" s="2319"/>
      <c r="W133" s="2319"/>
      <c r="X133" s="2319"/>
      <c r="Y133" s="2319"/>
      <c r="Z133" s="2566"/>
      <c r="AA133" s="2566"/>
      <c r="AB133" s="2566"/>
      <c r="AC133" s="2566"/>
      <c r="AD133" s="2323"/>
      <c r="AE133" s="2323"/>
      <c r="AF133" s="2323"/>
      <c r="AG133" s="2323"/>
      <c r="AH133" s="2323"/>
      <c r="AI133" s="2323"/>
      <c r="AJ133" s="2323"/>
      <c r="AK133" s="2898"/>
      <c r="AL133" s="2895">
        <f t="shared" si="4"/>
        <v>0</v>
      </c>
      <c r="AM133" s="2896" t="str">
        <f t="shared" si="5"/>
        <v/>
      </c>
      <c r="AN133" s="2338"/>
      <c r="AO133" s="2338"/>
      <c r="AP133" s="2338"/>
      <c r="AQ133" s="2338"/>
      <c r="AR133" s="2338"/>
      <c r="AS133" s="2338"/>
      <c r="AT133" s="2338"/>
      <c r="AU133" s="2338"/>
      <c r="AV133" s="2338"/>
      <c r="AW133" s="2338"/>
      <c r="AX133" s="2338"/>
      <c r="AY133" s="2338"/>
      <c r="AZ133" s="2338"/>
      <c r="BA133" s="2338"/>
      <c r="BB133" s="2338"/>
      <c r="BC133" s="2338"/>
      <c r="BD133" s="2338"/>
      <c r="BE133" s="2338"/>
      <c r="BF133" s="2338"/>
      <c r="BG133" s="2338"/>
      <c r="BH133" s="2338"/>
      <c r="BI133" s="2338"/>
      <c r="BJ133" s="2338"/>
      <c r="BK133" s="2338"/>
      <c r="BL133" s="2338"/>
      <c r="BM133" s="2338"/>
      <c r="BN133" s="2338"/>
      <c r="BO133" s="2338"/>
      <c r="BP133" s="2338"/>
      <c r="BQ133" s="2338"/>
      <c r="BR133" s="2338"/>
      <c r="BS133" s="2338"/>
      <c r="BT133" s="2338"/>
      <c r="BU133" s="2338"/>
      <c r="BV133" s="2338"/>
      <c r="BW133" s="2338"/>
      <c r="BX133" s="2338"/>
      <c r="BY133" s="2338"/>
      <c r="BZ133" s="2338"/>
      <c r="CA133" s="2338"/>
      <c r="CB133" s="2338"/>
      <c r="CC133" s="2338"/>
      <c r="CD133" s="2338"/>
      <c r="CE133" s="2338"/>
      <c r="CF133" s="2338"/>
      <c r="CG133" s="2338"/>
      <c r="CH133" s="2338"/>
      <c r="CI133" s="2338"/>
      <c r="CJ133" s="2338"/>
      <c r="CK133" s="2338"/>
      <c r="CL133" s="2338"/>
      <c r="CM133" s="2338"/>
      <c r="CN133" s="2338"/>
      <c r="CO133" s="2338"/>
      <c r="CP133" s="2338"/>
      <c r="CQ133" s="2338"/>
      <c r="CR133" s="2338"/>
      <c r="CS133" s="2338"/>
      <c r="CT133" s="2338"/>
      <c r="CU133" s="2338"/>
      <c r="CV133" s="2338"/>
      <c r="CW133" s="2338"/>
      <c r="CX133" s="2338"/>
      <c r="CY133" s="2338"/>
      <c r="CZ133" s="2338"/>
      <c r="DA133" s="2338"/>
      <c r="DB133" s="2338"/>
      <c r="DC133" s="2338"/>
      <c r="DD133" s="2338"/>
      <c r="DE133" s="2338"/>
      <c r="DF133" s="2338"/>
      <c r="DG133" s="2338"/>
      <c r="DH133" s="2338"/>
      <c r="DI133" s="2338"/>
      <c r="DJ133" s="2338"/>
    </row>
    <row r="134" spans="1:114" hidden="1" outlineLevel="1">
      <c r="A134" s="2566"/>
      <c r="B134" s="3210"/>
      <c r="C134" s="3208"/>
      <c r="D134" s="3208"/>
      <c r="E134" s="3210"/>
      <c r="F134" s="3767" t="s">
        <v>3861</v>
      </c>
      <c r="G134" s="3769"/>
      <c r="H134" s="2323"/>
      <c r="I134" s="2323"/>
      <c r="J134" s="2323"/>
      <c r="K134" s="2323"/>
      <c r="L134" s="2323"/>
      <c r="M134" s="2323"/>
      <c r="N134" s="2323"/>
      <c r="O134" s="2323"/>
      <c r="P134" s="2323"/>
      <c r="Q134" s="2323"/>
      <c r="R134" s="2323"/>
      <c r="S134" s="2323"/>
      <c r="T134" s="2383"/>
      <c r="U134" s="2383"/>
      <c r="V134" s="2319"/>
      <c r="W134" s="2319"/>
      <c r="X134" s="2319"/>
      <c r="Y134" s="2319"/>
      <c r="Z134" s="2566"/>
      <c r="AA134" s="2566"/>
      <c r="AB134" s="2566"/>
      <c r="AC134" s="2566"/>
      <c r="AD134" s="2323"/>
      <c r="AE134" s="2323"/>
      <c r="AF134" s="2323"/>
      <c r="AG134" s="2323"/>
      <c r="AH134" s="2323"/>
      <c r="AI134" s="2323"/>
      <c r="AJ134" s="2323"/>
      <c r="AK134" s="2898"/>
      <c r="AL134" s="2895">
        <f t="shared" si="4"/>
        <v>0</v>
      </c>
      <c r="AM134" s="2896" t="str">
        <f t="shared" si="5"/>
        <v/>
      </c>
      <c r="AN134" s="2338"/>
      <c r="AO134" s="2338"/>
      <c r="AP134" s="2338"/>
      <c r="AQ134" s="2338"/>
      <c r="AR134" s="2338"/>
      <c r="AS134" s="2338"/>
      <c r="AT134" s="2338"/>
      <c r="AU134" s="2338"/>
      <c r="AV134" s="2338"/>
      <c r="AW134" s="2338"/>
      <c r="AX134" s="2338"/>
      <c r="AY134" s="2338"/>
      <c r="AZ134" s="2338"/>
      <c r="BA134" s="2338"/>
      <c r="BB134" s="2338"/>
      <c r="BC134" s="2338"/>
      <c r="BD134" s="2338"/>
      <c r="BE134" s="2338"/>
      <c r="BF134" s="2338"/>
      <c r="BG134" s="2338"/>
      <c r="BH134" s="2338"/>
      <c r="BI134" s="2338"/>
      <c r="BJ134" s="2338"/>
      <c r="BK134" s="2338"/>
      <c r="BL134" s="2338"/>
      <c r="BM134" s="2338"/>
      <c r="BN134" s="2338"/>
      <c r="BO134" s="2338"/>
      <c r="BP134" s="2338"/>
      <c r="BQ134" s="2338"/>
      <c r="BR134" s="2338"/>
      <c r="BS134" s="2338"/>
      <c r="BT134" s="2338"/>
      <c r="BU134" s="2338"/>
      <c r="BV134" s="2338"/>
      <c r="BW134" s="2338"/>
      <c r="BX134" s="2338"/>
      <c r="BY134" s="2338"/>
      <c r="BZ134" s="2338"/>
      <c r="CA134" s="2338"/>
      <c r="CB134" s="2338"/>
      <c r="CC134" s="2338"/>
      <c r="CD134" s="2338"/>
      <c r="CE134" s="2338"/>
      <c r="CF134" s="2338"/>
      <c r="CG134" s="2338"/>
      <c r="CH134" s="2338"/>
      <c r="CI134" s="2338"/>
      <c r="CJ134" s="2338"/>
      <c r="CK134" s="2338"/>
      <c r="CL134" s="2338"/>
      <c r="CM134" s="2338"/>
      <c r="CN134" s="2338"/>
      <c r="CO134" s="2338"/>
      <c r="CP134" s="2338"/>
      <c r="CQ134" s="2338"/>
      <c r="CR134" s="2338"/>
      <c r="CS134" s="2338"/>
      <c r="CT134" s="2338"/>
      <c r="CU134" s="2338"/>
      <c r="CV134" s="2338"/>
      <c r="CW134" s="2338"/>
      <c r="CX134" s="2338"/>
      <c r="CY134" s="2338"/>
      <c r="CZ134" s="2338"/>
      <c r="DA134" s="2338"/>
      <c r="DB134" s="2338"/>
      <c r="DC134" s="2338"/>
      <c r="DD134" s="2338"/>
      <c r="DE134" s="2338"/>
      <c r="DF134" s="2338"/>
      <c r="DG134" s="2338"/>
      <c r="DH134" s="2338"/>
      <c r="DI134" s="2338"/>
      <c r="DJ134" s="2338"/>
    </row>
    <row r="135" spans="1:114" hidden="1" outlineLevel="1">
      <c r="A135" s="2566"/>
      <c r="B135" s="3210"/>
      <c r="C135" s="3208"/>
      <c r="D135" s="3208"/>
      <c r="E135" s="3210"/>
      <c r="F135" s="3767" t="s">
        <v>3862</v>
      </c>
      <c r="G135" s="3769"/>
      <c r="H135" s="2323"/>
      <c r="I135" s="2323"/>
      <c r="J135" s="2323"/>
      <c r="K135" s="2323"/>
      <c r="L135" s="2323"/>
      <c r="M135" s="2323"/>
      <c r="N135" s="2323"/>
      <c r="O135" s="2323"/>
      <c r="P135" s="2323"/>
      <c r="Q135" s="2323"/>
      <c r="R135" s="2323"/>
      <c r="S135" s="2323"/>
      <c r="T135" s="2383"/>
      <c r="U135" s="2383"/>
      <c r="V135" s="2343"/>
      <c r="W135" s="2343"/>
      <c r="X135" s="2343"/>
      <c r="Y135" s="2343"/>
      <c r="Z135" s="2566"/>
      <c r="AA135" s="2566"/>
      <c r="AB135" s="2566"/>
      <c r="AC135" s="2566"/>
      <c r="AD135" s="2323"/>
      <c r="AE135" s="2323"/>
      <c r="AF135" s="2323"/>
      <c r="AG135" s="2323"/>
      <c r="AH135" s="2323"/>
      <c r="AI135" s="2323"/>
      <c r="AJ135" s="2323"/>
      <c r="AK135" s="2898"/>
      <c r="AL135" s="2895">
        <f t="shared" si="4"/>
        <v>0</v>
      </c>
      <c r="AM135" s="2896" t="str">
        <f t="shared" si="5"/>
        <v/>
      </c>
      <c r="AN135" s="2338"/>
      <c r="AO135" s="2338"/>
      <c r="AP135" s="2338"/>
      <c r="AQ135" s="2338"/>
      <c r="AR135" s="2338"/>
      <c r="AS135" s="2338"/>
      <c r="AT135" s="2338"/>
      <c r="AU135" s="2338"/>
      <c r="AV135" s="2338"/>
      <c r="AW135" s="2338"/>
      <c r="AX135" s="2338"/>
      <c r="AY135" s="2338"/>
      <c r="AZ135" s="2338"/>
      <c r="BA135" s="2338"/>
      <c r="BB135" s="2338"/>
      <c r="BC135" s="2338"/>
      <c r="BD135" s="2338"/>
      <c r="BE135" s="2338"/>
      <c r="BF135" s="2338"/>
      <c r="BG135" s="2338"/>
      <c r="BH135" s="2338"/>
      <c r="BI135" s="2338"/>
      <c r="BJ135" s="2338"/>
      <c r="BK135" s="2338"/>
      <c r="BL135" s="2338"/>
      <c r="BM135" s="2338"/>
      <c r="BN135" s="2338"/>
      <c r="BO135" s="2338"/>
      <c r="BP135" s="2338"/>
      <c r="BQ135" s="2338"/>
      <c r="BR135" s="2338"/>
      <c r="BS135" s="2338"/>
      <c r="BT135" s="2338"/>
      <c r="BU135" s="2338"/>
      <c r="BV135" s="2338"/>
      <c r="BW135" s="2338"/>
      <c r="BX135" s="2338"/>
      <c r="BY135" s="2338"/>
      <c r="BZ135" s="2338"/>
      <c r="CA135" s="2338"/>
      <c r="CB135" s="2338"/>
      <c r="CC135" s="2338"/>
      <c r="CD135" s="2338"/>
      <c r="CE135" s="2338"/>
      <c r="CF135" s="2338"/>
      <c r="CG135" s="2338"/>
      <c r="CH135" s="2338"/>
      <c r="CI135" s="2338"/>
      <c r="CJ135" s="2338"/>
      <c r="CK135" s="2338"/>
      <c r="CL135" s="2338"/>
      <c r="CM135" s="2338"/>
      <c r="CN135" s="2338"/>
      <c r="CO135" s="2338"/>
      <c r="CP135" s="2338"/>
      <c r="CQ135" s="2338"/>
      <c r="CR135" s="2338"/>
      <c r="CS135" s="2338"/>
      <c r="CT135" s="2338"/>
      <c r="CU135" s="2338"/>
      <c r="CV135" s="2338"/>
      <c r="CW135" s="2338"/>
      <c r="CX135" s="2338"/>
      <c r="CY135" s="2338"/>
      <c r="CZ135" s="2338"/>
      <c r="DA135" s="2338"/>
      <c r="DB135" s="2338"/>
      <c r="DC135" s="2338"/>
      <c r="DD135" s="2338"/>
      <c r="DE135" s="2338"/>
      <c r="DF135" s="2338"/>
      <c r="DG135" s="2338"/>
      <c r="DH135" s="2338"/>
      <c r="DI135" s="2338"/>
      <c r="DJ135" s="2338"/>
    </row>
    <row r="136" spans="1:114" hidden="1" outlineLevel="1">
      <c r="A136" s="2566"/>
      <c r="B136" s="3210"/>
      <c r="C136" s="3208"/>
      <c r="D136" s="3208"/>
      <c r="E136" s="3210"/>
      <c r="F136" s="3767" t="s">
        <v>3863</v>
      </c>
      <c r="G136" s="3769"/>
      <c r="H136" s="2323"/>
      <c r="I136" s="2323"/>
      <c r="J136" s="2323"/>
      <c r="K136" s="2323"/>
      <c r="L136" s="2323"/>
      <c r="M136" s="2323"/>
      <c r="N136" s="2323"/>
      <c r="O136" s="2323"/>
      <c r="P136" s="2323"/>
      <c r="Q136" s="2323"/>
      <c r="R136" s="2323"/>
      <c r="S136" s="2323"/>
      <c r="T136" s="2383"/>
      <c r="U136" s="2383"/>
      <c r="V136" s="2319"/>
      <c r="W136" s="2319"/>
      <c r="X136" s="2319"/>
      <c r="Y136" s="2319"/>
      <c r="Z136" s="2566"/>
      <c r="AA136" s="2566"/>
      <c r="AB136" s="2566"/>
      <c r="AC136" s="2566"/>
      <c r="AD136" s="2323"/>
      <c r="AE136" s="2323"/>
      <c r="AF136" s="2323"/>
      <c r="AG136" s="2323"/>
      <c r="AH136" s="2323"/>
      <c r="AI136" s="2323"/>
      <c r="AJ136" s="2323"/>
      <c r="AK136" s="2898"/>
      <c r="AL136" s="2895">
        <f t="shared" si="4"/>
        <v>0</v>
      </c>
      <c r="AM136" s="2896" t="str">
        <f t="shared" si="5"/>
        <v/>
      </c>
      <c r="AN136" s="2338"/>
      <c r="AO136" s="2338"/>
      <c r="AP136" s="2338"/>
      <c r="AQ136" s="2338"/>
      <c r="AR136" s="2338"/>
      <c r="AS136" s="2338"/>
      <c r="AT136" s="2338"/>
      <c r="AU136" s="2338"/>
      <c r="AV136" s="2338"/>
      <c r="AW136" s="2338"/>
      <c r="AX136" s="2338"/>
      <c r="AY136" s="2338"/>
      <c r="AZ136" s="2338"/>
      <c r="BA136" s="2338"/>
      <c r="BB136" s="2338"/>
      <c r="BC136" s="2338"/>
      <c r="BD136" s="2338"/>
      <c r="BE136" s="2338"/>
      <c r="BF136" s="2338"/>
      <c r="BG136" s="2338"/>
      <c r="BH136" s="2338"/>
      <c r="BI136" s="2338"/>
      <c r="BJ136" s="2338"/>
      <c r="BK136" s="2338"/>
      <c r="BL136" s="2338"/>
      <c r="BM136" s="2338"/>
      <c r="BN136" s="2338"/>
      <c r="BO136" s="2338"/>
      <c r="BP136" s="2338"/>
      <c r="BQ136" s="2338"/>
      <c r="BR136" s="2338"/>
      <c r="BS136" s="2338"/>
      <c r="BT136" s="2338"/>
      <c r="BU136" s="2338"/>
      <c r="BV136" s="2338"/>
      <c r="BW136" s="2338"/>
      <c r="BX136" s="2338"/>
      <c r="BY136" s="2338"/>
      <c r="BZ136" s="2338"/>
      <c r="CA136" s="2338"/>
      <c r="CB136" s="2338"/>
      <c r="CC136" s="2338"/>
      <c r="CD136" s="2338"/>
      <c r="CE136" s="2338"/>
      <c r="CF136" s="2338"/>
      <c r="CG136" s="2338"/>
      <c r="CH136" s="2338"/>
      <c r="CI136" s="2338"/>
      <c r="CJ136" s="2338"/>
      <c r="CK136" s="2338"/>
      <c r="CL136" s="2338"/>
      <c r="CM136" s="2338"/>
      <c r="CN136" s="2338"/>
      <c r="CO136" s="2338"/>
      <c r="CP136" s="2338"/>
      <c r="CQ136" s="2338"/>
      <c r="CR136" s="2338"/>
      <c r="CS136" s="2338"/>
      <c r="CT136" s="2338"/>
      <c r="CU136" s="2338"/>
      <c r="CV136" s="2338"/>
      <c r="CW136" s="2338"/>
      <c r="CX136" s="2338"/>
      <c r="CY136" s="2338"/>
      <c r="CZ136" s="2338"/>
      <c r="DA136" s="2338"/>
      <c r="DB136" s="2338"/>
      <c r="DC136" s="2338"/>
      <c r="DD136" s="2338"/>
      <c r="DE136" s="2338"/>
      <c r="DF136" s="2338"/>
      <c r="DG136" s="2338"/>
      <c r="DH136" s="2338"/>
      <c r="DI136" s="2338"/>
      <c r="DJ136" s="2338"/>
    </row>
    <row r="137" spans="1:114" hidden="1" outlineLevel="1">
      <c r="A137" s="2566"/>
      <c r="B137" s="3210"/>
      <c r="C137" s="3208"/>
      <c r="D137" s="3208"/>
      <c r="E137" s="3210"/>
      <c r="F137" s="3767" t="s">
        <v>3864</v>
      </c>
      <c r="G137" s="3769"/>
      <c r="H137" s="2323"/>
      <c r="I137" s="2323"/>
      <c r="J137" s="2323"/>
      <c r="K137" s="2323"/>
      <c r="L137" s="2323"/>
      <c r="M137" s="2323"/>
      <c r="N137" s="2323"/>
      <c r="O137" s="2323"/>
      <c r="P137" s="2323"/>
      <c r="Q137" s="2323"/>
      <c r="R137" s="2323"/>
      <c r="S137" s="2323"/>
      <c r="T137" s="2383"/>
      <c r="U137" s="2383"/>
      <c r="V137" s="2319"/>
      <c r="W137" s="2319"/>
      <c r="X137" s="2319"/>
      <c r="Y137" s="2319"/>
      <c r="Z137" s="2566"/>
      <c r="AA137" s="2566"/>
      <c r="AB137" s="2566"/>
      <c r="AC137" s="2566"/>
      <c r="AD137" s="2323"/>
      <c r="AE137" s="2323"/>
      <c r="AF137" s="2323"/>
      <c r="AG137" s="2323"/>
      <c r="AH137" s="2323"/>
      <c r="AI137" s="2323"/>
      <c r="AJ137" s="2323"/>
      <c r="AK137" s="2898"/>
      <c r="AL137" s="2895">
        <f t="shared" si="4"/>
        <v>0</v>
      </c>
      <c r="AM137" s="2896" t="str">
        <f t="shared" si="5"/>
        <v/>
      </c>
      <c r="AN137" s="2338"/>
      <c r="AO137" s="2338"/>
      <c r="AP137" s="2338"/>
      <c r="AQ137" s="2338"/>
      <c r="AR137" s="2338"/>
      <c r="AS137" s="2338"/>
      <c r="AT137" s="2338"/>
      <c r="AU137" s="2338"/>
      <c r="AV137" s="2338"/>
      <c r="AW137" s="2338"/>
      <c r="AX137" s="2338"/>
      <c r="AY137" s="2338"/>
      <c r="AZ137" s="2338"/>
      <c r="BA137" s="2338"/>
      <c r="BB137" s="2338"/>
      <c r="BC137" s="2338"/>
      <c r="BD137" s="2338"/>
      <c r="BE137" s="2338"/>
      <c r="BF137" s="2338"/>
      <c r="BG137" s="2338"/>
      <c r="BH137" s="2338"/>
      <c r="BI137" s="2338"/>
      <c r="BJ137" s="2338"/>
      <c r="BK137" s="2338"/>
      <c r="BL137" s="2338"/>
      <c r="BM137" s="2338"/>
      <c r="BN137" s="2338"/>
      <c r="BO137" s="2338"/>
      <c r="BP137" s="2338"/>
      <c r="BQ137" s="2338"/>
      <c r="BR137" s="2338"/>
      <c r="BS137" s="2338"/>
      <c r="BT137" s="2338"/>
      <c r="BU137" s="2338"/>
      <c r="BV137" s="2338"/>
      <c r="BW137" s="2338"/>
      <c r="BX137" s="2338"/>
      <c r="BY137" s="2338"/>
      <c r="BZ137" s="2338"/>
      <c r="CA137" s="2338"/>
      <c r="CB137" s="2338"/>
      <c r="CC137" s="2338"/>
      <c r="CD137" s="2338"/>
      <c r="CE137" s="2338"/>
      <c r="CF137" s="2338"/>
      <c r="CG137" s="2338"/>
      <c r="CH137" s="2338"/>
      <c r="CI137" s="2338"/>
      <c r="CJ137" s="2338"/>
      <c r="CK137" s="2338"/>
      <c r="CL137" s="2338"/>
      <c r="CM137" s="2338"/>
      <c r="CN137" s="2338"/>
      <c r="CO137" s="2338"/>
      <c r="CP137" s="2338"/>
      <c r="CQ137" s="2338"/>
      <c r="CR137" s="2338"/>
      <c r="CS137" s="2338"/>
      <c r="CT137" s="2338"/>
      <c r="CU137" s="2338"/>
      <c r="CV137" s="2338"/>
      <c r="CW137" s="2338"/>
      <c r="CX137" s="2338"/>
      <c r="CY137" s="2338"/>
      <c r="CZ137" s="2338"/>
      <c r="DA137" s="2338"/>
      <c r="DB137" s="2338"/>
      <c r="DC137" s="2338"/>
      <c r="DD137" s="2338"/>
      <c r="DE137" s="2338"/>
      <c r="DF137" s="2338"/>
      <c r="DG137" s="2338"/>
      <c r="DH137" s="2338"/>
      <c r="DI137" s="2338"/>
      <c r="DJ137" s="2338"/>
    </row>
    <row r="138" spans="1:114" hidden="1" outlineLevel="1">
      <c r="A138" s="2566"/>
      <c r="B138" s="3210"/>
      <c r="C138" s="3208"/>
      <c r="D138" s="3208"/>
      <c r="E138" s="3210"/>
      <c r="F138" s="3767" t="s">
        <v>3865</v>
      </c>
      <c r="G138" s="3769"/>
      <c r="H138" s="2323"/>
      <c r="I138" s="2323"/>
      <c r="J138" s="2323"/>
      <c r="K138" s="2323"/>
      <c r="L138" s="2323"/>
      <c r="M138" s="2323"/>
      <c r="N138" s="2323"/>
      <c r="O138" s="2323"/>
      <c r="P138" s="2323"/>
      <c r="Q138" s="2323"/>
      <c r="R138" s="2323"/>
      <c r="S138" s="2323"/>
      <c r="T138" s="2383"/>
      <c r="U138" s="2383"/>
      <c r="V138" s="2319"/>
      <c r="W138" s="2319"/>
      <c r="X138" s="2319"/>
      <c r="Y138" s="2319"/>
      <c r="Z138" s="2566"/>
      <c r="AA138" s="2566"/>
      <c r="AB138" s="2566"/>
      <c r="AC138" s="2566"/>
      <c r="AD138" s="2323"/>
      <c r="AE138" s="2323"/>
      <c r="AF138" s="2323"/>
      <c r="AG138" s="2323"/>
      <c r="AH138" s="2323"/>
      <c r="AI138" s="2323"/>
      <c r="AJ138" s="2323"/>
      <c r="AK138" s="2898"/>
      <c r="AL138" s="2895">
        <f t="shared" si="4"/>
        <v>0</v>
      </c>
      <c r="AM138" s="2896" t="str">
        <f t="shared" si="5"/>
        <v/>
      </c>
      <c r="AN138" s="2338"/>
      <c r="AO138" s="2338"/>
      <c r="AP138" s="2338"/>
      <c r="AQ138" s="2338"/>
      <c r="AR138" s="2338"/>
      <c r="AS138" s="2338"/>
      <c r="AT138" s="2338"/>
      <c r="AU138" s="2338"/>
      <c r="AV138" s="2338"/>
      <c r="AW138" s="2338"/>
      <c r="AX138" s="2338"/>
      <c r="AY138" s="2338"/>
      <c r="AZ138" s="2338"/>
      <c r="BA138" s="2338"/>
      <c r="BB138" s="2338"/>
      <c r="BC138" s="2338"/>
      <c r="BD138" s="2338"/>
      <c r="BE138" s="2338"/>
      <c r="BF138" s="2338"/>
      <c r="BG138" s="2338"/>
      <c r="BH138" s="2338"/>
      <c r="BI138" s="2338"/>
      <c r="BJ138" s="2338"/>
      <c r="BK138" s="2338"/>
      <c r="BL138" s="2338"/>
      <c r="BM138" s="2338"/>
      <c r="BN138" s="2338"/>
      <c r="BO138" s="2338"/>
      <c r="BP138" s="2338"/>
      <c r="BQ138" s="2338"/>
      <c r="BR138" s="2338"/>
      <c r="BS138" s="2338"/>
      <c r="BT138" s="2338"/>
      <c r="BU138" s="2338"/>
      <c r="BV138" s="2338"/>
      <c r="BW138" s="2338"/>
      <c r="BX138" s="2338"/>
      <c r="BY138" s="2338"/>
      <c r="BZ138" s="2338"/>
      <c r="CA138" s="2338"/>
      <c r="CB138" s="2338"/>
      <c r="CC138" s="2338"/>
      <c r="CD138" s="2338"/>
      <c r="CE138" s="2338"/>
      <c r="CF138" s="2338"/>
      <c r="CG138" s="2338"/>
      <c r="CH138" s="2338"/>
      <c r="CI138" s="2338"/>
      <c r="CJ138" s="2338"/>
      <c r="CK138" s="2338"/>
      <c r="CL138" s="2338"/>
      <c r="CM138" s="2338"/>
      <c r="CN138" s="2338"/>
      <c r="CO138" s="2338"/>
      <c r="CP138" s="2338"/>
      <c r="CQ138" s="2338"/>
      <c r="CR138" s="2338"/>
      <c r="CS138" s="2338"/>
      <c r="CT138" s="2338"/>
      <c r="CU138" s="2338"/>
      <c r="CV138" s="2338"/>
      <c r="CW138" s="2338"/>
      <c r="CX138" s="2338"/>
      <c r="CY138" s="2338"/>
      <c r="CZ138" s="2338"/>
      <c r="DA138" s="2338"/>
      <c r="DB138" s="2338"/>
      <c r="DC138" s="2338"/>
      <c r="DD138" s="2338"/>
      <c r="DE138" s="2338"/>
      <c r="DF138" s="2338"/>
      <c r="DG138" s="2338"/>
      <c r="DH138" s="2338"/>
      <c r="DI138" s="2338"/>
      <c r="DJ138" s="2338"/>
    </row>
    <row r="139" spans="1:114" hidden="1" outlineLevel="1">
      <c r="A139" s="2566"/>
      <c r="B139" s="3210"/>
      <c r="C139" s="3208"/>
      <c r="D139" s="3208" t="s">
        <v>3911</v>
      </c>
      <c r="E139" s="3210" t="s">
        <v>3909</v>
      </c>
      <c r="F139" s="3767" t="s">
        <v>3860</v>
      </c>
      <c r="G139" s="3769"/>
      <c r="H139" s="2323"/>
      <c r="I139" s="2323"/>
      <c r="J139" s="2323"/>
      <c r="K139" s="2323"/>
      <c r="L139" s="2323"/>
      <c r="M139" s="2323"/>
      <c r="N139" s="2323"/>
      <c r="O139" s="2323"/>
      <c r="P139" s="2323"/>
      <c r="Q139" s="2323"/>
      <c r="R139" s="2323"/>
      <c r="S139" s="2323"/>
      <c r="T139" s="2383"/>
      <c r="U139" s="2383"/>
      <c r="V139" s="2319"/>
      <c r="W139" s="2319"/>
      <c r="X139" s="2319"/>
      <c r="Y139" s="2319"/>
      <c r="Z139" s="2566"/>
      <c r="AA139" s="2566"/>
      <c r="AB139" s="2566"/>
      <c r="AC139" s="2566"/>
      <c r="AD139" s="2323"/>
      <c r="AE139" s="2323"/>
      <c r="AF139" s="2323"/>
      <c r="AG139" s="2323"/>
      <c r="AH139" s="2323"/>
      <c r="AI139" s="2323"/>
      <c r="AJ139" s="2323"/>
      <c r="AK139" s="2898"/>
      <c r="AL139" s="2895">
        <f t="shared" si="4"/>
        <v>0</v>
      </c>
      <c r="AM139" s="2896" t="str">
        <f t="shared" si="5"/>
        <v/>
      </c>
      <c r="AN139" s="2338"/>
      <c r="AO139" s="2338"/>
      <c r="AP139" s="2338"/>
      <c r="AQ139" s="2338"/>
      <c r="AR139" s="2338"/>
      <c r="AS139" s="2338"/>
      <c r="AT139" s="2338"/>
      <c r="AU139" s="2338"/>
      <c r="AV139" s="2338"/>
      <c r="AW139" s="2338"/>
      <c r="AX139" s="2338"/>
      <c r="AY139" s="2338"/>
      <c r="AZ139" s="2338"/>
      <c r="BA139" s="2338"/>
      <c r="BB139" s="2338"/>
      <c r="BC139" s="2338"/>
      <c r="BD139" s="2338"/>
      <c r="BE139" s="2338"/>
      <c r="BF139" s="2338"/>
      <c r="BG139" s="2338"/>
      <c r="BH139" s="2338"/>
      <c r="BI139" s="2338"/>
      <c r="BJ139" s="2338"/>
      <c r="BK139" s="2338"/>
      <c r="BL139" s="2338"/>
      <c r="BM139" s="2338"/>
      <c r="BN139" s="2338"/>
      <c r="BO139" s="2338"/>
      <c r="BP139" s="2338"/>
      <c r="BQ139" s="2338"/>
      <c r="BR139" s="2338"/>
      <c r="BS139" s="2338"/>
      <c r="BT139" s="2338"/>
      <c r="BU139" s="2338"/>
      <c r="BV139" s="2338"/>
      <c r="BW139" s="2338"/>
      <c r="BX139" s="2338"/>
      <c r="BY139" s="2338"/>
      <c r="BZ139" s="2338"/>
      <c r="CA139" s="2338"/>
      <c r="CB139" s="2338"/>
      <c r="CC139" s="2338"/>
      <c r="CD139" s="2338"/>
      <c r="CE139" s="2338"/>
      <c r="CF139" s="2338"/>
      <c r="CG139" s="2338"/>
      <c r="CH139" s="2338"/>
      <c r="CI139" s="2338"/>
      <c r="CJ139" s="2338"/>
      <c r="CK139" s="2338"/>
      <c r="CL139" s="2338"/>
      <c r="CM139" s="2338"/>
      <c r="CN139" s="2338"/>
      <c r="CO139" s="2338"/>
      <c r="CP139" s="2338"/>
      <c r="CQ139" s="2338"/>
      <c r="CR139" s="2338"/>
      <c r="CS139" s="2338"/>
      <c r="CT139" s="2338"/>
      <c r="CU139" s="2338"/>
      <c r="CV139" s="2338"/>
      <c r="CW139" s="2338"/>
      <c r="CX139" s="2338"/>
      <c r="CY139" s="2338"/>
      <c r="CZ139" s="2338"/>
      <c r="DA139" s="2338"/>
      <c r="DB139" s="2338"/>
      <c r="DC139" s="2338"/>
      <c r="DD139" s="2338"/>
      <c r="DE139" s="2338"/>
      <c r="DF139" s="2338"/>
      <c r="DG139" s="2338"/>
      <c r="DH139" s="2338"/>
      <c r="DI139" s="2338"/>
      <c r="DJ139" s="2338"/>
    </row>
    <row r="140" spans="1:114" hidden="1" outlineLevel="1">
      <c r="A140" s="2566"/>
      <c r="B140" s="3210"/>
      <c r="C140" s="3208"/>
      <c r="D140" s="3208"/>
      <c r="E140" s="3210"/>
      <c r="F140" s="3767" t="s">
        <v>3861</v>
      </c>
      <c r="G140" s="3769"/>
      <c r="H140" s="2323"/>
      <c r="I140" s="2323"/>
      <c r="J140" s="2323"/>
      <c r="K140" s="2323"/>
      <c r="L140" s="2323"/>
      <c r="M140" s="2323"/>
      <c r="N140" s="2323"/>
      <c r="O140" s="2323"/>
      <c r="P140" s="2323"/>
      <c r="Q140" s="2323"/>
      <c r="R140" s="2323"/>
      <c r="S140" s="2323"/>
      <c r="T140" s="2383"/>
      <c r="U140" s="2383"/>
      <c r="V140" s="2319"/>
      <c r="W140" s="2319"/>
      <c r="X140" s="2319"/>
      <c r="Y140" s="2319"/>
      <c r="Z140" s="2566"/>
      <c r="AA140" s="2566"/>
      <c r="AB140" s="2566"/>
      <c r="AC140" s="2566"/>
      <c r="AD140" s="2323"/>
      <c r="AE140" s="2323"/>
      <c r="AF140" s="2323"/>
      <c r="AG140" s="2323"/>
      <c r="AH140" s="2323"/>
      <c r="AI140" s="2323"/>
      <c r="AJ140" s="2323"/>
      <c r="AK140" s="2898"/>
      <c r="AL140" s="2895">
        <f t="shared" si="4"/>
        <v>0</v>
      </c>
      <c r="AM140" s="2896" t="str">
        <f t="shared" si="5"/>
        <v/>
      </c>
      <c r="AN140" s="2338"/>
      <c r="AO140" s="2338"/>
      <c r="AP140" s="2338"/>
      <c r="AQ140" s="2338"/>
      <c r="AR140" s="2338"/>
      <c r="AS140" s="2338"/>
      <c r="AT140" s="2338"/>
      <c r="AU140" s="2338"/>
      <c r="AV140" s="2338"/>
      <c r="AW140" s="2338"/>
      <c r="AX140" s="2338"/>
      <c r="AY140" s="2338"/>
      <c r="AZ140" s="2338"/>
      <c r="BA140" s="2338"/>
      <c r="BB140" s="2338"/>
      <c r="BC140" s="2338"/>
      <c r="BD140" s="2338"/>
      <c r="BE140" s="2338"/>
      <c r="BF140" s="2338"/>
      <c r="BG140" s="2338"/>
      <c r="BH140" s="2338"/>
      <c r="BI140" s="2338"/>
      <c r="BJ140" s="2338"/>
      <c r="BK140" s="2338"/>
      <c r="BL140" s="2338"/>
      <c r="BM140" s="2338"/>
      <c r="BN140" s="2338"/>
      <c r="BO140" s="2338"/>
      <c r="BP140" s="2338"/>
      <c r="BQ140" s="2338"/>
      <c r="BR140" s="2338"/>
      <c r="BS140" s="2338"/>
      <c r="BT140" s="2338"/>
      <c r="BU140" s="2338"/>
      <c r="BV140" s="2338"/>
      <c r="BW140" s="2338"/>
      <c r="BX140" s="2338"/>
      <c r="BY140" s="2338"/>
      <c r="BZ140" s="2338"/>
      <c r="CA140" s="2338"/>
      <c r="CB140" s="2338"/>
      <c r="CC140" s="2338"/>
      <c r="CD140" s="2338"/>
      <c r="CE140" s="2338"/>
      <c r="CF140" s="2338"/>
      <c r="CG140" s="2338"/>
      <c r="CH140" s="2338"/>
      <c r="CI140" s="2338"/>
      <c r="CJ140" s="2338"/>
      <c r="CK140" s="2338"/>
      <c r="CL140" s="2338"/>
      <c r="CM140" s="2338"/>
      <c r="CN140" s="2338"/>
      <c r="CO140" s="2338"/>
      <c r="CP140" s="2338"/>
      <c r="CQ140" s="2338"/>
      <c r="CR140" s="2338"/>
      <c r="CS140" s="2338"/>
      <c r="CT140" s="2338"/>
      <c r="CU140" s="2338"/>
      <c r="CV140" s="2338"/>
      <c r="CW140" s="2338"/>
      <c r="CX140" s="2338"/>
      <c r="CY140" s="2338"/>
      <c r="CZ140" s="2338"/>
      <c r="DA140" s="2338"/>
      <c r="DB140" s="2338"/>
      <c r="DC140" s="2338"/>
      <c r="DD140" s="2338"/>
      <c r="DE140" s="2338"/>
      <c r="DF140" s="2338"/>
      <c r="DG140" s="2338"/>
      <c r="DH140" s="2338"/>
      <c r="DI140" s="2338"/>
      <c r="DJ140" s="2338"/>
    </row>
    <row r="141" spans="1:114" hidden="1" outlineLevel="1">
      <c r="A141" s="2566"/>
      <c r="B141" s="3210"/>
      <c r="C141" s="3208"/>
      <c r="D141" s="3208"/>
      <c r="E141" s="3210"/>
      <c r="F141" s="3767" t="s">
        <v>3862</v>
      </c>
      <c r="G141" s="3769"/>
      <c r="H141" s="2323"/>
      <c r="I141" s="2323"/>
      <c r="J141" s="2323"/>
      <c r="K141" s="2323"/>
      <c r="L141" s="2323"/>
      <c r="M141" s="2323"/>
      <c r="N141" s="2323"/>
      <c r="O141" s="2323"/>
      <c r="P141" s="2323"/>
      <c r="Q141" s="2323"/>
      <c r="R141" s="2323"/>
      <c r="S141" s="2323"/>
      <c r="T141" s="2383"/>
      <c r="U141" s="2383"/>
      <c r="V141" s="2319"/>
      <c r="W141" s="2319"/>
      <c r="X141" s="2319"/>
      <c r="Y141" s="2319"/>
      <c r="Z141" s="2566"/>
      <c r="AA141" s="2566"/>
      <c r="AB141" s="2566"/>
      <c r="AC141" s="2566"/>
      <c r="AD141" s="2323"/>
      <c r="AE141" s="2323"/>
      <c r="AF141" s="2323"/>
      <c r="AG141" s="2323"/>
      <c r="AH141" s="2323"/>
      <c r="AI141" s="2323"/>
      <c r="AJ141" s="2323"/>
      <c r="AK141" s="2898"/>
      <c r="AL141" s="2895">
        <f t="shared" si="4"/>
        <v>0</v>
      </c>
      <c r="AM141" s="2896" t="str">
        <f t="shared" si="5"/>
        <v/>
      </c>
      <c r="AN141" s="2338"/>
      <c r="AO141" s="2338"/>
      <c r="AP141" s="2338"/>
      <c r="AQ141" s="2338"/>
      <c r="AR141" s="2338"/>
      <c r="AS141" s="2338"/>
      <c r="AT141" s="2338"/>
      <c r="AU141" s="2338"/>
      <c r="AV141" s="2338"/>
      <c r="AW141" s="2338"/>
      <c r="AX141" s="2338"/>
      <c r="AY141" s="2338"/>
      <c r="AZ141" s="2338"/>
      <c r="BA141" s="2338"/>
      <c r="BB141" s="2338"/>
      <c r="BC141" s="2338"/>
      <c r="BD141" s="2338"/>
      <c r="BE141" s="2338"/>
      <c r="BF141" s="2338"/>
      <c r="BG141" s="2338"/>
      <c r="BH141" s="2338"/>
      <c r="BI141" s="2338"/>
      <c r="BJ141" s="2338"/>
      <c r="BK141" s="2338"/>
      <c r="BL141" s="2338"/>
      <c r="BM141" s="2338"/>
      <c r="BN141" s="2338"/>
      <c r="BO141" s="2338"/>
      <c r="BP141" s="2338"/>
      <c r="BQ141" s="2338"/>
      <c r="BR141" s="2338"/>
      <c r="BS141" s="2338"/>
      <c r="BT141" s="2338"/>
      <c r="BU141" s="2338"/>
      <c r="BV141" s="2338"/>
      <c r="BW141" s="2338"/>
      <c r="BX141" s="2338"/>
      <c r="BY141" s="2338"/>
      <c r="BZ141" s="2338"/>
      <c r="CA141" s="2338"/>
      <c r="CB141" s="2338"/>
      <c r="CC141" s="2338"/>
      <c r="CD141" s="2338"/>
      <c r="CE141" s="2338"/>
      <c r="CF141" s="2338"/>
      <c r="CG141" s="2338"/>
      <c r="CH141" s="2338"/>
      <c r="CI141" s="2338"/>
      <c r="CJ141" s="2338"/>
      <c r="CK141" s="2338"/>
      <c r="CL141" s="2338"/>
      <c r="CM141" s="2338"/>
      <c r="CN141" s="2338"/>
      <c r="CO141" s="2338"/>
      <c r="CP141" s="2338"/>
      <c r="CQ141" s="2338"/>
      <c r="CR141" s="2338"/>
      <c r="CS141" s="2338"/>
      <c r="CT141" s="2338"/>
      <c r="CU141" s="2338"/>
      <c r="CV141" s="2338"/>
      <c r="CW141" s="2338"/>
      <c r="CX141" s="2338"/>
      <c r="CY141" s="2338"/>
      <c r="CZ141" s="2338"/>
      <c r="DA141" s="2338"/>
      <c r="DB141" s="2338"/>
      <c r="DC141" s="2338"/>
      <c r="DD141" s="2338"/>
      <c r="DE141" s="2338"/>
      <c r="DF141" s="2338"/>
      <c r="DG141" s="2338"/>
      <c r="DH141" s="2338"/>
      <c r="DI141" s="2338"/>
      <c r="DJ141" s="2338"/>
    </row>
    <row r="142" spans="1:114" hidden="1" outlineLevel="1">
      <c r="A142" s="2566"/>
      <c r="B142" s="3210"/>
      <c r="C142" s="3208"/>
      <c r="D142" s="3208"/>
      <c r="E142" s="3210"/>
      <c r="F142" s="3767" t="s">
        <v>3863</v>
      </c>
      <c r="G142" s="3769"/>
      <c r="H142" s="2323"/>
      <c r="I142" s="2323"/>
      <c r="J142" s="2323"/>
      <c r="K142" s="2323"/>
      <c r="L142" s="2323"/>
      <c r="M142" s="2323"/>
      <c r="N142" s="2323"/>
      <c r="O142" s="2323"/>
      <c r="P142" s="2323"/>
      <c r="Q142" s="2323"/>
      <c r="R142" s="2323"/>
      <c r="S142" s="2323"/>
      <c r="T142" s="2383"/>
      <c r="U142" s="2383"/>
      <c r="V142" s="2319"/>
      <c r="W142" s="2319"/>
      <c r="X142" s="2319"/>
      <c r="Y142" s="2319"/>
      <c r="Z142" s="2566"/>
      <c r="AA142" s="2566"/>
      <c r="AB142" s="2566"/>
      <c r="AC142" s="2566"/>
      <c r="AD142" s="2323"/>
      <c r="AE142" s="2323"/>
      <c r="AF142" s="2323"/>
      <c r="AG142" s="2323"/>
      <c r="AH142" s="2323"/>
      <c r="AI142" s="2323"/>
      <c r="AJ142" s="2323"/>
      <c r="AK142" s="2898"/>
      <c r="AL142" s="2895">
        <f t="shared" si="4"/>
        <v>0</v>
      </c>
      <c r="AM142" s="2896" t="str">
        <f t="shared" si="5"/>
        <v/>
      </c>
      <c r="AN142" s="2338"/>
      <c r="AO142" s="2338"/>
      <c r="AP142" s="2338"/>
      <c r="AQ142" s="2338"/>
      <c r="AR142" s="2338"/>
      <c r="AS142" s="2338"/>
      <c r="AT142" s="2338"/>
      <c r="AU142" s="2338"/>
      <c r="AV142" s="2338"/>
      <c r="AW142" s="2338"/>
      <c r="AX142" s="2338"/>
      <c r="AY142" s="2338"/>
      <c r="AZ142" s="2338"/>
      <c r="BA142" s="2338"/>
      <c r="BB142" s="2338"/>
      <c r="BC142" s="2338"/>
      <c r="BD142" s="2338"/>
      <c r="BE142" s="2338"/>
      <c r="BF142" s="2338"/>
      <c r="BG142" s="2338"/>
      <c r="BH142" s="2338"/>
      <c r="BI142" s="2338"/>
      <c r="BJ142" s="2338"/>
      <c r="BK142" s="2338"/>
      <c r="BL142" s="2338"/>
      <c r="BM142" s="2338"/>
      <c r="BN142" s="2338"/>
      <c r="BO142" s="2338"/>
      <c r="BP142" s="2338"/>
      <c r="BQ142" s="2338"/>
      <c r="BR142" s="2338"/>
      <c r="BS142" s="2338"/>
      <c r="BT142" s="2338"/>
      <c r="BU142" s="2338"/>
      <c r="BV142" s="2338"/>
      <c r="BW142" s="2338"/>
      <c r="BX142" s="2338"/>
      <c r="BY142" s="2338"/>
      <c r="BZ142" s="2338"/>
      <c r="CA142" s="2338"/>
      <c r="CB142" s="2338"/>
      <c r="CC142" s="2338"/>
      <c r="CD142" s="2338"/>
      <c r="CE142" s="2338"/>
      <c r="CF142" s="2338"/>
      <c r="CG142" s="2338"/>
      <c r="CH142" s="2338"/>
      <c r="CI142" s="2338"/>
      <c r="CJ142" s="2338"/>
      <c r="CK142" s="2338"/>
      <c r="CL142" s="2338"/>
      <c r="CM142" s="2338"/>
      <c r="CN142" s="2338"/>
      <c r="CO142" s="2338"/>
      <c r="CP142" s="2338"/>
      <c r="CQ142" s="2338"/>
      <c r="CR142" s="2338"/>
      <c r="CS142" s="2338"/>
      <c r="CT142" s="2338"/>
      <c r="CU142" s="2338"/>
      <c r="CV142" s="2338"/>
      <c r="CW142" s="2338"/>
      <c r="CX142" s="2338"/>
      <c r="CY142" s="2338"/>
      <c r="CZ142" s="2338"/>
      <c r="DA142" s="2338"/>
      <c r="DB142" s="2338"/>
      <c r="DC142" s="2338"/>
      <c r="DD142" s="2338"/>
      <c r="DE142" s="2338"/>
      <c r="DF142" s="2338"/>
      <c r="DG142" s="2338"/>
      <c r="DH142" s="2338"/>
      <c r="DI142" s="2338"/>
      <c r="DJ142" s="2338"/>
    </row>
    <row r="143" spans="1:114" hidden="1" outlineLevel="1">
      <c r="A143" s="2566"/>
      <c r="B143" s="3210"/>
      <c r="C143" s="3208"/>
      <c r="D143" s="3208"/>
      <c r="E143" s="3210"/>
      <c r="F143" s="3767" t="s">
        <v>3864</v>
      </c>
      <c r="G143" s="3769"/>
      <c r="H143" s="2323"/>
      <c r="I143" s="2323"/>
      <c r="J143" s="2323"/>
      <c r="K143" s="2323"/>
      <c r="L143" s="2323"/>
      <c r="M143" s="2323"/>
      <c r="N143" s="2323"/>
      <c r="O143" s="2323"/>
      <c r="P143" s="2323"/>
      <c r="Q143" s="2323"/>
      <c r="R143" s="2323"/>
      <c r="S143" s="2323"/>
      <c r="T143" s="2383"/>
      <c r="U143" s="2383"/>
      <c r="V143" s="2319"/>
      <c r="W143" s="2319"/>
      <c r="X143" s="2319"/>
      <c r="Y143" s="2319"/>
      <c r="Z143" s="2566"/>
      <c r="AA143" s="2566"/>
      <c r="AB143" s="2566"/>
      <c r="AC143" s="2566"/>
      <c r="AD143" s="2323"/>
      <c r="AE143" s="2323"/>
      <c r="AF143" s="2323"/>
      <c r="AG143" s="2323"/>
      <c r="AH143" s="2323"/>
      <c r="AI143" s="2323"/>
      <c r="AJ143" s="2323"/>
      <c r="AK143" s="2898"/>
      <c r="AL143" s="2895">
        <f t="shared" si="4"/>
        <v>0</v>
      </c>
      <c r="AM143" s="2896" t="str">
        <f t="shared" si="5"/>
        <v/>
      </c>
      <c r="AN143" s="2338"/>
      <c r="AO143" s="2338"/>
      <c r="AP143" s="2338"/>
      <c r="AQ143" s="2338"/>
      <c r="AR143" s="2338"/>
      <c r="AS143" s="2338"/>
      <c r="AT143" s="2338"/>
      <c r="AU143" s="2338"/>
      <c r="AV143" s="2338"/>
      <c r="AW143" s="2338"/>
      <c r="AX143" s="2338"/>
      <c r="AY143" s="2338"/>
      <c r="AZ143" s="2338"/>
      <c r="BA143" s="2338"/>
      <c r="BB143" s="2338"/>
      <c r="BC143" s="2338"/>
      <c r="BD143" s="2338"/>
      <c r="BE143" s="2338"/>
      <c r="BF143" s="2338"/>
      <c r="BG143" s="2338"/>
      <c r="BH143" s="2338"/>
      <c r="BI143" s="2338"/>
      <c r="BJ143" s="2338"/>
      <c r="BK143" s="2338"/>
      <c r="BL143" s="2338"/>
      <c r="BM143" s="2338"/>
      <c r="BN143" s="2338"/>
      <c r="BO143" s="2338"/>
      <c r="BP143" s="2338"/>
      <c r="BQ143" s="2338"/>
      <c r="BR143" s="2338"/>
      <c r="BS143" s="2338"/>
      <c r="BT143" s="2338"/>
      <c r="BU143" s="2338"/>
      <c r="BV143" s="2338"/>
      <c r="BW143" s="2338"/>
      <c r="BX143" s="2338"/>
      <c r="BY143" s="2338"/>
      <c r="BZ143" s="2338"/>
      <c r="CA143" s="2338"/>
      <c r="CB143" s="2338"/>
      <c r="CC143" s="2338"/>
      <c r="CD143" s="2338"/>
      <c r="CE143" s="2338"/>
      <c r="CF143" s="2338"/>
      <c r="CG143" s="2338"/>
      <c r="CH143" s="2338"/>
      <c r="CI143" s="2338"/>
      <c r="CJ143" s="2338"/>
      <c r="CK143" s="2338"/>
      <c r="CL143" s="2338"/>
      <c r="CM143" s="2338"/>
      <c r="CN143" s="2338"/>
      <c r="CO143" s="2338"/>
      <c r="CP143" s="2338"/>
      <c r="CQ143" s="2338"/>
      <c r="CR143" s="2338"/>
      <c r="CS143" s="2338"/>
      <c r="CT143" s="2338"/>
      <c r="CU143" s="2338"/>
      <c r="CV143" s="2338"/>
      <c r="CW143" s="2338"/>
      <c r="CX143" s="2338"/>
      <c r="CY143" s="2338"/>
      <c r="CZ143" s="2338"/>
      <c r="DA143" s="2338"/>
      <c r="DB143" s="2338"/>
      <c r="DC143" s="2338"/>
      <c r="DD143" s="2338"/>
      <c r="DE143" s="2338"/>
      <c r="DF143" s="2338"/>
      <c r="DG143" s="2338"/>
      <c r="DH143" s="2338"/>
      <c r="DI143" s="2338"/>
      <c r="DJ143" s="2338"/>
    </row>
    <row r="144" spans="1:114" hidden="1" outlineLevel="1">
      <c r="A144" s="2566"/>
      <c r="B144" s="3210"/>
      <c r="C144" s="3208"/>
      <c r="D144" s="3208"/>
      <c r="E144" s="3210"/>
      <c r="F144" s="3767" t="s">
        <v>3865</v>
      </c>
      <c r="G144" s="3769"/>
      <c r="H144" s="2323"/>
      <c r="I144" s="2323"/>
      <c r="J144" s="2323"/>
      <c r="K144" s="2323"/>
      <c r="L144" s="2323"/>
      <c r="M144" s="2323"/>
      <c r="N144" s="2323"/>
      <c r="O144" s="2323"/>
      <c r="P144" s="2323"/>
      <c r="Q144" s="2323"/>
      <c r="R144" s="2323"/>
      <c r="S144" s="2323"/>
      <c r="T144" s="2383"/>
      <c r="U144" s="2383"/>
      <c r="V144" s="2319"/>
      <c r="W144" s="2319"/>
      <c r="X144" s="2319"/>
      <c r="Y144" s="2319"/>
      <c r="Z144" s="2566"/>
      <c r="AA144" s="2566"/>
      <c r="AB144" s="2566"/>
      <c r="AC144" s="2566"/>
      <c r="AD144" s="2323"/>
      <c r="AE144" s="2323"/>
      <c r="AF144" s="2323"/>
      <c r="AG144" s="2323"/>
      <c r="AH144" s="2323"/>
      <c r="AI144" s="2323"/>
      <c r="AJ144" s="2323"/>
      <c r="AK144" s="2898"/>
      <c r="AL144" s="2895">
        <f t="shared" si="4"/>
        <v>0</v>
      </c>
      <c r="AM144" s="2896" t="str">
        <f t="shared" si="5"/>
        <v/>
      </c>
      <c r="AN144" s="2338"/>
      <c r="AO144" s="2338"/>
      <c r="AP144" s="2338"/>
      <c r="AQ144" s="2338"/>
      <c r="AR144" s="2338"/>
      <c r="AS144" s="2338"/>
      <c r="AT144" s="2338"/>
      <c r="AU144" s="2338"/>
      <c r="AV144" s="2338"/>
      <c r="AW144" s="2338"/>
      <c r="AX144" s="2338"/>
      <c r="AY144" s="2338"/>
      <c r="AZ144" s="2338"/>
      <c r="BA144" s="2338"/>
      <c r="BB144" s="2338"/>
      <c r="BC144" s="2338"/>
      <c r="BD144" s="2338"/>
      <c r="BE144" s="2338"/>
      <c r="BF144" s="2338"/>
      <c r="BG144" s="2338"/>
      <c r="BH144" s="2338"/>
      <c r="BI144" s="2338"/>
      <c r="BJ144" s="2338"/>
      <c r="BK144" s="2338"/>
      <c r="BL144" s="2338"/>
      <c r="BM144" s="2338"/>
      <c r="BN144" s="2338"/>
      <c r="BO144" s="2338"/>
      <c r="BP144" s="2338"/>
      <c r="BQ144" s="2338"/>
      <c r="BR144" s="2338"/>
      <c r="BS144" s="2338"/>
      <c r="BT144" s="2338"/>
      <c r="BU144" s="2338"/>
      <c r="BV144" s="2338"/>
      <c r="BW144" s="2338"/>
      <c r="BX144" s="2338"/>
      <c r="BY144" s="2338"/>
      <c r="BZ144" s="2338"/>
      <c r="CA144" s="2338"/>
      <c r="CB144" s="2338"/>
      <c r="CC144" s="2338"/>
      <c r="CD144" s="2338"/>
      <c r="CE144" s="2338"/>
      <c r="CF144" s="2338"/>
      <c r="CG144" s="2338"/>
      <c r="CH144" s="2338"/>
      <c r="CI144" s="2338"/>
      <c r="CJ144" s="2338"/>
      <c r="CK144" s="2338"/>
      <c r="CL144" s="2338"/>
      <c r="CM144" s="2338"/>
      <c r="CN144" s="2338"/>
      <c r="CO144" s="2338"/>
      <c r="CP144" s="2338"/>
      <c r="CQ144" s="2338"/>
      <c r="CR144" s="2338"/>
      <c r="CS144" s="2338"/>
      <c r="CT144" s="2338"/>
      <c r="CU144" s="2338"/>
      <c r="CV144" s="2338"/>
      <c r="CW144" s="2338"/>
      <c r="CX144" s="2338"/>
      <c r="CY144" s="2338"/>
      <c r="CZ144" s="2338"/>
      <c r="DA144" s="2338"/>
      <c r="DB144" s="2338"/>
      <c r="DC144" s="2338"/>
      <c r="DD144" s="2338"/>
      <c r="DE144" s="2338"/>
      <c r="DF144" s="2338"/>
      <c r="DG144" s="2338"/>
      <c r="DH144" s="2338"/>
      <c r="DI144" s="2338"/>
      <c r="DJ144" s="2338"/>
    </row>
    <row r="145" spans="1:114" hidden="1" outlineLevel="1">
      <c r="A145" s="2566"/>
      <c r="B145" s="3210"/>
      <c r="C145" s="3208"/>
      <c r="D145" s="3208"/>
      <c r="E145" s="3210" t="s">
        <v>3910</v>
      </c>
      <c r="F145" s="3767" t="s">
        <v>3860</v>
      </c>
      <c r="G145" s="3769"/>
      <c r="H145" s="2323"/>
      <c r="I145" s="2323"/>
      <c r="J145" s="2323"/>
      <c r="K145" s="2323"/>
      <c r="L145" s="2323"/>
      <c r="M145" s="2323"/>
      <c r="N145" s="2323"/>
      <c r="O145" s="2323"/>
      <c r="P145" s="2323"/>
      <c r="Q145" s="2323"/>
      <c r="R145" s="2323"/>
      <c r="S145" s="2323"/>
      <c r="T145" s="2383"/>
      <c r="U145" s="2383"/>
      <c r="V145" s="2343"/>
      <c r="W145" s="2343"/>
      <c r="X145" s="2343"/>
      <c r="Y145" s="2343"/>
      <c r="Z145" s="2566"/>
      <c r="AA145" s="2566"/>
      <c r="AB145" s="2566"/>
      <c r="AC145" s="2566"/>
      <c r="AD145" s="2323"/>
      <c r="AE145" s="2323"/>
      <c r="AF145" s="2323"/>
      <c r="AG145" s="2323"/>
      <c r="AH145" s="2323"/>
      <c r="AI145" s="2323"/>
      <c r="AJ145" s="2323"/>
      <c r="AK145" s="2898"/>
      <c r="AL145" s="2895">
        <f t="shared" si="4"/>
        <v>0</v>
      </c>
      <c r="AM145" s="2896" t="str">
        <f t="shared" si="5"/>
        <v/>
      </c>
      <c r="AN145" s="2338"/>
      <c r="AO145" s="2338"/>
      <c r="AP145" s="2338"/>
      <c r="AQ145" s="2338"/>
      <c r="AR145" s="2338"/>
      <c r="AS145" s="2338"/>
      <c r="AT145" s="2338"/>
      <c r="AU145" s="2338"/>
      <c r="AV145" s="2338"/>
      <c r="AW145" s="2338"/>
      <c r="AX145" s="2338"/>
      <c r="AY145" s="2338"/>
      <c r="AZ145" s="2338"/>
      <c r="BA145" s="2338"/>
      <c r="BB145" s="2338"/>
      <c r="BC145" s="2338"/>
      <c r="BD145" s="2338"/>
      <c r="BE145" s="2338"/>
      <c r="BF145" s="2338"/>
      <c r="BG145" s="2338"/>
      <c r="BH145" s="2338"/>
      <c r="BI145" s="2338"/>
      <c r="BJ145" s="2338"/>
      <c r="BK145" s="2338"/>
      <c r="BL145" s="2338"/>
      <c r="BM145" s="2338"/>
      <c r="BN145" s="2338"/>
      <c r="BO145" s="2338"/>
      <c r="BP145" s="2338"/>
      <c r="BQ145" s="2338"/>
      <c r="BR145" s="2338"/>
      <c r="BS145" s="2338"/>
      <c r="BT145" s="2338"/>
      <c r="BU145" s="2338"/>
      <c r="BV145" s="2338"/>
      <c r="BW145" s="2338"/>
      <c r="BX145" s="2338"/>
      <c r="BY145" s="2338"/>
      <c r="BZ145" s="2338"/>
      <c r="CA145" s="2338"/>
      <c r="CB145" s="2338"/>
      <c r="CC145" s="2338"/>
      <c r="CD145" s="2338"/>
      <c r="CE145" s="2338"/>
      <c r="CF145" s="2338"/>
      <c r="CG145" s="2338"/>
      <c r="CH145" s="2338"/>
      <c r="CI145" s="2338"/>
      <c r="CJ145" s="2338"/>
      <c r="CK145" s="2338"/>
      <c r="CL145" s="2338"/>
      <c r="CM145" s="2338"/>
      <c r="CN145" s="2338"/>
      <c r="CO145" s="2338"/>
      <c r="CP145" s="2338"/>
      <c r="CQ145" s="2338"/>
      <c r="CR145" s="2338"/>
      <c r="CS145" s="2338"/>
      <c r="CT145" s="2338"/>
      <c r="CU145" s="2338"/>
      <c r="CV145" s="2338"/>
      <c r="CW145" s="2338"/>
      <c r="CX145" s="2338"/>
      <c r="CY145" s="2338"/>
      <c r="CZ145" s="2338"/>
      <c r="DA145" s="2338"/>
      <c r="DB145" s="2338"/>
      <c r="DC145" s="2338"/>
      <c r="DD145" s="2338"/>
      <c r="DE145" s="2338"/>
      <c r="DF145" s="2338"/>
      <c r="DG145" s="2338"/>
      <c r="DH145" s="2338"/>
      <c r="DI145" s="2338"/>
      <c r="DJ145" s="2338"/>
    </row>
    <row r="146" spans="1:114" hidden="1" outlineLevel="1">
      <c r="A146" s="2566"/>
      <c r="B146" s="3210"/>
      <c r="C146" s="3208"/>
      <c r="D146" s="3208"/>
      <c r="E146" s="3210"/>
      <c r="F146" s="3767" t="s">
        <v>3861</v>
      </c>
      <c r="G146" s="3769"/>
      <c r="H146" s="2323"/>
      <c r="I146" s="2323"/>
      <c r="J146" s="2323"/>
      <c r="K146" s="2323"/>
      <c r="L146" s="2323"/>
      <c r="M146" s="2323"/>
      <c r="N146" s="2323"/>
      <c r="O146" s="2323"/>
      <c r="P146" s="2323"/>
      <c r="Q146" s="2323"/>
      <c r="R146" s="2323"/>
      <c r="S146" s="2323"/>
      <c r="T146" s="2383"/>
      <c r="U146" s="2383"/>
      <c r="V146" s="2343"/>
      <c r="W146" s="2343"/>
      <c r="X146" s="2343"/>
      <c r="Y146" s="2343"/>
      <c r="Z146" s="2566"/>
      <c r="AA146" s="2566"/>
      <c r="AB146" s="2566"/>
      <c r="AC146" s="2566"/>
      <c r="AD146" s="2323"/>
      <c r="AE146" s="2323"/>
      <c r="AF146" s="2323"/>
      <c r="AG146" s="2323"/>
      <c r="AH146" s="2323"/>
      <c r="AI146" s="2323"/>
      <c r="AJ146" s="2323"/>
      <c r="AK146" s="2898"/>
      <c r="AL146" s="2895">
        <f t="shared" si="4"/>
        <v>0</v>
      </c>
      <c r="AM146" s="2896" t="str">
        <f t="shared" si="5"/>
        <v/>
      </c>
      <c r="AN146" s="2338"/>
      <c r="AO146" s="2338"/>
      <c r="AP146" s="2338"/>
      <c r="AQ146" s="2338"/>
      <c r="AR146" s="2338"/>
      <c r="AS146" s="2338"/>
      <c r="AT146" s="2338"/>
      <c r="AU146" s="2338"/>
      <c r="AV146" s="2338"/>
      <c r="AW146" s="2338"/>
      <c r="AX146" s="2338"/>
      <c r="AY146" s="2338"/>
      <c r="AZ146" s="2338"/>
      <c r="BA146" s="2338"/>
      <c r="BB146" s="2338"/>
      <c r="BC146" s="2338"/>
      <c r="BD146" s="2338"/>
      <c r="BE146" s="2338"/>
      <c r="BF146" s="2338"/>
      <c r="BG146" s="2338"/>
      <c r="BH146" s="2338"/>
      <c r="BI146" s="2338"/>
      <c r="BJ146" s="2338"/>
      <c r="BK146" s="2338"/>
      <c r="BL146" s="2338"/>
      <c r="BM146" s="2338"/>
      <c r="BN146" s="2338"/>
      <c r="BO146" s="2338"/>
      <c r="BP146" s="2338"/>
      <c r="BQ146" s="2338"/>
      <c r="BR146" s="2338"/>
      <c r="BS146" s="2338"/>
      <c r="BT146" s="2338"/>
      <c r="BU146" s="2338"/>
      <c r="BV146" s="2338"/>
      <c r="BW146" s="2338"/>
      <c r="BX146" s="2338"/>
      <c r="BY146" s="2338"/>
      <c r="BZ146" s="2338"/>
      <c r="CA146" s="2338"/>
      <c r="CB146" s="2338"/>
      <c r="CC146" s="2338"/>
      <c r="CD146" s="2338"/>
      <c r="CE146" s="2338"/>
      <c r="CF146" s="2338"/>
      <c r="CG146" s="2338"/>
      <c r="CH146" s="2338"/>
      <c r="CI146" s="2338"/>
      <c r="CJ146" s="2338"/>
      <c r="CK146" s="2338"/>
      <c r="CL146" s="2338"/>
      <c r="CM146" s="2338"/>
      <c r="CN146" s="2338"/>
      <c r="CO146" s="2338"/>
      <c r="CP146" s="2338"/>
      <c r="CQ146" s="2338"/>
      <c r="CR146" s="2338"/>
      <c r="CS146" s="2338"/>
      <c r="CT146" s="2338"/>
      <c r="CU146" s="2338"/>
      <c r="CV146" s="2338"/>
      <c r="CW146" s="2338"/>
      <c r="CX146" s="2338"/>
      <c r="CY146" s="2338"/>
      <c r="CZ146" s="2338"/>
      <c r="DA146" s="2338"/>
      <c r="DB146" s="2338"/>
      <c r="DC146" s="2338"/>
      <c r="DD146" s="2338"/>
      <c r="DE146" s="2338"/>
      <c r="DF146" s="2338"/>
      <c r="DG146" s="2338"/>
      <c r="DH146" s="2338"/>
      <c r="DI146" s="2338"/>
      <c r="DJ146" s="2338"/>
    </row>
    <row r="147" spans="1:114" hidden="1" outlineLevel="1">
      <c r="A147" s="2566"/>
      <c r="B147" s="3210"/>
      <c r="C147" s="3208"/>
      <c r="D147" s="3208"/>
      <c r="E147" s="3210"/>
      <c r="F147" s="3767" t="s">
        <v>3862</v>
      </c>
      <c r="G147" s="3769"/>
      <c r="H147" s="2323"/>
      <c r="I147" s="2323"/>
      <c r="J147" s="2323"/>
      <c r="K147" s="2323"/>
      <c r="L147" s="2323"/>
      <c r="M147" s="2323"/>
      <c r="N147" s="2323"/>
      <c r="O147" s="2323"/>
      <c r="P147" s="2323"/>
      <c r="Q147" s="2323"/>
      <c r="R147" s="2323"/>
      <c r="S147" s="2323"/>
      <c r="T147" s="2383"/>
      <c r="U147" s="2383"/>
      <c r="V147" s="2343"/>
      <c r="W147" s="2343"/>
      <c r="X147" s="2343"/>
      <c r="Y147" s="2343"/>
      <c r="Z147" s="2566"/>
      <c r="AA147" s="2566"/>
      <c r="AB147" s="2566"/>
      <c r="AC147" s="2566"/>
      <c r="AD147" s="2323"/>
      <c r="AE147" s="2323"/>
      <c r="AF147" s="2323"/>
      <c r="AG147" s="2323"/>
      <c r="AH147" s="2323"/>
      <c r="AI147" s="2323"/>
      <c r="AJ147" s="2323"/>
      <c r="AK147" s="2898"/>
      <c r="AL147" s="2895">
        <f t="shared" si="4"/>
        <v>0</v>
      </c>
      <c r="AM147" s="2896" t="str">
        <f t="shared" si="5"/>
        <v/>
      </c>
      <c r="AN147" s="2338"/>
      <c r="AO147" s="2338"/>
      <c r="AP147" s="2338"/>
      <c r="AQ147" s="2338"/>
      <c r="AR147" s="2338"/>
      <c r="AS147" s="2338"/>
      <c r="AT147" s="2338"/>
      <c r="AU147" s="2338"/>
      <c r="AV147" s="2338"/>
      <c r="AW147" s="2338"/>
      <c r="AX147" s="2338"/>
      <c r="AY147" s="2338"/>
      <c r="AZ147" s="2338"/>
      <c r="BA147" s="2338"/>
      <c r="BB147" s="2338"/>
      <c r="BC147" s="2338"/>
      <c r="BD147" s="2338"/>
      <c r="BE147" s="2338"/>
      <c r="BF147" s="2338"/>
      <c r="BG147" s="2338"/>
      <c r="BH147" s="2338"/>
      <c r="BI147" s="2338"/>
      <c r="BJ147" s="2338"/>
      <c r="BK147" s="2338"/>
      <c r="BL147" s="2338"/>
      <c r="BM147" s="2338"/>
      <c r="BN147" s="2338"/>
      <c r="BO147" s="2338"/>
      <c r="BP147" s="2338"/>
      <c r="BQ147" s="2338"/>
      <c r="BR147" s="2338"/>
      <c r="BS147" s="2338"/>
      <c r="BT147" s="2338"/>
      <c r="BU147" s="2338"/>
      <c r="BV147" s="2338"/>
      <c r="BW147" s="2338"/>
      <c r="BX147" s="2338"/>
      <c r="BY147" s="2338"/>
      <c r="BZ147" s="2338"/>
      <c r="CA147" s="2338"/>
      <c r="CB147" s="2338"/>
      <c r="CC147" s="2338"/>
      <c r="CD147" s="2338"/>
      <c r="CE147" s="2338"/>
      <c r="CF147" s="2338"/>
      <c r="CG147" s="2338"/>
      <c r="CH147" s="2338"/>
      <c r="CI147" s="2338"/>
      <c r="CJ147" s="2338"/>
      <c r="CK147" s="2338"/>
      <c r="CL147" s="2338"/>
      <c r="CM147" s="2338"/>
      <c r="CN147" s="2338"/>
      <c r="CO147" s="2338"/>
      <c r="CP147" s="2338"/>
      <c r="CQ147" s="2338"/>
      <c r="CR147" s="2338"/>
      <c r="CS147" s="2338"/>
      <c r="CT147" s="2338"/>
      <c r="CU147" s="2338"/>
      <c r="CV147" s="2338"/>
      <c r="CW147" s="2338"/>
      <c r="CX147" s="2338"/>
      <c r="CY147" s="2338"/>
      <c r="CZ147" s="2338"/>
      <c r="DA147" s="2338"/>
      <c r="DB147" s="2338"/>
      <c r="DC147" s="2338"/>
      <c r="DD147" s="2338"/>
      <c r="DE147" s="2338"/>
      <c r="DF147" s="2338"/>
      <c r="DG147" s="2338"/>
      <c r="DH147" s="2338"/>
      <c r="DI147" s="2338"/>
      <c r="DJ147" s="2338"/>
    </row>
    <row r="148" spans="1:114" hidden="1" outlineLevel="1">
      <c r="A148" s="2566"/>
      <c r="B148" s="3210"/>
      <c r="C148" s="3208"/>
      <c r="D148" s="3208"/>
      <c r="E148" s="3210"/>
      <c r="F148" s="3767" t="s">
        <v>3863</v>
      </c>
      <c r="G148" s="3769"/>
      <c r="H148" s="2323"/>
      <c r="I148" s="2323"/>
      <c r="J148" s="2323"/>
      <c r="K148" s="2323"/>
      <c r="L148" s="2323"/>
      <c r="M148" s="2323"/>
      <c r="N148" s="2323"/>
      <c r="O148" s="2323"/>
      <c r="P148" s="2323"/>
      <c r="Q148" s="2323"/>
      <c r="R148" s="2323"/>
      <c r="S148" s="2323"/>
      <c r="T148" s="2383"/>
      <c r="U148" s="2383"/>
      <c r="V148" s="2343"/>
      <c r="W148" s="2343"/>
      <c r="X148" s="2343"/>
      <c r="Y148" s="2343"/>
      <c r="Z148" s="2566"/>
      <c r="AA148" s="2566"/>
      <c r="AB148" s="2566"/>
      <c r="AC148" s="2566"/>
      <c r="AD148" s="2323"/>
      <c r="AE148" s="2323"/>
      <c r="AF148" s="2323"/>
      <c r="AG148" s="2323"/>
      <c r="AH148" s="2323"/>
      <c r="AI148" s="2323"/>
      <c r="AJ148" s="2323"/>
      <c r="AK148" s="2898"/>
      <c r="AL148" s="2895">
        <f t="shared" si="4"/>
        <v>0</v>
      </c>
      <c r="AM148" s="2896" t="str">
        <f t="shared" si="5"/>
        <v/>
      </c>
      <c r="AN148" s="2338"/>
      <c r="AO148" s="2338"/>
      <c r="AP148" s="2338"/>
      <c r="AQ148" s="2338"/>
      <c r="AR148" s="2338"/>
      <c r="AS148" s="2338"/>
      <c r="AT148" s="2338"/>
      <c r="AU148" s="2338"/>
      <c r="AV148" s="2338"/>
      <c r="AW148" s="2338"/>
      <c r="AX148" s="2338"/>
      <c r="AY148" s="2338"/>
      <c r="AZ148" s="2338"/>
      <c r="BA148" s="2338"/>
      <c r="BB148" s="2338"/>
      <c r="BC148" s="2338"/>
      <c r="BD148" s="2338"/>
      <c r="BE148" s="2338"/>
      <c r="BF148" s="2338"/>
      <c r="BG148" s="2338"/>
      <c r="BH148" s="2338"/>
      <c r="BI148" s="2338"/>
      <c r="BJ148" s="2338"/>
      <c r="BK148" s="2338"/>
      <c r="BL148" s="2338"/>
      <c r="BM148" s="2338"/>
      <c r="BN148" s="2338"/>
      <c r="BO148" s="2338"/>
      <c r="BP148" s="2338"/>
      <c r="BQ148" s="2338"/>
      <c r="BR148" s="2338"/>
      <c r="BS148" s="2338"/>
      <c r="BT148" s="2338"/>
      <c r="BU148" s="2338"/>
      <c r="BV148" s="2338"/>
      <c r="BW148" s="2338"/>
      <c r="BX148" s="2338"/>
      <c r="BY148" s="2338"/>
      <c r="BZ148" s="2338"/>
      <c r="CA148" s="2338"/>
      <c r="CB148" s="2338"/>
      <c r="CC148" s="2338"/>
      <c r="CD148" s="2338"/>
      <c r="CE148" s="2338"/>
      <c r="CF148" s="2338"/>
      <c r="CG148" s="2338"/>
      <c r="CH148" s="2338"/>
      <c r="CI148" s="2338"/>
      <c r="CJ148" s="2338"/>
      <c r="CK148" s="2338"/>
      <c r="CL148" s="2338"/>
      <c r="CM148" s="2338"/>
      <c r="CN148" s="2338"/>
      <c r="CO148" s="2338"/>
      <c r="CP148" s="2338"/>
      <c r="CQ148" s="2338"/>
      <c r="CR148" s="2338"/>
      <c r="CS148" s="2338"/>
      <c r="CT148" s="2338"/>
      <c r="CU148" s="2338"/>
      <c r="CV148" s="2338"/>
      <c r="CW148" s="2338"/>
      <c r="CX148" s="2338"/>
      <c r="CY148" s="2338"/>
      <c r="CZ148" s="2338"/>
      <c r="DA148" s="2338"/>
      <c r="DB148" s="2338"/>
      <c r="DC148" s="2338"/>
      <c r="DD148" s="2338"/>
      <c r="DE148" s="2338"/>
      <c r="DF148" s="2338"/>
      <c r="DG148" s="2338"/>
      <c r="DH148" s="2338"/>
      <c r="DI148" s="2338"/>
      <c r="DJ148" s="2338"/>
    </row>
    <row r="149" spans="1:114" hidden="1" outlineLevel="1">
      <c r="A149" s="2566"/>
      <c r="B149" s="3210"/>
      <c r="C149" s="3208"/>
      <c r="D149" s="3208"/>
      <c r="E149" s="3210"/>
      <c r="F149" s="3767" t="s">
        <v>3864</v>
      </c>
      <c r="G149" s="3769"/>
      <c r="H149" s="2323"/>
      <c r="I149" s="2323"/>
      <c r="J149" s="2323"/>
      <c r="K149" s="2323"/>
      <c r="L149" s="2323"/>
      <c r="M149" s="2323"/>
      <c r="N149" s="2323"/>
      <c r="O149" s="2323"/>
      <c r="P149" s="2323"/>
      <c r="Q149" s="2323"/>
      <c r="R149" s="2323"/>
      <c r="S149" s="2323"/>
      <c r="T149" s="2383"/>
      <c r="U149" s="2383"/>
      <c r="V149" s="2319"/>
      <c r="W149" s="2319"/>
      <c r="X149" s="2319"/>
      <c r="Y149" s="2319"/>
      <c r="Z149" s="2566"/>
      <c r="AA149" s="2566"/>
      <c r="AB149" s="2566"/>
      <c r="AC149" s="2566"/>
      <c r="AD149" s="2323"/>
      <c r="AE149" s="2323"/>
      <c r="AF149" s="2323"/>
      <c r="AG149" s="2323"/>
      <c r="AH149" s="2323"/>
      <c r="AI149" s="2323"/>
      <c r="AJ149" s="2323"/>
      <c r="AK149" s="2898"/>
      <c r="AL149" s="2895">
        <f t="shared" si="4"/>
        <v>0</v>
      </c>
      <c r="AM149" s="2896" t="str">
        <f t="shared" si="5"/>
        <v/>
      </c>
      <c r="AN149" s="2338"/>
      <c r="AO149" s="2338"/>
      <c r="AP149" s="2338"/>
      <c r="AQ149" s="2338"/>
      <c r="AR149" s="2338"/>
      <c r="AS149" s="2338"/>
      <c r="AT149" s="2338"/>
      <c r="AU149" s="2338"/>
      <c r="AV149" s="2338"/>
      <c r="AW149" s="2338"/>
      <c r="AX149" s="2338"/>
      <c r="AY149" s="2338"/>
      <c r="AZ149" s="2338"/>
      <c r="BA149" s="2338"/>
      <c r="BB149" s="2338"/>
      <c r="BC149" s="2338"/>
      <c r="BD149" s="2338"/>
      <c r="BE149" s="2338"/>
      <c r="BF149" s="2338"/>
      <c r="BG149" s="2338"/>
      <c r="BH149" s="2338"/>
      <c r="BI149" s="2338"/>
      <c r="BJ149" s="2338"/>
      <c r="BK149" s="2338"/>
      <c r="BL149" s="2338"/>
      <c r="BM149" s="2338"/>
      <c r="BN149" s="2338"/>
      <c r="BO149" s="2338"/>
      <c r="BP149" s="2338"/>
      <c r="BQ149" s="2338"/>
      <c r="BR149" s="2338"/>
      <c r="BS149" s="2338"/>
      <c r="BT149" s="2338"/>
      <c r="BU149" s="2338"/>
      <c r="BV149" s="2338"/>
      <c r="BW149" s="2338"/>
      <c r="BX149" s="2338"/>
      <c r="BY149" s="2338"/>
      <c r="BZ149" s="2338"/>
      <c r="CA149" s="2338"/>
      <c r="CB149" s="2338"/>
      <c r="CC149" s="2338"/>
      <c r="CD149" s="2338"/>
      <c r="CE149" s="2338"/>
      <c r="CF149" s="2338"/>
      <c r="CG149" s="2338"/>
      <c r="CH149" s="2338"/>
      <c r="CI149" s="2338"/>
      <c r="CJ149" s="2338"/>
      <c r="CK149" s="2338"/>
      <c r="CL149" s="2338"/>
      <c r="CM149" s="2338"/>
      <c r="CN149" s="2338"/>
      <c r="CO149" s="2338"/>
      <c r="CP149" s="2338"/>
      <c r="CQ149" s="2338"/>
      <c r="CR149" s="2338"/>
      <c r="CS149" s="2338"/>
      <c r="CT149" s="2338"/>
      <c r="CU149" s="2338"/>
      <c r="CV149" s="2338"/>
      <c r="CW149" s="2338"/>
      <c r="CX149" s="2338"/>
      <c r="CY149" s="2338"/>
      <c r="CZ149" s="2338"/>
      <c r="DA149" s="2338"/>
      <c r="DB149" s="2338"/>
      <c r="DC149" s="2338"/>
      <c r="DD149" s="2338"/>
      <c r="DE149" s="2338"/>
      <c r="DF149" s="2338"/>
      <c r="DG149" s="2338"/>
      <c r="DH149" s="2338"/>
      <c r="DI149" s="2338"/>
      <c r="DJ149" s="2338"/>
    </row>
    <row r="150" spans="1:114" hidden="1" outlineLevel="1">
      <c r="A150" s="2566"/>
      <c r="B150" s="3210"/>
      <c r="C150" s="3208"/>
      <c r="D150" s="3208"/>
      <c r="E150" s="3210"/>
      <c r="F150" s="3767" t="s">
        <v>3865</v>
      </c>
      <c r="G150" s="3769"/>
      <c r="H150" s="2323"/>
      <c r="I150" s="2323"/>
      <c r="J150" s="2323"/>
      <c r="K150" s="2323"/>
      <c r="L150" s="2323"/>
      <c r="M150" s="2323"/>
      <c r="N150" s="2323"/>
      <c r="O150" s="2323"/>
      <c r="P150" s="2323"/>
      <c r="Q150" s="2323"/>
      <c r="R150" s="2323"/>
      <c r="S150" s="2323"/>
      <c r="T150" s="2383"/>
      <c r="U150" s="2383"/>
      <c r="V150" s="2319"/>
      <c r="W150" s="2319"/>
      <c r="X150" s="2319"/>
      <c r="Y150" s="2319"/>
      <c r="Z150" s="2566"/>
      <c r="AA150" s="2566"/>
      <c r="AB150" s="2566"/>
      <c r="AC150" s="2566"/>
      <c r="AD150" s="2323"/>
      <c r="AE150" s="2323"/>
      <c r="AF150" s="2323"/>
      <c r="AG150" s="2323"/>
      <c r="AH150" s="2323"/>
      <c r="AI150" s="2323"/>
      <c r="AJ150" s="2323"/>
      <c r="AK150" s="2898"/>
      <c r="AL150" s="2895">
        <f t="shared" si="4"/>
        <v>0</v>
      </c>
      <c r="AM150" s="2896" t="str">
        <f t="shared" si="5"/>
        <v/>
      </c>
      <c r="AN150" s="2338"/>
      <c r="AO150" s="2338"/>
      <c r="AP150" s="2338"/>
      <c r="AQ150" s="2338"/>
      <c r="AR150" s="2338"/>
      <c r="AS150" s="2338"/>
      <c r="AT150" s="2338"/>
      <c r="AU150" s="2338"/>
      <c r="AV150" s="2338"/>
      <c r="AW150" s="2338"/>
      <c r="AX150" s="2338"/>
      <c r="AY150" s="2338"/>
      <c r="AZ150" s="2338"/>
      <c r="BA150" s="2338"/>
      <c r="BB150" s="2338"/>
      <c r="BC150" s="2338"/>
      <c r="BD150" s="2338"/>
      <c r="BE150" s="2338"/>
      <c r="BF150" s="2338"/>
      <c r="BG150" s="2338"/>
      <c r="BH150" s="2338"/>
      <c r="BI150" s="2338"/>
      <c r="BJ150" s="2338"/>
      <c r="BK150" s="2338"/>
      <c r="BL150" s="2338"/>
      <c r="BM150" s="2338"/>
      <c r="BN150" s="2338"/>
      <c r="BO150" s="2338"/>
      <c r="BP150" s="2338"/>
      <c r="BQ150" s="2338"/>
      <c r="BR150" s="2338"/>
      <c r="BS150" s="2338"/>
      <c r="BT150" s="2338"/>
      <c r="BU150" s="2338"/>
      <c r="BV150" s="2338"/>
      <c r="BW150" s="2338"/>
      <c r="BX150" s="2338"/>
      <c r="BY150" s="2338"/>
      <c r="BZ150" s="2338"/>
      <c r="CA150" s="2338"/>
      <c r="CB150" s="2338"/>
      <c r="CC150" s="2338"/>
      <c r="CD150" s="2338"/>
      <c r="CE150" s="2338"/>
      <c r="CF150" s="2338"/>
      <c r="CG150" s="2338"/>
      <c r="CH150" s="2338"/>
      <c r="CI150" s="2338"/>
      <c r="CJ150" s="2338"/>
      <c r="CK150" s="2338"/>
      <c r="CL150" s="2338"/>
      <c r="CM150" s="2338"/>
      <c r="CN150" s="2338"/>
      <c r="CO150" s="2338"/>
      <c r="CP150" s="2338"/>
      <c r="CQ150" s="2338"/>
      <c r="CR150" s="2338"/>
      <c r="CS150" s="2338"/>
      <c r="CT150" s="2338"/>
      <c r="CU150" s="2338"/>
      <c r="CV150" s="2338"/>
      <c r="CW150" s="2338"/>
      <c r="CX150" s="2338"/>
      <c r="CY150" s="2338"/>
      <c r="CZ150" s="2338"/>
      <c r="DA150" s="2338"/>
      <c r="DB150" s="2338"/>
      <c r="DC150" s="2338"/>
      <c r="DD150" s="2338"/>
      <c r="DE150" s="2338"/>
      <c r="DF150" s="2338"/>
      <c r="DG150" s="2338"/>
      <c r="DH150" s="2338"/>
      <c r="DI150" s="2338"/>
      <c r="DJ150" s="2338"/>
    </row>
    <row r="151" spans="1:114" hidden="1" outlineLevel="1">
      <c r="A151" s="2566"/>
      <c r="B151" s="3210"/>
      <c r="C151" s="3208" t="s">
        <v>3912</v>
      </c>
      <c r="D151" s="3208" t="s">
        <v>3908</v>
      </c>
      <c r="E151" s="3210" t="s">
        <v>3909</v>
      </c>
      <c r="F151" s="3767" t="s">
        <v>3860</v>
      </c>
      <c r="G151" s="3769"/>
      <c r="H151" s="2323"/>
      <c r="I151" s="2323"/>
      <c r="J151" s="2323"/>
      <c r="K151" s="2323"/>
      <c r="L151" s="2323"/>
      <c r="M151" s="2323"/>
      <c r="N151" s="2323"/>
      <c r="O151" s="2323"/>
      <c r="P151" s="2323"/>
      <c r="Q151" s="2323"/>
      <c r="R151" s="2323"/>
      <c r="S151" s="2323"/>
      <c r="T151" s="2383"/>
      <c r="U151" s="2383"/>
      <c r="V151" s="2319"/>
      <c r="W151" s="2319"/>
      <c r="X151" s="2319"/>
      <c r="Y151" s="2319"/>
      <c r="Z151" s="2566"/>
      <c r="AA151" s="2566"/>
      <c r="AB151" s="2566"/>
      <c r="AC151" s="2566"/>
      <c r="AD151" s="2323"/>
      <c r="AE151" s="2323"/>
      <c r="AF151" s="2323"/>
      <c r="AG151" s="2323"/>
      <c r="AH151" s="2323"/>
      <c r="AI151" s="2323"/>
      <c r="AJ151" s="2323"/>
      <c r="AK151" s="2898"/>
      <c r="AL151" s="2895">
        <f t="shared" si="4"/>
        <v>0</v>
      </c>
      <c r="AM151" s="2896" t="str">
        <f t="shared" si="5"/>
        <v/>
      </c>
      <c r="AN151" s="2338"/>
      <c r="AO151" s="2338"/>
      <c r="AP151" s="2338"/>
      <c r="AQ151" s="2338"/>
      <c r="AR151" s="2338"/>
      <c r="AS151" s="2338"/>
      <c r="AT151" s="2338"/>
      <c r="AU151" s="2338"/>
      <c r="AV151" s="2338"/>
      <c r="AW151" s="2338"/>
      <c r="AX151" s="2338"/>
      <c r="AY151" s="2338"/>
      <c r="AZ151" s="2338"/>
      <c r="BA151" s="2338"/>
      <c r="BB151" s="2338"/>
      <c r="BC151" s="2338"/>
      <c r="BD151" s="2338"/>
      <c r="BE151" s="2338"/>
      <c r="BF151" s="2338"/>
      <c r="BG151" s="2338"/>
      <c r="BH151" s="2338"/>
      <c r="BI151" s="2338"/>
      <c r="BJ151" s="2338"/>
      <c r="BK151" s="2338"/>
      <c r="BL151" s="2338"/>
      <c r="BM151" s="2338"/>
      <c r="BN151" s="2338"/>
      <c r="BO151" s="2338"/>
      <c r="BP151" s="2338"/>
      <c r="BQ151" s="2338"/>
      <c r="BR151" s="2338"/>
      <c r="BS151" s="2338"/>
      <c r="BT151" s="2338"/>
      <c r="BU151" s="2338"/>
      <c r="BV151" s="2338"/>
      <c r="BW151" s="2338"/>
      <c r="BX151" s="2338"/>
      <c r="BY151" s="2338"/>
      <c r="BZ151" s="2338"/>
      <c r="CA151" s="2338"/>
      <c r="CB151" s="2338"/>
      <c r="CC151" s="2338"/>
      <c r="CD151" s="2338"/>
      <c r="CE151" s="2338"/>
      <c r="CF151" s="2338"/>
      <c r="CG151" s="2338"/>
      <c r="CH151" s="2338"/>
      <c r="CI151" s="2338"/>
      <c r="CJ151" s="2338"/>
      <c r="CK151" s="2338"/>
      <c r="CL151" s="2338"/>
      <c r="CM151" s="2338"/>
      <c r="CN151" s="2338"/>
      <c r="CO151" s="2338"/>
      <c r="CP151" s="2338"/>
      <c r="CQ151" s="2338"/>
      <c r="CR151" s="2338"/>
      <c r="CS151" s="2338"/>
      <c r="CT151" s="2338"/>
      <c r="CU151" s="2338"/>
      <c r="CV151" s="2338"/>
      <c r="CW151" s="2338"/>
      <c r="CX151" s="2338"/>
      <c r="CY151" s="2338"/>
      <c r="CZ151" s="2338"/>
      <c r="DA151" s="2338"/>
      <c r="DB151" s="2338"/>
      <c r="DC151" s="2338"/>
      <c r="DD151" s="2338"/>
      <c r="DE151" s="2338"/>
      <c r="DF151" s="2338"/>
      <c r="DG151" s="2338"/>
      <c r="DH151" s="2338"/>
      <c r="DI151" s="2338"/>
      <c r="DJ151" s="2338"/>
    </row>
    <row r="152" spans="1:114" hidden="1" outlineLevel="1">
      <c r="A152" s="2566"/>
      <c r="B152" s="3210"/>
      <c r="C152" s="3208"/>
      <c r="D152" s="3208"/>
      <c r="E152" s="3210"/>
      <c r="F152" s="3767" t="s">
        <v>3861</v>
      </c>
      <c r="G152" s="3769"/>
      <c r="H152" s="2323"/>
      <c r="I152" s="2323"/>
      <c r="J152" s="2323"/>
      <c r="K152" s="2323"/>
      <c r="L152" s="2323"/>
      <c r="M152" s="2323"/>
      <c r="N152" s="2323"/>
      <c r="O152" s="2323"/>
      <c r="P152" s="2323"/>
      <c r="Q152" s="2323"/>
      <c r="R152" s="2323"/>
      <c r="S152" s="2323"/>
      <c r="T152" s="2383"/>
      <c r="U152" s="2383"/>
      <c r="V152" s="2319"/>
      <c r="W152" s="2319"/>
      <c r="X152" s="2319"/>
      <c r="Y152" s="2319"/>
      <c r="Z152" s="2566"/>
      <c r="AA152" s="2566"/>
      <c r="AB152" s="2566"/>
      <c r="AC152" s="2566"/>
      <c r="AD152" s="2323"/>
      <c r="AE152" s="2323"/>
      <c r="AF152" s="2323"/>
      <c r="AG152" s="2323"/>
      <c r="AH152" s="2323"/>
      <c r="AI152" s="2323"/>
      <c r="AJ152" s="2323"/>
      <c r="AK152" s="2898"/>
      <c r="AL152" s="2895">
        <f t="shared" si="4"/>
        <v>0</v>
      </c>
      <c r="AM152" s="2896" t="str">
        <f t="shared" si="5"/>
        <v/>
      </c>
      <c r="AN152" s="2338"/>
      <c r="AO152" s="2338"/>
      <c r="AP152" s="2338"/>
      <c r="AQ152" s="2338"/>
      <c r="AR152" s="2338"/>
      <c r="AS152" s="2338"/>
      <c r="AT152" s="2338"/>
      <c r="AU152" s="2338"/>
      <c r="AV152" s="2338"/>
      <c r="AW152" s="2338"/>
      <c r="AX152" s="2338"/>
      <c r="AY152" s="2338"/>
      <c r="AZ152" s="2338"/>
      <c r="BA152" s="2338"/>
      <c r="BB152" s="2338"/>
      <c r="BC152" s="2338"/>
      <c r="BD152" s="2338"/>
      <c r="BE152" s="2338"/>
      <c r="BF152" s="2338"/>
      <c r="BG152" s="2338"/>
      <c r="BH152" s="2338"/>
      <c r="BI152" s="2338"/>
      <c r="BJ152" s="2338"/>
      <c r="BK152" s="2338"/>
      <c r="BL152" s="2338"/>
      <c r="BM152" s="2338"/>
      <c r="BN152" s="2338"/>
      <c r="BO152" s="2338"/>
      <c r="BP152" s="2338"/>
      <c r="BQ152" s="2338"/>
      <c r="BR152" s="2338"/>
      <c r="BS152" s="2338"/>
      <c r="BT152" s="2338"/>
      <c r="BU152" s="2338"/>
      <c r="BV152" s="2338"/>
      <c r="BW152" s="2338"/>
      <c r="BX152" s="2338"/>
      <c r="BY152" s="2338"/>
      <c r="BZ152" s="2338"/>
      <c r="CA152" s="2338"/>
      <c r="CB152" s="2338"/>
      <c r="CC152" s="2338"/>
      <c r="CD152" s="2338"/>
      <c r="CE152" s="2338"/>
      <c r="CF152" s="2338"/>
      <c r="CG152" s="2338"/>
      <c r="CH152" s="2338"/>
      <c r="CI152" s="2338"/>
      <c r="CJ152" s="2338"/>
      <c r="CK152" s="2338"/>
      <c r="CL152" s="2338"/>
      <c r="CM152" s="2338"/>
      <c r="CN152" s="2338"/>
      <c r="CO152" s="2338"/>
      <c r="CP152" s="2338"/>
      <c r="CQ152" s="2338"/>
      <c r="CR152" s="2338"/>
      <c r="CS152" s="2338"/>
      <c r="CT152" s="2338"/>
      <c r="CU152" s="2338"/>
      <c r="CV152" s="2338"/>
      <c r="CW152" s="2338"/>
      <c r="CX152" s="2338"/>
      <c r="CY152" s="2338"/>
      <c r="CZ152" s="2338"/>
      <c r="DA152" s="2338"/>
      <c r="DB152" s="2338"/>
      <c r="DC152" s="2338"/>
      <c r="DD152" s="2338"/>
      <c r="DE152" s="2338"/>
      <c r="DF152" s="2338"/>
      <c r="DG152" s="2338"/>
      <c r="DH152" s="2338"/>
      <c r="DI152" s="2338"/>
      <c r="DJ152" s="2338"/>
    </row>
    <row r="153" spans="1:114" hidden="1" outlineLevel="1">
      <c r="A153" s="2566"/>
      <c r="B153" s="3210"/>
      <c r="C153" s="3208"/>
      <c r="D153" s="3208"/>
      <c r="E153" s="3210"/>
      <c r="F153" s="3767" t="s">
        <v>3862</v>
      </c>
      <c r="G153" s="3769"/>
      <c r="H153" s="2323"/>
      <c r="I153" s="2323"/>
      <c r="J153" s="2323"/>
      <c r="K153" s="2323"/>
      <c r="L153" s="2323"/>
      <c r="M153" s="2323"/>
      <c r="N153" s="2323"/>
      <c r="O153" s="2323"/>
      <c r="P153" s="2323"/>
      <c r="Q153" s="2323"/>
      <c r="R153" s="2323"/>
      <c r="S153" s="2323"/>
      <c r="T153" s="2383"/>
      <c r="U153" s="2383"/>
      <c r="V153" s="2319"/>
      <c r="W153" s="2319"/>
      <c r="X153" s="2319"/>
      <c r="Y153" s="2319"/>
      <c r="Z153" s="2566"/>
      <c r="AA153" s="2566"/>
      <c r="AB153" s="2566"/>
      <c r="AC153" s="2566"/>
      <c r="AD153" s="2323"/>
      <c r="AE153" s="2323"/>
      <c r="AF153" s="2323"/>
      <c r="AG153" s="2323"/>
      <c r="AH153" s="2323"/>
      <c r="AI153" s="2323"/>
      <c r="AJ153" s="2323"/>
      <c r="AK153" s="2898"/>
      <c r="AL153" s="2895">
        <f t="shared" si="4"/>
        <v>0</v>
      </c>
      <c r="AM153" s="2896" t="str">
        <f t="shared" si="5"/>
        <v/>
      </c>
      <c r="AN153" s="2338"/>
      <c r="AO153" s="2338"/>
      <c r="AP153" s="2338"/>
      <c r="AQ153" s="2338"/>
      <c r="AR153" s="2338"/>
      <c r="AS153" s="2338"/>
      <c r="AT153" s="2338"/>
      <c r="AU153" s="2338"/>
      <c r="AV153" s="2338"/>
      <c r="AW153" s="2338"/>
      <c r="AX153" s="2338"/>
      <c r="AY153" s="2338"/>
      <c r="AZ153" s="2338"/>
      <c r="BA153" s="2338"/>
      <c r="BB153" s="2338"/>
      <c r="BC153" s="2338"/>
      <c r="BD153" s="2338"/>
      <c r="BE153" s="2338"/>
      <c r="BF153" s="2338"/>
      <c r="BG153" s="2338"/>
      <c r="BH153" s="2338"/>
      <c r="BI153" s="2338"/>
      <c r="BJ153" s="2338"/>
      <c r="BK153" s="2338"/>
      <c r="BL153" s="2338"/>
      <c r="BM153" s="2338"/>
      <c r="BN153" s="2338"/>
      <c r="BO153" s="2338"/>
      <c r="BP153" s="2338"/>
      <c r="BQ153" s="2338"/>
      <c r="BR153" s="2338"/>
      <c r="BS153" s="2338"/>
      <c r="BT153" s="2338"/>
      <c r="BU153" s="2338"/>
      <c r="BV153" s="2338"/>
      <c r="BW153" s="2338"/>
      <c r="BX153" s="2338"/>
      <c r="BY153" s="2338"/>
      <c r="BZ153" s="2338"/>
      <c r="CA153" s="2338"/>
      <c r="CB153" s="2338"/>
      <c r="CC153" s="2338"/>
      <c r="CD153" s="2338"/>
      <c r="CE153" s="2338"/>
      <c r="CF153" s="2338"/>
      <c r="CG153" s="2338"/>
      <c r="CH153" s="2338"/>
      <c r="CI153" s="2338"/>
      <c r="CJ153" s="2338"/>
      <c r="CK153" s="2338"/>
      <c r="CL153" s="2338"/>
      <c r="CM153" s="2338"/>
      <c r="CN153" s="2338"/>
      <c r="CO153" s="2338"/>
      <c r="CP153" s="2338"/>
      <c r="CQ153" s="2338"/>
      <c r="CR153" s="2338"/>
      <c r="CS153" s="2338"/>
      <c r="CT153" s="2338"/>
      <c r="CU153" s="2338"/>
      <c r="CV153" s="2338"/>
      <c r="CW153" s="2338"/>
      <c r="CX153" s="2338"/>
      <c r="CY153" s="2338"/>
      <c r="CZ153" s="2338"/>
      <c r="DA153" s="2338"/>
      <c r="DB153" s="2338"/>
      <c r="DC153" s="2338"/>
      <c r="DD153" s="2338"/>
      <c r="DE153" s="2338"/>
      <c r="DF153" s="2338"/>
      <c r="DG153" s="2338"/>
      <c r="DH153" s="2338"/>
      <c r="DI153" s="2338"/>
      <c r="DJ153" s="2338"/>
    </row>
    <row r="154" spans="1:114" hidden="1" outlineLevel="1">
      <c r="A154" s="2566"/>
      <c r="B154" s="3210"/>
      <c r="C154" s="3208"/>
      <c r="D154" s="3208"/>
      <c r="E154" s="3210"/>
      <c r="F154" s="3767" t="s">
        <v>3863</v>
      </c>
      <c r="G154" s="3769"/>
      <c r="H154" s="2323"/>
      <c r="I154" s="2323"/>
      <c r="J154" s="2323"/>
      <c r="K154" s="2323"/>
      <c r="L154" s="2323"/>
      <c r="M154" s="2323"/>
      <c r="N154" s="2323"/>
      <c r="O154" s="2323"/>
      <c r="P154" s="2323"/>
      <c r="Q154" s="2323"/>
      <c r="R154" s="2323"/>
      <c r="S154" s="2323"/>
      <c r="T154" s="2383"/>
      <c r="U154" s="2383"/>
      <c r="V154" s="2319"/>
      <c r="W154" s="2319"/>
      <c r="X154" s="2319"/>
      <c r="Y154" s="2319"/>
      <c r="Z154" s="2566"/>
      <c r="AA154" s="2566"/>
      <c r="AB154" s="2566"/>
      <c r="AC154" s="2566"/>
      <c r="AD154" s="2323"/>
      <c r="AE154" s="2323"/>
      <c r="AF154" s="2323"/>
      <c r="AG154" s="2323"/>
      <c r="AH154" s="2323"/>
      <c r="AI154" s="2323"/>
      <c r="AJ154" s="2323"/>
      <c r="AK154" s="2898"/>
      <c r="AL154" s="2895">
        <f t="shared" si="4"/>
        <v>0</v>
      </c>
      <c r="AM154" s="2896" t="str">
        <f t="shared" si="5"/>
        <v/>
      </c>
      <c r="AN154" s="2338"/>
      <c r="AO154" s="2338"/>
      <c r="AP154" s="2338"/>
      <c r="AQ154" s="2338"/>
      <c r="AR154" s="2338"/>
      <c r="AS154" s="2338"/>
      <c r="AT154" s="2338"/>
      <c r="AU154" s="2338"/>
      <c r="AV154" s="2338"/>
      <c r="AW154" s="2338"/>
      <c r="AX154" s="2338"/>
      <c r="AY154" s="2338"/>
      <c r="AZ154" s="2338"/>
      <c r="BA154" s="2338"/>
      <c r="BB154" s="2338"/>
      <c r="BC154" s="2338"/>
      <c r="BD154" s="2338"/>
      <c r="BE154" s="2338"/>
      <c r="BF154" s="2338"/>
      <c r="BG154" s="2338"/>
      <c r="BH154" s="2338"/>
      <c r="BI154" s="2338"/>
      <c r="BJ154" s="2338"/>
      <c r="BK154" s="2338"/>
      <c r="BL154" s="2338"/>
      <c r="BM154" s="2338"/>
      <c r="BN154" s="2338"/>
      <c r="BO154" s="2338"/>
      <c r="BP154" s="2338"/>
      <c r="BQ154" s="2338"/>
      <c r="BR154" s="2338"/>
      <c r="BS154" s="2338"/>
      <c r="BT154" s="2338"/>
      <c r="BU154" s="2338"/>
      <c r="BV154" s="2338"/>
      <c r="BW154" s="2338"/>
      <c r="BX154" s="2338"/>
      <c r="BY154" s="2338"/>
      <c r="BZ154" s="2338"/>
      <c r="CA154" s="2338"/>
      <c r="CB154" s="2338"/>
      <c r="CC154" s="2338"/>
      <c r="CD154" s="2338"/>
      <c r="CE154" s="2338"/>
      <c r="CF154" s="2338"/>
      <c r="CG154" s="2338"/>
      <c r="CH154" s="2338"/>
      <c r="CI154" s="2338"/>
      <c r="CJ154" s="2338"/>
      <c r="CK154" s="2338"/>
      <c r="CL154" s="2338"/>
      <c r="CM154" s="2338"/>
      <c r="CN154" s="2338"/>
      <c r="CO154" s="2338"/>
      <c r="CP154" s="2338"/>
      <c r="CQ154" s="2338"/>
      <c r="CR154" s="2338"/>
      <c r="CS154" s="2338"/>
      <c r="CT154" s="2338"/>
      <c r="CU154" s="2338"/>
      <c r="CV154" s="2338"/>
      <c r="CW154" s="2338"/>
      <c r="CX154" s="2338"/>
      <c r="CY154" s="2338"/>
      <c r="CZ154" s="2338"/>
      <c r="DA154" s="2338"/>
      <c r="DB154" s="2338"/>
      <c r="DC154" s="2338"/>
      <c r="DD154" s="2338"/>
      <c r="DE154" s="2338"/>
      <c r="DF154" s="2338"/>
      <c r="DG154" s="2338"/>
      <c r="DH154" s="2338"/>
      <c r="DI154" s="2338"/>
      <c r="DJ154" s="2338"/>
    </row>
    <row r="155" spans="1:114" hidden="1" outlineLevel="1">
      <c r="A155" s="2566"/>
      <c r="B155" s="3210"/>
      <c r="C155" s="3208"/>
      <c r="D155" s="3208"/>
      <c r="E155" s="3210"/>
      <c r="F155" s="3767" t="s">
        <v>3864</v>
      </c>
      <c r="G155" s="3769"/>
      <c r="H155" s="2323"/>
      <c r="I155" s="2323"/>
      <c r="J155" s="2323"/>
      <c r="K155" s="2323"/>
      <c r="L155" s="2323"/>
      <c r="M155" s="2323"/>
      <c r="N155" s="2323"/>
      <c r="O155" s="2323"/>
      <c r="P155" s="2323"/>
      <c r="Q155" s="2323"/>
      <c r="R155" s="2323"/>
      <c r="S155" s="2323"/>
      <c r="T155" s="2383"/>
      <c r="U155" s="2383"/>
      <c r="V155" s="2319"/>
      <c r="W155" s="2319"/>
      <c r="X155" s="2319"/>
      <c r="Y155" s="2319"/>
      <c r="Z155" s="2566"/>
      <c r="AA155" s="2566"/>
      <c r="AB155" s="2566"/>
      <c r="AC155" s="2566"/>
      <c r="AD155" s="2323"/>
      <c r="AE155" s="2323"/>
      <c r="AF155" s="2323"/>
      <c r="AG155" s="2323"/>
      <c r="AH155" s="2323"/>
      <c r="AI155" s="2323"/>
      <c r="AJ155" s="2323"/>
      <c r="AK155" s="2898"/>
      <c r="AL155" s="2895">
        <f t="shared" si="4"/>
        <v>0</v>
      </c>
      <c r="AM155" s="2896" t="str">
        <f t="shared" si="5"/>
        <v/>
      </c>
      <c r="AN155" s="2338"/>
      <c r="AO155" s="2338"/>
      <c r="AP155" s="2338"/>
      <c r="AQ155" s="2338"/>
      <c r="AR155" s="2338"/>
      <c r="AS155" s="2338"/>
      <c r="AT155" s="2338"/>
      <c r="AU155" s="2338"/>
      <c r="AV155" s="2338"/>
      <c r="AW155" s="2338"/>
      <c r="AX155" s="2338"/>
      <c r="AY155" s="2338"/>
      <c r="AZ155" s="2338"/>
      <c r="BA155" s="2338"/>
      <c r="BB155" s="2338"/>
      <c r="BC155" s="2338"/>
      <c r="BD155" s="2338"/>
      <c r="BE155" s="2338"/>
      <c r="BF155" s="2338"/>
      <c r="BG155" s="2338"/>
      <c r="BH155" s="2338"/>
      <c r="BI155" s="2338"/>
      <c r="BJ155" s="2338"/>
      <c r="BK155" s="2338"/>
      <c r="BL155" s="2338"/>
      <c r="BM155" s="2338"/>
      <c r="BN155" s="2338"/>
      <c r="BO155" s="2338"/>
      <c r="BP155" s="2338"/>
      <c r="BQ155" s="2338"/>
      <c r="BR155" s="2338"/>
      <c r="BS155" s="2338"/>
      <c r="BT155" s="2338"/>
      <c r="BU155" s="2338"/>
      <c r="BV155" s="2338"/>
      <c r="BW155" s="2338"/>
      <c r="BX155" s="2338"/>
      <c r="BY155" s="2338"/>
      <c r="BZ155" s="2338"/>
      <c r="CA155" s="2338"/>
      <c r="CB155" s="2338"/>
      <c r="CC155" s="2338"/>
      <c r="CD155" s="2338"/>
      <c r="CE155" s="2338"/>
      <c r="CF155" s="2338"/>
      <c r="CG155" s="2338"/>
      <c r="CH155" s="2338"/>
      <c r="CI155" s="2338"/>
      <c r="CJ155" s="2338"/>
      <c r="CK155" s="2338"/>
      <c r="CL155" s="2338"/>
      <c r="CM155" s="2338"/>
      <c r="CN155" s="2338"/>
      <c r="CO155" s="2338"/>
      <c r="CP155" s="2338"/>
      <c r="CQ155" s="2338"/>
      <c r="CR155" s="2338"/>
      <c r="CS155" s="2338"/>
      <c r="CT155" s="2338"/>
      <c r="CU155" s="2338"/>
      <c r="CV155" s="2338"/>
      <c r="CW155" s="2338"/>
      <c r="CX155" s="2338"/>
      <c r="CY155" s="2338"/>
      <c r="CZ155" s="2338"/>
      <c r="DA155" s="2338"/>
      <c r="DB155" s="2338"/>
      <c r="DC155" s="2338"/>
      <c r="DD155" s="2338"/>
      <c r="DE155" s="2338"/>
      <c r="DF155" s="2338"/>
      <c r="DG155" s="2338"/>
      <c r="DH155" s="2338"/>
      <c r="DI155" s="2338"/>
      <c r="DJ155" s="2338"/>
    </row>
    <row r="156" spans="1:114" hidden="1" outlineLevel="1">
      <c r="A156" s="2566"/>
      <c r="B156" s="3210"/>
      <c r="C156" s="3208"/>
      <c r="D156" s="3208"/>
      <c r="E156" s="3210"/>
      <c r="F156" s="3767" t="s">
        <v>3865</v>
      </c>
      <c r="G156" s="3769"/>
      <c r="H156" s="2323"/>
      <c r="I156" s="2323"/>
      <c r="J156" s="2323"/>
      <c r="K156" s="2323"/>
      <c r="L156" s="2323"/>
      <c r="M156" s="2323"/>
      <c r="N156" s="2323"/>
      <c r="O156" s="2323"/>
      <c r="P156" s="2323"/>
      <c r="Q156" s="2323"/>
      <c r="R156" s="2323"/>
      <c r="S156" s="2323"/>
      <c r="T156" s="2383"/>
      <c r="U156" s="2383"/>
      <c r="V156" s="2319"/>
      <c r="W156" s="2319"/>
      <c r="X156" s="2319"/>
      <c r="Y156" s="2319"/>
      <c r="Z156" s="2566"/>
      <c r="AA156" s="2566"/>
      <c r="AB156" s="2566"/>
      <c r="AC156" s="2566"/>
      <c r="AD156" s="2323"/>
      <c r="AE156" s="2323"/>
      <c r="AF156" s="2323"/>
      <c r="AG156" s="2323"/>
      <c r="AH156" s="2323"/>
      <c r="AI156" s="2323"/>
      <c r="AJ156" s="2323"/>
      <c r="AK156" s="2898"/>
      <c r="AL156" s="2895">
        <f t="shared" si="4"/>
        <v>0</v>
      </c>
      <c r="AM156" s="2896" t="str">
        <f t="shared" si="5"/>
        <v/>
      </c>
      <c r="AN156" s="2338"/>
      <c r="AO156" s="2338"/>
      <c r="AP156" s="2338"/>
      <c r="AQ156" s="2338"/>
      <c r="AR156" s="2338"/>
      <c r="AS156" s="2338"/>
      <c r="AT156" s="2338"/>
      <c r="AU156" s="2338"/>
      <c r="AV156" s="2338"/>
      <c r="AW156" s="2338"/>
      <c r="AX156" s="2338"/>
      <c r="AY156" s="2338"/>
      <c r="AZ156" s="2338"/>
      <c r="BA156" s="2338"/>
      <c r="BB156" s="2338"/>
      <c r="BC156" s="2338"/>
      <c r="BD156" s="2338"/>
      <c r="BE156" s="2338"/>
      <c r="BF156" s="2338"/>
      <c r="BG156" s="2338"/>
      <c r="BH156" s="2338"/>
      <c r="BI156" s="2338"/>
      <c r="BJ156" s="2338"/>
      <c r="BK156" s="2338"/>
      <c r="BL156" s="2338"/>
      <c r="BM156" s="2338"/>
      <c r="BN156" s="2338"/>
      <c r="BO156" s="2338"/>
      <c r="BP156" s="2338"/>
      <c r="BQ156" s="2338"/>
      <c r="BR156" s="2338"/>
      <c r="BS156" s="2338"/>
      <c r="BT156" s="2338"/>
      <c r="BU156" s="2338"/>
      <c r="BV156" s="2338"/>
      <c r="BW156" s="2338"/>
      <c r="BX156" s="2338"/>
      <c r="BY156" s="2338"/>
      <c r="BZ156" s="2338"/>
      <c r="CA156" s="2338"/>
      <c r="CB156" s="2338"/>
      <c r="CC156" s="2338"/>
      <c r="CD156" s="2338"/>
      <c r="CE156" s="2338"/>
      <c r="CF156" s="2338"/>
      <c r="CG156" s="2338"/>
      <c r="CH156" s="2338"/>
      <c r="CI156" s="2338"/>
      <c r="CJ156" s="2338"/>
      <c r="CK156" s="2338"/>
      <c r="CL156" s="2338"/>
      <c r="CM156" s="2338"/>
      <c r="CN156" s="2338"/>
      <c r="CO156" s="2338"/>
      <c r="CP156" s="2338"/>
      <c r="CQ156" s="2338"/>
      <c r="CR156" s="2338"/>
      <c r="CS156" s="2338"/>
      <c r="CT156" s="2338"/>
      <c r="CU156" s="2338"/>
      <c r="CV156" s="2338"/>
      <c r="CW156" s="2338"/>
      <c r="CX156" s="2338"/>
      <c r="CY156" s="2338"/>
      <c r="CZ156" s="2338"/>
      <c r="DA156" s="2338"/>
      <c r="DB156" s="2338"/>
      <c r="DC156" s="2338"/>
      <c r="DD156" s="2338"/>
      <c r="DE156" s="2338"/>
      <c r="DF156" s="2338"/>
      <c r="DG156" s="2338"/>
      <c r="DH156" s="2338"/>
      <c r="DI156" s="2338"/>
      <c r="DJ156" s="2338"/>
    </row>
    <row r="157" spans="1:114" hidden="1" outlineLevel="1">
      <c r="A157" s="2566"/>
      <c r="B157" s="3210"/>
      <c r="C157" s="3208"/>
      <c r="D157" s="3208" t="s">
        <v>3911</v>
      </c>
      <c r="E157" s="3210" t="s">
        <v>3909</v>
      </c>
      <c r="F157" s="3767" t="s">
        <v>3860</v>
      </c>
      <c r="G157" s="3769"/>
      <c r="H157" s="2323"/>
      <c r="I157" s="2323"/>
      <c r="J157" s="2323"/>
      <c r="K157" s="2323"/>
      <c r="L157" s="2323"/>
      <c r="M157" s="2323"/>
      <c r="N157" s="2323"/>
      <c r="O157" s="2323"/>
      <c r="P157" s="2323"/>
      <c r="Q157" s="2323"/>
      <c r="R157" s="2323"/>
      <c r="S157" s="2323"/>
      <c r="T157" s="2383"/>
      <c r="U157" s="2383"/>
      <c r="V157" s="2343"/>
      <c r="W157" s="2343"/>
      <c r="X157" s="2343"/>
      <c r="Y157" s="2343"/>
      <c r="Z157" s="2566"/>
      <c r="AA157" s="2566"/>
      <c r="AB157" s="2566"/>
      <c r="AC157" s="2566"/>
      <c r="AD157" s="2323"/>
      <c r="AE157" s="2323"/>
      <c r="AF157" s="2323"/>
      <c r="AG157" s="2323"/>
      <c r="AH157" s="2323"/>
      <c r="AI157" s="2323"/>
      <c r="AJ157" s="2323"/>
      <c r="AK157" s="2898"/>
      <c r="AL157" s="2895">
        <f t="shared" si="4"/>
        <v>0</v>
      </c>
      <c r="AM157" s="2896" t="str">
        <f t="shared" si="5"/>
        <v/>
      </c>
      <c r="AN157" s="2338"/>
      <c r="AO157" s="2338"/>
      <c r="AP157" s="2338"/>
      <c r="AQ157" s="2338"/>
      <c r="AR157" s="2338"/>
      <c r="AS157" s="2338"/>
      <c r="AT157" s="2338"/>
      <c r="AU157" s="2338"/>
      <c r="AV157" s="2338"/>
      <c r="AW157" s="2338"/>
      <c r="AX157" s="2338"/>
      <c r="AY157" s="2338"/>
      <c r="AZ157" s="2338"/>
      <c r="BA157" s="2338"/>
      <c r="BB157" s="2338"/>
      <c r="BC157" s="2338"/>
      <c r="BD157" s="2338"/>
      <c r="BE157" s="2338"/>
      <c r="BF157" s="2338"/>
      <c r="BG157" s="2338"/>
      <c r="BH157" s="2338"/>
      <c r="BI157" s="2338"/>
      <c r="BJ157" s="2338"/>
      <c r="BK157" s="2338"/>
      <c r="BL157" s="2338"/>
      <c r="BM157" s="2338"/>
      <c r="BN157" s="2338"/>
      <c r="BO157" s="2338"/>
      <c r="BP157" s="2338"/>
      <c r="BQ157" s="2338"/>
      <c r="BR157" s="2338"/>
      <c r="BS157" s="2338"/>
      <c r="BT157" s="2338"/>
      <c r="BU157" s="2338"/>
      <c r="BV157" s="2338"/>
      <c r="BW157" s="2338"/>
      <c r="BX157" s="2338"/>
      <c r="BY157" s="2338"/>
      <c r="BZ157" s="2338"/>
      <c r="CA157" s="2338"/>
      <c r="CB157" s="2338"/>
      <c r="CC157" s="2338"/>
      <c r="CD157" s="2338"/>
      <c r="CE157" s="2338"/>
      <c r="CF157" s="2338"/>
      <c r="CG157" s="2338"/>
      <c r="CH157" s="2338"/>
      <c r="CI157" s="2338"/>
      <c r="CJ157" s="2338"/>
      <c r="CK157" s="2338"/>
      <c r="CL157" s="2338"/>
      <c r="CM157" s="2338"/>
      <c r="CN157" s="2338"/>
      <c r="CO157" s="2338"/>
      <c r="CP157" s="2338"/>
      <c r="CQ157" s="2338"/>
      <c r="CR157" s="2338"/>
      <c r="CS157" s="2338"/>
      <c r="CT157" s="2338"/>
      <c r="CU157" s="2338"/>
      <c r="CV157" s="2338"/>
      <c r="CW157" s="2338"/>
      <c r="CX157" s="2338"/>
      <c r="CY157" s="2338"/>
      <c r="CZ157" s="2338"/>
      <c r="DA157" s="2338"/>
      <c r="DB157" s="2338"/>
      <c r="DC157" s="2338"/>
      <c r="DD157" s="2338"/>
      <c r="DE157" s="2338"/>
      <c r="DF157" s="2338"/>
      <c r="DG157" s="2338"/>
      <c r="DH157" s="2338"/>
      <c r="DI157" s="2338"/>
      <c r="DJ157" s="2338"/>
    </row>
    <row r="158" spans="1:114" hidden="1" outlineLevel="1">
      <c r="A158" s="2566"/>
      <c r="B158" s="3210"/>
      <c r="C158" s="3208"/>
      <c r="D158" s="3208"/>
      <c r="E158" s="3210"/>
      <c r="F158" s="3767" t="s">
        <v>3861</v>
      </c>
      <c r="G158" s="3769"/>
      <c r="H158" s="2323"/>
      <c r="I158" s="2323"/>
      <c r="J158" s="2323"/>
      <c r="K158" s="2323"/>
      <c r="L158" s="2323"/>
      <c r="M158" s="2323"/>
      <c r="N158" s="2323"/>
      <c r="O158" s="2323"/>
      <c r="P158" s="2323"/>
      <c r="Q158" s="2323"/>
      <c r="R158" s="2323"/>
      <c r="S158" s="2323"/>
      <c r="T158" s="2383"/>
      <c r="U158" s="2383"/>
      <c r="V158" s="2343"/>
      <c r="W158" s="2343"/>
      <c r="X158" s="2343"/>
      <c r="Y158" s="2343"/>
      <c r="Z158" s="2566"/>
      <c r="AA158" s="2566"/>
      <c r="AB158" s="2566"/>
      <c r="AC158" s="2566"/>
      <c r="AD158" s="2323"/>
      <c r="AE158" s="2323"/>
      <c r="AF158" s="2323"/>
      <c r="AG158" s="2323"/>
      <c r="AH158" s="2323"/>
      <c r="AI158" s="2323"/>
      <c r="AJ158" s="2323"/>
      <c r="AK158" s="2898"/>
      <c r="AL158" s="2895">
        <f t="shared" si="4"/>
        <v>0</v>
      </c>
      <c r="AM158" s="2896" t="str">
        <f t="shared" si="5"/>
        <v/>
      </c>
      <c r="AN158" s="2338"/>
      <c r="AO158" s="2338"/>
      <c r="AP158" s="2338"/>
      <c r="AQ158" s="2338"/>
      <c r="AR158" s="2338"/>
      <c r="AS158" s="2338"/>
      <c r="AT158" s="2338"/>
      <c r="AU158" s="2338"/>
      <c r="AV158" s="2338"/>
      <c r="AW158" s="2338"/>
      <c r="AX158" s="2338"/>
      <c r="AY158" s="2338"/>
      <c r="AZ158" s="2338"/>
      <c r="BA158" s="2338"/>
      <c r="BB158" s="2338"/>
      <c r="BC158" s="2338"/>
      <c r="BD158" s="2338"/>
      <c r="BE158" s="2338"/>
      <c r="BF158" s="2338"/>
      <c r="BG158" s="2338"/>
      <c r="BH158" s="2338"/>
      <c r="BI158" s="2338"/>
      <c r="BJ158" s="2338"/>
      <c r="BK158" s="2338"/>
      <c r="BL158" s="2338"/>
      <c r="BM158" s="2338"/>
      <c r="BN158" s="2338"/>
      <c r="BO158" s="2338"/>
      <c r="BP158" s="2338"/>
      <c r="BQ158" s="2338"/>
      <c r="BR158" s="2338"/>
      <c r="BS158" s="2338"/>
      <c r="BT158" s="2338"/>
      <c r="BU158" s="2338"/>
      <c r="BV158" s="2338"/>
      <c r="BW158" s="2338"/>
      <c r="BX158" s="2338"/>
      <c r="BY158" s="2338"/>
      <c r="BZ158" s="2338"/>
      <c r="CA158" s="2338"/>
      <c r="CB158" s="2338"/>
      <c r="CC158" s="2338"/>
      <c r="CD158" s="2338"/>
      <c r="CE158" s="2338"/>
      <c r="CF158" s="2338"/>
      <c r="CG158" s="2338"/>
      <c r="CH158" s="2338"/>
      <c r="CI158" s="2338"/>
      <c r="CJ158" s="2338"/>
      <c r="CK158" s="2338"/>
      <c r="CL158" s="2338"/>
      <c r="CM158" s="2338"/>
      <c r="CN158" s="2338"/>
      <c r="CO158" s="2338"/>
      <c r="CP158" s="2338"/>
      <c r="CQ158" s="2338"/>
      <c r="CR158" s="2338"/>
      <c r="CS158" s="2338"/>
      <c r="CT158" s="2338"/>
      <c r="CU158" s="2338"/>
      <c r="CV158" s="2338"/>
      <c r="CW158" s="2338"/>
      <c r="CX158" s="2338"/>
      <c r="CY158" s="2338"/>
      <c r="CZ158" s="2338"/>
      <c r="DA158" s="2338"/>
      <c r="DB158" s="2338"/>
      <c r="DC158" s="2338"/>
      <c r="DD158" s="2338"/>
      <c r="DE158" s="2338"/>
      <c r="DF158" s="2338"/>
      <c r="DG158" s="2338"/>
      <c r="DH158" s="2338"/>
      <c r="DI158" s="2338"/>
      <c r="DJ158" s="2338"/>
    </row>
    <row r="159" spans="1:114" hidden="1" outlineLevel="1">
      <c r="A159" s="2566"/>
      <c r="B159" s="3210"/>
      <c r="C159" s="3208"/>
      <c r="D159" s="3208"/>
      <c r="E159" s="3210"/>
      <c r="F159" s="3767" t="s">
        <v>3862</v>
      </c>
      <c r="G159" s="3769"/>
      <c r="H159" s="2323"/>
      <c r="I159" s="2323"/>
      <c r="J159" s="2323"/>
      <c r="K159" s="2323"/>
      <c r="L159" s="2323"/>
      <c r="M159" s="2323"/>
      <c r="N159" s="2323"/>
      <c r="O159" s="2323"/>
      <c r="P159" s="2323"/>
      <c r="Q159" s="2323"/>
      <c r="R159" s="2323"/>
      <c r="S159" s="2323"/>
      <c r="T159" s="2383"/>
      <c r="U159" s="2383"/>
      <c r="V159" s="2343"/>
      <c r="W159" s="2343"/>
      <c r="X159" s="2343"/>
      <c r="Y159" s="2343"/>
      <c r="Z159" s="2566"/>
      <c r="AA159" s="2566"/>
      <c r="AB159" s="2566"/>
      <c r="AC159" s="2566"/>
      <c r="AD159" s="2323"/>
      <c r="AE159" s="2323"/>
      <c r="AF159" s="2323"/>
      <c r="AG159" s="2323"/>
      <c r="AH159" s="2323"/>
      <c r="AI159" s="2323"/>
      <c r="AJ159" s="2323"/>
      <c r="AK159" s="2898"/>
      <c r="AL159" s="2895">
        <f t="shared" si="4"/>
        <v>0</v>
      </c>
      <c r="AM159" s="2896" t="str">
        <f t="shared" si="5"/>
        <v/>
      </c>
      <c r="AN159" s="2338"/>
      <c r="AO159" s="2338"/>
      <c r="AP159" s="2338"/>
      <c r="AQ159" s="2338"/>
      <c r="AR159" s="2338"/>
      <c r="AS159" s="2338"/>
      <c r="AT159" s="2338"/>
      <c r="AU159" s="2338"/>
      <c r="AV159" s="2338"/>
      <c r="AW159" s="2338"/>
      <c r="AX159" s="2338"/>
      <c r="AY159" s="2338"/>
      <c r="AZ159" s="2338"/>
      <c r="BA159" s="2338"/>
      <c r="BB159" s="2338"/>
      <c r="BC159" s="2338"/>
      <c r="BD159" s="2338"/>
      <c r="BE159" s="2338"/>
      <c r="BF159" s="2338"/>
      <c r="BG159" s="2338"/>
      <c r="BH159" s="2338"/>
      <c r="BI159" s="2338"/>
      <c r="BJ159" s="2338"/>
      <c r="BK159" s="2338"/>
      <c r="BL159" s="2338"/>
      <c r="BM159" s="2338"/>
      <c r="BN159" s="2338"/>
      <c r="BO159" s="2338"/>
      <c r="BP159" s="2338"/>
      <c r="BQ159" s="2338"/>
      <c r="BR159" s="2338"/>
      <c r="BS159" s="2338"/>
      <c r="BT159" s="2338"/>
      <c r="BU159" s="2338"/>
      <c r="BV159" s="2338"/>
      <c r="BW159" s="2338"/>
      <c r="BX159" s="2338"/>
      <c r="BY159" s="2338"/>
      <c r="BZ159" s="2338"/>
      <c r="CA159" s="2338"/>
      <c r="CB159" s="2338"/>
      <c r="CC159" s="2338"/>
      <c r="CD159" s="2338"/>
      <c r="CE159" s="2338"/>
      <c r="CF159" s="2338"/>
      <c r="CG159" s="2338"/>
      <c r="CH159" s="2338"/>
      <c r="CI159" s="2338"/>
      <c r="CJ159" s="2338"/>
      <c r="CK159" s="2338"/>
      <c r="CL159" s="2338"/>
      <c r="CM159" s="2338"/>
      <c r="CN159" s="2338"/>
      <c r="CO159" s="2338"/>
      <c r="CP159" s="2338"/>
      <c r="CQ159" s="2338"/>
      <c r="CR159" s="2338"/>
      <c r="CS159" s="2338"/>
      <c r="CT159" s="2338"/>
      <c r="CU159" s="2338"/>
      <c r="CV159" s="2338"/>
      <c r="CW159" s="2338"/>
      <c r="CX159" s="2338"/>
      <c r="CY159" s="2338"/>
      <c r="CZ159" s="2338"/>
      <c r="DA159" s="2338"/>
      <c r="DB159" s="2338"/>
      <c r="DC159" s="2338"/>
      <c r="DD159" s="2338"/>
      <c r="DE159" s="2338"/>
      <c r="DF159" s="2338"/>
      <c r="DG159" s="2338"/>
      <c r="DH159" s="2338"/>
      <c r="DI159" s="2338"/>
      <c r="DJ159" s="2338"/>
    </row>
    <row r="160" spans="1:114" hidden="1" outlineLevel="1">
      <c r="A160" s="2566"/>
      <c r="B160" s="3210"/>
      <c r="C160" s="3208"/>
      <c r="D160" s="3208"/>
      <c r="E160" s="3210"/>
      <c r="F160" s="3767" t="s">
        <v>3863</v>
      </c>
      <c r="G160" s="3769"/>
      <c r="H160" s="2323"/>
      <c r="I160" s="2323"/>
      <c r="J160" s="2323"/>
      <c r="K160" s="2323"/>
      <c r="L160" s="2323"/>
      <c r="M160" s="2323"/>
      <c r="N160" s="2323"/>
      <c r="O160" s="2323"/>
      <c r="P160" s="2323"/>
      <c r="Q160" s="2323"/>
      <c r="R160" s="2323"/>
      <c r="S160" s="2323"/>
      <c r="T160" s="2383"/>
      <c r="U160" s="2383"/>
      <c r="V160" s="2343"/>
      <c r="W160" s="2343"/>
      <c r="X160" s="2343"/>
      <c r="Y160" s="2343"/>
      <c r="Z160" s="2566"/>
      <c r="AA160" s="2566"/>
      <c r="AB160" s="2566"/>
      <c r="AC160" s="2566"/>
      <c r="AD160" s="2323"/>
      <c r="AE160" s="2323"/>
      <c r="AF160" s="2323"/>
      <c r="AG160" s="2323"/>
      <c r="AH160" s="2323"/>
      <c r="AI160" s="2323"/>
      <c r="AJ160" s="2323"/>
      <c r="AK160" s="2898"/>
      <c r="AL160" s="2895">
        <f t="shared" si="4"/>
        <v>0</v>
      </c>
      <c r="AM160" s="2896" t="str">
        <f t="shared" si="5"/>
        <v/>
      </c>
      <c r="AN160" s="2338"/>
      <c r="AO160" s="2338"/>
      <c r="AP160" s="2338"/>
      <c r="AQ160" s="2338"/>
      <c r="AR160" s="2338"/>
      <c r="AS160" s="2338"/>
      <c r="AT160" s="2338"/>
      <c r="AU160" s="2338"/>
      <c r="AV160" s="2338"/>
      <c r="AW160" s="2338"/>
      <c r="AX160" s="2338"/>
      <c r="AY160" s="2338"/>
      <c r="AZ160" s="2338"/>
      <c r="BA160" s="2338"/>
      <c r="BB160" s="2338"/>
      <c r="BC160" s="2338"/>
      <c r="BD160" s="2338"/>
      <c r="BE160" s="2338"/>
      <c r="BF160" s="2338"/>
      <c r="BG160" s="2338"/>
      <c r="BH160" s="2338"/>
      <c r="BI160" s="2338"/>
      <c r="BJ160" s="2338"/>
      <c r="BK160" s="2338"/>
      <c r="BL160" s="2338"/>
      <c r="BM160" s="2338"/>
      <c r="BN160" s="2338"/>
      <c r="BO160" s="2338"/>
      <c r="BP160" s="2338"/>
      <c r="BQ160" s="2338"/>
      <c r="BR160" s="2338"/>
      <c r="BS160" s="2338"/>
      <c r="BT160" s="2338"/>
      <c r="BU160" s="2338"/>
      <c r="BV160" s="2338"/>
      <c r="BW160" s="2338"/>
      <c r="BX160" s="2338"/>
      <c r="BY160" s="2338"/>
      <c r="BZ160" s="2338"/>
      <c r="CA160" s="2338"/>
      <c r="CB160" s="2338"/>
      <c r="CC160" s="2338"/>
      <c r="CD160" s="2338"/>
      <c r="CE160" s="2338"/>
      <c r="CF160" s="2338"/>
      <c r="CG160" s="2338"/>
      <c r="CH160" s="2338"/>
      <c r="CI160" s="2338"/>
      <c r="CJ160" s="2338"/>
      <c r="CK160" s="2338"/>
      <c r="CL160" s="2338"/>
      <c r="CM160" s="2338"/>
      <c r="CN160" s="2338"/>
      <c r="CO160" s="2338"/>
      <c r="CP160" s="2338"/>
      <c r="CQ160" s="2338"/>
      <c r="CR160" s="2338"/>
      <c r="CS160" s="2338"/>
      <c r="CT160" s="2338"/>
      <c r="CU160" s="2338"/>
      <c r="CV160" s="2338"/>
      <c r="CW160" s="2338"/>
      <c r="CX160" s="2338"/>
      <c r="CY160" s="2338"/>
      <c r="CZ160" s="2338"/>
      <c r="DA160" s="2338"/>
      <c r="DB160" s="2338"/>
      <c r="DC160" s="2338"/>
      <c r="DD160" s="2338"/>
      <c r="DE160" s="2338"/>
      <c r="DF160" s="2338"/>
      <c r="DG160" s="2338"/>
      <c r="DH160" s="2338"/>
      <c r="DI160" s="2338"/>
      <c r="DJ160" s="2338"/>
    </row>
    <row r="161" spans="1:114" hidden="1" outlineLevel="1">
      <c r="A161" s="2566"/>
      <c r="B161" s="3210"/>
      <c r="C161" s="3208"/>
      <c r="D161" s="3208"/>
      <c r="E161" s="3210"/>
      <c r="F161" s="3767" t="s">
        <v>3864</v>
      </c>
      <c r="G161" s="3769"/>
      <c r="H161" s="2323"/>
      <c r="I161" s="2323"/>
      <c r="J161" s="2323"/>
      <c r="K161" s="2323"/>
      <c r="L161" s="2323"/>
      <c r="M161" s="2323"/>
      <c r="N161" s="2323"/>
      <c r="O161" s="2323"/>
      <c r="P161" s="2323"/>
      <c r="Q161" s="2323"/>
      <c r="R161" s="2323"/>
      <c r="S161" s="2323"/>
      <c r="T161" s="2383"/>
      <c r="U161" s="2383"/>
      <c r="V161" s="2319"/>
      <c r="W161" s="2319"/>
      <c r="X161" s="2319"/>
      <c r="Y161" s="2319"/>
      <c r="Z161" s="2566"/>
      <c r="AA161" s="2566"/>
      <c r="AB161" s="2566"/>
      <c r="AC161" s="2566"/>
      <c r="AD161" s="2323"/>
      <c r="AE161" s="2323"/>
      <c r="AF161" s="2323"/>
      <c r="AG161" s="2323"/>
      <c r="AH161" s="2323"/>
      <c r="AI161" s="2323"/>
      <c r="AJ161" s="2323"/>
      <c r="AK161" s="2898"/>
      <c r="AL161" s="2895">
        <f t="shared" si="4"/>
        <v>0</v>
      </c>
      <c r="AM161" s="2896" t="str">
        <f t="shared" si="5"/>
        <v/>
      </c>
      <c r="AN161" s="2338"/>
      <c r="AO161" s="2338"/>
      <c r="AP161" s="2338"/>
      <c r="AQ161" s="2338"/>
      <c r="AR161" s="2338"/>
      <c r="AS161" s="2338"/>
      <c r="AT161" s="2338"/>
      <c r="AU161" s="2338"/>
      <c r="AV161" s="2338"/>
      <c r="AW161" s="2338"/>
      <c r="AX161" s="2338"/>
      <c r="AY161" s="2338"/>
      <c r="AZ161" s="2338"/>
      <c r="BA161" s="2338"/>
      <c r="BB161" s="2338"/>
      <c r="BC161" s="2338"/>
      <c r="BD161" s="2338"/>
      <c r="BE161" s="2338"/>
      <c r="BF161" s="2338"/>
      <c r="BG161" s="2338"/>
      <c r="BH161" s="2338"/>
      <c r="BI161" s="2338"/>
      <c r="BJ161" s="2338"/>
      <c r="BK161" s="2338"/>
      <c r="BL161" s="2338"/>
      <c r="BM161" s="2338"/>
      <c r="BN161" s="2338"/>
      <c r="BO161" s="2338"/>
      <c r="BP161" s="2338"/>
      <c r="BQ161" s="2338"/>
      <c r="BR161" s="2338"/>
      <c r="BS161" s="2338"/>
      <c r="BT161" s="2338"/>
      <c r="BU161" s="2338"/>
      <c r="BV161" s="2338"/>
      <c r="BW161" s="2338"/>
      <c r="BX161" s="2338"/>
      <c r="BY161" s="2338"/>
      <c r="BZ161" s="2338"/>
      <c r="CA161" s="2338"/>
      <c r="CB161" s="2338"/>
      <c r="CC161" s="2338"/>
      <c r="CD161" s="2338"/>
      <c r="CE161" s="2338"/>
      <c r="CF161" s="2338"/>
      <c r="CG161" s="2338"/>
      <c r="CH161" s="2338"/>
      <c r="CI161" s="2338"/>
      <c r="CJ161" s="2338"/>
      <c r="CK161" s="2338"/>
      <c r="CL161" s="2338"/>
      <c r="CM161" s="2338"/>
      <c r="CN161" s="2338"/>
      <c r="CO161" s="2338"/>
      <c r="CP161" s="2338"/>
      <c r="CQ161" s="2338"/>
      <c r="CR161" s="2338"/>
      <c r="CS161" s="2338"/>
      <c r="CT161" s="2338"/>
      <c r="CU161" s="2338"/>
      <c r="CV161" s="2338"/>
      <c r="CW161" s="2338"/>
      <c r="CX161" s="2338"/>
      <c r="CY161" s="2338"/>
      <c r="CZ161" s="2338"/>
      <c r="DA161" s="2338"/>
      <c r="DB161" s="2338"/>
      <c r="DC161" s="2338"/>
      <c r="DD161" s="2338"/>
      <c r="DE161" s="2338"/>
      <c r="DF161" s="2338"/>
      <c r="DG161" s="2338"/>
      <c r="DH161" s="2338"/>
      <c r="DI161" s="2338"/>
      <c r="DJ161" s="2338"/>
    </row>
    <row r="162" spans="1:114" hidden="1" outlineLevel="1">
      <c r="A162" s="2566"/>
      <c r="B162" s="3210"/>
      <c r="C162" s="3208"/>
      <c r="D162" s="3208"/>
      <c r="E162" s="3210"/>
      <c r="F162" s="3767" t="s">
        <v>3865</v>
      </c>
      <c r="G162" s="3769"/>
      <c r="H162" s="2323"/>
      <c r="I162" s="2323"/>
      <c r="J162" s="2323"/>
      <c r="K162" s="2323"/>
      <c r="L162" s="2323"/>
      <c r="M162" s="2323"/>
      <c r="N162" s="2323"/>
      <c r="O162" s="2323"/>
      <c r="P162" s="2323"/>
      <c r="Q162" s="2323"/>
      <c r="R162" s="2323"/>
      <c r="S162" s="2323"/>
      <c r="T162" s="2383"/>
      <c r="U162" s="2383"/>
      <c r="V162" s="2319"/>
      <c r="W162" s="2319"/>
      <c r="X162" s="2319"/>
      <c r="Y162" s="2319"/>
      <c r="Z162" s="2566"/>
      <c r="AA162" s="2566"/>
      <c r="AB162" s="2566"/>
      <c r="AC162" s="2566"/>
      <c r="AD162" s="2323"/>
      <c r="AE162" s="2323"/>
      <c r="AF162" s="2323"/>
      <c r="AG162" s="2323"/>
      <c r="AH162" s="2323"/>
      <c r="AI162" s="2323"/>
      <c r="AJ162" s="2323"/>
      <c r="AK162" s="2898"/>
      <c r="AL162" s="2895">
        <f t="shared" si="4"/>
        <v>0</v>
      </c>
      <c r="AM162" s="2896" t="str">
        <f t="shared" si="5"/>
        <v/>
      </c>
      <c r="AN162" s="2338"/>
      <c r="AO162" s="2338"/>
      <c r="AP162" s="2338"/>
      <c r="AQ162" s="2338"/>
      <c r="AR162" s="2338"/>
      <c r="AS162" s="2338"/>
      <c r="AT162" s="2338"/>
      <c r="AU162" s="2338"/>
      <c r="AV162" s="2338"/>
      <c r="AW162" s="2338"/>
      <c r="AX162" s="2338"/>
      <c r="AY162" s="2338"/>
      <c r="AZ162" s="2338"/>
      <c r="BA162" s="2338"/>
      <c r="BB162" s="2338"/>
      <c r="BC162" s="2338"/>
      <c r="BD162" s="2338"/>
      <c r="BE162" s="2338"/>
      <c r="BF162" s="2338"/>
      <c r="BG162" s="2338"/>
      <c r="BH162" s="2338"/>
      <c r="BI162" s="2338"/>
      <c r="BJ162" s="2338"/>
      <c r="BK162" s="2338"/>
      <c r="BL162" s="2338"/>
      <c r="BM162" s="2338"/>
      <c r="BN162" s="2338"/>
      <c r="BO162" s="2338"/>
      <c r="BP162" s="2338"/>
      <c r="BQ162" s="2338"/>
      <c r="BR162" s="2338"/>
      <c r="BS162" s="2338"/>
      <c r="BT162" s="2338"/>
      <c r="BU162" s="2338"/>
      <c r="BV162" s="2338"/>
      <c r="BW162" s="2338"/>
      <c r="BX162" s="2338"/>
      <c r="BY162" s="2338"/>
      <c r="BZ162" s="2338"/>
      <c r="CA162" s="2338"/>
      <c r="CB162" s="2338"/>
      <c r="CC162" s="2338"/>
      <c r="CD162" s="2338"/>
      <c r="CE162" s="2338"/>
      <c r="CF162" s="2338"/>
      <c r="CG162" s="2338"/>
      <c r="CH162" s="2338"/>
      <c r="CI162" s="2338"/>
      <c r="CJ162" s="2338"/>
      <c r="CK162" s="2338"/>
      <c r="CL162" s="2338"/>
      <c r="CM162" s="2338"/>
      <c r="CN162" s="2338"/>
      <c r="CO162" s="2338"/>
      <c r="CP162" s="2338"/>
      <c r="CQ162" s="2338"/>
      <c r="CR162" s="2338"/>
      <c r="CS162" s="2338"/>
      <c r="CT162" s="2338"/>
      <c r="CU162" s="2338"/>
      <c r="CV162" s="2338"/>
      <c r="CW162" s="2338"/>
      <c r="CX162" s="2338"/>
      <c r="CY162" s="2338"/>
      <c r="CZ162" s="2338"/>
      <c r="DA162" s="2338"/>
      <c r="DB162" s="2338"/>
      <c r="DC162" s="2338"/>
      <c r="DD162" s="2338"/>
      <c r="DE162" s="2338"/>
      <c r="DF162" s="2338"/>
      <c r="DG162" s="2338"/>
      <c r="DH162" s="2338"/>
      <c r="DI162" s="2338"/>
      <c r="DJ162" s="2338"/>
    </row>
    <row r="163" spans="1:114" hidden="1" outlineLevel="1">
      <c r="A163" s="2566"/>
      <c r="B163" s="3210"/>
      <c r="C163" s="3208"/>
      <c r="D163" s="3208"/>
      <c r="E163" s="3210" t="s">
        <v>3910</v>
      </c>
      <c r="F163" s="3767" t="s">
        <v>3860</v>
      </c>
      <c r="G163" s="3769"/>
      <c r="H163" s="2323"/>
      <c r="I163" s="2323"/>
      <c r="J163" s="2323"/>
      <c r="K163" s="2323"/>
      <c r="L163" s="2323"/>
      <c r="M163" s="2323"/>
      <c r="N163" s="2323"/>
      <c r="O163" s="2323"/>
      <c r="P163" s="2323"/>
      <c r="Q163" s="2323"/>
      <c r="R163" s="2323"/>
      <c r="S163" s="2323"/>
      <c r="T163" s="2383"/>
      <c r="U163" s="2383"/>
      <c r="V163" s="2319"/>
      <c r="W163" s="2319"/>
      <c r="X163" s="2319"/>
      <c r="Y163" s="2319"/>
      <c r="Z163" s="2566"/>
      <c r="AA163" s="2566"/>
      <c r="AB163" s="2566"/>
      <c r="AC163" s="2566"/>
      <c r="AD163" s="2323"/>
      <c r="AE163" s="2323"/>
      <c r="AF163" s="2323"/>
      <c r="AG163" s="2323"/>
      <c r="AH163" s="2323"/>
      <c r="AI163" s="2323"/>
      <c r="AJ163" s="2323"/>
      <c r="AK163" s="2898"/>
      <c r="AL163" s="2895">
        <f t="shared" si="4"/>
        <v>0</v>
      </c>
      <c r="AM163" s="2896" t="str">
        <f t="shared" si="5"/>
        <v/>
      </c>
      <c r="AN163" s="2338"/>
      <c r="AO163" s="2338"/>
      <c r="AP163" s="2338"/>
      <c r="AQ163" s="2338"/>
      <c r="AR163" s="2338"/>
      <c r="AS163" s="2338"/>
      <c r="AT163" s="2338"/>
      <c r="AU163" s="2338"/>
      <c r="AV163" s="2338"/>
      <c r="AW163" s="2338"/>
      <c r="AX163" s="2338"/>
      <c r="AY163" s="2338"/>
      <c r="AZ163" s="2338"/>
      <c r="BA163" s="2338"/>
      <c r="BB163" s="2338"/>
      <c r="BC163" s="2338"/>
      <c r="BD163" s="2338"/>
      <c r="BE163" s="2338"/>
      <c r="BF163" s="2338"/>
      <c r="BG163" s="2338"/>
      <c r="BH163" s="2338"/>
      <c r="BI163" s="2338"/>
      <c r="BJ163" s="2338"/>
      <c r="BK163" s="2338"/>
      <c r="BL163" s="2338"/>
      <c r="BM163" s="2338"/>
      <c r="BN163" s="2338"/>
      <c r="BO163" s="2338"/>
      <c r="BP163" s="2338"/>
      <c r="BQ163" s="2338"/>
      <c r="BR163" s="2338"/>
      <c r="BS163" s="2338"/>
      <c r="BT163" s="2338"/>
      <c r="BU163" s="2338"/>
      <c r="BV163" s="2338"/>
      <c r="BW163" s="2338"/>
      <c r="BX163" s="2338"/>
      <c r="BY163" s="2338"/>
      <c r="BZ163" s="2338"/>
      <c r="CA163" s="2338"/>
      <c r="CB163" s="2338"/>
      <c r="CC163" s="2338"/>
      <c r="CD163" s="2338"/>
      <c r="CE163" s="2338"/>
      <c r="CF163" s="2338"/>
      <c r="CG163" s="2338"/>
      <c r="CH163" s="2338"/>
      <c r="CI163" s="2338"/>
      <c r="CJ163" s="2338"/>
      <c r="CK163" s="2338"/>
      <c r="CL163" s="2338"/>
      <c r="CM163" s="2338"/>
      <c r="CN163" s="2338"/>
      <c r="CO163" s="2338"/>
      <c r="CP163" s="2338"/>
      <c r="CQ163" s="2338"/>
      <c r="CR163" s="2338"/>
      <c r="CS163" s="2338"/>
      <c r="CT163" s="2338"/>
      <c r="CU163" s="2338"/>
      <c r="CV163" s="2338"/>
      <c r="CW163" s="2338"/>
      <c r="CX163" s="2338"/>
      <c r="CY163" s="2338"/>
      <c r="CZ163" s="2338"/>
      <c r="DA163" s="2338"/>
      <c r="DB163" s="2338"/>
      <c r="DC163" s="2338"/>
      <c r="DD163" s="2338"/>
      <c r="DE163" s="2338"/>
      <c r="DF163" s="2338"/>
      <c r="DG163" s="2338"/>
      <c r="DH163" s="2338"/>
      <c r="DI163" s="2338"/>
      <c r="DJ163" s="2338"/>
    </row>
    <row r="164" spans="1:114" hidden="1" outlineLevel="1">
      <c r="A164" s="2566"/>
      <c r="B164" s="3210"/>
      <c r="C164" s="3208"/>
      <c r="D164" s="3208"/>
      <c r="E164" s="3210"/>
      <c r="F164" s="3767" t="s">
        <v>3861</v>
      </c>
      <c r="G164" s="3769"/>
      <c r="H164" s="2323"/>
      <c r="I164" s="2323"/>
      <c r="J164" s="2323"/>
      <c r="K164" s="2323"/>
      <c r="L164" s="2323"/>
      <c r="M164" s="2323"/>
      <c r="N164" s="2323"/>
      <c r="O164" s="2323"/>
      <c r="P164" s="2323"/>
      <c r="Q164" s="2323"/>
      <c r="R164" s="2323"/>
      <c r="S164" s="2323"/>
      <c r="T164" s="2383"/>
      <c r="U164" s="2383"/>
      <c r="V164" s="2319"/>
      <c r="W164" s="2319"/>
      <c r="X164" s="2319"/>
      <c r="Y164" s="2319"/>
      <c r="Z164" s="2566"/>
      <c r="AA164" s="2566"/>
      <c r="AB164" s="2566"/>
      <c r="AC164" s="2566"/>
      <c r="AD164" s="2323"/>
      <c r="AE164" s="2323"/>
      <c r="AF164" s="2323"/>
      <c r="AG164" s="2323"/>
      <c r="AH164" s="2323"/>
      <c r="AI164" s="2323"/>
      <c r="AJ164" s="2323"/>
      <c r="AK164" s="2898"/>
      <c r="AL164" s="2895">
        <f t="shared" si="4"/>
        <v>0</v>
      </c>
      <c r="AM164" s="2896" t="str">
        <f t="shared" si="5"/>
        <v/>
      </c>
      <c r="AN164" s="2338"/>
      <c r="AO164" s="2338"/>
      <c r="AP164" s="2338"/>
      <c r="AQ164" s="2338"/>
      <c r="AR164" s="2338"/>
      <c r="AS164" s="2338"/>
      <c r="AT164" s="2338"/>
      <c r="AU164" s="2338"/>
      <c r="AV164" s="2338"/>
      <c r="AW164" s="2338"/>
      <c r="AX164" s="2338"/>
      <c r="AY164" s="2338"/>
      <c r="AZ164" s="2338"/>
      <c r="BA164" s="2338"/>
      <c r="BB164" s="2338"/>
      <c r="BC164" s="2338"/>
      <c r="BD164" s="2338"/>
      <c r="BE164" s="2338"/>
      <c r="BF164" s="2338"/>
      <c r="BG164" s="2338"/>
      <c r="BH164" s="2338"/>
      <c r="BI164" s="2338"/>
      <c r="BJ164" s="2338"/>
      <c r="BK164" s="2338"/>
      <c r="BL164" s="2338"/>
      <c r="BM164" s="2338"/>
      <c r="BN164" s="2338"/>
      <c r="BO164" s="2338"/>
      <c r="BP164" s="2338"/>
      <c r="BQ164" s="2338"/>
      <c r="BR164" s="2338"/>
      <c r="BS164" s="2338"/>
      <c r="BT164" s="2338"/>
      <c r="BU164" s="2338"/>
      <c r="BV164" s="2338"/>
      <c r="BW164" s="2338"/>
      <c r="BX164" s="2338"/>
      <c r="BY164" s="2338"/>
      <c r="BZ164" s="2338"/>
      <c r="CA164" s="2338"/>
      <c r="CB164" s="2338"/>
      <c r="CC164" s="2338"/>
      <c r="CD164" s="2338"/>
      <c r="CE164" s="2338"/>
      <c r="CF164" s="2338"/>
      <c r="CG164" s="2338"/>
      <c r="CH164" s="2338"/>
      <c r="CI164" s="2338"/>
      <c r="CJ164" s="2338"/>
      <c r="CK164" s="2338"/>
      <c r="CL164" s="2338"/>
      <c r="CM164" s="2338"/>
      <c r="CN164" s="2338"/>
      <c r="CO164" s="2338"/>
      <c r="CP164" s="2338"/>
      <c r="CQ164" s="2338"/>
      <c r="CR164" s="2338"/>
      <c r="CS164" s="2338"/>
      <c r="CT164" s="2338"/>
      <c r="CU164" s="2338"/>
      <c r="CV164" s="2338"/>
      <c r="CW164" s="2338"/>
      <c r="CX164" s="2338"/>
      <c r="CY164" s="2338"/>
      <c r="CZ164" s="2338"/>
      <c r="DA164" s="2338"/>
      <c r="DB164" s="2338"/>
      <c r="DC164" s="2338"/>
      <c r="DD164" s="2338"/>
      <c r="DE164" s="2338"/>
      <c r="DF164" s="2338"/>
      <c r="DG164" s="2338"/>
      <c r="DH164" s="2338"/>
      <c r="DI164" s="2338"/>
      <c r="DJ164" s="2338"/>
    </row>
    <row r="165" spans="1:114" hidden="1" outlineLevel="1">
      <c r="A165" s="2566"/>
      <c r="B165" s="3210"/>
      <c r="C165" s="3208"/>
      <c r="D165" s="3208"/>
      <c r="E165" s="3210"/>
      <c r="F165" s="3767" t="s">
        <v>3862</v>
      </c>
      <c r="G165" s="3769"/>
      <c r="H165" s="2323"/>
      <c r="I165" s="2323"/>
      <c r="J165" s="2323"/>
      <c r="K165" s="2323"/>
      <c r="L165" s="2323"/>
      <c r="M165" s="2323"/>
      <c r="N165" s="2323"/>
      <c r="O165" s="2323"/>
      <c r="P165" s="2323"/>
      <c r="Q165" s="2323"/>
      <c r="R165" s="2323"/>
      <c r="S165" s="2323"/>
      <c r="T165" s="2383"/>
      <c r="U165" s="2383"/>
      <c r="V165" s="2319"/>
      <c r="W165" s="2319"/>
      <c r="X165" s="2319"/>
      <c r="Y165" s="2319"/>
      <c r="Z165" s="2566"/>
      <c r="AA165" s="2566"/>
      <c r="AB165" s="2566"/>
      <c r="AC165" s="2566"/>
      <c r="AD165" s="2323"/>
      <c r="AE165" s="2323"/>
      <c r="AF165" s="2323"/>
      <c r="AG165" s="2323"/>
      <c r="AH165" s="2323"/>
      <c r="AI165" s="2323"/>
      <c r="AJ165" s="2323"/>
      <c r="AK165" s="2898"/>
      <c r="AL165" s="2895">
        <f t="shared" si="4"/>
        <v>0</v>
      </c>
      <c r="AM165" s="2896" t="str">
        <f t="shared" si="5"/>
        <v/>
      </c>
      <c r="AN165" s="2338"/>
      <c r="AO165" s="2338"/>
      <c r="AP165" s="2338"/>
      <c r="AQ165" s="2338"/>
      <c r="AR165" s="2338"/>
      <c r="AS165" s="2338"/>
      <c r="AT165" s="2338"/>
      <c r="AU165" s="2338"/>
      <c r="AV165" s="2338"/>
      <c r="AW165" s="2338"/>
      <c r="AX165" s="2338"/>
      <c r="AY165" s="2338"/>
      <c r="AZ165" s="2338"/>
      <c r="BA165" s="2338"/>
      <c r="BB165" s="2338"/>
      <c r="BC165" s="2338"/>
      <c r="BD165" s="2338"/>
      <c r="BE165" s="2338"/>
      <c r="BF165" s="2338"/>
      <c r="BG165" s="2338"/>
      <c r="BH165" s="2338"/>
      <c r="BI165" s="2338"/>
      <c r="BJ165" s="2338"/>
      <c r="BK165" s="2338"/>
      <c r="BL165" s="2338"/>
      <c r="BM165" s="2338"/>
      <c r="BN165" s="2338"/>
      <c r="BO165" s="2338"/>
      <c r="BP165" s="2338"/>
      <c r="BQ165" s="2338"/>
      <c r="BR165" s="2338"/>
      <c r="BS165" s="2338"/>
      <c r="BT165" s="2338"/>
      <c r="BU165" s="2338"/>
      <c r="BV165" s="2338"/>
      <c r="BW165" s="2338"/>
      <c r="BX165" s="2338"/>
      <c r="BY165" s="2338"/>
      <c r="BZ165" s="2338"/>
      <c r="CA165" s="2338"/>
      <c r="CB165" s="2338"/>
      <c r="CC165" s="2338"/>
      <c r="CD165" s="2338"/>
      <c r="CE165" s="2338"/>
      <c r="CF165" s="2338"/>
      <c r="CG165" s="2338"/>
      <c r="CH165" s="2338"/>
      <c r="CI165" s="2338"/>
      <c r="CJ165" s="2338"/>
      <c r="CK165" s="2338"/>
      <c r="CL165" s="2338"/>
      <c r="CM165" s="2338"/>
      <c r="CN165" s="2338"/>
      <c r="CO165" s="2338"/>
      <c r="CP165" s="2338"/>
      <c r="CQ165" s="2338"/>
      <c r="CR165" s="2338"/>
      <c r="CS165" s="2338"/>
      <c r="CT165" s="2338"/>
      <c r="CU165" s="2338"/>
      <c r="CV165" s="2338"/>
      <c r="CW165" s="2338"/>
      <c r="CX165" s="2338"/>
      <c r="CY165" s="2338"/>
      <c r="CZ165" s="2338"/>
      <c r="DA165" s="2338"/>
      <c r="DB165" s="2338"/>
      <c r="DC165" s="2338"/>
      <c r="DD165" s="2338"/>
      <c r="DE165" s="2338"/>
      <c r="DF165" s="2338"/>
      <c r="DG165" s="2338"/>
      <c r="DH165" s="2338"/>
      <c r="DI165" s="2338"/>
      <c r="DJ165" s="2338"/>
    </row>
    <row r="166" spans="1:114" hidden="1" outlineLevel="1">
      <c r="A166" s="2566"/>
      <c r="B166" s="3210"/>
      <c r="C166" s="3208"/>
      <c r="D166" s="3208"/>
      <c r="E166" s="3210"/>
      <c r="F166" s="3767" t="s">
        <v>3863</v>
      </c>
      <c r="G166" s="3769"/>
      <c r="H166" s="2323"/>
      <c r="I166" s="2323"/>
      <c r="J166" s="2323"/>
      <c r="K166" s="2323"/>
      <c r="L166" s="2323"/>
      <c r="M166" s="2323"/>
      <c r="N166" s="2323"/>
      <c r="O166" s="2323"/>
      <c r="P166" s="2323"/>
      <c r="Q166" s="2323"/>
      <c r="R166" s="2323"/>
      <c r="S166" s="2323"/>
      <c r="T166" s="2383"/>
      <c r="U166" s="2383"/>
      <c r="V166" s="2319"/>
      <c r="W166" s="2319"/>
      <c r="X166" s="2319"/>
      <c r="Y166" s="2319"/>
      <c r="Z166" s="2566"/>
      <c r="AA166" s="2566"/>
      <c r="AB166" s="2566"/>
      <c r="AC166" s="2566"/>
      <c r="AD166" s="2323"/>
      <c r="AE166" s="2323"/>
      <c r="AF166" s="2323"/>
      <c r="AG166" s="2323"/>
      <c r="AH166" s="2323"/>
      <c r="AI166" s="2323"/>
      <c r="AJ166" s="2323"/>
      <c r="AK166" s="2898"/>
      <c r="AL166" s="2895">
        <f t="shared" si="4"/>
        <v>0</v>
      </c>
      <c r="AM166" s="2896" t="str">
        <f t="shared" si="5"/>
        <v/>
      </c>
      <c r="AN166" s="2338"/>
      <c r="AO166" s="2338"/>
      <c r="AP166" s="2338"/>
      <c r="AQ166" s="2338"/>
      <c r="AR166" s="2338"/>
      <c r="AS166" s="2338"/>
      <c r="AT166" s="2338"/>
      <c r="AU166" s="2338"/>
      <c r="AV166" s="2338"/>
      <c r="AW166" s="2338"/>
      <c r="AX166" s="2338"/>
      <c r="AY166" s="2338"/>
      <c r="AZ166" s="2338"/>
      <c r="BA166" s="2338"/>
      <c r="BB166" s="2338"/>
      <c r="BC166" s="2338"/>
      <c r="BD166" s="2338"/>
      <c r="BE166" s="2338"/>
      <c r="BF166" s="2338"/>
      <c r="BG166" s="2338"/>
      <c r="BH166" s="2338"/>
      <c r="BI166" s="2338"/>
      <c r="BJ166" s="2338"/>
      <c r="BK166" s="2338"/>
      <c r="BL166" s="2338"/>
      <c r="BM166" s="2338"/>
      <c r="BN166" s="2338"/>
      <c r="BO166" s="2338"/>
      <c r="BP166" s="2338"/>
      <c r="BQ166" s="2338"/>
      <c r="BR166" s="2338"/>
      <c r="BS166" s="2338"/>
      <c r="BT166" s="2338"/>
      <c r="BU166" s="2338"/>
      <c r="BV166" s="2338"/>
      <c r="BW166" s="2338"/>
      <c r="BX166" s="2338"/>
      <c r="BY166" s="2338"/>
      <c r="BZ166" s="2338"/>
      <c r="CA166" s="2338"/>
      <c r="CB166" s="2338"/>
      <c r="CC166" s="2338"/>
      <c r="CD166" s="2338"/>
      <c r="CE166" s="2338"/>
      <c r="CF166" s="2338"/>
      <c r="CG166" s="2338"/>
      <c r="CH166" s="2338"/>
      <c r="CI166" s="2338"/>
      <c r="CJ166" s="2338"/>
      <c r="CK166" s="2338"/>
      <c r="CL166" s="2338"/>
      <c r="CM166" s="2338"/>
      <c r="CN166" s="2338"/>
      <c r="CO166" s="2338"/>
      <c r="CP166" s="2338"/>
      <c r="CQ166" s="2338"/>
      <c r="CR166" s="2338"/>
      <c r="CS166" s="2338"/>
      <c r="CT166" s="2338"/>
      <c r="CU166" s="2338"/>
      <c r="CV166" s="2338"/>
      <c r="CW166" s="2338"/>
      <c r="CX166" s="2338"/>
      <c r="CY166" s="2338"/>
      <c r="CZ166" s="2338"/>
      <c r="DA166" s="2338"/>
      <c r="DB166" s="2338"/>
      <c r="DC166" s="2338"/>
      <c r="DD166" s="2338"/>
      <c r="DE166" s="2338"/>
      <c r="DF166" s="2338"/>
      <c r="DG166" s="2338"/>
      <c r="DH166" s="2338"/>
      <c r="DI166" s="2338"/>
      <c r="DJ166" s="2338"/>
    </row>
    <row r="167" spans="1:114" hidden="1" outlineLevel="1">
      <c r="A167" s="2566"/>
      <c r="B167" s="3210"/>
      <c r="C167" s="3208"/>
      <c r="D167" s="3208"/>
      <c r="E167" s="3210"/>
      <c r="F167" s="3767" t="s">
        <v>3864</v>
      </c>
      <c r="G167" s="3769"/>
      <c r="H167" s="2323"/>
      <c r="I167" s="2323"/>
      <c r="J167" s="2323"/>
      <c r="K167" s="2323"/>
      <c r="L167" s="2323"/>
      <c r="M167" s="2323"/>
      <c r="N167" s="2323"/>
      <c r="O167" s="2323"/>
      <c r="P167" s="2323"/>
      <c r="Q167" s="2323"/>
      <c r="R167" s="2323"/>
      <c r="S167" s="2323"/>
      <c r="T167" s="2383"/>
      <c r="U167" s="2383"/>
      <c r="V167" s="2319"/>
      <c r="W167" s="2319"/>
      <c r="X167" s="2319"/>
      <c r="Y167" s="2319"/>
      <c r="Z167" s="2566"/>
      <c r="AA167" s="2566"/>
      <c r="AB167" s="2566"/>
      <c r="AC167" s="2566"/>
      <c r="AD167" s="2323"/>
      <c r="AE167" s="2323"/>
      <c r="AF167" s="2323"/>
      <c r="AG167" s="2323"/>
      <c r="AH167" s="2323"/>
      <c r="AI167" s="2323"/>
      <c r="AJ167" s="2323"/>
      <c r="AK167" s="2898"/>
      <c r="AL167" s="2895">
        <f t="shared" si="4"/>
        <v>0</v>
      </c>
      <c r="AM167" s="2896" t="str">
        <f t="shared" si="5"/>
        <v/>
      </c>
      <c r="AN167" s="2338"/>
      <c r="AO167" s="2338"/>
      <c r="AP167" s="2338"/>
      <c r="AQ167" s="2338"/>
      <c r="AR167" s="2338"/>
      <c r="AS167" s="2338"/>
      <c r="AT167" s="2338"/>
      <c r="AU167" s="2338"/>
      <c r="AV167" s="2338"/>
      <c r="AW167" s="2338"/>
      <c r="AX167" s="2338"/>
      <c r="AY167" s="2338"/>
      <c r="AZ167" s="2338"/>
      <c r="BA167" s="2338"/>
      <c r="BB167" s="2338"/>
      <c r="BC167" s="2338"/>
      <c r="BD167" s="2338"/>
      <c r="BE167" s="2338"/>
      <c r="BF167" s="2338"/>
      <c r="BG167" s="2338"/>
      <c r="BH167" s="2338"/>
      <c r="BI167" s="2338"/>
      <c r="BJ167" s="2338"/>
      <c r="BK167" s="2338"/>
      <c r="BL167" s="2338"/>
      <c r="BM167" s="2338"/>
      <c r="BN167" s="2338"/>
      <c r="BO167" s="2338"/>
      <c r="BP167" s="2338"/>
      <c r="BQ167" s="2338"/>
      <c r="BR167" s="2338"/>
      <c r="BS167" s="2338"/>
      <c r="BT167" s="2338"/>
      <c r="BU167" s="2338"/>
      <c r="BV167" s="2338"/>
      <c r="BW167" s="2338"/>
      <c r="BX167" s="2338"/>
      <c r="BY167" s="2338"/>
      <c r="BZ167" s="2338"/>
      <c r="CA167" s="2338"/>
      <c r="CB167" s="2338"/>
      <c r="CC167" s="2338"/>
      <c r="CD167" s="2338"/>
      <c r="CE167" s="2338"/>
      <c r="CF167" s="2338"/>
      <c r="CG167" s="2338"/>
      <c r="CH167" s="2338"/>
      <c r="CI167" s="2338"/>
      <c r="CJ167" s="2338"/>
      <c r="CK167" s="2338"/>
      <c r="CL167" s="2338"/>
      <c r="CM167" s="2338"/>
      <c r="CN167" s="2338"/>
      <c r="CO167" s="2338"/>
      <c r="CP167" s="2338"/>
      <c r="CQ167" s="2338"/>
      <c r="CR167" s="2338"/>
      <c r="CS167" s="2338"/>
      <c r="CT167" s="2338"/>
      <c r="CU167" s="2338"/>
      <c r="CV167" s="2338"/>
      <c r="CW167" s="2338"/>
      <c r="CX167" s="2338"/>
      <c r="CY167" s="2338"/>
      <c r="CZ167" s="2338"/>
      <c r="DA167" s="2338"/>
      <c r="DB167" s="2338"/>
      <c r="DC167" s="2338"/>
      <c r="DD167" s="2338"/>
      <c r="DE167" s="2338"/>
      <c r="DF167" s="2338"/>
      <c r="DG167" s="2338"/>
      <c r="DH167" s="2338"/>
      <c r="DI167" s="2338"/>
      <c r="DJ167" s="2338"/>
    </row>
    <row r="168" spans="1:114" hidden="1" outlineLevel="1">
      <c r="A168" s="2566"/>
      <c r="B168" s="3210"/>
      <c r="C168" s="3208"/>
      <c r="D168" s="3208"/>
      <c r="E168" s="3210"/>
      <c r="F168" s="3767" t="s">
        <v>3865</v>
      </c>
      <c r="G168" s="3769"/>
      <c r="H168" s="2323"/>
      <c r="I168" s="2323"/>
      <c r="J168" s="2323"/>
      <c r="K168" s="2323"/>
      <c r="L168" s="2323"/>
      <c r="M168" s="2323"/>
      <c r="N168" s="2323"/>
      <c r="O168" s="2323"/>
      <c r="P168" s="2323"/>
      <c r="Q168" s="2323"/>
      <c r="R168" s="2323"/>
      <c r="S168" s="2323"/>
      <c r="T168" s="2383"/>
      <c r="U168" s="2383"/>
      <c r="V168" s="2319"/>
      <c r="W168" s="2319"/>
      <c r="X168" s="2319"/>
      <c r="Y168" s="2319"/>
      <c r="Z168" s="2566"/>
      <c r="AA168" s="2566"/>
      <c r="AB168" s="2566"/>
      <c r="AC168" s="2566"/>
      <c r="AD168" s="2323"/>
      <c r="AE168" s="2323"/>
      <c r="AF168" s="2323"/>
      <c r="AG168" s="2323"/>
      <c r="AH168" s="2323"/>
      <c r="AI168" s="2323"/>
      <c r="AJ168" s="2323"/>
      <c r="AK168" s="2898"/>
      <c r="AL168" s="2895">
        <f t="shared" si="4"/>
        <v>0</v>
      </c>
      <c r="AM168" s="2896" t="str">
        <f t="shared" si="5"/>
        <v/>
      </c>
      <c r="AN168" s="2338"/>
      <c r="AO168" s="2338"/>
      <c r="AP168" s="2338"/>
      <c r="AQ168" s="2338"/>
      <c r="AR168" s="2338"/>
      <c r="AS168" s="2338"/>
      <c r="AT168" s="2338"/>
      <c r="AU168" s="2338"/>
      <c r="AV168" s="2338"/>
      <c r="AW168" s="2338"/>
      <c r="AX168" s="2338"/>
      <c r="AY168" s="2338"/>
      <c r="AZ168" s="2338"/>
      <c r="BA168" s="2338"/>
      <c r="BB168" s="2338"/>
      <c r="BC168" s="2338"/>
      <c r="BD168" s="2338"/>
      <c r="BE168" s="2338"/>
      <c r="BF168" s="2338"/>
      <c r="BG168" s="2338"/>
      <c r="BH168" s="2338"/>
      <c r="BI168" s="2338"/>
      <c r="BJ168" s="2338"/>
      <c r="BK168" s="2338"/>
      <c r="BL168" s="2338"/>
      <c r="BM168" s="2338"/>
      <c r="BN168" s="2338"/>
      <c r="BO168" s="2338"/>
      <c r="BP168" s="2338"/>
      <c r="BQ168" s="2338"/>
      <c r="BR168" s="2338"/>
      <c r="BS168" s="2338"/>
      <c r="BT168" s="2338"/>
      <c r="BU168" s="2338"/>
      <c r="BV168" s="2338"/>
      <c r="BW168" s="2338"/>
      <c r="BX168" s="2338"/>
      <c r="BY168" s="2338"/>
      <c r="BZ168" s="2338"/>
      <c r="CA168" s="2338"/>
      <c r="CB168" s="2338"/>
      <c r="CC168" s="2338"/>
      <c r="CD168" s="2338"/>
      <c r="CE168" s="2338"/>
      <c r="CF168" s="2338"/>
      <c r="CG168" s="2338"/>
      <c r="CH168" s="2338"/>
      <c r="CI168" s="2338"/>
      <c r="CJ168" s="2338"/>
      <c r="CK168" s="2338"/>
      <c r="CL168" s="2338"/>
      <c r="CM168" s="2338"/>
      <c r="CN168" s="2338"/>
      <c r="CO168" s="2338"/>
      <c r="CP168" s="2338"/>
      <c r="CQ168" s="2338"/>
      <c r="CR168" s="2338"/>
      <c r="CS168" s="2338"/>
      <c r="CT168" s="2338"/>
      <c r="CU168" s="2338"/>
      <c r="CV168" s="2338"/>
      <c r="CW168" s="2338"/>
      <c r="CX168" s="2338"/>
      <c r="CY168" s="2338"/>
      <c r="CZ168" s="2338"/>
      <c r="DA168" s="2338"/>
      <c r="DB168" s="2338"/>
      <c r="DC168" s="2338"/>
      <c r="DD168" s="2338"/>
      <c r="DE168" s="2338"/>
      <c r="DF168" s="2338"/>
      <c r="DG168" s="2338"/>
      <c r="DH168" s="2338"/>
      <c r="DI168" s="2338"/>
      <c r="DJ168" s="2338"/>
    </row>
    <row r="169" spans="1:114" hidden="1" outlineLevel="1">
      <c r="A169" s="2566"/>
      <c r="B169" s="3210"/>
      <c r="C169" s="3208" t="s">
        <v>3913</v>
      </c>
      <c r="D169" s="3208" t="s">
        <v>3911</v>
      </c>
      <c r="E169" s="3210" t="s">
        <v>3910</v>
      </c>
      <c r="F169" s="3767" t="s">
        <v>3860</v>
      </c>
      <c r="G169" s="3769"/>
      <c r="H169" s="2323"/>
      <c r="I169" s="2323"/>
      <c r="J169" s="2323"/>
      <c r="K169" s="2323"/>
      <c r="L169" s="2323"/>
      <c r="M169" s="2323"/>
      <c r="N169" s="2323"/>
      <c r="O169" s="2323"/>
      <c r="P169" s="2323"/>
      <c r="Q169" s="2323"/>
      <c r="R169" s="2323"/>
      <c r="S169" s="2323"/>
      <c r="T169" s="2383"/>
      <c r="U169" s="2383"/>
      <c r="V169" s="2319"/>
      <c r="W169" s="2319"/>
      <c r="X169" s="2319"/>
      <c r="Y169" s="2319"/>
      <c r="Z169" s="2566"/>
      <c r="AA169" s="2566"/>
      <c r="AB169" s="2566"/>
      <c r="AC169" s="2566"/>
      <c r="AD169" s="2323"/>
      <c r="AE169" s="2323"/>
      <c r="AF169" s="2323"/>
      <c r="AG169" s="2323"/>
      <c r="AH169" s="2323"/>
      <c r="AI169" s="2323"/>
      <c r="AJ169" s="2323"/>
      <c r="AK169" s="2898"/>
      <c r="AL169" s="2895">
        <f t="shared" si="4"/>
        <v>0</v>
      </c>
      <c r="AM169" s="2896" t="str">
        <f t="shared" si="5"/>
        <v/>
      </c>
      <c r="AN169" s="2338"/>
      <c r="AO169" s="2338"/>
      <c r="AP169" s="2338"/>
      <c r="AQ169" s="2338"/>
      <c r="AR169" s="2338"/>
      <c r="AS169" s="2338"/>
      <c r="AT169" s="2338"/>
      <c r="AU169" s="2338"/>
      <c r="AV169" s="2338"/>
      <c r="AW169" s="2338"/>
      <c r="AX169" s="2338"/>
      <c r="AY169" s="2338"/>
      <c r="AZ169" s="2338"/>
      <c r="BA169" s="2338"/>
      <c r="BB169" s="2338"/>
      <c r="BC169" s="2338"/>
      <c r="BD169" s="2338"/>
      <c r="BE169" s="2338"/>
      <c r="BF169" s="2338"/>
      <c r="BG169" s="2338"/>
      <c r="BH169" s="2338"/>
      <c r="BI169" s="2338"/>
      <c r="BJ169" s="2338"/>
      <c r="BK169" s="2338"/>
      <c r="BL169" s="2338"/>
      <c r="BM169" s="2338"/>
      <c r="BN169" s="2338"/>
      <c r="BO169" s="2338"/>
      <c r="BP169" s="2338"/>
      <c r="BQ169" s="2338"/>
      <c r="BR169" s="2338"/>
      <c r="BS169" s="2338"/>
      <c r="BT169" s="2338"/>
      <c r="BU169" s="2338"/>
      <c r="BV169" s="2338"/>
      <c r="BW169" s="2338"/>
      <c r="BX169" s="2338"/>
      <c r="BY169" s="2338"/>
      <c r="BZ169" s="2338"/>
      <c r="CA169" s="2338"/>
      <c r="CB169" s="2338"/>
      <c r="CC169" s="2338"/>
      <c r="CD169" s="2338"/>
      <c r="CE169" s="2338"/>
      <c r="CF169" s="2338"/>
      <c r="CG169" s="2338"/>
      <c r="CH169" s="2338"/>
      <c r="CI169" s="2338"/>
      <c r="CJ169" s="2338"/>
      <c r="CK169" s="2338"/>
      <c r="CL169" s="2338"/>
      <c r="CM169" s="2338"/>
      <c r="CN169" s="2338"/>
      <c r="CO169" s="2338"/>
      <c r="CP169" s="2338"/>
      <c r="CQ169" s="2338"/>
      <c r="CR169" s="2338"/>
      <c r="CS169" s="2338"/>
      <c r="CT169" s="2338"/>
      <c r="CU169" s="2338"/>
      <c r="CV169" s="2338"/>
      <c r="CW169" s="2338"/>
      <c r="CX169" s="2338"/>
      <c r="CY169" s="2338"/>
      <c r="CZ169" s="2338"/>
      <c r="DA169" s="2338"/>
      <c r="DB169" s="2338"/>
      <c r="DC169" s="2338"/>
      <c r="DD169" s="2338"/>
      <c r="DE169" s="2338"/>
      <c r="DF169" s="2338"/>
      <c r="DG169" s="2338"/>
      <c r="DH169" s="2338"/>
      <c r="DI169" s="2338"/>
      <c r="DJ169" s="2338"/>
    </row>
    <row r="170" spans="1:114" hidden="1" outlineLevel="1">
      <c r="A170" s="2566"/>
      <c r="B170" s="3210"/>
      <c r="C170" s="3208"/>
      <c r="D170" s="3208"/>
      <c r="E170" s="3210"/>
      <c r="F170" s="3767" t="s">
        <v>3861</v>
      </c>
      <c r="G170" s="3769"/>
      <c r="H170" s="2323"/>
      <c r="I170" s="2323"/>
      <c r="J170" s="2323"/>
      <c r="K170" s="2323"/>
      <c r="L170" s="2323"/>
      <c r="M170" s="2323"/>
      <c r="N170" s="2323"/>
      <c r="O170" s="2323"/>
      <c r="P170" s="2323"/>
      <c r="Q170" s="2323"/>
      <c r="R170" s="2323"/>
      <c r="S170" s="2323"/>
      <c r="T170" s="2383"/>
      <c r="U170" s="2383"/>
      <c r="V170" s="2319"/>
      <c r="W170" s="2319"/>
      <c r="X170" s="2319"/>
      <c r="Y170" s="2319"/>
      <c r="Z170" s="2566"/>
      <c r="AA170" s="2566"/>
      <c r="AB170" s="2566"/>
      <c r="AC170" s="2566"/>
      <c r="AD170" s="2323"/>
      <c r="AE170" s="2323"/>
      <c r="AF170" s="2323"/>
      <c r="AG170" s="2323"/>
      <c r="AH170" s="2323"/>
      <c r="AI170" s="2323"/>
      <c r="AJ170" s="2323"/>
      <c r="AK170" s="2898"/>
      <c r="AL170" s="2895">
        <f t="shared" si="4"/>
        <v>0</v>
      </c>
      <c r="AM170" s="2896" t="str">
        <f t="shared" si="5"/>
        <v/>
      </c>
      <c r="AN170" s="2338"/>
      <c r="AO170" s="2338"/>
      <c r="AP170" s="2338"/>
      <c r="AQ170" s="2338"/>
      <c r="AR170" s="2338"/>
      <c r="AS170" s="2338"/>
      <c r="AT170" s="2338"/>
      <c r="AU170" s="2338"/>
      <c r="AV170" s="2338"/>
      <c r="AW170" s="2338"/>
      <c r="AX170" s="2338"/>
      <c r="AY170" s="2338"/>
      <c r="AZ170" s="2338"/>
      <c r="BA170" s="2338"/>
      <c r="BB170" s="2338"/>
      <c r="BC170" s="2338"/>
      <c r="BD170" s="2338"/>
      <c r="BE170" s="2338"/>
      <c r="BF170" s="2338"/>
      <c r="BG170" s="2338"/>
      <c r="BH170" s="2338"/>
      <c r="BI170" s="2338"/>
      <c r="BJ170" s="2338"/>
      <c r="BK170" s="2338"/>
      <c r="BL170" s="2338"/>
      <c r="BM170" s="2338"/>
      <c r="BN170" s="2338"/>
      <c r="BO170" s="2338"/>
      <c r="BP170" s="2338"/>
      <c r="BQ170" s="2338"/>
      <c r="BR170" s="2338"/>
      <c r="BS170" s="2338"/>
      <c r="BT170" s="2338"/>
      <c r="BU170" s="2338"/>
      <c r="BV170" s="2338"/>
      <c r="BW170" s="2338"/>
      <c r="BX170" s="2338"/>
      <c r="BY170" s="2338"/>
      <c r="BZ170" s="2338"/>
      <c r="CA170" s="2338"/>
      <c r="CB170" s="2338"/>
      <c r="CC170" s="2338"/>
      <c r="CD170" s="2338"/>
      <c r="CE170" s="2338"/>
      <c r="CF170" s="2338"/>
      <c r="CG170" s="2338"/>
      <c r="CH170" s="2338"/>
      <c r="CI170" s="2338"/>
      <c r="CJ170" s="2338"/>
      <c r="CK170" s="2338"/>
      <c r="CL170" s="2338"/>
      <c r="CM170" s="2338"/>
      <c r="CN170" s="2338"/>
      <c r="CO170" s="2338"/>
      <c r="CP170" s="2338"/>
      <c r="CQ170" s="2338"/>
      <c r="CR170" s="2338"/>
      <c r="CS170" s="2338"/>
      <c r="CT170" s="2338"/>
      <c r="CU170" s="2338"/>
      <c r="CV170" s="2338"/>
      <c r="CW170" s="2338"/>
      <c r="CX170" s="2338"/>
      <c r="CY170" s="2338"/>
      <c r="CZ170" s="2338"/>
      <c r="DA170" s="2338"/>
      <c r="DB170" s="2338"/>
      <c r="DC170" s="2338"/>
      <c r="DD170" s="2338"/>
      <c r="DE170" s="2338"/>
      <c r="DF170" s="2338"/>
      <c r="DG170" s="2338"/>
      <c r="DH170" s="2338"/>
      <c r="DI170" s="2338"/>
      <c r="DJ170" s="2338"/>
    </row>
    <row r="171" spans="1:114" hidden="1" outlineLevel="1">
      <c r="A171" s="2566"/>
      <c r="B171" s="3210"/>
      <c r="C171" s="3208"/>
      <c r="D171" s="3208"/>
      <c r="E171" s="3210"/>
      <c r="F171" s="3767" t="s">
        <v>3862</v>
      </c>
      <c r="G171" s="3769"/>
      <c r="H171" s="2323"/>
      <c r="I171" s="2323"/>
      <c r="J171" s="2323"/>
      <c r="K171" s="2323"/>
      <c r="L171" s="2323"/>
      <c r="M171" s="2323"/>
      <c r="N171" s="2323"/>
      <c r="O171" s="2323"/>
      <c r="P171" s="2323"/>
      <c r="Q171" s="2323"/>
      <c r="R171" s="2323"/>
      <c r="S171" s="2323"/>
      <c r="T171" s="2383"/>
      <c r="U171" s="2383"/>
      <c r="V171" s="2319"/>
      <c r="W171" s="2319"/>
      <c r="X171" s="2319"/>
      <c r="Y171" s="2319"/>
      <c r="Z171" s="2566"/>
      <c r="AA171" s="2566"/>
      <c r="AB171" s="2566"/>
      <c r="AC171" s="2566"/>
      <c r="AD171" s="2323"/>
      <c r="AE171" s="2323"/>
      <c r="AF171" s="2323"/>
      <c r="AG171" s="2323"/>
      <c r="AH171" s="2323"/>
      <c r="AI171" s="2323"/>
      <c r="AJ171" s="2323"/>
      <c r="AK171" s="2898"/>
      <c r="AL171" s="2895">
        <f t="shared" si="4"/>
        <v>0</v>
      </c>
      <c r="AM171" s="2896" t="str">
        <f t="shared" si="5"/>
        <v/>
      </c>
      <c r="AN171" s="2338"/>
      <c r="AO171" s="2338"/>
      <c r="AP171" s="2338"/>
      <c r="AQ171" s="2338"/>
      <c r="AR171" s="2338"/>
      <c r="AS171" s="2338"/>
      <c r="AT171" s="2338"/>
      <c r="AU171" s="2338"/>
      <c r="AV171" s="2338"/>
      <c r="AW171" s="2338"/>
      <c r="AX171" s="2338"/>
      <c r="AY171" s="2338"/>
      <c r="AZ171" s="2338"/>
      <c r="BA171" s="2338"/>
      <c r="BB171" s="2338"/>
      <c r="BC171" s="2338"/>
      <c r="BD171" s="2338"/>
      <c r="BE171" s="2338"/>
      <c r="BF171" s="2338"/>
      <c r="BG171" s="2338"/>
      <c r="BH171" s="2338"/>
      <c r="BI171" s="2338"/>
      <c r="BJ171" s="2338"/>
      <c r="BK171" s="2338"/>
      <c r="BL171" s="2338"/>
      <c r="BM171" s="2338"/>
      <c r="BN171" s="2338"/>
      <c r="BO171" s="2338"/>
      <c r="BP171" s="2338"/>
      <c r="BQ171" s="2338"/>
      <c r="BR171" s="2338"/>
      <c r="BS171" s="2338"/>
      <c r="BT171" s="2338"/>
      <c r="BU171" s="2338"/>
      <c r="BV171" s="2338"/>
      <c r="BW171" s="2338"/>
      <c r="BX171" s="2338"/>
      <c r="BY171" s="2338"/>
      <c r="BZ171" s="2338"/>
      <c r="CA171" s="2338"/>
      <c r="CB171" s="2338"/>
      <c r="CC171" s="2338"/>
      <c r="CD171" s="2338"/>
      <c r="CE171" s="2338"/>
      <c r="CF171" s="2338"/>
      <c r="CG171" s="2338"/>
      <c r="CH171" s="2338"/>
      <c r="CI171" s="2338"/>
      <c r="CJ171" s="2338"/>
      <c r="CK171" s="2338"/>
      <c r="CL171" s="2338"/>
      <c r="CM171" s="2338"/>
      <c r="CN171" s="2338"/>
      <c r="CO171" s="2338"/>
      <c r="CP171" s="2338"/>
      <c r="CQ171" s="2338"/>
      <c r="CR171" s="2338"/>
      <c r="CS171" s="2338"/>
      <c r="CT171" s="2338"/>
      <c r="CU171" s="2338"/>
      <c r="CV171" s="2338"/>
      <c r="CW171" s="2338"/>
      <c r="CX171" s="2338"/>
      <c r="CY171" s="2338"/>
      <c r="CZ171" s="2338"/>
      <c r="DA171" s="2338"/>
      <c r="DB171" s="2338"/>
      <c r="DC171" s="2338"/>
      <c r="DD171" s="2338"/>
      <c r="DE171" s="2338"/>
      <c r="DF171" s="2338"/>
      <c r="DG171" s="2338"/>
      <c r="DH171" s="2338"/>
      <c r="DI171" s="2338"/>
      <c r="DJ171" s="2338"/>
    </row>
    <row r="172" spans="1:114" hidden="1" outlineLevel="1">
      <c r="A172" s="2566"/>
      <c r="B172" s="3210"/>
      <c r="C172" s="3208"/>
      <c r="D172" s="3208"/>
      <c r="E172" s="3210"/>
      <c r="F172" s="3767" t="s">
        <v>3863</v>
      </c>
      <c r="G172" s="3769"/>
      <c r="H172" s="2323"/>
      <c r="I172" s="2323"/>
      <c r="J172" s="2323"/>
      <c r="K172" s="2323"/>
      <c r="L172" s="2323"/>
      <c r="M172" s="2323"/>
      <c r="N172" s="2323"/>
      <c r="O172" s="2323"/>
      <c r="P172" s="2323"/>
      <c r="Q172" s="2323"/>
      <c r="R172" s="2323"/>
      <c r="S172" s="2323"/>
      <c r="T172" s="2383"/>
      <c r="U172" s="2383"/>
      <c r="V172" s="2343"/>
      <c r="W172" s="2343"/>
      <c r="X172" s="2343"/>
      <c r="Y172" s="2343"/>
      <c r="Z172" s="2566"/>
      <c r="AA172" s="2566"/>
      <c r="AB172" s="2566"/>
      <c r="AC172" s="2566"/>
      <c r="AD172" s="2323"/>
      <c r="AE172" s="2323"/>
      <c r="AF172" s="2323"/>
      <c r="AG172" s="2323"/>
      <c r="AH172" s="2323"/>
      <c r="AI172" s="2323"/>
      <c r="AJ172" s="2323"/>
      <c r="AK172" s="2898"/>
      <c r="AL172" s="2895">
        <f t="shared" si="4"/>
        <v>0</v>
      </c>
      <c r="AM172" s="2896" t="str">
        <f t="shared" si="5"/>
        <v/>
      </c>
      <c r="AN172" s="2338"/>
      <c r="AO172" s="2338"/>
      <c r="AP172" s="2338"/>
      <c r="AQ172" s="2338"/>
      <c r="AR172" s="2338"/>
      <c r="AS172" s="2338"/>
      <c r="AT172" s="2338"/>
      <c r="AU172" s="2338"/>
      <c r="AV172" s="2338"/>
      <c r="AW172" s="2338"/>
      <c r="AX172" s="2338"/>
      <c r="AY172" s="2338"/>
      <c r="AZ172" s="2338"/>
      <c r="BA172" s="2338"/>
      <c r="BB172" s="2338"/>
      <c r="BC172" s="2338"/>
      <c r="BD172" s="2338"/>
      <c r="BE172" s="2338"/>
      <c r="BF172" s="2338"/>
      <c r="BG172" s="2338"/>
      <c r="BH172" s="2338"/>
      <c r="BI172" s="2338"/>
      <c r="BJ172" s="2338"/>
      <c r="BK172" s="2338"/>
      <c r="BL172" s="2338"/>
      <c r="BM172" s="2338"/>
      <c r="BN172" s="2338"/>
      <c r="BO172" s="2338"/>
      <c r="BP172" s="2338"/>
      <c r="BQ172" s="2338"/>
      <c r="BR172" s="2338"/>
      <c r="BS172" s="2338"/>
      <c r="BT172" s="2338"/>
      <c r="BU172" s="2338"/>
      <c r="BV172" s="2338"/>
      <c r="BW172" s="2338"/>
      <c r="BX172" s="2338"/>
      <c r="BY172" s="2338"/>
      <c r="BZ172" s="2338"/>
      <c r="CA172" s="2338"/>
      <c r="CB172" s="2338"/>
      <c r="CC172" s="2338"/>
      <c r="CD172" s="2338"/>
      <c r="CE172" s="2338"/>
      <c r="CF172" s="2338"/>
      <c r="CG172" s="2338"/>
      <c r="CH172" s="2338"/>
      <c r="CI172" s="2338"/>
      <c r="CJ172" s="2338"/>
      <c r="CK172" s="2338"/>
      <c r="CL172" s="2338"/>
      <c r="CM172" s="2338"/>
      <c r="CN172" s="2338"/>
      <c r="CO172" s="2338"/>
      <c r="CP172" s="2338"/>
      <c r="CQ172" s="2338"/>
      <c r="CR172" s="2338"/>
      <c r="CS172" s="2338"/>
      <c r="CT172" s="2338"/>
      <c r="CU172" s="2338"/>
      <c r="CV172" s="2338"/>
      <c r="CW172" s="2338"/>
      <c r="CX172" s="2338"/>
      <c r="CY172" s="2338"/>
      <c r="CZ172" s="2338"/>
      <c r="DA172" s="2338"/>
      <c r="DB172" s="2338"/>
      <c r="DC172" s="2338"/>
      <c r="DD172" s="2338"/>
      <c r="DE172" s="2338"/>
      <c r="DF172" s="2338"/>
      <c r="DG172" s="2338"/>
      <c r="DH172" s="2338"/>
      <c r="DI172" s="2338"/>
      <c r="DJ172" s="2338"/>
    </row>
    <row r="173" spans="1:114" hidden="1" outlineLevel="1">
      <c r="A173" s="2566"/>
      <c r="B173" s="3210"/>
      <c r="C173" s="3208"/>
      <c r="D173" s="3208"/>
      <c r="E173" s="3210"/>
      <c r="F173" s="3767" t="s">
        <v>3864</v>
      </c>
      <c r="G173" s="3769"/>
      <c r="H173" s="2323"/>
      <c r="I173" s="2323"/>
      <c r="J173" s="2323"/>
      <c r="K173" s="2323"/>
      <c r="L173" s="2323"/>
      <c r="M173" s="2323"/>
      <c r="N173" s="2323"/>
      <c r="O173" s="2323"/>
      <c r="P173" s="2323"/>
      <c r="Q173" s="2323"/>
      <c r="R173" s="2323"/>
      <c r="S173" s="2323"/>
      <c r="T173" s="2383"/>
      <c r="U173" s="2383"/>
      <c r="V173" s="2319"/>
      <c r="W173" s="2319"/>
      <c r="X173" s="2319"/>
      <c r="Y173" s="2319"/>
      <c r="Z173" s="2566"/>
      <c r="AA173" s="2566"/>
      <c r="AB173" s="2566"/>
      <c r="AC173" s="2566"/>
      <c r="AD173" s="2323"/>
      <c r="AE173" s="2323"/>
      <c r="AF173" s="2323"/>
      <c r="AG173" s="2323"/>
      <c r="AH173" s="2323"/>
      <c r="AI173" s="2323"/>
      <c r="AJ173" s="2323"/>
      <c r="AK173" s="2898"/>
      <c r="AL173" s="2895">
        <f t="shared" si="4"/>
        <v>0</v>
      </c>
      <c r="AM173" s="2896" t="str">
        <f t="shared" si="5"/>
        <v/>
      </c>
      <c r="AN173" s="2338"/>
      <c r="AO173" s="2338"/>
      <c r="AP173" s="2338"/>
      <c r="AQ173" s="2338"/>
      <c r="AR173" s="2338"/>
      <c r="AS173" s="2338"/>
      <c r="AT173" s="2338"/>
      <c r="AU173" s="2338"/>
      <c r="AV173" s="2338"/>
      <c r="AW173" s="2338"/>
      <c r="AX173" s="2338"/>
      <c r="AY173" s="2338"/>
      <c r="AZ173" s="2338"/>
      <c r="BA173" s="2338"/>
      <c r="BB173" s="2338"/>
      <c r="BC173" s="2338"/>
      <c r="BD173" s="2338"/>
      <c r="BE173" s="2338"/>
      <c r="BF173" s="2338"/>
      <c r="BG173" s="2338"/>
      <c r="BH173" s="2338"/>
      <c r="BI173" s="2338"/>
      <c r="BJ173" s="2338"/>
      <c r="BK173" s="2338"/>
      <c r="BL173" s="2338"/>
      <c r="BM173" s="2338"/>
      <c r="BN173" s="2338"/>
      <c r="BO173" s="2338"/>
      <c r="BP173" s="2338"/>
      <c r="BQ173" s="2338"/>
      <c r="BR173" s="2338"/>
      <c r="BS173" s="2338"/>
      <c r="BT173" s="2338"/>
      <c r="BU173" s="2338"/>
      <c r="BV173" s="2338"/>
      <c r="BW173" s="2338"/>
      <c r="BX173" s="2338"/>
      <c r="BY173" s="2338"/>
      <c r="BZ173" s="2338"/>
      <c r="CA173" s="2338"/>
      <c r="CB173" s="2338"/>
      <c r="CC173" s="2338"/>
      <c r="CD173" s="2338"/>
      <c r="CE173" s="2338"/>
      <c r="CF173" s="2338"/>
      <c r="CG173" s="2338"/>
      <c r="CH173" s="2338"/>
      <c r="CI173" s="2338"/>
      <c r="CJ173" s="2338"/>
      <c r="CK173" s="2338"/>
      <c r="CL173" s="2338"/>
      <c r="CM173" s="2338"/>
      <c r="CN173" s="2338"/>
      <c r="CO173" s="2338"/>
      <c r="CP173" s="2338"/>
      <c r="CQ173" s="2338"/>
      <c r="CR173" s="2338"/>
      <c r="CS173" s="2338"/>
      <c r="CT173" s="2338"/>
      <c r="CU173" s="2338"/>
      <c r="CV173" s="2338"/>
      <c r="CW173" s="2338"/>
      <c r="CX173" s="2338"/>
      <c r="CY173" s="2338"/>
      <c r="CZ173" s="2338"/>
      <c r="DA173" s="2338"/>
      <c r="DB173" s="2338"/>
      <c r="DC173" s="2338"/>
      <c r="DD173" s="2338"/>
      <c r="DE173" s="2338"/>
      <c r="DF173" s="2338"/>
      <c r="DG173" s="2338"/>
      <c r="DH173" s="2338"/>
      <c r="DI173" s="2338"/>
      <c r="DJ173" s="2338"/>
    </row>
    <row r="174" spans="1:114" hidden="1" outlineLevel="1">
      <c r="A174" s="2566"/>
      <c r="B174" s="3210"/>
      <c r="C174" s="3208"/>
      <c r="D174" s="3208"/>
      <c r="E174" s="3210"/>
      <c r="F174" s="3767" t="s">
        <v>3865</v>
      </c>
      <c r="G174" s="3769"/>
      <c r="H174" s="2323"/>
      <c r="I174" s="2323"/>
      <c r="J174" s="2323"/>
      <c r="K174" s="2323"/>
      <c r="L174" s="2323"/>
      <c r="M174" s="2323"/>
      <c r="N174" s="2323"/>
      <c r="O174" s="2323"/>
      <c r="P174" s="2323"/>
      <c r="Q174" s="2323"/>
      <c r="R174" s="2323"/>
      <c r="S174" s="2323"/>
      <c r="T174" s="2383"/>
      <c r="U174" s="2383"/>
      <c r="V174" s="2319"/>
      <c r="W174" s="2319"/>
      <c r="X174" s="2319"/>
      <c r="Y174" s="2319"/>
      <c r="Z174" s="2566"/>
      <c r="AA174" s="2566"/>
      <c r="AB174" s="2566"/>
      <c r="AC174" s="2566"/>
      <c r="AD174" s="2323"/>
      <c r="AE174" s="2323"/>
      <c r="AF174" s="2323"/>
      <c r="AG174" s="2323"/>
      <c r="AH174" s="2323"/>
      <c r="AI174" s="2323"/>
      <c r="AJ174" s="2323"/>
      <c r="AK174" s="2898"/>
      <c r="AL174" s="2895">
        <f t="shared" si="4"/>
        <v>0</v>
      </c>
      <c r="AM174" s="2896" t="str">
        <f t="shared" si="5"/>
        <v/>
      </c>
      <c r="AN174" s="2338"/>
      <c r="AO174" s="2338"/>
      <c r="AP174" s="2338"/>
      <c r="AQ174" s="2338"/>
      <c r="AR174" s="2338"/>
      <c r="AS174" s="2338"/>
      <c r="AT174" s="2338"/>
      <c r="AU174" s="2338"/>
      <c r="AV174" s="2338"/>
      <c r="AW174" s="2338"/>
      <c r="AX174" s="2338"/>
      <c r="AY174" s="2338"/>
      <c r="AZ174" s="2338"/>
      <c r="BA174" s="2338"/>
      <c r="BB174" s="2338"/>
      <c r="BC174" s="2338"/>
      <c r="BD174" s="2338"/>
      <c r="BE174" s="2338"/>
      <c r="BF174" s="2338"/>
      <c r="BG174" s="2338"/>
      <c r="BH174" s="2338"/>
      <c r="BI174" s="2338"/>
      <c r="BJ174" s="2338"/>
      <c r="BK174" s="2338"/>
      <c r="BL174" s="2338"/>
      <c r="BM174" s="2338"/>
      <c r="BN174" s="2338"/>
      <c r="BO174" s="2338"/>
      <c r="BP174" s="2338"/>
      <c r="BQ174" s="2338"/>
      <c r="BR174" s="2338"/>
      <c r="BS174" s="2338"/>
      <c r="BT174" s="2338"/>
      <c r="BU174" s="2338"/>
      <c r="BV174" s="2338"/>
      <c r="BW174" s="2338"/>
      <c r="BX174" s="2338"/>
      <c r="BY174" s="2338"/>
      <c r="BZ174" s="2338"/>
      <c r="CA174" s="2338"/>
      <c r="CB174" s="2338"/>
      <c r="CC174" s="2338"/>
      <c r="CD174" s="2338"/>
      <c r="CE174" s="2338"/>
      <c r="CF174" s="2338"/>
      <c r="CG174" s="2338"/>
      <c r="CH174" s="2338"/>
      <c r="CI174" s="2338"/>
      <c r="CJ174" s="2338"/>
      <c r="CK174" s="2338"/>
      <c r="CL174" s="2338"/>
      <c r="CM174" s="2338"/>
      <c r="CN174" s="2338"/>
      <c r="CO174" s="2338"/>
      <c r="CP174" s="2338"/>
      <c r="CQ174" s="2338"/>
      <c r="CR174" s="2338"/>
      <c r="CS174" s="2338"/>
      <c r="CT174" s="2338"/>
      <c r="CU174" s="2338"/>
      <c r="CV174" s="2338"/>
      <c r="CW174" s="2338"/>
      <c r="CX174" s="2338"/>
      <c r="CY174" s="2338"/>
      <c r="CZ174" s="2338"/>
      <c r="DA174" s="2338"/>
      <c r="DB174" s="2338"/>
      <c r="DC174" s="2338"/>
      <c r="DD174" s="2338"/>
      <c r="DE174" s="2338"/>
      <c r="DF174" s="2338"/>
      <c r="DG174" s="2338"/>
      <c r="DH174" s="2338"/>
      <c r="DI174" s="2338"/>
      <c r="DJ174" s="2338"/>
    </row>
    <row r="175" spans="1:114" hidden="1" outlineLevel="1">
      <c r="A175" s="2566"/>
      <c r="B175" s="3210"/>
      <c r="C175" s="3208" t="s">
        <v>3914</v>
      </c>
      <c r="D175" s="3208" t="s">
        <v>3908</v>
      </c>
      <c r="E175" s="3210" t="s">
        <v>3909</v>
      </c>
      <c r="F175" s="3767" t="s">
        <v>3860</v>
      </c>
      <c r="G175" s="3769"/>
      <c r="H175" s="2323"/>
      <c r="I175" s="2323"/>
      <c r="J175" s="2323"/>
      <c r="K175" s="2323"/>
      <c r="L175" s="2323"/>
      <c r="M175" s="2323"/>
      <c r="N175" s="2323"/>
      <c r="O175" s="2323"/>
      <c r="P175" s="2323"/>
      <c r="Q175" s="2323"/>
      <c r="R175" s="2323"/>
      <c r="S175" s="2323"/>
      <c r="T175" s="2383"/>
      <c r="U175" s="2383"/>
      <c r="V175" s="2319"/>
      <c r="W175" s="2319"/>
      <c r="X175" s="2319"/>
      <c r="Y175" s="2319"/>
      <c r="Z175" s="2566"/>
      <c r="AA175" s="2566"/>
      <c r="AB175" s="2566"/>
      <c r="AC175" s="2566"/>
      <c r="AD175" s="2323"/>
      <c r="AE175" s="2323"/>
      <c r="AF175" s="2323"/>
      <c r="AG175" s="2323"/>
      <c r="AH175" s="2323"/>
      <c r="AI175" s="2323"/>
      <c r="AJ175" s="2323"/>
      <c r="AK175" s="2898"/>
      <c r="AL175" s="2895">
        <f t="shared" si="4"/>
        <v>0</v>
      </c>
      <c r="AM175" s="2896" t="str">
        <f t="shared" si="5"/>
        <v/>
      </c>
      <c r="AN175" s="2338"/>
      <c r="AO175" s="2338"/>
      <c r="AP175" s="2338"/>
      <c r="AQ175" s="2338"/>
      <c r="AR175" s="2338"/>
      <c r="AS175" s="2338"/>
      <c r="AT175" s="2338"/>
      <c r="AU175" s="2338"/>
      <c r="AV175" s="2338"/>
      <c r="AW175" s="2338"/>
      <c r="AX175" s="2338"/>
      <c r="AY175" s="2338"/>
      <c r="AZ175" s="2338"/>
      <c r="BA175" s="2338"/>
      <c r="BB175" s="2338"/>
      <c r="BC175" s="2338"/>
      <c r="BD175" s="2338"/>
      <c r="BE175" s="2338"/>
      <c r="BF175" s="2338"/>
      <c r="BG175" s="2338"/>
      <c r="BH175" s="2338"/>
      <c r="BI175" s="2338"/>
      <c r="BJ175" s="2338"/>
      <c r="BK175" s="2338"/>
      <c r="BL175" s="2338"/>
      <c r="BM175" s="2338"/>
      <c r="BN175" s="2338"/>
      <c r="BO175" s="2338"/>
      <c r="BP175" s="2338"/>
      <c r="BQ175" s="2338"/>
      <c r="BR175" s="2338"/>
      <c r="BS175" s="2338"/>
      <c r="BT175" s="2338"/>
      <c r="BU175" s="2338"/>
      <c r="BV175" s="2338"/>
      <c r="BW175" s="2338"/>
      <c r="BX175" s="2338"/>
      <c r="BY175" s="2338"/>
      <c r="BZ175" s="2338"/>
      <c r="CA175" s="2338"/>
      <c r="CB175" s="2338"/>
      <c r="CC175" s="2338"/>
      <c r="CD175" s="2338"/>
      <c r="CE175" s="2338"/>
      <c r="CF175" s="2338"/>
      <c r="CG175" s="2338"/>
      <c r="CH175" s="2338"/>
      <c r="CI175" s="2338"/>
      <c r="CJ175" s="2338"/>
      <c r="CK175" s="2338"/>
      <c r="CL175" s="2338"/>
      <c r="CM175" s="2338"/>
      <c r="CN175" s="2338"/>
      <c r="CO175" s="2338"/>
      <c r="CP175" s="2338"/>
      <c r="CQ175" s="2338"/>
      <c r="CR175" s="2338"/>
      <c r="CS175" s="2338"/>
      <c r="CT175" s="2338"/>
      <c r="CU175" s="2338"/>
      <c r="CV175" s="2338"/>
      <c r="CW175" s="2338"/>
      <c r="CX175" s="2338"/>
      <c r="CY175" s="2338"/>
      <c r="CZ175" s="2338"/>
      <c r="DA175" s="2338"/>
      <c r="DB175" s="2338"/>
      <c r="DC175" s="2338"/>
      <c r="DD175" s="2338"/>
      <c r="DE175" s="2338"/>
      <c r="DF175" s="2338"/>
      <c r="DG175" s="2338"/>
      <c r="DH175" s="2338"/>
      <c r="DI175" s="2338"/>
      <c r="DJ175" s="2338"/>
    </row>
    <row r="176" spans="1:114" hidden="1" outlineLevel="1">
      <c r="A176" s="2566"/>
      <c r="B176" s="3210"/>
      <c r="C176" s="3208"/>
      <c r="D176" s="3208"/>
      <c r="E176" s="3210"/>
      <c r="F176" s="3767" t="s">
        <v>3861</v>
      </c>
      <c r="G176" s="3769"/>
      <c r="H176" s="2323"/>
      <c r="I176" s="2323"/>
      <c r="J176" s="2323"/>
      <c r="K176" s="2323"/>
      <c r="L176" s="2323"/>
      <c r="M176" s="2323"/>
      <c r="N176" s="2323"/>
      <c r="O176" s="2323"/>
      <c r="P176" s="2323"/>
      <c r="Q176" s="2323"/>
      <c r="R176" s="2323"/>
      <c r="S176" s="2323"/>
      <c r="T176" s="2383"/>
      <c r="U176" s="2383"/>
      <c r="V176" s="2319"/>
      <c r="W176" s="2319"/>
      <c r="X176" s="2319"/>
      <c r="Y176" s="2319"/>
      <c r="Z176" s="2566"/>
      <c r="AA176" s="2566"/>
      <c r="AB176" s="2566"/>
      <c r="AC176" s="2566"/>
      <c r="AD176" s="2323"/>
      <c r="AE176" s="2323"/>
      <c r="AF176" s="2323"/>
      <c r="AG176" s="2323"/>
      <c r="AH176" s="2323"/>
      <c r="AI176" s="2323"/>
      <c r="AJ176" s="2323"/>
      <c r="AK176" s="2898"/>
      <c r="AL176" s="2895">
        <f t="shared" si="4"/>
        <v>0</v>
      </c>
      <c r="AM176" s="2896" t="str">
        <f t="shared" si="5"/>
        <v/>
      </c>
      <c r="AN176" s="2338"/>
      <c r="AO176" s="2338"/>
      <c r="AP176" s="2338"/>
      <c r="AQ176" s="2338"/>
      <c r="AR176" s="2338"/>
      <c r="AS176" s="2338"/>
      <c r="AT176" s="2338"/>
      <c r="AU176" s="2338"/>
      <c r="AV176" s="2338"/>
      <c r="AW176" s="2338"/>
      <c r="AX176" s="2338"/>
      <c r="AY176" s="2338"/>
      <c r="AZ176" s="2338"/>
      <c r="BA176" s="2338"/>
      <c r="BB176" s="2338"/>
      <c r="BC176" s="2338"/>
      <c r="BD176" s="2338"/>
      <c r="BE176" s="2338"/>
      <c r="BF176" s="2338"/>
      <c r="BG176" s="2338"/>
      <c r="BH176" s="2338"/>
      <c r="BI176" s="2338"/>
      <c r="BJ176" s="2338"/>
      <c r="BK176" s="2338"/>
      <c r="BL176" s="2338"/>
      <c r="BM176" s="2338"/>
      <c r="BN176" s="2338"/>
      <c r="BO176" s="2338"/>
      <c r="BP176" s="2338"/>
      <c r="BQ176" s="2338"/>
      <c r="BR176" s="2338"/>
      <c r="BS176" s="2338"/>
      <c r="BT176" s="2338"/>
      <c r="BU176" s="2338"/>
      <c r="BV176" s="2338"/>
      <c r="BW176" s="2338"/>
      <c r="BX176" s="2338"/>
      <c r="BY176" s="2338"/>
      <c r="BZ176" s="2338"/>
      <c r="CA176" s="2338"/>
      <c r="CB176" s="2338"/>
      <c r="CC176" s="2338"/>
      <c r="CD176" s="2338"/>
      <c r="CE176" s="2338"/>
      <c r="CF176" s="2338"/>
      <c r="CG176" s="2338"/>
      <c r="CH176" s="2338"/>
      <c r="CI176" s="2338"/>
      <c r="CJ176" s="2338"/>
      <c r="CK176" s="2338"/>
      <c r="CL176" s="2338"/>
      <c r="CM176" s="2338"/>
      <c r="CN176" s="2338"/>
      <c r="CO176" s="2338"/>
      <c r="CP176" s="2338"/>
      <c r="CQ176" s="2338"/>
      <c r="CR176" s="2338"/>
      <c r="CS176" s="2338"/>
      <c r="CT176" s="2338"/>
      <c r="CU176" s="2338"/>
      <c r="CV176" s="2338"/>
      <c r="CW176" s="2338"/>
      <c r="CX176" s="2338"/>
      <c r="CY176" s="2338"/>
      <c r="CZ176" s="2338"/>
      <c r="DA176" s="2338"/>
      <c r="DB176" s="2338"/>
      <c r="DC176" s="2338"/>
      <c r="DD176" s="2338"/>
      <c r="DE176" s="2338"/>
      <c r="DF176" s="2338"/>
      <c r="DG176" s="2338"/>
      <c r="DH176" s="2338"/>
      <c r="DI176" s="2338"/>
      <c r="DJ176" s="2338"/>
    </row>
    <row r="177" spans="1:114" hidden="1" outlineLevel="1">
      <c r="A177" s="2566"/>
      <c r="B177" s="3210"/>
      <c r="C177" s="3208"/>
      <c r="D177" s="3208"/>
      <c r="E177" s="3210"/>
      <c r="F177" s="3767" t="s">
        <v>3862</v>
      </c>
      <c r="G177" s="3769"/>
      <c r="H177" s="2323"/>
      <c r="I177" s="2323"/>
      <c r="J177" s="2323"/>
      <c r="K177" s="2323"/>
      <c r="L177" s="2323"/>
      <c r="M177" s="2323"/>
      <c r="N177" s="2323"/>
      <c r="O177" s="2323"/>
      <c r="P177" s="2323"/>
      <c r="Q177" s="2323"/>
      <c r="R177" s="2323"/>
      <c r="S177" s="2323"/>
      <c r="T177" s="2383"/>
      <c r="U177" s="2383"/>
      <c r="V177" s="2319"/>
      <c r="W177" s="2319"/>
      <c r="X177" s="2319"/>
      <c r="Y177" s="2319"/>
      <c r="Z177" s="2566"/>
      <c r="AA177" s="2566"/>
      <c r="AB177" s="2566"/>
      <c r="AC177" s="2566"/>
      <c r="AD177" s="2323"/>
      <c r="AE177" s="2323"/>
      <c r="AF177" s="2323"/>
      <c r="AG177" s="2323"/>
      <c r="AH177" s="2323"/>
      <c r="AI177" s="2323"/>
      <c r="AJ177" s="2323"/>
      <c r="AK177" s="2898"/>
      <c r="AL177" s="2895">
        <f t="shared" si="4"/>
        <v>0</v>
      </c>
      <c r="AM177" s="2896" t="str">
        <f t="shared" si="5"/>
        <v/>
      </c>
      <c r="AN177" s="2338"/>
      <c r="AO177" s="2338"/>
      <c r="AP177" s="2338"/>
      <c r="AQ177" s="2338"/>
      <c r="AR177" s="2338"/>
      <c r="AS177" s="2338"/>
      <c r="AT177" s="2338"/>
      <c r="AU177" s="2338"/>
      <c r="AV177" s="2338"/>
      <c r="AW177" s="2338"/>
      <c r="AX177" s="2338"/>
      <c r="AY177" s="2338"/>
      <c r="AZ177" s="2338"/>
      <c r="BA177" s="2338"/>
      <c r="BB177" s="2338"/>
      <c r="BC177" s="2338"/>
      <c r="BD177" s="2338"/>
      <c r="BE177" s="2338"/>
      <c r="BF177" s="2338"/>
      <c r="BG177" s="2338"/>
      <c r="BH177" s="2338"/>
      <c r="BI177" s="2338"/>
      <c r="BJ177" s="2338"/>
      <c r="BK177" s="2338"/>
      <c r="BL177" s="2338"/>
      <c r="BM177" s="2338"/>
      <c r="BN177" s="2338"/>
      <c r="BO177" s="2338"/>
      <c r="BP177" s="2338"/>
      <c r="BQ177" s="2338"/>
      <c r="BR177" s="2338"/>
      <c r="BS177" s="2338"/>
      <c r="BT177" s="2338"/>
      <c r="BU177" s="2338"/>
      <c r="BV177" s="2338"/>
      <c r="BW177" s="2338"/>
      <c r="BX177" s="2338"/>
      <c r="BY177" s="2338"/>
      <c r="BZ177" s="2338"/>
      <c r="CA177" s="2338"/>
      <c r="CB177" s="2338"/>
      <c r="CC177" s="2338"/>
      <c r="CD177" s="2338"/>
      <c r="CE177" s="2338"/>
      <c r="CF177" s="2338"/>
      <c r="CG177" s="2338"/>
      <c r="CH177" s="2338"/>
      <c r="CI177" s="2338"/>
      <c r="CJ177" s="2338"/>
      <c r="CK177" s="2338"/>
      <c r="CL177" s="2338"/>
      <c r="CM177" s="2338"/>
      <c r="CN177" s="2338"/>
      <c r="CO177" s="2338"/>
      <c r="CP177" s="2338"/>
      <c r="CQ177" s="2338"/>
      <c r="CR177" s="2338"/>
      <c r="CS177" s="2338"/>
      <c r="CT177" s="2338"/>
      <c r="CU177" s="2338"/>
      <c r="CV177" s="2338"/>
      <c r="CW177" s="2338"/>
      <c r="CX177" s="2338"/>
      <c r="CY177" s="2338"/>
      <c r="CZ177" s="2338"/>
      <c r="DA177" s="2338"/>
      <c r="DB177" s="2338"/>
      <c r="DC177" s="2338"/>
      <c r="DD177" s="2338"/>
      <c r="DE177" s="2338"/>
      <c r="DF177" s="2338"/>
      <c r="DG177" s="2338"/>
      <c r="DH177" s="2338"/>
      <c r="DI177" s="2338"/>
      <c r="DJ177" s="2338"/>
    </row>
    <row r="178" spans="1:114" hidden="1" outlineLevel="1">
      <c r="A178" s="2566"/>
      <c r="B178" s="3210"/>
      <c r="C178" s="3208"/>
      <c r="D178" s="3208"/>
      <c r="E178" s="3210"/>
      <c r="F178" s="3767" t="s">
        <v>3863</v>
      </c>
      <c r="G178" s="3769"/>
      <c r="H178" s="3694"/>
      <c r="I178" s="3694"/>
      <c r="J178" s="3694"/>
      <c r="K178" s="3694"/>
      <c r="L178" s="3694"/>
      <c r="M178" s="3694"/>
      <c r="N178" s="3694"/>
      <c r="O178" s="3694"/>
      <c r="P178" s="3694"/>
      <c r="Q178" s="3694"/>
      <c r="R178" s="3694"/>
      <c r="S178" s="3694"/>
      <c r="T178" s="2383"/>
      <c r="U178" s="2383"/>
      <c r="V178" s="2323"/>
      <c r="W178" s="2323"/>
      <c r="X178" s="2323"/>
      <c r="Y178" s="2323"/>
      <c r="Z178" s="2566"/>
      <c r="AA178" s="2566"/>
      <c r="AB178" s="2566"/>
      <c r="AC178" s="2566"/>
      <c r="AD178" s="2323"/>
      <c r="AE178" s="2323"/>
      <c r="AF178" s="2323"/>
      <c r="AG178" s="2323"/>
      <c r="AH178" s="2323"/>
      <c r="AI178" s="2323"/>
      <c r="AJ178" s="2323"/>
      <c r="AK178" s="2898"/>
      <c r="AL178" s="2895">
        <f t="shared" si="4"/>
        <v>0</v>
      </c>
      <c r="AM178" s="2896" t="str">
        <f t="shared" si="5"/>
        <v/>
      </c>
      <c r="AN178" s="2338"/>
      <c r="AO178" s="2338"/>
      <c r="AP178" s="2338"/>
      <c r="AQ178" s="2338"/>
      <c r="AR178" s="2338"/>
      <c r="AS178" s="2338"/>
      <c r="AT178" s="2338"/>
      <c r="AU178" s="2338"/>
      <c r="AV178" s="2338"/>
      <c r="AW178" s="2338"/>
      <c r="AX178" s="2338"/>
      <c r="AY178" s="2338"/>
      <c r="AZ178" s="2338"/>
      <c r="BA178" s="2338"/>
      <c r="BB178" s="2338"/>
      <c r="BC178" s="2338"/>
      <c r="BD178" s="2338"/>
      <c r="BE178" s="2338"/>
      <c r="BF178" s="2338"/>
      <c r="BG178" s="2338"/>
      <c r="BH178" s="2338"/>
      <c r="BI178" s="2338"/>
      <c r="BJ178" s="2338"/>
      <c r="BK178" s="2338"/>
      <c r="BL178" s="2338"/>
      <c r="BM178" s="2338"/>
      <c r="BN178" s="2338"/>
      <c r="BO178" s="2338"/>
      <c r="BP178" s="2338"/>
      <c r="BQ178" s="2338"/>
      <c r="BR178" s="2338"/>
      <c r="BS178" s="2338"/>
      <c r="BT178" s="2338"/>
      <c r="BU178" s="2338"/>
      <c r="BV178" s="2338"/>
      <c r="BW178" s="2338"/>
      <c r="BX178" s="2338"/>
      <c r="BY178" s="2338"/>
      <c r="BZ178" s="2338"/>
      <c r="CA178" s="2338"/>
      <c r="CB178" s="2338"/>
      <c r="CC178" s="2338"/>
      <c r="CD178" s="2338"/>
      <c r="CE178" s="2338"/>
      <c r="CF178" s="2338"/>
      <c r="CG178" s="2338"/>
      <c r="CH178" s="2338"/>
      <c r="CI178" s="2338"/>
      <c r="CJ178" s="2338"/>
      <c r="CK178" s="2338"/>
      <c r="CL178" s="2338"/>
      <c r="CM178" s="2338"/>
      <c r="CN178" s="2338"/>
      <c r="CO178" s="2338"/>
      <c r="CP178" s="2338"/>
      <c r="CQ178" s="2338"/>
      <c r="CR178" s="2338"/>
      <c r="CS178" s="2338"/>
      <c r="CT178" s="2338"/>
      <c r="CU178" s="2338"/>
      <c r="CV178" s="2338"/>
      <c r="CW178" s="2338"/>
      <c r="CX178" s="2338"/>
      <c r="CY178" s="2338"/>
      <c r="CZ178" s="2338"/>
      <c r="DA178" s="2338"/>
      <c r="DB178" s="2338"/>
      <c r="DC178" s="2338"/>
      <c r="DD178" s="2338"/>
      <c r="DE178" s="2338"/>
      <c r="DF178" s="2338"/>
      <c r="DG178" s="2338"/>
      <c r="DH178" s="2338"/>
      <c r="DI178" s="2338"/>
      <c r="DJ178" s="2338"/>
    </row>
    <row r="179" spans="1:114" hidden="1" outlineLevel="1">
      <c r="A179" s="2566"/>
      <c r="B179" s="3210"/>
      <c r="C179" s="3208"/>
      <c r="D179" s="3208"/>
      <c r="E179" s="3210"/>
      <c r="F179" s="3767" t="s">
        <v>3864</v>
      </c>
      <c r="G179" s="3769"/>
      <c r="H179" s="3695"/>
      <c r="I179" s="3695"/>
      <c r="J179" s="3695"/>
      <c r="K179" s="3695"/>
      <c r="L179" s="3695"/>
      <c r="M179" s="3695"/>
      <c r="N179" s="3695"/>
      <c r="O179" s="3695"/>
      <c r="P179" s="3695"/>
      <c r="Q179" s="3695"/>
      <c r="R179" s="3695"/>
      <c r="S179" s="3695"/>
      <c r="T179" s="2383"/>
      <c r="U179" s="2383"/>
      <c r="V179" s="2323"/>
      <c r="W179" s="2323"/>
      <c r="X179" s="2323"/>
      <c r="Y179" s="2323"/>
      <c r="Z179" s="2566"/>
      <c r="AA179" s="2566"/>
      <c r="AB179" s="2566"/>
      <c r="AC179" s="2566"/>
      <c r="AD179" s="2323"/>
      <c r="AE179" s="2323"/>
      <c r="AF179" s="2323"/>
      <c r="AG179" s="2323"/>
      <c r="AH179" s="2323"/>
      <c r="AI179" s="2323"/>
      <c r="AJ179" s="2323"/>
      <c r="AK179" s="2898"/>
      <c r="AL179" s="2895">
        <f t="shared" si="4"/>
        <v>0</v>
      </c>
      <c r="AM179" s="2896" t="str">
        <f t="shared" si="5"/>
        <v/>
      </c>
      <c r="AN179" s="2338"/>
      <c r="AO179" s="2338"/>
      <c r="AP179" s="2338"/>
      <c r="AQ179" s="2338"/>
      <c r="AR179" s="2338"/>
      <c r="AS179" s="2338"/>
      <c r="AT179" s="2338"/>
      <c r="AU179" s="2338"/>
      <c r="AV179" s="2338"/>
      <c r="AW179" s="2338"/>
      <c r="AX179" s="2338"/>
      <c r="AY179" s="2338"/>
      <c r="AZ179" s="2338"/>
      <c r="BA179" s="2338"/>
      <c r="BB179" s="2338"/>
      <c r="BC179" s="2338"/>
      <c r="BD179" s="2338"/>
      <c r="BE179" s="2338"/>
      <c r="BF179" s="2338"/>
      <c r="BG179" s="2338"/>
      <c r="BH179" s="2338"/>
      <c r="BI179" s="2338"/>
      <c r="BJ179" s="2338"/>
      <c r="BK179" s="2338"/>
      <c r="BL179" s="2338"/>
      <c r="BM179" s="2338"/>
      <c r="BN179" s="2338"/>
      <c r="BO179" s="2338"/>
      <c r="BP179" s="2338"/>
      <c r="BQ179" s="2338"/>
      <c r="BR179" s="2338"/>
      <c r="BS179" s="2338"/>
      <c r="BT179" s="2338"/>
      <c r="BU179" s="2338"/>
      <c r="BV179" s="2338"/>
      <c r="BW179" s="2338"/>
      <c r="BX179" s="2338"/>
      <c r="BY179" s="2338"/>
      <c r="BZ179" s="2338"/>
      <c r="CA179" s="2338"/>
      <c r="CB179" s="2338"/>
      <c r="CC179" s="2338"/>
      <c r="CD179" s="2338"/>
      <c r="CE179" s="2338"/>
      <c r="CF179" s="2338"/>
      <c r="CG179" s="2338"/>
      <c r="CH179" s="2338"/>
      <c r="CI179" s="2338"/>
      <c r="CJ179" s="2338"/>
      <c r="CK179" s="2338"/>
      <c r="CL179" s="2338"/>
      <c r="CM179" s="2338"/>
      <c r="CN179" s="2338"/>
      <c r="CO179" s="2338"/>
      <c r="CP179" s="2338"/>
      <c r="CQ179" s="2338"/>
      <c r="CR179" s="2338"/>
      <c r="CS179" s="2338"/>
      <c r="CT179" s="2338"/>
      <c r="CU179" s="2338"/>
      <c r="CV179" s="2338"/>
      <c r="CW179" s="2338"/>
      <c r="CX179" s="2338"/>
      <c r="CY179" s="2338"/>
      <c r="CZ179" s="2338"/>
      <c r="DA179" s="2338"/>
      <c r="DB179" s="2338"/>
      <c r="DC179" s="2338"/>
      <c r="DD179" s="2338"/>
      <c r="DE179" s="2338"/>
      <c r="DF179" s="2338"/>
      <c r="DG179" s="2338"/>
      <c r="DH179" s="2338"/>
      <c r="DI179" s="2338"/>
      <c r="DJ179" s="2338"/>
    </row>
    <row r="180" spans="1:114" hidden="1" outlineLevel="1">
      <c r="A180" s="2566"/>
      <c r="B180" s="3210"/>
      <c r="C180" s="3208"/>
      <c r="D180" s="3208"/>
      <c r="E180" s="3210"/>
      <c r="F180" s="3767" t="s">
        <v>3865</v>
      </c>
      <c r="G180" s="3769"/>
      <c r="H180" s="3696"/>
      <c r="I180" s="3696"/>
      <c r="J180" s="3696"/>
      <c r="K180" s="3696"/>
      <c r="L180" s="3696"/>
      <c r="M180" s="3696"/>
      <c r="N180" s="3696"/>
      <c r="O180" s="3697"/>
      <c r="P180" s="3697"/>
      <c r="Q180" s="3697"/>
      <c r="R180" s="3697"/>
      <c r="S180" s="3697"/>
      <c r="T180" s="2383"/>
      <c r="U180" s="2383"/>
      <c r="V180" s="2323"/>
      <c r="W180" s="2323"/>
      <c r="X180" s="2323"/>
      <c r="Y180" s="2323"/>
      <c r="Z180" s="2566"/>
      <c r="AA180" s="2566"/>
      <c r="AB180" s="2566"/>
      <c r="AC180" s="2566"/>
      <c r="AD180" s="2323"/>
      <c r="AE180" s="2323"/>
      <c r="AF180" s="2323"/>
      <c r="AG180" s="2323"/>
      <c r="AH180" s="2323"/>
      <c r="AI180" s="2323"/>
      <c r="AJ180" s="2323"/>
      <c r="AK180" s="2898"/>
      <c r="AL180" s="2895">
        <f t="shared" si="4"/>
        <v>0</v>
      </c>
      <c r="AM180" s="2896" t="str">
        <f t="shared" si="5"/>
        <v/>
      </c>
      <c r="AN180" s="2338"/>
      <c r="AO180" s="2338"/>
      <c r="AP180" s="2338"/>
      <c r="AQ180" s="2338"/>
      <c r="AR180" s="2338"/>
      <c r="AS180" s="2338"/>
      <c r="AT180" s="2338"/>
      <c r="AU180" s="2338"/>
      <c r="AV180" s="2338"/>
      <c r="AW180" s="2338"/>
      <c r="AX180" s="2338"/>
      <c r="AY180" s="2338"/>
      <c r="AZ180" s="2338"/>
      <c r="BA180" s="2338"/>
      <c r="BB180" s="2338"/>
      <c r="BC180" s="2338"/>
      <c r="BD180" s="2338"/>
      <c r="BE180" s="2338"/>
      <c r="BF180" s="2338"/>
      <c r="BG180" s="2338"/>
      <c r="BH180" s="2338"/>
      <c r="BI180" s="2338"/>
      <c r="BJ180" s="2338"/>
      <c r="BK180" s="2338"/>
      <c r="BL180" s="2338"/>
      <c r="BM180" s="2338"/>
      <c r="BN180" s="2338"/>
      <c r="BO180" s="2338"/>
      <c r="BP180" s="2338"/>
      <c r="BQ180" s="2338"/>
      <c r="BR180" s="2338"/>
      <c r="BS180" s="2338"/>
      <c r="BT180" s="2338"/>
      <c r="BU180" s="2338"/>
      <c r="BV180" s="2338"/>
      <c r="BW180" s="2338"/>
      <c r="BX180" s="2338"/>
      <c r="BY180" s="2338"/>
      <c r="BZ180" s="2338"/>
      <c r="CA180" s="2338"/>
      <c r="CB180" s="2338"/>
      <c r="CC180" s="2338"/>
      <c r="CD180" s="2338"/>
      <c r="CE180" s="2338"/>
      <c r="CF180" s="2338"/>
      <c r="CG180" s="2338"/>
      <c r="CH180" s="2338"/>
      <c r="CI180" s="2338"/>
      <c r="CJ180" s="2338"/>
      <c r="CK180" s="2338"/>
      <c r="CL180" s="2338"/>
      <c r="CM180" s="2338"/>
      <c r="CN180" s="2338"/>
      <c r="CO180" s="2338"/>
      <c r="CP180" s="2338"/>
      <c r="CQ180" s="2338"/>
      <c r="CR180" s="2338"/>
      <c r="CS180" s="2338"/>
      <c r="CT180" s="2338"/>
      <c r="CU180" s="2338"/>
      <c r="CV180" s="2338"/>
      <c r="CW180" s="2338"/>
      <c r="CX180" s="2338"/>
      <c r="CY180" s="2338"/>
      <c r="CZ180" s="2338"/>
      <c r="DA180" s="2338"/>
      <c r="DB180" s="2338"/>
      <c r="DC180" s="2338"/>
      <c r="DD180" s="2338"/>
      <c r="DE180" s="2338"/>
      <c r="DF180" s="2338"/>
      <c r="DG180" s="2338"/>
      <c r="DH180" s="2338"/>
      <c r="DI180" s="2338"/>
      <c r="DJ180" s="2338"/>
    </row>
    <row r="181" spans="1:114" hidden="1" outlineLevel="1">
      <c r="A181" s="2566"/>
      <c r="B181" s="3210"/>
      <c r="C181" s="3208"/>
      <c r="D181" s="3208" t="s">
        <v>3911</v>
      </c>
      <c r="E181" s="3210" t="s">
        <v>3910</v>
      </c>
      <c r="F181" s="3767" t="s">
        <v>3860</v>
      </c>
      <c r="G181" s="3769"/>
      <c r="H181" s="2967"/>
      <c r="I181" s="2967"/>
      <c r="J181" s="2967"/>
      <c r="K181" s="2967"/>
      <c r="L181" s="2967"/>
      <c r="M181" s="2967"/>
      <c r="N181" s="2967"/>
      <c r="O181" s="2967"/>
      <c r="P181" s="2967"/>
      <c r="Q181" s="2967"/>
      <c r="R181" s="2967"/>
      <c r="S181" s="2967"/>
      <c r="T181" s="2383"/>
      <c r="U181" s="2383"/>
      <c r="V181" s="2323"/>
      <c r="W181" s="2323"/>
      <c r="X181" s="2323"/>
      <c r="Y181" s="2323"/>
      <c r="Z181" s="2566"/>
      <c r="AA181" s="2566"/>
      <c r="AB181" s="2566"/>
      <c r="AC181" s="2566"/>
      <c r="AD181" s="2323"/>
      <c r="AE181" s="2323"/>
      <c r="AF181" s="2323"/>
      <c r="AG181" s="2323"/>
      <c r="AH181" s="2323"/>
      <c r="AI181" s="2323"/>
      <c r="AJ181" s="2323"/>
      <c r="AK181" s="2898"/>
      <c r="AL181" s="2895">
        <f t="shared" si="4"/>
        <v>0</v>
      </c>
      <c r="AM181" s="2896" t="str">
        <f t="shared" si="5"/>
        <v/>
      </c>
      <c r="AN181" s="2338"/>
      <c r="AO181" s="2338"/>
      <c r="AP181" s="2338"/>
      <c r="AQ181" s="2338"/>
      <c r="AR181" s="2338"/>
      <c r="AS181" s="2338"/>
      <c r="AT181" s="2338"/>
      <c r="AU181" s="2338"/>
      <c r="AV181" s="2338"/>
      <c r="AW181" s="2338"/>
      <c r="AX181" s="2338"/>
      <c r="AY181" s="2338"/>
      <c r="AZ181" s="2338"/>
      <c r="BA181" s="2338"/>
      <c r="BB181" s="2338"/>
      <c r="BC181" s="2338"/>
      <c r="BD181" s="2338"/>
      <c r="BE181" s="2338"/>
      <c r="BF181" s="2338"/>
      <c r="BG181" s="2338"/>
      <c r="BH181" s="2338"/>
      <c r="BI181" s="2338"/>
      <c r="BJ181" s="2338"/>
      <c r="BK181" s="2338"/>
      <c r="BL181" s="2338"/>
      <c r="BM181" s="2338"/>
      <c r="BN181" s="2338"/>
      <c r="BO181" s="2338"/>
      <c r="BP181" s="2338"/>
      <c r="BQ181" s="2338"/>
      <c r="BR181" s="2338"/>
      <c r="BS181" s="2338"/>
      <c r="BT181" s="2338"/>
      <c r="BU181" s="2338"/>
      <c r="BV181" s="2338"/>
      <c r="BW181" s="2338"/>
      <c r="BX181" s="2338"/>
      <c r="BY181" s="2338"/>
      <c r="BZ181" s="2338"/>
      <c r="CA181" s="2338"/>
      <c r="CB181" s="2338"/>
      <c r="CC181" s="2338"/>
      <c r="CD181" s="2338"/>
      <c r="CE181" s="2338"/>
      <c r="CF181" s="2338"/>
      <c r="CG181" s="2338"/>
      <c r="CH181" s="2338"/>
      <c r="CI181" s="2338"/>
      <c r="CJ181" s="2338"/>
      <c r="CK181" s="2338"/>
      <c r="CL181" s="2338"/>
      <c r="CM181" s="2338"/>
      <c r="CN181" s="2338"/>
      <c r="CO181" s="2338"/>
      <c r="CP181" s="2338"/>
      <c r="CQ181" s="2338"/>
      <c r="CR181" s="2338"/>
      <c r="CS181" s="2338"/>
      <c r="CT181" s="2338"/>
      <c r="CU181" s="2338"/>
      <c r="CV181" s="2338"/>
      <c r="CW181" s="2338"/>
      <c r="CX181" s="2338"/>
      <c r="CY181" s="2338"/>
      <c r="CZ181" s="2338"/>
      <c r="DA181" s="2338"/>
      <c r="DB181" s="2338"/>
      <c r="DC181" s="2338"/>
      <c r="DD181" s="2338"/>
      <c r="DE181" s="2338"/>
      <c r="DF181" s="2338"/>
      <c r="DG181" s="2338"/>
      <c r="DH181" s="2338"/>
      <c r="DI181" s="2338"/>
      <c r="DJ181" s="2338"/>
    </row>
    <row r="182" spans="1:114" hidden="1" outlineLevel="1">
      <c r="A182" s="2566"/>
      <c r="B182" s="3210"/>
      <c r="C182" s="3208"/>
      <c r="D182" s="3208"/>
      <c r="E182" s="3210"/>
      <c r="F182" s="3767" t="s">
        <v>3861</v>
      </c>
      <c r="G182" s="3769"/>
      <c r="H182" s="3696"/>
      <c r="I182" s="3696"/>
      <c r="J182" s="3696"/>
      <c r="K182" s="3696"/>
      <c r="L182" s="3696"/>
      <c r="M182" s="3696"/>
      <c r="N182" s="3696"/>
      <c r="O182" s="2323"/>
      <c r="P182" s="2323"/>
      <c r="Q182" s="2323"/>
      <c r="R182" s="2323"/>
      <c r="S182" s="2323"/>
      <c r="T182" s="2383"/>
      <c r="U182" s="2383"/>
      <c r="V182" s="2343"/>
      <c r="W182" s="2343"/>
      <c r="X182" s="2343"/>
      <c r="Y182" s="2343"/>
      <c r="Z182" s="2566"/>
      <c r="AA182" s="2566"/>
      <c r="AB182" s="2566"/>
      <c r="AC182" s="2566"/>
      <c r="AD182" s="2323"/>
      <c r="AE182" s="2323"/>
      <c r="AF182" s="2323"/>
      <c r="AG182" s="2323"/>
      <c r="AH182" s="2323"/>
      <c r="AI182" s="2323"/>
      <c r="AJ182" s="2323"/>
      <c r="AK182" s="2898"/>
      <c r="AL182" s="2895">
        <f t="shared" si="4"/>
        <v>0</v>
      </c>
      <c r="AM182" s="2896" t="str">
        <f t="shared" si="5"/>
        <v/>
      </c>
      <c r="AN182" s="2338"/>
      <c r="AO182" s="2338"/>
      <c r="AP182" s="2338"/>
      <c r="AQ182" s="2338"/>
      <c r="AR182" s="2338"/>
      <c r="AS182" s="2338"/>
      <c r="AT182" s="2338"/>
      <c r="AU182" s="2338"/>
      <c r="AV182" s="2338"/>
      <c r="AW182" s="2338"/>
      <c r="AX182" s="2338"/>
      <c r="AY182" s="2338"/>
      <c r="AZ182" s="2338"/>
      <c r="BA182" s="2338"/>
      <c r="BB182" s="2338"/>
      <c r="BC182" s="2338"/>
      <c r="BD182" s="2338"/>
      <c r="BE182" s="2338"/>
      <c r="BF182" s="2338"/>
      <c r="BG182" s="2338"/>
      <c r="BH182" s="2338"/>
      <c r="BI182" s="2338"/>
      <c r="BJ182" s="2338"/>
      <c r="BK182" s="2338"/>
      <c r="BL182" s="2338"/>
      <c r="BM182" s="2338"/>
      <c r="BN182" s="2338"/>
      <c r="BO182" s="2338"/>
      <c r="BP182" s="2338"/>
      <c r="BQ182" s="2338"/>
      <c r="BR182" s="2338"/>
      <c r="BS182" s="2338"/>
      <c r="BT182" s="2338"/>
      <c r="BU182" s="2338"/>
      <c r="BV182" s="2338"/>
      <c r="BW182" s="2338"/>
      <c r="BX182" s="2338"/>
      <c r="BY182" s="2338"/>
      <c r="BZ182" s="2338"/>
      <c r="CA182" s="2338"/>
      <c r="CB182" s="2338"/>
      <c r="CC182" s="2338"/>
      <c r="CD182" s="2338"/>
      <c r="CE182" s="2338"/>
      <c r="CF182" s="2338"/>
      <c r="CG182" s="2338"/>
      <c r="CH182" s="2338"/>
      <c r="CI182" s="2338"/>
      <c r="CJ182" s="2338"/>
      <c r="CK182" s="2338"/>
      <c r="CL182" s="2338"/>
      <c r="CM182" s="2338"/>
      <c r="CN182" s="2338"/>
      <c r="CO182" s="2338"/>
      <c r="CP182" s="2338"/>
      <c r="CQ182" s="2338"/>
      <c r="CR182" s="2338"/>
      <c r="CS182" s="2338"/>
      <c r="CT182" s="2338"/>
      <c r="CU182" s="2338"/>
      <c r="CV182" s="2338"/>
      <c r="CW182" s="2338"/>
      <c r="CX182" s="2338"/>
      <c r="CY182" s="2338"/>
      <c r="CZ182" s="2338"/>
      <c r="DA182" s="2338"/>
      <c r="DB182" s="2338"/>
      <c r="DC182" s="2338"/>
      <c r="DD182" s="2338"/>
      <c r="DE182" s="2338"/>
      <c r="DF182" s="2338"/>
      <c r="DG182" s="2338"/>
      <c r="DH182" s="2338"/>
      <c r="DI182" s="2338"/>
      <c r="DJ182" s="2338"/>
    </row>
    <row r="183" spans="1:114" hidden="1" outlineLevel="1">
      <c r="A183" s="2566"/>
      <c r="B183" s="3210"/>
      <c r="C183" s="3208"/>
      <c r="D183" s="3208"/>
      <c r="E183" s="3210"/>
      <c r="F183" s="3767" t="s">
        <v>3862</v>
      </c>
      <c r="G183" s="3769"/>
      <c r="H183" s="2967"/>
      <c r="I183" s="2967"/>
      <c r="J183" s="2967"/>
      <c r="K183" s="2967"/>
      <c r="L183" s="2967"/>
      <c r="M183" s="2967"/>
      <c r="N183" s="2967"/>
      <c r="O183" s="2323"/>
      <c r="P183" s="2323"/>
      <c r="Q183" s="2323"/>
      <c r="R183" s="2323"/>
      <c r="S183" s="2323"/>
      <c r="T183" s="2383"/>
      <c r="U183" s="2383"/>
      <c r="V183" s="2343"/>
      <c r="W183" s="2343"/>
      <c r="X183" s="2343"/>
      <c r="Y183" s="2343"/>
      <c r="Z183" s="2566"/>
      <c r="AA183" s="2566"/>
      <c r="AB183" s="2566"/>
      <c r="AC183" s="2566"/>
      <c r="AD183" s="2323"/>
      <c r="AE183" s="2323"/>
      <c r="AF183" s="2323"/>
      <c r="AG183" s="2323"/>
      <c r="AH183" s="2323"/>
      <c r="AI183" s="2323"/>
      <c r="AJ183" s="2323"/>
      <c r="AK183" s="2898"/>
      <c r="AL183" s="2895">
        <f t="shared" si="4"/>
        <v>0</v>
      </c>
      <c r="AM183" s="2896" t="str">
        <f t="shared" si="5"/>
        <v/>
      </c>
      <c r="AN183" s="2338"/>
      <c r="AO183" s="2338"/>
      <c r="AP183" s="2338"/>
      <c r="AQ183" s="2338"/>
      <c r="AR183" s="2338"/>
      <c r="AS183" s="2338"/>
      <c r="AT183" s="2338"/>
      <c r="AU183" s="2338"/>
      <c r="AV183" s="2338"/>
      <c r="AW183" s="2338"/>
      <c r="AX183" s="2338"/>
      <c r="AY183" s="2338"/>
      <c r="AZ183" s="2338"/>
      <c r="BA183" s="2338"/>
      <c r="BB183" s="2338"/>
      <c r="BC183" s="2338"/>
      <c r="BD183" s="2338"/>
      <c r="BE183" s="2338"/>
      <c r="BF183" s="2338"/>
      <c r="BG183" s="2338"/>
      <c r="BH183" s="2338"/>
      <c r="BI183" s="2338"/>
      <c r="BJ183" s="2338"/>
      <c r="BK183" s="2338"/>
      <c r="BL183" s="2338"/>
      <c r="BM183" s="2338"/>
      <c r="BN183" s="2338"/>
      <c r="BO183" s="2338"/>
      <c r="BP183" s="2338"/>
      <c r="BQ183" s="2338"/>
      <c r="BR183" s="2338"/>
      <c r="BS183" s="2338"/>
      <c r="BT183" s="2338"/>
      <c r="BU183" s="2338"/>
      <c r="BV183" s="2338"/>
      <c r="BW183" s="2338"/>
      <c r="BX183" s="2338"/>
      <c r="BY183" s="2338"/>
      <c r="BZ183" s="2338"/>
      <c r="CA183" s="2338"/>
      <c r="CB183" s="2338"/>
      <c r="CC183" s="2338"/>
      <c r="CD183" s="2338"/>
      <c r="CE183" s="2338"/>
      <c r="CF183" s="2338"/>
      <c r="CG183" s="2338"/>
      <c r="CH183" s="2338"/>
      <c r="CI183" s="2338"/>
      <c r="CJ183" s="2338"/>
      <c r="CK183" s="2338"/>
      <c r="CL183" s="2338"/>
      <c r="CM183" s="2338"/>
      <c r="CN183" s="2338"/>
      <c r="CO183" s="2338"/>
      <c r="CP183" s="2338"/>
      <c r="CQ183" s="2338"/>
      <c r="CR183" s="2338"/>
      <c r="CS183" s="2338"/>
      <c r="CT183" s="2338"/>
      <c r="CU183" s="2338"/>
      <c r="CV183" s="2338"/>
      <c r="CW183" s="2338"/>
      <c r="CX183" s="2338"/>
      <c r="CY183" s="2338"/>
      <c r="CZ183" s="2338"/>
      <c r="DA183" s="2338"/>
      <c r="DB183" s="2338"/>
      <c r="DC183" s="2338"/>
      <c r="DD183" s="2338"/>
      <c r="DE183" s="2338"/>
      <c r="DF183" s="2338"/>
      <c r="DG183" s="2338"/>
      <c r="DH183" s="2338"/>
      <c r="DI183" s="2338"/>
      <c r="DJ183" s="2338"/>
    </row>
    <row r="184" spans="1:114" hidden="1" outlineLevel="1">
      <c r="A184" s="2566"/>
      <c r="B184" s="3210"/>
      <c r="C184" s="3208"/>
      <c r="D184" s="3208"/>
      <c r="E184" s="3210"/>
      <c r="F184" s="3767" t="s">
        <v>3863</v>
      </c>
      <c r="G184" s="3769"/>
      <c r="H184" s="2967"/>
      <c r="I184" s="2967"/>
      <c r="J184" s="2967"/>
      <c r="K184" s="2967"/>
      <c r="L184" s="2967"/>
      <c r="M184" s="2967"/>
      <c r="N184" s="2967"/>
      <c r="O184" s="2323"/>
      <c r="P184" s="2323"/>
      <c r="Q184" s="2323"/>
      <c r="R184" s="2323"/>
      <c r="S184" s="2323"/>
      <c r="T184" s="2383"/>
      <c r="U184" s="2383"/>
      <c r="V184" s="2343"/>
      <c r="W184" s="2343"/>
      <c r="X184" s="2343"/>
      <c r="Y184" s="2343"/>
      <c r="Z184" s="2566"/>
      <c r="AA184" s="2566"/>
      <c r="AB184" s="2566"/>
      <c r="AC184" s="2566"/>
      <c r="AD184" s="2323"/>
      <c r="AE184" s="2323"/>
      <c r="AF184" s="2323"/>
      <c r="AG184" s="2323"/>
      <c r="AH184" s="2323"/>
      <c r="AI184" s="2323"/>
      <c r="AJ184" s="2323"/>
      <c r="AK184" s="2898"/>
      <c r="AL184" s="2895">
        <f t="shared" si="4"/>
        <v>0</v>
      </c>
      <c r="AM184" s="2896" t="str">
        <f t="shared" si="5"/>
        <v/>
      </c>
      <c r="AN184" s="2338"/>
      <c r="AO184" s="2338"/>
      <c r="AP184" s="2338"/>
      <c r="AQ184" s="2338"/>
      <c r="AR184" s="2338"/>
      <c r="AS184" s="2338"/>
      <c r="AT184" s="2338"/>
      <c r="AU184" s="2338"/>
      <c r="AV184" s="2338"/>
      <c r="AW184" s="2338"/>
      <c r="AX184" s="2338"/>
      <c r="AY184" s="2338"/>
      <c r="AZ184" s="2338"/>
      <c r="BA184" s="2338"/>
      <c r="BB184" s="2338"/>
      <c r="BC184" s="2338"/>
      <c r="BD184" s="2338"/>
      <c r="BE184" s="2338"/>
      <c r="BF184" s="2338"/>
      <c r="BG184" s="2338"/>
      <c r="BH184" s="2338"/>
      <c r="BI184" s="2338"/>
      <c r="BJ184" s="2338"/>
      <c r="BK184" s="2338"/>
      <c r="BL184" s="2338"/>
      <c r="BM184" s="2338"/>
      <c r="BN184" s="2338"/>
      <c r="BO184" s="2338"/>
      <c r="BP184" s="2338"/>
      <c r="BQ184" s="2338"/>
      <c r="BR184" s="2338"/>
      <c r="BS184" s="2338"/>
      <c r="BT184" s="2338"/>
      <c r="BU184" s="2338"/>
      <c r="BV184" s="2338"/>
      <c r="BW184" s="2338"/>
      <c r="BX184" s="2338"/>
      <c r="BY184" s="2338"/>
      <c r="BZ184" s="2338"/>
      <c r="CA184" s="2338"/>
      <c r="CB184" s="2338"/>
      <c r="CC184" s="2338"/>
      <c r="CD184" s="2338"/>
      <c r="CE184" s="2338"/>
      <c r="CF184" s="2338"/>
      <c r="CG184" s="2338"/>
      <c r="CH184" s="2338"/>
      <c r="CI184" s="2338"/>
      <c r="CJ184" s="2338"/>
      <c r="CK184" s="2338"/>
      <c r="CL184" s="2338"/>
      <c r="CM184" s="2338"/>
      <c r="CN184" s="2338"/>
      <c r="CO184" s="2338"/>
      <c r="CP184" s="2338"/>
      <c r="CQ184" s="2338"/>
      <c r="CR184" s="2338"/>
      <c r="CS184" s="2338"/>
      <c r="CT184" s="2338"/>
      <c r="CU184" s="2338"/>
      <c r="CV184" s="2338"/>
      <c r="CW184" s="2338"/>
      <c r="CX184" s="2338"/>
      <c r="CY184" s="2338"/>
      <c r="CZ184" s="2338"/>
      <c r="DA184" s="2338"/>
      <c r="DB184" s="2338"/>
      <c r="DC184" s="2338"/>
      <c r="DD184" s="2338"/>
      <c r="DE184" s="2338"/>
      <c r="DF184" s="2338"/>
      <c r="DG184" s="2338"/>
      <c r="DH184" s="2338"/>
      <c r="DI184" s="2338"/>
      <c r="DJ184" s="2338"/>
    </row>
    <row r="185" spans="1:114" hidden="1" outlineLevel="1">
      <c r="A185" s="2566"/>
      <c r="B185" s="3210"/>
      <c r="C185" s="3208"/>
      <c r="D185" s="3208"/>
      <c r="E185" s="3210"/>
      <c r="F185" s="3767" t="s">
        <v>3864</v>
      </c>
      <c r="G185" s="3769"/>
      <c r="H185" s="2967"/>
      <c r="I185" s="2967"/>
      <c r="J185" s="2967"/>
      <c r="K185" s="2967"/>
      <c r="L185" s="2967"/>
      <c r="M185" s="2967"/>
      <c r="N185" s="2967"/>
      <c r="O185" s="2323"/>
      <c r="P185" s="2323"/>
      <c r="Q185" s="2323"/>
      <c r="R185" s="2323"/>
      <c r="S185" s="2323"/>
      <c r="T185" s="2383"/>
      <c r="U185" s="2383"/>
      <c r="V185" s="2323"/>
      <c r="W185" s="2323"/>
      <c r="X185" s="2323"/>
      <c r="Y185" s="2323"/>
      <c r="Z185" s="2566"/>
      <c r="AA185" s="2566"/>
      <c r="AB185" s="2566"/>
      <c r="AC185" s="2566"/>
      <c r="AD185" s="2323"/>
      <c r="AE185" s="2323"/>
      <c r="AF185" s="2323"/>
      <c r="AG185" s="2323"/>
      <c r="AH185" s="2323"/>
      <c r="AI185" s="2323"/>
      <c r="AJ185" s="2323"/>
      <c r="AK185" s="2898"/>
      <c r="AL185" s="2895">
        <f t="shared" si="4"/>
        <v>0</v>
      </c>
      <c r="AM185" s="2896" t="str">
        <f t="shared" si="5"/>
        <v/>
      </c>
      <c r="AN185" s="2338"/>
      <c r="AO185" s="2338"/>
      <c r="AP185" s="2338"/>
      <c r="AQ185" s="2338"/>
      <c r="AR185" s="2338"/>
      <c r="AS185" s="2338"/>
      <c r="AT185" s="2338"/>
      <c r="AU185" s="2338"/>
      <c r="AV185" s="2338"/>
      <c r="AW185" s="2338"/>
      <c r="AX185" s="2338"/>
      <c r="AY185" s="2338"/>
      <c r="AZ185" s="2338"/>
      <c r="BA185" s="2338"/>
      <c r="BB185" s="2338"/>
      <c r="BC185" s="2338"/>
      <c r="BD185" s="2338"/>
      <c r="BE185" s="2338"/>
      <c r="BF185" s="2338"/>
      <c r="BG185" s="2338"/>
      <c r="BH185" s="2338"/>
      <c r="BI185" s="2338"/>
      <c r="BJ185" s="2338"/>
      <c r="BK185" s="2338"/>
      <c r="BL185" s="2338"/>
      <c r="BM185" s="2338"/>
      <c r="BN185" s="2338"/>
      <c r="BO185" s="2338"/>
      <c r="BP185" s="2338"/>
      <c r="BQ185" s="2338"/>
      <c r="BR185" s="2338"/>
      <c r="BS185" s="2338"/>
      <c r="BT185" s="2338"/>
      <c r="BU185" s="2338"/>
      <c r="BV185" s="2338"/>
      <c r="BW185" s="2338"/>
      <c r="BX185" s="2338"/>
      <c r="BY185" s="2338"/>
      <c r="BZ185" s="2338"/>
      <c r="CA185" s="2338"/>
      <c r="CB185" s="2338"/>
      <c r="CC185" s="2338"/>
      <c r="CD185" s="2338"/>
      <c r="CE185" s="2338"/>
      <c r="CF185" s="2338"/>
      <c r="CG185" s="2338"/>
      <c r="CH185" s="2338"/>
      <c r="CI185" s="2338"/>
      <c r="CJ185" s="2338"/>
      <c r="CK185" s="2338"/>
      <c r="CL185" s="2338"/>
      <c r="CM185" s="2338"/>
      <c r="CN185" s="2338"/>
      <c r="CO185" s="2338"/>
      <c r="CP185" s="2338"/>
      <c r="CQ185" s="2338"/>
      <c r="CR185" s="2338"/>
      <c r="CS185" s="2338"/>
      <c r="CT185" s="2338"/>
      <c r="CU185" s="2338"/>
      <c r="CV185" s="2338"/>
      <c r="CW185" s="2338"/>
      <c r="CX185" s="2338"/>
      <c r="CY185" s="2338"/>
      <c r="CZ185" s="2338"/>
      <c r="DA185" s="2338"/>
      <c r="DB185" s="2338"/>
      <c r="DC185" s="2338"/>
      <c r="DD185" s="2338"/>
      <c r="DE185" s="2338"/>
      <c r="DF185" s="2338"/>
      <c r="DG185" s="2338"/>
      <c r="DH185" s="2338"/>
      <c r="DI185" s="2338"/>
      <c r="DJ185" s="2338"/>
    </row>
    <row r="186" spans="1:114" hidden="1" outlineLevel="1">
      <c r="A186" s="2566"/>
      <c r="B186" s="3210"/>
      <c r="C186" s="3208"/>
      <c r="D186" s="3208"/>
      <c r="E186" s="3210"/>
      <c r="F186" s="3767" t="s">
        <v>3865</v>
      </c>
      <c r="G186" s="3769"/>
      <c r="H186" s="2967"/>
      <c r="I186" s="2967"/>
      <c r="J186" s="2967"/>
      <c r="K186" s="2967"/>
      <c r="L186" s="2967"/>
      <c r="M186" s="2967"/>
      <c r="N186" s="2967"/>
      <c r="O186" s="2323"/>
      <c r="P186" s="2323"/>
      <c r="Q186" s="2323"/>
      <c r="R186" s="2323"/>
      <c r="S186" s="2323"/>
      <c r="T186" s="2383"/>
      <c r="U186" s="2383"/>
      <c r="V186" s="2323"/>
      <c r="W186" s="2323"/>
      <c r="X186" s="2323"/>
      <c r="Y186" s="2323"/>
      <c r="Z186" s="2566"/>
      <c r="AA186" s="2566"/>
      <c r="AB186" s="2566"/>
      <c r="AC186" s="2566"/>
      <c r="AD186" s="2323"/>
      <c r="AE186" s="2323"/>
      <c r="AF186" s="2323"/>
      <c r="AG186" s="2323"/>
      <c r="AH186" s="2323"/>
      <c r="AI186" s="2323"/>
      <c r="AJ186" s="2323"/>
      <c r="AK186" s="2898"/>
      <c r="AL186" s="2895">
        <f t="shared" si="4"/>
        <v>0</v>
      </c>
      <c r="AM186" s="2896" t="str">
        <f t="shared" si="5"/>
        <v/>
      </c>
      <c r="AN186" s="2338"/>
      <c r="AO186" s="2338"/>
      <c r="AP186" s="2338"/>
      <c r="AQ186" s="2338"/>
      <c r="AR186" s="2338"/>
      <c r="AS186" s="2338"/>
      <c r="AT186" s="2338"/>
      <c r="AU186" s="2338"/>
      <c r="AV186" s="2338"/>
      <c r="AW186" s="2338"/>
      <c r="AX186" s="2338"/>
      <c r="AY186" s="2338"/>
      <c r="AZ186" s="2338"/>
      <c r="BA186" s="2338"/>
      <c r="BB186" s="2338"/>
      <c r="BC186" s="2338"/>
      <c r="BD186" s="2338"/>
      <c r="BE186" s="2338"/>
      <c r="BF186" s="2338"/>
      <c r="BG186" s="2338"/>
      <c r="BH186" s="2338"/>
      <c r="BI186" s="2338"/>
      <c r="BJ186" s="2338"/>
      <c r="BK186" s="2338"/>
      <c r="BL186" s="2338"/>
      <c r="BM186" s="2338"/>
      <c r="BN186" s="2338"/>
      <c r="BO186" s="2338"/>
      <c r="BP186" s="2338"/>
      <c r="BQ186" s="2338"/>
      <c r="BR186" s="2338"/>
      <c r="BS186" s="2338"/>
      <c r="BT186" s="2338"/>
      <c r="BU186" s="2338"/>
      <c r="BV186" s="2338"/>
      <c r="BW186" s="2338"/>
      <c r="BX186" s="2338"/>
      <c r="BY186" s="2338"/>
      <c r="BZ186" s="2338"/>
      <c r="CA186" s="2338"/>
      <c r="CB186" s="2338"/>
      <c r="CC186" s="2338"/>
      <c r="CD186" s="2338"/>
      <c r="CE186" s="2338"/>
      <c r="CF186" s="2338"/>
      <c r="CG186" s="2338"/>
      <c r="CH186" s="2338"/>
      <c r="CI186" s="2338"/>
      <c r="CJ186" s="2338"/>
      <c r="CK186" s="2338"/>
      <c r="CL186" s="2338"/>
      <c r="CM186" s="2338"/>
      <c r="CN186" s="2338"/>
      <c r="CO186" s="2338"/>
      <c r="CP186" s="2338"/>
      <c r="CQ186" s="2338"/>
      <c r="CR186" s="2338"/>
      <c r="CS186" s="2338"/>
      <c r="CT186" s="2338"/>
      <c r="CU186" s="2338"/>
      <c r="CV186" s="2338"/>
      <c r="CW186" s="2338"/>
      <c r="CX186" s="2338"/>
      <c r="CY186" s="2338"/>
      <c r="CZ186" s="2338"/>
      <c r="DA186" s="2338"/>
      <c r="DB186" s="2338"/>
      <c r="DC186" s="2338"/>
      <c r="DD186" s="2338"/>
      <c r="DE186" s="2338"/>
      <c r="DF186" s="2338"/>
      <c r="DG186" s="2338"/>
      <c r="DH186" s="2338"/>
      <c r="DI186" s="2338"/>
      <c r="DJ186" s="2338"/>
    </row>
    <row r="187" spans="1:114" hidden="1" outlineLevel="1">
      <c r="A187" s="2566"/>
      <c r="B187" s="3210"/>
      <c r="C187" s="3210" t="s">
        <v>3915</v>
      </c>
      <c r="D187" s="3208" t="s">
        <v>3908</v>
      </c>
      <c r="E187" s="3210" t="s">
        <v>3909</v>
      </c>
      <c r="F187" s="3767" t="s">
        <v>3860</v>
      </c>
      <c r="G187" s="3769"/>
      <c r="H187" s="2967"/>
      <c r="I187" s="2967"/>
      <c r="J187" s="2967"/>
      <c r="K187" s="2967"/>
      <c r="L187" s="2967"/>
      <c r="M187" s="2967"/>
      <c r="N187" s="2967"/>
      <c r="O187" s="2323"/>
      <c r="P187" s="2323"/>
      <c r="Q187" s="2323"/>
      <c r="R187" s="2323"/>
      <c r="S187" s="2323"/>
      <c r="T187" s="2383"/>
      <c r="U187" s="2383"/>
      <c r="V187" s="2323"/>
      <c r="W187" s="2323"/>
      <c r="X187" s="2323"/>
      <c r="Y187" s="2323"/>
      <c r="Z187" s="2566"/>
      <c r="AA187" s="2566"/>
      <c r="AB187" s="2566"/>
      <c r="AC187" s="2566"/>
      <c r="AD187" s="2323"/>
      <c r="AE187" s="2323"/>
      <c r="AF187" s="2323"/>
      <c r="AG187" s="2323"/>
      <c r="AH187" s="2323"/>
      <c r="AI187" s="2323"/>
      <c r="AJ187" s="2323"/>
      <c r="AK187" s="2898"/>
      <c r="AL187" s="2895">
        <f t="shared" si="4"/>
        <v>0</v>
      </c>
      <c r="AM187" s="2896" t="str">
        <f t="shared" si="5"/>
        <v/>
      </c>
      <c r="AN187" s="2338"/>
      <c r="AO187" s="2338"/>
      <c r="AP187" s="2338"/>
      <c r="AQ187" s="2338"/>
      <c r="AR187" s="2338"/>
      <c r="AS187" s="2338"/>
      <c r="AT187" s="2338"/>
      <c r="AU187" s="2338"/>
      <c r="AV187" s="2338"/>
      <c r="AW187" s="2338"/>
      <c r="AX187" s="2338"/>
      <c r="AY187" s="2338"/>
      <c r="AZ187" s="2338"/>
      <c r="BA187" s="2338"/>
      <c r="BB187" s="2338"/>
      <c r="BC187" s="2338"/>
      <c r="BD187" s="2338"/>
      <c r="BE187" s="2338"/>
      <c r="BF187" s="2338"/>
      <c r="BG187" s="2338"/>
      <c r="BH187" s="2338"/>
      <c r="BI187" s="2338"/>
      <c r="BJ187" s="2338"/>
      <c r="BK187" s="2338"/>
      <c r="BL187" s="2338"/>
      <c r="BM187" s="2338"/>
      <c r="BN187" s="2338"/>
      <c r="BO187" s="2338"/>
      <c r="BP187" s="2338"/>
      <c r="BQ187" s="2338"/>
      <c r="BR187" s="2338"/>
      <c r="BS187" s="2338"/>
      <c r="BT187" s="2338"/>
      <c r="BU187" s="2338"/>
      <c r="BV187" s="2338"/>
      <c r="BW187" s="2338"/>
      <c r="BX187" s="2338"/>
      <c r="BY187" s="2338"/>
      <c r="BZ187" s="2338"/>
      <c r="CA187" s="2338"/>
      <c r="CB187" s="2338"/>
      <c r="CC187" s="2338"/>
      <c r="CD187" s="2338"/>
      <c r="CE187" s="2338"/>
      <c r="CF187" s="2338"/>
      <c r="CG187" s="2338"/>
      <c r="CH187" s="2338"/>
      <c r="CI187" s="2338"/>
      <c r="CJ187" s="2338"/>
      <c r="CK187" s="2338"/>
      <c r="CL187" s="2338"/>
      <c r="CM187" s="2338"/>
      <c r="CN187" s="2338"/>
      <c r="CO187" s="2338"/>
      <c r="CP187" s="2338"/>
      <c r="CQ187" s="2338"/>
      <c r="CR187" s="2338"/>
      <c r="CS187" s="2338"/>
      <c r="CT187" s="2338"/>
      <c r="CU187" s="2338"/>
      <c r="CV187" s="2338"/>
      <c r="CW187" s="2338"/>
      <c r="CX187" s="2338"/>
      <c r="CY187" s="2338"/>
      <c r="CZ187" s="2338"/>
      <c r="DA187" s="2338"/>
      <c r="DB187" s="2338"/>
      <c r="DC187" s="2338"/>
      <c r="DD187" s="2338"/>
      <c r="DE187" s="2338"/>
      <c r="DF187" s="2338"/>
      <c r="DG187" s="2338"/>
      <c r="DH187" s="2338"/>
      <c r="DI187" s="2338"/>
      <c r="DJ187" s="2338"/>
    </row>
    <row r="188" spans="1:114" hidden="1" outlineLevel="1">
      <c r="A188" s="2566"/>
      <c r="B188" s="3210"/>
      <c r="C188" s="3210"/>
      <c r="D188" s="3208"/>
      <c r="E188" s="3210"/>
      <c r="F188" s="3767" t="s">
        <v>3861</v>
      </c>
      <c r="G188" s="3769"/>
      <c r="H188" s="2967"/>
      <c r="I188" s="2967"/>
      <c r="J188" s="2967"/>
      <c r="K188" s="2967"/>
      <c r="L188" s="2967"/>
      <c r="M188" s="2967"/>
      <c r="N188" s="2320"/>
      <c r="O188" s="2323"/>
      <c r="P188" s="2323"/>
      <c r="Q188" s="2323"/>
      <c r="R188" s="2323"/>
      <c r="S188" s="2323"/>
      <c r="T188" s="2383"/>
      <c r="U188" s="2383"/>
      <c r="V188" s="2323"/>
      <c r="W188" s="2323"/>
      <c r="X188" s="2323"/>
      <c r="Y188" s="2323"/>
      <c r="Z188" s="2566"/>
      <c r="AA188" s="2566"/>
      <c r="AB188" s="2566"/>
      <c r="AC188" s="2566"/>
      <c r="AD188" s="2323"/>
      <c r="AE188" s="2323"/>
      <c r="AF188" s="2323"/>
      <c r="AG188" s="2323"/>
      <c r="AH188" s="2323"/>
      <c r="AI188" s="2323"/>
      <c r="AJ188" s="2323"/>
      <c r="AK188" s="2898"/>
      <c r="AL188" s="2895">
        <f t="shared" si="4"/>
        <v>0</v>
      </c>
      <c r="AM188" s="2896" t="str">
        <f t="shared" si="5"/>
        <v/>
      </c>
      <c r="AN188" s="2338"/>
      <c r="AO188" s="2338"/>
      <c r="AP188" s="2338"/>
      <c r="AQ188" s="2338"/>
      <c r="AR188" s="2338"/>
      <c r="AS188" s="2338"/>
      <c r="AT188" s="2338"/>
      <c r="AU188" s="2338"/>
      <c r="AV188" s="2338"/>
      <c r="AW188" s="2338"/>
      <c r="AX188" s="2338"/>
      <c r="AY188" s="2338"/>
      <c r="AZ188" s="2338"/>
      <c r="BA188" s="2338"/>
      <c r="BB188" s="2338"/>
      <c r="BC188" s="2338"/>
      <c r="BD188" s="2338"/>
      <c r="BE188" s="2338"/>
      <c r="BF188" s="2338"/>
      <c r="BG188" s="2338"/>
      <c r="BH188" s="2338"/>
      <c r="BI188" s="2338"/>
      <c r="BJ188" s="2338"/>
      <c r="BK188" s="2338"/>
      <c r="BL188" s="2338"/>
      <c r="BM188" s="2338"/>
      <c r="BN188" s="2338"/>
      <c r="BO188" s="2338"/>
      <c r="BP188" s="2338"/>
      <c r="BQ188" s="2338"/>
      <c r="BR188" s="2338"/>
      <c r="BS188" s="2338"/>
      <c r="BT188" s="2338"/>
      <c r="BU188" s="2338"/>
      <c r="BV188" s="2338"/>
      <c r="BW188" s="2338"/>
      <c r="BX188" s="2338"/>
      <c r="BY188" s="2338"/>
      <c r="BZ188" s="2338"/>
      <c r="CA188" s="2338"/>
      <c r="CB188" s="2338"/>
      <c r="CC188" s="2338"/>
      <c r="CD188" s="2338"/>
      <c r="CE188" s="2338"/>
      <c r="CF188" s="2338"/>
      <c r="CG188" s="2338"/>
      <c r="CH188" s="2338"/>
      <c r="CI188" s="2338"/>
      <c r="CJ188" s="2338"/>
      <c r="CK188" s="2338"/>
      <c r="CL188" s="2338"/>
      <c r="CM188" s="2338"/>
      <c r="CN188" s="2338"/>
      <c r="CO188" s="2338"/>
      <c r="CP188" s="2338"/>
      <c r="CQ188" s="2338"/>
      <c r="CR188" s="2338"/>
      <c r="CS188" s="2338"/>
      <c r="CT188" s="2338"/>
      <c r="CU188" s="2338"/>
      <c r="CV188" s="2338"/>
      <c r="CW188" s="2338"/>
      <c r="CX188" s="2338"/>
      <c r="CY188" s="2338"/>
      <c r="CZ188" s="2338"/>
      <c r="DA188" s="2338"/>
      <c r="DB188" s="2338"/>
      <c r="DC188" s="2338"/>
      <c r="DD188" s="2338"/>
      <c r="DE188" s="2338"/>
      <c r="DF188" s="2338"/>
      <c r="DG188" s="2338"/>
      <c r="DH188" s="2338"/>
      <c r="DI188" s="2338"/>
      <c r="DJ188" s="2338"/>
    </row>
    <row r="189" spans="1:114" hidden="1" outlineLevel="1">
      <c r="A189" s="2566"/>
      <c r="B189" s="3210"/>
      <c r="C189" s="3210"/>
      <c r="D189" s="3208"/>
      <c r="E189" s="3210"/>
      <c r="F189" s="3767" t="s">
        <v>3862</v>
      </c>
      <c r="G189" s="3769"/>
      <c r="H189" s="2967"/>
      <c r="I189" s="2967"/>
      <c r="J189" s="2967"/>
      <c r="K189" s="2967"/>
      <c r="L189" s="2967"/>
      <c r="M189" s="2967"/>
      <c r="N189" s="2967"/>
      <c r="O189" s="2323"/>
      <c r="P189" s="2323"/>
      <c r="Q189" s="2323"/>
      <c r="R189" s="2323"/>
      <c r="S189" s="2323"/>
      <c r="T189" s="2383"/>
      <c r="U189" s="2383"/>
      <c r="V189" s="2323"/>
      <c r="W189" s="2323"/>
      <c r="X189" s="2323"/>
      <c r="Y189" s="2323"/>
      <c r="Z189" s="2566"/>
      <c r="AA189" s="2566"/>
      <c r="AB189" s="2566"/>
      <c r="AC189" s="2566"/>
      <c r="AD189" s="2323"/>
      <c r="AE189" s="2323"/>
      <c r="AF189" s="2323"/>
      <c r="AG189" s="2323"/>
      <c r="AH189" s="2323"/>
      <c r="AI189" s="2323"/>
      <c r="AJ189" s="2323"/>
      <c r="AK189" s="2898"/>
      <c r="AL189" s="2895">
        <f t="shared" si="4"/>
        <v>0</v>
      </c>
      <c r="AM189" s="2896" t="str">
        <f t="shared" si="5"/>
        <v/>
      </c>
      <c r="AN189" s="2338"/>
      <c r="AO189" s="2338"/>
      <c r="AP189" s="2338"/>
      <c r="AQ189" s="2338"/>
      <c r="AR189" s="2338"/>
      <c r="AS189" s="2338"/>
      <c r="AT189" s="2338"/>
      <c r="AU189" s="2338"/>
      <c r="AV189" s="2338"/>
      <c r="AW189" s="2338"/>
      <c r="AX189" s="2338"/>
      <c r="AY189" s="2338"/>
      <c r="AZ189" s="2338"/>
      <c r="BA189" s="2338"/>
      <c r="BB189" s="2338"/>
      <c r="BC189" s="2338"/>
      <c r="BD189" s="2338"/>
      <c r="BE189" s="2338"/>
      <c r="BF189" s="2338"/>
      <c r="BG189" s="2338"/>
      <c r="BH189" s="2338"/>
      <c r="BI189" s="2338"/>
      <c r="BJ189" s="2338"/>
      <c r="BK189" s="2338"/>
      <c r="BL189" s="2338"/>
      <c r="BM189" s="2338"/>
      <c r="BN189" s="2338"/>
      <c r="BO189" s="2338"/>
      <c r="BP189" s="2338"/>
      <c r="BQ189" s="2338"/>
      <c r="BR189" s="2338"/>
      <c r="BS189" s="2338"/>
      <c r="BT189" s="2338"/>
      <c r="BU189" s="2338"/>
      <c r="BV189" s="2338"/>
      <c r="BW189" s="2338"/>
      <c r="BX189" s="2338"/>
      <c r="BY189" s="2338"/>
      <c r="BZ189" s="2338"/>
      <c r="CA189" s="2338"/>
      <c r="CB189" s="2338"/>
      <c r="CC189" s="2338"/>
      <c r="CD189" s="2338"/>
      <c r="CE189" s="2338"/>
      <c r="CF189" s="2338"/>
      <c r="CG189" s="2338"/>
      <c r="CH189" s="2338"/>
      <c r="CI189" s="2338"/>
      <c r="CJ189" s="2338"/>
      <c r="CK189" s="2338"/>
      <c r="CL189" s="2338"/>
      <c r="CM189" s="2338"/>
      <c r="CN189" s="2338"/>
      <c r="CO189" s="2338"/>
      <c r="CP189" s="2338"/>
      <c r="CQ189" s="2338"/>
      <c r="CR189" s="2338"/>
      <c r="CS189" s="2338"/>
      <c r="CT189" s="2338"/>
      <c r="CU189" s="2338"/>
      <c r="CV189" s="2338"/>
      <c r="CW189" s="2338"/>
      <c r="CX189" s="2338"/>
      <c r="CY189" s="2338"/>
      <c r="CZ189" s="2338"/>
      <c r="DA189" s="2338"/>
      <c r="DB189" s="2338"/>
      <c r="DC189" s="2338"/>
      <c r="DD189" s="2338"/>
      <c r="DE189" s="2338"/>
      <c r="DF189" s="2338"/>
      <c r="DG189" s="2338"/>
      <c r="DH189" s="2338"/>
      <c r="DI189" s="2338"/>
      <c r="DJ189" s="2338"/>
    </row>
    <row r="190" spans="1:114" hidden="1" outlineLevel="1">
      <c r="A190" s="2566"/>
      <c r="B190" s="3210"/>
      <c r="C190" s="3210"/>
      <c r="D190" s="3208"/>
      <c r="E190" s="3210"/>
      <c r="F190" s="3767" t="s">
        <v>3863</v>
      </c>
      <c r="G190" s="3769"/>
      <c r="H190" s="2967"/>
      <c r="I190" s="2967"/>
      <c r="J190" s="2967"/>
      <c r="K190" s="2967"/>
      <c r="L190" s="2967"/>
      <c r="M190" s="2967"/>
      <c r="N190" s="2967"/>
      <c r="O190" s="2323"/>
      <c r="P190" s="2323"/>
      <c r="Q190" s="2323"/>
      <c r="R190" s="2323"/>
      <c r="S190" s="2323"/>
      <c r="T190" s="2383"/>
      <c r="U190" s="2383"/>
      <c r="V190" s="2323"/>
      <c r="W190" s="2323"/>
      <c r="X190" s="2323"/>
      <c r="Y190" s="2323"/>
      <c r="Z190" s="2566"/>
      <c r="AA190" s="2566"/>
      <c r="AB190" s="2566"/>
      <c r="AC190" s="2566"/>
      <c r="AD190" s="2323"/>
      <c r="AE190" s="2323"/>
      <c r="AF190" s="2323"/>
      <c r="AG190" s="2323"/>
      <c r="AH190" s="2323"/>
      <c r="AI190" s="2323"/>
      <c r="AJ190" s="2323"/>
      <c r="AK190" s="2898"/>
      <c r="AL190" s="2895">
        <f t="shared" si="4"/>
        <v>0</v>
      </c>
      <c r="AM190" s="2896" t="str">
        <f t="shared" si="5"/>
        <v/>
      </c>
      <c r="AN190" s="2338"/>
      <c r="AO190" s="2338"/>
      <c r="AP190" s="2338"/>
      <c r="AQ190" s="2338"/>
      <c r="AR190" s="2338"/>
      <c r="AS190" s="2338"/>
      <c r="AT190" s="2338"/>
      <c r="AU190" s="2338"/>
      <c r="AV190" s="2338"/>
      <c r="AW190" s="2338"/>
      <c r="AX190" s="2338"/>
      <c r="AY190" s="2338"/>
      <c r="AZ190" s="2338"/>
      <c r="BA190" s="2338"/>
      <c r="BB190" s="2338"/>
      <c r="BC190" s="2338"/>
      <c r="BD190" s="2338"/>
      <c r="BE190" s="2338"/>
      <c r="BF190" s="2338"/>
      <c r="BG190" s="2338"/>
      <c r="BH190" s="2338"/>
      <c r="BI190" s="2338"/>
      <c r="BJ190" s="2338"/>
      <c r="BK190" s="2338"/>
      <c r="BL190" s="2338"/>
      <c r="BM190" s="2338"/>
      <c r="BN190" s="2338"/>
      <c r="BO190" s="2338"/>
      <c r="BP190" s="2338"/>
      <c r="BQ190" s="2338"/>
      <c r="BR190" s="2338"/>
      <c r="BS190" s="2338"/>
      <c r="BT190" s="2338"/>
      <c r="BU190" s="2338"/>
      <c r="BV190" s="2338"/>
      <c r="BW190" s="2338"/>
      <c r="BX190" s="2338"/>
      <c r="BY190" s="2338"/>
      <c r="BZ190" s="2338"/>
      <c r="CA190" s="2338"/>
      <c r="CB190" s="2338"/>
      <c r="CC190" s="2338"/>
      <c r="CD190" s="2338"/>
      <c r="CE190" s="2338"/>
      <c r="CF190" s="2338"/>
      <c r="CG190" s="2338"/>
      <c r="CH190" s="2338"/>
      <c r="CI190" s="2338"/>
      <c r="CJ190" s="2338"/>
      <c r="CK190" s="2338"/>
      <c r="CL190" s="2338"/>
      <c r="CM190" s="2338"/>
      <c r="CN190" s="2338"/>
      <c r="CO190" s="2338"/>
      <c r="CP190" s="2338"/>
      <c r="CQ190" s="2338"/>
      <c r="CR190" s="2338"/>
      <c r="CS190" s="2338"/>
      <c r="CT190" s="2338"/>
      <c r="CU190" s="2338"/>
      <c r="CV190" s="2338"/>
      <c r="CW190" s="2338"/>
      <c r="CX190" s="2338"/>
      <c r="CY190" s="2338"/>
      <c r="CZ190" s="2338"/>
      <c r="DA190" s="2338"/>
      <c r="DB190" s="2338"/>
      <c r="DC190" s="2338"/>
      <c r="DD190" s="2338"/>
      <c r="DE190" s="2338"/>
      <c r="DF190" s="2338"/>
      <c r="DG190" s="2338"/>
      <c r="DH190" s="2338"/>
      <c r="DI190" s="2338"/>
      <c r="DJ190" s="2338"/>
    </row>
    <row r="191" spans="1:114" hidden="1" outlineLevel="1">
      <c r="A191" s="2566"/>
      <c r="B191" s="3210"/>
      <c r="C191" s="3210"/>
      <c r="D191" s="3208"/>
      <c r="E191" s="3210"/>
      <c r="F191" s="3767" t="s">
        <v>3864</v>
      </c>
      <c r="G191" s="3769"/>
      <c r="H191" s="2967"/>
      <c r="I191" s="2967"/>
      <c r="J191" s="2967"/>
      <c r="K191" s="2967"/>
      <c r="L191" s="2967"/>
      <c r="M191" s="2967"/>
      <c r="N191" s="2967"/>
      <c r="O191" s="2323"/>
      <c r="P191" s="2323"/>
      <c r="Q191" s="2323"/>
      <c r="R191" s="2323"/>
      <c r="S191" s="2323"/>
      <c r="T191" s="2383"/>
      <c r="U191" s="2383"/>
      <c r="V191" s="2323"/>
      <c r="W191" s="2323"/>
      <c r="X191" s="2323"/>
      <c r="Y191" s="2323"/>
      <c r="Z191" s="2566"/>
      <c r="AA191" s="2566"/>
      <c r="AB191" s="2566"/>
      <c r="AC191" s="2566"/>
      <c r="AD191" s="2323"/>
      <c r="AE191" s="2323"/>
      <c r="AF191" s="2323"/>
      <c r="AG191" s="2323"/>
      <c r="AH191" s="2323"/>
      <c r="AI191" s="2323"/>
      <c r="AJ191" s="2323"/>
      <c r="AK191" s="2898"/>
      <c r="AL191" s="2895">
        <f t="shared" ref="AL191:AL228" si="6">AK191*$AC$12</f>
        <v>0</v>
      </c>
      <c r="AM191" s="2896" t="str">
        <f t="shared" si="5"/>
        <v/>
      </c>
      <c r="AN191" s="2338"/>
      <c r="AO191" s="2338"/>
      <c r="AP191" s="2338"/>
      <c r="AQ191" s="2338"/>
      <c r="AR191" s="2338"/>
      <c r="AS191" s="2338"/>
      <c r="AT191" s="2338"/>
      <c r="AU191" s="2338"/>
      <c r="AV191" s="2338"/>
      <c r="AW191" s="2338"/>
      <c r="AX191" s="2338"/>
      <c r="AY191" s="2338"/>
      <c r="AZ191" s="2338"/>
      <c r="BA191" s="2338"/>
      <c r="BB191" s="2338"/>
      <c r="BC191" s="2338"/>
      <c r="BD191" s="2338"/>
      <c r="BE191" s="2338"/>
      <c r="BF191" s="2338"/>
      <c r="BG191" s="2338"/>
      <c r="BH191" s="2338"/>
      <c r="BI191" s="2338"/>
      <c r="BJ191" s="2338"/>
      <c r="BK191" s="2338"/>
      <c r="BL191" s="2338"/>
      <c r="BM191" s="2338"/>
      <c r="BN191" s="2338"/>
      <c r="BO191" s="2338"/>
      <c r="BP191" s="2338"/>
      <c r="BQ191" s="2338"/>
      <c r="BR191" s="2338"/>
      <c r="BS191" s="2338"/>
      <c r="BT191" s="2338"/>
      <c r="BU191" s="2338"/>
      <c r="BV191" s="2338"/>
      <c r="BW191" s="2338"/>
      <c r="BX191" s="2338"/>
      <c r="BY191" s="2338"/>
      <c r="BZ191" s="2338"/>
      <c r="CA191" s="2338"/>
      <c r="CB191" s="2338"/>
      <c r="CC191" s="2338"/>
      <c r="CD191" s="2338"/>
      <c r="CE191" s="2338"/>
      <c r="CF191" s="2338"/>
      <c r="CG191" s="2338"/>
      <c r="CH191" s="2338"/>
      <c r="CI191" s="2338"/>
      <c r="CJ191" s="2338"/>
      <c r="CK191" s="2338"/>
      <c r="CL191" s="2338"/>
      <c r="CM191" s="2338"/>
      <c r="CN191" s="2338"/>
      <c r="CO191" s="2338"/>
      <c r="CP191" s="2338"/>
      <c r="CQ191" s="2338"/>
      <c r="CR191" s="2338"/>
      <c r="CS191" s="2338"/>
      <c r="CT191" s="2338"/>
      <c r="CU191" s="2338"/>
      <c r="CV191" s="2338"/>
      <c r="CW191" s="2338"/>
      <c r="CX191" s="2338"/>
      <c r="CY191" s="2338"/>
      <c r="CZ191" s="2338"/>
      <c r="DA191" s="2338"/>
      <c r="DB191" s="2338"/>
      <c r="DC191" s="2338"/>
      <c r="DD191" s="2338"/>
      <c r="DE191" s="2338"/>
      <c r="DF191" s="2338"/>
      <c r="DG191" s="2338"/>
      <c r="DH191" s="2338"/>
      <c r="DI191" s="2338"/>
      <c r="DJ191" s="2338"/>
    </row>
    <row r="192" spans="1:114" hidden="1" outlineLevel="1">
      <c r="A192" s="2566"/>
      <c r="B192" s="3210"/>
      <c r="C192" s="3210"/>
      <c r="D192" s="3208"/>
      <c r="E192" s="3210"/>
      <c r="F192" s="3767" t="s">
        <v>3865</v>
      </c>
      <c r="G192" s="3769"/>
      <c r="H192" s="2322"/>
      <c r="I192" s="2322"/>
      <c r="J192" s="2322"/>
      <c r="K192" s="2322"/>
      <c r="L192" s="2322"/>
      <c r="M192" s="2322"/>
      <c r="N192" s="2323"/>
      <c r="O192" s="2323"/>
      <c r="P192" s="2323"/>
      <c r="Q192" s="2323"/>
      <c r="R192" s="2323"/>
      <c r="S192" s="2323"/>
      <c r="T192" s="2383"/>
      <c r="U192" s="2383"/>
      <c r="V192" s="2323"/>
      <c r="W192" s="2323"/>
      <c r="X192" s="2323"/>
      <c r="Y192" s="2323"/>
      <c r="Z192" s="2566"/>
      <c r="AA192" s="2566"/>
      <c r="AB192" s="2566"/>
      <c r="AC192" s="2566"/>
      <c r="AD192" s="2323"/>
      <c r="AE192" s="2323"/>
      <c r="AF192" s="2323"/>
      <c r="AG192" s="2323"/>
      <c r="AH192" s="2323"/>
      <c r="AI192" s="2323"/>
      <c r="AJ192" s="2323"/>
      <c r="AK192" s="2898"/>
      <c r="AL192" s="2895">
        <f t="shared" si="6"/>
        <v>0</v>
      </c>
      <c r="AM192" s="2896" t="str">
        <f t="shared" ref="AM192:AM228" si="7">IFERROR(AI192/AL192,"")</f>
        <v/>
      </c>
      <c r="AN192" s="2338"/>
      <c r="AO192" s="2338"/>
      <c r="AP192" s="2338"/>
      <c r="AQ192" s="2338"/>
      <c r="AR192" s="2338"/>
      <c r="AS192" s="2338"/>
      <c r="AT192" s="2338"/>
      <c r="AU192" s="2338"/>
      <c r="AV192" s="2338"/>
      <c r="AW192" s="2338"/>
      <c r="AX192" s="2338"/>
      <c r="AY192" s="2338"/>
      <c r="AZ192" s="2338"/>
      <c r="BA192" s="2338"/>
      <c r="BB192" s="2338"/>
      <c r="BC192" s="2338"/>
      <c r="BD192" s="2338"/>
      <c r="BE192" s="2338"/>
      <c r="BF192" s="2338"/>
      <c r="BG192" s="2338"/>
      <c r="BH192" s="2338"/>
      <c r="BI192" s="2338"/>
      <c r="BJ192" s="2338"/>
      <c r="BK192" s="2338"/>
      <c r="BL192" s="2338"/>
      <c r="BM192" s="2338"/>
      <c r="BN192" s="2338"/>
      <c r="BO192" s="2338"/>
      <c r="BP192" s="2338"/>
      <c r="BQ192" s="2338"/>
      <c r="BR192" s="2338"/>
      <c r="BS192" s="2338"/>
      <c r="BT192" s="2338"/>
      <c r="BU192" s="2338"/>
      <c r="BV192" s="2338"/>
      <c r="BW192" s="2338"/>
      <c r="BX192" s="2338"/>
      <c r="BY192" s="2338"/>
      <c r="BZ192" s="2338"/>
      <c r="CA192" s="2338"/>
      <c r="CB192" s="2338"/>
      <c r="CC192" s="2338"/>
      <c r="CD192" s="2338"/>
      <c r="CE192" s="2338"/>
      <c r="CF192" s="2338"/>
      <c r="CG192" s="2338"/>
      <c r="CH192" s="2338"/>
      <c r="CI192" s="2338"/>
      <c r="CJ192" s="2338"/>
      <c r="CK192" s="2338"/>
      <c r="CL192" s="2338"/>
      <c r="CM192" s="2338"/>
      <c r="CN192" s="2338"/>
      <c r="CO192" s="2338"/>
      <c r="CP192" s="2338"/>
      <c r="CQ192" s="2338"/>
      <c r="CR192" s="2338"/>
      <c r="CS192" s="2338"/>
      <c r="CT192" s="2338"/>
      <c r="CU192" s="2338"/>
      <c r="CV192" s="2338"/>
      <c r="CW192" s="2338"/>
      <c r="CX192" s="2338"/>
      <c r="CY192" s="2338"/>
      <c r="CZ192" s="2338"/>
      <c r="DA192" s="2338"/>
      <c r="DB192" s="2338"/>
      <c r="DC192" s="2338"/>
      <c r="DD192" s="2338"/>
      <c r="DE192" s="2338"/>
      <c r="DF192" s="2338"/>
      <c r="DG192" s="2338"/>
      <c r="DH192" s="2338"/>
      <c r="DI192" s="2338"/>
      <c r="DJ192" s="2338"/>
    </row>
    <row r="193" spans="1:114" hidden="1" outlineLevel="1">
      <c r="A193" s="2566"/>
      <c r="B193" s="3210"/>
      <c r="C193" s="3210"/>
      <c r="D193" s="3208" t="s">
        <v>3911</v>
      </c>
      <c r="E193" s="3210" t="s">
        <v>3909</v>
      </c>
      <c r="F193" s="3767" t="s">
        <v>3860</v>
      </c>
      <c r="G193" s="3769"/>
      <c r="H193" s="2322"/>
      <c r="I193" s="2322"/>
      <c r="J193" s="2322"/>
      <c r="K193" s="2322"/>
      <c r="L193" s="2322"/>
      <c r="M193" s="2322"/>
      <c r="N193" s="2323"/>
      <c r="O193" s="2323"/>
      <c r="P193" s="2323"/>
      <c r="Q193" s="2323"/>
      <c r="R193" s="2323"/>
      <c r="S193" s="2323"/>
      <c r="T193" s="2383"/>
      <c r="U193" s="2383"/>
      <c r="V193" s="2343"/>
      <c r="W193" s="2343"/>
      <c r="X193" s="2343"/>
      <c r="Y193" s="2343"/>
      <c r="Z193" s="2566"/>
      <c r="AA193" s="2566"/>
      <c r="AB193" s="2566"/>
      <c r="AC193" s="2566"/>
      <c r="AD193" s="2323"/>
      <c r="AE193" s="2323"/>
      <c r="AF193" s="2323"/>
      <c r="AG193" s="2323"/>
      <c r="AH193" s="2323"/>
      <c r="AI193" s="2323"/>
      <c r="AJ193" s="2323"/>
      <c r="AK193" s="2898"/>
      <c r="AL193" s="2895">
        <f t="shared" si="6"/>
        <v>0</v>
      </c>
      <c r="AM193" s="2896" t="str">
        <f t="shared" si="7"/>
        <v/>
      </c>
      <c r="AN193" s="2338"/>
      <c r="AO193" s="2338"/>
      <c r="AP193" s="2338"/>
      <c r="AQ193" s="2338"/>
      <c r="AR193" s="2338"/>
      <c r="AS193" s="2338"/>
      <c r="AT193" s="2338"/>
      <c r="AU193" s="2338"/>
      <c r="AV193" s="2338"/>
      <c r="AW193" s="2338"/>
      <c r="AX193" s="2338"/>
      <c r="AY193" s="2338"/>
      <c r="AZ193" s="2338"/>
      <c r="BA193" s="2338"/>
      <c r="BB193" s="2338"/>
      <c r="BC193" s="2338"/>
      <c r="BD193" s="2338"/>
      <c r="BE193" s="2338"/>
      <c r="BF193" s="2338"/>
      <c r="BG193" s="2338"/>
      <c r="BH193" s="2338"/>
      <c r="BI193" s="2338"/>
      <c r="BJ193" s="2338"/>
      <c r="BK193" s="2338"/>
      <c r="BL193" s="2338"/>
      <c r="BM193" s="2338"/>
      <c r="BN193" s="2338"/>
      <c r="BO193" s="2338"/>
      <c r="BP193" s="2338"/>
      <c r="BQ193" s="2338"/>
      <c r="BR193" s="2338"/>
      <c r="BS193" s="2338"/>
      <c r="BT193" s="2338"/>
      <c r="BU193" s="2338"/>
      <c r="BV193" s="2338"/>
      <c r="BW193" s="2338"/>
      <c r="BX193" s="2338"/>
      <c r="BY193" s="2338"/>
      <c r="BZ193" s="2338"/>
      <c r="CA193" s="2338"/>
      <c r="CB193" s="2338"/>
      <c r="CC193" s="2338"/>
      <c r="CD193" s="2338"/>
      <c r="CE193" s="2338"/>
      <c r="CF193" s="2338"/>
      <c r="CG193" s="2338"/>
      <c r="CH193" s="2338"/>
      <c r="CI193" s="2338"/>
      <c r="CJ193" s="2338"/>
      <c r="CK193" s="2338"/>
      <c r="CL193" s="2338"/>
      <c r="CM193" s="2338"/>
      <c r="CN193" s="2338"/>
      <c r="CO193" s="2338"/>
      <c r="CP193" s="2338"/>
      <c r="CQ193" s="2338"/>
      <c r="CR193" s="2338"/>
      <c r="CS193" s="2338"/>
      <c r="CT193" s="2338"/>
      <c r="CU193" s="2338"/>
      <c r="CV193" s="2338"/>
      <c r="CW193" s="2338"/>
      <c r="CX193" s="2338"/>
      <c r="CY193" s="2338"/>
      <c r="CZ193" s="2338"/>
      <c r="DA193" s="2338"/>
      <c r="DB193" s="2338"/>
      <c r="DC193" s="2338"/>
      <c r="DD193" s="2338"/>
      <c r="DE193" s="2338"/>
      <c r="DF193" s="2338"/>
      <c r="DG193" s="2338"/>
      <c r="DH193" s="2338"/>
      <c r="DI193" s="2338"/>
      <c r="DJ193" s="2338"/>
    </row>
    <row r="194" spans="1:114" hidden="1" outlineLevel="1">
      <c r="A194" s="2566"/>
      <c r="B194" s="3210"/>
      <c r="C194" s="3210"/>
      <c r="D194" s="3208"/>
      <c r="E194" s="3210"/>
      <c r="F194" s="3767" t="s">
        <v>3861</v>
      </c>
      <c r="G194" s="3769"/>
      <c r="H194" s="2322"/>
      <c r="I194" s="2322"/>
      <c r="J194" s="2322"/>
      <c r="K194" s="2322"/>
      <c r="L194" s="2322"/>
      <c r="M194" s="2322"/>
      <c r="N194" s="2323"/>
      <c r="O194" s="2323"/>
      <c r="P194" s="2323"/>
      <c r="Q194" s="2323"/>
      <c r="R194" s="2323"/>
      <c r="S194" s="2323"/>
      <c r="T194" s="2383"/>
      <c r="U194" s="2383"/>
      <c r="V194" s="2343"/>
      <c r="W194" s="2343"/>
      <c r="X194" s="2343"/>
      <c r="Y194" s="2343"/>
      <c r="Z194" s="2566"/>
      <c r="AA194" s="2566"/>
      <c r="AB194" s="2566"/>
      <c r="AC194" s="2566"/>
      <c r="AD194" s="2323"/>
      <c r="AE194" s="2323"/>
      <c r="AF194" s="2323"/>
      <c r="AG194" s="2323"/>
      <c r="AH194" s="2323"/>
      <c r="AI194" s="2323"/>
      <c r="AJ194" s="2323"/>
      <c r="AK194" s="2898"/>
      <c r="AL194" s="2895">
        <f t="shared" si="6"/>
        <v>0</v>
      </c>
      <c r="AM194" s="2896" t="str">
        <f t="shared" si="7"/>
        <v/>
      </c>
      <c r="AN194" s="2338"/>
      <c r="AO194" s="2338"/>
      <c r="AP194" s="2338"/>
      <c r="AQ194" s="2338"/>
      <c r="AR194" s="2338"/>
      <c r="AS194" s="2338"/>
      <c r="AT194" s="2338"/>
      <c r="AU194" s="2338"/>
      <c r="AV194" s="2338"/>
      <c r="AW194" s="2338"/>
      <c r="AX194" s="2338"/>
      <c r="AY194" s="2338"/>
      <c r="AZ194" s="2338"/>
      <c r="BA194" s="2338"/>
      <c r="BB194" s="2338"/>
      <c r="BC194" s="2338"/>
      <c r="BD194" s="2338"/>
      <c r="BE194" s="2338"/>
      <c r="BF194" s="2338"/>
      <c r="BG194" s="2338"/>
      <c r="BH194" s="2338"/>
      <c r="BI194" s="2338"/>
      <c r="BJ194" s="2338"/>
      <c r="BK194" s="2338"/>
      <c r="BL194" s="2338"/>
      <c r="BM194" s="2338"/>
      <c r="BN194" s="2338"/>
      <c r="BO194" s="2338"/>
      <c r="BP194" s="2338"/>
      <c r="BQ194" s="2338"/>
      <c r="BR194" s="2338"/>
      <c r="BS194" s="2338"/>
      <c r="BT194" s="2338"/>
      <c r="BU194" s="2338"/>
      <c r="BV194" s="2338"/>
      <c r="BW194" s="2338"/>
      <c r="BX194" s="2338"/>
      <c r="BY194" s="2338"/>
      <c r="BZ194" s="2338"/>
      <c r="CA194" s="2338"/>
      <c r="CB194" s="2338"/>
      <c r="CC194" s="2338"/>
      <c r="CD194" s="2338"/>
      <c r="CE194" s="2338"/>
      <c r="CF194" s="2338"/>
      <c r="CG194" s="2338"/>
      <c r="CH194" s="2338"/>
      <c r="CI194" s="2338"/>
      <c r="CJ194" s="2338"/>
      <c r="CK194" s="2338"/>
      <c r="CL194" s="2338"/>
      <c r="CM194" s="2338"/>
      <c r="CN194" s="2338"/>
      <c r="CO194" s="2338"/>
      <c r="CP194" s="2338"/>
      <c r="CQ194" s="2338"/>
      <c r="CR194" s="2338"/>
      <c r="CS194" s="2338"/>
      <c r="CT194" s="2338"/>
      <c r="CU194" s="2338"/>
      <c r="CV194" s="2338"/>
      <c r="CW194" s="2338"/>
      <c r="CX194" s="2338"/>
      <c r="CY194" s="2338"/>
      <c r="CZ194" s="2338"/>
      <c r="DA194" s="2338"/>
      <c r="DB194" s="2338"/>
      <c r="DC194" s="2338"/>
      <c r="DD194" s="2338"/>
      <c r="DE194" s="2338"/>
      <c r="DF194" s="2338"/>
      <c r="DG194" s="2338"/>
      <c r="DH194" s="2338"/>
      <c r="DI194" s="2338"/>
      <c r="DJ194" s="2338"/>
    </row>
    <row r="195" spans="1:114" hidden="1" outlineLevel="1">
      <c r="A195" s="2566"/>
      <c r="B195" s="3210"/>
      <c r="C195" s="3210"/>
      <c r="D195" s="3208"/>
      <c r="E195" s="3210"/>
      <c r="F195" s="3767" t="s">
        <v>3862</v>
      </c>
      <c r="G195" s="3769"/>
      <c r="H195" s="2322"/>
      <c r="I195" s="2322"/>
      <c r="J195" s="2322"/>
      <c r="K195" s="2322"/>
      <c r="L195" s="2322"/>
      <c r="M195" s="2322"/>
      <c r="N195" s="2323"/>
      <c r="O195" s="2323"/>
      <c r="P195" s="2323"/>
      <c r="Q195" s="2323"/>
      <c r="R195" s="2323"/>
      <c r="S195" s="2323"/>
      <c r="T195" s="2383"/>
      <c r="U195" s="2383"/>
      <c r="V195" s="2343"/>
      <c r="W195" s="2343"/>
      <c r="X195" s="2343"/>
      <c r="Y195" s="2343"/>
      <c r="Z195" s="2566"/>
      <c r="AA195" s="2566"/>
      <c r="AB195" s="2566"/>
      <c r="AC195" s="2566"/>
      <c r="AD195" s="2323"/>
      <c r="AE195" s="2323"/>
      <c r="AF195" s="2323"/>
      <c r="AG195" s="2323"/>
      <c r="AH195" s="2323"/>
      <c r="AI195" s="2323"/>
      <c r="AJ195" s="2323"/>
      <c r="AK195" s="2898"/>
      <c r="AL195" s="2895">
        <f t="shared" si="6"/>
        <v>0</v>
      </c>
      <c r="AM195" s="2896" t="str">
        <f t="shared" si="7"/>
        <v/>
      </c>
      <c r="AN195" s="2338"/>
      <c r="AO195" s="2338"/>
      <c r="AP195" s="2338"/>
      <c r="AQ195" s="2338"/>
      <c r="AR195" s="2338"/>
      <c r="AS195" s="2338"/>
      <c r="AT195" s="2338"/>
      <c r="AU195" s="2338"/>
      <c r="AV195" s="2338"/>
      <c r="AW195" s="2338"/>
      <c r="AX195" s="2338"/>
      <c r="AY195" s="2338"/>
      <c r="AZ195" s="2338"/>
      <c r="BA195" s="2338"/>
      <c r="BB195" s="2338"/>
      <c r="BC195" s="2338"/>
      <c r="BD195" s="2338"/>
      <c r="BE195" s="2338"/>
      <c r="BF195" s="2338"/>
      <c r="BG195" s="2338"/>
      <c r="BH195" s="2338"/>
      <c r="BI195" s="2338"/>
      <c r="BJ195" s="2338"/>
      <c r="BK195" s="2338"/>
      <c r="BL195" s="2338"/>
      <c r="BM195" s="2338"/>
      <c r="BN195" s="2338"/>
      <c r="BO195" s="2338"/>
      <c r="BP195" s="2338"/>
      <c r="BQ195" s="2338"/>
      <c r="BR195" s="2338"/>
      <c r="BS195" s="2338"/>
      <c r="BT195" s="2338"/>
      <c r="BU195" s="2338"/>
      <c r="BV195" s="2338"/>
      <c r="BW195" s="2338"/>
      <c r="BX195" s="2338"/>
      <c r="BY195" s="2338"/>
      <c r="BZ195" s="2338"/>
      <c r="CA195" s="2338"/>
      <c r="CB195" s="2338"/>
      <c r="CC195" s="2338"/>
      <c r="CD195" s="2338"/>
      <c r="CE195" s="2338"/>
      <c r="CF195" s="2338"/>
      <c r="CG195" s="2338"/>
      <c r="CH195" s="2338"/>
      <c r="CI195" s="2338"/>
      <c r="CJ195" s="2338"/>
      <c r="CK195" s="2338"/>
      <c r="CL195" s="2338"/>
      <c r="CM195" s="2338"/>
      <c r="CN195" s="2338"/>
      <c r="CO195" s="2338"/>
      <c r="CP195" s="2338"/>
      <c r="CQ195" s="2338"/>
      <c r="CR195" s="2338"/>
      <c r="CS195" s="2338"/>
      <c r="CT195" s="2338"/>
      <c r="CU195" s="2338"/>
      <c r="CV195" s="2338"/>
      <c r="CW195" s="2338"/>
      <c r="CX195" s="2338"/>
      <c r="CY195" s="2338"/>
      <c r="CZ195" s="2338"/>
      <c r="DA195" s="2338"/>
      <c r="DB195" s="2338"/>
      <c r="DC195" s="2338"/>
      <c r="DD195" s="2338"/>
      <c r="DE195" s="2338"/>
      <c r="DF195" s="2338"/>
      <c r="DG195" s="2338"/>
      <c r="DH195" s="2338"/>
      <c r="DI195" s="2338"/>
      <c r="DJ195" s="2338"/>
    </row>
    <row r="196" spans="1:114" hidden="1" outlineLevel="1">
      <c r="A196" s="2566"/>
      <c r="B196" s="3210"/>
      <c r="C196" s="3210"/>
      <c r="D196" s="3208"/>
      <c r="E196" s="3210"/>
      <c r="F196" s="3767" t="s">
        <v>3863</v>
      </c>
      <c r="G196" s="3769"/>
      <c r="H196" s="2322"/>
      <c r="I196" s="2322"/>
      <c r="J196" s="2322"/>
      <c r="K196" s="2322"/>
      <c r="L196" s="2322"/>
      <c r="M196" s="2322"/>
      <c r="N196" s="2323"/>
      <c r="O196" s="2323"/>
      <c r="P196" s="2323"/>
      <c r="Q196" s="2323"/>
      <c r="R196" s="2323"/>
      <c r="S196" s="2323"/>
      <c r="T196" s="2383"/>
      <c r="U196" s="2383"/>
      <c r="V196" s="2343"/>
      <c r="W196" s="2343"/>
      <c r="X196" s="2343"/>
      <c r="Y196" s="2343"/>
      <c r="Z196" s="2566"/>
      <c r="AA196" s="2566"/>
      <c r="AB196" s="2566"/>
      <c r="AC196" s="2566"/>
      <c r="AD196" s="2323"/>
      <c r="AE196" s="2323"/>
      <c r="AF196" s="2323"/>
      <c r="AG196" s="2323"/>
      <c r="AH196" s="2323"/>
      <c r="AI196" s="2323"/>
      <c r="AJ196" s="2323"/>
      <c r="AK196" s="2898"/>
      <c r="AL196" s="2895">
        <f t="shared" si="6"/>
        <v>0</v>
      </c>
      <c r="AM196" s="2896" t="str">
        <f t="shared" si="7"/>
        <v/>
      </c>
      <c r="AN196" s="2338"/>
      <c r="AO196" s="2338"/>
      <c r="AP196" s="2338"/>
      <c r="AQ196" s="2338"/>
      <c r="AR196" s="2338"/>
      <c r="AS196" s="2338"/>
      <c r="AT196" s="2338"/>
      <c r="AU196" s="2338"/>
      <c r="AV196" s="2338"/>
      <c r="AW196" s="2338"/>
      <c r="AX196" s="2338"/>
      <c r="AY196" s="2338"/>
      <c r="AZ196" s="2338"/>
      <c r="BA196" s="2338"/>
      <c r="BB196" s="2338"/>
      <c r="BC196" s="2338"/>
      <c r="BD196" s="2338"/>
      <c r="BE196" s="2338"/>
      <c r="BF196" s="2338"/>
      <c r="BG196" s="2338"/>
      <c r="BH196" s="2338"/>
      <c r="BI196" s="2338"/>
      <c r="BJ196" s="2338"/>
      <c r="BK196" s="2338"/>
      <c r="BL196" s="2338"/>
      <c r="BM196" s="2338"/>
      <c r="BN196" s="2338"/>
      <c r="BO196" s="2338"/>
      <c r="BP196" s="2338"/>
      <c r="BQ196" s="2338"/>
      <c r="BR196" s="2338"/>
      <c r="BS196" s="2338"/>
      <c r="BT196" s="2338"/>
      <c r="BU196" s="2338"/>
      <c r="BV196" s="2338"/>
      <c r="BW196" s="2338"/>
      <c r="BX196" s="2338"/>
      <c r="BY196" s="2338"/>
      <c r="BZ196" s="2338"/>
      <c r="CA196" s="2338"/>
      <c r="CB196" s="2338"/>
      <c r="CC196" s="2338"/>
      <c r="CD196" s="2338"/>
      <c r="CE196" s="2338"/>
      <c r="CF196" s="2338"/>
      <c r="CG196" s="2338"/>
      <c r="CH196" s="2338"/>
      <c r="CI196" s="2338"/>
      <c r="CJ196" s="2338"/>
      <c r="CK196" s="2338"/>
      <c r="CL196" s="2338"/>
      <c r="CM196" s="2338"/>
      <c r="CN196" s="2338"/>
      <c r="CO196" s="2338"/>
      <c r="CP196" s="2338"/>
      <c r="CQ196" s="2338"/>
      <c r="CR196" s="2338"/>
      <c r="CS196" s="2338"/>
      <c r="CT196" s="2338"/>
      <c r="CU196" s="2338"/>
      <c r="CV196" s="2338"/>
      <c r="CW196" s="2338"/>
      <c r="CX196" s="2338"/>
      <c r="CY196" s="2338"/>
      <c r="CZ196" s="2338"/>
      <c r="DA196" s="2338"/>
      <c r="DB196" s="2338"/>
      <c r="DC196" s="2338"/>
      <c r="DD196" s="2338"/>
      <c r="DE196" s="2338"/>
      <c r="DF196" s="2338"/>
      <c r="DG196" s="2338"/>
      <c r="DH196" s="2338"/>
      <c r="DI196" s="2338"/>
      <c r="DJ196" s="2338"/>
    </row>
    <row r="197" spans="1:114" hidden="1" outlineLevel="1">
      <c r="A197" s="2566"/>
      <c r="B197" s="3210"/>
      <c r="C197" s="3210"/>
      <c r="D197" s="3208"/>
      <c r="E197" s="3210"/>
      <c r="F197" s="3767" t="s">
        <v>3864</v>
      </c>
      <c r="G197" s="3769"/>
      <c r="H197" s="2322"/>
      <c r="I197" s="2322"/>
      <c r="J197" s="2322"/>
      <c r="K197" s="2322"/>
      <c r="L197" s="2322"/>
      <c r="M197" s="2322"/>
      <c r="N197" s="2323"/>
      <c r="O197" s="2323"/>
      <c r="P197" s="2323"/>
      <c r="Q197" s="2323"/>
      <c r="R197" s="2323"/>
      <c r="S197" s="2323"/>
      <c r="T197" s="2383"/>
      <c r="U197" s="2383"/>
      <c r="V197" s="2323"/>
      <c r="W197" s="2323"/>
      <c r="X197" s="2323"/>
      <c r="Y197" s="2323"/>
      <c r="Z197" s="2566"/>
      <c r="AA197" s="2566"/>
      <c r="AB197" s="2566"/>
      <c r="AC197" s="2566"/>
      <c r="AD197" s="2323"/>
      <c r="AE197" s="2323"/>
      <c r="AF197" s="2323"/>
      <c r="AG197" s="2323"/>
      <c r="AH197" s="2323"/>
      <c r="AI197" s="2323"/>
      <c r="AJ197" s="2323"/>
      <c r="AK197" s="2898"/>
      <c r="AL197" s="2895">
        <f t="shared" si="6"/>
        <v>0</v>
      </c>
      <c r="AM197" s="2896" t="str">
        <f t="shared" si="7"/>
        <v/>
      </c>
      <c r="AN197" s="2338"/>
      <c r="AO197" s="2338"/>
      <c r="AP197" s="2338"/>
      <c r="AQ197" s="2338"/>
      <c r="AR197" s="2338"/>
      <c r="AS197" s="2338"/>
      <c r="AT197" s="2338"/>
      <c r="AU197" s="2338"/>
      <c r="AV197" s="2338"/>
      <c r="AW197" s="2338"/>
      <c r="AX197" s="2338"/>
      <c r="AY197" s="2338"/>
      <c r="AZ197" s="2338"/>
      <c r="BA197" s="2338"/>
      <c r="BB197" s="2338"/>
      <c r="BC197" s="2338"/>
      <c r="BD197" s="2338"/>
      <c r="BE197" s="2338"/>
      <c r="BF197" s="2338"/>
      <c r="BG197" s="2338"/>
      <c r="BH197" s="2338"/>
      <c r="BI197" s="2338"/>
      <c r="BJ197" s="2338"/>
      <c r="BK197" s="2338"/>
      <c r="BL197" s="2338"/>
      <c r="BM197" s="2338"/>
      <c r="BN197" s="2338"/>
      <c r="BO197" s="2338"/>
      <c r="BP197" s="2338"/>
      <c r="BQ197" s="2338"/>
      <c r="BR197" s="2338"/>
      <c r="BS197" s="2338"/>
      <c r="BT197" s="2338"/>
      <c r="BU197" s="2338"/>
      <c r="BV197" s="2338"/>
      <c r="BW197" s="2338"/>
      <c r="BX197" s="2338"/>
      <c r="BY197" s="2338"/>
      <c r="BZ197" s="2338"/>
      <c r="CA197" s="2338"/>
      <c r="CB197" s="2338"/>
      <c r="CC197" s="2338"/>
      <c r="CD197" s="2338"/>
      <c r="CE197" s="2338"/>
      <c r="CF197" s="2338"/>
      <c r="CG197" s="2338"/>
      <c r="CH197" s="2338"/>
      <c r="CI197" s="2338"/>
      <c r="CJ197" s="2338"/>
      <c r="CK197" s="2338"/>
      <c r="CL197" s="2338"/>
      <c r="CM197" s="2338"/>
      <c r="CN197" s="2338"/>
      <c r="CO197" s="2338"/>
      <c r="CP197" s="2338"/>
      <c r="CQ197" s="2338"/>
      <c r="CR197" s="2338"/>
      <c r="CS197" s="2338"/>
      <c r="CT197" s="2338"/>
      <c r="CU197" s="2338"/>
      <c r="CV197" s="2338"/>
      <c r="CW197" s="2338"/>
      <c r="CX197" s="2338"/>
      <c r="CY197" s="2338"/>
      <c r="CZ197" s="2338"/>
      <c r="DA197" s="2338"/>
      <c r="DB197" s="2338"/>
      <c r="DC197" s="2338"/>
      <c r="DD197" s="2338"/>
      <c r="DE197" s="2338"/>
      <c r="DF197" s="2338"/>
      <c r="DG197" s="2338"/>
      <c r="DH197" s="2338"/>
      <c r="DI197" s="2338"/>
      <c r="DJ197" s="2338"/>
    </row>
    <row r="198" spans="1:114" hidden="1" outlineLevel="1">
      <c r="A198" s="2566"/>
      <c r="B198" s="3210"/>
      <c r="C198" s="3210"/>
      <c r="D198" s="3208"/>
      <c r="E198" s="3210"/>
      <c r="F198" s="3767" t="s">
        <v>3865</v>
      </c>
      <c r="G198" s="3769"/>
      <c r="H198" s="2322"/>
      <c r="I198" s="2322"/>
      <c r="J198" s="2322"/>
      <c r="K198" s="2322"/>
      <c r="L198" s="2322"/>
      <c r="M198" s="2322"/>
      <c r="N198" s="2323"/>
      <c r="O198" s="2323"/>
      <c r="P198" s="2323"/>
      <c r="Q198" s="2323"/>
      <c r="R198" s="2323"/>
      <c r="S198" s="2323"/>
      <c r="T198" s="2383"/>
      <c r="U198" s="2383"/>
      <c r="V198" s="2323"/>
      <c r="W198" s="2323"/>
      <c r="X198" s="2323"/>
      <c r="Y198" s="2323"/>
      <c r="Z198" s="2566"/>
      <c r="AA198" s="2566"/>
      <c r="AB198" s="2566"/>
      <c r="AC198" s="2566"/>
      <c r="AD198" s="2323"/>
      <c r="AE198" s="2323"/>
      <c r="AF198" s="2323"/>
      <c r="AG198" s="2323"/>
      <c r="AH198" s="2323"/>
      <c r="AI198" s="2323"/>
      <c r="AJ198" s="2323"/>
      <c r="AK198" s="2898"/>
      <c r="AL198" s="2895">
        <f t="shared" si="6"/>
        <v>0</v>
      </c>
      <c r="AM198" s="2896" t="str">
        <f t="shared" si="7"/>
        <v/>
      </c>
      <c r="AN198" s="2338"/>
      <c r="AO198" s="2338"/>
      <c r="AP198" s="2338"/>
      <c r="AQ198" s="2338"/>
      <c r="AR198" s="2338"/>
      <c r="AS198" s="2338"/>
      <c r="AT198" s="2338"/>
      <c r="AU198" s="2338"/>
      <c r="AV198" s="2338"/>
      <c r="AW198" s="2338"/>
      <c r="AX198" s="2338"/>
      <c r="AY198" s="2338"/>
      <c r="AZ198" s="2338"/>
      <c r="BA198" s="2338"/>
      <c r="BB198" s="2338"/>
      <c r="BC198" s="2338"/>
      <c r="BD198" s="2338"/>
      <c r="BE198" s="2338"/>
      <c r="BF198" s="2338"/>
      <c r="BG198" s="2338"/>
      <c r="BH198" s="2338"/>
      <c r="BI198" s="2338"/>
      <c r="BJ198" s="2338"/>
      <c r="BK198" s="2338"/>
      <c r="BL198" s="2338"/>
      <c r="BM198" s="2338"/>
      <c r="BN198" s="2338"/>
      <c r="BO198" s="2338"/>
      <c r="BP198" s="2338"/>
      <c r="BQ198" s="2338"/>
      <c r="BR198" s="2338"/>
      <c r="BS198" s="2338"/>
      <c r="BT198" s="2338"/>
      <c r="BU198" s="2338"/>
      <c r="BV198" s="2338"/>
      <c r="BW198" s="2338"/>
      <c r="BX198" s="2338"/>
      <c r="BY198" s="2338"/>
      <c r="BZ198" s="2338"/>
      <c r="CA198" s="2338"/>
      <c r="CB198" s="2338"/>
      <c r="CC198" s="2338"/>
      <c r="CD198" s="2338"/>
      <c r="CE198" s="2338"/>
      <c r="CF198" s="2338"/>
      <c r="CG198" s="2338"/>
      <c r="CH198" s="2338"/>
      <c r="CI198" s="2338"/>
      <c r="CJ198" s="2338"/>
      <c r="CK198" s="2338"/>
      <c r="CL198" s="2338"/>
      <c r="CM198" s="2338"/>
      <c r="CN198" s="2338"/>
      <c r="CO198" s="2338"/>
      <c r="CP198" s="2338"/>
      <c r="CQ198" s="2338"/>
      <c r="CR198" s="2338"/>
      <c r="CS198" s="2338"/>
      <c r="CT198" s="2338"/>
      <c r="CU198" s="2338"/>
      <c r="CV198" s="2338"/>
      <c r="CW198" s="2338"/>
      <c r="CX198" s="2338"/>
      <c r="CY198" s="2338"/>
      <c r="CZ198" s="2338"/>
      <c r="DA198" s="2338"/>
      <c r="DB198" s="2338"/>
      <c r="DC198" s="2338"/>
      <c r="DD198" s="2338"/>
      <c r="DE198" s="2338"/>
      <c r="DF198" s="2338"/>
      <c r="DG198" s="2338"/>
      <c r="DH198" s="2338"/>
      <c r="DI198" s="2338"/>
      <c r="DJ198" s="2338"/>
    </row>
    <row r="199" spans="1:114" hidden="1" outlineLevel="1">
      <c r="A199" s="2566"/>
      <c r="B199" s="3210"/>
      <c r="C199" s="3210"/>
      <c r="D199" s="3208"/>
      <c r="E199" s="3210" t="s">
        <v>3910</v>
      </c>
      <c r="F199" s="3767" t="s">
        <v>3860</v>
      </c>
      <c r="G199" s="3769"/>
      <c r="H199" s="2325"/>
      <c r="I199" s="2325"/>
      <c r="J199" s="2325"/>
      <c r="K199" s="2325"/>
      <c r="L199" s="2325"/>
      <c r="M199" s="2325"/>
      <c r="N199" s="2323"/>
      <c r="O199" s="2323"/>
      <c r="P199" s="2323"/>
      <c r="Q199" s="2323"/>
      <c r="R199" s="2323"/>
      <c r="S199" s="2323"/>
      <c r="T199" s="2383"/>
      <c r="U199" s="2383"/>
      <c r="V199" s="2323"/>
      <c r="W199" s="2323"/>
      <c r="X199" s="2323"/>
      <c r="Y199" s="2323"/>
      <c r="Z199" s="2566"/>
      <c r="AA199" s="2566"/>
      <c r="AB199" s="2566"/>
      <c r="AC199" s="2566"/>
      <c r="AD199" s="2323"/>
      <c r="AE199" s="2323"/>
      <c r="AF199" s="2323"/>
      <c r="AG199" s="2323"/>
      <c r="AH199" s="2323"/>
      <c r="AI199" s="2323"/>
      <c r="AJ199" s="2323"/>
      <c r="AK199" s="2898"/>
      <c r="AL199" s="2895">
        <f t="shared" si="6"/>
        <v>0</v>
      </c>
      <c r="AM199" s="2896" t="str">
        <f t="shared" si="7"/>
        <v/>
      </c>
      <c r="AN199" s="2338"/>
      <c r="AO199" s="2338"/>
      <c r="AP199" s="2338"/>
      <c r="AQ199" s="2338"/>
      <c r="AR199" s="2338"/>
      <c r="AS199" s="2338"/>
      <c r="AT199" s="2338"/>
      <c r="AU199" s="2338"/>
      <c r="AV199" s="2338"/>
      <c r="AW199" s="2338"/>
      <c r="AX199" s="2338"/>
      <c r="AY199" s="2338"/>
      <c r="AZ199" s="2338"/>
      <c r="BA199" s="2338"/>
      <c r="BB199" s="2338"/>
      <c r="BC199" s="2338"/>
      <c r="BD199" s="2338"/>
      <c r="BE199" s="2338"/>
      <c r="BF199" s="2338"/>
      <c r="BG199" s="2338"/>
      <c r="BH199" s="2338"/>
      <c r="BI199" s="2338"/>
      <c r="BJ199" s="2338"/>
      <c r="BK199" s="2338"/>
      <c r="BL199" s="2338"/>
      <c r="BM199" s="2338"/>
      <c r="BN199" s="2338"/>
      <c r="BO199" s="2338"/>
      <c r="BP199" s="2338"/>
      <c r="BQ199" s="2338"/>
      <c r="BR199" s="2338"/>
      <c r="BS199" s="2338"/>
      <c r="BT199" s="2338"/>
      <c r="BU199" s="2338"/>
      <c r="BV199" s="2338"/>
      <c r="BW199" s="2338"/>
      <c r="BX199" s="2338"/>
      <c r="BY199" s="2338"/>
      <c r="BZ199" s="2338"/>
      <c r="CA199" s="2338"/>
      <c r="CB199" s="2338"/>
      <c r="CC199" s="2338"/>
      <c r="CD199" s="2338"/>
      <c r="CE199" s="2338"/>
      <c r="CF199" s="2338"/>
      <c r="CG199" s="2338"/>
      <c r="CH199" s="2338"/>
      <c r="CI199" s="2338"/>
      <c r="CJ199" s="2338"/>
      <c r="CK199" s="2338"/>
      <c r="CL199" s="2338"/>
      <c r="CM199" s="2338"/>
      <c r="CN199" s="2338"/>
      <c r="CO199" s="2338"/>
      <c r="CP199" s="2338"/>
      <c r="CQ199" s="2338"/>
      <c r="CR199" s="2338"/>
      <c r="CS199" s="2338"/>
      <c r="CT199" s="2338"/>
      <c r="CU199" s="2338"/>
      <c r="CV199" s="2338"/>
      <c r="CW199" s="2338"/>
      <c r="CX199" s="2338"/>
      <c r="CY199" s="2338"/>
      <c r="CZ199" s="2338"/>
      <c r="DA199" s="2338"/>
      <c r="DB199" s="2338"/>
      <c r="DC199" s="2338"/>
      <c r="DD199" s="2338"/>
      <c r="DE199" s="2338"/>
      <c r="DF199" s="2338"/>
      <c r="DG199" s="2338"/>
      <c r="DH199" s="2338"/>
      <c r="DI199" s="2338"/>
      <c r="DJ199" s="2338"/>
    </row>
    <row r="200" spans="1:114" hidden="1" outlineLevel="1">
      <c r="A200" s="2566"/>
      <c r="B200" s="3210"/>
      <c r="C200" s="3210"/>
      <c r="D200" s="3208"/>
      <c r="E200" s="3210"/>
      <c r="F200" s="3767" t="s">
        <v>3861</v>
      </c>
      <c r="G200" s="3769"/>
      <c r="H200" s="2323"/>
      <c r="I200" s="2323"/>
      <c r="J200" s="2323"/>
      <c r="K200" s="2323"/>
      <c r="L200" s="2323"/>
      <c r="M200" s="2323"/>
      <c r="N200" s="2323"/>
      <c r="O200" s="2323"/>
      <c r="P200" s="2323"/>
      <c r="Q200" s="2323"/>
      <c r="R200" s="2323"/>
      <c r="S200" s="2323"/>
      <c r="T200" s="2383"/>
      <c r="U200" s="2383"/>
      <c r="V200" s="2323"/>
      <c r="W200" s="2323"/>
      <c r="X200" s="2323"/>
      <c r="Y200" s="2323"/>
      <c r="Z200" s="2566"/>
      <c r="AA200" s="2566"/>
      <c r="AB200" s="2566"/>
      <c r="AC200" s="2566"/>
      <c r="AD200" s="2323"/>
      <c r="AE200" s="2323"/>
      <c r="AF200" s="2323"/>
      <c r="AG200" s="2323"/>
      <c r="AH200" s="2323"/>
      <c r="AI200" s="2323"/>
      <c r="AJ200" s="2323"/>
      <c r="AK200" s="2898"/>
      <c r="AL200" s="2895">
        <f t="shared" si="6"/>
        <v>0</v>
      </c>
      <c r="AM200" s="2896" t="str">
        <f t="shared" si="7"/>
        <v/>
      </c>
      <c r="AN200" s="2338"/>
      <c r="AO200" s="2338"/>
      <c r="AP200" s="2338"/>
      <c r="AQ200" s="2338"/>
      <c r="AR200" s="2338"/>
      <c r="AS200" s="2338"/>
      <c r="AT200" s="2338"/>
      <c r="AU200" s="2338"/>
      <c r="AV200" s="2338"/>
      <c r="AW200" s="2338"/>
      <c r="AX200" s="2338"/>
      <c r="AY200" s="2338"/>
      <c r="AZ200" s="2338"/>
      <c r="BA200" s="2338"/>
      <c r="BB200" s="2338"/>
      <c r="BC200" s="2338"/>
      <c r="BD200" s="2338"/>
      <c r="BE200" s="2338"/>
      <c r="BF200" s="2338"/>
      <c r="BG200" s="2338"/>
      <c r="BH200" s="2338"/>
      <c r="BI200" s="2338"/>
      <c r="BJ200" s="2338"/>
      <c r="BK200" s="2338"/>
      <c r="BL200" s="2338"/>
      <c r="BM200" s="2338"/>
      <c r="BN200" s="2338"/>
      <c r="BO200" s="2338"/>
      <c r="BP200" s="2338"/>
      <c r="BQ200" s="2338"/>
      <c r="BR200" s="2338"/>
      <c r="BS200" s="2338"/>
      <c r="BT200" s="2338"/>
      <c r="BU200" s="2338"/>
      <c r="BV200" s="2338"/>
      <c r="BW200" s="2338"/>
      <c r="BX200" s="2338"/>
      <c r="BY200" s="2338"/>
      <c r="BZ200" s="2338"/>
      <c r="CA200" s="2338"/>
      <c r="CB200" s="2338"/>
      <c r="CC200" s="2338"/>
      <c r="CD200" s="2338"/>
      <c r="CE200" s="2338"/>
      <c r="CF200" s="2338"/>
      <c r="CG200" s="2338"/>
      <c r="CH200" s="2338"/>
      <c r="CI200" s="2338"/>
      <c r="CJ200" s="2338"/>
      <c r="CK200" s="2338"/>
      <c r="CL200" s="2338"/>
      <c r="CM200" s="2338"/>
      <c r="CN200" s="2338"/>
      <c r="CO200" s="2338"/>
      <c r="CP200" s="2338"/>
      <c r="CQ200" s="2338"/>
      <c r="CR200" s="2338"/>
      <c r="CS200" s="2338"/>
      <c r="CT200" s="2338"/>
      <c r="CU200" s="2338"/>
      <c r="CV200" s="2338"/>
      <c r="CW200" s="2338"/>
      <c r="CX200" s="2338"/>
      <c r="CY200" s="2338"/>
      <c r="CZ200" s="2338"/>
      <c r="DA200" s="2338"/>
      <c r="DB200" s="2338"/>
      <c r="DC200" s="2338"/>
      <c r="DD200" s="2338"/>
      <c r="DE200" s="2338"/>
      <c r="DF200" s="2338"/>
      <c r="DG200" s="2338"/>
      <c r="DH200" s="2338"/>
      <c r="DI200" s="2338"/>
      <c r="DJ200" s="2338"/>
    </row>
    <row r="201" spans="1:114" hidden="1" outlineLevel="1">
      <c r="A201" s="2566"/>
      <c r="B201" s="3210"/>
      <c r="C201" s="3210"/>
      <c r="D201" s="3208"/>
      <c r="E201" s="3210"/>
      <c r="F201" s="3767" t="s">
        <v>3862</v>
      </c>
      <c r="G201" s="3769"/>
      <c r="H201" s="2323"/>
      <c r="I201" s="2323"/>
      <c r="J201" s="2323"/>
      <c r="K201" s="2323"/>
      <c r="L201" s="2323"/>
      <c r="M201" s="2323"/>
      <c r="N201" s="2323"/>
      <c r="O201" s="2323"/>
      <c r="P201" s="2323"/>
      <c r="Q201" s="2323"/>
      <c r="R201" s="2323"/>
      <c r="S201" s="2323"/>
      <c r="T201" s="2383"/>
      <c r="U201" s="2383"/>
      <c r="V201" s="2323"/>
      <c r="W201" s="2323"/>
      <c r="X201" s="2323"/>
      <c r="Y201" s="2323"/>
      <c r="Z201" s="2566"/>
      <c r="AA201" s="2566"/>
      <c r="AB201" s="2566"/>
      <c r="AC201" s="2566"/>
      <c r="AD201" s="2323"/>
      <c r="AE201" s="2323"/>
      <c r="AF201" s="2323"/>
      <c r="AG201" s="2323"/>
      <c r="AH201" s="2323"/>
      <c r="AI201" s="2323"/>
      <c r="AJ201" s="2323"/>
      <c r="AK201" s="2898"/>
      <c r="AL201" s="2895">
        <f t="shared" si="6"/>
        <v>0</v>
      </c>
      <c r="AM201" s="2896" t="str">
        <f t="shared" si="7"/>
        <v/>
      </c>
      <c r="AN201" s="2338"/>
      <c r="AO201" s="2338"/>
      <c r="AP201" s="2338"/>
      <c r="AQ201" s="2338"/>
      <c r="AR201" s="2338"/>
      <c r="AS201" s="2338"/>
      <c r="AT201" s="2338"/>
      <c r="AU201" s="2338"/>
      <c r="AV201" s="2338"/>
      <c r="AW201" s="2338"/>
      <c r="AX201" s="2338"/>
      <c r="AY201" s="2338"/>
      <c r="AZ201" s="2338"/>
      <c r="BA201" s="2338"/>
      <c r="BB201" s="2338"/>
      <c r="BC201" s="2338"/>
      <c r="BD201" s="2338"/>
      <c r="BE201" s="2338"/>
      <c r="BF201" s="2338"/>
      <c r="BG201" s="2338"/>
      <c r="BH201" s="2338"/>
      <c r="BI201" s="2338"/>
      <c r="BJ201" s="2338"/>
      <c r="BK201" s="2338"/>
      <c r="BL201" s="2338"/>
      <c r="BM201" s="2338"/>
      <c r="BN201" s="2338"/>
      <c r="BO201" s="2338"/>
      <c r="BP201" s="2338"/>
      <c r="BQ201" s="2338"/>
      <c r="BR201" s="2338"/>
      <c r="BS201" s="2338"/>
      <c r="BT201" s="2338"/>
      <c r="BU201" s="2338"/>
      <c r="BV201" s="2338"/>
      <c r="BW201" s="2338"/>
      <c r="BX201" s="2338"/>
      <c r="BY201" s="2338"/>
      <c r="BZ201" s="2338"/>
      <c r="CA201" s="2338"/>
      <c r="CB201" s="2338"/>
      <c r="CC201" s="2338"/>
      <c r="CD201" s="2338"/>
      <c r="CE201" s="2338"/>
      <c r="CF201" s="2338"/>
      <c r="CG201" s="2338"/>
      <c r="CH201" s="2338"/>
      <c r="CI201" s="2338"/>
      <c r="CJ201" s="2338"/>
      <c r="CK201" s="2338"/>
      <c r="CL201" s="2338"/>
      <c r="CM201" s="2338"/>
      <c r="CN201" s="2338"/>
      <c r="CO201" s="2338"/>
      <c r="CP201" s="2338"/>
      <c r="CQ201" s="2338"/>
      <c r="CR201" s="2338"/>
      <c r="CS201" s="2338"/>
      <c r="CT201" s="2338"/>
      <c r="CU201" s="2338"/>
      <c r="CV201" s="2338"/>
      <c r="CW201" s="2338"/>
      <c r="CX201" s="2338"/>
      <c r="CY201" s="2338"/>
      <c r="CZ201" s="2338"/>
      <c r="DA201" s="2338"/>
      <c r="DB201" s="2338"/>
      <c r="DC201" s="2338"/>
      <c r="DD201" s="2338"/>
      <c r="DE201" s="2338"/>
      <c r="DF201" s="2338"/>
      <c r="DG201" s="2338"/>
      <c r="DH201" s="2338"/>
      <c r="DI201" s="2338"/>
      <c r="DJ201" s="2338"/>
    </row>
    <row r="202" spans="1:114" hidden="1" outlineLevel="1">
      <c r="A202" s="2566"/>
      <c r="B202" s="3210"/>
      <c r="C202" s="3210"/>
      <c r="D202" s="3208"/>
      <c r="E202" s="3210"/>
      <c r="F202" s="3767" t="s">
        <v>3863</v>
      </c>
      <c r="G202" s="3769"/>
      <c r="H202" s="2323"/>
      <c r="I202" s="2323"/>
      <c r="J202" s="2323"/>
      <c r="K202" s="2323"/>
      <c r="L202" s="2323"/>
      <c r="M202" s="2323"/>
      <c r="N202" s="2323"/>
      <c r="O202" s="2323"/>
      <c r="P202" s="2323"/>
      <c r="Q202" s="2323"/>
      <c r="R202" s="2323"/>
      <c r="S202" s="2323"/>
      <c r="T202" s="2383"/>
      <c r="U202" s="2383"/>
      <c r="V202" s="2323"/>
      <c r="W202" s="2323"/>
      <c r="X202" s="2323"/>
      <c r="Y202" s="2323"/>
      <c r="Z202" s="2566"/>
      <c r="AA202" s="2566"/>
      <c r="AB202" s="2566"/>
      <c r="AC202" s="2566"/>
      <c r="AD202" s="2323"/>
      <c r="AE202" s="2323"/>
      <c r="AF202" s="2323"/>
      <c r="AG202" s="2323"/>
      <c r="AH202" s="2323"/>
      <c r="AI202" s="2323"/>
      <c r="AJ202" s="2323"/>
      <c r="AK202" s="2898"/>
      <c r="AL202" s="2895">
        <f t="shared" si="6"/>
        <v>0</v>
      </c>
      <c r="AM202" s="2896" t="str">
        <f t="shared" si="7"/>
        <v/>
      </c>
      <c r="AN202" s="2338"/>
      <c r="AO202" s="2338"/>
      <c r="AP202" s="2338"/>
      <c r="AQ202" s="2338"/>
      <c r="AR202" s="2338"/>
      <c r="AS202" s="2338"/>
      <c r="AT202" s="2338"/>
      <c r="AU202" s="2338"/>
      <c r="AV202" s="2338"/>
      <c r="AW202" s="2338"/>
      <c r="AX202" s="2338"/>
      <c r="AY202" s="2338"/>
      <c r="AZ202" s="2338"/>
      <c r="BA202" s="2338"/>
      <c r="BB202" s="2338"/>
      <c r="BC202" s="2338"/>
      <c r="BD202" s="2338"/>
      <c r="BE202" s="2338"/>
      <c r="BF202" s="2338"/>
      <c r="BG202" s="2338"/>
      <c r="BH202" s="2338"/>
      <c r="BI202" s="2338"/>
      <c r="BJ202" s="2338"/>
      <c r="BK202" s="2338"/>
      <c r="BL202" s="2338"/>
      <c r="BM202" s="2338"/>
      <c r="BN202" s="2338"/>
      <c r="BO202" s="2338"/>
      <c r="BP202" s="2338"/>
      <c r="BQ202" s="2338"/>
      <c r="BR202" s="2338"/>
      <c r="BS202" s="2338"/>
      <c r="BT202" s="2338"/>
      <c r="BU202" s="2338"/>
      <c r="BV202" s="2338"/>
      <c r="BW202" s="2338"/>
      <c r="BX202" s="2338"/>
      <c r="BY202" s="2338"/>
      <c r="BZ202" s="2338"/>
      <c r="CA202" s="2338"/>
      <c r="CB202" s="2338"/>
      <c r="CC202" s="2338"/>
      <c r="CD202" s="2338"/>
      <c r="CE202" s="2338"/>
      <c r="CF202" s="2338"/>
      <c r="CG202" s="2338"/>
      <c r="CH202" s="2338"/>
      <c r="CI202" s="2338"/>
      <c r="CJ202" s="2338"/>
      <c r="CK202" s="2338"/>
      <c r="CL202" s="2338"/>
      <c r="CM202" s="2338"/>
      <c r="CN202" s="2338"/>
      <c r="CO202" s="2338"/>
      <c r="CP202" s="2338"/>
      <c r="CQ202" s="2338"/>
      <c r="CR202" s="2338"/>
      <c r="CS202" s="2338"/>
      <c r="CT202" s="2338"/>
      <c r="CU202" s="2338"/>
      <c r="CV202" s="2338"/>
      <c r="CW202" s="2338"/>
      <c r="CX202" s="2338"/>
      <c r="CY202" s="2338"/>
      <c r="CZ202" s="2338"/>
      <c r="DA202" s="2338"/>
      <c r="DB202" s="2338"/>
      <c r="DC202" s="2338"/>
      <c r="DD202" s="2338"/>
      <c r="DE202" s="2338"/>
      <c r="DF202" s="2338"/>
      <c r="DG202" s="2338"/>
      <c r="DH202" s="2338"/>
      <c r="DI202" s="2338"/>
      <c r="DJ202" s="2338"/>
    </row>
    <row r="203" spans="1:114" hidden="1" outlineLevel="1">
      <c r="A203" s="2566"/>
      <c r="B203" s="3210"/>
      <c r="C203" s="3210"/>
      <c r="D203" s="3208"/>
      <c r="E203" s="3210"/>
      <c r="F203" s="3767" t="s">
        <v>3864</v>
      </c>
      <c r="G203" s="3769"/>
      <c r="H203" s="2323"/>
      <c r="I203" s="2323"/>
      <c r="J203" s="2323"/>
      <c r="K203" s="2323"/>
      <c r="L203" s="2323"/>
      <c r="M203" s="2323"/>
      <c r="N203" s="2323"/>
      <c r="O203" s="2323"/>
      <c r="P203" s="2323"/>
      <c r="Q203" s="2323"/>
      <c r="R203" s="2323"/>
      <c r="S203" s="2323"/>
      <c r="T203" s="2383"/>
      <c r="U203" s="2383"/>
      <c r="V203" s="2323"/>
      <c r="W203" s="2323"/>
      <c r="X203" s="2323"/>
      <c r="Y203" s="2323"/>
      <c r="Z203" s="2566"/>
      <c r="AA203" s="2566"/>
      <c r="AB203" s="2566"/>
      <c r="AC203" s="2566"/>
      <c r="AD203" s="2323"/>
      <c r="AE203" s="2323"/>
      <c r="AF203" s="2323"/>
      <c r="AG203" s="2323"/>
      <c r="AH203" s="2323"/>
      <c r="AI203" s="2323"/>
      <c r="AJ203" s="2323"/>
      <c r="AK203" s="2898"/>
      <c r="AL203" s="2895">
        <f t="shared" si="6"/>
        <v>0</v>
      </c>
      <c r="AM203" s="2896" t="str">
        <f t="shared" si="7"/>
        <v/>
      </c>
    </row>
    <row r="204" spans="1:114" hidden="1" outlineLevel="1">
      <c r="A204" s="2566"/>
      <c r="B204" s="3210"/>
      <c r="C204" s="3210"/>
      <c r="D204" s="3208"/>
      <c r="E204" s="3210"/>
      <c r="F204" s="3767" t="s">
        <v>3865</v>
      </c>
      <c r="G204" s="3769"/>
      <c r="H204" s="2323"/>
      <c r="I204" s="2323"/>
      <c r="J204" s="2323"/>
      <c r="K204" s="2323"/>
      <c r="L204" s="2323"/>
      <c r="M204" s="2323"/>
      <c r="N204" s="2323"/>
      <c r="O204" s="2323"/>
      <c r="P204" s="2323"/>
      <c r="Q204" s="2323"/>
      <c r="R204" s="2323"/>
      <c r="S204" s="2323"/>
      <c r="T204" s="2383"/>
      <c r="U204" s="2383"/>
      <c r="V204" s="2323"/>
      <c r="W204" s="2323"/>
      <c r="X204" s="2323"/>
      <c r="Y204" s="2323"/>
      <c r="Z204" s="2566"/>
      <c r="AA204" s="2566"/>
      <c r="AB204" s="2566"/>
      <c r="AC204" s="2566"/>
      <c r="AD204" s="2323"/>
      <c r="AE204" s="2323"/>
      <c r="AF204" s="2323"/>
      <c r="AG204" s="2323"/>
      <c r="AH204" s="2323"/>
      <c r="AI204" s="2323"/>
      <c r="AJ204" s="2323"/>
      <c r="AK204" s="2898"/>
      <c r="AL204" s="2895">
        <f t="shared" si="6"/>
        <v>0</v>
      </c>
      <c r="AM204" s="2896" t="str">
        <f t="shared" si="7"/>
        <v/>
      </c>
    </row>
    <row r="205" spans="1:114" hidden="1" outlineLevel="1">
      <c r="A205" s="2566"/>
      <c r="B205" s="3210" t="s">
        <v>2948</v>
      </c>
      <c r="C205" s="3208" t="s">
        <v>3907</v>
      </c>
      <c r="D205" s="3208" t="s">
        <v>3908</v>
      </c>
      <c r="E205" s="3210" t="s">
        <v>3909</v>
      </c>
      <c r="F205" s="3767" t="s">
        <v>3860</v>
      </c>
      <c r="G205" s="3768"/>
      <c r="H205" s="2323"/>
      <c r="I205" s="2323"/>
      <c r="J205" s="2323"/>
      <c r="K205" s="2323"/>
      <c r="L205" s="2323"/>
      <c r="M205" s="2323"/>
      <c r="N205" s="2323"/>
      <c r="O205" s="2323"/>
      <c r="P205" s="2323"/>
      <c r="Q205" s="2323"/>
      <c r="R205" s="2323"/>
      <c r="S205" s="2323"/>
      <c r="T205" s="2383"/>
      <c r="U205" s="2383"/>
      <c r="V205" s="2343"/>
      <c r="W205" s="2343"/>
      <c r="X205" s="2343"/>
      <c r="Y205" s="2343"/>
      <c r="Z205" s="2566"/>
      <c r="AA205" s="2566"/>
      <c r="AB205" s="2566"/>
      <c r="AC205" s="2566"/>
      <c r="AD205" s="2323"/>
      <c r="AE205" s="2323"/>
      <c r="AF205" s="2323"/>
      <c r="AG205" s="2323"/>
      <c r="AH205" s="2323"/>
      <c r="AI205" s="2323"/>
      <c r="AJ205" s="2323"/>
      <c r="AK205" s="2898"/>
      <c r="AL205" s="2895">
        <f t="shared" si="6"/>
        <v>0</v>
      </c>
      <c r="AM205" s="2896" t="str">
        <f t="shared" si="7"/>
        <v/>
      </c>
    </row>
    <row r="206" spans="1:114" hidden="1" outlineLevel="1">
      <c r="A206" s="2566"/>
      <c r="B206" s="3210"/>
      <c r="C206" s="3208"/>
      <c r="D206" s="3208"/>
      <c r="E206" s="3210"/>
      <c r="F206" s="3767" t="s">
        <v>3861</v>
      </c>
      <c r="G206" s="3769"/>
      <c r="H206" s="2323"/>
      <c r="I206" s="2323"/>
      <c r="J206" s="2323"/>
      <c r="K206" s="2323"/>
      <c r="L206" s="2323"/>
      <c r="M206" s="2323"/>
      <c r="N206" s="2323"/>
      <c r="O206" s="2323"/>
      <c r="P206" s="2323"/>
      <c r="Q206" s="2323"/>
      <c r="R206" s="2323"/>
      <c r="S206" s="2323"/>
      <c r="T206" s="2383"/>
      <c r="U206" s="2383"/>
      <c r="V206" s="2323"/>
      <c r="W206" s="2323"/>
      <c r="X206" s="2323"/>
      <c r="Y206" s="2323"/>
      <c r="Z206" s="2566"/>
      <c r="AA206" s="2566"/>
      <c r="AB206" s="2566"/>
      <c r="AC206" s="2566"/>
      <c r="AD206" s="2323"/>
      <c r="AE206" s="2323"/>
      <c r="AF206" s="2323"/>
      <c r="AG206" s="2323"/>
      <c r="AH206" s="2323"/>
      <c r="AI206" s="2323"/>
      <c r="AJ206" s="2323"/>
      <c r="AK206" s="2898"/>
      <c r="AL206" s="2895">
        <f t="shared" si="6"/>
        <v>0</v>
      </c>
      <c r="AM206" s="2896" t="str">
        <f t="shared" si="7"/>
        <v/>
      </c>
    </row>
    <row r="207" spans="1:114" hidden="1" outlineLevel="1">
      <c r="A207" s="2566"/>
      <c r="B207" s="3210"/>
      <c r="C207" s="3208"/>
      <c r="D207" s="3208"/>
      <c r="E207" s="3210"/>
      <c r="F207" s="3767" t="s">
        <v>3862</v>
      </c>
      <c r="G207" s="3769"/>
      <c r="H207" s="2323"/>
      <c r="I207" s="2323"/>
      <c r="J207" s="2323"/>
      <c r="K207" s="2323"/>
      <c r="L207" s="2323"/>
      <c r="M207" s="2323"/>
      <c r="N207" s="2323"/>
      <c r="O207" s="2323"/>
      <c r="P207" s="2323"/>
      <c r="Q207" s="2323"/>
      <c r="R207" s="2323"/>
      <c r="S207" s="2323"/>
      <c r="T207" s="2383"/>
      <c r="U207" s="2383"/>
      <c r="V207" s="2323"/>
      <c r="W207" s="2323"/>
      <c r="X207" s="2323"/>
      <c r="Y207" s="2323"/>
      <c r="Z207" s="2566"/>
      <c r="AA207" s="2566"/>
      <c r="AB207" s="2566"/>
      <c r="AC207" s="2566"/>
      <c r="AD207" s="2323"/>
      <c r="AE207" s="2323"/>
      <c r="AF207" s="2323"/>
      <c r="AG207" s="2323"/>
      <c r="AH207" s="2323"/>
      <c r="AI207" s="2323"/>
      <c r="AJ207" s="2323"/>
      <c r="AK207" s="2898"/>
      <c r="AL207" s="2895">
        <f t="shared" si="6"/>
        <v>0</v>
      </c>
      <c r="AM207" s="2896" t="str">
        <f t="shared" si="7"/>
        <v/>
      </c>
    </row>
    <row r="208" spans="1:114" hidden="1" outlineLevel="1">
      <c r="A208" s="2566"/>
      <c r="B208" s="3210"/>
      <c r="C208" s="3208"/>
      <c r="D208" s="3208"/>
      <c r="E208" s="3210"/>
      <c r="F208" s="3767" t="s">
        <v>3863</v>
      </c>
      <c r="G208" s="3769"/>
      <c r="H208" s="2323"/>
      <c r="I208" s="2323"/>
      <c r="J208" s="2323"/>
      <c r="K208" s="2323"/>
      <c r="L208" s="2323"/>
      <c r="M208" s="2323"/>
      <c r="N208" s="2323"/>
      <c r="O208" s="2323"/>
      <c r="P208" s="2323"/>
      <c r="Q208" s="2323"/>
      <c r="R208" s="2323"/>
      <c r="S208" s="2323"/>
      <c r="T208" s="2383"/>
      <c r="U208" s="2383"/>
      <c r="V208" s="2323"/>
      <c r="W208" s="2323"/>
      <c r="X208" s="2323"/>
      <c r="Y208" s="2323"/>
      <c r="Z208" s="2566"/>
      <c r="AA208" s="2566"/>
      <c r="AB208" s="2566"/>
      <c r="AC208" s="2566"/>
      <c r="AD208" s="2323"/>
      <c r="AE208" s="2323"/>
      <c r="AF208" s="2323"/>
      <c r="AG208" s="2323"/>
      <c r="AH208" s="2323"/>
      <c r="AI208" s="2323"/>
      <c r="AJ208" s="2323"/>
      <c r="AK208" s="2898"/>
      <c r="AL208" s="2895">
        <f t="shared" si="6"/>
        <v>0</v>
      </c>
      <c r="AM208" s="2896" t="str">
        <f t="shared" si="7"/>
        <v/>
      </c>
    </row>
    <row r="209" spans="1:39" hidden="1" outlineLevel="1">
      <c r="A209" s="2566"/>
      <c r="B209" s="3210"/>
      <c r="C209" s="3208"/>
      <c r="D209" s="3208"/>
      <c r="E209" s="3210"/>
      <c r="F209" s="3767" t="s">
        <v>3864</v>
      </c>
      <c r="G209" s="3769"/>
      <c r="H209" s="2323"/>
      <c r="I209" s="2323"/>
      <c r="J209" s="2323"/>
      <c r="K209" s="2323"/>
      <c r="L209" s="2323"/>
      <c r="M209" s="2323"/>
      <c r="N209" s="2323"/>
      <c r="O209" s="2323"/>
      <c r="P209" s="2323"/>
      <c r="Q209" s="2323"/>
      <c r="R209" s="2323"/>
      <c r="S209" s="2323"/>
      <c r="T209" s="2383"/>
      <c r="U209" s="2383"/>
      <c r="V209" s="2323"/>
      <c r="W209" s="2323"/>
      <c r="X209" s="2323"/>
      <c r="Y209" s="2323"/>
      <c r="Z209" s="2566"/>
      <c r="AA209" s="2566"/>
      <c r="AB209" s="2566"/>
      <c r="AC209" s="2566"/>
      <c r="AD209" s="2323"/>
      <c r="AE209" s="2323"/>
      <c r="AF209" s="2323"/>
      <c r="AG209" s="2323"/>
      <c r="AH209" s="2323"/>
      <c r="AI209" s="2323"/>
      <c r="AJ209" s="2323"/>
      <c r="AK209" s="2898"/>
      <c r="AL209" s="2895">
        <f t="shared" si="6"/>
        <v>0</v>
      </c>
      <c r="AM209" s="2896" t="str">
        <f t="shared" si="7"/>
        <v/>
      </c>
    </row>
    <row r="210" spans="1:39" hidden="1" outlineLevel="1">
      <c r="A210" s="2566"/>
      <c r="B210" s="3210"/>
      <c r="C210" s="3208"/>
      <c r="D210" s="3208"/>
      <c r="E210" s="3210"/>
      <c r="F210" s="3767" t="s">
        <v>3865</v>
      </c>
      <c r="G210" s="3769"/>
      <c r="H210" s="3698"/>
      <c r="I210" s="3698"/>
      <c r="J210" s="3698"/>
      <c r="K210" s="3698"/>
      <c r="L210" s="3698"/>
      <c r="M210" s="3698"/>
      <c r="N210" s="3698"/>
      <c r="O210" s="3698"/>
      <c r="P210" s="3698"/>
      <c r="Q210" s="3698"/>
      <c r="R210" s="3698"/>
      <c r="S210" s="3698"/>
      <c r="T210" s="2383"/>
      <c r="U210" s="2383"/>
      <c r="V210" s="2323"/>
      <c r="W210" s="2323"/>
      <c r="X210" s="2323"/>
      <c r="Y210" s="2323"/>
      <c r="Z210" s="2566"/>
      <c r="AA210" s="2566"/>
      <c r="AB210" s="2566"/>
      <c r="AC210" s="2566"/>
      <c r="AD210" s="2323"/>
      <c r="AE210" s="2323"/>
      <c r="AF210" s="2323"/>
      <c r="AG210" s="2323"/>
      <c r="AH210" s="2323"/>
      <c r="AI210" s="2323"/>
      <c r="AJ210" s="2323"/>
      <c r="AK210" s="2898"/>
      <c r="AL210" s="2895">
        <f t="shared" si="6"/>
        <v>0</v>
      </c>
      <c r="AM210" s="2896" t="str">
        <f t="shared" si="7"/>
        <v/>
      </c>
    </row>
    <row r="211" spans="1:39" hidden="1" outlineLevel="1">
      <c r="A211" s="2566"/>
      <c r="B211" s="3210"/>
      <c r="C211" s="3208"/>
      <c r="D211" s="3208"/>
      <c r="E211" s="3210" t="s">
        <v>3910</v>
      </c>
      <c r="F211" s="3767" t="s">
        <v>3860</v>
      </c>
      <c r="G211" s="3769"/>
      <c r="H211" s="3696"/>
      <c r="I211" s="3696"/>
      <c r="J211" s="3696"/>
      <c r="K211" s="3696"/>
      <c r="L211" s="3696"/>
      <c r="M211" s="3696"/>
      <c r="N211" s="3696"/>
      <c r="O211" s="3697"/>
      <c r="P211" s="3697"/>
      <c r="Q211" s="3697"/>
      <c r="R211" s="3697"/>
      <c r="S211" s="3697"/>
      <c r="T211" s="2383"/>
      <c r="U211" s="2383"/>
      <c r="V211" s="2323"/>
      <c r="W211" s="2323"/>
      <c r="X211" s="2323"/>
      <c r="Y211" s="2323"/>
      <c r="Z211" s="2566"/>
      <c r="AA211" s="2566"/>
      <c r="AB211" s="2566"/>
      <c r="AC211" s="2566"/>
      <c r="AD211" s="2323"/>
      <c r="AE211" s="2323"/>
      <c r="AF211" s="2323"/>
      <c r="AG211" s="2323"/>
      <c r="AH211" s="2323"/>
      <c r="AI211" s="2323"/>
      <c r="AJ211" s="2323"/>
      <c r="AK211" s="2898"/>
      <c r="AL211" s="2895">
        <f t="shared" si="6"/>
        <v>0</v>
      </c>
      <c r="AM211" s="2896" t="str">
        <f t="shared" si="7"/>
        <v/>
      </c>
    </row>
    <row r="212" spans="1:39" hidden="1" outlineLevel="1">
      <c r="A212" s="2566"/>
      <c r="B212" s="3210"/>
      <c r="C212" s="3208"/>
      <c r="D212" s="3208"/>
      <c r="E212" s="3210"/>
      <c r="F212" s="3767" t="s">
        <v>3861</v>
      </c>
      <c r="G212" s="3769"/>
      <c r="H212" s="2967"/>
      <c r="I212" s="2967"/>
      <c r="J212" s="2967"/>
      <c r="K212" s="2967"/>
      <c r="L212" s="2967"/>
      <c r="M212" s="2967"/>
      <c r="N212" s="2967"/>
      <c r="O212" s="2967"/>
      <c r="P212" s="2967"/>
      <c r="Q212" s="2967"/>
      <c r="R212" s="2967"/>
      <c r="S212" s="2967"/>
      <c r="T212" s="2383"/>
      <c r="U212" s="2383"/>
      <c r="V212" s="2323"/>
      <c r="W212" s="2323"/>
      <c r="X212" s="2323"/>
      <c r="Y212" s="2323"/>
      <c r="Z212" s="2566"/>
      <c r="AA212" s="2566"/>
      <c r="AB212" s="2566"/>
      <c r="AC212" s="2566"/>
      <c r="AD212" s="2323"/>
      <c r="AE212" s="2323"/>
      <c r="AF212" s="2323"/>
      <c r="AG212" s="2323"/>
      <c r="AH212" s="2323"/>
      <c r="AI212" s="2323"/>
      <c r="AJ212" s="2323"/>
      <c r="AK212" s="2898"/>
      <c r="AL212" s="2895">
        <f t="shared" si="6"/>
        <v>0</v>
      </c>
      <c r="AM212" s="2896" t="str">
        <f t="shared" si="7"/>
        <v/>
      </c>
    </row>
    <row r="213" spans="1:39" hidden="1" outlineLevel="1">
      <c r="A213" s="2566"/>
      <c r="B213" s="3210"/>
      <c r="C213" s="3208"/>
      <c r="D213" s="3208"/>
      <c r="E213" s="3210"/>
      <c r="F213" s="3767" t="s">
        <v>3862</v>
      </c>
      <c r="G213" s="3769"/>
      <c r="H213" s="2323"/>
      <c r="I213" s="2323"/>
      <c r="J213" s="2323"/>
      <c r="K213" s="2323"/>
      <c r="L213" s="2323"/>
      <c r="M213" s="2323"/>
      <c r="N213" s="2323"/>
      <c r="O213" s="2323"/>
      <c r="P213" s="2323"/>
      <c r="Q213" s="2323"/>
      <c r="R213" s="2323"/>
      <c r="S213" s="2323"/>
      <c r="T213" s="2383"/>
      <c r="U213" s="2383"/>
      <c r="V213" s="2323"/>
      <c r="W213" s="2323"/>
      <c r="X213" s="2323"/>
      <c r="Y213" s="2323"/>
      <c r="Z213" s="2566"/>
      <c r="AA213" s="2566"/>
      <c r="AB213" s="2566"/>
      <c r="AC213" s="2566"/>
      <c r="AD213" s="2323"/>
      <c r="AE213" s="2323"/>
      <c r="AF213" s="2323"/>
      <c r="AG213" s="2323"/>
      <c r="AH213" s="2323"/>
      <c r="AI213" s="2323"/>
      <c r="AJ213" s="2323"/>
      <c r="AK213" s="2898"/>
      <c r="AL213" s="2895">
        <f t="shared" si="6"/>
        <v>0</v>
      </c>
      <c r="AM213" s="2896" t="str">
        <f t="shared" si="7"/>
        <v/>
      </c>
    </row>
    <row r="214" spans="1:39" hidden="1" outlineLevel="1">
      <c r="A214" s="2566"/>
      <c r="B214" s="3210"/>
      <c r="C214" s="3208"/>
      <c r="D214" s="3208"/>
      <c r="E214" s="3210"/>
      <c r="F214" s="3767" t="s">
        <v>3863</v>
      </c>
      <c r="G214" s="3769"/>
      <c r="H214" s="2323"/>
      <c r="I214" s="2323"/>
      <c r="J214" s="2323"/>
      <c r="K214" s="2323"/>
      <c r="L214" s="2323"/>
      <c r="M214" s="2323"/>
      <c r="N214" s="2323"/>
      <c r="O214" s="2323"/>
      <c r="P214" s="2323"/>
      <c r="Q214" s="2323"/>
      <c r="R214" s="2323"/>
      <c r="S214" s="2323"/>
      <c r="T214" s="2383"/>
      <c r="U214" s="2383"/>
      <c r="V214" s="2323"/>
      <c r="W214" s="2323"/>
      <c r="X214" s="2323"/>
      <c r="Y214" s="2323"/>
      <c r="Z214" s="2566"/>
      <c r="AA214" s="2566"/>
      <c r="AB214" s="2566"/>
      <c r="AC214" s="2566"/>
      <c r="AD214" s="2323"/>
      <c r="AE214" s="2323"/>
      <c r="AF214" s="2323"/>
      <c r="AG214" s="2323"/>
      <c r="AH214" s="2323"/>
      <c r="AI214" s="2323"/>
      <c r="AJ214" s="2323"/>
      <c r="AK214" s="2898"/>
      <c r="AL214" s="2895">
        <f t="shared" si="6"/>
        <v>0</v>
      </c>
      <c r="AM214" s="2896" t="str">
        <f t="shared" si="7"/>
        <v/>
      </c>
    </row>
    <row r="215" spans="1:39" hidden="1" outlineLevel="1">
      <c r="A215" s="2566"/>
      <c r="B215" s="3210"/>
      <c r="C215" s="3208"/>
      <c r="D215" s="3208"/>
      <c r="E215" s="3210"/>
      <c r="F215" s="3767" t="s">
        <v>3864</v>
      </c>
      <c r="G215" s="3769"/>
      <c r="H215" s="2323"/>
      <c r="I215" s="2323"/>
      <c r="J215" s="2323"/>
      <c r="K215" s="2323"/>
      <c r="L215" s="2323"/>
      <c r="M215" s="2323"/>
      <c r="N215" s="2323"/>
      <c r="O215" s="2323"/>
      <c r="P215" s="2323"/>
      <c r="Q215" s="2323"/>
      <c r="R215" s="2323"/>
      <c r="S215" s="2323"/>
      <c r="T215" s="2383"/>
      <c r="U215" s="2383"/>
      <c r="V215" s="2323"/>
      <c r="W215" s="2323"/>
      <c r="X215" s="2323"/>
      <c r="Y215" s="2323"/>
      <c r="Z215" s="2566"/>
      <c r="AA215" s="2566"/>
      <c r="AB215" s="2566"/>
      <c r="AC215" s="2566"/>
      <c r="AD215" s="2323"/>
      <c r="AE215" s="2323"/>
      <c r="AF215" s="2323"/>
      <c r="AG215" s="2323"/>
      <c r="AH215" s="2323"/>
      <c r="AI215" s="2323"/>
      <c r="AJ215" s="2323"/>
      <c r="AK215" s="2898"/>
      <c r="AL215" s="2895">
        <f t="shared" si="6"/>
        <v>0</v>
      </c>
      <c r="AM215" s="2896" t="str">
        <f t="shared" si="7"/>
        <v/>
      </c>
    </row>
    <row r="216" spans="1:39" hidden="1" outlineLevel="1">
      <c r="A216" s="2566"/>
      <c r="B216" s="3210"/>
      <c r="C216" s="3208"/>
      <c r="D216" s="3208"/>
      <c r="E216" s="3210"/>
      <c r="F216" s="3767" t="s">
        <v>3865</v>
      </c>
      <c r="G216" s="3769"/>
      <c r="H216" s="2323"/>
      <c r="I216" s="2323"/>
      <c r="J216" s="2323"/>
      <c r="K216" s="2323"/>
      <c r="L216" s="2323"/>
      <c r="M216" s="2323"/>
      <c r="N216" s="2323"/>
      <c r="O216" s="2323"/>
      <c r="P216" s="2323"/>
      <c r="Q216" s="2323"/>
      <c r="R216" s="2323"/>
      <c r="S216" s="2323"/>
      <c r="T216" s="2383"/>
      <c r="U216" s="2383"/>
      <c r="V216" s="2323"/>
      <c r="W216" s="2323"/>
      <c r="X216" s="2323"/>
      <c r="Y216" s="2323"/>
      <c r="Z216" s="2566"/>
      <c r="AA216" s="2566"/>
      <c r="AB216" s="2566"/>
      <c r="AC216" s="2566"/>
      <c r="AD216" s="2323"/>
      <c r="AE216" s="2323"/>
      <c r="AF216" s="2323"/>
      <c r="AG216" s="2323"/>
      <c r="AH216" s="2323"/>
      <c r="AI216" s="2323"/>
      <c r="AJ216" s="2323"/>
      <c r="AK216" s="2898"/>
      <c r="AL216" s="2895">
        <f t="shared" si="6"/>
        <v>0</v>
      </c>
      <c r="AM216" s="2896" t="str">
        <f t="shared" si="7"/>
        <v/>
      </c>
    </row>
    <row r="217" spans="1:39" hidden="1" outlineLevel="1">
      <c r="A217" s="2566"/>
      <c r="B217" s="3210"/>
      <c r="C217" s="3208"/>
      <c r="D217" s="3208" t="s">
        <v>3911</v>
      </c>
      <c r="E217" s="3210" t="s">
        <v>3909</v>
      </c>
      <c r="F217" s="3767" t="s">
        <v>3860</v>
      </c>
      <c r="G217" s="3769"/>
      <c r="H217" s="2323"/>
      <c r="I217" s="2323"/>
      <c r="J217" s="2323"/>
      <c r="K217" s="2323"/>
      <c r="L217" s="2323"/>
      <c r="M217" s="2323"/>
      <c r="N217" s="2323"/>
      <c r="O217" s="2323"/>
      <c r="P217" s="2323"/>
      <c r="Q217" s="2323"/>
      <c r="R217" s="2323"/>
      <c r="S217" s="2323"/>
      <c r="T217" s="2383"/>
      <c r="U217" s="2383"/>
      <c r="V217" s="2323"/>
      <c r="W217" s="2323"/>
      <c r="X217" s="2323"/>
      <c r="Y217" s="2323"/>
      <c r="Z217" s="2566"/>
      <c r="AA217" s="2566"/>
      <c r="AB217" s="2566"/>
      <c r="AC217" s="2566"/>
      <c r="AD217" s="2323"/>
      <c r="AE217" s="2323"/>
      <c r="AF217" s="2323"/>
      <c r="AG217" s="2323"/>
      <c r="AH217" s="2323"/>
      <c r="AI217" s="2323"/>
      <c r="AJ217" s="2323"/>
      <c r="AK217" s="2898"/>
      <c r="AL217" s="2895">
        <f t="shared" si="6"/>
        <v>0</v>
      </c>
      <c r="AM217" s="2896" t="str">
        <f t="shared" si="7"/>
        <v/>
      </c>
    </row>
    <row r="218" spans="1:39" hidden="1" outlineLevel="1">
      <c r="A218" s="2566"/>
      <c r="B218" s="3210"/>
      <c r="C218" s="3208"/>
      <c r="D218" s="3208"/>
      <c r="E218" s="3210"/>
      <c r="F218" s="3767" t="s">
        <v>3861</v>
      </c>
      <c r="G218" s="3769"/>
      <c r="H218" s="2323"/>
      <c r="I218" s="2323"/>
      <c r="J218" s="2323"/>
      <c r="K218" s="2323"/>
      <c r="L218" s="2323"/>
      <c r="M218" s="2323"/>
      <c r="N218" s="2323"/>
      <c r="O218" s="2323"/>
      <c r="P218" s="2323"/>
      <c r="Q218" s="2323"/>
      <c r="R218" s="2323"/>
      <c r="S218" s="2323"/>
      <c r="T218" s="2383"/>
      <c r="U218" s="2383"/>
      <c r="V218" s="2323"/>
      <c r="W218" s="2323"/>
      <c r="X218" s="2323"/>
      <c r="Y218" s="2323"/>
      <c r="Z218" s="2566"/>
      <c r="AA218" s="2566"/>
      <c r="AB218" s="2566"/>
      <c r="AC218" s="2566"/>
      <c r="AD218" s="2323"/>
      <c r="AE218" s="2323"/>
      <c r="AF218" s="2323"/>
      <c r="AG218" s="2323"/>
      <c r="AH218" s="2323"/>
      <c r="AI218" s="2323"/>
      <c r="AJ218" s="2323"/>
      <c r="AK218" s="2898"/>
      <c r="AL218" s="2895">
        <f t="shared" si="6"/>
        <v>0</v>
      </c>
      <c r="AM218" s="2896" t="str">
        <f t="shared" si="7"/>
        <v/>
      </c>
    </row>
    <row r="219" spans="1:39" hidden="1" outlineLevel="1">
      <c r="A219" s="2566"/>
      <c r="B219" s="3210"/>
      <c r="C219" s="3208"/>
      <c r="D219" s="3208"/>
      <c r="E219" s="3210"/>
      <c r="F219" s="3767" t="s">
        <v>3862</v>
      </c>
      <c r="G219" s="3769"/>
      <c r="H219" s="2323"/>
      <c r="I219" s="2323"/>
      <c r="J219" s="2323"/>
      <c r="K219" s="2323"/>
      <c r="L219" s="2323"/>
      <c r="M219" s="2323"/>
      <c r="N219" s="2323"/>
      <c r="O219" s="2323"/>
      <c r="P219" s="2323"/>
      <c r="Q219" s="2323"/>
      <c r="R219" s="2323"/>
      <c r="S219" s="2323"/>
      <c r="T219" s="2383"/>
      <c r="U219" s="2383"/>
      <c r="V219" s="2343"/>
      <c r="W219" s="2343"/>
      <c r="X219" s="2343"/>
      <c r="Y219" s="2343"/>
      <c r="Z219" s="2566"/>
      <c r="AA219" s="2566"/>
      <c r="AB219" s="2566"/>
      <c r="AC219" s="2566"/>
      <c r="AD219" s="2323"/>
      <c r="AE219" s="2323"/>
      <c r="AF219" s="2323"/>
      <c r="AG219" s="2323"/>
      <c r="AH219" s="2323"/>
      <c r="AI219" s="2323"/>
      <c r="AJ219" s="2323"/>
      <c r="AK219" s="2898"/>
      <c r="AL219" s="2895">
        <f t="shared" si="6"/>
        <v>0</v>
      </c>
      <c r="AM219" s="2896" t="str">
        <f t="shared" si="7"/>
        <v/>
      </c>
    </row>
    <row r="220" spans="1:39" hidden="1" outlineLevel="1">
      <c r="A220" s="2566"/>
      <c r="B220" s="3210"/>
      <c r="C220" s="3208"/>
      <c r="D220" s="3208"/>
      <c r="E220" s="3210"/>
      <c r="F220" s="3767" t="s">
        <v>3863</v>
      </c>
      <c r="G220" s="3769"/>
      <c r="H220" s="2323"/>
      <c r="I220" s="2323"/>
      <c r="J220" s="2323"/>
      <c r="K220" s="2323"/>
      <c r="L220" s="2323"/>
      <c r="M220" s="2323"/>
      <c r="N220" s="2323"/>
      <c r="O220" s="2323"/>
      <c r="P220" s="2323"/>
      <c r="Q220" s="2323"/>
      <c r="R220" s="2323"/>
      <c r="S220" s="2323"/>
      <c r="T220" s="2383"/>
      <c r="U220" s="2383"/>
      <c r="V220" s="2323"/>
      <c r="W220" s="2323"/>
      <c r="X220" s="2323"/>
      <c r="Y220" s="2323"/>
      <c r="Z220" s="2566"/>
      <c r="AA220" s="2566"/>
      <c r="AB220" s="2566"/>
      <c r="AC220" s="2566"/>
      <c r="AD220" s="2323"/>
      <c r="AE220" s="2323"/>
      <c r="AF220" s="2323"/>
      <c r="AG220" s="2323"/>
      <c r="AH220" s="2323"/>
      <c r="AI220" s="2323"/>
      <c r="AJ220" s="2323"/>
      <c r="AK220" s="2898"/>
      <c r="AL220" s="2895">
        <f t="shared" si="6"/>
        <v>0</v>
      </c>
      <c r="AM220" s="2896" t="str">
        <f t="shared" si="7"/>
        <v/>
      </c>
    </row>
    <row r="221" spans="1:39" hidden="1" outlineLevel="1">
      <c r="A221" s="2566"/>
      <c r="B221" s="3210"/>
      <c r="C221" s="3208"/>
      <c r="D221" s="3208"/>
      <c r="E221" s="3210"/>
      <c r="F221" s="3767" t="s">
        <v>3864</v>
      </c>
      <c r="G221" s="3769"/>
      <c r="H221" s="2323"/>
      <c r="I221" s="2323"/>
      <c r="J221" s="2323"/>
      <c r="K221" s="2323"/>
      <c r="L221" s="2323"/>
      <c r="M221" s="2323"/>
      <c r="N221" s="2323"/>
      <c r="O221" s="2323"/>
      <c r="P221" s="2323"/>
      <c r="Q221" s="2323"/>
      <c r="R221" s="2323"/>
      <c r="S221" s="2323"/>
      <c r="T221" s="2383"/>
      <c r="U221" s="2383"/>
      <c r="V221" s="2323"/>
      <c r="W221" s="2323"/>
      <c r="X221" s="2323"/>
      <c r="Y221" s="2323"/>
      <c r="Z221" s="2566"/>
      <c r="AA221" s="2566"/>
      <c r="AB221" s="2566"/>
      <c r="AC221" s="2566"/>
      <c r="AD221" s="2323"/>
      <c r="AE221" s="2323"/>
      <c r="AF221" s="2323"/>
      <c r="AG221" s="2323"/>
      <c r="AH221" s="2323"/>
      <c r="AI221" s="2323"/>
      <c r="AJ221" s="2323"/>
      <c r="AK221" s="2898"/>
      <c r="AL221" s="2895">
        <f t="shared" si="6"/>
        <v>0</v>
      </c>
      <c r="AM221" s="2896" t="str">
        <f t="shared" si="7"/>
        <v/>
      </c>
    </row>
    <row r="222" spans="1:39" hidden="1" outlineLevel="1">
      <c r="A222" s="2566"/>
      <c r="B222" s="3210"/>
      <c r="C222" s="3208"/>
      <c r="D222" s="3208"/>
      <c r="E222" s="3210"/>
      <c r="F222" s="3767" t="s">
        <v>3865</v>
      </c>
      <c r="G222" s="3769"/>
      <c r="H222" s="2323"/>
      <c r="I222" s="2323"/>
      <c r="J222" s="2323"/>
      <c r="K222" s="2323"/>
      <c r="L222" s="2323"/>
      <c r="M222" s="2323"/>
      <c r="N222" s="2323"/>
      <c r="O222" s="2323"/>
      <c r="P222" s="2323"/>
      <c r="Q222" s="2323"/>
      <c r="R222" s="2323"/>
      <c r="S222" s="2323"/>
      <c r="T222" s="2383"/>
      <c r="U222" s="2383"/>
      <c r="V222" s="2323"/>
      <c r="W222" s="2323"/>
      <c r="X222" s="2323"/>
      <c r="Y222" s="2323"/>
      <c r="Z222" s="2566"/>
      <c r="AA222" s="2566"/>
      <c r="AB222" s="2566"/>
      <c r="AC222" s="2566"/>
      <c r="AD222" s="2323"/>
      <c r="AE222" s="2323"/>
      <c r="AF222" s="2323"/>
      <c r="AG222" s="2323"/>
      <c r="AH222" s="2323"/>
      <c r="AI222" s="2323"/>
      <c r="AJ222" s="2323"/>
      <c r="AK222" s="2898"/>
      <c r="AL222" s="2895">
        <f t="shared" si="6"/>
        <v>0</v>
      </c>
      <c r="AM222" s="2896" t="str">
        <f t="shared" si="7"/>
        <v/>
      </c>
    </row>
    <row r="223" spans="1:39" hidden="1" outlineLevel="1">
      <c r="A223" s="2566"/>
      <c r="B223" s="3210"/>
      <c r="C223" s="3208"/>
      <c r="D223" s="3208"/>
      <c r="E223" s="3210" t="s">
        <v>3910</v>
      </c>
      <c r="F223" s="3767" t="s">
        <v>3860</v>
      </c>
      <c r="G223" s="3770"/>
      <c r="H223" s="2323"/>
      <c r="I223" s="2323"/>
      <c r="J223" s="2323"/>
      <c r="K223" s="2323"/>
      <c r="L223" s="2323"/>
      <c r="M223" s="2323"/>
      <c r="N223" s="2323"/>
      <c r="O223" s="2323"/>
      <c r="P223" s="2323"/>
      <c r="Q223" s="2323"/>
      <c r="R223" s="2323"/>
      <c r="S223" s="2323"/>
      <c r="T223" s="2323"/>
      <c r="U223" s="2383"/>
      <c r="V223" s="2323"/>
      <c r="W223" s="2323"/>
      <c r="X223" s="2323"/>
      <c r="Y223" s="2323"/>
      <c r="Z223" s="2566"/>
      <c r="AA223" s="2566"/>
      <c r="AB223" s="2566"/>
      <c r="AC223" s="2566"/>
      <c r="AD223" s="2323"/>
      <c r="AE223" s="2323"/>
      <c r="AF223" s="2323"/>
      <c r="AG223" s="2323"/>
      <c r="AH223" s="2323"/>
      <c r="AI223" s="2323"/>
      <c r="AJ223" s="2323"/>
      <c r="AK223" s="2898"/>
      <c r="AL223" s="2895">
        <f t="shared" si="6"/>
        <v>0</v>
      </c>
      <c r="AM223" s="2896" t="str">
        <f t="shared" si="7"/>
        <v/>
      </c>
    </row>
    <row r="224" spans="1:39" hidden="1" outlineLevel="1">
      <c r="A224" s="2566"/>
      <c r="B224" s="3210"/>
      <c r="C224" s="3208"/>
      <c r="D224" s="3208"/>
      <c r="E224" s="3210"/>
      <c r="F224" s="3767" t="s">
        <v>3861</v>
      </c>
      <c r="G224" s="3770"/>
      <c r="H224" s="2323"/>
      <c r="I224" s="2323"/>
      <c r="J224" s="2323"/>
      <c r="K224" s="2323"/>
      <c r="L224" s="2323"/>
      <c r="M224" s="2323"/>
      <c r="N224" s="2323"/>
      <c r="O224" s="2323"/>
      <c r="P224" s="2323"/>
      <c r="Q224" s="2323"/>
      <c r="R224" s="2323"/>
      <c r="S224" s="2323"/>
      <c r="T224" s="2323"/>
      <c r="U224" s="2383"/>
      <c r="V224" s="2323"/>
      <c r="W224" s="2323"/>
      <c r="X224" s="2323"/>
      <c r="Y224" s="2323"/>
      <c r="Z224" s="2566"/>
      <c r="AA224" s="2566"/>
      <c r="AB224" s="2566"/>
      <c r="AC224" s="2566"/>
      <c r="AD224" s="2323"/>
      <c r="AE224" s="2323"/>
      <c r="AF224" s="2323"/>
      <c r="AG224" s="2323"/>
      <c r="AH224" s="2323"/>
      <c r="AI224" s="2323"/>
      <c r="AJ224" s="2323"/>
      <c r="AK224" s="2898"/>
      <c r="AL224" s="2895">
        <f t="shared" si="6"/>
        <v>0</v>
      </c>
      <c r="AM224" s="2896" t="str">
        <f t="shared" si="7"/>
        <v/>
      </c>
    </row>
    <row r="225" spans="1:39" hidden="1" outlineLevel="1">
      <c r="A225" s="2566"/>
      <c r="B225" s="3210"/>
      <c r="C225" s="3208"/>
      <c r="D225" s="3208"/>
      <c r="E225" s="3210"/>
      <c r="F225" s="3767" t="s">
        <v>3862</v>
      </c>
      <c r="G225" s="3771"/>
      <c r="H225" s="2323"/>
      <c r="I225" s="2323"/>
      <c r="J225" s="2323"/>
      <c r="K225" s="2323"/>
      <c r="L225" s="2323"/>
      <c r="M225" s="2323"/>
      <c r="N225" s="2323"/>
      <c r="O225" s="2323"/>
      <c r="P225" s="2323"/>
      <c r="Q225" s="2323"/>
      <c r="R225" s="2323"/>
      <c r="S225" s="2323"/>
      <c r="T225" s="2323"/>
      <c r="U225" s="2383"/>
      <c r="V225" s="2323"/>
      <c r="W225" s="2323"/>
      <c r="X225" s="2323"/>
      <c r="Y225" s="2323"/>
      <c r="Z225" s="2566"/>
      <c r="AA225" s="2566"/>
      <c r="AB225" s="2566"/>
      <c r="AC225" s="2566"/>
      <c r="AD225" s="2323"/>
      <c r="AE225" s="2323"/>
      <c r="AF225" s="2323"/>
      <c r="AG225" s="2323"/>
      <c r="AH225" s="2323"/>
      <c r="AI225" s="2323"/>
      <c r="AJ225" s="2323"/>
      <c r="AK225" s="2898"/>
      <c r="AL225" s="2895">
        <f t="shared" si="6"/>
        <v>0</v>
      </c>
      <c r="AM225" s="2896" t="str">
        <f t="shared" si="7"/>
        <v/>
      </c>
    </row>
    <row r="226" spans="1:39" hidden="1" outlineLevel="1">
      <c r="A226" s="2566"/>
      <c r="B226" s="3210"/>
      <c r="C226" s="3208"/>
      <c r="D226" s="3208"/>
      <c r="E226" s="3210"/>
      <c r="F226" s="3767" t="s">
        <v>3863</v>
      </c>
      <c r="G226" s="3701"/>
      <c r="H226" s="2323"/>
      <c r="I226" s="2323"/>
      <c r="J226" s="2323"/>
      <c r="K226" s="2323"/>
      <c r="L226" s="2323"/>
      <c r="M226" s="2323"/>
      <c r="N226" s="2323"/>
      <c r="O226" s="2323"/>
      <c r="P226" s="2323"/>
      <c r="Q226" s="2323"/>
      <c r="R226" s="2323"/>
      <c r="S226" s="2323"/>
      <c r="T226" s="2323"/>
      <c r="U226" s="2383"/>
      <c r="V226" s="2323"/>
      <c r="W226" s="2323"/>
      <c r="X226" s="2323"/>
      <c r="Y226" s="2323"/>
      <c r="Z226" s="2566"/>
      <c r="AA226" s="2566"/>
      <c r="AB226" s="2566"/>
      <c r="AC226" s="2566"/>
      <c r="AD226" s="2323"/>
      <c r="AE226" s="2323"/>
      <c r="AF226" s="2323"/>
      <c r="AG226" s="2323"/>
      <c r="AH226" s="2323"/>
      <c r="AI226" s="2323"/>
      <c r="AJ226" s="2323"/>
      <c r="AK226" s="2898"/>
      <c r="AL226" s="2895">
        <f t="shared" si="6"/>
        <v>0</v>
      </c>
      <c r="AM226" s="2896" t="str">
        <f t="shared" si="7"/>
        <v/>
      </c>
    </row>
    <row r="227" spans="1:39" hidden="1" outlineLevel="1">
      <c r="A227" s="2566"/>
      <c r="B227" s="3210"/>
      <c r="C227" s="3208"/>
      <c r="D227" s="3208"/>
      <c r="E227" s="3210"/>
      <c r="F227" s="3767" t="s">
        <v>3864</v>
      </c>
      <c r="G227" s="3770"/>
      <c r="H227" s="2323"/>
      <c r="I227" s="2323"/>
      <c r="J227" s="2323"/>
      <c r="K227" s="2323"/>
      <c r="L227" s="2323"/>
      <c r="M227" s="2323"/>
      <c r="N227" s="2323"/>
      <c r="O227" s="2323"/>
      <c r="P227" s="2323"/>
      <c r="Q227" s="2323"/>
      <c r="R227" s="2323"/>
      <c r="S227" s="2323"/>
      <c r="T227" s="2323"/>
      <c r="U227" s="2383"/>
      <c r="V227" s="2323"/>
      <c r="W227" s="2323"/>
      <c r="X227" s="2323"/>
      <c r="Y227" s="2323"/>
      <c r="Z227" s="2566"/>
      <c r="AA227" s="2566"/>
      <c r="AB227" s="2566"/>
      <c r="AC227" s="2566"/>
      <c r="AD227" s="2323"/>
      <c r="AE227" s="2323"/>
      <c r="AF227" s="2323"/>
      <c r="AG227" s="2323"/>
      <c r="AH227" s="2323"/>
      <c r="AI227" s="2323"/>
      <c r="AJ227" s="2323"/>
      <c r="AK227" s="2898"/>
      <c r="AL227" s="2895">
        <f t="shared" si="6"/>
        <v>0</v>
      </c>
      <c r="AM227" s="2896" t="str">
        <f t="shared" si="7"/>
        <v/>
      </c>
    </row>
    <row r="228" spans="1:39" ht="15.75" hidden="1" outlineLevel="1" thickBot="1">
      <c r="A228" s="2566"/>
      <c r="B228" s="3210"/>
      <c r="C228" s="3208"/>
      <c r="D228" s="3208"/>
      <c r="E228" s="3210"/>
      <c r="F228" s="3767" t="s">
        <v>3865</v>
      </c>
      <c r="G228" s="3771"/>
      <c r="H228" s="2323"/>
      <c r="I228" s="2323"/>
      <c r="J228" s="2323"/>
      <c r="K228" s="2323"/>
      <c r="L228" s="2323"/>
      <c r="M228" s="2323"/>
      <c r="N228" s="2323"/>
      <c r="O228" s="2323"/>
      <c r="P228" s="2323"/>
      <c r="Q228" s="2323"/>
      <c r="R228" s="2323"/>
      <c r="S228" s="2323"/>
      <c r="T228" s="2323"/>
      <c r="U228" s="2383"/>
      <c r="V228" s="2323"/>
      <c r="W228" s="2323"/>
      <c r="X228" s="2323"/>
      <c r="Y228" s="2323"/>
      <c r="Z228" s="2566"/>
      <c r="AA228" s="2566"/>
      <c r="AB228" s="2566"/>
      <c r="AC228" s="2566"/>
      <c r="AD228" s="2323"/>
      <c r="AE228" s="2323"/>
      <c r="AF228" s="2323"/>
      <c r="AG228" s="2323"/>
      <c r="AH228" s="2323"/>
      <c r="AI228" s="2323"/>
      <c r="AJ228" s="2323"/>
      <c r="AK228" s="2898"/>
      <c r="AL228" s="2895">
        <f t="shared" si="6"/>
        <v>0</v>
      </c>
      <c r="AM228" s="2896" t="str">
        <f t="shared" si="7"/>
        <v/>
      </c>
    </row>
    <row r="229" spans="1:39" collapsed="1">
      <c r="A229" s="2345"/>
      <c r="B229" s="2345"/>
      <c r="C229" s="2345"/>
      <c r="D229" s="2356"/>
      <c r="E229" s="2330"/>
      <c r="F229" s="2357"/>
      <c r="G229" s="2355"/>
      <c r="H229" s="2345"/>
      <c r="I229" s="2345"/>
      <c r="J229" s="2345"/>
      <c r="K229" s="2345"/>
      <c r="L229" s="2345"/>
      <c r="M229" s="2345"/>
      <c r="N229" s="2345"/>
      <c r="O229" s="2345"/>
      <c r="P229" s="2345"/>
      <c r="Q229" s="2345"/>
      <c r="R229" s="2345"/>
      <c r="S229" s="2345"/>
      <c r="T229" s="2345"/>
      <c r="U229" s="2345"/>
      <c r="V229" s="2345"/>
      <c r="W229" s="2345"/>
      <c r="X229" s="2345"/>
      <c r="Y229" s="2345"/>
      <c r="Z229" s="2345"/>
      <c r="AA229" s="2345"/>
      <c r="AB229" s="2345"/>
      <c r="AC229" s="2345"/>
      <c r="AD229" s="2345"/>
      <c r="AE229" s="2345"/>
      <c r="AF229" s="2345"/>
      <c r="AG229" s="2345"/>
      <c r="AH229" s="2345"/>
      <c r="AI229" s="2345"/>
      <c r="AJ229" s="2345"/>
      <c r="AK229" s="2345"/>
      <c r="AL229" s="2345"/>
      <c r="AM229" s="2345"/>
    </row>
    <row r="230" spans="1:39" ht="15.75" thickBot="1">
      <c r="A230" s="2345"/>
      <c r="B230" s="2345"/>
      <c r="C230" s="2345"/>
      <c r="D230" s="2356"/>
      <c r="E230" s="2330"/>
      <c r="F230" s="2357"/>
      <c r="G230" s="2357"/>
      <c r="H230" s="2345"/>
      <c r="I230" s="2345"/>
      <c r="J230" s="2345"/>
      <c r="K230" s="2345"/>
      <c r="L230" s="2345"/>
      <c r="M230" s="2345"/>
      <c r="N230" s="2345"/>
      <c r="O230" s="2345"/>
      <c r="P230" s="2345"/>
      <c r="Q230" s="2345"/>
      <c r="R230" s="2345"/>
      <c r="S230" s="2345"/>
      <c r="T230" s="2345"/>
      <c r="U230" s="2345"/>
      <c r="V230" s="2345"/>
      <c r="W230" s="2345"/>
      <c r="X230" s="2345"/>
      <c r="Y230" s="2345"/>
      <c r="Z230" s="2345"/>
      <c r="AA230" s="2345"/>
      <c r="AB230" s="2345"/>
      <c r="AC230" s="2345"/>
      <c r="AD230" s="2345"/>
      <c r="AE230" s="2345"/>
      <c r="AF230" s="2345"/>
      <c r="AG230" s="2345"/>
      <c r="AH230" s="2345"/>
      <c r="AI230" s="2345"/>
      <c r="AJ230" s="2345"/>
      <c r="AK230" s="2345"/>
      <c r="AL230" s="2345"/>
      <c r="AM230" s="2345"/>
    </row>
    <row r="231" spans="1:39" ht="19.5" thickBot="1">
      <c r="A231" s="3217"/>
      <c r="B231" s="3217"/>
      <c r="C231" s="3217"/>
      <c r="D231" s="3217"/>
      <c r="E231" s="3217"/>
      <c r="F231" s="3217"/>
      <c r="G231" s="3646" t="s">
        <v>3916</v>
      </c>
      <c r="H231" s="3646"/>
      <c r="I231" s="3646"/>
      <c r="J231" s="3646"/>
      <c r="K231" s="3646"/>
      <c r="L231" s="3646"/>
      <c r="M231" s="3646"/>
      <c r="N231" s="3646"/>
      <c r="O231" s="3646"/>
      <c r="P231" s="3646"/>
      <c r="Q231" s="3646"/>
      <c r="R231" s="3646"/>
      <c r="S231" s="3646"/>
      <c r="T231" s="3646"/>
      <c r="U231" s="3647"/>
      <c r="V231" s="2502"/>
      <c r="W231" s="2502"/>
      <c r="X231" s="2502"/>
      <c r="Y231" s="2502"/>
      <c r="Z231" s="2345"/>
      <c r="AA231" s="2345"/>
      <c r="AB231" s="2345"/>
      <c r="AC231" s="2345"/>
      <c r="AD231" s="2345"/>
      <c r="AE231" s="2345"/>
      <c r="AF231" s="2345"/>
      <c r="AG231" s="2345"/>
      <c r="AH231" s="2345"/>
      <c r="AI231" s="2345"/>
      <c r="AJ231" s="2345"/>
      <c r="AK231" s="2345"/>
      <c r="AL231" s="2345"/>
      <c r="AM231" s="2345"/>
    </row>
    <row r="232" spans="1:39" ht="60">
      <c r="A232" s="3208" t="s">
        <v>0</v>
      </c>
      <c r="B232" s="3209" t="s">
        <v>3849</v>
      </c>
      <c r="C232" s="3209" t="s">
        <v>3904</v>
      </c>
      <c r="D232" s="3209" t="s">
        <v>3905</v>
      </c>
      <c r="E232" s="3209" t="s">
        <v>3906</v>
      </c>
      <c r="F232" s="3209" t="s">
        <v>3853</v>
      </c>
      <c r="G232" s="3215" t="s">
        <v>3854</v>
      </c>
      <c r="H232" s="3058" t="s">
        <v>3855</v>
      </c>
      <c r="I232" s="3059"/>
      <c r="J232" s="3059"/>
      <c r="K232" s="3059"/>
      <c r="L232" s="3060"/>
      <c r="M232" s="3058" t="s">
        <v>3856</v>
      </c>
      <c r="N232" s="3059"/>
      <c r="O232" s="3059"/>
      <c r="P232" s="3059"/>
      <c r="Q232" s="3060"/>
      <c r="R232" s="3058" t="s">
        <v>3870</v>
      </c>
      <c r="S232" s="3059"/>
      <c r="T232" s="3059"/>
      <c r="U232" s="3060"/>
      <c r="V232" s="3099" t="s">
        <v>3978</v>
      </c>
      <c r="W232" s="3100"/>
      <c r="X232" s="3100"/>
      <c r="Y232" s="3101"/>
      <c r="Z232" s="3093" t="s">
        <v>3858</v>
      </c>
      <c r="AA232" s="3093"/>
      <c r="AB232" s="3093"/>
      <c r="AC232" s="3093"/>
      <c r="AD232" s="3102" t="s">
        <v>3979</v>
      </c>
      <c r="AE232" s="3103"/>
      <c r="AF232" s="3103"/>
      <c r="AG232" s="3104"/>
      <c r="AH232" s="2779" t="s">
        <v>3980</v>
      </c>
      <c r="AI232" s="2500" t="s">
        <v>3974</v>
      </c>
      <c r="AJ232" s="2500" t="s">
        <v>3975</v>
      </c>
      <c r="AK232" s="2893" t="s">
        <v>4273</v>
      </c>
      <c r="AL232" s="2893" t="s">
        <v>4271</v>
      </c>
      <c r="AM232" s="2893" t="s">
        <v>4272</v>
      </c>
    </row>
    <row r="233" spans="1:39" ht="60.75" thickBot="1">
      <c r="A233" s="3208"/>
      <c r="B233" s="3209"/>
      <c r="C233" s="3209"/>
      <c r="D233" s="3209"/>
      <c r="E233" s="3209"/>
      <c r="F233" s="3209"/>
      <c r="G233" s="3215"/>
      <c r="H233" s="2982">
        <f>H125</f>
        <v>2015</v>
      </c>
      <c r="I233" s="2971">
        <f>I125</f>
        <v>2016</v>
      </c>
      <c r="J233" s="2971">
        <f>J125</f>
        <v>2017</v>
      </c>
      <c r="K233" s="2971" t="str">
        <f>K125</f>
        <v>План (в случае отсутствия факта за 3 года)</v>
      </c>
      <c r="L233" s="2508" t="str">
        <f>L125</f>
        <v>Всего</v>
      </c>
      <c r="M233" s="2971">
        <f>H233</f>
        <v>2015</v>
      </c>
      <c r="N233" s="2971">
        <f>I233</f>
        <v>2016</v>
      </c>
      <c r="O233" s="2971">
        <f>J233</f>
        <v>2017</v>
      </c>
      <c r="P233" s="2971" t="str">
        <f>P125</f>
        <v>План (в случае отсутствия факта за 3 года)</v>
      </c>
      <c r="Q233" s="2508" t="str">
        <f>Q125</f>
        <v>Всего</v>
      </c>
      <c r="R233" s="2971">
        <f>H233</f>
        <v>2015</v>
      </c>
      <c r="S233" s="2971">
        <f>I233</f>
        <v>2016</v>
      </c>
      <c r="T233" s="2380">
        <f>J233</f>
        <v>2017</v>
      </c>
      <c r="U233" s="2380" t="str">
        <f>U125</f>
        <v>План (в случае отсутствия факта за 3 года)</v>
      </c>
      <c r="V233" s="2496">
        <f>R233</f>
        <v>2015</v>
      </c>
      <c r="W233" s="2496">
        <f>S233</f>
        <v>2016</v>
      </c>
      <c r="X233" s="2496">
        <f>T233</f>
        <v>2017</v>
      </c>
      <c r="Y233" s="2496" t="str">
        <f>U233</f>
        <v>План (в случае отсутствия факта за 3 года)</v>
      </c>
      <c r="Z233" s="2884">
        <v>2016</v>
      </c>
      <c r="AA233" s="2884">
        <v>2017</v>
      </c>
      <c r="AB233" s="2884">
        <v>2018</v>
      </c>
      <c r="AC233" s="2884">
        <v>2019</v>
      </c>
      <c r="AD233" s="2503">
        <f>V233</f>
        <v>2015</v>
      </c>
      <c r="AE233" s="2503">
        <f>W233</f>
        <v>2016</v>
      </c>
      <c r="AF233" s="2503">
        <f>X233</f>
        <v>2017</v>
      </c>
      <c r="AG233" s="2503" t="str">
        <f>Y233</f>
        <v>План (в случае отсутствия факта за 3 года)</v>
      </c>
      <c r="AH233" s="2497" t="s">
        <v>3981</v>
      </c>
      <c r="AI233" s="2505" t="s">
        <v>3976</v>
      </c>
      <c r="AJ233" s="2505" t="s">
        <v>3977</v>
      </c>
      <c r="AK233" s="2889">
        <v>2018</v>
      </c>
      <c r="AL233" s="2890" t="s">
        <v>4265</v>
      </c>
      <c r="AM233" s="2889" t="s">
        <v>4265</v>
      </c>
    </row>
    <row r="234" spans="1:39" ht="15.75" hidden="1" outlineLevel="1" thickBot="1">
      <c r="A234" s="2978">
        <v>1</v>
      </c>
      <c r="B234" s="2978">
        <v>2</v>
      </c>
      <c r="C234" s="3208">
        <v>3</v>
      </c>
      <c r="D234" s="3208"/>
      <c r="E234" s="3208"/>
      <c r="F234" s="3208"/>
      <c r="G234" s="3725">
        <v>4</v>
      </c>
      <c r="H234" s="3656">
        <v>5</v>
      </c>
      <c r="I234" s="3657"/>
      <c r="J234" s="3657"/>
      <c r="K234" s="3658"/>
      <c r="L234" s="3659"/>
      <c r="M234" s="3656">
        <v>6</v>
      </c>
      <c r="N234" s="3657"/>
      <c r="O234" s="3657"/>
      <c r="P234" s="3658"/>
      <c r="Q234" s="3659"/>
      <c r="R234" s="3656">
        <v>7</v>
      </c>
      <c r="S234" s="3657"/>
      <c r="T234" s="3657"/>
      <c r="U234" s="3658"/>
      <c r="V234" s="3022">
        <v>8</v>
      </c>
      <c r="W234" s="3022"/>
      <c r="X234" s="3022"/>
      <c r="Y234" s="2884"/>
      <c r="Z234" s="3022">
        <v>9</v>
      </c>
      <c r="AA234" s="3022"/>
      <c r="AB234" s="3022"/>
      <c r="AC234" s="3022"/>
      <c r="AD234" s="3105">
        <v>10</v>
      </c>
      <c r="AE234" s="3106"/>
      <c r="AF234" s="3106"/>
      <c r="AG234" s="3107"/>
      <c r="AH234" s="2498">
        <v>11</v>
      </c>
      <c r="AI234" s="2498">
        <v>12</v>
      </c>
      <c r="AJ234" s="2499">
        <v>13</v>
      </c>
      <c r="AK234" s="2891">
        <v>10</v>
      </c>
      <c r="AL234" s="2892">
        <v>11</v>
      </c>
      <c r="AM234" s="2891">
        <v>12</v>
      </c>
    </row>
    <row r="235" spans="1:39" hidden="1" outlineLevel="1">
      <c r="A235" s="2566"/>
      <c r="B235" s="3210" t="s">
        <v>2952</v>
      </c>
      <c r="C235" s="3208" t="s">
        <v>3907</v>
      </c>
      <c r="D235" s="3208" t="s">
        <v>3908</v>
      </c>
      <c r="E235" s="3210" t="s">
        <v>3909</v>
      </c>
      <c r="F235" s="3767" t="s">
        <v>3860</v>
      </c>
      <c r="G235" s="3768"/>
      <c r="H235" s="2329"/>
      <c r="I235" s="2329"/>
      <c r="J235" s="2329"/>
      <c r="K235" s="2329"/>
      <c r="L235" s="2329"/>
      <c r="M235" s="2329"/>
      <c r="N235" s="2329"/>
      <c r="O235" s="2329"/>
      <c r="P235" s="2329"/>
      <c r="Q235" s="2329"/>
      <c r="R235" s="2329"/>
      <c r="S235" s="2329"/>
      <c r="T235" s="2382"/>
      <c r="U235" s="2382"/>
      <c r="V235" s="2319"/>
      <c r="W235" s="2319"/>
      <c r="X235" s="2319"/>
      <c r="Y235" s="2319"/>
      <c r="Z235" s="2501">
        <v>1.0528</v>
      </c>
      <c r="AA235" s="2436">
        <v>1.06395203770775</v>
      </c>
      <c r="AB235" s="2436">
        <v>1.05001869746847</v>
      </c>
      <c r="AC235" s="2438">
        <v>1.0469610363690101</v>
      </c>
      <c r="AD235" s="2323"/>
      <c r="AE235" s="2323"/>
      <c r="AF235" s="2323"/>
      <c r="AG235" s="2323"/>
      <c r="AH235" s="2323"/>
      <c r="AI235" s="2323"/>
      <c r="AJ235" s="2323"/>
      <c r="AK235" s="2898"/>
      <c r="AL235" s="2895">
        <f t="shared" ref="AL235:AL298" si="8">AK235*$AC$12</f>
        <v>0</v>
      </c>
      <c r="AM235" s="2896" t="str">
        <f t="shared" ref="AM235:AM298" si="9">IFERROR(AI235/AL235,"")</f>
        <v/>
      </c>
    </row>
    <row r="236" spans="1:39" hidden="1" outlineLevel="1">
      <c r="A236" s="2566"/>
      <c r="B236" s="3210"/>
      <c r="C236" s="3208"/>
      <c r="D236" s="3208"/>
      <c r="E236" s="3210"/>
      <c r="F236" s="3767" t="s">
        <v>3861</v>
      </c>
      <c r="G236" s="3769"/>
      <c r="H236" s="2323"/>
      <c r="I236" s="2323"/>
      <c r="J236" s="2323"/>
      <c r="K236" s="2323"/>
      <c r="L236" s="2323"/>
      <c r="M236" s="2323"/>
      <c r="N236" s="2323"/>
      <c r="O236" s="2323"/>
      <c r="P236" s="2323"/>
      <c r="Q236" s="2323"/>
      <c r="R236" s="2323"/>
      <c r="S236" s="2323"/>
      <c r="T236" s="2383"/>
      <c r="U236" s="2383"/>
      <c r="V236" s="2319"/>
      <c r="W236" s="2319"/>
      <c r="X236" s="2319"/>
      <c r="Y236" s="2319"/>
      <c r="Z236" s="2566"/>
      <c r="AA236" s="2566"/>
      <c r="AB236" s="2566"/>
      <c r="AC236" s="2566"/>
      <c r="AD236" s="2323"/>
      <c r="AE236" s="2323"/>
      <c r="AF236" s="2323"/>
      <c r="AG236" s="2323"/>
      <c r="AH236" s="2323"/>
      <c r="AI236" s="2323"/>
      <c r="AJ236" s="2323"/>
      <c r="AK236" s="2898"/>
      <c r="AL236" s="2895">
        <f t="shared" si="8"/>
        <v>0</v>
      </c>
      <c r="AM236" s="2896" t="str">
        <f t="shared" si="9"/>
        <v/>
      </c>
    </row>
    <row r="237" spans="1:39" hidden="1" outlineLevel="1">
      <c r="A237" s="2566"/>
      <c r="B237" s="3210"/>
      <c r="C237" s="3208"/>
      <c r="D237" s="3208"/>
      <c r="E237" s="3210"/>
      <c r="F237" s="3767" t="s">
        <v>3862</v>
      </c>
      <c r="G237" s="3769"/>
      <c r="H237" s="2323"/>
      <c r="I237" s="2323"/>
      <c r="J237" s="2323"/>
      <c r="K237" s="2323"/>
      <c r="L237" s="2323"/>
      <c r="M237" s="2323"/>
      <c r="N237" s="2323"/>
      <c r="O237" s="2323"/>
      <c r="P237" s="2323"/>
      <c r="Q237" s="2323"/>
      <c r="R237" s="2323"/>
      <c r="S237" s="2323"/>
      <c r="T237" s="2383"/>
      <c r="U237" s="2383"/>
      <c r="V237" s="2319"/>
      <c r="W237" s="2319"/>
      <c r="X237" s="2319"/>
      <c r="Y237" s="2319"/>
      <c r="Z237" s="2566"/>
      <c r="AA237" s="2566"/>
      <c r="AB237" s="2566"/>
      <c r="AC237" s="2566"/>
      <c r="AD237" s="2323"/>
      <c r="AE237" s="2323"/>
      <c r="AF237" s="2323"/>
      <c r="AG237" s="2323"/>
      <c r="AH237" s="2323"/>
      <c r="AI237" s="2323"/>
      <c r="AJ237" s="2323"/>
      <c r="AK237" s="2898"/>
      <c r="AL237" s="2895">
        <f t="shared" si="8"/>
        <v>0</v>
      </c>
      <c r="AM237" s="2896" t="str">
        <f t="shared" si="9"/>
        <v/>
      </c>
    </row>
    <row r="238" spans="1:39" hidden="1" outlineLevel="1">
      <c r="A238" s="2566"/>
      <c r="B238" s="3210"/>
      <c r="C238" s="3208"/>
      <c r="D238" s="3208"/>
      <c r="E238" s="3210"/>
      <c r="F238" s="3767" t="s">
        <v>3863</v>
      </c>
      <c r="G238" s="3769"/>
      <c r="H238" s="2323"/>
      <c r="I238" s="2323"/>
      <c r="J238" s="2323"/>
      <c r="K238" s="2323"/>
      <c r="L238" s="2323"/>
      <c r="M238" s="2323"/>
      <c r="N238" s="2323"/>
      <c r="O238" s="2323"/>
      <c r="P238" s="2323"/>
      <c r="Q238" s="2323"/>
      <c r="R238" s="2323"/>
      <c r="S238" s="2323"/>
      <c r="T238" s="2383"/>
      <c r="U238" s="2383"/>
      <c r="V238" s="2319"/>
      <c r="W238" s="2319"/>
      <c r="X238" s="2319"/>
      <c r="Y238" s="2319"/>
      <c r="Z238" s="2566"/>
      <c r="AA238" s="2566"/>
      <c r="AB238" s="2566"/>
      <c r="AC238" s="2566"/>
      <c r="AD238" s="2323"/>
      <c r="AE238" s="2323"/>
      <c r="AF238" s="2323"/>
      <c r="AG238" s="2323"/>
      <c r="AH238" s="2323"/>
      <c r="AI238" s="2323"/>
      <c r="AJ238" s="2323"/>
      <c r="AK238" s="2898"/>
      <c r="AL238" s="2895">
        <f t="shared" si="8"/>
        <v>0</v>
      </c>
      <c r="AM238" s="2896" t="str">
        <f t="shared" si="9"/>
        <v/>
      </c>
    </row>
    <row r="239" spans="1:39" hidden="1" outlineLevel="1">
      <c r="A239" s="2566"/>
      <c r="B239" s="3210"/>
      <c r="C239" s="3208"/>
      <c r="D239" s="3208"/>
      <c r="E239" s="3210"/>
      <c r="F239" s="3767" t="s">
        <v>3864</v>
      </c>
      <c r="G239" s="3769"/>
      <c r="H239" s="2323"/>
      <c r="I239" s="2323"/>
      <c r="J239" s="2323"/>
      <c r="K239" s="2323"/>
      <c r="L239" s="2323"/>
      <c r="M239" s="2323"/>
      <c r="N239" s="2323"/>
      <c r="O239" s="2323"/>
      <c r="P239" s="2323"/>
      <c r="Q239" s="2323"/>
      <c r="R239" s="2323"/>
      <c r="S239" s="2323"/>
      <c r="T239" s="2383"/>
      <c r="U239" s="2383"/>
      <c r="V239" s="2319"/>
      <c r="W239" s="2319"/>
      <c r="X239" s="2319"/>
      <c r="Y239" s="2319"/>
      <c r="Z239" s="2566"/>
      <c r="AA239" s="2566"/>
      <c r="AB239" s="2566"/>
      <c r="AC239" s="2566"/>
      <c r="AD239" s="2323"/>
      <c r="AE239" s="2323"/>
      <c r="AF239" s="2323"/>
      <c r="AG239" s="2323"/>
      <c r="AH239" s="2323"/>
      <c r="AI239" s="2323"/>
      <c r="AJ239" s="2323"/>
      <c r="AK239" s="2898"/>
      <c r="AL239" s="2895">
        <f t="shared" si="8"/>
        <v>0</v>
      </c>
      <c r="AM239" s="2896" t="str">
        <f t="shared" si="9"/>
        <v/>
      </c>
    </row>
    <row r="240" spans="1:39" hidden="1" outlineLevel="1">
      <c r="A240" s="2566"/>
      <c r="B240" s="3210"/>
      <c r="C240" s="3208"/>
      <c r="D240" s="3208"/>
      <c r="E240" s="3210"/>
      <c r="F240" s="3767" t="s">
        <v>3865</v>
      </c>
      <c r="G240" s="3769"/>
      <c r="H240" s="2323"/>
      <c r="I240" s="2323"/>
      <c r="J240" s="2323"/>
      <c r="K240" s="2323"/>
      <c r="L240" s="2323"/>
      <c r="M240" s="2323"/>
      <c r="N240" s="2323"/>
      <c r="O240" s="2323"/>
      <c r="P240" s="2323"/>
      <c r="Q240" s="2323"/>
      <c r="R240" s="2323"/>
      <c r="S240" s="2323"/>
      <c r="T240" s="2383"/>
      <c r="U240" s="2383"/>
      <c r="V240" s="2319"/>
      <c r="W240" s="2319"/>
      <c r="X240" s="2319"/>
      <c r="Y240" s="2319"/>
      <c r="Z240" s="2566"/>
      <c r="AA240" s="2566"/>
      <c r="AB240" s="2566"/>
      <c r="AC240" s="2566"/>
      <c r="AD240" s="2323"/>
      <c r="AE240" s="2323"/>
      <c r="AF240" s="2323"/>
      <c r="AG240" s="2323"/>
      <c r="AH240" s="2323"/>
      <c r="AI240" s="2323"/>
      <c r="AJ240" s="2323"/>
      <c r="AK240" s="2898"/>
      <c r="AL240" s="2895">
        <f t="shared" si="8"/>
        <v>0</v>
      </c>
      <c r="AM240" s="2896" t="str">
        <f t="shared" si="9"/>
        <v/>
      </c>
    </row>
    <row r="241" spans="1:39" hidden="1" outlineLevel="1">
      <c r="A241" s="2566"/>
      <c r="B241" s="3210"/>
      <c r="C241" s="3208"/>
      <c r="D241" s="3208"/>
      <c r="E241" s="3210" t="s">
        <v>3910</v>
      </c>
      <c r="F241" s="3767" t="s">
        <v>3860</v>
      </c>
      <c r="G241" s="3769"/>
      <c r="H241" s="2323"/>
      <c r="I241" s="2323"/>
      <c r="J241" s="2323"/>
      <c r="K241" s="2323"/>
      <c r="L241" s="2323"/>
      <c r="M241" s="2323"/>
      <c r="N241" s="2323"/>
      <c r="O241" s="2323"/>
      <c r="P241" s="2323"/>
      <c r="Q241" s="2323"/>
      <c r="R241" s="2323"/>
      <c r="S241" s="2323"/>
      <c r="T241" s="2383"/>
      <c r="U241" s="2383"/>
      <c r="V241" s="2319"/>
      <c r="W241" s="2319"/>
      <c r="X241" s="2319"/>
      <c r="Y241" s="2319"/>
      <c r="Z241" s="2566"/>
      <c r="AA241" s="2566"/>
      <c r="AB241" s="2566"/>
      <c r="AC241" s="2566"/>
      <c r="AD241" s="2323"/>
      <c r="AE241" s="2323"/>
      <c r="AF241" s="2323"/>
      <c r="AG241" s="2323"/>
      <c r="AH241" s="2323"/>
      <c r="AI241" s="2323"/>
      <c r="AJ241" s="2323"/>
      <c r="AK241" s="2898"/>
      <c r="AL241" s="2895">
        <f t="shared" si="8"/>
        <v>0</v>
      </c>
      <c r="AM241" s="2896" t="str">
        <f t="shared" si="9"/>
        <v/>
      </c>
    </row>
    <row r="242" spans="1:39" hidden="1" outlineLevel="1">
      <c r="A242" s="2566"/>
      <c r="B242" s="3210"/>
      <c r="C242" s="3208"/>
      <c r="D242" s="3208"/>
      <c r="E242" s="3210"/>
      <c r="F242" s="3767" t="s">
        <v>3861</v>
      </c>
      <c r="G242" s="3769"/>
      <c r="H242" s="2323"/>
      <c r="I242" s="2323"/>
      <c r="J242" s="2323"/>
      <c r="K242" s="2323"/>
      <c r="L242" s="2323"/>
      <c r="M242" s="2323"/>
      <c r="N242" s="2323"/>
      <c r="O242" s="2323"/>
      <c r="P242" s="2323"/>
      <c r="Q242" s="2323"/>
      <c r="R242" s="2323"/>
      <c r="S242" s="2323"/>
      <c r="T242" s="2383"/>
      <c r="U242" s="2383"/>
      <c r="V242" s="2319"/>
      <c r="W242" s="2319"/>
      <c r="X242" s="2319"/>
      <c r="Y242" s="2319"/>
      <c r="Z242" s="2566"/>
      <c r="AA242" s="2566"/>
      <c r="AB242" s="2566"/>
      <c r="AC242" s="2566"/>
      <c r="AD242" s="2323"/>
      <c r="AE242" s="2323"/>
      <c r="AF242" s="2323"/>
      <c r="AG242" s="2323"/>
      <c r="AH242" s="2323"/>
      <c r="AI242" s="2323"/>
      <c r="AJ242" s="2323"/>
      <c r="AK242" s="2898"/>
      <c r="AL242" s="2895">
        <f t="shared" si="8"/>
        <v>0</v>
      </c>
      <c r="AM242" s="2896" t="str">
        <f t="shared" si="9"/>
        <v/>
      </c>
    </row>
    <row r="243" spans="1:39" hidden="1" outlineLevel="1">
      <c r="A243" s="2566"/>
      <c r="B243" s="3210"/>
      <c r="C243" s="3208"/>
      <c r="D243" s="3208"/>
      <c r="E243" s="3210"/>
      <c r="F243" s="3767" t="s">
        <v>3862</v>
      </c>
      <c r="G243" s="3769"/>
      <c r="H243" s="2323"/>
      <c r="I243" s="2323"/>
      <c r="J243" s="2323"/>
      <c r="K243" s="2323"/>
      <c r="L243" s="2323"/>
      <c r="M243" s="2323"/>
      <c r="N243" s="2323"/>
      <c r="O243" s="2323"/>
      <c r="P243" s="2323"/>
      <c r="Q243" s="2323"/>
      <c r="R243" s="2323"/>
      <c r="S243" s="2323"/>
      <c r="T243" s="2383"/>
      <c r="U243" s="2383"/>
      <c r="V243" s="2343"/>
      <c r="W243" s="2343"/>
      <c r="X243" s="2343"/>
      <c r="Y243" s="2343"/>
      <c r="Z243" s="2566"/>
      <c r="AA243" s="2566"/>
      <c r="AB243" s="2566"/>
      <c r="AC243" s="2566"/>
      <c r="AD243" s="2323"/>
      <c r="AE243" s="2323"/>
      <c r="AF243" s="2323"/>
      <c r="AG243" s="2323"/>
      <c r="AH243" s="2323"/>
      <c r="AI243" s="2323"/>
      <c r="AJ243" s="2323"/>
      <c r="AK243" s="2898"/>
      <c r="AL243" s="2895">
        <f t="shared" si="8"/>
        <v>0</v>
      </c>
      <c r="AM243" s="2896" t="str">
        <f t="shared" si="9"/>
        <v/>
      </c>
    </row>
    <row r="244" spans="1:39" hidden="1" outlineLevel="1">
      <c r="A244" s="2566"/>
      <c r="B244" s="3210"/>
      <c r="C244" s="3208"/>
      <c r="D244" s="3208"/>
      <c r="E244" s="3210"/>
      <c r="F244" s="3767" t="s">
        <v>3863</v>
      </c>
      <c r="G244" s="3769"/>
      <c r="H244" s="2323"/>
      <c r="I244" s="2323"/>
      <c r="J244" s="2323"/>
      <c r="K244" s="2323"/>
      <c r="L244" s="2323"/>
      <c r="M244" s="2323"/>
      <c r="N244" s="2323"/>
      <c r="O244" s="2323"/>
      <c r="P244" s="2323"/>
      <c r="Q244" s="2323"/>
      <c r="R244" s="2323"/>
      <c r="S244" s="2323"/>
      <c r="T244" s="2383"/>
      <c r="U244" s="2383"/>
      <c r="V244" s="2319"/>
      <c r="W244" s="2319"/>
      <c r="X244" s="2319"/>
      <c r="Y244" s="2319"/>
      <c r="Z244" s="2566"/>
      <c r="AA244" s="2566"/>
      <c r="AB244" s="2566"/>
      <c r="AC244" s="2566"/>
      <c r="AD244" s="2323"/>
      <c r="AE244" s="2323"/>
      <c r="AF244" s="2323"/>
      <c r="AG244" s="2323"/>
      <c r="AH244" s="2323"/>
      <c r="AI244" s="2323"/>
      <c r="AJ244" s="2323"/>
      <c r="AK244" s="2898"/>
      <c r="AL244" s="2895">
        <f t="shared" si="8"/>
        <v>0</v>
      </c>
      <c r="AM244" s="2896" t="str">
        <f t="shared" si="9"/>
        <v/>
      </c>
    </row>
    <row r="245" spans="1:39" hidden="1" outlineLevel="1">
      <c r="A245" s="2566"/>
      <c r="B245" s="3210"/>
      <c r="C245" s="3208"/>
      <c r="D245" s="3208"/>
      <c r="E245" s="3210"/>
      <c r="F245" s="3767" t="s">
        <v>3864</v>
      </c>
      <c r="G245" s="3769"/>
      <c r="H245" s="2323"/>
      <c r="I245" s="2323"/>
      <c r="J245" s="2323"/>
      <c r="K245" s="2323"/>
      <c r="L245" s="2323"/>
      <c r="M245" s="2323"/>
      <c r="N245" s="2323"/>
      <c r="O245" s="2323"/>
      <c r="P245" s="2323"/>
      <c r="Q245" s="2323"/>
      <c r="R245" s="2323"/>
      <c r="S245" s="2323"/>
      <c r="T245" s="2383"/>
      <c r="U245" s="2383"/>
      <c r="V245" s="2319"/>
      <c r="W245" s="2319"/>
      <c r="X245" s="2319"/>
      <c r="Y245" s="2319"/>
      <c r="Z245" s="2566"/>
      <c r="AA245" s="2566"/>
      <c r="AB245" s="2566"/>
      <c r="AC245" s="2566"/>
      <c r="AD245" s="2323"/>
      <c r="AE245" s="2323"/>
      <c r="AF245" s="2323"/>
      <c r="AG245" s="2323"/>
      <c r="AH245" s="2323"/>
      <c r="AI245" s="2323"/>
      <c r="AJ245" s="2323"/>
      <c r="AK245" s="2898"/>
      <c r="AL245" s="2895">
        <f t="shared" si="8"/>
        <v>0</v>
      </c>
      <c r="AM245" s="2896" t="str">
        <f t="shared" si="9"/>
        <v/>
      </c>
    </row>
    <row r="246" spans="1:39" hidden="1" outlineLevel="1">
      <c r="A246" s="2566"/>
      <c r="B246" s="3210"/>
      <c r="C246" s="3208"/>
      <c r="D246" s="3208"/>
      <c r="E246" s="3210"/>
      <c r="F246" s="3767" t="s">
        <v>3865</v>
      </c>
      <c r="G246" s="3769"/>
      <c r="H246" s="2323"/>
      <c r="I246" s="2323"/>
      <c r="J246" s="2323"/>
      <c r="K246" s="2323"/>
      <c r="L246" s="2323"/>
      <c r="M246" s="2323"/>
      <c r="N246" s="2323"/>
      <c r="O246" s="2323"/>
      <c r="P246" s="2323"/>
      <c r="Q246" s="2323"/>
      <c r="R246" s="2323"/>
      <c r="S246" s="2323"/>
      <c r="T246" s="2383"/>
      <c r="U246" s="2383"/>
      <c r="V246" s="2319"/>
      <c r="W246" s="2319"/>
      <c r="X246" s="2319"/>
      <c r="Y246" s="2319"/>
      <c r="Z246" s="2566"/>
      <c r="AA246" s="2566"/>
      <c r="AB246" s="2566"/>
      <c r="AC246" s="2566"/>
      <c r="AD246" s="2323"/>
      <c r="AE246" s="2323"/>
      <c r="AF246" s="2323"/>
      <c r="AG246" s="2323"/>
      <c r="AH246" s="2323"/>
      <c r="AI246" s="2323"/>
      <c r="AJ246" s="2323"/>
      <c r="AK246" s="2898"/>
      <c r="AL246" s="2895">
        <f t="shared" si="8"/>
        <v>0</v>
      </c>
      <c r="AM246" s="2896" t="str">
        <f t="shared" si="9"/>
        <v/>
      </c>
    </row>
    <row r="247" spans="1:39" hidden="1" outlineLevel="1">
      <c r="A247" s="2566"/>
      <c r="B247" s="3210"/>
      <c r="C247" s="3208"/>
      <c r="D247" s="3208" t="s">
        <v>3911</v>
      </c>
      <c r="E247" s="3210" t="s">
        <v>3909</v>
      </c>
      <c r="F247" s="3767" t="s">
        <v>3860</v>
      </c>
      <c r="G247" s="3769"/>
      <c r="H247" s="2323"/>
      <c r="I247" s="2323"/>
      <c r="J247" s="2323"/>
      <c r="K247" s="2323"/>
      <c r="L247" s="2323"/>
      <c r="M247" s="2323"/>
      <c r="N247" s="2323"/>
      <c r="O247" s="2323"/>
      <c r="P247" s="2323"/>
      <c r="Q247" s="2323"/>
      <c r="R247" s="2323"/>
      <c r="S247" s="2323"/>
      <c r="T247" s="2383"/>
      <c r="U247" s="2383"/>
      <c r="V247" s="2319"/>
      <c r="W247" s="2319"/>
      <c r="X247" s="2319"/>
      <c r="Y247" s="2319"/>
      <c r="Z247" s="2566"/>
      <c r="AA247" s="2566"/>
      <c r="AB247" s="2566"/>
      <c r="AC247" s="2566"/>
      <c r="AD247" s="2323"/>
      <c r="AE247" s="2323"/>
      <c r="AF247" s="2323"/>
      <c r="AG247" s="2323"/>
      <c r="AH247" s="2323"/>
      <c r="AI247" s="2323"/>
      <c r="AJ247" s="2323"/>
      <c r="AK247" s="2898"/>
      <c r="AL247" s="2895">
        <f t="shared" si="8"/>
        <v>0</v>
      </c>
      <c r="AM247" s="2896" t="str">
        <f t="shared" si="9"/>
        <v/>
      </c>
    </row>
    <row r="248" spans="1:39" hidden="1" outlineLevel="1">
      <c r="A248" s="2566"/>
      <c r="B248" s="3210"/>
      <c r="C248" s="3208"/>
      <c r="D248" s="3208"/>
      <c r="E248" s="3210"/>
      <c r="F248" s="3767" t="s">
        <v>3861</v>
      </c>
      <c r="G248" s="3769"/>
      <c r="H248" s="2323"/>
      <c r="I248" s="2323"/>
      <c r="J248" s="2323"/>
      <c r="K248" s="2323"/>
      <c r="L248" s="2323"/>
      <c r="M248" s="2323"/>
      <c r="N248" s="2323"/>
      <c r="O248" s="2323"/>
      <c r="P248" s="2323"/>
      <c r="Q248" s="2323"/>
      <c r="R248" s="2323"/>
      <c r="S248" s="2323"/>
      <c r="T248" s="2383"/>
      <c r="U248" s="2383"/>
      <c r="V248" s="2319"/>
      <c r="W248" s="2319"/>
      <c r="X248" s="2319"/>
      <c r="Y248" s="2319"/>
      <c r="Z248" s="2566"/>
      <c r="AA248" s="2566"/>
      <c r="AB248" s="2566"/>
      <c r="AC248" s="2566"/>
      <c r="AD248" s="2323"/>
      <c r="AE248" s="2323"/>
      <c r="AF248" s="2323"/>
      <c r="AG248" s="2323"/>
      <c r="AH248" s="2323"/>
      <c r="AI248" s="2323"/>
      <c r="AJ248" s="2323"/>
      <c r="AK248" s="2898"/>
      <c r="AL248" s="2895">
        <f t="shared" si="8"/>
        <v>0</v>
      </c>
      <c r="AM248" s="2896" t="str">
        <f t="shared" si="9"/>
        <v/>
      </c>
    </row>
    <row r="249" spans="1:39" hidden="1" outlineLevel="1">
      <c r="A249" s="2566"/>
      <c r="B249" s="3210"/>
      <c r="C249" s="3208"/>
      <c r="D249" s="3208"/>
      <c r="E249" s="3210"/>
      <c r="F249" s="3767" t="s">
        <v>3862</v>
      </c>
      <c r="G249" s="3769"/>
      <c r="H249" s="2323"/>
      <c r="I249" s="2323"/>
      <c r="J249" s="2323"/>
      <c r="K249" s="2323"/>
      <c r="L249" s="2323"/>
      <c r="M249" s="2323"/>
      <c r="N249" s="2323"/>
      <c r="O249" s="2323"/>
      <c r="P249" s="2323"/>
      <c r="Q249" s="2323"/>
      <c r="R249" s="2323"/>
      <c r="S249" s="2323"/>
      <c r="T249" s="2383"/>
      <c r="U249" s="2383"/>
      <c r="V249" s="2319"/>
      <c r="W249" s="2319"/>
      <c r="X249" s="2319"/>
      <c r="Y249" s="2319"/>
      <c r="Z249" s="2566"/>
      <c r="AA249" s="2566"/>
      <c r="AB249" s="2566"/>
      <c r="AC249" s="2566"/>
      <c r="AD249" s="2323"/>
      <c r="AE249" s="2323"/>
      <c r="AF249" s="2323"/>
      <c r="AG249" s="2323"/>
      <c r="AH249" s="2323"/>
      <c r="AI249" s="2323"/>
      <c r="AJ249" s="2323"/>
      <c r="AK249" s="2898"/>
      <c r="AL249" s="2895">
        <f t="shared" si="8"/>
        <v>0</v>
      </c>
      <c r="AM249" s="2896" t="str">
        <f t="shared" si="9"/>
        <v/>
      </c>
    </row>
    <row r="250" spans="1:39" hidden="1" outlineLevel="1">
      <c r="A250" s="2566"/>
      <c r="B250" s="3210"/>
      <c r="C250" s="3208"/>
      <c r="D250" s="3208"/>
      <c r="E250" s="3210"/>
      <c r="F250" s="3767" t="s">
        <v>3863</v>
      </c>
      <c r="G250" s="3769"/>
      <c r="H250" s="2323"/>
      <c r="I250" s="2323"/>
      <c r="J250" s="2323"/>
      <c r="K250" s="2323"/>
      <c r="L250" s="2323"/>
      <c r="M250" s="2323"/>
      <c r="N250" s="2323"/>
      <c r="O250" s="2323"/>
      <c r="P250" s="2323"/>
      <c r="Q250" s="2323"/>
      <c r="R250" s="2323"/>
      <c r="S250" s="2323"/>
      <c r="T250" s="2383"/>
      <c r="U250" s="2383"/>
      <c r="V250" s="2319"/>
      <c r="W250" s="2319"/>
      <c r="X250" s="2319"/>
      <c r="Y250" s="2319"/>
      <c r="Z250" s="2566"/>
      <c r="AA250" s="2566"/>
      <c r="AB250" s="2566"/>
      <c r="AC250" s="2566"/>
      <c r="AD250" s="2323"/>
      <c r="AE250" s="2323"/>
      <c r="AF250" s="2323"/>
      <c r="AG250" s="2323"/>
      <c r="AH250" s="2323"/>
      <c r="AI250" s="2323"/>
      <c r="AJ250" s="2323"/>
      <c r="AK250" s="2898"/>
      <c r="AL250" s="2895">
        <f t="shared" si="8"/>
        <v>0</v>
      </c>
      <c r="AM250" s="2896" t="str">
        <f t="shared" si="9"/>
        <v/>
      </c>
    </row>
    <row r="251" spans="1:39" hidden="1" outlineLevel="1">
      <c r="A251" s="2566"/>
      <c r="B251" s="3210"/>
      <c r="C251" s="3208"/>
      <c r="D251" s="3208"/>
      <c r="E251" s="3210"/>
      <c r="F251" s="3767" t="s">
        <v>3864</v>
      </c>
      <c r="G251" s="3769"/>
      <c r="H251" s="2323"/>
      <c r="I251" s="2323"/>
      <c r="J251" s="2323"/>
      <c r="K251" s="2323"/>
      <c r="L251" s="2323"/>
      <c r="M251" s="2323"/>
      <c r="N251" s="2323"/>
      <c r="O251" s="2323"/>
      <c r="P251" s="2323"/>
      <c r="Q251" s="2323"/>
      <c r="R251" s="2323"/>
      <c r="S251" s="2323"/>
      <c r="T251" s="2383"/>
      <c r="U251" s="2383"/>
      <c r="V251" s="2319"/>
      <c r="W251" s="2319"/>
      <c r="X251" s="2319"/>
      <c r="Y251" s="2319"/>
      <c r="Z251" s="2566"/>
      <c r="AA251" s="2566"/>
      <c r="AB251" s="2566"/>
      <c r="AC251" s="2566"/>
      <c r="AD251" s="2323"/>
      <c r="AE251" s="2323"/>
      <c r="AF251" s="2323"/>
      <c r="AG251" s="2323"/>
      <c r="AH251" s="2323"/>
      <c r="AI251" s="2323"/>
      <c r="AJ251" s="2323"/>
      <c r="AK251" s="2898"/>
      <c r="AL251" s="2895">
        <f t="shared" si="8"/>
        <v>0</v>
      </c>
      <c r="AM251" s="2896" t="str">
        <f t="shared" si="9"/>
        <v/>
      </c>
    </row>
    <row r="252" spans="1:39" hidden="1" outlineLevel="1">
      <c r="A252" s="2566"/>
      <c r="B252" s="3210"/>
      <c r="C252" s="3208"/>
      <c r="D252" s="3208"/>
      <c r="E252" s="3210"/>
      <c r="F252" s="3767" t="s">
        <v>3865</v>
      </c>
      <c r="G252" s="3769"/>
      <c r="H252" s="2323"/>
      <c r="I252" s="2323"/>
      <c r="J252" s="2323"/>
      <c r="K252" s="2323"/>
      <c r="L252" s="2323"/>
      <c r="M252" s="2323"/>
      <c r="N252" s="2323"/>
      <c r="O252" s="2323"/>
      <c r="P252" s="2323"/>
      <c r="Q252" s="2323"/>
      <c r="R252" s="2323"/>
      <c r="S252" s="2323"/>
      <c r="T252" s="2383"/>
      <c r="U252" s="2383"/>
      <c r="V252" s="2319"/>
      <c r="W252" s="2319"/>
      <c r="X252" s="2319"/>
      <c r="Y252" s="2319"/>
      <c r="Z252" s="2566"/>
      <c r="AA252" s="2566"/>
      <c r="AB252" s="2566"/>
      <c r="AC252" s="2566"/>
      <c r="AD252" s="2323"/>
      <c r="AE252" s="2323"/>
      <c r="AF252" s="2323"/>
      <c r="AG252" s="2323"/>
      <c r="AH252" s="2323"/>
      <c r="AI252" s="2323"/>
      <c r="AJ252" s="2323"/>
      <c r="AK252" s="2898"/>
      <c r="AL252" s="2895">
        <f t="shared" si="8"/>
        <v>0</v>
      </c>
      <c r="AM252" s="2896" t="str">
        <f t="shared" si="9"/>
        <v/>
      </c>
    </row>
    <row r="253" spans="1:39" hidden="1" outlineLevel="1">
      <c r="A253" s="2566"/>
      <c r="B253" s="3210"/>
      <c r="C253" s="3208"/>
      <c r="D253" s="3208"/>
      <c r="E253" s="3210" t="s">
        <v>3910</v>
      </c>
      <c r="F253" s="3767" t="s">
        <v>3860</v>
      </c>
      <c r="G253" s="3769"/>
      <c r="H253" s="2323"/>
      <c r="I253" s="2323"/>
      <c r="J253" s="2323"/>
      <c r="K253" s="2323"/>
      <c r="L253" s="2323"/>
      <c r="M253" s="2323"/>
      <c r="N253" s="2323"/>
      <c r="O253" s="2323"/>
      <c r="P253" s="2323"/>
      <c r="Q253" s="2323"/>
      <c r="R253" s="2323"/>
      <c r="S253" s="2323"/>
      <c r="T253" s="2383"/>
      <c r="U253" s="2383"/>
      <c r="V253" s="2343"/>
      <c r="W253" s="2343"/>
      <c r="X253" s="2343"/>
      <c r="Y253" s="2343"/>
      <c r="Z253" s="2566"/>
      <c r="AA253" s="2566"/>
      <c r="AB253" s="2566"/>
      <c r="AC253" s="2566"/>
      <c r="AD253" s="2323"/>
      <c r="AE253" s="2323"/>
      <c r="AF253" s="2323"/>
      <c r="AG253" s="2323"/>
      <c r="AH253" s="2323"/>
      <c r="AI253" s="2777"/>
      <c r="AJ253" s="2778"/>
      <c r="AK253" s="2898"/>
      <c r="AL253" s="2895">
        <f t="shared" si="8"/>
        <v>0</v>
      </c>
      <c r="AM253" s="2896" t="str">
        <f t="shared" si="9"/>
        <v/>
      </c>
    </row>
    <row r="254" spans="1:39" hidden="1" outlineLevel="1">
      <c r="A254" s="2566"/>
      <c r="B254" s="3210"/>
      <c r="C254" s="3208"/>
      <c r="D254" s="3208"/>
      <c r="E254" s="3210"/>
      <c r="F254" s="3767" t="s">
        <v>3861</v>
      </c>
      <c r="G254" s="3769"/>
      <c r="H254" s="2323"/>
      <c r="I254" s="2323"/>
      <c r="J254" s="2323"/>
      <c r="K254" s="2323"/>
      <c r="L254" s="2323"/>
      <c r="M254" s="2323"/>
      <c r="N254" s="2323"/>
      <c r="O254" s="2323"/>
      <c r="P254" s="2323"/>
      <c r="Q254" s="2323"/>
      <c r="R254" s="2323"/>
      <c r="S254" s="2323"/>
      <c r="T254" s="2383"/>
      <c r="U254" s="2383"/>
      <c r="V254" s="2343"/>
      <c r="W254" s="2343"/>
      <c r="X254" s="2343"/>
      <c r="Y254" s="2343"/>
      <c r="Z254" s="2566"/>
      <c r="AA254" s="2566"/>
      <c r="AB254" s="2566"/>
      <c r="AC254" s="2566"/>
      <c r="AD254" s="2323"/>
      <c r="AE254" s="2323"/>
      <c r="AF254" s="2323"/>
      <c r="AG254" s="2323"/>
      <c r="AH254" s="2323"/>
      <c r="AI254" s="2777"/>
      <c r="AJ254" s="2778"/>
      <c r="AK254" s="2898"/>
      <c r="AL254" s="2895">
        <f t="shared" si="8"/>
        <v>0</v>
      </c>
      <c r="AM254" s="2896" t="str">
        <f t="shared" si="9"/>
        <v/>
      </c>
    </row>
    <row r="255" spans="1:39" hidden="1" outlineLevel="1">
      <c r="A255" s="2566"/>
      <c r="B255" s="3210"/>
      <c r="C255" s="3208"/>
      <c r="D255" s="3208"/>
      <c r="E255" s="3210"/>
      <c r="F255" s="3767" t="s">
        <v>3862</v>
      </c>
      <c r="G255" s="3769"/>
      <c r="H255" s="2323"/>
      <c r="I255" s="2323"/>
      <c r="J255" s="2323"/>
      <c r="K255" s="2323"/>
      <c r="L255" s="2323"/>
      <c r="M255" s="2323"/>
      <c r="N255" s="2323"/>
      <c r="O255" s="2323"/>
      <c r="P255" s="2323"/>
      <c r="Q255" s="2323"/>
      <c r="R255" s="2323"/>
      <c r="S255" s="2323"/>
      <c r="T255" s="2383"/>
      <c r="U255" s="3706"/>
      <c r="V255" s="2343"/>
      <c r="W255" s="2343"/>
      <c r="X255" s="2343"/>
      <c r="Y255" s="2784" t="str">
        <f>IFERROR(U255*1000/(K255/1000),"")</f>
        <v/>
      </c>
      <c r="Z255" s="2719">
        <v>1.0528</v>
      </c>
      <c r="AA255" s="2719">
        <v>1.06395203770775</v>
      </c>
      <c r="AB255" s="2719">
        <v>1.05001869746847</v>
      </c>
      <c r="AC255" s="2719">
        <v>1.0469610363690101</v>
      </c>
      <c r="AD255" s="2323"/>
      <c r="AE255" s="2323"/>
      <c r="AF255" s="2444"/>
      <c r="AG255" s="2520" t="str">
        <f>IFERROR(Y255*$AC$255,"")</f>
        <v/>
      </c>
      <c r="AH255" s="2444">
        <f>SUM(AD255:AG255)</f>
        <v>0</v>
      </c>
      <c r="AI255" s="2777"/>
      <c r="AJ255" s="2778" t="str">
        <f>IFERROR((AI255*L255/1000)/Q255,"")</f>
        <v/>
      </c>
      <c r="AK255" s="2898"/>
      <c r="AL255" s="2895">
        <f t="shared" si="8"/>
        <v>0</v>
      </c>
      <c r="AM255" s="2896" t="str">
        <f t="shared" si="9"/>
        <v/>
      </c>
    </row>
    <row r="256" spans="1:39" hidden="1" outlineLevel="1">
      <c r="A256" s="2566"/>
      <c r="B256" s="3210"/>
      <c r="C256" s="3208"/>
      <c r="D256" s="3208"/>
      <c r="E256" s="3210"/>
      <c r="F256" s="3767" t="s">
        <v>3863</v>
      </c>
      <c r="G256" s="3769"/>
      <c r="H256" s="2323"/>
      <c r="I256" s="2323"/>
      <c r="J256" s="2323"/>
      <c r="K256" s="2323"/>
      <c r="L256" s="2323"/>
      <c r="M256" s="2323"/>
      <c r="N256" s="2323"/>
      <c r="O256" s="2323"/>
      <c r="P256" s="2323"/>
      <c r="Q256" s="2323"/>
      <c r="R256" s="2323"/>
      <c r="S256" s="2323"/>
      <c r="T256" s="2383"/>
      <c r="U256" s="2383"/>
      <c r="V256" s="2343"/>
      <c r="W256" s="2343"/>
      <c r="X256" s="2343"/>
      <c r="Y256" s="2343"/>
      <c r="Z256" s="2566"/>
      <c r="AA256" s="2566"/>
      <c r="AB256" s="2566"/>
      <c r="AC256" s="2566"/>
      <c r="AD256" s="2323"/>
      <c r="AE256" s="2323"/>
      <c r="AF256" s="2323"/>
      <c r="AG256" s="2323"/>
      <c r="AH256" s="2323"/>
      <c r="AI256" s="2777"/>
      <c r="AJ256" s="2778"/>
      <c r="AK256" s="2898"/>
      <c r="AL256" s="2895">
        <f t="shared" si="8"/>
        <v>0</v>
      </c>
      <c r="AM256" s="2896" t="str">
        <f t="shared" si="9"/>
        <v/>
      </c>
    </row>
    <row r="257" spans="1:39" hidden="1" outlineLevel="1">
      <c r="A257" s="2566"/>
      <c r="B257" s="3210"/>
      <c r="C257" s="3208"/>
      <c r="D257" s="3208"/>
      <c r="E257" s="3210"/>
      <c r="F257" s="3767" t="s">
        <v>3864</v>
      </c>
      <c r="G257" s="3769"/>
      <c r="H257" s="2323"/>
      <c r="I257" s="2323"/>
      <c r="J257" s="2323"/>
      <c r="K257" s="2323"/>
      <c r="L257" s="2323"/>
      <c r="M257" s="2323"/>
      <c r="N257" s="2323"/>
      <c r="O257" s="2323"/>
      <c r="P257" s="2323"/>
      <c r="Q257" s="2323"/>
      <c r="R257" s="2323"/>
      <c r="S257" s="2323"/>
      <c r="T257" s="2383"/>
      <c r="U257" s="2383"/>
      <c r="V257" s="2319"/>
      <c r="W257" s="2319"/>
      <c r="X257" s="2319"/>
      <c r="Y257" s="2319"/>
      <c r="Z257" s="2566"/>
      <c r="AA257" s="2566"/>
      <c r="AB257" s="2566"/>
      <c r="AC257" s="2566"/>
      <c r="AD257" s="2323"/>
      <c r="AE257" s="2323"/>
      <c r="AF257" s="2323"/>
      <c r="AG257" s="2323"/>
      <c r="AH257" s="2323"/>
      <c r="AI257" s="2777"/>
      <c r="AJ257" s="2778"/>
      <c r="AK257" s="2898"/>
      <c r="AL257" s="2895">
        <f t="shared" si="8"/>
        <v>0</v>
      </c>
      <c r="AM257" s="2896" t="str">
        <f t="shared" si="9"/>
        <v/>
      </c>
    </row>
    <row r="258" spans="1:39" hidden="1" outlineLevel="1">
      <c r="A258" s="2566"/>
      <c r="B258" s="3210"/>
      <c r="C258" s="3208"/>
      <c r="D258" s="3208"/>
      <c r="E258" s="3210"/>
      <c r="F258" s="3767" t="s">
        <v>3865</v>
      </c>
      <c r="G258" s="3769"/>
      <c r="H258" s="2323"/>
      <c r="I258" s="2323"/>
      <c r="J258" s="2323"/>
      <c r="K258" s="2323"/>
      <c r="L258" s="2323"/>
      <c r="M258" s="2323"/>
      <c r="N258" s="2323"/>
      <c r="O258" s="2323"/>
      <c r="P258" s="2323"/>
      <c r="Q258" s="2323"/>
      <c r="R258" s="2323"/>
      <c r="S258" s="2323"/>
      <c r="T258" s="2383"/>
      <c r="U258" s="2383"/>
      <c r="V258" s="2319"/>
      <c r="W258" s="2319"/>
      <c r="X258" s="2319"/>
      <c r="Y258" s="2319"/>
      <c r="Z258" s="2566"/>
      <c r="AA258" s="2566"/>
      <c r="AB258" s="2566"/>
      <c r="AC258" s="2566"/>
      <c r="AD258" s="2323"/>
      <c r="AE258" s="2323"/>
      <c r="AF258" s="2323"/>
      <c r="AG258" s="2323"/>
      <c r="AH258" s="2323"/>
      <c r="AI258" s="2777"/>
      <c r="AJ258" s="2778"/>
      <c r="AK258" s="2898"/>
      <c r="AL258" s="2895">
        <f t="shared" si="8"/>
        <v>0</v>
      </c>
      <c r="AM258" s="2896" t="str">
        <f t="shared" si="9"/>
        <v/>
      </c>
    </row>
    <row r="259" spans="1:39" hidden="1" outlineLevel="1">
      <c r="A259" s="2566"/>
      <c r="B259" s="3210"/>
      <c r="C259" s="3208" t="s">
        <v>3912</v>
      </c>
      <c r="D259" s="3208" t="s">
        <v>3908</v>
      </c>
      <c r="E259" s="3210" t="s">
        <v>3909</v>
      </c>
      <c r="F259" s="3767" t="s">
        <v>3860</v>
      </c>
      <c r="G259" s="3769"/>
      <c r="H259" s="2323"/>
      <c r="I259" s="2323"/>
      <c r="J259" s="2323"/>
      <c r="K259" s="2323"/>
      <c r="L259" s="2323"/>
      <c r="M259" s="2323"/>
      <c r="N259" s="2323"/>
      <c r="O259" s="2323"/>
      <c r="P259" s="2323"/>
      <c r="Q259" s="2323"/>
      <c r="R259" s="2323"/>
      <c r="S259" s="2323"/>
      <c r="T259" s="2383"/>
      <c r="U259" s="2383"/>
      <c r="V259" s="2319"/>
      <c r="W259" s="2319"/>
      <c r="X259" s="2319"/>
      <c r="Y259" s="2319"/>
      <c r="Z259" s="2566"/>
      <c r="AA259" s="2566"/>
      <c r="AB259" s="2566"/>
      <c r="AC259" s="2566"/>
      <c r="AD259" s="2323"/>
      <c r="AE259" s="2323"/>
      <c r="AF259" s="2323"/>
      <c r="AG259" s="2323"/>
      <c r="AH259" s="2323"/>
      <c r="AI259" s="2323"/>
      <c r="AJ259" s="2323"/>
      <c r="AK259" s="2898"/>
      <c r="AL259" s="2895">
        <f t="shared" si="8"/>
        <v>0</v>
      </c>
      <c r="AM259" s="2896" t="str">
        <f t="shared" si="9"/>
        <v/>
      </c>
    </row>
    <row r="260" spans="1:39" hidden="1" outlineLevel="1">
      <c r="A260" s="2566"/>
      <c r="B260" s="3210"/>
      <c r="C260" s="3208"/>
      <c r="D260" s="3208"/>
      <c r="E260" s="3210"/>
      <c r="F260" s="3767" t="s">
        <v>3861</v>
      </c>
      <c r="G260" s="3769"/>
      <c r="H260" s="2323"/>
      <c r="I260" s="2323"/>
      <c r="J260" s="2323"/>
      <c r="K260" s="2323"/>
      <c r="L260" s="2323"/>
      <c r="M260" s="2323"/>
      <c r="N260" s="2323"/>
      <c r="O260" s="2323"/>
      <c r="P260" s="2323"/>
      <c r="Q260" s="2323"/>
      <c r="R260" s="2323"/>
      <c r="S260" s="2323"/>
      <c r="T260" s="2383"/>
      <c r="U260" s="2383"/>
      <c r="V260" s="2319"/>
      <c r="W260" s="2319"/>
      <c r="X260" s="2319"/>
      <c r="Y260" s="2319"/>
      <c r="Z260" s="2566"/>
      <c r="AA260" s="2566"/>
      <c r="AB260" s="2566"/>
      <c r="AC260" s="2566"/>
      <c r="AD260" s="2323"/>
      <c r="AE260" s="2323"/>
      <c r="AF260" s="2323"/>
      <c r="AG260" s="2323"/>
      <c r="AH260" s="2323"/>
      <c r="AI260" s="2323"/>
      <c r="AJ260" s="2323"/>
      <c r="AK260" s="2898"/>
      <c r="AL260" s="2895">
        <f t="shared" si="8"/>
        <v>0</v>
      </c>
      <c r="AM260" s="2896" t="str">
        <f t="shared" si="9"/>
        <v/>
      </c>
    </row>
    <row r="261" spans="1:39" hidden="1" outlineLevel="1">
      <c r="A261" s="2566"/>
      <c r="B261" s="3210"/>
      <c r="C261" s="3208"/>
      <c r="D261" s="3208"/>
      <c r="E261" s="3210"/>
      <c r="F261" s="3767" t="s">
        <v>3862</v>
      </c>
      <c r="G261" s="3769"/>
      <c r="H261" s="2323"/>
      <c r="I261" s="2323"/>
      <c r="J261" s="2323"/>
      <c r="K261" s="2323"/>
      <c r="L261" s="2323"/>
      <c r="M261" s="2323"/>
      <c r="N261" s="2323"/>
      <c r="O261" s="2323"/>
      <c r="P261" s="2323"/>
      <c r="Q261" s="2323"/>
      <c r="R261" s="2323"/>
      <c r="S261" s="2323"/>
      <c r="T261" s="2383"/>
      <c r="U261" s="2383"/>
      <c r="V261" s="2319"/>
      <c r="W261" s="2319"/>
      <c r="X261" s="2319"/>
      <c r="Y261" s="2319"/>
      <c r="Z261" s="2566"/>
      <c r="AA261" s="2566"/>
      <c r="AB261" s="2566"/>
      <c r="AC261" s="2566"/>
      <c r="AD261" s="2323"/>
      <c r="AE261" s="2323"/>
      <c r="AF261" s="2323"/>
      <c r="AG261" s="2323"/>
      <c r="AH261" s="2323"/>
      <c r="AI261" s="2323"/>
      <c r="AJ261" s="2323"/>
      <c r="AK261" s="2898"/>
      <c r="AL261" s="2895">
        <f t="shared" si="8"/>
        <v>0</v>
      </c>
      <c r="AM261" s="2896" t="str">
        <f t="shared" si="9"/>
        <v/>
      </c>
    </row>
    <row r="262" spans="1:39" hidden="1" outlineLevel="1">
      <c r="A262" s="2566"/>
      <c r="B262" s="3210"/>
      <c r="C262" s="3208"/>
      <c r="D262" s="3208"/>
      <c r="E262" s="3210"/>
      <c r="F262" s="3767" t="s">
        <v>3863</v>
      </c>
      <c r="G262" s="3769"/>
      <c r="H262" s="2323"/>
      <c r="I262" s="2323"/>
      <c r="J262" s="2323"/>
      <c r="K262" s="2323"/>
      <c r="L262" s="2323"/>
      <c r="M262" s="2323"/>
      <c r="N262" s="2323"/>
      <c r="O262" s="2323"/>
      <c r="P262" s="2323"/>
      <c r="Q262" s="2323"/>
      <c r="R262" s="2323"/>
      <c r="S262" s="2323"/>
      <c r="T262" s="2383"/>
      <c r="U262" s="2383"/>
      <c r="V262" s="2319"/>
      <c r="W262" s="2319"/>
      <c r="X262" s="2319"/>
      <c r="Y262" s="2319"/>
      <c r="Z262" s="2566"/>
      <c r="AA262" s="2566"/>
      <c r="AB262" s="2566"/>
      <c r="AC262" s="2566"/>
      <c r="AD262" s="2323"/>
      <c r="AE262" s="2323"/>
      <c r="AF262" s="2323"/>
      <c r="AG262" s="2323"/>
      <c r="AH262" s="2323"/>
      <c r="AI262" s="2323"/>
      <c r="AJ262" s="2323"/>
      <c r="AK262" s="2898"/>
      <c r="AL262" s="2895">
        <f t="shared" si="8"/>
        <v>0</v>
      </c>
      <c r="AM262" s="2896" t="str">
        <f t="shared" si="9"/>
        <v/>
      </c>
    </row>
    <row r="263" spans="1:39" hidden="1" outlineLevel="1">
      <c r="A263" s="2566"/>
      <c r="B263" s="3210"/>
      <c r="C263" s="3208"/>
      <c r="D263" s="3208"/>
      <c r="E263" s="3210"/>
      <c r="F263" s="3767" t="s">
        <v>3864</v>
      </c>
      <c r="G263" s="3769"/>
      <c r="H263" s="2323"/>
      <c r="I263" s="2323"/>
      <c r="J263" s="2323"/>
      <c r="K263" s="2323"/>
      <c r="L263" s="2323"/>
      <c r="M263" s="2323"/>
      <c r="N263" s="2323"/>
      <c r="O263" s="2323"/>
      <c r="P263" s="2323"/>
      <c r="Q263" s="2323"/>
      <c r="R263" s="2323"/>
      <c r="S263" s="2323"/>
      <c r="T263" s="2383"/>
      <c r="U263" s="2383"/>
      <c r="V263" s="2319"/>
      <c r="W263" s="2319"/>
      <c r="X263" s="2319"/>
      <c r="Y263" s="2319"/>
      <c r="Z263" s="2566"/>
      <c r="AA263" s="2566"/>
      <c r="AB263" s="2566"/>
      <c r="AC263" s="2566"/>
      <c r="AD263" s="2323"/>
      <c r="AE263" s="2323"/>
      <c r="AF263" s="2323"/>
      <c r="AG263" s="2323"/>
      <c r="AH263" s="2323"/>
      <c r="AI263" s="2323"/>
      <c r="AJ263" s="2323"/>
      <c r="AK263" s="2898"/>
      <c r="AL263" s="2895">
        <f t="shared" si="8"/>
        <v>0</v>
      </c>
      <c r="AM263" s="2896" t="str">
        <f t="shared" si="9"/>
        <v/>
      </c>
    </row>
    <row r="264" spans="1:39" hidden="1" outlineLevel="1">
      <c r="A264" s="2566"/>
      <c r="B264" s="3210"/>
      <c r="C264" s="3208"/>
      <c r="D264" s="3208"/>
      <c r="E264" s="3210"/>
      <c r="F264" s="3767" t="s">
        <v>3865</v>
      </c>
      <c r="G264" s="3769"/>
      <c r="H264" s="2323"/>
      <c r="I264" s="2323"/>
      <c r="J264" s="2323"/>
      <c r="K264" s="2323"/>
      <c r="L264" s="2323"/>
      <c r="M264" s="2323"/>
      <c r="N264" s="2323"/>
      <c r="O264" s="2323"/>
      <c r="P264" s="2323"/>
      <c r="Q264" s="2323"/>
      <c r="R264" s="2323"/>
      <c r="S264" s="2323"/>
      <c r="T264" s="2383"/>
      <c r="U264" s="2383"/>
      <c r="V264" s="2319"/>
      <c r="W264" s="2319"/>
      <c r="X264" s="2319"/>
      <c r="Y264" s="2319"/>
      <c r="Z264" s="2566"/>
      <c r="AA264" s="2566"/>
      <c r="AB264" s="2566"/>
      <c r="AC264" s="2566"/>
      <c r="AD264" s="2323"/>
      <c r="AE264" s="2323"/>
      <c r="AF264" s="2323"/>
      <c r="AG264" s="2323"/>
      <c r="AH264" s="2323"/>
      <c r="AI264" s="2323"/>
      <c r="AJ264" s="2323"/>
      <c r="AK264" s="2898"/>
      <c r="AL264" s="2895">
        <f t="shared" si="8"/>
        <v>0</v>
      </c>
      <c r="AM264" s="2896" t="str">
        <f t="shared" si="9"/>
        <v/>
      </c>
    </row>
    <row r="265" spans="1:39" hidden="1" outlineLevel="1">
      <c r="A265" s="2566"/>
      <c r="B265" s="3210"/>
      <c r="C265" s="3208"/>
      <c r="D265" s="3208" t="s">
        <v>3911</v>
      </c>
      <c r="E265" s="3210" t="s">
        <v>3909</v>
      </c>
      <c r="F265" s="3767" t="s">
        <v>3860</v>
      </c>
      <c r="G265" s="3769"/>
      <c r="H265" s="2323"/>
      <c r="I265" s="2323"/>
      <c r="J265" s="2323"/>
      <c r="K265" s="2323"/>
      <c r="L265" s="2323"/>
      <c r="M265" s="2323"/>
      <c r="N265" s="2323"/>
      <c r="O265" s="2323"/>
      <c r="P265" s="2323"/>
      <c r="Q265" s="2323"/>
      <c r="R265" s="2323"/>
      <c r="S265" s="2323"/>
      <c r="T265" s="2383"/>
      <c r="U265" s="2383"/>
      <c r="V265" s="2343"/>
      <c r="W265" s="2343"/>
      <c r="X265" s="2343"/>
      <c r="Y265" s="2343"/>
      <c r="Z265" s="2566"/>
      <c r="AA265" s="2566"/>
      <c r="AB265" s="2566"/>
      <c r="AC265" s="2566"/>
      <c r="AD265" s="2323"/>
      <c r="AE265" s="2323"/>
      <c r="AF265" s="2323"/>
      <c r="AG265" s="2323"/>
      <c r="AH265" s="2323"/>
      <c r="AI265" s="2323"/>
      <c r="AJ265" s="2323"/>
      <c r="AK265" s="2898"/>
      <c r="AL265" s="2895">
        <f t="shared" si="8"/>
        <v>0</v>
      </c>
      <c r="AM265" s="2896" t="str">
        <f t="shared" si="9"/>
        <v/>
      </c>
    </row>
    <row r="266" spans="1:39" hidden="1" outlineLevel="1">
      <c r="A266" s="2566"/>
      <c r="B266" s="3210"/>
      <c r="C266" s="3208"/>
      <c r="D266" s="3208"/>
      <c r="E266" s="3210"/>
      <c r="F266" s="3767" t="s">
        <v>3861</v>
      </c>
      <c r="G266" s="3769"/>
      <c r="H266" s="2323"/>
      <c r="I266" s="2323"/>
      <c r="J266" s="2323"/>
      <c r="K266" s="2323"/>
      <c r="L266" s="2323"/>
      <c r="M266" s="2323"/>
      <c r="N266" s="2323"/>
      <c r="O266" s="2323"/>
      <c r="P266" s="2323"/>
      <c r="Q266" s="2323"/>
      <c r="R266" s="2323"/>
      <c r="S266" s="2323"/>
      <c r="T266" s="2383"/>
      <c r="U266" s="2383"/>
      <c r="V266" s="2343"/>
      <c r="W266" s="2343"/>
      <c r="X266" s="2343"/>
      <c r="Y266" s="2343"/>
      <c r="Z266" s="2566"/>
      <c r="AA266" s="2566"/>
      <c r="AB266" s="2566"/>
      <c r="AC266" s="2566"/>
      <c r="AD266" s="2323"/>
      <c r="AE266" s="2323"/>
      <c r="AF266" s="2323"/>
      <c r="AG266" s="2323"/>
      <c r="AH266" s="2323"/>
      <c r="AI266" s="2323"/>
      <c r="AJ266" s="2323"/>
      <c r="AK266" s="2898"/>
      <c r="AL266" s="2895">
        <f t="shared" si="8"/>
        <v>0</v>
      </c>
      <c r="AM266" s="2896" t="str">
        <f t="shared" si="9"/>
        <v/>
      </c>
    </row>
    <row r="267" spans="1:39" hidden="1" outlineLevel="1">
      <c r="A267" s="2566"/>
      <c r="B267" s="3210"/>
      <c r="C267" s="3208"/>
      <c r="D267" s="3208"/>
      <c r="E267" s="3210"/>
      <c r="F267" s="3767" t="s">
        <v>3862</v>
      </c>
      <c r="G267" s="3769"/>
      <c r="H267" s="2323"/>
      <c r="I267" s="2323"/>
      <c r="J267" s="2323"/>
      <c r="K267" s="2323"/>
      <c r="L267" s="2323"/>
      <c r="M267" s="2323"/>
      <c r="N267" s="2323"/>
      <c r="O267" s="2323"/>
      <c r="P267" s="2323"/>
      <c r="Q267" s="2323"/>
      <c r="R267" s="2323"/>
      <c r="S267" s="2323"/>
      <c r="T267" s="2383"/>
      <c r="U267" s="2383"/>
      <c r="V267" s="2343"/>
      <c r="W267" s="2343"/>
      <c r="X267" s="2343"/>
      <c r="Y267" s="2343"/>
      <c r="Z267" s="2566"/>
      <c r="AA267" s="2566"/>
      <c r="AB267" s="2566"/>
      <c r="AC267" s="2566"/>
      <c r="AD267" s="2323"/>
      <c r="AE267" s="2323"/>
      <c r="AF267" s="2323"/>
      <c r="AG267" s="2323"/>
      <c r="AH267" s="2323"/>
      <c r="AI267" s="2323"/>
      <c r="AJ267" s="2323"/>
      <c r="AK267" s="2898"/>
      <c r="AL267" s="2895">
        <f t="shared" si="8"/>
        <v>0</v>
      </c>
      <c r="AM267" s="2896" t="str">
        <f t="shared" si="9"/>
        <v/>
      </c>
    </row>
    <row r="268" spans="1:39" hidden="1" outlineLevel="1">
      <c r="A268" s="2566"/>
      <c r="B268" s="3210"/>
      <c r="C268" s="3208"/>
      <c r="D268" s="3208"/>
      <c r="E268" s="3210"/>
      <c r="F268" s="3767" t="s">
        <v>3863</v>
      </c>
      <c r="G268" s="3769"/>
      <c r="H268" s="2323"/>
      <c r="I268" s="2323"/>
      <c r="J268" s="2323"/>
      <c r="K268" s="2323"/>
      <c r="L268" s="2323"/>
      <c r="M268" s="2323"/>
      <c r="N268" s="2323"/>
      <c r="O268" s="2323"/>
      <c r="P268" s="2323"/>
      <c r="Q268" s="2323"/>
      <c r="R268" s="2323"/>
      <c r="S268" s="2323"/>
      <c r="T268" s="2383"/>
      <c r="U268" s="2383"/>
      <c r="V268" s="2343"/>
      <c r="W268" s="2343"/>
      <c r="X268" s="2343"/>
      <c r="Y268" s="2343"/>
      <c r="Z268" s="2566"/>
      <c r="AA268" s="2566"/>
      <c r="AB268" s="2566"/>
      <c r="AC268" s="2566"/>
      <c r="AD268" s="2323"/>
      <c r="AE268" s="2323"/>
      <c r="AF268" s="2323"/>
      <c r="AG268" s="2323"/>
      <c r="AH268" s="2323"/>
      <c r="AI268" s="2323"/>
      <c r="AJ268" s="2323"/>
      <c r="AK268" s="2898"/>
      <c r="AL268" s="2895">
        <f t="shared" si="8"/>
        <v>0</v>
      </c>
      <c r="AM268" s="2896" t="str">
        <f t="shared" si="9"/>
        <v/>
      </c>
    </row>
    <row r="269" spans="1:39" hidden="1" outlineLevel="1">
      <c r="A269" s="2566"/>
      <c r="B269" s="3210"/>
      <c r="C269" s="3208"/>
      <c r="D269" s="3208"/>
      <c r="E269" s="3210"/>
      <c r="F269" s="3767" t="s">
        <v>3864</v>
      </c>
      <c r="G269" s="3769"/>
      <c r="H269" s="2323"/>
      <c r="I269" s="2323"/>
      <c r="J269" s="2323"/>
      <c r="K269" s="2323"/>
      <c r="L269" s="2323"/>
      <c r="M269" s="2323"/>
      <c r="N269" s="2323"/>
      <c r="O269" s="2323"/>
      <c r="P269" s="2323"/>
      <c r="Q269" s="2323"/>
      <c r="R269" s="2323"/>
      <c r="S269" s="2323"/>
      <c r="T269" s="2383"/>
      <c r="U269" s="2383"/>
      <c r="V269" s="2319"/>
      <c r="W269" s="2319"/>
      <c r="X269" s="2319"/>
      <c r="Y269" s="2319"/>
      <c r="Z269" s="2566"/>
      <c r="AA269" s="2566"/>
      <c r="AB269" s="2566"/>
      <c r="AC269" s="2566"/>
      <c r="AD269" s="2323"/>
      <c r="AE269" s="2323"/>
      <c r="AF269" s="2323"/>
      <c r="AG269" s="2323"/>
      <c r="AH269" s="2323"/>
      <c r="AI269" s="2323"/>
      <c r="AJ269" s="2323"/>
      <c r="AK269" s="2898"/>
      <c r="AL269" s="2895">
        <f t="shared" si="8"/>
        <v>0</v>
      </c>
      <c r="AM269" s="2896" t="str">
        <f t="shared" si="9"/>
        <v/>
      </c>
    </row>
    <row r="270" spans="1:39" hidden="1" outlineLevel="1">
      <c r="A270" s="2566"/>
      <c r="B270" s="3210"/>
      <c r="C270" s="3208"/>
      <c r="D270" s="3208"/>
      <c r="E270" s="3210"/>
      <c r="F270" s="3767" t="s">
        <v>3865</v>
      </c>
      <c r="G270" s="3769"/>
      <c r="H270" s="2323"/>
      <c r="I270" s="2323"/>
      <c r="J270" s="2323"/>
      <c r="K270" s="2323"/>
      <c r="L270" s="2323"/>
      <c r="M270" s="2323"/>
      <c r="N270" s="2323"/>
      <c r="O270" s="2323"/>
      <c r="P270" s="2323"/>
      <c r="Q270" s="2323"/>
      <c r="R270" s="2323"/>
      <c r="S270" s="2323"/>
      <c r="T270" s="2383"/>
      <c r="U270" s="2383"/>
      <c r="V270" s="2319"/>
      <c r="W270" s="2319"/>
      <c r="X270" s="2319"/>
      <c r="Y270" s="2319"/>
      <c r="Z270" s="2566"/>
      <c r="AA270" s="2566"/>
      <c r="AB270" s="2566"/>
      <c r="AC270" s="2566"/>
      <c r="AD270" s="2323"/>
      <c r="AE270" s="2323"/>
      <c r="AF270" s="2323"/>
      <c r="AG270" s="2323"/>
      <c r="AH270" s="2323"/>
      <c r="AI270" s="2323"/>
      <c r="AJ270" s="2323"/>
      <c r="AK270" s="2898"/>
      <c r="AL270" s="2895">
        <f t="shared" si="8"/>
        <v>0</v>
      </c>
      <c r="AM270" s="2896" t="str">
        <f t="shared" si="9"/>
        <v/>
      </c>
    </row>
    <row r="271" spans="1:39" hidden="1" outlineLevel="1">
      <c r="A271" s="2566"/>
      <c r="B271" s="3210"/>
      <c r="C271" s="3208"/>
      <c r="D271" s="3208"/>
      <c r="E271" s="3210" t="s">
        <v>3910</v>
      </c>
      <c r="F271" s="3767" t="s">
        <v>3860</v>
      </c>
      <c r="G271" s="3769"/>
      <c r="H271" s="2323"/>
      <c r="I271" s="2323"/>
      <c r="J271" s="2323"/>
      <c r="K271" s="2323"/>
      <c r="L271" s="2323"/>
      <c r="M271" s="2323"/>
      <c r="N271" s="2323"/>
      <c r="O271" s="2323"/>
      <c r="P271" s="2323"/>
      <c r="Q271" s="2323"/>
      <c r="R271" s="2323"/>
      <c r="S271" s="2323"/>
      <c r="T271" s="2383"/>
      <c r="U271" s="2383"/>
      <c r="V271" s="2319"/>
      <c r="W271" s="2319"/>
      <c r="X271" s="2319"/>
      <c r="Y271" s="2319"/>
      <c r="Z271" s="2566"/>
      <c r="AA271" s="2566"/>
      <c r="AB271" s="2566"/>
      <c r="AC271" s="2566"/>
      <c r="AD271" s="2323"/>
      <c r="AE271" s="2323"/>
      <c r="AF271" s="2323"/>
      <c r="AG271" s="2323"/>
      <c r="AH271" s="2323"/>
      <c r="AI271" s="2323"/>
      <c r="AJ271" s="2323"/>
      <c r="AK271" s="2898"/>
      <c r="AL271" s="2895">
        <f t="shared" si="8"/>
        <v>0</v>
      </c>
      <c r="AM271" s="2896" t="str">
        <f t="shared" si="9"/>
        <v/>
      </c>
    </row>
    <row r="272" spans="1:39" hidden="1" outlineLevel="1">
      <c r="A272" s="2566"/>
      <c r="B272" s="3210"/>
      <c r="C272" s="3208"/>
      <c r="D272" s="3208"/>
      <c r="E272" s="3210"/>
      <c r="F272" s="3767" t="s">
        <v>3861</v>
      </c>
      <c r="G272" s="3769"/>
      <c r="H272" s="2323"/>
      <c r="I272" s="2323"/>
      <c r="J272" s="2323"/>
      <c r="K272" s="2323"/>
      <c r="L272" s="2323"/>
      <c r="M272" s="2323"/>
      <c r="N272" s="2323"/>
      <c r="O272" s="2323"/>
      <c r="P272" s="2323"/>
      <c r="Q272" s="2323"/>
      <c r="R272" s="2323"/>
      <c r="S272" s="2323"/>
      <c r="T272" s="2383"/>
      <c r="U272" s="2383"/>
      <c r="V272" s="2319"/>
      <c r="W272" s="2319"/>
      <c r="X272" s="2319"/>
      <c r="Y272" s="2319"/>
      <c r="Z272" s="2566"/>
      <c r="AA272" s="2566"/>
      <c r="AB272" s="2566"/>
      <c r="AC272" s="2566"/>
      <c r="AD272" s="2323"/>
      <c r="AE272" s="2323"/>
      <c r="AF272" s="2323"/>
      <c r="AG272" s="2323"/>
      <c r="AH272" s="2323"/>
      <c r="AI272" s="2323"/>
      <c r="AJ272" s="2323"/>
      <c r="AK272" s="2898"/>
      <c r="AL272" s="2895">
        <f t="shared" si="8"/>
        <v>0</v>
      </c>
      <c r="AM272" s="2896" t="str">
        <f t="shared" si="9"/>
        <v/>
      </c>
    </row>
    <row r="273" spans="1:39" hidden="1" outlineLevel="1">
      <c r="A273" s="2566"/>
      <c r="B273" s="3210"/>
      <c r="C273" s="3208"/>
      <c r="D273" s="3208"/>
      <c r="E273" s="3210"/>
      <c r="F273" s="3767" t="s">
        <v>3862</v>
      </c>
      <c r="G273" s="3769"/>
      <c r="H273" s="2323"/>
      <c r="I273" s="2323"/>
      <c r="J273" s="2323"/>
      <c r="K273" s="2323"/>
      <c r="L273" s="2323"/>
      <c r="M273" s="2323"/>
      <c r="N273" s="2323"/>
      <c r="O273" s="2323"/>
      <c r="P273" s="2323"/>
      <c r="Q273" s="2323"/>
      <c r="R273" s="2323"/>
      <c r="S273" s="2323"/>
      <c r="T273" s="2383"/>
      <c r="U273" s="2383"/>
      <c r="V273" s="2319"/>
      <c r="W273" s="2319"/>
      <c r="X273" s="2319"/>
      <c r="Y273" s="2319"/>
      <c r="Z273" s="2566"/>
      <c r="AA273" s="2566"/>
      <c r="AB273" s="2566"/>
      <c r="AC273" s="2566"/>
      <c r="AD273" s="2323"/>
      <c r="AE273" s="2323"/>
      <c r="AF273" s="2323"/>
      <c r="AG273" s="2323"/>
      <c r="AH273" s="2323"/>
      <c r="AI273" s="2323"/>
      <c r="AJ273" s="2323"/>
      <c r="AK273" s="2898"/>
      <c r="AL273" s="2895">
        <f t="shared" si="8"/>
        <v>0</v>
      </c>
      <c r="AM273" s="2896" t="str">
        <f t="shared" si="9"/>
        <v/>
      </c>
    </row>
    <row r="274" spans="1:39" hidden="1" outlineLevel="1">
      <c r="A274" s="2566"/>
      <c r="B274" s="3210"/>
      <c r="C274" s="3208"/>
      <c r="D274" s="3208"/>
      <c r="E274" s="3210"/>
      <c r="F274" s="3767" t="s">
        <v>3863</v>
      </c>
      <c r="G274" s="3769"/>
      <c r="H274" s="2323"/>
      <c r="I274" s="2323"/>
      <c r="J274" s="2323"/>
      <c r="K274" s="2323"/>
      <c r="L274" s="2323"/>
      <c r="M274" s="2323"/>
      <c r="N274" s="2323"/>
      <c r="O274" s="2323"/>
      <c r="P274" s="2323"/>
      <c r="Q274" s="2323"/>
      <c r="R274" s="2323"/>
      <c r="S274" s="2323"/>
      <c r="T274" s="2383"/>
      <c r="U274" s="2383"/>
      <c r="V274" s="2319"/>
      <c r="W274" s="2319"/>
      <c r="X274" s="2319"/>
      <c r="Y274" s="2319"/>
      <c r="Z274" s="2566"/>
      <c r="AA274" s="2566"/>
      <c r="AB274" s="2566"/>
      <c r="AC274" s="2566"/>
      <c r="AD274" s="2323"/>
      <c r="AE274" s="2323"/>
      <c r="AF274" s="2323"/>
      <c r="AG274" s="2323"/>
      <c r="AH274" s="2323"/>
      <c r="AI274" s="2323"/>
      <c r="AJ274" s="2323"/>
      <c r="AK274" s="2898"/>
      <c r="AL274" s="2895">
        <f t="shared" si="8"/>
        <v>0</v>
      </c>
      <c r="AM274" s="2896" t="str">
        <f t="shared" si="9"/>
        <v/>
      </c>
    </row>
    <row r="275" spans="1:39" hidden="1" outlineLevel="1">
      <c r="A275" s="2566"/>
      <c r="B275" s="3210"/>
      <c r="C275" s="3208"/>
      <c r="D275" s="3208"/>
      <c r="E275" s="3210"/>
      <c r="F275" s="3767" t="s">
        <v>3864</v>
      </c>
      <c r="G275" s="3769"/>
      <c r="H275" s="2323"/>
      <c r="I275" s="2323"/>
      <c r="J275" s="2323"/>
      <c r="K275" s="2323"/>
      <c r="L275" s="2323"/>
      <c r="M275" s="2323"/>
      <c r="N275" s="2323"/>
      <c r="O275" s="2323"/>
      <c r="P275" s="2323"/>
      <c r="Q275" s="2323"/>
      <c r="R275" s="2323"/>
      <c r="S275" s="2323"/>
      <c r="T275" s="2383"/>
      <c r="U275" s="2383"/>
      <c r="V275" s="2319"/>
      <c r="W275" s="2319"/>
      <c r="X275" s="2319"/>
      <c r="Y275" s="2319"/>
      <c r="Z275" s="2566"/>
      <c r="AA275" s="2566"/>
      <c r="AB275" s="2566"/>
      <c r="AC275" s="2566"/>
      <c r="AD275" s="2323"/>
      <c r="AE275" s="2323"/>
      <c r="AF275" s="2323"/>
      <c r="AG275" s="2323"/>
      <c r="AH275" s="2323"/>
      <c r="AI275" s="2323"/>
      <c r="AJ275" s="2323"/>
      <c r="AK275" s="2898"/>
      <c r="AL275" s="2895">
        <f t="shared" si="8"/>
        <v>0</v>
      </c>
      <c r="AM275" s="2896" t="str">
        <f t="shared" si="9"/>
        <v/>
      </c>
    </row>
    <row r="276" spans="1:39" hidden="1" outlineLevel="1">
      <c r="A276" s="2566"/>
      <c r="B276" s="3210"/>
      <c r="C276" s="3208"/>
      <c r="D276" s="3208"/>
      <c r="E276" s="3210"/>
      <c r="F276" s="3767" t="s">
        <v>3865</v>
      </c>
      <c r="G276" s="3769"/>
      <c r="H276" s="2323"/>
      <c r="I276" s="2323"/>
      <c r="J276" s="2323"/>
      <c r="K276" s="2323"/>
      <c r="L276" s="2323"/>
      <c r="M276" s="2323"/>
      <c r="N276" s="2323"/>
      <c r="O276" s="2323"/>
      <c r="P276" s="2323"/>
      <c r="Q276" s="2323"/>
      <c r="R276" s="2323"/>
      <c r="S276" s="2323"/>
      <c r="T276" s="2383"/>
      <c r="U276" s="2383"/>
      <c r="V276" s="2319"/>
      <c r="W276" s="2319"/>
      <c r="X276" s="2319"/>
      <c r="Y276" s="2319"/>
      <c r="Z276" s="2566"/>
      <c r="AA276" s="2566"/>
      <c r="AB276" s="2566"/>
      <c r="AC276" s="2566"/>
      <c r="AD276" s="2323"/>
      <c r="AE276" s="2323"/>
      <c r="AF276" s="2323"/>
      <c r="AG276" s="2323"/>
      <c r="AH276" s="2323"/>
      <c r="AI276" s="2323"/>
      <c r="AJ276" s="2323"/>
      <c r="AK276" s="2898"/>
      <c r="AL276" s="2895">
        <f t="shared" si="8"/>
        <v>0</v>
      </c>
      <c r="AM276" s="2896" t="str">
        <f t="shared" si="9"/>
        <v/>
      </c>
    </row>
    <row r="277" spans="1:39" hidden="1" outlineLevel="1">
      <c r="A277" s="2566"/>
      <c r="B277" s="3210"/>
      <c r="C277" s="3208" t="s">
        <v>3913</v>
      </c>
      <c r="D277" s="3208" t="s">
        <v>3911</v>
      </c>
      <c r="E277" s="3210" t="s">
        <v>3910</v>
      </c>
      <c r="F277" s="3767" t="s">
        <v>3860</v>
      </c>
      <c r="G277" s="3769"/>
      <c r="H277" s="2323"/>
      <c r="I277" s="2323"/>
      <c r="J277" s="2323"/>
      <c r="K277" s="2323"/>
      <c r="L277" s="2323"/>
      <c r="M277" s="2323"/>
      <c r="N277" s="2323"/>
      <c r="O277" s="2323"/>
      <c r="P277" s="2323"/>
      <c r="Q277" s="2323"/>
      <c r="R277" s="2323"/>
      <c r="S277" s="2323"/>
      <c r="T277" s="2383"/>
      <c r="U277" s="2383"/>
      <c r="V277" s="2319"/>
      <c r="W277" s="2319"/>
      <c r="X277" s="2319"/>
      <c r="Y277" s="2319"/>
      <c r="Z277" s="2566"/>
      <c r="AA277" s="2566"/>
      <c r="AB277" s="2566"/>
      <c r="AC277" s="2566"/>
      <c r="AD277" s="2323"/>
      <c r="AE277" s="2323"/>
      <c r="AF277" s="2323"/>
      <c r="AG277" s="2323"/>
      <c r="AH277" s="2323"/>
      <c r="AI277" s="2323"/>
      <c r="AJ277" s="2323"/>
      <c r="AK277" s="2898"/>
      <c r="AL277" s="2895">
        <f t="shared" si="8"/>
        <v>0</v>
      </c>
      <c r="AM277" s="2896" t="str">
        <f t="shared" si="9"/>
        <v/>
      </c>
    </row>
    <row r="278" spans="1:39" hidden="1" outlineLevel="1">
      <c r="A278" s="2566"/>
      <c r="B278" s="3210"/>
      <c r="C278" s="3208"/>
      <c r="D278" s="3208"/>
      <c r="E278" s="3210"/>
      <c r="F278" s="3767" t="s">
        <v>3861</v>
      </c>
      <c r="G278" s="3769"/>
      <c r="H278" s="2323"/>
      <c r="I278" s="2323"/>
      <c r="J278" s="2323"/>
      <c r="K278" s="2323"/>
      <c r="L278" s="2323"/>
      <c r="M278" s="2323"/>
      <c r="N278" s="2323"/>
      <c r="O278" s="2323"/>
      <c r="P278" s="2323"/>
      <c r="Q278" s="2323"/>
      <c r="R278" s="2323"/>
      <c r="S278" s="2323"/>
      <c r="T278" s="2383"/>
      <c r="U278" s="2383"/>
      <c r="V278" s="2319"/>
      <c r="W278" s="2319"/>
      <c r="X278" s="2319"/>
      <c r="Y278" s="2319"/>
      <c r="Z278" s="2566"/>
      <c r="AA278" s="2566"/>
      <c r="AB278" s="2566"/>
      <c r="AC278" s="2566"/>
      <c r="AD278" s="2323"/>
      <c r="AE278" s="2323"/>
      <c r="AF278" s="2323"/>
      <c r="AG278" s="2323"/>
      <c r="AH278" s="2323"/>
      <c r="AI278" s="2323"/>
      <c r="AJ278" s="2323"/>
      <c r="AK278" s="2898"/>
      <c r="AL278" s="2895">
        <f t="shared" si="8"/>
        <v>0</v>
      </c>
      <c r="AM278" s="2896" t="str">
        <f t="shared" si="9"/>
        <v/>
      </c>
    </row>
    <row r="279" spans="1:39" hidden="1" outlineLevel="1">
      <c r="A279" s="2566"/>
      <c r="B279" s="3210"/>
      <c r="C279" s="3208"/>
      <c r="D279" s="3208"/>
      <c r="E279" s="3210"/>
      <c r="F279" s="3767" t="s">
        <v>3862</v>
      </c>
      <c r="G279" s="3769"/>
      <c r="H279" s="2323"/>
      <c r="I279" s="2323"/>
      <c r="J279" s="2323"/>
      <c r="K279" s="2323"/>
      <c r="L279" s="2323"/>
      <c r="M279" s="2323"/>
      <c r="N279" s="2323"/>
      <c r="O279" s="2323"/>
      <c r="P279" s="2323"/>
      <c r="Q279" s="2323"/>
      <c r="R279" s="2323"/>
      <c r="S279" s="2323"/>
      <c r="T279" s="2383"/>
      <c r="U279" s="2383"/>
      <c r="V279" s="2319"/>
      <c r="W279" s="2319"/>
      <c r="X279" s="2319"/>
      <c r="Y279" s="2319"/>
      <c r="Z279" s="2566"/>
      <c r="AA279" s="2566"/>
      <c r="AB279" s="2566"/>
      <c r="AC279" s="2566"/>
      <c r="AD279" s="2323"/>
      <c r="AE279" s="2323"/>
      <c r="AF279" s="2323"/>
      <c r="AG279" s="2323"/>
      <c r="AH279" s="2323"/>
      <c r="AI279" s="2323"/>
      <c r="AJ279" s="2323"/>
      <c r="AK279" s="2898"/>
      <c r="AL279" s="2895">
        <f t="shared" si="8"/>
        <v>0</v>
      </c>
      <c r="AM279" s="2896" t="str">
        <f t="shared" si="9"/>
        <v/>
      </c>
    </row>
    <row r="280" spans="1:39" hidden="1" outlineLevel="1">
      <c r="A280" s="2566"/>
      <c r="B280" s="3210"/>
      <c r="C280" s="3208"/>
      <c r="D280" s="3208"/>
      <c r="E280" s="3210"/>
      <c r="F280" s="3767" t="s">
        <v>3863</v>
      </c>
      <c r="G280" s="3769"/>
      <c r="H280" s="2323"/>
      <c r="I280" s="2323"/>
      <c r="J280" s="2323"/>
      <c r="K280" s="2323"/>
      <c r="L280" s="2323"/>
      <c r="M280" s="2323"/>
      <c r="N280" s="2323"/>
      <c r="O280" s="2323"/>
      <c r="P280" s="2323"/>
      <c r="Q280" s="2323"/>
      <c r="R280" s="2323"/>
      <c r="S280" s="2323"/>
      <c r="T280" s="2383"/>
      <c r="U280" s="2383"/>
      <c r="V280" s="2343"/>
      <c r="W280" s="2343"/>
      <c r="X280" s="2343"/>
      <c r="Y280" s="2343"/>
      <c r="Z280" s="2566"/>
      <c r="AA280" s="2566"/>
      <c r="AB280" s="2566"/>
      <c r="AC280" s="2566"/>
      <c r="AD280" s="2323"/>
      <c r="AE280" s="2323"/>
      <c r="AF280" s="2323"/>
      <c r="AG280" s="2323"/>
      <c r="AH280" s="2323"/>
      <c r="AI280" s="2323"/>
      <c r="AJ280" s="2323"/>
      <c r="AK280" s="2898"/>
      <c r="AL280" s="2895">
        <f t="shared" si="8"/>
        <v>0</v>
      </c>
      <c r="AM280" s="2896" t="str">
        <f t="shared" si="9"/>
        <v/>
      </c>
    </row>
    <row r="281" spans="1:39" hidden="1" outlineLevel="1">
      <c r="A281" s="2566"/>
      <c r="B281" s="3210"/>
      <c r="C281" s="3208"/>
      <c r="D281" s="3208"/>
      <c r="E281" s="3210"/>
      <c r="F281" s="3767" t="s">
        <v>3864</v>
      </c>
      <c r="G281" s="3769"/>
      <c r="H281" s="2323"/>
      <c r="I281" s="2323"/>
      <c r="J281" s="2323"/>
      <c r="K281" s="2323"/>
      <c r="L281" s="2323"/>
      <c r="M281" s="2323"/>
      <c r="N281" s="2323"/>
      <c r="O281" s="2323"/>
      <c r="P281" s="2323"/>
      <c r="Q281" s="2323"/>
      <c r="R281" s="2323"/>
      <c r="S281" s="2323"/>
      <c r="T281" s="2383"/>
      <c r="U281" s="2383"/>
      <c r="V281" s="2319"/>
      <c r="W281" s="2319"/>
      <c r="X281" s="2319"/>
      <c r="Y281" s="2319"/>
      <c r="Z281" s="2566"/>
      <c r="AA281" s="2566"/>
      <c r="AB281" s="2566"/>
      <c r="AC281" s="2566"/>
      <c r="AD281" s="2323"/>
      <c r="AE281" s="2323"/>
      <c r="AF281" s="2323"/>
      <c r="AG281" s="2323"/>
      <c r="AH281" s="2323"/>
      <c r="AI281" s="2323"/>
      <c r="AJ281" s="2323"/>
      <c r="AK281" s="2898"/>
      <c r="AL281" s="2895">
        <f t="shared" si="8"/>
        <v>0</v>
      </c>
      <c r="AM281" s="2896" t="str">
        <f t="shared" si="9"/>
        <v/>
      </c>
    </row>
    <row r="282" spans="1:39" hidden="1" outlineLevel="1">
      <c r="A282" s="2566"/>
      <c r="B282" s="3210"/>
      <c r="C282" s="3208"/>
      <c r="D282" s="3208"/>
      <c r="E282" s="3210"/>
      <c r="F282" s="3767" t="s">
        <v>3865</v>
      </c>
      <c r="G282" s="3769"/>
      <c r="H282" s="2323"/>
      <c r="I282" s="2323"/>
      <c r="J282" s="2323"/>
      <c r="K282" s="2323"/>
      <c r="L282" s="2323"/>
      <c r="M282" s="2323"/>
      <c r="N282" s="2323"/>
      <c r="O282" s="2323"/>
      <c r="P282" s="2323"/>
      <c r="Q282" s="2323"/>
      <c r="R282" s="2323"/>
      <c r="S282" s="2323"/>
      <c r="T282" s="2383"/>
      <c r="U282" s="2383"/>
      <c r="V282" s="2319"/>
      <c r="W282" s="2319"/>
      <c r="X282" s="2319"/>
      <c r="Y282" s="2319"/>
      <c r="Z282" s="2566"/>
      <c r="AA282" s="2566"/>
      <c r="AB282" s="2566"/>
      <c r="AC282" s="2566"/>
      <c r="AD282" s="2323"/>
      <c r="AE282" s="2323"/>
      <c r="AF282" s="2323"/>
      <c r="AG282" s="2323"/>
      <c r="AH282" s="2323"/>
      <c r="AI282" s="2323"/>
      <c r="AJ282" s="2323"/>
      <c r="AK282" s="2898"/>
      <c r="AL282" s="2895">
        <f t="shared" si="8"/>
        <v>0</v>
      </c>
      <c r="AM282" s="2896" t="str">
        <f t="shared" si="9"/>
        <v/>
      </c>
    </row>
    <row r="283" spans="1:39" hidden="1" outlineLevel="1">
      <c r="A283" s="2566"/>
      <c r="B283" s="3210"/>
      <c r="C283" s="3208" t="s">
        <v>3914</v>
      </c>
      <c r="D283" s="3208" t="s">
        <v>3908</v>
      </c>
      <c r="E283" s="3210" t="s">
        <v>3909</v>
      </c>
      <c r="F283" s="3767" t="s">
        <v>3860</v>
      </c>
      <c r="G283" s="3769"/>
      <c r="H283" s="2323"/>
      <c r="I283" s="2323"/>
      <c r="J283" s="2323"/>
      <c r="K283" s="2323"/>
      <c r="L283" s="2323"/>
      <c r="M283" s="2323"/>
      <c r="N283" s="2323"/>
      <c r="O283" s="2323"/>
      <c r="P283" s="2323"/>
      <c r="Q283" s="2323"/>
      <c r="R283" s="2323"/>
      <c r="S283" s="2323"/>
      <c r="T283" s="2383"/>
      <c r="U283" s="2383"/>
      <c r="V283" s="2319"/>
      <c r="W283" s="2319"/>
      <c r="X283" s="2319"/>
      <c r="Y283" s="2319"/>
      <c r="Z283" s="2566"/>
      <c r="AA283" s="2566"/>
      <c r="AB283" s="2566"/>
      <c r="AC283" s="2566"/>
      <c r="AD283" s="2323"/>
      <c r="AE283" s="2323"/>
      <c r="AF283" s="2323"/>
      <c r="AG283" s="2323"/>
      <c r="AH283" s="2323"/>
      <c r="AI283" s="2323"/>
      <c r="AJ283" s="2323"/>
      <c r="AK283" s="2898"/>
      <c r="AL283" s="2895">
        <f t="shared" si="8"/>
        <v>0</v>
      </c>
      <c r="AM283" s="2896" t="str">
        <f t="shared" si="9"/>
        <v/>
      </c>
    </row>
    <row r="284" spans="1:39" hidden="1" outlineLevel="1">
      <c r="A284" s="2566"/>
      <c r="B284" s="3210"/>
      <c r="C284" s="3208"/>
      <c r="D284" s="3208"/>
      <c r="E284" s="3210"/>
      <c r="F284" s="3767" t="s">
        <v>3861</v>
      </c>
      <c r="G284" s="3769"/>
      <c r="H284" s="2323"/>
      <c r="I284" s="2323"/>
      <c r="J284" s="2323"/>
      <c r="K284" s="2323"/>
      <c r="L284" s="2323"/>
      <c r="M284" s="2323"/>
      <c r="N284" s="2323"/>
      <c r="O284" s="2323"/>
      <c r="P284" s="2323"/>
      <c r="Q284" s="2323"/>
      <c r="R284" s="2323"/>
      <c r="S284" s="2323"/>
      <c r="T284" s="2383"/>
      <c r="U284" s="2383"/>
      <c r="V284" s="2319"/>
      <c r="W284" s="2319"/>
      <c r="X284" s="2319"/>
      <c r="Y284" s="2319"/>
      <c r="Z284" s="2566"/>
      <c r="AA284" s="2566"/>
      <c r="AB284" s="2566"/>
      <c r="AC284" s="2566"/>
      <c r="AD284" s="2323"/>
      <c r="AE284" s="2323"/>
      <c r="AF284" s="2323"/>
      <c r="AG284" s="2323"/>
      <c r="AH284" s="2323"/>
      <c r="AI284" s="2323"/>
      <c r="AJ284" s="2323"/>
      <c r="AK284" s="2898"/>
      <c r="AL284" s="2895">
        <f t="shared" si="8"/>
        <v>0</v>
      </c>
      <c r="AM284" s="2896" t="str">
        <f t="shared" si="9"/>
        <v/>
      </c>
    </row>
    <row r="285" spans="1:39" hidden="1" outlineLevel="1">
      <c r="A285" s="2566"/>
      <c r="B285" s="3210"/>
      <c r="C285" s="3208"/>
      <c r="D285" s="3208"/>
      <c r="E285" s="3210"/>
      <c r="F285" s="3767" t="s">
        <v>3862</v>
      </c>
      <c r="G285" s="3769"/>
      <c r="H285" s="2323"/>
      <c r="I285" s="2323"/>
      <c r="J285" s="2323"/>
      <c r="K285" s="2323"/>
      <c r="L285" s="2323"/>
      <c r="M285" s="2323"/>
      <c r="N285" s="2323"/>
      <c r="O285" s="2323"/>
      <c r="P285" s="2323"/>
      <c r="Q285" s="2323"/>
      <c r="R285" s="2323"/>
      <c r="S285" s="2323"/>
      <c r="T285" s="2383"/>
      <c r="U285" s="2383"/>
      <c r="V285" s="2319"/>
      <c r="W285" s="2319"/>
      <c r="X285" s="2319"/>
      <c r="Y285" s="2319"/>
      <c r="Z285" s="2566"/>
      <c r="AA285" s="2566"/>
      <c r="AB285" s="2566"/>
      <c r="AC285" s="2566"/>
      <c r="AD285" s="2323"/>
      <c r="AE285" s="2323"/>
      <c r="AF285" s="2323"/>
      <c r="AG285" s="2323"/>
      <c r="AH285" s="2323"/>
      <c r="AI285" s="2323"/>
      <c r="AJ285" s="2323"/>
      <c r="AK285" s="2898"/>
      <c r="AL285" s="2895">
        <f t="shared" si="8"/>
        <v>0</v>
      </c>
      <c r="AM285" s="2896" t="str">
        <f t="shared" si="9"/>
        <v/>
      </c>
    </row>
    <row r="286" spans="1:39" hidden="1" outlineLevel="1">
      <c r="A286" s="2566"/>
      <c r="B286" s="3210"/>
      <c r="C286" s="3208"/>
      <c r="D286" s="3208"/>
      <c r="E286" s="3210"/>
      <c r="F286" s="3767" t="s">
        <v>3863</v>
      </c>
      <c r="G286" s="3769"/>
      <c r="H286" s="3694"/>
      <c r="I286" s="3694"/>
      <c r="J286" s="3694"/>
      <c r="K286" s="3694"/>
      <c r="L286" s="3694"/>
      <c r="M286" s="3694"/>
      <c r="N286" s="3694"/>
      <c r="O286" s="3694"/>
      <c r="P286" s="3694"/>
      <c r="Q286" s="3694"/>
      <c r="R286" s="3694"/>
      <c r="S286" s="3694"/>
      <c r="T286" s="2383"/>
      <c r="U286" s="2383"/>
      <c r="V286" s="2323"/>
      <c r="W286" s="2323"/>
      <c r="X286" s="2323"/>
      <c r="Y286" s="2323"/>
      <c r="Z286" s="2566"/>
      <c r="AA286" s="2566"/>
      <c r="AB286" s="2566"/>
      <c r="AC286" s="2566"/>
      <c r="AD286" s="2323"/>
      <c r="AE286" s="2323"/>
      <c r="AF286" s="2323"/>
      <c r="AG286" s="2323"/>
      <c r="AH286" s="2323"/>
      <c r="AI286" s="2323"/>
      <c r="AJ286" s="2323"/>
      <c r="AK286" s="2898"/>
      <c r="AL286" s="2895">
        <f t="shared" si="8"/>
        <v>0</v>
      </c>
      <c r="AM286" s="2896" t="str">
        <f t="shared" si="9"/>
        <v/>
      </c>
    </row>
    <row r="287" spans="1:39" hidden="1" outlineLevel="1">
      <c r="A287" s="2566"/>
      <c r="B287" s="3210"/>
      <c r="C287" s="3208"/>
      <c r="D287" s="3208"/>
      <c r="E287" s="3210"/>
      <c r="F287" s="3767" t="s">
        <v>3864</v>
      </c>
      <c r="G287" s="3769"/>
      <c r="H287" s="3695"/>
      <c r="I287" s="3695"/>
      <c r="J287" s="3695"/>
      <c r="K287" s="3695"/>
      <c r="L287" s="3695"/>
      <c r="M287" s="3695"/>
      <c r="N287" s="3695"/>
      <c r="O287" s="3695"/>
      <c r="P287" s="3695"/>
      <c r="Q287" s="3695"/>
      <c r="R287" s="3695"/>
      <c r="S287" s="3695"/>
      <c r="T287" s="2383"/>
      <c r="U287" s="2383"/>
      <c r="V287" s="2323"/>
      <c r="W287" s="2323"/>
      <c r="X287" s="2323"/>
      <c r="Y287" s="2323"/>
      <c r="Z287" s="2566"/>
      <c r="AA287" s="2566"/>
      <c r="AB287" s="2566"/>
      <c r="AC287" s="2566"/>
      <c r="AD287" s="2323"/>
      <c r="AE287" s="2323"/>
      <c r="AF287" s="2323"/>
      <c r="AG287" s="2323"/>
      <c r="AH287" s="2323"/>
      <c r="AI287" s="2323"/>
      <c r="AJ287" s="2323"/>
      <c r="AK287" s="2898"/>
      <c r="AL287" s="2895">
        <f t="shared" si="8"/>
        <v>0</v>
      </c>
      <c r="AM287" s="2896" t="str">
        <f t="shared" si="9"/>
        <v/>
      </c>
    </row>
    <row r="288" spans="1:39" hidden="1" outlineLevel="1">
      <c r="A288" s="2566"/>
      <c r="B288" s="3210"/>
      <c r="C288" s="3208"/>
      <c r="D288" s="3208"/>
      <c r="E288" s="3210"/>
      <c r="F288" s="3767" t="s">
        <v>3865</v>
      </c>
      <c r="G288" s="3769"/>
      <c r="H288" s="3696"/>
      <c r="I288" s="3696"/>
      <c r="J288" s="3696"/>
      <c r="K288" s="3696"/>
      <c r="L288" s="3696"/>
      <c r="M288" s="3696"/>
      <c r="N288" s="3696"/>
      <c r="O288" s="3697"/>
      <c r="P288" s="3697"/>
      <c r="Q288" s="3697"/>
      <c r="R288" s="3697"/>
      <c r="S288" s="3697"/>
      <c r="T288" s="2383"/>
      <c r="U288" s="2383"/>
      <c r="V288" s="2323"/>
      <c r="W288" s="2323"/>
      <c r="X288" s="2323"/>
      <c r="Y288" s="2323"/>
      <c r="Z288" s="2566"/>
      <c r="AA288" s="2566"/>
      <c r="AB288" s="2566"/>
      <c r="AC288" s="2566"/>
      <c r="AD288" s="2323"/>
      <c r="AE288" s="2323"/>
      <c r="AF288" s="2323"/>
      <c r="AG288" s="2323"/>
      <c r="AH288" s="2323"/>
      <c r="AI288" s="2323"/>
      <c r="AJ288" s="2323"/>
      <c r="AK288" s="2898"/>
      <c r="AL288" s="2895">
        <f t="shared" si="8"/>
        <v>0</v>
      </c>
      <c r="AM288" s="2896" t="str">
        <f t="shared" si="9"/>
        <v/>
      </c>
    </row>
    <row r="289" spans="1:39" hidden="1" outlineLevel="1">
      <c r="A289" s="2566"/>
      <c r="B289" s="3210"/>
      <c r="C289" s="3208"/>
      <c r="D289" s="3208" t="s">
        <v>3911</v>
      </c>
      <c r="E289" s="3210" t="s">
        <v>3910</v>
      </c>
      <c r="F289" s="3767" t="s">
        <v>3860</v>
      </c>
      <c r="G289" s="3769"/>
      <c r="H289" s="2967"/>
      <c r="I289" s="2967"/>
      <c r="J289" s="2967"/>
      <c r="K289" s="2967"/>
      <c r="L289" s="2967"/>
      <c r="M289" s="2967"/>
      <c r="N289" s="2967"/>
      <c r="O289" s="2967"/>
      <c r="P289" s="2967"/>
      <c r="Q289" s="2967"/>
      <c r="R289" s="2967"/>
      <c r="S289" s="2967"/>
      <c r="T289" s="2383"/>
      <c r="U289" s="2383"/>
      <c r="V289" s="2323"/>
      <c r="W289" s="2323"/>
      <c r="X289" s="2323"/>
      <c r="Y289" s="2323"/>
      <c r="Z289" s="2566"/>
      <c r="AA289" s="2566"/>
      <c r="AB289" s="2566"/>
      <c r="AC289" s="2566"/>
      <c r="AD289" s="2323"/>
      <c r="AE289" s="2323"/>
      <c r="AF289" s="2323"/>
      <c r="AG289" s="2323"/>
      <c r="AH289" s="2323"/>
      <c r="AI289" s="2323"/>
      <c r="AJ289" s="2323"/>
      <c r="AK289" s="2898"/>
      <c r="AL289" s="2895">
        <f t="shared" si="8"/>
        <v>0</v>
      </c>
      <c r="AM289" s="2896" t="str">
        <f t="shared" si="9"/>
        <v/>
      </c>
    </row>
    <row r="290" spans="1:39" hidden="1" outlineLevel="1">
      <c r="A290" s="2566"/>
      <c r="B290" s="3210"/>
      <c r="C290" s="3208"/>
      <c r="D290" s="3208"/>
      <c r="E290" s="3210"/>
      <c r="F290" s="3767" t="s">
        <v>3861</v>
      </c>
      <c r="G290" s="3769"/>
      <c r="H290" s="3696"/>
      <c r="I290" s="3696"/>
      <c r="J290" s="3696"/>
      <c r="K290" s="3696"/>
      <c r="L290" s="3696"/>
      <c r="M290" s="3696"/>
      <c r="N290" s="3696"/>
      <c r="O290" s="2323"/>
      <c r="P290" s="2323"/>
      <c r="Q290" s="2323"/>
      <c r="R290" s="2323"/>
      <c r="S290" s="2323"/>
      <c r="T290" s="2383"/>
      <c r="U290" s="2383"/>
      <c r="V290" s="2343"/>
      <c r="W290" s="2343"/>
      <c r="X290" s="2343"/>
      <c r="Y290" s="2343"/>
      <c r="Z290" s="2566"/>
      <c r="AA290" s="2566"/>
      <c r="AB290" s="2566"/>
      <c r="AC290" s="2566"/>
      <c r="AD290" s="2323"/>
      <c r="AE290" s="2323"/>
      <c r="AF290" s="2323"/>
      <c r="AG290" s="2323"/>
      <c r="AH290" s="2323"/>
      <c r="AI290" s="2323"/>
      <c r="AJ290" s="2323"/>
      <c r="AK290" s="2898"/>
      <c r="AL290" s="2895">
        <f t="shared" si="8"/>
        <v>0</v>
      </c>
      <c r="AM290" s="2896" t="str">
        <f t="shared" si="9"/>
        <v/>
      </c>
    </row>
    <row r="291" spans="1:39" hidden="1" outlineLevel="1">
      <c r="A291" s="2566"/>
      <c r="B291" s="3210"/>
      <c r="C291" s="3208"/>
      <c r="D291" s="3208"/>
      <c r="E291" s="3210"/>
      <c r="F291" s="3767" t="s">
        <v>3862</v>
      </c>
      <c r="G291" s="3769"/>
      <c r="H291" s="2967"/>
      <c r="I291" s="2967"/>
      <c r="J291" s="2967"/>
      <c r="K291" s="2967"/>
      <c r="L291" s="2967"/>
      <c r="M291" s="2967"/>
      <c r="N291" s="2967"/>
      <c r="O291" s="2323"/>
      <c r="P291" s="2323"/>
      <c r="Q291" s="2323"/>
      <c r="R291" s="2323"/>
      <c r="S291" s="2323"/>
      <c r="T291" s="2383"/>
      <c r="U291" s="2383"/>
      <c r="V291" s="2343"/>
      <c r="W291" s="2343"/>
      <c r="X291" s="2343"/>
      <c r="Y291" s="2343"/>
      <c r="Z291" s="2566"/>
      <c r="AA291" s="2566"/>
      <c r="AB291" s="2566"/>
      <c r="AC291" s="2566"/>
      <c r="AD291" s="2323"/>
      <c r="AE291" s="2323"/>
      <c r="AF291" s="2323"/>
      <c r="AG291" s="2323"/>
      <c r="AH291" s="2323"/>
      <c r="AI291" s="2323"/>
      <c r="AJ291" s="2323"/>
      <c r="AK291" s="2898"/>
      <c r="AL291" s="2895">
        <f t="shared" si="8"/>
        <v>0</v>
      </c>
      <c r="AM291" s="2896" t="str">
        <f t="shared" si="9"/>
        <v/>
      </c>
    </row>
    <row r="292" spans="1:39" hidden="1" outlineLevel="1">
      <c r="A292" s="2566"/>
      <c r="B292" s="3210"/>
      <c r="C292" s="3208"/>
      <c r="D292" s="3208"/>
      <c r="E292" s="3210"/>
      <c r="F292" s="3767" t="s">
        <v>3863</v>
      </c>
      <c r="G292" s="3769"/>
      <c r="H292" s="2967"/>
      <c r="I292" s="2967"/>
      <c r="J292" s="2967"/>
      <c r="K292" s="2967"/>
      <c r="L292" s="2967"/>
      <c r="M292" s="2967"/>
      <c r="N292" s="2967"/>
      <c r="O292" s="2323"/>
      <c r="P292" s="2323"/>
      <c r="Q292" s="2323"/>
      <c r="R292" s="2323"/>
      <c r="S292" s="2323"/>
      <c r="T292" s="2383"/>
      <c r="U292" s="2383"/>
      <c r="V292" s="2343"/>
      <c r="W292" s="2343"/>
      <c r="X292" s="2343"/>
      <c r="Y292" s="2343"/>
      <c r="Z292" s="2566"/>
      <c r="AA292" s="2566"/>
      <c r="AB292" s="2566"/>
      <c r="AC292" s="2566"/>
      <c r="AD292" s="2323"/>
      <c r="AE292" s="2323"/>
      <c r="AF292" s="2323"/>
      <c r="AG292" s="2323"/>
      <c r="AH292" s="2323"/>
      <c r="AI292" s="2323"/>
      <c r="AJ292" s="2323"/>
      <c r="AK292" s="2898"/>
      <c r="AL292" s="2895">
        <f t="shared" si="8"/>
        <v>0</v>
      </c>
      <c r="AM292" s="2896" t="str">
        <f t="shared" si="9"/>
        <v/>
      </c>
    </row>
    <row r="293" spans="1:39" hidden="1" outlineLevel="1">
      <c r="A293" s="2566"/>
      <c r="B293" s="3210"/>
      <c r="C293" s="3208"/>
      <c r="D293" s="3208"/>
      <c r="E293" s="3210"/>
      <c r="F293" s="3767" t="s">
        <v>3864</v>
      </c>
      <c r="G293" s="3769"/>
      <c r="H293" s="2967"/>
      <c r="I293" s="2967"/>
      <c r="J293" s="2967"/>
      <c r="K293" s="2967"/>
      <c r="L293" s="2967"/>
      <c r="M293" s="2967"/>
      <c r="N293" s="2967"/>
      <c r="O293" s="2323"/>
      <c r="P293" s="2323"/>
      <c r="Q293" s="2323"/>
      <c r="R293" s="2323"/>
      <c r="S293" s="2323"/>
      <c r="T293" s="2383"/>
      <c r="U293" s="2383"/>
      <c r="V293" s="2323"/>
      <c r="W293" s="2323"/>
      <c r="X293" s="2323"/>
      <c r="Y293" s="2323"/>
      <c r="Z293" s="2566"/>
      <c r="AA293" s="2566"/>
      <c r="AB293" s="2566"/>
      <c r="AC293" s="2566"/>
      <c r="AD293" s="2323"/>
      <c r="AE293" s="2323"/>
      <c r="AF293" s="2323"/>
      <c r="AG293" s="2323"/>
      <c r="AH293" s="2323"/>
      <c r="AI293" s="2323"/>
      <c r="AJ293" s="2323"/>
      <c r="AK293" s="2898"/>
      <c r="AL293" s="2895">
        <f t="shared" si="8"/>
        <v>0</v>
      </c>
      <c r="AM293" s="2896" t="str">
        <f t="shared" si="9"/>
        <v/>
      </c>
    </row>
    <row r="294" spans="1:39" hidden="1" outlineLevel="1">
      <c r="A294" s="2566"/>
      <c r="B294" s="3210"/>
      <c r="C294" s="3208"/>
      <c r="D294" s="3208"/>
      <c r="E294" s="3210"/>
      <c r="F294" s="3767" t="s">
        <v>3865</v>
      </c>
      <c r="G294" s="3769"/>
      <c r="H294" s="2967"/>
      <c r="I294" s="2967"/>
      <c r="J294" s="2967"/>
      <c r="K294" s="2967"/>
      <c r="L294" s="2967"/>
      <c r="M294" s="2967"/>
      <c r="N294" s="2967"/>
      <c r="O294" s="2323"/>
      <c r="P294" s="2323"/>
      <c r="Q294" s="2323"/>
      <c r="R294" s="2323"/>
      <c r="S294" s="2323"/>
      <c r="T294" s="2383"/>
      <c r="U294" s="2383"/>
      <c r="V294" s="2323"/>
      <c r="W294" s="2323"/>
      <c r="X294" s="2323"/>
      <c r="Y294" s="2323"/>
      <c r="Z294" s="2566"/>
      <c r="AA294" s="2566"/>
      <c r="AB294" s="2566"/>
      <c r="AC294" s="2566"/>
      <c r="AD294" s="2323"/>
      <c r="AE294" s="2323"/>
      <c r="AF294" s="2323"/>
      <c r="AG294" s="2323"/>
      <c r="AH294" s="2323"/>
      <c r="AI294" s="2323"/>
      <c r="AJ294" s="2323"/>
      <c r="AK294" s="2898"/>
      <c r="AL294" s="2895">
        <f t="shared" si="8"/>
        <v>0</v>
      </c>
      <c r="AM294" s="2896" t="str">
        <f t="shared" si="9"/>
        <v/>
      </c>
    </row>
    <row r="295" spans="1:39" hidden="1" outlineLevel="1">
      <c r="A295" s="2566"/>
      <c r="B295" s="3210"/>
      <c r="C295" s="3210" t="s">
        <v>3915</v>
      </c>
      <c r="D295" s="3208" t="s">
        <v>3908</v>
      </c>
      <c r="E295" s="3210" t="s">
        <v>3909</v>
      </c>
      <c r="F295" s="3767" t="s">
        <v>3860</v>
      </c>
      <c r="G295" s="3769"/>
      <c r="H295" s="2967"/>
      <c r="I295" s="2967"/>
      <c r="J295" s="2967"/>
      <c r="K295" s="2967"/>
      <c r="L295" s="2967"/>
      <c r="M295" s="2967"/>
      <c r="N295" s="2967"/>
      <c r="O295" s="2323"/>
      <c r="P295" s="2323"/>
      <c r="Q295" s="2323"/>
      <c r="R295" s="2323"/>
      <c r="S295" s="2323"/>
      <c r="T295" s="2383"/>
      <c r="U295" s="2383"/>
      <c r="V295" s="2323"/>
      <c r="W295" s="2323"/>
      <c r="X295" s="2323"/>
      <c r="Y295" s="2323"/>
      <c r="Z295" s="2566"/>
      <c r="AA295" s="2566"/>
      <c r="AB295" s="2566"/>
      <c r="AC295" s="2566"/>
      <c r="AD295" s="2323"/>
      <c r="AE295" s="2323"/>
      <c r="AF295" s="2323"/>
      <c r="AG295" s="2323"/>
      <c r="AH295" s="2323"/>
      <c r="AI295" s="2323"/>
      <c r="AJ295" s="2323"/>
      <c r="AK295" s="2898"/>
      <c r="AL295" s="2895">
        <f t="shared" si="8"/>
        <v>0</v>
      </c>
      <c r="AM295" s="2896" t="str">
        <f t="shared" si="9"/>
        <v/>
      </c>
    </row>
    <row r="296" spans="1:39" hidden="1" outlineLevel="1">
      <c r="A296" s="2566"/>
      <c r="B296" s="3210"/>
      <c r="C296" s="3210"/>
      <c r="D296" s="3208"/>
      <c r="E296" s="3210"/>
      <c r="F296" s="3767" t="s">
        <v>3861</v>
      </c>
      <c r="G296" s="3769"/>
      <c r="H296" s="2967"/>
      <c r="I296" s="2967"/>
      <c r="J296" s="2967"/>
      <c r="K296" s="2967"/>
      <c r="L296" s="2967"/>
      <c r="M296" s="2967"/>
      <c r="N296" s="2320"/>
      <c r="O296" s="2323"/>
      <c r="P296" s="2323"/>
      <c r="Q296" s="2323"/>
      <c r="R296" s="2323"/>
      <c r="S296" s="2323"/>
      <c r="T296" s="2383"/>
      <c r="U296" s="2383"/>
      <c r="V296" s="2323"/>
      <c r="W296" s="2323"/>
      <c r="X296" s="2323"/>
      <c r="Y296" s="2323"/>
      <c r="Z296" s="2566"/>
      <c r="AA296" s="2566"/>
      <c r="AB296" s="2566"/>
      <c r="AC296" s="2566"/>
      <c r="AD296" s="2323"/>
      <c r="AE296" s="2323"/>
      <c r="AF296" s="2323"/>
      <c r="AG296" s="2323"/>
      <c r="AH296" s="2323"/>
      <c r="AI296" s="2323"/>
      <c r="AJ296" s="2323"/>
      <c r="AK296" s="2898"/>
      <c r="AL296" s="2895">
        <f t="shared" si="8"/>
        <v>0</v>
      </c>
      <c r="AM296" s="2896" t="str">
        <f t="shared" si="9"/>
        <v/>
      </c>
    </row>
    <row r="297" spans="1:39" hidden="1" outlineLevel="1">
      <c r="A297" s="2566"/>
      <c r="B297" s="3210"/>
      <c r="C297" s="3210"/>
      <c r="D297" s="3208"/>
      <c r="E297" s="3210"/>
      <c r="F297" s="3767" t="s">
        <v>3862</v>
      </c>
      <c r="G297" s="3769"/>
      <c r="H297" s="2967"/>
      <c r="I297" s="2967"/>
      <c r="J297" s="2967"/>
      <c r="K297" s="2967"/>
      <c r="L297" s="2967"/>
      <c r="M297" s="2967"/>
      <c r="N297" s="2967"/>
      <c r="O297" s="2323"/>
      <c r="P297" s="2323"/>
      <c r="Q297" s="2323"/>
      <c r="R297" s="2323"/>
      <c r="S297" s="2323"/>
      <c r="T297" s="2383"/>
      <c r="U297" s="2383"/>
      <c r="V297" s="2323"/>
      <c r="W297" s="2323"/>
      <c r="X297" s="2323"/>
      <c r="Y297" s="2323"/>
      <c r="Z297" s="2566"/>
      <c r="AA297" s="2566"/>
      <c r="AB297" s="2566"/>
      <c r="AC297" s="2566"/>
      <c r="AD297" s="2323"/>
      <c r="AE297" s="2323"/>
      <c r="AF297" s="2323"/>
      <c r="AG297" s="2323"/>
      <c r="AH297" s="2323"/>
      <c r="AI297" s="2323"/>
      <c r="AJ297" s="2323"/>
      <c r="AK297" s="2898"/>
      <c r="AL297" s="2895">
        <f t="shared" si="8"/>
        <v>0</v>
      </c>
      <c r="AM297" s="2896" t="str">
        <f t="shared" si="9"/>
        <v/>
      </c>
    </row>
    <row r="298" spans="1:39" hidden="1" outlineLevel="1">
      <c r="A298" s="2566"/>
      <c r="B298" s="3210"/>
      <c r="C298" s="3210"/>
      <c r="D298" s="3208"/>
      <c r="E298" s="3210"/>
      <c r="F298" s="3767" t="s">
        <v>3863</v>
      </c>
      <c r="G298" s="3769"/>
      <c r="H298" s="2967"/>
      <c r="I298" s="2967"/>
      <c r="J298" s="2967"/>
      <c r="K298" s="2967"/>
      <c r="L298" s="2967"/>
      <c r="M298" s="2967"/>
      <c r="N298" s="2967"/>
      <c r="O298" s="2323"/>
      <c r="P298" s="2323"/>
      <c r="Q298" s="2323"/>
      <c r="R298" s="2323"/>
      <c r="S298" s="2323"/>
      <c r="T298" s="2383"/>
      <c r="U298" s="2383"/>
      <c r="V298" s="2323"/>
      <c r="W298" s="2323"/>
      <c r="X298" s="2323"/>
      <c r="Y298" s="2323"/>
      <c r="Z298" s="2566"/>
      <c r="AA298" s="2566"/>
      <c r="AB298" s="2566"/>
      <c r="AC298" s="2566"/>
      <c r="AD298" s="2323"/>
      <c r="AE298" s="2323"/>
      <c r="AF298" s="2323"/>
      <c r="AG298" s="2323"/>
      <c r="AH298" s="2323"/>
      <c r="AI298" s="2323"/>
      <c r="AJ298" s="2323"/>
      <c r="AK298" s="2898"/>
      <c r="AL298" s="2895">
        <f t="shared" si="8"/>
        <v>0</v>
      </c>
      <c r="AM298" s="2896" t="str">
        <f t="shared" si="9"/>
        <v/>
      </c>
    </row>
    <row r="299" spans="1:39" hidden="1" outlineLevel="1">
      <c r="A299" s="2566"/>
      <c r="B299" s="3210"/>
      <c r="C299" s="3210"/>
      <c r="D299" s="3208"/>
      <c r="E299" s="3210"/>
      <c r="F299" s="3767" t="s">
        <v>3864</v>
      </c>
      <c r="G299" s="3769"/>
      <c r="H299" s="2967"/>
      <c r="I299" s="2967"/>
      <c r="J299" s="2967"/>
      <c r="K299" s="2967"/>
      <c r="L299" s="2967"/>
      <c r="M299" s="2967"/>
      <c r="N299" s="2967"/>
      <c r="O299" s="2323"/>
      <c r="P299" s="2323"/>
      <c r="Q299" s="2323"/>
      <c r="R299" s="2323"/>
      <c r="S299" s="2323"/>
      <c r="T299" s="2383"/>
      <c r="U299" s="2383"/>
      <c r="V299" s="2323"/>
      <c r="W299" s="2323"/>
      <c r="X299" s="2323"/>
      <c r="Y299" s="2323"/>
      <c r="Z299" s="2566"/>
      <c r="AA299" s="2566"/>
      <c r="AB299" s="2566"/>
      <c r="AC299" s="2566"/>
      <c r="AD299" s="2323"/>
      <c r="AE299" s="2323"/>
      <c r="AF299" s="2323"/>
      <c r="AG299" s="2323"/>
      <c r="AH299" s="2323"/>
      <c r="AI299" s="2323"/>
      <c r="AJ299" s="2323"/>
      <c r="AK299" s="2898"/>
      <c r="AL299" s="2895">
        <f t="shared" ref="AL299:AL336" si="10">AK299*$AC$12</f>
        <v>0</v>
      </c>
      <c r="AM299" s="2896" t="str">
        <f t="shared" ref="AM299:AM336" si="11">IFERROR(AI299/AL299,"")</f>
        <v/>
      </c>
    </row>
    <row r="300" spans="1:39" hidden="1" outlineLevel="1">
      <c r="A300" s="2566"/>
      <c r="B300" s="3210"/>
      <c r="C300" s="3210"/>
      <c r="D300" s="3208"/>
      <c r="E300" s="3210"/>
      <c r="F300" s="3767" t="s">
        <v>3865</v>
      </c>
      <c r="G300" s="3769"/>
      <c r="H300" s="2322"/>
      <c r="I300" s="2322"/>
      <c r="J300" s="2322"/>
      <c r="K300" s="2322"/>
      <c r="L300" s="2322"/>
      <c r="M300" s="2322"/>
      <c r="N300" s="2323"/>
      <c r="O300" s="2323"/>
      <c r="P300" s="2323"/>
      <c r="Q300" s="2323"/>
      <c r="R300" s="2323"/>
      <c r="S300" s="2323"/>
      <c r="T300" s="2383"/>
      <c r="U300" s="2383"/>
      <c r="V300" s="2323"/>
      <c r="W300" s="2323"/>
      <c r="X300" s="2323"/>
      <c r="Y300" s="2323"/>
      <c r="Z300" s="2566"/>
      <c r="AA300" s="2566"/>
      <c r="AB300" s="2566"/>
      <c r="AC300" s="2566"/>
      <c r="AD300" s="2323"/>
      <c r="AE300" s="2323"/>
      <c r="AF300" s="2323"/>
      <c r="AG300" s="2323"/>
      <c r="AH300" s="2323"/>
      <c r="AI300" s="2323"/>
      <c r="AJ300" s="2323"/>
      <c r="AK300" s="2898"/>
      <c r="AL300" s="2895">
        <f t="shared" si="10"/>
        <v>0</v>
      </c>
      <c r="AM300" s="2896" t="str">
        <f t="shared" si="11"/>
        <v/>
      </c>
    </row>
    <row r="301" spans="1:39" hidden="1" outlineLevel="1">
      <c r="A301" s="2566"/>
      <c r="B301" s="3210"/>
      <c r="C301" s="3210"/>
      <c r="D301" s="3208" t="s">
        <v>3911</v>
      </c>
      <c r="E301" s="3210" t="s">
        <v>3909</v>
      </c>
      <c r="F301" s="3767" t="s">
        <v>3860</v>
      </c>
      <c r="G301" s="3769"/>
      <c r="H301" s="2322"/>
      <c r="I301" s="2322"/>
      <c r="J301" s="2322"/>
      <c r="K301" s="2322"/>
      <c r="L301" s="2322"/>
      <c r="M301" s="2322"/>
      <c r="N301" s="2323"/>
      <c r="O301" s="2323"/>
      <c r="P301" s="2323"/>
      <c r="Q301" s="2323"/>
      <c r="R301" s="2323"/>
      <c r="S301" s="2323"/>
      <c r="T301" s="2383"/>
      <c r="U301" s="2383"/>
      <c r="V301" s="2343"/>
      <c r="W301" s="2343"/>
      <c r="X301" s="2343"/>
      <c r="Y301" s="2343"/>
      <c r="Z301" s="2566"/>
      <c r="AA301" s="2566"/>
      <c r="AB301" s="2566"/>
      <c r="AC301" s="2566"/>
      <c r="AD301" s="2323"/>
      <c r="AE301" s="2323"/>
      <c r="AF301" s="2323"/>
      <c r="AG301" s="2323"/>
      <c r="AH301" s="2323"/>
      <c r="AI301" s="2323"/>
      <c r="AJ301" s="2323"/>
      <c r="AK301" s="2898"/>
      <c r="AL301" s="2895">
        <f t="shared" si="10"/>
        <v>0</v>
      </c>
      <c r="AM301" s="2896" t="str">
        <f t="shared" si="11"/>
        <v/>
      </c>
    </row>
    <row r="302" spans="1:39" hidden="1" outlineLevel="1">
      <c r="A302" s="2566"/>
      <c r="B302" s="3210"/>
      <c r="C302" s="3210"/>
      <c r="D302" s="3208"/>
      <c r="E302" s="3210"/>
      <c r="F302" s="3767" t="s">
        <v>3861</v>
      </c>
      <c r="G302" s="3769"/>
      <c r="H302" s="2322"/>
      <c r="I302" s="2322"/>
      <c r="J302" s="2322"/>
      <c r="K302" s="2322"/>
      <c r="L302" s="2322"/>
      <c r="M302" s="2322"/>
      <c r="N302" s="2323"/>
      <c r="O302" s="2323"/>
      <c r="P302" s="2323"/>
      <c r="Q302" s="2323"/>
      <c r="R302" s="2323"/>
      <c r="S302" s="2323"/>
      <c r="T302" s="2383"/>
      <c r="U302" s="2383"/>
      <c r="V302" s="2343"/>
      <c r="W302" s="2343"/>
      <c r="X302" s="2343"/>
      <c r="Y302" s="2343"/>
      <c r="Z302" s="2566"/>
      <c r="AA302" s="2566"/>
      <c r="AB302" s="2566"/>
      <c r="AC302" s="2566"/>
      <c r="AD302" s="2323"/>
      <c r="AE302" s="2323"/>
      <c r="AF302" s="2323"/>
      <c r="AG302" s="2323"/>
      <c r="AH302" s="2323"/>
      <c r="AI302" s="2323"/>
      <c r="AJ302" s="2323"/>
      <c r="AK302" s="2898"/>
      <c r="AL302" s="2895">
        <f t="shared" si="10"/>
        <v>0</v>
      </c>
      <c r="AM302" s="2896" t="str">
        <f t="shared" si="11"/>
        <v/>
      </c>
    </row>
    <row r="303" spans="1:39" hidden="1" outlineLevel="1">
      <c r="A303" s="2566"/>
      <c r="B303" s="3210"/>
      <c r="C303" s="3210"/>
      <c r="D303" s="3208"/>
      <c r="E303" s="3210"/>
      <c r="F303" s="3767" t="s">
        <v>3862</v>
      </c>
      <c r="G303" s="3769"/>
      <c r="H303" s="2322"/>
      <c r="I303" s="2322"/>
      <c r="J303" s="2322"/>
      <c r="K303" s="2322"/>
      <c r="L303" s="2322"/>
      <c r="M303" s="2322"/>
      <c r="N303" s="2323"/>
      <c r="O303" s="2323"/>
      <c r="P303" s="2323"/>
      <c r="Q303" s="2323"/>
      <c r="R303" s="2323"/>
      <c r="S303" s="2323"/>
      <c r="T303" s="2383"/>
      <c r="U303" s="2383"/>
      <c r="V303" s="2343"/>
      <c r="W303" s="2343"/>
      <c r="X303" s="2343"/>
      <c r="Y303" s="2343"/>
      <c r="Z303" s="2566"/>
      <c r="AA303" s="2566"/>
      <c r="AB303" s="2566"/>
      <c r="AC303" s="2566"/>
      <c r="AD303" s="2323"/>
      <c r="AE303" s="2323"/>
      <c r="AF303" s="2323"/>
      <c r="AG303" s="2323"/>
      <c r="AH303" s="2323"/>
      <c r="AI303" s="2323"/>
      <c r="AJ303" s="2323"/>
      <c r="AK303" s="2898"/>
      <c r="AL303" s="2895">
        <f t="shared" si="10"/>
        <v>0</v>
      </c>
      <c r="AM303" s="2896" t="str">
        <f t="shared" si="11"/>
        <v/>
      </c>
    </row>
    <row r="304" spans="1:39" hidden="1" outlineLevel="1">
      <c r="A304" s="2566"/>
      <c r="B304" s="3210"/>
      <c r="C304" s="3210"/>
      <c r="D304" s="3208"/>
      <c r="E304" s="3210"/>
      <c r="F304" s="3767" t="s">
        <v>3863</v>
      </c>
      <c r="G304" s="3769"/>
      <c r="H304" s="2322"/>
      <c r="I304" s="2322"/>
      <c r="J304" s="2322"/>
      <c r="K304" s="2322"/>
      <c r="L304" s="2322"/>
      <c r="M304" s="2322"/>
      <c r="N304" s="2323"/>
      <c r="O304" s="2323"/>
      <c r="P304" s="2323"/>
      <c r="Q304" s="2323"/>
      <c r="R304" s="2323"/>
      <c r="S304" s="2323"/>
      <c r="T304" s="2383"/>
      <c r="U304" s="2383"/>
      <c r="V304" s="2343"/>
      <c r="W304" s="2343"/>
      <c r="X304" s="2343"/>
      <c r="Y304" s="2343"/>
      <c r="Z304" s="2566"/>
      <c r="AA304" s="2566"/>
      <c r="AB304" s="2566"/>
      <c r="AC304" s="2566"/>
      <c r="AD304" s="2323"/>
      <c r="AE304" s="2323"/>
      <c r="AF304" s="2323"/>
      <c r="AG304" s="2323"/>
      <c r="AH304" s="2323"/>
      <c r="AI304" s="2323"/>
      <c r="AJ304" s="2323"/>
      <c r="AK304" s="2898"/>
      <c r="AL304" s="2895">
        <f t="shared" si="10"/>
        <v>0</v>
      </c>
      <c r="AM304" s="2896" t="str">
        <f t="shared" si="11"/>
        <v/>
      </c>
    </row>
    <row r="305" spans="1:39" hidden="1" outlineLevel="1">
      <c r="A305" s="2566"/>
      <c r="B305" s="3210"/>
      <c r="C305" s="3210"/>
      <c r="D305" s="3208"/>
      <c r="E305" s="3210"/>
      <c r="F305" s="3767" t="s">
        <v>3864</v>
      </c>
      <c r="G305" s="3769"/>
      <c r="H305" s="2322"/>
      <c r="I305" s="2322"/>
      <c r="J305" s="2322"/>
      <c r="K305" s="2322"/>
      <c r="L305" s="2322"/>
      <c r="M305" s="2322"/>
      <c r="N305" s="2323"/>
      <c r="O305" s="2323"/>
      <c r="P305" s="2323"/>
      <c r="Q305" s="2323"/>
      <c r="R305" s="2323"/>
      <c r="S305" s="2323"/>
      <c r="T305" s="2383"/>
      <c r="U305" s="2383"/>
      <c r="V305" s="2323"/>
      <c r="W305" s="2323"/>
      <c r="X305" s="2323"/>
      <c r="Y305" s="2323"/>
      <c r="Z305" s="2566"/>
      <c r="AA305" s="2566"/>
      <c r="AB305" s="2566"/>
      <c r="AC305" s="2566"/>
      <c r="AD305" s="2323"/>
      <c r="AE305" s="2323"/>
      <c r="AF305" s="2323"/>
      <c r="AG305" s="2323"/>
      <c r="AH305" s="2323"/>
      <c r="AI305" s="2323"/>
      <c r="AJ305" s="2323"/>
      <c r="AK305" s="2898"/>
      <c r="AL305" s="2895">
        <f t="shared" si="10"/>
        <v>0</v>
      </c>
      <c r="AM305" s="2896" t="str">
        <f t="shared" si="11"/>
        <v/>
      </c>
    </row>
    <row r="306" spans="1:39" hidden="1" outlineLevel="1">
      <c r="A306" s="2566"/>
      <c r="B306" s="3210"/>
      <c r="C306" s="3210"/>
      <c r="D306" s="3208"/>
      <c r="E306" s="3210"/>
      <c r="F306" s="3767" t="s">
        <v>3865</v>
      </c>
      <c r="G306" s="3769"/>
      <c r="H306" s="2322"/>
      <c r="I306" s="2322"/>
      <c r="J306" s="2322"/>
      <c r="K306" s="2322"/>
      <c r="L306" s="2322"/>
      <c r="M306" s="2322"/>
      <c r="N306" s="2323"/>
      <c r="O306" s="2323"/>
      <c r="P306" s="2323"/>
      <c r="Q306" s="2323"/>
      <c r="R306" s="2323"/>
      <c r="S306" s="2323"/>
      <c r="T306" s="2383"/>
      <c r="U306" s="2383"/>
      <c r="V306" s="2323"/>
      <c r="W306" s="2323"/>
      <c r="X306" s="2323"/>
      <c r="Y306" s="2323"/>
      <c r="Z306" s="2566"/>
      <c r="AA306" s="2566"/>
      <c r="AB306" s="2566"/>
      <c r="AC306" s="2566"/>
      <c r="AD306" s="2323"/>
      <c r="AE306" s="2323"/>
      <c r="AF306" s="2323"/>
      <c r="AG306" s="2323"/>
      <c r="AH306" s="2323"/>
      <c r="AI306" s="2323"/>
      <c r="AJ306" s="2323"/>
      <c r="AK306" s="2898"/>
      <c r="AL306" s="2895">
        <f t="shared" si="10"/>
        <v>0</v>
      </c>
      <c r="AM306" s="2896" t="str">
        <f t="shared" si="11"/>
        <v/>
      </c>
    </row>
    <row r="307" spans="1:39" hidden="1" outlineLevel="1">
      <c r="A307" s="2566"/>
      <c r="B307" s="3210"/>
      <c r="C307" s="3210"/>
      <c r="D307" s="3208"/>
      <c r="E307" s="3210" t="s">
        <v>3910</v>
      </c>
      <c r="F307" s="3767" t="s">
        <v>3860</v>
      </c>
      <c r="G307" s="3769"/>
      <c r="H307" s="2325"/>
      <c r="I307" s="2325"/>
      <c r="J307" s="2325"/>
      <c r="K307" s="2325"/>
      <c r="L307" s="2325"/>
      <c r="M307" s="2325"/>
      <c r="N307" s="2323"/>
      <c r="O307" s="2323"/>
      <c r="P307" s="2323"/>
      <c r="Q307" s="2323"/>
      <c r="R307" s="2323"/>
      <c r="S307" s="2323"/>
      <c r="T307" s="2383"/>
      <c r="U307" s="2383"/>
      <c r="V307" s="2323"/>
      <c r="W307" s="2323"/>
      <c r="X307" s="2323"/>
      <c r="Y307" s="2323"/>
      <c r="Z307" s="2566"/>
      <c r="AA307" s="2566"/>
      <c r="AB307" s="2566"/>
      <c r="AC307" s="2566"/>
      <c r="AD307" s="2323"/>
      <c r="AE307" s="2323"/>
      <c r="AF307" s="2323"/>
      <c r="AG307" s="2323"/>
      <c r="AH307" s="2323"/>
      <c r="AI307" s="2323"/>
      <c r="AJ307" s="2323"/>
      <c r="AK307" s="2898"/>
      <c r="AL307" s="2895">
        <f t="shared" si="10"/>
        <v>0</v>
      </c>
      <c r="AM307" s="2896" t="str">
        <f t="shared" si="11"/>
        <v/>
      </c>
    </row>
    <row r="308" spans="1:39" hidden="1" outlineLevel="1">
      <c r="A308" s="2566"/>
      <c r="B308" s="3210"/>
      <c r="C308" s="3210"/>
      <c r="D308" s="3208"/>
      <c r="E308" s="3210"/>
      <c r="F308" s="3767" t="s">
        <v>3861</v>
      </c>
      <c r="G308" s="3769"/>
      <c r="H308" s="2323"/>
      <c r="I308" s="2323"/>
      <c r="J308" s="2323"/>
      <c r="K308" s="2323"/>
      <c r="L308" s="2323"/>
      <c r="M308" s="2323"/>
      <c r="N308" s="2323"/>
      <c r="O308" s="2323"/>
      <c r="P308" s="2323"/>
      <c r="Q308" s="2323"/>
      <c r="R308" s="2323"/>
      <c r="S308" s="2323"/>
      <c r="T308" s="2383"/>
      <c r="U308" s="2383"/>
      <c r="V308" s="2323"/>
      <c r="W308" s="2323"/>
      <c r="X308" s="2323"/>
      <c r="Y308" s="2323"/>
      <c r="Z308" s="2566"/>
      <c r="AA308" s="2566"/>
      <c r="AB308" s="2566"/>
      <c r="AC308" s="2566"/>
      <c r="AD308" s="2323"/>
      <c r="AE308" s="2323"/>
      <c r="AF308" s="2323"/>
      <c r="AG308" s="2323"/>
      <c r="AH308" s="2323"/>
      <c r="AI308" s="2323"/>
      <c r="AJ308" s="2323"/>
      <c r="AK308" s="2898"/>
      <c r="AL308" s="2895">
        <f t="shared" si="10"/>
        <v>0</v>
      </c>
      <c r="AM308" s="2896" t="str">
        <f t="shared" si="11"/>
        <v/>
      </c>
    </row>
    <row r="309" spans="1:39" hidden="1" outlineLevel="1">
      <c r="A309" s="2566"/>
      <c r="B309" s="3210"/>
      <c r="C309" s="3210"/>
      <c r="D309" s="3208"/>
      <c r="E309" s="3210"/>
      <c r="F309" s="3767" t="s">
        <v>3862</v>
      </c>
      <c r="G309" s="3769"/>
      <c r="H309" s="2323"/>
      <c r="I309" s="2323"/>
      <c r="J309" s="2323"/>
      <c r="K309" s="2323"/>
      <c r="L309" s="2323"/>
      <c r="M309" s="2323"/>
      <c r="N309" s="2323"/>
      <c r="O309" s="2323"/>
      <c r="P309" s="2323"/>
      <c r="Q309" s="2323"/>
      <c r="R309" s="2323"/>
      <c r="S309" s="2323"/>
      <c r="T309" s="2383"/>
      <c r="U309" s="2383"/>
      <c r="V309" s="2323"/>
      <c r="W309" s="2323"/>
      <c r="X309" s="2323"/>
      <c r="Y309" s="2323"/>
      <c r="Z309" s="2566"/>
      <c r="AA309" s="2566"/>
      <c r="AB309" s="2566"/>
      <c r="AC309" s="2566"/>
      <c r="AD309" s="2323"/>
      <c r="AE309" s="2323"/>
      <c r="AF309" s="2323"/>
      <c r="AG309" s="2323"/>
      <c r="AH309" s="2323"/>
      <c r="AI309" s="2323"/>
      <c r="AJ309" s="2323"/>
      <c r="AK309" s="2898"/>
      <c r="AL309" s="2895">
        <f t="shared" si="10"/>
        <v>0</v>
      </c>
      <c r="AM309" s="2896" t="str">
        <f t="shared" si="11"/>
        <v/>
      </c>
    </row>
    <row r="310" spans="1:39" hidden="1" outlineLevel="1">
      <c r="A310" s="2566"/>
      <c r="B310" s="3210"/>
      <c r="C310" s="3210"/>
      <c r="D310" s="3208"/>
      <c r="E310" s="3210"/>
      <c r="F310" s="3767" t="s">
        <v>3863</v>
      </c>
      <c r="G310" s="3769"/>
      <c r="H310" s="2323"/>
      <c r="I310" s="2323"/>
      <c r="J310" s="2323"/>
      <c r="K310" s="2323"/>
      <c r="L310" s="2323"/>
      <c r="M310" s="2323"/>
      <c r="N310" s="2323"/>
      <c r="O310" s="2323"/>
      <c r="P310" s="2323"/>
      <c r="Q310" s="2323"/>
      <c r="R310" s="2323"/>
      <c r="S310" s="2323"/>
      <c r="T310" s="2383"/>
      <c r="U310" s="2383"/>
      <c r="V310" s="2323"/>
      <c r="W310" s="2323"/>
      <c r="X310" s="2323"/>
      <c r="Y310" s="2323"/>
      <c r="Z310" s="2566"/>
      <c r="AA310" s="2566"/>
      <c r="AB310" s="2566"/>
      <c r="AC310" s="2566"/>
      <c r="AD310" s="2323"/>
      <c r="AE310" s="2323"/>
      <c r="AF310" s="2323"/>
      <c r="AG310" s="2323"/>
      <c r="AH310" s="2323"/>
      <c r="AI310" s="2323"/>
      <c r="AJ310" s="2323"/>
      <c r="AK310" s="2898"/>
      <c r="AL310" s="2895">
        <f t="shared" si="10"/>
        <v>0</v>
      </c>
      <c r="AM310" s="2896" t="str">
        <f t="shared" si="11"/>
        <v/>
      </c>
    </row>
    <row r="311" spans="1:39" hidden="1" outlineLevel="1">
      <c r="A311" s="2566"/>
      <c r="B311" s="3210"/>
      <c r="C311" s="3210"/>
      <c r="D311" s="3208"/>
      <c r="E311" s="3210"/>
      <c r="F311" s="3767" t="s">
        <v>3864</v>
      </c>
      <c r="G311" s="3769"/>
      <c r="H311" s="2323"/>
      <c r="I311" s="2323"/>
      <c r="J311" s="2323"/>
      <c r="K311" s="2323"/>
      <c r="L311" s="2323"/>
      <c r="M311" s="2323"/>
      <c r="N311" s="2323"/>
      <c r="O311" s="2323"/>
      <c r="P311" s="2323"/>
      <c r="Q311" s="2323"/>
      <c r="R311" s="2323"/>
      <c r="S311" s="2323"/>
      <c r="T311" s="2383"/>
      <c r="U311" s="2383"/>
      <c r="V311" s="2323"/>
      <c r="W311" s="2323"/>
      <c r="X311" s="2323"/>
      <c r="Y311" s="2323"/>
      <c r="Z311" s="2566"/>
      <c r="AA311" s="2566"/>
      <c r="AB311" s="2566"/>
      <c r="AC311" s="2566"/>
      <c r="AD311" s="2323"/>
      <c r="AE311" s="2323"/>
      <c r="AF311" s="2323"/>
      <c r="AG311" s="2323"/>
      <c r="AH311" s="2323"/>
      <c r="AI311" s="2323"/>
      <c r="AJ311" s="2323"/>
      <c r="AK311" s="2898"/>
      <c r="AL311" s="2895">
        <f t="shared" si="10"/>
        <v>0</v>
      </c>
      <c r="AM311" s="2896" t="str">
        <f t="shared" si="11"/>
        <v/>
      </c>
    </row>
    <row r="312" spans="1:39" hidden="1" outlineLevel="1">
      <c r="A312" s="2566"/>
      <c r="B312" s="3210"/>
      <c r="C312" s="3210"/>
      <c r="D312" s="3208"/>
      <c r="E312" s="3210"/>
      <c r="F312" s="3767" t="s">
        <v>3865</v>
      </c>
      <c r="G312" s="3769"/>
      <c r="H312" s="2323"/>
      <c r="I312" s="2323"/>
      <c r="J312" s="2323"/>
      <c r="K312" s="2323"/>
      <c r="L312" s="2323"/>
      <c r="M312" s="2323"/>
      <c r="N312" s="2323"/>
      <c r="O312" s="2323"/>
      <c r="P312" s="2323"/>
      <c r="Q312" s="2323"/>
      <c r="R312" s="2323"/>
      <c r="S312" s="2323"/>
      <c r="T312" s="2383"/>
      <c r="U312" s="2383"/>
      <c r="V312" s="2323"/>
      <c r="W312" s="2323"/>
      <c r="X312" s="2323"/>
      <c r="Y312" s="2323"/>
      <c r="Z312" s="2566"/>
      <c r="AA312" s="2566"/>
      <c r="AB312" s="2566"/>
      <c r="AC312" s="2566"/>
      <c r="AD312" s="2323"/>
      <c r="AE312" s="2323"/>
      <c r="AF312" s="2323"/>
      <c r="AG312" s="2323"/>
      <c r="AH312" s="2323"/>
      <c r="AI312" s="2323"/>
      <c r="AJ312" s="2323"/>
      <c r="AK312" s="2898"/>
      <c r="AL312" s="2895">
        <f t="shared" si="10"/>
        <v>0</v>
      </c>
      <c r="AM312" s="2896" t="str">
        <f t="shared" si="11"/>
        <v/>
      </c>
    </row>
    <row r="313" spans="1:39" hidden="1" outlineLevel="1">
      <c r="A313" s="2566"/>
      <c r="B313" s="3210" t="s">
        <v>2948</v>
      </c>
      <c r="C313" s="3208" t="s">
        <v>3907</v>
      </c>
      <c r="D313" s="3208" t="s">
        <v>3908</v>
      </c>
      <c r="E313" s="3210" t="s">
        <v>3909</v>
      </c>
      <c r="F313" s="3767" t="s">
        <v>3860</v>
      </c>
      <c r="G313" s="3768"/>
      <c r="H313" s="2323"/>
      <c r="I313" s="2323"/>
      <c r="J313" s="2323"/>
      <c r="K313" s="2323"/>
      <c r="L313" s="2323"/>
      <c r="M313" s="2323"/>
      <c r="N313" s="2323"/>
      <c r="O313" s="2323"/>
      <c r="P313" s="2323"/>
      <c r="Q313" s="2323"/>
      <c r="R313" s="2323"/>
      <c r="S313" s="2323"/>
      <c r="T313" s="2383"/>
      <c r="U313" s="2383"/>
      <c r="V313" s="2343"/>
      <c r="W313" s="2343"/>
      <c r="X313" s="2343"/>
      <c r="Y313" s="2343"/>
      <c r="Z313" s="2566"/>
      <c r="AA313" s="2566"/>
      <c r="AB313" s="2566"/>
      <c r="AC313" s="2566"/>
      <c r="AD313" s="2323"/>
      <c r="AE313" s="2323"/>
      <c r="AF313" s="2323"/>
      <c r="AG313" s="2323"/>
      <c r="AH313" s="2323"/>
      <c r="AI313" s="2323"/>
      <c r="AJ313" s="2323"/>
      <c r="AK313" s="2898"/>
      <c r="AL313" s="2895">
        <f t="shared" si="10"/>
        <v>0</v>
      </c>
      <c r="AM313" s="2896" t="str">
        <f t="shared" si="11"/>
        <v/>
      </c>
    </row>
    <row r="314" spans="1:39" hidden="1" outlineLevel="1">
      <c r="A314" s="2566"/>
      <c r="B314" s="3210"/>
      <c r="C314" s="3208"/>
      <c r="D314" s="3208"/>
      <c r="E314" s="3210"/>
      <c r="F314" s="3767" t="s">
        <v>3861</v>
      </c>
      <c r="G314" s="3769"/>
      <c r="H314" s="2323"/>
      <c r="I314" s="2323"/>
      <c r="J314" s="2323"/>
      <c r="K314" s="2323"/>
      <c r="L314" s="2323"/>
      <c r="M314" s="2323"/>
      <c r="N314" s="2323"/>
      <c r="O314" s="2323"/>
      <c r="P314" s="2323"/>
      <c r="Q314" s="2323"/>
      <c r="R314" s="2323"/>
      <c r="S314" s="2323"/>
      <c r="T314" s="2383"/>
      <c r="U314" s="2383"/>
      <c r="V314" s="2323"/>
      <c r="W314" s="2323"/>
      <c r="X314" s="2323"/>
      <c r="Y314" s="2323"/>
      <c r="Z314" s="2566"/>
      <c r="AA314" s="2566"/>
      <c r="AB314" s="2566"/>
      <c r="AC314" s="2566"/>
      <c r="AD314" s="2323"/>
      <c r="AE314" s="2323"/>
      <c r="AF314" s="2323"/>
      <c r="AG314" s="2323"/>
      <c r="AH314" s="2323"/>
      <c r="AI314" s="2323"/>
      <c r="AJ314" s="2323"/>
      <c r="AK314" s="2898"/>
      <c r="AL314" s="2895">
        <f t="shared" si="10"/>
        <v>0</v>
      </c>
      <c r="AM314" s="2896" t="str">
        <f t="shared" si="11"/>
        <v/>
      </c>
    </row>
    <row r="315" spans="1:39" hidden="1" outlineLevel="1">
      <c r="A315" s="2566"/>
      <c r="B315" s="3210"/>
      <c r="C315" s="3208"/>
      <c r="D315" s="3208"/>
      <c r="E315" s="3210"/>
      <c r="F315" s="3767" t="s">
        <v>3862</v>
      </c>
      <c r="G315" s="3769"/>
      <c r="H315" s="2323"/>
      <c r="I315" s="2323"/>
      <c r="J315" s="2323"/>
      <c r="K315" s="2323"/>
      <c r="L315" s="2323"/>
      <c r="M315" s="2323"/>
      <c r="N315" s="2323"/>
      <c r="O315" s="2323"/>
      <c r="P315" s="2323"/>
      <c r="Q315" s="2323"/>
      <c r="R315" s="2323"/>
      <c r="S315" s="2323"/>
      <c r="T315" s="2383"/>
      <c r="U315" s="2383"/>
      <c r="V315" s="2323"/>
      <c r="W315" s="2323"/>
      <c r="X315" s="2323"/>
      <c r="Y315" s="2323"/>
      <c r="Z315" s="2566"/>
      <c r="AA315" s="2566"/>
      <c r="AB315" s="2566"/>
      <c r="AC315" s="2566"/>
      <c r="AD315" s="2323"/>
      <c r="AE315" s="2323"/>
      <c r="AF315" s="2323"/>
      <c r="AG315" s="2323"/>
      <c r="AH315" s="2323"/>
      <c r="AI315" s="2323"/>
      <c r="AJ315" s="2323"/>
      <c r="AK315" s="2898"/>
      <c r="AL315" s="2895">
        <f t="shared" si="10"/>
        <v>0</v>
      </c>
      <c r="AM315" s="2896" t="str">
        <f t="shared" si="11"/>
        <v/>
      </c>
    </row>
    <row r="316" spans="1:39" hidden="1" outlineLevel="1">
      <c r="A316" s="2566"/>
      <c r="B316" s="3210"/>
      <c r="C316" s="3208"/>
      <c r="D316" s="3208"/>
      <c r="E316" s="3210"/>
      <c r="F316" s="3767" t="s">
        <v>3863</v>
      </c>
      <c r="G316" s="3769"/>
      <c r="H316" s="2323"/>
      <c r="I316" s="2323"/>
      <c r="J316" s="2323"/>
      <c r="K316" s="2323"/>
      <c r="L316" s="2323"/>
      <c r="M316" s="2323"/>
      <c r="N316" s="2323"/>
      <c r="O316" s="2323"/>
      <c r="P316" s="2323"/>
      <c r="Q316" s="2323"/>
      <c r="R316" s="2323"/>
      <c r="S316" s="2323"/>
      <c r="T316" s="2383"/>
      <c r="U316" s="2383"/>
      <c r="V316" s="2323"/>
      <c r="W316" s="2323"/>
      <c r="X316" s="2323"/>
      <c r="Y316" s="2323"/>
      <c r="Z316" s="2566"/>
      <c r="AA316" s="2566"/>
      <c r="AB316" s="2566"/>
      <c r="AC316" s="2566"/>
      <c r="AD316" s="2323"/>
      <c r="AE316" s="2323"/>
      <c r="AF316" s="2323"/>
      <c r="AG316" s="2323"/>
      <c r="AH316" s="2323"/>
      <c r="AI316" s="2323"/>
      <c r="AJ316" s="2323"/>
      <c r="AK316" s="2898"/>
      <c r="AL316" s="2895">
        <f t="shared" si="10"/>
        <v>0</v>
      </c>
      <c r="AM316" s="2896" t="str">
        <f t="shared" si="11"/>
        <v/>
      </c>
    </row>
    <row r="317" spans="1:39" hidden="1" outlineLevel="1">
      <c r="A317" s="2566"/>
      <c r="B317" s="3210"/>
      <c r="C317" s="3208"/>
      <c r="D317" s="3208"/>
      <c r="E317" s="3210"/>
      <c r="F317" s="3767" t="s">
        <v>3864</v>
      </c>
      <c r="G317" s="3769"/>
      <c r="H317" s="2323"/>
      <c r="I317" s="2323"/>
      <c r="J317" s="2323"/>
      <c r="K317" s="2323"/>
      <c r="L317" s="2323"/>
      <c r="M317" s="2323"/>
      <c r="N317" s="2323"/>
      <c r="O317" s="2323"/>
      <c r="P317" s="2323"/>
      <c r="Q317" s="2323"/>
      <c r="R317" s="2323"/>
      <c r="S317" s="2323"/>
      <c r="T317" s="2383"/>
      <c r="U317" s="2383"/>
      <c r="V317" s="2323"/>
      <c r="W317" s="2323"/>
      <c r="X317" s="2323"/>
      <c r="Y317" s="2323"/>
      <c r="Z317" s="2566"/>
      <c r="AA317" s="2566"/>
      <c r="AB317" s="2566"/>
      <c r="AC317" s="2566"/>
      <c r="AD317" s="2323"/>
      <c r="AE317" s="2323"/>
      <c r="AF317" s="2323"/>
      <c r="AG317" s="2323"/>
      <c r="AH317" s="2323"/>
      <c r="AI317" s="2323"/>
      <c r="AJ317" s="2323"/>
      <c r="AK317" s="2898"/>
      <c r="AL317" s="2895">
        <f t="shared" si="10"/>
        <v>0</v>
      </c>
      <c r="AM317" s="2896" t="str">
        <f t="shared" si="11"/>
        <v/>
      </c>
    </row>
    <row r="318" spans="1:39" hidden="1" outlineLevel="1">
      <c r="A318" s="2566"/>
      <c r="B318" s="3210"/>
      <c r="C318" s="3208"/>
      <c r="D318" s="3208"/>
      <c r="E318" s="3210"/>
      <c r="F318" s="3767" t="s">
        <v>3865</v>
      </c>
      <c r="G318" s="3769"/>
      <c r="H318" s="3698"/>
      <c r="I318" s="3698"/>
      <c r="J318" s="3698"/>
      <c r="K318" s="3698"/>
      <c r="L318" s="3698"/>
      <c r="M318" s="3698"/>
      <c r="N318" s="3698"/>
      <c r="O318" s="3698"/>
      <c r="P318" s="3698"/>
      <c r="Q318" s="3698"/>
      <c r="R318" s="3698"/>
      <c r="S318" s="3698"/>
      <c r="T318" s="2383"/>
      <c r="U318" s="2383"/>
      <c r="V318" s="2323"/>
      <c r="W318" s="2323"/>
      <c r="X318" s="2323"/>
      <c r="Y318" s="2323"/>
      <c r="Z318" s="2566"/>
      <c r="AA318" s="2566"/>
      <c r="AB318" s="2566"/>
      <c r="AC318" s="2566"/>
      <c r="AD318" s="2323"/>
      <c r="AE318" s="2323"/>
      <c r="AF318" s="2323"/>
      <c r="AG318" s="2323"/>
      <c r="AH318" s="2323"/>
      <c r="AI318" s="2323"/>
      <c r="AJ318" s="2323"/>
      <c r="AK318" s="2898"/>
      <c r="AL318" s="2895">
        <f t="shared" si="10"/>
        <v>0</v>
      </c>
      <c r="AM318" s="2896" t="str">
        <f t="shared" si="11"/>
        <v/>
      </c>
    </row>
    <row r="319" spans="1:39" hidden="1" outlineLevel="1">
      <c r="A319" s="2566"/>
      <c r="B319" s="3210"/>
      <c r="C319" s="3208"/>
      <c r="D319" s="3208"/>
      <c r="E319" s="3210" t="s">
        <v>3910</v>
      </c>
      <c r="F319" s="3767" t="s">
        <v>3860</v>
      </c>
      <c r="G319" s="3769"/>
      <c r="H319" s="3696"/>
      <c r="I319" s="3696"/>
      <c r="J319" s="3696"/>
      <c r="K319" s="3696"/>
      <c r="L319" s="3696"/>
      <c r="M319" s="3696"/>
      <c r="N319" s="3696"/>
      <c r="O319" s="3697"/>
      <c r="P319" s="3697"/>
      <c r="Q319" s="3697"/>
      <c r="R319" s="3697"/>
      <c r="S319" s="3697"/>
      <c r="T319" s="2383"/>
      <c r="U319" s="2383"/>
      <c r="V319" s="2323"/>
      <c r="W319" s="2323"/>
      <c r="X319" s="2323"/>
      <c r="Y319" s="2323"/>
      <c r="Z319" s="2566"/>
      <c r="AA319" s="2566"/>
      <c r="AB319" s="2566"/>
      <c r="AC319" s="2566"/>
      <c r="AD319" s="2323"/>
      <c r="AE319" s="2323"/>
      <c r="AF319" s="2323"/>
      <c r="AG319" s="2323"/>
      <c r="AH319" s="2323"/>
      <c r="AI319" s="2323"/>
      <c r="AJ319" s="2323"/>
      <c r="AK319" s="2898"/>
      <c r="AL319" s="2895">
        <f t="shared" si="10"/>
        <v>0</v>
      </c>
      <c r="AM319" s="2896" t="str">
        <f t="shared" si="11"/>
        <v/>
      </c>
    </row>
    <row r="320" spans="1:39" hidden="1" outlineLevel="1">
      <c r="A320" s="2566"/>
      <c r="B320" s="3210"/>
      <c r="C320" s="3208"/>
      <c r="D320" s="3208"/>
      <c r="E320" s="3210"/>
      <c r="F320" s="3767" t="s">
        <v>3861</v>
      </c>
      <c r="G320" s="3769"/>
      <c r="H320" s="2967"/>
      <c r="I320" s="2967"/>
      <c r="J320" s="2967"/>
      <c r="K320" s="2967"/>
      <c r="L320" s="2967"/>
      <c r="M320" s="2967"/>
      <c r="N320" s="2967"/>
      <c r="O320" s="2967"/>
      <c r="P320" s="2967"/>
      <c r="Q320" s="2967"/>
      <c r="R320" s="2967"/>
      <c r="S320" s="2967"/>
      <c r="T320" s="2383"/>
      <c r="U320" s="2383"/>
      <c r="V320" s="2323"/>
      <c r="W320" s="2323"/>
      <c r="X320" s="2323"/>
      <c r="Y320" s="2323"/>
      <c r="Z320" s="2566"/>
      <c r="AA320" s="2566"/>
      <c r="AB320" s="2566"/>
      <c r="AC320" s="2566"/>
      <c r="AD320" s="2323"/>
      <c r="AE320" s="2323"/>
      <c r="AF320" s="2323"/>
      <c r="AG320" s="2323"/>
      <c r="AH320" s="2323"/>
      <c r="AI320" s="2323"/>
      <c r="AJ320" s="2323"/>
      <c r="AK320" s="2898"/>
      <c r="AL320" s="2895">
        <f t="shared" si="10"/>
        <v>0</v>
      </c>
      <c r="AM320" s="2896" t="str">
        <f t="shared" si="11"/>
        <v/>
      </c>
    </row>
    <row r="321" spans="1:39" hidden="1" outlineLevel="1">
      <c r="A321" s="2566"/>
      <c r="B321" s="3210"/>
      <c r="C321" s="3208"/>
      <c r="D321" s="3208"/>
      <c r="E321" s="3210"/>
      <c r="F321" s="3767" t="s">
        <v>3862</v>
      </c>
      <c r="G321" s="3769"/>
      <c r="H321" s="2323"/>
      <c r="I321" s="2323"/>
      <c r="J321" s="2323"/>
      <c r="K321" s="2323"/>
      <c r="L321" s="2323"/>
      <c r="M321" s="2323"/>
      <c r="N321" s="2323"/>
      <c r="O321" s="2323"/>
      <c r="P321" s="2323"/>
      <c r="Q321" s="2323"/>
      <c r="R321" s="2323"/>
      <c r="S321" s="2323"/>
      <c r="T321" s="2383"/>
      <c r="U321" s="2383"/>
      <c r="V321" s="2323"/>
      <c r="W321" s="2323"/>
      <c r="X321" s="2323"/>
      <c r="Y321" s="2323"/>
      <c r="Z321" s="2566"/>
      <c r="AA321" s="2566"/>
      <c r="AB321" s="2566"/>
      <c r="AC321" s="2566"/>
      <c r="AD321" s="2323"/>
      <c r="AE321" s="2323"/>
      <c r="AF321" s="2323"/>
      <c r="AG321" s="2323"/>
      <c r="AH321" s="2323"/>
      <c r="AI321" s="2323"/>
      <c r="AJ321" s="2323"/>
      <c r="AK321" s="2898"/>
      <c r="AL321" s="2895">
        <f t="shared" si="10"/>
        <v>0</v>
      </c>
      <c r="AM321" s="2896" t="str">
        <f t="shared" si="11"/>
        <v/>
      </c>
    </row>
    <row r="322" spans="1:39" hidden="1" outlineLevel="1">
      <c r="A322" s="2566"/>
      <c r="B322" s="3210"/>
      <c r="C322" s="3208"/>
      <c r="D322" s="3208"/>
      <c r="E322" s="3210"/>
      <c r="F322" s="3767" t="s">
        <v>3863</v>
      </c>
      <c r="G322" s="3769"/>
      <c r="H322" s="2323"/>
      <c r="I322" s="2323"/>
      <c r="J322" s="2323"/>
      <c r="K322" s="2323"/>
      <c r="L322" s="2323"/>
      <c r="M322" s="2323"/>
      <c r="N322" s="2323"/>
      <c r="O322" s="2323"/>
      <c r="P322" s="2323"/>
      <c r="Q322" s="2323"/>
      <c r="R322" s="2323"/>
      <c r="S322" s="2323"/>
      <c r="T322" s="2383"/>
      <c r="U322" s="2383"/>
      <c r="V322" s="2323"/>
      <c r="W322" s="2323"/>
      <c r="X322" s="2323"/>
      <c r="Y322" s="2323"/>
      <c r="Z322" s="2566"/>
      <c r="AA322" s="2566"/>
      <c r="AB322" s="2566"/>
      <c r="AC322" s="2566"/>
      <c r="AD322" s="2323"/>
      <c r="AE322" s="2323"/>
      <c r="AF322" s="2323"/>
      <c r="AG322" s="2323"/>
      <c r="AH322" s="2323"/>
      <c r="AI322" s="2323"/>
      <c r="AJ322" s="2323"/>
      <c r="AK322" s="2898"/>
      <c r="AL322" s="2895">
        <f t="shared" si="10"/>
        <v>0</v>
      </c>
      <c r="AM322" s="2896" t="str">
        <f t="shared" si="11"/>
        <v/>
      </c>
    </row>
    <row r="323" spans="1:39" hidden="1" outlineLevel="1">
      <c r="A323" s="2566"/>
      <c r="B323" s="3210"/>
      <c r="C323" s="3208"/>
      <c r="D323" s="3208"/>
      <c r="E323" s="3210"/>
      <c r="F323" s="3767" t="s">
        <v>3864</v>
      </c>
      <c r="G323" s="3769"/>
      <c r="H323" s="2323"/>
      <c r="I323" s="2323"/>
      <c r="J323" s="2323"/>
      <c r="K323" s="2323"/>
      <c r="L323" s="2323"/>
      <c r="M323" s="2323"/>
      <c r="N323" s="2323"/>
      <c r="O323" s="2323"/>
      <c r="P323" s="2323"/>
      <c r="Q323" s="2323"/>
      <c r="R323" s="2323"/>
      <c r="S323" s="2323"/>
      <c r="T323" s="2383"/>
      <c r="U323" s="2383"/>
      <c r="V323" s="2323"/>
      <c r="W323" s="2323"/>
      <c r="X323" s="2323"/>
      <c r="Y323" s="2323"/>
      <c r="Z323" s="2566"/>
      <c r="AA323" s="2566"/>
      <c r="AB323" s="2566"/>
      <c r="AC323" s="2566"/>
      <c r="AD323" s="2323"/>
      <c r="AE323" s="2323"/>
      <c r="AF323" s="2323"/>
      <c r="AG323" s="2323"/>
      <c r="AH323" s="2323"/>
      <c r="AI323" s="2323"/>
      <c r="AJ323" s="2323"/>
      <c r="AK323" s="2898"/>
      <c r="AL323" s="2895">
        <f t="shared" si="10"/>
        <v>0</v>
      </c>
      <c r="AM323" s="2896" t="str">
        <f t="shared" si="11"/>
        <v/>
      </c>
    </row>
    <row r="324" spans="1:39" hidden="1" outlineLevel="1">
      <c r="A324" s="2566"/>
      <c r="B324" s="3210"/>
      <c r="C324" s="3208"/>
      <c r="D324" s="3208"/>
      <c r="E324" s="3210"/>
      <c r="F324" s="3767" t="s">
        <v>3865</v>
      </c>
      <c r="G324" s="3769"/>
      <c r="H324" s="2323"/>
      <c r="I324" s="2323"/>
      <c r="J324" s="2323"/>
      <c r="K324" s="2323"/>
      <c r="L324" s="2323"/>
      <c r="M324" s="2323"/>
      <c r="N324" s="2323"/>
      <c r="O324" s="2323"/>
      <c r="P324" s="2323"/>
      <c r="Q324" s="2323"/>
      <c r="R324" s="2323"/>
      <c r="S324" s="2323"/>
      <c r="T324" s="2383"/>
      <c r="U324" s="2383"/>
      <c r="V324" s="2323"/>
      <c r="W324" s="2323"/>
      <c r="X324" s="2323"/>
      <c r="Y324" s="2323"/>
      <c r="Z324" s="2566"/>
      <c r="AA324" s="2566"/>
      <c r="AB324" s="2566"/>
      <c r="AC324" s="2566"/>
      <c r="AD324" s="2323"/>
      <c r="AE324" s="2323"/>
      <c r="AF324" s="2323"/>
      <c r="AG324" s="2323"/>
      <c r="AH324" s="2323"/>
      <c r="AI324" s="2323"/>
      <c r="AJ324" s="2323"/>
      <c r="AK324" s="2898"/>
      <c r="AL324" s="2895">
        <f t="shared" si="10"/>
        <v>0</v>
      </c>
      <c r="AM324" s="2896" t="str">
        <f t="shared" si="11"/>
        <v/>
      </c>
    </row>
    <row r="325" spans="1:39" hidden="1" outlineLevel="1">
      <c r="A325" s="2566"/>
      <c r="B325" s="3210"/>
      <c r="C325" s="3208"/>
      <c r="D325" s="3208" t="s">
        <v>3911</v>
      </c>
      <c r="E325" s="3210" t="s">
        <v>3909</v>
      </c>
      <c r="F325" s="3767" t="s">
        <v>3860</v>
      </c>
      <c r="G325" s="3769"/>
      <c r="H325" s="2323"/>
      <c r="I325" s="2323"/>
      <c r="J325" s="2323"/>
      <c r="K325" s="2323"/>
      <c r="L325" s="2323"/>
      <c r="M325" s="2323"/>
      <c r="N325" s="2323"/>
      <c r="O325" s="2323"/>
      <c r="P325" s="2323"/>
      <c r="Q325" s="2323"/>
      <c r="R325" s="2323"/>
      <c r="S325" s="2323"/>
      <c r="T325" s="2383"/>
      <c r="U325" s="2383"/>
      <c r="V325" s="2323"/>
      <c r="W325" s="2323"/>
      <c r="X325" s="2323"/>
      <c r="Y325" s="2323"/>
      <c r="Z325" s="2566"/>
      <c r="AA325" s="2566"/>
      <c r="AB325" s="2566"/>
      <c r="AC325" s="2566"/>
      <c r="AD325" s="2323"/>
      <c r="AE325" s="2323"/>
      <c r="AF325" s="2323"/>
      <c r="AG325" s="2323"/>
      <c r="AH325" s="2323"/>
      <c r="AI325" s="2323"/>
      <c r="AJ325" s="2323"/>
      <c r="AK325" s="2898"/>
      <c r="AL325" s="2895">
        <f t="shared" si="10"/>
        <v>0</v>
      </c>
      <c r="AM325" s="2896" t="str">
        <f t="shared" si="11"/>
        <v/>
      </c>
    </row>
    <row r="326" spans="1:39" hidden="1" outlineLevel="1">
      <c r="A326" s="2566"/>
      <c r="B326" s="3210"/>
      <c r="C326" s="3208"/>
      <c r="D326" s="3208"/>
      <c r="E326" s="3210"/>
      <c r="F326" s="3767" t="s">
        <v>3861</v>
      </c>
      <c r="G326" s="3769"/>
      <c r="H326" s="2323"/>
      <c r="I326" s="2323"/>
      <c r="J326" s="2323"/>
      <c r="K326" s="2323"/>
      <c r="L326" s="2323"/>
      <c r="M326" s="2323"/>
      <c r="N326" s="2323"/>
      <c r="O326" s="2323"/>
      <c r="P326" s="2323"/>
      <c r="Q326" s="2323"/>
      <c r="R326" s="2323"/>
      <c r="S326" s="2323"/>
      <c r="T326" s="2383"/>
      <c r="U326" s="2383"/>
      <c r="V326" s="2323"/>
      <c r="W326" s="2323"/>
      <c r="X326" s="2323"/>
      <c r="Y326" s="2323"/>
      <c r="Z326" s="2566"/>
      <c r="AA326" s="2566"/>
      <c r="AB326" s="2566"/>
      <c r="AC326" s="2566"/>
      <c r="AD326" s="2323"/>
      <c r="AE326" s="2323"/>
      <c r="AF326" s="2323"/>
      <c r="AG326" s="2323"/>
      <c r="AH326" s="2323"/>
      <c r="AI326" s="2323"/>
      <c r="AJ326" s="2323"/>
      <c r="AK326" s="2898"/>
      <c r="AL326" s="2895">
        <f t="shared" si="10"/>
        <v>0</v>
      </c>
      <c r="AM326" s="2896" t="str">
        <f t="shared" si="11"/>
        <v/>
      </c>
    </row>
    <row r="327" spans="1:39" hidden="1" outlineLevel="1">
      <c r="A327" s="2566"/>
      <c r="B327" s="3210"/>
      <c r="C327" s="3208"/>
      <c r="D327" s="3208"/>
      <c r="E327" s="3210"/>
      <c r="F327" s="3767" t="s">
        <v>3862</v>
      </c>
      <c r="G327" s="3769"/>
      <c r="H327" s="2323"/>
      <c r="I327" s="2323"/>
      <c r="J327" s="2323"/>
      <c r="K327" s="2323"/>
      <c r="L327" s="2323"/>
      <c r="M327" s="2323"/>
      <c r="N327" s="2323"/>
      <c r="O327" s="2323"/>
      <c r="P327" s="2323"/>
      <c r="Q327" s="2323"/>
      <c r="R327" s="2323"/>
      <c r="S327" s="2323"/>
      <c r="T327" s="2383"/>
      <c r="U327" s="2383"/>
      <c r="V327" s="2343"/>
      <c r="W327" s="2343"/>
      <c r="X327" s="2343"/>
      <c r="Y327" s="2343"/>
      <c r="Z327" s="2566"/>
      <c r="AA327" s="2566"/>
      <c r="AB327" s="2566"/>
      <c r="AC327" s="2566"/>
      <c r="AD327" s="2323"/>
      <c r="AE327" s="2323"/>
      <c r="AF327" s="2323"/>
      <c r="AG327" s="2323"/>
      <c r="AH327" s="2323"/>
      <c r="AI327" s="2323"/>
      <c r="AJ327" s="2323"/>
      <c r="AK327" s="2898"/>
      <c r="AL327" s="2895">
        <f t="shared" si="10"/>
        <v>0</v>
      </c>
      <c r="AM327" s="2896" t="str">
        <f t="shared" si="11"/>
        <v/>
      </c>
    </row>
    <row r="328" spans="1:39" hidden="1" outlineLevel="1">
      <c r="A328" s="2566"/>
      <c r="B328" s="3210"/>
      <c r="C328" s="3208"/>
      <c r="D328" s="3208"/>
      <c r="E328" s="3210"/>
      <c r="F328" s="3767" t="s">
        <v>3863</v>
      </c>
      <c r="G328" s="3769"/>
      <c r="H328" s="2323"/>
      <c r="I328" s="2323"/>
      <c r="J328" s="2323"/>
      <c r="K328" s="2323"/>
      <c r="L328" s="2323"/>
      <c r="M328" s="2323"/>
      <c r="N328" s="2323"/>
      <c r="O328" s="2323"/>
      <c r="P328" s="2323"/>
      <c r="Q328" s="2323"/>
      <c r="R328" s="2323"/>
      <c r="S328" s="2323"/>
      <c r="T328" s="2383"/>
      <c r="U328" s="2383"/>
      <c r="V328" s="2323"/>
      <c r="W328" s="2323"/>
      <c r="X328" s="2323"/>
      <c r="Y328" s="2323"/>
      <c r="Z328" s="2566"/>
      <c r="AA328" s="2566"/>
      <c r="AB328" s="2566"/>
      <c r="AC328" s="2566"/>
      <c r="AD328" s="2323"/>
      <c r="AE328" s="2323"/>
      <c r="AF328" s="2323"/>
      <c r="AG328" s="2323"/>
      <c r="AH328" s="2323"/>
      <c r="AI328" s="2323"/>
      <c r="AJ328" s="2323"/>
      <c r="AK328" s="2898"/>
      <c r="AL328" s="2895">
        <f t="shared" si="10"/>
        <v>0</v>
      </c>
      <c r="AM328" s="2896" t="str">
        <f t="shared" si="11"/>
        <v/>
      </c>
    </row>
    <row r="329" spans="1:39" hidden="1" outlineLevel="1">
      <c r="A329" s="2566"/>
      <c r="B329" s="3210"/>
      <c r="C329" s="3208"/>
      <c r="D329" s="3208"/>
      <c r="E329" s="3210"/>
      <c r="F329" s="3767" t="s">
        <v>3864</v>
      </c>
      <c r="G329" s="3769"/>
      <c r="H329" s="2323"/>
      <c r="I329" s="2323"/>
      <c r="J329" s="2323"/>
      <c r="K329" s="2323"/>
      <c r="L329" s="2323"/>
      <c r="M329" s="2323"/>
      <c r="N329" s="2323"/>
      <c r="O329" s="2323"/>
      <c r="P329" s="2323"/>
      <c r="Q329" s="2323"/>
      <c r="R329" s="2323"/>
      <c r="S329" s="2323"/>
      <c r="T329" s="2383"/>
      <c r="U329" s="2383"/>
      <c r="V329" s="2323"/>
      <c r="W329" s="2323"/>
      <c r="X329" s="2323"/>
      <c r="Y329" s="2323"/>
      <c r="Z329" s="2566"/>
      <c r="AA329" s="2566"/>
      <c r="AB329" s="2566"/>
      <c r="AC329" s="2566"/>
      <c r="AD329" s="2323"/>
      <c r="AE329" s="2323"/>
      <c r="AF329" s="2323"/>
      <c r="AG329" s="2323"/>
      <c r="AH329" s="2323"/>
      <c r="AI329" s="2323"/>
      <c r="AJ329" s="2323"/>
      <c r="AK329" s="2898"/>
      <c r="AL329" s="2895">
        <f t="shared" si="10"/>
        <v>0</v>
      </c>
      <c r="AM329" s="2896" t="str">
        <f t="shared" si="11"/>
        <v/>
      </c>
    </row>
    <row r="330" spans="1:39" hidden="1" outlineLevel="1">
      <c r="A330" s="2566"/>
      <c r="B330" s="3210"/>
      <c r="C330" s="3208"/>
      <c r="D330" s="3208"/>
      <c r="E330" s="3210"/>
      <c r="F330" s="3767" t="s">
        <v>3865</v>
      </c>
      <c r="G330" s="3769"/>
      <c r="H330" s="2323"/>
      <c r="I330" s="2323"/>
      <c r="J330" s="2323"/>
      <c r="K330" s="2323"/>
      <c r="L330" s="2323"/>
      <c r="M330" s="2323"/>
      <c r="N330" s="2323"/>
      <c r="O330" s="2323"/>
      <c r="P330" s="2323"/>
      <c r="Q330" s="2323"/>
      <c r="R330" s="2323"/>
      <c r="S330" s="2323"/>
      <c r="T330" s="2383"/>
      <c r="U330" s="2383"/>
      <c r="V330" s="2323"/>
      <c r="W330" s="2323"/>
      <c r="X330" s="2323"/>
      <c r="Y330" s="2323"/>
      <c r="Z330" s="2566"/>
      <c r="AA330" s="2566"/>
      <c r="AB330" s="2566"/>
      <c r="AC330" s="2566"/>
      <c r="AD330" s="2323"/>
      <c r="AE330" s="2323"/>
      <c r="AF330" s="2323"/>
      <c r="AG330" s="2323"/>
      <c r="AH330" s="2323"/>
      <c r="AI330" s="2323"/>
      <c r="AJ330" s="2323"/>
      <c r="AK330" s="2898"/>
      <c r="AL330" s="2895">
        <f t="shared" si="10"/>
        <v>0</v>
      </c>
      <c r="AM330" s="2896" t="str">
        <f t="shared" si="11"/>
        <v/>
      </c>
    </row>
    <row r="331" spans="1:39" hidden="1" outlineLevel="1">
      <c r="A331" s="2566"/>
      <c r="B331" s="3210"/>
      <c r="C331" s="3208"/>
      <c r="D331" s="3208"/>
      <c r="E331" s="3210" t="s">
        <v>3910</v>
      </c>
      <c r="F331" s="3767" t="s">
        <v>3860</v>
      </c>
      <c r="G331" s="3769"/>
      <c r="H331" s="2323"/>
      <c r="I331" s="2323"/>
      <c r="J331" s="2323"/>
      <c r="K331" s="2323"/>
      <c r="L331" s="2323"/>
      <c r="M331" s="2323"/>
      <c r="N331" s="2323"/>
      <c r="O331" s="2323"/>
      <c r="P331" s="2323"/>
      <c r="Q331" s="2323"/>
      <c r="R331" s="2323"/>
      <c r="S331" s="2323"/>
      <c r="T331" s="2383"/>
      <c r="U331" s="2383"/>
      <c r="V331" s="2323"/>
      <c r="W331" s="2323"/>
      <c r="X331" s="2323"/>
      <c r="Y331" s="2323"/>
      <c r="Z331" s="2566"/>
      <c r="AA331" s="2566"/>
      <c r="AB331" s="2566"/>
      <c r="AC331" s="2566"/>
      <c r="AD331" s="2323"/>
      <c r="AE331" s="2323"/>
      <c r="AF331" s="2323"/>
      <c r="AG331" s="2323"/>
      <c r="AH331" s="2323"/>
      <c r="AI331" s="2323"/>
      <c r="AJ331" s="2323"/>
      <c r="AK331" s="2898"/>
      <c r="AL331" s="2895">
        <f t="shared" si="10"/>
        <v>0</v>
      </c>
      <c r="AM331" s="2896" t="str">
        <f t="shared" si="11"/>
        <v/>
      </c>
    </row>
    <row r="332" spans="1:39" hidden="1" outlineLevel="1">
      <c r="A332" s="2566"/>
      <c r="B332" s="3210"/>
      <c r="C332" s="3208"/>
      <c r="D332" s="3208"/>
      <c r="E332" s="3210"/>
      <c r="F332" s="3767" t="s">
        <v>3861</v>
      </c>
      <c r="G332" s="3769"/>
      <c r="H332" s="2323"/>
      <c r="I332" s="2323"/>
      <c r="J332" s="2323"/>
      <c r="K332" s="2323"/>
      <c r="L332" s="2323"/>
      <c r="M332" s="2323"/>
      <c r="N332" s="2323"/>
      <c r="O332" s="2323"/>
      <c r="P332" s="2323"/>
      <c r="Q332" s="2323"/>
      <c r="R332" s="2323"/>
      <c r="S332" s="2323"/>
      <c r="T332" s="2383"/>
      <c r="U332" s="2383"/>
      <c r="V332" s="2323"/>
      <c r="W332" s="2323"/>
      <c r="X332" s="2323"/>
      <c r="Y332" s="2323"/>
      <c r="Z332" s="2566"/>
      <c r="AA332" s="2566"/>
      <c r="AB332" s="2566"/>
      <c r="AC332" s="2566"/>
      <c r="AD332" s="2323"/>
      <c r="AE332" s="2323"/>
      <c r="AF332" s="2323"/>
      <c r="AG332" s="2323"/>
      <c r="AH332" s="2323"/>
      <c r="AI332" s="2323"/>
      <c r="AJ332" s="2323"/>
      <c r="AK332" s="2898"/>
      <c r="AL332" s="2895">
        <f t="shared" si="10"/>
        <v>0</v>
      </c>
      <c r="AM332" s="2896" t="str">
        <f t="shared" si="11"/>
        <v/>
      </c>
    </row>
    <row r="333" spans="1:39" hidden="1" outlineLevel="1">
      <c r="A333" s="2566"/>
      <c r="B333" s="3210"/>
      <c r="C333" s="3208"/>
      <c r="D333" s="3208"/>
      <c r="E333" s="3210"/>
      <c r="F333" s="3767" t="s">
        <v>3862</v>
      </c>
      <c r="G333" s="3772"/>
      <c r="H333" s="3708"/>
      <c r="I333" s="3708"/>
      <c r="J333" s="3708"/>
      <c r="K333" s="3708"/>
      <c r="L333" s="3708"/>
      <c r="M333" s="3708"/>
      <c r="N333" s="3708"/>
      <c r="O333" s="3708"/>
      <c r="P333" s="3708"/>
      <c r="Q333" s="3708"/>
      <c r="R333" s="3708"/>
      <c r="S333" s="3708"/>
      <c r="T333" s="3709"/>
      <c r="U333" s="3709"/>
      <c r="V333" s="2323"/>
      <c r="W333" s="2323"/>
      <c r="X333" s="2323"/>
      <c r="Y333" s="2323"/>
      <c r="Z333" s="2566"/>
      <c r="AA333" s="2566"/>
      <c r="AB333" s="2566"/>
      <c r="AC333" s="2566"/>
      <c r="AD333" s="2323"/>
      <c r="AE333" s="2323"/>
      <c r="AF333" s="2323"/>
      <c r="AG333" s="2323"/>
      <c r="AH333" s="2323"/>
      <c r="AI333" s="2323"/>
      <c r="AJ333" s="2323"/>
      <c r="AK333" s="2898"/>
      <c r="AL333" s="2895">
        <f t="shared" si="10"/>
        <v>0</v>
      </c>
      <c r="AM333" s="2896" t="str">
        <f t="shared" si="11"/>
        <v/>
      </c>
    </row>
    <row r="334" spans="1:39" hidden="1" outlineLevel="1">
      <c r="A334" s="2566"/>
      <c r="B334" s="3210"/>
      <c r="C334" s="3208"/>
      <c r="D334" s="3208"/>
      <c r="E334" s="3210"/>
      <c r="F334" s="3767" t="s">
        <v>3863</v>
      </c>
      <c r="G334" s="3701"/>
      <c r="H334" s="2323"/>
      <c r="I334" s="2323"/>
      <c r="J334" s="2323"/>
      <c r="K334" s="2323"/>
      <c r="L334" s="2323"/>
      <c r="M334" s="2323"/>
      <c r="N334" s="2323"/>
      <c r="O334" s="2323"/>
      <c r="P334" s="2323"/>
      <c r="Q334" s="2323"/>
      <c r="R334" s="2323"/>
      <c r="S334" s="2323"/>
      <c r="T334" s="2323"/>
      <c r="U334" s="2323"/>
      <c r="V334" s="2323"/>
      <c r="W334" s="2323"/>
      <c r="X334" s="2323"/>
      <c r="Y334" s="2323"/>
      <c r="Z334" s="2566"/>
      <c r="AA334" s="2566"/>
      <c r="AB334" s="2566"/>
      <c r="AC334" s="2566"/>
      <c r="AD334" s="2323"/>
      <c r="AE334" s="2323"/>
      <c r="AF334" s="2323"/>
      <c r="AG334" s="2323"/>
      <c r="AH334" s="2323"/>
      <c r="AI334" s="2323"/>
      <c r="AJ334" s="2323"/>
      <c r="AK334" s="2898"/>
      <c r="AL334" s="2895">
        <f t="shared" si="10"/>
        <v>0</v>
      </c>
      <c r="AM334" s="2896" t="str">
        <f t="shared" si="11"/>
        <v/>
      </c>
    </row>
    <row r="335" spans="1:39" hidden="1" outlineLevel="1">
      <c r="A335" s="2566"/>
      <c r="B335" s="3210"/>
      <c r="C335" s="3208"/>
      <c r="D335" s="3208"/>
      <c r="E335" s="3210"/>
      <c r="F335" s="3767" t="s">
        <v>3864</v>
      </c>
      <c r="G335" s="3770"/>
      <c r="H335" s="2323"/>
      <c r="I335" s="2323"/>
      <c r="J335" s="2323"/>
      <c r="K335" s="2323"/>
      <c r="L335" s="2323"/>
      <c r="M335" s="2323"/>
      <c r="N335" s="2323"/>
      <c r="O335" s="2323"/>
      <c r="P335" s="2323"/>
      <c r="Q335" s="2323"/>
      <c r="R335" s="2323"/>
      <c r="S335" s="2323"/>
      <c r="T335" s="2323"/>
      <c r="U335" s="2323"/>
      <c r="V335" s="2323"/>
      <c r="W335" s="2323"/>
      <c r="X335" s="2323"/>
      <c r="Y335" s="2323"/>
      <c r="Z335" s="2566"/>
      <c r="AA335" s="2566"/>
      <c r="AB335" s="2566"/>
      <c r="AC335" s="2566"/>
      <c r="AD335" s="2323"/>
      <c r="AE335" s="2323"/>
      <c r="AF335" s="2323"/>
      <c r="AG335" s="2323"/>
      <c r="AH335" s="2323"/>
      <c r="AI335" s="2323"/>
      <c r="AJ335" s="2323"/>
      <c r="AK335" s="2898"/>
      <c r="AL335" s="2895">
        <f t="shared" si="10"/>
        <v>0</v>
      </c>
      <c r="AM335" s="2896" t="str">
        <f t="shared" si="11"/>
        <v/>
      </c>
    </row>
    <row r="336" spans="1:39" ht="15.75" hidden="1" outlineLevel="1" thickBot="1">
      <c r="A336" s="2566"/>
      <c r="B336" s="3210"/>
      <c r="C336" s="3208"/>
      <c r="D336" s="3208"/>
      <c r="E336" s="3210"/>
      <c r="F336" s="3767" t="s">
        <v>3865</v>
      </c>
      <c r="G336" s="3771"/>
      <c r="H336" s="2323"/>
      <c r="I336" s="2323"/>
      <c r="J336" s="2323"/>
      <c r="K336" s="2323"/>
      <c r="L336" s="2323"/>
      <c r="M336" s="2323"/>
      <c r="N336" s="2323"/>
      <c r="O336" s="2323"/>
      <c r="P336" s="2323"/>
      <c r="Q336" s="2323"/>
      <c r="R336" s="2323"/>
      <c r="S336" s="2323"/>
      <c r="T336" s="2323"/>
      <c r="U336" s="2323"/>
      <c r="V336" s="2323"/>
      <c r="W336" s="2323"/>
      <c r="X336" s="2323"/>
      <c r="Y336" s="2323"/>
      <c r="Z336" s="2566"/>
      <c r="AA336" s="2566"/>
      <c r="AB336" s="2566"/>
      <c r="AC336" s="2566"/>
      <c r="AD336" s="2323"/>
      <c r="AE336" s="2323"/>
      <c r="AF336" s="2323"/>
      <c r="AG336" s="2323"/>
      <c r="AH336" s="2323"/>
      <c r="AI336" s="2323"/>
      <c r="AJ336" s="2323"/>
      <c r="AK336" s="2898"/>
      <c r="AL336" s="2895">
        <f t="shared" si="10"/>
        <v>0</v>
      </c>
      <c r="AM336" s="2896" t="str">
        <f t="shared" si="11"/>
        <v/>
      </c>
    </row>
    <row r="337" spans="1:39" collapsed="1">
      <c r="A337" s="2345"/>
      <c r="B337" s="2345"/>
      <c r="C337" s="2345"/>
      <c r="D337" s="2356"/>
      <c r="E337" s="2330"/>
      <c r="F337" s="2357"/>
      <c r="G337" s="2355"/>
      <c r="H337" s="2345"/>
      <c r="I337" s="2345"/>
      <c r="J337" s="2345"/>
      <c r="K337" s="2345"/>
      <c r="L337" s="2345"/>
      <c r="M337" s="2345"/>
      <c r="N337" s="2345"/>
      <c r="O337" s="2345"/>
      <c r="P337" s="2345"/>
      <c r="Q337" s="2345"/>
      <c r="R337" s="2345"/>
      <c r="S337" s="2345"/>
      <c r="T337" s="2345"/>
      <c r="U337" s="2345"/>
      <c r="V337" s="2345"/>
      <c r="W337" s="2345"/>
      <c r="X337" s="2345"/>
      <c r="Y337" s="2345"/>
      <c r="Z337" s="2345"/>
      <c r="AA337" s="2345"/>
      <c r="AB337" s="2345"/>
      <c r="AC337" s="2345"/>
      <c r="AD337" s="2345"/>
      <c r="AE337" s="2345"/>
      <c r="AF337" s="2345"/>
      <c r="AG337" s="2345"/>
      <c r="AH337" s="2345"/>
      <c r="AI337" s="2345"/>
      <c r="AJ337" s="2345"/>
      <c r="AK337" s="2345"/>
      <c r="AL337" s="2345"/>
      <c r="AM337" s="2345"/>
    </row>
    <row r="338" spans="1:39">
      <c r="A338" s="2345"/>
      <c r="B338" s="2345"/>
      <c r="C338" s="2345"/>
      <c r="D338" s="2356"/>
      <c r="E338" s="2345"/>
      <c r="F338" s="2357"/>
      <c r="G338" s="2357"/>
      <c r="H338" s="2345"/>
      <c r="I338" s="2345"/>
      <c r="J338" s="2345"/>
      <c r="K338" s="2345"/>
      <c r="L338" s="2345"/>
      <c r="M338" s="2345"/>
      <c r="N338" s="2345"/>
      <c r="O338" s="2345"/>
      <c r="P338" s="2345"/>
      <c r="Q338" s="2345"/>
      <c r="R338" s="2345"/>
      <c r="S338" s="2345"/>
      <c r="T338" s="2345"/>
      <c r="U338" s="2345"/>
      <c r="V338" s="2345"/>
      <c r="W338" s="2345"/>
      <c r="X338" s="2345"/>
      <c r="Y338" s="2345"/>
      <c r="Z338" s="2345"/>
      <c r="AA338" s="2345"/>
      <c r="AB338" s="2345"/>
      <c r="AC338" s="2345"/>
      <c r="AD338" s="2345"/>
      <c r="AE338" s="2345"/>
      <c r="AF338" s="2345"/>
      <c r="AG338" s="2345"/>
      <c r="AH338" s="2345"/>
      <c r="AI338" s="2345"/>
      <c r="AJ338" s="2345"/>
      <c r="AK338" s="2345"/>
      <c r="AL338" s="2345"/>
      <c r="AM338" s="2345"/>
    </row>
    <row r="339" spans="1:39">
      <c r="A339" s="2345"/>
      <c r="B339" s="2345"/>
      <c r="C339" s="2345"/>
      <c r="D339" s="2356"/>
      <c r="E339" s="2330"/>
      <c r="F339" s="2357"/>
      <c r="G339" s="2357"/>
      <c r="H339" s="2345"/>
      <c r="I339" s="2345"/>
      <c r="J339" s="2345"/>
      <c r="K339" s="2345"/>
      <c r="L339" s="2345"/>
      <c r="M339" s="2345"/>
      <c r="N339" s="2345"/>
      <c r="O339" s="2345"/>
      <c r="P339" s="2345"/>
      <c r="Q339" s="2345"/>
      <c r="R339" s="2345"/>
      <c r="S339" s="2345"/>
      <c r="T339" s="2345"/>
      <c r="U339" s="2345"/>
      <c r="V339" s="2345"/>
      <c r="W339" s="2345"/>
      <c r="X339" s="2345"/>
      <c r="Y339" s="2345"/>
      <c r="Z339" s="2345"/>
      <c r="AA339" s="2345"/>
      <c r="AB339" s="2345"/>
      <c r="AC339" s="2345"/>
      <c r="AD339" s="2345"/>
      <c r="AE339" s="2345"/>
      <c r="AF339" s="2345"/>
      <c r="AG339" s="2345"/>
      <c r="AH339" s="2345"/>
      <c r="AI339" s="2345"/>
      <c r="AJ339" s="2345"/>
      <c r="AK339" s="2345"/>
      <c r="AL339" s="2345"/>
      <c r="AM339" s="2345"/>
    </row>
    <row r="340" spans="1:39" ht="18.75">
      <c r="A340" s="3217"/>
      <c r="B340" s="3217"/>
      <c r="C340" s="3217"/>
      <c r="D340" s="3217"/>
      <c r="E340" s="3217"/>
      <c r="F340" s="3217"/>
      <c r="G340" s="3761" t="s">
        <v>3927</v>
      </c>
      <c r="H340" s="3761"/>
      <c r="I340" s="3761"/>
      <c r="J340" s="3761"/>
      <c r="K340" s="3761"/>
      <c r="L340" s="3761"/>
      <c r="M340" s="3761"/>
      <c r="N340" s="3761"/>
      <c r="O340" s="3761"/>
      <c r="P340" s="3761"/>
      <c r="Q340" s="3761"/>
      <c r="R340" s="3761"/>
      <c r="S340" s="3761"/>
      <c r="T340" s="3761"/>
      <c r="U340" s="3761"/>
      <c r="V340" s="2502"/>
      <c r="W340" s="2502"/>
      <c r="X340" s="2502"/>
      <c r="Y340" s="2502"/>
      <c r="Z340" s="2345"/>
      <c r="AA340" s="2345"/>
      <c r="AB340" s="2345"/>
      <c r="AC340" s="2345"/>
      <c r="AD340" s="2345"/>
      <c r="AE340" s="2345"/>
      <c r="AF340" s="2345"/>
      <c r="AG340" s="2345"/>
      <c r="AH340" s="2345"/>
      <c r="AI340" s="2345"/>
      <c r="AJ340" s="2345"/>
      <c r="AK340" s="2345"/>
      <c r="AL340" s="2345"/>
      <c r="AM340" s="2345"/>
    </row>
    <row r="341" spans="1:39" ht="60">
      <c r="A341" s="3208" t="s">
        <v>0</v>
      </c>
      <c r="B341" s="3208" t="s">
        <v>3849</v>
      </c>
      <c r="C341" s="3208"/>
      <c r="D341" s="3208"/>
      <c r="E341" s="3209" t="s">
        <v>3928</v>
      </c>
      <c r="F341" s="3210" t="s">
        <v>3929</v>
      </c>
      <c r="G341" s="3209" t="s">
        <v>3854</v>
      </c>
      <c r="H341" s="3216" t="s">
        <v>3868</v>
      </c>
      <c r="I341" s="3216"/>
      <c r="J341" s="3216"/>
      <c r="K341" s="3216"/>
      <c r="L341" s="3216"/>
      <c r="M341" s="3216" t="s">
        <v>3930</v>
      </c>
      <c r="N341" s="3216"/>
      <c r="O341" s="3216"/>
      <c r="P341" s="3216"/>
      <c r="Q341" s="3216"/>
      <c r="R341" s="3773" t="s">
        <v>3931</v>
      </c>
      <c r="S341" s="3773"/>
      <c r="T341" s="3773"/>
      <c r="U341" s="3773"/>
      <c r="V341" s="3206" t="s">
        <v>4001</v>
      </c>
      <c r="W341" s="3100"/>
      <c r="X341" s="3100"/>
      <c r="Y341" s="3101"/>
      <c r="Z341" s="3093" t="s">
        <v>3858</v>
      </c>
      <c r="AA341" s="3093"/>
      <c r="AB341" s="3093"/>
      <c r="AC341" s="3093"/>
      <c r="AD341" s="3102" t="s">
        <v>4002</v>
      </c>
      <c r="AE341" s="3103"/>
      <c r="AF341" s="3103"/>
      <c r="AG341" s="3104"/>
      <c r="AH341" s="2779" t="s">
        <v>3980</v>
      </c>
      <c r="AI341" s="2500" t="s">
        <v>3974</v>
      </c>
      <c r="AJ341" s="2500" t="s">
        <v>3975</v>
      </c>
      <c r="AK341" s="2893" t="s">
        <v>4273</v>
      </c>
      <c r="AL341" s="2893" t="s">
        <v>4271</v>
      </c>
      <c r="AM341" s="2893" t="s">
        <v>4272</v>
      </c>
    </row>
    <row r="342" spans="1:39" ht="60">
      <c r="A342" s="3208"/>
      <c r="B342" s="3208"/>
      <c r="C342" s="3208"/>
      <c r="D342" s="3208"/>
      <c r="E342" s="3209"/>
      <c r="F342" s="3210"/>
      <c r="G342" s="3209"/>
      <c r="H342" s="2980">
        <f>H11</f>
        <v>2015</v>
      </c>
      <c r="I342" s="2980">
        <f>I11</f>
        <v>2016</v>
      </c>
      <c r="J342" s="2980">
        <f>J11</f>
        <v>2017</v>
      </c>
      <c r="K342" s="2980" t="str">
        <f>K233</f>
        <v>План (в случае отсутствия факта за 3 года)</v>
      </c>
      <c r="L342" s="2981" t="s">
        <v>2559</v>
      </c>
      <c r="M342" s="2980">
        <f>H342</f>
        <v>2015</v>
      </c>
      <c r="N342" s="2980">
        <f>I342</f>
        <v>2016</v>
      </c>
      <c r="O342" s="2980">
        <f>J342</f>
        <v>2017</v>
      </c>
      <c r="P342" s="2980" t="str">
        <f>P233</f>
        <v>План (в случае отсутствия факта за 3 года)</v>
      </c>
      <c r="Q342" s="2981" t="s">
        <v>2559</v>
      </c>
      <c r="R342" s="2980">
        <f>H342</f>
        <v>2015</v>
      </c>
      <c r="S342" s="2980">
        <f>I342</f>
        <v>2016</v>
      </c>
      <c r="T342" s="2980">
        <f>J342</f>
        <v>2017</v>
      </c>
      <c r="U342" s="2980" t="str">
        <f>U233</f>
        <v>План (в случае отсутствия факта за 3 года)</v>
      </c>
      <c r="V342" s="2939">
        <f>R342</f>
        <v>2015</v>
      </c>
      <c r="W342" s="2496">
        <f>S342</f>
        <v>2016</v>
      </c>
      <c r="X342" s="2496">
        <f>T342</f>
        <v>2017</v>
      </c>
      <c r="Y342" s="2496" t="str">
        <f>U342</f>
        <v>План (в случае отсутствия факта за 3 года)</v>
      </c>
      <c r="Z342" s="2884">
        <v>2016</v>
      </c>
      <c r="AA342" s="2884">
        <v>2017</v>
      </c>
      <c r="AB342" s="2884">
        <v>2018</v>
      </c>
      <c r="AC342" s="2884">
        <v>2019</v>
      </c>
      <c r="AD342" s="2503">
        <f>V342</f>
        <v>2015</v>
      </c>
      <c r="AE342" s="2503">
        <f>W342</f>
        <v>2016</v>
      </c>
      <c r="AF342" s="2503">
        <f>X342</f>
        <v>2017</v>
      </c>
      <c r="AG342" s="2503" t="str">
        <f>Y342</f>
        <v>План (в случае отсутствия факта за 3 года)</v>
      </c>
      <c r="AH342" s="2497" t="s">
        <v>3981</v>
      </c>
      <c r="AI342" s="2505" t="s">
        <v>3976</v>
      </c>
      <c r="AJ342" s="2505" t="s">
        <v>3977</v>
      </c>
      <c r="AK342" s="2889">
        <v>2018</v>
      </c>
      <c r="AL342" s="2890" t="s">
        <v>4265</v>
      </c>
      <c r="AM342" s="2889" t="s">
        <v>4265</v>
      </c>
    </row>
    <row r="343" spans="1:39" hidden="1" outlineLevel="1">
      <c r="A343" s="2978">
        <v>1</v>
      </c>
      <c r="B343" s="3208">
        <v>2</v>
      </c>
      <c r="C343" s="3208"/>
      <c r="D343" s="3208"/>
      <c r="E343" s="3208">
        <v>3</v>
      </c>
      <c r="F343" s="3208"/>
      <c r="G343" s="2980">
        <v>4</v>
      </c>
      <c r="H343" s="3209">
        <v>5</v>
      </c>
      <c r="I343" s="3209"/>
      <c r="J343" s="3209"/>
      <c r="K343" s="3209"/>
      <c r="L343" s="2980"/>
      <c r="M343" s="3209">
        <v>6</v>
      </c>
      <c r="N343" s="3209"/>
      <c r="O343" s="3209"/>
      <c r="P343" s="3209"/>
      <c r="Q343" s="2980"/>
      <c r="R343" s="3209">
        <v>7</v>
      </c>
      <c r="S343" s="3209"/>
      <c r="T343" s="3209"/>
      <c r="U343" s="3209"/>
      <c r="V343" s="3108">
        <v>8</v>
      </c>
      <c r="W343" s="3022"/>
      <c r="X343" s="3022"/>
      <c r="Y343" s="2884"/>
      <c r="Z343" s="3022">
        <v>9</v>
      </c>
      <c r="AA343" s="3022"/>
      <c r="AB343" s="3022"/>
      <c r="AC343" s="3022"/>
      <c r="AD343" s="3105">
        <v>10</v>
      </c>
      <c r="AE343" s="3106"/>
      <c r="AF343" s="3106"/>
      <c r="AG343" s="3107"/>
      <c r="AH343" s="2498">
        <v>11</v>
      </c>
      <c r="AI343" s="2498">
        <v>12</v>
      </c>
      <c r="AJ343" s="2499">
        <v>13</v>
      </c>
      <c r="AK343" s="2891">
        <v>10</v>
      </c>
      <c r="AL343" s="2892">
        <v>11</v>
      </c>
      <c r="AM343" s="2891">
        <v>12</v>
      </c>
    </row>
    <row r="344" spans="1:39" ht="30" hidden="1" outlineLevel="1">
      <c r="A344" s="2566"/>
      <c r="B344" s="3208" t="s">
        <v>2952</v>
      </c>
      <c r="C344" s="3208"/>
      <c r="D344" s="3208"/>
      <c r="E344" s="3208" t="s">
        <v>3932</v>
      </c>
      <c r="F344" s="3767" t="s">
        <v>3933</v>
      </c>
      <c r="G344" s="3767"/>
      <c r="H344" s="2566"/>
      <c r="I344" s="2566"/>
      <c r="J344" s="2566"/>
      <c r="K344" s="2566"/>
      <c r="L344" s="2566"/>
      <c r="M344" s="2566"/>
      <c r="N344" s="2566"/>
      <c r="O344" s="2566"/>
      <c r="P344" s="2566"/>
      <c r="Q344" s="2566"/>
      <c r="R344" s="2566"/>
      <c r="S344" s="2566"/>
      <c r="T344" s="2566"/>
      <c r="U344" s="2566"/>
      <c r="V344" s="2592"/>
      <c r="W344" s="2323"/>
      <c r="X344" s="2323"/>
      <c r="Y344" s="2323"/>
      <c r="Z344" s="2501">
        <v>1.0528</v>
      </c>
      <c r="AA344" s="2436">
        <v>1.06395203770775</v>
      </c>
      <c r="AB344" s="2436">
        <v>1.05001869746847</v>
      </c>
      <c r="AC344" s="2438">
        <v>1.0469610363690101</v>
      </c>
      <c r="AD344" s="2323"/>
      <c r="AE344" s="2323"/>
      <c r="AF344" s="2323"/>
      <c r="AG344" s="2323"/>
      <c r="AH344" s="2323"/>
      <c r="AI344" s="2323"/>
      <c r="AJ344" s="2323"/>
      <c r="AK344" s="2898"/>
      <c r="AL344" s="2895">
        <f>AK344*$AC$12</f>
        <v>0</v>
      </c>
      <c r="AM344" s="2896" t="str">
        <f t="shared" ref="AM344:AM373" si="12">IFERROR(AI344/AL344,"")</f>
        <v/>
      </c>
    </row>
    <row r="345" spans="1:39" hidden="1" outlineLevel="1">
      <c r="A345" s="2566"/>
      <c r="B345" s="3208"/>
      <c r="C345" s="3208"/>
      <c r="D345" s="3208"/>
      <c r="E345" s="3208"/>
      <c r="F345" s="3767" t="s">
        <v>3934</v>
      </c>
      <c r="G345" s="3767"/>
      <c r="H345" s="2566"/>
      <c r="I345" s="2566"/>
      <c r="J345" s="2566"/>
      <c r="K345" s="2566"/>
      <c r="L345" s="2566"/>
      <c r="M345" s="2566"/>
      <c r="N345" s="2566"/>
      <c r="O345" s="2566"/>
      <c r="P345" s="2566"/>
      <c r="Q345" s="2566"/>
      <c r="R345" s="2566"/>
      <c r="S345" s="2566"/>
      <c r="T345" s="2566"/>
      <c r="U345" s="2566"/>
      <c r="V345" s="2592"/>
      <c r="W345" s="2323"/>
      <c r="X345" s="2323"/>
      <c r="Y345" s="2323"/>
      <c r="Z345" s="2566"/>
      <c r="AA345" s="2566"/>
      <c r="AB345" s="2566"/>
      <c r="AC345" s="2566"/>
      <c r="AD345" s="2323"/>
      <c r="AE345" s="2323"/>
      <c r="AF345" s="2323"/>
      <c r="AG345" s="2323"/>
      <c r="AH345" s="2323"/>
      <c r="AI345" s="2323"/>
      <c r="AJ345" s="2323"/>
      <c r="AK345" s="2898"/>
      <c r="AL345" s="2895">
        <f t="shared" ref="AL345:AL373" si="13">AK345*$AC$12</f>
        <v>0</v>
      </c>
      <c r="AM345" s="2896" t="str">
        <f t="shared" si="12"/>
        <v/>
      </c>
    </row>
    <row r="346" spans="1:39" hidden="1" outlineLevel="1">
      <c r="A346" s="2566"/>
      <c r="B346" s="3208"/>
      <c r="C346" s="3208"/>
      <c r="D346" s="3208"/>
      <c r="E346" s="3208"/>
      <c r="F346" s="3767" t="s">
        <v>3935</v>
      </c>
      <c r="G346" s="3767"/>
      <c r="H346" s="2566"/>
      <c r="I346" s="2566"/>
      <c r="J346" s="2566"/>
      <c r="K346" s="2566"/>
      <c r="L346" s="2566"/>
      <c r="M346" s="2566"/>
      <c r="N346" s="2566"/>
      <c r="O346" s="2566"/>
      <c r="P346" s="2566"/>
      <c r="Q346" s="2566"/>
      <c r="R346" s="2566"/>
      <c r="S346" s="2566"/>
      <c r="T346" s="2566"/>
      <c r="U346" s="2566"/>
      <c r="V346" s="2592"/>
      <c r="W346" s="2323"/>
      <c r="X346" s="2323"/>
      <c r="Y346" s="2323"/>
      <c r="Z346" s="2566"/>
      <c r="AA346" s="2566"/>
      <c r="AB346" s="2566"/>
      <c r="AC346" s="2566"/>
      <c r="AD346" s="2323"/>
      <c r="AE346" s="2323"/>
      <c r="AF346" s="2323"/>
      <c r="AG346" s="2323"/>
      <c r="AH346" s="2323"/>
      <c r="AI346" s="2323"/>
      <c r="AJ346" s="2323"/>
      <c r="AK346" s="2898"/>
      <c r="AL346" s="2895">
        <f t="shared" si="13"/>
        <v>0</v>
      </c>
      <c r="AM346" s="2896" t="str">
        <f t="shared" si="12"/>
        <v/>
      </c>
    </row>
    <row r="347" spans="1:39" hidden="1" outlineLevel="1">
      <c r="A347" s="2566"/>
      <c r="B347" s="3208"/>
      <c r="C347" s="3208"/>
      <c r="D347" s="3208"/>
      <c r="E347" s="3208"/>
      <c r="F347" s="3767" t="s">
        <v>3936</v>
      </c>
      <c r="G347" s="3767"/>
      <c r="H347" s="2566"/>
      <c r="I347" s="2566"/>
      <c r="J347" s="2566"/>
      <c r="K347" s="2566"/>
      <c r="L347" s="2566"/>
      <c r="M347" s="2566"/>
      <c r="N347" s="2566"/>
      <c r="O347" s="2566"/>
      <c r="P347" s="2566"/>
      <c r="Q347" s="2566"/>
      <c r="R347" s="2566"/>
      <c r="S347" s="2566"/>
      <c r="T347" s="2566"/>
      <c r="U347" s="2566"/>
      <c r="V347" s="2592"/>
      <c r="W347" s="2323"/>
      <c r="X347" s="2323"/>
      <c r="Y347" s="2323"/>
      <c r="Z347" s="2566"/>
      <c r="AA347" s="2566"/>
      <c r="AB347" s="2566"/>
      <c r="AC347" s="2566"/>
      <c r="AD347" s="2323"/>
      <c r="AE347" s="2323"/>
      <c r="AF347" s="2323"/>
      <c r="AG347" s="2323"/>
      <c r="AH347" s="2323"/>
      <c r="AI347" s="2323"/>
      <c r="AJ347" s="2323"/>
      <c r="AK347" s="2898"/>
      <c r="AL347" s="2895">
        <f t="shared" si="13"/>
        <v>0</v>
      </c>
      <c r="AM347" s="2896" t="str">
        <f t="shared" si="12"/>
        <v/>
      </c>
    </row>
    <row r="348" spans="1:39" hidden="1" outlineLevel="1">
      <c r="A348" s="2566"/>
      <c r="B348" s="3208"/>
      <c r="C348" s="3208"/>
      <c r="D348" s="3208"/>
      <c r="E348" s="3208"/>
      <c r="F348" s="3767" t="s">
        <v>3937</v>
      </c>
      <c r="G348" s="3767"/>
      <c r="H348" s="2566"/>
      <c r="I348" s="2566"/>
      <c r="J348" s="2566"/>
      <c r="K348" s="2566"/>
      <c r="L348" s="2566"/>
      <c r="M348" s="2566"/>
      <c r="N348" s="2566"/>
      <c r="O348" s="2566"/>
      <c r="P348" s="2566"/>
      <c r="Q348" s="2566"/>
      <c r="R348" s="2566"/>
      <c r="S348" s="2566"/>
      <c r="T348" s="2566"/>
      <c r="U348" s="2566"/>
      <c r="V348" s="2592"/>
      <c r="W348" s="2323"/>
      <c r="X348" s="2323"/>
      <c r="Y348" s="2323"/>
      <c r="Z348" s="2566"/>
      <c r="AA348" s="2566"/>
      <c r="AB348" s="2566"/>
      <c r="AC348" s="2566"/>
      <c r="AD348" s="2323"/>
      <c r="AE348" s="2323"/>
      <c r="AF348" s="2323"/>
      <c r="AG348" s="2323"/>
      <c r="AH348" s="2323"/>
      <c r="AI348" s="2323"/>
      <c r="AJ348" s="2323"/>
      <c r="AK348" s="2898"/>
      <c r="AL348" s="2895">
        <f t="shared" si="13"/>
        <v>0</v>
      </c>
      <c r="AM348" s="2896" t="str">
        <f t="shared" si="12"/>
        <v/>
      </c>
    </row>
    <row r="349" spans="1:39" ht="30" hidden="1" outlineLevel="1">
      <c r="A349" s="2566"/>
      <c r="B349" s="3208"/>
      <c r="C349" s="3208"/>
      <c r="D349" s="3208"/>
      <c r="E349" s="3208" t="s">
        <v>3938</v>
      </c>
      <c r="F349" s="3767" t="s">
        <v>3933</v>
      </c>
      <c r="G349" s="3767"/>
      <c r="H349" s="2566"/>
      <c r="I349" s="2566"/>
      <c r="J349" s="2566"/>
      <c r="K349" s="2566"/>
      <c r="L349" s="2566"/>
      <c r="M349" s="2566"/>
      <c r="N349" s="2566"/>
      <c r="O349" s="2566"/>
      <c r="P349" s="2566"/>
      <c r="Q349" s="2566"/>
      <c r="R349" s="2566"/>
      <c r="S349" s="2566"/>
      <c r="T349" s="2566"/>
      <c r="U349" s="2566"/>
      <c r="V349" s="2940"/>
      <c r="W349" s="2319"/>
      <c r="X349" s="2319"/>
      <c r="Y349" s="2319"/>
      <c r="Z349" s="2566"/>
      <c r="AA349" s="2566"/>
      <c r="AB349" s="2566"/>
      <c r="AC349" s="2566"/>
      <c r="AD349" s="2323"/>
      <c r="AE349" s="2323"/>
      <c r="AF349" s="2323"/>
      <c r="AG349" s="2323"/>
      <c r="AH349" s="2323"/>
      <c r="AI349" s="2323"/>
      <c r="AJ349" s="2323"/>
      <c r="AK349" s="2898"/>
      <c r="AL349" s="2895">
        <f t="shared" si="13"/>
        <v>0</v>
      </c>
      <c r="AM349" s="2896" t="str">
        <f t="shared" si="12"/>
        <v/>
      </c>
    </row>
    <row r="350" spans="1:39" hidden="1" outlineLevel="1">
      <c r="A350" s="2566"/>
      <c r="B350" s="3208"/>
      <c r="C350" s="3208"/>
      <c r="D350" s="3208"/>
      <c r="E350" s="3208"/>
      <c r="F350" s="3767" t="s">
        <v>3934</v>
      </c>
      <c r="G350" s="3767"/>
      <c r="H350" s="2566"/>
      <c r="I350" s="2566"/>
      <c r="J350" s="2566"/>
      <c r="K350" s="2566"/>
      <c r="L350" s="2566"/>
      <c r="M350" s="2566"/>
      <c r="N350" s="2566"/>
      <c r="O350" s="2566"/>
      <c r="P350" s="2566"/>
      <c r="Q350" s="2566"/>
      <c r="R350" s="2566"/>
      <c r="S350" s="2566"/>
      <c r="T350" s="2566"/>
      <c r="U350" s="2566"/>
      <c r="V350" s="2940"/>
      <c r="W350" s="2319"/>
      <c r="X350" s="2319"/>
      <c r="Y350" s="2319"/>
      <c r="Z350" s="2566"/>
      <c r="AA350" s="2566"/>
      <c r="AB350" s="2566"/>
      <c r="AC350" s="2566"/>
      <c r="AD350" s="2323"/>
      <c r="AE350" s="2323"/>
      <c r="AF350" s="2323"/>
      <c r="AG350" s="2323"/>
      <c r="AH350" s="2323"/>
      <c r="AI350" s="2323"/>
      <c r="AJ350" s="2323"/>
      <c r="AK350" s="2898"/>
      <c r="AL350" s="2895">
        <f t="shared" si="13"/>
        <v>0</v>
      </c>
      <c r="AM350" s="2896" t="str">
        <f t="shared" si="12"/>
        <v/>
      </c>
    </row>
    <row r="351" spans="1:39" hidden="1" outlineLevel="1">
      <c r="A351" s="2566"/>
      <c r="B351" s="3208"/>
      <c r="C351" s="3208"/>
      <c r="D351" s="3208"/>
      <c r="E351" s="3208"/>
      <c r="F351" s="3767" t="s">
        <v>3935</v>
      </c>
      <c r="G351" s="3767"/>
      <c r="H351" s="2566"/>
      <c r="I351" s="2566"/>
      <c r="J351" s="2566"/>
      <c r="K351" s="2566"/>
      <c r="L351" s="2566"/>
      <c r="M351" s="2566"/>
      <c r="N351" s="2566"/>
      <c r="O351" s="2566"/>
      <c r="P351" s="2566"/>
      <c r="Q351" s="2566"/>
      <c r="R351" s="2566"/>
      <c r="S351" s="2566"/>
      <c r="T351" s="2566"/>
      <c r="U351" s="2566"/>
      <c r="V351" s="2940"/>
      <c r="W351" s="2319"/>
      <c r="X351" s="2319"/>
      <c r="Y351" s="2319"/>
      <c r="Z351" s="2566"/>
      <c r="AA351" s="2566"/>
      <c r="AB351" s="2566"/>
      <c r="AC351" s="2566"/>
      <c r="AD351" s="2323"/>
      <c r="AE351" s="2323"/>
      <c r="AF351" s="2323"/>
      <c r="AG351" s="2323"/>
      <c r="AH351" s="2323"/>
      <c r="AI351" s="2323"/>
      <c r="AJ351" s="2323"/>
      <c r="AK351" s="2898"/>
      <c r="AL351" s="2895">
        <f t="shared" si="13"/>
        <v>0</v>
      </c>
      <c r="AM351" s="2896" t="str">
        <f t="shared" si="12"/>
        <v/>
      </c>
    </row>
    <row r="352" spans="1:39" hidden="1" outlineLevel="1">
      <c r="A352" s="2566"/>
      <c r="B352" s="3208"/>
      <c r="C352" s="3208"/>
      <c r="D352" s="3208"/>
      <c r="E352" s="3208"/>
      <c r="F352" s="3767" t="s">
        <v>3936</v>
      </c>
      <c r="G352" s="3767"/>
      <c r="H352" s="2566"/>
      <c r="I352" s="2566"/>
      <c r="J352" s="2566"/>
      <c r="K352" s="2566"/>
      <c r="L352" s="2566"/>
      <c r="M352" s="2566"/>
      <c r="N352" s="2566"/>
      <c r="O352" s="2566"/>
      <c r="P352" s="2566"/>
      <c r="Q352" s="2566"/>
      <c r="R352" s="2566"/>
      <c r="S352" s="2566"/>
      <c r="T352" s="2566"/>
      <c r="U352" s="2566"/>
      <c r="V352" s="2940"/>
      <c r="W352" s="2319"/>
      <c r="X352" s="2319"/>
      <c r="Y352" s="2319"/>
      <c r="Z352" s="2566"/>
      <c r="AA352" s="2566"/>
      <c r="AB352" s="2566"/>
      <c r="AC352" s="2566"/>
      <c r="AD352" s="2323"/>
      <c r="AE352" s="2323"/>
      <c r="AF352" s="2323"/>
      <c r="AG352" s="2323"/>
      <c r="AH352" s="2323"/>
      <c r="AI352" s="2323"/>
      <c r="AJ352" s="2323"/>
      <c r="AK352" s="2898"/>
      <c r="AL352" s="2895">
        <f t="shared" si="13"/>
        <v>0</v>
      </c>
      <c r="AM352" s="2896" t="str">
        <f t="shared" si="12"/>
        <v/>
      </c>
    </row>
    <row r="353" spans="1:39" hidden="1" outlineLevel="1">
      <c r="A353" s="2566"/>
      <c r="B353" s="3208"/>
      <c r="C353" s="3208"/>
      <c r="D353" s="3208"/>
      <c r="E353" s="3208"/>
      <c r="F353" s="3767" t="s">
        <v>3937</v>
      </c>
      <c r="G353" s="3767"/>
      <c r="H353" s="2566"/>
      <c r="I353" s="2566"/>
      <c r="J353" s="2566"/>
      <c r="K353" s="2566"/>
      <c r="L353" s="2566"/>
      <c r="M353" s="2566"/>
      <c r="N353" s="2566"/>
      <c r="O353" s="2566"/>
      <c r="P353" s="2566"/>
      <c r="Q353" s="2566"/>
      <c r="R353" s="2566"/>
      <c r="S353" s="2566"/>
      <c r="T353" s="2566"/>
      <c r="U353" s="2566"/>
      <c r="V353" s="2940"/>
      <c r="W353" s="2319"/>
      <c r="X353" s="2319"/>
      <c r="Y353" s="2319"/>
      <c r="Z353" s="2566"/>
      <c r="AA353" s="2566"/>
      <c r="AB353" s="2566"/>
      <c r="AC353" s="2566"/>
      <c r="AD353" s="2323"/>
      <c r="AE353" s="2323"/>
      <c r="AF353" s="2323"/>
      <c r="AG353" s="2323"/>
      <c r="AH353" s="2323"/>
      <c r="AI353" s="2323"/>
      <c r="AJ353" s="2323"/>
      <c r="AK353" s="2898"/>
      <c r="AL353" s="2895">
        <f t="shared" si="13"/>
        <v>0</v>
      </c>
      <c r="AM353" s="2896" t="str">
        <f t="shared" si="12"/>
        <v/>
      </c>
    </row>
    <row r="354" spans="1:39" ht="30" hidden="1" outlineLevel="1">
      <c r="A354" s="2566"/>
      <c r="B354" s="3208"/>
      <c r="C354" s="3208"/>
      <c r="D354" s="3208"/>
      <c r="E354" s="3208" t="s">
        <v>3939</v>
      </c>
      <c r="F354" s="3767" t="s">
        <v>3933</v>
      </c>
      <c r="G354" s="3767"/>
      <c r="H354" s="2566"/>
      <c r="I354" s="2566"/>
      <c r="J354" s="2566"/>
      <c r="K354" s="2566"/>
      <c r="L354" s="2566"/>
      <c r="M354" s="2566"/>
      <c r="N354" s="2566"/>
      <c r="O354" s="2566"/>
      <c r="P354" s="2566"/>
      <c r="Q354" s="2566"/>
      <c r="R354" s="2566"/>
      <c r="S354" s="2566"/>
      <c r="T354" s="2566"/>
      <c r="U354" s="2566"/>
      <c r="V354" s="2940"/>
      <c r="W354" s="2319"/>
      <c r="X354" s="2319"/>
      <c r="Y354" s="2319"/>
      <c r="Z354" s="2566"/>
      <c r="AA354" s="2566"/>
      <c r="AB354" s="2566"/>
      <c r="AC354" s="2566"/>
      <c r="AD354" s="2323"/>
      <c r="AE354" s="2323"/>
      <c r="AF354" s="2323"/>
      <c r="AG354" s="2323"/>
      <c r="AH354" s="2323"/>
      <c r="AI354" s="2323"/>
      <c r="AJ354" s="2323"/>
      <c r="AK354" s="2898"/>
      <c r="AL354" s="2895">
        <f t="shared" si="13"/>
        <v>0</v>
      </c>
      <c r="AM354" s="2896" t="str">
        <f t="shared" si="12"/>
        <v/>
      </c>
    </row>
    <row r="355" spans="1:39" hidden="1" outlineLevel="1">
      <c r="A355" s="2566"/>
      <c r="B355" s="3208"/>
      <c r="C355" s="3208"/>
      <c r="D355" s="3208"/>
      <c r="E355" s="3208"/>
      <c r="F355" s="3767" t="s">
        <v>3934</v>
      </c>
      <c r="G355" s="3767"/>
      <c r="H355" s="2566"/>
      <c r="I355" s="2566"/>
      <c r="J355" s="2566"/>
      <c r="K355" s="2566"/>
      <c r="L355" s="2566"/>
      <c r="M355" s="2566"/>
      <c r="N355" s="2566"/>
      <c r="O355" s="2566"/>
      <c r="P355" s="2566"/>
      <c r="Q355" s="2566"/>
      <c r="R355" s="2566"/>
      <c r="S355" s="2566"/>
      <c r="T355" s="2566"/>
      <c r="U355" s="2566"/>
      <c r="V355" s="2940"/>
      <c r="W355" s="2319"/>
      <c r="X355" s="2319"/>
      <c r="Y355" s="2319"/>
      <c r="Z355" s="2566"/>
      <c r="AA355" s="2566"/>
      <c r="AB355" s="2566"/>
      <c r="AC355" s="2566"/>
      <c r="AD355" s="2323"/>
      <c r="AE355" s="2323"/>
      <c r="AF355" s="2323"/>
      <c r="AG355" s="2323"/>
      <c r="AH355" s="2323"/>
      <c r="AI355" s="2323"/>
      <c r="AJ355" s="2323"/>
      <c r="AK355" s="2898"/>
      <c r="AL355" s="2895">
        <f t="shared" si="13"/>
        <v>0</v>
      </c>
      <c r="AM355" s="2896" t="str">
        <f t="shared" si="12"/>
        <v/>
      </c>
    </row>
    <row r="356" spans="1:39" hidden="1" outlineLevel="1">
      <c r="A356" s="2566"/>
      <c r="B356" s="3208"/>
      <c r="C356" s="3208"/>
      <c r="D356" s="3208"/>
      <c r="E356" s="3208"/>
      <c r="F356" s="3767" t="s">
        <v>3935</v>
      </c>
      <c r="G356" s="3767"/>
      <c r="H356" s="2566"/>
      <c r="I356" s="2566"/>
      <c r="J356" s="2566"/>
      <c r="K356" s="2566"/>
      <c r="L356" s="2566"/>
      <c r="M356" s="2566"/>
      <c r="N356" s="2566"/>
      <c r="O356" s="2566"/>
      <c r="P356" s="2566"/>
      <c r="Q356" s="2566"/>
      <c r="R356" s="2566"/>
      <c r="S356" s="2566"/>
      <c r="T356" s="2566"/>
      <c r="U356" s="2566"/>
      <c r="V356" s="2940"/>
      <c r="W356" s="2319"/>
      <c r="X356" s="2319"/>
      <c r="Y356" s="2319"/>
      <c r="Z356" s="2566"/>
      <c r="AA356" s="2566"/>
      <c r="AB356" s="2566"/>
      <c r="AC356" s="2566"/>
      <c r="AD356" s="2323"/>
      <c r="AE356" s="2323"/>
      <c r="AF356" s="2323"/>
      <c r="AG356" s="2323"/>
      <c r="AH356" s="2323"/>
      <c r="AI356" s="2323"/>
      <c r="AJ356" s="2323"/>
      <c r="AK356" s="2898"/>
      <c r="AL356" s="2895">
        <f t="shared" si="13"/>
        <v>0</v>
      </c>
      <c r="AM356" s="2896" t="str">
        <f t="shared" si="12"/>
        <v/>
      </c>
    </row>
    <row r="357" spans="1:39" hidden="1" outlineLevel="1">
      <c r="A357" s="2566"/>
      <c r="B357" s="3208"/>
      <c r="C357" s="3208"/>
      <c r="D357" s="3208"/>
      <c r="E357" s="3208"/>
      <c r="F357" s="3767" t="s">
        <v>3936</v>
      </c>
      <c r="G357" s="3767"/>
      <c r="H357" s="2566"/>
      <c r="I357" s="2566"/>
      <c r="J357" s="2566"/>
      <c r="K357" s="2566"/>
      <c r="L357" s="2566"/>
      <c r="M357" s="2566"/>
      <c r="N357" s="2566"/>
      <c r="O357" s="2566"/>
      <c r="P357" s="2566"/>
      <c r="Q357" s="2566"/>
      <c r="R357" s="2566"/>
      <c r="S357" s="2566"/>
      <c r="T357" s="2566"/>
      <c r="U357" s="2566"/>
      <c r="V357" s="2940"/>
      <c r="W357" s="2319"/>
      <c r="X357" s="2319"/>
      <c r="Y357" s="2319"/>
      <c r="Z357" s="2566"/>
      <c r="AA357" s="2566"/>
      <c r="AB357" s="2566"/>
      <c r="AC357" s="2566"/>
      <c r="AD357" s="2323"/>
      <c r="AE357" s="2323"/>
      <c r="AF357" s="2323"/>
      <c r="AG357" s="2323"/>
      <c r="AH357" s="2323"/>
      <c r="AI357" s="2323"/>
      <c r="AJ357" s="2323"/>
      <c r="AK357" s="2898"/>
      <c r="AL357" s="2895">
        <f t="shared" si="13"/>
        <v>0</v>
      </c>
      <c r="AM357" s="2896" t="str">
        <f t="shared" si="12"/>
        <v/>
      </c>
    </row>
    <row r="358" spans="1:39" hidden="1" outlineLevel="1">
      <c r="A358" s="2566"/>
      <c r="B358" s="3208"/>
      <c r="C358" s="3208"/>
      <c r="D358" s="3208"/>
      <c r="E358" s="3208"/>
      <c r="F358" s="3767" t="s">
        <v>3937</v>
      </c>
      <c r="G358" s="3767"/>
      <c r="H358" s="2566"/>
      <c r="I358" s="2566"/>
      <c r="J358" s="2566"/>
      <c r="K358" s="2566"/>
      <c r="L358" s="2566"/>
      <c r="M358" s="2566"/>
      <c r="N358" s="2566"/>
      <c r="O358" s="2566"/>
      <c r="P358" s="2566"/>
      <c r="Q358" s="2566"/>
      <c r="R358" s="2566"/>
      <c r="S358" s="2566"/>
      <c r="T358" s="2566"/>
      <c r="U358" s="2566"/>
      <c r="V358" s="2940"/>
      <c r="W358" s="2319"/>
      <c r="X358" s="2319"/>
      <c r="Y358" s="2319"/>
      <c r="Z358" s="2566"/>
      <c r="AA358" s="2566"/>
      <c r="AB358" s="2566"/>
      <c r="AC358" s="2566"/>
      <c r="AD358" s="2323"/>
      <c r="AE358" s="2323"/>
      <c r="AF358" s="2323"/>
      <c r="AG358" s="2323"/>
      <c r="AH358" s="2323"/>
      <c r="AI358" s="2323"/>
      <c r="AJ358" s="2323"/>
      <c r="AK358" s="2898"/>
      <c r="AL358" s="2895">
        <f t="shared" si="13"/>
        <v>0</v>
      </c>
      <c r="AM358" s="2896" t="str">
        <f t="shared" si="12"/>
        <v/>
      </c>
    </row>
    <row r="359" spans="1:39" ht="30" hidden="1" outlineLevel="1">
      <c r="A359" s="2566"/>
      <c r="B359" s="3210" t="s">
        <v>2948</v>
      </c>
      <c r="C359" s="3210"/>
      <c r="D359" s="3210"/>
      <c r="E359" s="3208" t="s">
        <v>3932</v>
      </c>
      <c r="F359" s="3767" t="s">
        <v>3933</v>
      </c>
      <c r="G359" s="3767"/>
      <c r="H359" s="2566"/>
      <c r="I359" s="2566"/>
      <c r="J359" s="2566"/>
      <c r="K359" s="2566"/>
      <c r="L359" s="2566"/>
      <c r="M359" s="2566"/>
      <c r="N359" s="2566"/>
      <c r="O359" s="2566"/>
      <c r="P359" s="2566"/>
      <c r="Q359" s="2566"/>
      <c r="R359" s="2566"/>
      <c r="S359" s="2566"/>
      <c r="T359" s="2566"/>
      <c r="U359" s="2566"/>
      <c r="V359" s="2940"/>
      <c r="W359" s="2319"/>
      <c r="X359" s="2319"/>
      <c r="Y359" s="2319"/>
      <c r="Z359" s="2566"/>
      <c r="AA359" s="2566"/>
      <c r="AB359" s="2566"/>
      <c r="AC359" s="2566"/>
      <c r="AD359" s="2323"/>
      <c r="AE359" s="2323"/>
      <c r="AF359" s="2323"/>
      <c r="AG359" s="2323"/>
      <c r="AH359" s="2323"/>
      <c r="AI359" s="2323"/>
      <c r="AJ359" s="2323"/>
      <c r="AK359" s="2898"/>
      <c r="AL359" s="2895">
        <f t="shared" si="13"/>
        <v>0</v>
      </c>
      <c r="AM359" s="2896" t="str">
        <f t="shared" si="12"/>
        <v/>
      </c>
    </row>
    <row r="360" spans="1:39" hidden="1" outlineLevel="1">
      <c r="A360" s="2566"/>
      <c r="B360" s="3210"/>
      <c r="C360" s="3210"/>
      <c r="D360" s="3210"/>
      <c r="E360" s="3208"/>
      <c r="F360" s="3767" t="s">
        <v>3934</v>
      </c>
      <c r="G360" s="3767"/>
      <c r="H360" s="2566"/>
      <c r="I360" s="2566"/>
      <c r="J360" s="2566"/>
      <c r="K360" s="2566"/>
      <c r="L360" s="2566"/>
      <c r="M360" s="2566"/>
      <c r="N360" s="2566"/>
      <c r="O360" s="2566"/>
      <c r="P360" s="2566"/>
      <c r="Q360" s="2566"/>
      <c r="R360" s="2566"/>
      <c r="S360" s="2566"/>
      <c r="T360" s="2566"/>
      <c r="U360" s="2566"/>
      <c r="V360" s="2940"/>
      <c r="W360" s="2319"/>
      <c r="X360" s="2319"/>
      <c r="Y360" s="2319"/>
      <c r="Z360" s="2566"/>
      <c r="AA360" s="2566"/>
      <c r="AB360" s="2566"/>
      <c r="AC360" s="2566"/>
      <c r="AD360" s="2323"/>
      <c r="AE360" s="2323"/>
      <c r="AF360" s="2323"/>
      <c r="AG360" s="2323"/>
      <c r="AH360" s="2323"/>
      <c r="AI360" s="2323"/>
      <c r="AJ360" s="2323"/>
      <c r="AK360" s="2898"/>
      <c r="AL360" s="2895">
        <f t="shared" si="13"/>
        <v>0</v>
      </c>
      <c r="AM360" s="2896" t="str">
        <f t="shared" si="12"/>
        <v/>
      </c>
    </row>
    <row r="361" spans="1:39" hidden="1" outlineLevel="1">
      <c r="A361" s="2566"/>
      <c r="B361" s="3210"/>
      <c r="C361" s="3210"/>
      <c r="D361" s="3210"/>
      <c r="E361" s="3208"/>
      <c r="F361" s="3767" t="s">
        <v>3935</v>
      </c>
      <c r="G361" s="3767"/>
      <c r="H361" s="2566"/>
      <c r="I361" s="2566"/>
      <c r="J361" s="2566"/>
      <c r="K361" s="2566"/>
      <c r="L361" s="2566"/>
      <c r="M361" s="2566"/>
      <c r="N361" s="2566"/>
      <c r="O361" s="2566"/>
      <c r="P361" s="2566"/>
      <c r="Q361" s="2566"/>
      <c r="R361" s="2566"/>
      <c r="S361" s="2566"/>
      <c r="T361" s="2566"/>
      <c r="U361" s="2566"/>
      <c r="V361" s="2940"/>
      <c r="W361" s="2319"/>
      <c r="X361" s="2319"/>
      <c r="Y361" s="2319"/>
      <c r="Z361" s="2566"/>
      <c r="AA361" s="2566"/>
      <c r="AB361" s="2566"/>
      <c r="AC361" s="2566"/>
      <c r="AD361" s="2323"/>
      <c r="AE361" s="2323"/>
      <c r="AF361" s="2323"/>
      <c r="AG361" s="2323"/>
      <c r="AH361" s="2323"/>
      <c r="AI361" s="2323"/>
      <c r="AJ361" s="2323"/>
      <c r="AK361" s="2898"/>
      <c r="AL361" s="2895">
        <f t="shared" si="13"/>
        <v>0</v>
      </c>
      <c r="AM361" s="2896" t="str">
        <f t="shared" si="12"/>
        <v/>
      </c>
    </row>
    <row r="362" spans="1:39" hidden="1" outlineLevel="1">
      <c r="A362" s="2566"/>
      <c r="B362" s="3210"/>
      <c r="C362" s="3210"/>
      <c r="D362" s="3210"/>
      <c r="E362" s="3208"/>
      <c r="F362" s="3767" t="s">
        <v>3936</v>
      </c>
      <c r="G362" s="3767"/>
      <c r="H362" s="2566"/>
      <c r="I362" s="2566"/>
      <c r="J362" s="2566"/>
      <c r="K362" s="2566"/>
      <c r="L362" s="2566"/>
      <c r="M362" s="2566"/>
      <c r="N362" s="2566"/>
      <c r="O362" s="2566"/>
      <c r="P362" s="2566"/>
      <c r="Q362" s="2566"/>
      <c r="R362" s="2566"/>
      <c r="S362" s="2566"/>
      <c r="T362" s="2566"/>
      <c r="U362" s="2566"/>
      <c r="V362" s="2940"/>
      <c r="W362" s="2319"/>
      <c r="X362" s="2319"/>
      <c r="Y362" s="2319"/>
      <c r="Z362" s="2566"/>
      <c r="AA362" s="2566"/>
      <c r="AB362" s="2566"/>
      <c r="AC362" s="2566"/>
      <c r="AD362" s="2323"/>
      <c r="AE362" s="2323"/>
      <c r="AF362" s="2323"/>
      <c r="AG362" s="2323"/>
      <c r="AH362" s="2323"/>
      <c r="AI362" s="2323"/>
      <c r="AJ362" s="2323"/>
      <c r="AK362" s="2898"/>
      <c r="AL362" s="2895">
        <f t="shared" si="13"/>
        <v>0</v>
      </c>
      <c r="AM362" s="2896" t="str">
        <f t="shared" si="12"/>
        <v/>
      </c>
    </row>
    <row r="363" spans="1:39" hidden="1" outlineLevel="1">
      <c r="A363" s="2566"/>
      <c r="B363" s="3210"/>
      <c r="C363" s="3210"/>
      <c r="D363" s="3210"/>
      <c r="E363" s="3208"/>
      <c r="F363" s="3767" t="s">
        <v>3937</v>
      </c>
      <c r="G363" s="3767"/>
      <c r="H363" s="2566"/>
      <c r="I363" s="2566"/>
      <c r="J363" s="2566"/>
      <c r="K363" s="2566"/>
      <c r="L363" s="2566"/>
      <c r="M363" s="2566"/>
      <c r="N363" s="2566"/>
      <c r="O363" s="2566"/>
      <c r="P363" s="2566"/>
      <c r="Q363" s="2566"/>
      <c r="R363" s="2566"/>
      <c r="S363" s="2566"/>
      <c r="T363" s="2566"/>
      <c r="U363" s="2566"/>
      <c r="V363" s="2940"/>
      <c r="W363" s="2319"/>
      <c r="X363" s="2319"/>
      <c r="Y363" s="2319"/>
      <c r="Z363" s="2566"/>
      <c r="AA363" s="2566"/>
      <c r="AB363" s="2566"/>
      <c r="AC363" s="2566"/>
      <c r="AD363" s="2323"/>
      <c r="AE363" s="2323"/>
      <c r="AF363" s="2323"/>
      <c r="AG363" s="2323"/>
      <c r="AH363" s="2323"/>
      <c r="AI363" s="2323"/>
      <c r="AJ363" s="2323"/>
      <c r="AK363" s="2898"/>
      <c r="AL363" s="2895">
        <f t="shared" si="13"/>
        <v>0</v>
      </c>
      <c r="AM363" s="2896" t="str">
        <f t="shared" si="12"/>
        <v/>
      </c>
    </row>
    <row r="364" spans="1:39" ht="30" hidden="1" outlineLevel="1">
      <c r="A364" s="2566"/>
      <c r="B364" s="3210"/>
      <c r="C364" s="3210"/>
      <c r="D364" s="3210"/>
      <c r="E364" s="3208" t="s">
        <v>3938</v>
      </c>
      <c r="F364" s="3767" t="s">
        <v>3933</v>
      </c>
      <c r="G364" s="3767"/>
      <c r="H364" s="2566"/>
      <c r="I364" s="2566"/>
      <c r="J364" s="2566"/>
      <c r="K364" s="2566"/>
      <c r="L364" s="2566"/>
      <c r="M364" s="2566"/>
      <c r="N364" s="2566"/>
      <c r="O364" s="2566"/>
      <c r="P364" s="2566"/>
      <c r="Q364" s="2566"/>
      <c r="R364" s="2566"/>
      <c r="S364" s="2566"/>
      <c r="T364" s="2566"/>
      <c r="U364" s="2566"/>
      <c r="V364" s="2940"/>
      <c r="W364" s="2319"/>
      <c r="X364" s="2319"/>
      <c r="Y364" s="2319"/>
      <c r="Z364" s="2566"/>
      <c r="AA364" s="2566"/>
      <c r="AB364" s="2566"/>
      <c r="AC364" s="2566"/>
      <c r="AD364" s="2323"/>
      <c r="AE364" s="2323"/>
      <c r="AF364" s="2323"/>
      <c r="AG364" s="2323"/>
      <c r="AH364" s="2323"/>
      <c r="AI364" s="2323"/>
      <c r="AJ364" s="2323"/>
      <c r="AK364" s="2898"/>
      <c r="AL364" s="2895">
        <f t="shared" si="13"/>
        <v>0</v>
      </c>
      <c r="AM364" s="2896" t="str">
        <f t="shared" si="12"/>
        <v/>
      </c>
    </row>
    <row r="365" spans="1:39" hidden="1" outlineLevel="1">
      <c r="A365" s="2566"/>
      <c r="B365" s="3210"/>
      <c r="C365" s="3210"/>
      <c r="D365" s="3210"/>
      <c r="E365" s="3208"/>
      <c r="F365" s="3767" t="s">
        <v>3934</v>
      </c>
      <c r="G365" s="3767"/>
      <c r="H365" s="2566"/>
      <c r="I365" s="2566"/>
      <c r="J365" s="2566"/>
      <c r="K365" s="2566"/>
      <c r="L365" s="2566"/>
      <c r="M365" s="2566"/>
      <c r="N365" s="2566"/>
      <c r="O365" s="2566"/>
      <c r="P365" s="2566"/>
      <c r="Q365" s="2566"/>
      <c r="R365" s="2566"/>
      <c r="S365" s="2566"/>
      <c r="T365" s="2566"/>
      <c r="U365" s="2566"/>
      <c r="V365" s="2940"/>
      <c r="W365" s="2319"/>
      <c r="X365" s="2319"/>
      <c r="Y365" s="2319"/>
      <c r="Z365" s="2566"/>
      <c r="AA365" s="2566"/>
      <c r="AB365" s="2566"/>
      <c r="AC365" s="2566"/>
      <c r="AD365" s="2323"/>
      <c r="AE365" s="2323"/>
      <c r="AF365" s="2323"/>
      <c r="AG365" s="2323"/>
      <c r="AH365" s="2323"/>
      <c r="AI365" s="2323"/>
      <c r="AJ365" s="2323"/>
      <c r="AK365" s="2898"/>
      <c r="AL365" s="2895">
        <f t="shared" si="13"/>
        <v>0</v>
      </c>
      <c r="AM365" s="2896" t="str">
        <f t="shared" si="12"/>
        <v/>
      </c>
    </row>
    <row r="366" spans="1:39" hidden="1" outlineLevel="1">
      <c r="A366" s="2566"/>
      <c r="B366" s="3210"/>
      <c r="C366" s="3210"/>
      <c r="D366" s="3210"/>
      <c r="E366" s="3208"/>
      <c r="F366" s="3767" t="s">
        <v>3935</v>
      </c>
      <c r="G366" s="3767"/>
      <c r="H366" s="2566"/>
      <c r="I366" s="2566"/>
      <c r="J366" s="2566"/>
      <c r="K366" s="2566"/>
      <c r="L366" s="2566"/>
      <c r="M366" s="2566"/>
      <c r="N366" s="2566"/>
      <c r="O366" s="2566"/>
      <c r="P366" s="2566"/>
      <c r="Q366" s="2566"/>
      <c r="R366" s="2566"/>
      <c r="S366" s="2566"/>
      <c r="T366" s="2566"/>
      <c r="U366" s="2566"/>
      <c r="V366" s="2940"/>
      <c r="W366" s="2319"/>
      <c r="X366" s="2319"/>
      <c r="Y366" s="2319"/>
      <c r="Z366" s="2566"/>
      <c r="AA366" s="2566"/>
      <c r="AB366" s="2566"/>
      <c r="AC366" s="2566"/>
      <c r="AD366" s="2323"/>
      <c r="AE366" s="2323"/>
      <c r="AF366" s="2323"/>
      <c r="AG366" s="2323"/>
      <c r="AH366" s="2323"/>
      <c r="AI366" s="2323"/>
      <c r="AJ366" s="2323"/>
      <c r="AK366" s="2898"/>
      <c r="AL366" s="2895">
        <f t="shared" si="13"/>
        <v>0</v>
      </c>
      <c r="AM366" s="2896" t="str">
        <f t="shared" si="12"/>
        <v/>
      </c>
    </row>
    <row r="367" spans="1:39" hidden="1" outlineLevel="1">
      <c r="A367" s="2566"/>
      <c r="B367" s="3210"/>
      <c r="C367" s="3210"/>
      <c r="D367" s="3210"/>
      <c r="E367" s="3208"/>
      <c r="F367" s="3767" t="s">
        <v>3936</v>
      </c>
      <c r="G367" s="3767"/>
      <c r="H367" s="2566"/>
      <c r="I367" s="2566"/>
      <c r="J367" s="2566"/>
      <c r="K367" s="2566"/>
      <c r="L367" s="2566"/>
      <c r="M367" s="2566"/>
      <c r="N367" s="2566"/>
      <c r="O367" s="2566"/>
      <c r="P367" s="2566"/>
      <c r="Q367" s="2566"/>
      <c r="R367" s="2566"/>
      <c r="S367" s="2566"/>
      <c r="T367" s="2566"/>
      <c r="U367" s="2566"/>
      <c r="V367" s="2940"/>
      <c r="W367" s="2319"/>
      <c r="X367" s="2319"/>
      <c r="Y367" s="2319"/>
      <c r="Z367" s="2566"/>
      <c r="AA367" s="2566"/>
      <c r="AB367" s="2566"/>
      <c r="AC367" s="2566"/>
      <c r="AD367" s="2323"/>
      <c r="AE367" s="2323"/>
      <c r="AF367" s="2323"/>
      <c r="AG367" s="2323"/>
      <c r="AH367" s="2323"/>
      <c r="AI367" s="2323"/>
      <c r="AJ367" s="2323"/>
      <c r="AK367" s="2898"/>
      <c r="AL367" s="2895">
        <f t="shared" si="13"/>
        <v>0</v>
      </c>
      <c r="AM367" s="2896" t="str">
        <f t="shared" si="12"/>
        <v/>
      </c>
    </row>
    <row r="368" spans="1:39" hidden="1" outlineLevel="1">
      <c r="A368" s="2566"/>
      <c r="B368" s="3210"/>
      <c r="C368" s="3210"/>
      <c r="D368" s="3210"/>
      <c r="E368" s="3208"/>
      <c r="F368" s="3767" t="s">
        <v>3937</v>
      </c>
      <c r="G368" s="3767"/>
      <c r="H368" s="2566"/>
      <c r="I368" s="2566"/>
      <c r="J368" s="2566"/>
      <c r="K368" s="2566"/>
      <c r="L368" s="2566"/>
      <c r="M368" s="2566"/>
      <c r="N368" s="2566"/>
      <c r="O368" s="2566"/>
      <c r="P368" s="2566"/>
      <c r="Q368" s="2566"/>
      <c r="R368" s="2566"/>
      <c r="S368" s="2566"/>
      <c r="T368" s="2566"/>
      <c r="U368" s="2566"/>
      <c r="V368" s="2940"/>
      <c r="W368" s="2319"/>
      <c r="X368" s="2319"/>
      <c r="Y368" s="2319"/>
      <c r="Z368" s="2566"/>
      <c r="AA368" s="2566"/>
      <c r="AB368" s="2566"/>
      <c r="AC368" s="2566"/>
      <c r="AD368" s="2323"/>
      <c r="AE368" s="2323"/>
      <c r="AF368" s="2323"/>
      <c r="AG368" s="2323"/>
      <c r="AH368" s="2323"/>
      <c r="AI368" s="2323"/>
      <c r="AJ368" s="2323"/>
      <c r="AK368" s="2898"/>
      <c r="AL368" s="2895">
        <f t="shared" si="13"/>
        <v>0</v>
      </c>
      <c r="AM368" s="2896" t="str">
        <f t="shared" si="12"/>
        <v/>
      </c>
    </row>
    <row r="369" spans="1:39" ht="30" hidden="1" outlineLevel="1">
      <c r="A369" s="2566"/>
      <c r="B369" s="3210"/>
      <c r="C369" s="3210"/>
      <c r="D369" s="3210"/>
      <c r="E369" s="3208" t="s">
        <v>3939</v>
      </c>
      <c r="F369" s="3767" t="s">
        <v>3933</v>
      </c>
      <c r="G369" s="3767"/>
      <c r="H369" s="2566"/>
      <c r="I369" s="2566"/>
      <c r="J369" s="2566"/>
      <c r="K369" s="2566"/>
      <c r="L369" s="2566"/>
      <c r="M369" s="2566"/>
      <c r="N369" s="2566"/>
      <c r="O369" s="3217"/>
      <c r="P369" s="3217"/>
      <c r="Q369" s="3217"/>
      <c r="R369" s="3217"/>
      <c r="S369" s="3774"/>
      <c r="T369" s="2566"/>
      <c r="U369" s="2566"/>
      <c r="V369" s="2940"/>
      <c r="W369" s="2319"/>
      <c r="X369" s="2319"/>
      <c r="Y369" s="2319"/>
      <c r="Z369" s="2566"/>
      <c r="AA369" s="2566"/>
      <c r="AB369" s="2566"/>
      <c r="AC369" s="2566"/>
      <c r="AD369" s="2323"/>
      <c r="AE369" s="2323"/>
      <c r="AF369" s="2323"/>
      <c r="AG369" s="2323"/>
      <c r="AH369" s="2323"/>
      <c r="AI369" s="2323"/>
      <c r="AJ369" s="2323"/>
      <c r="AK369" s="2898"/>
      <c r="AL369" s="2895">
        <f t="shared" si="13"/>
        <v>0</v>
      </c>
      <c r="AM369" s="2896" t="str">
        <f t="shared" si="12"/>
        <v/>
      </c>
    </row>
    <row r="370" spans="1:39" hidden="1" outlineLevel="1">
      <c r="A370" s="2566"/>
      <c r="B370" s="3210"/>
      <c r="C370" s="3210"/>
      <c r="D370" s="3210"/>
      <c r="E370" s="3208"/>
      <c r="F370" s="3767" t="s">
        <v>3934</v>
      </c>
      <c r="G370" s="3767"/>
      <c r="H370" s="2566"/>
      <c r="I370" s="2566"/>
      <c r="J370" s="2566"/>
      <c r="K370" s="2566"/>
      <c r="L370" s="2566"/>
      <c r="M370" s="2566"/>
      <c r="N370" s="2566"/>
      <c r="O370" s="2566"/>
      <c r="P370" s="2566"/>
      <c r="Q370" s="2566"/>
      <c r="R370" s="2566"/>
      <c r="S370" s="2566"/>
      <c r="T370" s="2566"/>
      <c r="U370" s="2566"/>
      <c r="V370" s="2940"/>
      <c r="W370" s="2319"/>
      <c r="X370" s="2319"/>
      <c r="Y370" s="2319"/>
      <c r="Z370" s="2566"/>
      <c r="AA370" s="2566"/>
      <c r="AB370" s="2566"/>
      <c r="AC370" s="2566"/>
      <c r="AD370" s="2323"/>
      <c r="AE370" s="2323"/>
      <c r="AF370" s="2323"/>
      <c r="AG370" s="2323"/>
      <c r="AH370" s="2323"/>
      <c r="AI370" s="2323"/>
      <c r="AJ370" s="2323"/>
      <c r="AK370" s="2898"/>
      <c r="AL370" s="2895">
        <f t="shared" si="13"/>
        <v>0</v>
      </c>
      <c r="AM370" s="2896" t="str">
        <f t="shared" si="12"/>
        <v/>
      </c>
    </row>
    <row r="371" spans="1:39" hidden="1" outlineLevel="1">
      <c r="A371" s="2566"/>
      <c r="B371" s="3210"/>
      <c r="C371" s="3210"/>
      <c r="D371" s="3210"/>
      <c r="E371" s="3208"/>
      <c r="F371" s="3767" t="s">
        <v>3935</v>
      </c>
      <c r="G371" s="3767"/>
      <c r="H371" s="2566"/>
      <c r="I371" s="2566"/>
      <c r="J371" s="2566"/>
      <c r="K371" s="2566"/>
      <c r="L371" s="2566"/>
      <c r="M371" s="2566"/>
      <c r="N371" s="2566"/>
      <c r="O371" s="2566"/>
      <c r="P371" s="2566"/>
      <c r="Q371" s="2566"/>
      <c r="R371" s="2566"/>
      <c r="S371" s="2566"/>
      <c r="T371" s="2566"/>
      <c r="U371" s="2566"/>
      <c r="V371" s="2940"/>
      <c r="W371" s="2319"/>
      <c r="X371" s="2319"/>
      <c r="Y371" s="2319"/>
      <c r="Z371" s="2566"/>
      <c r="AA371" s="2566"/>
      <c r="AB371" s="2566"/>
      <c r="AC371" s="2566"/>
      <c r="AD371" s="2323"/>
      <c r="AE371" s="2323"/>
      <c r="AF371" s="2323"/>
      <c r="AG371" s="2323"/>
      <c r="AH371" s="2323"/>
      <c r="AI371" s="2323"/>
      <c r="AJ371" s="2323"/>
      <c r="AK371" s="2898"/>
      <c r="AL371" s="2895">
        <f t="shared" si="13"/>
        <v>0</v>
      </c>
      <c r="AM371" s="2896" t="str">
        <f t="shared" si="12"/>
        <v/>
      </c>
    </row>
    <row r="372" spans="1:39" hidden="1" outlineLevel="1">
      <c r="A372" s="2566"/>
      <c r="B372" s="3210"/>
      <c r="C372" s="3210"/>
      <c r="D372" s="3210"/>
      <c r="E372" s="3208"/>
      <c r="F372" s="3767" t="s">
        <v>3936</v>
      </c>
      <c r="G372" s="3767"/>
      <c r="H372" s="2566"/>
      <c r="I372" s="2566"/>
      <c r="J372" s="2566"/>
      <c r="K372" s="2566"/>
      <c r="L372" s="2566"/>
      <c r="M372" s="2566"/>
      <c r="N372" s="2566"/>
      <c r="O372" s="2566"/>
      <c r="P372" s="2566"/>
      <c r="Q372" s="2566"/>
      <c r="R372" s="2566"/>
      <c r="S372" s="2566"/>
      <c r="T372" s="2566"/>
      <c r="U372" s="2566"/>
      <c r="V372" s="2940"/>
      <c r="W372" s="2319"/>
      <c r="X372" s="2319"/>
      <c r="Y372" s="2319"/>
      <c r="Z372" s="2566"/>
      <c r="AA372" s="2566"/>
      <c r="AB372" s="2566"/>
      <c r="AC372" s="2566"/>
      <c r="AD372" s="2323"/>
      <c r="AE372" s="2323"/>
      <c r="AF372" s="2323"/>
      <c r="AG372" s="2323"/>
      <c r="AH372" s="2323"/>
      <c r="AI372" s="2323"/>
      <c r="AJ372" s="2323"/>
      <c r="AK372" s="2898"/>
      <c r="AL372" s="2895">
        <f t="shared" si="13"/>
        <v>0</v>
      </c>
      <c r="AM372" s="2896" t="str">
        <f t="shared" si="12"/>
        <v/>
      </c>
    </row>
    <row r="373" spans="1:39" hidden="1" outlineLevel="1">
      <c r="A373" s="2566"/>
      <c r="B373" s="3210"/>
      <c r="C373" s="3210"/>
      <c r="D373" s="3210"/>
      <c r="E373" s="3208"/>
      <c r="F373" s="3767" t="s">
        <v>3937</v>
      </c>
      <c r="G373" s="3767"/>
      <c r="H373" s="2566"/>
      <c r="I373" s="2566"/>
      <c r="J373" s="2566"/>
      <c r="K373" s="2566"/>
      <c r="L373" s="2566"/>
      <c r="M373" s="2566"/>
      <c r="N373" s="2566"/>
      <c r="O373" s="2566"/>
      <c r="P373" s="2566"/>
      <c r="Q373" s="2566"/>
      <c r="R373" s="2566"/>
      <c r="S373" s="2566"/>
      <c r="T373" s="2566"/>
      <c r="U373" s="2566"/>
      <c r="V373" s="2940"/>
      <c r="W373" s="2319"/>
      <c r="X373" s="2319"/>
      <c r="Y373" s="2319"/>
      <c r="Z373" s="2566"/>
      <c r="AA373" s="2566"/>
      <c r="AB373" s="2566"/>
      <c r="AC373" s="2566"/>
      <c r="AD373" s="2323"/>
      <c r="AE373" s="2323"/>
      <c r="AF373" s="2323"/>
      <c r="AG373" s="2323"/>
      <c r="AH373" s="2323"/>
      <c r="AI373" s="2323"/>
      <c r="AJ373" s="2323"/>
      <c r="AK373" s="2898"/>
      <c r="AL373" s="2895">
        <f t="shared" si="13"/>
        <v>0</v>
      </c>
      <c r="AM373" s="2896" t="str">
        <f t="shared" si="12"/>
        <v/>
      </c>
    </row>
    <row r="374" spans="1:39" collapsed="1">
      <c r="A374" s="2338"/>
      <c r="B374" s="2338"/>
      <c r="C374" s="2338"/>
      <c r="D374" s="2338"/>
      <c r="E374" s="2338"/>
      <c r="F374" s="3637"/>
      <c r="G374" s="3637"/>
      <c r="H374" s="2338"/>
      <c r="I374" s="2338"/>
      <c r="J374" s="2338"/>
      <c r="K374" s="2338"/>
      <c r="L374" s="2338"/>
      <c r="M374" s="2338"/>
      <c r="N374" s="2338"/>
      <c r="O374" s="2338"/>
      <c r="P374" s="2338"/>
      <c r="Q374" s="2338"/>
      <c r="R374" s="2338"/>
      <c r="S374" s="2338"/>
      <c r="T374" s="2338"/>
      <c r="U374" s="2338"/>
    </row>
    <row r="375" spans="1:39">
      <c r="A375" s="2338"/>
      <c r="B375" s="2338"/>
      <c r="C375" s="2338"/>
      <c r="D375" s="2338"/>
      <c r="E375" s="2338"/>
      <c r="F375" s="3637"/>
      <c r="G375" s="3637"/>
      <c r="H375" s="2338"/>
      <c r="I375" s="2338"/>
      <c r="J375" s="2338"/>
      <c r="K375" s="2338"/>
      <c r="L375" s="2338"/>
      <c r="M375" s="2338"/>
      <c r="N375" s="2338"/>
      <c r="O375" s="2338"/>
      <c r="P375" s="2338"/>
      <c r="Q375" s="2338"/>
      <c r="R375" s="2338"/>
      <c r="S375" s="2338"/>
      <c r="T375" s="2338"/>
      <c r="U375" s="2338"/>
    </row>
    <row r="376" spans="1:39" ht="48" customHeight="1">
      <c r="A376" s="3217"/>
      <c r="B376" s="3217"/>
      <c r="C376" s="3217"/>
      <c r="D376" s="3217"/>
      <c r="E376" s="3217"/>
      <c r="F376" s="3217"/>
      <c r="G376" s="3761" t="s">
        <v>3940</v>
      </c>
      <c r="H376" s="3761"/>
      <c r="I376" s="3761"/>
      <c r="J376" s="3761"/>
      <c r="K376" s="3761"/>
      <c r="L376" s="3761"/>
      <c r="M376" s="3761"/>
      <c r="N376" s="3761"/>
      <c r="O376" s="3761"/>
      <c r="P376" s="3761"/>
      <c r="Q376" s="3761"/>
      <c r="R376" s="3761"/>
      <c r="S376" s="3761"/>
      <c r="T376" s="3761"/>
      <c r="U376" s="3761"/>
      <c r="V376" s="2502"/>
      <c r="W376" s="2502"/>
      <c r="X376" s="2502"/>
      <c r="Y376" s="2502"/>
      <c r="Z376" s="2338"/>
      <c r="AA376" s="2338"/>
      <c r="AB376" s="2338"/>
      <c r="AC376" s="2338"/>
      <c r="AD376" s="2338"/>
      <c r="AE376" s="2338"/>
      <c r="AF376" s="2338"/>
      <c r="AG376" s="2338"/>
      <c r="AH376" s="2338"/>
      <c r="AI376" s="2338"/>
      <c r="AJ376" s="2338"/>
    </row>
    <row r="377" spans="1:39" ht="60">
      <c r="A377" s="3208" t="s">
        <v>0</v>
      </c>
      <c r="B377" s="3208" t="s">
        <v>3849</v>
      </c>
      <c r="C377" s="3208"/>
      <c r="D377" s="3208"/>
      <c r="E377" s="3209" t="s">
        <v>3866</v>
      </c>
      <c r="F377" s="3210" t="s">
        <v>3867</v>
      </c>
      <c r="G377" s="3209" t="s">
        <v>3854</v>
      </c>
      <c r="H377" s="3216" t="s">
        <v>3868</v>
      </c>
      <c r="I377" s="3216"/>
      <c r="J377" s="3216"/>
      <c r="K377" s="3216"/>
      <c r="L377" s="3216"/>
      <c r="M377" s="3216" t="s">
        <v>3869</v>
      </c>
      <c r="N377" s="3216"/>
      <c r="O377" s="3216"/>
      <c r="P377" s="3216"/>
      <c r="Q377" s="3216"/>
      <c r="R377" s="3773" t="s">
        <v>3870</v>
      </c>
      <c r="S377" s="3773"/>
      <c r="T377" s="3773"/>
      <c r="U377" s="3773"/>
      <c r="V377" s="3206" t="s">
        <v>4001</v>
      </c>
      <c r="W377" s="3100"/>
      <c r="X377" s="3100"/>
      <c r="Y377" s="3101"/>
      <c r="Z377" s="3093" t="s">
        <v>3858</v>
      </c>
      <c r="AA377" s="3093"/>
      <c r="AB377" s="3093"/>
      <c r="AC377" s="3093"/>
      <c r="AD377" s="3102" t="s">
        <v>4002</v>
      </c>
      <c r="AE377" s="3103"/>
      <c r="AF377" s="3103"/>
      <c r="AG377" s="3104"/>
      <c r="AH377" s="2779" t="s">
        <v>3980</v>
      </c>
      <c r="AI377" s="2500" t="s">
        <v>3974</v>
      </c>
      <c r="AJ377" s="2500" t="s">
        <v>3975</v>
      </c>
      <c r="AK377" s="2893" t="s">
        <v>4273</v>
      </c>
      <c r="AL377" s="2893" t="s">
        <v>4271</v>
      </c>
      <c r="AM377" s="2893" t="s">
        <v>4272</v>
      </c>
    </row>
    <row r="378" spans="1:39" ht="60">
      <c r="A378" s="3208"/>
      <c r="B378" s="3208"/>
      <c r="C378" s="3208"/>
      <c r="D378" s="3208"/>
      <c r="E378" s="3209"/>
      <c r="F378" s="3210"/>
      <c r="G378" s="3209"/>
      <c r="H378" s="2980">
        <f>H11</f>
        <v>2015</v>
      </c>
      <c r="I378" s="2980">
        <f>I11</f>
        <v>2016</v>
      </c>
      <c r="J378" s="2980">
        <f>J11</f>
        <v>2017</v>
      </c>
      <c r="K378" s="2980" t="str">
        <f>K342</f>
        <v>План (в случае отсутствия факта за 3 года)</v>
      </c>
      <c r="L378" s="2981" t="s">
        <v>2559</v>
      </c>
      <c r="M378" s="2980">
        <f>H378</f>
        <v>2015</v>
      </c>
      <c r="N378" s="2980">
        <f>I378</f>
        <v>2016</v>
      </c>
      <c r="O378" s="2980">
        <f>J378</f>
        <v>2017</v>
      </c>
      <c r="P378" s="2980" t="str">
        <f>P342</f>
        <v>План (в случае отсутствия факта за 3 года)</v>
      </c>
      <c r="Q378" s="2981" t="s">
        <v>2559</v>
      </c>
      <c r="R378" s="2980">
        <f>H378</f>
        <v>2015</v>
      </c>
      <c r="S378" s="2980">
        <f>I378</f>
        <v>2016</v>
      </c>
      <c r="T378" s="2980">
        <f>J378</f>
        <v>2017</v>
      </c>
      <c r="U378" s="2980" t="str">
        <f>U342</f>
        <v>План (в случае отсутствия факта за 3 года)</v>
      </c>
      <c r="V378" s="2939">
        <f>R378</f>
        <v>2015</v>
      </c>
      <c r="W378" s="2496">
        <f>S378</f>
        <v>2016</v>
      </c>
      <c r="X378" s="2496">
        <f>T378</f>
        <v>2017</v>
      </c>
      <c r="Y378" s="2496" t="str">
        <f>U378</f>
        <v>План (в случае отсутствия факта за 3 года)</v>
      </c>
      <c r="Z378" s="2884">
        <v>2016</v>
      </c>
      <c r="AA378" s="2884">
        <v>2017</v>
      </c>
      <c r="AB378" s="2884">
        <v>2018</v>
      </c>
      <c r="AC378" s="2886">
        <v>2019</v>
      </c>
      <c r="AD378" s="2503">
        <f>V378</f>
        <v>2015</v>
      </c>
      <c r="AE378" s="2503">
        <f>W378</f>
        <v>2016</v>
      </c>
      <c r="AF378" s="2503">
        <f>X378</f>
        <v>2017</v>
      </c>
      <c r="AG378" s="2503" t="str">
        <f>Y378</f>
        <v>План (в случае отсутствия факта за 3 года)</v>
      </c>
      <c r="AH378" s="2497" t="s">
        <v>3981</v>
      </c>
      <c r="AI378" s="2505" t="s">
        <v>3976</v>
      </c>
      <c r="AJ378" s="2505" t="s">
        <v>3977</v>
      </c>
      <c r="AK378" s="2889">
        <v>2018</v>
      </c>
      <c r="AL378" s="2890" t="s">
        <v>4265</v>
      </c>
      <c r="AM378" s="2889" t="s">
        <v>4265</v>
      </c>
    </row>
    <row r="379" spans="1:39">
      <c r="A379" s="2978">
        <v>1</v>
      </c>
      <c r="B379" s="3208">
        <v>2</v>
      </c>
      <c r="C379" s="3208"/>
      <c r="D379" s="3208"/>
      <c r="E379" s="3208">
        <v>3</v>
      </c>
      <c r="F379" s="3208"/>
      <c r="G379" s="2980">
        <v>4</v>
      </c>
      <c r="H379" s="3209">
        <v>5</v>
      </c>
      <c r="I379" s="3209"/>
      <c r="J379" s="3209"/>
      <c r="K379" s="3209"/>
      <c r="L379" s="2980"/>
      <c r="M379" s="3209">
        <v>6</v>
      </c>
      <c r="N379" s="3209"/>
      <c r="O379" s="3209"/>
      <c r="P379" s="3209"/>
      <c r="Q379" s="2980"/>
      <c r="R379" s="3209">
        <v>7</v>
      </c>
      <c r="S379" s="3209"/>
      <c r="T379" s="3209"/>
      <c r="U379" s="3209"/>
      <c r="V379" s="3108">
        <v>8</v>
      </c>
      <c r="W379" s="3022"/>
      <c r="X379" s="3022"/>
      <c r="Y379" s="2884"/>
      <c r="Z379" s="3022">
        <v>9</v>
      </c>
      <c r="AA379" s="3022"/>
      <c r="AB379" s="3022"/>
      <c r="AC379" s="3109"/>
      <c r="AD379" s="3105">
        <v>10</v>
      </c>
      <c r="AE379" s="3106"/>
      <c r="AF379" s="3106"/>
      <c r="AG379" s="3107"/>
      <c r="AH379" s="2498">
        <v>11</v>
      </c>
      <c r="AI379" s="2498">
        <v>12</v>
      </c>
      <c r="AJ379" s="2499">
        <v>13</v>
      </c>
      <c r="AK379" s="2891">
        <v>10</v>
      </c>
      <c r="AL379" s="2892">
        <v>11</v>
      </c>
      <c r="AM379" s="2891">
        <v>12</v>
      </c>
    </row>
    <row r="380" spans="1:39" ht="15.75" hidden="1" outlineLevel="1">
      <c r="A380" s="2566"/>
      <c r="B380" s="3775" t="s">
        <v>2952</v>
      </c>
      <c r="C380" s="3775"/>
      <c r="D380" s="3775"/>
      <c r="E380" s="3776" t="s">
        <v>3871</v>
      </c>
      <c r="F380" s="3777" t="s">
        <v>2629</v>
      </c>
      <c r="G380" s="3767"/>
      <c r="H380" s="2723"/>
      <c r="I380" s="2723"/>
      <c r="J380" s="2723"/>
      <c r="K380" s="2723"/>
      <c r="L380" s="2723"/>
      <c r="M380" s="2723"/>
      <c r="N380" s="2723"/>
      <c r="O380" s="2723"/>
      <c r="P380" s="2723"/>
      <c r="Q380" s="2723"/>
      <c r="R380" s="2723"/>
      <c r="S380" s="2723"/>
      <c r="T380" s="2723"/>
      <c r="U380" s="2723"/>
      <c r="V380" s="2941"/>
      <c r="W380" s="2734"/>
      <c r="X380" s="2734"/>
      <c r="Y380" s="2734"/>
      <c r="Z380" s="2734"/>
      <c r="AA380" s="2734"/>
      <c r="AB380" s="2734"/>
      <c r="AC380" s="2734"/>
      <c r="AD380" s="2734"/>
      <c r="AE380" s="2734"/>
      <c r="AF380" s="2734"/>
      <c r="AG380" s="2734"/>
      <c r="AH380" s="2734"/>
      <c r="AI380" s="2734"/>
      <c r="AJ380" s="2734"/>
      <c r="AK380" s="2898"/>
      <c r="AL380" s="2895">
        <f t="shared" ref="AL380:AL403" si="14">AK380*$AC$12</f>
        <v>0</v>
      </c>
      <c r="AM380" s="2896" t="str">
        <f t="shared" ref="AM380:AM403" si="15">IFERROR(AI380/AL380,"")</f>
        <v/>
      </c>
    </row>
    <row r="381" spans="1:39" ht="15.75" hidden="1" outlineLevel="1">
      <c r="A381" s="2566"/>
      <c r="B381" s="3775"/>
      <c r="C381" s="3775"/>
      <c r="D381" s="3775"/>
      <c r="E381" s="3776"/>
      <c r="F381" s="3777" t="s">
        <v>2631</v>
      </c>
      <c r="G381" s="3767"/>
      <c r="H381" s="2723"/>
      <c r="I381" s="2723"/>
      <c r="J381" s="2723"/>
      <c r="K381" s="2723"/>
      <c r="L381" s="2723"/>
      <c r="M381" s="2723"/>
      <c r="N381" s="2723"/>
      <c r="O381" s="2723"/>
      <c r="P381" s="2723"/>
      <c r="Q381" s="2723"/>
      <c r="R381" s="2723"/>
      <c r="S381" s="2723"/>
      <c r="T381" s="2723"/>
      <c r="U381" s="2723"/>
      <c r="V381" s="2941"/>
      <c r="W381" s="2734"/>
      <c r="X381" s="2734"/>
      <c r="Y381" s="2734"/>
      <c r="Z381" s="2734"/>
      <c r="AA381" s="2734"/>
      <c r="AB381" s="2734"/>
      <c r="AC381" s="2734"/>
      <c r="AD381" s="2734"/>
      <c r="AE381" s="2734"/>
      <c r="AF381" s="2734"/>
      <c r="AG381" s="2734"/>
      <c r="AH381" s="2734"/>
      <c r="AI381" s="2734"/>
      <c r="AJ381" s="2734"/>
      <c r="AK381" s="2898"/>
      <c r="AL381" s="2895">
        <f t="shared" si="14"/>
        <v>0</v>
      </c>
      <c r="AM381" s="2896" t="str">
        <f t="shared" si="15"/>
        <v/>
      </c>
    </row>
    <row r="382" spans="1:39" ht="15.75" hidden="1" outlineLevel="1">
      <c r="A382" s="2566"/>
      <c r="B382" s="3775"/>
      <c r="C382" s="3775"/>
      <c r="D382" s="3775"/>
      <c r="E382" s="3776"/>
      <c r="F382" s="3777" t="s">
        <v>2633</v>
      </c>
      <c r="G382" s="3767"/>
      <c r="H382" s="2723"/>
      <c r="I382" s="2723"/>
      <c r="J382" s="2723"/>
      <c r="K382" s="2723"/>
      <c r="L382" s="2723"/>
      <c r="M382" s="2723"/>
      <c r="N382" s="2723"/>
      <c r="O382" s="2723"/>
      <c r="P382" s="2723"/>
      <c r="Q382" s="2723"/>
      <c r="R382" s="2723"/>
      <c r="S382" s="2723"/>
      <c r="T382" s="2723"/>
      <c r="U382" s="2723"/>
      <c r="V382" s="2941"/>
      <c r="W382" s="2734"/>
      <c r="X382" s="2734"/>
      <c r="Y382" s="2734"/>
      <c r="Z382" s="2734"/>
      <c r="AA382" s="2734"/>
      <c r="AB382" s="2734"/>
      <c r="AC382" s="2734"/>
      <c r="AD382" s="2734"/>
      <c r="AE382" s="2734"/>
      <c r="AF382" s="2734"/>
      <c r="AG382" s="2734"/>
      <c r="AH382" s="2734"/>
      <c r="AI382" s="2734"/>
      <c r="AJ382" s="2734"/>
      <c r="AK382" s="2898"/>
      <c r="AL382" s="2895">
        <f t="shared" si="14"/>
        <v>0</v>
      </c>
      <c r="AM382" s="2896" t="str">
        <f t="shared" si="15"/>
        <v/>
      </c>
    </row>
    <row r="383" spans="1:39" ht="15.75" hidden="1" outlineLevel="1">
      <c r="A383" s="2566"/>
      <c r="B383" s="3775"/>
      <c r="C383" s="3775"/>
      <c r="D383" s="3775"/>
      <c r="E383" s="3776"/>
      <c r="F383" s="3777" t="s">
        <v>2635</v>
      </c>
      <c r="G383" s="3767"/>
      <c r="H383" s="2723"/>
      <c r="I383" s="2723"/>
      <c r="J383" s="2723"/>
      <c r="K383" s="2723"/>
      <c r="L383" s="2723"/>
      <c r="M383" s="2723"/>
      <c r="N383" s="2723"/>
      <c r="O383" s="2723"/>
      <c r="P383" s="2723"/>
      <c r="Q383" s="2723"/>
      <c r="R383" s="2723"/>
      <c r="S383" s="2723"/>
      <c r="T383" s="2723"/>
      <c r="U383" s="2723"/>
      <c r="V383" s="2941"/>
      <c r="W383" s="2734"/>
      <c r="X383" s="2734"/>
      <c r="Y383" s="2734"/>
      <c r="Z383" s="2734"/>
      <c r="AA383" s="2734"/>
      <c r="AB383" s="2734"/>
      <c r="AC383" s="2734"/>
      <c r="AD383" s="2734"/>
      <c r="AE383" s="2734"/>
      <c r="AF383" s="2734"/>
      <c r="AG383" s="2734"/>
      <c r="AH383" s="2734"/>
      <c r="AI383" s="2734"/>
      <c r="AJ383" s="2734"/>
      <c r="AK383" s="2898"/>
      <c r="AL383" s="2895">
        <f t="shared" si="14"/>
        <v>0</v>
      </c>
      <c r="AM383" s="2896" t="str">
        <f t="shared" si="15"/>
        <v/>
      </c>
    </row>
    <row r="384" spans="1:39" ht="15.75" hidden="1" outlineLevel="1">
      <c r="A384" s="2566"/>
      <c r="B384" s="3775"/>
      <c r="C384" s="3775"/>
      <c r="D384" s="3775"/>
      <c r="E384" s="3776"/>
      <c r="F384" s="3777" t="s">
        <v>2639</v>
      </c>
      <c r="G384" s="3767"/>
      <c r="H384" s="2723"/>
      <c r="I384" s="2723"/>
      <c r="J384" s="2723"/>
      <c r="K384" s="2723"/>
      <c r="L384" s="2723"/>
      <c r="M384" s="2723"/>
      <c r="N384" s="2723"/>
      <c r="O384" s="2723"/>
      <c r="P384" s="2723"/>
      <c r="Q384" s="2723"/>
      <c r="R384" s="2723"/>
      <c r="S384" s="2723"/>
      <c r="T384" s="2723"/>
      <c r="U384" s="2723"/>
      <c r="V384" s="2941"/>
      <c r="W384" s="2734"/>
      <c r="X384" s="2734"/>
      <c r="Y384" s="2734"/>
      <c r="Z384" s="2734"/>
      <c r="AA384" s="2734"/>
      <c r="AB384" s="2734"/>
      <c r="AC384" s="2734"/>
      <c r="AD384" s="2734"/>
      <c r="AE384" s="2734"/>
      <c r="AF384" s="2734"/>
      <c r="AG384" s="2734"/>
      <c r="AH384" s="2734"/>
      <c r="AI384" s="2734"/>
      <c r="AJ384" s="2734"/>
      <c r="AK384" s="2898"/>
      <c r="AL384" s="2895">
        <f t="shared" si="14"/>
        <v>0</v>
      </c>
      <c r="AM384" s="2896" t="str">
        <f t="shared" si="15"/>
        <v/>
      </c>
    </row>
    <row r="385" spans="1:39" ht="15.75" hidden="1" outlineLevel="1">
      <c r="A385" s="2566"/>
      <c r="B385" s="3775"/>
      <c r="C385" s="3775"/>
      <c r="D385" s="3775"/>
      <c r="E385" s="3776"/>
      <c r="F385" s="3777" t="s">
        <v>3872</v>
      </c>
      <c r="G385" s="3767"/>
      <c r="H385" s="2723"/>
      <c r="I385" s="2723"/>
      <c r="J385" s="2723"/>
      <c r="K385" s="2723"/>
      <c r="L385" s="2723"/>
      <c r="M385" s="2723"/>
      <c r="N385" s="2723"/>
      <c r="O385" s="2723"/>
      <c r="P385" s="2723"/>
      <c r="Q385" s="2723"/>
      <c r="R385" s="2723"/>
      <c r="S385" s="2723"/>
      <c r="T385" s="2723"/>
      <c r="U385" s="2723"/>
      <c r="V385" s="2941"/>
      <c r="W385" s="2734"/>
      <c r="X385" s="2734"/>
      <c r="Y385" s="2734"/>
      <c r="Z385" s="2734"/>
      <c r="AA385" s="2734"/>
      <c r="AB385" s="2734"/>
      <c r="AC385" s="2734"/>
      <c r="AD385" s="2734"/>
      <c r="AE385" s="2734"/>
      <c r="AF385" s="2734"/>
      <c r="AG385" s="2734"/>
      <c r="AH385" s="2734"/>
      <c r="AI385" s="2734"/>
      <c r="AJ385" s="2734"/>
      <c r="AK385" s="2898"/>
      <c r="AL385" s="2895">
        <f t="shared" si="14"/>
        <v>0</v>
      </c>
      <c r="AM385" s="2896" t="str">
        <f t="shared" si="15"/>
        <v/>
      </c>
    </row>
    <row r="386" spans="1:39" ht="15.75" hidden="1" outlineLevel="1">
      <c r="A386" s="2566"/>
      <c r="B386" s="3775"/>
      <c r="C386" s="3775"/>
      <c r="D386" s="3775"/>
      <c r="E386" s="3776" t="s">
        <v>3873</v>
      </c>
      <c r="F386" s="3777" t="s">
        <v>2629</v>
      </c>
      <c r="G386" s="3767"/>
      <c r="H386" s="2723"/>
      <c r="I386" s="2723"/>
      <c r="J386" s="2723"/>
      <c r="K386" s="2723"/>
      <c r="L386" s="2723"/>
      <c r="M386" s="2723"/>
      <c r="N386" s="2723"/>
      <c r="O386" s="2723"/>
      <c r="P386" s="2723"/>
      <c r="Q386" s="2723"/>
      <c r="R386" s="2723"/>
      <c r="S386" s="2723"/>
      <c r="T386" s="2723"/>
      <c r="U386" s="2723"/>
      <c r="V386" s="2941"/>
      <c r="W386" s="2734"/>
      <c r="X386" s="2734"/>
      <c r="Y386" s="2734"/>
      <c r="Z386" s="2734"/>
      <c r="AA386" s="2734"/>
      <c r="AB386" s="2734"/>
      <c r="AC386" s="2734"/>
      <c r="AD386" s="2734"/>
      <c r="AE386" s="2734"/>
      <c r="AF386" s="2734"/>
      <c r="AG386" s="2734"/>
      <c r="AH386" s="2734"/>
      <c r="AI386" s="2734"/>
      <c r="AJ386" s="2734"/>
      <c r="AK386" s="2898"/>
      <c r="AL386" s="2895">
        <f t="shared" si="14"/>
        <v>0</v>
      </c>
      <c r="AM386" s="2896" t="str">
        <f t="shared" si="15"/>
        <v/>
      </c>
    </row>
    <row r="387" spans="1:39" ht="15.75" hidden="1" outlineLevel="1">
      <c r="A387" s="2566"/>
      <c r="B387" s="3775"/>
      <c r="C387" s="3775"/>
      <c r="D387" s="3775"/>
      <c r="E387" s="3776"/>
      <c r="F387" s="3777" t="s">
        <v>2631</v>
      </c>
      <c r="G387" s="3767"/>
      <c r="H387" s="2723"/>
      <c r="I387" s="2723"/>
      <c r="J387" s="2723"/>
      <c r="K387" s="2723"/>
      <c r="L387" s="2723"/>
      <c r="M387" s="2723"/>
      <c r="N387" s="2723"/>
      <c r="O387" s="2723"/>
      <c r="P387" s="2723"/>
      <c r="Q387" s="2723"/>
      <c r="R387" s="2723"/>
      <c r="S387" s="2723"/>
      <c r="T387" s="2723"/>
      <c r="U387" s="2723"/>
      <c r="V387" s="2941"/>
      <c r="W387" s="2734"/>
      <c r="X387" s="2734"/>
      <c r="Y387" s="2734"/>
      <c r="Z387" s="2734"/>
      <c r="AA387" s="2734"/>
      <c r="AB387" s="2734"/>
      <c r="AC387" s="2734"/>
      <c r="AD387" s="2734"/>
      <c r="AE387" s="2734"/>
      <c r="AF387" s="2734"/>
      <c r="AG387" s="2734"/>
      <c r="AH387" s="2734"/>
      <c r="AI387" s="2734"/>
      <c r="AJ387" s="2734"/>
      <c r="AK387" s="2898"/>
      <c r="AL387" s="2895">
        <f t="shared" si="14"/>
        <v>0</v>
      </c>
      <c r="AM387" s="2896" t="str">
        <f t="shared" si="15"/>
        <v/>
      </c>
    </row>
    <row r="388" spans="1:39" ht="15.75" hidden="1" outlineLevel="1">
      <c r="A388" s="2566"/>
      <c r="B388" s="3775"/>
      <c r="C388" s="3775"/>
      <c r="D388" s="3775"/>
      <c r="E388" s="3776"/>
      <c r="F388" s="3777" t="s">
        <v>2633</v>
      </c>
      <c r="G388" s="3767"/>
      <c r="H388" s="2723"/>
      <c r="I388" s="2723"/>
      <c r="J388" s="2723"/>
      <c r="K388" s="2723"/>
      <c r="L388" s="2723"/>
      <c r="M388" s="2723"/>
      <c r="N388" s="2723"/>
      <c r="O388" s="2723"/>
      <c r="P388" s="2723"/>
      <c r="Q388" s="2723"/>
      <c r="R388" s="2723"/>
      <c r="S388" s="2723"/>
      <c r="T388" s="2723"/>
      <c r="U388" s="2723"/>
      <c r="V388" s="2941"/>
      <c r="W388" s="2734"/>
      <c r="X388" s="2734"/>
      <c r="Y388" s="2734"/>
      <c r="Z388" s="2734"/>
      <c r="AA388" s="2734"/>
      <c r="AB388" s="2734"/>
      <c r="AC388" s="2734"/>
      <c r="AD388" s="2734"/>
      <c r="AE388" s="2734"/>
      <c r="AF388" s="2734"/>
      <c r="AG388" s="2734"/>
      <c r="AH388" s="2734"/>
      <c r="AI388" s="2734"/>
      <c r="AJ388" s="2734"/>
      <c r="AK388" s="2898"/>
      <c r="AL388" s="2895">
        <f t="shared" si="14"/>
        <v>0</v>
      </c>
      <c r="AM388" s="2896" t="str">
        <f t="shared" si="15"/>
        <v/>
      </c>
    </row>
    <row r="389" spans="1:39" ht="15.75" hidden="1" outlineLevel="1">
      <c r="A389" s="2566"/>
      <c r="B389" s="3775"/>
      <c r="C389" s="3775"/>
      <c r="D389" s="3775"/>
      <c r="E389" s="3776"/>
      <c r="F389" s="3777" t="s">
        <v>2635</v>
      </c>
      <c r="G389" s="3767"/>
      <c r="H389" s="2723"/>
      <c r="I389" s="2723"/>
      <c r="J389" s="2723"/>
      <c r="K389" s="2723"/>
      <c r="L389" s="2723"/>
      <c r="M389" s="2723"/>
      <c r="N389" s="2723"/>
      <c r="O389" s="2723"/>
      <c r="P389" s="2723"/>
      <c r="Q389" s="2723"/>
      <c r="R389" s="2723"/>
      <c r="S389" s="2723"/>
      <c r="T389" s="2723"/>
      <c r="U389" s="2723"/>
      <c r="V389" s="2941"/>
      <c r="W389" s="2734"/>
      <c r="X389" s="2734"/>
      <c r="Y389" s="2734"/>
      <c r="Z389" s="2734"/>
      <c r="AA389" s="2734"/>
      <c r="AB389" s="2734"/>
      <c r="AC389" s="2734"/>
      <c r="AD389" s="2734"/>
      <c r="AE389" s="2734"/>
      <c r="AF389" s="2734"/>
      <c r="AG389" s="2734"/>
      <c r="AH389" s="2734"/>
      <c r="AI389" s="2734"/>
      <c r="AJ389" s="2734"/>
      <c r="AK389" s="2898"/>
      <c r="AL389" s="2895">
        <f t="shared" si="14"/>
        <v>0</v>
      </c>
      <c r="AM389" s="2896" t="str">
        <f t="shared" si="15"/>
        <v/>
      </c>
    </row>
    <row r="390" spans="1:39" ht="15.75" hidden="1" outlineLevel="1">
      <c r="A390" s="2566"/>
      <c r="B390" s="3775"/>
      <c r="C390" s="3775"/>
      <c r="D390" s="3775"/>
      <c r="E390" s="3776"/>
      <c r="F390" s="3777" t="s">
        <v>2639</v>
      </c>
      <c r="G390" s="3767"/>
      <c r="H390" s="2723"/>
      <c r="I390" s="2723"/>
      <c r="J390" s="2723"/>
      <c r="K390" s="2723"/>
      <c r="L390" s="2723"/>
      <c r="M390" s="2723"/>
      <c r="N390" s="2723"/>
      <c r="O390" s="2723"/>
      <c r="P390" s="2723"/>
      <c r="Q390" s="2723"/>
      <c r="R390" s="2723"/>
      <c r="S390" s="2723"/>
      <c r="T390" s="2723"/>
      <c r="U390" s="2723"/>
      <c r="V390" s="2941"/>
      <c r="W390" s="2734"/>
      <c r="X390" s="2734"/>
      <c r="Y390" s="2734"/>
      <c r="Z390" s="2734"/>
      <c r="AA390" s="2734"/>
      <c r="AB390" s="2734"/>
      <c r="AC390" s="2734"/>
      <c r="AD390" s="2734"/>
      <c r="AE390" s="2734"/>
      <c r="AF390" s="2734"/>
      <c r="AG390" s="2734"/>
      <c r="AH390" s="2734"/>
      <c r="AI390" s="2734"/>
      <c r="AJ390" s="2734"/>
      <c r="AK390" s="2898"/>
      <c r="AL390" s="2895">
        <f t="shared" si="14"/>
        <v>0</v>
      </c>
      <c r="AM390" s="2896" t="str">
        <f t="shared" si="15"/>
        <v/>
      </c>
    </row>
    <row r="391" spans="1:39" ht="15.75" hidden="1" outlineLevel="1">
      <c r="A391" s="2566"/>
      <c r="B391" s="3775"/>
      <c r="C391" s="3775"/>
      <c r="D391" s="3775"/>
      <c r="E391" s="3776"/>
      <c r="F391" s="3777" t="s">
        <v>3872</v>
      </c>
      <c r="G391" s="3767"/>
      <c r="H391" s="2723"/>
      <c r="I391" s="2723"/>
      <c r="J391" s="2723"/>
      <c r="K391" s="2723"/>
      <c r="L391" s="2723"/>
      <c r="M391" s="2723"/>
      <c r="N391" s="2723"/>
      <c r="O391" s="2723"/>
      <c r="P391" s="2723"/>
      <c r="Q391" s="2723"/>
      <c r="R391" s="2723"/>
      <c r="S391" s="2723"/>
      <c r="T391" s="2723"/>
      <c r="U391" s="2723"/>
      <c r="V391" s="2941"/>
      <c r="W391" s="2734"/>
      <c r="X391" s="2734"/>
      <c r="Y391" s="2734"/>
      <c r="Z391" s="2734"/>
      <c r="AA391" s="2734"/>
      <c r="AB391" s="2734"/>
      <c r="AC391" s="2734"/>
      <c r="AD391" s="2734"/>
      <c r="AE391" s="2734"/>
      <c r="AF391" s="2734"/>
      <c r="AG391" s="2734"/>
      <c r="AH391" s="2734"/>
      <c r="AI391" s="2734"/>
      <c r="AJ391" s="2734"/>
      <c r="AK391" s="2898"/>
      <c r="AL391" s="2895">
        <f t="shared" si="14"/>
        <v>0</v>
      </c>
      <c r="AM391" s="2896" t="str">
        <f t="shared" si="15"/>
        <v/>
      </c>
    </row>
    <row r="392" spans="1:39" ht="15.75" collapsed="1">
      <c r="A392" s="2566"/>
      <c r="B392" s="3778" t="s">
        <v>2948</v>
      </c>
      <c r="C392" s="3778"/>
      <c r="D392" s="3778"/>
      <c r="E392" s="3776" t="s">
        <v>3871</v>
      </c>
      <c r="F392" s="3777" t="s">
        <v>2629</v>
      </c>
      <c r="G392" s="3767"/>
      <c r="H392" s="2740">
        <f>'Приложение 1'!H392</f>
        <v>4</v>
      </c>
      <c r="I392" s="2740">
        <f>'Приложение 1'!I392</f>
        <v>1</v>
      </c>
      <c r="J392" s="2740">
        <f>'Приложение 1'!J392</f>
        <v>1</v>
      </c>
      <c r="K392" s="2723"/>
      <c r="L392" s="2740">
        <f>'Приложение 1'!L392</f>
        <v>6</v>
      </c>
      <c r="M392" s="2740">
        <f>'Приложение 1'!M392</f>
        <v>33</v>
      </c>
      <c r="N392" s="2740">
        <f>'Приложение 1'!N392</f>
        <v>15</v>
      </c>
      <c r="O392" s="2740">
        <f>'Приложение 1'!O392</f>
        <v>3</v>
      </c>
      <c r="P392" s="2723"/>
      <c r="Q392" s="2723">
        <f>'Приложение 1'!Q392</f>
        <v>17</v>
      </c>
      <c r="R392" s="2723">
        <f>'Приложение 1'!R392</f>
        <v>808.59716000000003</v>
      </c>
      <c r="S392" s="2723">
        <f>'Приложение 1'!S392</f>
        <v>201.94121999999999</v>
      </c>
      <c r="T392" s="2723">
        <f>'Приложение 1'!T392</f>
        <v>255.60234</v>
      </c>
      <c r="U392" s="2723"/>
      <c r="V392" s="2941">
        <f>'Приложение 1'!V392</f>
        <v>24502.944242424244</v>
      </c>
      <c r="W392" s="2734">
        <f>'Приложение 1'!W392</f>
        <v>13462.748</v>
      </c>
      <c r="X392" s="2734">
        <f>'Приложение 1'!X392</f>
        <v>85200.78</v>
      </c>
      <c r="Y392" s="2734"/>
      <c r="Z392" s="2734">
        <f>'Приложение 1'!Z392</f>
        <v>1.0528</v>
      </c>
      <c r="AA392" s="2734">
        <f>'Приложение 1'!AA392</f>
        <v>1.0589</v>
      </c>
      <c r="AB392" s="2734">
        <f>'Приложение 1'!AB392</f>
        <v>1.0507936887282501</v>
      </c>
      <c r="AC392" s="2734">
        <f>'Приложение 1'!AC392</f>
        <v>1.04657781587849</v>
      </c>
      <c r="AD392" s="2734">
        <f>'Приложение 1'!AD392</f>
        <v>30040.563635320963</v>
      </c>
      <c r="AE392" s="2734">
        <f>'Приложение 1'!AE392</f>
        <v>15677.530177435603</v>
      </c>
      <c r="AF392" s="2734">
        <f>'Приложение 1'!AF392</f>
        <v>93698.481181370968</v>
      </c>
      <c r="AG392" s="2734"/>
      <c r="AH392" s="2734">
        <f>'Приложение 1'!AH392</f>
        <v>139416.57499412753</v>
      </c>
      <c r="AI392" s="2780">
        <f>'Приложение 1'!AI392</f>
        <v>46472.191664709178</v>
      </c>
      <c r="AJ392" s="2780">
        <f>'Приложение 1'!AJ392</f>
        <v>46472.191664709178</v>
      </c>
      <c r="AK392" s="2898">
        <f>'Утв.СП 2018г'!H131</f>
        <v>13089.01</v>
      </c>
      <c r="AL392" s="2895">
        <f t="shared" si="14"/>
        <v>13698.667497811713</v>
      </c>
      <c r="AM392" s="2896">
        <f>IFERROR(AJ392/AL392,"")</f>
        <v>3.3924607391290325</v>
      </c>
    </row>
    <row r="393" spans="1:39" ht="15.75">
      <c r="A393" s="2566"/>
      <c r="B393" s="3778"/>
      <c r="C393" s="3778"/>
      <c r="D393" s="3778"/>
      <c r="E393" s="3776"/>
      <c r="F393" s="3777" t="s">
        <v>2631</v>
      </c>
      <c r="G393" s="3767"/>
      <c r="H393" s="2740"/>
      <c r="I393" s="2740">
        <f>'Приложение 1'!I393</f>
        <v>1</v>
      </c>
      <c r="J393" s="2740">
        <f>'Приложение 1'!J393</f>
        <v>2</v>
      </c>
      <c r="K393" s="2723"/>
      <c r="L393" s="2740">
        <f>'Приложение 1'!L393</f>
        <v>3</v>
      </c>
      <c r="M393" s="2740"/>
      <c r="N393" s="2740">
        <f>'Приложение 1'!N393</f>
        <v>15</v>
      </c>
      <c r="O393" s="2740">
        <f>'Приложение 1'!O393</f>
        <v>39.5</v>
      </c>
      <c r="P393" s="2723"/>
      <c r="Q393" s="2723">
        <f>'Приложение 1'!Q393</f>
        <v>27.25</v>
      </c>
      <c r="R393" s="2723"/>
      <c r="S393" s="2723">
        <f>'Приложение 1'!S393</f>
        <v>222.81171000000003</v>
      </c>
      <c r="T393" s="2723">
        <f>'Приложение 1'!T393</f>
        <v>427.48237</v>
      </c>
      <c r="U393" s="2723"/>
      <c r="V393" s="2941" t="str">
        <f>'Приложение 1'!V393</f>
        <v/>
      </c>
      <c r="W393" s="2734">
        <f>'Приложение 1'!W393</f>
        <v>14854.114000000001</v>
      </c>
      <c r="X393" s="2734">
        <f>'Приложение 1'!X393</f>
        <v>10822.338481012657</v>
      </c>
      <c r="Y393" s="2734"/>
      <c r="Z393" s="2734">
        <f>'Приложение 1'!Z393</f>
        <v>1.0528</v>
      </c>
      <c r="AA393" s="2734">
        <f>'Приложение 1'!AA393</f>
        <v>1.0589</v>
      </c>
      <c r="AB393" s="2734">
        <f>'Приложение 1'!AB393</f>
        <v>1.0507936887282501</v>
      </c>
      <c r="AC393" s="2734">
        <f>'Приложение 1'!AC393</f>
        <v>1.04657781587849</v>
      </c>
      <c r="AD393" s="2734">
        <f>'Приложение 1'!AD393</f>
        <v>0</v>
      </c>
      <c r="AE393" s="2734">
        <f>'Приложение 1'!AE393</f>
        <v>17297.792433912353</v>
      </c>
      <c r="AF393" s="2734">
        <f>'Приложение 1'!AF393</f>
        <v>11901.729990049285</v>
      </c>
      <c r="AG393" s="2734"/>
      <c r="AH393" s="2734">
        <f>'Приложение 1'!AH393</f>
        <v>29199.522423961636</v>
      </c>
      <c r="AI393" s="2780">
        <f>'Приложение 1'!AI393</f>
        <v>14599.761211980818</v>
      </c>
      <c r="AJ393" s="2780">
        <f>'Приложение 1'!AJ393</f>
        <v>14599.761211980818</v>
      </c>
      <c r="AK393" s="2898">
        <f>'Утв.СП 2018г'!H132</f>
        <v>4248.6000000000004</v>
      </c>
      <c r="AL393" s="2895">
        <f t="shared" si="14"/>
        <v>4446.4905085413529</v>
      </c>
      <c r="AM393" s="2896">
        <f t="shared" ref="AM393:AM395" si="16">IFERROR(AJ393/AL393,"")</f>
        <v>3.2834346961802447</v>
      </c>
    </row>
    <row r="394" spans="1:39" ht="15.75" hidden="1" outlineLevel="1">
      <c r="A394" s="2566"/>
      <c r="B394" s="3778"/>
      <c r="C394" s="3778"/>
      <c r="D394" s="3778"/>
      <c r="E394" s="3776"/>
      <c r="F394" s="3777" t="s">
        <v>2633</v>
      </c>
      <c r="G394" s="3767"/>
      <c r="H394" s="2740"/>
      <c r="I394" s="2740"/>
      <c r="J394" s="2740"/>
      <c r="K394" s="2723"/>
      <c r="L394" s="2740"/>
      <c r="M394" s="2740"/>
      <c r="N394" s="2740"/>
      <c r="O394" s="2740"/>
      <c r="P394" s="2723"/>
      <c r="Q394" s="2723"/>
      <c r="R394" s="2723"/>
      <c r="S394" s="2723"/>
      <c r="T394" s="2723"/>
      <c r="U394" s="2723"/>
      <c r="V394" s="2941"/>
      <c r="W394" s="2734"/>
      <c r="X394" s="2734"/>
      <c r="Y394" s="2734"/>
      <c r="Z394" s="2734"/>
      <c r="AA394" s="2734"/>
      <c r="AB394" s="2734"/>
      <c r="AC394" s="2734"/>
      <c r="AD394" s="2734"/>
      <c r="AE394" s="2734"/>
      <c r="AF394" s="2734"/>
      <c r="AG394" s="2734"/>
      <c r="AH394" s="2734"/>
      <c r="AI394" s="2787"/>
      <c r="AJ394" s="2787"/>
      <c r="AK394" s="2898"/>
      <c r="AL394" s="2895">
        <f t="shared" si="14"/>
        <v>0</v>
      </c>
      <c r="AM394" s="2896" t="str">
        <f t="shared" si="15"/>
        <v/>
      </c>
    </row>
    <row r="395" spans="1:39" ht="15.75" collapsed="1">
      <c r="A395" s="2566"/>
      <c r="B395" s="3778"/>
      <c r="C395" s="3778"/>
      <c r="D395" s="3778"/>
      <c r="E395" s="3776"/>
      <c r="F395" s="3777" t="s">
        <v>2635</v>
      </c>
      <c r="G395" s="3767"/>
      <c r="H395" s="2740">
        <f>'Приложение 1'!H395</f>
        <v>2</v>
      </c>
      <c r="I395" s="2740">
        <f>'Приложение 1'!I395</f>
        <v>4</v>
      </c>
      <c r="J395" s="2740"/>
      <c r="K395" s="2723"/>
      <c r="L395" s="2740">
        <f>'Приложение 1'!L395</f>
        <v>6</v>
      </c>
      <c r="M395" s="2740">
        <f>'Приложение 1'!M395</f>
        <v>151.69999999999999</v>
      </c>
      <c r="N395" s="2740">
        <f>'Приложение 1'!N395</f>
        <v>1600</v>
      </c>
      <c r="O395" s="2740"/>
      <c r="P395" s="2723"/>
      <c r="Q395" s="2723">
        <f>'Приложение 1'!Q395</f>
        <v>875.85</v>
      </c>
      <c r="R395" s="2723">
        <f>'Приложение 1'!R395</f>
        <v>856.52384000000006</v>
      </c>
      <c r="S395" s="2723">
        <f>'Приложение 1'!S395</f>
        <v>1715.1566200000002</v>
      </c>
      <c r="T395" s="2723">
        <f>'Приложение 1'!T395</f>
        <v>0</v>
      </c>
      <c r="U395" s="2723"/>
      <c r="V395" s="2941">
        <f>'Приложение 1'!V395</f>
        <v>5646.1690177982873</v>
      </c>
      <c r="W395" s="2734">
        <f>'Приложение 1'!W395</f>
        <v>1071.9728875000001</v>
      </c>
      <c r="X395" s="2734" t="str">
        <f>'Приложение 1'!X395</f>
        <v/>
      </c>
      <c r="Y395" s="2734"/>
      <c r="Z395" s="2734">
        <f>'Приложение 1'!Z395</f>
        <v>1.0528</v>
      </c>
      <c r="AA395" s="2734">
        <f>'Приложение 1'!AA395</f>
        <v>1.0589</v>
      </c>
      <c r="AB395" s="2734">
        <f>'Приложение 1'!AB395</f>
        <v>1.0507936887282501</v>
      </c>
      <c r="AC395" s="2734">
        <f>'Приложение 1'!AC395</f>
        <v>1.04657781587849</v>
      </c>
      <c r="AD395" s="2734">
        <f>'Приложение 1'!AD395</f>
        <v>6922.1926147666081</v>
      </c>
      <c r="AE395" s="2734">
        <f>'Приложение 1'!AE395</f>
        <v>1248.3251779780792</v>
      </c>
      <c r="AF395" s="2734">
        <f>'Приложение 1'!AF395</f>
        <v>0</v>
      </c>
      <c r="AG395" s="2734"/>
      <c r="AH395" s="2734">
        <f>'Приложение 1'!AH395</f>
        <v>8170.5177927446875</v>
      </c>
      <c r="AI395" s="2780">
        <f>'Приложение 1'!AI395</f>
        <v>4085.2588963723438</v>
      </c>
      <c r="AJ395" s="2780">
        <f>'Приложение 1'!AJ395</f>
        <v>4085.2588963723438</v>
      </c>
      <c r="AK395" s="2898">
        <f>'Утв.СП 2018г'!H134</f>
        <v>907.82</v>
      </c>
      <c r="AL395" s="2895">
        <f t="shared" si="14"/>
        <v>950.10427281081081</v>
      </c>
      <c r="AM395" s="2896">
        <f t="shared" si="16"/>
        <v>4.2998005727165269</v>
      </c>
    </row>
    <row r="396" spans="1:39" ht="15.75" hidden="1" outlineLevel="1">
      <c r="A396" s="2566"/>
      <c r="B396" s="3778"/>
      <c r="C396" s="3778"/>
      <c r="D396" s="3778"/>
      <c r="E396" s="3776"/>
      <c r="F396" s="3777" t="s">
        <v>2639</v>
      </c>
      <c r="G396" s="3767"/>
      <c r="H396" s="2723"/>
      <c r="I396" s="2723"/>
      <c r="J396" s="2723"/>
      <c r="K396" s="2723"/>
      <c r="L396" s="2723"/>
      <c r="M396" s="2723"/>
      <c r="N396" s="2723"/>
      <c r="O396" s="2723"/>
      <c r="P396" s="2723"/>
      <c r="Q396" s="2723"/>
      <c r="R396" s="2723"/>
      <c r="S396" s="2723"/>
      <c r="T396" s="2723"/>
      <c r="U396" s="2723"/>
      <c r="V396" s="2941"/>
      <c r="W396" s="2734"/>
      <c r="X396" s="2734"/>
      <c r="Y396" s="2734"/>
      <c r="Z396" s="2734"/>
      <c r="AA396" s="2734"/>
      <c r="AB396" s="2734"/>
      <c r="AC396" s="2734"/>
      <c r="AD396" s="2734"/>
      <c r="AE396" s="2734"/>
      <c r="AF396" s="2734"/>
      <c r="AG396" s="2734"/>
      <c r="AH396" s="2734"/>
      <c r="AI396" s="2734"/>
      <c r="AJ396" s="2734"/>
      <c r="AK396" s="2898"/>
      <c r="AL396" s="2895">
        <f t="shared" si="14"/>
        <v>0</v>
      </c>
      <c r="AM396" s="2896" t="str">
        <f t="shared" si="15"/>
        <v/>
      </c>
    </row>
    <row r="397" spans="1:39" ht="15.75" hidden="1" outlineLevel="1">
      <c r="A397" s="2566"/>
      <c r="B397" s="3778"/>
      <c r="C397" s="3778"/>
      <c r="D397" s="3778"/>
      <c r="E397" s="3776"/>
      <c r="F397" s="3777" t="s">
        <v>3872</v>
      </c>
      <c r="G397" s="3767"/>
      <c r="H397" s="2723"/>
      <c r="I397" s="2723"/>
      <c r="J397" s="2723"/>
      <c r="K397" s="2723"/>
      <c r="L397" s="2723"/>
      <c r="M397" s="2723"/>
      <c r="N397" s="2723"/>
      <c r="O397" s="2723"/>
      <c r="P397" s="2723"/>
      <c r="Q397" s="2723"/>
      <c r="R397" s="2723"/>
      <c r="S397" s="2723"/>
      <c r="T397" s="2723"/>
      <c r="U397" s="2723"/>
      <c r="V397" s="2941"/>
      <c r="W397" s="2734"/>
      <c r="X397" s="2734"/>
      <c r="Y397" s="2734"/>
      <c r="Z397" s="2734"/>
      <c r="AA397" s="2734"/>
      <c r="AB397" s="2734"/>
      <c r="AC397" s="2734"/>
      <c r="AD397" s="2734"/>
      <c r="AE397" s="2734"/>
      <c r="AF397" s="2734"/>
      <c r="AG397" s="2734"/>
      <c r="AH397" s="2734"/>
      <c r="AI397" s="2734"/>
      <c r="AJ397" s="2734"/>
      <c r="AK397" s="2898"/>
      <c r="AL397" s="2895">
        <f t="shared" si="14"/>
        <v>0</v>
      </c>
      <c r="AM397" s="2896" t="str">
        <f t="shared" si="15"/>
        <v/>
      </c>
    </row>
    <row r="398" spans="1:39" ht="15.75" hidden="1" outlineLevel="1">
      <c r="A398" s="2566"/>
      <c r="B398" s="3778"/>
      <c r="C398" s="3778"/>
      <c r="D398" s="3778"/>
      <c r="E398" s="3776" t="s">
        <v>3873</v>
      </c>
      <c r="F398" s="3777" t="s">
        <v>2629</v>
      </c>
      <c r="G398" s="3767"/>
      <c r="H398" s="2723"/>
      <c r="I398" s="2723"/>
      <c r="J398" s="2723"/>
      <c r="K398" s="2723"/>
      <c r="L398" s="2723"/>
      <c r="M398" s="2723"/>
      <c r="N398" s="2723"/>
      <c r="O398" s="2723"/>
      <c r="P398" s="2723"/>
      <c r="Q398" s="2723"/>
      <c r="R398" s="2723"/>
      <c r="S398" s="2723"/>
      <c r="T398" s="2723"/>
      <c r="U398" s="2723"/>
      <c r="V398" s="2941"/>
      <c r="W398" s="2734"/>
      <c r="X398" s="2734"/>
      <c r="Y398" s="2734"/>
      <c r="Z398" s="2734"/>
      <c r="AA398" s="2734"/>
      <c r="AB398" s="2734"/>
      <c r="AC398" s="2734"/>
      <c r="AD398" s="2734"/>
      <c r="AE398" s="2734"/>
      <c r="AF398" s="2734"/>
      <c r="AG398" s="2734"/>
      <c r="AH398" s="2734"/>
      <c r="AI398" s="2734"/>
      <c r="AJ398" s="2734"/>
      <c r="AK398" s="2898"/>
      <c r="AL398" s="2895">
        <f t="shared" si="14"/>
        <v>0</v>
      </c>
      <c r="AM398" s="2896" t="str">
        <f t="shared" si="15"/>
        <v/>
      </c>
    </row>
    <row r="399" spans="1:39" ht="15.75" hidden="1" outlineLevel="1">
      <c r="A399" s="2566"/>
      <c r="B399" s="3778"/>
      <c r="C399" s="3778"/>
      <c r="D399" s="3778"/>
      <c r="E399" s="3776"/>
      <c r="F399" s="3777" t="s">
        <v>2631</v>
      </c>
      <c r="G399" s="3767"/>
      <c r="H399" s="2723"/>
      <c r="I399" s="2723"/>
      <c r="J399" s="2723"/>
      <c r="K399" s="2723"/>
      <c r="L399" s="2723"/>
      <c r="M399" s="2723"/>
      <c r="N399" s="2723"/>
      <c r="O399" s="2723"/>
      <c r="P399" s="2723"/>
      <c r="Q399" s="2723"/>
      <c r="R399" s="2723"/>
      <c r="S399" s="2723"/>
      <c r="T399" s="2723"/>
      <c r="U399" s="2723"/>
      <c r="V399" s="2941"/>
      <c r="W399" s="2734"/>
      <c r="X399" s="2734"/>
      <c r="Y399" s="2734"/>
      <c r="Z399" s="2734"/>
      <c r="AA399" s="2734"/>
      <c r="AB399" s="2734"/>
      <c r="AC399" s="2734"/>
      <c r="AD399" s="2734"/>
      <c r="AE399" s="2734"/>
      <c r="AF399" s="2734"/>
      <c r="AG399" s="2734"/>
      <c r="AH399" s="2734"/>
      <c r="AI399" s="2734"/>
      <c r="AJ399" s="2734"/>
      <c r="AK399" s="2898"/>
      <c r="AL399" s="2895">
        <f t="shared" si="14"/>
        <v>0</v>
      </c>
      <c r="AM399" s="2896" t="str">
        <f t="shared" si="15"/>
        <v/>
      </c>
    </row>
    <row r="400" spans="1:39" ht="15.75" hidden="1" outlineLevel="1">
      <c r="A400" s="2566"/>
      <c r="B400" s="3778"/>
      <c r="C400" s="3778"/>
      <c r="D400" s="3778"/>
      <c r="E400" s="3776"/>
      <c r="F400" s="3777" t="s">
        <v>2633</v>
      </c>
      <c r="G400" s="3767"/>
      <c r="H400" s="2723"/>
      <c r="I400" s="2723"/>
      <c r="J400" s="2723"/>
      <c r="K400" s="2723"/>
      <c r="L400" s="2723"/>
      <c r="M400" s="2723"/>
      <c r="N400" s="2723"/>
      <c r="O400" s="2723"/>
      <c r="P400" s="2723"/>
      <c r="Q400" s="2723"/>
      <c r="R400" s="2723"/>
      <c r="S400" s="2723"/>
      <c r="T400" s="2723"/>
      <c r="U400" s="2723"/>
      <c r="V400" s="2941"/>
      <c r="W400" s="2734"/>
      <c r="X400" s="2734"/>
      <c r="Y400" s="2734"/>
      <c r="Z400" s="2734"/>
      <c r="AA400" s="2734"/>
      <c r="AB400" s="2734"/>
      <c r="AC400" s="2734"/>
      <c r="AD400" s="2734"/>
      <c r="AE400" s="2734"/>
      <c r="AF400" s="2734"/>
      <c r="AG400" s="2734"/>
      <c r="AH400" s="2734"/>
      <c r="AI400" s="2734"/>
      <c r="AJ400" s="2734"/>
      <c r="AK400" s="2898"/>
      <c r="AL400" s="2895">
        <f t="shared" si="14"/>
        <v>0</v>
      </c>
      <c r="AM400" s="2896" t="str">
        <f t="shared" si="15"/>
        <v/>
      </c>
    </row>
    <row r="401" spans="1:39" ht="15.75" hidden="1" outlineLevel="1">
      <c r="A401" s="2566"/>
      <c r="B401" s="3778"/>
      <c r="C401" s="3778"/>
      <c r="D401" s="3778"/>
      <c r="E401" s="3776"/>
      <c r="F401" s="3777" t="s">
        <v>2635</v>
      </c>
      <c r="G401" s="3767"/>
      <c r="H401" s="2723"/>
      <c r="I401" s="2723"/>
      <c r="J401" s="2723"/>
      <c r="K401" s="2723"/>
      <c r="L401" s="2723"/>
      <c r="M401" s="2723"/>
      <c r="N401" s="2723"/>
      <c r="O401" s="2723"/>
      <c r="P401" s="2723"/>
      <c r="Q401" s="2723"/>
      <c r="R401" s="2723"/>
      <c r="S401" s="2723"/>
      <c r="T401" s="2723"/>
      <c r="U401" s="2723"/>
      <c r="V401" s="2941"/>
      <c r="W401" s="2734"/>
      <c r="X401" s="2734"/>
      <c r="Y401" s="2734"/>
      <c r="Z401" s="2734"/>
      <c r="AA401" s="2734"/>
      <c r="AB401" s="2734"/>
      <c r="AC401" s="2734"/>
      <c r="AD401" s="2734"/>
      <c r="AE401" s="2734"/>
      <c r="AF401" s="2734"/>
      <c r="AG401" s="2734"/>
      <c r="AH401" s="2734"/>
      <c r="AI401" s="2734"/>
      <c r="AJ401" s="2734"/>
      <c r="AK401" s="2898"/>
      <c r="AL401" s="2895">
        <f t="shared" si="14"/>
        <v>0</v>
      </c>
      <c r="AM401" s="2896" t="str">
        <f t="shared" si="15"/>
        <v/>
      </c>
    </row>
    <row r="402" spans="1:39" ht="15.75" hidden="1" outlineLevel="1">
      <c r="A402" s="2566"/>
      <c r="B402" s="3778"/>
      <c r="C402" s="3778"/>
      <c r="D402" s="3778"/>
      <c r="E402" s="3776"/>
      <c r="F402" s="3777" t="s">
        <v>2639</v>
      </c>
      <c r="G402" s="3767"/>
      <c r="H402" s="2723"/>
      <c r="I402" s="2723"/>
      <c r="J402" s="2723"/>
      <c r="K402" s="2723"/>
      <c r="L402" s="2723"/>
      <c r="M402" s="2723"/>
      <c r="N402" s="2723"/>
      <c r="O402" s="2723"/>
      <c r="P402" s="2723"/>
      <c r="Q402" s="2723"/>
      <c r="R402" s="2723"/>
      <c r="S402" s="2723"/>
      <c r="T402" s="2723"/>
      <c r="U402" s="2723"/>
      <c r="V402" s="2941"/>
      <c r="W402" s="2734"/>
      <c r="X402" s="2734"/>
      <c r="Y402" s="2734"/>
      <c r="Z402" s="2734"/>
      <c r="AA402" s="2734"/>
      <c r="AB402" s="2734"/>
      <c r="AC402" s="2734"/>
      <c r="AD402" s="2734"/>
      <c r="AE402" s="2734"/>
      <c r="AF402" s="2734"/>
      <c r="AG402" s="2734"/>
      <c r="AH402" s="2734"/>
      <c r="AI402" s="2734"/>
      <c r="AJ402" s="2734"/>
      <c r="AK402" s="2898"/>
      <c r="AL402" s="2895">
        <f t="shared" si="14"/>
        <v>0</v>
      </c>
      <c r="AM402" s="2896" t="str">
        <f t="shared" si="15"/>
        <v/>
      </c>
    </row>
    <row r="403" spans="1:39" ht="15.75" hidden="1" outlineLevel="1">
      <c r="A403" s="2566"/>
      <c r="B403" s="3778"/>
      <c r="C403" s="3778"/>
      <c r="D403" s="3778"/>
      <c r="E403" s="3776"/>
      <c r="F403" s="3777" t="s">
        <v>3872</v>
      </c>
      <c r="G403" s="3767"/>
      <c r="H403" s="2723"/>
      <c r="I403" s="2723"/>
      <c r="J403" s="2723"/>
      <c r="K403" s="2723"/>
      <c r="L403" s="2723"/>
      <c r="M403" s="2723"/>
      <c r="N403" s="2723"/>
      <c r="O403" s="2723"/>
      <c r="P403" s="2723"/>
      <c r="Q403" s="2723"/>
      <c r="R403" s="2723"/>
      <c r="S403" s="2723"/>
      <c r="T403" s="2723"/>
      <c r="U403" s="2723"/>
      <c r="V403" s="2941"/>
      <c r="W403" s="2734"/>
      <c r="X403" s="2734"/>
      <c r="Y403" s="2734"/>
      <c r="Z403" s="2734"/>
      <c r="AA403" s="2734"/>
      <c r="AB403" s="2734"/>
      <c r="AC403" s="2734"/>
      <c r="AD403" s="2734"/>
      <c r="AE403" s="2734"/>
      <c r="AF403" s="2734"/>
      <c r="AG403" s="2734"/>
      <c r="AH403" s="2734"/>
      <c r="AI403" s="2734"/>
      <c r="AJ403" s="2734"/>
      <c r="AK403" s="2898"/>
      <c r="AL403" s="2895">
        <f t="shared" si="14"/>
        <v>0</v>
      </c>
      <c r="AM403" s="2896" t="str">
        <f t="shared" si="15"/>
        <v/>
      </c>
    </row>
    <row r="404" spans="1:39" collapsed="1">
      <c r="A404" s="2338"/>
      <c r="B404" s="2338"/>
      <c r="C404" s="2338"/>
      <c r="D404" s="2338"/>
      <c r="E404" s="2338"/>
      <c r="F404" s="3637"/>
      <c r="G404" s="3637"/>
      <c r="H404" s="3766"/>
      <c r="I404" s="3766"/>
      <c r="J404" s="3766"/>
      <c r="K404" s="3766"/>
      <c r="L404" s="3766"/>
      <c r="M404" s="3766"/>
      <c r="N404" s="3766"/>
      <c r="O404" s="3766"/>
      <c r="P404" s="3766"/>
      <c r="Q404" s="3766"/>
      <c r="R404" s="3766"/>
      <c r="S404" s="3766"/>
      <c r="T404" s="3766"/>
      <c r="U404" s="2338"/>
    </row>
    <row r="405" spans="1:39">
      <c r="A405" s="2338"/>
      <c r="B405" s="2338"/>
      <c r="C405" s="2338"/>
      <c r="D405" s="2338"/>
      <c r="E405" s="2338"/>
      <c r="F405" s="3637"/>
      <c r="G405" s="3637"/>
      <c r="H405" s="3766"/>
      <c r="I405" s="3766"/>
      <c r="J405" s="3766"/>
      <c r="K405" s="3766"/>
      <c r="L405" s="3766"/>
      <c r="M405" s="3766"/>
      <c r="N405" s="3766"/>
      <c r="O405" s="3766"/>
      <c r="P405" s="3766"/>
      <c r="Q405" s="3766"/>
      <c r="R405" s="3766"/>
      <c r="S405" s="3766"/>
      <c r="T405" s="3766"/>
      <c r="U405" s="2338"/>
    </row>
    <row r="406" spans="1:39">
      <c r="A406" s="2338"/>
      <c r="B406" s="2338"/>
      <c r="C406" s="2338"/>
      <c r="D406" s="2338"/>
      <c r="E406" s="2338"/>
      <c r="F406" s="3637"/>
      <c r="G406" s="3637"/>
      <c r="H406" s="2338"/>
      <c r="I406" s="2338"/>
      <c r="J406" s="2338"/>
      <c r="K406" s="2338"/>
      <c r="L406" s="2338"/>
      <c r="M406" s="2338"/>
      <c r="N406" s="2338"/>
      <c r="O406" s="2338"/>
      <c r="P406" s="2338"/>
      <c r="Q406" s="2338"/>
      <c r="R406" s="2338"/>
      <c r="S406" s="2338"/>
      <c r="T406" s="2338"/>
      <c r="U406" s="2338"/>
    </row>
    <row r="407" spans="1:39" ht="18.75">
      <c r="A407" s="3218" t="s">
        <v>3874</v>
      </c>
      <c r="B407" s="3218"/>
      <c r="C407" s="3218"/>
      <c r="D407" s="3218"/>
      <c r="E407" s="3218"/>
      <c r="F407" s="3218"/>
      <c r="G407" s="3761" t="s">
        <v>3875</v>
      </c>
      <c r="H407" s="3761"/>
      <c r="I407" s="3761"/>
      <c r="J407" s="3761"/>
      <c r="K407" s="3761"/>
      <c r="L407" s="3761"/>
      <c r="M407" s="3761"/>
      <c r="N407" s="3761"/>
      <c r="O407" s="3761"/>
      <c r="P407" s="3761"/>
      <c r="Q407" s="3761"/>
      <c r="R407" s="3761"/>
      <c r="S407" s="3761"/>
      <c r="T407" s="3761"/>
      <c r="U407" s="3761"/>
      <c r="V407" s="2502"/>
      <c r="W407" s="2502"/>
      <c r="X407" s="2502"/>
      <c r="Y407" s="2502"/>
      <c r="Z407" s="2338"/>
      <c r="AA407" s="2338"/>
      <c r="AB407" s="2338"/>
      <c r="AC407" s="2338"/>
      <c r="AD407" s="2338"/>
      <c r="AE407" s="2338"/>
      <c r="AF407" s="2338"/>
      <c r="AG407" s="2338"/>
      <c r="AH407" s="2338"/>
      <c r="AI407" s="2338"/>
      <c r="AJ407" s="2338"/>
      <c r="AK407" s="2338"/>
      <c r="AL407" s="2338"/>
      <c r="AM407" s="2338"/>
    </row>
    <row r="408" spans="1:39" ht="60">
      <c r="A408" s="3208" t="s">
        <v>0</v>
      </c>
      <c r="B408" s="3208" t="s">
        <v>3849</v>
      </c>
      <c r="C408" s="3208"/>
      <c r="D408" s="3208"/>
      <c r="E408" s="3209" t="s">
        <v>3876</v>
      </c>
      <c r="F408" s="3210" t="s">
        <v>3867</v>
      </c>
      <c r="G408" s="3209" t="s">
        <v>3854</v>
      </c>
      <c r="H408" s="3216" t="s">
        <v>3868</v>
      </c>
      <c r="I408" s="3216"/>
      <c r="J408" s="3216"/>
      <c r="K408" s="3216"/>
      <c r="L408" s="3216"/>
      <c r="M408" s="3216" t="s">
        <v>3869</v>
      </c>
      <c r="N408" s="3216"/>
      <c r="O408" s="3216"/>
      <c r="P408" s="3216"/>
      <c r="Q408" s="3216"/>
      <c r="R408" s="3773" t="s">
        <v>3870</v>
      </c>
      <c r="S408" s="3773"/>
      <c r="T408" s="3773"/>
      <c r="U408" s="3773"/>
      <c r="V408" s="3206" t="s">
        <v>3978</v>
      </c>
      <c r="W408" s="3100"/>
      <c r="X408" s="3100"/>
      <c r="Y408" s="3101"/>
      <c r="Z408" s="3093" t="s">
        <v>3858</v>
      </c>
      <c r="AA408" s="3093"/>
      <c r="AB408" s="3093"/>
      <c r="AC408" s="3093"/>
      <c r="AD408" s="3102" t="s">
        <v>3979</v>
      </c>
      <c r="AE408" s="3103"/>
      <c r="AF408" s="3103"/>
      <c r="AG408" s="3104"/>
      <c r="AH408" s="2779" t="s">
        <v>3980</v>
      </c>
      <c r="AI408" s="2500" t="s">
        <v>3974</v>
      </c>
      <c r="AJ408" s="2500" t="s">
        <v>3975</v>
      </c>
      <c r="AK408" s="2893" t="s">
        <v>4273</v>
      </c>
      <c r="AL408" s="2893" t="s">
        <v>4271</v>
      </c>
      <c r="AM408" s="2893" t="s">
        <v>4272</v>
      </c>
    </row>
    <row r="409" spans="1:39" ht="60">
      <c r="A409" s="3208"/>
      <c r="B409" s="3208"/>
      <c r="C409" s="3208"/>
      <c r="D409" s="3208"/>
      <c r="E409" s="3209"/>
      <c r="F409" s="3210"/>
      <c r="G409" s="3209"/>
      <c r="H409" s="2980">
        <f>H11</f>
        <v>2015</v>
      </c>
      <c r="I409" s="2980">
        <f>I11</f>
        <v>2016</v>
      </c>
      <c r="J409" s="2980">
        <f>J11</f>
        <v>2017</v>
      </c>
      <c r="K409" s="2980" t="str">
        <f>K378</f>
        <v>План (в случае отсутствия факта за 3 года)</v>
      </c>
      <c r="L409" s="2980" t="s">
        <v>2559</v>
      </c>
      <c r="M409" s="2980">
        <f>H409</f>
        <v>2015</v>
      </c>
      <c r="N409" s="2980">
        <f>I409</f>
        <v>2016</v>
      </c>
      <c r="O409" s="2980">
        <f>J409</f>
        <v>2017</v>
      </c>
      <c r="P409" s="2980" t="str">
        <f>P378</f>
        <v>План (в случае отсутствия факта за 3 года)</v>
      </c>
      <c r="Q409" s="2980" t="s">
        <v>2559</v>
      </c>
      <c r="R409" s="2980">
        <f>H409</f>
        <v>2015</v>
      </c>
      <c r="S409" s="2980">
        <f>I409</f>
        <v>2016</v>
      </c>
      <c r="T409" s="2980">
        <f>J409</f>
        <v>2017</v>
      </c>
      <c r="U409" s="2980" t="str">
        <f>U378</f>
        <v>План (в случае отсутствия факта за 3 года)</v>
      </c>
      <c r="V409" s="2939">
        <f>R409</f>
        <v>2015</v>
      </c>
      <c r="W409" s="2496">
        <f>S409</f>
        <v>2016</v>
      </c>
      <c r="X409" s="2496">
        <f>T409</f>
        <v>2017</v>
      </c>
      <c r="Y409" s="2496" t="str">
        <f>U409</f>
        <v>План (в случае отсутствия факта за 3 года)</v>
      </c>
      <c r="Z409" s="2884">
        <v>2016</v>
      </c>
      <c r="AA409" s="2884">
        <v>2017</v>
      </c>
      <c r="AB409" s="2884">
        <v>2018</v>
      </c>
      <c r="AC409" s="2886">
        <v>2019</v>
      </c>
      <c r="AD409" s="2503">
        <f>V409</f>
        <v>2015</v>
      </c>
      <c r="AE409" s="2503">
        <f>W409</f>
        <v>2016</v>
      </c>
      <c r="AF409" s="2503">
        <f>X409</f>
        <v>2017</v>
      </c>
      <c r="AG409" s="2503" t="str">
        <f>Y409</f>
        <v>План (в случае отсутствия факта за 3 года)</v>
      </c>
      <c r="AH409" s="2497" t="s">
        <v>3981</v>
      </c>
      <c r="AI409" s="2505" t="s">
        <v>3976</v>
      </c>
      <c r="AJ409" s="2505" t="s">
        <v>3977</v>
      </c>
      <c r="AK409" s="2889">
        <v>2018</v>
      </c>
      <c r="AL409" s="2890" t="s">
        <v>4265</v>
      </c>
      <c r="AM409" s="2889" t="s">
        <v>4265</v>
      </c>
    </row>
    <row r="410" spans="1:39" hidden="1" outlineLevel="1">
      <c r="A410" s="2978">
        <v>1</v>
      </c>
      <c r="B410" s="3208">
        <v>2</v>
      </c>
      <c r="C410" s="3208"/>
      <c r="D410" s="3208"/>
      <c r="E410" s="3208">
        <v>3</v>
      </c>
      <c r="F410" s="3208"/>
      <c r="G410" s="2980">
        <v>4</v>
      </c>
      <c r="H410" s="3209">
        <v>5</v>
      </c>
      <c r="I410" s="3209"/>
      <c r="J410" s="3209"/>
      <c r="K410" s="3209"/>
      <c r="L410" s="2980"/>
      <c r="M410" s="3209">
        <v>6</v>
      </c>
      <c r="N410" s="3209"/>
      <c r="O410" s="3209"/>
      <c r="P410" s="3209"/>
      <c r="Q410" s="2980"/>
      <c r="R410" s="3209">
        <v>7</v>
      </c>
      <c r="S410" s="3209"/>
      <c r="T410" s="3209"/>
      <c r="U410" s="3209"/>
      <c r="V410" s="3108">
        <v>8</v>
      </c>
      <c r="W410" s="3022"/>
      <c r="X410" s="3022"/>
      <c r="Y410" s="2884"/>
      <c r="Z410" s="3109">
        <v>9</v>
      </c>
      <c r="AA410" s="3110"/>
      <c r="AB410" s="3110"/>
      <c r="AC410" s="3111"/>
      <c r="AD410" s="3105">
        <v>10</v>
      </c>
      <c r="AE410" s="3106"/>
      <c r="AF410" s="3106"/>
      <c r="AG410" s="3107"/>
      <c r="AH410" s="2498">
        <v>11</v>
      </c>
      <c r="AI410" s="2498">
        <v>12</v>
      </c>
      <c r="AJ410" s="2499">
        <v>13</v>
      </c>
      <c r="AK410" s="2891">
        <v>10</v>
      </c>
      <c r="AL410" s="2892">
        <v>11</v>
      </c>
      <c r="AM410" s="2891">
        <v>12</v>
      </c>
    </row>
    <row r="411" spans="1:39" hidden="1" outlineLevel="1">
      <c r="A411" s="2566"/>
      <c r="B411" s="3208" t="s">
        <v>2952</v>
      </c>
      <c r="C411" s="3208"/>
      <c r="D411" s="3208"/>
      <c r="E411" s="3209" t="s">
        <v>3871</v>
      </c>
      <c r="F411" s="2980" t="s">
        <v>2629</v>
      </c>
      <c r="G411" s="2980"/>
      <c r="H411" s="2566"/>
      <c r="I411" s="2566"/>
      <c r="J411" s="2566"/>
      <c r="K411" s="2566"/>
      <c r="L411" s="2566"/>
      <c r="M411" s="2566"/>
      <c r="N411" s="2566"/>
      <c r="O411" s="2566"/>
      <c r="P411" s="2566"/>
      <c r="Q411" s="2566"/>
      <c r="R411" s="2566"/>
      <c r="S411" s="2566"/>
      <c r="T411" s="2566"/>
      <c r="U411" s="2566"/>
      <c r="V411" s="2942"/>
      <c r="W411" s="2329"/>
      <c r="X411" s="2329"/>
      <c r="Y411" s="2329"/>
      <c r="Z411" s="2437">
        <v>1.0528</v>
      </c>
      <c r="AA411" s="2436">
        <v>1.06395203770775</v>
      </c>
      <c r="AB411" s="2436">
        <v>1.05001869746847</v>
      </c>
      <c r="AC411" s="2438">
        <v>1.0469610363690101</v>
      </c>
      <c r="AD411" s="2323"/>
      <c r="AE411" s="2323"/>
      <c r="AF411" s="2323"/>
      <c r="AG411" s="2323"/>
      <c r="AH411" s="2323"/>
      <c r="AI411" s="2323"/>
      <c r="AJ411" s="2323"/>
      <c r="AK411" s="2898"/>
      <c r="AL411" s="2895">
        <f>AK411*$AC$12</f>
        <v>0</v>
      </c>
      <c r="AM411" s="2896" t="str">
        <f t="shared" ref="AM411:AM422" si="17">IFERROR(AI411/AL411,"")</f>
        <v/>
      </c>
    </row>
    <row r="412" spans="1:39" hidden="1" outlineLevel="1">
      <c r="A412" s="2566"/>
      <c r="B412" s="3208"/>
      <c r="C412" s="3208"/>
      <c r="D412" s="3208"/>
      <c r="E412" s="3209"/>
      <c r="F412" s="2980" t="s">
        <v>2631</v>
      </c>
      <c r="G412" s="2980"/>
      <c r="H412" s="2566"/>
      <c r="I412" s="2566"/>
      <c r="J412" s="2566"/>
      <c r="K412" s="2566"/>
      <c r="L412" s="2566"/>
      <c r="M412" s="2566"/>
      <c r="N412" s="2566"/>
      <c r="O412" s="2566"/>
      <c r="P412" s="2566"/>
      <c r="Q412" s="2566"/>
      <c r="R412" s="2566"/>
      <c r="S412" s="2566"/>
      <c r="T412" s="2566"/>
      <c r="U412" s="2566"/>
      <c r="V412" s="2592"/>
      <c r="W412" s="2323"/>
      <c r="X412" s="2323"/>
      <c r="Y412" s="2323"/>
      <c r="Z412" s="2566"/>
      <c r="AA412" s="2566"/>
      <c r="AB412" s="2566"/>
      <c r="AC412" s="2566"/>
      <c r="AD412" s="2323"/>
      <c r="AE412" s="2323"/>
      <c r="AF412" s="2323"/>
      <c r="AG412" s="2323"/>
      <c r="AH412" s="2323"/>
      <c r="AI412" s="2323"/>
      <c r="AJ412" s="2323"/>
      <c r="AK412" s="2898"/>
      <c r="AL412" s="2895">
        <f t="shared" ref="AL412:AL422" si="18">AK412*$AC$12</f>
        <v>0</v>
      </c>
      <c r="AM412" s="2896" t="str">
        <f t="shared" si="17"/>
        <v/>
      </c>
    </row>
    <row r="413" spans="1:39" hidden="1" outlineLevel="1">
      <c r="A413" s="2566"/>
      <c r="B413" s="3208"/>
      <c r="C413" s="3208"/>
      <c r="D413" s="3208"/>
      <c r="E413" s="3209"/>
      <c r="F413" s="2980" t="s">
        <v>2633</v>
      </c>
      <c r="G413" s="2980"/>
      <c r="H413" s="2566"/>
      <c r="I413" s="2566"/>
      <c r="J413" s="2566"/>
      <c r="K413" s="2566"/>
      <c r="L413" s="2566"/>
      <c r="M413" s="2566"/>
      <c r="N413" s="2566"/>
      <c r="O413" s="2566"/>
      <c r="P413" s="2566"/>
      <c r="Q413" s="2566"/>
      <c r="R413" s="2566"/>
      <c r="S413" s="2566"/>
      <c r="T413" s="2566"/>
      <c r="U413" s="2566"/>
      <c r="V413" s="2592"/>
      <c r="W413" s="2323"/>
      <c r="X413" s="2323"/>
      <c r="Y413" s="2323"/>
      <c r="Z413" s="2566"/>
      <c r="AA413" s="2566"/>
      <c r="AB413" s="2566"/>
      <c r="AC413" s="2566"/>
      <c r="AD413" s="2323"/>
      <c r="AE413" s="2323"/>
      <c r="AF413" s="2323"/>
      <c r="AG413" s="2323"/>
      <c r="AH413" s="2323"/>
      <c r="AI413" s="2323"/>
      <c r="AJ413" s="2323"/>
      <c r="AK413" s="2898"/>
      <c r="AL413" s="2895">
        <f t="shared" si="18"/>
        <v>0</v>
      </c>
      <c r="AM413" s="2896" t="str">
        <f t="shared" si="17"/>
        <v/>
      </c>
    </row>
    <row r="414" spans="1:39" hidden="1" outlineLevel="1">
      <c r="A414" s="2566"/>
      <c r="B414" s="3208"/>
      <c r="C414" s="3208"/>
      <c r="D414" s="3208"/>
      <c r="E414" s="3209"/>
      <c r="F414" s="2980" t="s">
        <v>2635</v>
      </c>
      <c r="G414" s="2980"/>
      <c r="H414" s="2566"/>
      <c r="I414" s="2566"/>
      <c r="J414" s="2566"/>
      <c r="K414" s="2566"/>
      <c r="L414" s="2566"/>
      <c r="M414" s="2566"/>
      <c r="N414" s="2566"/>
      <c r="O414" s="2566"/>
      <c r="P414" s="2566"/>
      <c r="Q414" s="2566"/>
      <c r="R414" s="2566"/>
      <c r="S414" s="2566"/>
      <c r="T414" s="2566"/>
      <c r="U414" s="2566"/>
      <c r="V414" s="2592"/>
      <c r="W414" s="2323"/>
      <c r="X414" s="2323"/>
      <c r="Y414" s="2323"/>
      <c r="Z414" s="2566"/>
      <c r="AA414" s="2566"/>
      <c r="AB414" s="2566"/>
      <c r="AC414" s="2566"/>
      <c r="AD414" s="2323"/>
      <c r="AE414" s="2323"/>
      <c r="AF414" s="2323"/>
      <c r="AG414" s="2323"/>
      <c r="AH414" s="2323"/>
      <c r="AI414" s="2323"/>
      <c r="AJ414" s="2323"/>
      <c r="AK414" s="2898"/>
      <c r="AL414" s="2895">
        <f t="shared" si="18"/>
        <v>0</v>
      </c>
      <c r="AM414" s="2896" t="str">
        <f t="shared" si="17"/>
        <v/>
      </c>
    </row>
    <row r="415" spans="1:39" hidden="1" outlineLevel="1">
      <c r="A415" s="2566"/>
      <c r="B415" s="3208"/>
      <c r="C415" s="3208"/>
      <c r="D415" s="3208"/>
      <c r="E415" s="3209"/>
      <c r="F415" s="2980" t="s">
        <v>2639</v>
      </c>
      <c r="G415" s="2980"/>
      <c r="H415" s="2566"/>
      <c r="I415" s="2566"/>
      <c r="J415" s="2566"/>
      <c r="K415" s="2566"/>
      <c r="L415" s="2566"/>
      <c r="M415" s="2566"/>
      <c r="N415" s="2566"/>
      <c r="O415" s="2566"/>
      <c r="P415" s="2566"/>
      <c r="Q415" s="2566"/>
      <c r="R415" s="2566"/>
      <c r="S415" s="2566"/>
      <c r="T415" s="2566"/>
      <c r="U415" s="2566"/>
      <c r="V415" s="2592"/>
      <c r="W415" s="2323"/>
      <c r="X415" s="2323"/>
      <c r="Y415" s="2323"/>
      <c r="Z415" s="2566"/>
      <c r="AA415" s="2566"/>
      <c r="AB415" s="2566"/>
      <c r="AC415" s="2566"/>
      <c r="AD415" s="2323"/>
      <c r="AE415" s="2323"/>
      <c r="AF415" s="2323"/>
      <c r="AG415" s="2323"/>
      <c r="AH415" s="2323"/>
      <c r="AI415" s="2323"/>
      <c r="AJ415" s="2323"/>
      <c r="AK415" s="2898"/>
      <c r="AL415" s="2895">
        <f t="shared" si="18"/>
        <v>0</v>
      </c>
      <c r="AM415" s="2896" t="str">
        <f t="shared" si="17"/>
        <v/>
      </c>
    </row>
    <row r="416" spans="1:39" hidden="1" outlineLevel="1">
      <c r="A416" s="2566"/>
      <c r="B416" s="3208"/>
      <c r="C416" s="3208"/>
      <c r="D416" s="3208"/>
      <c r="E416" s="3209"/>
      <c r="F416" s="2980" t="s">
        <v>3872</v>
      </c>
      <c r="G416" s="2980"/>
      <c r="H416" s="2566"/>
      <c r="I416" s="2566"/>
      <c r="J416" s="2566"/>
      <c r="K416" s="2566"/>
      <c r="L416" s="2566"/>
      <c r="M416" s="2566"/>
      <c r="N416" s="2566"/>
      <c r="O416" s="2566"/>
      <c r="P416" s="2566"/>
      <c r="Q416" s="2566"/>
      <c r="R416" s="2566"/>
      <c r="S416" s="2566"/>
      <c r="T416" s="2566"/>
      <c r="U416" s="2566"/>
      <c r="V416" s="2592"/>
      <c r="W416" s="2323"/>
      <c r="X416" s="2323"/>
      <c r="Y416" s="2323"/>
      <c r="Z416" s="2566"/>
      <c r="AA416" s="2566"/>
      <c r="AB416" s="2566"/>
      <c r="AC416" s="2566"/>
      <c r="AD416" s="2323"/>
      <c r="AE416" s="2323"/>
      <c r="AF416" s="2323"/>
      <c r="AG416" s="2323"/>
      <c r="AH416" s="2323"/>
      <c r="AI416" s="2323"/>
      <c r="AJ416" s="2323"/>
      <c r="AK416" s="2898"/>
      <c r="AL416" s="2895">
        <f t="shared" si="18"/>
        <v>0</v>
      </c>
      <c r="AM416" s="2896" t="str">
        <f t="shared" si="17"/>
        <v/>
      </c>
    </row>
    <row r="417" spans="1:39" hidden="1" outlineLevel="1">
      <c r="A417" s="2566"/>
      <c r="B417" s="3210" t="s">
        <v>2948</v>
      </c>
      <c r="C417" s="3210"/>
      <c r="D417" s="3210"/>
      <c r="E417" s="3209" t="s">
        <v>3873</v>
      </c>
      <c r="F417" s="2980" t="s">
        <v>2629</v>
      </c>
      <c r="G417" s="2980"/>
      <c r="H417" s="2566"/>
      <c r="I417" s="2566"/>
      <c r="J417" s="2566"/>
      <c r="K417" s="2566"/>
      <c r="L417" s="2566"/>
      <c r="M417" s="2566"/>
      <c r="N417" s="2566"/>
      <c r="O417" s="2566"/>
      <c r="P417" s="2566"/>
      <c r="Q417" s="2566"/>
      <c r="R417" s="2566"/>
      <c r="S417" s="2566"/>
      <c r="T417" s="2566"/>
      <c r="U417" s="2566"/>
      <c r="V417" s="2592"/>
      <c r="W417" s="2323"/>
      <c r="X417" s="2323"/>
      <c r="Y417" s="2323"/>
      <c r="Z417" s="2566"/>
      <c r="AA417" s="2566"/>
      <c r="AB417" s="2566"/>
      <c r="AC417" s="2566"/>
      <c r="AD417" s="2323"/>
      <c r="AE417" s="2323"/>
      <c r="AF417" s="2323"/>
      <c r="AG417" s="2323"/>
      <c r="AH417" s="2323"/>
      <c r="AI417" s="2323"/>
      <c r="AJ417" s="2323"/>
      <c r="AK417" s="2898"/>
      <c r="AL417" s="2895">
        <f t="shared" si="18"/>
        <v>0</v>
      </c>
      <c r="AM417" s="2896" t="str">
        <f t="shared" si="17"/>
        <v/>
      </c>
    </row>
    <row r="418" spans="1:39" hidden="1" outlineLevel="1">
      <c r="A418" s="2566"/>
      <c r="B418" s="3210"/>
      <c r="C418" s="3210"/>
      <c r="D418" s="3210"/>
      <c r="E418" s="3209"/>
      <c r="F418" s="2980" t="s">
        <v>2631</v>
      </c>
      <c r="G418" s="2980"/>
      <c r="H418" s="2566"/>
      <c r="I418" s="2566"/>
      <c r="J418" s="2566"/>
      <c r="K418" s="2566"/>
      <c r="L418" s="2566"/>
      <c r="M418" s="2566"/>
      <c r="N418" s="2566"/>
      <c r="O418" s="2566"/>
      <c r="P418" s="2566"/>
      <c r="Q418" s="2566"/>
      <c r="R418" s="2566"/>
      <c r="S418" s="2566"/>
      <c r="T418" s="2566"/>
      <c r="U418" s="2566"/>
      <c r="V418" s="2592"/>
      <c r="W418" s="2323"/>
      <c r="X418" s="2323"/>
      <c r="Y418" s="2323"/>
      <c r="Z418" s="2566"/>
      <c r="AA418" s="2566"/>
      <c r="AB418" s="2566"/>
      <c r="AC418" s="2566"/>
      <c r="AD418" s="2323"/>
      <c r="AE418" s="2323"/>
      <c r="AF418" s="2323"/>
      <c r="AG418" s="2323"/>
      <c r="AH418" s="2323"/>
      <c r="AI418" s="2323"/>
      <c r="AJ418" s="2323"/>
      <c r="AK418" s="2898"/>
      <c r="AL418" s="2895">
        <f t="shared" si="18"/>
        <v>0</v>
      </c>
      <c r="AM418" s="2896" t="str">
        <f t="shared" si="17"/>
        <v/>
      </c>
    </row>
    <row r="419" spans="1:39" hidden="1" outlineLevel="1">
      <c r="A419" s="2566"/>
      <c r="B419" s="3210"/>
      <c r="C419" s="3210"/>
      <c r="D419" s="3210"/>
      <c r="E419" s="3209"/>
      <c r="F419" s="2980" t="s">
        <v>2633</v>
      </c>
      <c r="G419" s="2980"/>
      <c r="H419" s="2566"/>
      <c r="I419" s="2566"/>
      <c r="J419" s="2566"/>
      <c r="K419" s="2566"/>
      <c r="L419" s="2566"/>
      <c r="M419" s="2566"/>
      <c r="N419" s="2566"/>
      <c r="O419" s="2566"/>
      <c r="P419" s="2566"/>
      <c r="Q419" s="2566"/>
      <c r="R419" s="2566"/>
      <c r="S419" s="2566"/>
      <c r="T419" s="2566"/>
      <c r="U419" s="2566"/>
      <c r="V419" s="2592"/>
      <c r="W419" s="2323"/>
      <c r="X419" s="2323"/>
      <c r="Y419" s="2323"/>
      <c r="Z419" s="2566"/>
      <c r="AA419" s="2566"/>
      <c r="AB419" s="2566"/>
      <c r="AC419" s="2566"/>
      <c r="AD419" s="2323"/>
      <c r="AE419" s="2323"/>
      <c r="AF419" s="2323"/>
      <c r="AG419" s="2323"/>
      <c r="AH419" s="2323"/>
      <c r="AI419" s="2323"/>
      <c r="AJ419" s="2323"/>
      <c r="AK419" s="2898"/>
      <c r="AL419" s="2895">
        <f t="shared" si="18"/>
        <v>0</v>
      </c>
      <c r="AM419" s="2896" t="str">
        <f t="shared" si="17"/>
        <v/>
      </c>
    </row>
    <row r="420" spans="1:39" hidden="1" outlineLevel="1">
      <c r="A420" s="2566"/>
      <c r="B420" s="3210"/>
      <c r="C420" s="3210"/>
      <c r="D420" s="3210"/>
      <c r="E420" s="3209"/>
      <c r="F420" s="2980" t="s">
        <v>2635</v>
      </c>
      <c r="G420" s="2980"/>
      <c r="H420" s="2566"/>
      <c r="I420" s="2566"/>
      <c r="J420" s="2566"/>
      <c r="K420" s="2566"/>
      <c r="L420" s="2566"/>
      <c r="M420" s="2566"/>
      <c r="N420" s="2566"/>
      <c r="O420" s="2566"/>
      <c r="P420" s="2566"/>
      <c r="Q420" s="2566"/>
      <c r="R420" s="2566"/>
      <c r="S420" s="2566"/>
      <c r="T420" s="2566"/>
      <c r="U420" s="2566"/>
      <c r="V420" s="2592"/>
      <c r="W420" s="2323"/>
      <c r="X420" s="2323"/>
      <c r="Y420" s="2323"/>
      <c r="Z420" s="2566"/>
      <c r="AA420" s="2566"/>
      <c r="AB420" s="2566"/>
      <c r="AC420" s="2566"/>
      <c r="AD420" s="2323"/>
      <c r="AE420" s="2323"/>
      <c r="AF420" s="2323"/>
      <c r="AG420" s="2323"/>
      <c r="AH420" s="2323"/>
      <c r="AI420" s="2323"/>
      <c r="AJ420" s="2323"/>
      <c r="AK420" s="2898"/>
      <c r="AL420" s="2895">
        <f t="shared" si="18"/>
        <v>0</v>
      </c>
      <c r="AM420" s="2896" t="str">
        <f t="shared" si="17"/>
        <v/>
      </c>
    </row>
    <row r="421" spans="1:39" hidden="1" outlineLevel="1">
      <c r="A421" s="2566"/>
      <c r="B421" s="3210"/>
      <c r="C421" s="3210"/>
      <c r="D421" s="3210"/>
      <c r="E421" s="3209"/>
      <c r="F421" s="2980" t="s">
        <v>2639</v>
      </c>
      <c r="G421" s="2980"/>
      <c r="H421" s="2566"/>
      <c r="I421" s="2566"/>
      <c r="J421" s="2566"/>
      <c r="K421" s="2566"/>
      <c r="L421" s="2566"/>
      <c r="M421" s="2566"/>
      <c r="N421" s="2566"/>
      <c r="O421" s="2566"/>
      <c r="P421" s="2566"/>
      <c r="Q421" s="2566"/>
      <c r="R421" s="2566"/>
      <c r="S421" s="2566"/>
      <c r="T421" s="2566"/>
      <c r="U421" s="2566"/>
      <c r="V421" s="2592"/>
      <c r="W421" s="2323"/>
      <c r="X421" s="2323"/>
      <c r="Y421" s="2323"/>
      <c r="Z421" s="2566"/>
      <c r="AA421" s="2566"/>
      <c r="AB421" s="2566"/>
      <c r="AC421" s="2566"/>
      <c r="AD421" s="2323"/>
      <c r="AE421" s="2323"/>
      <c r="AF421" s="2323"/>
      <c r="AG421" s="2323"/>
      <c r="AH421" s="2323"/>
      <c r="AI421" s="2323"/>
      <c r="AJ421" s="2323"/>
      <c r="AK421" s="2898"/>
      <c r="AL421" s="2895">
        <f t="shared" si="18"/>
        <v>0</v>
      </c>
      <c r="AM421" s="2896" t="str">
        <f t="shared" si="17"/>
        <v/>
      </c>
    </row>
    <row r="422" spans="1:39" hidden="1" outlineLevel="1">
      <c r="A422" s="2566"/>
      <c r="B422" s="3210"/>
      <c r="C422" s="3210"/>
      <c r="D422" s="3210"/>
      <c r="E422" s="3209"/>
      <c r="F422" s="2980" t="s">
        <v>3872</v>
      </c>
      <c r="G422" s="2980"/>
      <c r="H422" s="2566"/>
      <c r="I422" s="2566"/>
      <c r="J422" s="2566"/>
      <c r="K422" s="2566"/>
      <c r="L422" s="2566"/>
      <c r="M422" s="2566"/>
      <c r="N422" s="2566"/>
      <c r="O422" s="2566"/>
      <c r="P422" s="2566"/>
      <c r="Q422" s="2566"/>
      <c r="R422" s="2566"/>
      <c r="S422" s="2566"/>
      <c r="T422" s="2566"/>
      <c r="U422" s="2566"/>
      <c r="V422" s="2592"/>
      <c r="W422" s="2323"/>
      <c r="X422" s="2323"/>
      <c r="Y422" s="2323"/>
      <c r="Z422" s="2566"/>
      <c r="AA422" s="2566"/>
      <c r="AB422" s="2566"/>
      <c r="AC422" s="2566"/>
      <c r="AD422" s="2323"/>
      <c r="AE422" s="2323"/>
      <c r="AF422" s="2323"/>
      <c r="AG422" s="2323"/>
      <c r="AH422" s="2323"/>
      <c r="AI422" s="2323"/>
      <c r="AJ422" s="2323"/>
      <c r="AK422" s="2898"/>
      <c r="AL422" s="2895">
        <f t="shared" si="18"/>
        <v>0</v>
      </c>
      <c r="AM422" s="2896" t="str">
        <f t="shared" si="17"/>
        <v/>
      </c>
    </row>
    <row r="423" spans="1:39" collapsed="1">
      <c r="A423" s="2338"/>
      <c r="B423" s="2338"/>
      <c r="C423" s="2338"/>
      <c r="D423" s="2338"/>
      <c r="E423" s="2338"/>
      <c r="F423" s="3637"/>
      <c r="G423" s="3637"/>
      <c r="H423" s="2338"/>
      <c r="I423" s="2338"/>
      <c r="J423" s="2338"/>
      <c r="K423" s="2338"/>
      <c r="L423" s="2338"/>
      <c r="M423" s="2338"/>
      <c r="N423" s="2338"/>
      <c r="O423" s="2338"/>
      <c r="P423" s="2338"/>
      <c r="Q423" s="2338"/>
      <c r="R423" s="2338"/>
      <c r="S423" s="2338"/>
      <c r="T423" s="2338"/>
      <c r="U423" s="2338"/>
      <c r="Z423" s="2338"/>
      <c r="AA423" s="2338"/>
      <c r="AB423" s="2338"/>
      <c r="AC423" s="2338"/>
      <c r="AD423" s="2338"/>
      <c r="AE423" s="2338"/>
      <c r="AF423" s="2338"/>
      <c r="AG423" s="2338"/>
      <c r="AH423" s="2338"/>
      <c r="AI423" s="2338"/>
      <c r="AJ423" s="2338"/>
      <c r="AK423" s="2338"/>
      <c r="AL423" s="2338"/>
      <c r="AM423" s="2338"/>
    </row>
    <row r="424" spans="1:39">
      <c r="A424" s="2338"/>
      <c r="B424" s="2338"/>
      <c r="C424" s="2338"/>
      <c r="D424" s="2338"/>
      <c r="E424" s="2338"/>
      <c r="F424" s="3637"/>
      <c r="G424" s="3637"/>
      <c r="H424" s="2338"/>
      <c r="I424" s="2338"/>
      <c r="J424" s="2338"/>
      <c r="K424" s="2338"/>
      <c r="L424" s="2338"/>
      <c r="M424" s="2338"/>
      <c r="N424" s="2338"/>
      <c r="O424" s="2338"/>
      <c r="P424" s="2338"/>
      <c r="Q424" s="2338"/>
      <c r="R424" s="2338"/>
      <c r="S424" s="2338"/>
      <c r="T424" s="2338"/>
      <c r="U424" s="2338"/>
      <c r="Z424" s="2338"/>
      <c r="AA424" s="2338"/>
      <c r="AB424" s="2338"/>
      <c r="AC424" s="2338"/>
      <c r="AD424" s="2338"/>
      <c r="AE424" s="2338"/>
      <c r="AF424" s="2338"/>
      <c r="AG424" s="2338"/>
      <c r="AH424" s="2338"/>
      <c r="AI424" s="2338"/>
      <c r="AJ424" s="2338"/>
      <c r="AK424" s="2338"/>
      <c r="AL424" s="2338"/>
      <c r="AM424" s="2338"/>
    </row>
    <row r="425" spans="1:39" ht="18.75">
      <c r="A425" s="3217"/>
      <c r="B425" s="3217"/>
      <c r="C425" s="3217"/>
      <c r="D425" s="3217"/>
      <c r="E425" s="3217"/>
      <c r="F425" s="3217"/>
      <c r="G425" s="3761" t="s">
        <v>3877</v>
      </c>
      <c r="H425" s="3761"/>
      <c r="I425" s="3761"/>
      <c r="J425" s="3761"/>
      <c r="K425" s="3761"/>
      <c r="L425" s="3761"/>
      <c r="M425" s="3761"/>
      <c r="N425" s="3761"/>
      <c r="O425" s="3761"/>
      <c r="P425" s="3761"/>
      <c r="Q425" s="3761"/>
      <c r="R425" s="3761"/>
      <c r="S425" s="3761"/>
      <c r="T425" s="3761"/>
      <c r="U425" s="3761"/>
      <c r="V425" s="2502"/>
      <c r="W425" s="2502"/>
      <c r="X425" s="2502"/>
      <c r="Y425" s="2502"/>
      <c r="Z425" s="2338"/>
      <c r="AA425" s="2338"/>
      <c r="AB425" s="2338"/>
      <c r="AC425" s="2338"/>
      <c r="AD425" s="2338"/>
      <c r="AE425" s="2338"/>
      <c r="AF425" s="2338"/>
      <c r="AG425" s="2338"/>
      <c r="AH425" s="2338"/>
      <c r="AI425" s="2338"/>
      <c r="AJ425" s="2338"/>
      <c r="AK425" s="2338"/>
      <c r="AL425" s="2338"/>
      <c r="AM425" s="2338"/>
    </row>
    <row r="426" spans="1:39" ht="60">
      <c r="A426" s="3208" t="s">
        <v>0</v>
      </c>
      <c r="B426" s="3208" t="s">
        <v>3849</v>
      </c>
      <c r="C426" s="3208"/>
      <c r="D426" s="3208"/>
      <c r="E426" s="3209" t="s">
        <v>3878</v>
      </c>
      <c r="F426" s="3209"/>
      <c r="G426" s="3209" t="s">
        <v>3854</v>
      </c>
      <c r="H426" s="3216" t="s">
        <v>3868</v>
      </c>
      <c r="I426" s="3216"/>
      <c r="J426" s="3216"/>
      <c r="K426" s="3216"/>
      <c r="L426" s="3216"/>
      <c r="M426" s="3216" t="s">
        <v>3869</v>
      </c>
      <c r="N426" s="3216"/>
      <c r="O426" s="3216"/>
      <c r="P426" s="3216"/>
      <c r="Q426" s="3216"/>
      <c r="R426" s="3773" t="s">
        <v>3870</v>
      </c>
      <c r="S426" s="3773"/>
      <c r="T426" s="3773"/>
      <c r="U426" s="3773"/>
      <c r="V426" s="3206" t="s">
        <v>3978</v>
      </c>
      <c r="W426" s="3100"/>
      <c r="X426" s="3100"/>
      <c r="Y426" s="3101"/>
      <c r="Z426" s="3093" t="s">
        <v>3858</v>
      </c>
      <c r="AA426" s="3093"/>
      <c r="AB426" s="3093"/>
      <c r="AC426" s="3093"/>
      <c r="AD426" s="3102" t="s">
        <v>3979</v>
      </c>
      <c r="AE426" s="3103"/>
      <c r="AF426" s="3103"/>
      <c r="AG426" s="3104"/>
      <c r="AH426" s="2779" t="s">
        <v>3980</v>
      </c>
      <c r="AI426" s="2500" t="s">
        <v>3974</v>
      </c>
      <c r="AJ426" s="2500" t="s">
        <v>3975</v>
      </c>
      <c r="AK426" s="2893" t="s">
        <v>4273</v>
      </c>
      <c r="AL426" s="2893" t="s">
        <v>4271</v>
      </c>
      <c r="AM426" s="2893" t="s">
        <v>4272</v>
      </c>
    </row>
    <row r="427" spans="1:39" ht="60">
      <c r="A427" s="3208"/>
      <c r="B427" s="3208"/>
      <c r="C427" s="3208"/>
      <c r="D427" s="3208"/>
      <c r="E427" s="3209"/>
      <c r="F427" s="3209"/>
      <c r="G427" s="3209"/>
      <c r="H427" s="2980">
        <f>H11</f>
        <v>2015</v>
      </c>
      <c r="I427" s="2980">
        <f>I11</f>
        <v>2016</v>
      </c>
      <c r="J427" s="2980">
        <f>J11</f>
        <v>2017</v>
      </c>
      <c r="K427" s="2980" t="str">
        <f>K409</f>
        <v>План (в случае отсутствия факта за 3 года)</v>
      </c>
      <c r="L427" s="2980" t="s">
        <v>2559</v>
      </c>
      <c r="M427" s="2980">
        <f>H427</f>
        <v>2015</v>
      </c>
      <c r="N427" s="2980">
        <f>I427</f>
        <v>2016</v>
      </c>
      <c r="O427" s="2980">
        <f>J427</f>
        <v>2017</v>
      </c>
      <c r="P427" s="2980" t="str">
        <f>P409</f>
        <v>План (в случае отсутствия факта за 3 года)</v>
      </c>
      <c r="Q427" s="2980" t="s">
        <v>2559</v>
      </c>
      <c r="R427" s="2980">
        <f>H427</f>
        <v>2015</v>
      </c>
      <c r="S427" s="2980">
        <f>I427</f>
        <v>2016</v>
      </c>
      <c r="T427" s="2980">
        <f>J427</f>
        <v>2017</v>
      </c>
      <c r="U427" s="2980" t="str">
        <f>U409</f>
        <v>План (в случае отсутствия факта за 3 года)</v>
      </c>
      <c r="V427" s="2939">
        <f>R427</f>
        <v>2015</v>
      </c>
      <c r="W427" s="2496">
        <f>S427</f>
        <v>2016</v>
      </c>
      <c r="X427" s="2496">
        <f>T427</f>
        <v>2017</v>
      </c>
      <c r="Y427" s="2496" t="str">
        <f>U427</f>
        <v>План (в случае отсутствия факта за 3 года)</v>
      </c>
      <c r="Z427" s="2884">
        <v>2016</v>
      </c>
      <c r="AA427" s="2884">
        <v>2017</v>
      </c>
      <c r="AB427" s="2884">
        <v>2018</v>
      </c>
      <c r="AC427" s="2886">
        <v>2019</v>
      </c>
      <c r="AD427" s="2503">
        <f>V427</f>
        <v>2015</v>
      </c>
      <c r="AE427" s="2503">
        <f>W427</f>
        <v>2016</v>
      </c>
      <c r="AF427" s="2503">
        <f>X427</f>
        <v>2017</v>
      </c>
      <c r="AG427" s="2503" t="str">
        <f>Y427</f>
        <v>План (в случае отсутствия факта за 3 года)</v>
      </c>
      <c r="AH427" s="2497" t="s">
        <v>3981</v>
      </c>
      <c r="AI427" s="2505" t="s">
        <v>3976</v>
      </c>
      <c r="AJ427" s="2505" t="s">
        <v>3977</v>
      </c>
      <c r="AK427" s="2889">
        <v>2018</v>
      </c>
      <c r="AL427" s="2890" t="s">
        <v>4265</v>
      </c>
      <c r="AM427" s="2889" t="s">
        <v>4265</v>
      </c>
    </row>
    <row r="428" spans="1:39" hidden="1" outlineLevel="1">
      <c r="A428" s="2978">
        <v>1</v>
      </c>
      <c r="B428" s="3208">
        <v>2</v>
      </c>
      <c r="C428" s="3208"/>
      <c r="D428" s="3208"/>
      <c r="E428" s="3208">
        <v>3</v>
      </c>
      <c r="F428" s="3208"/>
      <c r="G428" s="2980">
        <v>4</v>
      </c>
      <c r="H428" s="3209">
        <v>5</v>
      </c>
      <c r="I428" s="3209"/>
      <c r="J428" s="3209"/>
      <c r="K428" s="3209"/>
      <c r="L428" s="2980"/>
      <c r="M428" s="3209">
        <v>6</v>
      </c>
      <c r="N428" s="3209"/>
      <c r="O428" s="3209"/>
      <c r="P428" s="3209"/>
      <c r="Q428" s="2980"/>
      <c r="R428" s="3209">
        <v>7</v>
      </c>
      <c r="S428" s="3209"/>
      <c r="T428" s="3209"/>
      <c r="U428" s="3209"/>
      <c r="V428" s="3108">
        <v>8</v>
      </c>
      <c r="W428" s="3022"/>
      <c r="X428" s="3022"/>
      <c r="Y428" s="2884"/>
      <c r="Z428" s="3022">
        <v>9</v>
      </c>
      <c r="AA428" s="3022"/>
      <c r="AB428" s="3022"/>
      <c r="AC428" s="3109"/>
      <c r="AD428" s="3105">
        <v>10</v>
      </c>
      <c r="AE428" s="3106"/>
      <c r="AF428" s="3106"/>
      <c r="AG428" s="3107"/>
      <c r="AH428" s="2498">
        <v>11</v>
      </c>
      <c r="AI428" s="2498">
        <v>12</v>
      </c>
      <c r="AJ428" s="2499">
        <v>13</v>
      </c>
      <c r="AK428" s="2891">
        <v>10</v>
      </c>
      <c r="AL428" s="2892">
        <v>11</v>
      </c>
      <c r="AM428" s="2891">
        <v>12</v>
      </c>
    </row>
    <row r="429" spans="1:39" hidden="1" outlineLevel="1">
      <c r="A429" s="2566"/>
      <c r="B429" s="3210" t="s">
        <v>2952</v>
      </c>
      <c r="C429" s="3210"/>
      <c r="D429" s="3210"/>
      <c r="E429" s="3779" t="s">
        <v>3879</v>
      </c>
      <c r="F429" s="3779"/>
      <c r="G429" s="3780"/>
      <c r="H429" s="2566"/>
      <c r="I429" s="2566"/>
      <c r="J429" s="2566"/>
      <c r="K429" s="2566"/>
      <c r="L429" s="2566"/>
      <c r="M429" s="2566"/>
      <c r="N429" s="2566"/>
      <c r="O429" s="2566"/>
      <c r="P429" s="2566"/>
      <c r="Q429" s="2566"/>
      <c r="R429" s="2566"/>
      <c r="S429" s="2566"/>
      <c r="T429" s="2566"/>
      <c r="U429" s="2566"/>
      <c r="V429" s="2943"/>
      <c r="W429" s="2387"/>
      <c r="X429" s="2387"/>
      <c r="Y429" s="2387"/>
      <c r="Z429" s="2437">
        <v>1.0528</v>
      </c>
      <c r="AA429" s="2436">
        <v>1.06395203770775</v>
      </c>
      <c r="AB429" s="2436">
        <v>1.05001869746847</v>
      </c>
      <c r="AC429" s="2436">
        <v>1.0469610363690101</v>
      </c>
      <c r="AD429" s="2323"/>
      <c r="AE429" s="2323"/>
      <c r="AF429" s="2323"/>
      <c r="AG429" s="2323"/>
      <c r="AH429" s="2323"/>
      <c r="AI429" s="2323"/>
      <c r="AJ429" s="2323"/>
      <c r="AK429" s="2898"/>
      <c r="AL429" s="2895">
        <f t="shared" ref="AL429:AL432" si="19">AK429*$AC$12</f>
        <v>0</v>
      </c>
      <c r="AM429" s="2896" t="str">
        <f t="shared" ref="AM429:AM432" si="20">IFERROR(AI429/AL429,"")</f>
        <v/>
      </c>
    </row>
    <row r="430" spans="1:39" hidden="1" outlineLevel="1">
      <c r="A430" s="2566"/>
      <c r="B430" s="3210"/>
      <c r="C430" s="3210"/>
      <c r="D430" s="3210"/>
      <c r="E430" s="3779" t="s">
        <v>3880</v>
      </c>
      <c r="F430" s="3779"/>
      <c r="G430" s="3780"/>
      <c r="H430" s="2566"/>
      <c r="I430" s="2566"/>
      <c r="J430" s="2566"/>
      <c r="K430" s="2566"/>
      <c r="L430" s="2566"/>
      <c r="M430" s="2566"/>
      <c r="N430" s="2566"/>
      <c r="O430" s="2566"/>
      <c r="P430" s="2566"/>
      <c r="Q430" s="2566"/>
      <c r="R430" s="2566"/>
      <c r="S430" s="2566"/>
      <c r="T430" s="2566"/>
      <c r="U430" s="2566"/>
      <c r="V430" s="2940"/>
      <c r="W430" s="2319"/>
      <c r="X430" s="2319"/>
      <c r="Y430" s="2319"/>
      <c r="Z430" s="2566"/>
      <c r="AA430" s="2566"/>
      <c r="AB430" s="2566"/>
      <c r="AC430" s="2566"/>
      <c r="AD430" s="2323"/>
      <c r="AE430" s="2323"/>
      <c r="AF430" s="2323"/>
      <c r="AG430" s="2323"/>
      <c r="AH430" s="2323"/>
      <c r="AI430" s="2323"/>
      <c r="AJ430" s="2323"/>
      <c r="AK430" s="2898"/>
      <c r="AL430" s="2895">
        <f t="shared" si="19"/>
        <v>0</v>
      </c>
      <c r="AM430" s="2896" t="str">
        <f t="shared" si="20"/>
        <v/>
      </c>
    </row>
    <row r="431" spans="1:39" hidden="1" outlineLevel="1">
      <c r="A431" s="2566"/>
      <c r="B431" s="3210" t="s">
        <v>2948</v>
      </c>
      <c r="C431" s="3210"/>
      <c r="D431" s="3210"/>
      <c r="E431" s="3779" t="s">
        <v>3879</v>
      </c>
      <c r="F431" s="3779"/>
      <c r="G431" s="3780"/>
      <c r="H431" s="2566"/>
      <c r="I431" s="2566"/>
      <c r="J431" s="2566"/>
      <c r="K431" s="2566"/>
      <c r="L431" s="2566"/>
      <c r="M431" s="2566"/>
      <c r="N431" s="2566"/>
      <c r="O431" s="2566"/>
      <c r="P431" s="2566"/>
      <c r="Q431" s="2566"/>
      <c r="R431" s="2566"/>
      <c r="S431" s="2566"/>
      <c r="T431" s="2566"/>
      <c r="U431" s="2566"/>
      <c r="V431" s="2940"/>
      <c r="W431" s="2319"/>
      <c r="X431" s="2319"/>
      <c r="Y431" s="2319"/>
      <c r="Z431" s="2566"/>
      <c r="AA431" s="2566"/>
      <c r="AB431" s="2566"/>
      <c r="AC431" s="2566"/>
      <c r="AD431" s="2323"/>
      <c r="AE431" s="2323"/>
      <c r="AF431" s="2323"/>
      <c r="AG431" s="2323"/>
      <c r="AH431" s="2323"/>
      <c r="AI431" s="2323"/>
      <c r="AJ431" s="2323"/>
      <c r="AK431" s="2898"/>
      <c r="AL431" s="2895">
        <f t="shared" si="19"/>
        <v>0</v>
      </c>
      <c r="AM431" s="2896" t="str">
        <f t="shared" si="20"/>
        <v/>
      </c>
    </row>
    <row r="432" spans="1:39" hidden="1" outlineLevel="1">
      <c r="A432" s="2566"/>
      <c r="B432" s="3210"/>
      <c r="C432" s="3210"/>
      <c r="D432" s="3210"/>
      <c r="E432" s="3779" t="s">
        <v>3880</v>
      </c>
      <c r="F432" s="3779"/>
      <c r="G432" s="3780"/>
      <c r="H432" s="2566"/>
      <c r="I432" s="2566"/>
      <c r="J432" s="2566"/>
      <c r="K432" s="2566"/>
      <c r="L432" s="2566"/>
      <c r="M432" s="2566"/>
      <c r="N432" s="2566"/>
      <c r="O432" s="2566"/>
      <c r="P432" s="2566"/>
      <c r="Q432" s="2566"/>
      <c r="R432" s="2566"/>
      <c r="S432" s="2566"/>
      <c r="T432" s="2566"/>
      <c r="U432" s="2566"/>
      <c r="V432" s="2940"/>
      <c r="W432" s="2319"/>
      <c r="X432" s="2319"/>
      <c r="Y432" s="2319"/>
      <c r="Z432" s="2566"/>
      <c r="AA432" s="2566"/>
      <c r="AB432" s="2566"/>
      <c r="AC432" s="2566"/>
      <c r="AD432" s="2323"/>
      <c r="AE432" s="2323"/>
      <c r="AF432" s="2323"/>
      <c r="AG432" s="2323"/>
      <c r="AH432" s="2323"/>
      <c r="AI432" s="2323"/>
      <c r="AJ432" s="2323"/>
      <c r="AK432" s="2898"/>
      <c r="AL432" s="2895">
        <f t="shared" si="19"/>
        <v>0</v>
      </c>
      <c r="AM432" s="2896" t="str">
        <f t="shared" si="20"/>
        <v/>
      </c>
    </row>
    <row r="433" spans="1:39" collapsed="1">
      <c r="A433" s="2338"/>
      <c r="B433" s="2338"/>
      <c r="C433" s="2338"/>
      <c r="D433" s="2338"/>
      <c r="E433" s="2338"/>
      <c r="F433" s="3637"/>
      <c r="G433" s="3637"/>
      <c r="H433" s="2338"/>
      <c r="I433" s="2338"/>
      <c r="J433" s="2338"/>
      <c r="K433" s="2338"/>
      <c r="L433" s="2338"/>
      <c r="M433" s="2338"/>
      <c r="N433" s="2338"/>
      <c r="O433" s="2338"/>
      <c r="P433" s="2338"/>
      <c r="Q433" s="2338"/>
      <c r="R433" s="2338"/>
      <c r="S433" s="2338"/>
      <c r="T433" s="2338"/>
      <c r="U433" s="2338"/>
      <c r="Z433" s="2338"/>
      <c r="AA433" s="2338"/>
      <c r="AB433" s="2338"/>
      <c r="AC433" s="2338"/>
      <c r="AD433" s="2338"/>
      <c r="AE433" s="2338"/>
      <c r="AF433" s="2338"/>
      <c r="AG433" s="2338"/>
      <c r="AH433" s="2338"/>
      <c r="AI433" s="2338"/>
      <c r="AJ433" s="2338"/>
      <c r="AK433" s="2338"/>
      <c r="AL433" s="2338"/>
      <c r="AM433" s="2338"/>
    </row>
    <row r="434" spans="1:39">
      <c r="A434" s="2338"/>
      <c r="B434" s="2338"/>
      <c r="C434" s="2338"/>
      <c r="D434" s="2338"/>
      <c r="E434" s="2338"/>
      <c r="F434" s="3637"/>
      <c r="G434" s="3637"/>
      <c r="H434" s="2338"/>
      <c r="I434" s="2338"/>
      <c r="J434" s="2338"/>
      <c r="K434" s="2338"/>
      <c r="L434" s="2338"/>
      <c r="M434" s="2338"/>
      <c r="N434" s="2338"/>
      <c r="O434" s="2338"/>
      <c r="P434" s="2338"/>
      <c r="Q434" s="2338"/>
      <c r="R434" s="2338"/>
      <c r="S434" s="2338"/>
      <c r="T434" s="2338"/>
      <c r="U434" s="2338"/>
      <c r="Z434" s="2338"/>
      <c r="AA434" s="2338"/>
      <c r="AB434" s="2338"/>
      <c r="AC434" s="2338"/>
      <c r="AD434" s="2338"/>
      <c r="AE434" s="2338"/>
      <c r="AF434" s="2338"/>
      <c r="AG434" s="2338"/>
      <c r="AH434" s="2338"/>
      <c r="AI434" s="2338"/>
      <c r="AJ434" s="2338"/>
      <c r="AK434" s="2338"/>
      <c r="AL434" s="2338"/>
      <c r="AM434" s="2338"/>
    </row>
    <row r="435" spans="1:39" ht="18.75" hidden="1" outlineLevel="1">
      <c r="E435" s="2449" t="s">
        <v>3954</v>
      </c>
      <c r="F435" s="2450"/>
      <c r="G435" s="2450"/>
      <c r="H435" s="2450"/>
      <c r="I435" s="2451"/>
      <c r="J435" s="2451"/>
      <c r="K435" s="2451"/>
      <c r="L435" s="2451"/>
      <c r="M435" s="2450"/>
      <c r="N435" s="2450"/>
      <c r="O435" s="2449" t="s">
        <v>3955</v>
      </c>
      <c r="Z435" s="2338"/>
      <c r="AA435" s="2338"/>
      <c r="AB435" s="2338"/>
      <c r="AC435" s="2338"/>
      <c r="AD435" s="2338"/>
      <c r="AE435" s="2338"/>
      <c r="AF435" s="2338"/>
      <c r="AG435" s="2338"/>
      <c r="AH435" s="2338"/>
      <c r="AI435" s="2338"/>
      <c r="AJ435" s="2338"/>
      <c r="AK435" s="2338"/>
      <c r="AL435" s="2338"/>
      <c r="AM435" s="2338"/>
    </row>
    <row r="436" spans="1:39" ht="18.75" hidden="1" outlineLevel="1">
      <c r="E436" s="2449"/>
      <c r="F436" s="2450"/>
      <c r="G436" s="2450"/>
      <c r="H436" s="2450"/>
      <c r="I436" s="2451"/>
      <c r="J436" s="2451"/>
      <c r="K436" s="2451"/>
      <c r="L436" s="2451"/>
      <c r="M436" s="2450"/>
      <c r="N436" s="2450"/>
      <c r="O436" s="2450"/>
      <c r="Z436" s="2338"/>
      <c r="AA436" s="2338"/>
      <c r="AB436" s="2338"/>
      <c r="AC436" s="2338"/>
      <c r="AD436" s="2338"/>
      <c r="AE436" s="2338"/>
      <c r="AF436" s="2338"/>
      <c r="AG436" s="2338"/>
      <c r="AH436" s="2338"/>
      <c r="AI436" s="2338"/>
      <c r="AJ436" s="2338"/>
      <c r="AK436" s="2338"/>
      <c r="AL436" s="2338"/>
      <c r="AM436" s="2338"/>
    </row>
    <row r="437" spans="1:39" ht="18.75" hidden="1" outlineLevel="1">
      <c r="B437" s="2449"/>
      <c r="C437" s="2450"/>
      <c r="D437" s="2450"/>
      <c r="E437" s="2449"/>
      <c r="F437" s="2450"/>
      <c r="G437" s="2450"/>
      <c r="H437" s="2450"/>
      <c r="I437" s="2451"/>
      <c r="J437" s="2451"/>
      <c r="K437" s="2451"/>
      <c r="L437" s="2451"/>
      <c r="M437" s="2450"/>
      <c r="N437" s="2450"/>
      <c r="O437" s="2450"/>
      <c r="P437"/>
      <c r="Z437" s="2338"/>
      <c r="AA437" s="2338"/>
      <c r="AB437" s="2338"/>
      <c r="AC437" s="2338"/>
      <c r="AD437" s="2338"/>
      <c r="AE437" s="2338"/>
      <c r="AF437" s="2338"/>
      <c r="AG437" s="2338"/>
      <c r="AH437" s="2338"/>
      <c r="AI437" s="2338"/>
      <c r="AJ437" s="2338"/>
      <c r="AK437" s="2338"/>
      <c r="AL437" s="2338"/>
      <c r="AM437" s="2338"/>
    </row>
    <row r="438" spans="1:39" ht="18.75" hidden="1" outlineLevel="1">
      <c r="B438" s="2449"/>
      <c r="C438" s="2450"/>
      <c r="D438" s="2450"/>
      <c r="E438" s="2449" t="s">
        <v>3351</v>
      </c>
      <c r="F438" s="2450"/>
      <c r="G438" s="2450"/>
      <c r="H438" s="2450"/>
      <c r="I438" s="2451"/>
      <c r="J438" s="2451"/>
      <c r="K438" s="2451"/>
      <c r="L438" s="2451"/>
      <c r="M438" s="2450"/>
      <c r="N438" s="2450"/>
      <c r="O438" s="2449" t="s">
        <v>3352</v>
      </c>
      <c r="P438"/>
      <c r="Z438" s="2338"/>
      <c r="AA438" s="2338"/>
      <c r="AB438" s="2338"/>
      <c r="AC438" s="2338"/>
      <c r="AD438" s="2338"/>
      <c r="AE438" s="2338"/>
      <c r="AF438" s="2338"/>
      <c r="AG438" s="2338"/>
      <c r="AH438" s="2338"/>
      <c r="AI438" s="2338"/>
      <c r="AJ438" s="2338"/>
      <c r="AK438" s="2338"/>
      <c r="AL438" s="2338"/>
      <c r="AM438" s="2338"/>
    </row>
    <row r="439" spans="1:39" ht="18.75" hidden="1" outlineLevel="1">
      <c r="B439" s="2449"/>
      <c r="C439" s="2450"/>
      <c r="D439" s="2450"/>
      <c r="E439" s="2449"/>
      <c r="F439" s="2450"/>
      <c r="G439" s="2450"/>
      <c r="H439" s="2450"/>
      <c r="I439" s="2451"/>
      <c r="J439" s="2451"/>
      <c r="K439" s="2451"/>
      <c r="L439" s="2451"/>
      <c r="M439" s="2450"/>
      <c r="N439" s="2450"/>
      <c r="O439" s="2450"/>
      <c r="P439"/>
      <c r="Z439" s="2338"/>
      <c r="AA439" s="2338"/>
      <c r="AB439" s="2338"/>
      <c r="AC439" s="2338"/>
      <c r="AD439" s="2338"/>
      <c r="AE439" s="2338"/>
      <c r="AF439" s="2338"/>
      <c r="AG439" s="2338"/>
      <c r="AH439" s="2338"/>
      <c r="AI439" s="2338"/>
      <c r="AJ439" s="2338"/>
      <c r="AK439" s="2338"/>
      <c r="AL439" s="2338"/>
      <c r="AM439" s="2338"/>
    </row>
    <row r="440" spans="1:39" ht="18.75" hidden="1" outlineLevel="1">
      <c r="E440" s="2449"/>
      <c r="F440" s="2450"/>
      <c r="G440" s="2450"/>
      <c r="H440" s="2450"/>
      <c r="I440" s="2451"/>
      <c r="J440" s="2451"/>
      <c r="K440" s="2451"/>
      <c r="L440" s="2451"/>
      <c r="M440" s="2450"/>
      <c r="N440" s="2450"/>
      <c r="O440" s="2450"/>
      <c r="P440"/>
      <c r="Z440" s="2338"/>
      <c r="AA440" s="2338"/>
      <c r="AB440" s="2338"/>
      <c r="AC440" s="2338"/>
      <c r="AD440" s="2338"/>
      <c r="AE440" s="2338"/>
      <c r="AF440" s="2338"/>
      <c r="AG440" s="2338"/>
      <c r="AH440" s="2338"/>
      <c r="AI440" s="2338"/>
      <c r="AJ440" s="2338"/>
      <c r="AK440" s="2338"/>
      <c r="AL440" s="2338"/>
      <c r="AM440" s="2338"/>
    </row>
    <row r="441" spans="1:39" ht="18.75" hidden="1" outlineLevel="1">
      <c r="B441" s="2449"/>
      <c r="C441" s="2450"/>
      <c r="D441" s="2450"/>
      <c r="E441" s="2449" t="s">
        <v>3881</v>
      </c>
      <c r="F441" s="2450"/>
      <c r="G441" s="2450"/>
      <c r="H441" s="2450"/>
      <c r="I441" s="2451"/>
      <c r="J441" s="2451"/>
      <c r="K441" s="2451"/>
      <c r="L441" s="2451"/>
      <c r="M441" s="2450"/>
      <c r="N441" s="2450"/>
      <c r="O441" s="2449" t="s">
        <v>3882</v>
      </c>
      <c r="P441"/>
      <c r="Z441" s="2338"/>
      <c r="AA441" s="2338"/>
      <c r="AB441" s="2338"/>
      <c r="AC441" s="2338"/>
      <c r="AD441" s="2338"/>
      <c r="AE441" s="2338"/>
      <c r="AF441" s="2338"/>
      <c r="AG441" s="2338"/>
      <c r="AH441" s="2338"/>
      <c r="AI441" s="2338"/>
      <c r="AJ441" s="2338"/>
      <c r="AK441" s="2338"/>
      <c r="AL441" s="2338"/>
      <c r="AM441" s="2338"/>
    </row>
    <row r="442" spans="1:39" collapsed="1"/>
  </sheetData>
  <mergeCells count="295">
    <mergeCell ref="A426:A427"/>
    <mergeCell ref="B426:D427"/>
    <mergeCell ref="E426:F427"/>
    <mergeCell ref="B429:D430"/>
    <mergeCell ref="E429:F429"/>
    <mergeCell ref="E430:F430"/>
    <mergeCell ref="B431:D432"/>
    <mergeCell ref="E431:F431"/>
    <mergeCell ref="AD68:AG68"/>
    <mergeCell ref="A123:F123"/>
    <mergeCell ref="A124:A125"/>
    <mergeCell ref="B124:B125"/>
    <mergeCell ref="C124:C125"/>
    <mergeCell ref="D124:D125"/>
    <mergeCell ref="E124:E125"/>
    <mergeCell ref="F124:F125"/>
    <mergeCell ref="AD124:AG124"/>
    <mergeCell ref="C126:F126"/>
    <mergeCell ref="A407:F407"/>
    <mergeCell ref="A408:A409"/>
    <mergeCell ref="B408:D409"/>
    <mergeCell ref="E408:E409"/>
    <mergeCell ref="B411:D416"/>
    <mergeCell ref="E411:E416"/>
    <mergeCell ref="B417:D422"/>
    <mergeCell ref="E417:E422"/>
    <mergeCell ref="A425:F425"/>
    <mergeCell ref="A376:F376"/>
    <mergeCell ref="A377:A378"/>
    <mergeCell ref="B377:D378"/>
    <mergeCell ref="E377:E378"/>
    <mergeCell ref="F377:F378"/>
    <mergeCell ref="B380:D391"/>
    <mergeCell ref="E380:E385"/>
    <mergeCell ref="E386:E391"/>
    <mergeCell ref="B392:D403"/>
    <mergeCell ref="E392:E397"/>
    <mergeCell ref="E398:E403"/>
    <mergeCell ref="F408:F409"/>
    <mergeCell ref="B344:D358"/>
    <mergeCell ref="E344:E348"/>
    <mergeCell ref="E349:E353"/>
    <mergeCell ref="E354:E358"/>
    <mergeCell ref="B359:D373"/>
    <mergeCell ref="E359:E363"/>
    <mergeCell ref="E364:E368"/>
    <mergeCell ref="E369:E373"/>
    <mergeCell ref="B70:B93"/>
    <mergeCell ref="C70:C93"/>
    <mergeCell ref="D70:D81"/>
    <mergeCell ref="E70:E75"/>
    <mergeCell ref="E76:E81"/>
    <mergeCell ref="D82:D93"/>
    <mergeCell ref="E82:E87"/>
    <mergeCell ref="E88:E93"/>
    <mergeCell ref="B94:B117"/>
    <mergeCell ref="C94:C117"/>
    <mergeCell ref="D94:D105"/>
    <mergeCell ref="E94:E99"/>
    <mergeCell ref="A232:A233"/>
    <mergeCell ref="B232:B233"/>
    <mergeCell ref="C232:C233"/>
    <mergeCell ref="D232:D233"/>
    <mergeCell ref="E232:E233"/>
    <mergeCell ref="M1:O1"/>
    <mergeCell ref="N3:O4"/>
    <mergeCell ref="N5:O5"/>
    <mergeCell ref="B6:N6"/>
    <mergeCell ref="B205:B228"/>
    <mergeCell ref="C205:C228"/>
    <mergeCell ref="D205:D216"/>
    <mergeCell ref="E205:E210"/>
    <mergeCell ref="E211:E216"/>
    <mergeCell ref="D217:D228"/>
    <mergeCell ref="E217:E222"/>
    <mergeCell ref="E223:E228"/>
    <mergeCell ref="A231:F231"/>
    <mergeCell ref="Z232:AC232"/>
    <mergeCell ref="G123:U123"/>
    <mergeCell ref="C295:C312"/>
    <mergeCell ref="D295:D300"/>
    <mergeCell ref="E295:E300"/>
    <mergeCell ref="D301:D312"/>
    <mergeCell ref="E301:E306"/>
    <mergeCell ref="E307:E312"/>
    <mergeCell ref="E100:E105"/>
    <mergeCell ref="D106:D117"/>
    <mergeCell ref="E106:E111"/>
    <mergeCell ref="E112:E117"/>
    <mergeCell ref="V124:Y124"/>
    <mergeCell ref="Z124:AC124"/>
    <mergeCell ref="H126:K126"/>
    <mergeCell ref="M126:P126"/>
    <mergeCell ref="R126:U126"/>
    <mergeCell ref="V126:X126"/>
    <mergeCell ref="F232:F233"/>
    <mergeCell ref="D187:D192"/>
    <mergeCell ref="E187:E192"/>
    <mergeCell ref="D193:D204"/>
    <mergeCell ref="E193:E198"/>
    <mergeCell ref="E199:E204"/>
    <mergeCell ref="Z126:AC126"/>
    <mergeCell ref="R68:U68"/>
    <mergeCell ref="V68:Y68"/>
    <mergeCell ref="Z68:AC68"/>
    <mergeCell ref="H68:L68"/>
    <mergeCell ref="M68:Q68"/>
    <mergeCell ref="G425:U425"/>
    <mergeCell ref="G426:G427"/>
    <mergeCell ref="H426:L426"/>
    <mergeCell ref="G231:U231"/>
    <mergeCell ref="G232:G233"/>
    <mergeCell ref="H232:L232"/>
    <mergeCell ref="M232:Q232"/>
    <mergeCell ref="R232:U232"/>
    <mergeCell ref="V232:Y232"/>
    <mergeCell ref="O369:R369"/>
    <mergeCell ref="G376:U376"/>
    <mergeCell ref="G377:G378"/>
    <mergeCell ref="H377:L377"/>
    <mergeCell ref="M377:Q377"/>
    <mergeCell ref="R377:U377"/>
    <mergeCell ref="V377:Y377"/>
    <mergeCell ref="G408:G409"/>
    <mergeCell ref="H408:L408"/>
    <mergeCell ref="G407:U407"/>
    <mergeCell ref="B8:T8"/>
    <mergeCell ref="A9:F9"/>
    <mergeCell ref="G9:U9"/>
    <mergeCell ref="A10:A11"/>
    <mergeCell ref="B10:B11"/>
    <mergeCell ref="C10:C11"/>
    <mergeCell ref="D10:D11"/>
    <mergeCell ref="E10:E11"/>
    <mergeCell ref="F10:F11"/>
    <mergeCell ref="G10:G11"/>
    <mergeCell ref="H10:L10"/>
    <mergeCell ref="M10:Q10"/>
    <mergeCell ref="R10:U10"/>
    <mergeCell ref="A12:A35"/>
    <mergeCell ref="A36:A59"/>
    <mergeCell ref="E319:E324"/>
    <mergeCell ref="D325:D336"/>
    <mergeCell ref="E325:E330"/>
    <mergeCell ref="E331:E336"/>
    <mergeCell ref="A340:F340"/>
    <mergeCell ref="C68:C69"/>
    <mergeCell ref="D68:D69"/>
    <mergeCell ref="E68:E69"/>
    <mergeCell ref="G340:U340"/>
    <mergeCell ref="A341:A342"/>
    <mergeCell ref="G124:G125"/>
    <mergeCell ref="H124:L124"/>
    <mergeCell ref="M124:Q124"/>
    <mergeCell ref="R124:U124"/>
    <mergeCell ref="G68:G69"/>
    <mergeCell ref="G67:U67"/>
    <mergeCell ref="C283:C294"/>
    <mergeCell ref="D283:D288"/>
    <mergeCell ref="E283:E288"/>
    <mergeCell ref="D289:D294"/>
    <mergeCell ref="E289:E294"/>
    <mergeCell ref="E277:E282"/>
    <mergeCell ref="A67:F67"/>
    <mergeCell ref="A68:A69"/>
    <mergeCell ref="B68:B69"/>
    <mergeCell ref="F68:F69"/>
    <mergeCell ref="A70:A93"/>
    <mergeCell ref="A94:A117"/>
    <mergeCell ref="B313:B336"/>
    <mergeCell ref="C313:C336"/>
    <mergeCell ref="D313:D324"/>
    <mergeCell ref="E313:E318"/>
    <mergeCell ref="AD10:AG10"/>
    <mergeCell ref="B12:B35"/>
    <mergeCell ref="B36:B59"/>
    <mergeCell ref="C12:C35"/>
    <mergeCell ref="C36:C59"/>
    <mergeCell ref="D12:D23"/>
    <mergeCell ref="D24:D35"/>
    <mergeCell ref="D36:D47"/>
    <mergeCell ref="D48:D59"/>
    <mergeCell ref="V10:Y10"/>
    <mergeCell ref="Z10:AC10"/>
    <mergeCell ref="E12:E17"/>
    <mergeCell ref="E18:E23"/>
    <mergeCell ref="E24:E29"/>
    <mergeCell ref="E30:E35"/>
    <mergeCell ref="E36:E41"/>
    <mergeCell ref="E42:E47"/>
    <mergeCell ref="E48:E53"/>
    <mergeCell ref="E54:E59"/>
    <mergeCell ref="AD126:AG126"/>
    <mergeCell ref="B127:B204"/>
    <mergeCell ref="C127:C150"/>
    <mergeCell ref="D127:D138"/>
    <mergeCell ref="E127:E132"/>
    <mergeCell ref="E133:E138"/>
    <mergeCell ref="D139:D150"/>
    <mergeCell ref="E139:E144"/>
    <mergeCell ref="E145:E150"/>
    <mergeCell ref="C151:C168"/>
    <mergeCell ref="D151:D156"/>
    <mergeCell ref="E151:E156"/>
    <mergeCell ref="D157:D168"/>
    <mergeCell ref="E157:E162"/>
    <mergeCell ref="E163:E168"/>
    <mergeCell ref="C169:C174"/>
    <mergeCell ref="D169:D174"/>
    <mergeCell ref="E169:E174"/>
    <mergeCell ref="C175:C186"/>
    <mergeCell ref="D175:D180"/>
    <mergeCell ref="E175:E180"/>
    <mergeCell ref="D181:D186"/>
    <mergeCell ref="E181:E186"/>
    <mergeCell ref="C187:C204"/>
    <mergeCell ref="AD232:AG232"/>
    <mergeCell ref="C234:F234"/>
    <mergeCell ref="H234:K234"/>
    <mergeCell ref="M234:P234"/>
    <mergeCell ref="R234:U234"/>
    <mergeCell ref="V234:X234"/>
    <mergeCell ref="Z234:AC234"/>
    <mergeCell ref="AD234:AG234"/>
    <mergeCell ref="B235:B312"/>
    <mergeCell ref="C235:C258"/>
    <mergeCell ref="D235:D246"/>
    <mergeCell ref="E235:E240"/>
    <mergeCell ref="E241:E246"/>
    <mergeCell ref="D247:D258"/>
    <mergeCell ref="E247:E252"/>
    <mergeCell ref="E253:E258"/>
    <mergeCell ref="C259:C276"/>
    <mergeCell ref="D259:D264"/>
    <mergeCell ref="E259:E264"/>
    <mergeCell ref="D265:D276"/>
    <mergeCell ref="E265:E270"/>
    <mergeCell ref="E271:E276"/>
    <mergeCell ref="C277:C282"/>
    <mergeCell ref="D277:D282"/>
    <mergeCell ref="AD341:AG341"/>
    <mergeCell ref="B343:D343"/>
    <mergeCell ref="E343:F343"/>
    <mergeCell ref="H343:K343"/>
    <mergeCell ref="M343:P343"/>
    <mergeCell ref="R343:U343"/>
    <mergeCell ref="V343:X343"/>
    <mergeCell ref="Z343:AC343"/>
    <mergeCell ref="AD343:AG343"/>
    <mergeCell ref="B341:D342"/>
    <mergeCell ref="E341:E342"/>
    <mergeCell ref="F341:F342"/>
    <mergeCell ref="G341:G342"/>
    <mergeCell ref="H341:L341"/>
    <mergeCell ref="M341:Q341"/>
    <mergeCell ref="R341:U341"/>
    <mergeCell ref="V341:Y341"/>
    <mergeCell ref="Z341:AC341"/>
    <mergeCell ref="AD377:AG377"/>
    <mergeCell ref="B379:D379"/>
    <mergeCell ref="E379:F379"/>
    <mergeCell ref="H379:K379"/>
    <mergeCell ref="M379:P379"/>
    <mergeCell ref="R379:U379"/>
    <mergeCell ref="V379:X379"/>
    <mergeCell ref="Z379:AC379"/>
    <mergeCell ref="AD379:AG379"/>
    <mergeCell ref="Z377:AC377"/>
    <mergeCell ref="Z408:AC408"/>
    <mergeCell ref="AD408:AG408"/>
    <mergeCell ref="B410:D410"/>
    <mergeCell ref="E410:F410"/>
    <mergeCell ref="H410:K410"/>
    <mergeCell ref="M410:P410"/>
    <mergeCell ref="R410:U410"/>
    <mergeCell ref="V410:X410"/>
    <mergeCell ref="Z410:AC410"/>
    <mergeCell ref="AD410:AG410"/>
    <mergeCell ref="M408:Q408"/>
    <mergeCell ref="R408:U408"/>
    <mergeCell ref="V408:Y408"/>
    <mergeCell ref="E432:F432"/>
    <mergeCell ref="M426:Q426"/>
    <mergeCell ref="R426:U426"/>
    <mergeCell ref="V426:Y426"/>
    <mergeCell ref="Z426:AC426"/>
    <mergeCell ref="AD426:AG426"/>
    <mergeCell ref="B428:D428"/>
    <mergeCell ref="E428:F428"/>
    <mergeCell ref="H428:K428"/>
    <mergeCell ref="M428:P428"/>
    <mergeCell ref="R428:U428"/>
    <mergeCell ref="V428:X428"/>
    <mergeCell ref="Z428:AC428"/>
    <mergeCell ref="AD428:AG428"/>
  </mergeCells>
  <pageMargins left="0.70866141732283472" right="0.70866141732283472" top="0.74803149606299213" bottom="0.74803149606299213" header="0.31496062992125984" footer="0.31496062992125984"/>
  <pageSetup paperSize="9" scale="44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B1:CK284"/>
  <sheetViews>
    <sheetView view="pageBreakPreview" zoomScale="70" zoomScaleNormal="75" zoomScaleSheetLayoutView="70" workbookViewId="0">
      <pane ySplit="7" topLeftCell="A229" activePane="bottomLeft" state="frozen"/>
      <selection pane="bottomLeft" activeCell="G272" sqref="G272"/>
    </sheetView>
  </sheetViews>
  <sheetFormatPr defaultRowHeight="12.75" outlineLevelRow="1" outlineLevelCol="1"/>
  <cols>
    <col min="1" max="1" width="0.85546875" style="600" customWidth="1"/>
    <col min="2" max="2" width="10.85546875" style="600" customWidth="1"/>
    <col min="3" max="3" width="65.28515625" style="600" customWidth="1"/>
    <col min="4" max="5" width="12.28515625" style="600" customWidth="1"/>
    <col min="6" max="6" width="12.140625" style="600" customWidth="1"/>
    <col min="7" max="7" width="12.85546875" style="600" customWidth="1"/>
    <col min="8" max="8" width="10.140625" style="600" hidden="1" customWidth="1" outlineLevel="1"/>
    <col min="9" max="9" width="12.42578125" style="600" hidden="1" customWidth="1" outlineLevel="1"/>
    <col min="10" max="10" width="9.140625" style="600" hidden="1" customWidth="1" outlineLevel="1"/>
    <col min="11" max="11" width="12.85546875" style="600" hidden="1" customWidth="1" outlineLevel="1"/>
    <col min="12" max="14" width="9.140625" style="600" hidden="1" customWidth="1" outlineLevel="1"/>
    <col min="15" max="15" width="14.42578125" style="600" hidden="1" customWidth="1" outlineLevel="1"/>
    <col min="16" max="16" width="19" style="600" customWidth="1" collapsed="1"/>
    <col min="17" max="17" width="9.28515625" style="600" customWidth="1"/>
    <col min="18" max="18" width="9.140625" style="600" customWidth="1"/>
    <col min="19" max="19" width="17.5703125" style="600" customWidth="1"/>
    <col min="20" max="20" width="21.5703125" style="600" customWidth="1"/>
    <col min="21" max="21" width="10.42578125" style="600" customWidth="1"/>
    <col min="22" max="22" width="11.28515625" style="600" customWidth="1" outlineLevel="1"/>
    <col min="23" max="23" width="15.85546875" style="600" customWidth="1" outlineLevel="1"/>
    <col min="24" max="24" width="15.140625" style="600" customWidth="1" outlineLevel="1"/>
    <col min="25" max="25" width="26.7109375" style="600" customWidth="1" outlineLevel="1"/>
    <col min="26" max="26" width="27" style="600" customWidth="1" outlineLevel="1"/>
    <col min="27" max="27" width="2.140625" style="600" customWidth="1"/>
    <col min="28" max="28" width="13" style="600" customWidth="1" outlineLevel="1"/>
    <col min="29" max="29" width="12.7109375" style="600" customWidth="1" outlineLevel="1"/>
    <col min="30" max="30" width="13" style="600" customWidth="1" outlineLevel="1"/>
    <col min="31" max="31" width="14.42578125" style="600" customWidth="1" outlineLevel="1"/>
    <col min="32" max="32" width="10.7109375" style="600" customWidth="1" outlineLevel="1"/>
    <col min="33" max="33" width="12.7109375" style="600" customWidth="1" outlineLevel="1"/>
    <col min="34" max="34" width="14.42578125" style="600" customWidth="1" outlineLevel="1" collapsed="1"/>
    <col min="35" max="35" width="13.42578125" style="600" customWidth="1" outlineLevel="1"/>
    <col min="36" max="36" width="12.42578125" style="600" customWidth="1" outlineLevel="1"/>
    <col min="37" max="37" width="14" style="600" customWidth="1" outlineLevel="1"/>
    <col min="38" max="38" width="9.140625" style="600" customWidth="1" outlineLevel="1"/>
    <col min="39" max="39" width="23.85546875" style="600" customWidth="1" outlineLevel="1"/>
    <col min="40" max="40" width="21" style="600" customWidth="1" outlineLevel="1"/>
    <col min="41" max="41" width="13.5703125" style="600" customWidth="1" outlineLevel="1"/>
    <col min="42" max="42" width="15" style="600" customWidth="1" outlineLevel="1"/>
    <col min="43" max="43" width="7.28515625" style="600" customWidth="1" outlineLevel="1"/>
    <col min="44" max="44" width="15" style="600" customWidth="1" outlineLevel="1"/>
    <col min="45" max="45" width="14.85546875" style="600" customWidth="1" outlineLevel="1"/>
    <col min="46" max="47" width="10.7109375" style="600" customWidth="1" outlineLevel="1"/>
    <col min="48" max="48" width="12.85546875" style="600" customWidth="1" outlineLevel="1"/>
    <col min="49" max="52" width="9.140625" style="600" customWidth="1" outlineLevel="1"/>
    <col min="53" max="53" width="41.140625" style="603" customWidth="1" outlineLevel="1"/>
    <col min="54" max="54" width="24.42578125" style="600" bestFit="1" customWidth="1"/>
    <col min="55" max="55" width="14.140625" style="600" customWidth="1" outlineLevel="1"/>
    <col min="56" max="56" width="71.140625" style="600" customWidth="1" outlineLevel="1"/>
    <col min="57" max="77" width="9.140625" style="607"/>
    <col min="78" max="87" width="9.140625" style="608"/>
    <col min="88" max="269" width="9.140625" style="600"/>
    <col min="270" max="270" width="45" style="600" customWidth="1"/>
    <col min="271" max="271" width="17.28515625" style="600" customWidth="1"/>
    <col min="272" max="272" width="9.140625" style="600"/>
    <col min="273" max="280" width="0" style="600" hidden="1" customWidth="1"/>
    <col min="281" max="281" width="10.85546875" style="600" bestFit="1" customWidth="1"/>
    <col min="282" max="283" width="9.140625" style="600"/>
    <col min="284" max="284" width="13.42578125" style="600" customWidth="1"/>
    <col min="285" max="285" width="14.7109375" style="600" customWidth="1"/>
    <col min="286" max="287" width="9.140625" style="600"/>
    <col min="288" max="288" width="15" style="600" customWidth="1"/>
    <col min="289" max="289" width="14.85546875" style="600" customWidth="1"/>
    <col min="290" max="290" width="12.85546875" style="600" customWidth="1"/>
    <col min="291" max="291" width="21.85546875" style="600" customWidth="1"/>
    <col min="292" max="525" width="9.140625" style="600"/>
    <col min="526" max="526" width="45" style="600" customWidth="1"/>
    <col min="527" max="527" width="17.28515625" style="600" customWidth="1"/>
    <col min="528" max="528" width="9.140625" style="600"/>
    <col min="529" max="536" width="0" style="600" hidden="1" customWidth="1"/>
    <col min="537" max="537" width="10.85546875" style="600" bestFit="1" customWidth="1"/>
    <col min="538" max="539" width="9.140625" style="600"/>
    <col min="540" max="540" width="13.42578125" style="600" customWidth="1"/>
    <col min="541" max="541" width="14.7109375" style="600" customWidth="1"/>
    <col min="542" max="543" width="9.140625" style="600"/>
    <col min="544" max="544" width="15" style="600" customWidth="1"/>
    <col min="545" max="545" width="14.85546875" style="600" customWidth="1"/>
    <col min="546" max="546" width="12.85546875" style="600" customWidth="1"/>
    <col min="547" max="547" width="21.85546875" style="600" customWidth="1"/>
    <col min="548" max="781" width="9.140625" style="600"/>
    <col min="782" max="782" width="45" style="600" customWidth="1"/>
    <col min="783" max="783" width="17.28515625" style="600" customWidth="1"/>
    <col min="784" max="784" width="9.140625" style="600"/>
    <col min="785" max="792" width="0" style="600" hidden="1" customWidth="1"/>
    <col min="793" max="793" width="10.85546875" style="600" bestFit="1" customWidth="1"/>
    <col min="794" max="795" width="9.140625" style="600"/>
    <col min="796" max="796" width="13.42578125" style="600" customWidth="1"/>
    <col min="797" max="797" width="14.7109375" style="600" customWidth="1"/>
    <col min="798" max="799" width="9.140625" style="600"/>
    <col min="800" max="800" width="15" style="600" customWidth="1"/>
    <col min="801" max="801" width="14.85546875" style="600" customWidth="1"/>
    <col min="802" max="802" width="12.85546875" style="600" customWidth="1"/>
    <col min="803" max="803" width="21.85546875" style="600" customWidth="1"/>
    <col min="804" max="1037" width="9.140625" style="600"/>
    <col min="1038" max="1038" width="45" style="600" customWidth="1"/>
    <col min="1039" max="1039" width="17.28515625" style="600" customWidth="1"/>
    <col min="1040" max="1040" width="9.140625" style="600"/>
    <col min="1041" max="1048" width="0" style="600" hidden="1" customWidth="1"/>
    <col min="1049" max="1049" width="10.85546875" style="600" bestFit="1" customWidth="1"/>
    <col min="1050" max="1051" width="9.140625" style="600"/>
    <col min="1052" max="1052" width="13.42578125" style="600" customWidth="1"/>
    <col min="1053" max="1053" width="14.7109375" style="600" customWidth="1"/>
    <col min="1054" max="1055" width="9.140625" style="600"/>
    <col min="1056" max="1056" width="15" style="600" customWidth="1"/>
    <col min="1057" max="1057" width="14.85546875" style="600" customWidth="1"/>
    <col min="1058" max="1058" width="12.85546875" style="600" customWidth="1"/>
    <col min="1059" max="1059" width="21.85546875" style="600" customWidth="1"/>
    <col min="1060" max="1293" width="9.140625" style="600"/>
    <col min="1294" max="1294" width="45" style="600" customWidth="1"/>
    <col min="1295" max="1295" width="17.28515625" style="600" customWidth="1"/>
    <col min="1296" max="1296" width="9.140625" style="600"/>
    <col min="1297" max="1304" width="0" style="600" hidden="1" customWidth="1"/>
    <col min="1305" max="1305" width="10.85546875" style="600" bestFit="1" customWidth="1"/>
    <col min="1306" max="1307" width="9.140625" style="600"/>
    <col min="1308" max="1308" width="13.42578125" style="600" customWidth="1"/>
    <col min="1309" max="1309" width="14.7109375" style="600" customWidth="1"/>
    <col min="1310" max="1311" width="9.140625" style="600"/>
    <col min="1312" max="1312" width="15" style="600" customWidth="1"/>
    <col min="1313" max="1313" width="14.85546875" style="600" customWidth="1"/>
    <col min="1314" max="1314" width="12.85546875" style="600" customWidth="1"/>
    <col min="1315" max="1315" width="21.85546875" style="600" customWidth="1"/>
    <col min="1316" max="1549" width="9.140625" style="600"/>
    <col min="1550" max="1550" width="45" style="600" customWidth="1"/>
    <col min="1551" max="1551" width="17.28515625" style="600" customWidth="1"/>
    <col min="1552" max="1552" width="9.140625" style="600"/>
    <col min="1553" max="1560" width="0" style="600" hidden="1" customWidth="1"/>
    <col min="1561" max="1561" width="10.85546875" style="600" bestFit="1" customWidth="1"/>
    <col min="1562" max="1563" width="9.140625" style="600"/>
    <col min="1564" max="1564" width="13.42578125" style="600" customWidth="1"/>
    <col min="1565" max="1565" width="14.7109375" style="600" customWidth="1"/>
    <col min="1566" max="1567" width="9.140625" style="600"/>
    <col min="1568" max="1568" width="15" style="600" customWidth="1"/>
    <col min="1569" max="1569" width="14.85546875" style="600" customWidth="1"/>
    <col min="1570" max="1570" width="12.85546875" style="600" customWidth="1"/>
    <col min="1571" max="1571" width="21.85546875" style="600" customWidth="1"/>
    <col min="1572" max="1805" width="9.140625" style="600"/>
    <col min="1806" max="1806" width="45" style="600" customWidth="1"/>
    <col min="1807" max="1807" width="17.28515625" style="600" customWidth="1"/>
    <col min="1808" max="1808" width="9.140625" style="600"/>
    <col min="1809" max="1816" width="0" style="600" hidden="1" customWidth="1"/>
    <col min="1817" max="1817" width="10.85546875" style="600" bestFit="1" customWidth="1"/>
    <col min="1818" max="1819" width="9.140625" style="600"/>
    <col min="1820" max="1820" width="13.42578125" style="600" customWidth="1"/>
    <col min="1821" max="1821" width="14.7109375" style="600" customWidth="1"/>
    <col min="1822" max="1823" width="9.140625" style="600"/>
    <col min="1824" max="1824" width="15" style="600" customWidth="1"/>
    <col min="1825" max="1825" width="14.85546875" style="600" customWidth="1"/>
    <col min="1826" max="1826" width="12.85546875" style="600" customWidth="1"/>
    <col min="1827" max="1827" width="21.85546875" style="600" customWidth="1"/>
    <col min="1828" max="2061" width="9.140625" style="600"/>
    <col min="2062" max="2062" width="45" style="600" customWidth="1"/>
    <col min="2063" max="2063" width="17.28515625" style="600" customWidth="1"/>
    <col min="2064" max="2064" width="9.140625" style="600"/>
    <col min="2065" max="2072" width="0" style="600" hidden="1" customWidth="1"/>
    <col min="2073" max="2073" width="10.85546875" style="600" bestFit="1" customWidth="1"/>
    <col min="2074" max="2075" width="9.140625" style="600"/>
    <col min="2076" max="2076" width="13.42578125" style="600" customWidth="1"/>
    <col min="2077" max="2077" width="14.7109375" style="600" customWidth="1"/>
    <col min="2078" max="2079" width="9.140625" style="600"/>
    <col min="2080" max="2080" width="15" style="600" customWidth="1"/>
    <col min="2081" max="2081" width="14.85546875" style="600" customWidth="1"/>
    <col min="2082" max="2082" width="12.85546875" style="600" customWidth="1"/>
    <col min="2083" max="2083" width="21.85546875" style="600" customWidth="1"/>
    <col min="2084" max="2317" width="9.140625" style="600"/>
    <col min="2318" max="2318" width="45" style="600" customWidth="1"/>
    <col min="2319" max="2319" width="17.28515625" style="600" customWidth="1"/>
    <col min="2320" max="2320" width="9.140625" style="600"/>
    <col min="2321" max="2328" width="0" style="600" hidden="1" customWidth="1"/>
    <col min="2329" max="2329" width="10.85546875" style="600" bestFit="1" customWidth="1"/>
    <col min="2330" max="2331" width="9.140625" style="600"/>
    <col min="2332" max="2332" width="13.42578125" style="600" customWidth="1"/>
    <col min="2333" max="2333" width="14.7109375" style="600" customWidth="1"/>
    <col min="2334" max="2335" width="9.140625" style="600"/>
    <col min="2336" max="2336" width="15" style="600" customWidth="1"/>
    <col min="2337" max="2337" width="14.85546875" style="600" customWidth="1"/>
    <col min="2338" max="2338" width="12.85546875" style="600" customWidth="1"/>
    <col min="2339" max="2339" width="21.85546875" style="600" customWidth="1"/>
    <col min="2340" max="2573" width="9.140625" style="600"/>
    <col min="2574" max="2574" width="45" style="600" customWidth="1"/>
    <col min="2575" max="2575" width="17.28515625" style="600" customWidth="1"/>
    <col min="2576" max="2576" width="9.140625" style="600"/>
    <col min="2577" max="2584" width="0" style="600" hidden="1" customWidth="1"/>
    <col min="2585" max="2585" width="10.85546875" style="600" bestFit="1" customWidth="1"/>
    <col min="2586" max="2587" width="9.140625" style="600"/>
    <col min="2588" max="2588" width="13.42578125" style="600" customWidth="1"/>
    <col min="2589" max="2589" width="14.7109375" style="600" customWidth="1"/>
    <col min="2590" max="2591" width="9.140625" style="600"/>
    <col min="2592" max="2592" width="15" style="600" customWidth="1"/>
    <col min="2593" max="2593" width="14.85546875" style="600" customWidth="1"/>
    <col min="2594" max="2594" width="12.85546875" style="600" customWidth="1"/>
    <col min="2595" max="2595" width="21.85546875" style="600" customWidth="1"/>
    <col min="2596" max="2829" width="9.140625" style="600"/>
    <col min="2830" max="2830" width="45" style="600" customWidth="1"/>
    <col min="2831" max="2831" width="17.28515625" style="600" customWidth="1"/>
    <col min="2832" max="2832" width="9.140625" style="600"/>
    <col min="2833" max="2840" width="0" style="600" hidden="1" customWidth="1"/>
    <col min="2841" max="2841" width="10.85546875" style="600" bestFit="1" customWidth="1"/>
    <col min="2842" max="2843" width="9.140625" style="600"/>
    <col min="2844" max="2844" width="13.42578125" style="600" customWidth="1"/>
    <col min="2845" max="2845" width="14.7109375" style="600" customWidth="1"/>
    <col min="2846" max="2847" width="9.140625" style="600"/>
    <col min="2848" max="2848" width="15" style="600" customWidth="1"/>
    <col min="2849" max="2849" width="14.85546875" style="600" customWidth="1"/>
    <col min="2850" max="2850" width="12.85546875" style="600" customWidth="1"/>
    <col min="2851" max="2851" width="21.85546875" style="600" customWidth="1"/>
    <col min="2852" max="3085" width="9.140625" style="600"/>
    <col min="3086" max="3086" width="45" style="600" customWidth="1"/>
    <col min="3087" max="3087" width="17.28515625" style="600" customWidth="1"/>
    <col min="3088" max="3088" width="9.140625" style="600"/>
    <col min="3089" max="3096" width="0" style="600" hidden="1" customWidth="1"/>
    <col min="3097" max="3097" width="10.85546875" style="600" bestFit="1" customWidth="1"/>
    <col min="3098" max="3099" width="9.140625" style="600"/>
    <col min="3100" max="3100" width="13.42578125" style="600" customWidth="1"/>
    <col min="3101" max="3101" width="14.7109375" style="600" customWidth="1"/>
    <col min="3102" max="3103" width="9.140625" style="600"/>
    <col min="3104" max="3104" width="15" style="600" customWidth="1"/>
    <col min="3105" max="3105" width="14.85546875" style="600" customWidth="1"/>
    <col min="3106" max="3106" width="12.85546875" style="600" customWidth="1"/>
    <col min="3107" max="3107" width="21.85546875" style="600" customWidth="1"/>
    <col min="3108" max="3341" width="9.140625" style="600"/>
    <col min="3342" max="3342" width="45" style="600" customWidth="1"/>
    <col min="3343" max="3343" width="17.28515625" style="600" customWidth="1"/>
    <col min="3344" max="3344" width="9.140625" style="600"/>
    <col min="3345" max="3352" width="0" style="600" hidden="1" customWidth="1"/>
    <col min="3353" max="3353" width="10.85546875" style="600" bestFit="1" customWidth="1"/>
    <col min="3354" max="3355" width="9.140625" style="600"/>
    <col min="3356" max="3356" width="13.42578125" style="600" customWidth="1"/>
    <col min="3357" max="3357" width="14.7109375" style="600" customWidth="1"/>
    <col min="3358" max="3359" width="9.140625" style="600"/>
    <col min="3360" max="3360" width="15" style="600" customWidth="1"/>
    <col min="3361" max="3361" width="14.85546875" style="600" customWidth="1"/>
    <col min="3362" max="3362" width="12.85546875" style="600" customWidth="1"/>
    <col min="3363" max="3363" width="21.85546875" style="600" customWidth="1"/>
    <col min="3364" max="3597" width="9.140625" style="600"/>
    <col min="3598" max="3598" width="45" style="600" customWidth="1"/>
    <col min="3599" max="3599" width="17.28515625" style="600" customWidth="1"/>
    <col min="3600" max="3600" width="9.140625" style="600"/>
    <col min="3601" max="3608" width="0" style="600" hidden="1" customWidth="1"/>
    <col min="3609" max="3609" width="10.85546875" style="600" bestFit="1" customWidth="1"/>
    <col min="3610" max="3611" width="9.140625" style="600"/>
    <col min="3612" max="3612" width="13.42578125" style="600" customWidth="1"/>
    <col min="3613" max="3613" width="14.7109375" style="600" customWidth="1"/>
    <col min="3614" max="3615" width="9.140625" style="600"/>
    <col min="3616" max="3616" width="15" style="600" customWidth="1"/>
    <col min="3617" max="3617" width="14.85546875" style="600" customWidth="1"/>
    <col min="3618" max="3618" width="12.85546875" style="600" customWidth="1"/>
    <col min="3619" max="3619" width="21.85546875" style="600" customWidth="1"/>
    <col min="3620" max="3853" width="9.140625" style="600"/>
    <col min="3854" max="3854" width="45" style="600" customWidth="1"/>
    <col min="3855" max="3855" width="17.28515625" style="600" customWidth="1"/>
    <col min="3856" max="3856" width="9.140625" style="600"/>
    <col min="3857" max="3864" width="0" style="600" hidden="1" customWidth="1"/>
    <col min="3865" max="3865" width="10.85546875" style="600" bestFit="1" customWidth="1"/>
    <col min="3866" max="3867" width="9.140625" style="600"/>
    <col min="3868" max="3868" width="13.42578125" style="600" customWidth="1"/>
    <col min="3869" max="3869" width="14.7109375" style="600" customWidth="1"/>
    <col min="3870" max="3871" width="9.140625" style="600"/>
    <col min="3872" max="3872" width="15" style="600" customWidth="1"/>
    <col min="3873" max="3873" width="14.85546875" style="600" customWidth="1"/>
    <col min="3874" max="3874" width="12.85546875" style="600" customWidth="1"/>
    <col min="3875" max="3875" width="21.85546875" style="600" customWidth="1"/>
    <col min="3876" max="4109" width="9.140625" style="600"/>
    <col min="4110" max="4110" width="45" style="600" customWidth="1"/>
    <col min="4111" max="4111" width="17.28515625" style="600" customWidth="1"/>
    <col min="4112" max="4112" width="9.140625" style="600"/>
    <col min="4113" max="4120" width="0" style="600" hidden="1" customWidth="1"/>
    <col min="4121" max="4121" width="10.85546875" style="600" bestFit="1" customWidth="1"/>
    <col min="4122" max="4123" width="9.140625" style="600"/>
    <col min="4124" max="4124" width="13.42578125" style="600" customWidth="1"/>
    <col min="4125" max="4125" width="14.7109375" style="600" customWidth="1"/>
    <col min="4126" max="4127" width="9.140625" style="600"/>
    <col min="4128" max="4128" width="15" style="600" customWidth="1"/>
    <col min="4129" max="4129" width="14.85546875" style="600" customWidth="1"/>
    <col min="4130" max="4130" width="12.85546875" style="600" customWidth="1"/>
    <col min="4131" max="4131" width="21.85546875" style="600" customWidth="1"/>
    <col min="4132" max="4365" width="9.140625" style="600"/>
    <col min="4366" max="4366" width="45" style="600" customWidth="1"/>
    <col min="4367" max="4367" width="17.28515625" style="600" customWidth="1"/>
    <col min="4368" max="4368" width="9.140625" style="600"/>
    <col min="4369" max="4376" width="0" style="600" hidden="1" customWidth="1"/>
    <col min="4377" max="4377" width="10.85546875" style="600" bestFit="1" customWidth="1"/>
    <col min="4378" max="4379" width="9.140625" style="600"/>
    <col min="4380" max="4380" width="13.42578125" style="600" customWidth="1"/>
    <col min="4381" max="4381" width="14.7109375" style="600" customWidth="1"/>
    <col min="4382" max="4383" width="9.140625" style="600"/>
    <col min="4384" max="4384" width="15" style="600" customWidth="1"/>
    <col min="4385" max="4385" width="14.85546875" style="600" customWidth="1"/>
    <col min="4386" max="4386" width="12.85546875" style="600" customWidth="1"/>
    <col min="4387" max="4387" width="21.85546875" style="600" customWidth="1"/>
    <col min="4388" max="4621" width="9.140625" style="600"/>
    <col min="4622" max="4622" width="45" style="600" customWidth="1"/>
    <col min="4623" max="4623" width="17.28515625" style="600" customWidth="1"/>
    <col min="4624" max="4624" width="9.140625" style="600"/>
    <col min="4625" max="4632" width="0" style="600" hidden="1" customWidth="1"/>
    <col min="4633" max="4633" width="10.85546875" style="600" bestFit="1" customWidth="1"/>
    <col min="4634" max="4635" width="9.140625" style="600"/>
    <col min="4636" max="4636" width="13.42578125" style="600" customWidth="1"/>
    <col min="4637" max="4637" width="14.7109375" style="600" customWidth="1"/>
    <col min="4638" max="4639" width="9.140625" style="600"/>
    <col min="4640" max="4640" width="15" style="600" customWidth="1"/>
    <col min="4641" max="4641" width="14.85546875" style="600" customWidth="1"/>
    <col min="4642" max="4642" width="12.85546875" style="600" customWidth="1"/>
    <col min="4643" max="4643" width="21.85546875" style="600" customWidth="1"/>
    <col min="4644" max="4877" width="9.140625" style="600"/>
    <col min="4878" max="4878" width="45" style="600" customWidth="1"/>
    <col min="4879" max="4879" width="17.28515625" style="600" customWidth="1"/>
    <col min="4880" max="4880" width="9.140625" style="600"/>
    <col min="4881" max="4888" width="0" style="600" hidden="1" customWidth="1"/>
    <col min="4889" max="4889" width="10.85546875" style="600" bestFit="1" customWidth="1"/>
    <col min="4890" max="4891" width="9.140625" style="600"/>
    <col min="4892" max="4892" width="13.42578125" style="600" customWidth="1"/>
    <col min="4893" max="4893" width="14.7109375" style="600" customWidth="1"/>
    <col min="4894" max="4895" width="9.140625" style="600"/>
    <col min="4896" max="4896" width="15" style="600" customWidth="1"/>
    <col min="4897" max="4897" width="14.85546875" style="600" customWidth="1"/>
    <col min="4898" max="4898" width="12.85546875" style="600" customWidth="1"/>
    <col min="4899" max="4899" width="21.85546875" style="600" customWidth="1"/>
    <col min="4900" max="5133" width="9.140625" style="600"/>
    <col min="5134" max="5134" width="45" style="600" customWidth="1"/>
    <col min="5135" max="5135" width="17.28515625" style="600" customWidth="1"/>
    <col min="5136" max="5136" width="9.140625" style="600"/>
    <col min="5137" max="5144" width="0" style="600" hidden="1" customWidth="1"/>
    <col min="5145" max="5145" width="10.85546875" style="600" bestFit="1" customWidth="1"/>
    <col min="5146" max="5147" width="9.140625" style="600"/>
    <col min="5148" max="5148" width="13.42578125" style="600" customWidth="1"/>
    <col min="5149" max="5149" width="14.7109375" style="600" customWidth="1"/>
    <col min="5150" max="5151" width="9.140625" style="600"/>
    <col min="5152" max="5152" width="15" style="600" customWidth="1"/>
    <col min="5153" max="5153" width="14.85546875" style="600" customWidth="1"/>
    <col min="5154" max="5154" width="12.85546875" style="600" customWidth="1"/>
    <col min="5155" max="5155" width="21.85546875" style="600" customWidth="1"/>
    <col min="5156" max="5389" width="9.140625" style="600"/>
    <col min="5390" max="5390" width="45" style="600" customWidth="1"/>
    <col min="5391" max="5391" width="17.28515625" style="600" customWidth="1"/>
    <col min="5392" max="5392" width="9.140625" style="600"/>
    <col min="5393" max="5400" width="0" style="600" hidden="1" customWidth="1"/>
    <col min="5401" max="5401" width="10.85546875" style="600" bestFit="1" customWidth="1"/>
    <col min="5402" max="5403" width="9.140625" style="600"/>
    <col min="5404" max="5404" width="13.42578125" style="600" customWidth="1"/>
    <col min="5405" max="5405" width="14.7109375" style="600" customWidth="1"/>
    <col min="5406" max="5407" width="9.140625" style="600"/>
    <col min="5408" max="5408" width="15" style="600" customWidth="1"/>
    <col min="5409" max="5409" width="14.85546875" style="600" customWidth="1"/>
    <col min="5410" max="5410" width="12.85546875" style="600" customWidth="1"/>
    <col min="5411" max="5411" width="21.85546875" style="600" customWidth="1"/>
    <col min="5412" max="5645" width="9.140625" style="600"/>
    <col min="5646" max="5646" width="45" style="600" customWidth="1"/>
    <col min="5647" max="5647" width="17.28515625" style="600" customWidth="1"/>
    <col min="5648" max="5648" width="9.140625" style="600"/>
    <col min="5649" max="5656" width="0" style="600" hidden="1" customWidth="1"/>
    <col min="5657" max="5657" width="10.85546875" style="600" bestFit="1" customWidth="1"/>
    <col min="5658" max="5659" width="9.140625" style="600"/>
    <col min="5660" max="5660" width="13.42578125" style="600" customWidth="1"/>
    <col min="5661" max="5661" width="14.7109375" style="600" customWidth="1"/>
    <col min="5662" max="5663" width="9.140625" style="600"/>
    <col min="5664" max="5664" width="15" style="600" customWidth="1"/>
    <col min="5665" max="5665" width="14.85546875" style="600" customWidth="1"/>
    <col min="5666" max="5666" width="12.85546875" style="600" customWidth="1"/>
    <col min="5667" max="5667" width="21.85546875" style="600" customWidth="1"/>
    <col min="5668" max="5901" width="9.140625" style="600"/>
    <col min="5902" max="5902" width="45" style="600" customWidth="1"/>
    <col min="5903" max="5903" width="17.28515625" style="600" customWidth="1"/>
    <col min="5904" max="5904" width="9.140625" style="600"/>
    <col min="5905" max="5912" width="0" style="600" hidden="1" customWidth="1"/>
    <col min="5913" max="5913" width="10.85546875" style="600" bestFit="1" customWidth="1"/>
    <col min="5914" max="5915" width="9.140625" style="600"/>
    <col min="5916" max="5916" width="13.42578125" style="600" customWidth="1"/>
    <col min="5917" max="5917" width="14.7109375" style="600" customWidth="1"/>
    <col min="5918" max="5919" width="9.140625" style="600"/>
    <col min="5920" max="5920" width="15" style="600" customWidth="1"/>
    <col min="5921" max="5921" width="14.85546875" style="600" customWidth="1"/>
    <col min="5922" max="5922" width="12.85546875" style="600" customWidth="1"/>
    <col min="5923" max="5923" width="21.85546875" style="600" customWidth="1"/>
    <col min="5924" max="6157" width="9.140625" style="600"/>
    <col min="6158" max="6158" width="45" style="600" customWidth="1"/>
    <col min="6159" max="6159" width="17.28515625" style="600" customWidth="1"/>
    <col min="6160" max="6160" width="9.140625" style="600"/>
    <col min="6161" max="6168" width="0" style="600" hidden="1" customWidth="1"/>
    <col min="6169" max="6169" width="10.85546875" style="600" bestFit="1" customWidth="1"/>
    <col min="6170" max="6171" width="9.140625" style="600"/>
    <col min="6172" max="6172" width="13.42578125" style="600" customWidth="1"/>
    <col min="6173" max="6173" width="14.7109375" style="600" customWidth="1"/>
    <col min="6174" max="6175" width="9.140625" style="600"/>
    <col min="6176" max="6176" width="15" style="600" customWidth="1"/>
    <col min="6177" max="6177" width="14.85546875" style="600" customWidth="1"/>
    <col min="6178" max="6178" width="12.85546875" style="600" customWidth="1"/>
    <col min="6179" max="6179" width="21.85546875" style="600" customWidth="1"/>
    <col min="6180" max="6413" width="9.140625" style="600"/>
    <col min="6414" max="6414" width="45" style="600" customWidth="1"/>
    <col min="6415" max="6415" width="17.28515625" style="600" customWidth="1"/>
    <col min="6416" max="6416" width="9.140625" style="600"/>
    <col min="6417" max="6424" width="0" style="600" hidden="1" customWidth="1"/>
    <col min="6425" max="6425" width="10.85546875" style="600" bestFit="1" customWidth="1"/>
    <col min="6426" max="6427" width="9.140625" style="600"/>
    <col min="6428" max="6428" width="13.42578125" style="600" customWidth="1"/>
    <col min="6429" max="6429" width="14.7109375" style="600" customWidth="1"/>
    <col min="6430" max="6431" width="9.140625" style="600"/>
    <col min="6432" max="6432" width="15" style="600" customWidth="1"/>
    <col min="6433" max="6433" width="14.85546875" style="600" customWidth="1"/>
    <col min="6434" max="6434" width="12.85546875" style="600" customWidth="1"/>
    <col min="6435" max="6435" width="21.85546875" style="600" customWidth="1"/>
    <col min="6436" max="6669" width="9.140625" style="600"/>
    <col min="6670" max="6670" width="45" style="600" customWidth="1"/>
    <col min="6671" max="6671" width="17.28515625" style="600" customWidth="1"/>
    <col min="6672" max="6672" width="9.140625" style="600"/>
    <col min="6673" max="6680" width="0" style="600" hidden="1" customWidth="1"/>
    <col min="6681" max="6681" width="10.85546875" style="600" bestFit="1" customWidth="1"/>
    <col min="6682" max="6683" width="9.140625" style="600"/>
    <col min="6684" max="6684" width="13.42578125" style="600" customWidth="1"/>
    <col min="6685" max="6685" width="14.7109375" style="600" customWidth="1"/>
    <col min="6686" max="6687" width="9.140625" style="600"/>
    <col min="6688" max="6688" width="15" style="600" customWidth="1"/>
    <col min="6689" max="6689" width="14.85546875" style="600" customWidth="1"/>
    <col min="6690" max="6690" width="12.85546875" style="600" customWidth="1"/>
    <col min="6691" max="6691" width="21.85546875" style="600" customWidth="1"/>
    <col min="6692" max="6925" width="9.140625" style="600"/>
    <col min="6926" max="6926" width="45" style="600" customWidth="1"/>
    <col min="6927" max="6927" width="17.28515625" style="600" customWidth="1"/>
    <col min="6928" max="6928" width="9.140625" style="600"/>
    <col min="6929" max="6936" width="0" style="600" hidden="1" customWidth="1"/>
    <col min="6937" max="6937" width="10.85546875" style="600" bestFit="1" customWidth="1"/>
    <col min="6938" max="6939" width="9.140625" style="600"/>
    <col min="6940" max="6940" width="13.42578125" style="600" customWidth="1"/>
    <col min="6941" max="6941" width="14.7109375" style="600" customWidth="1"/>
    <col min="6942" max="6943" width="9.140625" style="600"/>
    <col min="6944" max="6944" width="15" style="600" customWidth="1"/>
    <col min="6945" max="6945" width="14.85546875" style="600" customWidth="1"/>
    <col min="6946" max="6946" width="12.85546875" style="600" customWidth="1"/>
    <col min="6947" max="6947" width="21.85546875" style="600" customWidth="1"/>
    <col min="6948" max="7181" width="9.140625" style="600"/>
    <col min="7182" max="7182" width="45" style="600" customWidth="1"/>
    <col min="7183" max="7183" width="17.28515625" style="600" customWidth="1"/>
    <col min="7184" max="7184" width="9.140625" style="600"/>
    <col min="7185" max="7192" width="0" style="600" hidden="1" customWidth="1"/>
    <col min="7193" max="7193" width="10.85546875" style="600" bestFit="1" customWidth="1"/>
    <col min="7194" max="7195" width="9.140625" style="600"/>
    <col min="7196" max="7196" width="13.42578125" style="600" customWidth="1"/>
    <col min="7197" max="7197" width="14.7109375" style="600" customWidth="1"/>
    <col min="7198" max="7199" width="9.140625" style="600"/>
    <col min="7200" max="7200" width="15" style="600" customWidth="1"/>
    <col min="7201" max="7201" width="14.85546875" style="600" customWidth="1"/>
    <col min="7202" max="7202" width="12.85546875" style="600" customWidth="1"/>
    <col min="7203" max="7203" width="21.85546875" style="600" customWidth="1"/>
    <col min="7204" max="7437" width="9.140625" style="600"/>
    <col min="7438" max="7438" width="45" style="600" customWidth="1"/>
    <col min="7439" max="7439" width="17.28515625" style="600" customWidth="1"/>
    <col min="7440" max="7440" width="9.140625" style="600"/>
    <col min="7441" max="7448" width="0" style="600" hidden="1" customWidth="1"/>
    <col min="7449" max="7449" width="10.85546875" style="600" bestFit="1" customWidth="1"/>
    <col min="7450" max="7451" width="9.140625" style="600"/>
    <col min="7452" max="7452" width="13.42578125" style="600" customWidth="1"/>
    <col min="7453" max="7453" width="14.7109375" style="600" customWidth="1"/>
    <col min="7454" max="7455" width="9.140625" style="600"/>
    <col min="7456" max="7456" width="15" style="600" customWidth="1"/>
    <col min="7457" max="7457" width="14.85546875" style="600" customWidth="1"/>
    <col min="7458" max="7458" width="12.85546875" style="600" customWidth="1"/>
    <col min="7459" max="7459" width="21.85546875" style="600" customWidth="1"/>
    <col min="7460" max="7693" width="9.140625" style="600"/>
    <col min="7694" max="7694" width="45" style="600" customWidth="1"/>
    <col min="7695" max="7695" width="17.28515625" style="600" customWidth="1"/>
    <col min="7696" max="7696" width="9.140625" style="600"/>
    <col min="7697" max="7704" width="0" style="600" hidden="1" customWidth="1"/>
    <col min="7705" max="7705" width="10.85546875" style="600" bestFit="1" customWidth="1"/>
    <col min="7706" max="7707" width="9.140625" style="600"/>
    <col min="7708" max="7708" width="13.42578125" style="600" customWidth="1"/>
    <col min="7709" max="7709" width="14.7109375" style="600" customWidth="1"/>
    <col min="7710" max="7711" width="9.140625" style="600"/>
    <col min="7712" max="7712" width="15" style="600" customWidth="1"/>
    <col min="7713" max="7713" width="14.85546875" style="600" customWidth="1"/>
    <col min="7714" max="7714" width="12.85546875" style="600" customWidth="1"/>
    <col min="7715" max="7715" width="21.85546875" style="600" customWidth="1"/>
    <col min="7716" max="7949" width="9.140625" style="600"/>
    <col min="7950" max="7950" width="45" style="600" customWidth="1"/>
    <col min="7951" max="7951" width="17.28515625" style="600" customWidth="1"/>
    <col min="7952" max="7952" width="9.140625" style="600"/>
    <col min="7953" max="7960" width="0" style="600" hidden="1" customWidth="1"/>
    <col min="7961" max="7961" width="10.85546875" style="600" bestFit="1" customWidth="1"/>
    <col min="7962" max="7963" width="9.140625" style="600"/>
    <col min="7964" max="7964" width="13.42578125" style="600" customWidth="1"/>
    <col min="7965" max="7965" width="14.7109375" style="600" customWidth="1"/>
    <col min="7966" max="7967" width="9.140625" style="600"/>
    <col min="7968" max="7968" width="15" style="600" customWidth="1"/>
    <col min="7969" max="7969" width="14.85546875" style="600" customWidth="1"/>
    <col min="7970" max="7970" width="12.85546875" style="600" customWidth="1"/>
    <col min="7971" max="7971" width="21.85546875" style="600" customWidth="1"/>
    <col min="7972" max="8205" width="9.140625" style="600"/>
    <col min="8206" max="8206" width="45" style="600" customWidth="1"/>
    <col min="8207" max="8207" width="17.28515625" style="600" customWidth="1"/>
    <col min="8208" max="8208" width="9.140625" style="600"/>
    <col min="8209" max="8216" width="0" style="600" hidden="1" customWidth="1"/>
    <col min="8217" max="8217" width="10.85546875" style="600" bestFit="1" customWidth="1"/>
    <col min="8218" max="8219" width="9.140625" style="600"/>
    <col min="8220" max="8220" width="13.42578125" style="600" customWidth="1"/>
    <col min="8221" max="8221" width="14.7109375" style="600" customWidth="1"/>
    <col min="8222" max="8223" width="9.140625" style="600"/>
    <col min="8224" max="8224" width="15" style="600" customWidth="1"/>
    <col min="8225" max="8225" width="14.85546875" style="600" customWidth="1"/>
    <col min="8226" max="8226" width="12.85546875" style="600" customWidth="1"/>
    <col min="8227" max="8227" width="21.85546875" style="600" customWidth="1"/>
    <col min="8228" max="8461" width="9.140625" style="600"/>
    <col min="8462" max="8462" width="45" style="600" customWidth="1"/>
    <col min="8463" max="8463" width="17.28515625" style="600" customWidth="1"/>
    <col min="8464" max="8464" width="9.140625" style="600"/>
    <col min="8465" max="8472" width="0" style="600" hidden="1" customWidth="1"/>
    <col min="8473" max="8473" width="10.85546875" style="600" bestFit="1" customWidth="1"/>
    <col min="8474" max="8475" width="9.140625" style="600"/>
    <col min="8476" max="8476" width="13.42578125" style="600" customWidth="1"/>
    <col min="8477" max="8477" width="14.7109375" style="600" customWidth="1"/>
    <col min="8478" max="8479" width="9.140625" style="600"/>
    <col min="8480" max="8480" width="15" style="600" customWidth="1"/>
    <col min="8481" max="8481" width="14.85546875" style="600" customWidth="1"/>
    <col min="8482" max="8482" width="12.85546875" style="600" customWidth="1"/>
    <col min="8483" max="8483" width="21.85546875" style="600" customWidth="1"/>
    <col min="8484" max="8717" width="9.140625" style="600"/>
    <col min="8718" max="8718" width="45" style="600" customWidth="1"/>
    <col min="8719" max="8719" width="17.28515625" style="600" customWidth="1"/>
    <col min="8720" max="8720" width="9.140625" style="600"/>
    <col min="8721" max="8728" width="0" style="600" hidden="1" customWidth="1"/>
    <col min="8729" max="8729" width="10.85546875" style="600" bestFit="1" customWidth="1"/>
    <col min="8730" max="8731" width="9.140625" style="600"/>
    <col min="8732" max="8732" width="13.42578125" style="600" customWidth="1"/>
    <col min="8733" max="8733" width="14.7109375" style="600" customWidth="1"/>
    <col min="8734" max="8735" width="9.140625" style="600"/>
    <col min="8736" max="8736" width="15" style="600" customWidth="1"/>
    <col min="8737" max="8737" width="14.85546875" style="600" customWidth="1"/>
    <col min="8738" max="8738" width="12.85546875" style="600" customWidth="1"/>
    <col min="8739" max="8739" width="21.85546875" style="600" customWidth="1"/>
    <col min="8740" max="8973" width="9.140625" style="600"/>
    <col min="8974" max="8974" width="45" style="600" customWidth="1"/>
    <col min="8975" max="8975" width="17.28515625" style="600" customWidth="1"/>
    <col min="8976" max="8976" width="9.140625" style="600"/>
    <col min="8977" max="8984" width="0" style="600" hidden="1" customWidth="1"/>
    <col min="8985" max="8985" width="10.85546875" style="600" bestFit="1" customWidth="1"/>
    <col min="8986" max="8987" width="9.140625" style="600"/>
    <col min="8988" max="8988" width="13.42578125" style="600" customWidth="1"/>
    <col min="8989" max="8989" width="14.7109375" style="600" customWidth="1"/>
    <col min="8990" max="8991" width="9.140625" style="600"/>
    <col min="8992" max="8992" width="15" style="600" customWidth="1"/>
    <col min="8993" max="8993" width="14.85546875" style="600" customWidth="1"/>
    <col min="8994" max="8994" width="12.85546875" style="600" customWidth="1"/>
    <col min="8995" max="8995" width="21.85546875" style="600" customWidth="1"/>
    <col min="8996" max="9229" width="9.140625" style="600"/>
    <col min="9230" max="9230" width="45" style="600" customWidth="1"/>
    <col min="9231" max="9231" width="17.28515625" style="600" customWidth="1"/>
    <col min="9232" max="9232" width="9.140625" style="600"/>
    <col min="9233" max="9240" width="0" style="600" hidden="1" customWidth="1"/>
    <col min="9241" max="9241" width="10.85546875" style="600" bestFit="1" customWidth="1"/>
    <col min="9242" max="9243" width="9.140625" style="600"/>
    <col min="9244" max="9244" width="13.42578125" style="600" customWidth="1"/>
    <col min="9245" max="9245" width="14.7109375" style="600" customWidth="1"/>
    <col min="9246" max="9247" width="9.140625" style="600"/>
    <col min="9248" max="9248" width="15" style="600" customWidth="1"/>
    <col min="9249" max="9249" width="14.85546875" style="600" customWidth="1"/>
    <col min="9250" max="9250" width="12.85546875" style="600" customWidth="1"/>
    <col min="9251" max="9251" width="21.85546875" style="600" customWidth="1"/>
    <col min="9252" max="9485" width="9.140625" style="600"/>
    <col min="9486" max="9486" width="45" style="600" customWidth="1"/>
    <col min="9487" max="9487" width="17.28515625" style="600" customWidth="1"/>
    <col min="9488" max="9488" width="9.140625" style="600"/>
    <col min="9489" max="9496" width="0" style="600" hidden="1" customWidth="1"/>
    <col min="9497" max="9497" width="10.85546875" style="600" bestFit="1" customWidth="1"/>
    <col min="9498" max="9499" width="9.140625" style="600"/>
    <col min="9500" max="9500" width="13.42578125" style="600" customWidth="1"/>
    <col min="9501" max="9501" width="14.7109375" style="600" customWidth="1"/>
    <col min="9502" max="9503" width="9.140625" style="600"/>
    <col min="9504" max="9504" width="15" style="600" customWidth="1"/>
    <col min="9505" max="9505" width="14.85546875" style="600" customWidth="1"/>
    <col min="9506" max="9506" width="12.85546875" style="600" customWidth="1"/>
    <col min="9507" max="9507" width="21.85546875" style="600" customWidth="1"/>
    <col min="9508" max="9741" width="9.140625" style="600"/>
    <col min="9742" max="9742" width="45" style="600" customWidth="1"/>
    <col min="9743" max="9743" width="17.28515625" style="600" customWidth="1"/>
    <col min="9744" max="9744" width="9.140625" style="600"/>
    <col min="9745" max="9752" width="0" style="600" hidden="1" customWidth="1"/>
    <col min="9753" max="9753" width="10.85546875" style="600" bestFit="1" customWidth="1"/>
    <col min="9754" max="9755" width="9.140625" style="600"/>
    <col min="9756" max="9756" width="13.42578125" style="600" customWidth="1"/>
    <col min="9757" max="9757" width="14.7109375" style="600" customWidth="1"/>
    <col min="9758" max="9759" width="9.140625" style="600"/>
    <col min="9760" max="9760" width="15" style="600" customWidth="1"/>
    <col min="9761" max="9761" width="14.85546875" style="600" customWidth="1"/>
    <col min="9762" max="9762" width="12.85546875" style="600" customWidth="1"/>
    <col min="9763" max="9763" width="21.85546875" style="600" customWidth="1"/>
    <col min="9764" max="9997" width="9.140625" style="600"/>
    <col min="9998" max="9998" width="45" style="600" customWidth="1"/>
    <col min="9999" max="9999" width="17.28515625" style="600" customWidth="1"/>
    <col min="10000" max="10000" width="9.140625" style="600"/>
    <col min="10001" max="10008" width="0" style="600" hidden="1" customWidth="1"/>
    <col min="10009" max="10009" width="10.85546875" style="600" bestFit="1" customWidth="1"/>
    <col min="10010" max="10011" width="9.140625" style="600"/>
    <col min="10012" max="10012" width="13.42578125" style="600" customWidth="1"/>
    <col min="10013" max="10013" width="14.7109375" style="600" customWidth="1"/>
    <col min="10014" max="10015" width="9.140625" style="600"/>
    <col min="10016" max="10016" width="15" style="600" customWidth="1"/>
    <col min="10017" max="10017" width="14.85546875" style="600" customWidth="1"/>
    <col min="10018" max="10018" width="12.85546875" style="600" customWidth="1"/>
    <col min="10019" max="10019" width="21.85546875" style="600" customWidth="1"/>
    <col min="10020" max="10253" width="9.140625" style="600"/>
    <col min="10254" max="10254" width="45" style="600" customWidth="1"/>
    <col min="10255" max="10255" width="17.28515625" style="600" customWidth="1"/>
    <col min="10256" max="10256" width="9.140625" style="600"/>
    <col min="10257" max="10264" width="0" style="600" hidden="1" customWidth="1"/>
    <col min="10265" max="10265" width="10.85546875" style="600" bestFit="1" customWidth="1"/>
    <col min="10266" max="10267" width="9.140625" style="600"/>
    <col min="10268" max="10268" width="13.42578125" style="600" customWidth="1"/>
    <col min="10269" max="10269" width="14.7109375" style="600" customWidth="1"/>
    <col min="10270" max="10271" width="9.140625" style="600"/>
    <col min="10272" max="10272" width="15" style="600" customWidth="1"/>
    <col min="10273" max="10273" width="14.85546875" style="600" customWidth="1"/>
    <col min="10274" max="10274" width="12.85546875" style="600" customWidth="1"/>
    <col min="10275" max="10275" width="21.85546875" style="600" customWidth="1"/>
    <col min="10276" max="10509" width="9.140625" style="600"/>
    <col min="10510" max="10510" width="45" style="600" customWidth="1"/>
    <col min="10511" max="10511" width="17.28515625" style="600" customWidth="1"/>
    <col min="10512" max="10512" width="9.140625" style="600"/>
    <col min="10513" max="10520" width="0" style="600" hidden="1" customWidth="1"/>
    <col min="10521" max="10521" width="10.85546875" style="600" bestFit="1" customWidth="1"/>
    <col min="10522" max="10523" width="9.140625" style="600"/>
    <col min="10524" max="10524" width="13.42578125" style="600" customWidth="1"/>
    <col min="10525" max="10525" width="14.7109375" style="600" customWidth="1"/>
    <col min="10526" max="10527" width="9.140625" style="600"/>
    <col min="10528" max="10528" width="15" style="600" customWidth="1"/>
    <col min="10529" max="10529" width="14.85546875" style="600" customWidth="1"/>
    <col min="10530" max="10530" width="12.85546875" style="600" customWidth="1"/>
    <col min="10531" max="10531" width="21.85546875" style="600" customWidth="1"/>
    <col min="10532" max="10765" width="9.140625" style="600"/>
    <col min="10766" max="10766" width="45" style="600" customWidth="1"/>
    <col min="10767" max="10767" width="17.28515625" style="600" customWidth="1"/>
    <col min="10768" max="10768" width="9.140625" style="600"/>
    <col min="10769" max="10776" width="0" style="600" hidden="1" customWidth="1"/>
    <col min="10777" max="10777" width="10.85546875" style="600" bestFit="1" customWidth="1"/>
    <col min="10778" max="10779" width="9.140625" style="600"/>
    <col min="10780" max="10780" width="13.42578125" style="600" customWidth="1"/>
    <col min="10781" max="10781" width="14.7109375" style="600" customWidth="1"/>
    <col min="10782" max="10783" width="9.140625" style="600"/>
    <col min="10784" max="10784" width="15" style="600" customWidth="1"/>
    <col min="10785" max="10785" width="14.85546875" style="600" customWidth="1"/>
    <col min="10786" max="10786" width="12.85546875" style="600" customWidth="1"/>
    <col min="10787" max="10787" width="21.85546875" style="600" customWidth="1"/>
    <col min="10788" max="11021" width="9.140625" style="600"/>
    <col min="11022" max="11022" width="45" style="600" customWidth="1"/>
    <col min="11023" max="11023" width="17.28515625" style="600" customWidth="1"/>
    <col min="11024" max="11024" width="9.140625" style="600"/>
    <col min="11025" max="11032" width="0" style="600" hidden="1" customWidth="1"/>
    <col min="11033" max="11033" width="10.85546875" style="600" bestFit="1" customWidth="1"/>
    <col min="11034" max="11035" width="9.140625" style="600"/>
    <col min="11036" max="11036" width="13.42578125" style="600" customWidth="1"/>
    <col min="11037" max="11037" width="14.7109375" style="600" customWidth="1"/>
    <col min="11038" max="11039" width="9.140625" style="600"/>
    <col min="11040" max="11040" width="15" style="600" customWidth="1"/>
    <col min="11041" max="11041" width="14.85546875" style="600" customWidth="1"/>
    <col min="11042" max="11042" width="12.85546875" style="600" customWidth="1"/>
    <col min="11043" max="11043" width="21.85546875" style="600" customWidth="1"/>
    <col min="11044" max="11277" width="9.140625" style="600"/>
    <col min="11278" max="11278" width="45" style="600" customWidth="1"/>
    <col min="11279" max="11279" width="17.28515625" style="600" customWidth="1"/>
    <col min="11280" max="11280" width="9.140625" style="600"/>
    <col min="11281" max="11288" width="0" style="600" hidden="1" customWidth="1"/>
    <col min="11289" max="11289" width="10.85546875" style="600" bestFit="1" customWidth="1"/>
    <col min="11290" max="11291" width="9.140625" style="600"/>
    <col min="11292" max="11292" width="13.42578125" style="600" customWidth="1"/>
    <col min="11293" max="11293" width="14.7109375" style="600" customWidth="1"/>
    <col min="11294" max="11295" width="9.140625" style="600"/>
    <col min="11296" max="11296" width="15" style="600" customWidth="1"/>
    <col min="11297" max="11297" width="14.85546875" style="600" customWidth="1"/>
    <col min="11298" max="11298" width="12.85546875" style="600" customWidth="1"/>
    <col min="11299" max="11299" width="21.85546875" style="600" customWidth="1"/>
    <col min="11300" max="11533" width="9.140625" style="600"/>
    <col min="11534" max="11534" width="45" style="600" customWidth="1"/>
    <col min="11535" max="11535" width="17.28515625" style="600" customWidth="1"/>
    <col min="11536" max="11536" width="9.140625" style="600"/>
    <col min="11537" max="11544" width="0" style="600" hidden="1" customWidth="1"/>
    <col min="11545" max="11545" width="10.85546875" style="600" bestFit="1" customWidth="1"/>
    <col min="11546" max="11547" width="9.140625" style="600"/>
    <col min="11548" max="11548" width="13.42578125" style="600" customWidth="1"/>
    <col min="11549" max="11549" width="14.7109375" style="600" customWidth="1"/>
    <col min="11550" max="11551" width="9.140625" style="600"/>
    <col min="11552" max="11552" width="15" style="600" customWidth="1"/>
    <col min="11553" max="11553" width="14.85546875" style="600" customWidth="1"/>
    <col min="11554" max="11554" width="12.85546875" style="600" customWidth="1"/>
    <col min="11555" max="11555" width="21.85546875" style="600" customWidth="1"/>
    <col min="11556" max="11789" width="9.140625" style="600"/>
    <col min="11790" max="11790" width="45" style="600" customWidth="1"/>
    <col min="11791" max="11791" width="17.28515625" style="600" customWidth="1"/>
    <col min="11792" max="11792" width="9.140625" style="600"/>
    <col min="11793" max="11800" width="0" style="600" hidden="1" customWidth="1"/>
    <col min="11801" max="11801" width="10.85546875" style="600" bestFit="1" customWidth="1"/>
    <col min="11802" max="11803" width="9.140625" style="600"/>
    <col min="11804" max="11804" width="13.42578125" style="600" customWidth="1"/>
    <col min="11805" max="11805" width="14.7109375" style="600" customWidth="1"/>
    <col min="11806" max="11807" width="9.140625" style="600"/>
    <col min="11808" max="11808" width="15" style="600" customWidth="1"/>
    <col min="11809" max="11809" width="14.85546875" style="600" customWidth="1"/>
    <col min="11810" max="11810" width="12.85546875" style="600" customWidth="1"/>
    <col min="11811" max="11811" width="21.85546875" style="600" customWidth="1"/>
    <col min="11812" max="12045" width="9.140625" style="600"/>
    <col min="12046" max="12046" width="45" style="600" customWidth="1"/>
    <col min="12047" max="12047" width="17.28515625" style="600" customWidth="1"/>
    <col min="12048" max="12048" width="9.140625" style="600"/>
    <col min="12049" max="12056" width="0" style="600" hidden="1" customWidth="1"/>
    <col min="12057" max="12057" width="10.85546875" style="600" bestFit="1" customWidth="1"/>
    <col min="12058" max="12059" width="9.140625" style="600"/>
    <col min="12060" max="12060" width="13.42578125" style="600" customWidth="1"/>
    <col min="12061" max="12061" width="14.7109375" style="600" customWidth="1"/>
    <col min="12062" max="12063" width="9.140625" style="600"/>
    <col min="12064" max="12064" width="15" style="600" customWidth="1"/>
    <col min="12065" max="12065" width="14.85546875" style="600" customWidth="1"/>
    <col min="12066" max="12066" width="12.85546875" style="600" customWidth="1"/>
    <col min="12067" max="12067" width="21.85546875" style="600" customWidth="1"/>
    <col min="12068" max="12301" width="9.140625" style="600"/>
    <col min="12302" max="12302" width="45" style="600" customWidth="1"/>
    <col min="12303" max="12303" width="17.28515625" style="600" customWidth="1"/>
    <col min="12304" max="12304" width="9.140625" style="600"/>
    <col min="12305" max="12312" width="0" style="600" hidden="1" customWidth="1"/>
    <col min="12313" max="12313" width="10.85546875" style="600" bestFit="1" customWidth="1"/>
    <col min="12314" max="12315" width="9.140625" style="600"/>
    <col min="12316" max="12316" width="13.42578125" style="600" customWidth="1"/>
    <col min="12317" max="12317" width="14.7109375" style="600" customWidth="1"/>
    <col min="12318" max="12319" width="9.140625" style="600"/>
    <col min="12320" max="12320" width="15" style="600" customWidth="1"/>
    <col min="12321" max="12321" width="14.85546875" style="600" customWidth="1"/>
    <col min="12322" max="12322" width="12.85546875" style="600" customWidth="1"/>
    <col min="12323" max="12323" width="21.85546875" style="600" customWidth="1"/>
    <col min="12324" max="12557" width="9.140625" style="600"/>
    <col min="12558" max="12558" width="45" style="600" customWidth="1"/>
    <col min="12559" max="12559" width="17.28515625" style="600" customWidth="1"/>
    <col min="12560" max="12560" width="9.140625" style="600"/>
    <col min="12561" max="12568" width="0" style="600" hidden="1" customWidth="1"/>
    <col min="12569" max="12569" width="10.85546875" style="600" bestFit="1" customWidth="1"/>
    <col min="12570" max="12571" width="9.140625" style="600"/>
    <col min="12572" max="12572" width="13.42578125" style="600" customWidth="1"/>
    <col min="12573" max="12573" width="14.7109375" style="600" customWidth="1"/>
    <col min="12574" max="12575" width="9.140625" style="600"/>
    <col min="12576" max="12576" width="15" style="600" customWidth="1"/>
    <col min="12577" max="12577" width="14.85546875" style="600" customWidth="1"/>
    <col min="12578" max="12578" width="12.85546875" style="600" customWidth="1"/>
    <col min="12579" max="12579" width="21.85546875" style="600" customWidth="1"/>
    <col min="12580" max="12813" width="9.140625" style="600"/>
    <col min="12814" max="12814" width="45" style="600" customWidth="1"/>
    <col min="12815" max="12815" width="17.28515625" style="600" customWidth="1"/>
    <col min="12816" max="12816" width="9.140625" style="600"/>
    <col min="12817" max="12824" width="0" style="600" hidden="1" customWidth="1"/>
    <col min="12825" max="12825" width="10.85546875" style="600" bestFit="1" customWidth="1"/>
    <col min="12826" max="12827" width="9.140625" style="600"/>
    <col min="12828" max="12828" width="13.42578125" style="600" customWidth="1"/>
    <col min="12829" max="12829" width="14.7109375" style="600" customWidth="1"/>
    <col min="12830" max="12831" width="9.140625" style="600"/>
    <col min="12832" max="12832" width="15" style="600" customWidth="1"/>
    <col min="12833" max="12833" width="14.85546875" style="600" customWidth="1"/>
    <col min="12834" max="12834" width="12.85546875" style="600" customWidth="1"/>
    <col min="12835" max="12835" width="21.85546875" style="600" customWidth="1"/>
    <col min="12836" max="13069" width="9.140625" style="600"/>
    <col min="13070" max="13070" width="45" style="600" customWidth="1"/>
    <col min="13071" max="13071" width="17.28515625" style="600" customWidth="1"/>
    <col min="13072" max="13072" width="9.140625" style="600"/>
    <col min="13073" max="13080" width="0" style="600" hidden="1" customWidth="1"/>
    <col min="13081" max="13081" width="10.85546875" style="600" bestFit="1" customWidth="1"/>
    <col min="13082" max="13083" width="9.140625" style="600"/>
    <col min="13084" max="13084" width="13.42578125" style="600" customWidth="1"/>
    <col min="13085" max="13085" width="14.7109375" style="600" customWidth="1"/>
    <col min="13086" max="13087" width="9.140625" style="600"/>
    <col min="13088" max="13088" width="15" style="600" customWidth="1"/>
    <col min="13089" max="13089" width="14.85546875" style="600" customWidth="1"/>
    <col min="13090" max="13090" width="12.85546875" style="600" customWidth="1"/>
    <col min="13091" max="13091" width="21.85546875" style="600" customWidth="1"/>
    <col min="13092" max="13325" width="9.140625" style="600"/>
    <col min="13326" max="13326" width="45" style="600" customWidth="1"/>
    <col min="13327" max="13327" width="17.28515625" style="600" customWidth="1"/>
    <col min="13328" max="13328" width="9.140625" style="600"/>
    <col min="13329" max="13336" width="0" style="600" hidden="1" customWidth="1"/>
    <col min="13337" max="13337" width="10.85546875" style="600" bestFit="1" customWidth="1"/>
    <col min="13338" max="13339" width="9.140625" style="600"/>
    <col min="13340" max="13340" width="13.42578125" style="600" customWidth="1"/>
    <col min="13341" max="13341" width="14.7109375" style="600" customWidth="1"/>
    <col min="13342" max="13343" width="9.140625" style="600"/>
    <col min="13344" max="13344" width="15" style="600" customWidth="1"/>
    <col min="13345" max="13345" width="14.85546875" style="600" customWidth="1"/>
    <col min="13346" max="13346" width="12.85546875" style="600" customWidth="1"/>
    <col min="13347" max="13347" width="21.85546875" style="600" customWidth="1"/>
    <col min="13348" max="13581" width="9.140625" style="600"/>
    <col min="13582" max="13582" width="45" style="600" customWidth="1"/>
    <col min="13583" max="13583" width="17.28515625" style="600" customWidth="1"/>
    <col min="13584" max="13584" width="9.140625" style="600"/>
    <col min="13585" max="13592" width="0" style="600" hidden="1" customWidth="1"/>
    <col min="13593" max="13593" width="10.85546875" style="600" bestFit="1" customWidth="1"/>
    <col min="13594" max="13595" width="9.140625" style="600"/>
    <col min="13596" max="13596" width="13.42578125" style="600" customWidth="1"/>
    <col min="13597" max="13597" width="14.7109375" style="600" customWidth="1"/>
    <col min="13598" max="13599" width="9.140625" style="600"/>
    <col min="13600" max="13600" width="15" style="600" customWidth="1"/>
    <col min="13601" max="13601" width="14.85546875" style="600" customWidth="1"/>
    <col min="13602" max="13602" width="12.85546875" style="600" customWidth="1"/>
    <col min="13603" max="13603" width="21.85546875" style="600" customWidth="1"/>
    <col min="13604" max="13837" width="9.140625" style="600"/>
    <col min="13838" max="13838" width="45" style="600" customWidth="1"/>
    <col min="13839" max="13839" width="17.28515625" style="600" customWidth="1"/>
    <col min="13840" max="13840" width="9.140625" style="600"/>
    <col min="13841" max="13848" width="0" style="600" hidden="1" customWidth="1"/>
    <col min="13849" max="13849" width="10.85546875" style="600" bestFit="1" customWidth="1"/>
    <col min="13850" max="13851" width="9.140625" style="600"/>
    <col min="13852" max="13852" width="13.42578125" style="600" customWidth="1"/>
    <col min="13853" max="13853" width="14.7109375" style="600" customWidth="1"/>
    <col min="13854" max="13855" width="9.140625" style="600"/>
    <col min="13856" max="13856" width="15" style="600" customWidth="1"/>
    <col min="13857" max="13857" width="14.85546875" style="600" customWidth="1"/>
    <col min="13858" max="13858" width="12.85546875" style="600" customWidth="1"/>
    <col min="13859" max="13859" width="21.85546875" style="600" customWidth="1"/>
    <col min="13860" max="14093" width="9.140625" style="600"/>
    <col min="14094" max="14094" width="45" style="600" customWidth="1"/>
    <col min="14095" max="14095" width="17.28515625" style="600" customWidth="1"/>
    <col min="14096" max="14096" width="9.140625" style="600"/>
    <col min="14097" max="14104" width="0" style="600" hidden="1" customWidth="1"/>
    <col min="14105" max="14105" width="10.85546875" style="600" bestFit="1" customWidth="1"/>
    <col min="14106" max="14107" width="9.140625" style="600"/>
    <col min="14108" max="14108" width="13.42578125" style="600" customWidth="1"/>
    <col min="14109" max="14109" width="14.7109375" style="600" customWidth="1"/>
    <col min="14110" max="14111" width="9.140625" style="600"/>
    <col min="14112" max="14112" width="15" style="600" customWidth="1"/>
    <col min="14113" max="14113" width="14.85546875" style="600" customWidth="1"/>
    <col min="14114" max="14114" width="12.85546875" style="600" customWidth="1"/>
    <col min="14115" max="14115" width="21.85546875" style="600" customWidth="1"/>
    <col min="14116" max="14349" width="9.140625" style="600"/>
    <col min="14350" max="14350" width="45" style="600" customWidth="1"/>
    <col min="14351" max="14351" width="17.28515625" style="600" customWidth="1"/>
    <col min="14352" max="14352" width="9.140625" style="600"/>
    <col min="14353" max="14360" width="0" style="600" hidden="1" customWidth="1"/>
    <col min="14361" max="14361" width="10.85546875" style="600" bestFit="1" customWidth="1"/>
    <col min="14362" max="14363" width="9.140625" style="600"/>
    <col min="14364" max="14364" width="13.42578125" style="600" customWidth="1"/>
    <col min="14365" max="14365" width="14.7109375" style="600" customWidth="1"/>
    <col min="14366" max="14367" width="9.140625" style="600"/>
    <col min="14368" max="14368" width="15" style="600" customWidth="1"/>
    <col min="14369" max="14369" width="14.85546875" style="600" customWidth="1"/>
    <col min="14370" max="14370" width="12.85546875" style="600" customWidth="1"/>
    <col min="14371" max="14371" width="21.85546875" style="600" customWidth="1"/>
    <col min="14372" max="14605" width="9.140625" style="600"/>
    <col min="14606" max="14606" width="45" style="600" customWidth="1"/>
    <col min="14607" max="14607" width="17.28515625" style="600" customWidth="1"/>
    <col min="14608" max="14608" width="9.140625" style="600"/>
    <col min="14609" max="14616" width="0" style="600" hidden="1" customWidth="1"/>
    <col min="14617" max="14617" width="10.85546875" style="600" bestFit="1" customWidth="1"/>
    <col min="14618" max="14619" width="9.140625" style="600"/>
    <col min="14620" max="14620" width="13.42578125" style="600" customWidth="1"/>
    <col min="14621" max="14621" width="14.7109375" style="600" customWidth="1"/>
    <col min="14622" max="14623" width="9.140625" style="600"/>
    <col min="14624" max="14624" width="15" style="600" customWidth="1"/>
    <col min="14625" max="14625" width="14.85546875" style="600" customWidth="1"/>
    <col min="14626" max="14626" width="12.85546875" style="600" customWidth="1"/>
    <col min="14627" max="14627" width="21.85546875" style="600" customWidth="1"/>
    <col min="14628" max="14861" width="9.140625" style="600"/>
    <col min="14862" max="14862" width="45" style="600" customWidth="1"/>
    <col min="14863" max="14863" width="17.28515625" style="600" customWidth="1"/>
    <col min="14864" max="14864" width="9.140625" style="600"/>
    <col min="14865" max="14872" width="0" style="600" hidden="1" customWidth="1"/>
    <col min="14873" max="14873" width="10.85546875" style="600" bestFit="1" customWidth="1"/>
    <col min="14874" max="14875" width="9.140625" style="600"/>
    <col min="14876" max="14876" width="13.42578125" style="600" customWidth="1"/>
    <col min="14877" max="14877" width="14.7109375" style="600" customWidth="1"/>
    <col min="14878" max="14879" width="9.140625" style="600"/>
    <col min="14880" max="14880" width="15" style="600" customWidth="1"/>
    <col min="14881" max="14881" width="14.85546875" style="600" customWidth="1"/>
    <col min="14882" max="14882" width="12.85546875" style="600" customWidth="1"/>
    <col min="14883" max="14883" width="21.85546875" style="600" customWidth="1"/>
    <col min="14884" max="15117" width="9.140625" style="600"/>
    <col min="15118" max="15118" width="45" style="600" customWidth="1"/>
    <col min="15119" max="15119" width="17.28515625" style="600" customWidth="1"/>
    <col min="15120" max="15120" width="9.140625" style="600"/>
    <col min="15121" max="15128" width="0" style="600" hidden="1" customWidth="1"/>
    <col min="15129" max="15129" width="10.85546875" style="600" bestFit="1" customWidth="1"/>
    <col min="15130" max="15131" width="9.140625" style="600"/>
    <col min="15132" max="15132" width="13.42578125" style="600" customWidth="1"/>
    <col min="15133" max="15133" width="14.7109375" style="600" customWidth="1"/>
    <col min="15134" max="15135" width="9.140625" style="600"/>
    <col min="15136" max="15136" width="15" style="600" customWidth="1"/>
    <col min="15137" max="15137" width="14.85546875" style="600" customWidth="1"/>
    <col min="15138" max="15138" width="12.85546875" style="600" customWidth="1"/>
    <col min="15139" max="15139" width="21.85546875" style="600" customWidth="1"/>
    <col min="15140" max="15373" width="9.140625" style="600"/>
    <col min="15374" max="15374" width="45" style="600" customWidth="1"/>
    <col min="15375" max="15375" width="17.28515625" style="600" customWidth="1"/>
    <col min="15376" max="15376" width="9.140625" style="600"/>
    <col min="15377" max="15384" width="0" style="600" hidden="1" customWidth="1"/>
    <col min="15385" max="15385" width="10.85546875" style="600" bestFit="1" customWidth="1"/>
    <col min="15386" max="15387" width="9.140625" style="600"/>
    <col min="15388" max="15388" width="13.42578125" style="600" customWidth="1"/>
    <col min="15389" max="15389" width="14.7109375" style="600" customWidth="1"/>
    <col min="15390" max="15391" width="9.140625" style="600"/>
    <col min="15392" max="15392" width="15" style="600" customWidth="1"/>
    <col min="15393" max="15393" width="14.85546875" style="600" customWidth="1"/>
    <col min="15394" max="15394" width="12.85546875" style="600" customWidth="1"/>
    <col min="15395" max="15395" width="21.85546875" style="600" customWidth="1"/>
    <col min="15396" max="15629" width="9.140625" style="600"/>
    <col min="15630" max="15630" width="45" style="600" customWidth="1"/>
    <col min="15631" max="15631" width="17.28515625" style="600" customWidth="1"/>
    <col min="15632" max="15632" width="9.140625" style="600"/>
    <col min="15633" max="15640" width="0" style="600" hidden="1" customWidth="1"/>
    <col min="15641" max="15641" width="10.85546875" style="600" bestFit="1" customWidth="1"/>
    <col min="15642" max="15643" width="9.140625" style="600"/>
    <col min="15644" max="15644" width="13.42578125" style="600" customWidth="1"/>
    <col min="15645" max="15645" width="14.7109375" style="600" customWidth="1"/>
    <col min="15646" max="15647" width="9.140625" style="600"/>
    <col min="15648" max="15648" width="15" style="600" customWidth="1"/>
    <col min="15649" max="15649" width="14.85546875" style="600" customWidth="1"/>
    <col min="15650" max="15650" width="12.85546875" style="600" customWidth="1"/>
    <col min="15651" max="15651" width="21.85546875" style="600" customWidth="1"/>
    <col min="15652" max="15885" width="9.140625" style="600"/>
    <col min="15886" max="15886" width="45" style="600" customWidth="1"/>
    <col min="15887" max="15887" width="17.28515625" style="600" customWidth="1"/>
    <col min="15888" max="15888" width="9.140625" style="600"/>
    <col min="15889" max="15896" width="0" style="600" hidden="1" customWidth="1"/>
    <col min="15897" max="15897" width="10.85546875" style="600" bestFit="1" customWidth="1"/>
    <col min="15898" max="15899" width="9.140625" style="600"/>
    <col min="15900" max="15900" width="13.42578125" style="600" customWidth="1"/>
    <col min="15901" max="15901" width="14.7109375" style="600" customWidth="1"/>
    <col min="15902" max="15903" width="9.140625" style="600"/>
    <col min="15904" max="15904" width="15" style="600" customWidth="1"/>
    <col min="15905" max="15905" width="14.85546875" style="600" customWidth="1"/>
    <col min="15906" max="15906" width="12.85546875" style="600" customWidth="1"/>
    <col min="15907" max="15907" width="21.85546875" style="600" customWidth="1"/>
    <col min="15908" max="16141" width="9.140625" style="600"/>
    <col min="16142" max="16142" width="45" style="600" customWidth="1"/>
    <col min="16143" max="16143" width="17.28515625" style="600" customWidth="1"/>
    <col min="16144" max="16144" width="9.140625" style="600"/>
    <col min="16145" max="16152" width="0" style="600" hidden="1" customWidth="1"/>
    <col min="16153" max="16153" width="10.85546875" style="600" bestFit="1" customWidth="1"/>
    <col min="16154" max="16155" width="9.140625" style="600"/>
    <col min="16156" max="16156" width="13.42578125" style="600" customWidth="1"/>
    <col min="16157" max="16157" width="14.7109375" style="600" customWidth="1"/>
    <col min="16158" max="16159" width="9.140625" style="600"/>
    <col min="16160" max="16160" width="15" style="600" customWidth="1"/>
    <col min="16161" max="16161" width="14.85546875" style="600" customWidth="1"/>
    <col min="16162" max="16162" width="12.85546875" style="600" customWidth="1"/>
    <col min="16163" max="16163" width="21.85546875" style="600" customWidth="1"/>
    <col min="16164" max="16384" width="9.140625" style="600"/>
  </cols>
  <sheetData>
    <row r="1" spans="2:87" ht="33.75">
      <c r="F1" s="601">
        <v>6300</v>
      </c>
      <c r="G1" s="601">
        <f>F1/1000-F80</f>
        <v>4.9999999999999822E-2</v>
      </c>
      <c r="U1" s="602" t="s">
        <v>2946</v>
      </c>
      <c r="V1" s="603"/>
      <c r="X1" s="602" t="s">
        <v>2947</v>
      </c>
      <c r="Y1" s="602" t="s">
        <v>2948</v>
      </c>
      <c r="Z1" s="604"/>
      <c r="AA1" s="604"/>
      <c r="AU1" s="600" t="s">
        <v>2565</v>
      </c>
      <c r="AV1" s="605">
        <v>63993.29</v>
      </c>
      <c r="AW1" s="606">
        <f>AV1/$AV$3</f>
        <v>0.49446213877298717</v>
      </c>
      <c r="BC1" s="76" t="s">
        <v>2938</v>
      </c>
      <c r="BD1" s="76" t="s">
        <v>2949</v>
      </c>
    </row>
    <row r="2" spans="2:87" ht="22.5">
      <c r="B2" s="609"/>
      <c r="C2" s="610"/>
      <c r="D2" s="610"/>
      <c r="E2" s="610"/>
      <c r="F2" s="611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2" t="s">
        <v>2950</v>
      </c>
      <c r="X2" s="602" t="s">
        <v>2951</v>
      </c>
      <c r="Y2" s="602" t="s">
        <v>2952</v>
      </c>
      <c r="Z2" s="604"/>
      <c r="AA2" s="604"/>
      <c r="AU2" s="600" t="s">
        <v>2569</v>
      </c>
      <c r="AV2" s="605">
        <v>65426.71</v>
      </c>
      <c r="AW2" s="606">
        <f>AV2/$AV$3</f>
        <v>0.50553786122701283</v>
      </c>
      <c r="BC2" s="76" t="s">
        <v>2953</v>
      </c>
      <c r="BD2" s="76" t="s">
        <v>2954</v>
      </c>
    </row>
    <row r="3" spans="2:87">
      <c r="B3" s="3241" t="s">
        <v>2955</v>
      </c>
      <c r="C3" s="3241"/>
      <c r="D3" s="3241"/>
      <c r="E3" s="3241"/>
      <c r="F3" s="3241"/>
      <c r="G3" s="3241"/>
      <c r="H3" s="3241"/>
      <c r="I3" s="3241"/>
      <c r="J3" s="3241"/>
      <c r="K3" s="3241"/>
      <c r="L3" s="3241"/>
      <c r="M3" s="3241"/>
      <c r="N3" s="3241"/>
      <c r="O3" s="3241"/>
      <c r="P3" s="3241"/>
      <c r="Q3" s="3241"/>
      <c r="R3" s="3241"/>
      <c r="S3" s="609"/>
      <c r="T3" s="609"/>
      <c r="U3" s="609"/>
      <c r="V3" s="609"/>
      <c r="W3" s="609"/>
      <c r="AB3" s="600">
        <v>1000</v>
      </c>
      <c r="AU3" s="612" t="e">
        <f>#REF!+P64</f>
        <v>#REF!</v>
      </c>
      <c r="AV3" s="613">
        <f>SUM(AV1:AV2)</f>
        <v>129420</v>
      </c>
      <c r="AW3" s="606">
        <f>AV3/$AV$3</f>
        <v>1</v>
      </c>
      <c r="BC3" s="76" t="s">
        <v>2956</v>
      </c>
      <c r="BD3" s="76" t="s">
        <v>2957</v>
      </c>
    </row>
    <row r="4" spans="2:87">
      <c r="B4" s="609"/>
      <c r="C4" s="610"/>
      <c r="D4" s="610"/>
      <c r="E4" s="610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BC4" s="76" t="s">
        <v>2958</v>
      </c>
      <c r="BD4" s="76" t="s">
        <v>2950</v>
      </c>
    </row>
    <row r="5" spans="2:87" ht="38.25">
      <c r="B5" s="3219" t="s">
        <v>2521</v>
      </c>
      <c r="C5" s="3242" t="s">
        <v>2522</v>
      </c>
      <c r="D5" s="3235" t="s">
        <v>2523</v>
      </c>
      <c r="E5" s="3235" t="s">
        <v>2524</v>
      </c>
      <c r="F5" s="3245" t="s">
        <v>2525</v>
      </c>
      <c r="G5" s="3246"/>
      <c r="H5" s="3219" t="s">
        <v>2526</v>
      </c>
      <c r="I5" s="3219" t="s">
        <v>2527</v>
      </c>
      <c r="J5" s="3219" t="s">
        <v>2528</v>
      </c>
      <c r="K5" s="3247" t="s">
        <v>2529</v>
      </c>
      <c r="L5" s="3248"/>
      <c r="M5" s="3219" t="s">
        <v>2530</v>
      </c>
      <c r="N5" s="3219" t="s">
        <v>2531</v>
      </c>
      <c r="O5" s="3219" t="s">
        <v>2532</v>
      </c>
      <c r="P5" s="1251" t="s">
        <v>2533</v>
      </c>
      <c r="Q5" s="3219" t="s">
        <v>2534</v>
      </c>
      <c r="R5" s="3219" t="s">
        <v>2535</v>
      </c>
      <c r="S5" s="3219" t="s">
        <v>1</v>
      </c>
      <c r="T5" s="3235" t="s">
        <v>2536</v>
      </c>
      <c r="U5" s="1252" t="s">
        <v>2959</v>
      </c>
      <c r="V5" s="614"/>
      <c r="W5" s="615" t="s">
        <v>2960</v>
      </c>
      <c r="X5" s="3237" t="s">
        <v>2537</v>
      </c>
      <c r="Y5" s="3237"/>
      <c r="Z5" s="581"/>
      <c r="AA5" s="581"/>
      <c r="AB5" s="3238" t="s">
        <v>2961</v>
      </c>
      <c r="AC5" s="3238"/>
      <c r="AD5" s="3238"/>
      <c r="AE5" s="3238"/>
      <c r="AF5" s="3239" t="s">
        <v>2539</v>
      </c>
      <c r="AG5" s="3239" t="s">
        <v>2540</v>
      </c>
      <c r="AH5" s="3231" t="s">
        <v>2541</v>
      </c>
      <c r="AI5" s="3232"/>
      <c r="AJ5" s="3232"/>
      <c r="AK5" s="3233"/>
      <c r="AN5" s="3234" t="s">
        <v>2548</v>
      </c>
      <c r="AO5" s="1253" t="s">
        <v>2549</v>
      </c>
      <c r="AP5" s="3234" t="s">
        <v>2550</v>
      </c>
      <c r="AR5" s="3226" t="s">
        <v>2542</v>
      </c>
      <c r="AS5" s="3226" t="s">
        <v>2543</v>
      </c>
      <c r="AT5" s="3227" t="s">
        <v>2544</v>
      </c>
      <c r="AU5" s="3219" t="s">
        <v>2545</v>
      </c>
    </row>
    <row r="6" spans="2:87" ht="12.75" customHeight="1">
      <c r="B6" s="3220"/>
      <c r="C6" s="3243"/>
      <c r="D6" s="3244"/>
      <c r="E6" s="3244"/>
      <c r="F6" s="1251" t="s">
        <v>2551</v>
      </c>
      <c r="G6" s="1251" t="s">
        <v>2552</v>
      </c>
      <c r="H6" s="3220"/>
      <c r="I6" s="3220"/>
      <c r="J6" s="3220"/>
      <c r="K6" s="1254" t="s">
        <v>2553</v>
      </c>
      <c r="L6" s="1254" t="s">
        <v>2554</v>
      </c>
      <c r="M6" s="3220"/>
      <c r="N6" s="3220"/>
      <c r="O6" s="3220"/>
      <c r="P6" s="1251" t="s">
        <v>2555</v>
      </c>
      <c r="Q6" s="3220"/>
      <c r="R6" s="3220"/>
      <c r="S6" s="3220"/>
      <c r="T6" s="3236"/>
      <c r="U6" s="616"/>
      <c r="V6" s="616"/>
      <c r="W6" s="616"/>
      <c r="X6" s="3237"/>
      <c r="Y6" s="3237"/>
      <c r="Z6" s="581"/>
      <c r="AA6" s="581"/>
      <c r="AB6" s="1255" t="s">
        <v>2556</v>
      </c>
      <c r="AC6" s="1255" t="s">
        <v>2557</v>
      </c>
      <c r="AD6" s="1255" t="s">
        <v>2558</v>
      </c>
      <c r="AE6" s="1255" t="s">
        <v>2559</v>
      </c>
      <c r="AF6" s="3240"/>
      <c r="AG6" s="3240"/>
      <c r="AH6" s="1255" t="s">
        <v>2556</v>
      </c>
      <c r="AI6" s="1255" t="s">
        <v>2557</v>
      </c>
      <c r="AJ6" s="1255" t="s">
        <v>2558</v>
      </c>
      <c r="AK6" s="1255" t="s">
        <v>2559</v>
      </c>
      <c r="AN6" s="3234"/>
      <c r="AO6" s="1256" t="e">
        <f>#REF!</f>
        <v>#REF!</v>
      </c>
      <c r="AP6" s="3234"/>
      <c r="AR6" s="3226"/>
      <c r="AS6" s="3226"/>
      <c r="AT6" s="3227"/>
      <c r="AU6" s="3220"/>
    </row>
    <row r="7" spans="2:87">
      <c r="B7" s="1257">
        <v>1</v>
      </c>
      <c r="C7" s="1258">
        <v>2</v>
      </c>
      <c r="D7" s="1258"/>
      <c r="E7" s="1258"/>
      <c r="F7" s="1257">
        <v>3</v>
      </c>
      <c r="G7" s="1257">
        <v>4</v>
      </c>
      <c r="H7" s="1257">
        <v>5</v>
      </c>
      <c r="I7" s="1257">
        <v>6</v>
      </c>
      <c r="J7" s="1257">
        <v>7</v>
      </c>
      <c r="K7" s="1257">
        <v>8</v>
      </c>
      <c r="L7" s="1257"/>
      <c r="M7" s="1257">
        <v>9</v>
      </c>
      <c r="N7" s="609">
        <v>10</v>
      </c>
      <c r="O7" s="1257">
        <v>11</v>
      </c>
      <c r="P7" s="1257">
        <v>5</v>
      </c>
      <c r="Q7" s="1257">
        <v>6</v>
      </c>
      <c r="R7" s="1257">
        <v>7</v>
      </c>
      <c r="S7" s="1259">
        <v>8</v>
      </c>
      <c r="T7" s="1260">
        <v>9</v>
      </c>
      <c r="U7" s="616"/>
      <c r="V7" s="616"/>
      <c r="W7" s="616"/>
      <c r="AR7" s="617"/>
      <c r="AS7" s="617"/>
      <c r="AT7" s="617"/>
    </row>
    <row r="8" spans="2:87" ht="18.75">
      <c r="B8" s="1261" t="s">
        <v>3</v>
      </c>
      <c r="C8" s="3221" t="s">
        <v>2560</v>
      </c>
      <c r="D8" s="3222"/>
      <c r="E8" s="3222"/>
      <c r="F8" s="3222"/>
      <c r="G8" s="3222"/>
      <c r="H8" s="3222"/>
      <c r="I8" s="3222"/>
      <c r="J8" s="3222"/>
      <c r="K8" s="3222"/>
      <c r="L8" s="3222"/>
      <c r="M8" s="3222"/>
      <c r="N8" s="3222"/>
      <c r="O8" s="3222"/>
      <c r="P8" s="3222"/>
      <c r="Q8" s="3222"/>
      <c r="R8" s="3222"/>
      <c r="S8" s="3222"/>
      <c r="T8" s="3223"/>
      <c r="U8" s="618"/>
      <c r="V8" s="618"/>
      <c r="W8" s="618"/>
      <c r="AB8" s="1262"/>
      <c r="AC8" s="619"/>
      <c r="AD8" s="1263"/>
      <c r="AE8" s="1264"/>
      <c r="AF8" s="1264"/>
      <c r="AG8" s="1262"/>
      <c r="AH8" s="1262"/>
      <c r="AI8" s="619"/>
      <c r="AJ8" s="1263"/>
      <c r="AK8" s="1264"/>
    </row>
    <row r="9" spans="2:87" ht="18.75">
      <c r="B9" s="1265" t="s">
        <v>4</v>
      </c>
      <c r="C9" s="1266" t="s">
        <v>2561</v>
      </c>
      <c r="D9" s="1267"/>
      <c r="E9" s="1267"/>
      <c r="F9" s="1268">
        <f>SUM(F10,F28)</f>
        <v>6.25</v>
      </c>
      <c r="G9" s="1269">
        <f t="shared" ref="G9:P9" si="0">SUM(G10,G28)</f>
        <v>389.27</v>
      </c>
      <c r="H9" s="1269">
        <f t="shared" si="0"/>
        <v>52.933999999999997</v>
      </c>
      <c r="I9" s="1269">
        <f t="shared" si="0"/>
        <v>0</v>
      </c>
      <c r="J9" s="1269">
        <f t="shared" si="0"/>
        <v>0</v>
      </c>
      <c r="K9" s="1269">
        <f t="shared" si="0"/>
        <v>534.69421000000011</v>
      </c>
      <c r="L9" s="1269">
        <f t="shared" si="0"/>
        <v>0</v>
      </c>
      <c r="M9" s="1269">
        <f t="shared" si="0"/>
        <v>0</v>
      </c>
      <c r="N9" s="1269">
        <f t="shared" si="0"/>
        <v>0</v>
      </c>
      <c r="O9" s="1269">
        <f t="shared" si="0"/>
        <v>2294.2977200000005</v>
      </c>
      <c r="P9" s="1269">
        <f t="shared" si="0"/>
        <v>2948617.03</v>
      </c>
      <c r="Q9" s="1267"/>
      <c r="R9" s="1267"/>
      <c r="S9" s="1267"/>
      <c r="T9" s="1270"/>
      <c r="U9" s="620"/>
      <c r="V9" s="620"/>
      <c r="W9" s="620"/>
      <c r="AB9" s="621"/>
      <c r="AC9" s="622"/>
      <c r="AD9" s="623"/>
      <c r="AE9" s="624"/>
      <c r="AF9" s="624"/>
      <c r="AG9" s="621"/>
      <c r="AH9" s="621"/>
      <c r="AI9" s="622"/>
      <c r="AJ9" s="623"/>
      <c r="AK9" s="624"/>
      <c r="BC9" s="625" t="str">
        <f>C9</f>
        <v>ВЛ-0,4 до 15 кВт (льгота)</v>
      </c>
      <c r="BD9" s="76"/>
    </row>
    <row r="10" spans="2:87" s="120" customFormat="1" ht="15.75" customHeight="1">
      <c r="B10" s="1141" t="s">
        <v>2562</v>
      </c>
      <c r="C10" s="1142" t="str">
        <f>"Всего по "&amp;T10&amp;" ("&amp;$C$9&amp;"):"</f>
        <v>Всего по Г.Н.П. (ВЛ-0,4 до 15 кВт (льгота)):</v>
      </c>
      <c r="D10" s="1143"/>
      <c r="E10" s="1143"/>
      <c r="F10" s="1144">
        <f>SUM(F11,F25)</f>
        <v>1.55</v>
      </c>
      <c r="G10" s="1145">
        <f t="shared" ref="G10:P10" si="1">SUM(G11,G25)</f>
        <v>96.4</v>
      </c>
      <c r="H10" s="1145">
        <f t="shared" si="1"/>
        <v>0</v>
      </c>
      <c r="I10" s="1145">
        <f t="shared" si="1"/>
        <v>0</v>
      </c>
      <c r="J10" s="1145">
        <f t="shared" si="1"/>
        <v>0</v>
      </c>
      <c r="K10" s="1145">
        <f t="shared" si="1"/>
        <v>108.50393</v>
      </c>
      <c r="L10" s="1145">
        <f t="shared" si="1"/>
        <v>0</v>
      </c>
      <c r="M10" s="1145">
        <f t="shared" si="1"/>
        <v>0</v>
      </c>
      <c r="N10" s="1145">
        <f t="shared" si="1"/>
        <v>0</v>
      </c>
      <c r="O10" s="1145">
        <f t="shared" si="1"/>
        <v>519.38659000000007</v>
      </c>
      <c r="P10" s="1145">
        <f t="shared" si="1"/>
        <v>627890.52</v>
      </c>
      <c r="Q10" s="1146"/>
      <c r="R10" s="1146"/>
      <c r="S10" s="1146"/>
      <c r="T10" s="1146" t="s">
        <v>2956</v>
      </c>
      <c r="U10" s="128"/>
      <c r="V10" s="129"/>
      <c r="W10" s="630"/>
      <c r="X10" s="631"/>
      <c r="Y10" s="632"/>
      <c r="Z10" s="633"/>
      <c r="AA10" s="128"/>
      <c r="AB10" s="634"/>
      <c r="AC10" s="635"/>
      <c r="AD10" s="636"/>
      <c r="AE10" s="637"/>
      <c r="AF10" s="638"/>
      <c r="AG10" s="639"/>
      <c r="AH10" s="640"/>
      <c r="AI10" s="641"/>
      <c r="AJ10" s="642"/>
      <c r="AK10" s="638"/>
      <c r="AN10" s="643"/>
      <c r="AT10" s="126"/>
      <c r="AU10" s="644"/>
      <c r="BE10" s="645"/>
      <c r="BF10" s="645"/>
      <c r="BG10" s="645"/>
      <c r="BH10" s="645"/>
      <c r="BI10" s="645"/>
      <c r="BJ10" s="645"/>
      <c r="BK10" s="645"/>
      <c r="BL10" s="645"/>
      <c r="BM10" s="645"/>
      <c r="BN10" s="645"/>
      <c r="BO10" s="645"/>
      <c r="BP10" s="645"/>
      <c r="BQ10" s="645"/>
      <c r="BR10" s="645"/>
      <c r="BS10" s="645"/>
      <c r="BT10" s="645"/>
      <c r="BU10" s="645"/>
      <c r="BV10" s="645"/>
      <c r="BW10" s="645"/>
      <c r="BX10" s="645"/>
      <c r="BY10" s="645"/>
      <c r="BZ10" s="646"/>
      <c r="CA10" s="646"/>
      <c r="CB10" s="646"/>
      <c r="CC10" s="646"/>
      <c r="CD10" s="646"/>
      <c r="CE10" s="646"/>
      <c r="CF10" s="646"/>
      <c r="CG10" s="646"/>
      <c r="CH10" s="646"/>
      <c r="CI10" s="646"/>
    </row>
    <row r="11" spans="2:87" s="120" customFormat="1" ht="30">
      <c r="B11" s="1147" t="s">
        <v>2563</v>
      </c>
      <c r="C11" s="1148" t="str">
        <f>"Всего по "&amp;T10&amp;" "&amp;T11&amp;" ("&amp;$C$9&amp;"):"</f>
        <v>Всего по Г.Н.П. Изолир. алюм. до 50 мм (ВЛ-0,4 до 15 кВт (льгота)):</v>
      </c>
      <c r="D11" s="1148"/>
      <c r="E11" s="1148"/>
      <c r="F11" s="1149">
        <f t="shared" ref="F11:P11" si="2">SUM(F12:F24)</f>
        <v>1.55</v>
      </c>
      <c r="G11" s="1150">
        <f t="shared" si="2"/>
        <v>96.4</v>
      </c>
      <c r="H11" s="1150">
        <f t="shared" si="2"/>
        <v>0</v>
      </c>
      <c r="I11" s="1150">
        <f t="shared" si="2"/>
        <v>0</v>
      </c>
      <c r="J11" s="1150">
        <f t="shared" si="2"/>
        <v>0</v>
      </c>
      <c r="K11" s="1150">
        <f t="shared" si="2"/>
        <v>108.50393</v>
      </c>
      <c r="L11" s="1150">
        <f t="shared" si="2"/>
        <v>0</v>
      </c>
      <c r="M11" s="1150">
        <f t="shared" si="2"/>
        <v>0</v>
      </c>
      <c r="N11" s="1150">
        <f t="shared" si="2"/>
        <v>0</v>
      </c>
      <c r="O11" s="1150">
        <f t="shared" si="2"/>
        <v>519.38659000000007</v>
      </c>
      <c r="P11" s="1150">
        <f t="shared" si="2"/>
        <v>627890.52</v>
      </c>
      <c r="Q11" s="1151"/>
      <c r="R11" s="1151"/>
      <c r="S11" s="1151"/>
      <c r="T11" s="1151" t="s">
        <v>2962</v>
      </c>
      <c r="U11" s="128"/>
      <c r="V11" s="129"/>
      <c r="W11" s="630"/>
      <c r="X11" s="631"/>
      <c r="Y11" s="632"/>
      <c r="Z11" s="633"/>
      <c r="AA11" s="128"/>
      <c r="AB11" s="634"/>
      <c r="AC11" s="635"/>
      <c r="AD11" s="636"/>
      <c r="AE11" s="637"/>
      <c r="AF11" s="638"/>
      <c r="AG11" s="639"/>
      <c r="AH11" s="640"/>
      <c r="AI11" s="641"/>
      <c r="AJ11" s="642"/>
      <c r="AK11" s="638"/>
      <c r="AN11" s="643"/>
      <c r="AT11" s="126"/>
      <c r="AU11" s="644"/>
      <c r="BC11" s="120" t="str">
        <f>[24]Прил.1!$F$13</f>
        <v>до 50 вкл.</v>
      </c>
      <c r="BD11" s="368" t="str">
        <f>CONCATENATE($BC$1,"; ",$BC$3,"; ",$BD$1,"; ",$BD$3,"; ",BC11)</f>
        <v>0,4 кВ; Г.Н.П.; изолированный; алюминевый; до 50 вкл.</v>
      </c>
      <c r="BE11" s="645"/>
      <c r="BF11" s="645"/>
      <c r="BG11" s="645"/>
      <c r="BH11" s="645"/>
      <c r="BI11" s="645"/>
      <c r="BJ11" s="645"/>
      <c r="BK11" s="645"/>
      <c r="BL11" s="645"/>
      <c r="BM11" s="645"/>
      <c r="BN11" s="645"/>
      <c r="BO11" s="645"/>
      <c r="BP11" s="645"/>
      <c r="BQ11" s="645"/>
      <c r="BR11" s="645"/>
      <c r="BS11" s="645"/>
      <c r="BT11" s="645"/>
      <c r="BU11" s="645"/>
      <c r="BV11" s="645"/>
      <c r="BW11" s="645"/>
      <c r="BX11" s="645"/>
      <c r="BY11" s="645"/>
      <c r="BZ11" s="646"/>
      <c r="CA11" s="646"/>
      <c r="CB11" s="646"/>
      <c r="CC11" s="646"/>
      <c r="CD11" s="646"/>
      <c r="CE11" s="646"/>
      <c r="CF11" s="646"/>
      <c r="CG11" s="646"/>
      <c r="CH11" s="646"/>
      <c r="CI11" s="646"/>
    </row>
    <row r="12" spans="2:87" ht="22.5" outlineLevel="1">
      <c r="B12" s="647">
        <v>1</v>
      </c>
      <c r="C12" s="648" t="s">
        <v>2963</v>
      </c>
      <c r="D12" s="649" t="str">
        <f t="shared" ref="D12:D23" si="3">IF(AF12=0,"",AF12)</f>
        <v>1кв 2015</v>
      </c>
      <c r="E12" s="650">
        <v>0.4</v>
      </c>
      <c r="F12" s="651">
        <v>0.04</v>
      </c>
      <c r="G12" s="652">
        <v>5</v>
      </c>
      <c r="H12" s="653"/>
      <c r="I12" s="653"/>
      <c r="J12" s="653"/>
      <c r="K12" s="653">
        <f>4339.02/1000</f>
        <v>4.3390200000000005</v>
      </c>
      <c r="L12" s="653"/>
      <c r="M12" s="653"/>
      <c r="N12" s="653"/>
      <c r="O12" s="653">
        <f>10043.48/1000</f>
        <v>10.043479999999999</v>
      </c>
      <c r="P12" s="654">
        <v>14382.5</v>
      </c>
      <c r="Q12" s="655"/>
      <c r="R12" s="656" t="s">
        <v>2564</v>
      </c>
      <c r="S12" s="657" t="s">
        <v>2964</v>
      </c>
      <c r="T12" s="658" t="s">
        <v>2565</v>
      </c>
      <c r="U12" s="602" t="s">
        <v>2946</v>
      </c>
      <c r="V12" s="602"/>
      <c r="W12" s="602" t="s">
        <v>2965</v>
      </c>
      <c r="X12" s="602" t="s">
        <v>2951</v>
      </c>
      <c r="Y12" s="582" t="str">
        <f t="shared" ref="Y12:Y23" si="4">IF(X12="","",$C$9)</f>
        <v>ВЛ-0,4 до 15 кВт (льгота)</v>
      </c>
      <c r="Z12" s="582" t="e">
        <f>IF(X12="","",CONCATENATE(Y12,"-",X12,"; ",#REF!))</f>
        <v>#REF!</v>
      </c>
      <c r="AA12" s="582"/>
      <c r="AB12" s="659">
        <f>O12*1000</f>
        <v>10043.48</v>
      </c>
      <c r="AC12" s="660">
        <f>(I12+H12)*1000</f>
        <v>0</v>
      </c>
      <c r="AD12" s="661">
        <f>K12*1000</f>
        <v>4339.0200000000004</v>
      </c>
      <c r="AE12" s="662">
        <f t="shared" ref="AE12:AE23" si="5">AB12+AC12+AD12</f>
        <v>14382.5</v>
      </c>
      <c r="AF12" s="662" t="s">
        <v>2966</v>
      </c>
      <c r="AG12" s="663">
        <f t="shared" ref="AG12:AG23" si="6">IF($AF12="1кв 2015",3.67,IF($AF12="2кв 2015",3.67,IF($AF12="3кв 2015",3.8,IF($AF12="4кв 2015",3.87,"не совпадает"))))</f>
        <v>3.67</v>
      </c>
      <c r="AH12" s="664">
        <f t="shared" ref="AH12:AJ23" si="7">IF(ISERROR(AB12/$AG12),"",AB12/$AG12)</f>
        <v>2736.6430517711169</v>
      </c>
      <c r="AI12" s="665">
        <f t="shared" si="7"/>
        <v>0</v>
      </c>
      <c r="AJ12" s="666">
        <f t="shared" si="7"/>
        <v>1182.2942779291554</v>
      </c>
      <c r="AK12" s="667">
        <f t="shared" ref="AK12:AK23" si="8">SUM(AH12,AI12,AJ12)</f>
        <v>3918.9373297002721</v>
      </c>
      <c r="AS12" s="600">
        <v>1</v>
      </c>
      <c r="AT12" s="600">
        <v>9</v>
      </c>
      <c r="AZ12" s="600">
        <f t="shared" ref="AZ12:AZ23" si="9">IF(B12="","",IF(P12=SUM(H12,I12,K12,O12),"ИСТИНА",P12-SUM(H12,I12,K12,O12)))</f>
        <v>14368.1175</v>
      </c>
      <c r="BA12" s="668" t="s">
        <v>2967</v>
      </c>
    </row>
    <row r="13" spans="2:87" ht="33.75" outlineLevel="1">
      <c r="B13" s="647">
        <f>B12+1</f>
        <v>2</v>
      </c>
      <c r="C13" s="648" t="s">
        <v>2968</v>
      </c>
      <c r="D13" s="649" t="str">
        <f t="shared" si="3"/>
        <v>2кв 2015</v>
      </c>
      <c r="E13" s="650">
        <v>0.4</v>
      </c>
      <c r="F13" s="651">
        <v>0.09</v>
      </c>
      <c r="G13" s="652">
        <v>5</v>
      </c>
      <c r="H13" s="653"/>
      <c r="I13" s="653">
        <f>AC13/1000</f>
        <v>0</v>
      </c>
      <c r="J13" s="653"/>
      <c r="K13" s="653">
        <f>AD13/1000</f>
        <v>13.73329</v>
      </c>
      <c r="L13" s="653"/>
      <c r="M13" s="653"/>
      <c r="N13" s="653"/>
      <c r="O13" s="653">
        <f>AB13/1000</f>
        <v>20.108830000000001</v>
      </c>
      <c r="P13" s="654">
        <v>33842.120000000003</v>
      </c>
      <c r="Q13" s="655"/>
      <c r="R13" s="656" t="s">
        <v>2564</v>
      </c>
      <c r="S13" s="657" t="s">
        <v>2969</v>
      </c>
      <c r="T13" s="658" t="s">
        <v>2565</v>
      </c>
      <c r="U13" s="602" t="s">
        <v>2946</v>
      </c>
      <c r="V13" s="602"/>
      <c r="W13" s="602" t="s">
        <v>2965</v>
      </c>
      <c r="X13" s="602" t="s">
        <v>2951</v>
      </c>
      <c r="Y13" s="582" t="str">
        <f t="shared" si="4"/>
        <v>ВЛ-0,4 до 15 кВт (льгота)</v>
      </c>
      <c r="Z13" s="582" t="e">
        <f>IF(X13="","",CONCATENATE(Y13,"-",X13,"; ",#REF!))</f>
        <v>#REF!</v>
      </c>
      <c r="AA13" s="582"/>
      <c r="AB13" s="669">
        <f>20108.83</f>
        <v>20108.830000000002</v>
      </c>
      <c r="AC13" s="670">
        <v>0</v>
      </c>
      <c r="AD13" s="671">
        <f>13733.29</f>
        <v>13733.29</v>
      </c>
      <c r="AE13" s="672">
        <f t="shared" si="5"/>
        <v>33842.120000000003</v>
      </c>
      <c r="AF13" s="662" t="s">
        <v>2970</v>
      </c>
      <c r="AG13" s="663">
        <f t="shared" si="6"/>
        <v>3.67</v>
      </c>
      <c r="AH13" s="664">
        <f t="shared" si="7"/>
        <v>5479.2452316076296</v>
      </c>
      <c r="AI13" s="665">
        <f t="shared" si="7"/>
        <v>0</v>
      </c>
      <c r="AJ13" s="666">
        <f t="shared" si="7"/>
        <v>3742.0408719346051</v>
      </c>
      <c r="AK13" s="667">
        <f t="shared" si="8"/>
        <v>9221.2861035422357</v>
      </c>
      <c r="AS13" s="600">
        <v>1</v>
      </c>
      <c r="AT13" s="600" t="s">
        <v>2971</v>
      </c>
      <c r="AZ13" s="600">
        <f t="shared" si="9"/>
        <v>33808.277880000001</v>
      </c>
      <c r="BA13" s="673" t="s">
        <v>2972</v>
      </c>
    </row>
    <row r="14" spans="2:87" ht="33.75" outlineLevel="1">
      <c r="B14" s="647">
        <f t="shared" ref="B14:B23" si="10">B13+1</f>
        <v>3</v>
      </c>
      <c r="C14" s="648" t="s">
        <v>2973</v>
      </c>
      <c r="D14" s="649" t="str">
        <f t="shared" si="3"/>
        <v>2кв 2015</v>
      </c>
      <c r="E14" s="650">
        <v>0.4</v>
      </c>
      <c r="F14" s="651">
        <v>0.03</v>
      </c>
      <c r="G14" s="652">
        <v>5</v>
      </c>
      <c r="H14" s="653"/>
      <c r="I14" s="653">
        <f>AC14/1000</f>
        <v>0</v>
      </c>
      <c r="J14" s="653"/>
      <c r="K14" s="653">
        <f>AD14/1000</f>
        <v>0.4501</v>
      </c>
      <c r="L14" s="653"/>
      <c r="M14" s="653"/>
      <c r="N14" s="653"/>
      <c r="O14" s="653">
        <f>AB14/1000</f>
        <v>9.6557499999999994</v>
      </c>
      <c r="P14" s="654">
        <v>10105.85</v>
      </c>
      <c r="Q14" s="655"/>
      <c r="R14" s="656" t="s">
        <v>2564</v>
      </c>
      <c r="S14" s="657" t="s">
        <v>2974</v>
      </c>
      <c r="T14" s="658" t="s">
        <v>2565</v>
      </c>
      <c r="U14" s="602" t="s">
        <v>2946</v>
      </c>
      <c r="V14" s="602"/>
      <c r="W14" s="602" t="s">
        <v>2965</v>
      </c>
      <c r="X14" s="602" t="s">
        <v>2951</v>
      </c>
      <c r="Y14" s="582" t="str">
        <f t="shared" si="4"/>
        <v>ВЛ-0,4 до 15 кВт (льгота)</v>
      </c>
      <c r="Z14" s="582" t="e">
        <f>IF(X14="","",CONCATENATE(Y14,"-",X14,"; ",#REF!))</f>
        <v>#REF!</v>
      </c>
      <c r="AA14" s="582"/>
      <c r="AB14" s="669">
        <v>9655.75</v>
      </c>
      <c r="AC14" s="670">
        <v>0</v>
      </c>
      <c r="AD14" s="671">
        <v>450.1</v>
      </c>
      <c r="AE14" s="672">
        <f t="shared" si="5"/>
        <v>10105.85</v>
      </c>
      <c r="AF14" s="662" t="s">
        <v>2970</v>
      </c>
      <c r="AG14" s="663">
        <f t="shared" si="6"/>
        <v>3.67</v>
      </c>
      <c r="AH14" s="664">
        <f t="shared" si="7"/>
        <v>2630.9945504087195</v>
      </c>
      <c r="AI14" s="665">
        <f t="shared" si="7"/>
        <v>0</v>
      </c>
      <c r="AJ14" s="666">
        <f t="shared" si="7"/>
        <v>122.64305177111717</v>
      </c>
      <c r="AK14" s="667">
        <f t="shared" si="8"/>
        <v>2753.6376021798369</v>
      </c>
      <c r="AS14" s="600">
        <v>1</v>
      </c>
      <c r="AT14" s="600">
        <v>28</v>
      </c>
      <c r="AZ14" s="600">
        <f t="shared" si="9"/>
        <v>10095.74415</v>
      </c>
      <c r="BA14" s="603" t="s">
        <v>2975</v>
      </c>
    </row>
    <row r="15" spans="2:87" ht="45" outlineLevel="1">
      <c r="B15" s="647">
        <f t="shared" si="10"/>
        <v>4</v>
      </c>
      <c r="C15" s="648" t="s">
        <v>2976</v>
      </c>
      <c r="D15" s="649" t="str">
        <f t="shared" si="3"/>
        <v>2кв 2015</v>
      </c>
      <c r="E15" s="650">
        <v>0.4</v>
      </c>
      <c r="F15" s="651">
        <v>0.1</v>
      </c>
      <c r="G15" s="652">
        <f>10+5+5</f>
        <v>20</v>
      </c>
      <c r="H15" s="653"/>
      <c r="I15" s="653">
        <f>AC15/1000</f>
        <v>0</v>
      </c>
      <c r="J15" s="653"/>
      <c r="K15" s="653">
        <f>AD15/1000</f>
        <v>12.81052</v>
      </c>
      <c r="L15" s="653"/>
      <c r="M15" s="653"/>
      <c r="N15" s="653"/>
      <c r="O15" s="653">
        <f>AB15/1000</f>
        <v>35.712089999999996</v>
      </c>
      <c r="P15" s="654">
        <v>48522.61</v>
      </c>
      <c r="Q15" s="655"/>
      <c r="R15" s="656" t="s">
        <v>2564</v>
      </c>
      <c r="S15" s="657" t="s">
        <v>2977</v>
      </c>
      <c r="T15" s="658" t="s">
        <v>2565</v>
      </c>
      <c r="U15" s="602" t="s">
        <v>2946</v>
      </c>
      <c r="V15" s="602"/>
      <c r="W15" s="602" t="s">
        <v>2965</v>
      </c>
      <c r="X15" s="602" t="s">
        <v>2951</v>
      </c>
      <c r="Y15" s="582" t="str">
        <f t="shared" si="4"/>
        <v>ВЛ-0,4 до 15 кВт (льгота)</v>
      </c>
      <c r="Z15" s="582" t="e">
        <f>IF(X15="","",CONCATENATE(Y15,"-",X15,"; ",#REF!))</f>
        <v>#REF!</v>
      </c>
      <c r="AA15" s="582"/>
      <c r="AB15" s="669">
        <v>35712.089999999997</v>
      </c>
      <c r="AC15" s="670">
        <v>0</v>
      </c>
      <c r="AD15" s="671">
        <v>12810.52</v>
      </c>
      <c r="AE15" s="672">
        <f t="shared" si="5"/>
        <v>48522.61</v>
      </c>
      <c r="AF15" s="662" t="s">
        <v>2970</v>
      </c>
      <c r="AG15" s="663">
        <f t="shared" si="6"/>
        <v>3.67</v>
      </c>
      <c r="AH15" s="664">
        <f t="shared" si="7"/>
        <v>9730.8147138964578</v>
      </c>
      <c r="AI15" s="665">
        <f t="shared" si="7"/>
        <v>0</v>
      </c>
      <c r="AJ15" s="666">
        <f t="shared" si="7"/>
        <v>3490.6049046321527</v>
      </c>
      <c r="AK15" s="667">
        <f t="shared" si="8"/>
        <v>13221.419618528611</v>
      </c>
      <c r="AS15" s="600">
        <v>1</v>
      </c>
      <c r="AT15" s="600">
        <v>35</v>
      </c>
      <c r="AZ15" s="600">
        <f t="shared" si="9"/>
        <v>48474.087390000001</v>
      </c>
      <c r="BA15" s="603" t="s">
        <v>2978</v>
      </c>
    </row>
    <row r="16" spans="2:87" ht="33.75" outlineLevel="1">
      <c r="B16" s="647">
        <f t="shared" si="10"/>
        <v>5</v>
      </c>
      <c r="C16" s="648" t="s">
        <v>2979</v>
      </c>
      <c r="D16" s="649" t="str">
        <f t="shared" si="3"/>
        <v>4кв 2015</v>
      </c>
      <c r="E16" s="650">
        <v>0.4</v>
      </c>
      <c r="F16" s="651">
        <v>0.1</v>
      </c>
      <c r="G16" s="652">
        <v>5</v>
      </c>
      <c r="H16" s="653"/>
      <c r="I16" s="653"/>
      <c r="J16" s="653"/>
      <c r="K16" s="653">
        <f>14439.82/1000</f>
        <v>14.439819999999999</v>
      </c>
      <c r="L16" s="653"/>
      <c r="M16" s="653"/>
      <c r="N16" s="653"/>
      <c r="O16" s="653">
        <f>37520.04/1000</f>
        <v>37.520040000000002</v>
      </c>
      <c r="P16" s="654">
        <v>51959.86</v>
      </c>
      <c r="Q16" s="655"/>
      <c r="R16" s="656" t="s">
        <v>2564</v>
      </c>
      <c r="S16" s="657" t="s">
        <v>2980</v>
      </c>
      <c r="T16" s="658" t="s">
        <v>2565</v>
      </c>
      <c r="U16" s="602" t="s">
        <v>2946</v>
      </c>
      <c r="V16" s="602"/>
      <c r="W16" s="602" t="s">
        <v>2965</v>
      </c>
      <c r="X16" s="602" t="s">
        <v>2951</v>
      </c>
      <c r="Y16" s="582" t="str">
        <f t="shared" si="4"/>
        <v>ВЛ-0,4 до 15 кВт (льгота)</v>
      </c>
      <c r="Z16" s="582" t="e">
        <f>IF(X16="","",CONCATENATE(Y16,"-",X16,"; ",#REF!))</f>
        <v>#REF!</v>
      </c>
      <c r="AA16" s="582"/>
      <c r="AB16" s="659">
        <f>O16*1000</f>
        <v>37520.04</v>
      </c>
      <c r="AC16" s="660">
        <f>(I16+H16)*1000</f>
        <v>0</v>
      </c>
      <c r="AD16" s="661">
        <f>K16*1000</f>
        <v>14439.82</v>
      </c>
      <c r="AE16" s="662">
        <f t="shared" si="5"/>
        <v>51959.86</v>
      </c>
      <c r="AF16" s="662" t="s">
        <v>2981</v>
      </c>
      <c r="AG16" s="663">
        <f t="shared" si="6"/>
        <v>3.87</v>
      </c>
      <c r="AH16" s="664">
        <f t="shared" si="7"/>
        <v>9695.1007751937977</v>
      </c>
      <c r="AI16" s="665">
        <f t="shared" si="7"/>
        <v>0</v>
      </c>
      <c r="AJ16" s="666">
        <f t="shared" si="7"/>
        <v>3731.2196382428938</v>
      </c>
      <c r="AK16" s="667">
        <f t="shared" si="8"/>
        <v>13426.320413436692</v>
      </c>
      <c r="AS16" s="600">
        <v>1</v>
      </c>
      <c r="AZ16" s="600">
        <f t="shared" si="9"/>
        <v>51907.900139999998</v>
      </c>
      <c r="BA16" s="668" t="s">
        <v>2982</v>
      </c>
    </row>
    <row r="17" spans="2:87" ht="33.75" outlineLevel="1">
      <c r="B17" s="647">
        <f t="shared" si="10"/>
        <v>6</v>
      </c>
      <c r="C17" s="648" t="s">
        <v>2983</v>
      </c>
      <c r="D17" s="649" t="str">
        <f t="shared" si="3"/>
        <v>4кв 2015</v>
      </c>
      <c r="E17" s="650">
        <v>0.4</v>
      </c>
      <c r="F17" s="651">
        <v>0.06</v>
      </c>
      <c r="G17" s="652">
        <v>1</v>
      </c>
      <c r="H17" s="653"/>
      <c r="I17" s="653"/>
      <c r="J17" s="653"/>
      <c r="K17" s="653">
        <f>1297.65/1000</f>
        <v>1.2976500000000002</v>
      </c>
      <c r="L17" s="653"/>
      <c r="M17" s="653"/>
      <c r="N17" s="653"/>
      <c r="O17" s="653">
        <f>40460.19/1000</f>
        <v>40.460190000000004</v>
      </c>
      <c r="P17" s="654">
        <v>41757.839999999997</v>
      </c>
      <c r="Q17" s="655"/>
      <c r="R17" s="656" t="s">
        <v>2564</v>
      </c>
      <c r="S17" s="657" t="s">
        <v>2984</v>
      </c>
      <c r="T17" s="658" t="s">
        <v>2565</v>
      </c>
      <c r="U17" s="602" t="s">
        <v>2946</v>
      </c>
      <c r="V17" s="602"/>
      <c r="W17" s="602" t="s">
        <v>2965</v>
      </c>
      <c r="X17" s="602" t="s">
        <v>2951</v>
      </c>
      <c r="Y17" s="582" t="str">
        <f t="shared" si="4"/>
        <v>ВЛ-0,4 до 15 кВт (льгота)</v>
      </c>
      <c r="Z17" s="582" t="e">
        <f>IF(X17="","",CONCATENATE(Y17,"-",X17,"; ",#REF!))</f>
        <v>#REF!</v>
      </c>
      <c r="AA17" s="582"/>
      <c r="AB17" s="659">
        <f>O17*1000</f>
        <v>40460.19</v>
      </c>
      <c r="AC17" s="660">
        <f>(I17+H17)*1000</f>
        <v>0</v>
      </c>
      <c r="AD17" s="661">
        <f>K17*1000</f>
        <v>1297.6500000000001</v>
      </c>
      <c r="AE17" s="662">
        <f t="shared" si="5"/>
        <v>41757.840000000004</v>
      </c>
      <c r="AF17" s="662" t="s">
        <v>2981</v>
      </c>
      <c r="AG17" s="663">
        <f t="shared" si="6"/>
        <v>3.87</v>
      </c>
      <c r="AH17" s="664">
        <f t="shared" si="7"/>
        <v>10454.829457364342</v>
      </c>
      <c r="AI17" s="665">
        <f t="shared" si="7"/>
        <v>0</v>
      </c>
      <c r="AJ17" s="666">
        <f t="shared" si="7"/>
        <v>335.31007751937983</v>
      </c>
      <c r="AK17" s="667">
        <f t="shared" si="8"/>
        <v>10790.139534883721</v>
      </c>
      <c r="AS17" s="600">
        <v>1</v>
      </c>
      <c r="AT17" s="600">
        <v>67</v>
      </c>
      <c r="AZ17" s="600">
        <f t="shared" si="9"/>
        <v>41716.082159999998</v>
      </c>
      <c r="BA17" s="668" t="s">
        <v>2985</v>
      </c>
    </row>
    <row r="18" spans="2:87" ht="22.5" outlineLevel="1">
      <c r="B18" s="647">
        <f t="shared" si="10"/>
        <v>7</v>
      </c>
      <c r="C18" s="648" t="s">
        <v>2986</v>
      </c>
      <c r="D18" s="649" t="str">
        <f t="shared" si="3"/>
        <v>1кв 2015</v>
      </c>
      <c r="E18" s="650">
        <v>0.4</v>
      </c>
      <c r="F18" s="651">
        <v>0.1</v>
      </c>
      <c r="G18" s="652">
        <v>15</v>
      </c>
      <c r="H18" s="653"/>
      <c r="I18" s="653"/>
      <c r="J18" s="653"/>
      <c r="K18" s="653">
        <f>584.66/1000</f>
        <v>0.58465999999999996</v>
      </c>
      <c r="L18" s="653"/>
      <c r="M18" s="653"/>
      <c r="N18" s="653"/>
      <c r="O18" s="653">
        <f>22486.41/1000</f>
        <v>22.486409999999999</v>
      </c>
      <c r="P18" s="654">
        <v>23071.07</v>
      </c>
      <c r="Q18" s="655"/>
      <c r="R18" s="656" t="s">
        <v>2564</v>
      </c>
      <c r="S18" s="657" t="s">
        <v>2987</v>
      </c>
      <c r="T18" s="658" t="s">
        <v>2565</v>
      </c>
      <c r="U18" s="602" t="s">
        <v>2946</v>
      </c>
      <c r="V18" s="602"/>
      <c r="W18" s="602" t="s">
        <v>2965</v>
      </c>
      <c r="X18" s="602" t="s">
        <v>2951</v>
      </c>
      <c r="Y18" s="582" t="str">
        <f t="shared" si="4"/>
        <v>ВЛ-0,4 до 15 кВт (льгота)</v>
      </c>
      <c r="Z18" s="582" t="e">
        <f>IF(X18="","",CONCATENATE(Y18,"-",X18,"; ",#REF!))</f>
        <v>#REF!</v>
      </c>
      <c r="AA18" s="582"/>
      <c r="AB18" s="659">
        <f>O18*1000</f>
        <v>22486.41</v>
      </c>
      <c r="AC18" s="660">
        <f>(I18+H18)*1000</f>
        <v>0</v>
      </c>
      <c r="AD18" s="661">
        <f>K18*1000</f>
        <v>584.66</v>
      </c>
      <c r="AE18" s="662">
        <f t="shared" si="5"/>
        <v>23071.07</v>
      </c>
      <c r="AF18" s="662" t="s">
        <v>2966</v>
      </c>
      <c r="AG18" s="663">
        <f t="shared" si="6"/>
        <v>3.67</v>
      </c>
      <c r="AH18" s="664">
        <f t="shared" si="7"/>
        <v>6127.0871934604902</v>
      </c>
      <c r="AI18" s="665">
        <f t="shared" si="7"/>
        <v>0</v>
      </c>
      <c r="AJ18" s="666">
        <f t="shared" si="7"/>
        <v>159.30790190735695</v>
      </c>
      <c r="AK18" s="667">
        <f t="shared" si="8"/>
        <v>6286.3950953678468</v>
      </c>
      <c r="AS18" s="600">
        <v>1</v>
      </c>
      <c r="AT18" s="600">
        <v>47</v>
      </c>
      <c r="AZ18" s="600">
        <f t="shared" si="9"/>
        <v>23047.998929999998</v>
      </c>
      <c r="BA18" s="668" t="s">
        <v>2988</v>
      </c>
    </row>
    <row r="19" spans="2:87" ht="33.75" outlineLevel="1">
      <c r="B19" s="647">
        <f t="shared" si="10"/>
        <v>8</v>
      </c>
      <c r="C19" s="648" t="s">
        <v>2989</v>
      </c>
      <c r="D19" s="649" t="str">
        <f t="shared" si="3"/>
        <v>2кв 2015</v>
      </c>
      <c r="E19" s="650">
        <v>0.4</v>
      </c>
      <c r="F19" s="651">
        <v>0.14000000000000001</v>
      </c>
      <c r="G19" s="652">
        <v>6</v>
      </c>
      <c r="H19" s="653"/>
      <c r="I19" s="653">
        <f>AC19/1000</f>
        <v>0</v>
      </c>
      <c r="J19" s="653"/>
      <c r="K19" s="653">
        <f>AD19/1000</f>
        <v>15.436439999999999</v>
      </c>
      <c r="L19" s="653"/>
      <c r="M19" s="653"/>
      <c r="N19" s="653"/>
      <c r="O19" s="653">
        <f>AB19/1000</f>
        <v>34.591949999999997</v>
      </c>
      <c r="P19" s="654">
        <v>50028.39</v>
      </c>
      <c r="Q19" s="655"/>
      <c r="R19" s="656" t="s">
        <v>2564</v>
      </c>
      <c r="S19" s="657" t="s">
        <v>2990</v>
      </c>
      <c r="T19" s="658" t="s">
        <v>2566</v>
      </c>
      <c r="U19" s="602" t="s">
        <v>2946</v>
      </c>
      <c r="V19" s="602"/>
      <c r="W19" s="602" t="s">
        <v>2965</v>
      </c>
      <c r="X19" s="602" t="s">
        <v>2951</v>
      </c>
      <c r="Y19" s="582" t="str">
        <f t="shared" si="4"/>
        <v>ВЛ-0,4 до 15 кВт (льгота)</v>
      </c>
      <c r="Z19" s="582" t="e">
        <f>IF(X19="","",CONCATENATE(Y19,"-",X19,"; ",#REF!))</f>
        <v>#REF!</v>
      </c>
      <c r="AA19" s="582"/>
      <c r="AB19" s="669">
        <v>34591.949999999997</v>
      </c>
      <c r="AC19" s="670">
        <v>0</v>
      </c>
      <c r="AD19" s="671">
        <v>15436.439999999999</v>
      </c>
      <c r="AE19" s="672">
        <f t="shared" si="5"/>
        <v>50028.39</v>
      </c>
      <c r="AF19" s="662" t="s">
        <v>2970</v>
      </c>
      <c r="AG19" s="663">
        <f t="shared" si="6"/>
        <v>3.67</v>
      </c>
      <c r="AH19" s="664">
        <f t="shared" si="7"/>
        <v>9425.5994550408705</v>
      </c>
      <c r="AI19" s="665">
        <f t="shared" si="7"/>
        <v>0</v>
      </c>
      <c r="AJ19" s="666">
        <f t="shared" si="7"/>
        <v>4206.1144414168939</v>
      </c>
      <c r="AK19" s="667">
        <f t="shared" si="8"/>
        <v>13631.713896457764</v>
      </c>
      <c r="AS19" s="600">
        <v>1</v>
      </c>
      <c r="AT19" s="600">
        <v>40</v>
      </c>
      <c r="AZ19" s="600">
        <f t="shared" si="9"/>
        <v>49978.36161</v>
      </c>
      <c r="BA19" s="603" t="s">
        <v>2991</v>
      </c>
      <c r="BB19" s="600">
        <v>50.028359999999999</v>
      </c>
    </row>
    <row r="20" spans="2:87" ht="33.75" outlineLevel="1">
      <c r="B20" s="647">
        <f t="shared" si="10"/>
        <v>9</v>
      </c>
      <c r="C20" s="648" t="s">
        <v>2992</v>
      </c>
      <c r="D20" s="649" t="str">
        <f t="shared" si="3"/>
        <v>2кв 2015</v>
      </c>
      <c r="E20" s="650">
        <v>0.4</v>
      </c>
      <c r="F20" s="674">
        <v>0.12</v>
      </c>
      <c r="G20" s="652">
        <f>8+8</f>
        <v>16</v>
      </c>
      <c r="H20" s="653"/>
      <c r="I20" s="653">
        <f>AC20/1000</f>
        <v>0</v>
      </c>
      <c r="J20" s="653"/>
      <c r="K20" s="653">
        <f>AD20/1000</f>
        <v>14.414849999999999</v>
      </c>
      <c r="L20" s="653"/>
      <c r="M20" s="653"/>
      <c r="N20" s="653"/>
      <c r="O20" s="653">
        <f>AB20/1000</f>
        <v>55.48348</v>
      </c>
      <c r="P20" s="654">
        <v>69898.33</v>
      </c>
      <c r="Q20" s="655"/>
      <c r="R20" s="656" t="s">
        <v>2564</v>
      </c>
      <c r="S20" s="657" t="s">
        <v>2993</v>
      </c>
      <c r="T20" s="658" t="s">
        <v>2569</v>
      </c>
      <c r="U20" s="602" t="s">
        <v>2946</v>
      </c>
      <c r="V20" s="602"/>
      <c r="W20" s="602" t="s">
        <v>2965</v>
      </c>
      <c r="X20" s="602" t="s">
        <v>2951</v>
      </c>
      <c r="Y20" s="582" t="str">
        <f t="shared" si="4"/>
        <v>ВЛ-0,4 до 15 кВт (льгота)</v>
      </c>
      <c r="Z20" s="582" t="e">
        <f>IF(X20="","",CONCATENATE(Y20,"-",X20,"; ",#REF!))</f>
        <v>#REF!</v>
      </c>
      <c r="AA20" s="582"/>
      <c r="AB20" s="669">
        <v>55483.48</v>
      </c>
      <c r="AC20" s="670">
        <v>0</v>
      </c>
      <c r="AD20" s="671">
        <v>14414.85</v>
      </c>
      <c r="AE20" s="672">
        <f t="shared" si="5"/>
        <v>69898.33</v>
      </c>
      <c r="AF20" s="662" t="s">
        <v>2970</v>
      </c>
      <c r="AG20" s="663">
        <f t="shared" si="6"/>
        <v>3.67</v>
      </c>
      <c r="AH20" s="664">
        <f t="shared" si="7"/>
        <v>15118.114441416896</v>
      </c>
      <c r="AI20" s="665">
        <f t="shared" si="7"/>
        <v>0</v>
      </c>
      <c r="AJ20" s="666">
        <f t="shared" si="7"/>
        <v>3927.7520435967303</v>
      </c>
      <c r="AK20" s="667">
        <f t="shared" si="8"/>
        <v>19045.866485013627</v>
      </c>
      <c r="AS20" s="600">
        <v>1</v>
      </c>
      <c r="AT20" s="600">
        <v>37</v>
      </c>
      <c r="AZ20" s="600">
        <f t="shared" si="9"/>
        <v>69828.431670000005</v>
      </c>
      <c r="BA20" s="603" t="s">
        <v>2994</v>
      </c>
    </row>
    <row r="21" spans="2:87" ht="33.75" outlineLevel="1">
      <c r="B21" s="647">
        <f t="shared" si="10"/>
        <v>10</v>
      </c>
      <c r="C21" s="648" t="s">
        <v>2995</v>
      </c>
      <c r="D21" s="649" t="str">
        <f t="shared" si="3"/>
        <v>2кв 2015</v>
      </c>
      <c r="E21" s="650">
        <v>0.4</v>
      </c>
      <c r="F21" s="651">
        <v>0.23</v>
      </c>
      <c r="G21" s="652">
        <v>6</v>
      </c>
      <c r="H21" s="653"/>
      <c r="I21" s="653"/>
      <c r="J21" s="653"/>
      <c r="K21" s="653"/>
      <c r="L21" s="653"/>
      <c r="M21" s="653"/>
      <c r="N21" s="653"/>
      <c r="O21" s="653">
        <f>82996.58/1000</f>
        <v>82.996580000000009</v>
      </c>
      <c r="P21" s="654">
        <v>82996.58</v>
      </c>
      <c r="Q21" s="655"/>
      <c r="R21" s="656" t="s">
        <v>2564</v>
      </c>
      <c r="S21" s="657" t="s">
        <v>2996</v>
      </c>
      <c r="T21" s="658" t="s">
        <v>2997</v>
      </c>
      <c r="U21" s="602" t="s">
        <v>2946</v>
      </c>
      <c r="V21" s="602"/>
      <c r="W21" s="602" t="s">
        <v>2965</v>
      </c>
      <c r="X21" s="602" t="s">
        <v>2951</v>
      </c>
      <c r="Y21" s="582" t="str">
        <f t="shared" si="4"/>
        <v>ВЛ-0,4 до 15 кВт (льгота)</v>
      </c>
      <c r="Z21" s="582" t="e">
        <f>IF(X21="","",CONCATENATE(Y21,"-",X21,"; ",#REF!))</f>
        <v>#REF!</v>
      </c>
      <c r="AA21" s="582"/>
      <c r="AB21" s="659">
        <f>O21*1000</f>
        <v>82996.58</v>
      </c>
      <c r="AC21" s="660">
        <f>(I21+H21)*1000</f>
        <v>0</v>
      </c>
      <c r="AD21" s="661">
        <f>K21*1000</f>
        <v>0</v>
      </c>
      <c r="AE21" s="662">
        <f t="shared" si="5"/>
        <v>82996.58</v>
      </c>
      <c r="AF21" s="662" t="s">
        <v>2970</v>
      </c>
      <c r="AG21" s="663">
        <f t="shared" si="6"/>
        <v>3.67</v>
      </c>
      <c r="AH21" s="664">
        <f t="shared" si="7"/>
        <v>22614.871934604904</v>
      </c>
      <c r="AI21" s="665">
        <f t="shared" si="7"/>
        <v>0</v>
      </c>
      <c r="AJ21" s="666">
        <f t="shared" si="7"/>
        <v>0</v>
      </c>
      <c r="AK21" s="667">
        <f t="shared" si="8"/>
        <v>22614.871934604904</v>
      </c>
      <c r="AS21" s="600">
        <v>1</v>
      </c>
      <c r="AT21" s="600">
        <v>19</v>
      </c>
      <c r="AZ21" s="600">
        <f t="shared" si="9"/>
        <v>82913.583419999995</v>
      </c>
      <c r="BA21" s="668" t="s">
        <v>2998</v>
      </c>
    </row>
    <row r="22" spans="2:87" ht="22.5" outlineLevel="1">
      <c r="B22" s="647">
        <f t="shared" si="10"/>
        <v>11</v>
      </c>
      <c r="C22" s="648" t="s">
        <v>2999</v>
      </c>
      <c r="D22" s="649" t="str">
        <f t="shared" si="3"/>
        <v>4кв 2015</v>
      </c>
      <c r="E22" s="650">
        <v>0.4</v>
      </c>
      <c r="F22" s="651">
        <f>0.16+0.27</f>
        <v>0.43000000000000005</v>
      </c>
      <c r="G22" s="652">
        <v>7.4</v>
      </c>
      <c r="H22" s="653"/>
      <c r="I22" s="653"/>
      <c r="J22" s="653"/>
      <c r="K22" s="653">
        <f>17300.53/1000</f>
        <v>17.300529999999998</v>
      </c>
      <c r="L22" s="653"/>
      <c r="M22" s="653"/>
      <c r="N22" s="653"/>
      <c r="O22" s="653">
        <f>111155.6/1000</f>
        <v>111.15560000000001</v>
      </c>
      <c r="P22" s="654">
        <v>128456.13</v>
      </c>
      <c r="Q22" s="655"/>
      <c r="R22" s="656" t="s">
        <v>2564</v>
      </c>
      <c r="S22" s="657" t="s">
        <v>3000</v>
      </c>
      <c r="T22" s="658" t="s">
        <v>2944</v>
      </c>
      <c r="U22" s="602" t="s">
        <v>2946</v>
      </c>
      <c r="V22" s="602"/>
      <c r="W22" s="602" t="s">
        <v>2965</v>
      </c>
      <c r="X22" s="602" t="s">
        <v>2951</v>
      </c>
      <c r="Y22" s="582" t="str">
        <f t="shared" si="4"/>
        <v>ВЛ-0,4 до 15 кВт (льгота)</v>
      </c>
      <c r="Z22" s="582" t="e">
        <f>IF(X22="","",CONCATENATE(Y22,"-",X22,"; ",#REF!))</f>
        <v>#REF!</v>
      </c>
      <c r="AA22" s="582"/>
      <c r="AB22" s="659">
        <f>O22*1000</f>
        <v>111155.6</v>
      </c>
      <c r="AC22" s="660">
        <f>(I22+H22)*1000</f>
        <v>0</v>
      </c>
      <c r="AD22" s="661">
        <f>K22*1000</f>
        <v>17300.53</v>
      </c>
      <c r="AE22" s="662">
        <f t="shared" si="5"/>
        <v>128456.13</v>
      </c>
      <c r="AF22" s="662" t="s">
        <v>2981</v>
      </c>
      <c r="AG22" s="663">
        <f t="shared" si="6"/>
        <v>3.87</v>
      </c>
      <c r="AH22" s="664">
        <f t="shared" si="7"/>
        <v>28722.377260981913</v>
      </c>
      <c r="AI22" s="665">
        <f t="shared" si="7"/>
        <v>0</v>
      </c>
      <c r="AJ22" s="666">
        <f t="shared" si="7"/>
        <v>4470.4211886304902</v>
      </c>
      <c r="AK22" s="667">
        <f t="shared" si="8"/>
        <v>33192.798449612405</v>
      </c>
      <c r="AS22" s="600">
        <v>1</v>
      </c>
      <c r="AT22" s="600">
        <v>65</v>
      </c>
      <c r="AZ22" s="600">
        <f t="shared" si="9"/>
        <v>128327.67387</v>
      </c>
      <c r="BA22" s="668" t="s">
        <v>3001</v>
      </c>
    </row>
    <row r="23" spans="2:87" ht="22.5" outlineLevel="1">
      <c r="B23" s="647">
        <f t="shared" si="10"/>
        <v>12</v>
      </c>
      <c r="C23" s="648" t="s">
        <v>3002</v>
      </c>
      <c r="D23" s="649" t="str">
        <f t="shared" si="3"/>
        <v>1кв 2015</v>
      </c>
      <c r="E23" s="650">
        <v>0.4</v>
      </c>
      <c r="F23" s="651">
        <v>0.11</v>
      </c>
      <c r="G23" s="652">
        <v>5</v>
      </c>
      <c r="H23" s="653"/>
      <c r="I23" s="653"/>
      <c r="J23" s="653"/>
      <c r="K23" s="653">
        <f>13697.05/1000</f>
        <v>13.697049999999999</v>
      </c>
      <c r="L23" s="653"/>
      <c r="M23" s="653"/>
      <c r="N23" s="653"/>
      <c r="O23" s="653">
        <f>59172.19/1000</f>
        <v>59.172190000000001</v>
      </c>
      <c r="P23" s="654">
        <v>72869.240000000005</v>
      </c>
      <c r="Q23" s="655"/>
      <c r="R23" s="656" t="s">
        <v>2564</v>
      </c>
      <c r="S23" s="657" t="s">
        <v>3003</v>
      </c>
      <c r="T23" s="658" t="s">
        <v>2571</v>
      </c>
      <c r="U23" s="602" t="s">
        <v>2946</v>
      </c>
      <c r="V23" s="602"/>
      <c r="W23" s="602" t="s">
        <v>2965</v>
      </c>
      <c r="X23" s="602" t="s">
        <v>2951</v>
      </c>
      <c r="Y23" s="582" t="str">
        <f t="shared" si="4"/>
        <v>ВЛ-0,4 до 15 кВт (льгота)</v>
      </c>
      <c r="Z23" s="582" t="e">
        <f>IF(X23="","",CONCATENATE(Y23,"-",X23,"; ",#REF!))</f>
        <v>#REF!</v>
      </c>
      <c r="AA23" s="582"/>
      <c r="AB23" s="659">
        <f>O23*1000</f>
        <v>59172.19</v>
      </c>
      <c r="AC23" s="660">
        <f>(I23+H23)*1000</f>
        <v>0</v>
      </c>
      <c r="AD23" s="661">
        <f>K23*1000</f>
        <v>13697.05</v>
      </c>
      <c r="AE23" s="662">
        <f t="shared" si="5"/>
        <v>72869.240000000005</v>
      </c>
      <c r="AF23" s="662" t="s">
        <v>2966</v>
      </c>
      <c r="AG23" s="663">
        <f t="shared" si="6"/>
        <v>3.67</v>
      </c>
      <c r="AH23" s="664">
        <f t="shared" si="7"/>
        <v>16123.212534059947</v>
      </c>
      <c r="AI23" s="665">
        <f t="shared" si="7"/>
        <v>0</v>
      </c>
      <c r="AJ23" s="666">
        <f t="shared" si="7"/>
        <v>3732.1662125340599</v>
      </c>
      <c r="AK23" s="667">
        <f t="shared" si="8"/>
        <v>19855.378746594008</v>
      </c>
      <c r="AS23" s="600">
        <v>1</v>
      </c>
      <c r="AT23" s="600">
        <v>8</v>
      </c>
      <c r="AZ23" s="600">
        <f t="shared" si="9"/>
        <v>72796.370760000005</v>
      </c>
      <c r="BA23" s="668" t="s">
        <v>3004</v>
      </c>
    </row>
    <row r="24" spans="2:87" ht="15.75" outlineLevel="1">
      <c r="B24" s="647"/>
      <c r="C24" s="648"/>
      <c r="D24" s="649"/>
      <c r="E24" s="650"/>
      <c r="F24" s="651"/>
      <c r="G24" s="652"/>
      <c r="H24" s="653"/>
      <c r="I24" s="653"/>
      <c r="J24" s="653"/>
      <c r="K24" s="653"/>
      <c r="L24" s="653"/>
      <c r="M24" s="653"/>
      <c r="N24" s="653"/>
      <c r="O24" s="653"/>
      <c r="P24" s="654"/>
      <c r="Q24" s="655"/>
      <c r="R24" s="656"/>
      <c r="S24" s="657"/>
      <c r="T24" s="658"/>
      <c r="U24" s="602"/>
      <c r="V24" s="602"/>
      <c r="W24" s="602"/>
      <c r="X24" s="602"/>
      <c r="Y24" s="582"/>
      <c r="Z24" s="582"/>
      <c r="AA24" s="582"/>
      <c r="AB24" s="659"/>
      <c r="AC24" s="660"/>
      <c r="AD24" s="661"/>
      <c r="AE24" s="662"/>
      <c r="AF24" s="662"/>
      <c r="AG24" s="663"/>
      <c r="AH24" s="664"/>
      <c r="AI24" s="665"/>
      <c r="AJ24" s="666"/>
      <c r="AK24" s="667"/>
      <c r="BA24" s="668"/>
    </row>
    <row r="25" spans="2:87" s="120" customFormat="1" ht="30">
      <c r="B25" s="675" t="s">
        <v>2570</v>
      </c>
      <c r="C25" s="1148" t="str">
        <f>"Всего по "&amp;T10&amp;" "&amp;T25&amp;" ("&amp;$C$9&amp;"):"</f>
        <v>Всего по Г.Н.П. Изолир. алюм. 50-100 мм (ВЛ-0,4 до 15 кВт (льгота)):</v>
      </c>
      <c r="D25" s="1148"/>
      <c r="E25" s="1148"/>
      <c r="F25" s="1149">
        <f>SUM(F26:F27)</f>
        <v>0</v>
      </c>
      <c r="G25" s="1150">
        <f t="shared" ref="G25:P25" si="11">SUM(G26:G27)</f>
        <v>0</v>
      </c>
      <c r="H25" s="1150">
        <f t="shared" si="11"/>
        <v>0</v>
      </c>
      <c r="I25" s="1150">
        <f t="shared" si="11"/>
        <v>0</v>
      </c>
      <c r="J25" s="1150">
        <f>SUM(J26:J27)</f>
        <v>0</v>
      </c>
      <c r="K25" s="1150">
        <f t="shared" si="11"/>
        <v>0</v>
      </c>
      <c r="L25" s="1150">
        <f t="shared" si="11"/>
        <v>0</v>
      </c>
      <c r="M25" s="1150">
        <f t="shared" si="11"/>
        <v>0</v>
      </c>
      <c r="N25" s="1150">
        <f t="shared" si="11"/>
        <v>0</v>
      </c>
      <c r="O25" s="1150">
        <f t="shared" si="11"/>
        <v>0</v>
      </c>
      <c r="P25" s="1150">
        <f t="shared" si="11"/>
        <v>0</v>
      </c>
      <c r="Q25" s="1151"/>
      <c r="R25" s="1151"/>
      <c r="S25" s="1151"/>
      <c r="T25" s="1151" t="s">
        <v>3005</v>
      </c>
      <c r="U25" s="128"/>
      <c r="V25" s="129"/>
      <c r="W25" s="630"/>
      <c r="X25" s="631"/>
      <c r="Y25" s="632"/>
      <c r="Z25" s="633"/>
      <c r="AA25" s="128"/>
      <c r="AB25" s="634"/>
      <c r="AC25" s="635"/>
      <c r="AD25" s="636"/>
      <c r="AE25" s="637"/>
      <c r="AF25" s="638"/>
      <c r="AG25" s="639"/>
      <c r="AH25" s="640"/>
      <c r="AI25" s="641"/>
      <c r="AJ25" s="642"/>
      <c r="AK25" s="638"/>
      <c r="AN25" s="643"/>
      <c r="AT25" s="126"/>
      <c r="AU25" s="644"/>
      <c r="BC25" s="120" t="str">
        <f>[24]Прил.1!$F$14</f>
        <v>50 - 100</v>
      </c>
      <c r="BD25" s="368" t="str">
        <f>CONCATENATE($BC$1,"; ",$BC$3,"; ",$BD$1,"; ",$BD$3,"; ",BC25)</f>
        <v>0,4 кВ; Г.Н.П.; изолированный; алюминевый; 50 - 100</v>
      </c>
      <c r="BE25" s="645"/>
      <c r="BF25" s="645"/>
      <c r="BG25" s="645"/>
      <c r="BH25" s="645"/>
      <c r="BI25" s="645"/>
      <c r="BJ25" s="645"/>
      <c r="BK25" s="645"/>
      <c r="BL25" s="645"/>
      <c r="BM25" s="645"/>
      <c r="BN25" s="645"/>
      <c r="BO25" s="645"/>
      <c r="BP25" s="645"/>
      <c r="BQ25" s="645"/>
      <c r="BR25" s="645"/>
      <c r="BS25" s="645"/>
      <c r="BT25" s="645"/>
      <c r="BU25" s="645"/>
      <c r="BV25" s="645"/>
      <c r="BW25" s="645"/>
      <c r="BX25" s="645"/>
      <c r="BY25" s="645"/>
      <c r="BZ25" s="646"/>
      <c r="CA25" s="646"/>
      <c r="CB25" s="646"/>
      <c r="CC25" s="646"/>
      <c r="CD25" s="646"/>
      <c r="CE25" s="646"/>
      <c r="CF25" s="646"/>
      <c r="CG25" s="646"/>
      <c r="CH25" s="646"/>
      <c r="CI25" s="646"/>
    </row>
    <row r="26" spans="2:87" s="76" customFormat="1" ht="15.75" outlineLevel="1">
      <c r="B26" s="676"/>
      <c r="C26" s="677"/>
      <c r="D26" s="678"/>
      <c r="E26" s="679"/>
      <c r="F26" s="680"/>
      <c r="G26" s="681"/>
      <c r="H26" s="517"/>
      <c r="I26" s="517"/>
      <c r="J26" s="517"/>
      <c r="K26" s="517"/>
      <c r="L26" s="517"/>
      <c r="M26" s="517"/>
      <c r="N26" s="517"/>
      <c r="O26" s="517"/>
      <c r="P26" s="682"/>
      <c r="Q26" s="683"/>
      <c r="R26" s="684"/>
      <c r="S26" s="685"/>
      <c r="T26" s="686"/>
      <c r="U26" s="168"/>
      <c r="V26" s="168"/>
      <c r="W26" s="168"/>
      <c r="X26" s="168"/>
      <c r="Y26" s="128"/>
      <c r="Z26" s="128"/>
      <c r="AA26" s="128"/>
      <c r="AB26" s="640"/>
      <c r="AC26" s="641"/>
      <c r="AD26" s="642"/>
      <c r="AE26" s="685"/>
      <c r="AF26" s="685"/>
      <c r="AG26" s="687"/>
      <c r="AH26" s="688"/>
      <c r="AI26" s="689"/>
      <c r="AJ26" s="690"/>
      <c r="AK26" s="691"/>
      <c r="BE26" s="692"/>
      <c r="BF26" s="692"/>
      <c r="BG26" s="692"/>
      <c r="BH26" s="692"/>
      <c r="BI26" s="692"/>
      <c r="BJ26" s="692"/>
      <c r="BK26" s="692"/>
      <c r="BL26" s="692"/>
      <c r="BM26" s="692"/>
      <c r="BN26" s="692"/>
      <c r="BO26" s="692"/>
      <c r="BP26" s="692"/>
      <c r="BQ26" s="692"/>
      <c r="BR26" s="692"/>
      <c r="BS26" s="692"/>
      <c r="BT26" s="692"/>
      <c r="BU26" s="692"/>
      <c r="BV26" s="692"/>
      <c r="BW26" s="692"/>
      <c r="BX26" s="692"/>
      <c r="BY26" s="692"/>
      <c r="BZ26" s="272"/>
      <c r="CA26" s="272"/>
      <c r="CB26" s="272"/>
      <c r="CC26" s="272"/>
      <c r="CD26" s="272"/>
      <c r="CE26" s="272"/>
      <c r="CF26" s="272"/>
      <c r="CG26" s="272"/>
      <c r="CH26" s="272"/>
      <c r="CI26" s="272"/>
    </row>
    <row r="27" spans="2:87" s="76" customFormat="1" ht="15.75" outlineLevel="1">
      <c r="B27" s="179"/>
      <c r="C27" s="693"/>
      <c r="D27" s="694"/>
      <c r="E27" s="695"/>
      <c r="F27" s="696"/>
      <c r="G27" s="697"/>
      <c r="H27" s="247"/>
      <c r="I27" s="247"/>
      <c r="J27" s="698"/>
      <c r="K27" s="247"/>
      <c r="L27" s="699"/>
      <c r="M27" s="698"/>
      <c r="N27" s="698"/>
      <c r="O27" s="247"/>
      <c r="P27" s="700"/>
      <c r="Q27" s="185"/>
      <c r="R27" s="186"/>
      <c r="S27" s="297"/>
      <c r="T27" s="188"/>
      <c r="U27" s="168"/>
      <c r="V27" s="168"/>
      <c r="W27" s="168"/>
      <c r="X27" s="168"/>
      <c r="Y27" s="128"/>
      <c r="Z27" s="128"/>
      <c r="AA27" s="128"/>
      <c r="AB27" s="640"/>
      <c r="AC27" s="641"/>
      <c r="AD27" s="642"/>
      <c r="AE27" s="685"/>
      <c r="AF27" s="685"/>
      <c r="AG27" s="639"/>
      <c r="AH27" s="701"/>
      <c r="AI27" s="702"/>
      <c r="AJ27" s="703"/>
      <c r="AK27" s="704"/>
      <c r="BE27" s="692"/>
      <c r="BF27" s="692"/>
      <c r="BG27" s="692"/>
      <c r="BH27" s="692"/>
      <c r="BI27" s="692"/>
      <c r="BJ27" s="692"/>
      <c r="BK27" s="692"/>
      <c r="BL27" s="692"/>
      <c r="BM27" s="692"/>
      <c r="BN27" s="692"/>
      <c r="BO27" s="692"/>
      <c r="BP27" s="692"/>
      <c r="BQ27" s="692"/>
      <c r="BR27" s="692"/>
      <c r="BS27" s="692"/>
      <c r="BT27" s="692"/>
      <c r="BU27" s="692"/>
      <c r="BV27" s="692"/>
      <c r="BW27" s="692"/>
      <c r="BX27" s="692"/>
      <c r="BY27" s="692"/>
      <c r="BZ27" s="272"/>
      <c r="CA27" s="272"/>
      <c r="CB27" s="272"/>
      <c r="CC27" s="272"/>
      <c r="CD27" s="272"/>
      <c r="CE27" s="272"/>
      <c r="CF27" s="272"/>
      <c r="CG27" s="272"/>
      <c r="CH27" s="272"/>
      <c r="CI27" s="272"/>
    </row>
    <row r="28" spans="2:87" s="120" customFormat="1" ht="15.75" customHeight="1">
      <c r="B28" s="1141" t="s">
        <v>2576</v>
      </c>
      <c r="C28" s="1142" t="str">
        <f>"Всего по "&amp;T28&amp;" ("&amp;$C$9&amp;"):"</f>
        <v>Всего по Вне Г.Н.П. (ВЛ-0,4 до 15 кВт (льгота)):</v>
      </c>
      <c r="D28" s="1143"/>
      <c r="E28" s="1143"/>
      <c r="F28" s="1144">
        <f>SUM(F29,F71,F75)</f>
        <v>4.7</v>
      </c>
      <c r="G28" s="1145">
        <f t="shared" ref="G28:P28" si="12">SUM(G29,G71,G75)</f>
        <v>292.86999999999995</v>
      </c>
      <c r="H28" s="1145">
        <f t="shared" si="12"/>
        <v>52.933999999999997</v>
      </c>
      <c r="I28" s="1145">
        <f t="shared" si="12"/>
        <v>0</v>
      </c>
      <c r="J28" s="1145">
        <f t="shared" si="12"/>
        <v>0</v>
      </c>
      <c r="K28" s="1145">
        <f t="shared" si="12"/>
        <v>426.19028000000009</v>
      </c>
      <c r="L28" s="1145">
        <f t="shared" si="12"/>
        <v>0</v>
      </c>
      <c r="M28" s="1145">
        <f t="shared" si="12"/>
        <v>0</v>
      </c>
      <c r="N28" s="1145">
        <f t="shared" si="12"/>
        <v>0</v>
      </c>
      <c r="O28" s="1145">
        <f t="shared" si="12"/>
        <v>1774.9111300000002</v>
      </c>
      <c r="P28" s="1145">
        <f t="shared" si="12"/>
        <v>2320726.5099999998</v>
      </c>
      <c r="Q28" s="1146"/>
      <c r="R28" s="1146"/>
      <c r="S28" s="1146"/>
      <c r="T28" s="1146" t="s">
        <v>2958</v>
      </c>
      <c r="U28" s="128"/>
      <c r="V28" s="129"/>
      <c r="W28" s="630"/>
      <c r="X28" s="631"/>
      <c r="Y28" s="632"/>
      <c r="Z28" s="633"/>
      <c r="AA28" s="128"/>
      <c r="AB28" s="634"/>
      <c r="AC28" s="635"/>
      <c r="AD28" s="636"/>
      <c r="AE28" s="637"/>
      <c r="AF28" s="638"/>
      <c r="AG28" s="639"/>
      <c r="AH28" s="640"/>
      <c r="AI28" s="641"/>
      <c r="AJ28" s="642"/>
      <c r="AK28" s="638"/>
      <c r="AN28" s="643"/>
      <c r="AT28" s="126"/>
      <c r="AU28" s="644"/>
      <c r="BE28" s="645"/>
      <c r="BF28" s="645"/>
      <c r="BG28" s="645"/>
      <c r="BH28" s="645"/>
      <c r="BI28" s="645"/>
      <c r="BJ28" s="645"/>
      <c r="BK28" s="645"/>
      <c r="BL28" s="645"/>
      <c r="BM28" s="645"/>
      <c r="BN28" s="645"/>
      <c r="BO28" s="645"/>
      <c r="BP28" s="645"/>
      <c r="BQ28" s="645"/>
      <c r="BR28" s="645"/>
      <c r="BS28" s="645"/>
      <c r="BT28" s="645"/>
      <c r="BU28" s="645"/>
      <c r="BV28" s="645"/>
      <c r="BW28" s="645"/>
      <c r="BX28" s="645"/>
      <c r="BY28" s="645"/>
      <c r="BZ28" s="646"/>
      <c r="CA28" s="646"/>
      <c r="CB28" s="646"/>
      <c r="CC28" s="646"/>
      <c r="CD28" s="646"/>
      <c r="CE28" s="646"/>
      <c r="CF28" s="646"/>
      <c r="CG28" s="646"/>
      <c r="CH28" s="646"/>
      <c r="CI28" s="646"/>
    </row>
    <row r="29" spans="2:87" s="120" customFormat="1" ht="30">
      <c r="B29" s="1147" t="s">
        <v>2578</v>
      </c>
      <c r="C29" s="1148" t="str">
        <f>"Всего по "&amp;T28&amp;" "&amp;T29&amp;" ("&amp;$C$9&amp;"):"</f>
        <v>Всего по Вне Г.Н.П. Изолир. алюм. до 50 мм (ВЛ-0,4 до 15 кВт (льгота)):</v>
      </c>
      <c r="D29" s="1148"/>
      <c r="E29" s="1148"/>
      <c r="F29" s="1149">
        <f t="shared" ref="F29:P29" si="13">SUM(F30:F70)</f>
        <v>4.32</v>
      </c>
      <c r="G29" s="1150">
        <f t="shared" si="13"/>
        <v>268.78999999999996</v>
      </c>
      <c r="H29" s="1150">
        <f t="shared" si="13"/>
        <v>26.466999999999999</v>
      </c>
      <c r="I29" s="1150">
        <f t="shared" si="13"/>
        <v>0</v>
      </c>
      <c r="J29" s="1150">
        <f t="shared" si="13"/>
        <v>0</v>
      </c>
      <c r="K29" s="1150">
        <f t="shared" si="13"/>
        <v>369.4965400000001</v>
      </c>
      <c r="L29" s="1150">
        <f t="shared" si="13"/>
        <v>0</v>
      </c>
      <c r="M29" s="1150">
        <f t="shared" si="13"/>
        <v>0</v>
      </c>
      <c r="N29" s="1150">
        <f t="shared" si="13"/>
        <v>0</v>
      </c>
      <c r="O29" s="1150">
        <f t="shared" si="13"/>
        <v>1587.27754</v>
      </c>
      <c r="P29" s="1150">
        <f t="shared" si="13"/>
        <v>2049932.1799999997</v>
      </c>
      <c r="Q29" s="1151"/>
      <c r="R29" s="1151"/>
      <c r="S29" s="1151"/>
      <c r="T29" s="1151" t="s">
        <v>2962</v>
      </c>
      <c r="U29" s="128"/>
      <c r="V29" s="129"/>
      <c r="W29" s="630"/>
      <c r="X29" s="631"/>
      <c r="Y29" s="632"/>
      <c r="Z29" s="633"/>
      <c r="AA29" s="128"/>
      <c r="AB29" s="634"/>
      <c r="AC29" s="635"/>
      <c r="AD29" s="636"/>
      <c r="AE29" s="637"/>
      <c r="AF29" s="638"/>
      <c r="AG29" s="639"/>
      <c r="AH29" s="640"/>
      <c r="AI29" s="641"/>
      <c r="AJ29" s="642"/>
      <c r="AK29" s="638"/>
      <c r="AN29" s="643"/>
      <c r="AT29" s="126"/>
      <c r="AU29" s="644"/>
      <c r="BC29" s="120" t="str">
        <f>[24]Прил.1!$F$13</f>
        <v>до 50 вкл.</v>
      </c>
      <c r="BD29" s="368" t="str">
        <f>CONCATENATE($BC$1,"; ",$BC$4,"; ",$BD$1,"; ",$BD$3,"; ",BC29)</f>
        <v>0,4 кВ; Вне Г.Н.П.; изолированный; алюминевый; до 50 вкл.</v>
      </c>
      <c r="BE29" s="645"/>
      <c r="BF29" s="645"/>
      <c r="BG29" s="645"/>
      <c r="BH29" s="645"/>
      <c r="BI29" s="645"/>
      <c r="BJ29" s="645"/>
      <c r="BK29" s="645"/>
      <c r="BL29" s="645"/>
      <c r="BM29" s="645"/>
      <c r="BN29" s="645"/>
      <c r="BO29" s="645"/>
      <c r="BP29" s="645"/>
      <c r="BQ29" s="645"/>
      <c r="BR29" s="645"/>
      <c r="BS29" s="645"/>
      <c r="BT29" s="645"/>
      <c r="BU29" s="645"/>
      <c r="BV29" s="645"/>
      <c r="BW29" s="645"/>
      <c r="BX29" s="645"/>
      <c r="BY29" s="645"/>
      <c r="BZ29" s="646"/>
      <c r="CA29" s="646"/>
      <c r="CB29" s="646"/>
      <c r="CC29" s="646"/>
      <c r="CD29" s="646"/>
      <c r="CE29" s="646"/>
      <c r="CF29" s="646"/>
      <c r="CG29" s="646"/>
      <c r="CH29" s="646"/>
      <c r="CI29" s="646"/>
    </row>
    <row r="30" spans="2:87" ht="22.5" outlineLevel="1">
      <c r="B30" s="647">
        <f>B23+1</f>
        <v>13</v>
      </c>
      <c r="C30" s="648" t="s">
        <v>3006</v>
      </c>
      <c r="D30" s="649" t="str">
        <f t="shared" ref="D30:D51" si="14">IF(AF30=0,"",AF30)</f>
        <v>1кв 2015</v>
      </c>
      <c r="E30" s="650">
        <v>0.4</v>
      </c>
      <c r="F30" s="651">
        <v>0.04</v>
      </c>
      <c r="G30" s="652">
        <v>5</v>
      </c>
      <c r="H30" s="653"/>
      <c r="I30" s="653"/>
      <c r="J30" s="653"/>
      <c r="K30" s="653">
        <f>2804.6/1000</f>
        <v>2.8045999999999998</v>
      </c>
      <c r="L30" s="653"/>
      <c r="M30" s="653"/>
      <c r="N30" s="653"/>
      <c r="O30" s="653">
        <f>9713.56/1000</f>
        <v>9.7135599999999993</v>
      </c>
      <c r="P30" s="654">
        <v>12518.16</v>
      </c>
      <c r="Q30" s="655"/>
      <c r="R30" s="656" t="s">
        <v>2564</v>
      </c>
      <c r="S30" s="657" t="s">
        <v>3007</v>
      </c>
      <c r="T30" s="658" t="s">
        <v>2565</v>
      </c>
      <c r="U30" s="602" t="s">
        <v>2946</v>
      </c>
      <c r="V30" s="602"/>
      <c r="W30" s="602" t="s">
        <v>3008</v>
      </c>
      <c r="X30" s="602" t="s">
        <v>2947</v>
      </c>
      <c r="Y30" s="582" t="str">
        <f t="shared" ref="Y30:Y69" si="15">IF(X30="","",$C$9)</f>
        <v>ВЛ-0,4 до 15 кВт (льгота)</v>
      </c>
      <c r="Z30" s="582" t="e">
        <f>IF(X30="","",CONCATENATE(Y30,"-",X30,"; ",#REF!))</f>
        <v>#REF!</v>
      </c>
      <c r="AA30" s="582"/>
      <c r="AB30" s="659">
        <f>O30*1000</f>
        <v>9713.56</v>
      </c>
      <c r="AC30" s="660">
        <f>(I30+H30)*1000</f>
        <v>0</v>
      </c>
      <c r="AD30" s="661">
        <f>K30*1000</f>
        <v>2804.6</v>
      </c>
      <c r="AE30" s="662">
        <f t="shared" ref="AE30:AE51" si="16">AB30+AC30+AD30</f>
        <v>12518.16</v>
      </c>
      <c r="AF30" s="662" t="s">
        <v>2966</v>
      </c>
      <c r="AG30" s="663">
        <f t="shared" ref="AG30:AG69" si="17">IF($AF30="1кв 2015",3.67,IF($AF30="2кв 2015",3.67,IF($AF30="3кв 2015",3.8,IF($AF30="4кв 2015",3.87,"не совпадает"))))</f>
        <v>3.67</v>
      </c>
      <c r="AH30" s="664">
        <f t="shared" ref="AH30:AJ69" si="18">IF(ISERROR(AB30/$AG30),"",AB30/$AG30)</f>
        <v>2646.7465940054494</v>
      </c>
      <c r="AI30" s="665">
        <f t="shared" si="18"/>
        <v>0</v>
      </c>
      <c r="AJ30" s="666">
        <f t="shared" si="18"/>
        <v>764.19618528610351</v>
      </c>
      <c r="AK30" s="667">
        <f t="shared" ref="AK30:AK69" si="19">SUM(AH30,AI30,AJ30)</f>
        <v>3410.9427792915531</v>
      </c>
      <c r="AS30" s="600">
        <v>1</v>
      </c>
      <c r="AT30" s="600">
        <v>7</v>
      </c>
      <c r="AZ30" s="600">
        <f t="shared" ref="AZ30:AZ69" si="20">IF(B30="","",IF(P30=SUM(H30,I30,K30,O30),"ИСТИНА",P30-SUM(H30,I30,K30,O30)))</f>
        <v>12505.64184</v>
      </c>
      <c r="BA30" s="668" t="s">
        <v>3009</v>
      </c>
    </row>
    <row r="31" spans="2:87" ht="22.5" outlineLevel="1">
      <c r="B31" s="647">
        <f>B30+1</f>
        <v>14</v>
      </c>
      <c r="C31" s="648" t="s">
        <v>3010</v>
      </c>
      <c r="D31" s="649" t="str">
        <f t="shared" si="14"/>
        <v>1кв 2015</v>
      </c>
      <c r="E31" s="650">
        <v>0.4</v>
      </c>
      <c r="F31" s="651">
        <v>0.04</v>
      </c>
      <c r="G31" s="652">
        <v>5</v>
      </c>
      <c r="H31" s="653"/>
      <c r="I31" s="653"/>
      <c r="J31" s="653"/>
      <c r="K31" s="653">
        <f>4337.07/1000</f>
        <v>4.3370699999999998</v>
      </c>
      <c r="L31" s="653"/>
      <c r="M31" s="653"/>
      <c r="N31" s="653"/>
      <c r="O31" s="653">
        <f>10387.72/1000</f>
        <v>10.38772</v>
      </c>
      <c r="P31" s="654">
        <v>14724.79</v>
      </c>
      <c r="Q31" s="655"/>
      <c r="R31" s="656" t="s">
        <v>2564</v>
      </c>
      <c r="S31" s="657" t="s">
        <v>3011</v>
      </c>
      <c r="T31" s="658" t="s">
        <v>2565</v>
      </c>
      <c r="U31" s="602" t="s">
        <v>2946</v>
      </c>
      <c r="V31" s="602"/>
      <c r="W31" s="602" t="s">
        <v>3008</v>
      </c>
      <c r="X31" s="602" t="s">
        <v>2947</v>
      </c>
      <c r="Y31" s="582" t="str">
        <f t="shared" si="15"/>
        <v>ВЛ-0,4 до 15 кВт (льгота)</v>
      </c>
      <c r="Z31" s="582" t="e">
        <f>IF(X31="","",CONCATENATE(Y31,"-",X31,"; ",#REF!))</f>
        <v>#REF!</v>
      </c>
      <c r="AA31" s="582"/>
      <c r="AB31" s="659">
        <f>O31*1000</f>
        <v>10387.719999999999</v>
      </c>
      <c r="AC31" s="660">
        <f>(I31+H31)*1000</f>
        <v>0</v>
      </c>
      <c r="AD31" s="661">
        <f>K31*1000</f>
        <v>4337.07</v>
      </c>
      <c r="AE31" s="662">
        <f t="shared" si="16"/>
        <v>14724.789999999999</v>
      </c>
      <c r="AF31" s="662" t="s">
        <v>2966</v>
      </c>
      <c r="AG31" s="663">
        <f t="shared" si="17"/>
        <v>3.67</v>
      </c>
      <c r="AH31" s="664">
        <f t="shared" si="18"/>
        <v>2830.4414168937328</v>
      </c>
      <c r="AI31" s="665">
        <f t="shared" si="18"/>
        <v>0</v>
      </c>
      <c r="AJ31" s="666">
        <f t="shared" si="18"/>
        <v>1181.7629427792915</v>
      </c>
      <c r="AK31" s="667">
        <f t="shared" si="19"/>
        <v>4012.2043596730246</v>
      </c>
      <c r="AS31" s="600">
        <v>1</v>
      </c>
      <c r="AT31" s="600">
        <v>4</v>
      </c>
      <c r="AZ31" s="600">
        <f t="shared" si="20"/>
        <v>14710.065210000001</v>
      </c>
      <c r="BA31" s="668" t="s">
        <v>3012</v>
      </c>
    </row>
    <row r="32" spans="2:87" ht="22.5" outlineLevel="1">
      <c r="B32" s="647">
        <f t="shared" ref="B32:B69" si="21">B31+1</f>
        <v>15</v>
      </c>
      <c r="C32" s="648" t="s">
        <v>3013</v>
      </c>
      <c r="D32" s="649" t="str">
        <f t="shared" si="14"/>
        <v>1кв 2015</v>
      </c>
      <c r="E32" s="650">
        <v>0.4</v>
      </c>
      <c r="F32" s="651">
        <v>0.04</v>
      </c>
      <c r="G32" s="652">
        <v>5</v>
      </c>
      <c r="H32" s="653"/>
      <c r="I32" s="653"/>
      <c r="J32" s="653"/>
      <c r="K32" s="653">
        <f>4336.84/1000</f>
        <v>4.3368400000000005</v>
      </c>
      <c r="L32" s="653"/>
      <c r="M32" s="653"/>
      <c r="N32" s="653"/>
      <c r="O32" s="653">
        <f>10137.61/1000</f>
        <v>10.13761</v>
      </c>
      <c r="P32" s="654">
        <v>14474.45</v>
      </c>
      <c r="Q32" s="655"/>
      <c r="R32" s="656" t="s">
        <v>2564</v>
      </c>
      <c r="S32" s="657" t="s">
        <v>3014</v>
      </c>
      <c r="T32" s="658" t="s">
        <v>2565</v>
      </c>
      <c r="U32" s="602" t="s">
        <v>2946</v>
      </c>
      <c r="V32" s="602"/>
      <c r="W32" s="602" t="s">
        <v>3008</v>
      </c>
      <c r="X32" s="602" t="s">
        <v>2947</v>
      </c>
      <c r="Y32" s="582" t="str">
        <f t="shared" si="15"/>
        <v>ВЛ-0,4 до 15 кВт (льгота)</v>
      </c>
      <c r="Z32" s="582" t="e">
        <f>IF(X32="","",CONCATENATE(Y32,"-",X32,"; ",#REF!))</f>
        <v>#REF!</v>
      </c>
      <c r="AA32" s="582"/>
      <c r="AB32" s="659">
        <f>O32*1000</f>
        <v>10137.61</v>
      </c>
      <c r="AC32" s="660">
        <f>(I32+H32)*1000</f>
        <v>0</v>
      </c>
      <c r="AD32" s="661">
        <f>K32*1000</f>
        <v>4336.84</v>
      </c>
      <c r="AE32" s="662">
        <f t="shared" si="16"/>
        <v>14474.45</v>
      </c>
      <c r="AF32" s="662" t="s">
        <v>2966</v>
      </c>
      <c r="AG32" s="663">
        <f t="shared" si="17"/>
        <v>3.67</v>
      </c>
      <c r="AH32" s="664">
        <f t="shared" si="18"/>
        <v>2762.2915531335152</v>
      </c>
      <c r="AI32" s="665">
        <f t="shared" si="18"/>
        <v>0</v>
      </c>
      <c r="AJ32" s="666">
        <f t="shared" si="18"/>
        <v>1181.7002724795641</v>
      </c>
      <c r="AK32" s="667">
        <f t="shared" si="19"/>
        <v>3943.9918256130795</v>
      </c>
      <c r="AS32" s="600">
        <v>1</v>
      </c>
      <c r="AT32" s="600">
        <v>3</v>
      </c>
      <c r="AZ32" s="600">
        <f t="shared" si="20"/>
        <v>14459.975550000001</v>
      </c>
      <c r="BA32" s="668" t="s">
        <v>3015</v>
      </c>
    </row>
    <row r="33" spans="2:54" ht="22.5" outlineLevel="1">
      <c r="B33" s="647">
        <f t="shared" si="21"/>
        <v>16</v>
      </c>
      <c r="C33" s="648" t="s">
        <v>3016</v>
      </c>
      <c r="D33" s="649" t="str">
        <f t="shared" si="14"/>
        <v>1кв 2015</v>
      </c>
      <c r="E33" s="650">
        <v>0.4</v>
      </c>
      <c r="F33" s="651">
        <v>0.04</v>
      </c>
      <c r="G33" s="652">
        <v>5</v>
      </c>
      <c r="H33" s="653"/>
      <c r="I33" s="653"/>
      <c r="J33" s="653"/>
      <c r="K33" s="653">
        <f>3828.28/1000</f>
        <v>3.8282800000000003</v>
      </c>
      <c r="L33" s="653"/>
      <c r="M33" s="653"/>
      <c r="N33" s="653"/>
      <c r="O33" s="653">
        <f>9784.82/1000</f>
        <v>9.7848199999999999</v>
      </c>
      <c r="P33" s="654">
        <v>13613.1</v>
      </c>
      <c r="Q33" s="655"/>
      <c r="R33" s="656" t="s">
        <v>2564</v>
      </c>
      <c r="S33" s="657" t="s">
        <v>3017</v>
      </c>
      <c r="T33" s="658" t="s">
        <v>2565</v>
      </c>
      <c r="U33" s="602" t="s">
        <v>2946</v>
      </c>
      <c r="V33" s="602"/>
      <c r="W33" s="602" t="s">
        <v>3008</v>
      </c>
      <c r="X33" s="602" t="s">
        <v>2947</v>
      </c>
      <c r="Y33" s="582" t="str">
        <f t="shared" si="15"/>
        <v>ВЛ-0,4 до 15 кВт (льгота)</v>
      </c>
      <c r="Z33" s="582" t="e">
        <f>IF(X33="","",CONCATENATE(Y33,"-",X33,"; ",#REF!))</f>
        <v>#REF!</v>
      </c>
      <c r="AA33" s="582"/>
      <c r="AB33" s="659">
        <f>O33*1000</f>
        <v>9784.82</v>
      </c>
      <c r="AC33" s="660">
        <f>(I33+H33)*1000</f>
        <v>0</v>
      </c>
      <c r="AD33" s="661">
        <f>K33*1000</f>
        <v>3828.28</v>
      </c>
      <c r="AE33" s="662">
        <f t="shared" si="16"/>
        <v>13613.1</v>
      </c>
      <c r="AF33" s="662" t="s">
        <v>2966</v>
      </c>
      <c r="AG33" s="663">
        <f t="shared" si="17"/>
        <v>3.67</v>
      </c>
      <c r="AH33" s="664">
        <f t="shared" si="18"/>
        <v>2666.1634877384195</v>
      </c>
      <c r="AI33" s="665">
        <f t="shared" si="18"/>
        <v>0</v>
      </c>
      <c r="AJ33" s="666">
        <f t="shared" si="18"/>
        <v>1043.1280653950955</v>
      </c>
      <c r="AK33" s="667">
        <f t="shared" si="19"/>
        <v>3709.2915531335148</v>
      </c>
      <c r="AS33" s="600">
        <v>1</v>
      </c>
      <c r="AT33" s="600">
        <v>5</v>
      </c>
      <c r="AZ33" s="600">
        <f t="shared" si="20"/>
        <v>13599.4869</v>
      </c>
      <c r="BA33" s="668" t="s">
        <v>3018</v>
      </c>
    </row>
    <row r="34" spans="2:54" ht="33.75" outlineLevel="1">
      <c r="B34" s="647">
        <f t="shared" si="21"/>
        <v>17</v>
      </c>
      <c r="C34" s="648" t="s">
        <v>3019</v>
      </c>
      <c r="D34" s="649" t="str">
        <f t="shared" si="14"/>
        <v>2кв 2015</v>
      </c>
      <c r="E34" s="650">
        <v>0.4</v>
      </c>
      <c r="F34" s="651">
        <v>0.04</v>
      </c>
      <c r="G34" s="652">
        <v>5</v>
      </c>
      <c r="H34" s="653"/>
      <c r="I34" s="653"/>
      <c r="J34" s="653"/>
      <c r="K34" s="653">
        <f>7945.61/1000</f>
        <v>7.9456099999999994</v>
      </c>
      <c r="L34" s="653"/>
      <c r="M34" s="653"/>
      <c r="N34" s="653"/>
      <c r="O34" s="653">
        <f>9235.56/1000</f>
        <v>9.2355599999999995</v>
      </c>
      <c r="P34" s="654">
        <v>17181.169999999998</v>
      </c>
      <c r="Q34" s="655"/>
      <c r="R34" s="656" t="s">
        <v>2564</v>
      </c>
      <c r="S34" s="657" t="s">
        <v>3020</v>
      </c>
      <c r="T34" s="658" t="s">
        <v>2565</v>
      </c>
      <c r="U34" s="602" t="s">
        <v>2946</v>
      </c>
      <c r="V34" s="602"/>
      <c r="W34" s="602" t="s">
        <v>3008</v>
      </c>
      <c r="X34" s="602" t="s">
        <v>2947</v>
      </c>
      <c r="Y34" s="582" t="str">
        <f t="shared" si="15"/>
        <v>ВЛ-0,4 до 15 кВт (льгота)</v>
      </c>
      <c r="Z34" s="582" t="e">
        <f>IF(X34="","",CONCATENATE(Y34,"-",X34,"; ",#REF!))</f>
        <v>#REF!</v>
      </c>
      <c r="AA34" s="582"/>
      <c r="AB34" s="659">
        <f>O34*1000</f>
        <v>9235.56</v>
      </c>
      <c r="AC34" s="660">
        <f>(I34+H34)*1000</f>
        <v>0</v>
      </c>
      <c r="AD34" s="661">
        <f>K34*1000</f>
        <v>7945.61</v>
      </c>
      <c r="AE34" s="662">
        <f t="shared" si="16"/>
        <v>17181.169999999998</v>
      </c>
      <c r="AF34" s="662" t="s">
        <v>2970</v>
      </c>
      <c r="AG34" s="663">
        <f t="shared" si="17"/>
        <v>3.67</v>
      </c>
      <c r="AH34" s="664">
        <f t="shared" si="18"/>
        <v>2516.5013623978202</v>
      </c>
      <c r="AI34" s="665">
        <f t="shared" si="18"/>
        <v>0</v>
      </c>
      <c r="AJ34" s="666">
        <f t="shared" si="18"/>
        <v>2165.0163487738419</v>
      </c>
      <c r="AK34" s="667">
        <f t="shared" si="19"/>
        <v>4681.5177111716621</v>
      </c>
      <c r="AS34" s="600">
        <v>1</v>
      </c>
      <c r="AT34" s="600">
        <v>41</v>
      </c>
      <c r="AZ34" s="600">
        <f t="shared" si="20"/>
        <v>17163.988829999998</v>
      </c>
      <c r="BA34" s="668" t="s">
        <v>3021</v>
      </c>
    </row>
    <row r="35" spans="2:54" ht="33.75" outlineLevel="1">
      <c r="B35" s="647">
        <f t="shared" si="21"/>
        <v>18</v>
      </c>
      <c r="C35" s="648" t="s">
        <v>3022</v>
      </c>
      <c r="D35" s="649" t="str">
        <f t="shared" si="14"/>
        <v>2кв 2015</v>
      </c>
      <c r="E35" s="650">
        <v>0.4</v>
      </c>
      <c r="F35" s="651">
        <v>0.16700000000000001</v>
      </c>
      <c r="G35" s="652">
        <v>5</v>
      </c>
      <c r="H35" s="653"/>
      <c r="I35" s="653">
        <f>AC35/1000</f>
        <v>0</v>
      </c>
      <c r="J35" s="653"/>
      <c r="K35" s="653">
        <f>AD35/1000</f>
        <v>24.444320000000001</v>
      </c>
      <c r="L35" s="653"/>
      <c r="M35" s="653"/>
      <c r="N35" s="653"/>
      <c r="O35" s="653">
        <f>AB35/1000</f>
        <v>86.154790000000006</v>
      </c>
      <c r="P35" s="705">
        <v>110599.11</v>
      </c>
      <c r="Q35" s="655"/>
      <c r="R35" s="656" t="s">
        <v>2564</v>
      </c>
      <c r="S35" s="657" t="s">
        <v>3023</v>
      </c>
      <c r="T35" s="658" t="s">
        <v>2565</v>
      </c>
      <c r="U35" s="602" t="s">
        <v>2946</v>
      </c>
      <c r="V35" s="602"/>
      <c r="W35" s="602" t="s">
        <v>3008</v>
      </c>
      <c r="X35" s="602" t="s">
        <v>2947</v>
      </c>
      <c r="Y35" s="582" t="str">
        <f t="shared" si="15"/>
        <v>ВЛ-0,4 до 15 кВт (льгота)</v>
      </c>
      <c r="Z35" s="582" t="e">
        <f>IF(X35="","",CONCATENATE(Y35,"-",X35,"; ",#REF!))</f>
        <v>#REF!</v>
      </c>
      <c r="AA35" s="582"/>
      <c r="AB35" s="669">
        <f>86.15479*1000</f>
        <v>86154.790000000008</v>
      </c>
      <c r="AC35" s="670">
        <v>0</v>
      </c>
      <c r="AD35" s="671">
        <f>(24.34562+0.0987)*1000</f>
        <v>24444.32</v>
      </c>
      <c r="AE35" s="672">
        <f t="shared" si="16"/>
        <v>110599.11000000002</v>
      </c>
      <c r="AF35" s="662" t="s">
        <v>2970</v>
      </c>
      <c r="AG35" s="663">
        <f t="shared" si="17"/>
        <v>3.67</v>
      </c>
      <c r="AH35" s="664">
        <f t="shared" si="18"/>
        <v>23475.419618528613</v>
      </c>
      <c r="AI35" s="665">
        <f t="shared" si="18"/>
        <v>0</v>
      </c>
      <c r="AJ35" s="666">
        <f t="shared" si="18"/>
        <v>6660.5776566757495</v>
      </c>
      <c r="AK35" s="667">
        <f t="shared" si="19"/>
        <v>30135.997275204361</v>
      </c>
      <c r="AS35" s="600">
        <v>1</v>
      </c>
      <c r="AT35" s="600">
        <v>26</v>
      </c>
      <c r="AZ35" s="600">
        <f t="shared" si="20"/>
        <v>110488.51089000001</v>
      </c>
      <c r="BA35" s="673" t="s">
        <v>3024</v>
      </c>
      <c r="BB35" s="600">
        <v>110.50040999999999</v>
      </c>
    </row>
    <row r="36" spans="2:54" ht="39" customHeight="1" outlineLevel="1">
      <c r="B36" s="647">
        <f t="shared" si="21"/>
        <v>19</v>
      </c>
      <c r="C36" s="648" t="s">
        <v>3347</v>
      </c>
      <c r="D36" s="649" t="str">
        <f t="shared" si="14"/>
        <v>2кв 2015</v>
      </c>
      <c r="E36" s="650">
        <v>0.4</v>
      </c>
      <c r="F36" s="651">
        <v>0.05</v>
      </c>
      <c r="G36" s="708">
        <v>10</v>
      </c>
      <c r="H36" s="653"/>
      <c r="I36" s="653">
        <f t="shared" ref="I36:I41" si="22">AC36/1000</f>
        <v>0</v>
      </c>
      <c r="J36" s="653"/>
      <c r="K36" s="653">
        <f t="shared" ref="K36:K41" si="23">AD36/1000</f>
        <v>7.1138500000000002</v>
      </c>
      <c r="L36" s="653"/>
      <c r="M36" s="653"/>
      <c r="N36" s="653"/>
      <c r="O36" s="653">
        <f t="shared" ref="O36:O41" si="24">AB36/1000</f>
        <v>20.46565</v>
      </c>
      <c r="P36" s="654">
        <v>27579.5</v>
      </c>
      <c r="Q36" s="655"/>
      <c r="R36" s="656" t="s">
        <v>2564</v>
      </c>
      <c r="S36" s="657" t="s">
        <v>3025</v>
      </c>
      <c r="T36" s="658" t="s">
        <v>2565</v>
      </c>
      <c r="U36" s="602" t="s">
        <v>2946</v>
      </c>
      <c r="V36" s="602"/>
      <c r="W36" s="602" t="s">
        <v>3008</v>
      </c>
      <c r="X36" s="602" t="s">
        <v>2947</v>
      </c>
      <c r="Y36" s="582" t="str">
        <f t="shared" si="15"/>
        <v>ВЛ-0,4 до 15 кВт (льгота)</v>
      </c>
      <c r="Z36" s="582" t="e">
        <f>IF(X36="","",CONCATENATE(Y36,"-",X36,"; ",#REF!))</f>
        <v>#REF!</v>
      </c>
      <c r="AA36" s="582"/>
      <c r="AB36" s="669">
        <v>20465.650000000001</v>
      </c>
      <c r="AC36" s="670">
        <v>0</v>
      </c>
      <c r="AD36" s="671">
        <v>7113.85</v>
      </c>
      <c r="AE36" s="672">
        <f t="shared" si="16"/>
        <v>27579.5</v>
      </c>
      <c r="AF36" s="662" t="s">
        <v>2970</v>
      </c>
      <c r="AG36" s="663">
        <f t="shared" si="17"/>
        <v>3.67</v>
      </c>
      <c r="AH36" s="664">
        <f t="shared" si="18"/>
        <v>5576.471389645777</v>
      </c>
      <c r="AI36" s="665">
        <f t="shared" si="18"/>
        <v>0</v>
      </c>
      <c r="AJ36" s="666">
        <f t="shared" si="18"/>
        <v>1938.3787465940056</v>
      </c>
      <c r="AK36" s="667">
        <f t="shared" si="19"/>
        <v>7514.8501362397828</v>
      </c>
      <c r="AS36" s="600">
        <v>1</v>
      </c>
      <c r="AT36" s="600">
        <v>27</v>
      </c>
      <c r="AZ36" s="600">
        <f t="shared" si="20"/>
        <v>27551.9205</v>
      </c>
      <c r="BA36" s="603" t="s">
        <v>3026</v>
      </c>
    </row>
    <row r="37" spans="2:54" ht="22.5" outlineLevel="1">
      <c r="B37" s="647">
        <f t="shared" si="21"/>
        <v>20</v>
      </c>
      <c r="C37" s="648" t="s">
        <v>3027</v>
      </c>
      <c r="D37" s="649" t="str">
        <f t="shared" si="14"/>
        <v>2кв 2015</v>
      </c>
      <c r="E37" s="650">
        <v>0.4</v>
      </c>
      <c r="F37" s="651">
        <v>0.03</v>
      </c>
      <c r="G37" s="652">
        <v>5</v>
      </c>
      <c r="H37" s="653"/>
      <c r="I37" s="653">
        <f t="shared" si="22"/>
        <v>0</v>
      </c>
      <c r="J37" s="653"/>
      <c r="K37" s="653">
        <f t="shared" si="23"/>
        <v>2.6804999999999999</v>
      </c>
      <c r="L37" s="653"/>
      <c r="M37" s="653"/>
      <c r="N37" s="653"/>
      <c r="O37" s="653">
        <f t="shared" si="24"/>
        <v>11.265879999999999</v>
      </c>
      <c r="P37" s="705">
        <v>13946.38</v>
      </c>
      <c r="Q37" s="655"/>
      <c r="R37" s="656" t="s">
        <v>2564</v>
      </c>
      <c r="S37" s="657" t="s">
        <v>3028</v>
      </c>
      <c r="T37" s="658" t="s">
        <v>2565</v>
      </c>
      <c r="U37" s="602" t="s">
        <v>2946</v>
      </c>
      <c r="V37" s="602"/>
      <c r="W37" s="602" t="s">
        <v>3008</v>
      </c>
      <c r="X37" s="602" t="s">
        <v>2947</v>
      </c>
      <c r="Y37" s="582" t="str">
        <f t="shared" si="15"/>
        <v>ВЛ-0,4 до 15 кВт (льгота)</v>
      </c>
      <c r="Z37" s="582" t="e">
        <f>IF(X37="","",CONCATENATE(Y37,"-",X37,"; ",#REF!))</f>
        <v>#REF!</v>
      </c>
      <c r="AA37" s="582"/>
      <c r="AB37" s="669">
        <v>11265.88</v>
      </c>
      <c r="AC37" s="670">
        <v>0</v>
      </c>
      <c r="AD37" s="671">
        <v>2680.5</v>
      </c>
      <c r="AE37" s="672">
        <f t="shared" si="16"/>
        <v>13946.38</v>
      </c>
      <c r="AF37" s="662" t="s">
        <v>2970</v>
      </c>
      <c r="AG37" s="663">
        <f t="shared" si="17"/>
        <v>3.67</v>
      </c>
      <c r="AH37" s="664">
        <f t="shared" si="18"/>
        <v>3069.7220708446866</v>
      </c>
      <c r="AI37" s="665">
        <f t="shared" si="18"/>
        <v>0</v>
      </c>
      <c r="AJ37" s="666">
        <f t="shared" si="18"/>
        <v>730.38147138964575</v>
      </c>
      <c r="AK37" s="667">
        <f t="shared" si="19"/>
        <v>3800.1035422343325</v>
      </c>
      <c r="AS37" s="600">
        <v>1</v>
      </c>
      <c r="AT37" s="600" t="s">
        <v>3029</v>
      </c>
      <c r="AZ37" s="600">
        <f t="shared" si="20"/>
        <v>13932.43362</v>
      </c>
      <c r="BA37" s="673" t="s">
        <v>3030</v>
      </c>
    </row>
    <row r="38" spans="2:54" ht="22.5" outlineLevel="1">
      <c r="B38" s="647">
        <f t="shared" si="21"/>
        <v>21</v>
      </c>
      <c r="C38" s="648" t="s">
        <v>3031</v>
      </c>
      <c r="D38" s="649" t="str">
        <f t="shared" si="14"/>
        <v>2кв 2015</v>
      </c>
      <c r="E38" s="650">
        <v>0.4</v>
      </c>
      <c r="F38" s="651">
        <v>0.02</v>
      </c>
      <c r="G38" s="652">
        <v>5</v>
      </c>
      <c r="H38" s="653"/>
      <c r="I38" s="653">
        <f t="shared" si="22"/>
        <v>0</v>
      </c>
      <c r="J38" s="653"/>
      <c r="K38" s="653">
        <f t="shared" si="23"/>
        <v>4.8549300000000004</v>
      </c>
      <c r="L38" s="653"/>
      <c r="M38" s="653"/>
      <c r="N38" s="653"/>
      <c r="O38" s="653">
        <f t="shared" si="24"/>
        <v>11.217799999999999</v>
      </c>
      <c r="P38" s="654">
        <v>16072.73</v>
      </c>
      <c r="Q38" s="655"/>
      <c r="R38" s="656" t="s">
        <v>2564</v>
      </c>
      <c r="S38" s="657" t="s">
        <v>3032</v>
      </c>
      <c r="T38" s="658" t="s">
        <v>2565</v>
      </c>
      <c r="U38" s="602" t="s">
        <v>2946</v>
      </c>
      <c r="V38" s="602"/>
      <c r="W38" s="602" t="s">
        <v>3008</v>
      </c>
      <c r="X38" s="602" t="s">
        <v>2947</v>
      </c>
      <c r="Y38" s="582" t="str">
        <f t="shared" si="15"/>
        <v>ВЛ-0,4 до 15 кВт (льгота)</v>
      </c>
      <c r="Z38" s="582" t="e">
        <f>IF(X38="","",CONCATENATE(Y38,"-",X38,"; ",#REF!))</f>
        <v>#REF!</v>
      </c>
      <c r="AA38" s="582"/>
      <c r="AB38" s="669">
        <v>11217.8</v>
      </c>
      <c r="AC38" s="670">
        <v>0</v>
      </c>
      <c r="AD38" s="671">
        <v>4854.93</v>
      </c>
      <c r="AE38" s="672">
        <f t="shared" si="16"/>
        <v>16072.73</v>
      </c>
      <c r="AF38" s="662" t="s">
        <v>2970</v>
      </c>
      <c r="AG38" s="663">
        <f t="shared" si="17"/>
        <v>3.67</v>
      </c>
      <c r="AH38" s="664">
        <f t="shared" si="18"/>
        <v>3056.6212534059946</v>
      </c>
      <c r="AI38" s="665">
        <f t="shared" si="18"/>
        <v>0</v>
      </c>
      <c r="AJ38" s="666">
        <f t="shared" si="18"/>
        <v>1322.8692098092645</v>
      </c>
      <c r="AK38" s="667">
        <f t="shared" si="19"/>
        <v>4379.4904632152593</v>
      </c>
      <c r="AS38" s="600">
        <v>1</v>
      </c>
      <c r="AT38" s="600">
        <v>30</v>
      </c>
      <c r="AZ38" s="600">
        <f t="shared" si="20"/>
        <v>16056.65727</v>
      </c>
      <c r="BA38" s="603" t="s">
        <v>3033</v>
      </c>
    </row>
    <row r="39" spans="2:54" ht="22.5" outlineLevel="1">
      <c r="B39" s="647">
        <f t="shared" si="21"/>
        <v>22</v>
      </c>
      <c r="C39" s="648" t="s">
        <v>3034</v>
      </c>
      <c r="D39" s="649" t="str">
        <f t="shared" si="14"/>
        <v>2кв 2015</v>
      </c>
      <c r="E39" s="650">
        <v>0.4</v>
      </c>
      <c r="F39" s="651">
        <v>0.05</v>
      </c>
      <c r="G39" s="652">
        <v>5</v>
      </c>
      <c r="H39" s="653"/>
      <c r="I39" s="653">
        <f t="shared" si="22"/>
        <v>0</v>
      </c>
      <c r="J39" s="653"/>
      <c r="K39" s="653">
        <f t="shared" si="23"/>
        <v>7.0555699999999995</v>
      </c>
      <c r="L39" s="653"/>
      <c r="M39" s="653"/>
      <c r="N39" s="653"/>
      <c r="O39" s="653">
        <f t="shared" si="24"/>
        <v>20.04027</v>
      </c>
      <c r="P39" s="654">
        <v>27095.84</v>
      </c>
      <c r="Q39" s="655"/>
      <c r="R39" s="656" t="s">
        <v>2564</v>
      </c>
      <c r="S39" s="657" t="s">
        <v>3035</v>
      </c>
      <c r="T39" s="658" t="s">
        <v>2565</v>
      </c>
      <c r="U39" s="602" t="s">
        <v>2946</v>
      </c>
      <c r="V39" s="602"/>
      <c r="W39" s="602" t="s">
        <v>3008</v>
      </c>
      <c r="X39" s="602" t="s">
        <v>2947</v>
      </c>
      <c r="Y39" s="582" t="str">
        <f t="shared" si="15"/>
        <v>ВЛ-0,4 до 15 кВт (льгота)</v>
      </c>
      <c r="Z39" s="582" t="e">
        <f>IF(X39="","",CONCATENATE(Y39,"-",X39,"; ",#REF!))</f>
        <v>#REF!</v>
      </c>
      <c r="AA39" s="582"/>
      <c r="AB39" s="669">
        <v>20040.27</v>
      </c>
      <c r="AC39" s="670">
        <v>0</v>
      </c>
      <c r="AD39" s="671">
        <v>7055.57</v>
      </c>
      <c r="AE39" s="672">
        <f t="shared" si="16"/>
        <v>27095.84</v>
      </c>
      <c r="AF39" s="662" t="s">
        <v>2970</v>
      </c>
      <c r="AG39" s="663">
        <f t="shared" si="17"/>
        <v>3.67</v>
      </c>
      <c r="AH39" s="664">
        <f t="shared" si="18"/>
        <v>5460.5640326975481</v>
      </c>
      <c r="AI39" s="665">
        <f t="shared" si="18"/>
        <v>0</v>
      </c>
      <c r="AJ39" s="666">
        <f t="shared" si="18"/>
        <v>1922.4986376021798</v>
      </c>
      <c r="AK39" s="667">
        <f t="shared" si="19"/>
        <v>7383.0626702997279</v>
      </c>
      <c r="AS39" s="600">
        <v>1</v>
      </c>
      <c r="AT39" s="600">
        <v>31</v>
      </c>
      <c r="AZ39" s="600">
        <f t="shared" si="20"/>
        <v>27068.744159999998</v>
      </c>
      <c r="BA39" s="603" t="s">
        <v>3036</v>
      </c>
    </row>
    <row r="40" spans="2:54" ht="33.75" outlineLevel="1">
      <c r="B40" s="647">
        <f t="shared" si="21"/>
        <v>23</v>
      </c>
      <c r="C40" s="648" t="s">
        <v>3037</v>
      </c>
      <c r="D40" s="649" t="str">
        <f t="shared" si="14"/>
        <v>2кв 2015</v>
      </c>
      <c r="E40" s="650">
        <v>0.4</v>
      </c>
      <c r="F40" s="651">
        <v>2.5000000000000001E-2</v>
      </c>
      <c r="G40" s="652">
        <v>5</v>
      </c>
      <c r="H40" s="653"/>
      <c r="I40" s="653">
        <f t="shared" si="22"/>
        <v>0</v>
      </c>
      <c r="J40" s="653"/>
      <c r="K40" s="653">
        <f t="shared" si="23"/>
        <v>4.5214499999999997</v>
      </c>
      <c r="L40" s="653"/>
      <c r="M40" s="653"/>
      <c r="N40" s="653"/>
      <c r="O40" s="653">
        <f t="shared" si="24"/>
        <v>11.324009999999999</v>
      </c>
      <c r="P40" s="654">
        <v>15845.46</v>
      </c>
      <c r="Q40" s="655"/>
      <c r="R40" s="656" t="s">
        <v>2564</v>
      </c>
      <c r="S40" s="657" t="s">
        <v>3038</v>
      </c>
      <c r="T40" s="658" t="s">
        <v>2565</v>
      </c>
      <c r="U40" s="602" t="s">
        <v>2946</v>
      </c>
      <c r="V40" s="602"/>
      <c r="W40" s="602" t="s">
        <v>3008</v>
      </c>
      <c r="X40" s="602" t="s">
        <v>2947</v>
      </c>
      <c r="Y40" s="582" t="str">
        <f t="shared" si="15"/>
        <v>ВЛ-0,4 до 15 кВт (льгота)</v>
      </c>
      <c r="Z40" s="582" t="e">
        <f>IF(X40="","",CONCATENATE(Y40,"-",X40,"; ",#REF!))</f>
        <v>#REF!</v>
      </c>
      <c r="AA40" s="582"/>
      <c r="AB40" s="669">
        <v>11324.01</v>
      </c>
      <c r="AC40" s="670">
        <v>0</v>
      </c>
      <c r="AD40" s="671">
        <v>4521.45</v>
      </c>
      <c r="AE40" s="672">
        <f t="shared" si="16"/>
        <v>15845.46</v>
      </c>
      <c r="AF40" s="662" t="s">
        <v>2970</v>
      </c>
      <c r="AG40" s="663">
        <f t="shared" si="17"/>
        <v>3.67</v>
      </c>
      <c r="AH40" s="664">
        <f t="shared" si="18"/>
        <v>3085.5613079019076</v>
      </c>
      <c r="AI40" s="665">
        <f t="shared" si="18"/>
        <v>0</v>
      </c>
      <c r="AJ40" s="666">
        <f t="shared" si="18"/>
        <v>1232.0027247956402</v>
      </c>
      <c r="AK40" s="667">
        <f t="shared" si="19"/>
        <v>4317.5640326975481</v>
      </c>
      <c r="AS40" s="600">
        <v>1</v>
      </c>
      <c r="AT40" s="600">
        <v>32</v>
      </c>
      <c r="AZ40" s="600">
        <f t="shared" si="20"/>
        <v>15829.614539999999</v>
      </c>
      <c r="BA40" s="603" t="s">
        <v>3039</v>
      </c>
    </row>
    <row r="41" spans="2:54" ht="22.5" outlineLevel="1">
      <c r="B41" s="647">
        <f t="shared" si="21"/>
        <v>24</v>
      </c>
      <c r="C41" s="648" t="s">
        <v>3040</v>
      </c>
      <c r="D41" s="649" t="str">
        <f t="shared" si="14"/>
        <v>2кв 2015</v>
      </c>
      <c r="E41" s="650">
        <v>0.4</v>
      </c>
      <c r="F41" s="651">
        <v>0.04</v>
      </c>
      <c r="G41" s="652">
        <v>5</v>
      </c>
      <c r="H41" s="653"/>
      <c r="I41" s="653">
        <f t="shared" si="22"/>
        <v>0</v>
      </c>
      <c r="J41" s="653"/>
      <c r="K41" s="653">
        <f t="shared" si="23"/>
        <v>2.6830500000000002</v>
      </c>
      <c r="L41" s="653"/>
      <c r="M41" s="653"/>
      <c r="N41" s="653"/>
      <c r="O41" s="653">
        <f t="shared" si="24"/>
        <v>11.183440000000001</v>
      </c>
      <c r="P41" s="714">
        <v>13866.49</v>
      </c>
      <c r="Q41" s="655"/>
      <c r="R41" s="656" t="s">
        <v>2564</v>
      </c>
      <c r="S41" s="657" t="s">
        <v>3041</v>
      </c>
      <c r="T41" s="658" t="s">
        <v>2565</v>
      </c>
      <c r="U41" s="602" t="s">
        <v>2946</v>
      </c>
      <c r="V41" s="602"/>
      <c r="W41" s="602" t="s">
        <v>3008</v>
      </c>
      <c r="X41" s="602" t="s">
        <v>2947</v>
      </c>
      <c r="Y41" s="582" t="str">
        <f t="shared" si="15"/>
        <v>ВЛ-0,4 до 15 кВт (льгота)</v>
      </c>
      <c r="Z41" s="582" t="e">
        <f>IF(X41="","",CONCATENATE(Y41,"-",X41,"; ",#REF!))</f>
        <v>#REF!</v>
      </c>
      <c r="AA41" s="582"/>
      <c r="AB41" s="669">
        <v>11183.44</v>
      </c>
      <c r="AC41" s="670">
        <v>0</v>
      </c>
      <c r="AD41" s="671">
        <v>2683.05</v>
      </c>
      <c r="AE41" s="672">
        <f t="shared" si="16"/>
        <v>13866.490000000002</v>
      </c>
      <c r="AF41" s="662" t="s">
        <v>2970</v>
      </c>
      <c r="AG41" s="663">
        <f t="shared" si="17"/>
        <v>3.67</v>
      </c>
      <c r="AH41" s="664">
        <f t="shared" si="18"/>
        <v>3047.258855585831</v>
      </c>
      <c r="AI41" s="665">
        <f t="shared" si="18"/>
        <v>0</v>
      </c>
      <c r="AJ41" s="666">
        <f t="shared" si="18"/>
        <v>731.07629427792926</v>
      </c>
      <c r="AK41" s="667">
        <f t="shared" si="19"/>
        <v>3778.3351498637603</v>
      </c>
      <c r="AS41" s="600">
        <v>1</v>
      </c>
      <c r="AT41" s="600" t="s">
        <v>2971</v>
      </c>
      <c r="AZ41" s="600">
        <f t="shared" si="20"/>
        <v>13852.623509999999</v>
      </c>
      <c r="BA41" s="673" t="s">
        <v>3042</v>
      </c>
    </row>
    <row r="42" spans="2:54" ht="33.75" outlineLevel="1">
      <c r="B42" s="647">
        <f t="shared" si="21"/>
        <v>25</v>
      </c>
      <c r="C42" s="648" t="s">
        <v>3348</v>
      </c>
      <c r="D42" s="649" t="str">
        <f t="shared" si="14"/>
        <v>3кв 2015</v>
      </c>
      <c r="E42" s="650">
        <v>0.4</v>
      </c>
      <c r="F42" s="651">
        <v>0.1</v>
      </c>
      <c r="G42" s="652">
        <v>0.1</v>
      </c>
      <c r="H42" s="653"/>
      <c r="I42" s="653"/>
      <c r="J42" s="653"/>
      <c r="K42" s="653">
        <f>7550.21/1000</f>
        <v>7.5502099999999999</v>
      </c>
      <c r="L42" s="653"/>
      <c r="M42" s="653"/>
      <c r="N42" s="653"/>
      <c r="O42" s="653">
        <f>19849.29/1000</f>
        <v>19.84929</v>
      </c>
      <c r="P42" s="654">
        <v>27399.5</v>
      </c>
      <c r="Q42" s="655"/>
      <c r="R42" s="656" t="s">
        <v>2564</v>
      </c>
      <c r="S42" s="657" t="s">
        <v>3043</v>
      </c>
      <c r="T42" s="658" t="s">
        <v>2565</v>
      </c>
      <c r="U42" s="602" t="s">
        <v>2946</v>
      </c>
      <c r="V42" s="602"/>
      <c r="W42" s="602" t="s">
        <v>3008</v>
      </c>
      <c r="X42" s="602" t="s">
        <v>2947</v>
      </c>
      <c r="Y42" s="582" t="str">
        <f t="shared" si="15"/>
        <v>ВЛ-0,4 до 15 кВт (льгота)</v>
      </c>
      <c r="Z42" s="582" t="e">
        <f>IF(X42="","",CONCATENATE(Y42,"-",X42,"; ",#REF!))</f>
        <v>#REF!</v>
      </c>
      <c r="AA42" s="582"/>
      <c r="AB42" s="659">
        <f t="shared" ref="AB42:AB57" si="25">O42*1000</f>
        <v>19849.29</v>
      </c>
      <c r="AC42" s="660">
        <f t="shared" ref="AC42:AC57" si="26">(I42+H42)*1000</f>
        <v>0</v>
      </c>
      <c r="AD42" s="661">
        <f t="shared" ref="AD42:AD57" si="27">K42*1000</f>
        <v>7550.21</v>
      </c>
      <c r="AE42" s="662">
        <f t="shared" si="16"/>
        <v>27399.5</v>
      </c>
      <c r="AF42" s="662" t="s">
        <v>3044</v>
      </c>
      <c r="AG42" s="663">
        <f t="shared" si="17"/>
        <v>3.8</v>
      </c>
      <c r="AH42" s="664">
        <f t="shared" si="18"/>
        <v>5223.4973684210527</v>
      </c>
      <c r="AI42" s="665">
        <f t="shared" si="18"/>
        <v>0</v>
      </c>
      <c r="AJ42" s="666">
        <f t="shared" si="18"/>
        <v>1986.8973684210528</v>
      </c>
      <c r="AK42" s="667">
        <f t="shared" si="19"/>
        <v>7210.394736842105</v>
      </c>
      <c r="AS42" s="600">
        <v>1</v>
      </c>
      <c r="AT42" s="600">
        <v>50</v>
      </c>
      <c r="AZ42" s="600">
        <f t="shared" si="20"/>
        <v>27372.1005</v>
      </c>
      <c r="BA42" s="668" t="s">
        <v>731</v>
      </c>
    </row>
    <row r="43" spans="2:54" ht="33.75" outlineLevel="1">
      <c r="B43" s="647">
        <f t="shared" si="21"/>
        <v>26</v>
      </c>
      <c r="C43" s="648" t="s">
        <v>3045</v>
      </c>
      <c r="D43" s="649" t="str">
        <f t="shared" si="14"/>
        <v>4кв 2015</v>
      </c>
      <c r="E43" s="650">
        <v>0.4</v>
      </c>
      <c r="F43" s="651">
        <v>0.03</v>
      </c>
      <c r="G43" s="652">
        <v>5</v>
      </c>
      <c r="H43" s="653"/>
      <c r="I43" s="653"/>
      <c r="J43" s="653"/>
      <c r="K43" s="653">
        <f>1706.44/1000</f>
        <v>1.70644</v>
      </c>
      <c r="L43" s="653"/>
      <c r="M43" s="653"/>
      <c r="N43" s="653"/>
      <c r="O43" s="653">
        <f>14142.99/1000</f>
        <v>14.142989999999999</v>
      </c>
      <c r="P43" s="654">
        <v>15849.43</v>
      </c>
      <c r="Q43" s="655"/>
      <c r="R43" s="656" t="s">
        <v>2564</v>
      </c>
      <c r="S43" s="657" t="s">
        <v>3046</v>
      </c>
      <c r="T43" s="658" t="s">
        <v>2565</v>
      </c>
      <c r="U43" s="602" t="s">
        <v>2946</v>
      </c>
      <c r="V43" s="602"/>
      <c r="W43" s="602" t="s">
        <v>3008</v>
      </c>
      <c r="X43" s="602" t="s">
        <v>2947</v>
      </c>
      <c r="Y43" s="582" t="str">
        <f t="shared" si="15"/>
        <v>ВЛ-0,4 до 15 кВт (льгота)</v>
      </c>
      <c r="Z43" s="582" t="e">
        <f>IF(X43="","",CONCATENATE(Y43,"-",X43,"; ",#REF!))</f>
        <v>#REF!</v>
      </c>
      <c r="AA43" s="582"/>
      <c r="AB43" s="659">
        <f t="shared" si="25"/>
        <v>14142.99</v>
      </c>
      <c r="AC43" s="660">
        <f t="shared" si="26"/>
        <v>0</v>
      </c>
      <c r="AD43" s="661">
        <f t="shared" si="27"/>
        <v>1706.44</v>
      </c>
      <c r="AE43" s="662">
        <f t="shared" si="16"/>
        <v>15849.43</v>
      </c>
      <c r="AF43" s="662" t="s">
        <v>2981</v>
      </c>
      <c r="AG43" s="663">
        <f t="shared" si="17"/>
        <v>3.87</v>
      </c>
      <c r="AH43" s="664">
        <f t="shared" si="18"/>
        <v>3654.5193798449609</v>
      </c>
      <c r="AI43" s="665">
        <f t="shared" si="18"/>
        <v>0</v>
      </c>
      <c r="AJ43" s="666">
        <f t="shared" si="18"/>
        <v>440.94056847545221</v>
      </c>
      <c r="AK43" s="667">
        <f t="shared" si="19"/>
        <v>4095.4599483204129</v>
      </c>
      <c r="AS43" s="600">
        <v>1</v>
      </c>
      <c r="AZ43" s="600">
        <f t="shared" si="20"/>
        <v>15833.58057</v>
      </c>
      <c r="BA43" s="668" t="s">
        <v>3047</v>
      </c>
    </row>
    <row r="44" spans="2:54" ht="33.75" outlineLevel="1">
      <c r="B44" s="647">
        <f t="shared" si="21"/>
        <v>27</v>
      </c>
      <c r="C44" s="648" t="s">
        <v>3048</v>
      </c>
      <c r="D44" s="649" t="str">
        <f t="shared" si="14"/>
        <v>4кв 2015</v>
      </c>
      <c r="E44" s="650">
        <v>0.4</v>
      </c>
      <c r="F44" s="651">
        <v>0.105</v>
      </c>
      <c r="G44" s="652">
        <v>5</v>
      </c>
      <c r="H44" s="653"/>
      <c r="I44" s="653"/>
      <c r="J44" s="653"/>
      <c r="K44" s="653">
        <f>1796.71/1000</f>
        <v>1.79671</v>
      </c>
      <c r="L44" s="653"/>
      <c r="M44" s="653"/>
      <c r="N44" s="653"/>
      <c r="O44" s="653">
        <f>49965.12/1000</f>
        <v>49.965120000000006</v>
      </c>
      <c r="P44" s="654">
        <v>51761.83</v>
      </c>
      <c r="Q44" s="655"/>
      <c r="R44" s="656" t="s">
        <v>2564</v>
      </c>
      <c r="S44" s="657" t="s">
        <v>3049</v>
      </c>
      <c r="T44" s="658" t="s">
        <v>2565</v>
      </c>
      <c r="U44" s="602" t="s">
        <v>2946</v>
      </c>
      <c r="V44" s="602"/>
      <c r="W44" s="602" t="s">
        <v>3008</v>
      </c>
      <c r="X44" s="602" t="s">
        <v>2947</v>
      </c>
      <c r="Y44" s="582" t="str">
        <f t="shared" si="15"/>
        <v>ВЛ-0,4 до 15 кВт (льгота)</v>
      </c>
      <c r="Z44" s="582" t="e">
        <f>IF(X44="","",CONCATENATE(Y44,"-",X44,"; ",#REF!))</f>
        <v>#REF!</v>
      </c>
      <c r="AA44" s="582"/>
      <c r="AB44" s="659">
        <f t="shared" si="25"/>
        <v>49965.120000000003</v>
      </c>
      <c r="AC44" s="660">
        <f t="shared" si="26"/>
        <v>0</v>
      </c>
      <c r="AD44" s="661">
        <f t="shared" si="27"/>
        <v>1796.71</v>
      </c>
      <c r="AE44" s="662">
        <f t="shared" si="16"/>
        <v>51761.83</v>
      </c>
      <c r="AF44" s="662" t="s">
        <v>2981</v>
      </c>
      <c r="AG44" s="663">
        <f t="shared" si="17"/>
        <v>3.87</v>
      </c>
      <c r="AH44" s="664">
        <f t="shared" si="18"/>
        <v>12910.883720930233</v>
      </c>
      <c r="AI44" s="665">
        <f t="shared" si="18"/>
        <v>0</v>
      </c>
      <c r="AJ44" s="666">
        <f t="shared" si="18"/>
        <v>464.26614987080103</v>
      </c>
      <c r="AK44" s="667">
        <f t="shared" si="19"/>
        <v>13375.149870801033</v>
      </c>
      <c r="AS44" s="600">
        <v>1</v>
      </c>
      <c r="AT44" s="600">
        <v>71</v>
      </c>
      <c r="AZ44" s="600">
        <f t="shared" si="20"/>
        <v>51710.068169999999</v>
      </c>
      <c r="BA44" s="668" t="s">
        <v>3050</v>
      </c>
    </row>
    <row r="45" spans="2:54" ht="33.75" outlineLevel="1">
      <c r="B45" s="706">
        <f t="shared" si="21"/>
        <v>28</v>
      </c>
      <c r="C45" s="648" t="s">
        <v>3051</v>
      </c>
      <c r="D45" s="649" t="str">
        <f t="shared" si="14"/>
        <v>4кв 2015</v>
      </c>
      <c r="E45" s="650">
        <v>0.4</v>
      </c>
      <c r="F45" s="651">
        <v>0.378</v>
      </c>
      <c r="G45" s="708">
        <v>3.17</v>
      </c>
      <c r="H45" s="653"/>
      <c r="I45" s="653"/>
      <c r="J45" s="653"/>
      <c r="K45" s="653">
        <f>33467.97/1000</f>
        <v>33.467970000000001</v>
      </c>
      <c r="L45" s="653"/>
      <c r="M45" s="653"/>
      <c r="N45" s="653"/>
      <c r="O45" s="653">
        <f>47264.1/1000</f>
        <v>47.264099999999999</v>
      </c>
      <c r="P45" s="654">
        <v>80732.070000000007</v>
      </c>
      <c r="Q45" s="655"/>
      <c r="R45" s="656" t="s">
        <v>2564</v>
      </c>
      <c r="S45" s="657" t="s">
        <v>3052</v>
      </c>
      <c r="T45" s="658" t="s">
        <v>2565</v>
      </c>
      <c r="U45" s="602" t="s">
        <v>2946</v>
      </c>
      <c r="V45" s="602"/>
      <c r="W45" s="602" t="s">
        <v>3008</v>
      </c>
      <c r="X45" s="602" t="s">
        <v>2947</v>
      </c>
      <c r="Y45" s="582" t="str">
        <f t="shared" si="15"/>
        <v>ВЛ-0,4 до 15 кВт (льгота)</v>
      </c>
      <c r="Z45" s="582" t="e">
        <f>IF(X45="","",CONCATENATE(Y45,"-",X45,"; ",#REF!))</f>
        <v>#REF!</v>
      </c>
      <c r="AA45" s="582"/>
      <c r="AB45" s="659">
        <f t="shared" si="25"/>
        <v>47264.1</v>
      </c>
      <c r="AC45" s="660">
        <f t="shared" si="26"/>
        <v>0</v>
      </c>
      <c r="AD45" s="661">
        <f t="shared" si="27"/>
        <v>33467.97</v>
      </c>
      <c r="AE45" s="662">
        <f t="shared" si="16"/>
        <v>80732.070000000007</v>
      </c>
      <c r="AF45" s="662" t="s">
        <v>2981</v>
      </c>
      <c r="AG45" s="663">
        <f t="shared" si="17"/>
        <v>3.87</v>
      </c>
      <c r="AH45" s="664">
        <f t="shared" si="18"/>
        <v>12212.945736434107</v>
      </c>
      <c r="AI45" s="665">
        <f t="shared" si="18"/>
        <v>0</v>
      </c>
      <c r="AJ45" s="666">
        <f t="shared" si="18"/>
        <v>8648.0542635658912</v>
      </c>
      <c r="AK45" s="667">
        <f t="shared" si="19"/>
        <v>20861</v>
      </c>
      <c r="AS45" s="600">
        <v>1</v>
      </c>
      <c r="AT45" s="600">
        <v>64</v>
      </c>
      <c r="AZ45" s="600">
        <f t="shared" si="20"/>
        <v>80651.337930000009</v>
      </c>
      <c r="BA45" s="668" t="s">
        <v>3053</v>
      </c>
    </row>
    <row r="46" spans="2:54" ht="33.75" outlineLevel="1">
      <c r="B46" s="647">
        <f t="shared" si="21"/>
        <v>29</v>
      </c>
      <c r="C46" s="648" t="s">
        <v>3054</v>
      </c>
      <c r="D46" s="649" t="str">
        <f t="shared" si="14"/>
        <v>4кв 2015</v>
      </c>
      <c r="E46" s="650">
        <v>0.4</v>
      </c>
      <c r="F46" s="651">
        <v>2.5000000000000001E-2</v>
      </c>
      <c r="G46" s="652">
        <v>5</v>
      </c>
      <c r="H46" s="653"/>
      <c r="I46" s="653"/>
      <c r="J46" s="653"/>
      <c r="K46" s="653">
        <f>2245.7/1000</f>
        <v>2.2456999999999998</v>
      </c>
      <c r="L46" s="653"/>
      <c r="M46" s="653"/>
      <c r="N46" s="653"/>
      <c r="O46" s="653">
        <f>13821.16/1000</f>
        <v>13.821159999999999</v>
      </c>
      <c r="P46" s="654">
        <v>16066.860000000002</v>
      </c>
      <c r="Q46" s="655"/>
      <c r="R46" s="656" t="s">
        <v>2564</v>
      </c>
      <c r="S46" s="657" t="s">
        <v>3055</v>
      </c>
      <c r="T46" s="658" t="s">
        <v>2565</v>
      </c>
      <c r="U46" s="602" t="s">
        <v>2946</v>
      </c>
      <c r="V46" s="602"/>
      <c r="W46" s="602" t="s">
        <v>3008</v>
      </c>
      <c r="X46" s="602" t="s">
        <v>2947</v>
      </c>
      <c r="Y46" s="582" t="str">
        <f t="shared" si="15"/>
        <v>ВЛ-0,4 до 15 кВт (льгота)</v>
      </c>
      <c r="Z46" s="582" t="e">
        <f>IF(X46="","",CONCATENATE(Y46,"-",X46,"; ",#REF!))</f>
        <v>#REF!</v>
      </c>
      <c r="AA46" s="582"/>
      <c r="AB46" s="659">
        <f t="shared" si="25"/>
        <v>13821.16</v>
      </c>
      <c r="AC46" s="660">
        <f t="shared" si="26"/>
        <v>0</v>
      </c>
      <c r="AD46" s="661">
        <f t="shared" si="27"/>
        <v>2245.6999999999998</v>
      </c>
      <c r="AE46" s="662">
        <f t="shared" si="16"/>
        <v>16066.86</v>
      </c>
      <c r="AF46" s="662" t="s">
        <v>2981</v>
      </c>
      <c r="AG46" s="663">
        <f t="shared" si="17"/>
        <v>3.87</v>
      </c>
      <c r="AH46" s="664">
        <f t="shared" si="18"/>
        <v>3571.3591731266147</v>
      </c>
      <c r="AI46" s="665">
        <f t="shared" si="18"/>
        <v>0</v>
      </c>
      <c r="AJ46" s="666">
        <f t="shared" si="18"/>
        <v>580.28423772609813</v>
      </c>
      <c r="AK46" s="667">
        <f t="shared" si="19"/>
        <v>4151.6434108527128</v>
      </c>
      <c r="AS46" s="600">
        <v>1</v>
      </c>
      <c r="AZ46" s="600">
        <f t="shared" si="20"/>
        <v>16050.793140000002</v>
      </c>
      <c r="BA46" s="668" t="s">
        <v>3056</v>
      </c>
    </row>
    <row r="47" spans="2:54" ht="33.75" outlineLevel="1">
      <c r="B47" s="647">
        <f t="shared" si="21"/>
        <v>30</v>
      </c>
      <c r="C47" s="648" t="s">
        <v>3057</v>
      </c>
      <c r="D47" s="649" t="str">
        <f t="shared" si="14"/>
        <v>4кв 2015</v>
      </c>
      <c r="E47" s="650">
        <v>0.4</v>
      </c>
      <c r="F47" s="651">
        <v>0.03</v>
      </c>
      <c r="G47" s="652">
        <v>6</v>
      </c>
      <c r="H47" s="653"/>
      <c r="I47" s="653"/>
      <c r="J47" s="653"/>
      <c r="K47" s="653">
        <f>698.82/1000</f>
        <v>0.69882</v>
      </c>
      <c r="L47" s="653"/>
      <c r="M47" s="653"/>
      <c r="N47" s="653"/>
      <c r="O47" s="653">
        <f>16536.8/1000</f>
        <v>16.536799999999999</v>
      </c>
      <c r="P47" s="654">
        <v>17235.62</v>
      </c>
      <c r="Q47" s="655"/>
      <c r="R47" s="656" t="s">
        <v>2564</v>
      </c>
      <c r="S47" s="657" t="s">
        <v>3058</v>
      </c>
      <c r="T47" s="658" t="s">
        <v>2565</v>
      </c>
      <c r="U47" s="602" t="s">
        <v>2946</v>
      </c>
      <c r="V47" s="602"/>
      <c r="W47" s="602" t="s">
        <v>3008</v>
      </c>
      <c r="X47" s="602" t="s">
        <v>2947</v>
      </c>
      <c r="Y47" s="582" t="str">
        <f t="shared" si="15"/>
        <v>ВЛ-0,4 до 15 кВт (льгота)</v>
      </c>
      <c r="Z47" s="582" t="e">
        <f>IF(X47="","",CONCATENATE(Y47,"-",X47,"; ",#REF!))</f>
        <v>#REF!</v>
      </c>
      <c r="AA47" s="582"/>
      <c r="AB47" s="659">
        <f t="shared" si="25"/>
        <v>16536.8</v>
      </c>
      <c r="AC47" s="660">
        <f t="shared" si="26"/>
        <v>0</v>
      </c>
      <c r="AD47" s="661">
        <f t="shared" si="27"/>
        <v>698.82</v>
      </c>
      <c r="AE47" s="662">
        <f t="shared" si="16"/>
        <v>17235.62</v>
      </c>
      <c r="AF47" s="662" t="s">
        <v>2981</v>
      </c>
      <c r="AG47" s="663">
        <f t="shared" si="17"/>
        <v>3.87</v>
      </c>
      <c r="AH47" s="664">
        <f t="shared" si="18"/>
        <v>4273.0749354005166</v>
      </c>
      <c r="AI47" s="665">
        <f t="shared" si="18"/>
        <v>0</v>
      </c>
      <c r="AJ47" s="666">
        <f t="shared" si="18"/>
        <v>180.57364341085272</v>
      </c>
      <c r="AK47" s="667">
        <f t="shared" si="19"/>
        <v>4453.6485788113696</v>
      </c>
      <c r="AS47" s="600">
        <v>1</v>
      </c>
      <c r="AT47" s="600">
        <v>70</v>
      </c>
      <c r="AZ47" s="600">
        <f t="shared" si="20"/>
        <v>17218.38438</v>
      </c>
      <c r="BA47" s="668" t="s">
        <v>3059</v>
      </c>
    </row>
    <row r="48" spans="2:54" ht="33.75" outlineLevel="1">
      <c r="B48" s="707">
        <f t="shared" si="21"/>
        <v>31</v>
      </c>
      <c r="C48" s="648" t="s">
        <v>3060</v>
      </c>
      <c r="D48" s="649" t="str">
        <f t="shared" si="14"/>
        <v>4кв 2015</v>
      </c>
      <c r="E48" s="650">
        <v>0.4</v>
      </c>
      <c r="F48" s="651">
        <v>0.09</v>
      </c>
      <c r="G48" s="708">
        <v>5</v>
      </c>
      <c r="H48" s="653"/>
      <c r="I48" s="653"/>
      <c r="J48" s="653"/>
      <c r="K48" s="653">
        <f>1497.33/1000</f>
        <v>1.4973299999999998</v>
      </c>
      <c r="L48" s="653"/>
      <c r="M48" s="653"/>
      <c r="N48" s="653"/>
      <c r="O48" s="653">
        <f>39720.11/1000</f>
        <v>39.720109999999998</v>
      </c>
      <c r="P48" s="654">
        <v>41217.440000000002</v>
      </c>
      <c r="Q48" s="655"/>
      <c r="R48" s="656" t="s">
        <v>2564</v>
      </c>
      <c r="S48" s="657" t="s">
        <v>3061</v>
      </c>
      <c r="T48" s="658" t="s">
        <v>2565</v>
      </c>
      <c r="U48" s="602" t="s">
        <v>2946</v>
      </c>
      <c r="V48" s="602"/>
      <c r="W48" s="602" t="s">
        <v>3008</v>
      </c>
      <c r="X48" s="602" t="s">
        <v>2947</v>
      </c>
      <c r="Y48" s="582" t="str">
        <f t="shared" si="15"/>
        <v>ВЛ-0,4 до 15 кВт (льгота)</v>
      </c>
      <c r="Z48" s="582" t="e">
        <f>IF(X48="","",CONCATENATE(Y48,"-",X48,"; ",#REF!))</f>
        <v>#REF!</v>
      </c>
      <c r="AA48" s="582"/>
      <c r="AB48" s="659">
        <f t="shared" si="25"/>
        <v>39720.11</v>
      </c>
      <c r="AC48" s="660">
        <f t="shared" si="26"/>
        <v>0</v>
      </c>
      <c r="AD48" s="661">
        <f t="shared" si="27"/>
        <v>1497.33</v>
      </c>
      <c r="AE48" s="662">
        <f t="shared" si="16"/>
        <v>41217.440000000002</v>
      </c>
      <c r="AF48" s="662" t="s">
        <v>2981</v>
      </c>
      <c r="AG48" s="663">
        <f t="shared" si="17"/>
        <v>3.87</v>
      </c>
      <c r="AH48" s="664">
        <f t="shared" si="18"/>
        <v>10263.594315245478</v>
      </c>
      <c r="AI48" s="665">
        <f t="shared" si="18"/>
        <v>0</v>
      </c>
      <c r="AJ48" s="666">
        <f t="shared" si="18"/>
        <v>386.90697674418601</v>
      </c>
      <c r="AK48" s="667">
        <f t="shared" si="19"/>
        <v>10650.501291989664</v>
      </c>
      <c r="AS48" s="600">
        <v>1</v>
      </c>
      <c r="AZ48" s="600">
        <f t="shared" si="20"/>
        <v>41176.222560000002</v>
      </c>
      <c r="BA48" s="668" t="s">
        <v>3062</v>
      </c>
    </row>
    <row r="49" spans="2:53" ht="33.75" outlineLevel="1">
      <c r="B49" s="647">
        <f t="shared" si="21"/>
        <v>32</v>
      </c>
      <c r="C49" s="648" t="s">
        <v>3063</v>
      </c>
      <c r="D49" s="649" t="str">
        <f t="shared" si="14"/>
        <v>2кв 2015</v>
      </c>
      <c r="E49" s="650">
        <v>0.4</v>
      </c>
      <c r="F49" s="651">
        <v>0.03</v>
      </c>
      <c r="G49" s="652">
        <v>5</v>
      </c>
      <c r="H49" s="653"/>
      <c r="I49" s="653"/>
      <c r="J49" s="653"/>
      <c r="K49" s="653">
        <f>6232.51/1000</f>
        <v>6.2325100000000004</v>
      </c>
      <c r="L49" s="653"/>
      <c r="M49" s="653"/>
      <c r="N49" s="653"/>
      <c r="O49" s="653">
        <f>9680.75/1000</f>
        <v>9.6807499999999997</v>
      </c>
      <c r="P49" s="654">
        <v>15913.26</v>
      </c>
      <c r="Q49" s="655"/>
      <c r="R49" s="656" t="s">
        <v>2564</v>
      </c>
      <c r="S49" s="657" t="s">
        <v>3064</v>
      </c>
      <c r="T49" s="658" t="s">
        <v>3065</v>
      </c>
      <c r="U49" s="602" t="s">
        <v>2946</v>
      </c>
      <c r="V49" s="602"/>
      <c r="W49" s="602" t="s">
        <v>3008</v>
      </c>
      <c r="X49" s="602" t="s">
        <v>2947</v>
      </c>
      <c r="Y49" s="582" t="str">
        <f t="shared" si="15"/>
        <v>ВЛ-0,4 до 15 кВт (льгота)</v>
      </c>
      <c r="Z49" s="582" t="e">
        <f>IF(X49="","",CONCATENATE(Y49,"-",X49,"; ",#REF!))</f>
        <v>#REF!</v>
      </c>
      <c r="AA49" s="582"/>
      <c r="AB49" s="659">
        <f t="shared" si="25"/>
        <v>9680.75</v>
      </c>
      <c r="AC49" s="660">
        <f t="shared" si="26"/>
        <v>0</v>
      </c>
      <c r="AD49" s="661">
        <f t="shared" si="27"/>
        <v>6232.51</v>
      </c>
      <c r="AE49" s="662">
        <f t="shared" si="16"/>
        <v>15913.26</v>
      </c>
      <c r="AF49" s="662" t="s">
        <v>2970</v>
      </c>
      <c r="AG49" s="663">
        <f t="shared" si="17"/>
        <v>3.67</v>
      </c>
      <c r="AH49" s="664">
        <f t="shared" si="18"/>
        <v>2637.8065395095368</v>
      </c>
      <c r="AI49" s="665">
        <f t="shared" si="18"/>
        <v>0</v>
      </c>
      <c r="AJ49" s="666">
        <f t="shared" si="18"/>
        <v>1698.2316076294278</v>
      </c>
      <c r="AK49" s="667">
        <f t="shared" si="19"/>
        <v>4336.0381471389646</v>
      </c>
      <c r="AS49" s="600">
        <v>1</v>
      </c>
      <c r="AT49" s="600">
        <v>22</v>
      </c>
      <c r="AZ49" s="600">
        <f t="shared" si="20"/>
        <v>15897.346740000001</v>
      </c>
      <c r="BA49" s="668" t="s">
        <v>3066</v>
      </c>
    </row>
    <row r="50" spans="2:53" ht="33.75" outlineLevel="1">
      <c r="B50" s="647">
        <f t="shared" si="21"/>
        <v>33</v>
      </c>
      <c r="C50" s="648" t="s">
        <v>3067</v>
      </c>
      <c r="D50" s="649" t="str">
        <f t="shared" si="14"/>
        <v>3кв 2015</v>
      </c>
      <c r="E50" s="650">
        <v>0.4</v>
      </c>
      <c r="F50" s="651">
        <v>0.06</v>
      </c>
      <c r="G50" s="652">
        <v>3.2</v>
      </c>
      <c r="H50" s="653"/>
      <c r="I50" s="653"/>
      <c r="J50" s="653"/>
      <c r="K50" s="653">
        <f>9838.8/1000</f>
        <v>9.8387999999999991</v>
      </c>
      <c r="L50" s="653"/>
      <c r="M50" s="653"/>
      <c r="N50" s="653"/>
      <c r="O50" s="653">
        <f>21361.6/1000</f>
        <v>21.361599999999999</v>
      </c>
      <c r="P50" s="654">
        <v>31200.400000000001</v>
      </c>
      <c r="Q50" s="655"/>
      <c r="R50" s="656" t="s">
        <v>2564</v>
      </c>
      <c r="S50" s="657" t="s">
        <v>3068</v>
      </c>
      <c r="T50" s="658" t="s">
        <v>3065</v>
      </c>
      <c r="U50" s="602" t="s">
        <v>2946</v>
      </c>
      <c r="V50" s="602"/>
      <c r="W50" s="602" t="s">
        <v>3008</v>
      </c>
      <c r="X50" s="602" t="s">
        <v>2947</v>
      </c>
      <c r="Y50" s="582" t="str">
        <f t="shared" si="15"/>
        <v>ВЛ-0,4 до 15 кВт (льгота)</v>
      </c>
      <c r="Z50" s="582" t="e">
        <f>IF(X50="","",CONCATENATE(Y50,"-",X50,"; ",#REF!))</f>
        <v>#REF!</v>
      </c>
      <c r="AA50" s="582"/>
      <c r="AB50" s="659">
        <f t="shared" si="25"/>
        <v>21361.599999999999</v>
      </c>
      <c r="AC50" s="660">
        <f t="shared" si="26"/>
        <v>0</v>
      </c>
      <c r="AD50" s="661">
        <f t="shared" si="27"/>
        <v>9838.7999999999993</v>
      </c>
      <c r="AE50" s="662">
        <f t="shared" si="16"/>
        <v>31200.399999999998</v>
      </c>
      <c r="AF50" s="662" t="s">
        <v>3044</v>
      </c>
      <c r="AG50" s="663">
        <f t="shared" si="17"/>
        <v>3.8</v>
      </c>
      <c r="AH50" s="664">
        <f t="shared" si="18"/>
        <v>5621.4736842105258</v>
      </c>
      <c r="AI50" s="665">
        <f t="shared" si="18"/>
        <v>0</v>
      </c>
      <c r="AJ50" s="666">
        <f t="shared" si="18"/>
        <v>2589.1578947368421</v>
      </c>
      <c r="AK50" s="667">
        <f t="shared" si="19"/>
        <v>8210.6315789473683</v>
      </c>
      <c r="AS50" s="600">
        <v>1</v>
      </c>
      <c r="AT50" s="600">
        <v>51</v>
      </c>
      <c r="AZ50" s="600">
        <f t="shared" si="20"/>
        <v>31169.1996</v>
      </c>
      <c r="BA50" s="668" t="s">
        <v>3069</v>
      </c>
    </row>
    <row r="51" spans="2:53" ht="22.5" outlineLevel="1">
      <c r="B51" s="647">
        <f t="shared" si="21"/>
        <v>34</v>
      </c>
      <c r="C51" s="648" t="s">
        <v>3070</v>
      </c>
      <c r="D51" s="649" t="str">
        <f t="shared" si="14"/>
        <v>2кв 2015</v>
      </c>
      <c r="E51" s="650">
        <v>0.4</v>
      </c>
      <c r="F51" s="651">
        <v>3.5000000000000003E-2</v>
      </c>
      <c r="G51" s="652">
        <v>5</v>
      </c>
      <c r="H51" s="653"/>
      <c r="I51" s="653"/>
      <c r="J51" s="653"/>
      <c r="K51" s="653">
        <f>11547.49/1000</f>
        <v>11.54749</v>
      </c>
      <c r="L51" s="653"/>
      <c r="M51" s="653"/>
      <c r="N51" s="653"/>
      <c r="O51" s="653">
        <f>11159.37/1000</f>
        <v>11.159370000000001</v>
      </c>
      <c r="P51" s="654">
        <v>22706.86</v>
      </c>
      <c r="Q51" s="655"/>
      <c r="R51" s="656" t="s">
        <v>2564</v>
      </c>
      <c r="S51" s="657" t="s">
        <v>3071</v>
      </c>
      <c r="T51" s="658" t="s">
        <v>2565</v>
      </c>
      <c r="U51" s="602" t="s">
        <v>2946</v>
      </c>
      <c r="V51" s="602"/>
      <c r="W51" s="602" t="s">
        <v>3008</v>
      </c>
      <c r="X51" s="602" t="s">
        <v>2947</v>
      </c>
      <c r="Y51" s="582" t="str">
        <f t="shared" si="15"/>
        <v>ВЛ-0,4 до 15 кВт (льгота)</v>
      </c>
      <c r="Z51" s="582" t="e">
        <f>IF(X51="","",CONCATENATE(Y51,"-",X51,"; ",#REF!))</f>
        <v>#REF!</v>
      </c>
      <c r="AA51" s="582"/>
      <c r="AB51" s="659">
        <f t="shared" si="25"/>
        <v>11159.37</v>
      </c>
      <c r="AC51" s="660">
        <f t="shared" si="26"/>
        <v>0</v>
      </c>
      <c r="AD51" s="661">
        <f t="shared" si="27"/>
        <v>11547.49</v>
      </c>
      <c r="AE51" s="662">
        <f t="shared" si="16"/>
        <v>22706.86</v>
      </c>
      <c r="AF51" s="662" t="s">
        <v>2970</v>
      </c>
      <c r="AG51" s="663">
        <f t="shared" si="17"/>
        <v>3.67</v>
      </c>
      <c r="AH51" s="664">
        <f t="shared" si="18"/>
        <v>3040.7002724795643</v>
      </c>
      <c r="AI51" s="665">
        <f t="shared" si="18"/>
        <v>0</v>
      </c>
      <c r="AJ51" s="666">
        <f t="shared" si="18"/>
        <v>3146.4550408719347</v>
      </c>
      <c r="AK51" s="667">
        <f t="shared" si="19"/>
        <v>6187.155313351499</v>
      </c>
      <c r="AS51" s="600">
        <v>1</v>
      </c>
      <c r="AZ51" s="600">
        <f t="shared" si="20"/>
        <v>22684.153140000002</v>
      </c>
      <c r="BA51" s="668" t="s">
        <v>3072</v>
      </c>
    </row>
    <row r="52" spans="2:53" ht="33.75" outlineLevel="1">
      <c r="B52" s="647">
        <f t="shared" si="21"/>
        <v>35</v>
      </c>
      <c r="C52" s="648" t="s">
        <v>3073</v>
      </c>
      <c r="D52" s="649" t="str">
        <f>IF(AF52=0,"",AF52)</f>
        <v>3кв 2015</v>
      </c>
      <c r="E52" s="650">
        <v>0.4</v>
      </c>
      <c r="F52" s="651">
        <v>0.105</v>
      </c>
      <c r="G52" s="652">
        <v>10</v>
      </c>
      <c r="H52" s="653"/>
      <c r="I52" s="653"/>
      <c r="J52" s="653"/>
      <c r="K52" s="653">
        <f>13146.99/1000</f>
        <v>13.146990000000001</v>
      </c>
      <c r="L52" s="653"/>
      <c r="M52" s="653"/>
      <c r="N52" s="653"/>
      <c r="O52" s="653">
        <f>49017.61/1000</f>
        <v>49.017609999999998</v>
      </c>
      <c r="P52" s="654">
        <v>62164.6</v>
      </c>
      <c r="Q52" s="655"/>
      <c r="R52" s="656" t="s">
        <v>2564</v>
      </c>
      <c r="S52" s="657" t="s">
        <v>3074</v>
      </c>
      <c r="T52" s="658" t="s">
        <v>2566</v>
      </c>
      <c r="U52" s="602" t="s">
        <v>2946</v>
      </c>
      <c r="V52" s="602"/>
      <c r="W52" s="602" t="s">
        <v>3008</v>
      </c>
      <c r="X52" s="602" t="s">
        <v>2947</v>
      </c>
      <c r="Y52" s="582" t="str">
        <f t="shared" si="15"/>
        <v>ВЛ-0,4 до 15 кВт (льгота)</v>
      </c>
      <c r="Z52" s="582" t="e">
        <f>IF(X52="","",CONCATENATE(Y52,"-",X52,"; ",#REF!))</f>
        <v>#REF!</v>
      </c>
      <c r="AA52" s="582"/>
      <c r="AB52" s="659">
        <f t="shared" si="25"/>
        <v>49017.61</v>
      </c>
      <c r="AC52" s="660">
        <f t="shared" si="26"/>
        <v>0</v>
      </c>
      <c r="AD52" s="661">
        <f t="shared" si="27"/>
        <v>13146.99</v>
      </c>
      <c r="AE52" s="662">
        <f>AB52+AC52+AD52</f>
        <v>62164.6</v>
      </c>
      <c r="AF52" s="662" t="s">
        <v>3044</v>
      </c>
      <c r="AG52" s="663">
        <f t="shared" si="17"/>
        <v>3.8</v>
      </c>
      <c r="AH52" s="664">
        <f t="shared" si="18"/>
        <v>12899.371052631579</v>
      </c>
      <c r="AI52" s="665">
        <f t="shared" si="18"/>
        <v>0</v>
      </c>
      <c r="AJ52" s="666">
        <f t="shared" si="18"/>
        <v>3459.734210526316</v>
      </c>
      <c r="AK52" s="667">
        <f t="shared" si="19"/>
        <v>16359.105263157895</v>
      </c>
      <c r="AS52" s="600">
        <v>1</v>
      </c>
      <c r="AT52" s="600">
        <v>52</v>
      </c>
      <c r="AZ52" s="600">
        <f t="shared" si="20"/>
        <v>62102.435400000002</v>
      </c>
      <c r="BA52" s="668" t="s">
        <v>3075</v>
      </c>
    </row>
    <row r="53" spans="2:53" ht="33.75" outlineLevel="1">
      <c r="B53" s="647">
        <f t="shared" si="21"/>
        <v>36</v>
      </c>
      <c r="C53" s="648" t="s">
        <v>3076</v>
      </c>
      <c r="D53" s="649" t="str">
        <f>IF(AF53=0,"",AF53)</f>
        <v>4кв 2015</v>
      </c>
      <c r="E53" s="650">
        <v>0.4</v>
      </c>
      <c r="F53" s="651">
        <v>0.09</v>
      </c>
      <c r="G53" s="652">
        <v>5.82</v>
      </c>
      <c r="H53" s="653"/>
      <c r="I53" s="653"/>
      <c r="J53" s="653"/>
      <c r="K53" s="653">
        <f>3823.67/1000</f>
        <v>3.8236699999999999</v>
      </c>
      <c r="L53" s="653"/>
      <c r="M53" s="653"/>
      <c r="N53" s="653"/>
      <c r="O53" s="653">
        <f>29396.09/1000</f>
        <v>29.396090000000001</v>
      </c>
      <c r="P53" s="654">
        <v>33219.760000000002</v>
      </c>
      <c r="Q53" s="655"/>
      <c r="R53" s="656" t="s">
        <v>2564</v>
      </c>
      <c r="S53" s="657" t="s">
        <v>3077</v>
      </c>
      <c r="T53" s="658" t="s">
        <v>2566</v>
      </c>
      <c r="U53" s="602" t="s">
        <v>2946</v>
      </c>
      <c r="V53" s="602"/>
      <c r="W53" s="602" t="s">
        <v>3008</v>
      </c>
      <c r="X53" s="602" t="s">
        <v>2947</v>
      </c>
      <c r="Y53" s="582" t="str">
        <f t="shared" si="15"/>
        <v>ВЛ-0,4 до 15 кВт (льгота)</v>
      </c>
      <c r="Z53" s="582" t="e">
        <f>IF(X53="","",CONCATENATE(Y53,"-",X53,"; ",#REF!))</f>
        <v>#REF!</v>
      </c>
      <c r="AA53" s="582"/>
      <c r="AB53" s="659">
        <f t="shared" si="25"/>
        <v>29396.09</v>
      </c>
      <c r="AC53" s="660">
        <f t="shared" si="26"/>
        <v>0</v>
      </c>
      <c r="AD53" s="661">
        <f t="shared" si="27"/>
        <v>3823.67</v>
      </c>
      <c r="AE53" s="662">
        <f>AB53+AC53+AD53</f>
        <v>33219.760000000002</v>
      </c>
      <c r="AF53" s="662" t="s">
        <v>2981</v>
      </c>
      <c r="AG53" s="663">
        <f t="shared" si="17"/>
        <v>3.87</v>
      </c>
      <c r="AH53" s="664">
        <f t="shared" si="18"/>
        <v>7595.8888888888887</v>
      </c>
      <c r="AI53" s="665">
        <f t="shared" si="18"/>
        <v>0</v>
      </c>
      <c r="AJ53" s="666">
        <f t="shared" si="18"/>
        <v>988.02842377260981</v>
      </c>
      <c r="AK53" s="667">
        <f t="shared" si="19"/>
        <v>8583.9173126614987</v>
      </c>
      <c r="AS53" s="600">
        <v>1</v>
      </c>
      <c r="AT53" s="600">
        <v>62</v>
      </c>
      <c r="AZ53" s="600">
        <f t="shared" si="20"/>
        <v>33186.540240000002</v>
      </c>
      <c r="BA53" s="668" t="s">
        <v>3078</v>
      </c>
    </row>
    <row r="54" spans="2:53" ht="22.5" outlineLevel="1">
      <c r="B54" s="647">
        <f t="shared" si="21"/>
        <v>37</v>
      </c>
      <c r="C54" s="648" t="s">
        <v>3079</v>
      </c>
      <c r="D54" s="649" t="str">
        <f>IF(AF54=0,"",AF54)</f>
        <v>4кв 2015</v>
      </c>
      <c r="E54" s="650">
        <v>0.4</v>
      </c>
      <c r="F54" s="651">
        <v>0.22500000000000001</v>
      </c>
      <c r="G54" s="652">
        <v>10</v>
      </c>
      <c r="H54" s="653"/>
      <c r="I54" s="653"/>
      <c r="J54" s="653"/>
      <c r="K54" s="653">
        <f>3393.88/1000</f>
        <v>3.3938800000000002</v>
      </c>
      <c r="L54" s="653"/>
      <c r="M54" s="653"/>
      <c r="N54" s="653"/>
      <c r="O54" s="653">
        <f>110889.79/1000</f>
        <v>110.88978999999999</v>
      </c>
      <c r="P54" s="654">
        <v>114283.67</v>
      </c>
      <c r="Q54" s="655"/>
      <c r="R54" s="656" t="s">
        <v>2564</v>
      </c>
      <c r="S54" s="657" t="s">
        <v>3080</v>
      </c>
      <c r="T54" s="658" t="s">
        <v>2566</v>
      </c>
      <c r="U54" s="602" t="s">
        <v>2946</v>
      </c>
      <c r="V54" s="602"/>
      <c r="W54" s="602" t="s">
        <v>3008</v>
      </c>
      <c r="X54" s="602" t="s">
        <v>2947</v>
      </c>
      <c r="Y54" s="582" t="str">
        <f t="shared" si="15"/>
        <v>ВЛ-0,4 до 15 кВт (льгота)</v>
      </c>
      <c r="Z54" s="582" t="e">
        <f>IF(X54="","",CONCATENATE(Y54,"-",X54,"; ",#REF!))</f>
        <v>#REF!</v>
      </c>
      <c r="AA54" s="582"/>
      <c r="AB54" s="659">
        <f t="shared" si="25"/>
        <v>110889.79</v>
      </c>
      <c r="AC54" s="660">
        <f t="shared" si="26"/>
        <v>0</v>
      </c>
      <c r="AD54" s="661">
        <f t="shared" si="27"/>
        <v>3393.88</v>
      </c>
      <c r="AE54" s="662">
        <f>AB54+AC54+AD54</f>
        <v>114283.67</v>
      </c>
      <c r="AF54" s="662" t="s">
        <v>2981</v>
      </c>
      <c r="AG54" s="663">
        <f t="shared" si="17"/>
        <v>3.87</v>
      </c>
      <c r="AH54" s="664">
        <f t="shared" si="18"/>
        <v>28653.692506459945</v>
      </c>
      <c r="AI54" s="665">
        <f t="shared" si="18"/>
        <v>0</v>
      </c>
      <c r="AJ54" s="666">
        <f t="shared" si="18"/>
        <v>876.97157622739019</v>
      </c>
      <c r="AK54" s="667">
        <f t="shared" si="19"/>
        <v>29530.664082687337</v>
      </c>
      <c r="AS54" s="600">
        <v>1</v>
      </c>
      <c r="AT54" s="600">
        <v>72</v>
      </c>
      <c r="AZ54" s="600">
        <f t="shared" si="20"/>
        <v>114169.38632999999</v>
      </c>
      <c r="BA54" s="668" t="s">
        <v>3081</v>
      </c>
    </row>
    <row r="55" spans="2:53" ht="22.5" outlineLevel="1">
      <c r="B55" s="647">
        <f t="shared" si="21"/>
        <v>38</v>
      </c>
      <c r="C55" s="709" t="s">
        <v>3349</v>
      </c>
      <c r="D55" s="710" t="str">
        <f t="shared" ref="D55" si="28">IF(AF55=0,"",AF55)</f>
        <v>4кв 2015</v>
      </c>
      <c r="E55" s="710">
        <v>0.4</v>
      </c>
      <c r="F55" s="711">
        <v>0.18</v>
      </c>
      <c r="G55" s="712">
        <v>9.3000000000000007</v>
      </c>
      <c r="H55" s="713"/>
      <c r="I55" s="713"/>
      <c r="J55" s="713"/>
      <c r="K55" s="713">
        <f>3992.76/1000</f>
        <v>3.9927600000000001</v>
      </c>
      <c r="L55" s="713"/>
      <c r="M55" s="713"/>
      <c r="N55" s="713"/>
      <c r="O55" s="713">
        <f>109642.04/1000</f>
        <v>109.64203999999999</v>
      </c>
      <c r="P55" s="714">
        <v>113634.8</v>
      </c>
      <c r="Q55" s="715"/>
      <c r="R55" s="716" t="s">
        <v>2564</v>
      </c>
      <c r="S55" s="712" t="s">
        <v>3082</v>
      </c>
      <c r="T55" s="717" t="s">
        <v>2566</v>
      </c>
      <c r="U55" s="602" t="s">
        <v>2946</v>
      </c>
      <c r="V55" s="602"/>
      <c r="W55" s="602" t="s">
        <v>3008</v>
      </c>
      <c r="X55" s="602" t="s">
        <v>2947</v>
      </c>
      <c r="Y55" s="582" t="str">
        <f t="shared" si="15"/>
        <v>ВЛ-0,4 до 15 кВт (льгота)</v>
      </c>
      <c r="Z55" s="582" t="e">
        <f>IF(X55="","",CONCATENATE(Y55,"-",X55,"; ",#REF!))</f>
        <v>#REF!</v>
      </c>
      <c r="AA55" s="582"/>
      <c r="AB55" s="659">
        <f t="shared" si="25"/>
        <v>109642.04</v>
      </c>
      <c r="AC55" s="660">
        <f t="shared" si="26"/>
        <v>0</v>
      </c>
      <c r="AD55" s="661">
        <f t="shared" si="27"/>
        <v>3992.76</v>
      </c>
      <c r="AE55" s="662">
        <f t="shared" ref="AE55" si="29">AB55+AC55+AD55</f>
        <v>113634.79999999999</v>
      </c>
      <c r="AF55" s="662" t="s">
        <v>2981</v>
      </c>
      <c r="AG55" s="663">
        <f t="shared" si="17"/>
        <v>3.87</v>
      </c>
      <c r="AH55" s="664">
        <f t="shared" si="18"/>
        <v>28331.276485788112</v>
      </c>
      <c r="AI55" s="665">
        <f t="shared" si="18"/>
        <v>0</v>
      </c>
      <c r="AJ55" s="666">
        <f t="shared" si="18"/>
        <v>1031.7209302325582</v>
      </c>
      <c r="AK55" s="667">
        <f t="shared" si="19"/>
        <v>29362.997416020669</v>
      </c>
      <c r="AS55" s="600">
        <v>1</v>
      </c>
      <c r="AT55" s="600">
        <v>68</v>
      </c>
      <c r="AZ55" s="600">
        <f t="shared" si="20"/>
        <v>113521.1652</v>
      </c>
      <c r="BA55" s="668" t="s">
        <v>3083</v>
      </c>
    </row>
    <row r="56" spans="2:53" ht="33.75" outlineLevel="1">
      <c r="B56" s="647">
        <f t="shared" si="21"/>
        <v>39</v>
      </c>
      <c r="C56" s="648" t="s">
        <v>3084</v>
      </c>
      <c r="D56" s="649" t="str">
        <f>IF(AF56=0,"",AF56)</f>
        <v>2кв 2015</v>
      </c>
      <c r="E56" s="650">
        <v>0.4</v>
      </c>
      <c r="F56" s="674">
        <v>5.5E-2</v>
      </c>
      <c r="G56" s="652">
        <v>13.2</v>
      </c>
      <c r="H56" s="653"/>
      <c r="I56" s="653"/>
      <c r="J56" s="653"/>
      <c r="K56" s="653">
        <f>10256.49/1000</f>
        <v>10.256489999999999</v>
      </c>
      <c r="L56" s="653"/>
      <c r="M56" s="653"/>
      <c r="N56" s="653"/>
      <c r="O56" s="653">
        <f>13028.11/1000</f>
        <v>13.02811</v>
      </c>
      <c r="P56" s="654">
        <v>23284.6</v>
      </c>
      <c r="Q56" s="655"/>
      <c r="R56" s="656" t="s">
        <v>2564</v>
      </c>
      <c r="S56" s="657" t="s">
        <v>3085</v>
      </c>
      <c r="T56" s="658" t="s">
        <v>2566</v>
      </c>
      <c r="U56" s="602" t="s">
        <v>2946</v>
      </c>
      <c r="V56" s="602"/>
      <c r="W56" s="602" t="s">
        <v>3008</v>
      </c>
      <c r="X56" s="602" t="s">
        <v>2947</v>
      </c>
      <c r="Y56" s="582" t="str">
        <f t="shared" si="15"/>
        <v>ВЛ-0,4 до 15 кВт (льгота)</v>
      </c>
      <c r="Z56" s="582" t="e">
        <f>IF(X56="","",CONCATENATE(Y56,"-",X56,"; ",#REF!))</f>
        <v>#REF!</v>
      </c>
      <c r="AA56" s="582"/>
      <c r="AB56" s="659">
        <f t="shared" si="25"/>
        <v>13028.11</v>
      </c>
      <c r="AC56" s="660">
        <f t="shared" si="26"/>
        <v>0</v>
      </c>
      <c r="AD56" s="661">
        <f t="shared" si="27"/>
        <v>10256.49</v>
      </c>
      <c r="AE56" s="662">
        <f>AB56+AC56+AD56</f>
        <v>23284.6</v>
      </c>
      <c r="AF56" s="662" t="s">
        <v>2970</v>
      </c>
      <c r="AG56" s="663">
        <f t="shared" si="17"/>
        <v>3.67</v>
      </c>
      <c r="AH56" s="664">
        <f t="shared" si="18"/>
        <v>3549.8937329700275</v>
      </c>
      <c r="AI56" s="665">
        <f t="shared" si="18"/>
        <v>0</v>
      </c>
      <c r="AJ56" s="666">
        <f t="shared" si="18"/>
        <v>2794.683923705722</v>
      </c>
      <c r="AK56" s="667">
        <f t="shared" si="19"/>
        <v>6344.5776566757495</v>
      </c>
      <c r="AS56" s="600">
        <v>1</v>
      </c>
      <c r="AT56" s="600" t="s">
        <v>2971</v>
      </c>
      <c r="AZ56" s="600">
        <f t="shared" si="20"/>
        <v>23261.315399999999</v>
      </c>
      <c r="BA56" s="668" t="s">
        <v>3086</v>
      </c>
    </row>
    <row r="57" spans="2:53" ht="22.5" outlineLevel="1">
      <c r="B57" s="707">
        <f t="shared" si="21"/>
        <v>40</v>
      </c>
      <c r="C57" s="648" t="s">
        <v>3087</v>
      </c>
      <c r="D57" s="649" t="str">
        <f>IF(AF57=0,"",AF57)</f>
        <v>3кв 2015</v>
      </c>
      <c r="E57" s="650">
        <v>0.4</v>
      </c>
      <c r="F57" s="674">
        <v>0.1</v>
      </c>
      <c r="G57" s="652">
        <v>5</v>
      </c>
      <c r="H57" s="653"/>
      <c r="I57" s="653"/>
      <c r="J57" s="653"/>
      <c r="K57" s="653">
        <f>9663.43/1000</f>
        <v>9.66343</v>
      </c>
      <c r="L57" s="653"/>
      <c r="M57" s="653"/>
      <c r="N57" s="653"/>
      <c r="O57" s="653">
        <f>36127.7/1000</f>
        <v>36.127699999999997</v>
      </c>
      <c r="P57" s="654">
        <v>45791.13</v>
      </c>
      <c r="Q57" s="655"/>
      <c r="R57" s="656" t="s">
        <v>2564</v>
      </c>
      <c r="S57" s="657" t="s">
        <v>3088</v>
      </c>
      <c r="T57" s="658" t="s">
        <v>2568</v>
      </c>
      <c r="U57" s="602" t="s">
        <v>2946</v>
      </c>
      <c r="V57" s="602"/>
      <c r="W57" s="602" t="s">
        <v>3008</v>
      </c>
      <c r="X57" s="602" t="s">
        <v>2947</v>
      </c>
      <c r="Y57" s="582" t="str">
        <f t="shared" si="15"/>
        <v>ВЛ-0,4 до 15 кВт (льгота)</v>
      </c>
      <c r="Z57" s="582" t="e">
        <f>IF(X57="","",CONCATENATE(Y57,"-",X57,"; ",#REF!))</f>
        <v>#REF!</v>
      </c>
      <c r="AA57" s="582"/>
      <c r="AB57" s="659">
        <f t="shared" si="25"/>
        <v>36127.699999999997</v>
      </c>
      <c r="AC57" s="660">
        <f t="shared" si="26"/>
        <v>0</v>
      </c>
      <c r="AD57" s="661">
        <f t="shared" si="27"/>
        <v>9663.43</v>
      </c>
      <c r="AE57" s="662">
        <f>AB57+AC57+AD57</f>
        <v>45791.13</v>
      </c>
      <c r="AF57" s="662" t="s">
        <v>3044</v>
      </c>
      <c r="AG57" s="663">
        <f t="shared" si="17"/>
        <v>3.8</v>
      </c>
      <c r="AH57" s="664">
        <f t="shared" si="18"/>
        <v>9507.28947368421</v>
      </c>
      <c r="AI57" s="665">
        <f t="shared" si="18"/>
        <v>0</v>
      </c>
      <c r="AJ57" s="666">
        <f t="shared" si="18"/>
        <v>2543.0078947368424</v>
      </c>
      <c r="AK57" s="667">
        <f t="shared" si="19"/>
        <v>12050.297368421052</v>
      </c>
      <c r="AS57" s="600">
        <v>1</v>
      </c>
      <c r="AT57" s="600">
        <v>53</v>
      </c>
      <c r="AZ57" s="600">
        <f t="shared" si="20"/>
        <v>45745.33887</v>
      </c>
      <c r="BA57" s="668" t="s">
        <v>3089</v>
      </c>
    </row>
    <row r="58" spans="2:53" ht="33.75" outlineLevel="1">
      <c r="B58" s="647">
        <f t="shared" si="21"/>
        <v>41</v>
      </c>
      <c r="C58" s="648" t="s">
        <v>3090</v>
      </c>
      <c r="D58" s="649" t="str">
        <f t="shared" ref="D58:D64" si="30">IF(AF58=0,"",AF58)</f>
        <v>2кв 2015</v>
      </c>
      <c r="E58" s="650">
        <v>0.4</v>
      </c>
      <c r="F58" s="674">
        <v>2.5000000000000001E-2</v>
      </c>
      <c r="G58" s="652">
        <v>5</v>
      </c>
      <c r="H58" s="653"/>
      <c r="I58" s="653">
        <f>AC58/1000</f>
        <v>0</v>
      </c>
      <c r="J58" s="653"/>
      <c r="K58" s="653">
        <f>AD58/1000</f>
        <v>2.6825799999999997</v>
      </c>
      <c r="L58" s="653"/>
      <c r="M58" s="653"/>
      <c r="N58" s="653"/>
      <c r="O58" s="653">
        <f>AB58/1000</f>
        <v>11.945180000000001</v>
      </c>
      <c r="P58" s="714">
        <v>14627.76</v>
      </c>
      <c r="Q58" s="655"/>
      <c r="R58" s="656" t="s">
        <v>2564</v>
      </c>
      <c r="S58" s="657" t="s">
        <v>3091</v>
      </c>
      <c r="T58" s="658" t="s">
        <v>2569</v>
      </c>
      <c r="U58" s="602" t="s">
        <v>2946</v>
      </c>
      <c r="V58" s="602"/>
      <c r="W58" s="602" t="s">
        <v>3008</v>
      </c>
      <c r="X58" s="602" t="s">
        <v>2947</v>
      </c>
      <c r="Y58" s="582" t="str">
        <f t="shared" si="15"/>
        <v>ВЛ-0,4 до 15 кВт (льгота)</v>
      </c>
      <c r="Z58" s="582" t="e">
        <f>IF(X58="","",CONCATENATE(Y58,"-",X58,"; ",#REF!))</f>
        <v>#REF!</v>
      </c>
      <c r="AA58" s="582"/>
      <c r="AB58" s="669">
        <v>11945.18</v>
      </c>
      <c r="AC58" s="670">
        <v>0</v>
      </c>
      <c r="AD58" s="671">
        <v>2682.58</v>
      </c>
      <c r="AE58" s="672">
        <f t="shared" ref="AE58:AE64" si="31">AB58+AC58+AD58</f>
        <v>14627.76</v>
      </c>
      <c r="AF58" s="662" t="s">
        <v>2970</v>
      </c>
      <c r="AG58" s="663">
        <f t="shared" si="17"/>
        <v>3.67</v>
      </c>
      <c r="AH58" s="664">
        <f t="shared" si="18"/>
        <v>3254.8174386920982</v>
      </c>
      <c r="AI58" s="665">
        <f t="shared" si="18"/>
        <v>0</v>
      </c>
      <c r="AJ58" s="666">
        <f t="shared" si="18"/>
        <v>730.94822888283375</v>
      </c>
      <c r="AK58" s="667">
        <f t="shared" si="19"/>
        <v>3985.7656675749322</v>
      </c>
      <c r="AS58" s="600">
        <v>1</v>
      </c>
      <c r="AT58" s="600" t="s">
        <v>2971</v>
      </c>
      <c r="AZ58" s="600">
        <f t="shared" si="20"/>
        <v>14613.132240000001</v>
      </c>
      <c r="BA58" s="673" t="s">
        <v>3092</v>
      </c>
    </row>
    <row r="59" spans="2:53" ht="33.75" outlineLevel="1">
      <c r="B59" s="647">
        <f t="shared" si="21"/>
        <v>42</v>
      </c>
      <c r="C59" s="648" t="s">
        <v>3093</v>
      </c>
      <c r="D59" s="649" t="str">
        <f t="shared" si="30"/>
        <v>2кв 2015</v>
      </c>
      <c r="E59" s="650">
        <v>0.4</v>
      </c>
      <c r="F59" s="674">
        <v>0.05</v>
      </c>
      <c r="G59" s="652">
        <f>5+5</f>
        <v>10</v>
      </c>
      <c r="H59" s="653"/>
      <c r="I59" s="653">
        <f t="shared" ref="I59:I60" si="32">AC59/1000</f>
        <v>0</v>
      </c>
      <c r="J59" s="653"/>
      <c r="K59" s="653">
        <f t="shared" ref="K59:K60" si="33">AD59/1000</f>
        <v>7.11822</v>
      </c>
      <c r="L59" s="653"/>
      <c r="M59" s="653"/>
      <c r="N59" s="653"/>
      <c r="O59" s="653">
        <f t="shared" ref="O59:O60" si="34">AB59/1000</f>
        <v>21.824570000000001</v>
      </c>
      <c r="P59" s="714">
        <v>28942.79</v>
      </c>
      <c r="Q59" s="655"/>
      <c r="R59" s="656" t="s">
        <v>2564</v>
      </c>
      <c r="S59" s="657" t="s">
        <v>3094</v>
      </c>
      <c r="T59" s="658" t="s">
        <v>2569</v>
      </c>
      <c r="U59" s="602" t="s">
        <v>2946</v>
      </c>
      <c r="V59" s="602"/>
      <c r="W59" s="602" t="s">
        <v>3008</v>
      </c>
      <c r="X59" s="602" t="s">
        <v>2947</v>
      </c>
      <c r="Y59" s="582" t="str">
        <f t="shared" si="15"/>
        <v>ВЛ-0,4 до 15 кВт (льгота)</v>
      </c>
      <c r="Z59" s="582" t="e">
        <f>IF(X59="","",CONCATENATE(Y59,"-",X59,"; ",#REF!))</f>
        <v>#REF!</v>
      </c>
      <c r="AA59" s="582"/>
      <c r="AB59" s="669">
        <v>21824.57</v>
      </c>
      <c r="AC59" s="670">
        <v>0</v>
      </c>
      <c r="AD59" s="671">
        <v>7118.22</v>
      </c>
      <c r="AE59" s="672">
        <f t="shared" si="31"/>
        <v>28942.79</v>
      </c>
      <c r="AF59" s="662" t="s">
        <v>2970</v>
      </c>
      <c r="AG59" s="663">
        <f t="shared" si="17"/>
        <v>3.67</v>
      </c>
      <c r="AH59" s="664">
        <f t="shared" si="18"/>
        <v>5946.7493188010903</v>
      </c>
      <c r="AI59" s="665">
        <f t="shared" si="18"/>
        <v>0</v>
      </c>
      <c r="AJ59" s="666">
        <f t="shared" si="18"/>
        <v>1939.5694822888283</v>
      </c>
      <c r="AK59" s="667">
        <f t="shared" si="19"/>
        <v>7886.3188010899185</v>
      </c>
      <c r="AS59" s="600">
        <v>1</v>
      </c>
      <c r="AT59" s="600">
        <v>25</v>
      </c>
      <c r="AZ59" s="600">
        <f t="shared" si="20"/>
        <v>28913.84721</v>
      </c>
      <c r="BA59" s="673" t="s">
        <v>3095</v>
      </c>
    </row>
    <row r="60" spans="2:53" ht="33.75" outlineLevel="1">
      <c r="B60" s="647">
        <f t="shared" si="21"/>
        <v>43</v>
      </c>
      <c r="C60" s="648" t="s">
        <v>3096</v>
      </c>
      <c r="D60" s="649" t="str">
        <f t="shared" si="30"/>
        <v>2кв 2015</v>
      </c>
      <c r="E60" s="650">
        <v>0.4</v>
      </c>
      <c r="F60" s="674">
        <v>0.03</v>
      </c>
      <c r="G60" s="652">
        <f>5+5</f>
        <v>10</v>
      </c>
      <c r="H60" s="653"/>
      <c r="I60" s="653">
        <f t="shared" si="32"/>
        <v>0</v>
      </c>
      <c r="J60" s="653"/>
      <c r="K60" s="653">
        <f t="shared" si="33"/>
        <v>3.8069799999999998</v>
      </c>
      <c r="L60" s="653"/>
      <c r="M60" s="653"/>
      <c r="N60" s="653"/>
      <c r="O60" s="653">
        <f t="shared" si="34"/>
        <v>12.325850000000001</v>
      </c>
      <c r="P60" s="1116">
        <v>16132.83</v>
      </c>
      <c r="Q60" s="655"/>
      <c r="R60" s="656" t="s">
        <v>2564</v>
      </c>
      <c r="S60" s="657" t="s">
        <v>3097</v>
      </c>
      <c r="T60" s="658" t="s">
        <v>2569</v>
      </c>
      <c r="U60" s="602" t="s">
        <v>2946</v>
      </c>
      <c r="V60" s="602"/>
      <c r="W60" s="602" t="s">
        <v>3008</v>
      </c>
      <c r="X60" s="602" t="s">
        <v>2947</v>
      </c>
      <c r="Y60" s="582" t="str">
        <f t="shared" si="15"/>
        <v>ВЛ-0,4 до 15 кВт (льгота)</v>
      </c>
      <c r="Z60" s="582" t="e">
        <f>IF(X60="","",CONCATENATE(Y60,"-",X60,"; ",#REF!))</f>
        <v>#REF!</v>
      </c>
      <c r="AA60" s="582"/>
      <c r="AB60" s="669">
        <v>12325.85</v>
      </c>
      <c r="AC60" s="670">
        <v>0</v>
      </c>
      <c r="AD60" s="671">
        <v>3806.98</v>
      </c>
      <c r="AE60" s="672">
        <f t="shared" si="31"/>
        <v>16132.83</v>
      </c>
      <c r="AF60" s="662" t="s">
        <v>2970</v>
      </c>
      <c r="AG60" s="663">
        <f t="shared" si="17"/>
        <v>3.67</v>
      </c>
      <c r="AH60" s="664">
        <f t="shared" si="18"/>
        <v>3358.5422343324253</v>
      </c>
      <c r="AI60" s="665">
        <f t="shared" si="18"/>
        <v>0</v>
      </c>
      <c r="AJ60" s="666">
        <f t="shared" si="18"/>
        <v>1037.3242506811989</v>
      </c>
      <c r="AK60" s="667">
        <f t="shared" si="19"/>
        <v>4395.8664850136247</v>
      </c>
      <c r="AS60" s="600">
        <v>1</v>
      </c>
      <c r="AT60" s="600">
        <v>36</v>
      </c>
      <c r="AZ60" s="600">
        <f t="shared" si="20"/>
        <v>16116.697169999999</v>
      </c>
      <c r="BA60" s="603" t="s">
        <v>3098</v>
      </c>
    </row>
    <row r="61" spans="2:53" ht="33.75" outlineLevel="1">
      <c r="B61" s="647">
        <f t="shared" si="21"/>
        <v>44</v>
      </c>
      <c r="C61" s="648" t="s">
        <v>3099</v>
      </c>
      <c r="D61" s="649" t="str">
        <f t="shared" si="30"/>
        <v>4кв 2015</v>
      </c>
      <c r="E61" s="650">
        <v>0.4</v>
      </c>
      <c r="F61" s="674">
        <v>0.08</v>
      </c>
      <c r="G61" s="652">
        <v>5</v>
      </c>
      <c r="H61" s="653"/>
      <c r="I61" s="653"/>
      <c r="J61" s="653"/>
      <c r="K61" s="653">
        <f>13486.84/1000</f>
        <v>13.486840000000001</v>
      </c>
      <c r="L61" s="653"/>
      <c r="M61" s="653"/>
      <c r="N61" s="653"/>
      <c r="O61" s="653">
        <f>38264.47/1000</f>
        <v>38.264470000000003</v>
      </c>
      <c r="P61" s="654">
        <v>51751.31</v>
      </c>
      <c r="Q61" s="655"/>
      <c r="R61" s="656" t="s">
        <v>2564</v>
      </c>
      <c r="S61" s="657" t="s">
        <v>3100</v>
      </c>
      <c r="T61" s="658" t="s">
        <v>2569</v>
      </c>
      <c r="U61" s="602" t="s">
        <v>2946</v>
      </c>
      <c r="V61" s="602"/>
      <c r="W61" s="602" t="s">
        <v>3008</v>
      </c>
      <c r="X61" s="602" t="s">
        <v>2947</v>
      </c>
      <c r="Y61" s="582" t="str">
        <f t="shared" si="15"/>
        <v>ВЛ-0,4 до 15 кВт (льгота)</v>
      </c>
      <c r="Z61" s="582" t="e">
        <f>IF(X61="","",CONCATENATE(Y61,"-",X61,"; ",#REF!))</f>
        <v>#REF!</v>
      </c>
      <c r="AA61" s="582"/>
      <c r="AB61" s="659">
        <f>O61*1000</f>
        <v>38264.47</v>
      </c>
      <c r="AC61" s="660">
        <f>(I61+H61)*1000</f>
        <v>0</v>
      </c>
      <c r="AD61" s="661">
        <f>K61*1000</f>
        <v>13486.84</v>
      </c>
      <c r="AE61" s="662">
        <f t="shared" si="31"/>
        <v>51751.31</v>
      </c>
      <c r="AF61" s="662" t="s">
        <v>2981</v>
      </c>
      <c r="AG61" s="663">
        <f t="shared" si="17"/>
        <v>3.87</v>
      </c>
      <c r="AH61" s="664">
        <f t="shared" si="18"/>
        <v>9887.4599483204129</v>
      </c>
      <c r="AI61" s="665">
        <f t="shared" si="18"/>
        <v>0</v>
      </c>
      <c r="AJ61" s="666">
        <f t="shared" si="18"/>
        <v>3484.97157622739</v>
      </c>
      <c r="AK61" s="667">
        <f t="shared" si="19"/>
        <v>13372.431524547803</v>
      </c>
      <c r="AS61" s="600">
        <v>1</v>
      </c>
      <c r="AZ61" s="600">
        <f t="shared" si="20"/>
        <v>51699.558689999998</v>
      </c>
      <c r="BA61" s="668" t="s">
        <v>3101</v>
      </c>
    </row>
    <row r="62" spans="2:53" ht="33.75" outlineLevel="1">
      <c r="B62" s="647">
        <f t="shared" si="21"/>
        <v>45</v>
      </c>
      <c r="C62" s="648" t="s">
        <v>3102</v>
      </c>
      <c r="D62" s="649" t="str">
        <f t="shared" si="30"/>
        <v>4кв 2015</v>
      </c>
      <c r="E62" s="650">
        <v>0.4</v>
      </c>
      <c r="F62" s="674">
        <f>0.086+0.274</f>
        <v>0.36</v>
      </c>
      <c r="G62" s="652">
        <v>5</v>
      </c>
      <c r="H62" s="653"/>
      <c r="I62" s="653"/>
      <c r="J62" s="653"/>
      <c r="K62" s="653">
        <f>4392.14/1000</f>
        <v>4.3921400000000004</v>
      </c>
      <c r="L62" s="653"/>
      <c r="M62" s="653"/>
      <c r="N62" s="653"/>
      <c r="O62" s="653">
        <f>124349.24/1000</f>
        <v>124.34924000000001</v>
      </c>
      <c r="P62" s="654">
        <v>128741.37999999999</v>
      </c>
      <c r="Q62" s="655"/>
      <c r="R62" s="656" t="s">
        <v>2564</v>
      </c>
      <c r="S62" s="657" t="s">
        <v>3103</v>
      </c>
      <c r="T62" s="658" t="s">
        <v>2569</v>
      </c>
      <c r="U62" s="602" t="s">
        <v>2946</v>
      </c>
      <c r="V62" s="602"/>
      <c r="W62" s="602" t="s">
        <v>3008</v>
      </c>
      <c r="X62" s="602" t="s">
        <v>2947</v>
      </c>
      <c r="Y62" s="582" t="str">
        <f t="shared" si="15"/>
        <v>ВЛ-0,4 до 15 кВт (льгота)</v>
      </c>
      <c r="Z62" s="582" t="e">
        <f>IF(X62="","",CONCATENATE(Y62,"-",X62,"; ",#REF!))</f>
        <v>#REF!</v>
      </c>
      <c r="AA62" s="582"/>
      <c r="AB62" s="659">
        <f>O62*1000</f>
        <v>124349.24</v>
      </c>
      <c r="AC62" s="660">
        <f>(I62+H62)*1000</f>
        <v>0</v>
      </c>
      <c r="AD62" s="661">
        <f>K62*1000</f>
        <v>4392.1400000000003</v>
      </c>
      <c r="AE62" s="662">
        <f t="shared" si="31"/>
        <v>128741.38</v>
      </c>
      <c r="AF62" s="662" t="s">
        <v>2981</v>
      </c>
      <c r="AG62" s="663">
        <f t="shared" si="17"/>
        <v>3.87</v>
      </c>
      <c r="AH62" s="664">
        <f t="shared" si="18"/>
        <v>32131.586563307494</v>
      </c>
      <c r="AI62" s="665">
        <f t="shared" si="18"/>
        <v>0</v>
      </c>
      <c r="AJ62" s="666">
        <f t="shared" si="18"/>
        <v>1134.9198966408269</v>
      </c>
      <c r="AK62" s="667">
        <f t="shared" si="19"/>
        <v>33266.506459948323</v>
      </c>
      <c r="AS62" s="600">
        <v>1</v>
      </c>
      <c r="AT62" s="600">
        <v>69</v>
      </c>
      <c r="AZ62" s="600">
        <f t="shared" si="20"/>
        <v>128612.63861999998</v>
      </c>
      <c r="BA62" s="668" t="s">
        <v>3104</v>
      </c>
    </row>
    <row r="63" spans="2:53" ht="33.75" outlineLevel="1">
      <c r="B63" s="647">
        <f t="shared" si="21"/>
        <v>46</v>
      </c>
      <c r="C63" s="648" t="s">
        <v>3105</v>
      </c>
      <c r="D63" s="649" t="str">
        <f t="shared" si="30"/>
        <v>4кв 2015</v>
      </c>
      <c r="E63" s="650">
        <v>0.4</v>
      </c>
      <c r="F63" s="674">
        <v>0.03</v>
      </c>
      <c r="G63" s="652">
        <v>10</v>
      </c>
      <c r="H63" s="653"/>
      <c r="I63" s="653"/>
      <c r="J63" s="653"/>
      <c r="K63" s="653">
        <f>898.4/1000</f>
        <v>0.89839999999999998</v>
      </c>
      <c r="L63" s="653"/>
      <c r="M63" s="653"/>
      <c r="N63" s="653"/>
      <c r="O63" s="653">
        <f>19732.23/1000</f>
        <v>19.732230000000001</v>
      </c>
      <c r="P63" s="654">
        <v>20630.63</v>
      </c>
      <c r="Q63" s="655"/>
      <c r="R63" s="656" t="s">
        <v>2564</v>
      </c>
      <c r="S63" s="657" t="s">
        <v>3106</v>
      </c>
      <c r="T63" s="658" t="s">
        <v>2569</v>
      </c>
      <c r="U63" s="602" t="s">
        <v>2946</v>
      </c>
      <c r="V63" s="602"/>
      <c r="W63" s="602" t="s">
        <v>3008</v>
      </c>
      <c r="X63" s="602" t="s">
        <v>2947</v>
      </c>
      <c r="Y63" s="582" t="str">
        <f t="shared" si="15"/>
        <v>ВЛ-0,4 до 15 кВт (льгота)</v>
      </c>
      <c r="Z63" s="582" t="e">
        <f>IF(X63="","",CONCATENATE(Y63,"-",X63,"; ",#REF!))</f>
        <v>#REF!</v>
      </c>
      <c r="AA63" s="582"/>
      <c r="AB63" s="659">
        <f>O63*1000</f>
        <v>19732.23</v>
      </c>
      <c r="AC63" s="660">
        <f>(I63+H63)*1000</f>
        <v>0</v>
      </c>
      <c r="AD63" s="661">
        <f>K63*1000</f>
        <v>898.4</v>
      </c>
      <c r="AE63" s="662">
        <f t="shared" si="31"/>
        <v>20630.63</v>
      </c>
      <c r="AF63" s="662" t="s">
        <v>2981</v>
      </c>
      <c r="AG63" s="663">
        <f t="shared" si="17"/>
        <v>3.87</v>
      </c>
      <c r="AH63" s="664">
        <f t="shared" si="18"/>
        <v>5098.7674418604647</v>
      </c>
      <c r="AI63" s="665">
        <f t="shared" si="18"/>
        <v>0</v>
      </c>
      <c r="AJ63" s="666">
        <f t="shared" si="18"/>
        <v>232.14470284237726</v>
      </c>
      <c r="AK63" s="667">
        <f t="shared" si="19"/>
        <v>5330.9121447028419</v>
      </c>
      <c r="AS63" s="600">
        <v>1</v>
      </c>
      <c r="AZ63" s="600">
        <f t="shared" si="20"/>
        <v>20609.999370000001</v>
      </c>
      <c r="BA63" s="668" t="s">
        <v>3107</v>
      </c>
    </row>
    <row r="64" spans="2:53" ht="51" outlineLevel="1">
      <c r="B64" s="707">
        <f t="shared" si="21"/>
        <v>47</v>
      </c>
      <c r="C64" s="648" t="s">
        <v>3350</v>
      </c>
      <c r="D64" s="649" t="str">
        <f t="shared" si="30"/>
        <v>4кв 2015</v>
      </c>
      <c r="E64" s="650">
        <v>0.4</v>
      </c>
      <c r="F64" s="674">
        <f>0.43</f>
        <v>0.43</v>
      </c>
      <c r="G64" s="652">
        <f>10+10+10</f>
        <v>30</v>
      </c>
      <c r="H64" s="653"/>
      <c r="I64" s="653">
        <f t="shared" ref="I64" si="35">AC64/1000</f>
        <v>0</v>
      </c>
      <c r="J64" s="653"/>
      <c r="K64" s="653">
        <f t="shared" ref="K64" si="36">AD64/1000</f>
        <v>12.183610000000002</v>
      </c>
      <c r="L64" s="653"/>
      <c r="M64" s="653"/>
      <c r="N64" s="653"/>
      <c r="O64" s="653">
        <f t="shared" ref="O64" si="37">AB64/1000</f>
        <v>56.001339999999999</v>
      </c>
      <c r="P64" s="1116">
        <v>134876.04999999999</v>
      </c>
      <c r="Q64" s="655"/>
      <c r="R64" s="656" t="s">
        <v>2564</v>
      </c>
      <c r="S64" s="657" t="s">
        <v>3108</v>
      </c>
      <c r="T64" s="718" t="s">
        <v>2569</v>
      </c>
      <c r="U64" s="602" t="s">
        <v>2946</v>
      </c>
      <c r="V64" s="719"/>
      <c r="W64" s="719" t="s">
        <v>3008</v>
      </c>
      <c r="X64" s="602" t="s">
        <v>2947</v>
      </c>
      <c r="Y64" s="582" t="str">
        <f t="shared" si="15"/>
        <v>ВЛ-0,4 до 15 кВт (льгота)</v>
      </c>
      <c r="Z64" s="582" t="e">
        <f>IF(X64="","",CONCATENATE(Y64,"-",X64,"; ",#REF!))</f>
        <v>#REF!</v>
      </c>
      <c r="AA64" s="582"/>
      <c r="AB64" s="669">
        <v>56001.34</v>
      </c>
      <c r="AC64" s="670">
        <v>0</v>
      </c>
      <c r="AD64" s="671">
        <v>12183.610000000002</v>
      </c>
      <c r="AE64" s="720">
        <f t="shared" si="31"/>
        <v>68184.95</v>
      </c>
      <c r="AF64" s="662" t="s">
        <v>2981</v>
      </c>
      <c r="AG64" s="663">
        <f t="shared" si="17"/>
        <v>3.87</v>
      </c>
      <c r="AH64" s="664">
        <f t="shared" si="18"/>
        <v>14470.630490956071</v>
      </c>
      <c r="AI64" s="665">
        <f t="shared" si="18"/>
        <v>0</v>
      </c>
      <c r="AJ64" s="666">
        <f t="shared" si="18"/>
        <v>3148.2196382428947</v>
      </c>
      <c r="AK64" s="667">
        <f t="shared" si="19"/>
        <v>17618.850129198967</v>
      </c>
      <c r="AM64" s="582" t="s">
        <v>3109</v>
      </c>
      <c r="AN64" s="582"/>
      <c r="AO64" s="582"/>
      <c r="AP64" s="582"/>
      <c r="AQ64" s="582"/>
      <c r="AS64" s="721">
        <v>1</v>
      </c>
      <c r="AT64" s="721">
        <v>61</v>
      </c>
      <c r="AV64" s="1271" t="s">
        <v>3110</v>
      </c>
      <c r="AW64" s="722">
        <v>65426.71</v>
      </c>
      <c r="AZ64" s="600">
        <f t="shared" si="20"/>
        <v>134807.86504999999</v>
      </c>
      <c r="BA64" s="723" t="s">
        <v>3111</v>
      </c>
    </row>
    <row r="65" spans="2:87" ht="33.75" outlineLevel="1">
      <c r="B65" s="724">
        <f t="shared" si="21"/>
        <v>48</v>
      </c>
      <c r="C65" s="648" t="s">
        <v>3112</v>
      </c>
      <c r="D65" s="649" t="str">
        <f>IF(AF65=0,"",AF65)</f>
        <v>2кв 2015</v>
      </c>
      <c r="E65" s="650">
        <v>0.4</v>
      </c>
      <c r="F65" s="651">
        <v>0.115</v>
      </c>
      <c r="G65" s="652">
        <v>6</v>
      </c>
      <c r="H65" s="653"/>
      <c r="I65" s="653"/>
      <c r="J65" s="653"/>
      <c r="K65" s="653">
        <f>22938.63/1000</f>
        <v>22.93863</v>
      </c>
      <c r="L65" s="653"/>
      <c r="M65" s="653"/>
      <c r="N65" s="653"/>
      <c r="O65" s="653">
        <f>58660.03/1000</f>
        <v>58.660029999999999</v>
      </c>
      <c r="P65" s="654">
        <v>81598.66</v>
      </c>
      <c r="Q65" s="655"/>
      <c r="R65" s="656" t="s">
        <v>2564</v>
      </c>
      <c r="S65" s="657" t="s">
        <v>3113</v>
      </c>
      <c r="T65" s="658" t="s">
        <v>3114</v>
      </c>
      <c r="U65" s="602" t="s">
        <v>2946</v>
      </c>
      <c r="V65" s="602"/>
      <c r="W65" s="602" t="s">
        <v>3008</v>
      </c>
      <c r="X65" s="602" t="s">
        <v>2947</v>
      </c>
      <c r="Y65" s="582" t="str">
        <f t="shared" si="15"/>
        <v>ВЛ-0,4 до 15 кВт (льгота)</v>
      </c>
      <c r="Z65" s="582" t="e">
        <f>IF(X65="","",CONCATENATE(Y65,"-",X65,"; ",#REF!))</f>
        <v>#REF!</v>
      </c>
      <c r="AA65" s="582"/>
      <c r="AB65" s="659">
        <f>O65*1000</f>
        <v>58660.03</v>
      </c>
      <c r="AC65" s="660">
        <f>(I65+H65)*1000</f>
        <v>0</v>
      </c>
      <c r="AD65" s="661">
        <f>K65*1000</f>
        <v>22938.63</v>
      </c>
      <c r="AE65" s="662">
        <f>AB65+AC65+AD65</f>
        <v>81598.66</v>
      </c>
      <c r="AF65" s="662" t="s">
        <v>2970</v>
      </c>
      <c r="AG65" s="663">
        <f t="shared" si="17"/>
        <v>3.67</v>
      </c>
      <c r="AH65" s="664">
        <f t="shared" si="18"/>
        <v>15983.659400544959</v>
      </c>
      <c r="AI65" s="665">
        <f t="shared" si="18"/>
        <v>0</v>
      </c>
      <c r="AJ65" s="666">
        <f t="shared" si="18"/>
        <v>6250.3079019073575</v>
      </c>
      <c r="AK65" s="667">
        <f t="shared" si="19"/>
        <v>22233.967302452314</v>
      </c>
      <c r="AS65" s="600">
        <v>1</v>
      </c>
      <c r="AT65" s="600">
        <v>20</v>
      </c>
      <c r="AZ65" s="600">
        <f t="shared" si="20"/>
        <v>81517.06134</v>
      </c>
      <c r="BA65" s="668" t="s">
        <v>2998</v>
      </c>
    </row>
    <row r="66" spans="2:87" ht="33.75" outlineLevel="1">
      <c r="B66" s="647">
        <f t="shared" si="21"/>
        <v>49</v>
      </c>
      <c r="C66" s="648" t="s">
        <v>3115</v>
      </c>
      <c r="D66" s="649" t="str">
        <f>IF(AF66=0,"",AF66)</f>
        <v>4кв 2015</v>
      </c>
      <c r="E66" s="650">
        <v>0.4</v>
      </c>
      <c r="F66" s="651">
        <v>0.155</v>
      </c>
      <c r="G66" s="652">
        <v>5</v>
      </c>
      <c r="H66" s="653"/>
      <c r="I66" s="653"/>
      <c r="J66" s="653"/>
      <c r="K66" s="653">
        <f>23611.84/1000</f>
        <v>23.611840000000001</v>
      </c>
      <c r="L66" s="653"/>
      <c r="M66" s="653"/>
      <c r="N66" s="653"/>
      <c r="O66" s="653">
        <f>67433.59/1000</f>
        <v>67.433589999999995</v>
      </c>
      <c r="P66" s="654">
        <v>91045.43</v>
      </c>
      <c r="Q66" s="655"/>
      <c r="R66" s="656" t="s">
        <v>2564</v>
      </c>
      <c r="S66" s="657" t="s">
        <v>3116</v>
      </c>
      <c r="T66" s="658" t="s">
        <v>2571</v>
      </c>
      <c r="U66" s="602" t="s">
        <v>2946</v>
      </c>
      <c r="V66" s="602"/>
      <c r="W66" s="602" t="s">
        <v>3008</v>
      </c>
      <c r="X66" s="602" t="s">
        <v>2947</v>
      </c>
      <c r="Y66" s="582" t="str">
        <f t="shared" si="15"/>
        <v>ВЛ-0,4 до 15 кВт (льгота)</v>
      </c>
      <c r="Z66" s="582" t="e">
        <f>IF(X66="","",CONCATENATE(Y66,"-",X66,"; ",#REF!))</f>
        <v>#REF!</v>
      </c>
      <c r="AA66" s="582"/>
      <c r="AB66" s="659">
        <f>O66*1000</f>
        <v>67433.59</v>
      </c>
      <c r="AC66" s="660">
        <f>(I66+H66)*1000</f>
        <v>0</v>
      </c>
      <c r="AD66" s="661">
        <f>K66*1000</f>
        <v>23611.84</v>
      </c>
      <c r="AE66" s="662">
        <f>AB66+AC66+AD66</f>
        <v>91045.43</v>
      </c>
      <c r="AF66" s="662" t="s">
        <v>2981</v>
      </c>
      <c r="AG66" s="663">
        <f t="shared" si="17"/>
        <v>3.87</v>
      </c>
      <c r="AH66" s="664">
        <f t="shared" si="18"/>
        <v>17424.70025839793</v>
      </c>
      <c r="AI66" s="665">
        <f t="shared" si="18"/>
        <v>0</v>
      </c>
      <c r="AJ66" s="666">
        <f t="shared" si="18"/>
        <v>6101.2506459948318</v>
      </c>
      <c r="AK66" s="667">
        <f t="shared" si="19"/>
        <v>23525.950904392761</v>
      </c>
      <c r="AS66" s="600">
        <v>1</v>
      </c>
      <c r="AZ66" s="600">
        <f t="shared" si="20"/>
        <v>90954.384569999995</v>
      </c>
      <c r="BA66" s="668" t="s">
        <v>3117</v>
      </c>
    </row>
    <row r="67" spans="2:87" ht="33.75" outlineLevel="1">
      <c r="B67" s="724">
        <f t="shared" si="21"/>
        <v>50</v>
      </c>
      <c r="C67" s="648" t="s">
        <v>3118</v>
      </c>
      <c r="D67" s="649" t="str">
        <f>IF(AF67=0,"",AF67)</f>
        <v>1кв 2015</v>
      </c>
      <c r="E67" s="650">
        <v>0.4</v>
      </c>
      <c r="F67" s="651">
        <v>0.182</v>
      </c>
      <c r="G67" s="652">
        <v>12</v>
      </c>
      <c r="H67" s="653">
        <f>26467/1000</f>
        <v>26.466999999999999</v>
      </c>
      <c r="I67" s="653"/>
      <c r="J67" s="653"/>
      <c r="K67" s="653">
        <f>17605.88/1000</f>
        <v>17.605880000000003</v>
      </c>
      <c r="L67" s="653"/>
      <c r="M67" s="653"/>
      <c r="N67" s="653"/>
      <c r="O67" s="653">
        <f>74251.61/1000</f>
        <v>74.251609999999999</v>
      </c>
      <c r="P67" s="654">
        <v>118324.49</v>
      </c>
      <c r="Q67" s="655"/>
      <c r="R67" s="656" t="s">
        <v>2564</v>
      </c>
      <c r="S67" s="657" t="s">
        <v>3119</v>
      </c>
      <c r="T67" s="658" t="s">
        <v>2571</v>
      </c>
      <c r="U67" s="602" t="s">
        <v>2946</v>
      </c>
      <c r="V67" s="602"/>
      <c r="W67" s="602" t="s">
        <v>3008</v>
      </c>
      <c r="X67" s="602" t="s">
        <v>2947</v>
      </c>
      <c r="Y67" s="582" t="str">
        <f t="shared" si="15"/>
        <v>ВЛ-0,4 до 15 кВт (льгота)</v>
      </c>
      <c r="Z67" s="582" t="e">
        <f>IF(X67="","",CONCATENATE(Y67,"-",X67,"; ",#REF!))</f>
        <v>#REF!</v>
      </c>
      <c r="AA67" s="582"/>
      <c r="AB67" s="659">
        <f>O67*1000</f>
        <v>74251.61</v>
      </c>
      <c r="AC67" s="660">
        <f>(I67+H67)*1000</f>
        <v>26467</v>
      </c>
      <c r="AD67" s="661">
        <f>K67*1000</f>
        <v>17605.88</v>
      </c>
      <c r="AE67" s="662">
        <f>AB67+AC67+AD67</f>
        <v>118324.49</v>
      </c>
      <c r="AF67" s="662" t="s">
        <v>2966</v>
      </c>
      <c r="AG67" s="663">
        <f t="shared" si="17"/>
        <v>3.67</v>
      </c>
      <c r="AH67" s="664">
        <f t="shared" si="18"/>
        <v>20232.046321525886</v>
      </c>
      <c r="AI67" s="665">
        <f t="shared" si="18"/>
        <v>7211.7166212534057</v>
      </c>
      <c r="AJ67" s="666">
        <f t="shared" si="18"/>
        <v>4797.2425068119892</v>
      </c>
      <c r="AK67" s="667">
        <f t="shared" si="19"/>
        <v>32241.005449591281</v>
      </c>
      <c r="AS67" s="600">
        <v>1</v>
      </c>
      <c r="AT67" s="600">
        <v>10</v>
      </c>
      <c r="AZ67" s="600">
        <f t="shared" si="20"/>
        <v>118206.16551000001</v>
      </c>
      <c r="BA67" s="668" t="s">
        <v>3120</v>
      </c>
    </row>
    <row r="68" spans="2:87" ht="22.5" outlineLevel="1">
      <c r="B68" s="647">
        <f t="shared" si="21"/>
        <v>51</v>
      </c>
      <c r="C68" s="648" t="s">
        <v>3121</v>
      </c>
      <c r="D68" s="649" t="str">
        <f>IF(AF68=0,"",AF68)</f>
        <v>1кв 2015</v>
      </c>
      <c r="E68" s="650">
        <v>0.4</v>
      </c>
      <c r="F68" s="651">
        <v>0.36</v>
      </c>
      <c r="G68" s="652">
        <v>5</v>
      </c>
      <c r="H68" s="653"/>
      <c r="I68" s="653"/>
      <c r="J68" s="653"/>
      <c r="K68" s="653">
        <f>33295.22/1000</f>
        <v>33.29522</v>
      </c>
      <c r="L68" s="653"/>
      <c r="M68" s="653"/>
      <c r="N68" s="653"/>
      <c r="O68" s="653">
        <f>179180.96/1000</f>
        <v>179.18096</v>
      </c>
      <c r="P68" s="654">
        <v>212476.18</v>
      </c>
      <c r="Q68" s="655"/>
      <c r="R68" s="656" t="s">
        <v>2564</v>
      </c>
      <c r="S68" s="657" t="s">
        <v>3122</v>
      </c>
      <c r="T68" s="658" t="s">
        <v>2572</v>
      </c>
      <c r="U68" s="602" t="s">
        <v>2946</v>
      </c>
      <c r="V68" s="602"/>
      <c r="W68" s="602" t="s">
        <v>3008</v>
      </c>
      <c r="X68" s="602" t="s">
        <v>2947</v>
      </c>
      <c r="Y68" s="582" t="str">
        <f t="shared" si="15"/>
        <v>ВЛ-0,4 до 15 кВт (льгота)</v>
      </c>
      <c r="Z68" s="582" t="e">
        <f>IF(X68="","",CONCATENATE(Y68,"-",X68,"; ",#REF!))</f>
        <v>#REF!</v>
      </c>
      <c r="AA68" s="582"/>
      <c r="AB68" s="659">
        <f>O68*1000</f>
        <v>179180.96</v>
      </c>
      <c r="AC68" s="660">
        <f>(I68+H68)*1000</f>
        <v>0</v>
      </c>
      <c r="AD68" s="661">
        <f>K68*1000</f>
        <v>33295.22</v>
      </c>
      <c r="AE68" s="662">
        <f>AB68+AC68+AD68</f>
        <v>212476.18</v>
      </c>
      <c r="AF68" s="662" t="s">
        <v>2966</v>
      </c>
      <c r="AG68" s="663">
        <f t="shared" si="17"/>
        <v>3.67</v>
      </c>
      <c r="AH68" s="664">
        <f t="shared" si="18"/>
        <v>48823.14986376022</v>
      </c>
      <c r="AI68" s="665">
        <f t="shared" si="18"/>
        <v>0</v>
      </c>
      <c r="AJ68" s="666">
        <f t="shared" si="18"/>
        <v>9072.2670299727524</v>
      </c>
      <c r="AK68" s="667">
        <f t="shared" si="19"/>
        <v>57895.416893732974</v>
      </c>
      <c r="AS68" s="600">
        <v>1</v>
      </c>
      <c r="AT68" s="600">
        <v>6</v>
      </c>
      <c r="AZ68" s="600">
        <f t="shared" si="20"/>
        <v>212263.70382</v>
      </c>
      <c r="BA68" s="668" t="s">
        <v>3123</v>
      </c>
    </row>
    <row r="69" spans="2:87" ht="33.75" outlineLevel="1">
      <c r="B69" s="647">
        <f t="shared" si="21"/>
        <v>52</v>
      </c>
      <c r="C69" s="648" t="s">
        <v>3124</v>
      </c>
      <c r="D69" s="649" t="str">
        <f>IF(AF69=0,"",AF69)</f>
        <v>2кв 2015</v>
      </c>
      <c r="E69" s="650">
        <v>0.4</v>
      </c>
      <c r="F69" s="651">
        <v>0.28299999999999997</v>
      </c>
      <c r="G69" s="652">
        <v>5</v>
      </c>
      <c r="H69" s="653"/>
      <c r="I69" s="653">
        <f t="shared" ref="I69" si="38">AC69/1000</f>
        <v>0</v>
      </c>
      <c r="J69" s="653"/>
      <c r="K69" s="653">
        <f t="shared" ref="K69" si="39">AD69/1000</f>
        <v>30.010930000000002</v>
      </c>
      <c r="L69" s="653"/>
      <c r="M69" s="653"/>
      <c r="N69" s="653"/>
      <c r="O69" s="653">
        <f t="shared" ref="O69" si="40">AB69/1000</f>
        <v>110.79473</v>
      </c>
      <c r="P69" s="714">
        <v>140805.66</v>
      </c>
      <c r="Q69" s="655"/>
      <c r="R69" s="656" t="s">
        <v>2564</v>
      </c>
      <c r="S69" s="657" t="s">
        <v>3125</v>
      </c>
      <c r="T69" s="658" t="s">
        <v>2573</v>
      </c>
      <c r="U69" s="602" t="s">
        <v>2946</v>
      </c>
      <c r="V69" s="602"/>
      <c r="W69" s="602" t="s">
        <v>3008</v>
      </c>
      <c r="X69" s="602" t="s">
        <v>2947</v>
      </c>
      <c r="Y69" s="582" t="str">
        <f t="shared" si="15"/>
        <v>ВЛ-0,4 до 15 кВт (льгота)</v>
      </c>
      <c r="Z69" s="582" t="e">
        <f>IF(X69="","",CONCATENATE(Y69,"-",X69,"; ",#REF!))</f>
        <v>#REF!</v>
      </c>
      <c r="AA69" s="582"/>
      <c r="AB69" s="669">
        <v>110794.73</v>
      </c>
      <c r="AC69" s="670">
        <v>0</v>
      </c>
      <c r="AD69" s="671">
        <v>30010.93</v>
      </c>
      <c r="AE69" s="672">
        <f>AB69+AC69+AD69</f>
        <v>140805.66</v>
      </c>
      <c r="AF69" s="662" t="s">
        <v>2970</v>
      </c>
      <c r="AG69" s="663">
        <f t="shared" si="17"/>
        <v>3.67</v>
      </c>
      <c r="AH69" s="664">
        <f t="shared" si="18"/>
        <v>30189.299727520436</v>
      </c>
      <c r="AI69" s="665">
        <f t="shared" si="18"/>
        <v>0</v>
      </c>
      <c r="AJ69" s="666">
        <f t="shared" si="18"/>
        <v>8177.3651226158045</v>
      </c>
      <c r="AK69" s="667">
        <f t="shared" si="19"/>
        <v>38366.664850136243</v>
      </c>
      <c r="AS69" s="725">
        <v>1</v>
      </c>
      <c r="AT69" s="725">
        <v>24</v>
      </c>
      <c r="AZ69" s="600">
        <f t="shared" si="20"/>
        <v>140664.85433999999</v>
      </c>
      <c r="BA69" s="673" t="s">
        <v>3126</v>
      </c>
    </row>
    <row r="70" spans="2:87" s="76" customFormat="1" ht="15.75" outlineLevel="1">
      <c r="B70" s="676"/>
      <c r="C70" s="693"/>
      <c r="D70" s="694"/>
      <c r="E70" s="695"/>
      <c r="F70" s="696"/>
      <c r="G70" s="726"/>
      <c r="H70" s="247"/>
      <c r="I70" s="247"/>
      <c r="J70" s="698"/>
      <c r="K70" s="247"/>
      <c r="L70" s="699"/>
      <c r="M70" s="698"/>
      <c r="N70" s="698"/>
      <c r="O70" s="247"/>
      <c r="P70" s="700"/>
      <c r="Q70" s="185"/>
      <c r="R70" s="186"/>
      <c r="S70" s="297"/>
      <c r="T70" s="188"/>
      <c r="U70" s="168"/>
      <c r="V70" s="168"/>
      <c r="W70" s="168"/>
      <c r="X70" s="168"/>
      <c r="Y70" s="128"/>
      <c r="Z70" s="128"/>
      <c r="AA70" s="128"/>
      <c r="AB70" s="727"/>
      <c r="AC70" s="728"/>
      <c r="AD70" s="729"/>
      <c r="AE70" s="730"/>
      <c r="AF70" s="685"/>
      <c r="AG70" s="639"/>
      <c r="AH70" s="701"/>
      <c r="AI70" s="702"/>
      <c r="AJ70" s="703"/>
      <c r="AK70" s="704"/>
      <c r="BE70" s="692"/>
      <c r="BF70" s="692"/>
      <c r="BG70" s="692"/>
      <c r="BH70" s="692"/>
      <c r="BI70" s="692"/>
      <c r="BJ70" s="692"/>
      <c r="BK70" s="692"/>
      <c r="BL70" s="692"/>
      <c r="BM70" s="692"/>
      <c r="BN70" s="692"/>
      <c r="BO70" s="692"/>
      <c r="BP70" s="692"/>
      <c r="BQ70" s="692"/>
      <c r="BR70" s="692"/>
      <c r="BS70" s="692"/>
      <c r="BT70" s="692"/>
      <c r="BU70" s="692"/>
      <c r="BV70" s="692"/>
      <c r="BW70" s="692"/>
      <c r="BX70" s="692"/>
      <c r="BY70" s="692"/>
      <c r="BZ70" s="272"/>
      <c r="CA70" s="272"/>
      <c r="CB70" s="272"/>
      <c r="CC70" s="272"/>
      <c r="CD70" s="272"/>
      <c r="CE70" s="272"/>
      <c r="CF70" s="272"/>
      <c r="CG70" s="272"/>
      <c r="CH70" s="272"/>
      <c r="CI70" s="272"/>
    </row>
    <row r="71" spans="2:87" s="120" customFormat="1" ht="30">
      <c r="B71" s="675" t="s">
        <v>3127</v>
      </c>
      <c r="C71" s="1148" t="str">
        <f>"Всего по "&amp;T28&amp;" "&amp;T71&amp;" ("&amp;$C$9&amp;"):"</f>
        <v>Всего по Вне Г.Н.П. Изолир. алюм. 50-100 мм (ВЛ-0,4 до 15 кВт (льгота)):</v>
      </c>
      <c r="D71" s="1148"/>
      <c r="E71" s="1148"/>
      <c r="F71" s="1149">
        <f>SUM(F72:F74)</f>
        <v>0.18</v>
      </c>
      <c r="G71" s="1150">
        <f t="shared" ref="G71:P71" si="41">SUM(G72:G74)</f>
        <v>8</v>
      </c>
      <c r="H71" s="1150">
        <f t="shared" si="41"/>
        <v>0</v>
      </c>
      <c r="I71" s="1150">
        <f t="shared" si="41"/>
        <v>0</v>
      </c>
      <c r="J71" s="1150">
        <f t="shared" si="41"/>
        <v>0</v>
      </c>
      <c r="K71" s="1150">
        <f t="shared" si="41"/>
        <v>12.55508</v>
      </c>
      <c r="L71" s="1150">
        <f t="shared" si="41"/>
        <v>0</v>
      </c>
      <c r="M71" s="1150">
        <f t="shared" si="41"/>
        <v>0</v>
      </c>
      <c r="N71" s="1150">
        <f t="shared" si="41"/>
        <v>0</v>
      </c>
      <c r="O71" s="1150">
        <f t="shared" si="41"/>
        <v>87.030940000000001</v>
      </c>
      <c r="P71" s="1150">
        <f t="shared" si="41"/>
        <v>99586.01999999999</v>
      </c>
      <c r="Q71" s="1151"/>
      <c r="R71" s="1151"/>
      <c r="S71" s="1151"/>
      <c r="T71" s="1151" t="s">
        <v>3005</v>
      </c>
      <c r="U71" s="128"/>
      <c r="V71" s="129"/>
      <c r="W71" s="630"/>
      <c r="X71" s="631"/>
      <c r="Y71" s="632"/>
      <c r="Z71" s="633"/>
      <c r="AA71" s="128"/>
      <c r="AB71" s="634"/>
      <c r="AC71" s="635"/>
      <c r="AD71" s="636"/>
      <c r="AE71" s="637"/>
      <c r="AF71" s="638"/>
      <c r="AG71" s="639"/>
      <c r="AH71" s="640"/>
      <c r="AI71" s="641"/>
      <c r="AJ71" s="642"/>
      <c r="AK71" s="638"/>
      <c r="AN71" s="643"/>
      <c r="AT71" s="126"/>
      <c r="AU71" s="644"/>
      <c r="BC71" s="120" t="str">
        <f>[24]Прил.1!$F$14</f>
        <v>50 - 100</v>
      </c>
      <c r="BD71" s="368" t="str">
        <f>CONCATENATE($BC$1,"; ",$BC$4,"; ",$BD$1,"; ",$BD$3,"; ",BC71)</f>
        <v>0,4 кВ; Вне Г.Н.П.; изолированный; алюминевый; 50 - 100</v>
      </c>
      <c r="BE71" s="645"/>
      <c r="BF71" s="645"/>
      <c r="BG71" s="645"/>
      <c r="BH71" s="645"/>
      <c r="BI71" s="645"/>
      <c r="BJ71" s="645"/>
      <c r="BK71" s="645"/>
      <c r="BL71" s="645"/>
      <c r="BM71" s="645"/>
      <c r="BN71" s="645"/>
      <c r="BO71" s="645"/>
      <c r="BP71" s="645"/>
      <c r="BQ71" s="645"/>
      <c r="BR71" s="645"/>
      <c r="BS71" s="645"/>
      <c r="BT71" s="645"/>
      <c r="BU71" s="645"/>
      <c r="BV71" s="645"/>
      <c r="BW71" s="645"/>
      <c r="BX71" s="645"/>
      <c r="BY71" s="645"/>
      <c r="BZ71" s="646"/>
      <c r="CA71" s="646"/>
      <c r="CB71" s="646"/>
      <c r="CC71" s="646"/>
      <c r="CD71" s="646"/>
      <c r="CE71" s="646"/>
      <c r="CF71" s="646"/>
      <c r="CG71" s="646"/>
      <c r="CH71" s="646"/>
      <c r="CI71" s="646"/>
    </row>
    <row r="72" spans="2:87" ht="22.5" outlineLevel="1">
      <c r="B72" s="724">
        <f>B69+1</f>
        <v>53</v>
      </c>
      <c r="C72" s="648" t="s">
        <v>3128</v>
      </c>
      <c r="D72" s="649" t="str">
        <f>IF(AF72=0,"",AF72)</f>
        <v>2кв 2015</v>
      </c>
      <c r="E72" s="650">
        <v>0.4</v>
      </c>
      <c r="F72" s="651">
        <v>0.06</v>
      </c>
      <c r="G72" s="652">
        <v>5</v>
      </c>
      <c r="H72" s="653"/>
      <c r="I72" s="653">
        <f t="shared" ref="I72" si="42">AC72/1000</f>
        <v>0</v>
      </c>
      <c r="J72" s="653"/>
      <c r="K72" s="653">
        <f t="shared" ref="K72" si="43">AD72/1000</f>
        <v>2.8239800000000002</v>
      </c>
      <c r="L72" s="653"/>
      <c r="M72" s="653"/>
      <c r="N72" s="653"/>
      <c r="O72" s="653">
        <f t="shared" ref="O72" si="44">AB72/1000</f>
        <v>23.458369999999999</v>
      </c>
      <c r="P72" s="705">
        <v>26282.35</v>
      </c>
      <c r="Q72" s="655"/>
      <c r="R72" s="656" t="s">
        <v>2564</v>
      </c>
      <c r="S72" s="657" t="s">
        <v>3129</v>
      </c>
      <c r="T72" s="658" t="s">
        <v>3130</v>
      </c>
      <c r="U72" s="602" t="s">
        <v>2946</v>
      </c>
      <c r="V72" s="602"/>
      <c r="W72" s="602" t="s">
        <v>3008</v>
      </c>
      <c r="X72" s="602" t="s">
        <v>2947</v>
      </c>
      <c r="Y72" s="582" t="str">
        <f>IF(X72="","",$C$9)</f>
        <v>ВЛ-0,4 до 15 кВт (льгота)</v>
      </c>
      <c r="Z72" s="582" t="e">
        <f>IF(X72="","",CONCATENATE(Y72,"-",X72,"; ",#REF!))</f>
        <v>#REF!</v>
      </c>
      <c r="AA72" s="582"/>
      <c r="AB72" s="669">
        <v>23458.37</v>
      </c>
      <c r="AC72" s="670">
        <v>0</v>
      </c>
      <c r="AD72" s="671">
        <v>2823.98</v>
      </c>
      <c r="AE72" s="672">
        <f>AB72+AC72+AD72</f>
        <v>26282.35</v>
      </c>
      <c r="AF72" s="662" t="s">
        <v>2970</v>
      </c>
      <c r="AG72" s="663">
        <f>IF($AF72="1кв 2015",3.67,IF($AF72="2кв 2015",3.67,IF($AF72="3кв 2015",3.8,IF($AF72="4кв 2015",3.87,"не совпадает"))))</f>
        <v>3.67</v>
      </c>
      <c r="AH72" s="664">
        <f t="shared" ref="AH72:AJ73" si="45">IF(ISERROR(AB72/$AG72),"",AB72/$AG72)</f>
        <v>6391.9264305177112</v>
      </c>
      <c r="AI72" s="665">
        <f t="shared" si="45"/>
        <v>0</v>
      </c>
      <c r="AJ72" s="666">
        <f t="shared" si="45"/>
        <v>769.47683923705722</v>
      </c>
      <c r="AK72" s="667">
        <f>SUM(AH72,AI72,AJ72)</f>
        <v>7161.4032697547682</v>
      </c>
      <c r="AS72" s="725">
        <v>1</v>
      </c>
      <c r="AT72" s="600" t="s">
        <v>2971</v>
      </c>
      <c r="AZ72" s="600">
        <f>IF(B72="","",IF(P72=SUM(H72,I72,K72,O72),"ИСТИНА",P72-SUM(H72,I72,K72,O72)))</f>
        <v>26256.067649999997</v>
      </c>
      <c r="BA72" s="673" t="s">
        <v>3131</v>
      </c>
    </row>
    <row r="73" spans="2:87" ht="33.75" outlineLevel="1">
      <c r="B73" s="647">
        <f>B72+1</f>
        <v>54</v>
      </c>
      <c r="C73" s="648" t="s">
        <v>3132</v>
      </c>
      <c r="D73" s="649" t="str">
        <f>IF(AF73=0,"",AF73)</f>
        <v>4кв 2015</v>
      </c>
      <c r="E73" s="650">
        <v>0.4</v>
      </c>
      <c r="F73" s="651">
        <v>0.12</v>
      </c>
      <c r="G73" s="652">
        <v>3</v>
      </c>
      <c r="H73" s="653"/>
      <c r="I73" s="653"/>
      <c r="J73" s="653"/>
      <c r="K73" s="653">
        <f>9731.1/1000</f>
        <v>9.7310999999999996</v>
      </c>
      <c r="L73" s="653"/>
      <c r="M73" s="653"/>
      <c r="N73" s="653"/>
      <c r="O73" s="653">
        <f>63572.57/1000</f>
        <v>63.572569999999999</v>
      </c>
      <c r="P73" s="654">
        <v>73303.67</v>
      </c>
      <c r="Q73" s="655"/>
      <c r="R73" s="656" t="s">
        <v>2564</v>
      </c>
      <c r="S73" s="657" t="s">
        <v>3133</v>
      </c>
      <c r="T73" s="658" t="s">
        <v>3134</v>
      </c>
      <c r="U73" s="602" t="s">
        <v>2946</v>
      </c>
      <c r="V73" s="602"/>
      <c r="W73" s="602" t="s">
        <v>3008</v>
      </c>
      <c r="X73" s="602" t="s">
        <v>2947</v>
      </c>
      <c r="Y73" s="582" t="str">
        <f>IF(X73="","",$C$9)</f>
        <v>ВЛ-0,4 до 15 кВт (льгота)</v>
      </c>
      <c r="Z73" s="582" t="e">
        <f>IF(X73="","",CONCATENATE(Y73,"-",X73,"; ",#REF!))</f>
        <v>#REF!</v>
      </c>
      <c r="AA73" s="582"/>
      <c r="AB73" s="659">
        <f>O73*1000</f>
        <v>63572.57</v>
      </c>
      <c r="AC73" s="660">
        <f>(I73+H73)*1000</f>
        <v>0</v>
      </c>
      <c r="AD73" s="661">
        <f>K73*1000</f>
        <v>9731.1</v>
      </c>
      <c r="AE73" s="662">
        <f>AB73+AC73+AD73</f>
        <v>73303.67</v>
      </c>
      <c r="AF73" s="662" t="s">
        <v>2981</v>
      </c>
      <c r="AG73" s="663">
        <f>IF($AF73="1кв 2015",3.67,IF($AF73="2кв 2015",3.67,IF($AF73="3кв 2015",3.8,IF($AF73="4кв 2015",3.87,"не совпадает"))))</f>
        <v>3.87</v>
      </c>
      <c r="AH73" s="664">
        <f t="shared" si="45"/>
        <v>16427.020671834623</v>
      </c>
      <c r="AI73" s="665">
        <f t="shared" si="45"/>
        <v>0</v>
      </c>
      <c r="AJ73" s="666">
        <f t="shared" si="45"/>
        <v>2514.4961240310076</v>
      </c>
      <c r="AK73" s="667">
        <f>SUM(AH73,AI73,AJ73)</f>
        <v>18941.516795865631</v>
      </c>
      <c r="AS73" s="725">
        <v>1</v>
      </c>
      <c r="AT73" s="600">
        <v>63</v>
      </c>
      <c r="AZ73" s="600">
        <f>IF(B73="","",IF(P73=SUM(H73,I73,K73,O73),"ИСТИНА",P73-SUM(H73,I73,K73,O73)))</f>
        <v>73230.366330000004</v>
      </c>
      <c r="BA73" s="668" t="s">
        <v>3135</v>
      </c>
    </row>
    <row r="74" spans="2:87" s="76" customFormat="1" ht="15.75" outlineLevel="1">
      <c r="B74" s="676"/>
      <c r="C74" s="693"/>
      <c r="D74" s="694"/>
      <c r="E74" s="695"/>
      <c r="F74" s="696"/>
      <c r="G74" s="726"/>
      <c r="H74" s="247"/>
      <c r="I74" s="247"/>
      <c r="J74" s="698"/>
      <c r="K74" s="247"/>
      <c r="L74" s="699"/>
      <c r="M74" s="698"/>
      <c r="N74" s="698"/>
      <c r="O74" s="247"/>
      <c r="P74" s="700"/>
      <c r="Q74" s="185"/>
      <c r="R74" s="186"/>
      <c r="S74" s="297"/>
      <c r="T74" s="188"/>
      <c r="U74" s="168"/>
      <c r="V74" s="168"/>
      <c r="W74" s="168"/>
      <c r="X74" s="168"/>
      <c r="Y74" s="128"/>
      <c r="Z74" s="128"/>
      <c r="AA74" s="128"/>
      <c r="AB74" s="640"/>
      <c r="AC74" s="641"/>
      <c r="AD74" s="642"/>
      <c r="AE74" s="685"/>
      <c r="AF74" s="685"/>
      <c r="AG74" s="639"/>
      <c r="AH74" s="701"/>
      <c r="AI74" s="702"/>
      <c r="AJ74" s="703"/>
      <c r="AK74" s="704"/>
      <c r="BE74" s="692"/>
      <c r="BF74" s="692"/>
      <c r="BG74" s="692"/>
      <c r="BH74" s="692"/>
      <c r="BI74" s="692"/>
      <c r="BJ74" s="692"/>
      <c r="BK74" s="692"/>
      <c r="BL74" s="692"/>
      <c r="BM74" s="692"/>
      <c r="BN74" s="692"/>
      <c r="BO74" s="692"/>
      <c r="BP74" s="692"/>
      <c r="BQ74" s="692"/>
      <c r="BR74" s="692"/>
      <c r="BS74" s="692"/>
      <c r="BT74" s="692"/>
      <c r="BU74" s="692"/>
      <c r="BV74" s="692"/>
      <c r="BW74" s="692"/>
      <c r="BX74" s="692"/>
      <c r="BY74" s="692"/>
      <c r="BZ74" s="272"/>
      <c r="CA74" s="272"/>
      <c r="CB74" s="272"/>
      <c r="CC74" s="272"/>
      <c r="CD74" s="272"/>
      <c r="CE74" s="272"/>
      <c r="CF74" s="272"/>
      <c r="CG74" s="272"/>
      <c r="CH74" s="272"/>
      <c r="CI74" s="272"/>
    </row>
    <row r="75" spans="2:87" s="120" customFormat="1" ht="30">
      <c r="B75" s="675" t="s">
        <v>3136</v>
      </c>
      <c r="C75" s="1148" t="str">
        <f>"Всего по "&amp;T28&amp;" "&amp;T75&amp;" ("&amp;$C$9&amp;"):"</f>
        <v>Всего по Вне Г.Н.П. Неизолир. сталеалюм. до 50 мм (ВЛ-0,4 до 15 кВт (льгота)):</v>
      </c>
      <c r="D75" s="1148"/>
      <c r="E75" s="1148"/>
      <c r="F75" s="1149">
        <f>SUM(F76:F79)</f>
        <v>0.2</v>
      </c>
      <c r="G75" s="1150">
        <f t="shared" ref="G75:P75" si="46">SUM(G76:G79)</f>
        <v>16.079999999999998</v>
      </c>
      <c r="H75" s="1150">
        <f t="shared" si="46"/>
        <v>26.466999999999999</v>
      </c>
      <c r="I75" s="1150">
        <f t="shared" si="46"/>
        <v>0</v>
      </c>
      <c r="J75" s="1150">
        <f t="shared" si="46"/>
        <v>0</v>
      </c>
      <c r="K75" s="1150">
        <f t="shared" si="46"/>
        <v>44.138660000000002</v>
      </c>
      <c r="L75" s="1150">
        <f t="shared" si="46"/>
        <v>0</v>
      </c>
      <c r="M75" s="1150">
        <f t="shared" si="46"/>
        <v>0</v>
      </c>
      <c r="N75" s="1150">
        <f t="shared" si="46"/>
        <v>0</v>
      </c>
      <c r="O75" s="1150">
        <f t="shared" si="46"/>
        <v>100.60264999999998</v>
      </c>
      <c r="P75" s="1150">
        <f t="shared" si="46"/>
        <v>171208.31</v>
      </c>
      <c r="Q75" s="1151"/>
      <c r="R75" s="1151"/>
      <c r="S75" s="1151"/>
      <c r="T75" s="1151" t="s">
        <v>3137</v>
      </c>
      <c r="U75" s="128"/>
      <c r="V75" s="129"/>
      <c r="W75" s="630"/>
      <c r="X75" s="631"/>
      <c r="Y75" s="632"/>
      <c r="Z75" s="633"/>
      <c r="AA75" s="128"/>
      <c r="AB75" s="634"/>
      <c r="AC75" s="635"/>
      <c r="AD75" s="636"/>
      <c r="AE75" s="637"/>
      <c r="AF75" s="638"/>
      <c r="AG75" s="639"/>
      <c r="AH75" s="640"/>
      <c r="AI75" s="641"/>
      <c r="AJ75" s="642"/>
      <c r="AK75" s="638"/>
      <c r="AN75" s="643"/>
      <c r="AT75" s="126"/>
      <c r="AU75" s="644"/>
      <c r="BC75" s="120" t="str">
        <f>[24]Прил.1!$F$13</f>
        <v>до 50 вкл.</v>
      </c>
      <c r="BD75" s="368" t="str">
        <f>CONCATENATE($BC$1,"; ",$BC$4,"; ",$BD$2,"; ",$BD$4,"; ",BC75)</f>
        <v>0,4 кВ; Вне Г.Н.П.; неизолированный; сталеалюминиевый; до 50 вкл.</v>
      </c>
      <c r="BE75" s="645"/>
      <c r="BF75" s="645"/>
      <c r="BG75" s="645"/>
      <c r="BH75" s="645"/>
      <c r="BI75" s="645"/>
      <c r="BJ75" s="645"/>
      <c r="BK75" s="645"/>
      <c r="BL75" s="645"/>
      <c r="BM75" s="645"/>
      <c r="BN75" s="645"/>
      <c r="BO75" s="645"/>
      <c r="BP75" s="645"/>
      <c r="BQ75" s="645"/>
      <c r="BR75" s="645"/>
      <c r="BS75" s="645"/>
      <c r="BT75" s="645"/>
      <c r="BU75" s="645"/>
      <c r="BV75" s="645"/>
      <c r="BW75" s="645"/>
      <c r="BX75" s="645"/>
      <c r="BY75" s="645"/>
      <c r="BZ75" s="646"/>
      <c r="CA75" s="646"/>
      <c r="CB75" s="646"/>
      <c r="CC75" s="646"/>
      <c r="CD75" s="646"/>
      <c r="CE75" s="646"/>
      <c r="CF75" s="646"/>
      <c r="CG75" s="646"/>
      <c r="CH75" s="646"/>
      <c r="CI75" s="646"/>
    </row>
    <row r="76" spans="2:87" ht="33.75" outlineLevel="1">
      <c r="B76" s="647">
        <f>B73+1</f>
        <v>55</v>
      </c>
      <c r="C76" s="648" t="s">
        <v>3138</v>
      </c>
      <c r="D76" s="649" t="str">
        <f>IF(AF76=0,"",AF76)</f>
        <v>2кв 2015</v>
      </c>
      <c r="E76" s="650">
        <v>0.4</v>
      </c>
      <c r="F76" s="651">
        <v>7.0000000000000007E-2</v>
      </c>
      <c r="G76" s="652">
        <v>6.08</v>
      </c>
      <c r="H76" s="653"/>
      <c r="I76" s="653"/>
      <c r="J76" s="653"/>
      <c r="K76" s="653">
        <f>12031.83/1000</f>
        <v>12.031829999999999</v>
      </c>
      <c r="L76" s="653"/>
      <c r="M76" s="653"/>
      <c r="N76" s="653"/>
      <c r="O76" s="653">
        <f>24606.13/1000</f>
        <v>24.60613</v>
      </c>
      <c r="P76" s="1116">
        <v>36637.96</v>
      </c>
      <c r="Q76" s="655"/>
      <c r="R76" s="656" t="s">
        <v>2564</v>
      </c>
      <c r="S76" s="708" t="s">
        <v>3139</v>
      </c>
      <c r="T76" s="658" t="s">
        <v>2580</v>
      </c>
      <c r="U76" s="602" t="s">
        <v>2950</v>
      </c>
      <c r="V76" s="602"/>
      <c r="W76" s="602" t="s">
        <v>3008</v>
      </c>
      <c r="X76" s="602" t="s">
        <v>2947</v>
      </c>
      <c r="Y76" s="582" t="str">
        <f>IF(X76="","",$C$9)</f>
        <v>ВЛ-0,4 до 15 кВт (льгота)</v>
      </c>
      <c r="Z76" s="582" t="e">
        <f>IF(X76="","",CONCATENATE(Y76,"-",X76,"; ",#REF!))</f>
        <v>#REF!</v>
      </c>
      <c r="AA76" s="582"/>
      <c r="AB76" s="659">
        <f>O76*1000</f>
        <v>24606.13</v>
      </c>
      <c r="AC76" s="660">
        <f>(I76+H76)*1000</f>
        <v>0</v>
      </c>
      <c r="AD76" s="661">
        <f>K76*1000</f>
        <v>12031.83</v>
      </c>
      <c r="AE76" s="662">
        <f>AB76+AC76+AD76</f>
        <v>36637.96</v>
      </c>
      <c r="AF76" s="662" t="s">
        <v>2970</v>
      </c>
      <c r="AG76" s="731">
        <f>IF($AF76="1кв 2015",3.67,IF($AF76="2кв 2015",3.67,IF($AF76="3кв 2015",3.8,IF($AF76="4кв 2015",3.87,"не совпадает"))))</f>
        <v>3.67</v>
      </c>
      <c r="AH76" s="732">
        <f t="shared" ref="AH76:AJ78" si="47">IF(ISERROR(AB76/$AG76),"",AB76/$AG76)</f>
        <v>6704.6675749318802</v>
      </c>
      <c r="AI76" s="733">
        <f t="shared" si="47"/>
        <v>0</v>
      </c>
      <c r="AJ76" s="734">
        <f t="shared" si="47"/>
        <v>3278.4277929155314</v>
      </c>
      <c r="AK76" s="735">
        <f>SUM(AH76,AI76,AJ76)</f>
        <v>9983.0953678474107</v>
      </c>
      <c r="AS76" s="600">
        <v>1</v>
      </c>
      <c r="AT76" s="600">
        <v>43</v>
      </c>
      <c r="AZ76" s="600">
        <f>IF(B76="","",IF(P76=SUM(H76,I76,K76,O76),"ИСТИНА",P76-SUM(H76,I76,K76,O76)))</f>
        <v>36601.322039999999</v>
      </c>
      <c r="BA76" s="668" t="s">
        <v>3140</v>
      </c>
    </row>
    <row r="77" spans="2:87" ht="22.5" outlineLevel="1">
      <c r="B77" s="647">
        <f>B76+1</f>
        <v>56</v>
      </c>
      <c r="C77" s="648" t="s">
        <v>3141</v>
      </c>
      <c r="D77" s="649" t="str">
        <f>IF(AF77=0,"",AF77)</f>
        <v>1кв 2015</v>
      </c>
      <c r="E77" s="650">
        <v>0.4</v>
      </c>
      <c r="F77" s="651">
        <v>0.06</v>
      </c>
      <c r="G77" s="652">
        <v>5</v>
      </c>
      <c r="H77" s="653">
        <f>26467/1000</f>
        <v>26.466999999999999</v>
      </c>
      <c r="I77" s="653"/>
      <c r="J77" s="653"/>
      <c r="K77" s="653">
        <f>16611.89/1000</f>
        <v>16.611889999999999</v>
      </c>
      <c r="L77" s="653"/>
      <c r="M77" s="653"/>
      <c r="N77" s="653"/>
      <c r="O77" s="653">
        <f>40687.99/1000</f>
        <v>40.687989999999999</v>
      </c>
      <c r="P77" s="654">
        <v>83766.880000000005</v>
      </c>
      <c r="Q77" s="655"/>
      <c r="R77" s="656" t="s">
        <v>2564</v>
      </c>
      <c r="S77" s="657" t="s">
        <v>3142</v>
      </c>
      <c r="T77" s="658" t="s">
        <v>2581</v>
      </c>
      <c r="U77" s="602" t="s">
        <v>2950</v>
      </c>
      <c r="V77" s="602"/>
      <c r="W77" s="602" t="s">
        <v>3008</v>
      </c>
      <c r="X77" s="602" t="s">
        <v>2947</v>
      </c>
      <c r="Y77" s="582" t="str">
        <f>IF(X77="","",$C$9)</f>
        <v>ВЛ-0,4 до 15 кВт (льгота)</v>
      </c>
      <c r="Z77" s="582" t="e">
        <f>IF(X77="","",CONCATENATE(Y77,"-",X77,"; ",#REF!))</f>
        <v>#REF!</v>
      </c>
      <c r="AA77" s="582"/>
      <c r="AB77" s="659">
        <f>O77*1000</f>
        <v>40687.99</v>
      </c>
      <c r="AC77" s="660">
        <f>(I77+H77)*1000</f>
        <v>26467</v>
      </c>
      <c r="AD77" s="661">
        <f>K77*1000</f>
        <v>16611.89</v>
      </c>
      <c r="AE77" s="662">
        <f>AB77+AC77+AD77</f>
        <v>83766.87999999999</v>
      </c>
      <c r="AF77" s="662" t="s">
        <v>2966</v>
      </c>
      <c r="AG77" s="663">
        <f>IF($AF77="1кв 2015",3.67,IF($AF77="2кв 2015",3.67,IF($AF77="3кв 2015",3.8,IF($AF77="4кв 2015",3.87,"не совпадает"))))</f>
        <v>3.67</v>
      </c>
      <c r="AH77" s="664">
        <f t="shared" si="47"/>
        <v>11086.645776566756</v>
      </c>
      <c r="AI77" s="665">
        <f t="shared" si="47"/>
        <v>7211.7166212534057</v>
      </c>
      <c r="AJ77" s="666">
        <f t="shared" si="47"/>
        <v>4526.4005449591277</v>
      </c>
      <c r="AK77" s="667">
        <f>SUM(AH77,AI77,AJ77)</f>
        <v>22824.762942779289</v>
      </c>
      <c r="AS77" s="600">
        <v>1</v>
      </c>
      <c r="AT77" s="600">
        <v>12</v>
      </c>
      <c r="AZ77" s="600">
        <f>IF(B77="","",IF(P77=SUM(H77,I77,K77,O77),"ИСТИНА",P77-SUM(H77,I77,K77,O77)))</f>
        <v>83683.113120000009</v>
      </c>
      <c r="BA77" s="668" t="s">
        <v>3143</v>
      </c>
    </row>
    <row r="78" spans="2:87" ht="22.5" outlineLevel="1">
      <c r="B78" s="647">
        <f>B77+1</f>
        <v>57</v>
      </c>
      <c r="C78" s="648" t="s">
        <v>3144</v>
      </c>
      <c r="D78" s="649" t="str">
        <f>IF(AF78=0,"",AF78)</f>
        <v>1кв 2015</v>
      </c>
      <c r="E78" s="650">
        <v>0.4</v>
      </c>
      <c r="F78" s="651">
        <v>7.0000000000000007E-2</v>
      </c>
      <c r="G78" s="652">
        <v>5</v>
      </c>
      <c r="H78" s="653"/>
      <c r="I78" s="653"/>
      <c r="J78" s="653"/>
      <c r="K78" s="653">
        <f>15494.94/1000</f>
        <v>15.49494</v>
      </c>
      <c r="L78" s="653"/>
      <c r="M78" s="653"/>
      <c r="N78" s="653"/>
      <c r="O78" s="653">
        <f>35308.53/1000</f>
        <v>35.308529999999998</v>
      </c>
      <c r="P78" s="654">
        <v>50803.47</v>
      </c>
      <c r="Q78" s="655"/>
      <c r="R78" s="656" t="s">
        <v>2564</v>
      </c>
      <c r="S78" s="657" t="s">
        <v>3145</v>
      </c>
      <c r="T78" s="658" t="s">
        <v>2581</v>
      </c>
      <c r="U78" s="602" t="s">
        <v>2950</v>
      </c>
      <c r="V78" s="602"/>
      <c r="W78" s="602" t="s">
        <v>3008</v>
      </c>
      <c r="X78" s="602" t="s">
        <v>2947</v>
      </c>
      <c r="Y78" s="582" t="str">
        <f>IF(X78="","",$C$9)</f>
        <v>ВЛ-0,4 до 15 кВт (льгота)</v>
      </c>
      <c r="Z78" s="582" t="e">
        <f>IF(X78="","",CONCATENATE(Y78,"-",X78,"; ",#REF!))</f>
        <v>#REF!</v>
      </c>
      <c r="AA78" s="582"/>
      <c r="AB78" s="659">
        <f>O78*1000</f>
        <v>35308.53</v>
      </c>
      <c r="AC78" s="660">
        <f>(I78+H78)*1000</f>
        <v>0</v>
      </c>
      <c r="AD78" s="661">
        <f>K78*1000</f>
        <v>15494.94</v>
      </c>
      <c r="AE78" s="662">
        <f>AB78+AC78+AD78</f>
        <v>50803.47</v>
      </c>
      <c r="AF78" s="662" t="s">
        <v>2966</v>
      </c>
      <c r="AG78" s="663">
        <f>IF($AF78="1кв 2015",3.67,IF($AF78="2кв 2015",3.67,IF($AF78="3кв 2015",3.8,IF($AF78="4кв 2015",3.87,"не совпадает"))))</f>
        <v>3.67</v>
      </c>
      <c r="AH78" s="664">
        <f t="shared" si="47"/>
        <v>9620.8528610354224</v>
      </c>
      <c r="AI78" s="665">
        <f t="shared" si="47"/>
        <v>0</v>
      </c>
      <c r="AJ78" s="666">
        <f t="shared" si="47"/>
        <v>4222.0544959128065</v>
      </c>
      <c r="AK78" s="667">
        <f>SUM(AH78,AI78,AJ78)</f>
        <v>13842.907356948228</v>
      </c>
      <c r="AS78" s="600">
        <v>1</v>
      </c>
      <c r="AT78" s="600">
        <v>11</v>
      </c>
      <c r="AZ78" s="600">
        <f>IF(B78="","",IF(P78=SUM(H78,I78,K78,O78),"ИСТИНА",P78-SUM(H78,I78,K78,O78)))</f>
        <v>50752.666530000002</v>
      </c>
      <c r="BA78" s="668" t="s">
        <v>3146</v>
      </c>
    </row>
    <row r="79" spans="2:87" s="76" customFormat="1" ht="15.75" outlineLevel="1">
      <c r="B79" s="179"/>
      <c r="C79" s="693"/>
      <c r="D79" s="694"/>
      <c r="E79" s="695"/>
      <c r="F79" s="696"/>
      <c r="G79" s="726"/>
      <c r="H79" s="247"/>
      <c r="I79" s="247"/>
      <c r="J79" s="698"/>
      <c r="K79" s="247"/>
      <c r="L79" s="699"/>
      <c r="M79" s="698"/>
      <c r="N79" s="698"/>
      <c r="O79" s="247"/>
      <c r="P79" s="700"/>
      <c r="Q79" s="185"/>
      <c r="R79" s="186"/>
      <c r="S79" s="297"/>
      <c r="T79" s="188"/>
      <c r="U79" s="168"/>
      <c r="V79" s="168"/>
      <c r="W79" s="168"/>
      <c r="X79" s="168"/>
      <c r="Y79" s="128"/>
      <c r="Z79" s="128"/>
      <c r="AA79" s="128"/>
      <c r="AB79" s="640"/>
      <c r="AC79" s="641"/>
      <c r="AD79" s="642"/>
      <c r="AE79" s="685"/>
      <c r="AF79" s="685"/>
      <c r="AG79" s="639"/>
      <c r="AH79" s="701"/>
      <c r="AI79" s="702"/>
      <c r="AJ79" s="703"/>
      <c r="AK79" s="704"/>
      <c r="BE79" s="692"/>
      <c r="BF79" s="692"/>
      <c r="BG79" s="692"/>
      <c r="BH79" s="692"/>
      <c r="BI79" s="692"/>
      <c r="BJ79" s="692"/>
      <c r="BK79" s="692"/>
      <c r="BL79" s="692"/>
      <c r="BM79" s="692"/>
      <c r="BN79" s="692"/>
      <c r="BO79" s="692"/>
      <c r="BP79" s="692"/>
      <c r="BQ79" s="692"/>
      <c r="BR79" s="692"/>
      <c r="BS79" s="692"/>
      <c r="BT79" s="692"/>
      <c r="BU79" s="692"/>
      <c r="BV79" s="692"/>
      <c r="BW79" s="692"/>
      <c r="BX79" s="692"/>
      <c r="BY79" s="69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</row>
    <row r="80" spans="2:87" s="76" customFormat="1" ht="18.75">
      <c r="B80" s="1161">
        <f>MAX(B10:B79)</f>
        <v>57</v>
      </c>
      <c r="C80" s="1272" t="str">
        <f>"ИТОГО по "&amp;$C$9&amp;":"</f>
        <v>ИТОГО по ВЛ-0,4 до 15 кВт (льгота):</v>
      </c>
      <c r="D80" s="1272"/>
      <c r="E80" s="1272"/>
      <c r="F80" s="1273">
        <f>SUM(F10,F28)</f>
        <v>6.25</v>
      </c>
      <c r="G80" s="1274">
        <f t="shared" ref="G80:P80" si="48">SUM(G10,G28)</f>
        <v>389.27</v>
      </c>
      <c r="H80" s="1274">
        <f t="shared" si="48"/>
        <v>52.933999999999997</v>
      </c>
      <c r="I80" s="1274">
        <f t="shared" si="48"/>
        <v>0</v>
      </c>
      <c r="J80" s="1274">
        <f t="shared" si="48"/>
        <v>0</v>
      </c>
      <c r="K80" s="1274">
        <f t="shared" si="48"/>
        <v>534.69421000000011</v>
      </c>
      <c r="L80" s="1274">
        <f t="shared" si="48"/>
        <v>0</v>
      </c>
      <c r="M80" s="1274">
        <f t="shared" si="48"/>
        <v>0</v>
      </c>
      <c r="N80" s="1274">
        <f t="shared" si="48"/>
        <v>0</v>
      </c>
      <c r="O80" s="1274">
        <f t="shared" si="48"/>
        <v>2294.2977200000005</v>
      </c>
      <c r="P80" s="1274">
        <f t="shared" si="48"/>
        <v>2948617.03</v>
      </c>
      <c r="Q80" s="1275"/>
      <c r="R80" s="1276"/>
      <c r="S80" s="1275"/>
      <c r="T80" s="1275"/>
      <c r="U80" s="168"/>
      <c r="V80" s="168"/>
      <c r="W80" s="168"/>
      <c r="X80" s="168"/>
      <c r="Y80" s="128" t="str">
        <f t="shared" ref="Y80:Y81" si="49">IF(X80="","",$C$9)</f>
        <v/>
      </c>
      <c r="Z80" s="128" t="str">
        <f>IF(X80="","",CONCATENATE(Y80,"-",X80,"; ",#REF!))</f>
        <v/>
      </c>
      <c r="AA80" s="128"/>
      <c r="AB80" s="640"/>
      <c r="AC80" s="641"/>
      <c r="AD80" s="642"/>
      <c r="AE80" s="685"/>
      <c r="AF80" s="685"/>
      <c r="AG80" s="639" t="str">
        <f t="shared" ref="AG80" si="50">IF($AF80="1кв 2014",3.58,IF($AF80="2кв 2014",3.59,IF($AF80="3кв 2014",3.67,IF($AF80="4кв 2014",3.66,"не совпадает"))))</f>
        <v>не совпадает</v>
      </c>
      <c r="AH80" s="701" t="str">
        <f t="shared" ref="AH80:AJ82" si="51">IF(ISERROR(AB80/$AG80),"",AB80/$AG80)</f>
        <v/>
      </c>
      <c r="AI80" s="702" t="str">
        <f t="shared" si="51"/>
        <v/>
      </c>
      <c r="AJ80" s="703" t="str">
        <f t="shared" si="51"/>
        <v/>
      </c>
      <c r="AK80" s="704">
        <f t="shared" ref="AK80:AK143" si="52">SUM(AH80,AI80,AJ80)</f>
        <v>0</v>
      </c>
      <c r="AO80" s="736">
        <v>7.4529999999999994</v>
      </c>
      <c r="AP80" s="736">
        <f>F80-AO80</f>
        <v>-1.2029999999999994</v>
      </c>
      <c r="BE80" s="692"/>
      <c r="BF80" s="692"/>
      <c r="BG80" s="692"/>
      <c r="BH80" s="692"/>
      <c r="BI80" s="692"/>
      <c r="BJ80" s="692"/>
      <c r="BK80" s="692"/>
      <c r="BL80" s="692"/>
      <c r="BM80" s="692"/>
      <c r="BN80" s="692"/>
      <c r="BO80" s="692"/>
      <c r="BP80" s="692"/>
      <c r="BQ80" s="692"/>
      <c r="BR80" s="692"/>
      <c r="BS80" s="692"/>
      <c r="BT80" s="692"/>
      <c r="BU80" s="692"/>
      <c r="BV80" s="692"/>
      <c r="BW80" s="692"/>
      <c r="BX80" s="692"/>
      <c r="BY80" s="692"/>
      <c r="BZ80" s="272"/>
      <c r="CA80" s="272"/>
      <c r="CB80" s="272"/>
      <c r="CC80" s="272"/>
      <c r="CD80" s="272"/>
      <c r="CE80" s="272"/>
      <c r="CF80" s="272"/>
      <c r="CG80" s="272"/>
      <c r="CH80" s="272"/>
      <c r="CI80" s="272"/>
    </row>
    <row r="81" spans="2:87" ht="15.75">
      <c r="B81" s="1277"/>
      <c r="C81" s="1278" t="s">
        <v>2582</v>
      </c>
      <c r="D81" s="1279"/>
      <c r="E81" s="1279"/>
      <c r="F81" s="1280">
        <f>SUM(F12:F24,F26:F27,F30:F70,F72:F74,F76:F79)</f>
        <v>6.2500000000000009</v>
      </c>
      <c r="G81" s="1281">
        <f t="shared" ref="G81:P81" si="53">SUM(G12:G24,G26:G27,G30:G70,G72:G74,G76:G79)</f>
        <v>389.26999999999992</v>
      </c>
      <c r="H81" s="1281">
        <f t="shared" si="53"/>
        <v>52.933999999999997</v>
      </c>
      <c r="I81" s="1281">
        <f t="shared" si="53"/>
        <v>0</v>
      </c>
      <c r="J81" s="1281">
        <f t="shared" si="53"/>
        <v>0</v>
      </c>
      <c r="K81" s="1281">
        <f t="shared" si="53"/>
        <v>534.69421</v>
      </c>
      <c r="L81" s="1281">
        <f t="shared" si="53"/>
        <v>0</v>
      </c>
      <c r="M81" s="1281">
        <f t="shared" si="53"/>
        <v>0</v>
      </c>
      <c r="N81" s="1281">
        <f t="shared" si="53"/>
        <v>0</v>
      </c>
      <c r="O81" s="1281">
        <f t="shared" si="53"/>
        <v>2294.2977199999991</v>
      </c>
      <c r="P81" s="1281">
        <f t="shared" si="53"/>
        <v>2948617.0300000012</v>
      </c>
      <c r="Q81" s="1282"/>
      <c r="R81" s="1283"/>
      <c r="S81" s="1282"/>
      <c r="T81" s="1284"/>
      <c r="U81" s="737"/>
      <c r="V81" s="737"/>
      <c r="W81" s="737"/>
      <c r="Y81" s="582" t="str">
        <f t="shared" si="49"/>
        <v/>
      </c>
      <c r="Z81" s="582" t="str">
        <f>IF(X81="","",CONCATENATE(Y81,"-",X81,"; ",#REF!))</f>
        <v/>
      </c>
      <c r="AA81" s="582"/>
      <c r="AB81" s="659"/>
      <c r="AC81" s="660"/>
      <c r="AD81" s="661"/>
      <c r="AE81" s="662"/>
      <c r="AF81" s="662"/>
      <c r="AG81" s="663" t="str">
        <f t="shared" ref="AG81:AG210" si="54">IF($AF81="1кв 2015",3.67,IF($AF81="2кв 2015",3.67,IF($AF81="3кв 2015",3.8,IF($AF81="4кв 2015",3.87,"не совпадает"))))</f>
        <v>не совпадает</v>
      </c>
      <c r="AH81" s="664" t="str">
        <f t="shared" si="51"/>
        <v/>
      </c>
      <c r="AI81" s="665" t="str">
        <f t="shared" si="51"/>
        <v/>
      </c>
      <c r="AJ81" s="666" t="str">
        <f t="shared" si="51"/>
        <v/>
      </c>
      <c r="AK81" s="667">
        <f t="shared" si="52"/>
        <v>0</v>
      </c>
      <c r="AR81" s="606"/>
    </row>
    <row r="82" spans="2:87" ht="18.75">
      <c r="B82" s="1265" t="s">
        <v>5</v>
      </c>
      <c r="C82" s="1266" t="s">
        <v>2583</v>
      </c>
      <c r="D82" s="1267"/>
      <c r="E82" s="1267"/>
      <c r="F82" s="1268">
        <f>SUM(F83,F90)</f>
        <v>0.33999999999999997</v>
      </c>
      <c r="G82" s="1269">
        <f t="shared" ref="G82:P82" si="55">SUM(G83,G90)</f>
        <v>33</v>
      </c>
      <c r="H82" s="1269">
        <f t="shared" si="55"/>
        <v>0</v>
      </c>
      <c r="I82" s="1269">
        <f t="shared" si="55"/>
        <v>0</v>
      </c>
      <c r="J82" s="1269">
        <f t="shared" si="55"/>
        <v>0</v>
      </c>
      <c r="K82" s="1269">
        <f t="shared" si="55"/>
        <v>28.513270000000002</v>
      </c>
      <c r="L82" s="1269">
        <f t="shared" si="55"/>
        <v>0</v>
      </c>
      <c r="M82" s="1269">
        <f t="shared" si="55"/>
        <v>0</v>
      </c>
      <c r="N82" s="1269">
        <f t="shared" si="55"/>
        <v>0</v>
      </c>
      <c r="O82" s="1269">
        <f t="shared" si="55"/>
        <v>211.49473</v>
      </c>
      <c r="P82" s="1269">
        <f t="shared" si="55"/>
        <v>240008</v>
      </c>
      <c r="Q82" s="1267"/>
      <c r="R82" s="1267"/>
      <c r="S82" s="1267"/>
      <c r="T82" s="1270"/>
      <c r="U82" s="620"/>
      <c r="V82" s="620"/>
      <c r="W82" s="620"/>
      <c r="Y82" s="582" t="str">
        <f>IF(X82="","",$C$82)</f>
        <v/>
      </c>
      <c r="Z82" s="582" t="str">
        <f>IF(X82="","",CONCATENATE(Y82,"-",X82,"; ",#REF!))</f>
        <v/>
      </c>
      <c r="AA82" s="582"/>
      <c r="AB82" s="659"/>
      <c r="AC82" s="660"/>
      <c r="AD82" s="661"/>
      <c r="AE82" s="662"/>
      <c r="AF82" s="662"/>
      <c r="AG82" s="663" t="str">
        <f t="shared" si="54"/>
        <v>не совпадает</v>
      </c>
      <c r="AH82" s="664" t="str">
        <f t="shared" si="51"/>
        <v/>
      </c>
      <c r="AI82" s="665" t="str">
        <f t="shared" si="51"/>
        <v/>
      </c>
      <c r="AJ82" s="666" t="str">
        <f t="shared" si="51"/>
        <v/>
      </c>
      <c r="AK82" s="667">
        <f t="shared" si="52"/>
        <v>0</v>
      </c>
      <c r="BC82" s="625" t="str">
        <f>C82</f>
        <v>ВЛ-10 до 15 кВт (льгота)</v>
      </c>
    </row>
    <row r="83" spans="2:87" s="120" customFormat="1" ht="15.75" customHeight="1">
      <c r="B83" s="1141" t="s">
        <v>2584</v>
      </c>
      <c r="C83" s="1142" t="str">
        <f>"Всего по "&amp;T83&amp;" ("&amp;$C$82&amp;"):"</f>
        <v>Всего по Г.Н.П. (ВЛ-10 до 15 кВт (льгота)):</v>
      </c>
      <c r="D83" s="1143"/>
      <c r="E83" s="1143"/>
      <c r="F83" s="1144">
        <f>SUM(F84,F87)</f>
        <v>0</v>
      </c>
      <c r="G83" s="1145">
        <f t="shared" ref="G83:P83" si="56">SUM(G84,G87)</f>
        <v>0</v>
      </c>
      <c r="H83" s="1145">
        <f t="shared" si="56"/>
        <v>0</v>
      </c>
      <c r="I83" s="1145">
        <f t="shared" si="56"/>
        <v>0</v>
      </c>
      <c r="J83" s="1145">
        <f t="shared" si="56"/>
        <v>0</v>
      </c>
      <c r="K83" s="1145">
        <f t="shared" si="56"/>
        <v>0</v>
      </c>
      <c r="L83" s="1145">
        <f t="shared" si="56"/>
        <v>0</v>
      </c>
      <c r="M83" s="1145">
        <f t="shared" si="56"/>
        <v>0</v>
      </c>
      <c r="N83" s="1145">
        <f t="shared" si="56"/>
        <v>0</v>
      </c>
      <c r="O83" s="1145">
        <f t="shared" si="56"/>
        <v>0</v>
      </c>
      <c r="P83" s="1145">
        <f t="shared" si="56"/>
        <v>0</v>
      </c>
      <c r="Q83" s="1146"/>
      <c r="R83" s="1146"/>
      <c r="S83" s="1146"/>
      <c r="T83" s="1146" t="s">
        <v>2956</v>
      </c>
      <c r="U83" s="128"/>
      <c r="V83" s="129"/>
      <c r="W83" s="630"/>
      <c r="X83" s="631"/>
      <c r="Y83" s="632"/>
      <c r="Z83" s="633"/>
      <c r="AA83" s="128"/>
      <c r="AB83" s="634"/>
      <c r="AC83" s="635"/>
      <c r="AD83" s="636"/>
      <c r="AE83" s="637"/>
      <c r="AF83" s="638"/>
      <c r="AG83" s="639"/>
      <c r="AH83" s="640"/>
      <c r="AI83" s="641"/>
      <c r="AJ83" s="642"/>
      <c r="AK83" s="638"/>
      <c r="AN83" s="643"/>
      <c r="AT83" s="126"/>
      <c r="AU83" s="644"/>
      <c r="BC83" s="625"/>
      <c r="BE83" s="645"/>
      <c r="BF83" s="645"/>
      <c r="BG83" s="645"/>
      <c r="BH83" s="645"/>
      <c r="BI83" s="645"/>
      <c r="BJ83" s="645"/>
      <c r="BK83" s="645"/>
      <c r="BL83" s="645"/>
      <c r="BM83" s="645"/>
      <c r="BN83" s="645"/>
      <c r="BO83" s="645"/>
      <c r="BP83" s="645"/>
      <c r="BQ83" s="645"/>
      <c r="BR83" s="645"/>
      <c r="BS83" s="645"/>
      <c r="BT83" s="645"/>
      <c r="BU83" s="645"/>
      <c r="BV83" s="645"/>
      <c r="BW83" s="645"/>
      <c r="BX83" s="645"/>
      <c r="BY83" s="645"/>
      <c r="BZ83" s="646"/>
      <c r="CA83" s="646"/>
      <c r="CB83" s="646"/>
      <c r="CC83" s="646"/>
      <c r="CD83" s="646"/>
      <c r="CE83" s="646"/>
      <c r="CF83" s="646"/>
      <c r="CG83" s="646"/>
      <c r="CH83" s="646"/>
      <c r="CI83" s="646"/>
    </row>
    <row r="84" spans="2:87" s="120" customFormat="1" ht="30">
      <c r="B84" s="1147" t="s">
        <v>2585</v>
      </c>
      <c r="C84" s="1148" t="str">
        <f>"Всего по "&amp;T83&amp;" "&amp;T84&amp;" ("&amp;$C$82&amp;"):"</f>
        <v>Всего по Г.Н.П. Изолир. алюм. до 50 мм (ВЛ-10 до 15 кВт (льгота)):</v>
      </c>
      <c r="D84" s="1148"/>
      <c r="E84" s="1148"/>
      <c r="F84" s="1149">
        <f>SUM(F85:F86)</f>
        <v>0</v>
      </c>
      <c r="G84" s="1150">
        <f t="shared" ref="G84:P84" si="57">SUM(G85:G86)</f>
        <v>0</v>
      </c>
      <c r="H84" s="1150">
        <f t="shared" si="57"/>
        <v>0</v>
      </c>
      <c r="I84" s="1150">
        <f t="shared" si="57"/>
        <v>0</v>
      </c>
      <c r="J84" s="1150">
        <f t="shared" si="57"/>
        <v>0</v>
      </c>
      <c r="K84" s="1150">
        <f t="shared" si="57"/>
        <v>0</v>
      </c>
      <c r="L84" s="1150">
        <f t="shared" si="57"/>
        <v>0</v>
      </c>
      <c r="M84" s="1150">
        <f t="shared" si="57"/>
        <v>0</v>
      </c>
      <c r="N84" s="1150">
        <f t="shared" si="57"/>
        <v>0</v>
      </c>
      <c r="O84" s="1150">
        <f t="shared" si="57"/>
        <v>0</v>
      </c>
      <c r="P84" s="1150">
        <f t="shared" si="57"/>
        <v>0</v>
      </c>
      <c r="Q84" s="1151"/>
      <c r="R84" s="1151"/>
      <c r="S84" s="1151"/>
      <c r="T84" s="1151" t="s">
        <v>2962</v>
      </c>
      <c r="U84" s="128"/>
      <c r="V84" s="129"/>
      <c r="W84" s="630"/>
      <c r="X84" s="631"/>
      <c r="Y84" s="632"/>
      <c r="Z84" s="633"/>
      <c r="AA84" s="128"/>
      <c r="AB84" s="634"/>
      <c r="AC84" s="635"/>
      <c r="AD84" s="636"/>
      <c r="AE84" s="637"/>
      <c r="AF84" s="638"/>
      <c r="AG84" s="639"/>
      <c r="AH84" s="640"/>
      <c r="AI84" s="641"/>
      <c r="AJ84" s="642"/>
      <c r="AK84" s="638"/>
      <c r="AN84" s="643"/>
      <c r="AT84" s="126"/>
      <c r="AU84" s="644"/>
      <c r="BC84" s="120" t="str">
        <f>[24]Прил.1!$F$13</f>
        <v>до 50 вкл.</v>
      </c>
      <c r="BD84" s="368" t="str">
        <f>CONCATENATE($BC$2,"; ",$BC$3,"; ",$BD$1,"; ",$BD$3,"; ",BC84)</f>
        <v>6-10 кВ; Г.Н.П.; изолированный; алюминевый; до 50 вкл.</v>
      </c>
      <c r="BE84" s="645"/>
      <c r="BF84" s="645"/>
      <c r="BG84" s="645"/>
      <c r="BH84" s="645"/>
      <c r="BI84" s="645"/>
      <c r="BJ84" s="645"/>
      <c r="BK84" s="645"/>
      <c r="BL84" s="645"/>
      <c r="BM84" s="645"/>
      <c r="BN84" s="645"/>
      <c r="BO84" s="645"/>
      <c r="BP84" s="645"/>
      <c r="BQ84" s="645"/>
      <c r="BR84" s="645"/>
      <c r="BS84" s="645"/>
      <c r="BT84" s="645"/>
      <c r="BU84" s="645"/>
      <c r="BV84" s="645"/>
      <c r="BW84" s="645"/>
      <c r="BX84" s="645"/>
      <c r="BY84" s="645"/>
      <c r="BZ84" s="646"/>
      <c r="CA84" s="646"/>
      <c r="CB84" s="646"/>
      <c r="CC84" s="646"/>
      <c r="CD84" s="646"/>
      <c r="CE84" s="646"/>
      <c r="CF84" s="646"/>
      <c r="CG84" s="646"/>
      <c r="CH84" s="646"/>
      <c r="CI84" s="646"/>
    </row>
    <row r="85" spans="2:87" s="76" customFormat="1" ht="15.75" outlineLevel="1">
      <c r="B85" s="676"/>
      <c r="C85" s="677"/>
      <c r="D85" s="678"/>
      <c r="E85" s="679"/>
      <c r="F85" s="680"/>
      <c r="G85" s="681"/>
      <c r="H85" s="517"/>
      <c r="I85" s="517"/>
      <c r="J85" s="517"/>
      <c r="K85" s="517"/>
      <c r="L85" s="517"/>
      <c r="M85" s="517"/>
      <c r="N85" s="517"/>
      <c r="O85" s="517"/>
      <c r="P85" s="682"/>
      <c r="Q85" s="683"/>
      <c r="R85" s="684"/>
      <c r="S85" s="685"/>
      <c r="T85" s="686"/>
      <c r="U85" s="168"/>
      <c r="V85" s="168"/>
      <c r="W85" s="168"/>
      <c r="X85" s="168"/>
      <c r="Y85" s="128"/>
      <c r="Z85" s="128"/>
      <c r="AA85" s="128"/>
      <c r="AB85" s="640"/>
      <c r="AC85" s="641"/>
      <c r="AD85" s="642"/>
      <c r="AE85" s="685"/>
      <c r="AF85" s="685"/>
      <c r="AG85" s="687"/>
      <c r="AH85" s="688"/>
      <c r="AI85" s="689"/>
      <c r="AJ85" s="690"/>
      <c r="AK85" s="691"/>
      <c r="BE85" s="692"/>
      <c r="BF85" s="692"/>
      <c r="BG85" s="692"/>
      <c r="BH85" s="692"/>
      <c r="BI85" s="692"/>
      <c r="BJ85" s="692"/>
      <c r="BK85" s="692"/>
      <c r="BL85" s="692"/>
      <c r="BM85" s="692"/>
      <c r="BN85" s="692"/>
      <c r="BO85" s="692"/>
      <c r="BP85" s="692"/>
      <c r="BQ85" s="692"/>
      <c r="BR85" s="692"/>
      <c r="BS85" s="692"/>
      <c r="BT85" s="692"/>
      <c r="BU85" s="692"/>
      <c r="BV85" s="692"/>
      <c r="BW85" s="692"/>
      <c r="BX85" s="692"/>
      <c r="BY85" s="69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</row>
    <row r="86" spans="2:87" s="76" customFormat="1" ht="15.75" outlineLevel="1">
      <c r="B86" s="676"/>
      <c r="C86" s="693"/>
      <c r="D86" s="694"/>
      <c r="E86" s="695"/>
      <c r="F86" s="696"/>
      <c r="G86" s="697"/>
      <c r="H86" s="247"/>
      <c r="I86" s="247"/>
      <c r="J86" s="698"/>
      <c r="K86" s="247"/>
      <c r="L86" s="699"/>
      <c r="M86" s="698"/>
      <c r="N86" s="698"/>
      <c r="O86" s="247"/>
      <c r="P86" s="700"/>
      <c r="Q86" s="185"/>
      <c r="R86" s="186"/>
      <c r="S86" s="297"/>
      <c r="T86" s="188"/>
      <c r="U86" s="168"/>
      <c r="V86" s="168"/>
      <c r="W86" s="168"/>
      <c r="X86" s="168"/>
      <c r="Y86" s="128"/>
      <c r="Z86" s="128"/>
      <c r="AA86" s="128"/>
      <c r="AB86" s="640"/>
      <c r="AC86" s="641"/>
      <c r="AD86" s="642"/>
      <c r="AE86" s="685"/>
      <c r="AF86" s="685"/>
      <c r="AG86" s="639"/>
      <c r="AH86" s="701"/>
      <c r="AI86" s="702"/>
      <c r="AJ86" s="703"/>
      <c r="AK86" s="704"/>
      <c r="BE86" s="692"/>
      <c r="BF86" s="692"/>
      <c r="BG86" s="692"/>
      <c r="BH86" s="692"/>
      <c r="BI86" s="692"/>
      <c r="BJ86" s="692"/>
      <c r="BK86" s="692"/>
      <c r="BL86" s="692"/>
      <c r="BM86" s="692"/>
      <c r="BN86" s="692"/>
      <c r="BO86" s="692"/>
      <c r="BP86" s="692"/>
      <c r="BQ86" s="692"/>
      <c r="BR86" s="692"/>
      <c r="BS86" s="692"/>
      <c r="BT86" s="692"/>
      <c r="BU86" s="692"/>
      <c r="BV86" s="692"/>
      <c r="BW86" s="692"/>
      <c r="BX86" s="692"/>
      <c r="BY86" s="692"/>
      <c r="BZ86" s="272"/>
      <c r="CA86" s="272"/>
      <c r="CB86" s="272"/>
      <c r="CC86" s="272"/>
      <c r="CD86" s="272"/>
      <c r="CE86" s="272"/>
      <c r="CF86" s="272"/>
      <c r="CG86" s="272"/>
      <c r="CH86" s="272"/>
      <c r="CI86" s="272"/>
    </row>
    <row r="87" spans="2:87" s="120" customFormat="1" ht="30">
      <c r="B87" s="675" t="s">
        <v>3147</v>
      </c>
      <c r="C87" s="1148" t="str">
        <f>"Всего по "&amp;T83&amp;" "&amp;T87&amp;" ("&amp;$C$82&amp;"):"</f>
        <v>Всего по Г.Н.П. Изолир. алюм. 50-100 мм (ВЛ-10 до 15 кВт (льгота)):</v>
      </c>
      <c r="D87" s="1148"/>
      <c r="E87" s="1148"/>
      <c r="F87" s="1149">
        <f>SUM(F88:F89)</f>
        <v>0</v>
      </c>
      <c r="G87" s="1150">
        <f t="shared" ref="G87:P87" si="58">SUM(G88:G89)</f>
        <v>0</v>
      </c>
      <c r="H87" s="1150">
        <f t="shared" si="58"/>
        <v>0</v>
      </c>
      <c r="I87" s="1150">
        <f t="shared" si="58"/>
        <v>0</v>
      </c>
      <c r="J87" s="1150">
        <f t="shared" si="58"/>
        <v>0</v>
      </c>
      <c r="K87" s="1150">
        <f t="shared" si="58"/>
        <v>0</v>
      </c>
      <c r="L87" s="1150">
        <f t="shared" si="58"/>
        <v>0</v>
      </c>
      <c r="M87" s="1150">
        <f t="shared" si="58"/>
        <v>0</v>
      </c>
      <c r="N87" s="1150">
        <f t="shared" si="58"/>
        <v>0</v>
      </c>
      <c r="O87" s="1150">
        <f t="shared" si="58"/>
        <v>0</v>
      </c>
      <c r="P87" s="1150">
        <f t="shared" si="58"/>
        <v>0</v>
      </c>
      <c r="Q87" s="1151"/>
      <c r="R87" s="1151"/>
      <c r="S87" s="1151"/>
      <c r="T87" s="1151" t="s">
        <v>3005</v>
      </c>
      <c r="U87" s="128"/>
      <c r="V87" s="129"/>
      <c r="W87" s="630"/>
      <c r="X87" s="631"/>
      <c r="Y87" s="632"/>
      <c r="Z87" s="633"/>
      <c r="AA87" s="128"/>
      <c r="AB87" s="634"/>
      <c r="AC87" s="635"/>
      <c r="AD87" s="636"/>
      <c r="AE87" s="637"/>
      <c r="AF87" s="638"/>
      <c r="AG87" s="639"/>
      <c r="AH87" s="640"/>
      <c r="AI87" s="641"/>
      <c r="AJ87" s="642"/>
      <c r="AK87" s="638"/>
      <c r="AN87" s="643"/>
      <c r="AT87" s="126"/>
      <c r="AU87" s="644"/>
      <c r="BC87" s="120" t="str">
        <f>[24]Прил.1!$F$14</f>
        <v>50 - 100</v>
      </c>
      <c r="BD87" s="368" t="str">
        <f>CONCATENATE($BC$2,"; ",$BC$3,"; ",$BD$1,"; ",$BD$3,"; ",BC87)</f>
        <v>6-10 кВ; Г.Н.П.; изолированный; алюминевый; 50 - 100</v>
      </c>
      <c r="BE87" s="645"/>
      <c r="BF87" s="645"/>
      <c r="BG87" s="645"/>
      <c r="BH87" s="645"/>
      <c r="BI87" s="645"/>
      <c r="BJ87" s="645"/>
      <c r="BK87" s="645"/>
      <c r="BL87" s="645"/>
      <c r="BM87" s="645"/>
      <c r="BN87" s="645"/>
      <c r="BO87" s="645"/>
      <c r="BP87" s="645"/>
      <c r="BQ87" s="645"/>
      <c r="BR87" s="645"/>
      <c r="BS87" s="645"/>
      <c r="BT87" s="645"/>
      <c r="BU87" s="645"/>
      <c r="BV87" s="645"/>
      <c r="BW87" s="645"/>
      <c r="BX87" s="645"/>
      <c r="BY87" s="645"/>
      <c r="BZ87" s="646"/>
      <c r="CA87" s="646"/>
      <c r="CB87" s="646"/>
      <c r="CC87" s="646"/>
      <c r="CD87" s="646"/>
      <c r="CE87" s="646"/>
      <c r="CF87" s="646"/>
      <c r="CG87" s="646"/>
      <c r="CH87" s="646"/>
      <c r="CI87" s="646"/>
    </row>
    <row r="88" spans="2:87" s="76" customFormat="1" ht="15.75" outlineLevel="1">
      <c r="B88" s="676"/>
      <c r="C88" s="677"/>
      <c r="D88" s="678"/>
      <c r="E88" s="679"/>
      <c r="F88" s="680"/>
      <c r="G88" s="681"/>
      <c r="H88" s="517"/>
      <c r="I88" s="517"/>
      <c r="J88" s="517"/>
      <c r="K88" s="517"/>
      <c r="L88" s="517"/>
      <c r="M88" s="517"/>
      <c r="N88" s="517"/>
      <c r="O88" s="517"/>
      <c r="P88" s="682"/>
      <c r="Q88" s="683"/>
      <c r="R88" s="684"/>
      <c r="S88" s="685"/>
      <c r="T88" s="686"/>
      <c r="U88" s="168"/>
      <c r="V88" s="168"/>
      <c r="W88" s="168"/>
      <c r="X88" s="168"/>
      <c r="Y88" s="128"/>
      <c r="Z88" s="128"/>
      <c r="AA88" s="128"/>
      <c r="AB88" s="640"/>
      <c r="AC88" s="641"/>
      <c r="AD88" s="642"/>
      <c r="AE88" s="685"/>
      <c r="AF88" s="685"/>
      <c r="AG88" s="687"/>
      <c r="AH88" s="688"/>
      <c r="AI88" s="689"/>
      <c r="AJ88" s="690"/>
      <c r="AK88" s="691"/>
      <c r="BE88" s="692"/>
      <c r="BF88" s="692"/>
      <c r="BG88" s="692"/>
      <c r="BH88" s="692"/>
      <c r="BI88" s="692"/>
      <c r="BJ88" s="692"/>
      <c r="BK88" s="692"/>
      <c r="BL88" s="692"/>
      <c r="BM88" s="692"/>
      <c r="BN88" s="692"/>
      <c r="BO88" s="692"/>
      <c r="BP88" s="692"/>
      <c r="BQ88" s="692"/>
      <c r="BR88" s="692"/>
      <c r="BS88" s="692"/>
      <c r="BT88" s="692"/>
      <c r="BU88" s="692"/>
      <c r="BV88" s="692"/>
      <c r="BW88" s="692"/>
      <c r="BX88" s="692"/>
      <c r="BY88" s="692"/>
      <c r="BZ88" s="272"/>
      <c r="CA88" s="272"/>
      <c r="CB88" s="272"/>
      <c r="CC88" s="272"/>
      <c r="CD88" s="272"/>
      <c r="CE88" s="272"/>
      <c r="CF88" s="272"/>
      <c r="CG88" s="272"/>
      <c r="CH88" s="272"/>
      <c r="CI88" s="272"/>
    </row>
    <row r="89" spans="2:87" s="76" customFormat="1" ht="15.75" outlineLevel="1">
      <c r="B89" s="738"/>
      <c r="C89" s="693"/>
      <c r="D89" s="694"/>
      <c r="E89" s="695"/>
      <c r="F89" s="696"/>
      <c r="G89" s="697"/>
      <c r="H89" s="247"/>
      <c r="I89" s="247"/>
      <c r="J89" s="698"/>
      <c r="K89" s="247"/>
      <c r="L89" s="699"/>
      <c r="M89" s="698"/>
      <c r="N89" s="698"/>
      <c r="O89" s="247"/>
      <c r="P89" s="700"/>
      <c r="Q89" s="185"/>
      <c r="R89" s="186"/>
      <c r="S89" s="297"/>
      <c r="T89" s="188"/>
      <c r="U89" s="168"/>
      <c r="V89" s="168"/>
      <c r="W89" s="168"/>
      <c r="X89" s="168"/>
      <c r="Y89" s="128"/>
      <c r="Z89" s="128"/>
      <c r="AA89" s="128"/>
      <c r="AB89" s="640"/>
      <c r="AC89" s="641"/>
      <c r="AD89" s="642"/>
      <c r="AE89" s="685"/>
      <c r="AF89" s="685"/>
      <c r="AG89" s="639"/>
      <c r="AH89" s="701"/>
      <c r="AI89" s="702"/>
      <c r="AJ89" s="703"/>
      <c r="AK89" s="704"/>
      <c r="BE89" s="692"/>
      <c r="BF89" s="692"/>
      <c r="BG89" s="692"/>
      <c r="BH89" s="692"/>
      <c r="BI89" s="692"/>
      <c r="BJ89" s="692"/>
      <c r="BK89" s="692"/>
      <c r="BL89" s="692"/>
      <c r="BM89" s="692"/>
      <c r="BN89" s="692"/>
      <c r="BO89" s="692"/>
      <c r="BP89" s="692"/>
      <c r="BQ89" s="692"/>
      <c r="BR89" s="692"/>
      <c r="BS89" s="692"/>
      <c r="BT89" s="692"/>
      <c r="BU89" s="692"/>
      <c r="BV89" s="692"/>
      <c r="BW89" s="692"/>
      <c r="BX89" s="692"/>
      <c r="BY89" s="692"/>
      <c r="BZ89" s="272"/>
      <c r="CA89" s="272"/>
      <c r="CB89" s="272"/>
      <c r="CC89" s="272"/>
      <c r="CD89" s="272"/>
      <c r="CE89" s="272"/>
      <c r="CF89" s="272"/>
      <c r="CG89" s="272"/>
      <c r="CH89" s="272"/>
      <c r="CI89" s="272"/>
    </row>
    <row r="90" spans="2:87" s="120" customFormat="1" ht="15.75" customHeight="1">
      <c r="B90" s="1141" t="s">
        <v>2586</v>
      </c>
      <c r="C90" s="1142" t="str">
        <f>"Всего по "&amp;T90&amp;" ("&amp;$C$82&amp;"):"</f>
        <v>Всего по Вне Г.Н.П. (ВЛ-10 до 15 кВт (льгота)):</v>
      </c>
      <c r="D90" s="1143"/>
      <c r="E90" s="1143"/>
      <c r="F90" s="1144">
        <f t="shared" ref="F90:P90" si="59">SUM(F91,F94,F97)</f>
        <v>0.33999999999999997</v>
      </c>
      <c r="G90" s="1145">
        <f t="shared" si="59"/>
        <v>33</v>
      </c>
      <c r="H90" s="1145">
        <f t="shared" si="59"/>
        <v>0</v>
      </c>
      <c r="I90" s="1145">
        <f t="shared" si="59"/>
        <v>0</v>
      </c>
      <c r="J90" s="1145">
        <f t="shared" si="59"/>
        <v>0</v>
      </c>
      <c r="K90" s="1145">
        <f t="shared" si="59"/>
        <v>28.513270000000002</v>
      </c>
      <c r="L90" s="1145">
        <f t="shared" si="59"/>
        <v>0</v>
      </c>
      <c r="M90" s="1145">
        <f t="shared" si="59"/>
        <v>0</v>
      </c>
      <c r="N90" s="1145">
        <f t="shared" si="59"/>
        <v>0</v>
      </c>
      <c r="O90" s="1145">
        <f t="shared" si="59"/>
        <v>211.49473</v>
      </c>
      <c r="P90" s="1145">
        <f t="shared" si="59"/>
        <v>240008</v>
      </c>
      <c r="Q90" s="1146"/>
      <c r="R90" s="1146"/>
      <c r="S90" s="1146"/>
      <c r="T90" s="1146" t="s">
        <v>2958</v>
      </c>
      <c r="U90" s="128"/>
      <c r="V90" s="129"/>
      <c r="W90" s="630"/>
      <c r="X90" s="631"/>
      <c r="Y90" s="632"/>
      <c r="Z90" s="633"/>
      <c r="AA90" s="128"/>
      <c r="AB90" s="634"/>
      <c r="AC90" s="635"/>
      <c r="AD90" s="636"/>
      <c r="AE90" s="637"/>
      <c r="AF90" s="638"/>
      <c r="AG90" s="639"/>
      <c r="AH90" s="640"/>
      <c r="AI90" s="641"/>
      <c r="AJ90" s="642"/>
      <c r="AK90" s="638"/>
      <c r="AN90" s="643"/>
      <c r="AT90" s="126"/>
      <c r="AU90" s="644"/>
      <c r="BE90" s="645"/>
      <c r="BF90" s="645"/>
      <c r="BG90" s="645"/>
      <c r="BH90" s="645"/>
      <c r="BI90" s="645"/>
      <c r="BJ90" s="645"/>
      <c r="BK90" s="645"/>
      <c r="BL90" s="645"/>
      <c r="BM90" s="645"/>
      <c r="BN90" s="645"/>
      <c r="BO90" s="645"/>
      <c r="BP90" s="645"/>
      <c r="BQ90" s="645"/>
      <c r="BR90" s="645"/>
      <c r="BS90" s="645"/>
      <c r="BT90" s="645"/>
      <c r="BU90" s="645"/>
      <c r="BV90" s="645"/>
      <c r="BW90" s="645"/>
      <c r="BX90" s="645"/>
      <c r="BY90" s="645"/>
      <c r="BZ90" s="646"/>
      <c r="CA90" s="646"/>
      <c r="CB90" s="646"/>
      <c r="CC90" s="646"/>
      <c r="CD90" s="646"/>
      <c r="CE90" s="646"/>
      <c r="CF90" s="646"/>
      <c r="CG90" s="646"/>
      <c r="CH90" s="646"/>
      <c r="CI90" s="646"/>
    </row>
    <row r="91" spans="2:87" s="120" customFormat="1" ht="30">
      <c r="B91" s="1147" t="s">
        <v>2587</v>
      </c>
      <c r="C91" s="739" t="str">
        <f>"Всего по "&amp;T90&amp;" "&amp;T91&amp;" ("&amp;$C$82&amp;"):"</f>
        <v>Всего по Вне Г.Н.П. Изолир. алюм. до 50 мм (ВЛ-10 до 15 кВт (льгота)):</v>
      </c>
      <c r="D91" s="739"/>
      <c r="E91" s="739"/>
      <c r="F91" s="740">
        <f>SUM(F92:F93)</f>
        <v>0</v>
      </c>
      <c r="G91" s="741">
        <f t="shared" ref="G91:P91" si="60">SUM(G92:G93)</f>
        <v>0</v>
      </c>
      <c r="H91" s="741">
        <f t="shared" si="60"/>
        <v>0</v>
      </c>
      <c r="I91" s="741">
        <f t="shared" si="60"/>
        <v>0</v>
      </c>
      <c r="J91" s="741">
        <f t="shared" si="60"/>
        <v>0</v>
      </c>
      <c r="K91" s="741">
        <f t="shared" si="60"/>
        <v>0</v>
      </c>
      <c r="L91" s="741">
        <f t="shared" si="60"/>
        <v>0</v>
      </c>
      <c r="M91" s="741">
        <f t="shared" si="60"/>
        <v>0</v>
      </c>
      <c r="N91" s="741">
        <f t="shared" si="60"/>
        <v>0</v>
      </c>
      <c r="O91" s="741">
        <f t="shared" si="60"/>
        <v>0</v>
      </c>
      <c r="P91" s="741">
        <f t="shared" si="60"/>
        <v>0</v>
      </c>
      <c r="Q91" s="742"/>
      <c r="R91" s="742"/>
      <c r="S91" s="742"/>
      <c r="T91" s="1151" t="s">
        <v>2962</v>
      </c>
      <c r="U91" s="128"/>
      <c r="V91" s="129"/>
      <c r="W91" s="630"/>
      <c r="X91" s="631"/>
      <c r="Y91" s="632"/>
      <c r="Z91" s="633"/>
      <c r="AA91" s="128"/>
      <c r="AB91" s="634"/>
      <c r="AC91" s="635"/>
      <c r="AD91" s="636"/>
      <c r="AE91" s="637"/>
      <c r="AF91" s="638"/>
      <c r="AG91" s="639"/>
      <c r="AH91" s="640"/>
      <c r="AI91" s="641"/>
      <c r="AJ91" s="642"/>
      <c r="AK91" s="638"/>
      <c r="AN91" s="643"/>
      <c r="AT91" s="126"/>
      <c r="AU91" s="644"/>
      <c r="BC91" s="120" t="str">
        <f>[24]Прил.1!$F$13</f>
        <v>до 50 вкл.</v>
      </c>
      <c r="BD91" s="368" t="str">
        <f>CONCATENATE($BC$2,"; ",$BC$4,"; ",$BD$1,"; ",$BD$3,"; ",BC91)</f>
        <v>6-10 кВ; Вне Г.Н.П.; изолированный; алюминевый; до 50 вкл.</v>
      </c>
      <c r="BE91" s="645"/>
      <c r="BF91" s="645"/>
      <c r="BG91" s="645"/>
      <c r="BH91" s="645"/>
      <c r="BI91" s="645"/>
      <c r="BJ91" s="645"/>
      <c r="BK91" s="645"/>
      <c r="BL91" s="645"/>
      <c r="BM91" s="645"/>
      <c r="BN91" s="645"/>
      <c r="BO91" s="645"/>
      <c r="BP91" s="645"/>
      <c r="BQ91" s="645"/>
      <c r="BR91" s="645"/>
      <c r="BS91" s="645"/>
      <c r="BT91" s="645"/>
      <c r="BU91" s="645"/>
      <c r="BV91" s="645"/>
      <c r="BW91" s="645"/>
      <c r="BX91" s="645"/>
      <c r="BY91" s="645"/>
      <c r="BZ91" s="646"/>
      <c r="CA91" s="646"/>
      <c r="CB91" s="646"/>
      <c r="CC91" s="646"/>
      <c r="CD91" s="646"/>
      <c r="CE91" s="646"/>
      <c r="CF91" s="646"/>
      <c r="CG91" s="646"/>
      <c r="CH91" s="646"/>
      <c r="CI91" s="646"/>
    </row>
    <row r="92" spans="2:87" s="76" customFormat="1" ht="15.75" outlineLevel="1">
      <c r="B92" s="676"/>
      <c r="C92" s="677"/>
      <c r="D92" s="678"/>
      <c r="E92" s="679"/>
      <c r="F92" s="680"/>
      <c r="G92" s="681"/>
      <c r="H92" s="517"/>
      <c r="I92" s="517"/>
      <c r="J92" s="517"/>
      <c r="K92" s="517"/>
      <c r="L92" s="517"/>
      <c r="M92" s="517"/>
      <c r="N92" s="517"/>
      <c r="O92" s="517"/>
      <c r="P92" s="682"/>
      <c r="Q92" s="683"/>
      <c r="R92" s="684"/>
      <c r="S92" s="685"/>
      <c r="T92" s="686"/>
      <c r="U92" s="168"/>
      <c r="V92" s="168"/>
      <c r="W92" s="168"/>
      <c r="X92" s="168"/>
      <c r="Y92" s="128"/>
      <c r="Z92" s="128"/>
      <c r="AA92" s="128"/>
      <c r="AB92" s="640"/>
      <c r="AC92" s="641"/>
      <c r="AD92" s="642"/>
      <c r="AE92" s="685"/>
      <c r="AF92" s="685"/>
      <c r="AG92" s="687"/>
      <c r="AH92" s="688"/>
      <c r="AI92" s="689"/>
      <c r="AJ92" s="690"/>
      <c r="AK92" s="691"/>
      <c r="BE92" s="692"/>
      <c r="BF92" s="692"/>
      <c r="BG92" s="692"/>
      <c r="BH92" s="692"/>
      <c r="BI92" s="692"/>
      <c r="BJ92" s="692"/>
      <c r="BK92" s="692"/>
      <c r="BL92" s="692"/>
      <c r="BM92" s="692"/>
      <c r="BN92" s="692"/>
      <c r="BO92" s="692"/>
      <c r="BP92" s="692"/>
      <c r="BQ92" s="692"/>
      <c r="BR92" s="692"/>
      <c r="BS92" s="692"/>
      <c r="BT92" s="692"/>
      <c r="BU92" s="692"/>
      <c r="BV92" s="692"/>
      <c r="BW92" s="692"/>
      <c r="BX92" s="692"/>
      <c r="BY92" s="692"/>
      <c r="BZ92" s="272"/>
      <c r="CA92" s="272"/>
      <c r="CB92" s="272"/>
      <c r="CC92" s="272"/>
      <c r="CD92" s="272"/>
      <c r="CE92" s="272"/>
      <c r="CF92" s="272"/>
      <c r="CG92" s="272"/>
      <c r="CH92" s="272"/>
      <c r="CI92" s="272"/>
    </row>
    <row r="93" spans="2:87" s="76" customFormat="1" ht="15.75" outlineLevel="1">
      <c r="B93" s="676"/>
      <c r="C93" s="693"/>
      <c r="D93" s="694"/>
      <c r="E93" s="695"/>
      <c r="F93" s="696"/>
      <c r="G93" s="697"/>
      <c r="H93" s="247"/>
      <c r="I93" s="247"/>
      <c r="J93" s="698"/>
      <c r="K93" s="247"/>
      <c r="L93" s="699"/>
      <c r="M93" s="698"/>
      <c r="N93" s="698"/>
      <c r="O93" s="247"/>
      <c r="P93" s="700"/>
      <c r="Q93" s="185"/>
      <c r="R93" s="186"/>
      <c r="S93" s="297"/>
      <c r="T93" s="188"/>
      <c r="U93" s="168"/>
      <c r="V93" s="168"/>
      <c r="W93" s="168"/>
      <c r="X93" s="168"/>
      <c r="Y93" s="128"/>
      <c r="Z93" s="128"/>
      <c r="AA93" s="128"/>
      <c r="AB93" s="640"/>
      <c r="AC93" s="641"/>
      <c r="AD93" s="642"/>
      <c r="AE93" s="685"/>
      <c r="AF93" s="685"/>
      <c r="AG93" s="639"/>
      <c r="AH93" s="701"/>
      <c r="AI93" s="702"/>
      <c r="AJ93" s="703"/>
      <c r="AK93" s="704"/>
      <c r="BE93" s="692"/>
      <c r="BF93" s="692"/>
      <c r="BG93" s="692"/>
      <c r="BH93" s="692"/>
      <c r="BI93" s="692"/>
      <c r="BJ93" s="692"/>
      <c r="BK93" s="692"/>
      <c r="BL93" s="692"/>
      <c r="BM93" s="692"/>
      <c r="BN93" s="692"/>
      <c r="BO93" s="692"/>
      <c r="BP93" s="692"/>
      <c r="BQ93" s="692"/>
      <c r="BR93" s="692"/>
      <c r="BS93" s="692"/>
      <c r="BT93" s="692"/>
      <c r="BU93" s="692"/>
      <c r="BV93" s="692"/>
      <c r="BW93" s="692"/>
      <c r="BX93" s="692"/>
      <c r="BY93" s="692"/>
      <c r="BZ93" s="272"/>
      <c r="CA93" s="272"/>
      <c r="CB93" s="272"/>
      <c r="CC93" s="272"/>
      <c r="CD93" s="272"/>
      <c r="CE93" s="272"/>
      <c r="CF93" s="272"/>
      <c r="CG93" s="272"/>
      <c r="CH93" s="272"/>
      <c r="CI93" s="272"/>
    </row>
    <row r="94" spans="2:87" s="120" customFormat="1" ht="30">
      <c r="B94" s="675" t="s">
        <v>2588</v>
      </c>
      <c r="C94" s="1148" t="str">
        <f>"Всего по "&amp;T90&amp;" "&amp;T94&amp;" ("&amp;$C$82&amp;"):"</f>
        <v>Всего по Вне Г.Н.П. Изолир. алюм. 50-100 мм (ВЛ-10 до 15 кВт (льгота)):</v>
      </c>
      <c r="D94" s="1148"/>
      <c r="E94" s="1148"/>
      <c r="F94" s="1149">
        <f>SUM(F95:F96)</f>
        <v>0</v>
      </c>
      <c r="G94" s="1150">
        <f t="shared" ref="G94:P94" si="61">SUM(G95:G96)</f>
        <v>0</v>
      </c>
      <c r="H94" s="1150">
        <f t="shared" si="61"/>
        <v>0</v>
      </c>
      <c r="I94" s="1150">
        <f t="shared" si="61"/>
        <v>0</v>
      </c>
      <c r="J94" s="1150">
        <f t="shared" si="61"/>
        <v>0</v>
      </c>
      <c r="K94" s="1150">
        <f t="shared" si="61"/>
        <v>0</v>
      </c>
      <c r="L94" s="1150">
        <f t="shared" si="61"/>
        <v>0</v>
      </c>
      <c r="M94" s="1150">
        <f t="shared" si="61"/>
        <v>0</v>
      </c>
      <c r="N94" s="1150">
        <f t="shared" si="61"/>
        <v>0</v>
      </c>
      <c r="O94" s="1150">
        <f t="shared" si="61"/>
        <v>0</v>
      </c>
      <c r="P94" s="1150">
        <f t="shared" si="61"/>
        <v>0</v>
      </c>
      <c r="Q94" s="1151"/>
      <c r="R94" s="1151"/>
      <c r="S94" s="1151"/>
      <c r="T94" s="1151" t="s">
        <v>3005</v>
      </c>
      <c r="U94" s="128"/>
      <c r="V94" s="129"/>
      <c r="W94" s="630"/>
      <c r="X94" s="631"/>
      <c r="Y94" s="632"/>
      <c r="Z94" s="633"/>
      <c r="AA94" s="128"/>
      <c r="AB94" s="634"/>
      <c r="AC94" s="635"/>
      <c r="AD94" s="636"/>
      <c r="AE94" s="637"/>
      <c r="AF94" s="638"/>
      <c r="AG94" s="639"/>
      <c r="AH94" s="640"/>
      <c r="AI94" s="641"/>
      <c r="AJ94" s="642"/>
      <c r="AK94" s="638"/>
      <c r="AN94" s="643"/>
      <c r="AT94" s="126"/>
      <c r="AU94" s="644"/>
      <c r="BC94" s="120" t="str">
        <f>[24]Прил.1!$F$14</f>
        <v>50 - 100</v>
      </c>
      <c r="BD94" s="368" t="str">
        <f>CONCATENATE($BC$2,"; ",$BC$4,"; ",$BD$1,"; ",$BD$3,"; ",BC94)</f>
        <v>6-10 кВ; Вне Г.Н.П.; изолированный; алюминевый; 50 - 100</v>
      </c>
      <c r="BE94" s="645"/>
      <c r="BF94" s="645"/>
      <c r="BG94" s="645"/>
      <c r="BH94" s="645"/>
      <c r="BI94" s="645"/>
      <c r="BJ94" s="645"/>
      <c r="BK94" s="645"/>
      <c r="BL94" s="645"/>
      <c r="BM94" s="645"/>
      <c r="BN94" s="645"/>
      <c r="BO94" s="645"/>
      <c r="BP94" s="645"/>
      <c r="BQ94" s="645"/>
      <c r="BR94" s="645"/>
      <c r="BS94" s="645"/>
      <c r="BT94" s="645"/>
      <c r="BU94" s="645"/>
      <c r="BV94" s="645"/>
      <c r="BW94" s="645"/>
      <c r="BX94" s="645"/>
      <c r="BY94" s="645"/>
      <c r="BZ94" s="646"/>
      <c r="CA94" s="646"/>
      <c r="CB94" s="646"/>
      <c r="CC94" s="646"/>
      <c r="CD94" s="646"/>
      <c r="CE94" s="646"/>
      <c r="CF94" s="646"/>
      <c r="CG94" s="646"/>
      <c r="CH94" s="646"/>
      <c r="CI94" s="646"/>
    </row>
    <row r="95" spans="2:87" s="76" customFormat="1" ht="15.75" outlineLevel="1">
      <c r="B95" s="676"/>
      <c r="C95" s="677"/>
      <c r="D95" s="678"/>
      <c r="E95" s="679"/>
      <c r="F95" s="680"/>
      <c r="G95" s="681"/>
      <c r="H95" s="517"/>
      <c r="I95" s="517"/>
      <c r="J95" s="517"/>
      <c r="K95" s="517"/>
      <c r="L95" s="517"/>
      <c r="M95" s="517"/>
      <c r="N95" s="517"/>
      <c r="O95" s="517"/>
      <c r="P95" s="682"/>
      <c r="Q95" s="683"/>
      <c r="R95" s="684"/>
      <c r="S95" s="685"/>
      <c r="T95" s="686"/>
      <c r="U95" s="168"/>
      <c r="V95" s="168"/>
      <c r="W95" s="168"/>
      <c r="X95" s="168"/>
      <c r="Y95" s="128"/>
      <c r="Z95" s="128"/>
      <c r="AA95" s="128"/>
      <c r="AB95" s="640"/>
      <c r="AC95" s="641"/>
      <c r="AD95" s="642"/>
      <c r="AE95" s="685"/>
      <c r="AF95" s="685"/>
      <c r="AG95" s="687"/>
      <c r="AH95" s="688"/>
      <c r="AI95" s="689"/>
      <c r="AJ95" s="690"/>
      <c r="AK95" s="691"/>
      <c r="BE95" s="692"/>
      <c r="BF95" s="692"/>
      <c r="BG95" s="692"/>
      <c r="BH95" s="692"/>
      <c r="BI95" s="692"/>
      <c r="BJ95" s="692"/>
      <c r="BK95" s="692"/>
      <c r="BL95" s="692"/>
      <c r="BM95" s="692"/>
      <c r="BN95" s="692"/>
      <c r="BO95" s="692"/>
      <c r="BP95" s="692"/>
      <c r="BQ95" s="692"/>
      <c r="BR95" s="692"/>
      <c r="BS95" s="692"/>
      <c r="BT95" s="692"/>
      <c r="BU95" s="692"/>
      <c r="BV95" s="692"/>
      <c r="BW95" s="692"/>
      <c r="BX95" s="692"/>
      <c r="BY95" s="692"/>
      <c r="BZ95" s="272"/>
      <c r="CA95" s="272"/>
      <c r="CB95" s="272"/>
      <c r="CC95" s="272"/>
      <c r="CD95" s="272"/>
      <c r="CE95" s="272"/>
      <c r="CF95" s="272"/>
      <c r="CG95" s="272"/>
      <c r="CH95" s="272"/>
      <c r="CI95" s="272"/>
    </row>
    <row r="96" spans="2:87" s="76" customFormat="1" ht="15.75" outlineLevel="1">
      <c r="B96" s="676"/>
      <c r="C96" s="693"/>
      <c r="D96" s="694"/>
      <c r="E96" s="695"/>
      <c r="F96" s="696"/>
      <c r="G96" s="697"/>
      <c r="H96" s="247"/>
      <c r="I96" s="247"/>
      <c r="J96" s="698"/>
      <c r="K96" s="247"/>
      <c r="L96" s="699"/>
      <c r="M96" s="698"/>
      <c r="N96" s="698"/>
      <c r="O96" s="247"/>
      <c r="P96" s="700"/>
      <c r="Q96" s="185"/>
      <c r="R96" s="186"/>
      <c r="S96" s="297"/>
      <c r="T96" s="188"/>
      <c r="U96" s="168"/>
      <c r="V96" s="168"/>
      <c r="W96" s="168"/>
      <c r="X96" s="168"/>
      <c r="Y96" s="128"/>
      <c r="Z96" s="128"/>
      <c r="AA96" s="128"/>
      <c r="AB96" s="640"/>
      <c r="AC96" s="641"/>
      <c r="AD96" s="642"/>
      <c r="AE96" s="685"/>
      <c r="AF96" s="685"/>
      <c r="AG96" s="639"/>
      <c r="AH96" s="701"/>
      <c r="AI96" s="702"/>
      <c r="AJ96" s="703"/>
      <c r="AK96" s="704"/>
      <c r="BE96" s="692"/>
      <c r="BF96" s="692"/>
      <c r="BG96" s="692"/>
      <c r="BH96" s="692"/>
      <c r="BI96" s="692"/>
      <c r="BJ96" s="692"/>
      <c r="BK96" s="692"/>
      <c r="BL96" s="692"/>
      <c r="BM96" s="692"/>
      <c r="BN96" s="692"/>
      <c r="BO96" s="692"/>
      <c r="BP96" s="692"/>
      <c r="BQ96" s="692"/>
      <c r="BR96" s="692"/>
      <c r="BS96" s="692"/>
      <c r="BT96" s="692"/>
      <c r="BU96" s="692"/>
      <c r="BV96" s="692"/>
      <c r="BW96" s="692"/>
      <c r="BX96" s="692"/>
      <c r="BY96" s="692"/>
      <c r="BZ96" s="272"/>
      <c r="CA96" s="272"/>
      <c r="CB96" s="272"/>
      <c r="CC96" s="272"/>
      <c r="CD96" s="272"/>
      <c r="CE96" s="272"/>
      <c r="CF96" s="272"/>
      <c r="CG96" s="272"/>
      <c r="CH96" s="272"/>
      <c r="CI96" s="272"/>
    </row>
    <row r="97" spans="2:87" s="120" customFormat="1" ht="30">
      <c r="B97" s="675" t="s">
        <v>3148</v>
      </c>
      <c r="C97" s="1148" t="str">
        <f>"Всего по "&amp;T90&amp;" "&amp;T97&amp;" ("&amp;$C$82&amp;"):"</f>
        <v>Всего по Вне Г.Н.П. Неизолир. сталеалюм. до 50 мм (ВЛ-10 до 15 кВт (льгота)):</v>
      </c>
      <c r="D97" s="1148"/>
      <c r="E97" s="1148"/>
      <c r="F97" s="1149">
        <f t="shared" ref="F97:P97" si="62">SUM(F98:F101)</f>
        <v>0.33999999999999997</v>
      </c>
      <c r="G97" s="1150">
        <f t="shared" si="62"/>
        <v>33</v>
      </c>
      <c r="H97" s="1150">
        <f t="shared" si="62"/>
        <v>0</v>
      </c>
      <c r="I97" s="1150">
        <f t="shared" si="62"/>
        <v>0</v>
      </c>
      <c r="J97" s="1150">
        <f t="shared" si="62"/>
        <v>0</v>
      </c>
      <c r="K97" s="1150">
        <f t="shared" si="62"/>
        <v>28.513270000000002</v>
      </c>
      <c r="L97" s="1150">
        <f t="shared" si="62"/>
        <v>0</v>
      </c>
      <c r="M97" s="1150">
        <f t="shared" si="62"/>
        <v>0</v>
      </c>
      <c r="N97" s="1150">
        <f t="shared" si="62"/>
        <v>0</v>
      </c>
      <c r="O97" s="1150">
        <f t="shared" si="62"/>
        <v>211.49473</v>
      </c>
      <c r="P97" s="1150">
        <f t="shared" si="62"/>
        <v>240008</v>
      </c>
      <c r="Q97" s="1151"/>
      <c r="R97" s="1151"/>
      <c r="S97" s="1151"/>
      <c r="T97" s="1151" t="s">
        <v>3137</v>
      </c>
      <c r="U97" s="128"/>
      <c r="V97" s="129"/>
      <c r="W97" s="630"/>
      <c r="X97" s="631"/>
      <c r="Y97" s="632"/>
      <c r="Z97" s="633"/>
      <c r="AA97" s="128"/>
      <c r="AB97" s="634"/>
      <c r="AC97" s="635"/>
      <c r="AD97" s="636"/>
      <c r="AE97" s="637"/>
      <c r="AF97" s="638"/>
      <c r="AG97" s="639"/>
      <c r="AH97" s="640"/>
      <c r="AI97" s="641"/>
      <c r="AJ97" s="642"/>
      <c r="AK97" s="638"/>
      <c r="AN97" s="643"/>
      <c r="AT97" s="126"/>
      <c r="AU97" s="644"/>
      <c r="BC97" s="120" t="str">
        <f>[24]Прил.1!$F$13</f>
        <v>до 50 вкл.</v>
      </c>
      <c r="BD97" s="368" t="str">
        <f>CONCATENATE($BC$2,"; ",$BC$4,"; ",$BD$2,"; ",$BD$4,"; ",BC97)</f>
        <v>6-10 кВ; Вне Г.Н.П.; неизолированный; сталеалюминиевый; до 50 вкл.</v>
      </c>
      <c r="BE97" s="645"/>
      <c r="BF97" s="645"/>
      <c r="BG97" s="645"/>
      <c r="BH97" s="645"/>
      <c r="BI97" s="645"/>
      <c r="BJ97" s="645"/>
      <c r="BK97" s="645"/>
      <c r="BL97" s="645"/>
      <c r="BM97" s="645"/>
      <c r="BN97" s="645"/>
      <c r="BO97" s="645"/>
      <c r="BP97" s="645"/>
      <c r="BQ97" s="645"/>
      <c r="BR97" s="645"/>
      <c r="BS97" s="645"/>
      <c r="BT97" s="645"/>
      <c r="BU97" s="645"/>
      <c r="BV97" s="645"/>
      <c r="BW97" s="645"/>
      <c r="BX97" s="645"/>
      <c r="BY97" s="645"/>
      <c r="BZ97" s="646"/>
      <c r="CA97" s="646"/>
      <c r="CB97" s="646"/>
      <c r="CC97" s="646"/>
      <c r="CD97" s="646"/>
      <c r="CE97" s="646"/>
      <c r="CF97" s="646"/>
      <c r="CG97" s="646"/>
      <c r="CH97" s="646"/>
      <c r="CI97" s="646"/>
    </row>
    <row r="98" spans="2:87" ht="22.5" outlineLevel="1">
      <c r="B98" s="647">
        <v>1</v>
      </c>
      <c r="C98" s="648" t="s">
        <v>3149</v>
      </c>
      <c r="D98" s="649" t="str">
        <f>IF(AF98=0,"",AF98)</f>
        <v>2кв 2015</v>
      </c>
      <c r="E98" s="650">
        <v>10</v>
      </c>
      <c r="F98" s="743">
        <v>0.01</v>
      </c>
      <c r="G98" s="652">
        <v>15</v>
      </c>
      <c r="H98" s="653"/>
      <c r="I98" s="653">
        <f t="shared" ref="I98" si="63">AC98/1000</f>
        <v>0</v>
      </c>
      <c r="J98" s="653"/>
      <c r="K98" s="653">
        <f t="shared" ref="K98" si="64">AD98/1000</f>
        <v>8.6354500000000005</v>
      </c>
      <c r="L98" s="653"/>
      <c r="M98" s="653"/>
      <c r="N98" s="653"/>
      <c r="O98" s="653">
        <f t="shared" ref="O98" si="65">AB98/1000</f>
        <v>31.577630000000003</v>
      </c>
      <c r="P98" s="654">
        <v>40213.08</v>
      </c>
      <c r="Q98" s="655"/>
      <c r="R98" s="656" t="s">
        <v>2564</v>
      </c>
      <c r="S98" s="657" t="s">
        <v>3150</v>
      </c>
      <c r="T98" s="657" t="s">
        <v>3151</v>
      </c>
      <c r="U98" s="602" t="s">
        <v>2950</v>
      </c>
      <c r="V98" s="744"/>
      <c r="W98" s="744" t="s">
        <v>3008</v>
      </c>
      <c r="X98" s="602" t="s">
        <v>2947</v>
      </c>
      <c r="Y98" s="582" t="str">
        <f>IF(X98="","",$C$82)</f>
        <v>ВЛ-10 до 15 кВт (льгота)</v>
      </c>
      <c r="Z98" s="582" t="e">
        <f>IF(X98="","",CONCATENATE(Y98,"-",X98,"; ",#REF!))</f>
        <v>#REF!</v>
      </c>
      <c r="AA98" s="582"/>
      <c r="AB98" s="669">
        <v>31577.63</v>
      </c>
      <c r="AC98" s="670">
        <v>0</v>
      </c>
      <c r="AD98" s="671">
        <v>8635.4500000000007</v>
      </c>
      <c r="AE98" s="672">
        <f>AB98+AC98+AD98</f>
        <v>40213.08</v>
      </c>
      <c r="AF98" s="662" t="s">
        <v>2970</v>
      </c>
      <c r="AG98" s="663">
        <f>IF($AF98="1кв 2015",3.67,IF($AF98="2кв 2015",3.67,IF($AF98="3кв 2015",3.8,IF($AF98="4кв 2015",3.87,"не совпадает"))))</f>
        <v>3.67</v>
      </c>
      <c r="AH98" s="664">
        <f t="shared" ref="AH98:AJ100" si="66">IF(ISERROR(AB98/$AG98),"",AB98/$AG98)</f>
        <v>8604.258855585831</v>
      </c>
      <c r="AI98" s="665">
        <f t="shared" si="66"/>
        <v>0</v>
      </c>
      <c r="AJ98" s="666">
        <f t="shared" si="66"/>
        <v>2352.9836512261581</v>
      </c>
      <c r="AK98" s="667">
        <f>SUM(AH98,AI98,AJ98)</f>
        <v>10957.242506811988</v>
      </c>
      <c r="AS98" s="600">
        <v>1</v>
      </c>
      <c r="AT98" s="600">
        <v>38</v>
      </c>
      <c r="AZ98" s="600">
        <f>IF(B98="","",IF(P98=SUM(H98,I98,K98,O98),"ИСТИНА",P98-SUM(H98,I98,K98,O98)))</f>
        <v>40172.86692</v>
      </c>
      <c r="BA98" s="603" t="s">
        <v>3152</v>
      </c>
    </row>
    <row r="99" spans="2:87" ht="22.5" outlineLevel="1">
      <c r="B99" s="647">
        <f>B98+1</f>
        <v>2</v>
      </c>
      <c r="C99" s="648" t="s">
        <v>3153</v>
      </c>
      <c r="D99" s="649" t="str">
        <f>IF(AF99=0,"",AF99)</f>
        <v>4кв 2015</v>
      </c>
      <c r="E99" s="650">
        <v>10</v>
      </c>
      <c r="F99" s="743">
        <v>0.18</v>
      </c>
      <c r="G99" s="652">
        <v>10</v>
      </c>
      <c r="H99" s="653"/>
      <c r="I99" s="653"/>
      <c r="J99" s="653"/>
      <c r="K99" s="653">
        <f>4591.78/1000</f>
        <v>4.59178</v>
      </c>
      <c r="L99" s="653"/>
      <c r="M99" s="653"/>
      <c r="N99" s="653"/>
      <c r="O99" s="653">
        <f>122312.9/1000</f>
        <v>122.3129</v>
      </c>
      <c r="P99" s="654">
        <v>126904.68</v>
      </c>
      <c r="Q99" s="655"/>
      <c r="R99" s="656" t="s">
        <v>2564</v>
      </c>
      <c r="S99" s="657" t="s">
        <v>3154</v>
      </c>
      <c r="T99" s="657" t="s">
        <v>2580</v>
      </c>
      <c r="U99" s="602" t="s">
        <v>2950</v>
      </c>
      <c r="V99" s="744"/>
      <c r="W99" s="744" t="s">
        <v>3008</v>
      </c>
      <c r="X99" s="602" t="s">
        <v>2947</v>
      </c>
      <c r="Y99" s="582" t="str">
        <f>IF(X99="","",$C$82)</f>
        <v>ВЛ-10 до 15 кВт (льгота)</v>
      </c>
      <c r="Z99" s="582" t="e">
        <f>IF(X99="","",CONCATENATE(Y99,"-",X99,"; ",#REF!))</f>
        <v>#REF!</v>
      </c>
      <c r="AA99" s="582"/>
      <c r="AB99" s="659">
        <f>O99*1000</f>
        <v>122312.9</v>
      </c>
      <c r="AC99" s="660">
        <f>(I99+H99)*1000</f>
        <v>0</v>
      </c>
      <c r="AD99" s="661">
        <f>K99*1000</f>
        <v>4591.78</v>
      </c>
      <c r="AE99" s="662">
        <f>AB99+AC99+AD99</f>
        <v>126904.68</v>
      </c>
      <c r="AF99" s="662" t="s">
        <v>2981</v>
      </c>
      <c r="AG99" s="663">
        <f>IF($AF99="1кв 2015",3.67,IF($AF99="2кв 2015",3.67,IF($AF99="3кв 2015",3.8,IF($AF99="4кв 2015",3.87,"не совпадает"))))</f>
        <v>3.87</v>
      </c>
      <c r="AH99" s="664">
        <f t="shared" si="66"/>
        <v>31605.400516795864</v>
      </c>
      <c r="AI99" s="665">
        <f t="shared" si="66"/>
        <v>0</v>
      </c>
      <c r="AJ99" s="666">
        <f t="shared" si="66"/>
        <v>1186.5064599483203</v>
      </c>
      <c r="AK99" s="667">
        <f>SUM(AH99,AI99,AJ99)</f>
        <v>32791.906976744183</v>
      </c>
      <c r="AS99" s="600">
        <v>1</v>
      </c>
      <c r="AT99" s="600">
        <v>74</v>
      </c>
      <c r="AZ99" s="600">
        <f>IF(B99="","",IF(P99=SUM(H99,I99,K99,O99),"ИСТИНА",P99-SUM(H99,I99,K99,O99)))</f>
        <v>126777.77531999999</v>
      </c>
      <c r="BA99" s="668" t="s">
        <v>3155</v>
      </c>
    </row>
    <row r="100" spans="2:87" ht="22.5" outlineLevel="1">
      <c r="B100" s="647">
        <f>B99+1</f>
        <v>3</v>
      </c>
      <c r="C100" s="648" t="s">
        <v>3156</v>
      </c>
      <c r="D100" s="649" t="str">
        <f>IF(AF100=0,"",AF100)</f>
        <v>4кв 2015</v>
      </c>
      <c r="E100" s="650">
        <v>10</v>
      </c>
      <c r="F100" s="743">
        <v>0.15</v>
      </c>
      <c r="G100" s="652">
        <v>8</v>
      </c>
      <c r="H100" s="653"/>
      <c r="I100" s="653"/>
      <c r="J100" s="653"/>
      <c r="K100" s="653">
        <f>15286.04/1000</f>
        <v>15.286040000000002</v>
      </c>
      <c r="L100" s="653"/>
      <c r="M100" s="653"/>
      <c r="N100" s="653"/>
      <c r="O100" s="653">
        <f>57604.2/1000</f>
        <v>57.604199999999999</v>
      </c>
      <c r="P100" s="654">
        <v>72890.240000000005</v>
      </c>
      <c r="Q100" s="655"/>
      <c r="R100" s="656" t="s">
        <v>2564</v>
      </c>
      <c r="S100" s="657" t="s">
        <v>3157</v>
      </c>
      <c r="T100" s="657" t="s">
        <v>2612</v>
      </c>
      <c r="U100" s="602" t="s">
        <v>2950</v>
      </c>
      <c r="V100" s="744"/>
      <c r="W100" s="744" t="s">
        <v>3008</v>
      </c>
      <c r="X100" s="602" t="s">
        <v>2947</v>
      </c>
      <c r="Y100" s="582" t="str">
        <f>IF(X100="","",$C$82)</f>
        <v>ВЛ-10 до 15 кВт (льгота)</v>
      </c>
      <c r="Z100" s="582" t="e">
        <f>IF(X100="","",CONCATENATE(Y100,"-",X100,"; ",#REF!))</f>
        <v>#REF!</v>
      </c>
      <c r="AA100" s="582"/>
      <c r="AB100" s="659">
        <f>O100*1000</f>
        <v>57604.2</v>
      </c>
      <c r="AC100" s="660">
        <f>(I100+H100)*1000</f>
        <v>0</v>
      </c>
      <c r="AD100" s="661">
        <f>K100*1000</f>
        <v>15286.04</v>
      </c>
      <c r="AE100" s="662">
        <f>AB100+AC100+AD100</f>
        <v>72890.239999999991</v>
      </c>
      <c r="AF100" s="662" t="s">
        <v>2981</v>
      </c>
      <c r="AG100" s="663">
        <f>IF($AF100="1кв 2015",3.67,IF($AF100="2кв 2015",3.67,IF($AF100="3кв 2015",3.8,IF($AF100="4кв 2015",3.87,"не совпадает"))))</f>
        <v>3.87</v>
      </c>
      <c r="AH100" s="664">
        <f t="shared" si="66"/>
        <v>14884.806201550386</v>
      </c>
      <c r="AI100" s="665">
        <f t="shared" si="66"/>
        <v>0</v>
      </c>
      <c r="AJ100" s="666">
        <f t="shared" si="66"/>
        <v>3949.8811369509044</v>
      </c>
      <c r="AK100" s="667">
        <f>SUM(AH100,AI100,AJ100)</f>
        <v>18834.687338501291</v>
      </c>
      <c r="AS100" s="600">
        <v>1</v>
      </c>
      <c r="AT100" s="600">
        <v>60</v>
      </c>
      <c r="AZ100" s="600">
        <f>IF(B100="","",IF(P100=SUM(H100,I100,K100,O100),"ИСТИНА",P100-SUM(H100,I100,K100,O100)))</f>
        <v>72817.349760000012</v>
      </c>
      <c r="BA100" s="668" t="s">
        <v>3158</v>
      </c>
    </row>
    <row r="101" spans="2:87" s="76" customFormat="1" ht="15.75" outlineLevel="1">
      <c r="B101" s="179"/>
      <c r="C101" s="693"/>
      <c r="D101" s="694"/>
      <c r="E101" s="695"/>
      <c r="F101" s="696"/>
      <c r="G101" s="697"/>
      <c r="H101" s="247"/>
      <c r="I101" s="247"/>
      <c r="J101" s="698"/>
      <c r="K101" s="247"/>
      <c r="L101" s="699"/>
      <c r="M101" s="698"/>
      <c r="N101" s="698"/>
      <c r="O101" s="247"/>
      <c r="P101" s="700"/>
      <c r="Q101" s="185"/>
      <c r="R101" s="186"/>
      <c r="S101" s="297"/>
      <c r="T101" s="188"/>
      <c r="U101" s="168"/>
      <c r="V101" s="168"/>
      <c r="W101" s="168"/>
      <c r="X101" s="168"/>
      <c r="Y101" s="128"/>
      <c r="Z101" s="128"/>
      <c r="AA101" s="128"/>
      <c r="AB101" s="640"/>
      <c r="AC101" s="641"/>
      <c r="AD101" s="642"/>
      <c r="AE101" s="685"/>
      <c r="AF101" s="685"/>
      <c r="AG101" s="639"/>
      <c r="AH101" s="701"/>
      <c r="AI101" s="702"/>
      <c r="AJ101" s="703"/>
      <c r="AK101" s="704"/>
      <c r="BE101" s="692"/>
      <c r="BF101" s="692"/>
      <c r="BG101" s="692"/>
      <c r="BH101" s="692"/>
      <c r="BI101" s="692"/>
      <c r="BJ101" s="692"/>
      <c r="BK101" s="692"/>
      <c r="BL101" s="692"/>
      <c r="BM101" s="692"/>
      <c r="BN101" s="692"/>
      <c r="BO101" s="692"/>
      <c r="BP101" s="692"/>
      <c r="BQ101" s="692"/>
      <c r="BR101" s="692"/>
      <c r="BS101" s="692"/>
      <c r="BT101" s="692"/>
      <c r="BU101" s="692"/>
      <c r="BV101" s="692"/>
      <c r="BW101" s="692"/>
      <c r="BX101" s="692"/>
      <c r="BY101" s="692"/>
      <c r="BZ101" s="272"/>
      <c r="CA101" s="272"/>
      <c r="CB101" s="272"/>
      <c r="CC101" s="272"/>
      <c r="CD101" s="272"/>
      <c r="CE101" s="272"/>
      <c r="CF101" s="272"/>
      <c r="CG101" s="272"/>
      <c r="CH101" s="272"/>
      <c r="CI101" s="272"/>
    </row>
    <row r="102" spans="2:87" s="76" customFormat="1" ht="18.75">
      <c r="B102" s="1161">
        <f>MAX(B83:B101)</f>
        <v>3</v>
      </c>
      <c r="C102" s="1272" t="str">
        <f>"ИТОГО по "&amp;$C$82&amp;":"</f>
        <v>ИТОГО по ВЛ-10 до 15 кВт (льгота):</v>
      </c>
      <c r="D102" s="1272"/>
      <c r="E102" s="1272"/>
      <c r="F102" s="1273">
        <f t="shared" ref="F102:P102" si="67">SUM(F83,F90)</f>
        <v>0.33999999999999997</v>
      </c>
      <c r="G102" s="1274">
        <f t="shared" si="67"/>
        <v>33</v>
      </c>
      <c r="H102" s="1274">
        <f t="shared" si="67"/>
        <v>0</v>
      </c>
      <c r="I102" s="1274">
        <f t="shared" si="67"/>
        <v>0</v>
      </c>
      <c r="J102" s="1274">
        <f t="shared" si="67"/>
        <v>0</v>
      </c>
      <c r="K102" s="1274">
        <f t="shared" si="67"/>
        <v>28.513270000000002</v>
      </c>
      <c r="L102" s="1274">
        <f t="shared" si="67"/>
        <v>0</v>
      </c>
      <c r="M102" s="1274">
        <f t="shared" si="67"/>
        <v>0</v>
      </c>
      <c r="N102" s="1274">
        <f t="shared" si="67"/>
        <v>0</v>
      </c>
      <c r="O102" s="1274">
        <f t="shared" si="67"/>
        <v>211.49473</v>
      </c>
      <c r="P102" s="1274">
        <f t="shared" si="67"/>
        <v>240008</v>
      </c>
      <c r="Q102" s="1275"/>
      <c r="R102" s="1276"/>
      <c r="S102" s="1275"/>
      <c r="T102" s="1275"/>
      <c r="U102" s="168"/>
      <c r="V102" s="168"/>
      <c r="W102" s="168"/>
      <c r="X102" s="168"/>
      <c r="Y102" s="128" t="str">
        <f t="shared" ref="Y102" si="68">IF(X102="","",$C$75)</f>
        <v/>
      </c>
      <c r="Z102" s="128" t="str">
        <f>IF(X102="","",CONCATENATE(Y102,"-",X102,"; ",#REF!))</f>
        <v/>
      </c>
      <c r="AA102" s="128"/>
      <c r="AB102" s="640"/>
      <c r="AC102" s="641"/>
      <c r="AD102" s="642"/>
      <c r="AE102" s="685"/>
      <c r="AF102" s="685"/>
      <c r="AG102" s="639" t="str">
        <f t="shared" ref="AG102" si="69">IF($AF102="1кв 2014",3.58,IF($AF102="2кв 2014",3.59,IF($AF102="3кв 2014",3.67,IF($AF102="4кв 2014",3.66,"не совпадает"))))</f>
        <v>не совпадает</v>
      </c>
      <c r="AH102" s="701" t="str">
        <f t="shared" ref="AH102:AJ102" si="70">IF(ISERROR(AB102/$AG102),"",AB102/$AG102)</f>
        <v/>
      </c>
      <c r="AI102" s="702" t="str">
        <f t="shared" si="70"/>
        <v/>
      </c>
      <c r="AJ102" s="703" t="str">
        <f t="shared" si="70"/>
        <v/>
      </c>
      <c r="AK102" s="704">
        <f t="shared" ref="AK102" si="71">SUM(AH102,AI102,AJ102)</f>
        <v>0</v>
      </c>
      <c r="BE102" s="692"/>
      <c r="BF102" s="692"/>
      <c r="BG102" s="692"/>
      <c r="BH102" s="692"/>
      <c r="BI102" s="692"/>
      <c r="BJ102" s="692"/>
      <c r="BK102" s="692"/>
      <c r="BL102" s="692"/>
      <c r="BM102" s="692"/>
      <c r="BN102" s="692"/>
      <c r="BO102" s="692"/>
      <c r="BP102" s="692"/>
      <c r="BQ102" s="692"/>
      <c r="BR102" s="692"/>
      <c r="BS102" s="692"/>
      <c r="BT102" s="692"/>
      <c r="BU102" s="692"/>
      <c r="BV102" s="692"/>
      <c r="BW102" s="692"/>
      <c r="BX102" s="692"/>
      <c r="BY102" s="692"/>
      <c r="BZ102" s="272"/>
      <c r="CA102" s="272"/>
      <c r="CB102" s="272"/>
      <c r="CC102" s="272"/>
      <c r="CD102" s="272"/>
      <c r="CE102" s="272"/>
      <c r="CF102" s="272"/>
      <c r="CG102" s="272"/>
      <c r="CH102" s="272"/>
      <c r="CI102" s="272"/>
    </row>
    <row r="103" spans="2:87" s="757" customFormat="1" ht="21">
      <c r="B103" s="1285"/>
      <c r="C103" s="1286" t="str">
        <f>"ИТОГО ВЛ "&amp;$C$8&amp;":"</f>
        <v>ИТОГО ВЛ до 15 кВт (льгота):</v>
      </c>
      <c r="D103" s="1286"/>
      <c r="E103" s="1286"/>
      <c r="F103" s="1287">
        <f>SUM(F80,F102)</f>
        <v>6.59</v>
      </c>
      <c r="G103" s="1288">
        <f t="shared" ref="G103:P103" si="72">SUM(G80,G102)</f>
        <v>422.27</v>
      </c>
      <c r="H103" s="1288">
        <f t="shared" si="72"/>
        <v>52.933999999999997</v>
      </c>
      <c r="I103" s="1288">
        <f t="shared" si="72"/>
        <v>0</v>
      </c>
      <c r="J103" s="1288">
        <f t="shared" si="72"/>
        <v>0</v>
      </c>
      <c r="K103" s="1288">
        <f t="shared" si="72"/>
        <v>563.20748000000015</v>
      </c>
      <c r="L103" s="1288">
        <f t="shared" si="72"/>
        <v>0</v>
      </c>
      <c r="M103" s="1288">
        <f t="shared" si="72"/>
        <v>0</v>
      </c>
      <c r="N103" s="1288">
        <f t="shared" si="72"/>
        <v>0</v>
      </c>
      <c r="O103" s="1288">
        <f t="shared" si="72"/>
        <v>2505.7924500000004</v>
      </c>
      <c r="P103" s="1288">
        <f t="shared" si="72"/>
        <v>3188625.03</v>
      </c>
      <c r="Q103" s="1289"/>
      <c r="R103" s="1289"/>
      <c r="S103" s="1289"/>
      <c r="T103" s="1290"/>
      <c r="U103" s="582"/>
      <c r="V103" s="745"/>
      <c r="W103" s="746"/>
      <c r="X103" s="747"/>
      <c r="Y103" s="748" t="str">
        <f>IF(X103="","",#REF!)</f>
        <v/>
      </c>
      <c r="Z103" s="749" t="str">
        <f t="shared" ref="Z103" si="73">IF(X103="","",CONCATENATE(Y103,"-",X103,"; ",$T$81))</f>
        <v/>
      </c>
      <c r="AA103" s="582"/>
      <c r="AB103" s="750">
        <f>J103+L103+M103</f>
        <v>0</v>
      </c>
      <c r="AC103" s="751">
        <f>I103</f>
        <v>0</v>
      </c>
      <c r="AD103" s="752">
        <f>K103+H103</f>
        <v>616.14148000000012</v>
      </c>
      <c r="AE103" s="753">
        <f t="shared" ref="AE103" si="74">AB103+AC103+AD103</f>
        <v>616.14148000000012</v>
      </c>
      <c r="AF103" s="754"/>
      <c r="AG103" s="663" t="str">
        <f t="shared" si="54"/>
        <v>не совпадает</v>
      </c>
      <c r="AH103" s="732" t="str">
        <f>IF(ISERROR(AB103/$AG103),"",AB103/$AG103)</f>
        <v/>
      </c>
      <c r="AI103" s="733" t="str">
        <f>IF(ISERROR(AC103/$AG103),"",AC103/$AG103)</f>
        <v/>
      </c>
      <c r="AJ103" s="734" t="str">
        <f>IF(ISERROR(AD103/$AG103),"",AD103/$AG103)</f>
        <v/>
      </c>
      <c r="AK103" s="755">
        <f t="shared" si="52"/>
        <v>0</v>
      </c>
      <c r="AL103" s="756"/>
      <c r="AM103" s="757">
        <f>IF(P103=AE103,"Истина",P103-AE103)</f>
        <v>3188008.8885199996</v>
      </c>
      <c r="AN103" s="758"/>
      <c r="AT103" s="1291"/>
      <c r="AU103" s="1292"/>
      <c r="BE103" s="759"/>
      <c r="BF103" s="759"/>
      <c r="BG103" s="759"/>
      <c r="BH103" s="759"/>
      <c r="BI103" s="759"/>
      <c r="BJ103" s="759"/>
      <c r="BK103" s="759"/>
      <c r="BL103" s="759"/>
      <c r="BM103" s="759"/>
      <c r="BN103" s="759"/>
      <c r="BO103" s="759"/>
      <c r="BP103" s="759"/>
      <c r="BQ103" s="759"/>
      <c r="BR103" s="759"/>
      <c r="BS103" s="759"/>
      <c r="BT103" s="759"/>
      <c r="BU103" s="759"/>
      <c r="BV103" s="759"/>
      <c r="BW103" s="759"/>
      <c r="BX103" s="759"/>
      <c r="BY103" s="759"/>
      <c r="BZ103" s="760"/>
      <c r="CA103" s="760"/>
      <c r="CB103" s="760"/>
      <c r="CC103" s="760"/>
      <c r="CD103" s="760"/>
      <c r="CE103" s="760"/>
      <c r="CF103" s="760"/>
      <c r="CG103" s="760"/>
      <c r="CH103" s="760"/>
      <c r="CI103" s="760"/>
    </row>
    <row r="104" spans="2:87" ht="18.75">
      <c r="B104" s="1261" t="s">
        <v>8</v>
      </c>
      <c r="C104" s="3221" t="s">
        <v>2591</v>
      </c>
      <c r="D104" s="3222"/>
      <c r="E104" s="3222"/>
      <c r="F104" s="3222"/>
      <c r="G104" s="3222"/>
      <c r="H104" s="3222"/>
      <c r="I104" s="3222"/>
      <c r="J104" s="3222"/>
      <c r="K104" s="3222"/>
      <c r="L104" s="3222"/>
      <c r="M104" s="3222"/>
      <c r="N104" s="3222"/>
      <c r="O104" s="3222"/>
      <c r="P104" s="3222"/>
      <c r="Q104" s="3222"/>
      <c r="R104" s="3222"/>
      <c r="S104" s="3222"/>
      <c r="T104" s="3223"/>
      <c r="U104" s="618"/>
      <c r="V104" s="618"/>
      <c r="W104" s="618"/>
      <c r="Y104" s="582" t="str">
        <f t="shared" ref="Y104" si="75">IF(X104="","",$C$82)</f>
        <v/>
      </c>
      <c r="Z104" s="582" t="str">
        <f>IF(X104="","",CONCATENATE(Y104,"-",X104,"; ",#REF!))</f>
        <v/>
      </c>
      <c r="AA104" s="582"/>
      <c r="AB104" s="659"/>
      <c r="AC104" s="660"/>
      <c r="AD104" s="661"/>
      <c r="AE104" s="662"/>
      <c r="AF104" s="662"/>
      <c r="AG104" s="663" t="str">
        <f t="shared" si="54"/>
        <v>не совпадает</v>
      </c>
      <c r="AH104" s="664" t="str">
        <f t="shared" ref="AH104:AJ192" si="76">IF(ISERROR(AB104/$AG104),"",AB104/$AG104)</f>
        <v/>
      </c>
      <c r="AI104" s="665" t="str">
        <f t="shared" si="76"/>
        <v/>
      </c>
      <c r="AJ104" s="666" t="str">
        <f t="shared" si="76"/>
        <v/>
      </c>
      <c r="AK104" s="667">
        <f t="shared" si="52"/>
        <v>0</v>
      </c>
      <c r="AR104" s="606"/>
    </row>
    <row r="105" spans="2:87" ht="18.75">
      <c r="B105" s="1265" t="s">
        <v>9</v>
      </c>
      <c r="C105" s="1266" t="s">
        <v>2592</v>
      </c>
      <c r="D105" s="1267"/>
      <c r="E105" s="1267"/>
      <c r="F105" s="1268">
        <f>SUM(F106,F113)</f>
        <v>0.05</v>
      </c>
      <c r="G105" s="1269">
        <f t="shared" ref="G105:O105" si="77">SUM(G106,G113)</f>
        <v>5</v>
      </c>
      <c r="H105" s="1269">
        <f t="shared" si="77"/>
        <v>0</v>
      </c>
      <c r="I105" s="1269">
        <f t="shared" si="77"/>
        <v>0</v>
      </c>
      <c r="J105" s="1269">
        <f t="shared" si="77"/>
        <v>0</v>
      </c>
      <c r="K105" s="1269">
        <f t="shared" si="77"/>
        <v>4.69686</v>
      </c>
      <c r="L105" s="1269">
        <f t="shared" si="77"/>
        <v>0</v>
      </c>
      <c r="M105" s="1269">
        <f t="shared" si="77"/>
        <v>0</v>
      </c>
      <c r="N105" s="1269">
        <f t="shared" si="77"/>
        <v>0</v>
      </c>
      <c r="O105" s="1269">
        <f t="shared" si="77"/>
        <v>16.652810000000002</v>
      </c>
      <c r="P105" s="1269">
        <f>SUM(P106,P113)</f>
        <v>21349.67</v>
      </c>
      <c r="Q105" s="1267"/>
      <c r="R105" s="1267"/>
      <c r="S105" s="1267"/>
      <c r="T105" s="1270"/>
      <c r="U105" s="620"/>
      <c r="V105" s="620"/>
      <c r="W105" s="620"/>
      <c r="Y105" s="582" t="str">
        <f>IF(X105="","",$C$105)</f>
        <v/>
      </c>
      <c r="Z105" s="582" t="str">
        <f>IF(X105="","",CONCATENATE(Y105,"-",X105,"; ",#REF!))</f>
        <v/>
      </c>
      <c r="AA105" s="582"/>
      <c r="AB105" s="659"/>
      <c r="AC105" s="660"/>
      <c r="AD105" s="661"/>
      <c r="AE105" s="662"/>
      <c r="AF105" s="662"/>
      <c r="AG105" s="663" t="str">
        <f t="shared" si="54"/>
        <v>не совпадает</v>
      </c>
      <c r="AH105" s="664" t="str">
        <f t="shared" si="76"/>
        <v/>
      </c>
      <c r="AI105" s="665" t="str">
        <f t="shared" si="76"/>
        <v/>
      </c>
      <c r="AJ105" s="666" t="str">
        <f t="shared" si="76"/>
        <v/>
      </c>
      <c r="AK105" s="667">
        <f t="shared" si="52"/>
        <v>0</v>
      </c>
      <c r="AR105" s="606"/>
      <c r="BC105" s="625" t="str">
        <f>C105</f>
        <v>ВЛ-0,4 до 15 кВт (не льгота)</v>
      </c>
    </row>
    <row r="106" spans="2:87" s="120" customFormat="1" ht="15.75" customHeight="1">
      <c r="B106" s="1141" t="s">
        <v>2593</v>
      </c>
      <c r="C106" s="1142" t="str">
        <f>"Всего по "&amp;T106&amp;" ("&amp;$C$105&amp;"):"</f>
        <v>Всего по Г.Н.П. (ВЛ-0,4 до 15 кВт (не льгота)):</v>
      </c>
      <c r="D106" s="1143"/>
      <c r="E106" s="1143"/>
      <c r="F106" s="1144">
        <f>SUM(F107,F110)</f>
        <v>0</v>
      </c>
      <c r="G106" s="1145">
        <f t="shared" ref="G106:Q106" si="78">SUM(G107,G110)</f>
        <v>0</v>
      </c>
      <c r="H106" s="1145">
        <f t="shared" si="78"/>
        <v>0</v>
      </c>
      <c r="I106" s="1145">
        <f t="shared" si="78"/>
        <v>0</v>
      </c>
      <c r="J106" s="1145">
        <f t="shared" si="78"/>
        <v>0</v>
      </c>
      <c r="K106" s="1145">
        <f t="shared" si="78"/>
        <v>0</v>
      </c>
      <c r="L106" s="1145">
        <f t="shared" si="78"/>
        <v>0</v>
      </c>
      <c r="M106" s="1145">
        <f t="shared" si="78"/>
        <v>0</v>
      </c>
      <c r="N106" s="1145">
        <f t="shared" si="78"/>
        <v>0</v>
      </c>
      <c r="O106" s="1145">
        <f t="shared" si="78"/>
        <v>0</v>
      </c>
      <c r="P106" s="1145">
        <f t="shared" si="78"/>
        <v>0</v>
      </c>
      <c r="Q106" s="1183">
        <f t="shared" si="78"/>
        <v>0</v>
      </c>
      <c r="R106" s="1146"/>
      <c r="S106" s="1146"/>
      <c r="T106" s="1146" t="s">
        <v>2956</v>
      </c>
      <c r="U106" s="128"/>
      <c r="V106" s="129"/>
      <c r="W106" s="630"/>
      <c r="X106" s="631"/>
      <c r="Y106" s="632"/>
      <c r="Z106" s="633"/>
      <c r="AA106" s="128"/>
      <c r="AB106" s="634"/>
      <c r="AC106" s="635"/>
      <c r="AD106" s="636"/>
      <c r="AE106" s="637"/>
      <c r="AF106" s="638"/>
      <c r="AG106" s="639"/>
      <c r="AH106" s="640"/>
      <c r="AI106" s="641"/>
      <c r="AJ106" s="642"/>
      <c r="AK106" s="638"/>
      <c r="AN106" s="643"/>
      <c r="AT106" s="126"/>
      <c r="AU106" s="644"/>
      <c r="BE106" s="645"/>
      <c r="BF106" s="645"/>
      <c r="BG106" s="645"/>
      <c r="BH106" s="645"/>
      <c r="BI106" s="645"/>
      <c r="BJ106" s="645"/>
      <c r="BK106" s="645"/>
      <c r="BL106" s="645"/>
      <c r="BM106" s="645"/>
      <c r="BN106" s="645"/>
      <c r="BO106" s="645"/>
      <c r="BP106" s="645"/>
      <c r="BQ106" s="645"/>
      <c r="BR106" s="645"/>
      <c r="BS106" s="645"/>
      <c r="BT106" s="645"/>
      <c r="BU106" s="645"/>
      <c r="BV106" s="645"/>
      <c r="BW106" s="645"/>
      <c r="BX106" s="645"/>
      <c r="BY106" s="645"/>
      <c r="BZ106" s="646"/>
      <c r="CA106" s="646"/>
      <c r="CB106" s="646"/>
      <c r="CC106" s="646"/>
      <c r="CD106" s="646"/>
      <c r="CE106" s="646"/>
      <c r="CF106" s="646"/>
      <c r="CG106" s="646"/>
      <c r="CH106" s="646"/>
      <c r="CI106" s="646"/>
    </row>
    <row r="107" spans="2:87" s="120" customFormat="1" ht="30">
      <c r="B107" s="1147" t="s">
        <v>2594</v>
      </c>
      <c r="C107" s="1148" t="str">
        <f>"Всего по "&amp;T106&amp;" "&amp;T107&amp;" ("&amp;$C$105&amp;"):"</f>
        <v>Всего по Г.Н.П. Изолир. алюм. до 50 мм (ВЛ-0,4 до 15 кВт (не льгота)):</v>
      </c>
      <c r="D107" s="1148"/>
      <c r="E107" s="1148"/>
      <c r="F107" s="1149">
        <f>SUM(F108:F109)</f>
        <v>0</v>
      </c>
      <c r="G107" s="1150">
        <f t="shared" ref="G107:Q107" si="79">SUM(G108:G109)</f>
        <v>0</v>
      </c>
      <c r="H107" s="1150">
        <f t="shared" si="79"/>
        <v>0</v>
      </c>
      <c r="I107" s="1150">
        <f t="shared" si="79"/>
        <v>0</v>
      </c>
      <c r="J107" s="1150">
        <f t="shared" si="79"/>
        <v>0</v>
      </c>
      <c r="K107" s="1150">
        <f t="shared" si="79"/>
        <v>0</v>
      </c>
      <c r="L107" s="1150">
        <f t="shared" si="79"/>
        <v>0</v>
      </c>
      <c r="M107" s="1150">
        <f t="shared" si="79"/>
        <v>0</v>
      </c>
      <c r="N107" s="1150">
        <f t="shared" si="79"/>
        <v>0</v>
      </c>
      <c r="O107" s="1150">
        <f t="shared" si="79"/>
        <v>0</v>
      </c>
      <c r="P107" s="1150">
        <f t="shared" si="79"/>
        <v>0</v>
      </c>
      <c r="Q107" s="1184">
        <f t="shared" si="79"/>
        <v>0</v>
      </c>
      <c r="R107" s="1151"/>
      <c r="S107" s="1151"/>
      <c r="T107" s="1151" t="s">
        <v>2962</v>
      </c>
      <c r="U107" s="128"/>
      <c r="V107" s="129"/>
      <c r="W107" s="630"/>
      <c r="X107" s="631"/>
      <c r="Y107" s="632"/>
      <c r="Z107" s="633"/>
      <c r="AA107" s="128"/>
      <c r="AB107" s="634"/>
      <c r="AC107" s="635"/>
      <c r="AD107" s="636"/>
      <c r="AE107" s="637"/>
      <c r="AF107" s="638"/>
      <c r="AG107" s="639"/>
      <c r="AH107" s="640"/>
      <c r="AI107" s="641"/>
      <c r="AJ107" s="642"/>
      <c r="AK107" s="638"/>
      <c r="AN107" s="643"/>
      <c r="AT107" s="126"/>
      <c r="AU107" s="644"/>
      <c r="BC107" s="120" t="str">
        <f>[24]Прил.1!$F$13</f>
        <v>до 50 вкл.</v>
      </c>
      <c r="BD107" s="368" t="str">
        <f>CONCATENATE($BC$1,"; ",$BC$3,"; ",$BD$1,"; ",$BD$3,"; ",BC107)</f>
        <v>0,4 кВ; Г.Н.П.; изолированный; алюминевый; до 50 вкл.</v>
      </c>
      <c r="BE107" s="645"/>
      <c r="BF107" s="645"/>
      <c r="BG107" s="645"/>
      <c r="BH107" s="645"/>
      <c r="BI107" s="645"/>
      <c r="BJ107" s="645"/>
      <c r="BK107" s="645"/>
      <c r="BL107" s="645"/>
      <c r="BM107" s="645"/>
      <c r="BN107" s="645"/>
      <c r="BO107" s="645"/>
      <c r="BP107" s="645"/>
      <c r="BQ107" s="645"/>
      <c r="BR107" s="645"/>
      <c r="BS107" s="645"/>
      <c r="BT107" s="645"/>
      <c r="BU107" s="645"/>
      <c r="BV107" s="645"/>
      <c r="BW107" s="645"/>
      <c r="BX107" s="645"/>
      <c r="BY107" s="645"/>
      <c r="BZ107" s="646"/>
      <c r="CA107" s="646"/>
      <c r="CB107" s="646"/>
      <c r="CC107" s="646"/>
      <c r="CD107" s="646"/>
      <c r="CE107" s="646"/>
      <c r="CF107" s="646"/>
      <c r="CG107" s="646"/>
      <c r="CH107" s="646"/>
      <c r="CI107" s="646"/>
    </row>
    <row r="108" spans="2:87" s="76" customFormat="1" ht="15.75" outlineLevel="1">
      <c r="B108" s="676"/>
      <c r="C108" s="677"/>
      <c r="D108" s="678"/>
      <c r="E108" s="679"/>
      <c r="F108" s="680"/>
      <c r="G108" s="681"/>
      <c r="H108" s="517"/>
      <c r="I108" s="517"/>
      <c r="J108" s="517"/>
      <c r="K108" s="517"/>
      <c r="L108" s="517"/>
      <c r="M108" s="517"/>
      <c r="N108" s="517"/>
      <c r="O108" s="517"/>
      <c r="P108" s="682"/>
      <c r="Q108" s="683"/>
      <c r="R108" s="684"/>
      <c r="S108" s="685"/>
      <c r="T108" s="686"/>
      <c r="U108" s="168"/>
      <c r="V108" s="168"/>
      <c r="W108" s="168"/>
      <c r="X108" s="168"/>
      <c r="Y108" s="128"/>
      <c r="Z108" s="128"/>
      <c r="AA108" s="128"/>
      <c r="AB108" s="640"/>
      <c r="AC108" s="641"/>
      <c r="AD108" s="642"/>
      <c r="AE108" s="685"/>
      <c r="AF108" s="685"/>
      <c r="AG108" s="687"/>
      <c r="AH108" s="688"/>
      <c r="AI108" s="689"/>
      <c r="AJ108" s="690"/>
      <c r="AK108" s="691"/>
      <c r="BE108" s="692"/>
      <c r="BF108" s="692"/>
      <c r="BG108" s="692"/>
      <c r="BH108" s="692"/>
      <c r="BI108" s="692"/>
      <c r="BJ108" s="692"/>
      <c r="BK108" s="692"/>
      <c r="BL108" s="692"/>
      <c r="BM108" s="692"/>
      <c r="BN108" s="692"/>
      <c r="BO108" s="692"/>
      <c r="BP108" s="692"/>
      <c r="BQ108" s="692"/>
      <c r="BR108" s="692"/>
      <c r="BS108" s="692"/>
      <c r="BT108" s="692"/>
      <c r="BU108" s="692"/>
      <c r="BV108" s="692"/>
      <c r="BW108" s="692"/>
      <c r="BX108" s="692"/>
      <c r="BY108" s="692"/>
      <c r="BZ108" s="272"/>
      <c r="CA108" s="272"/>
      <c r="CB108" s="272"/>
      <c r="CC108" s="272"/>
      <c r="CD108" s="272"/>
      <c r="CE108" s="272"/>
      <c r="CF108" s="272"/>
      <c r="CG108" s="272"/>
      <c r="CH108" s="272"/>
      <c r="CI108" s="272"/>
    </row>
    <row r="109" spans="2:87" s="76" customFormat="1" ht="15.75" outlineLevel="1">
      <c r="B109" s="676"/>
      <c r="C109" s="693"/>
      <c r="D109" s="694"/>
      <c r="E109" s="695"/>
      <c r="F109" s="696"/>
      <c r="G109" s="697"/>
      <c r="H109" s="247"/>
      <c r="I109" s="247"/>
      <c r="J109" s="698"/>
      <c r="K109" s="247"/>
      <c r="L109" s="699"/>
      <c r="M109" s="698"/>
      <c r="N109" s="698"/>
      <c r="O109" s="247"/>
      <c r="P109" s="700"/>
      <c r="Q109" s="185"/>
      <c r="R109" s="186"/>
      <c r="S109" s="297"/>
      <c r="T109" s="188"/>
      <c r="U109" s="168"/>
      <c r="V109" s="168"/>
      <c r="W109" s="168"/>
      <c r="X109" s="168"/>
      <c r="Y109" s="128"/>
      <c r="Z109" s="128"/>
      <c r="AA109" s="128"/>
      <c r="AB109" s="640"/>
      <c r="AC109" s="641"/>
      <c r="AD109" s="642"/>
      <c r="AE109" s="685"/>
      <c r="AF109" s="685"/>
      <c r="AG109" s="639"/>
      <c r="AH109" s="701"/>
      <c r="AI109" s="702"/>
      <c r="AJ109" s="703"/>
      <c r="AK109" s="704"/>
      <c r="BE109" s="692"/>
      <c r="BF109" s="692"/>
      <c r="BG109" s="692"/>
      <c r="BH109" s="692"/>
      <c r="BI109" s="692"/>
      <c r="BJ109" s="692"/>
      <c r="BK109" s="692"/>
      <c r="BL109" s="692"/>
      <c r="BM109" s="692"/>
      <c r="BN109" s="692"/>
      <c r="BO109" s="692"/>
      <c r="BP109" s="692"/>
      <c r="BQ109" s="692"/>
      <c r="BR109" s="692"/>
      <c r="BS109" s="692"/>
      <c r="BT109" s="692"/>
      <c r="BU109" s="692"/>
      <c r="BV109" s="692"/>
      <c r="BW109" s="692"/>
      <c r="BX109" s="692"/>
      <c r="BY109" s="692"/>
      <c r="BZ109" s="272"/>
      <c r="CA109" s="272"/>
      <c r="CB109" s="272"/>
      <c r="CC109" s="272"/>
      <c r="CD109" s="272"/>
      <c r="CE109" s="272"/>
      <c r="CF109" s="272"/>
      <c r="CG109" s="272"/>
      <c r="CH109" s="272"/>
      <c r="CI109" s="272"/>
    </row>
    <row r="110" spans="2:87" s="120" customFormat="1" ht="30">
      <c r="B110" s="675" t="s">
        <v>3159</v>
      </c>
      <c r="C110" s="1148" t="str">
        <f>"Всего по "&amp;T106&amp;" "&amp;T110&amp;" ("&amp;$C$105&amp;"):"</f>
        <v>Всего по Г.Н.П. Изолир. алюм. 50-100 мм (ВЛ-0,4 до 15 кВт (не льгота)):</v>
      </c>
      <c r="D110" s="1148"/>
      <c r="E110" s="1148"/>
      <c r="F110" s="1149">
        <f>SUM(F111:F112)</f>
        <v>0</v>
      </c>
      <c r="G110" s="1150">
        <f t="shared" ref="G110:O110" si="80">SUM(G111:G112)</f>
        <v>0</v>
      </c>
      <c r="H110" s="1150">
        <f t="shared" si="80"/>
        <v>0</v>
      </c>
      <c r="I110" s="1150">
        <f t="shared" si="80"/>
        <v>0</v>
      </c>
      <c r="J110" s="1150">
        <f t="shared" si="80"/>
        <v>0</v>
      </c>
      <c r="K110" s="1150">
        <f t="shared" si="80"/>
        <v>0</v>
      </c>
      <c r="L110" s="1150">
        <f t="shared" si="80"/>
        <v>0</v>
      </c>
      <c r="M110" s="1150">
        <f t="shared" si="80"/>
        <v>0</v>
      </c>
      <c r="N110" s="1150">
        <f t="shared" si="80"/>
        <v>0</v>
      </c>
      <c r="O110" s="1150">
        <f t="shared" si="80"/>
        <v>0</v>
      </c>
      <c r="P110" s="1150">
        <f>SUM(P111:P112)</f>
        <v>0</v>
      </c>
      <c r="Q110" s="1151"/>
      <c r="R110" s="1151"/>
      <c r="S110" s="1151"/>
      <c r="T110" s="1151" t="s">
        <v>3005</v>
      </c>
      <c r="U110" s="128"/>
      <c r="V110" s="129"/>
      <c r="W110" s="630"/>
      <c r="X110" s="631"/>
      <c r="Y110" s="632"/>
      <c r="Z110" s="633"/>
      <c r="AA110" s="128"/>
      <c r="AB110" s="634"/>
      <c r="AC110" s="635"/>
      <c r="AD110" s="636"/>
      <c r="AE110" s="637"/>
      <c r="AF110" s="638"/>
      <c r="AG110" s="639"/>
      <c r="AH110" s="640"/>
      <c r="AI110" s="641"/>
      <c r="AJ110" s="642"/>
      <c r="AK110" s="638"/>
      <c r="AN110" s="643"/>
      <c r="AT110" s="126"/>
      <c r="AU110" s="644"/>
      <c r="BC110" s="120" t="str">
        <f>[24]Прил.1!$F$14</f>
        <v>50 - 100</v>
      </c>
      <c r="BD110" s="368" t="str">
        <f>CONCATENATE($BC$1,"; ",$BC$3,"; ",$BD$1,"; ",$BD$3,"; ",BC110)</f>
        <v>0,4 кВ; Г.Н.П.; изолированный; алюминевый; 50 - 100</v>
      </c>
      <c r="BE110" s="645"/>
      <c r="BF110" s="645"/>
      <c r="BG110" s="645"/>
      <c r="BH110" s="645"/>
      <c r="BI110" s="645"/>
      <c r="BJ110" s="645"/>
      <c r="BK110" s="645"/>
      <c r="BL110" s="645"/>
      <c r="BM110" s="645"/>
      <c r="BN110" s="645"/>
      <c r="BO110" s="645"/>
      <c r="BP110" s="645"/>
      <c r="BQ110" s="645"/>
      <c r="BR110" s="645"/>
      <c r="BS110" s="645"/>
      <c r="BT110" s="645"/>
      <c r="BU110" s="645"/>
      <c r="BV110" s="645"/>
      <c r="BW110" s="645"/>
      <c r="BX110" s="645"/>
      <c r="BY110" s="645"/>
      <c r="BZ110" s="646"/>
      <c r="CA110" s="646"/>
      <c r="CB110" s="646"/>
      <c r="CC110" s="646"/>
      <c r="CD110" s="646"/>
      <c r="CE110" s="646"/>
      <c r="CF110" s="646"/>
      <c r="CG110" s="646"/>
      <c r="CH110" s="646"/>
      <c r="CI110" s="646"/>
    </row>
    <row r="111" spans="2:87" s="76" customFormat="1" ht="15.75" outlineLevel="1">
      <c r="B111" s="676"/>
      <c r="C111" s="677"/>
      <c r="D111" s="678"/>
      <c r="E111" s="679"/>
      <c r="F111" s="680"/>
      <c r="G111" s="681"/>
      <c r="H111" s="517"/>
      <c r="I111" s="517"/>
      <c r="J111" s="517"/>
      <c r="K111" s="517"/>
      <c r="L111" s="517"/>
      <c r="M111" s="517"/>
      <c r="N111" s="517"/>
      <c r="O111" s="517"/>
      <c r="P111" s="682"/>
      <c r="Q111" s="683"/>
      <c r="R111" s="684"/>
      <c r="S111" s="685"/>
      <c r="T111" s="686"/>
      <c r="U111" s="168"/>
      <c r="V111" s="168"/>
      <c r="W111" s="168"/>
      <c r="X111" s="168"/>
      <c r="Y111" s="128"/>
      <c r="Z111" s="128"/>
      <c r="AA111" s="128"/>
      <c r="AB111" s="640"/>
      <c r="AC111" s="641"/>
      <c r="AD111" s="642"/>
      <c r="AE111" s="685"/>
      <c r="AF111" s="685"/>
      <c r="AG111" s="687"/>
      <c r="AH111" s="688"/>
      <c r="AI111" s="689"/>
      <c r="AJ111" s="690"/>
      <c r="AK111" s="691"/>
      <c r="BE111" s="692"/>
      <c r="BF111" s="692"/>
      <c r="BG111" s="692"/>
      <c r="BH111" s="692"/>
      <c r="BI111" s="692"/>
      <c r="BJ111" s="692"/>
      <c r="BK111" s="692"/>
      <c r="BL111" s="692"/>
      <c r="BM111" s="692"/>
      <c r="BN111" s="692"/>
      <c r="BO111" s="692"/>
      <c r="BP111" s="692"/>
      <c r="BQ111" s="692"/>
      <c r="BR111" s="692"/>
      <c r="BS111" s="692"/>
      <c r="BT111" s="692"/>
      <c r="BU111" s="692"/>
      <c r="BV111" s="692"/>
      <c r="BW111" s="692"/>
      <c r="BX111" s="692"/>
      <c r="BY111" s="692"/>
      <c r="BZ111" s="272"/>
      <c r="CA111" s="272"/>
      <c r="CB111" s="272"/>
      <c r="CC111" s="272"/>
      <c r="CD111" s="272"/>
      <c r="CE111" s="272"/>
      <c r="CF111" s="272"/>
      <c r="CG111" s="272"/>
      <c r="CH111" s="272"/>
      <c r="CI111" s="272"/>
    </row>
    <row r="112" spans="2:87" s="76" customFormat="1" ht="15.75" outlineLevel="1">
      <c r="B112" s="738"/>
      <c r="C112" s="693"/>
      <c r="D112" s="694"/>
      <c r="E112" s="695"/>
      <c r="F112" s="696"/>
      <c r="G112" s="697"/>
      <c r="H112" s="247"/>
      <c r="I112" s="247"/>
      <c r="J112" s="698"/>
      <c r="K112" s="247"/>
      <c r="L112" s="699"/>
      <c r="M112" s="698"/>
      <c r="N112" s="698"/>
      <c r="O112" s="247"/>
      <c r="P112" s="700"/>
      <c r="Q112" s="185"/>
      <c r="R112" s="186"/>
      <c r="S112" s="297"/>
      <c r="T112" s="188"/>
      <c r="U112" s="168"/>
      <c r="V112" s="168"/>
      <c r="W112" s="168"/>
      <c r="X112" s="168"/>
      <c r="Y112" s="128"/>
      <c r="Z112" s="128"/>
      <c r="AA112" s="128"/>
      <c r="AB112" s="640"/>
      <c r="AC112" s="641"/>
      <c r="AD112" s="642"/>
      <c r="AE112" s="685"/>
      <c r="AF112" s="685"/>
      <c r="AG112" s="639"/>
      <c r="AH112" s="701"/>
      <c r="AI112" s="702"/>
      <c r="AJ112" s="703"/>
      <c r="AK112" s="704"/>
      <c r="BE112" s="692"/>
      <c r="BF112" s="692"/>
      <c r="BG112" s="692"/>
      <c r="BH112" s="692"/>
      <c r="BI112" s="692"/>
      <c r="BJ112" s="692"/>
      <c r="BK112" s="692"/>
      <c r="BL112" s="692"/>
      <c r="BM112" s="692"/>
      <c r="BN112" s="692"/>
      <c r="BO112" s="692"/>
      <c r="BP112" s="692"/>
      <c r="BQ112" s="692"/>
      <c r="BR112" s="692"/>
      <c r="BS112" s="692"/>
      <c r="BT112" s="692"/>
      <c r="BU112" s="692"/>
      <c r="BV112" s="692"/>
      <c r="BW112" s="692"/>
      <c r="BX112" s="692"/>
      <c r="BY112" s="692"/>
      <c r="BZ112" s="272"/>
      <c r="CA112" s="272"/>
      <c r="CB112" s="272"/>
      <c r="CC112" s="272"/>
      <c r="CD112" s="272"/>
      <c r="CE112" s="272"/>
      <c r="CF112" s="272"/>
      <c r="CG112" s="272"/>
      <c r="CH112" s="272"/>
      <c r="CI112" s="272"/>
    </row>
    <row r="113" spans="2:87" s="120" customFormat="1" ht="15.75" customHeight="1">
      <c r="B113" s="1141" t="s">
        <v>3160</v>
      </c>
      <c r="C113" s="1142" t="str">
        <f>"Всего по "&amp;T113&amp;" ("&amp;$C$105&amp;"):"</f>
        <v>Всего по Вне Г.Н.П. (ВЛ-0,4 до 15 кВт (не льгота)):</v>
      </c>
      <c r="D113" s="1143"/>
      <c r="E113" s="1143"/>
      <c r="F113" s="1144">
        <f t="shared" ref="F113:P113" si="81">SUM(F114,F117)</f>
        <v>0.05</v>
      </c>
      <c r="G113" s="1145">
        <f t="shared" si="81"/>
        <v>5</v>
      </c>
      <c r="H113" s="1145">
        <f t="shared" si="81"/>
        <v>0</v>
      </c>
      <c r="I113" s="1145">
        <f t="shared" si="81"/>
        <v>0</v>
      </c>
      <c r="J113" s="1145">
        <f t="shared" si="81"/>
        <v>0</v>
      </c>
      <c r="K113" s="1145">
        <f t="shared" si="81"/>
        <v>4.69686</v>
      </c>
      <c r="L113" s="1145">
        <f t="shared" si="81"/>
        <v>0</v>
      </c>
      <c r="M113" s="1145">
        <f t="shared" si="81"/>
        <v>0</v>
      </c>
      <c r="N113" s="1145">
        <f t="shared" si="81"/>
        <v>0</v>
      </c>
      <c r="O113" s="1145">
        <f t="shared" si="81"/>
        <v>16.652810000000002</v>
      </c>
      <c r="P113" s="1145">
        <f t="shared" si="81"/>
        <v>21349.67</v>
      </c>
      <c r="Q113" s="1146"/>
      <c r="R113" s="1146"/>
      <c r="S113" s="1146"/>
      <c r="T113" s="1146" t="s">
        <v>2958</v>
      </c>
      <c r="U113" s="128"/>
      <c r="V113" s="129"/>
      <c r="W113" s="630"/>
      <c r="X113" s="631"/>
      <c r="Y113" s="632"/>
      <c r="Z113" s="633"/>
      <c r="AA113" s="128"/>
      <c r="AB113" s="634"/>
      <c r="AC113" s="635"/>
      <c r="AD113" s="636"/>
      <c r="AE113" s="637"/>
      <c r="AF113" s="638"/>
      <c r="AG113" s="639"/>
      <c r="AH113" s="640"/>
      <c r="AI113" s="641"/>
      <c r="AJ113" s="642"/>
      <c r="AK113" s="638"/>
      <c r="AN113" s="643"/>
      <c r="AT113" s="126"/>
      <c r="AU113" s="644"/>
      <c r="BE113" s="645"/>
      <c r="BF113" s="645"/>
      <c r="BG113" s="645"/>
      <c r="BH113" s="645"/>
      <c r="BI113" s="645"/>
      <c r="BJ113" s="645"/>
      <c r="BK113" s="645"/>
      <c r="BL113" s="645"/>
      <c r="BM113" s="645"/>
      <c r="BN113" s="645"/>
      <c r="BO113" s="645"/>
      <c r="BP113" s="645"/>
      <c r="BQ113" s="645"/>
      <c r="BR113" s="645"/>
      <c r="BS113" s="645"/>
      <c r="BT113" s="645"/>
      <c r="BU113" s="645"/>
      <c r="BV113" s="645"/>
      <c r="BW113" s="645"/>
      <c r="BX113" s="645"/>
      <c r="BY113" s="645"/>
      <c r="BZ113" s="646"/>
      <c r="CA113" s="646"/>
      <c r="CB113" s="646"/>
      <c r="CC113" s="646"/>
      <c r="CD113" s="646"/>
      <c r="CE113" s="646"/>
      <c r="CF113" s="646"/>
      <c r="CG113" s="646"/>
      <c r="CH113" s="646"/>
      <c r="CI113" s="646"/>
    </row>
    <row r="114" spans="2:87" s="120" customFormat="1" ht="30">
      <c r="B114" s="1147" t="s">
        <v>3161</v>
      </c>
      <c r="C114" s="1148" t="str">
        <f>"Всего по "&amp;T113&amp;" "&amp;T114&amp;" ("&amp;$C$105&amp;"):"</f>
        <v>Всего по Вне Г.Н.П. Изолир. алюм. до 50 мм (ВЛ-0,4 до 15 кВт (не льгота)):</v>
      </c>
      <c r="D114" s="1148"/>
      <c r="E114" s="1148"/>
      <c r="F114" s="1149">
        <f t="shared" ref="F114:P114" si="82">SUM(F115:F116)</f>
        <v>0.05</v>
      </c>
      <c r="G114" s="1150">
        <f t="shared" si="82"/>
        <v>5</v>
      </c>
      <c r="H114" s="1150">
        <f t="shared" si="82"/>
        <v>0</v>
      </c>
      <c r="I114" s="1150">
        <f t="shared" si="82"/>
        <v>0</v>
      </c>
      <c r="J114" s="1150">
        <f t="shared" si="82"/>
        <v>0</v>
      </c>
      <c r="K114" s="1150">
        <f t="shared" si="82"/>
        <v>4.69686</v>
      </c>
      <c r="L114" s="1150">
        <f t="shared" si="82"/>
        <v>0</v>
      </c>
      <c r="M114" s="1150">
        <f t="shared" si="82"/>
        <v>0</v>
      </c>
      <c r="N114" s="1150">
        <f t="shared" si="82"/>
        <v>0</v>
      </c>
      <c r="O114" s="1150">
        <f t="shared" si="82"/>
        <v>16.652810000000002</v>
      </c>
      <c r="P114" s="1150">
        <f t="shared" si="82"/>
        <v>21349.67</v>
      </c>
      <c r="Q114" s="1151"/>
      <c r="R114" s="1151"/>
      <c r="S114" s="1151"/>
      <c r="T114" s="1151" t="s">
        <v>2962</v>
      </c>
      <c r="U114" s="128"/>
      <c r="V114" s="129"/>
      <c r="W114" s="630"/>
      <c r="X114" s="631"/>
      <c r="Y114" s="632"/>
      <c r="Z114" s="633"/>
      <c r="AA114" s="128"/>
      <c r="AB114" s="634"/>
      <c r="AC114" s="635"/>
      <c r="AD114" s="636"/>
      <c r="AE114" s="637"/>
      <c r="AF114" s="638"/>
      <c r="AG114" s="639"/>
      <c r="AH114" s="640"/>
      <c r="AI114" s="641"/>
      <c r="AJ114" s="642"/>
      <c r="AK114" s="638"/>
      <c r="AN114" s="643"/>
      <c r="AT114" s="126"/>
      <c r="AU114" s="644"/>
      <c r="BC114" s="120" t="str">
        <f>[24]Прил.1!$F$13</f>
        <v>до 50 вкл.</v>
      </c>
      <c r="BD114" s="368" t="str">
        <f>CONCATENATE($BC$1,"; ",$BC$4,"; ",$BD$1,"; ",$BD$3,"; ",BC114)</f>
        <v>0,4 кВ; Вне Г.Н.П.; изолированный; алюминевый; до 50 вкл.</v>
      </c>
      <c r="BE114" s="645"/>
      <c r="BF114" s="645"/>
      <c r="BG114" s="645"/>
      <c r="BH114" s="645"/>
      <c r="BI114" s="645"/>
      <c r="BJ114" s="645"/>
      <c r="BK114" s="645"/>
      <c r="BL114" s="645"/>
      <c r="BM114" s="645"/>
      <c r="BN114" s="645"/>
      <c r="BO114" s="645"/>
      <c r="BP114" s="645"/>
      <c r="BQ114" s="645"/>
      <c r="BR114" s="645"/>
      <c r="BS114" s="645"/>
      <c r="BT114" s="645"/>
      <c r="BU114" s="645"/>
      <c r="BV114" s="645"/>
      <c r="BW114" s="645"/>
      <c r="BX114" s="645"/>
      <c r="BY114" s="645"/>
      <c r="BZ114" s="646"/>
      <c r="CA114" s="646"/>
      <c r="CB114" s="646"/>
      <c r="CC114" s="646"/>
      <c r="CD114" s="646"/>
      <c r="CE114" s="646"/>
      <c r="CF114" s="646"/>
      <c r="CG114" s="646"/>
      <c r="CH114" s="646"/>
      <c r="CI114" s="646"/>
    </row>
    <row r="115" spans="2:87" ht="22.5" outlineLevel="1">
      <c r="B115" s="647">
        <v>1</v>
      </c>
      <c r="C115" s="648" t="s">
        <v>3162</v>
      </c>
      <c r="D115" s="649" t="str">
        <f>IF(AF115=0,"",AF115)</f>
        <v>1кв 2015</v>
      </c>
      <c r="E115" s="650">
        <v>0.4</v>
      </c>
      <c r="F115" s="743">
        <v>0.05</v>
      </c>
      <c r="G115" s="652">
        <v>5</v>
      </c>
      <c r="H115" s="761">
        <v>0</v>
      </c>
      <c r="I115" s="761">
        <v>0</v>
      </c>
      <c r="J115" s="761"/>
      <c r="K115" s="761">
        <f>4696.86/1000</f>
        <v>4.69686</v>
      </c>
      <c r="L115" s="761"/>
      <c r="M115" s="761"/>
      <c r="N115" s="761"/>
      <c r="O115" s="761">
        <f>16652.81/1000</f>
        <v>16.652810000000002</v>
      </c>
      <c r="P115" s="654">
        <v>21349.67</v>
      </c>
      <c r="Q115" s="762"/>
      <c r="R115" s="656" t="s">
        <v>2595</v>
      </c>
      <c r="S115" s="657" t="s">
        <v>3163</v>
      </c>
      <c r="T115" s="657" t="s">
        <v>2565</v>
      </c>
      <c r="U115" s="602" t="s">
        <v>2946</v>
      </c>
      <c r="V115" s="744"/>
      <c r="W115" s="744" t="s">
        <v>3008</v>
      </c>
      <c r="X115" s="602" t="s">
        <v>2947</v>
      </c>
      <c r="Y115" s="582" t="str">
        <f>IF(X115="","",$C$105)</f>
        <v>ВЛ-0,4 до 15 кВт (не льгота)</v>
      </c>
      <c r="Z115" s="582" t="e">
        <f>IF(X115="","",CONCATENATE(Y115,"-",X115,"; ",#REF!))</f>
        <v>#REF!</v>
      </c>
      <c r="AA115" s="582"/>
      <c r="AB115" s="659">
        <f>O115*1000</f>
        <v>16652.810000000001</v>
      </c>
      <c r="AC115" s="660">
        <f>(I115+H115)*1000</f>
        <v>0</v>
      </c>
      <c r="AD115" s="661">
        <f>K115*1000</f>
        <v>4696.8599999999997</v>
      </c>
      <c r="AE115" s="662">
        <f>AB115+AC115+AD115</f>
        <v>21349.670000000002</v>
      </c>
      <c r="AF115" s="662" t="s">
        <v>2966</v>
      </c>
      <c r="AG115" s="663">
        <f>IF($AF115="1кв 2015",3.67,IF($AF115="2кв 2015",3.67,IF($AF115="3кв 2015",3.8,IF($AF115="4кв 2015",3.87,"не совпадает"))))</f>
        <v>3.67</v>
      </c>
      <c r="AH115" s="664">
        <f>IF(ISERROR(AB115/$AG115),"",AB115/$AG115)</f>
        <v>4537.5504087193467</v>
      </c>
      <c r="AI115" s="665">
        <f>IF(ISERROR(AC115/$AG115),"",AC115/$AG115)</f>
        <v>0</v>
      </c>
      <c r="AJ115" s="666">
        <f>IF(ISERROR(AD115/$AG115),"",AD115/$AG115)</f>
        <v>1279.7983651226157</v>
      </c>
      <c r="AK115" s="667">
        <f>SUM(AH115,AI115,AJ115)</f>
        <v>5817.3487738419626</v>
      </c>
      <c r="AN115" s="763" t="e">
        <f>#REF!</f>
        <v>#REF!</v>
      </c>
      <c r="AO115" s="764" t="e">
        <f>AN115*F115*$AO$6</f>
        <v>#REF!</v>
      </c>
      <c r="AP115" s="764" t="e">
        <f>AO115/F115</f>
        <v>#REF!</v>
      </c>
      <c r="AQ115" s="765"/>
      <c r="AR115" s="606"/>
      <c r="AS115" s="600">
        <v>1</v>
      </c>
      <c r="AT115" s="600">
        <v>2</v>
      </c>
      <c r="AZ115" s="600">
        <f>IF(B115="","",IF(P115=SUM(H115,I115,K115,O115),"ИСТИНА",P115-SUM(H115,I115,K115,O115)))</f>
        <v>21328.320329999999</v>
      </c>
      <c r="BA115" s="668" t="s">
        <v>3164</v>
      </c>
    </row>
    <row r="116" spans="2:87" s="76" customFormat="1" ht="15.75" outlineLevel="1">
      <c r="B116" s="676"/>
      <c r="C116" s="693"/>
      <c r="D116" s="694"/>
      <c r="E116" s="695"/>
      <c r="F116" s="696"/>
      <c r="G116" s="697"/>
      <c r="H116" s="247"/>
      <c r="I116" s="247"/>
      <c r="J116" s="698"/>
      <c r="K116" s="247"/>
      <c r="L116" s="699"/>
      <c r="M116" s="698"/>
      <c r="N116" s="698"/>
      <c r="O116" s="247"/>
      <c r="P116" s="700"/>
      <c r="Q116" s="185"/>
      <c r="R116" s="186"/>
      <c r="S116" s="297"/>
      <c r="T116" s="188"/>
      <c r="U116" s="168"/>
      <c r="V116" s="168"/>
      <c r="W116" s="168"/>
      <c r="X116" s="168"/>
      <c r="Y116" s="128"/>
      <c r="Z116" s="128"/>
      <c r="AA116" s="128"/>
      <c r="AB116" s="640"/>
      <c r="AC116" s="641"/>
      <c r="AD116" s="642"/>
      <c r="AE116" s="685"/>
      <c r="AF116" s="685"/>
      <c r="AG116" s="639"/>
      <c r="AH116" s="701"/>
      <c r="AI116" s="702"/>
      <c r="AJ116" s="703"/>
      <c r="AK116" s="704"/>
      <c r="BE116" s="692"/>
      <c r="BF116" s="692"/>
      <c r="BG116" s="692"/>
      <c r="BH116" s="692"/>
      <c r="BI116" s="692"/>
      <c r="BJ116" s="692"/>
      <c r="BK116" s="692"/>
      <c r="BL116" s="692"/>
      <c r="BM116" s="692"/>
      <c r="BN116" s="692"/>
      <c r="BO116" s="692"/>
      <c r="BP116" s="692"/>
      <c r="BQ116" s="692"/>
      <c r="BR116" s="692"/>
      <c r="BS116" s="692"/>
      <c r="BT116" s="692"/>
      <c r="BU116" s="692"/>
      <c r="BV116" s="692"/>
      <c r="BW116" s="692"/>
      <c r="BX116" s="692"/>
      <c r="BY116" s="692"/>
      <c r="BZ116" s="272"/>
      <c r="CA116" s="272"/>
      <c r="CB116" s="272"/>
      <c r="CC116" s="272"/>
      <c r="CD116" s="272"/>
      <c r="CE116" s="272"/>
      <c r="CF116" s="272"/>
      <c r="CG116" s="272"/>
      <c r="CH116" s="272"/>
      <c r="CI116" s="272"/>
    </row>
    <row r="117" spans="2:87" s="120" customFormat="1" ht="30">
      <c r="B117" s="675" t="s">
        <v>3165</v>
      </c>
      <c r="C117" s="1148" t="str">
        <f>"Всего по "&amp;T113&amp;" "&amp;T117&amp;" ("&amp;$C$105&amp;"):"</f>
        <v>Всего по Вне Г.Н.П. Изолир. алюм. 50-100 мм (ВЛ-0,4 до 15 кВт (не льгота)):</v>
      </c>
      <c r="D117" s="1148"/>
      <c r="E117" s="1148"/>
      <c r="F117" s="1149">
        <f>SUM(F118:F119)</f>
        <v>0</v>
      </c>
      <c r="G117" s="1150">
        <f t="shared" ref="G117:P117" si="83">SUM(G118:G119)</f>
        <v>0</v>
      </c>
      <c r="H117" s="1150">
        <f t="shared" si="83"/>
        <v>0</v>
      </c>
      <c r="I117" s="1150">
        <f t="shared" si="83"/>
        <v>0</v>
      </c>
      <c r="J117" s="1150">
        <f t="shared" si="83"/>
        <v>0</v>
      </c>
      <c r="K117" s="1150">
        <f t="shared" si="83"/>
        <v>0</v>
      </c>
      <c r="L117" s="1150">
        <f t="shared" si="83"/>
        <v>0</v>
      </c>
      <c r="M117" s="1150">
        <f t="shared" si="83"/>
        <v>0</v>
      </c>
      <c r="N117" s="1150">
        <f t="shared" si="83"/>
        <v>0</v>
      </c>
      <c r="O117" s="1150">
        <f t="shared" si="83"/>
        <v>0</v>
      </c>
      <c r="P117" s="1150">
        <f t="shared" si="83"/>
        <v>0</v>
      </c>
      <c r="Q117" s="1151"/>
      <c r="R117" s="1151"/>
      <c r="S117" s="1151"/>
      <c r="T117" s="1151" t="s">
        <v>3005</v>
      </c>
      <c r="U117" s="128"/>
      <c r="V117" s="129"/>
      <c r="W117" s="630"/>
      <c r="X117" s="631"/>
      <c r="Y117" s="632"/>
      <c r="Z117" s="633"/>
      <c r="AA117" s="128"/>
      <c r="AB117" s="634"/>
      <c r="AC117" s="635"/>
      <c r="AD117" s="636"/>
      <c r="AE117" s="637"/>
      <c r="AF117" s="638"/>
      <c r="AG117" s="639"/>
      <c r="AH117" s="640"/>
      <c r="AI117" s="641"/>
      <c r="AJ117" s="642"/>
      <c r="AK117" s="638"/>
      <c r="AN117" s="643"/>
      <c r="AT117" s="126"/>
      <c r="AU117" s="644"/>
      <c r="BC117" s="120" t="str">
        <f>[24]Прил.1!$F$14</f>
        <v>50 - 100</v>
      </c>
      <c r="BD117" s="368" t="str">
        <f>CONCATENATE($BC$1,"; ",$BC$4,"; ",$BD$1,"; ",$BD$3,"; ",BC117)</f>
        <v>0,4 кВ; Вне Г.Н.П.; изолированный; алюминевый; 50 - 100</v>
      </c>
      <c r="BE117" s="645"/>
      <c r="BF117" s="645"/>
      <c r="BG117" s="645"/>
      <c r="BH117" s="645"/>
      <c r="BI117" s="645"/>
      <c r="BJ117" s="645"/>
      <c r="BK117" s="645"/>
      <c r="BL117" s="645"/>
      <c r="BM117" s="645"/>
      <c r="BN117" s="645"/>
      <c r="BO117" s="645"/>
      <c r="BP117" s="645"/>
      <c r="BQ117" s="645"/>
      <c r="BR117" s="645"/>
      <c r="BS117" s="645"/>
      <c r="BT117" s="645"/>
      <c r="BU117" s="645"/>
      <c r="BV117" s="645"/>
      <c r="BW117" s="645"/>
      <c r="BX117" s="645"/>
      <c r="BY117" s="645"/>
      <c r="BZ117" s="646"/>
      <c r="CA117" s="646"/>
      <c r="CB117" s="646"/>
      <c r="CC117" s="646"/>
      <c r="CD117" s="646"/>
      <c r="CE117" s="646"/>
      <c r="CF117" s="646"/>
      <c r="CG117" s="646"/>
      <c r="CH117" s="646"/>
      <c r="CI117" s="646"/>
    </row>
    <row r="118" spans="2:87" s="76" customFormat="1" ht="15.75" outlineLevel="1">
      <c r="B118" s="676"/>
      <c r="C118" s="677"/>
      <c r="D118" s="678"/>
      <c r="E118" s="679"/>
      <c r="F118" s="680"/>
      <c r="G118" s="681"/>
      <c r="H118" s="517"/>
      <c r="I118" s="517"/>
      <c r="J118" s="517"/>
      <c r="K118" s="517"/>
      <c r="L118" s="517"/>
      <c r="M118" s="517"/>
      <c r="N118" s="517"/>
      <c r="O118" s="517"/>
      <c r="P118" s="682"/>
      <c r="Q118" s="683"/>
      <c r="R118" s="684"/>
      <c r="S118" s="685"/>
      <c r="T118" s="686"/>
      <c r="U118" s="168"/>
      <c r="V118" s="168"/>
      <c r="W118" s="168"/>
      <c r="X118" s="168"/>
      <c r="Y118" s="128"/>
      <c r="Z118" s="128"/>
      <c r="AA118" s="128"/>
      <c r="AB118" s="640"/>
      <c r="AC118" s="641"/>
      <c r="AD118" s="642"/>
      <c r="AE118" s="685"/>
      <c r="AF118" s="685"/>
      <c r="AG118" s="687"/>
      <c r="AH118" s="688"/>
      <c r="AI118" s="689"/>
      <c r="AJ118" s="690"/>
      <c r="AK118" s="691"/>
      <c r="BE118" s="692"/>
      <c r="BF118" s="692"/>
      <c r="BG118" s="692"/>
      <c r="BH118" s="692"/>
      <c r="BI118" s="692"/>
      <c r="BJ118" s="692"/>
      <c r="BK118" s="692"/>
      <c r="BL118" s="692"/>
      <c r="BM118" s="692"/>
      <c r="BN118" s="692"/>
      <c r="BO118" s="692"/>
      <c r="BP118" s="692"/>
      <c r="BQ118" s="692"/>
      <c r="BR118" s="692"/>
      <c r="BS118" s="692"/>
      <c r="BT118" s="692"/>
      <c r="BU118" s="692"/>
      <c r="BV118" s="692"/>
      <c r="BW118" s="692"/>
      <c r="BX118" s="692"/>
      <c r="BY118" s="692"/>
      <c r="BZ118" s="272"/>
      <c r="CA118" s="272"/>
      <c r="CB118" s="272"/>
      <c r="CC118" s="272"/>
      <c r="CD118" s="272"/>
      <c r="CE118" s="272"/>
      <c r="CF118" s="272"/>
      <c r="CG118" s="272"/>
      <c r="CH118" s="272"/>
      <c r="CI118" s="272"/>
    </row>
    <row r="119" spans="2:87" s="76" customFormat="1" ht="15.75" outlineLevel="1">
      <c r="B119" s="179"/>
      <c r="C119" s="693"/>
      <c r="D119" s="694"/>
      <c r="E119" s="695"/>
      <c r="F119" s="696"/>
      <c r="G119" s="697"/>
      <c r="H119" s="247"/>
      <c r="I119" s="247"/>
      <c r="J119" s="698"/>
      <c r="K119" s="247"/>
      <c r="L119" s="699"/>
      <c r="M119" s="698"/>
      <c r="N119" s="698"/>
      <c r="O119" s="247"/>
      <c r="P119" s="700"/>
      <c r="Q119" s="185"/>
      <c r="R119" s="186"/>
      <c r="S119" s="297"/>
      <c r="T119" s="188"/>
      <c r="U119" s="168"/>
      <c r="V119" s="168"/>
      <c r="W119" s="168"/>
      <c r="X119" s="168"/>
      <c r="Y119" s="128"/>
      <c r="Z119" s="128"/>
      <c r="AA119" s="128"/>
      <c r="AB119" s="640"/>
      <c r="AC119" s="641"/>
      <c r="AD119" s="642"/>
      <c r="AE119" s="685"/>
      <c r="AF119" s="685"/>
      <c r="AG119" s="639"/>
      <c r="AH119" s="701"/>
      <c r="AI119" s="702"/>
      <c r="AJ119" s="703"/>
      <c r="AK119" s="704"/>
      <c r="BE119" s="692"/>
      <c r="BF119" s="692"/>
      <c r="BG119" s="692"/>
      <c r="BH119" s="692"/>
      <c r="BI119" s="692"/>
      <c r="BJ119" s="692"/>
      <c r="BK119" s="692"/>
      <c r="BL119" s="692"/>
      <c r="BM119" s="692"/>
      <c r="BN119" s="692"/>
      <c r="BO119" s="692"/>
      <c r="BP119" s="692"/>
      <c r="BQ119" s="692"/>
      <c r="BR119" s="692"/>
      <c r="BS119" s="692"/>
      <c r="BT119" s="692"/>
      <c r="BU119" s="692"/>
      <c r="BV119" s="692"/>
      <c r="BW119" s="692"/>
      <c r="BX119" s="692"/>
      <c r="BY119" s="69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</row>
    <row r="120" spans="2:87" s="770" customFormat="1" ht="18.75">
      <c r="B120" s="1161">
        <f>MAX(B106:B119)</f>
        <v>1</v>
      </c>
      <c r="C120" s="1272" t="str">
        <f>"ИТОГО по "&amp;$C$105&amp;":"</f>
        <v>ИТОГО по ВЛ-0,4 до 15 кВт (не льгота):</v>
      </c>
      <c r="D120" s="1272"/>
      <c r="E120" s="1272"/>
      <c r="F120" s="1273">
        <f>SUM(F106,F113)</f>
        <v>0.05</v>
      </c>
      <c r="G120" s="1274">
        <f t="shared" ref="G120:P120" si="84">SUM(G106,G113)</f>
        <v>5</v>
      </c>
      <c r="H120" s="1274">
        <f t="shared" si="84"/>
        <v>0</v>
      </c>
      <c r="I120" s="1274">
        <f t="shared" si="84"/>
        <v>0</v>
      </c>
      <c r="J120" s="1274">
        <f t="shared" si="84"/>
        <v>0</v>
      </c>
      <c r="K120" s="1274">
        <f t="shared" si="84"/>
        <v>4.69686</v>
      </c>
      <c r="L120" s="1274">
        <f t="shared" si="84"/>
        <v>0</v>
      </c>
      <c r="M120" s="1274">
        <f t="shared" si="84"/>
        <v>0</v>
      </c>
      <c r="N120" s="1274">
        <f t="shared" si="84"/>
        <v>0</v>
      </c>
      <c r="O120" s="1274">
        <f t="shared" si="84"/>
        <v>16.652810000000002</v>
      </c>
      <c r="P120" s="1274">
        <f t="shared" si="84"/>
        <v>21349.67</v>
      </c>
      <c r="Q120" s="1293"/>
      <c r="R120" s="1276"/>
      <c r="S120" s="1275"/>
      <c r="T120" s="1275"/>
      <c r="U120" s="168"/>
      <c r="V120" s="168"/>
      <c r="W120" s="168"/>
      <c r="X120" s="168"/>
      <c r="Y120" s="128" t="str">
        <f t="shared" ref="Y120" si="85">IF(X120="","",$C$100)</f>
        <v/>
      </c>
      <c r="Z120" s="128" t="str">
        <f>IF(X120="","",CONCATENATE(Y120,"-",X120,"; ",#REF!))</f>
        <v/>
      </c>
      <c r="AA120" s="128"/>
      <c r="AB120" s="766"/>
      <c r="AC120" s="767"/>
      <c r="AD120" s="768"/>
      <c r="AE120" s="769"/>
      <c r="AF120" s="769"/>
      <c r="AG120" s="639" t="str">
        <f t="shared" ref="AG120" si="86">IF($AF120="1кв 2014",3.58,IF($AF120="2кв 2014",3.59,IF($AF120="3кв 2014",3.67,IF($AF120="4кв 2014",3.66,"не совпадает"))))</f>
        <v>не совпадает</v>
      </c>
      <c r="AH120" s="701" t="str">
        <f t="shared" si="76"/>
        <v/>
      </c>
      <c r="AI120" s="702" t="str">
        <f t="shared" si="76"/>
        <v/>
      </c>
      <c r="AJ120" s="703" t="str">
        <f t="shared" si="76"/>
        <v/>
      </c>
      <c r="AK120" s="704">
        <f t="shared" si="52"/>
        <v>0</v>
      </c>
      <c r="AM120" s="76"/>
      <c r="AQ120" s="1293"/>
      <c r="BE120" s="771"/>
      <c r="BF120" s="771"/>
      <c r="BG120" s="771"/>
      <c r="BH120" s="771"/>
      <c r="BI120" s="771"/>
      <c r="BJ120" s="771"/>
      <c r="BK120" s="771"/>
      <c r="BL120" s="771"/>
      <c r="BM120" s="771"/>
      <c r="BN120" s="771"/>
      <c r="BO120" s="771"/>
      <c r="BP120" s="771"/>
      <c r="BQ120" s="771"/>
      <c r="BR120" s="771"/>
      <c r="BS120" s="771"/>
      <c r="BT120" s="771"/>
      <c r="BU120" s="771"/>
      <c r="BV120" s="771"/>
      <c r="BW120" s="771"/>
      <c r="BX120" s="771"/>
      <c r="BY120" s="771"/>
      <c r="BZ120" s="772"/>
      <c r="CA120" s="772"/>
      <c r="CB120" s="772"/>
      <c r="CC120" s="772"/>
      <c r="CD120" s="772"/>
      <c r="CE120" s="772"/>
      <c r="CF120" s="772"/>
      <c r="CG120" s="772"/>
      <c r="CH120" s="772"/>
      <c r="CI120" s="772"/>
    </row>
    <row r="121" spans="2:87" ht="18.75">
      <c r="B121" s="1265" t="s">
        <v>10</v>
      </c>
      <c r="C121" s="1266" t="s">
        <v>2596</v>
      </c>
      <c r="D121" s="1267"/>
      <c r="E121" s="1267"/>
      <c r="F121" s="1268">
        <f>SUM(F122,F129)</f>
        <v>0.65100000000000002</v>
      </c>
      <c r="G121" s="1269">
        <f t="shared" ref="G121:P121" si="87">SUM(G122,G129)</f>
        <v>15</v>
      </c>
      <c r="H121" s="1269">
        <f t="shared" si="87"/>
        <v>0</v>
      </c>
      <c r="I121" s="1269">
        <f t="shared" si="87"/>
        <v>0</v>
      </c>
      <c r="J121" s="1269">
        <f t="shared" si="87"/>
        <v>0</v>
      </c>
      <c r="K121" s="1269">
        <f t="shared" si="87"/>
        <v>401.13386000000003</v>
      </c>
      <c r="L121" s="1269">
        <f t="shared" si="87"/>
        <v>0</v>
      </c>
      <c r="M121" s="1269">
        <f t="shared" si="87"/>
        <v>0</v>
      </c>
      <c r="N121" s="1269">
        <f t="shared" si="87"/>
        <v>0</v>
      </c>
      <c r="O121" s="1269">
        <f t="shared" si="87"/>
        <v>668.95130599999993</v>
      </c>
      <c r="P121" s="1269">
        <f t="shared" si="87"/>
        <v>1070085.1660000002</v>
      </c>
      <c r="Q121" s="1267"/>
      <c r="R121" s="1267"/>
      <c r="S121" s="1267"/>
      <c r="T121" s="1270"/>
      <c r="U121" s="620"/>
      <c r="V121" s="620"/>
      <c r="W121" s="620"/>
      <c r="Y121" s="582" t="str">
        <f>IF(X121="","",$C$121)</f>
        <v/>
      </c>
      <c r="Z121" s="582" t="str">
        <f>IF(X121="","",CONCATENATE(Y121,"-",X121,"; ",#REF!))</f>
        <v/>
      </c>
      <c r="AA121" s="582"/>
      <c r="AB121" s="659"/>
      <c r="AC121" s="660"/>
      <c r="AD121" s="661"/>
      <c r="AE121" s="662"/>
      <c r="AF121" s="662"/>
      <c r="AG121" s="663" t="str">
        <f t="shared" si="54"/>
        <v>не совпадает</v>
      </c>
      <c r="AH121" s="664" t="str">
        <f t="shared" si="76"/>
        <v/>
      </c>
      <c r="AI121" s="665" t="str">
        <f t="shared" si="76"/>
        <v/>
      </c>
      <c r="AJ121" s="666" t="str">
        <f t="shared" si="76"/>
        <v/>
      </c>
      <c r="AK121" s="667">
        <f t="shared" si="52"/>
        <v>0</v>
      </c>
      <c r="AR121" s="606"/>
      <c r="BC121" s="625" t="str">
        <f>C121</f>
        <v>ВЛ-10 до 15 кВт (не льгота)</v>
      </c>
    </row>
    <row r="122" spans="2:87" s="120" customFormat="1" ht="15.75" customHeight="1">
      <c r="B122" s="1141" t="s">
        <v>2597</v>
      </c>
      <c r="C122" s="1142" t="str">
        <f>"Всего по "&amp;T122&amp;" ("&amp;$C$121&amp;"):"</f>
        <v>Всего по Г.Н.П. (ВЛ-10 до 15 кВт (не льгота)):</v>
      </c>
      <c r="D122" s="1143"/>
      <c r="E122" s="1143"/>
      <c r="F122" s="1144">
        <f>SUM(F123,F126)</f>
        <v>0</v>
      </c>
      <c r="G122" s="1145">
        <f t="shared" ref="G122:P122" si="88">SUM(G123,G126)</f>
        <v>0</v>
      </c>
      <c r="H122" s="1145">
        <f t="shared" si="88"/>
        <v>0</v>
      </c>
      <c r="I122" s="1145">
        <f t="shared" si="88"/>
        <v>0</v>
      </c>
      <c r="J122" s="1145">
        <f t="shared" si="88"/>
        <v>0</v>
      </c>
      <c r="K122" s="1145">
        <f t="shared" si="88"/>
        <v>0</v>
      </c>
      <c r="L122" s="1145">
        <f t="shared" si="88"/>
        <v>0</v>
      </c>
      <c r="M122" s="1145">
        <f t="shared" si="88"/>
        <v>0</v>
      </c>
      <c r="N122" s="1145">
        <f t="shared" si="88"/>
        <v>0</v>
      </c>
      <c r="O122" s="1145">
        <f t="shared" si="88"/>
        <v>0</v>
      </c>
      <c r="P122" s="1145">
        <f t="shared" si="88"/>
        <v>0</v>
      </c>
      <c r="Q122" s="1146"/>
      <c r="R122" s="1146"/>
      <c r="S122" s="1146"/>
      <c r="T122" s="1146" t="s">
        <v>2956</v>
      </c>
      <c r="U122" s="128"/>
      <c r="V122" s="129"/>
      <c r="W122" s="630"/>
      <c r="X122" s="631"/>
      <c r="Y122" s="632"/>
      <c r="Z122" s="633"/>
      <c r="AA122" s="128"/>
      <c r="AB122" s="634"/>
      <c r="AC122" s="635"/>
      <c r="AD122" s="636"/>
      <c r="AE122" s="637"/>
      <c r="AF122" s="638"/>
      <c r="AG122" s="639"/>
      <c r="AH122" s="640"/>
      <c r="AI122" s="641"/>
      <c r="AJ122" s="642"/>
      <c r="AK122" s="638"/>
      <c r="AN122" s="643"/>
      <c r="AT122" s="126"/>
      <c r="AU122" s="644"/>
      <c r="BE122" s="645"/>
      <c r="BF122" s="645"/>
      <c r="BG122" s="645"/>
      <c r="BH122" s="645"/>
      <c r="BI122" s="645"/>
      <c r="BJ122" s="645"/>
      <c r="BK122" s="645"/>
      <c r="BL122" s="645"/>
      <c r="BM122" s="645"/>
      <c r="BN122" s="645"/>
      <c r="BO122" s="645"/>
      <c r="BP122" s="645"/>
      <c r="BQ122" s="645"/>
      <c r="BR122" s="645"/>
      <c r="BS122" s="645"/>
      <c r="BT122" s="645"/>
      <c r="BU122" s="645"/>
      <c r="BV122" s="645"/>
      <c r="BW122" s="645"/>
      <c r="BX122" s="645"/>
      <c r="BY122" s="645"/>
      <c r="BZ122" s="646"/>
      <c r="CA122" s="646"/>
      <c r="CB122" s="646"/>
      <c r="CC122" s="646"/>
      <c r="CD122" s="646"/>
      <c r="CE122" s="646"/>
      <c r="CF122" s="646"/>
      <c r="CG122" s="646"/>
      <c r="CH122" s="646"/>
      <c r="CI122" s="646"/>
    </row>
    <row r="123" spans="2:87" s="120" customFormat="1" ht="30">
      <c r="B123" s="1147" t="s">
        <v>2598</v>
      </c>
      <c r="C123" s="1148" t="str">
        <f>"Всего по "&amp;T122&amp;" "&amp;T123&amp;" ("&amp;$C$121&amp;"):"</f>
        <v>Всего по Г.Н.П. Изолир. алюм. до 50 мм (ВЛ-10 до 15 кВт (не льгота)):</v>
      </c>
      <c r="D123" s="1148"/>
      <c r="E123" s="1148"/>
      <c r="F123" s="1149">
        <f>SUM(F124:F125)</f>
        <v>0</v>
      </c>
      <c r="G123" s="1150">
        <f t="shared" ref="G123:P123" si="89">SUM(G124:G125)</f>
        <v>0</v>
      </c>
      <c r="H123" s="1150">
        <f t="shared" si="89"/>
        <v>0</v>
      </c>
      <c r="I123" s="1150">
        <f t="shared" si="89"/>
        <v>0</v>
      </c>
      <c r="J123" s="1150">
        <f t="shared" si="89"/>
        <v>0</v>
      </c>
      <c r="K123" s="1150">
        <f t="shared" si="89"/>
        <v>0</v>
      </c>
      <c r="L123" s="1150">
        <f t="shared" si="89"/>
        <v>0</v>
      </c>
      <c r="M123" s="1150">
        <f t="shared" si="89"/>
        <v>0</v>
      </c>
      <c r="N123" s="1150">
        <f t="shared" si="89"/>
        <v>0</v>
      </c>
      <c r="O123" s="1150">
        <f t="shared" si="89"/>
        <v>0</v>
      </c>
      <c r="P123" s="1150">
        <f t="shared" si="89"/>
        <v>0</v>
      </c>
      <c r="Q123" s="1151"/>
      <c r="R123" s="1151"/>
      <c r="S123" s="1151"/>
      <c r="T123" s="1151" t="s">
        <v>2962</v>
      </c>
      <c r="U123" s="128"/>
      <c r="V123" s="129"/>
      <c r="W123" s="630"/>
      <c r="X123" s="631"/>
      <c r="Y123" s="632"/>
      <c r="Z123" s="633"/>
      <c r="AA123" s="128"/>
      <c r="AB123" s="634"/>
      <c r="AC123" s="635"/>
      <c r="AD123" s="636"/>
      <c r="AE123" s="637"/>
      <c r="AF123" s="638"/>
      <c r="AG123" s="639"/>
      <c r="AH123" s="640"/>
      <c r="AI123" s="641"/>
      <c r="AJ123" s="642"/>
      <c r="AK123" s="638"/>
      <c r="AN123" s="643"/>
      <c r="AT123" s="126"/>
      <c r="AU123" s="644"/>
      <c r="BC123" s="120" t="str">
        <f>[24]Прил.1!$F$13</f>
        <v>до 50 вкл.</v>
      </c>
      <c r="BD123" s="368" t="str">
        <f>CONCATENATE($BC$2,"; ",$BC$3,"; ",$BD$1,"; ",$BD$3,"; ",BC123)</f>
        <v>6-10 кВ; Г.Н.П.; изолированный; алюминевый; до 50 вкл.</v>
      </c>
      <c r="BE123" s="645"/>
      <c r="BF123" s="645"/>
      <c r="BG123" s="645"/>
      <c r="BH123" s="645"/>
      <c r="BI123" s="645"/>
      <c r="BJ123" s="645"/>
      <c r="BK123" s="645"/>
      <c r="BL123" s="645"/>
      <c r="BM123" s="645"/>
      <c r="BN123" s="645"/>
      <c r="BO123" s="645"/>
      <c r="BP123" s="645"/>
      <c r="BQ123" s="645"/>
      <c r="BR123" s="645"/>
      <c r="BS123" s="645"/>
      <c r="BT123" s="645"/>
      <c r="BU123" s="645"/>
      <c r="BV123" s="645"/>
      <c r="BW123" s="645"/>
      <c r="BX123" s="645"/>
      <c r="BY123" s="645"/>
      <c r="BZ123" s="646"/>
      <c r="CA123" s="646"/>
      <c r="CB123" s="646"/>
      <c r="CC123" s="646"/>
      <c r="CD123" s="646"/>
      <c r="CE123" s="646"/>
      <c r="CF123" s="646"/>
      <c r="CG123" s="646"/>
      <c r="CH123" s="646"/>
      <c r="CI123" s="646"/>
    </row>
    <row r="124" spans="2:87" s="76" customFormat="1" ht="15.75" outlineLevel="1">
      <c r="B124" s="676"/>
      <c r="C124" s="677"/>
      <c r="D124" s="678"/>
      <c r="E124" s="679"/>
      <c r="F124" s="680"/>
      <c r="G124" s="681"/>
      <c r="H124" s="517"/>
      <c r="I124" s="517"/>
      <c r="J124" s="517"/>
      <c r="K124" s="517"/>
      <c r="L124" s="517"/>
      <c r="M124" s="517"/>
      <c r="N124" s="517"/>
      <c r="O124" s="517"/>
      <c r="P124" s="682"/>
      <c r="Q124" s="683"/>
      <c r="R124" s="684"/>
      <c r="S124" s="685"/>
      <c r="T124" s="686"/>
      <c r="U124" s="168"/>
      <c r="V124" s="168"/>
      <c r="W124" s="168"/>
      <c r="X124" s="168"/>
      <c r="Y124" s="128"/>
      <c r="Z124" s="128"/>
      <c r="AA124" s="128"/>
      <c r="AB124" s="640"/>
      <c r="AC124" s="641"/>
      <c r="AD124" s="642"/>
      <c r="AE124" s="685"/>
      <c r="AF124" s="685"/>
      <c r="AG124" s="687"/>
      <c r="AH124" s="688"/>
      <c r="AI124" s="689"/>
      <c r="AJ124" s="690"/>
      <c r="AK124" s="691"/>
      <c r="BE124" s="692"/>
      <c r="BF124" s="692"/>
      <c r="BG124" s="692"/>
      <c r="BH124" s="692"/>
      <c r="BI124" s="692"/>
      <c r="BJ124" s="692"/>
      <c r="BK124" s="692"/>
      <c r="BL124" s="692"/>
      <c r="BM124" s="692"/>
      <c r="BN124" s="692"/>
      <c r="BO124" s="692"/>
      <c r="BP124" s="692"/>
      <c r="BQ124" s="692"/>
      <c r="BR124" s="692"/>
      <c r="BS124" s="692"/>
      <c r="BT124" s="692"/>
      <c r="BU124" s="692"/>
      <c r="BV124" s="692"/>
      <c r="BW124" s="692"/>
      <c r="BX124" s="692"/>
      <c r="BY124" s="692"/>
      <c r="BZ124" s="272"/>
      <c r="CA124" s="272"/>
      <c r="CB124" s="272"/>
      <c r="CC124" s="272"/>
      <c r="CD124" s="272"/>
      <c r="CE124" s="272"/>
      <c r="CF124" s="272"/>
      <c r="CG124" s="272"/>
      <c r="CH124" s="272"/>
      <c r="CI124" s="272"/>
    </row>
    <row r="125" spans="2:87" s="76" customFormat="1" ht="15.75" outlineLevel="1">
      <c r="B125" s="676"/>
      <c r="C125" s="693"/>
      <c r="D125" s="694"/>
      <c r="E125" s="695"/>
      <c r="F125" s="696"/>
      <c r="G125" s="697"/>
      <c r="H125" s="247"/>
      <c r="I125" s="247"/>
      <c r="J125" s="698"/>
      <c r="K125" s="247"/>
      <c r="L125" s="699"/>
      <c r="M125" s="698"/>
      <c r="N125" s="698"/>
      <c r="O125" s="247"/>
      <c r="P125" s="700"/>
      <c r="Q125" s="185"/>
      <c r="R125" s="186"/>
      <c r="S125" s="297"/>
      <c r="T125" s="188"/>
      <c r="U125" s="168"/>
      <c r="V125" s="168"/>
      <c r="W125" s="168"/>
      <c r="X125" s="168"/>
      <c r="Y125" s="128"/>
      <c r="Z125" s="128"/>
      <c r="AA125" s="128"/>
      <c r="AB125" s="640"/>
      <c r="AC125" s="641"/>
      <c r="AD125" s="642"/>
      <c r="AE125" s="685"/>
      <c r="AF125" s="685"/>
      <c r="AG125" s="639"/>
      <c r="AH125" s="701"/>
      <c r="AI125" s="702"/>
      <c r="AJ125" s="703"/>
      <c r="AK125" s="704"/>
      <c r="BE125" s="692"/>
      <c r="BF125" s="692"/>
      <c r="BG125" s="692"/>
      <c r="BH125" s="692"/>
      <c r="BI125" s="692"/>
      <c r="BJ125" s="692"/>
      <c r="BK125" s="692"/>
      <c r="BL125" s="692"/>
      <c r="BM125" s="692"/>
      <c r="BN125" s="692"/>
      <c r="BO125" s="692"/>
      <c r="BP125" s="692"/>
      <c r="BQ125" s="692"/>
      <c r="BR125" s="692"/>
      <c r="BS125" s="692"/>
      <c r="BT125" s="692"/>
      <c r="BU125" s="692"/>
      <c r="BV125" s="692"/>
      <c r="BW125" s="692"/>
      <c r="BX125" s="692"/>
      <c r="BY125" s="692"/>
      <c r="BZ125" s="272"/>
      <c r="CA125" s="272"/>
      <c r="CB125" s="272"/>
      <c r="CC125" s="272"/>
      <c r="CD125" s="272"/>
      <c r="CE125" s="272"/>
      <c r="CF125" s="272"/>
      <c r="CG125" s="272"/>
      <c r="CH125" s="272"/>
      <c r="CI125" s="272"/>
    </row>
    <row r="126" spans="2:87" s="120" customFormat="1" ht="30">
      <c r="B126" s="675" t="s">
        <v>3166</v>
      </c>
      <c r="C126" s="1148" t="str">
        <f>"Всего по "&amp;T122&amp;" "&amp;T126&amp;" ("&amp;$C$121&amp;"):"</f>
        <v>Всего по Г.Н.П. Изолир. алюм. 50-100 мм (ВЛ-10 до 15 кВт (не льгота)):</v>
      </c>
      <c r="D126" s="1148"/>
      <c r="E126" s="1148"/>
      <c r="F126" s="1149">
        <f>SUM(F127:F128)</f>
        <v>0</v>
      </c>
      <c r="G126" s="1150">
        <f t="shared" ref="G126:P126" si="90">SUM(G127:G128)</f>
        <v>0</v>
      </c>
      <c r="H126" s="1150">
        <f t="shared" si="90"/>
        <v>0</v>
      </c>
      <c r="I126" s="1150">
        <f t="shared" si="90"/>
        <v>0</v>
      </c>
      <c r="J126" s="1150">
        <f t="shared" si="90"/>
        <v>0</v>
      </c>
      <c r="K126" s="1150">
        <f t="shared" si="90"/>
        <v>0</v>
      </c>
      <c r="L126" s="1150">
        <f t="shared" si="90"/>
        <v>0</v>
      </c>
      <c r="M126" s="1150">
        <f t="shared" si="90"/>
        <v>0</v>
      </c>
      <c r="N126" s="1150">
        <f t="shared" si="90"/>
        <v>0</v>
      </c>
      <c r="O126" s="1150">
        <f t="shared" si="90"/>
        <v>0</v>
      </c>
      <c r="P126" s="1150">
        <f t="shared" si="90"/>
        <v>0</v>
      </c>
      <c r="Q126" s="1151"/>
      <c r="R126" s="1151"/>
      <c r="S126" s="1151"/>
      <c r="T126" s="1151" t="s">
        <v>3005</v>
      </c>
      <c r="U126" s="128"/>
      <c r="V126" s="129"/>
      <c r="W126" s="630"/>
      <c r="X126" s="631"/>
      <c r="Y126" s="632"/>
      <c r="Z126" s="633"/>
      <c r="AA126" s="128"/>
      <c r="AB126" s="634"/>
      <c r="AC126" s="635"/>
      <c r="AD126" s="636"/>
      <c r="AE126" s="637"/>
      <c r="AF126" s="638"/>
      <c r="AG126" s="639"/>
      <c r="AH126" s="640"/>
      <c r="AI126" s="641"/>
      <c r="AJ126" s="642"/>
      <c r="AK126" s="638"/>
      <c r="AN126" s="643"/>
      <c r="AT126" s="126"/>
      <c r="AU126" s="644"/>
      <c r="BC126" s="120" t="str">
        <f>[24]Прил.1!$F$14</f>
        <v>50 - 100</v>
      </c>
      <c r="BD126" s="368" t="str">
        <f>CONCATENATE($BC$2,"; ",$BC$3,"; ",$BD$1,"; ",$BD$3,"; ",BC126)</f>
        <v>6-10 кВ; Г.Н.П.; изолированный; алюминевый; 50 - 100</v>
      </c>
      <c r="BE126" s="645"/>
      <c r="BF126" s="645"/>
      <c r="BG126" s="645"/>
      <c r="BH126" s="645"/>
      <c r="BI126" s="645"/>
      <c r="BJ126" s="645"/>
      <c r="BK126" s="645"/>
      <c r="BL126" s="645"/>
      <c r="BM126" s="645"/>
      <c r="BN126" s="645"/>
      <c r="BO126" s="645"/>
      <c r="BP126" s="645"/>
      <c r="BQ126" s="645"/>
      <c r="BR126" s="645"/>
      <c r="BS126" s="645"/>
      <c r="BT126" s="645"/>
      <c r="BU126" s="645"/>
      <c r="BV126" s="645"/>
      <c r="BW126" s="645"/>
      <c r="BX126" s="645"/>
      <c r="BY126" s="645"/>
      <c r="BZ126" s="646"/>
      <c r="CA126" s="646"/>
      <c r="CB126" s="646"/>
      <c r="CC126" s="646"/>
      <c r="CD126" s="646"/>
      <c r="CE126" s="646"/>
      <c r="CF126" s="646"/>
      <c r="CG126" s="646"/>
      <c r="CH126" s="646"/>
      <c r="CI126" s="646"/>
    </row>
    <row r="127" spans="2:87" s="76" customFormat="1" ht="15.75" outlineLevel="1">
      <c r="B127" s="676"/>
      <c r="C127" s="677"/>
      <c r="D127" s="678"/>
      <c r="E127" s="679"/>
      <c r="F127" s="680"/>
      <c r="G127" s="681"/>
      <c r="H127" s="517"/>
      <c r="I127" s="517"/>
      <c r="J127" s="517"/>
      <c r="K127" s="517"/>
      <c r="L127" s="517"/>
      <c r="M127" s="517"/>
      <c r="N127" s="517"/>
      <c r="O127" s="517"/>
      <c r="P127" s="682"/>
      <c r="Q127" s="683"/>
      <c r="R127" s="684"/>
      <c r="S127" s="685"/>
      <c r="T127" s="686"/>
      <c r="U127" s="168"/>
      <c r="V127" s="168"/>
      <c r="W127" s="168"/>
      <c r="X127" s="168"/>
      <c r="Y127" s="128"/>
      <c r="Z127" s="128"/>
      <c r="AA127" s="128"/>
      <c r="AB127" s="640"/>
      <c r="AC127" s="641"/>
      <c r="AD127" s="642"/>
      <c r="AE127" s="685"/>
      <c r="AF127" s="685"/>
      <c r="AG127" s="687"/>
      <c r="AH127" s="688"/>
      <c r="AI127" s="689"/>
      <c r="AJ127" s="690"/>
      <c r="AK127" s="691"/>
      <c r="BE127" s="692"/>
      <c r="BF127" s="692"/>
      <c r="BG127" s="692"/>
      <c r="BH127" s="692"/>
      <c r="BI127" s="692"/>
      <c r="BJ127" s="692"/>
      <c r="BK127" s="692"/>
      <c r="BL127" s="692"/>
      <c r="BM127" s="692"/>
      <c r="BN127" s="692"/>
      <c r="BO127" s="692"/>
      <c r="BP127" s="692"/>
      <c r="BQ127" s="692"/>
      <c r="BR127" s="692"/>
      <c r="BS127" s="692"/>
      <c r="BT127" s="692"/>
      <c r="BU127" s="692"/>
      <c r="BV127" s="692"/>
      <c r="BW127" s="692"/>
      <c r="BX127" s="692"/>
      <c r="BY127" s="692"/>
      <c r="BZ127" s="272"/>
      <c r="CA127" s="272"/>
      <c r="CB127" s="272"/>
      <c r="CC127" s="272"/>
      <c r="CD127" s="272"/>
      <c r="CE127" s="272"/>
      <c r="CF127" s="272"/>
      <c r="CG127" s="272"/>
      <c r="CH127" s="272"/>
      <c r="CI127" s="272"/>
    </row>
    <row r="128" spans="2:87" s="76" customFormat="1" ht="15.75" outlineLevel="1">
      <c r="B128" s="676"/>
      <c r="C128" s="693"/>
      <c r="D128" s="694"/>
      <c r="E128" s="695"/>
      <c r="F128" s="696"/>
      <c r="G128" s="697"/>
      <c r="H128" s="247"/>
      <c r="I128" s="247"/>
      <c r="J128" s="698"/>
      <c r="K128" s="247"/>
      <c r="L128" s="699"/>
      <c r="M128" s="698"/>
      <c r="N128" s="698"/>
      <c r="O128" s="247"/>
      <c r="P128" s="700"/>
      <c r="Q128" s="185"/>
      <c r="R128" s="186"/>
      <c r="S128" s="297"/>
      <c r="T128" s="188"/>
      <c r="U128" s="168"/>
      <c r="V128" s="168"/>
      <c r="W128" s="168"/>
      <c r="X128" s="168"/>
      <c r="Y128" s="128"/>
      <c r="Z128" s="128"/>
      <c r="AA128" s="128"/>
      <c r="AB128" s="640"/>
      <c r="AC128" s="641"/>
      <c r="AD128" s="642"/>
      <c r="AE128" s="685"/>
      <c r="AF128" s="685"/>
      <c r="AG128" s="639"/>
      <c r="AH128" s="701"/>
      <c r="AI128" s="702"/>
      <c r="AJ128" s="703"/>
      <c r="AK128" s="704"/>
      <c r="BE128" s="692"/>
      <c r="BF128" s="692"/>
      <c r="BG128" s="692"/>
      <c r="BH128" s="692"/>
      <c r="BI128" s="692"/>
      <c r="BJ128" s="692"/>
      <c r="BK128" s="692"/>
      <c r="BL128" s="692"/>
      <c r="BM128" s="692"/>
      <c r="BN128" s="692"/>
      <c r="BO128" s="692"/>
      <c r="BP128" s="692"/>
      <c r="BQ128" s="692"/>
      <c r="BR128" s="692"/>
      <c r="BS128" s="692"/>
      <c r="BT128" s="692"/>
      <c r="BU128" s="692"/>
      <c r="BV128" s="692"/>
      <c r="BW128" s="692"/>
      <c r="BX128" s="692"/>
      <c r="BY128" s="692"/>
      <c r="BZ128" s="272"/>
      <c r="CA128" s="272"/>
      <c r="CB128" s="272"/>
      <c r="CC128" s="272"/>
      <c r="CD128" s="272"/>
      <c r="CE128" s="272"/>
      <c r="CF128" s="272"/>
      <c r="CG128" s="272"/>
      <c r="CH128" s="272"/>
      <c r="CI128" s="272"/>
    </row>
    <row r="129" spans="2:87" s="120" customFormat="1" ht="15.75" customHeight="1">
      <c r="B129" s="1141" t="s">
        <v>3167</v>
      </c>
      <c r="C129" s="1142" t="str">
        <f>"Всего по "&amp;T129&amp;" ("&amp;$C$121&amp;"):"</f>
        <v>Всего по Вне Г.Н.П. (ВЛ-10 до 15 кВт (не льгота)):</v>
      </c>
      <c r="D129" s="1143"/>
      <c r="E129" s="1143"/>
      <c r="F129" s="1144">
        <f>SUM(F130,F133,F136)</f>
        <v>0.65100000000000002</v>
      </c>
      <c r="G129" s="1145">
        <f>SUM(G130,G133,G136)</f>
        <v>15</v>
      </c>
      <c r="H129" s="1145">
        <f t="shared" ref="H129:P129" si="91">SUM(H130,H133,H136)</f>
        <v>0</v>
      </c>
      <c r="I129" s="1145">
        <f t="shared" si="91"/>
        <v>0</v>
      </c>
      <c r="J129" s="1145">
        <f t="shared" si="91"/>
        <v>0</v>
      </c>
      <c r="K129" s="1145">
        <f t="shared" si="91"/>
        <v>401.13386000000003</v>
      </c>
      <c r="L129" s="1145">
        <f t="shared" si="91"/>
        <v>0</v>
      </c>
      <c r="M129" s="1145">
        <f t="shared" si="91"/>
        <v>0</v>
      </c>
      <c r="N129" s="1145">
        <f t="shared" si="91"/>
        <v>0</v>
      </c>
      <c r="O129" s="1145">
        <f t="shared" si="91"/>
        <v>668.95130599999993</v>
      </c>
      <c r="P129" s="1145">
        <f t="shared" si="91"/>
        <v>1070085.1660000002</v>
      </c>
      <c r="Q129" s="1146"/>
      <c r="R129" s="1146"/>
      <c r="S129" s="1146"/>
      <c r="T129" s="1146" t="s">
        <v>2958</v>
      </c>
      <c r="U129" s="128"/>
      <c r="V129" s="129"/>
      <c r="W129" s="630"/>
      <c r="X129" s="631"/>
      <c r="Y129" s="632"/>
      <c r="Z129" s="633"/>
      <c r="AA129" s="128"/>
      <c r="AB129" s="634"/>
      <c r="AC129" s="635"/>
      <c r="AD129" s="636"/>
      <c r="AE129" s="637"/>
      <c r="AF129" s="638"/>
      <c r="AG129" s="639"/>
      <c r="AH129" s="640"/>
      <c r="AI129" s="641"/>
      <c r="AJ129" s="642"/>
      <c r="AK129" s="638"/>
      <c r="AN129" s="643"/>
      <c r="AT129" s="126"/>
      <c r="AU129" s="644"/>
      <c r="BE129" s="645"/>
      <c r="BF129" s="645"/>
      <c r="BG129" s="645"/>
      <c r="BH129" s="645"/>
      <c r="BI129" s="645"/>
      <c r="BJ129" s="645"/>
      <c r="BK129" s="645"/>
      <c r="BL129" s="645"/>
      <c r="BM129" s="645"/>
      <c r="BN129" s="645"/>
      <c r="BO129" s="645"/>
      <c r="BP129" s="645"/>
      <c r="BQ129" s="645"/>
      <c r="BR129" s="645"/>
      <c r="BS129" s="645"/>
      <c r="BT129" s="645"/>
      <c r="BU129" s="645"/>
      <c r="BV129" s="645"/>
      <c r="BW129" s="645"/>
      <c r="BX129" s="645"/>
      <c r="BY129" s="645"/>
      <c r="BZ129" s="646"/>
      <c r="CA129" s="646"/>
      <c r="CB129" s="646"/>
      <c r="CC129" s="646"/>
      <c r="CD129" s="646"/>
      <c r="CE129" s="646"/>
      <c r="CF129" s="646"/>
      <c r="CG129" s="646"/>
      <c r="CH129" s="646"/>
      <c r="CI129" s="646"/>
    </row>
    <row r="130" spans="2:87" s="120" customFormat="1" ht="30">
      <c r="B130" s="675" t="s">
        <v>3168</v>
      </c>
      <c r="C130" s="1148" t="str">
        <f>"Всего по "&amp;T129&amp;" "&amp;T130&amp;" ("&amp;$C$121&amp;"):"</f>
        <v>Всего по Вне Г.Н.П. Изолир. алюм. до 50 мм (ВЛ-10 до 15 кВт (не льгота)):</v>
      </c>
      <c r="D130" s="1148"/>
      <c r="E130" s="1148"/>
      <c r="F130" s="1149">
        <f>SUM(F131:F132)</f>
        <v>0</v>
      </c>
      <c r="G130" s="1150">
        <f t="shared" ref="G130:P130" si="92">SUM(G131:G132)</f>
        <v>0</v>
      </c>
      <c r="H130" s="1150">
        <f t="shared" si="92"/>
        <v>0</v>
      </c>
      <c r="I130" s="1150">
        <f t="shared" si="92"/>
        <v>0</v>
      </c>
      <c r="J130" s="1150">
        <f t="shared" si="92"/>
        <v>0</v>
      </c>
      <c r="K130" s="1150">
        <f t="shared" si="92"/>
        <v>0</v>
      </c>
      <c r="L130" s="1150">
        <f t="shared" si="92"/>
        <v>0</v>
      </c>
      <c r="M130" s="1150">
        <f t="shared" si="92"/>
        <v>0</v>
      </c>
      <c r="N130" s="1150">
        <f t="shared" si="92"/>
        <v>0</v>
      </c>
      <c r="O130" s="1150">
        <f t="shared" si="92"/>
        <v>0</v>
      </c>
      <c r="P130" s="1150">
        <f t="shared" si="92"/>
        <v>0</v>
      </c>
      <c r="Q130" s="1151"/>
      <c r="R130" s="1151"/>
      <c r="S130" s="1151"/>
      <c r="T130" s="1151" t="s">
        <v>2962</v>
      </c>
      <c r="U130" s="128"/>
      <c r="V130" s="129"/>
      <c r="W130" s="630"/>
      <c r="X130" s="631"/>
      <c r="Y130" s="632"/>
      <c r="Z130" s="633"/>
      <c r="AA130" s="128"/>
      <c r="AB130" s="634"/>
      <c r="AC130" s="635"/>
      <c r="AD130" s="636"/>
      <c r="AE130" s="637"/>
      <c r="AF130" s="638"/>
      <c r="AG130" s="639"/>
      <c r="AH130" s="640"/>
      <c r="AI130" s="641"/>
      <c r="AJ130" s="642"/>
      <c r="AK130" s="638"/>
      <c r="AN130" s="643"/>
      <c r="AT130" s="126"/>
      <c r="AU130" s="644"/>
      <c r="BC130" s="120" t="str">
        <f>[24]Прил.1!$F$13</f>
        <v>до 50 вкл.</v>
      </c>
      <c r="BD130" s="368" t="str">
        <f>CONCATENATE($BC$2,"; ",$BC$4,"; ",$BD$1,"; ",$BD$3,"; ",BC130)</f>
        <v>6-10 кВ; Вне Г.Н.П.; изолированный; алюминевый; до 50 вкл.</v>
      </c>
      <c r="BE130" s="645"/>
      <c r="BF130" s="645"/>
      <c r="BG130" s="645"/>
      <c r="BH130" s="645"/>
      <c r="BI130" s="645"/>
      <c r="BJ130" s="645"/>
      <c r="BK130" s="645"/>
      <c r="BL130" s="645"/>
      <c r="BM130" s="645"/>
      <c r="BN130" s="645"/>
      <c r="BO130" s="645"/>
      <c r="BP130" s="645"/>
      <c r="BQ130" s="645"/>
      <c r="BR130" s="645"/>
      <c r="BS130" s="645"/>
      <c r="BT130" s="645"/>
      <c r="BU130" s="645"/>
      <c r="BV130" s="645"/>
      <c r="BW130" s="645"/>
      <c r="BX130" s="645"/>
      <c r="BY130" s="645"/>
      <c r="BZ130" s="646"/>
      <c r="CA130" s="646"/>
      <c r="CB130" s="646"/>
      <c r="CC130" s="646"/>
      <c r="CD130" s="646"/>
      <c r="CE130" s="646"/>
      <c r="CF130" s="646"/>
      <c r="CG130" s="646"/>
      <c r="CH130" s="646"/>
      <c r="CI130" s="646"/>
    </row>
    <row r="131" spans="2:87" s="76" customFormat="1" ht="15.75" outlineLevel="1">
      <c r="B131" s="676"/>
      <c r="C131" s="677"/>
      <c r="D131" s="678"/>
      <c r="E131" s="679"/>
      <c r="F131" s="680"/>
      <c r="G131" s="681"/>
      <c r="H131" s="517"/>
      <c r="I131" s="517"/>
      <c r="J131" s="517"/>
      <c r="K131" s="517"/>
      <c r="L131" s="517"/>
      <c r="M131" s="517"/>
      <c r="N131" s="517"/>
      <c r="O131" s="517"/>
      <c r="P131" s="682"/>
      <c r="Q131" s="683"/>
      <c r="R131" s="684"/>
      <c r="S131" s="685"/>
      <c r="T131" s="686"/>
      <c r="U131" s="168"/>
      <c r="V131" s="168"/>
      <c r="W131" s="168"/>
      <c r="X131" s="168"/>
      <c r="Y131" s="128"/>
      <c r="Z131" s="128"/>
      <c r="AA131" s="128"/>
      <c r="AB131" s="640"/>
      <c r="AC131" s="641"/>
      <c r="AD131" s="642"/>
      <c r="AE131" s="685"/>
      <c r="AF131" s="685"/>
      <c r="AG131" s="687"/>
      <c r="AH131" s="688"/>
      <c r="AI131" s="689"/>
      <c r="AJ131" s="690"/>
      <c r="AK131" s="691"/>
      <c r="BE131" s="692"/>
      <c r="BF131" s="692"/>
      <c r="BG131" s="692"/>
      <c r="BH131" s="692"/>
      <c r="BI131" s="692"/>
      <c r="BJ131" s="692"/>
      <c r="BK131" s="692"/>
      <c r="BL131" s="692"/>
      <c r="BM131" s="692"/>
      <c r="BN131" s="692"/>
      <c r="BO131" s="692"/>
      <c r="BP131" s="692"/>
      <c r="BQ131" s="692"/>
      <c r="BR131" s="692"/>
      <c r="BS131" s="692"/>
      <c r="BT131" s="692"/>
      <c r="BU131" s="692"/>
      <c r="BV131" s="692"/>
      <c r="BW131" s="692"/>
      <c r="BX131" s="692"/>
      <c r="BY131" s="692"/>
      <c r="BZ131" s="272"/>
      <c r="CA131" s="272"/>
      <c r="CB131" s="272"/>
      <c r="CC131" s="272"/>
      <c r="CD131" s="272"/>
      <c r="CE131" s="272"/>
      <c r="CF131" s="272"/>
      <c r="CG131" s="272"/>
      <c r="CH131" s="272"/>
      <c r="CI131" s="272"/>
    </row>
    <row r="132" spans="2:87" s="76" customFormat="1" ht="15.75" outlineLevel="1">
      <c r="B132" s="676"/>
      <c r="C132" s="693"/>
      <c r="D132" s="694"/>
      <c r="E132" s="695"/>
      <c r="F132" s="696"/>
      <c r="G132" s="697"/>
      <c r="H132" s="247"/>
      <c r="I132" s="247"/>
      <c r="J132" s="698"/>
      <c r="K132" s="247"/>
      <c r="L132" s="699"/>
      <c r="M132" s="698"/>
      <c r="N132" s="698"/>
      <c r="O132" s="247"/>
      <c r="P132" s="700"/>
      <c r="Q132" s="185"/>
      <c r="R132" s="186"/>
      <c r="S132" s="297"/>
      <c r="T132" s="188"/>
      <c r="U132" s="168"/>
      <c r="V132" s="168"/>
      <c r="W132" s="168"/>
      <c r="X132" s="168"/>
      <c r="Y132" s="128"/>
      <c r="Z132" s="128"/>
      <c r="AA132" s="128"/>
      <c r="AB132" s="640"/>
      <c r="AC132" s="641"/>
      <c r="AD132" s="642"/>
      <c r="AE132" s="685"/>
      <c r="AF132" s="685"/>
      <c r="AG132" s="639"/>
      <c r="AH132" s="701"/>
      <c r="AI132" s="702"/>
      <c r="AJ132" s="703"/>
      <c r="AK132" s="704"/>
      <c r="BE132" s="692"/>
      <c r="BF132" s="692"/>
      <c r="BG132" s="692"/>
      <c r="BH132" s="692"/>
      <c r="BI132" s="692"/>
      <c r="BJ132" s="692"/>
      <c r="BK132" s="692"/>
      <c r="BL132" s="692"/>
      <c r="BM132" s="692"/>
      <c r="BN132" s="692"/>
      <c r="BO132" s="692"/>
      <c r="BP132" s="692"/>
      <c r="BQ132" s="692"/>
      <c r="BR132" s="692"/>
      <c r="BS132" s="692"/>
      <c r="BT132" s="692"/>
      <c r="BU132" s="692"/>
      <c r="BV132" s="692"/>
      <c r="BW132" s="692"/>
      <c r="BX132" s="692"/>
      <c r="BY132" s="692"/>
      <c r="BZ132" s="272"/>
      <c r="CA132" s="272"/>
      <c r="CB132" s="272"/>
      <c r="CC132" s="272"/>
      <c r="CD132" s="272"/>
      <c r="CE132" s="272"/>
      <c r="CF132" s="272"/>
      <c r="CG132" s="272"/>
      <c r="CH132" s="272"/>
      <c r="CI132" s="272"/>
    </row>
    <row r="133" spans="2:87" s="120" customFormat="1" ht="30">
      <c r="B133" s="675" t="s">
        <v>3169</v>
      </c>
      <c r="C133" s="1148" t="str">
        <f>"Всего по "&amp;T129&amp;" "&amp;T133&amp;" ("&amp;$C$121&amp;"):"</f>
        <v>Всего по Вне Г.Н.П. Изолир. алюм. 50-100 мм (ВЛ-10 до 15 кВт (не льгота)):</v>
      </c>
      <c r="D133" s="1148"/>
      <c r="E133" s="1148"/>
      <c r="F133" s="1149">
        <f>SUM(F134:F135)</f>
        <v>0</v>
      </c>
      <c r="G133" s="1150">
        <f t="shared" ref="G133:P133" si="93">SUM(G134:G135)</f>
        <v>0</v>
      </c>
      <c r="H133" s="1150">
        <f t="shared" si="93"/>
        <v>0</v>
      </c>
      <c r="I133" s="1150">
        <f t="shared" si="93"/>
        <v>0</v>
      </c>
      <c r="J133" s="1150">
        <f t="shared" si="93"/>
        <v>0</v>
      </c>
      <c r="K133" s="1150">
        <f t="shared" si="93"/>
        <v>0</v>
      </c>
      <c r="L133" s="1150">
        <f t="shared" si="93"/>
        <v>0</v>
      </c>
      <c r="M133" s="1150">
        <f t="shared" si="93"/>
        <v>0</v>
      </c>
      <c r="N133" s="1150">
        <f t="shared" si="93"/>
        <v>0</v>
      </c>
      <c r="O133" s="1150">
        <f t="shared" si="93"/>
        <v>0</v>
      </c>
      <c r="P133" s="1150">
        <f t="shared" si="93"/>
        <v>0</v>
      </c>
      <c r="Q133" s="1151"/>
      <c r="R133" s="1151"/>
      <c r="S133" s="1151"/>
      <c r="T133" s="1151" t="s">
        <v>3005</v>
      </c>
      <c r="U133" s="128"/>
      <c r="V133" s="129"/>
      <c r="W133" s="630"/>
      <c r="X133" s="631"/>
      <c r="Y133" s="632"/>
      <c r="Z133" s="633"/>
      <c r="AA133" s="128"/>
      <c r="AB133" s="634"/>
      <c r="AC133" s="635"/>
      <c r="AD133" s="636"/>
      <c r="AE133" s="637"/>
      <c r="AF133" s="638"/>
      <c r="AG133" s="639"/>
      <c r="AH133" s="640"/>
      <c r="AI133" s="641"/>
      <c r="AJ133" s="642"/>
      <c r="AK133" s="638"/>
      <c r="AN133" s="643"/>
      <c r="AT133" s="126"/>
      <c r="AU133" s="644"/>
      <c r="BC133" s="120" t="str">
        <f>[24]Прил.1!$F$14</f>
        <v>50 - 100</v>
      </c>
      <c r="BD133" s="368" t="str">
        <f>CONCATENATE($BC$2,"; ",$BC$4,"; ",$BD$1,"; ",$BD$3,"; ",BC133)</f>
        <v>6-10 кВ; Вне Г.Н.П.; изолированный; алюминевый; 50 - 100</v>
      </c>
      <c r="BE133" s="645"/>
      <c r="BF133" s="645"/>
      <c r="BG133" s="645"/>
      <c r="BH133" s="645"/>
      <c r="BI133" s="645"/>
      <c r="BJ133" s="645"/>
      <c r="BK133" s="645"/>
      <c r="BL133" s="645"/>
      <c r="BM133" s="645"/>
      <c r="BN133" s="645"/>
      <c r="BO133" s="645"/>
      <c r="BP133" s="645"/>
      <c r="BQ133" s="645"/>
      <c r="BR133" s="645"/>
      <c r="BS133" s="645"/>
      <c r="BT133" s="645"/>
      <c r="BU133" s="645"/>
      <c r="BV133" s="645"/>
      <c r="BW133" s="645"/>
      <c r="BX133" s="645"/>
      <c r="BY133" s="645"/>
      <c r="BZ133" s="646"/>
      <c r="CA133" s="646"/>
      <c r="CB133" s="646"/>
      <c r="CC133" s="646"/>
      <c r="CD133" s="646"/>
      <c r="CE133" s="646"/>
      <c r="CF133" s="646"/>
      <c r="CG133" s="646"/>
      <c r="CH133" s="646"/>
      <c r="CI133" s="646"/>
    </row>
    <row r="134" spans="2:87" s="76" customFormat="1" ht="15.75" outlineLevel="1">
      <c r="B134" s="676"/>
      <c r="C134" s="677"/>
      <c r="D134" s="678"/>
      <c r="E134" s="679"/>
      <c r="F134" s="680"/>
      <c r="G134" s="681"/>
      <c r="H134" s="517"/>
      <c r="I134" s="517"/>
      <c r="J134" s="517"/>
      <c r="K134" s="517"/>
      <c r="L134" s="517"/>
      <c r="M134" s="517"/>
      <c r="N134" s="517"/>
      <c r="O134" s="517"/>
      <c r="P134" s="682"/>
      <c r="Q134" s="683"/>
      <c r="R134" s="684"/>
      <c r="S134" s="685"/>
      <c r="T134" s="686"/>
      <c r="U134" s="168"/>
      <c r="V134" s="168"/>
      <c r="W134" s="168"/>
      <c r="X134" s="168"/>
      <c r="Y134" s="128"/>
      <c r="Z134" s="128"/>
      <c r="AA134" s="128"/>
      <c r="AB134" s="640"/>
      <c r="AC134" s="641"/>
      <c r="AD134" s="642"/>
      <c r="AE134" s="685"/>
      <c r="AF134" s="685"/>
      <c r="AG134" s="687"/>
      <c r="AH134" s="688"/>
      <c r="AI134" s="689"/>
      <c r="AJ134" s="690"/>
      <c r="AK134" s="691"/>
      <c r="BE134" s="692"/>
      <c r="BF134" s="692"/>
      <c r="BG134" s="692"/>
      <c r="BH134" s="692"/>
      <c r="BI134" s="692"/>
      <c r="BJ134" s="692"/>
      <c r="BK134" s="692"/>
      <c r="BL134" s="692"/>
      <c r="BM134" s="692"/>
      <c r="BN134" s="692"/>
      <c r="BO134" s="692"/>
      <c r="BP134" s="692"/>
      <c r="BQ134" s="692"/>
      <c r="BR134" s="692"/>
      <c r="BS134" s="692"/>
      <c r="BT134" s="692"/>
      <c r="BU134" s="692"/>
      <c r="BV134" s="692"/>
      <c r="BW134" s="692"/>
      <c r="BX134" s="692"/>
      <c r="BY134" s="692"/>
      <c r="BZ134" s="272"/>
      <c r="CA134" s="272"/>
      <c r="CB134" s="272"/>
      <c r="CC134" s="272"/>
      <c r="CD134" s="272"/>
      <c r="CE134" s="272"/>
      <c r="CF134" s="272"/>
      <c r="CG134" s="272"/>
      <c r="CH134" s="272"/>
      <c r="CI134" s="272"/>
    </row>
    <row r="135" spans="2:87" s="76" customFormat="1" ht="15.75" outlineLevel="1">
      <c r="B135" s="676"/>
      <c r="C135" s="693"/>
      <c r="D135" s="694"/>
      <c r="E135" s="695"/>
      <c r="F135" s="696"/>
      <c r="G135" s="697"/>
      <c r="H135" s="247"/>
      <c r="I135" s="247"/>
      <c r="J135" s="698"/>
      <c r="K135" s="247"/>
      <c r="L135" s="699"/>
      <c r="M135" s="698"/>
      <c r="N135" s="698"/>
      <c r="O135" s="247"/>
      <c r="P135" s="700"/>
      <c r="Q135" s="185"/>
      <c r="R135" s="186"/>
      <c r="S135" s="297"/>
      <c r="T135" s="188"/>
      <c r="U135" s="168"/>
      <c r="V135" s="168"/>
      <c r="W135" s="168"/>
      <c r="X135" s="168"/>
      <c r="Y135" s="128"/>
      <c r="Z135" s="128"/>
      <c r="AA135" s="128"/>
      <c r="AB135" s="640"/>
      <c r="AC135" s="641"/>
      <c r="AD135" s="642"/>
      <c r="AE135" s="685"/>
      <c r="AF135" s="685"/>
      <c r="AG135" s="639"/>
      <c r="AH135" s="701"/>
      <c r="AI135" s="702"/>
      <c r="AJ135" s="703"/>
      <c r="AK135" s="704"/>
      <c r="BE135" s="692"/>
      <c r="BF135" s="692"/>
      <c r="BG135" s="692"/>
      <c r="BH135" s="692"/>
      <c r="BI135" s="692"/>
      <c r="BJ135" s="692"/>
      <c r="BK135" s="692"/>
      <c r="BL135" s="692"/>
      <c r="BM135" s="692"/>
      <c r="BN135" s="692"/>
      <c r="BO135" s="692"/>
      <c r="BP135" s="692"/>
      <c r="BQ135" s="692"/>
      <c r="BR135" s="692"/>
      <c r="BS135" s="692"/>
      <c r="BT135" s="692"/>
      <c r="BU135" s="692"/>
      <c r="BV135" s="692"/>
      <c r="BW135" s="692"/>
      <c r="BX135" s="692"/>
      <c r="BY135" s="692"/>
      <c r="BZ135" s="272"/>
      <c r="CA135" s="272"/>
      <c r="CB135" s="272"/>
      <c r="CC135" s="272"/>
      <c r="CD135" s="272"/>
      <c r="CE135" s="272"/>
      <c r="CF135" s="272"/>
      <c r="CG135" s="272"/>
      <c r="CH135" s="272"/>
      <c r="CI135" s="272"/>
    </row>
    <row r="136" spans="2:87" s="120" customFormat="1" ht="30">
      <c r="B136" s="675" t="s">
        <v>3170</v>
      </c>
      <c r="C136" s="1148" t="str">
        <f>"Всего по "&amp;T129&amp;" "&amp;T136&amp;" ("&amp;$C$121&amp;"):"</f>
        <v>Всего по Вне Г.Н.П. Неизолир. сталеалюм. до 50 мм (ВЛ-10 до 15 кВт (не льгота)):</v>
      </c>
      <c r="D136" s="1148"/>
      <c r="E136" s="1148"/>
      <c r="F136" s="1149">
        <f>SUM(F137:F139)</f>
        <v>0.65100000000000002</v>
      </c>
      <c r="G136" s="1150">
        <f t="shared" ref="G136:P136" si="94">SUM(G137:G139)</f>
        <v>15</v>
      </c>
      <c r="H136" s="1150">
        <f t="shared" si="94"/>
        <v>0</v>
      </c>
      <c r="I136" s="1150">
        <f t="shared" si="94"/>
        <v>0</v>
      </c>
      <c r="J136" s="1150">
        <f t="shared" si="94"/>
        <v>0</v>
      </c>
      <c r="K136" s="1150">
        <f t="shared" si="94"/>
        <v>401.13386000000003</v>
      </c>
      <c r="L136" s="1150">
        <f t="shared" si="94"/>
        <v>0</v>
      </c>
      <c r="M136" s="1150">
        <f t="shared" si="94"/>
        <v>0</v>
      </c>
      <c r="N136" s="1150">
        <f t="shared" si="94"/>
        <v>0</v>
      </c>
      <c r="O136" s="1150">
        <f t="shared" si="94"/>
        <v>668.95130599999993</v>
      </c>
      <c r="P136" s="1150">
        <f t="shared" si="94"/>
        <v>1070085.1660000002</v>
      </c>
      <c r="Q136" s="1151"/>
      <c r="R136" s="1151"/>
      <c r="S136" s="1151"/>
      <c r="T136" s="1151" t="s">
        <v>3137</v>
      </c>
      <c r="U136" s="128"/>
      <c r="V136" s="129"/>
      <c r="W136" s="630"/>
      <c r="X136" s="631"/>
      <c r="Y136" s="632"/>
      <c r="Z136" s="633"/>
      <c r="AA136" s="128"/>
      <c r="AB136" s="634"/>
      <c r="AC136" s="635"/>
      <c r="AD136" s="636"/>
      <c r="AE136" s="637"/>
      <c r="AF136" s="638"/>
      <c r="AG136" s="639"/>
      <c r="AH136" s="640"/>
      <c r="AI136" s="641"/>
      <c r="AJ136" s="642"/>
      <c r="AK136" s="638"/>
      <c r="AN136" s="643"/>
      <c r="AT136" s="126"/>
      <c r="AU136" s="644"/>
      <c r="BC136" s="120" t="str">
        <f>[24]Прил.1!$F$13</f>
        <v>до 50 вкл.</v>
      </c>
      <c r="BD136" s="368" t="str">
        <f>CONCATENATE($BC$2,"; ",$BC$4,"; ",$BD$2,"; ",$BD$4,"; ",BC136)</f>
        <v>6-10 кВ; Вне Г.Н.П.; неизолированный; сталеалюминиевый; до 50 вкл.</v>
      </c>
      <c r="BE136" s="645"/>
      <c r="BF136" s="645"/>
      <c r="BG136" s="645"/>
      <c r="BH136" s="645"/>
      <c r="BI136" s="645"/>
      <c r="BJ136" s="645"/>
      <c r="BK136" s="645"/>
      <c r="BL136" s="645"/>
      <c r="BM136" s="645"/>
      <c r="BN136" s="645"/>
      <c r="BO136" s="645"/>
      <c r="BP136" s="645"/>
      <c r="BQ136" s="645"/>
      <c r="BR136" s="645"/>
      <c r="BS136" s="645"/>
      <c r="BT136" s="645"/>
      <c r="BU136" s="645"/>
      <c r="BV136" s="645"/>
      <c r="BW136" s="645"/>
      <c r="BX136" s="645"/>
      <c r="BY136" s="645"/>
      <c r="BZ136" s="646"/>
      <c r="CA136" s="646"/>
      <c r="CB136" s="646"/>
      <c r="CC136" s="646"/>
      <c r="CD136" s="646"/>
      <c r="CE136" s="646"/>
      <c r="CF136" s="646"/>
      <c r="CG136" s="646"/>
      <c r="CH136" s="646"/>
      <c r="CI136" s="646"/>
    </row>
    <row r="137" spans="2:87" ht="22.5" outlineLevel="1">
      <c r="B137" s="724">
        <v>1</v>
      </c>
      <c r="C137" s="648" t="s">
        <v>3171</v>
      </c>
      <c r="D137" s="649" t="str">
        <f t="shared" ref="D137:D139" si="95">IF(AF137=0,"",AF137)</f>
        <v>3кв 2015</v>
      </c>
      <c r="E137" s="650">
        <v>10</v>
      </c>
      <c r="F137" s="743">
        <v>1.4E-2</v>
      </c>
      <c r="G137" s="773">
        <v>5</v>
      </c>
      <c r="H137" s="653"/>
      <c r="I137" s="653">
        <f t="shared" ref="I137:I139" si="96">AC137/1000</f>
        <v>0</v>
      </c>
      <c r="J137" s="653"/>
      <c r="K137" s="653">
        <f t="shared" ref="K137:K139" si="97">AD137/1000</f>
        <v>122.65403000000001</v>
      </c>
      <c r="L137" s="653"/>
      <c r="M137" s="653"/>
      <c r="N137" s="653"/>
      <c r="O137" s="653">
        <f t="shared" ref="O137:O139" si="98">AB137/1000</f>
        <v>73.093075999999996</v>
      </c>
      <c r="P137" s="654">
        <v>195747.106</v>
      </c>
      <c r="Q137" s="762"/>
      <c r="R137" s="656" t="s">
        <v>2595</v>
      </c>
      <c r="S137" s="657" t="s">
        <v>1235</v>
      </c>
      <c r="T137" s="657" t="s">
        <v>2581</v>
      </c>
      <c r="U137" s="602" t="s">
        <v>2950</v>
      </c>
      <c r="V137" s="744"/>
      <c r="W137" s="744" t="s">
        <v>3008</v>
      </c>
      <c r="X137" s="602" t="s">
        <v>2947</v>
      </c>
      <c r="Y137" s="582" t="str">
        <f>IF(X137="","",$C$121)</f>
        <v>ВЛ-10 до 15 кВт (не льгота)</v>
      </c>
      <c r="Z137" s="582" t="e">
        <f>IF(X137="","",CONCATENATE(Y137,"-",X137,"; ",#REF!))</f>
        <v>#REF!</v>
      </c>
      <c r="AA137" s="582"/>
      <c r="AB137" s="669">
        <v>73093.076000000001</v>
      </c>
      <c r="AC137" s="670">
        <v>0</v>
      </c>
      <c r="AD137" s="671">
        <v>122654.03</v>
      </c>
      <c r="AE137" s="672">
        <f>AB137+AC137+AD137</f>
        <v>195747.106</v>
      </c>
      <c r="AF137" s="662" t="s">
        <v>3044</v>
      </c>
      <c r="AG137" s="663">
        <f>IF($AF137="1кв 2015",3.67,IF($AF137="2кв 2015",3.67,IF($AF137="3кв 2015",3.8,IF($AF137="4кв 2015",3.87,"не совпадает"))))</f>
        <v>3.8</v>
      </c>
      <c r="AH137" s="664">
        <f t="shared" ref="AH137:AJ139" si="99">IF(ISERROR(AB137/$AG137),"",AB137/$AG137)</f>
        <v>19235.02</v>
      </c>
      <c r="AI137" s="665">
        <f t="shared" si="99"/>
        <v>0</v>
      </c>
      <c r="AJ137" s="666">
        <f t="shared" si="99"/>
        <v>32277.376315789475</v>
      </c>
      <c r="AK137" s="667">
        <f>SUM(AH137,AI137,AJ137)</f>
        <v>51512.396315789476</v>
      </c>
      <c r="AR137" s="606"/>
      <c r="AS137" s="600">
        <v>1</v>
      </c>
      <c r="AT137" s="600">
        <v>48</v>
      </c>
      <c r="AU137" s="721" t="s">
        <v>3172</v>
      </c>
      <c r="AZ137" s="600">
        <f>IF(B137="","",IF(P137=SUM(H137,I137,K137,O137),"ИСТИНА",P137-SUM(H137,I137,K137,O137)))</f>
        <v>195551.358894</v>
      </c>
      <c r="BA137" s="603" t="s">
        <v>3173</v>
      </c>
    </row>
    <row r="138" spans="2:87" ht="22.5" outlineLevel="1">
      <c r="B138" s="724">
        <f>B137+1</f>
        <v>2</v>
      </c>
      <c r="C138" s="648" t="s">
        <v>3174</v>
      </c>
      <c r="D138" s="649" t="str">
        <f t="shared" si="95"/>
        <v>3кв 2015</v>
      </c>
      <c r="E138" s="650">
        <v>10</v>
      </c>
      <c r="F138" s="743">
        <v>0.41199999999999998</v>
      </c>
      <c r="G138" s="773">
        <v>5</v>
      </c>
      <c r="H138" s="653"/>
      <c r="I138" s="653">
        <f t="shared" si="96"/>
        <v>0</v>
      </c>
      <c r="J138" s="653"/>
      <c r="K138" s="653">
        <f t="shared" si="97"/>
        <v>143.76517000000001</v>
      </c>
      <c r="L138" s="653"/>
      <c r="M138" s="653"/>
      <c r="N138" s="653"/>
      <c r="O138" s="653">
        <f t="shared" si="98"/>
        <v>353.47735</v>
      </c>
      <c r="P138" s="654">
        <v>497242.52</v>
      </c>
      <c r="Q138" s="762"/>
      <c r="R138" s="656" t="s">
        <v>2595</v>
      </c>
      <c r="S138" s="657" t="s">
        <v>1234</v>
      </c>
      <c r="T138" s="657" t="s">
        <v>2581</v>
      </c>
      <c r="U138" s="602" t="s">
        <v>2950</v>
      </c>
      <c r="V138" s="744"/>
      <c r="W138" s="744" t="s">
        <v>3008</v>
      </c>
      <c r="X138" s="602" t="s">
        <v>2947</v>
      </c>
      <c r="Y138" s="582" t="str">
        <f>IF(X138="","",$C$121)</f>
        <v>ВЛ-10 до 15 кВт (не льгота)</v>
      </c>
      <c r="Z138" s="582" t="e">
        <f>IF(X138="","",CONCATENATE(Y138,"-",X138,"; ",#REF!))</f>
        <v>#REF!</v>
      </c>
      <c r="AA138" s="582"/>
      <c r="AB138" s="669">
        <v>353477.35</v>
      </c>
      <c r="AC138" s="670">
        <v>0</v>
      </c>
      <c r="AD138" s="671">
        <v>143765.17000000001</v>
      </c>
      <c r="AE138" s="672">
        <f>AB138+AC138+AD138</f>
        <v>497242.52</v>
      </c>
      <c r="AF138" s="662" t="s">
        <v>3044</v>
      </c>
      <c r="AG138" s="663">
        <f>IF($AF138="1кв 2015",3.67,IF($AF138="2кв 2015",3.67,IF($AF138="3кв 2015",3.8,IF($AF138="4кв 2015",3.87,"не совпадает"))))</f>
        <v>3.8</v>
      </c>
      <c r="AH138" s="664">
        <f t="shared" si="99"/>
        <v>93020.355263157893</v>
      </c>
      <c r="AI138" s="665">
        <f t="shared" si="99"/>
        <v>0</v>
      </c>
      <c r="AJ138" s="666">
        <f t="shared" si="99"/>
        <v>37832.939473684215</v>
      </c>
      <c r="AK138" s="667">
        <f>SUM(AH138,AI138,AJ138)</f>
        <v>130853.2947368421</v>
      </c>
      <c r="AR138" s="606"/>
      <c r="AS138" s="600">
        <v>1</v>
      </c>
      <c r="AT138" s="600">
        <v>49</v>
      </c>
      <c r="AU138" s="721" t="s">
        <v>3172</v>
      </c>
      <c r="AZ138" s="600">
        <f>IF(B138="","",IF(P138=SUM(H138,I138,K138,O138),"ИСТИНА",P138-SUM(H138,I138,K138,O138)))</f>
        <v>496745.27747999999</v>
      </c>
      <c r="BA138" s="603" t="s">
        <v>3175</v>
      </c>
    </row>
    <row r="139" spans="2:87" ht="22.5" outlineLevel="1">
      <c r="B139" s="774">
        <f>B138+1</f>
        <v>3</v>
      </c>
      <c r="C139" s="775" t="s">
        <v>3176</v>
      </c>
      <c r="D139" s="649" t="str">
        <f t="shared" si="95"/>
        <v>3кв 2015</v>
      </c>
      <c r="E139" s="650">
        <v>10</v>
      </c>
      <c r="F139" s="776">
        <v>0.22500000000000001</v>
      </c>
      <c r="G139" s="777">
        <v>5</v>
      </c>
      <c r="H139" s="778"/>
      <c r="I139" s="778">
        <f t="shared" si="96"/>
        <v>0</v>
      </c>
      <c r="J139" s="778"/>
      <c r="K139" s="778">
        <f t="shared" si="97"/>
        <v>134.71466000000001</v>
      </c>
      <c r="L139" s="778"/>
      <c r="M139" s="778"/>
      <c r="N139" s="778"/>
      <c r="O139" s="778">
        <f t="shared" si="98"/>
        <v>242.38087999999999</v>
      </c>
      <c r="P139" s="779">
        <v>377095.54000000004</v>
      </c>
      <c r="Q139" s="780"/>
      <c r="R139" s="781" t="s">
        <v>2595</v>
      </c>
      <c r="S139" s="782" t="s">
        <v>1236</v>
      </c>
      <c r="T139" s="782" t="s">
        <v>2581</v>
      </c>
      <c r="U139" s="602" t="s">
        <v>2950</v>
      </c>
      <c r="V139" s="744"/>
      <c r="W139" s="744" t="s">
        <v>3008</v>
      </c>
      <c r="X139" s="602" t="s">
        <v>2947</v>
      </c>
      <c r="Y139" s="582" t="str">
        <f>IF(X139="","",$C$121)</f>
        <v>ВЛ-10 до 15 кВт (не льгота)</v>
      </c>
      <c r="Z139" s="582" t="e">
        <f>IF(X139="","",CONCATENATE(Y139,"-",X139,"; ",#REF!))</f>
        <v>#REF!</v>
      </c>
      <c r="AA139" s="582"/>
      <c r="AB139" s="669">
        <v>242380.88</v>
      </c>
      <c r="AC139" s="670">
        <v>0</v>
      </c>
      <c r="AD139" s="671">
        <v>134714.66</v>
      </c>
      <c r="AE139" s="672">
        <f>AB139+AC139+AD139</f>
        <v>377095.54000000004</v>
      </c>
      <c r="AF139" s="662" t="s">
        <v>3044</v>
      </c>
      <c r="AG139" s="663">
        <f>IF($AF139="1кв 2015",3.67,IF($AF139="2кв 2015",3.67,IF($AF139="3кв 2015",3.8,IF($AF139="4кв 2015",3.87,"не совпадает"))))</f>
        <v>3.8</v>
      </c>
      <c r="AH139" s="664">
        <f t="shared" si="99"/>
        <v>63784.442105263159</v>
      </c>
      <c r="AI139" s="665">
        <f t="shared" si="99"/>
        <v>0</v>
      </c>
      <c r="AJ139" s="666">
        <f t="shared" si="99"/>
        <v>35451.226315789478</v>
      </c>
      <c r="AK139" s="667">
        <f>SUM(AH139,AI139,AJ139)</f>
        <v>99235.668421052629</v>
      </c>
      <c r="AN139" s="600">
        <v>1</v>
      </c>
      <c r="AR139" s="606"/>
      <c r="AS139" s="600">
        <v>1</v>
      </c>
      <c r="AT139" s="600">
        <v>47</v>
      </c>
      <c r="AU139" s="721" t="s">
        <v>3172</v>
      </c>
      <c r="AZ139" s="600">
        <f>IF(B139="","",IF(P139=SUM(H139,I139,K139,O139),"ИСТИНА",P139-SUM(H139,I139,K139,O139)))</f>
        <v>376718.44446000003</v>
      </c>
      <c r="BA139" s="603" t="s">
        <v>3177</v>
      </c>
    </row>
    <row r="140" spans="2:87" ht="18.75">
      <c r="B140" s="1161">
        <f>MAX(B122:B139)</f>
        <v>3</v>
      </c>
      <c r="C140" s="1294" t="str">
        <f>"ИТОГО по "&amp;$C$121&amp;":"</f>
        <v>ИТОГО по ВЛ-10 до 15 кВт (не льгота):</v>
      </c>
      <c r="D140" s="1294"/>
      <c r="E140" s="1294"/>
      <c r="F140" s="1295">
        <f>SUM(F122,F129)</f>
        <v>0.65100000000000002</v>
      </c>
      <c r="G140" s="1296">
        <f t="shared" ref="G140:P140" si="100">SUM(G122,G129)</f>
        <v>15</v>
      </c>
      <c r="H140" s="1296">
        <f t="shared" si="100"/>
        <v>0</v>
      </c>
      <c r="I140" s="1296">
        <f t="shared" si="100"/>
        <v>0</v>
      </c>
      <c r="J140" s="1296">
        <f t="shared" si="100"/>
        <v>0</v>
      </c>
      <c r="K140" s="1296">
        <f t="shared" si="100"/>
        <v>401.13386000000003</v>
      </c>
      <c r="L140" s="1296">
        <f t="shared" si="100"/>
        <v>0</v>
      </c>
      <c r="M140" s="1296">
        <f t="shared" si="100"/>
        <v>0</v>
      </c>
      <c r="N140" s="1296">
        <f t="shared" si="100"/>
        <v>0</v>
      </c>
      <c r="O140" s="1296">
        <f t="shared" si="100"/>
        <v>668.95130599999993</v>
      </c>
      <c r="P140" s="1296">
        <f t="shared" si="100"/>
        <v>1070085.1660000002</v>
      </c>
      <c r="Q140" s="1251"/>
      <c r="R140" s="1259"/>
      <c r="S140" s="1251"/>
      <c r="T140" s="1251"/>
      <c r="U140" s="737"/>
      <c r="V140" s="737"/>
      <c r="W140" s="737"/>
      <c r="Y140" s="582" t="str">
        <f t="shared" ref="Y140:Y142" si="101">IF(X140="","",$C$121)</f>
        <v/>
      </c>
      <c r="Z140" s="582" t="str">
        <f>IF(X140="","",CONCATENATE(Y140,"-",X140,"; ",#REF!))</f>
        <v/>
      </c>
      <c r="AA140" s="582"/>
      <c r="AB140" s="659"/>
      <c r="AC140" s="660"/>
      <c r="AD140" s="661"/>
      <c r="AE140" s="662"/>
      <c r="AF140" s="662"/>
      <c r="AG140" s="663" t="str">
        <f t="shared" si="54"/>
        <v>не совпадает</v>
      </c>
      <c r="AH140" s="664" t="str">
        <f t="shared" si="76"/>
        <v/>
      </c>
      <c r="AI140" s="665" t="str">
        <f t="shared" si="76"/>
        <v/>
      </c>
      <c r="AJ140" s="666" t="str">
        <f t="shared" si="76"/>
        <v/>
      </c>
      <c r="AK140" s="667">
        <f t="shared" si="52"/>
        <v>0</v>
      </c>
      <c r="AO140" s="1297">
        <f>SUM(AO121:AO139)</f>
        <v>0</v>
      </c>
      <c r="AP140" s="1297">
        <f>AO140/F140</f>
        <v>0</v>
      </c>
    </row>
    <row r="141" spans="2:87" s="757" customFormat="1" ht="21">
      <c r="B141" s="1285"/>
      <c r="C141" s="1286" t="str">
        <f>"ИТОГО ВЛ "&amp;$C$104&amp;":"</f>
        <v>ИТОГО ВЛ до 15 кВт (не льгота):</v>
      </c>
      <c r="D141" s="1286"/>
      <c r="E141" s="1286"/>
      <c r="F141" s="1287">
        <f>SUM(F120,F140)</f>
        <v>0.70100000000000007</v>
      </c>
      <c r="G141" s="1288">
        <f t="shared" ref="G141:P141" si="102">SUM(G120,G140)</f>
        <v>20</v>
      </c>
      <c r="H141" s="1288">
        <f t="shared" si="102"/>
        <v>0</v>
      </c>
      <c r="I141" s="1288">
        <f t="shared" si="102"/>
        <v>0</v>
      </c>
      <c r="J141" s="1288">
        <f t="shared" si="102"/>
        <v>0</v>
      </c>
      <c r="K141" s="1288">
        <f t="shared" si="102"/>
        <v>405.83072000000004</v>
      </c>
      <c r="L141" s="1288">
        <f t="shared" si="102"/>
        <v>0</v>
      </c>
      <c r="M141" s="1288">
        <f t="shared" si="102"/>
        <v>0</v>
      </c>
      <c r="N141" s="1288">
        <f t="shared" si="102"/>
        <v>0</v>
      </c>
      <c r="O141" s="1288">
        <f t="shared" si="102"/>
        <v>685.60411599999998</v>
      </c>
      <c r="P141" s="1288">
        <f t="shared" si="102"/>
        <v>1091434.8360000001</v>
      </c>
      <c r="Q141" s="1289"/>
      <c r="R141" s="1289"/>
      <c r="S141" s="1289"/>
      <c r="T141" s="1290"/>
      <c r="U141" s="582"/>
      <c r="V141" s="745"/>
      <c r="W141" s="746"/>
      <c r="X141" s="747"/>
      <c r="Y141" s="748" t="str">
        <f>IF(X141="","",#REF!)</f>
        <v/>
      </c>
      <c r="Z141" s="749" t="str">
        <f t="shared" ref="Z141" si="103">IF(X141="","",CONCATENATE(Y141,"-",X141,"; ",$T$81))</f>
        <v/>
      </c>
      <c r="AA141" s="582"/>
      <c r="AB141" s="750">
        <f>J141+L141+M141</f>
        <v>0</v>
      </c>
      <c r="AC141" s="751">
        <f>I141</f>
        <v>0</v>
      </c>
      <c r="AD141" s="752">
        <f>K141+H141</f>
        <v>405.83072000000004</v>
      </c>
      <c r="AE141" s="753">
        <f t="shared" ref="AE141" si="104">AB141+AC141+AD141</f>
        <v>405.83072000000004</v>
      </c>
      <c r="AF141" s="754"/>
      <c r="AG141" s="663" t="str">
        <f t="shared" si="54"/>
        <v>не совпадает</v>
      </c>
      <c r="AH141" s="732" t="str">
        <f>IF(ISERROR(AB141/$AG141),"",AB141/$AG141)</f>
        <v/>
      </c>
      <c r="AI141" s="733" t="str">
        <f>IF(ISERROR(AC141/$AG141),"",AC141/$AG141)</f>
        <v/>
      </c>
      <c r="AJ141" s="734" t="str">
        <f>IF(ISERROR(AD141/$AG141),"",AD141/$AG141)</f>
        <v/>
      </c>
      <c r="AK141" s="755">
        <f t="shared" si="52"/>
        <v>0</v>
      </c>
      <c r="AL141" s="756"/>
      <c r="AM141" s="757">
        <f>IF(P141=AE141,"Истина",P141-AE141)</f>
        <v>1091029.0052800002</v>
      </c>
      <c r="AN141" s="758"/>
      <c r="AT141" s="1291"/>
      <c r="AU141" s="1292"/>
      <c r="BE141" s="759"/>
      <c r="BF141" s="759"/>
      <c r="BG141" s="759"/>
      <c r="BH141" s="759"/>
      <c r="BI141" s="759"/>
      <c r="BJ141" s="759"/>
      <c r="BK141" s="759"/>
      <c r="BL141" s="759"/>
      <c r="BM141" s="759"/>
      <c r="BN141" s="759"/>
      <c r="BO141" s="759"/>
      <c r="BP141" s="759"/>
      <c r="BQ141" s="759"/>
      <c r="BR141" s="759"/>
      <c r="BS141" s="759"/>
      <c r="BT141" s="759"/>
      <c r="BU141" s="759"/>
      <c r="BV141" s="759"/>
      <c r="BW141" s="759"/>
      <c r="BX141" s="759"/>
      <c r="BY141" s="759"/>
      <c r="BZ141" s="760"/>
      <c r="CA141" s="760"/>
      <c r="CB141" s="760"/>
      <c r="CC141" s="760"/>
      <c r="CD141" s="760"/>
      <c r="CE141" s="760"/>
      <c r="CF141" s="760"/>
      <c r="CG141" s="760"/>
      <c r="CH141" s="760"/>
      <c r="CI141" s="760"/>
    </row>
    <row r="142" spans="2:87" ht="18.75">
      <c r="B142" s="1261" t="s">
        <v>11</v>
      </c>
      <c r="C142" s="3224" t="s">
        <v>2599</v>
      </c>
      <c r="D142" s="3225"/>
      <c r="E142" s="3225"/>
      <c r="F142" s="3225"/>
      <c r="G142" s="3225"/>
      <c r="H142" s="3225"/>
      <c r="I142" s="3225"/>
      <c r="J142" s="3225"/>
      <c r="K142" s="3225"/>
      <c r="L142" s="3225"/>
      <c r="M142" s="3225"/>
      <c r="N142" s="3225"/>
      <c r="O142" s="3225"/>
      <c r="P142" s="3225"/>
      <c r="Q142" s="3225"/>
      <c r="R142" s="3225"/>
      <c r="S142" s="3225"/>
      <c r="T142" s="3225"/>
      <c r="U142" s="783"/>
      <c r="V142" s="783"/>
      <c r="W142" s="783"/>
      <c r="Y142" s="582" t="str">
        <f t="shared" si="101"/>
        <v/>
      </c>
      <c r="Z142" s="582" t="str">
        <f>IF(X142="","",CONCATENATE(Y142,"-",X142,"; ",#REF!))</f>
        <v/>
      </c>
      <c r="AA142" s="582"/>
      <c r="AB142" s="659"/>
      <c r="AC142" s="660"/>
      <c r="AD142" s="661"/>
      <c r="AE142" s="662"/>
      <c r="AF142" s="662"/>
      <c r="AG142" s="663" t="str">
        <f t="shared" si="54"/>
        <v>не совпадает</v>
      </c>
      <c r="AH142" s="664" t="str">
        <f t="shared" si="76"/>
        <v/>
      </c>
      <c r="AI142" s="665" t="str">
        <f t="shared" si="76"/>
        <v/>
      </c>
      <c r="AJ142" s="666" t="str">
        <f t="shared" si="76"/>
        <v/>
      </c>
      <c r="AK142" s="667">
        <f t="shared" si="52"/>
        <v>0</v>
      </c>
    </row>
    <row r="143" spans="2:87" ht="18.75">
      <c r="B143" s="1265" t="s">
        <v>12</v>
      </c>
      <c r="C143" s="1266" t="s">
        <v>2600</v>
      </c>
      <c r="D143" s="1267"/>
      <c r="E143" s="1267"/>
      <c r="F143" s="1268">
        <f>SUM(F144,F151)</f>
        <v>0.17</v>
      </c>
      <c r="G143" s="1269">
        <f t="shared" ref="G143:P143" si="105">SUM(G144,G151)</f>
        <v>24</v>
      </c>
      <c r="H143" s="1269">
        <f t="shared" si="105"/>
        <v>0</v>
      </c>
      <c r="I143" s="1269">
        <f t="shared" si="105"/>
        <v>0</v>
      </c>
      <c r="J143" s="1269">
        <f t="shared" si="105"/>
        <v>0</v>
      </c>
      <c r="K143" s="1269">
        <f t="shared" si="105"/>
        <v>0.40926000000000001</v>
      </c>
      <c r="L143" s="1269">
        <f t="shared" si="105"/>
        <v>0</v>
      </c>
      <c r="M143" s="1269">
        <f t="shared" si="105"/>
        <v>0</v>
      </c>
      <c r="N143" s="1269">
        <f t="shared" si="105"/>
        <v>0</v>
      </c>
      <c r="O143" s="1269">
        <f t="shared" si="105"/>
        <v>10.50079</v>
      </c>
      <c r="P143" s="1269">
        <f t="shared" si="105"/>
        <v>10910.05</v>
      </c>
      <c r="Q143" s="1267"/>
      <c r="R143" s="1267"/>
      <c r="S143" s="1267"/>
      <c r="T143" s="1270"/>
      <c r="U143" s="620"/>
      <c r="V143" s="620"/>
      <c r="W143" s="620"/>
      <c r="Y143" s="582" t="str">
        <f>IF(X143="","",$C$143)</f>
        <v/>
      </c>
      <c r="Z143" s="582" t="str">
        <f>IF(X143="","",CONCATENATE(Y143,"-",X143,"; ",#REF!))</f>
        <v/>
      </c>
      <c r="AA143" s="582"/>
      <c r="AB143" s="659"/>
      <c r="AC143" s="660"/>
      <c r="AD143" s="661"/>
      <c r="AE143" s="662"/>
      <c r="AF143" s="662"/>
      <c r="AG143" s="663" t="str">
        <f t="shared" si="54"/>
        <v>не совпадает</v>
      </c>
      <c r="AH143" s="664" t="str">
        <f t="shared" si="76"/>
        <v/>
      </c>
      <c r="AI143" s="665" t="str">
        <f t="shared" si="76"/>
        <v/>
      </c>
      <c r="AJ143" s="666" t="str">
        <f t="shared" si="76"/>
        <v/>
      </c>
      <c r="AK143" s="667">
        <f t="shared" si="52"/>
        <v>0</v>
      </c>
      <c r="AR143" s="606"/>
      <c r="BC143" s="625" t="str">
        <f>C143</f>
        <v>ВЛ-0,4 от 15 до 150 кВт</v>
      </c>
    </row>
    <row r="144" spans="2:87" s="120" customFormat="1" ht="15.75">
      <c r="B144" s="1141" t="s">
        <v>2601</v>
      </c>
      <c r="C144" s="1142" t="str">
        <f>"Всего по "&amp;T144&amp;" ("&amp;$C$143&amp;"):"</f>
        <v>Всего по Г.Н.П. (ВЛ-0,4 от 15 до 150 кВт):</v>
      </c>
      <c r="D144" s="1143"/>
      <c r="E144" s="1143"/>
      <c r="F144" s="1144">
        <f>SUM(F145)</f>
        <v>0.17</v>
      </c>
      <c r="G144" s="1145">
        <f t="shared" ref="G144:P144" si="106">SUM(G145)</f>
        <v>24</v>
      </c>
      <c r="H144" s="1145">
        <f t="shared" si="106"/>
        <v>0</v>
      </c>
      <c r="I144" s="1145">
        <f t="shared" si="106"/>
        <v>0</v>
      </c>
      <c r="J144" s="1145">
        <f t="shared" si="106"/>
        <v>0</v>
      </c>
      <c r="K144" s="1145">
        <f t="shared" si="106"/>
        <v>0.40926000000000001</v>
      </c>
      <c r="L144" s="1145">
        <f t="shared" si="106"/>
        <v>0</v>
      </c>
      <c r="M144" s="1145">
        <f t="shared" si="106"/>
        <v>0</v>
      </c>
      <c r="N144" s="1145">
        <f t="shared" si="106"/>
        <v>0</v>
      </c>
      <c r="O144" s="1145">
        <f t="shared" si="106"/>
        <v>10.50079</v>
      </c>
      <c r="P144" s="1145">
        <f t="shared" si="106"/>
        <v>10910.05</v>
      </c>
      <c r="Q144" s="1146"/>
      <c r="R144" s="1146"/>
      <c r="S144" s="1146"/>
      <c r="T144" s="1146" t="s">
        <v>2956</v>
      </c>
      <c r="U144" s="128"/>
      <c r="V144" s="129"/>
      <c r="W144" s="630"/>
      <c r="X144" s="631"/>
      <c r="Y144" s="632"/>
      <c r="Z144" s="633"/>
      <c r="AA144" s="128"/>
      <c r="AB144" s="634"/>
      <c r="AC144" s="635"/>
      <c r="AD144" s="636"/>
      <c r="AE144" s="637"/>
      <c r="AF144" s="638"/>
      <c r="AG144" s="639"/>
      <c r="AH144" s="640"/>
      <c r="AI144" s="641"/>
      <c r="AJ144" s="642"/>
      <c r="AK144" s="638"/>
      <c r="AN144" s="643"/>
      <c r="AT144" s="784"/>
      <c r="AU144" s="644"/>
      <c r="BE144" s="645"/>
      <c r="BF144" s="645"/>
      <c r="BG144" s="645"/>
      <c r="BH144" s="645"/>
      <c r="BI144" s="645"/>
      <c r="BJ144" s="645"/>
      <c r="BK144" s="645"/>
      <c r="BL144" s="645"/>
      <c r="BM144" s="645"/>
      <c r="BN144" s="645"/>
      <c r="BO144" s="645"/>
      <c r="BP144" s="645"/>
      <c r="BQ144" s="645"/>
      <c r="BR144" s="645"/>
      <c r="BS144" s="645"/>
      <c r="BT144" s="645"/>
      <c r="BU144" s="645"/>
      <c r="BV144" s="645"/>
      <c r="BW144" s="645"/>
      <c r="BX144" s="645"/>
      <c r="BY144" s="645"/>
      <c r="BZ144" s="646"/>
      <c r="CA144" s="646"/>
      <c r="CB144" s="646"/>
      <c r="CC144" s="646"/>
      <c r="CD144" s="646"/>
      <c r="CE144" s="646"/>
      <c r="CF144" s="646"/>
      <c r="CG144" s="646"/>
      <c r="CH144" s="646"/>
      <c r="CI144" s="646"/>
    </row>
    <row r="145" spans="2:87" s="120" customFormat="1" ht="30">
      <c r="B145" s="1147" t="s">
        <v>2602</v>
      </c>
      <c r="C145" s="1148" t="str">
        <f>"Всего по "&amp;T144&amp;" "&amp;T145&amp;" ("&amp;$C$143&amp;"):"</f>
        <v>Всего по Г.Н.П. Изолир. алюм. до 50 мм (ВЛ-0,4 от 15 до 150 кВт):</v>
      </c>
      <c r="D145" s="1148"/>
      <c r="E145" s="1148"/>
      <c r="F145" s="1149">
        <f t="shared" ref="F145:P145" si="107">SUM(F146:F147)</f>
        <v>0.17</v>
      </c>
      <c r="G145" s="1150">
        <f t="shared" si="107"/>
        <v>24</v>
      </c>
      <c r="H145" s="1150">
        <f t="shared" si="107"/>
        <v>0</v>
      </c>
      <c r="I145" s="1150">
        <f t="shared" si="107"/>
        <v>0</v>
      </c>
      <c r="J145" s="1150">
        <f t="shared" si="107"/>
        <v>0</v>
      </c>
      <c r="K145" s="1150">
        <f t="shared" si="107"/>
        <v>0.40926000000000001</v>
      </c>
      <c r="L145" s="1150">
        <f t="shared" si="107"/>
        <v>0</v>
      </c>
      <c r="M145" s="1150">
        <f t="shared" si="107"/>
        <v>0</v>
      </c>
      <c r="N145" s="1150">
        <f t="shared" si="107"/>
        <v>0</v>
      </c>
      <c r="O145" s="1150">
        <f t="shared" si="107"/>
        <v>10.50079</v>
      </c>
      <c r="P145" s="1150">
        <f t="shared" si="107"/>
        <v>10910.05</v>
      </c>
      <c r="Q145" s="1151"/>
      <c r="R145" s="1151"/>
      <c r="S145" s="1151"/>
      <c r="T145" s="1151" t="s">
        <v>2962</v>
      </c>
      <c r="U145" s="128"/>
      <c r="V145" s="129"/>
      <c r="W145" s="630"/>
      <c r="X145" s="631"/>
      <c r="Y145" s="632"/>
      <c r="Z145" s="633"/>
      <c r="AA145" s="128"/>
      <c r="AB145" s="634"/>
      <c r="AC145" s="635"/>
      <c r="AD145" s="636"/>
      <c r="AE145" s="637"/>
      <c r="AF145" s="638"/>
      <c r="AG145" s="687"/>
      <c r="AH145" s="688"/>
      <c r="AI145" s="785"/>
      <c r="AJ145" s="786"/>
      <c r="AK145" s="787"/>
      <c r="AN145" s="643"/>
      <c r="AT145" s="788"/>
      <c r="AU145" s="789"/>
      <c r="BC145" s="120" t="str">
        <f>[24]Прил.1!$F$13</f>
        <v>до 50 вкл.</v>
      </c>
      <c r="BD145" s="368" t="str">
        <f>CONCATENATE($BC$1,"; ",$BC$3,"; ",$BD$1,"; ",$BD$3,"; ",BC145)</f>
        <v>0,4 кВ; Г.Н.П.; изолированный; алюминевый; до 50 вкл.</v>
      </c>
      <c r="BE145" s="645"/>
      <c r="BF145" s="645"/>
      <c r="BG145" s="645"/>
      <c r="BH145" s="645"/>
      <c r="BI145" s="645"/>
      <c r="BJ145" s="645"/>
      <c r="BK145" s="645"/>
      <c r="BL145" s="645"/>
      <c r="BM145" s="645"/>
      <c r="BN145" s="645"/>
      <c r="BO145" s="645"/>
      <c r="BP145" s="645"/>
      <c r="BQ145" s="645"/>
      <c r="BR145" s="645"/>
      <c r="BS145" s="645"/>
      <c r="BT145" s="645"/>
      <c r="BU145" s="645"/>
      <c r="BV145" s="645"/>
      <c r="BW145" s="645"/>
      <c r="BX145" s="645"/>
      <c r="BY145" s="645"/>
      <c r="BZ145" s="646"/>
      <c r="CA145" s="646"/>
      <c r="CB145" s="646"/>
      <c r="CC145" s="646"/>
      <c r="CD145" s="646"/>
      <c r="CE145" s="646"/>
      <c r="CF145" s="646"/>
      <c r="CG145" s="646"/>
      <c r="CH145" s="646"/>
      <c r="CI145" s="646"/>
    </row>
    <row r="146" spans="2:87" ht="22.5" outlineLevel="1">
      <c r="B146" s="724">
        <v>1</v>
      </c>
      <c r="C146" s="648" t="s">
        <v>3178</v>
      </c>
      <c r="D146" s="649" t="str">
        <f>IF(AF146=0,"",AF146)</f>
        <v>1кв 2015</v>
      </c>
      <c r="E146" s="650">
        <v>0.4</v>
      </c>
      <c r="F146" s="743">
        <v>0.17</v>
      </c>
      <c r="G146" s="773">
        <v>24</v>
      </c>
      <c r="H146" s="761"/>
      <c r="I146" s="761"/>
      <c r="J146" s="761"/>
      <c r="K146" s="761">
        <f>409.26/1000</f>
        <v>0.40926000000000001</v>
      </c>
      <c r="L146" s="761"/>
      <c r="M146" s="761"/>
      <c r="N146" s="761"/>
      <c r="O146" s="761">
        <f>10500.79/1000</f>
        <v>10.50079</v>
      </c>
      <c r="P146" s="654">
        <v>10910.05</v>
      </c>
      <c r="Q146" s="762"/>
      <c r="R146" s="656" t="s">
        <v>2595</v>
      </c>
      <c r="S146" s="657" t="s">
        <v>3179</v>
      </c>
      <c r="T146" s="657" t="s">
        <v>2565</v>
      </c>
      <c r="U146" s="602" t="s">
        <v>2946</v>
      </c>
      <c r="V146" s="744"/>
      <c r="W146" s="602" t="s">
        <v>2965</v>
      </c>
      <c r="X146" s="602" t="s">
        <v>2951</v>
      </c>
      <c r="Y146" s="582" t="str">
        <f>IF(X146="","",$C$143)</f>
        <v>ВЛ-0,4 от 15 до 150 кВт</v>
      </c>
      <c r="Z146" s="582" t="e">
        <f>IF(X146="","",CONCATENATE(Y146,"-",X146,"; ",#REF!))</f>
        <v>#REF!</v>
      </c>
      <c r="AA146" s="582"/>
      <c r="AB146" s="659">
        <f>O146*1000</f>
        <v>10500.79</v>
      </c>
      <c r="AC146" s="660">
        <f>(I146+H146)*1000</f>
        <v>0</v>
      </c>
      <c r="AD146" s="661">
        <f>K146*1000</f>
        <v>409.26</v>
      </c>
      <c r="AE146" s="662">
        <f>AB146+AC146+AD146</f>
        <v>10910.050000000001</v>
      </c>
      <c r="AF146" s="662" t="s">
        <v>2966</v>
      </c>
      <c r="AG146" s="663">
        <f>IF($AF146="1кв 2015",3.67,IF($AF146="2кв 2015",3.67,IF($AF146="3кв 2015",3.8,IF($AF146="4кв 2015",3.87,"не совпадает"))))</f>
        <v>3.67</v>
      </c>
      <c r="AH146" s="664">
        <f>IF(ISERROR(AB146/$AG146),"",AB146/$AG146)</f>
        <v>2861.2506811989106</v>
      </c>
      <c r="AI146" s="665">
        <f>IF(ISERROR(AC146/$AG146),"",AC146/$AG146)</f>
        <v>0</v>
      </c>
      <c r="AJ146" s="666">
        <f>IF(ISERROR(AD146/$AG146),"",AD146/$AG146)</f>
        <v>111.5149863760218</v>
      </c>
      <c r="AK146" s="667">
        <f>SUM(AH146,AI146,AJ146)</f>
        <v>2972.7656675749322</v>
      </c>
      <c r="AS146" s="600">
        <v>1</v>
      </c>
      <c r="AT146" s="600">
        <v>16</v>
      </c>
      <c r="AZ146" s="600">
        <f>IF(B146="","",IF(P146=SUM(H146,I146,K146,O146),"ИСТИНА",P146-SUM(H146,I146,K146,O146)))</f>
        <v>10899.139949999999</v>
      </c>
      <c r="BA146" s="668" t="s">
        <v>3180</v>
      </c>
    </row>
    <row r="147" spans="2:87" s="76" customFormat="1" ht="15.75" outlineLevel="1">
      <c r="B147" s="676"/>
      <c r="C147" s="693"/>
      <c r="D147" s="694"/>
      <c r="E147" s="695"/>
      <c r="F147" s="696"/>
      <c r="G147" s="697"/>
      <c r="H147" s="247"/>
      <c r="I147" s="247"/>
      <c r="J147" s="698"/>
      <c r="K147" s="247"/>
      <c r="L147" s="699"/>
      <c r="M147" s="698"/>
      <c r="N147" s="698"/>
      <c r="O147" s="247"/>
      <c r="P147" s="700"/>
      <c r="Q147" s="185"/>
      <c r="R147" s="186"/>
      <c r="S147" s="297"/>
      <c r="T147" s="188"/>
      <c r="U147" s="168"/>
      <c r="V147" s="168"/>
      <c r="W147" s="168"/>
      <c r="X147" s="168"/>
      <c r="Y147" s="128"/>
      <c r="Z147" s="128"/>
      <c r="AA147" s="128"/>
      <c r="AB147" s="640"/>
      <c r="AC147" s="641"/>
      <c r="AD147" s="642"/>
      <c r="AE147" s="685"/>
      <c r="AF147" s="685"/>
      <c r="AG147" s="639"/>
      <c r="AH147" s="701"/>
      <c r="AI147" s="702"/>
      <c r="AJ147" s="703"/>
      <c r="AK147" s="704"/>
      <c r="BE147" s="692"/>
      <c r="BF147" s="692"/>
      <c r="BG147" s="692"/>
      <c r="BH147" s="692"/>
      <c r="BI147" s="692"/>
      <c r="BJ147" s="692"/>
      <c r="BK147" s="692"/>
      <c r="BL147" s="692"/>
      <c r="BM147" s="692"/>
      <c r="BN147" s="692"/>
      <c r="BO147" s="692"/>
      <c r="BP147" s="692"/>
      <c r="BQ147" s="692"/>
      <c r="BR147" s="692"/>
      <c r="BS147" s="692"/>
      <c r="BT147" s="692"/>
      <c r="BU147" s="692"/>
      <c r="BV147" s="692"/>
      <c r="BW147" s="692"/>
      <c r="BX147" s="692"/>
      <c r="BY147" s="692"/>
      <c r="BZ147" s="272"/>
      <c r="CA147" s="272"/>
      <c r="CB147" s="272"/>
      <c r="CC147" s="272"/>
      <c r="CD147" s="272"/>
      <c r="CE147" s="272"/>
      <c r="CF147" s="272"/>
      <c r="CG147" s="272"/>
      <c r="CH147" s="272"/>
      <c r="CI147" s="272"/>
    </row>
    <row r="148" spans="2:87" s="120" customFormat="1" ht="30">
      <c r="B148" s="790" t="s">
        <v>2604</v>
      </c>
      <c r="C148" s="1148" t="str">
        <f>"Всего по "&amp;T144&amp;" "&amp;T148&amp;" ("&amp;$C$143&amp;"):"</f>
        <v>Всего по Г.Н.П. Изолир. алюм. 50-100 мм (ВЛ-0,4 от 15 до 150 кВт):</v>
      </c>
      <c r="D148" s="1148"/>
      <c r="E148" s="1148"/>
      <c r="F148" s="1149">
        <f>SUM(F149:F150)</f>
        <v>0</v>
      </c>
      <c r="G148" s="1150">
        <f t="shared" ref="G148:P148" si="108">SUM(G149:G150)</f>
        <v>0</v>
      </c>
      <c r="H148" s="1150">
        <f t="shared" si="108"/>
        <v>0</v>
      </c>
      <c r="I148" s="1150">
        <f t="shared" si="108"/>
        <v>0</v>
      </c>
      <c r="J148" s="1150">
        <f t="shared" si="108"/>
        <v>0</v>
      </c>
      <c r="K148" s="1150">
        <f t="shared" si="108"/>
        <v>0</v>
      </c>
      <c r="L148" s="1150">
        <f t="shared" si="108"/>
        <v>0</v>
      </c>
      <c r="M148" s="1150">
        <f t="shared" si="108"/>
        <v>0</v>
      </c>
      <c r="N148" s="1150">
        <f t="shared" si="108"/>
        <v>0</v>
      </c>
      <c r="O148" s="1150">
        <f t="shared" si="108"/>
        <v>0</v>
      </c>
      <c r="P148" s="1150">
        <f t="shared" si="108"/>
        <v>0</v>
      </c>
      <c r="Q148" s="1151"/>
      <c r="R148" s="1151"/>
      <c r="S148" s="1151"/>
      <c r="T148" s="1151" t="s">
        <v>3005</v>
      </c>
      <c r="U148" s="128"/>
      <c r="V148" s="129"/>
      <c r="W148" s="630"/>
      <c r="X148" s="631"/>
      <c r="Y148" s="632"/>
      <c r="Z148" s="633"/>
      <c r="AA148" s="128"/>
      <c r="AB148" s="634"/>
      <c r="AC148" s="635"/>
      <c r="AD148" s="636"/>
      <c r="AE148" s="637"/>
      <c r="AF148" s="638"/>
      <c r="AG148" s="639"/>
      <c r="AH148" s="640"/>
      <c r="AI148" s="641"/>
      <c r="AJ148" s="642"/>
      <c r="AK148" s="638"/>
      <c r="AN148" s="643"/>
      <c r="AT148" s="126"/>
      <c r="AU148" s="644"/>
      <c r="BC148" s="120" t="str">
        <f>[24]Прил.1!$F$14</f>
        <v>50 - 100</v>
      </c>
      <c r="BD148" s="368" t="str">
        <f>CONCATENATE($BC$1,"; ",$BC$3,"; ",$BD$1,"; ",$BD$3,"; ",BC148)</f>
        <v>0,4 кВ; Г.Н.П.; изолированный; алюминевый; 50 - 100</v>
      </c>
      <c r="BE148" s="645"/>
      <c r="BF148" s="645"/>
      <c r="BG148" s="645"/>
      <c r="BH148" s="645"/>
      <c r="BI148" s="645"/>
      <c r="BJ148" s="645"/>
      <c r="BK148" s="645"/>
      <c r="BL148" s="645"/>
      <c r="BM148" s="645"/>
      <c r="BN148" s="645"/>
      <c r="BO148" s="645"/>
      <c r="BP148" s="645"/>
      <c r="BQ148" s="645"/>
      <c r="BR148" s="645"/>
      <c r="BS148" s="645"/>
      <c r="BT148" s="645"/>
      <c r="BU148" s="645"/>
      <c r="BV148" s="645"/>
      <c r="BW148" s="645"/>
      <c r="BX148" s="645"/>
      <c r="BY148" s="645"/>
      <c r="BZ148" s="646"/>
      <c r="CA148" s="646"/>
      <c r="CB148" s="646"/>
      <c r="CC148" s="646"/>
      <c r="CD148" s="646"/>
      <c r="CE148" s="646"/>
      <c r="CF148" s="646"/>
      <c r="CG148" s="646"/>
      <c r="CH148" s="646"/>
      <c r="CI148" s="646"/>
    </row>
    <row r="149" spans="2:87" s="76" customFormat="1" ht="15.75" outlineLevel="1">
      <c r="B149" s="457"/>
      <c r="C149" s="677"/>
      <c r="D149" s="678"/>
      <c r="E149" s="679"/>
      <c r="F149" s="680"/>
      <c r="G149" s="681"/>
      <c r="H149" s="517"/>
      <c r="I149" s="517"/>
      <c r="J149" s="517"/>
      <c r="K149" s="517"/>
      <c r="L149" s="517"/>
      <c r="M149" s="517"/>
      <c r="N149" s="517"/>
      <c r="O149" s="517"/>
      <c r="P149" s="682"/>
      <c r="Q149" s="683"/>
      <c r="R149" s="684"/>
      <c r="S149" s="685"/>
      <c r="T149" s="686"/>
      <c r="U149" s="168"/>
      <c r="V149" s="168"/>
      <c r="W149" s="168"/>
      <c r="X149" s="168"/>
      <c r="Y149" s="128"/>
      <c r="Z149" s="128"/>
      <c r="AA149" s="128"/>
      <c r="AB149" s="640"/>
      <c r="AC149" s="641"/>
      <c r="AD149" s="642"/>
      <c r="AE149" s="685"/>
      <c r="AF149" s="685"/>
      <c r="AG149" s="687"/>
      <c r="AH149" s="688"/>
      <c r="AI149" s="689"/>
      <c r="AJ149" s="690"/>
      <c r="AK149" s="691"/>
      <c r="BE149" s="692"/>
      <c r="BF149" s="692"/>
      <c r="BG149" s="692"/>
      <c r="BH149" s="692"/>
      <c r="BI149" s="692"/>
      <c r="BJ149" s="692"/>
      <c r="BK149" s="692"/>
      <c r="BL149" s="692"/>
      <c r="BM149" s="692"/>
      <c r="BN149" s="692"/>
      <c r="BO149" s="692"/>
      <c r="BP149" s="692"/>
      <c r="BQ149" s="692"/>
      <c r="BR149" s="692"/>
      <c r="BS149" s="692"/>
      <c r="BT149" s="692"/>
      <c r="BU149" s="692"/>
      <c r="BV149" s="692"/>
      <c r="BW149" s="692"/>
      <c r="BX149" s="692"/>
      <c r="BY149" s="692"/>
      <c r="BZ149" s="272"/>
      <c r="CA149" s="272"/>
      <c r="CB149" s="272"/>
      <c r="CC149" s="272"/>
      <c r="CD149" s="272"/>
      <c r="CE149" s="272"/>
      <c r="CF149" s="272"/>
      <c r="CG149" s="272"/>
      <c r="CH149" s="272"/>
      <c r="CI149" s="272"/>
    </row>
    <row r="150" spans="2:87" s="76" customFormat="1" ht="15.75" outlineLevel="1">
      <c r="B150" s="676"/>
      <c r="C150" s="693"/>
      <c r="D150" s="694"/>
      <c r="E150" s="695"/>
      <c r="F150" s="696"/>
      <c r="G150" s="697"/>
      <c r="H150" s="247"/>
      <c r="I150" s="247"/>
      <c r="J150" s="698"/>
      <c r="K150" s="247"/>
      <c r="L150" s="699"/>
      <c r="M150" s="698"/>
      <c r="N150" s="698"/>
      <c r="O150" s="247"/>
      <c r="P150" s="700"/>
      <c r="Q150" s="185"/>
      <c r="R150" s="186"/>
      <c r="S150" s="297"/>
      <c r="T150" s="188"/>
      <c r="U150" s="168"/>
      <c r="V150" s="168"/>
      <c r="W150" s="168"/>
      <c r="X150" s="168"/>
      <c r="Y150" s="128"/>
      <c r="Z150" s="128"/>
      <c r="AA150" s="128"/>
      <c r="AB150" s="640"/>
      <c r="AC150" s="641"/>
      <c r="AD150" s="642"/>
      <c r="AE150" s="685"/>
      <c r="AF150" s="685"/>
      <c r="AG150" s="639"/>
      <c r="AH150" s="701"/>
      <c r="AI150" s="702"/>
      <c r="AJ150" s="703"/>
      <c r="AK150" s="704"/>
      <c r="BE150" s="692"/>
      <c r="BF150" s="692"/>
      <c r="BG150" s="692"/>
      <c r="BH150" s="692"/>
      <c r="BI150" s="692"/>
      <c r="BJ150" s="692"/>
      <c r="BK150" s="692"/>
      <c r="BL150" s="692"/>
      <c r="BM150" s="692"/>
      <c r="BN150" s="692"/>
      <c r="BO150" s="692"/>
      <c r="BP150" s="692"/>
      <c r="BQ150" s="692"/>
      <c r="BR150" s="692"/>
      <c r="BS150" s="692"/>
      <c r="BT150" s="692"/>
      <c r="BU150" s="692"/>
      <c r="BV150" s="692"/>
      <c r="BW150" s="692"/>
      <c r="BX150" s="692"/>
      <c r="BY150" s="692"/>
      <c r="BZ150" s="272"/>
      <c r="CA150" s="272"/>
      <c r="CB150" s="272"/>
      <c r="CC150" s="272"/>
      <c r="CD150" s="272"/>
      <c r="CE150" s="272"/>
      <c r="CF150" s="272"/>
      <c r="CG150" s="272"/>
      <c r="CH150" s="272"/>
      <c r="CI150" s="272"/>
    </row>
    <row r="151" spans="2:87" s="120" customFormat="1" ht="15.75" customHeight="1">
      <c r="B151" s="1141" t="s">
        <v>3181</v>
      </c>
      <c r="C151" s="1142" t="str">
        <f>"Всего по "&amp;T151&amp;" ("&amp;$C$143&amp;"):"</f>
        <v>Всего по Вне Г.Н.П. (ВЛ-0,4 от 15 до 150 кВт):</v>
      </c>
      <c r="D151" s="1143"/>
      <c r="E151" s="1143"/>
      <c r="F151" s="1144">
        <f t="shared" ref="F151:P151" si="109">SUM(F152,F155,F158)</f>
        <v>0</v>
      </c>
      <c r="G151" s="1145">
        <f t="shared" si="109"/>
        <v>0</v>
      </c>
      <c r="H151" s="1145">
        <f t="shared" si="109"/>
        <v>0</v>
      </c>
      <c r="I151" s="1145">
        <f t="shared" si="109"/>
        <v>0</v>
      </c>
      <c r="J151" s="1145">
        <f t="shared" si="109"/>
        <v>0</v>
      </c>
      <c r="K151" s="1145">
        <f t="shared" si="109"/>
        <v>0</v>
      </c>
      <c r="L151" s="1145">
        <f t="shared" si="109"/>
        <v>0</v>
      </c>
      <c r="M151" s="1145">
        <f t="shared" si="109"/>
        <v>0</v>
      </c>
      <c r="N151" s="1145">
        <f t="shared" si="109"/>
        <v>0</v>
      </c>
      <c r="O151" s="1145">
        <f t="shared" si="109"/>
        <v>0</v>
      </c>
      <c r="P151" s="1145">
        <f t="shared" si="109"/>
        <v>0</v>
      </c>
      <c r="Q151" s="1146"/>
      <c r="R151" s="1146"/>
      <c r="S151" s="1146"/>
      <c r="T151" s="1146" t="s">
        <v>2958</v>
      </c>
      <c r="U151" s="128"/>
      <c r="V151" s="129"/>
      <c r="W151" s="630"/>
      <c r="X151" s="631"/>
      <c r="Y151" s="632"/>
      <c r="Z151" s="633"/>
      <c r="AA151" s="128"/>
      <c r="AB151" s="634"/>
      <c r="AC151" s="635"/>
      <c r="AD151" s="636"/>
      <c r="AE151" s="637"/>
      <c r="AF151" s="638"/>
      <c r="AG151" s="639"/>
      <c r="AH151" s="640"/>
      <c r="AI151" s="641"/>
      <c r="AJ151" s="642"/>
      <c r="AK151" s="638"/>
      <c r="AN151" s="643"/>
      <c r="AT151" s="126"/>
      <c r="AU151" s="644"/>
      <c r="BE151" s="645"/>
      <c r="BF151" s="645"/>
      <c r="BG151" s="645"/>
      <c r="BH151" s="645"/>
      <c r="BI151" s="645"/>
      <c r="BJ151" s="645"/>
      <c r="BK151" s="645"/>
      <c r="BL151" s="645"/>
      <c r="BM151" s="645"/>
      <c r="BN151" s="645"/>
      <c r="BO151" s="645"/>
      <c r="BP151" s="645"/>
      <c r="BQ151" s="645"/>
      <c r="BR151" s="645"/>
      <c r="BS151" s="645"/>
      <c r="BT151" s="645"/>
      <c r="BU151" s="645"/>
      <c r="BV151" s="645"/>
      <c r="BW151" s="645"/>
      <c r="BX151" s="645"/>
      <c r="BY151" s="645"/>
      <c r="BZ151" s="646"/>
      <c r="CA151" s="646"/>
      <c r="CB151" s="646"/>
      <c r="CC151" s="646"/>
      <c r="CD151" s="646"/>
      <c r="CE151" s="646"/>
      <c r="CF151" s="646"/>
      <c r="CG151" s="646"/>
      <c r="CH151" s="646"/>
      <c r="CI151" s="646"/>
    </row>
    <row r="152" spans="2:87" s="120" customFormat="1" ht="30">
      <c r="B152" s="675" t="s">
        <v>3182</v>
      </c>
      <c r="C152" s="1148" t="str">
        <f>"Всего по "&amp;T151&amp;" "&amp;T152&amp;" ("&amp;$C$143&amp;"):"</f>
        <v>Всего по Вне Г.Н.П. Изолир. алюм. до 50 мм (ВЛ-0,4 от 15 до 150 кВт):</v>
      </c>
      <c r="D152" s="1148"/>
      <c r="E152" s="1148"/>
      <c r="F152" s="1149">
        <f t="shared" ref="F152:P152" si="110">SUM(F153:F154)</f>
        <v>0</v>
      </c>
      <c r="G152" s="1150">
        <f t="shared" si="110"/>
        <v>0</v>
      </c>
      <c r="H152" s="1150">
        <f t="shared" si="110"/>
        <v>0</v>
      </c>
      <c r="I152" s="1150">
        <f t="shared" si="110"/>
        <v>0</v>
      </c>
      <c r="J152" s="1150">
        <f t="shared" si="110"/>
        <v>0</v>
      </c>
      <c r="K152" s="1150">
        <f t="shared" si="110"/>
        <v>0</v>
      </c>
      <c r="L152" s="1150">
        <f t="shared" si="110"/>
        <v>0</v>
      </c>
      <c r="M152" s="1150">
        <f t="shared" si="110"/>
        <v>0</v>
      </c>
      <c r="N152" s="1150">
        <f t="shared" si="110"/>
        <v>0</v>
      </c>
      <c r="O152" s="1150">
        <f t="shared" si="110"/>
        <v>0</v>
      </c>
      <c r="P152" s="1150">
        <f t="shared" si="110"/>
        <v>0</v>
      </c>
      <c r="Q152" s="1151"/>
      <c r="R152" s="1151"/>
      <c r="S152" s="1151"/>
      <c r="T152" s="1151" t="s">
        <v>2962</v>
      </c>
      <c r="U152" s="128"/>
      <c r="V152" s="129"/>
      <c r="W152" s="630"/>
      <c r="X152" s="631"/>
      <c r="Y152" s="632"/>
      <c r="Z152" s="633"/>
      <c r="AA152" s="128"/>
      <c r="AB152" s="634"/>
      <c r="AC152" s="635"/>
      <c r="AD152" s="636"/>
      <c r="AE152" s="637"/>
      <c r="AF152" s="638"/>
      <c r="AG152" s="639"/>
      <c r="AH152" s="640"/>
      <c r="AI152" s="641"/>
      <c r="AJ152" s="642"/>
      <c r="AK152" s="638"/>
      <c r="AN152" s="643"/>
      <c r="AT152" s="126"/>
      <c r="AU152" s="644"/>
      <c r="BC152" s="120" t="str">
        <f>[24]Прил.1!$F$13</f>
        <v>до 50 вкл.</v>
      </c>
      <c r="BD152" s="368" t="str">
        <f>CONCATENATE($BC$1,"; ",$BC$4,"; ",$BD$1,"; ",$BD$3,"; ",BC152)</f>
        <v>0,4 кВ; Вне Г.Н.П.; изолированный; алюминевый; до 50 вкл.</v>
      </c>
      <c r="BE152" s="645"/>
      <c r="BF152" s="645"/>
      <c r="BG152" s="645"/>
      <c r="BH152" s="645"/>
      <c r="BI152" s="645"/>
      <c r="BJ152" s="645"/>
      <c r="BK152" s="645"/>
      <c r="BL152" s="645"/>
      <c r="BM152" s="645"/>
      <c r="BN152" s="645"/>
      <c r="BO152" s="645"/>
      <c r="BP152" s="645"/>
      <c r="BQ152" s="645"/>
      <c r="BR152" s="645"/>
      <c r="BS152" s="645"/>
      <c r="BT152" s="645"/>
      <c r="BU152" s="645"/>
      <c r="BV152" s="645"/>
      <c r="BW152" s="645"/>
      <c r="BX152" s="645"/>
      <c r="BY152" s="645"/>
      <c r="BZ152" s="646"/>
      <c r="CA152" s="646"/>
      <c r="CB152" s="646"/>
      <c r="CC152" s="646"/>
      <c r="CD152" s="646"/>
      <c r="CE152" s="646"/>
      <c r="CF152" s="646"/>
      <c r="CG152" s="646"/>
      <c r="CH152" s="646"/>
      <c r="CI152" s="646"/>
    </row>
    <row r="153" spans="2:87" s="76" customFormat="1" ht="15.75" customHeight="1" outlineLevel="1">
      <c r="B153" s="676"/>
      <c r="C153" s="791"/>
      <c r="D153" s="792"/>
      <c r="E153" s="793"/>
      <c r="F153" s="794"/>
      <c r="G153" s="795"/>
      <c r="H153" s="796"/>
      <c r="I153" s="796"/>
      <c r="J153" s="796"/>
      <c r="K153" s="796"/>
      <c r="L153" s="796"/>
      <c r="M153" s="796"/>
      <c r="N153" s="796"/>
      <c r="O153" s="796"/>
      <c r="P153" s="797"/>
      <c r="Q153" s="451"/>
      <c r="R153" s="798"/>
      <c r="S153" s="799"/>
      <c r="T153" s="800"/>
      <c r="U153" s="168"/>
      <c r="V153" s="168"/>
      <c r="W153" s="168"/>
      <c r="X153" s="168"/>
      <c r="Y153" s="128"/>
      <c r="Z153" s="128"/>
      <c r="AA153" s="128"/>
      <c r="AB153" s="640"/>
      <c r="AC153" s="641"/>
      <c r="AD153" s="642"/>
      <c r="AE153" s="685"/>
      <c r="AF153" s="685"/>
      <c r="AG153" s="639"/>
      <c r="AH153" s="701"/>
      <c r="AI153" s="702"/>
      <c r="AJ153" s="703"/>
      <c r="AK153" s="704"/>
      <c r="AP153" s="801"/>
      <c r="AQ153" s="801"/>
      <c r="BE153" s="692"/>
      <c r="BF153" s="692"/>
      <c r="BG153" s="692"/>
      <c r="BH153" s="692"/>
      <c r="BI153" s="692"/>
      <c r="BJ153" s="692"/>
      <c r="BK153" s="692"/>
      <c r="BL153" s="692"/>
      <c r="BM153" s="692"/>
      <c r="BN153" s="692"/>
      <c r="BO153" s="692"/>
      <c r="BP153" s="692"/>
      <c r="BQ153" s="692"/>
      <c r="BR153" s="692"/>
      <c r="BS153" s="692"/>
      <c r="BT153" s="692"/>
      <c r="BU153" s="692"/>
      <c r="BV153" s="692"/>
      <c r="BW153" s="692"/>
      <c r="BX153" s="692"/>
      <c r="BY153" s="692"/>
      <c r="BZ153" s="272"/>
      <c r="CA153" s="272"/>
      <c r="CB153" s="272"/>
      <c r="CC153" s="272"/>
      <c r="CD153" s="272"/>
      <c r="CE153" s="272"/>
      <c r="CF153" s="272"/>
      <c r="CG153" s="272"/>
      <c r="CH153" s="272"/>
      <c r="CI153" s="272"/>
    </row>
    <row r="154" spans="2:87" s="76" customFormat="1" ht="15.75" outlineLevel="1">
      <c r="B154" s="676"/>
      <c r="C154" s="693"/>
      <c r="D154" s="694"/>
      <c r="E154" s="695"/>
      <c r="F154" s="696"/>
      <c r="G154" s="697"/>
      <c r="H154" s="247"/>
      <c r="I154" s="247"/>
      <c r="J154" s="698"/>
      <c r="K154" s="247"/>
      <c r="L154" s="699"/>
      <c r="M154" s="698"/>
      <c r="N154" s="698"/>
      <c r="O154" s="247"/>
      <c r="P154" s="700"/>
      <c r="Q154" s="185"/>
      <c r="R154" s="186"/>
      <c r="S154" s="297"/>
      <c r="T154" s="188"/>
      <c r="U154" s="168"/>
      <c r="V154" s="168"/>
      <c r="W154" s="168"/>
      <c r="X154" s="168"/>
      <c r="Y154" s="128"/>
      <c r="Z154" s="128"/>
      <c r="AA154" s="128"/>
      <c r="AB154" s="640"/>
      <c r="AC154" s="641"/>
      <c r="AD154" s="642"/>
      <c r="AE154" s="685"/>
      <c r="AF154" s="685"/>
      <c r="AG154" s="639"/>
      <c r="AH154" s="701"/>
      <c r="AI154" s="702"/>
      <c r="AJ154" s="703"/>
      <c r="AK154" s="704"/>
      <c r="BE154" s="692"/>
      <c r="BF154" s="692"/>
      <c r="BG154" s="692"/>
      <c r="BH154" s="692"/>
      <c r="BI154" s="692"/>
      <c r="BJ154" s="692"/>
      <c r="BK154" s="692"/>
      <c r="BL154" s="692"/>
      <c r="BM154" s="692"/>
      <c r="BN154" s="692"/>
      <c r="BO154" s="692"/>
      <c r="BP154" s="692"/>
      <c r="BQ154" s="692"/>
      <c r="BR154" s="692"/>
      <c r="BS154" s="692"/>
      <c r="BT154" s="692"/>
      <c r="BU154" s="692"/>
      <c r="BV154" s="692"/>
      <c r="BW154" s="692"/>
      <c r="BX154" s="692"/>
      <c r="BY154" s="692"/>
      <c r="BZ154" s="272"/>
      <c r="CA154" s="272"/>
      <c r="CB154" s="272"/>
      <c r="CC154" s="272"/>
      <c r="CD154" s="272"/>
      <c r="CE154" s="272"/>
      <c r="CF154" s="272"/>
      <c r="CG154" s="272"/>
      <c r="CH154" s="272"/>
      <c r="CI154" s="272"/>
    </row>
    <row r="155" spans="2:87" s="120" customFormat="1" ht="30">
      <c r="B155" s="675" t="s">
        <v>3183</v>
      </c>
      <c r="C155" s="1148" t="str">
        <f>"Всего по "&amp;T151&amp;" "&amp;T155&amp;" ("&amp;$C$143&amp;"):"</f>
        <v>Всего по Вне Г.Н.П. Изолир. алюм. 50-100 мм (ВЛ-0,4 от 15 до 150 кВт):</v>
      </c>
      <c r="D155" s="1148"/>
      <c r="E155" s="1148"/>
      <c r="F155" s="1149">
        <f>SUM(F156:F157)</f>
        <v>0</v>
      </c>
      <c r="G155" s="1150">
        <f>SUM(G156:G157)</f>
        <v>0</v>
      </c>
      <c r="H155" s="1150">
        <f t="shared" ref="H155:O155" si="111">SUM(H156:H157)</f>
        <v>0</v>
      </c>
      <c r="I155" s="1150">
        <f t="shared" si="111"/>
        <v>0</v>
      </c>
      <c r="J155" s="1150">
        <f t="shared" si="111"/>
        <v>0</v>
      </c>
      <c r="K155" s="1150">
        <f t="shared" si="111"/>
        <v>0</v>
      </c>
      <c r="L155" s="1150">
        <f t="shared" si="111"/>
        <v>0</v>
      </c>
      <c r="M155" s="1150">
        <f t="shared" si="111"/>
        <v>0</v>
      </c>
      <c r="N155" s="1150">
        <f t="shared" si="111"/>
        <v>0</v>
      </c>
      <c r="O155" s="1150">
        <f t="shared" si="111"/>
        <v>0</v>
      </c>
      <c r="P155" s="1150">
        <f>SUM(P156:P157)</f>
        <v>0</v>
      </c>
      <c r="Q155" s="1151"/>
      <c r="R155" s="1151"/>
      <c r="S155" s="1151"/>
      <c r="T155" s="1151" t="s">
        <v>3005</v>
      </c>
      <c r="U155" s="128"/>
      <c r="V155" s="129"/>
      <c r="W155" s="630"/>
      <c r="X155" s="631"/>
      <c r="Y155" s="632"/>
      <c r="Z155" s="633"/>
      <c r="AA155" s="128"/>
      <c r="AB155" s="634"/>
      <c r="AC155" s="635"/>
      <c r="AD155" s="636"/>
      <c r="AE155" s="637"/>
      <c r="AF155" s="638"/>
      <c r="AG155" s="639"/>
      <c r="AH155" s="640"/>
      <c r="AI155" s="641"/>
      <c r="AJ155" s="642"/>
      <c r="AK155" s="638"/>
      <c r="AN155" s="643"/>
      <c r="AT155" s="126"/>
      <c r="AU155" s="644"/>
      <c r="BC155" s="120" t="str">
        <f>[24]Прил.1!$F$14</f>
        <v>50 - 100</v>
      </c>
      <c r="BD155" s="368" t="str">
        <f>CONCATENATE($BC$1,"; ",$BC$4,"; ",$BD$1,"; ",$BD$3,"; ",BC155)</f>
        <v>0,4 кВ; Вне Г.Н.П.; изолированный; алюминевый; 50 - 100</v>
      </c>
      <c r="BE155" s="645"/>
      <c r="BF155" s="645"/>
      <c r="BG155" s="645"/>
      <c r="BH155" s="645"/>
      <c r="BI155" s="645"/>
      <c r="BJ155" s="645"/>
      <c r="BK155" s="645"/>
      <c r="BL155" s="645"/>
      <c r="BM155" s="645"/>
      <c r="BN155" s="645"/>
      <c r="BO155" s="645"/>
      <c r="BP155" s="645"/>
      <c r="BQ155" s="645"/>
      <c r="BR155" s="645"/>
      <c r="BS155" s="645"/>
      <c r="BT155" s="645"/>
      <c r="BU155" s="645"/>
      <c r="BV155" s="645"/>
      <c r="BW155" s="645"/>
      <c r="BX155" s="645"/>
      <c r="BY155" s="645"/>
      <c r="BZ155" s="646"/>
      <c r="CA155" s="646"/>
      <c r="CB155" s="646"/>
      <c r="CC155" s="646"/>
      <c r="CD155" s="646"/>
      <c r="CE155" s="646"/>
      <c r="CF155" s="646"/>
      <c r="CG155" s="646"/>
      <c r="CH155" s="646"/>
      <c r="CI155" s="646"/>
    </row>
    <row r="156" spans="2:87" s="76" customFormat="1" ht="15.75" outlineLevel="1">
      <c r="B156" s="676"/>
      <c r="C156" s="677"/>
      <c r="D156" s="678"/>
      <c r="E156" s="679"/>
      <c r="F156" s="680"/>
      <c r="G156" s="681"/>
      <c r="H156" s="517"/>
      <c r="I156" s="517"/>
      <c r="J156" s="517"/>
      <c r="K156" s="517"/>
      <c r="L156" s="517"/>
      <c r="M156" s="517"/>
      <c r="N156" s="517"/>
      <c r="O156" s="517"/>
      <c r="P156" s="682"/>
      <c r="Q156" s="683"/>
      <c r="R156" s="684"/>
      <c r="S156" s="685"/>
      <c r="T156" s="686"/>
      <c r="U156" s="168"/>
      <c r="V156" s="168"/>
      <c r="W156" s="168"/>
      <c r="X156" s="168"/>
      <c r="Y156" s="128"/>
      <c r="Z156" s="128"/>
      <c r="AA156" s="128"/>
      <c r="AB156" s="640"/>
      <c r="AC156" s="641"/>
      <c r="AD156" s="642"/>
      <c r="AE156" s="685"/>
      <c r="AF156" s="685"/>
      <c r="AG156" s="687"/>
      <c r="AH156" s="688"/>
      <c r="AI156" s="689"/>
      <c r="AJ156" s="690"/>
      <c r="AK156" s="691"/>
      <c r="BE156" s="692"/>
      <c r="BF156" s="692"/>
      <c r="BG156" s="692"/>
      <c r="BH156" s="692"/>
      <c r="BI156" s="692"/>
      <c r="BJ156" s="692"/>
      <c r="BK156" s="692"/>
      <c r="BL156" s="692"/>
      <c r="BM156" s="692"/>
      <c r="BN156" s="692"/>
      <c r="BO156" s="692"/>
      <c r="BP156" s="692"/>
      <c r="BQ156" s="692"/>
      <c r="BR156" s="692"/>
      <c r="BS156" s="692"/>
      <c r="BT156" s="692"/>
      <c r="BU156" s="692"/>
      <c r="BV156" s="692"/>
      <c r="BW156" s="692"/>
      <c r="BX156" s="692"/>
      <c r="BY156" s="692"/>
      <c r="BZ156" s="272"/>
      <c r="CA156" s="272"/>
      <c r="CB156" s="272"/>
      <c r="CC156" s="272"/>
      <c r="CD156" s="272"/>
      <c r="CE156" s="272"/>
      <c r="CF156" s="272"/>
      <c r="CG156" s="272"/>
      <c r="CH156" s="272"/>
      <c r="CI156" s="272"/>
    </row>
    <row r="157" spans="2:87" s="76" customFormat="1" ht="15.75" outlineLevel="1">
      <c r="B157" s="676"/>
      <c r="C157" s="693"/>
      <c r="D157" s="694"/>
      <c r="E157" s="695"/>
      <c r="F157" s="696"/>
      <c r="G157" s="697"/>
      <c r="H157" s="247"/>
      <c r="I157" s="247"/>
      <c r="J157" s="698"/>
      <c r="K157" s="247"/>
      <c r="L157" s="699"/>
      <c r="M157" s="698"/>
      <c r="N157" s="698"/>
      <c r="O157" s="247"/>
      <c r="P157" s="700"/>
      <c r="Q157" s="185"/>
      <c r="R157" s="186"/>
      <c r="S157" s="297"/>
      <c r="T157" s="188"/>
      <c r="U157" s="168"/>
      <c r="V157" s="168"/>
      <c r="W157" s="168"/>
      <c r="X157" s="168"/>
      <c r="Y157" s="128"/>
      <c r="Z157" s="128"/>
      <c r="AA157" s="128"/>
      <c r="AB157" s="640"/>
      <c r="AC157" s="641"/>
      <c r="AD157" s="642"/>
      <c r="AE157" s="685"/>
      <c r="AF157" s="685"/>
      <c r="AG157" s="639"/>
      <c r="AH157" s="701"/>
      <c r="AI157" s="702"/>
      <c r="AJ157" s="703"/>
      <c r="AK157" s="704"/>
      <c r="BE157" s="692"/>
      <c r="BF157" s="692"/>
      <c r="BG157" s="692"/>
      <c r="BH157" s="692"/>
      <c r="BI157" s="692"/>
      <c r="BJ157" s="692"/>
      <c r="BK157" s="692"/>
      <c r="BL157" s="692"/>
      <c r="BM157" s="692"/>
      <c r="BN157" s="692"/>
      <c r="BO157" s="692"/>
      <c r="BP157" s="692"/>
      <c r="BQ157" s="692"/>
      <c r="BR157" s="692"/>
      <c r="BS157" s="692"/>
      <c r="BT157" s="692"/>
      <c r="BU157" s="692"/>
      <c r="BV157" s="692"/>
      <c r="BW157" s="692"/>
      <c r="BX157" s="692"/>
      <c r="BY157" s="692"/>
      <c r="BZ157" s="272"/>
      <c r="CA157" s="272"/>
      <c r="CB157" s="272"/>
      <c r="CC157" s="272"/>
      <c r="CD157" s="272"/>
      <c r="CE157" s="272"/>
      <c r="CF157" s="272"/>
      <c r="CG157" s="272"/>
      <c r="CH157" s="272"/>
      <c r="CI157" s="272"/>
    </row>
    <row r="158" spans="2:87" s="120" customFormat="1" ht="30">
      <c r="B158" s="675" t="s">
        <v>3184</v>
      </c>
      <c r="C158" s="1148" t="str">
        <f>"Всего по "&amp;T151&amp;" "&amp;T158&amp;" ("&amp;$C$143&amp;"):"</f>
        <v>Всего по Вне Г.Н.П. Неизолир. сталеалюм. до 50 мм (ВЛ-0,4 от 15 до 150 кВт):</v>
      </c>
      <c r="D158" s="1148"/>
      <c r="E158" s="1148"/>
      <c r="F158" s="1149">
        <f>SUM(F159:F160)</f>
        <v>0</v>
      </c>
      <c r="G158" s="1150">
        <f>SUM(G159:G160)</f>
        <v>0</v>
      </c>
      <c r="H158" s="1150">
        <f t="shared" ref="H158:O158" si="112">SUM(H159:H160)</f>
        <v>0</v>
      </c>
      <c r="I158" s="1150">
        <f t="shared" si="112"/>
        <v>0</v>
      </c>
      <c r="J158" s="1150">
        <f t="shared" si="112"/>
        <v>0</v>
      </c>
      <c r="K158" s="1150">
        <f t="shared" si="112"/>
        <v>0</v>
      </c>
      <c r="L158" s="1150">
        <f t="shared" si="112"/>
        <v>0</v>
      </c>
      <c r="M158" s="1150">
        <f t="shared" si="112"/>
        <v>0</v>
      </c>
      <c r="N158" s="1150">
        <f t="shared" si="112"/>
        <v>0</v>
      </c>
      <c r="O158" s="1150">
        <f t="shared" si="112"/>
        <v>0</v>
      </c>
      <c r="P158" s="1150">
        <f>SUM(P159:P160)</f>
        <v>0</v>
      </c>
      <c r="Q158" s="1151"/>
      <c r="R158" s="1151"/>
      <c r="S158" s="1151"/>
      <c r="T158" s="1151" t="s">
        <v>3137</v>
      </c>
      <c r="U158" s="128"/>
      <c r="V158" s="129"/>
      <c r="W158" s="630"/>
      <c r="X158" s="631"/>
      <c r="Y158" s="632"/>
      <c r="Z158" s="633"/>
      <c r="AA158" s="128"/>
      <c r="AB158" s="634"/>
      <c r="AC158" s="635"/>
      <c r="AD158" s="636"/>
      <c r="AE158" s="637"/>
      <c r="AF158" s="638"/>
      <c r="AG158" s="639"/>
      <c r="AH158" s="640"/>
      <c r="AI158" s="641"/>
      <c r="AJ158" s="642"/>
      <c r="AK158" s="638"/>
      <c r="AN158" s="643"/>
      <c r="AT158" s="126"/>
      <c r="AU158" s="644"/>
      <c r="BC158" s="120" t="str">
        <f>[24]Прил.1!$F$13</f>
        <v>до 50 вкл.</v>
      </c>
      <c r="BD158" s="368" t="str">
        <f>CONCATENATE($BC$1,"; ",$BC$4,"; ",$BD$2,"; ",$BD$4,"; ",BC158)</f>
        <v>0,4 кВ; Вне Г.Н.П.; неизолированный; сталеалюминиевый; до 50 вкл.</v>
      </c>
      <c r="BE158" s="645"/>
      <c r="BF158" s="645"/>
      <c r="BG158" s="645"/>
      <c r="BH158" s="645"/>
      <c r="BI158" s="645"/>
      <c r="BJ158" s="645"/>
      <c r="BK158" s="645"/>
      <c r="BL158" s="645"/>
      <c r="BM158" s="645"/>
      <c r="BN158" s="645"/>
      <c r="BO158" s="645"/>
      <c r="BP158" s="645"/>
      <c r="BQ158" s="645"/>
      <c r="BR158" s="645"/>
      <c r="BS158" s="645"/>
      <c r="BT158" s="645"/>
      <c r="BU158" s="645"/>
      <c r="BV158" s="645"/>
      <c r="BW158" s="645"/>
      <c r="BX158" s="645"/>
      <c r="BY158" s="645"/>
      <c r="BZ158" s="646"/>
      <c r="CA158" s="646"/>
      <c r="CB158" s="646"/>
      <c r="CC158" s="646"/>
      <c r="CD158" s="646"/>
      <c r="CE158" s="646"/>
      <c r="CF158" s="646"/>
      <c r="CG158" s="646"/>
      <c r="CH158" s="646"/>
      <c r="CI158" s="646"/>
    </row>
    <row r="159" spans="2:87" s="76" customFormat="1" ht="15.75" outlineLevel="1">
      <c r="B159" s="676"/>
      <c r="C159" s="677"/>
      <c r="D159" s="678"/>
      <c r="E159" s="679"/>
      <c r="F159" s="680"/>
      <c r="G159" s="681"/>
      <c r="H159" s="517"/>
      <c r="I159" s="517"/>
      <c r="J159" s="517"/>
      <c r="K159" s="517"/>
      <c r="L159" s="517"/>
      <c r="M159" s="517"/>
      <c r="N159" s="517"/>
      <c r="O159" s="517"/>
      <c r="P159" s="682"/>
      <c r="Q159" s="683"/>
      <c r="R159" s="684"/>
      <c r="S159" s="685"/>
      <c r="T159" s="686"/>
      <c r="U159" s="168"/>
      <c r="V159" s="168"/>
      <c r="W159" s="168"/>
      <c r="X159" s="168"/>
      <c r="Y159" s="128"/>
      <c r="Z159" s="128"/>
      <c r="AA159" s="128"/>
      <c r="AB159" s="640"/>
      <c r="AC159" s="641"/>
      <c r="AD159" s="642"/>
      <c r="AE159" s="685"/>
      <c r="AF159" s="685"/>
      <c r="AG159" s="687"/>
      <c r="AH159" s="688"/>
      <c r="AI159" s="689"/>
      <c r="AJ159" s="690"/>
      <c r="AK159" s="691"/>
      <c r="BE159" s="692"/>
      <c r="BF159" s="692"/>
      <c r="BG159" s="692"/>
      <c r="BH159" s="692"/>
      <c r="BI159" s="692"/>
      <c r="BJ159" s="692"/>
      <c r="BK159" s="692"/>
      <c r="BL159" s="692"/>
      <c r="BM159" s="692"/>
      <c r="BN159" s="692"/>
      <c r="BO159" s="692"/>
      <c r="BP159" s="692"/>
      <c r="BQ159" s="692"/>
      <c r="BR159" s="692"/>
      <c r="BS159" s="692"/>
      <c r="BT159" s="692"/>
      <c r="BU159" s="692"/>
      <c r="BV159" s="692"/>
      <c r="BW159" s="692"/>
      <c r="BX159" s="692"/>
      <c r="BY159" s="692"/>
      <c r="BZ159" s="272"/>
      <c r="CA159" s="272"/>
      <c r="CB159" s="272"/>
      <c r="CC159" s="272"/>
      <c r="CD159" s="272"/>
      <c r="CE159" s="272"/>
      <c r="CF159" s="272"/>
      <c r="CG159" s="272"/>
      <c r="CH159" s="272"/>
      <c r="CI159" s="272"/>
    </row>
    <row r="160" spans="2:87" s="76" customFormat="1" ht="15.75" outlineLevel="1">
      <c r="B160" s="676"/>
      <c r="C160" s="693"/>
      <c r="D160" s="694"/>
      <c r="E160" s="695"/>
      <c r="F160" s="696"/>
      <c r="G160" s="697"/>
      <c r="H160" s="247"/>
      <c r="I160" s="247"/>
      <c r="J160" s="698"/>
      <c r="K160" s="247"/>
      <c r="L160" s="699"/>
      <c r="M160" s="698"/>
      <c r="N160" s="698"/>
      <c r="O160" s="247"/>
      <c r="P160" s="700"/>
      <c r="Q160" s="185"/>
      <c r="R160" s="186"/>
      <c r="S160" s="297"/>
      <c r="T160" s="188"/>
      <c r="U160" s="168"/>
      <c r="V160" s="168"/>
      <c r="W160" s="168"/>
      <c r="X160" s="168"/>
      <c r="Y160" s="128"/>
      <c r="Z160" s="128"/>
      <c r="AA160" s="128"/>
      <c r="AB160" s="640"/>
      <c r="AC160" s="641"/>
      <c r="AD160" s="642"/>
      <c r="AE160" s="685"/>
      <c r="AF160" s="685"/>
      <c r="AG160" s="639"/>
      <c r="AH160" s="701"/>
      <c r="AI160" s="702"/>
      <c r="AJ160" s="703"/>
      <c r="AK160" s="704"/>
      <c r="BE160" s="692"/>
      <c r="BF160" s="692"/>
      <c r="BG160" s="692"/>
      <c r="BH160" s="692"/>
      <c r="BI160" s="692"/>
      <c r="BJ160" s="692"/>
      <c r="BK160" s="692"/>
      <c r="BL160" s="692"/>
      <c r="BM160" s="692"/>
      <c r="BN160" s="692"/>
      <c r="BO160" s="692"/>
      <c r="BP160" s="692"/>
      <c r="BQ160" s="692"/>
      <c r="BR160" s="692"/>
      <c r="BS160" s="692"/>
      <c r="BT160" s="692"/>
      <c r="BU160" s="692"/>
      <c r="BV160" s="692"/>
      <c r="BW160" s="692"/>
      <c r="BX160" s="692"/>
      <c r="BY160" s="692"/>
      <c r="BZ160" s="272"/>
      <c r="CA160" s="272"/>
      <c r="CB160" s="272"/>
      <c r="CC160" s="272"/>
      <c r="CD160" s="272"/>
      <c r="CE160" s="272"/>
      <c r="CF160" s="272"/>
      <c r="CG160" s="272"/>
      <c r="CH160" s="272"/>
      <c r="CI160" s="272"/>
    </row>
    <row r="161" spans="2:87" ht="18.75">
      <c r="B161" s="1161">
        <f>MAX(B146)</f>
        <v>1</v>
      </c>
      <c r="C161" s="1294" t="str">
        <f>"ИТОГО по "&amp;$C$143&amp;":"</f>
        <v>ИТОГО по ВЛ-0,4 от 15 до 150 кВт:</v>
      </c>
      <c r="D161" s="1294"/>
      <c r="E161" s="1294"/>
      <c r="F161" s="1295">
        <f t="shared" ref="F161:P161" si="113">SUM(F144,F151)</f>
        <v>0.17</v>
      </c>
      <c r="G161" s="1296">
        <f t="shared" si="113"/>
        <v>24</v>
      </c>
      <c r="H161" s="1296">
        <f t="shared" si="113"/>
        <v>0</v>
      </c>
      <c r="I161" s="1296">
        <f t="shared" si="113"/>
        <v>0</v>
      </c>
      <c r="J161" s="1296">
        <f t="shared" si="113"/>
        <v>0</v>
      </c>
      <c r="K161" s="1296">
        <f t="shared" si="113"/>
        <v>0.40926000000000001</v>
      </c>
      <c r="L161" s="1296">
        <f t="shared" si="113"/>
        <v>0</v>
      </c>
      <c r="M161" s="1296">
        <f t="shared" si="113"/>
        <v>0</v>
      </c>
      <c r="N161" s="1296">
        <f t="shared" si="113"/>
        <v>0</v>
      </c>
      <c r="O161" s="1296">
        <f t="shared" si="113"/>
        <v>10.50079</v>
      </c>
      <c r="P161" s="1296">
        <f t="shared" si="113"/>
        <v>10910.05</v>
      </c>
      <c r="Q161" s="1251"/>
      <c r="R161" s="1259"/>
      <c r="S161" s="1251"/>
      <c r="T161" s="1251"/>
      <c r="U161" s="737"/>
      <c r="V161" s="737"/>
      <c r="W161" s="737"/>
      <c r="Y161" s="582" t="str">
        <f t="shared" ref="Y161" si="114">IF(X161="","",$C$143)</f>
        <v/>
      </c>
      <c r="Z161" s="582" t="str">
        <f>IF(X161="","",CONCATENATE(Y161,"-",X161,"; ",#REF!))</f>
        <v/>
      </c>
      <c r="AA161" s="582"/>
      <c r="AB161" s="659"/>
      <c r="AC161" s="660"/>
      <c r="AD161" s="661"/>
      <c r="AE161" s="662"/>
      <c r="AF161" s="662"/>
      <c r="AG161" s="663" t="str">
        <f t="shared" si="54"/>
        <v>не совпадает</v>
      </c>
      <c r="AH161" s="664" t="str">
        <f t="shared" si="76"/>
        <v/>
      </c>
      <c r="AI161" s="665" t="str">
        <f t="shared" si="76"/>
        <v/>
      </c>
      <c r="AJ161" s="666" t="str">
        <f t="shared" si="76"/>
        <v/>
      </c>
      <c r="AK161" s="667">
        <f t="shared" ref="AK161:AK253" si="115">SUM(AH161,AI161,AJ161)</f>
        <v>0</v>
      </c>
      <c r="AZ161" s="600">
        <f>IF(B161="","",IF(P161=SUM(H161,I161,K161,O161),"ИСТИНА",P161-SUM(H161,I161,K161,O161)))</f>
        <v>10899.139949999999</v>
      </c>
    </row>
    <row r="162" spans="2:87" ht="18.75">
      <c r="B162" s="1265" t="s">
        <v>13</v>
      </c>
      <c r="C162" s="1266" t="s">
        <v>2608</v>
      </c>
      <c r="D162" s="1267"/>
      <c r="E162" s="1267"/>
      <c r="F162" s="1268">
        <f>SUM(F163,F173)</f>
        <v>10.029999999999999</v>
      </c>
      <c r="G162" s="1269">
        <f t="shared" ref="G162:P162" si="116">SUM(G163,G173)</f>
        <v>195.3</v>
      </c>
      <c r="H162" s="1269">
        <f t="shared" si="116"/>
        <v>40.231310000000001</v>
      </c>
      <c r="I162" s="1269">
        <f t="shared" si="116"/>
        <v>63.620370000000001</v>
      </c>
      <c r="J162" s="1269">
        <f t="shared" si="116"/>
        <v>0</v>
      </c>
      <c r="K162" s="1269">
        <f t="shared" si="116"/>
        <v>1885.75568</v>
      </c>
      <c r="L162" s="1269">
        <f t="shared" si="116"/>
        <v>0</v>
      </c>
      <c r="M162" s="1269">
        <f t="shared" si="116"/>
        <v>0</v>
      </c>
      <c r="N162" s="1269">
        <f t="shared" si="116"/>
        <v>0</v>
      </c>
      <c r="O162" s="1269">
        <f t="shared" si="116"/>
        <v>4065.6094800000001</v>
      </c>
      <c r="P162" s="1269">
        <f t="shared" si="116"/>
        <v>6055216.8399999989</v>
      </c>
      <c r="Q162" s="1267"/>
      <c r="R162" s="1267"/>
      <c r="S162" s="1267"/>
      <c r="T162" s="1270"/>
      <c r="U162" s="620"/>
      <c r="V162" s="620"/>
      <c r="W162" s="620"/>
      <c r="Y162" s="582" t="str">
        <f>IF(X162="","",$C$162)</f>
        <v/>
      </c>
      <c r="Z162" s="582" t="str">
        <f>IF(X162="","",CONCATENATE(Y162,"-",X162,"; ",#REF!))</f>
        <v/>
      </c>
      <c r="AA162" s="582"/>
      <c r="AB162" s="659"/>
      <c r="AC162" s="660"/>
      <c r="AD162" s="661"/>
      <c r="AE162" s="662"/>
      <c r="AF162" s="662"/>
      <c r="AG162" s="663" t="str">
        <f t="shared" si="54"/>
        <v>не совпадает</v>
      </c>
      <c r="AH162" s="664" t="str">
        <f t="shared" si="76"/>
        <v/>
      </c>
      <c r="AI162" s="665" t="str">
        <f t="shared" si="76"/>
        <v/>
      </c>
      <c r="AJ162" s="666" t="str">
        <f t="shared" si="76"/>
        <v/>
      </c>
      <c r="AK162" s="667">
        <f t="shared" si="115"/>
        <v>0</v>
      </c>
      <c r="BC162" s="625" t="str">
        <f>C162</f>
        <v>ВЛ-10 от 15 до 150 кВт</v>
      </c>
    </row>
    <row r="163" spans="2:87" s="120" customFormat="1" ht="15.75">
      <c r="B163" s="1141" t="s">
        <v>2609</v>
      </c>
      <c r="C163" s="1142" t="str">
        <f>"Всего по "&amp;T163&amp;" ("&amp;$C$162&amp;"):"</f>
        <v>Всего по Г.Н.П. (ВЛ-10 от 15 до 150 кВт):</v>
      </c>
      <c r="D163" s="1143"/>
      <c r="E163" s="1143"/>
      <c r="F163" s="1144">
        <f>SUM(F164,F167,F170)</f>
        <v>0.36499999999999999</v>
      </c>
      <c r="G163" s="1145">
        <f t="shared" ref="G163:O163" si="117">SUM(G164,G167,G170)</f>
        <v>80.7</v>
      </c>
      <c r="H163" s="1145">
        <f t="shared" si="117"/>
        <v>40.231310000000001</v>
      </c>
      <c r="I163" s="1145">
        <f t="shared" si="117"/>
        <v>0</v>
      </c>
      <c r="J163" s="1145">
        <f t="shared" si="117"/>
        <v>0</v>
      </c>
      <c r="K163" s="1145">
        <f t="shared" si="117"/>
        <v>94.575670000000002</v>
      </c>
      <c r="L163" s="1145">
        <f t="shared" si="117"/>
        <v>0</v>
      </c>
      <c r="M163" s="1145">
        <f t="shared" si="117"/>
        <v>0</v>
      </c>
      <c r="N163" s="1145">
        <f t="shared" si="117"/>
        <v>0</v>
      </c>
      <c r="O163" s="1145">
        <f t="shared" si="117"/>
        <v>217.59666000000001</v>
      </c>
      <c r="P163" s="1145">
        <f>SUM(P164,P167,P170)</f>
        <v>352403.64</v>
      </c>
      <c r="Q163" s="1146"/>
      <c r="R163" s="1146"/>
      <c r="S163" s="1146"/>
      <c r="T163" s="1146" t="s">
        <v>2956</v>
      </c>
      <c r="U163" s="128"/>
      <c r="V163" s="129"/>
      <c r="W163" s="630"/>
      <c r="X163" s="631"/>
      <c r="Y163" s="632"/>
      <c r="Z163" s="633"/>
      <c r="AA163" s="128"/>
      <c r="AB163" s="634"/>
      <c r="AC163" s="635"/>
      <c r="AD163" s="636"/>
      <c r="AE163" s="637"/>
      <c r="AF163" s="638"/>
      <c r="AG163" s="639"/>
      <c r="AH163" s="640"/>
      <c r="AI163" s="641"/>
      <c r="AJ163" s="642"/>
      <c r="AK163" s="638"/>
      <c r="AN163" s="643"/>
      <c r="AT163" s="784"/>
      <c r="AU163" s="644"/>
      <c r="BE163" s="645"/>
      <c r="BF163" s="645"/>
      <c r="BG163" s="645"/>
      <c r="BH163" s="645"/>
      <c r="BI163" s="645"/>
      <c r="BJ163" s="645"/>
      <c r="BK163" s="645"/>
      <c r="BL163" s="645"/>
      <c r="BM163" s="645"/>
      <c r="BN163" s="645"/>
      <c r="BO163" s="645"/>
      <c r="BP163" s="645"/>
      <c r="BQ163" s="645"/>
      <c r="BR163" s="645"/>
      <c r="BS163" s="645"/>
      <c r="BT163" s="645"/>
      <c r="BU163" s="645"/>
      <c r="BV163" s="645"/>
      <c r="BW163" s="645"/>
      <c r="BX163" s="645"/>
      <c r="BY163" s="645"/>
      <c r="BZ163" s="646"/>
      <c r="CA163" s="646"/>
      <c r="CB163" s="646"/>
      <c r="CC163" s="646"/>
      <c r="CD163" s="646"/>
      <c r="CE163" s="646"/>
      <c r="CF163" s="646"/>
      <c r="CG163" s="646"/>
      <c r="CH163" s="646"/>
      <c r="CI163" s="646"/>
    </row>
    <row r="164" spans="2:87" s="120" customFormat="1" ht="30">
      <c r="B164" s="1147" t="s">
        <v>2610</v>
      </c>
      <c r="C164" s="1148" t="str">
        <f>"Всего по "&amp;T163&amp;" "&amp;T164&amp;" ("&amp;$C$162&amp;"):"</f>
        <v>Всего по Г.Н.П. Изолир. алюм. до 50 мм (ВЛ-10 от 15 до 150 кВт):</v>
      </c>
      <c r="D164" s="1148"/>
      <c r="E164" s="1148"/>
      <c r="F164" s="1149">
        <f>SUM(F165:F166)</f>
        <v>0</v>
      </c>
      <c r="G164" s="1150">
        <f>SUM(G165:G166)</f>
        <v>0</v>
      </c>
      <c r="H164" s="1150">
        <f t="shared" ref="H164:P164" si="118">SUM(H165:H166)</f>
        <v>0</v>
      </c>
      <c r="I164" s="1150">
        <f t="shared" si="118"/>
        <v>0</v>
      </c>
      <c r="J164" s="1150">
        <f t="shared" si="118"/>
        <v>0</v>
      </c>
      <c r="K164" s="1150">
        <f t="shared" si="118"/>
        <v>0</v>
      </c>
      <c r="L164" s="1150">
        <f t="shared" si="118"/>
        <v>0</v>
      </c>
      <c r="M164" s="1150">
        <f t="shared" si="118"/>
        <v>0</v>
      </c>
      <c r="N164" s="1150">
        <f t="shared" si="118"/>
        <v>0</v>
      </c>
      <c r="O164" s="1150">
        <f t="shared" si="118"/>
        <v>0</v>
      </c>
      <c r="P164" s="1150">
        <f t="shared" si="118"/>
        <v>0</v>
      </c>
      <c r="Q164" s="1151"/>
      <c r="R164" s="1151"/>
      <c r="S164" s="1151"/>
      <c r="T164" s="1151" t="s">
        <v>2962</v>
      </c>
      <c r="U164" s="128"/>
      <c r="V164" s="129"/>
      <c r="W164" s="630"/>
      <c r="X164" s="631"/>
      <c r="Y164" s="632"/>
      <c r="Z164" s="633"/>
      <c r="AA164" s="128"/>
      <c r="AB164" s="634"/>
      <c r="AC164" s="635"/>
      <c r="AD164" s="636"/>
      <c r="AE164" s="637"/>
      <c r="AF164" s="638"/>
      <c r="AG164" s="687"/>
      <c r="AH164" s="688"/>
      <c r="AI164" s="785"/>
      <c r="AJ164" s="786"/>
      <c r="AK164" s="787"/>
      <c r="AN164" s="643"/>
      <c r="AT164" s="788"/>
      <c r="AU164" s="789"/>
      <c r="BC164" s="120" t="str">
        <f>[24]Прил.1!$F$13</f>
        <v>до 50 вкл.</v>
      </c>
      <c r="BD164" s="368" t="str">
        <f>CONCATENATE($BC$2,"; ",$BC$3,"; ",$BD$1,"; ",$BD$3,"; ",BC164)</f>
        <v>6-10 кВ; Г.Н.П.; изолированный; алюминевый; до 50 вкл.</v>
      </c>
      <c r="BE164" s="645"/>
      <c r="BF164" s="645"/>
      <c r="BG164" s="645"/>
      <c r="BH164" s="645"/>
      <c r="BI164" s="645"/>
      <c r="BJ164" s="645"/>
      <c r="BK164" s="645"/>
      <c r="BL164" s="645"/>
      <c r="BM164" s="645"/>
      <c r="BN164" s="645"/>
      <c r="BO164" s="645"/>
      <c r="BP164" s="645"/>
      <c r="BQ164" s="645"/>
      <c r="BR164" s="645"/>
      <c r="BS164" s="645"/>
      <c r="BT164" s="645"/>
      <c r="BU164" s="645"/>
      <c r="BV164" s="645"/>
      <c r="BW164" s="645"/>
      <c r="BX164" s="645"/>
      <c r="BY164" s="645"/>
      <c r="BZ164" s="646"/>
      <c r="CA164" s="646"/>
      <c r="CB164" s="646"/>
      <c r="CC164" s="646"/>
      <c r="CD164" s="646"/>
      <c r="CE164" s="646"/>
      <c r="CF164" s="646"/>
      <c r="CG164" s="646"/>
      <c r="CH164" s="646"/>
      <c r="CI164" s="646"/>
    </row>
    <row r="165" spans="2:87" s="76" customFormat="1" ht="15.75" outlineLevel="1">
      <c r="B165" s="676"/>
      <c r="C165" s="677"/>
      <c r="D165" s="678"/>
      <c r="E165" s="679"/>
      <c r="F165" s="680"/>
      <c r="G165" s="681"/>
      <c r="H165" s="517"/>
      <c r="I165" s="517"/>
      <c r="J165" s="517"/>
      <c r="K165" s="517"/>
      <c r="L165" s="517"/>
      <c r="M165" s="517"/>
      <c r="N165" s="517"/>
      <c r="O165" s="517"/>
      <c r="P165" s="682"/>
      <c r="Q165" s="683"/>
      <c r="R165" s="684"/>
      <c r="S165" s="685"/>
      <c r="T165" s="686"/>
      <c r="U165" s="168"/>
      <c r="V165" s="168"/>
      <c r="W165" s="168"/>
      <c r="X165" s="168"/>
      <c r="Y165" s="128"/>
      <c r="Z165" s="128"/>
      <c r="AA165" s="128"/>
      <c r="AB165" s="640"/>
      <c r="AC165" s="641"/>
      <c r="AD165" s="642"/>
      <c r="AE165" s="685"/>
      <c r="AF165" s="685"/>
      <c r="AG165" s="687"/>
      <c r="AH165" s="688"/>
      <c r="AI165" s="689"/>
      <c r="AJ165" s="690"/>
      <c r="AK165" s="691"/>
      <c r="BE165" s="692"/>
      <c r="BF165" s="692"/>
      <c r="BG165" s="692"/>
      <c r="BH165" s="692"/>
      <c r="BI165" s="692"/>
      <c r="BJ165" s="692"/>
      <c r="BK165" s="692"/>
      <c r="BL165" s="692"/>
      <c r="BM165" s="692"/>
      <c r="BN165" s="692"/>
      <c r="BO165" s="692"/>
      <c r="BP165" s="692"/>
      <c r="BQ165" s="692"/>
      <c r="BR165" s="692"/>
      <c r="BS165" s="692"/>
      <c r="BT165" s="692"/>
      <c r="BU165" s="692"/>
      <c r="BV165" s="692"/>
      <c r="BW165" s="692"/>
      <c r="BX165" s="692"/>
      <c r="BY165" s="692"/>
      <c r="BZ165" s="272"/>
      <c r="CA165" s="272"/>
      <c r="CB165" s="272"/>
      <c r="CC165" s="272"/>
      <c r="CD165" s="272"/>
      <c r="CE165" s="272"/>
      <c r="CF165" s="272"/>
      <c r="CG165" s="272"/>
      <c r="CH165" s="272"/>
      <c r="CI165" s="272"/>
    </row>
    <row r="166" spans="2:87" s="76" customFormat="1" ht="15.75" outlineLevel="1">
      <c r="B166" s="676"/>
      <c r="C166" s="693"/>
      <c r="D166" s="694"/>
      <c r="E166" s="695"/>
      <c r="F166" s="696"/>
      <c r="G166" s="697"/>
      <c r="H166" s="247"/>
      <c r="I166" s="247"/>
      <c r="J166" s="698"/>
      <c r="K166" s="247"/>
      <c r="L166" s="699"/>
      <c r="M166" s="698"/>
      <c r="N166" s="698"/>
      <c r="O166" s="247"/>
      <c r="P166" s="700"/>
      <c r="Q166" s="185"/>
      <c r="R166" s="186"/>
      <c r="S166" s="297"/>
      <c r="T166" s="188"/>
      <c r="U166" s="168"/>
      <c r="V166" s="168"/>
      <c r="W166" s="168"/>
      <c r="X166" s="168"/>
      <c r="Y166" s="128"/>
      <c r="Z166" s="128"/>
      <c r="AA166" s="128"/>
      <c r="AB166" s="640"/>
      <c r="AC166" s="641"/>
      <c r="AD166" s="642"/>
      <c r="AE166" s="685"/>
      <c r="AF166" s="685"/>
      <c r="AG166" s="639"/>
      <c r="AH166" s="701"/>
      <c r="AI166" s="702"/>
      <c r="AJ166" s="703"/>
      <c r="AK166" s="704"/>
      <c r="BE166" s="692"/>
      <c r="BF166" s="692"/>
      <c r="BG166" s="692"/>
      <c r="BH166" s="692"/>
      <c r="BI166" s="692"/>
      <c r="BJ166" s="692"/>
      <c r="BK166" s="692"/>
      <c r="BL166" s="692"/>
      <c r="BM166" s="692"/>
      <c r="BN166" s="692"/>
      <c r="BO166" s="692"/>
      <c r="BP166" s="692"/>
      <c r="BQ166" s="692"/>
      <c r="BR166" s="692"/>
      <c r="BS166" s="692"/>
      <c r="BT166" s="692"/>
      <c r="BU166" s="692"/>
      <c r="BV166" s="692"/>
      <c r="BW166" s="692"/>
      <c r="BX166" s="692"/>
      <c r="BY166" s="692"/>
      <c r="BZ166" s="272"/>
      <c r="CA166" s="272"/>
      <c r="CB166" s="272"/>
      <c r="CC166" s="272"/>
      <c r="CD166" s="272"/>
      <c r="CE166" s="272"/>
      <c r="CF166" s="272"/>
      <c r="CG166" s="272"/>
      <c r="CH166" s="272"/>
      <c r="CI166" s="272"/>
    </row>
    <row r="167" spans="2:87" s="120" customFormat="1" ht="30">
      <c r="B167" s="675" t="s">
        <v>3185</v>
      </c>
      <c r="C167" s="1148" t="str">
        <f>"Всего по "&amp;T163&amp;" "&amp;T167&amp;" ("&amp;$C$162&amp;"):"</f>
        <v>Всего по Г.Н.П. Изолир. алюм. 50-100 мм (ВЛ-10 от 15 до 150 кВт):</v>
      </c>
      <c r="D167" s="1148"/>
      <c r="E167" s="1148"/>
      <c r="F167" s="1149">
        <f>SUM(F168:F169)</f>
        <v>0</v>
      </c>
      <c r="G167" s="1150">
        <f t="shared" ref="G167:O167" si="119">SUM(G168:G169)</f>
        <v>0</v>
      </c>
      <c r="H167" s="1150">
        <f t="shared" si="119"/>
        <v>0</v>
      </c>
      <c r="I167" s="1150">
        <f t="shared" si="119"/>
        <v>0</v>
      </c>
      <c r="J167" s="1150">
        <f t="shared" si="119"/>
        <v>0</v>
      </c>
      <c r="K167" s="1150">
        <f t="shared" si="119"/>
        <v>0</v>
      </c>
      <c r="L167" s="1150">
        <f t="shared" si="119"/>
        <v>0</v>
      </c>
      <c r="M167" s="1150">
        <f t="shared" si="119"/>
        <v>0</v>
      </c>
      <c r="N167" s="1150">
        <f t="shared" si="119"/>
        <v>0</v>
      </c>
      <c r="O167" s="1150">
        <f t="shared" si="119"/>
        <v>0</v>
      </c>
      <c r="P167" s="1150">
        <f>SUM(P168:P169)</f>
        <v>0</v>
      </c>
      <c r="Q167" s="1151"/>
      <c r="R167" s="1151"/>
      <c r="S167" s="1151"/>
      <c r="T167" s="1151" t="s">
        <v>3005</v>
      </c>
      <c r="U167" s="128"/>
      <c r="V167" s="129"/>
      <c r="W167" s="630"/>
      <c r="X167" s="631"/>
      <c r="Y167" s="632"/>
      <c r="Z167" s="633"/>
      <c r="AA167" s="128"/>
      <c r="AB167" s="634"/>
      <c r="AC167" s="635"/>
      <c r="AD167" s="636"/>
      <c r="AE167" s="637"/>
      <c r="AF167" s="638"/>
      <c r="AG167" s="639"/>
      <c r="AH167" s="640"/>
      <c r="AI167" s="641"/>
      <c r="AJ167" s="642"/>
      <c r="AK167" s="638"/>
      <c r="AN167" s="643"/>
      <c r="AT167" s="126"/>
      <c r="AU167" s="644"/>
      <c r="BC167" s="120" t="str">
        <f>[24]Прил.1!$F$14</f>
        <v>50 - 100</v>
      </c>
      <c r="BD167" s="368" t="str">
        <f>CONCATENATE($BC$2,"; ",$BC$3,"; ",$BD$1,"; ",$BD$3,"; ",BC167)</f>
        <v>6-10 кВ; Г.Н.П.; изолированный; алюминевый; 50 - 100</v>
      </c>
      <c r="BE167" s="645"/>
      <c r="BF167" s="645"/>
      <c r="BG167" s="645"/>
      <c r="BH167" s="645"/>
      <c r="BI167" s="645"/>
      <c r="BJ167" s="645"/>
      <c r="BK167" s="645"/>
      <c r="BL167" s="645"/>
      <c r="BM167" s="645"/>
      <c r="BN167" s="645"/>
      <c r="BO167" s="645"/>
      <c r="BP167" s="645"/>
      <c r="BQ167" s="645"/>
      <c r="BR167" s="645"/>
      <c r="BS167" s="645"/>
      <c r="BT167" s="645"/>
      <c r="BU167" s="645"/>
      <c r="BV167" s="645"/>
      <c r="BW167" s="645"/>
      <c r="BX167" s="645"/>
      <c r="BY167" s="645"/>
      <c r="BZ167" s="646"/>
      <c r="CA167" s="646"/>
      <c r="CB167" s="646"/>
      <c r="CC167" s="646"/>
      <c r="CD167" s="646"/>
      <c r="CE167" s="646"/>
      <c r="CF167" s="646"/>
      <c r="CG167" s="646"/>
      <c r="CH167" s="646"/>
      <c r="CI167" s="646"/>
    </row>
    <row r="168" spans="2:87" s="76" customFormat="1" ht="15.75" outlineLevel="1">
      <c r="B168" s="676"/>
      <c r="C168" s="677"/>
      <c r="D168" s="678"/>
      <c r="E168" s="679"/>
      <c r="F168" s="680"/>
      <c r="G168" s="681"/>
      <c r="H168" s="517"/>
      <c r="I168" s="517"/>
      <c r="J168" s="517"/>
      <c r="K168" s="517"/>
      <c r="L168" s="517"/>
      <c r="M168" s="517"/>
      <c r="N168" s="517"/>
      <c r="O168" s="517"/>
      <c r="P168" s="682"/>
      <c r="Q168" s="683"/>
      <c r="R168" s="684"/>
      <c r="S168" s="685"/>
      <c r="T168" s="686"/>
      <c r="U168" s="168"/>
      <c r="V168" s="168"/>
      <c r="W168" s="168"/>
      <c r="X168" s="168"/>
      <c r="Y168" s="128"/>
      <c r="Z168" s="128"/>
      <c r="AA168" s="128"/>
      <c r="AB168" s="640"/>
      <c r="AC168" s="641"/>
      <c r="AD168" s="642"/>
      <c r="AE168" s="685"/>
      <c r="AF168" s="685"/>
      <c r="AG168" s="687"/>
      <c r="AH168" s="688"/>
      <c r="AI168" s="689"/>
      <c r="AJ168" s="690"/>
      <c r="AK168" s="691"/>
      <c r="BE168" s="692"/>
      <c r="BF168" s="692"/>
      <c r="BG168" s="692"/>
      <c r="BH168" s="692"/>
      <c r="BI168" s="692"/>
      <c r="BJ168" s="692"/>
      <c r="BK168" s="692"/>
      <c r="BL168" s="692"/>
      <c r="BM168" s="692"/>
      <c r="BN168" s="69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272"/>
      <c r="CA168" s="272"/>
      <c r="CB168" s="272"/>
      <c r="CC168" s="272"/>
      <c r="CD168" s="272"/>
      <c r="CE168" s="272"/>
      <c r="CF168" s="272"/>
      <c r="CG168" s="272"/>
      <c r="CH168" s="272"/>
      <c r="CI168" s="272"/>
    </row>
    <row r="169" spans="2:87" s="76" customFormat="1" ht="15.75" outlineLevel="1">
      <c r="B169" s="676"/>
      <c r="C169" s="693"/>
      <c r="D169" s="694"/>
      <c r="E169" s="695"/>
      <c r="F169" s="696"/>
      <c r="G169" s="697"/>
      <c r="H169" s="247"/>
      <c r="I169" s="247"/>
      <c r="J169" s="698"/>
      <c r="K169" s="247"/>
      <c r="L169" s="699"/>
      <c r="M169" s="698"/>
      <c r="N169" s="698"/>
      <c r="O169" s="247"/>
      <c r="P169" s="700"/>
      <c r="Q169" s="185"/>
      <c r="R169" s="186"/>
      <c r="S169" s="297"/>
      <c r="T169" s="188"/>
      <c r="U169" s="168"/>
      <c r="V169" s="168"/>
      <c r="W169" s="168"/>
      <c r="X169" s="168"/>
      <c r="Y169" s="128"/>
      <c r="Z169" s="128"/>
      <c r="AA169" s="128"/>
      <c r="AB169" s="640"/>
      <c r="AC169" s="641"/>
      <c r="AD169" s="642"/>
      <c r="AE169" s="685"/>
      <c r="AF169" s="685"/>
      <c r="AG169" s="639"/>
      <c r="AH169" s="701"/>
      <c r="AI169" s="702"/>
      <c r="AJ169" s="703"/>
      <c r="AK169" s="704"/>
      <c r="BE169" s="692"/>
      <c r="BF169" s="692"/>
      <c r="BG169" s="692"/>
      <c r="BH169" s="692"/>
      <c r="BI169" s="692"/>
      <c r="BJ169" s="692"/>
      <c r="BK169" s="692"/>
      <c r="BL169" s="692"/>
      <c r="BM169" s="692"/>
      <c r="BN169" s="692"/>
      <c r="BO169" s="692"/>
      <c r="BP169" s="692"/>
      <c r="BQ169" s="692"/>
      <c r="BR169" s="692"/>
      <c r="BS169" s="692"/>
      <c r="BT169" s="692"/>
      <c r="BU169" s="692"/>
      <c r="BV169" s="692"/>
      <c r="BW169" s="692"/>
      <c r="BX169" s="692"/>
      <c r="BY169" s="692"/>
      <c r="BZ169" s="272"/>
      <c r="CA169" s="272"/>
      <c r="CB169" s="272"/>
      <c r="CC169" s="272"/>
      <c r="CD169" s="272"/>
      <c r="CE169" s="272"/>
      <c r="CF169" s="272"/>
      <c r="CG169" s="272"/>
      <c r="CH169" s="272"/>
      <c r="CI169" s="272"/>
    </row>
    <row r="170" spans="2:87" s="120" customFormat="1" ht="30">
      <c r="B170" s="675" t="s">
        <v>3186</v>
      </c>
      <c r="C170" s="1148" t="str">
        <f>"Всего по "&amp;T163&amp;" "&amp;T170&amp;" ("&amp;$C$162&amp;"):"</f>
        <v>Всего по Г.Н.П. Неизолир. сталеалюм. до 50 мм (ВЛ-10 от 15 до 150 кВт):</v>
      </c>
      <c r="D170" s="1148"/>
      <c r="E170" s="1148"/>
      <c r="F170" s="1149">
        <f t="shared" ref="F170:P170" si="120">SUM(F171:F172)</f>
        <v>0.36499999999999999</v>
      </c>
      <c r="G170" s="1150">
        <f t="shared" si="120"/>
        <v>80.7</v>
      </c>
      <c r="H170" s="1150">
        <f t="shared" si="120"/>
        <v>40.231310000000001</v>
      </c>
      <c r="I170" s="1150">
        <f t="shared" si="120"/>
        <v>0</v>
      </c>
      <c r="J170" s="1150">
        <f t="shared" si="120"/>
        <v>0</v>
      </c>
      <c r="K170" s="1150">
        <f t="shared" si="120"/>
        <v>94.575670000000002</v>
      </c>
      <c r="L170" s="1150">
        <f t="shared" si="120"/>
        <v>0</v>
      </c>
      <c r="M170" s="1150">
        <f t="shared" si="120"/>
        <v>0</v>
      </c>
      <c r="N170" s="1150">
        <f t="shared" si="120"/>
        <v>0</v>
      </c>
      <c r="O170" s="1150">
        <f t="shared" si="120"/>
        <v>217.59666000000001</v>
      </c>
      <c r="P170" s="1150">
        <f t="shared" si="120"/>
        <v>352403.64</v>
      </c>
      <c r="Q170" s="1151"/>
      <c r="R170" s="1151"/>
      <c r="S170" s="1151"/>
      <c r="T170" s="1151" t="s">
        <v>3137</v>
      </c>
      <c r="U170" s="128"/>
      <c r="V170" s="129"/>
      <c r="W170" s="630"/>
      <c r="X170" s="631"/>
      <c r="Y170" s="632"/>
      <c r="Z170" s="633"/>
      <c r="AA170" s="128"/>
      <c r="AB170" s="634"/>
      <c r="AC170" s="635"/>
      <c r="AD170" s="636"/>
      <c r="AE170" s="637"/>
      <c r="AF170" s="638"/>
      <c r="AG170" s="639"/>
      <c r="AH170" s="640"/>
      <c r="AI170" s="641"/>
      <c r="AJ170" s="642"/>
      <c r="AK170" s="638"/>
      <c r="AN170" s="643"/>
      <c r="AT170" s="126"/>
      <c r="AU170" s="644"/>
      <c r="BC170" s="120" t="str">
        <f>[24]Прил.1!$F$13</f>
        <v>до 50 вкл.</v>
      </c>
      <c r="BD170" s="368" t="str">
        <f>CONCATENATE($BC$2,"; ",$BC$3,"; ",$BD$2,"; ",$BD$4,"; ",BC170)</f>
        <v>6-10 кВ; Г.Н.П.; неизолированный; сталеалюминиевый; до 50 вкл.</v>
      </c>
      <c r="BE170" s="645"/>
      <c r="BF170" s="645"/>
      <c r="BG170" s="645"/>
      <c r="BH170" s="645"/>
      <c r="BI170" s="645"/>
      <c r="BJ170" s="645"/>
      <c r="BK170" s="645"/>
      <c r="BL170" s="645"/>
      <c r="BM170" s="645"/>
      <c r="BN170" s="645"/>
      <c r="BO170" s="645"/>
      <c r="BP170" s="645"/>
      <c r="BQ170" s="645"/>
      <c r="BR170" s="645"/>
      <c r="BS170" s="645"/>
      <c r="BT170" s="645"/>
      <c r="BU170" s="645"/>
      <c r="BV170" s="645"/>
      <c r="BW170" s="645"/>
      <c r="BX170" s="645"/>
      <c r="BY170" s="645"/>
      <c r="BZ170" s="646"/>
      <c r="CA170" s="646"/>
      <c r="CB170" s="646"/>
      <c r="CC170" s="646"/>
      <c r="CD170" s="646"/>
      <c r="CE170" s="646"/>
      <c r="CF170" s="646"/>
      <c r="CG170" s="646"/>
      <c r="CH170" s="646"/>
      <c r="CI170" s="646"/>
    </row>
    <row r="171" spans="2:87" ht="22.5" outlineLevel="1">
      <c r="B171" s="724">
        <v>1</v>
      </c>
      <c r="C171" s="648" t="s">
        <v>3187</v>
      </c>
      <c r="D171" s="649" t="str">
        <f>IF(AF171=0,"",AF171)</f>
        <v>1кв 2015</v>
      </c>
      <c r="E171" s="650">
        <v>10</v>
      </c>
      <c r="F171" s="743">
        <v>0.36499999999999999</v>
      </c>
      <c r="G171" s="802">
        <v>80.7</v>
      </c>
      <c r="H171" s="653">
        <f>40231.31/1000</f>
        <v>40.231310000000001</v>
      </c>
      <c r="I171" s="653"/>
      <c r="J171" s="803"/>
      <c r="K171" s="653">
        <f>94575.67/1000</f>
        <v>94.575670000000002</v>
      </c>
      <c r="L171" s="803"/>
      <c r="M171" s="803"/>
      <c r="N171" s="803"/>
      <c r="O171" s="653">
        <f>217596.66/1000</f>
        <v>217.59666000000001</v>
      </c>
      <c r="P171" s="804">
        <v>352403.64</v>
      </c>
      <c r="Q171" s="805"/>
      <c r="R171" s="656" t="s">
        <v>2595</v>
      </c>
      <c r="S171" s="657" t="s">
        <v>3188</v>
      </c>
      <c r="T171" s="657" t="s">
        <v>2612</v>
      </c>
      <c r="U171" s="602" t="s">
        <v>2950</v>
      </c>
      <c r="V171" s="744"/>
      <c r="W171" s="602" t="s">
        <v>2965</v>
      </c>
      <c r="X171" s="602" t="s">
        <v>2951</v>
      </c>
      <c r="Y171" s="582" t="str">
        <f>IF(X171="","",$C$162)</f>
        <v>ВЛ-10 от 15 до 150 кВт</v>
      </c>
      <c r="Z171" s="582" t="e">
        <f>IF(X171="","",CONCATENATE(Y171,"-",X171,"; ",#REF!))</f>
        <v>#REF!</v>
      </c>
      <c r="AA171" s="582"/>
      <c r="AB171" s="659">
        <f>O171*1000</f>
        <v>217596.66</v>
      </c>
      <c r="AC171" s="660">
        <f>(I171+H171)*1000</f>
        <v>40231.31</v>
      </c>
      <c r="AD171" s="661">
        <f>K171*1000</f>
        <v>94575.67</v>
      </c>
      <c r="AE171" s="662">
        <f>AB171+AC171+AD171</f>
        <v>352403.64</v>
      </c>
      <c r="AF171" s="662" t="s">
        <v>2966</v>
      </c>
      <c r="AG171" s="663">
        <f>IF($AF171="1кв 2015",3.67,IF($AF171="2кв 2015",3.67,IF($AF171="3кв 2015",3.8,IF($AF171="4кв 2015",3.87,"не совпадает"))))</f>
        <v>3.67</v>
      </c>
      <c r="AH171" s="664">
        <f>IF(ISERROR(AB171/$AG171),"",AB171/$AG171)</f>
        <v>59290.64305177112</v>
      </c>
      <c r="AI171" s="665">
        <f>IF(ISERROR(AC171/$AG171),"",AC171/$AG171)</f>
        <v>10962.209809264305</v>
      </c>
      <c r="AJ171" s="666">
        <f>IF(ISERROR(AD171/$AG171),"",AD171/$AG171)</f>
        <v>25769.937329700271</v>
      </c>
      <c r="AK171" s="667">
        <f>SUM(AH171,AI171,AJ171)</f>
        <v>96022.790190735701</v>
      </c>
      <c r="AS171" s="600">
        <v>1</v>
      </c>
      <c r="AT171" s="600">
        <v>14</v>
      </c>
      <c r="AZ171" s="600">
        <f>IF(B171="","",IF(P171=SUM(H171,I171,K171,O171),"ИСТИНА",P171-SUM(H171,I171,K171,O171)))</f>
        <v>352051.23636000004</v>
      </c>
      <c r="BA171" s="668" t="s">
        <v>3189</v>
      </c>
    </row>
    <row r="172" spans="2:87" s="76" customFormat="1" ht="15.75" outlineLevel="1">
      <c r="B172" s="676"/>
      <c r="C172" s="693"/>
      <c r="D172" s="694"/>
      <c r="E172" s="695"/>
      <c r="F172" s="696"/>
      <c r="G172" s="697"/>
      <c r="H172" s="247"/>
      <c r="I172" s="247"/>
      <c r="J172" s="698"/>
      <c r="K172" s="247"/>
      <c r="L172" s="699"/>
      <c r="M172" s="698"/>
      <c r="N172" s="698"/>
      <c r="O172" s="247"/>
      <c r="P172" s="700"/>
      <c r="Q172" s="185"/>
      <c r="R172" s="186"/>
      <c r="S172" s="297"/>
      <c r="T172" s="188"/>
      <c r="U172" s="168"/>
      <c r="V172" s="168"/>
      <c r="W172" s="168"/>
      <c r="X172" s="168"/>
      <c r="Y172" s="128"/>
      <c r="Z172" s="128"/>
      <c r="AA172" s="128"/>
      <c r="AB172" s="640"/>
      <c r="AC172" s="641"/>
      <c r="AD172" s="642"/>
      <c r="AE172" s="685"/>
      <c r="AF172" s="685"/>
      <c r="AG172" s="639"/>
      <c r="AH172" s="701"/>
      <c r="AI172" s="702"/>
      <c r="AJ172" s="703"/>
      <c r="AK172" s="704"/>
      <c r="BE172" s="692"/>
      <c r="BF172" s="692"/>
      <c r="BG172" s="692"/>
      <c r="BH172" s="692"/>
      <c r="BI172" s="692"/>
      <c r="BJ172" s="692"/>
      <c r="BK172" s="692"/>
      <c r="BL172" s="692"/>
      <c r="BM172" s="692"/>
      <c r="BN172" s="692"/>
      <c r="BO172" s="692"/>
      <c r="BP172" s="692"/>
      <c r="BQ172" s="692"/>
      <c r="BR172" s="692"/>
      <c r="BS172" s="692"/>
      <c r="BT172" s="692"/>
      <c r="BU172" s="692"/>
      <c r="BV172" s="692"/>
      <c r="BW172" s="692"/>
      <c r="BX172" s="692"/>
      <c r="BY172" s="692"/>
      <c r="BZ172" s="272"/>
      <c r="CA172" s="272"/>
      <c r="CB172" s="272"/>
      <c r="CC172" s="272"/>
      <c r="CD172" s="272"/>
      <c r="CE172" s="272"/>
      <c r="CF172" s="272"/>
      <c r="CG172" s="272"/>
      <c r="CH172" s="272"/>
      <c r="CI172" s="272"/>
    </row>
    <row r="173" spans="2:87" s="120" customFormat="1" ht="15.75" customHeight="1">
      <c r="B173" s="1141" t="s">
        <v>3190</v>
      </c>
      <c r="C173" s="1142" t="str">
        <f>"Всего по "&amp;T173&amp;" ("&amp;$C$162&amp;"):"</f>
        <v>Всего по Вне Г.Н.П. (ВЛ-10 от 15 до 150 кВт):</v>
      </c>
      <c r="D173" s="1143"/>
      <c r="E173" s="1143"/>
      <c r="F173" s="1144">
        <f>SUM(F174,F180,F177)</f>
        <v>9.6649999999999991</v>
      </c>
      <c r="G173" s="1145">
        <f t="shared" ref="G173:P173" si="121">SUM(G174,G180,G177)</f>
        <v>114.6</v>
      </c>
      <c r="H173" s="1145">
        <f t="shared" si="121"/>
        <v>0</v>
      </c>
      <c r="I173" s="1145">
        <f t="shared" si="121"/>
        <v>63.620370000000001</v>
      </c>
      <c r="J173" s="1145">
        <f t="shared" si="121"/>
        <v>0</v>
      </c>
      <c r="K173" s="1145">
        <f t="shared" si="121"/>
        <v>1791.18001</v>
      </c>
      <c r="L173" s="1145">
        <f t="shared" si="121"/>
        <v>0</v>
      </c>
      <c r="M173" s="1145">
        <f t="shared" si="121"/>
        <v>0</v>
      </c>
      <c r="N173" s="1145">
        <f t="shared" si="121"/>
        <v>0</v>
      </c>
      <c r="O173" s="1145">
        <f t="shared" si="121"/>
        <v>3848.0128199999999</v>
      </c>
      <c r="P173" s="1145">
        <f t="shared" si="121"/>
        <v>5702813.1999999993</v>
      </c>
      <c r="Q173" s="1146"/>
      <c r="R173" s="1146"/>
      <c r="S173" s="1146"/>
      <c r="T173" s="1146" t="s">
        <v>2958</v>
      </c>
      <c r="U173" s="128"/>
      <c r="V173" s="129"/>
      <c r="W173" s="630"/>
      <c r="X173" s="631"/>
      <c r="Y173" s="632"/>
      <c r="Z173" s="633"/>
      <c r="AA173" s="128"/>
      <c r="AB173" s="634"/>
      <c r="AC173" s="635"/>
      <c r="AD173" s="636"/>
      <c r="AE173" s="637"/>
      <c r="AF173" s="638"/>
      <c r="AG173" s="639"/>
      <c r="AH173" s="640"/>
      <c r="AI173" s="641"/>
      <c r="AJ173" s="642"/>
      <c r="AK173" s="638"/>
      <c r="AN173" s="643"/>
      <c r="AT173" s="126"/>
      <c r="AU173" s="644"/>
      <c r="BE173" s="645"/>
      <c r="BF173" s="645"/>
      <c r="BG173" s="645"/>
      <c r="BH173" s="645"/>
      <c r="BI173" s="645"/>
      <c r="BJ173" s="645"/>
      <c r="BK173" s="645"/>
      <c r="BL173" s="645"/>
      <c r="BM173" s="645"/>
      <c r="BN173" s="645"/>
      <c r="BO173" s="645"/>
      <c r="BP173" s="645"/>
      <c r="BQ173" s="645"/>
      <c r="BR173" s="645"/>
      <c r="BS173" s="645"/>
      <c r="BT173" s="645"/>
      <c r="BU173" s="645"/>
      <c r="BV173" s="645"/>
      <c r="BW173" s="645"/>
      <c r="BX173" s="645"/>
      <c r="BY173" s="645"/>
      <c r="BZ173" s="646"/>
      <c r="CA173" s="646"/>
      <c r="CB173" s="646"/>
      <c r="CC173" s="646"/>
      <c r="CD173" s="646"/>
      <c r="CE173" s="646"/>
      <c r="CF173" s="646"/>
      <c r="CG173" s="646"/>
      <c r="CH173" s="646"/>
      <c r="CI173" s="646"/>
    </row>
    <row r="174" spans="2:87" s="120" customFormat="1" ht="30">
      <c r="B174" s="1147" t="s">
        <v>3191</v>
      </c>
      <c r="C174" s="1148" t="str">
        <f>"Всего по "&amp;T173&amp;" "&amp;T174&amp;" ("&amp;$C$162&amp;"):"</f>
        <v>Всего по Вне Г.Н.П. Изолир. алюм. до 50 мм (ВЛ-10 от 15 до 150 кВт):</v>
      </c>
      <c r="D174" s="1148"/>
      <c r="E174" s="1148"/>
      <c r="F174" s="1149">
        <f>SUM(F175:F176)</f>
        <v>0</v>
      </c>
      <c r="G174" s="1150">
        <f t="shared" ref="G174:P174" si="122">SUM(G175:G176)</f>
        <v>0</v>
      </c>
      <c r="H174" s="1150">
        <f t="shared" si="122"/>
        <v>0</v>
      </c>
      <c r="I174" s="1150">
        <f t="shared" si="122"/>
        <v>0</v>
      </c>
      <c r="J174" s="1150">
        <f t="shared" si="122"/>
        <v>0</v>
      </c>
      <c r="K174" s="1150">
        <f t="shared" si="122"/>
        <v>0</v>
      </c>
      <c r="L174" s="1150">
        <f t="shared" si="122"/>
        <v>0</v>
      </c>
      <c r="M174" s="1150">
        <f t="shared" si="122"/>
        <v>0</v>
      </c>
      <c r="N174" s="1150">
        <f t="shared" si="122"/>
        <v>0</v>
      </c>
      <c r="O174" s="1150">
        <f t="shared" si="122"/>
        <v>0</v>
      </c>
      <c r="P174" s="1150">
        <f t="shared" si="122"/>
        <v>0</v>
      </c>
      <c r="Q174" s="1151"/>
      <c r="R174" s="1151"/>
      <c r="S174" s="1151"/>
      <c r="T174" s="1151" t="s">
        <v>2962</v>
      </c>
      <c r="U174" s="128"/>
      <c r="V174" s="129"/>
      <c r="W174" s="630"/>
      <c r="X174" s="631"/>
      <c r="Y174" s="632"/>
      <c r="Z174" s="633"/>
      <c r="AA174" s="128"/>
      <c r="AB174" s="634"/>
      <c r="AC174" s="635"/>
      <c r="AD174" s="636"/>
      <c r="AE174" s="637"/>
      <c r="AF174" s="638"/>
      <c r="AG174" s="639"/>
      <c r="AH174" s="640"/>
      <c r="AI174" s="641"/>
      <c r="AJ174" s="642"/>
      <c r="AK174" s="638"/>
      <c r="AN174" s="643"/>
      <c r="AT174" s="126"/>
      <c r="AU174" s="644"/>
      <c r="BC174" s="120" t="str">
        <f>[24]Прил.1!$F$13</f>
        <v>до 50 вкл.</v>
      </c>
      <c r="BD174" s="368" t="str">
        <f>CONCATENATE($BC$2,"; ",$BC$4,"; ",$BD$1,"; ",$BD$3,"; ",BC174)</f>
        <v>6-10 кВ; Вне Г.Н.П.; изолированный; алюминевый; до 50 вкл.</v>
      </c>
      <c r="BE174" s="645"/>
      <c r="BF174" s="645"/>
      <c r="BG174" s="645"/>
      <c r="BH174" s="645"/>
      <c r="BI174" s="645"/>
      <c r="BJ174" s="645"/>
      <c r="BK174" s="645"/>
      <c r="BL174" s="645"/>
      <c r="BM174" s="645"/>
      <c r="BN174" s="645"/>
      <c r="BO174" s="645"/>
      <c r="BP174" s="645"/>
      <c r="BQ174" s="645"/>
      <c r="BR174" s="645"/>
      <c r="BS174" s="645"/>
      <c r="BT174" s="645"/>
      <c r="BU174" s="645"/>
      <c r="BV174" s="645"/>
      <c r="BW174" s="645"/>
      <c r="BX174" s="645"/>
      <c r="BY174" s="645"/>
      <c r="BZ174" s="646"/>
      <c r="CA174" s="646"/>
      <c r="CB174" s="646"/>
      <c r="CC174" s="646"/>
      <c r="CD174" s="646"/>
      <c r="CE174" s="646"/>
      <c r="CF174" s="646"/>
      <c r="CG174" s="646"/>
      <c r="CH174" s="646"/>
      <c r="CI174" s="646"/>
    </row>
    <row r="175" spans="2:87" s="76" customFormat="1" ht="15.75" outlineLevel="1">
      <c r="B175" s="676"/>
      <c r="C175" s="677"/>
      <c r="D175" s="678"/>
      <c r="E175" s="679"/>
      <c r="F175" s="680"/>
      <c r="G175" s="681"/>
      <c r="H175" s="517"/>
      <c r="I175" s="517"/>
      <c r="J175" s="517"/>
      <c r="K175" s="517"/>
      <c r="L175" s="517"/>
      <c r="M175" s="517"/>
      <c r="N175" s="517"/>
      <c r="O175" s="517"/>
      <c r="P175" s="682"/>
      <c r="Q175" s="683"/>
      <c r="R175" s="684"/>
      <c r="S175" s="685"/>
      <c r="T175" s="686"/>
      <c r="U175" s="168"/>
      <c r="V175" s="168"/>
      <c r="W175" s="168"/>
      <c r="X175" s="168"/>
      <c r="Y175" s="128"/>
      <c r="Z175" s="128"/>
      <c r="AA175" s="128"/>
      <c r="AB175" s="640"/>
      <c r="AC175" s="641"/>
      <c r="AD175" s="642"/>
      <c r="AE175" s="685"/>
      <c r="AF175" s="685"/>
      <c r="AG175" s="687"/>
      <c r="AH175" s="688"/>
      <c r="AI175" s="689"/>
      <c r="AJ175" s="690"/>
      <c r="AK175" s="691"/>
      <c r="BE175" s="692"/>
      <c r="BF175" s="692"/>
      <c r="BG175" s="692"/>
      <c r="BH175" s="692"/>
      <c r="BI175" s="692"/>
      <c r="BJ175" s="692"/>
      <c r="BK175" s="692"/>
      <c r="BL175" s="692"/>
      <c r="BM175" s="692"/>
      <c r="BN175" s="692"/>
      <c r="BO175" s="692"/>
      <c r="BP175" s="692"/>
      <c r="BQ175" s="692"/>
      <c r="BR175" s="692"/>
      <c r="BS175" s="692"/>
      <c r="BT175" s="692"/>
      <c r="BU175" s="692"/>
      <c r="BV175" s="692"/>
      <c r="BW175" s="692"/>
      <c r="BX175" s="692"/>
      <c r="BY175" s="692"/>
      <c r="BZ175" s="272"/>
      <c r="CA175" s="272"/>
      <c r="CB175" s="272"/>
      <c r="CC175" s="272"/>
      <c r="CD175" s="272"/>
      <c r="CE175" s="272"/>
      <c r="CF175" s="272"/>
      <c r="CG175" s="272"/>
      <c r="CH175" s="272"/>
      <c r="CI175" s="272"/>
    </row>
    <row r="176" spans="2:87" s="76" customFormat="1" ht="15.75" outlineLevel="1">
      <c r="B176" s="676"/>
      <c r="C176" s="693"/>
      <c r="D176" s="694"/>
      <c r="E176" s="695"/>
      <c r="F176" s="696"/>
      <c r="G176" s="697"/>
      <c r="H176" s="247"/>
      <c r="I176" s="247"/>
      <c r="J176" s="698"/>
      <c r="K176" s="247"/>
      <c r="L176" s="699"/>
      <c r="M176" s="698"/>
      <c r="N176" s="698"/>
      <c r="O176" s="247"/>
      <c r="P176" s="700"/>
      <c r="Q176" s="185"/>
      <c r="R176" s="186"/>
      <c r="S176" s="297"/>
      <c r="T176" s="188"/>
      <c r="U176" s="168"/>
      <c r="V176" s="168"/>
      <c r="W176" s="168"/>
      <c r="X176" s="168"/>
      <c r="Y176" s="128"/>
      <c r="Z176" s="128"/>
      <c r="AA176" s="128"/>
      <c r="AB176" s="640"/>
      <c r="AC176" s="641"/>
      <c r="AD176" s="642"/>
      <c r="AE176" s="685"/>
      <c r="AF176" s="685"/>
      <c r="AG176" s="639"/>
      <c r="AH176" s="701"/>
      <c r="AI176" s="702"/>
      <c r="AJ176" s="703"/>
      <c r="AK176" s="704"/>
      <c r="BE176" s="692"/>
      <c r="BF176" s="692"/>
      <c r="BG176" s="692"/>
      <c r="BH176" s="692"/>
      <c r="BI176" s="692"/>
      <c r="BJ176" s="692"/>
      <c r="BK176" s="692"/>
      <c r="BL176" s="692"/>
      <c r="BM176" s="692"/>
      <c r="BN176" s="692"/>
      <c r="BO176" s="692"/>
      <c r="BP176" s="692"/>
      <c r="BQ176" s="692"/>
      <c r="BR176" s="692"/>
      <c r="BS176" s="692"/>
      <c r="BT176" s="692"/>
      <c r="BU176" s="692"/>
      <c r="BV176" s="692"/>
      <c r="BW176" s="692"/>
      <c r="BX176" s="692"/>
      <c r="BY176" s="692"/>
      <c r="BZ176" s="272"/>
      <c r="CA176" s="272"/>
      <c r="CB176" s="272"/>
      <c r="CC176" s="272"/>
      <c r="CD176" s="272"/>
      <c r="CE176" s="272"/>
      <c r="CF176" s="272"/>
      <c r="CG176" s="272"/>
      <c r="CH176" s="272"/>
      <c r="CI176" s="272"/>
    </row>
    <row r="177" spans="2:87" s="120" customFormat="1" ht="30">
      <c r="B177" s="675" t="s">
        <v>3192</v>
      </c>
      <c r="C177" s="1148" t="str">
        <f>"Всего по "&amp;T173&amp;" "&amp;T177&amp;" ("&amp;$C$162&amp;"):"</f>
        <v>Всего по Вне Г.Н.П. Изолир. алюм. 50-100 мм (ВЛ-10 от 15 до 150 кВт):</v>
      </c>
      <c r="D177" s="1148"/>
      <c r="E177" s="1148"/>
      <c r="F177" s="1149">
        <f>SUM(F178:F179)</f>
        <v>0</v>
      </c>
      <c r="G177" s="1150">
        <f>SUM(G178:G179)</f>
        <v>0</v>
      </c>
      <c r="H177" s="1150">
        <f t="shared" ref="H177:O177" si="123">SUM(H178:H179)</f>
        <v>0</v>
      </c>
      <c r="I177" s="1150">
        <f t="shared" si="123"/>
        <v>0</v>
      </c>
      <c r="J177" s="1150">
        <f t="shared" si="123"/>
        <v>0</v>
      </c>
      <c r="K177" s="1150">
        <f t="shared" si="123"/>
        <v>0</v>
      </c>
      <c r="L177" s="1150">
        <f t="shared" si="123"/>
        <v>0</v>
      </c>
      <c r="M177" s="1150">
        <f t="shared" si="123"/>
        <v>0</v>
      </c>
      <c r="N177" s="1150">
        <f t="shared" si="123"/>
        <v>0</v>
      </c>
      <c r="O177" s="1150">
        <f t="shared" si="123"/>
        <v>0</v>
      </c>
      <c r="P177" s="1150">
        <f>SUM(P178:P179)</f>
        <v>0</v>
      </c>
      <c r="Q177" s="1151"/>
      <c r="R177" s="1151"/>
      <c r="S177" s="1151"/>
      <c r="T177" s="1151" t="s">
        <v>3005</v>
      </c>
      <c r="U177" s="128"/>
      <c r="V177" s="129"/>
      <c r="W177" s="630"/>
      <c r="X177" s="631"/>
      <c r="Y177" s="632"/>
      <c r="Z177" s="633"/>
      <c r="AA177" s="128"/>
      <c r="AB177" s="634"/>
      <c r="AC177" s="635"/>
      <c r="AD177" s="636"/>
      <c r="AE177" s="637"/>
      <c r="AF177" s="638"/>
      <c r="AG177" s="639"/>
      <c r="AH177" s="640"/>
      <c r="AI177" s="641"/>
      <c r="AJ177" s="642"/>
      <c r="AK177" s="638"/>
      <c r="AN177" s="643"/>
      <c r="AT177" s="126"/>
      <c r="AU177" s="644"/>
      <c r="BC177" s="120" t="str">
        <f>[24]Прил.1!$F$14</f>
        <v>50 - 100</v>
      </c>
      <c r="BD177" s="368" t="str">
        <f>CONCATENATE($BC$2,"; ",$BC$4,"; ",$BD$1,"; ",$BD$3,"; ",BC177)</f>
        <v>6-10 кВ; Вне Г.Н.П.; изолированный; алюминевый; 50 - 100</v>
      </c>
      <c r="BE177" s="645"/>
      <c r="BF177" s="645"/>
      <c r="BG177" s="645"/>
      <c r="BH177" s="645"/>
      <c r="BI177" s="645"/>
      <c r="BJ177" s="645"/>
      <c r="BK177" s="645"/>
      <c r="BL177" s="645"/>
      <c r="BM177" s="645"/>
      <c r="BN177" s="645"/>
      <c r="BO177" s="645"/>
      <c r="BP177" s="645"/>
      <c r="BQ177" s="645"/>
      <c r="BR177" s="645"/>
      <c r="BS177" s="645"/>
      <c r="BT177" s="645"/>
      <c r="BU177" s="645"/>
      <c r="BV177" s="645"/>
      <c r="BW177" s="645"/>
      <c r="BX177" s="645"/>
      <c r="BY177" s="645"/>
      <c r="BZ177" s="646"/>
      <c r="CA177" s="646"/>
      <c r="CB177" s="646"/>
      <c r="CC177" s="646"/>
      <c r="CD177" s="646"/>
      <c r="CE177" s="646"/>
      <c r="CF177" s="646"/>
      <c r="CG177" s="646"/>
      <c r="CH177" s="646"/>
      <c r="CI177" s="646"/>
    </row>
    <row r="178" spans="2:87" s="76" customFormat="1" ht="15.75" outlineLevel="1">
      <c r="B178" s="676"/>
      <c r="C178" s="677"/>
      <c r="D178" s="678"/>
      <c r="E178" s="679"/>
      <c r="F178" s="680"/>
      <c r="G178" s="681"/>
      <c r="H178" s="517"/>
      <c r="I178" s="517"/>
      <c r="J178" s="517"/>
      <c r="K178" s="517"/>
      <c r="L178" s="517"/>
      <c r="M178" s="517"/>
      <c r="N178" s="517"/>
      <c r="O178" s="517"/>
      <c r="P178" s="682"/>
      <c r="Q178" s="683"/>
      <c r="R178" s="684"/>
      <c r="S178" s="685"/>
      <c r="T178" s="686"/>
      <c r="U178" s="168"/>
      <c r="V178" s="168"/>
      <c r="W178" s="168"/>
      <c r="X178" s="168"/>
      <c r="Y178" s="128"/>
      <c r="Z178" s="128"/>
      <c r="AA178" s="128"/>
      <c r="AB178" s="640"/>
      <c r="AC178" s="641"/>
      <c r="AD178" s="642"/>
      <c r="AE178" s="685"/>
      <c r="AF178" s="685"/>
      <c r="AG178" s="687"/>
      <c r="AH178" s="688"/>
      <c r="AI178" s="689"/>
      <c r="AJ178" s="690"/>
      <c r="AK178" s="691"/>
      <c r="BE178" s="692"/>
      <c r="BF178" s="692"/>
      <c r="BG178" s="692"/>
      <c r="BH178" s="692"/>
      <c r="BI178" s="692"/>
      <c r="BJ178" s="692"/>
      <c r="BK178" s="692"/>
      <c r="BL178" s="692"/>
      <c r="BM178" s="692"/>
      <c r="BN178" s="692"/>
      <c r="BO178" s="692"/>
      <c r="BP178" s="692"/>
      <c r="BQ178" s="692"/>
      <c r="BR178" s="692"/>
      <c r="BS178" s="692"/>
      <c r="BT178" s="692"/>
      <c r="BU178" s="692"/>
      <c r="BV178" s="692"/>
      <c r="BW178" s="692"/>
      <c r="BX178" s="692"/>
      <c r="BY178" s="692"/>
      <c r="BZ178" s="272"/>
      <c r="CA178" s="272"/>
      <c r="CB178" s="272"/>
      <c r="CC178" s="272"/>
      <c r="CD178" s="272"/>
      <c r="CE178" s="272"/>
      <c r="CF178" s="272"/>
      <c r="CG178" s="272"/>
      <c r="CH178" s="272"/>
      <c r="CI178" s="272"/>
    </row>
    <row r="179" spans="2:87" s="76" customFormat="1" ht="15.75" outlineLevel="1">
      <c r="B179" s="676"/>
      <c r="C179" s="693"/>
      <c r="D179" s="694"/>
      <c r="E179" s="695"/>
      <c r="F179" s="696"/>
      <c r="G179" s="697"/>
      <c r="H179" s="247"/>
      <c r="I179" s="247"/>
      <c r="J179" s="698"/>
      <c r="K179" s="247"/>
      <c r="L179" s="699"/>
      <c r="M179" s="698"/>
      <c r="N179" s="698"/>
      <c r="O179" s="247"/>
      <c r="P179" s="700"/>
      <c r="Q179" s="185"/>
      <c r="R179" s="186"/>
      <c r="S179" s="297"/>
      <c r="T179" s="188"/>
      <c r="U179" s="168"/>
      <c r="V179" s="168"/>
      <c r="W179" s="168"/>
      <c r="X179" s="168"/>
      <c r="Y179" s="128"/>
      <c r="Z179" s="128"/>
      <c r="AA179" s="128"/>
      <c r="AB179" s="640"/>
      <c r="AC179" s="641"/>
      <c r="AD179" s="642"/>
      <c r="AE179" s="685"/>
      <c r="AF179" s="685"/>
      <c r="AG179" s="639"/>
      <c r="AH179" s="701"/>
      <c r="AI179" s="702"/>
      <c r="AJ179" s="703"/>
      <c r="AK179" s="704"/>
      <c r="BE179" s="692"/>
      <c r="BF179" s="692"/>
      <c r="BG179" s="692"/>
      <c r="BH179" s="692"/>
      <c r="BI179" s="692"/>
      <c r="BJ179" s="692"/>
      <c r="BK179" s="692"/>
      <c r="BL179" s="692"/>
      <c r="BM179" s="692"/>
      <c r="BN179" s="692"/>
      <c r="BO179" s="692"/>
      <c r="BP179" s="692"/>
      <c r="BQ179" s="692"/>
      <c r="BR179" s="692"/>
      <c r="BS179" s="692"/>
      <c r="BT179" s="692"/>
      <c r="BU179" s="692"/>
      <c r="BV179" s="692"/>
      <c r="BW179" s="692"/>
      <c r="BX179" s="692"/>
      <c r="BY179" s="692"/>
      <c r="BZ179" s="272"/>
      <c r="CA179" s="272"/>
      <c r="CB179" s="272"/>
      <c r="CC179" s="272"/>
      <c r="CD179" s="272"/>
      <c r="CE179" s="272"/>
      <c r="CF179" s="272"/>
      <c r="CG179" s="272"/>
      <c r="CH179" s="272"/>
      <c r="CI179" s="272"/>
    </row>
    <row r="180" spans="2:87" s="120" customFormat="1" ht="30">
      <c r="B180" s="675" t="s">
        <v>3193</v>
      </c>
      <c r="C180" s="1148" t="str">
        <f>"Всего по "&amp;T173&amp;" "&amp;T180&amp;" ("&amp;$C$162&amp;"):"</f>
        <v>Всего по Вне Г.Н.П. Неизолир. сталеалюм. до 50 мм (ВЛ-10 от 15 до 150 кВт):</v>
      </c>
      <c r="D180" s="1148"/>
      <c r="E180" s="1148"/>
      <c r="F180" s="1149">
        <f t="shared" ref="F180:P180" si="124">SUM(F181:F184)</f>
        <v>9.6649999999999991</v>
      </c>
      <c r="G180" s="1150">
        <f t="shared" si="124"/>
        <v>114.6</v>
      </c>
      <c r="H180" s="1150">
        <f t="shared" si="124"/>
        <v>0</v>
      </c>
      <c r="I180" s="1150">
        <f t="shared" si="124"/>
        <v>63.620370000000001</v>
      </c>
      <c r="J180" s="1150">
        <f t="shared" si="124"/>
        <v>0</v>
      </c>
      <c r="K180" s="1150">
        <f t="shared" si="124"/>
        <v>1791.18001</v>
      </c>
      <c r="L180" s="1150">
        <f t="shared" si="124"/>
        <v>0</v>
      </c>
      <c r="M180" s="1150">
        <f t="shared" si="124"/>
        <v>0</v>
      </c>
      <c r="N180" s="1150">
        <f t="shared" si="124"/>
        <v>0</v>
      </c>
      <c r="O180" s="1150">
        <f t="shared" si="124"/>
        <v>3848.0128199999999</v>
      </c>
      <c r="P180" s="1150">
        <f t="shared" si="124"/>
        <v>5702813.1999999993</v>
      </c>
      <c r="Q180" s="1151"/>
      <c r="R180" s="1151"/>
      <c r="S180" s="1151"/>
      <c r="T180" s="1151" t="s">
        <v>3137</v>
      </c>
      <c r="U180" s="128"/>
      <c r="V180" s="129"/>
      <c r="W180" s="630"/>
      <c r="X180" s="631"/>
      <c r="Y180" s="632"/>
      <c r="Z180" s="633"/>
      <c r="AA180" s="128"/>
      <c r="AB180" s="634"/>
      <c r="AC180" s="635"/>
      <c r="AD180" s="636"/>
      <c r="AE180" s="637"/>
      <c r="AF180" s="638"/>
      <c r="AG180" s="639"/>
      <c r="AH180" s="640"/>
      <c r="AI180" s="641"/>
      <c r="AJ180" s="642"/>
      <c r="AK180" s="638"/>
      <c r="AN180" s="643"/>
      <c r="AT180" s="126"/>
      <c r="AU180" s="644"/>
      <c r="BC180" s="120" t="str">
        <f>[24]Прил.1!$F$13</f>
        <v>до 50 вкл.</v>
      </c>
      <c r="BD180" s="368" t="str">
        <f>CONCATENATE($BC$2,"; ",$BC$4,"; ",$BD$2,"; ",$BD$4,"; ",BC180)</f>
        <v>6-10 кВ; Вне Г.Н.П.; неизолированный; сталеалюминиевый; до 50 вкл.</v>
      </c>
      <c r="BE180" s="645"/>
      <c r="BF180" s="645"/>
      <c r="BG180" s="645"/>
      <c r="BH180" s="645"/>
      <c r="BI180" s="645"/>
      <c r="BJ180" s="645"/>
      <c r="BK180" s="645"/>
      <c r="BL180" s="645"/>
      <c r="BM180" s="645"/>
      <c r="BN180" s="645"/>
      <c r="BO180" s="645"/>
      <c r="BP180" s="645"/>
      <c r="BQ180" s="645"/>
      <c r="BR180" s="645"/>
      <c r="BS180" s="645"/>
      <c r="BT180" s="645"/>
      <c r="BU180" s="645"/>
      <c r="BV180" s="645"/>
      <c r="BW180" s="645"/>
      <c r="BX180" s="645"/>
      <c r="BY180" s="645"/>
      <c r="BZ180" s="646"/>
      <c r="CA180" s="646"/>
      <c r="CB180" s="646"/>
      <c r="CC180" s="646"/>
      <c r="CD180" s="646"/>
      <c r="CE180" s="646"/>
      <c r="CF180" s="646"/>
      <c r="CG180" s="646"/>
      <c r="CH180" s="646"/>
      <c r="CI180" s="646"/>
    </row>
    <row r="181" spans="2:87" ht="33.75" outlineLevel="1">
      <c r="B181" s="724">
        <f>B171+1</f>
        <v>2</v>
      </c>
      <c r="C181" s="648" t="s">
        <v>3194</v>
      </c>
      <c r="D181" s="649" t="str">
        <f t="shared" ref="D181:D183" si="125">IF(AF181=0,"",AF181)</f>
        <v>2кв 2015</v>
      </c>
      <c r="E181" s="650">
        <v>10</v>
      </c>
      <c r="F181" s="743">
        <v>0.2</v>
      </c>
      <c r="G181" s="802">
        <v>81.5</v>
      </c>
      <c r="H181" s="653"/>
      <c r="I181" s="653"/>
      <c r="J181" s="803"/>
      <c r="K181" s="653">
        <f>39325.82/1000</f>
        <v>39.32582</v>
      </c>
      <c r="L181" s="803"/>
      <c r="M181" s="803"/>
      <c r="N181" s="803"/>
      <c r="O181" s="653">
        <f>129055.39/1000</f>
        <v>129.05538999999999</v>
      </c>
      <c r="P181" s="804">
        <v>168381.21</v>
      </c>
      <c r="Q181" s="805"/>
      <c r="R181" s="656" t="s">
        <v>2595</v>
      </c>
      <c r="S181" s="657" t="s">
        <v>3195</v>
      </c>
      <c r="T181" s="657" t="s">
        <v>3151</v>
      </c>
      <c r="U181" s="602" t="s">
        <v>2950</v>
      </c>
      <c r="V181" s="744"/>
      <c r="W181" s="744" t="s">
        <v>3008</v>
      </c>
      <c r="X181" s="602" t="s">
        <v>2947</v>
      </c>
      <c r="Y181" s="582" t="str">
        <f>IF(X181="","",$C$162)</f>
        <v>ВЛ-10 от 15 до 150 кВт</v>
      </c>
      <c r="Z181" s="582" t="e">
        <f>IF(X181="","",CONCATENATE(Y181,"-",X181,"; ",#REF!))</f>
        <v>#REF!</v>
      </c>
      <c r="AA181" s="582"/>
      <c r="AB181" s="659">
        <f>O181*1000</f>
        <v>129055.38999999998</v>
      </c>
      <c r="AC181" s="660">
        <f>(I181+H181)*1000</f>
        <v>0</v>
      </c>
      <c r="AD181" s="661">
        <f>K181*1000</f>
        <v>39325.82</v>
      </c>
      <c r="AE181" s="662">
        <f>AB181+AC181+AD181</f>
        <v>168381.21</v>
      </c>
      <c r="AF181" s="662" t="s">
        <v>2970</v>
      </c>
      <c r="AG181" s="663">
        <f>IF($AF181="1кв 2015",3.67,IF($AF181="2кв 2015",3.67,IF($AF181="3кв 2015",3.8,IF($AF181="4кв 2015",3.87,"не совпадает"))))</f>
        <v>3.67</v>
      </c>
      <c r="AH181" s="664">
        <f t="shared" ref="AH181:AJ183" si="126">IF(ISERROR(AB181/$AG181),"",AB181/$AG181)</f>
        <v>35164.956403269753</v>
      </c>
      <c r="AI181" s="665">
        <f t="shared" si="126"/>
        <v>0</v>
      </c>
      <c r="AJ181" s="666">
        <f t="shared" si="126"/>
        <v>10715.482288828338</v>
      </c>
      <c r="AK181" s="667">
        <f>SUM(AH181,AI181,AJ181)</f>
        <v>45880.438692098091</v>
      </c>
      <c r="AS181" s="600">
        <v>1</v>
      </c>
      <c r="AT181" s="600" t="s">
        <v>3196</v>
      </c>
      <c r="AZ181" s="600">
        <f>IF(B181="","",IF(P181=SUM(H181,I181,K181,O181),"ИСТИНА",P181-SUM(H181,I181,K181,O181)))</f>
        <v>168212.82879</v>
      </c>
      <c r="BA181" s="668" t="s">
        <v>3197</v>
      </c>
    </row>
    <row r="182" spans="2:87" ht="22.5" outlineLevel="1">
      <c r="B182" s="647">
        <f>B181+1</f>
        <v>3</v>
      </c>
      <c r="C182" s="648" t="s">
        <v>3198</v>
      </c>
      <c r="D182" s="649" t="str">
        <f t="shared" si="125"/>
        <v>4кв 2015</v>
      </c>
      <c r="E182" s="650">
        <v>10</v>
      </c>
      <c r="F182" s="743">
        <v>4.01</v>
      </c>
      <c r="G182" s="802">
        <v>18</v>
      </c>
      <c r="H182" s="653"/>
      <c r="I182" s="653">
        <f t="shared" ref="I182" si="127">AC182/1000</f>
        <v>0</v>
      </c>
      <c r="J182" s="653"/>
      <c r="K182" s="653">
        <f t="shared" ref="K182" si="128">AD182/1000</f>
        <v>1353.6769000000002</v>
      </c>
      <c r="L182" s="653"/>
      <c r="M182" s="653"/>
      <c r="N182" s="653"/>
      <c r="O182" s="653">
        <f t="shared" ref="O182" si="129">AB182/1000</f>
        <v>1434.2416000000001</v>
      </c>
      <c r="P182" s="804">
        <v>2787918.5</v>
      </c>
      <c r="Q182" s="805"/>
      <c r="R182" s="656" t="s">
        <v>2595</v>
      </c>
      <c r="S182" s="657" t="s">
        <v>3199</v>
      </c>
      <c r="T182" s="657" t="s">
        <v>2580</v>
      </c>
      <c r="U182" s="602" t="s">
        <v>2950</v>
      </c>
      <c r="V182" s="744"/>
      <c r="W182" s="744" t="s">
        <v>3008</v>
      </c>
      <c r="X182" s="602" t="s">
        <v>2947</v>
      </c>
      <c r="Y182" s="582" t="str">
        <f>IF(X182="","",$C$162)</f>
        <v>ВЛ-10 от 15 до 150 кВт</v>
      </c>
      <c r="Z182" s="582" t="e">
        <f>IF(X182="","",CONCATENATE(Y182,"-",X182,"; ",#REF!))</f>
        <v>#REF!</v>
      </c>
      <c r="AA182" s="582"/>
      <c r="AB182" s="669">
        <v>1434241.6</v>
      </c>
      <c r="AC182" s="670">
        <v>0</v>
      </c>
      <c r="AD182" s="671">
        <f>((135694.34+1217982.56)/1000)*1000</f>
        <v>1353676.9000000001</v>
      </c>
      <c r="AE182" s="672">
        <f>AB182+AC182+AD182</f>
        <v>2787918.5</v>
      </c>
      <c r="AF182" s="662" t="s">
        <v>2981</v>
      </c>
      <c r="AG182" s="663">
        <f>IF($AF182="1кв 2015",3.67,IF($AF182="2кв 2015",3.67,IF($AF182="3кв 2015",3.8,IF($AF182="4кв 2015",3.87,"не совпадает"))))</f>
        <v>3.87</v>
      </c>
      <c r="AH182" s="664">
        <f t="shared" si="126"/>
        <v>370605.06459948322</v>
      </c>
      <c r="AI182" s="665">
        <f t="shared" si="126"/>
        <v>0</v>
      </c>
      <c r="AJ182" s="666">
        <f t="shared" si="126"/>
        <v>349787.31266149873</v>
      </c>
      <c r="AK182" s="667">
        <f>SUM(AH182,AI182,AJ182)</f>
        <v>720392.37726098194</v>
      </c>
      <c r="AS182" s="600">
        <v>1</v>
      </c>
      <c r="AT182" s="600">
        <v>76</v>
      </c>
      <c r="AU182" s="721" t="s">
        <v>3172</v>
      </c>
      <c r="AZ182" s="600">
        <f>IF(B182="","",IF(P182=SUM(H182,I182,K182,O182),"ИСТИНА",P182-SUM(H182,I182,K182,O182)))</f>
        <v>2785130.5814999999</v>
      </c>
      <c r="BA182" s="603" t="s">
        <v>3200</v>
      </c>
    </row>
    <row r="183" spans="2:87" ht="22.5" outlineLevel="1">
      <c r="B183" s="647">
        <f>B182+1</f>
        <v>4</v>
      </c>
      <c r="C183" s="648" t="s">
        <v>3201</v>
      </c>
      <c r="D183" s="649" t="str">
        <f t="shared" si="125"/>
        <v>3кв 2015</v>
      </c>
      <c r="E183" s="650">
        <v>10</v>
      </c>
      <c r="F183" s="743">
        <v>5.4550000000000001</v>
      </c>
      <c r="G183" s="802">
        <v>15.1</v>
      </c>
      <c r="H183" s="653"/>
      <c r="I183" s="653">
        <f>63620.37/1000</f>
        <v>63.620370000000001</v>
      </c>
      <c r="J183" s="803"/>
      <c r="K183" s="653">
        <f>398177.29/1000</f>
        <v>398.17728999999997</v>
      </c>
      <c r="L183" s="803"/>
      <c r="M183" s="803"/>
      <c r="N183" s="803"/>
      <c r="O183" s="653">
        <f>2284715.83/1000</f>
        <v>2284.7158300000001</v>
      </c>
      <c r="P183" s="804">
        <v>2746513.4899999998</v>
      </c>
      <c r="Q183" s="805"/>
      <c r="R183" s="656" t="s">
        <v>2595</v>
      </c>
      <c r="S183" s="657" t="s">
        <v>3202</v>
      </c>
      <c r="T183" s="657" t="s">
        <v>2581</v>
      </c>
      <c r="U183" s="602" t="s">
        <v>2950</v>
      </c>
      <c r="V183" s="744"/>
      <c r="W183" s="744" t="s">
        <v>3008</v>
      </c>
      <c r="X183" s="602" t="s">
        <v>2947</v>
      </c>
      <c r="Y183" s="582" t="str">
        <f>IF(X183="","",$C$162)</f>
        <v>ВЛ-10 от 15 до 150 кВт</v>
      </c>
      <c r="Z183" s="582" t="e">
        <f>IF(X183="","",CONCATENATE(Y183,"-",X183,"; ",#REF!))</f>
        <v>#REF!</v>
      </c>
      <c r="AA183" s="582"/>
      <c r="AB183" s="659">
        <f>O183*1000</f>
        <v>2284715.83</v>
      </c>
      <c r="AC183" s="660">
        <f>(I183+H183)*1000</f>
        <v>63620.37</v>
      </c>
      <c r="AD183" s="661">
        <f>K183*1000</f>
        <v>398177.29</v>
      </c>
      <c r="AE183" s="662">
        <f>AB183+AC183+AD183</f>
        <v>2746513.49</v>
      </c>
      <c r="AF183" s="662" t="s">
        <v>3044</v>
      </c>
      <c r="AG183" s="663">
        <f>IF($AF183="1кв 2015",3.67,IF($AF183="2кв 2015",3.67,IF($AF183="3кв 2015",3.8,IF($AF183="4кв 2015",3.87,"не совпадает"))))</f>
        <v>3.8</v>
      </c>
      <c r="AH183" s="664">
        <f t="shared" si="126"/>
        <v>601241.00789473695</v>
      </c>
      <c r="AI183" s="665">
        <f t="shared" si="126"/>
        <v>16742.202631578948</v>
      </c>
      <c r="AJ183" s="666">
        <f t="shared" si="126"/>
        <v>104783.49736842106</v>
      </c>
      <c r="AK183" s="667">
        <f>SUM(AH183,AI183,AJ183)</f>
        <v>722766.7078947369</v>
      </c>
      <c r="AS183" s="600">
        <v>1</v>
      </c>
      <c r="AT183" s="600">
        <v>46</v>
      </c>
      <c r="AZ183" s="600">
        <f>IF(B183="","",IF(P183=SUM(H183,I183,K183,O183),"ИСТИНА",P183-SUM(H183,I183,K183,O183)))</f>
        <v>2743766.9765099999</v>
      </c>
      <c r="BA183" s="806" t="s">
        <v>3203</v>
      </c>
    </row>
    <row r="184" spans="2:87" ht="15.75" outlineLevel="1">
      <c r="B184" s="807"/>
      <c r="C184" s="775"/>
      <c r="D184" s="808"/>
      <c r="E184" s="809"/>
      <c r="F184" s="776"/>
      <c r="G184" s="810"/>
      <c r="H184" s="778"/>
      <c r="I184" s="778"/>
      <c r="J184" s="778"/>
      <c r="K184" s="778"/>
      <c r="L184" s="778"/>
      <c r="M184" s="778"/>
      <c r="N184" s="778"/>
      <c r="O184" s="778"/>
      <c r="P184" s="811"/>
      <c r="Q184" s="812"/>
      <c r="R184" s="781"/>
      <c r="S184" s="782"/>
      <c r="T184" s="782"/>
      <c r="U184" s="602"/>
      <c r="V184" s="744"/>
      <c r="W184" s="744"/>
      <c r="X184" s="602"/>
      <c r="Y184" s="582"/>
      <c r="Z184" s="582"/>
      <c r="AA184" s="582"/>
      <c r="AB184" s="669"/>
      <c r="AC184" s="670"/>
      <c r="AD184" s="671"/>
      <c r="AE184" s="672"/>
      <c r="AF184" s="662"/>
      <c r="AG184" s="663"/>
      <c r="AH184" s="664"/>
      <c r="AI184" s="665"/>
      <c r="AJ184" s="666"/>
      <c r="AK184" s="667"/>
      <c r="AU184" s="721"/>
    </row>
    <row r="185" spans="2:87" ht="18.75">
      <c r="B185" s="1161">
        <f>MAX(B163:B184)</f>
        <v>4</v>
      </c>
      <c r="C185" s="1294" t="str">
        <f>"ИТОГО по "&amp;$C$162&amp;":"</f>
        <v>ИТОГО по ВЛ-10 от 15 до 150 кВт:</v>
      </c>
      <c r="D185" s="1294"/>
      <c r="E185" s="1294"/>
      <c r="F185" s="1295">
        <f>SUM(F163,F173)</f>
        <v>10.029999999999999</v>
      </c>
      <c r="G185" s="1296">
        <f t="shared" ref="G185:P185" si="130">SUM(G163,G173)</f>
        <v>195.3</v>
      </c>
      <c r="H185" s="1296">
        <f t="shared" si="130"/>
        <v>40.231310000000001</v>
      </c>
      <c r="I185" s="1296">
        <f t="shared" si="130"/>
        <v>63.620370000000001</v>
      </c>
      <c r="J185" s="1296">
        <f t="shared" si="130"/>
        <v>0</v>
      </c>
      <c r="K185" s="1296">
        <f t="shared" si="130"/>
        <v>1885.75568</v>
      </c>
      <c r="L185" s="1296">
        <f t="shared" si="130"/>
        <v>0</v>
      </c>
      <c r="M185" s="1296">
        <f t="shared" si="130"/>
        <v>0</v>
      </c>
      <c r="N185" s="1296">
        <f t="shared" si="130"/>
        <v>0</v>
      </c>
      <c r="O185" s="1296">
        <f t="shared" si="130"/>
        <v>4065.6094800000001</v>
      </c>
      <c r="P185" s="1296">
        <f t="shared" si="130"/>
        <v>6055216.8399999989</v>
      </c>
      <c r="Q185" s="1251"/>
      <c r="R185" s="1259"/>
      <c r="S185" s="1251"/>
      <c r="T185" s="1251"/>
      <c r="U185" s="737"/>
      <c r="V185" s="737"/>
      <c r="W185" s="737"/>
      <c r="Y185" s="582" t="str">
        <f t="shared" ref="Y185:Y187" si="131">IF(X185="","",$C$162)</f>
        <v/>
      </c>
      <c r="Z185" s="582" t="str">
        <f>IF(X185="","",CONCATENATE(Y185,"-",X185,"; ",#REF!))</f>
        <v/>
      </c>
      <c r="AA185" s="582"/>
      <c r="AB185" s="659"/>
      <c r="AC185" s="660"/>
      <c r="AD185" s="661"/>
      <c r="AE185" s="662"/>
      <c r="AF185" s="662"/>
      <c r="AG185" s="663" t="str">
        <f t="shared" si="54"/>
        <v>не совпадает</v>
      </c>
      <c r="AH185" s="664" t="str">
        <f t="shared" si="76"/>
        <v/>
      </c>
      <c r="AI185" s="665" t="str">
        <f t="shared" si="76"/>
        <v/>
      </c>
      <c r="AJ185" s="666" t="str">
        <f t="shared" si="76"/>
        <v/>
      </c>
      <c r="AK185" s="667">
        <f t="shared" si="115"/>
        <v>0</v>
      </c>
      <c r="AO185" s="1297">
        <f>SUM(AO161:AO184)</f>
        <v>0</v>
      </c>
      <c r="AP185" s="1297">
        <f>AO185/F185</f>
        <v>0</v>
      </c>
    </row>
    <row r="186" spans="2:87" s="757" customFormat="1" ht="21">
      <c r="B186" s="1285"/>
      <c r="C186" s="1286" t="str">
        <f>"ИТОГО ВЛ "&amp;$C$142&amp;":"</f>
        <v>ИТОГО ВЛ от 15 до 150 кВт:</v>
      </c>
      <c r="D186" s="1286"/>
      <c r="E186" s="1286"/>
      <c r="F186" s="1287">
        <f t="shared" ref="F186:P186" si="132">SUM(F161,F185)</f>
        <v>10.199999999999999</v>
      </c>
      <c r="G186" s="1288">
        <f t="shared" si="132"/>
        <v>219.3</v>
      </c>
      <c r="H186" s="1288">
        <f t="shared" si="132"/>
        <v>40.231310000000001</v>
      </c>
      <c r="I186" s="1288">
        <f t="shared" si="132"/>
        <v>63.620370000000001</v>
      </c>
      <c r="J186" s="1288">
        <f t="shared" si="132"/>
        <v>0</v>
      </c>
      <c r="K186" s="1288">
        <f t="shared" si="132"/>
        <v>1886.1649399999999</v>
      </c>
      <c r="L186" s="1288">
        <f t="shared" si="132"/>
        <v>0</v>
      </c>
      <c r="M186" s="1288">
        <f t="shared" si="132"/>
        <v>0</v>
      </c>
      <c r="N186" s="1288">
        <f t="shared" si="132"/>
        <v>0</v>
      </c>
      <c r="O186" s="1288">
        <f t="shared" si="132"/>
        <v>4076.1102700000001</v>
      </c>
      <c r="P186" s="1288">
        <f t="shared" si="132"/>
        <v>6066126.8899999987</v>
      </c>
      <c r="Q186" s="1289"/>
      <c r="R186" s="1289"/>
      <c r="S186" s="1289"/>
      <c r="T186" s="1290"/>
      <c r="U186" s="582"/>
      <c r="V186" s="745"/>
      <c r="W186" s="746"/>
      <c r="X186" s="747"/>
      <c r="Y186" s="748" t="str">
        <f>IF(X186="","",#REF!)</f>
        <v/>
      </c>
      <c r="Z186" s="749" t="str">
        <f t="shared" ref="Z186" si="133">IF(X186="","",CONCATENATE(Y186,"-",X186,"; ",$T$81))</f>
        <v/>
      </c>
      <c r="AA186" s="582"/>
      <c r="AB186" s="750">
        <f>J186+L186+M186</f>
        <v>0</v>
      </c>
      <c r="AC186" s="751">
        <f>I186</f>
        <v>63.620370000000001</v>
      </c>
      <c r="AD186" s="752">
        <f>K186+H186</f>
        <v>1926.3962499999998</v>
      </c>
      <c r="AE186" s="753">
        <f t="shared" ref="AE186" si="134">AB186+AC186+AD186</f>
        <v>1990.0166199999999</v>
      </c>
      <c r="AF186" s="754"/>
      <c r="AG186" s="663" t="str">
        <f t="shared" si="54"/>
        <v>не совпадает</v>
      </c>
      <c r="AH186" s="732" t="str">
        <f>IF(ISERROR(AB186/$AG186),"",AB186/$AG186)</f>
        <v/>
      </c>
      <c r="AI186" s="733" t="str">
        <f>IF(ISERROR(AC186/$AG186),"",AC186/$AG186)</f>
        <v/>
      </c>
      <c r="AJ186" s="734" t="str">
        <f>IF(ISERROR(AD186/$AG186),"",AD186/$AG186)</f>
        <v/>
      </c>
      <c r="AK186" s="755">
        <f t="shared" si="115"/>
        <v>0</v>
      </c>
      <c r="AL186" s="756"/>
      <c r="AM186" s="757">
        <f>IF(P186=AE186,"Истина",P186-AE186)</f>
        <v>6064136.8733799988</v>
      </c>
      <c r="AN186" s="758"/>
      <c r="AT186" s="1291"/>
      <c r="AU186" s="1292"/>
      <c r="BE186" s="759"/>
      <c r="BF186" s="759"/>
      <c r="BG186" s="759"/>
      <c r="BH186" s="759"/>
      <c r="BI186" s="759"/>
      <c r="BJ186" s="759"/>
      <c r="BK186" s="759"/>
      <c r="BL186" s="759"/>
      <c r="BM186" s="759"/>
      <c r="BN186" s="759"/>
      <c r="BO186" s="759"/>
      <c r="BP186" s="759"/>
      <c r="BQ186" s="759"/>
      <c r="BR186" s="759"/>
      <c r="BS186" s="759"/>
      <c r="BT186" s="759"/>
      <c r="BU186" s="759"/>
      <c r="BV186" s="759"/>
      <c r="BW186" s="759"/>
      <c r="BX186" s="759"/>
      <c r="BY186" s="759"/>
      <c r="BZ186" s="760"/>
      <c r="CA186" s="760"/>
      <c r="CB186" s="760"/>
      <c r="CC186" s="760"/>
      <c r="CD186" s="760"/>
      <c r="CE186" s="760"/>
      <c r="CF186" s="760"/>
      <c r="CG186" s="760"/>
      <c r="CH186" s="760"/>
      <c r="CI186" s="760"/>
    </row>
    <row r="187" spans="2:87" ht="18.75">
      <c r="B187" s="1261" t="s">
        <v>14</v>
      </c>
      <c r="C187" s="3225" t="s">
        <v>2613</v>
      </c>
      <c r="D187" s="3225"/>
      <c r="E187" s="3225"/>
      <c r="F187" s="3225"/>
      <c r="G187" s="3225"/>
      <c r="H187" s="3225"/>
      <c r="I187" s="3225"/>
      <c r="J187" s="3225"/>
      <c r="K187" s="3225"/>
      <c r="L187" s="3225"/>
      <c r="M187" s="3225"/>
      <c r="N187" s="3225"/>
      <c r="O187" s="3225"/>
      <c r="P187" s="3225"/>
      <c r="Q187" s="3225"/>
      <c r="R187" s="3225"/>
      <c r="S187" s="3225"/>
      <c r="T187" s="3225"/>
      <c r="U187" s="783"/>
      <c r="V187" s="783"/>
      <c r="W187" s="783"/>
      <c r="Y187" s="582" t="str">
        <f t="shared" si="131"/>
        <v/>
      </c>
      <c r="Z187" s="582" t="str">
        <f>IF(X187="","",CONCATENATE(Y187,"-",X187,"; ",#REF!))</f>
        <v/>
      </c>
      <c r="AA187" s="582"/>
      <c r="AB187" s="659"/>
      <c r="AC187" s="660"/>
      <c r="AD187" s="661"/>
      <c r="AE187" s="662"/>
      <c r="AF187" s="662"/>
      <c r="AG187" s="663" t="str">
        <f t="shared" si="54"/>
        <v>не совпадает</v>
      </c>
      <c r="AH187" s="664" t="str">
        <f t="shared" si="76"/>
        <v/>
      </c>
      <c r="AI187" s="665" t="str">
        <f t="shared" si="76"/>
        <v/>
      </c>
      <c r="AJ187" s="666" t="str">
        <f t="shared" si="76"/>
        <v/>
      </c>
      <c r="AK187" s="667">
        <f t="shared" si="115"/>
        <v>0</v>
      </c>
    </row>
    <row r="188" spans="2:87" ht="18.75">
      <c r="B188" s="1265" t="s">
        <v>18</v>
      </c>
      <c r="C188" s="1266" t="s">
        <v>2614</v>
      </c>
      <c r="D188" s="1267"/>
      <c r="E188" s="1267"/>
      <c r="F188" s="1268">
        <f>SUM(F189)</f>
        <v>0</v>
      </c>
      <c r="G188" s="1269">
        <f t="shared" ref="G188:P189" si="135">SUM(G189)</f>
        <v>0</v>
      </c>
      <c r="H188" s="1269">
        <f t="shared" si="135"/>
        <v>0</v>
      </c>
      <c r="I188" s="1269">
        <f t="shared" si="135"/>
        <v>0</v>
      </c>
      <c r="J188" s="1269">
        <f t="shared" si="135"/>
        <v>0</v>
      </c>
      <c r="K188" s="1269">
        <f t="shared" si="135"/>
        <v>0</v>
      </c>
      <c r="L188" s="1269">
        <f t="shared" si="135"/>
        <v>0</v>
      </c>
      <c r="M188" s="1269">
        <f t="shared" si="135"/>
        <v>0</v>
      </c>
      <c r="N188" s="1269">
        <f t="shared" si="135"/>
        <v>0</v>
      </c>
      <c r="O188" s="1269">
        <f t="shared" si="135"/>
        <v>0</v>
      </c>
      <c r="P188" s="1269">
        <f t="shared" si="135"/>
        <v>0</v>
      </c>
      <c r="Q188" s="1267"/>
      <c r="R188" s="1267"/>
      <c r="S188" s="1267"/>
      <c r="T188" s="1270"/>
      <c r="U188" s="620"/>
      <c r="V188" s="620"/>
      <c r="W188" s="620"/>
      <c r="Y188" s="582" t="str">
        <f>IF(X188="","",$C$143)</f>
        <v/>
      </c>
      <c r="Z188" s="582" t="str">
        <f>IF(X188="","",CONCATENATE(Y188,"-",X188,"; ",#REF!))</f>
        <v/>
      </c>
      <c r="AA188" s="582"/>
      <c r="AB188" s="659"/>
      <c r="AC188" s="660"/>
      <c r="AD188" s="661"/>
      <c r="AE188" s="662"/>
      <c r="AF188" s="662"/>
      <c r="AG188" s="663" t="str">
        <f t="shared" si="54"/>
        <v>не совпадает</v>
      </c>
      <c r="AH188" s="664" t="str">
        <f t="shared" si="76"/>
        <v/>
      </c>
      <c r="AI188" s="665" t="str">
        <f t="shared" si="76"/>
        <v/>
      </c>
      <c r="AJ188" s="666" t="str">
        <f t="shared" si="76"/>
        <v/>
      </c>
      <c r="AK188" s="667">
        <f t="shared" si="115"/>
        <v>0</v>
      </c>
      <c r="AR188" s="606"/>
      <c r="BC188" s="625" t="str">
        <f>C188</f>
        <v>ВЛ-0,4 от 150 до 670 кВт</v>
      </c>
    </row>
    <row r="189" spans="2:87" s="725" customFormat="1" ht="15.75" outlineLevel="1">
      <c r="B189" s="1298"/>
      <c r="C189" s="1188" t="str">
        <f>"Всего по "&amp;T189&amp;" ("&amp;$C$188&amp;"):"</f>
        <v>Всего по 0 (ВЛ-0,4 от 150 до 670 кВт):</v>
      </c>
      <c r="D189" s="1299"/>
      <c r="E189" s="1299"/>
      <c r="F189" s="1300">
        <f>SUM(F190)</f>
        <v>0</v>
      </c>
      <c r="G189" s="1301">
        <f t="shared" si="135"/>
        <v>0</v>
      </c>
      <c r="H189" s="1301">
        <f t="shared" si="135"/>
        <v>0</v>
      </c>
      <c r="I189" s="1301">
        <f t="shared" si="135"/>
        <v>0</v>
      </c>
      <c r="J189" s="1301">
        <f t="shared" si="135"/>
        <v>0</v>
      </c>
      <c r="K189" s="1301">
        <f t="shared" si="135"/>
        <v>0</v>
      </c>
      <c r="L189" s="1301">
        <f t="shared" si="135"/>
        <v>0</v>
      </c>
      <c r="M189" s="1301">
        <f t="shared" si="135"/>
        <v>0</v>
      </c>
      <c r="N189" s="1301">
        <f t="shared" si="135"/>
        <v>0</v>
      </c>
      <c r="O189" s="1301">
        <f t="shared" si="135"/>
        <v>0</v>
      </c>
      <c r="P189" s="1301">
        <f t="shared" si="135"/>
        <v>0</v>
      </c>
      <c r="Q189" s="1302"/>
      <c r="R189" s="1302"/>
      <c r="S189" s="1302"/>
      <c r="T189" s="1303">
        <f>T190</f>
        <v>0</v>
      </c>
      <c r="U189" s="813"/>
      <c r="V189" s="813"/>
      <c r="W189" s="813"/>
      <c r="Y189" s="582" t="str">
        <f t="shared" ref="Y189:Y191" si="136">IF(X189="","",$C$143)</f>
        <v/>
      </c>
      <c r="Z189" s="582" t="str">
        <f>IF(X189="","",CONCATENATE(Y189,"-",X189,"; ",#REF!))</f>
        <v/>
      </c>
      <c r="AA189" s="582"/>
      <c r="AB189" s="659"/>
      <c r="AC189" s="660"/>
      <c r="AD189" s="661"/>
      <c r="AE189" s="662"/>
      <c r="AF189" s="662"/>
      <c r="AG189" s="663" t="str">
        <f t="shared" si="54"/>
        <v>не совпадает</v>
      </c>
      <c r="AH189" s="664" t="str">
        <f t="shared" si="76"/>
        <v/>
      </c>
      <c r="AI189" s="665" t="str">
        <f t="shared" si="76"/>
        <v/>
      </c>
      <c r="AJ189" s="666" t="str">
        <f t="shared" si="76"/>
        <v/>
      </c>
      <c r="AK189" s="667">
        <f t="shared" si="115"/>
        <v>0</v>
      </c>
      <c r="AN189" s="763" t="e">
        <f>#REF!</f>
        <v>#REF!</v>
      </c>
      <c r="AO189" s="764" t="e">
        <f>AN189*F189*$AO$6</f>
        <v>#REF!</v>
      </c>
      <c r="AP189" s="764" t="e">
        <f>AO189/F189</f>
        <v>#REF!</v>
      </c>
      <c r="AZ189" s="600"/>
      <c r="BA189" s="814"/>
      <c r="BE189" s="815"/>
      <c r="BF189" s="815"/>
      <c r="BG189" s="815"/>
      <c r="BH189" s="815"/>
      <c r="BI189" s="815"/>
      <c r="BJ189" s="815"/>
      <c r="BK189" s="815"/>
      <c r="BL189" s="815"/>
      <c r="BM189" s="815"/>
      <c r="BN189" s="815"/>
      <c r="BO189" s="815"/>
      <c r="BP189" s="815"/>
      <c r="BQ189" s="815"/>
      <c r="BR189" s="815"/>
      <c r="BS189" s="815"/>
      <c r="BT189" s="815"/>
      <c r="BU189" s="815"/>
      <c r="BV189" s="815"/>
      <c r="BW189" s="815"/>
      <c r="BX189" s="815"/>
      <c r="BY189" s="815"/>
      <c r="BZ189" s="816"/>
      <c r="CA189" s="816"/>
      <c r="CB189" s="816"/>
      <c r="CC189" s="816"/>
      <c r="CD189" s="816"/>
      <c r="CE189" s="816"/>
      <c r="CF189" s="816"/>
      <c r="CG189" s="816"/>
      <c r="CH189" s="816"/>
      <c r="CI189" s="816"/>
    </row>
    <row r="190" spans="2:87" ht="15.75" outlineLevel="1">
      <c r="B190" s="807"/>
      <c r="C190" s="775"/>
      <c r="D190" s="808" t="str">
        <f>IF(AF190=0,"",AF190)</f>
        <v>1кв 2015</v>
      </c>
      <c r="E190" s="809">
        <v>0.4</v>
      </c>
      <c r="F190" s="776"/>
      <c r="G190" s="777"/>
      <c r="H190" s="817"/>
      <c r="I190" s="817"/>
      <c r="J190" s="817"/>
      <c r="K190" s="817"/>
      <c r="L190" s="817"/>
      <c r="M190" s="817"/>
      <c r="N190" s="817"/>
      <c r="O190" s="817"/>
      <c r="P190" s="779"/>
      <c r="Q190" s="780"/>
      <c r="R190" s="781"/>
      <c r="S190" s="782"/>
      <c r="T190" s="782"/>
      <c r="U190" s="744"/>
      <c r="V190" s="744"/>
      <c r="W190" s="744"/>
      <c r="X190" s="600" t="s">
        <v>2519</v>
      </c>
      <c r="Y190" s="582" t="str">
        <f t="shared" si="136"/>
        <v>ВЛ-0,4 от 15 до 150 кВт</v>
      </c>
      <c r="Z190" s="582" t="e">
        <f>IF(X190="","",CONCATENATE(Y190,"-",X190,"; ",#REF!))</f>
        <v>#REF!</v>
      </c>
      <c r="AA190" s="582"/>
      <c r="AB190" s="659">
        <f>O190*1000</f>
        <v>0</v>
      </c>
      <c r="AC190" s="660">
        <f>(I190+H190)*1000</f>
        <v>0</v>
      </c>
      <c r="AD190" s="661">
        <f>K190*1000</f>
        <v>0</v>
      </c>
      <c r="AE190" s="662">
        <f>AB190+AC190+AD190</f>
        <v>0</v>
      </c>
      <c r="AF190" s="662" t="s">
        <v>2966</v>
      </c>
      <c r="AG190" s="663">
        <f t="shared" si="54"/>
        <v>3.67</v>
      </c>
      <c r="AH190" s="664">
        <f t="shared" si="76"/>
        <v>0</v>
      </c>
      <c r="AI190" s="665">
        <f t="shared" si="76"/>
        <v>0</v>
      </c>
      <c r="AJ190" s="666">
        <f t="shared" si="76"/>
        <v>0</v>
      </c>
      <c r="AK190" s="667">
        <f t="shared" si="115"/>
        <v>0</v>
      </c>
      <c r="AS190" s="600">
        <v>1</v>
      </c>
      <c r="AT190" s="600">
        <v>16</v>
      </c>
      <c r="AZ190" s="600" t="str">
        <f>IF(B190="","",IF(P190=SUM(H190,I190,K190,O190),"ИСТИНА",P190-SUM(H190,I190,K190,O190)))</f>
        <v/>
      </c>
      <c r="BA190" s="668" t="s">
        <v>3180</v>
      </c>
    </row>
    <row r="191" spans="2:87" ht="18.75">
      <c r="B191" s="1161">
        <f>MAX(B189:B190)</f>
        <v>0</v>
      </c>
      <c r="C191" s="1294" t="str">
        <f>"ИТОГО по "&amp;$C$188&amp;":"</f>
        <v>ИТОГО по ВЛ-0,4 от 150 до 670 кВт:</v>
      </c>
      <c r="D191" s="1294"/>
      <c r="E191" s="1294"/>
      <c r="F191" s="1295">
        <f>SUM(F189)</f>
        <v>0</v>
      </c>
      <c r="G191" s="1296">
        <f t="shared" ref="G191:O191" si="137">SUM(G189)</f>
        <v>0</v>
      </c>
      <c r="H191" s="1296">
        <f t="shared" si="137"/>
        <v>0</v>
      </c>
      <c r="I191" s="1296">
        <f t="shared" si="137"/>
        <v>0</v>
      </c>
      <c r="J191" s="1296">
        <f t="shared" si="137"/>
        <v>0</v>
      </c>
      <c r="K191" s="1296">
        <f t="shared" si="137"/>
        <v>0</v>
      </c>
      <c r="L191" s="1296">
        <f t="shared" si="137"/>
        <v>0</v>
      </c>
      <c r="M191" s="1296">
        <f t="shared" si="137"/>
        <v>0</v>
      </c>
      <c r="N191" s="1296">
        <f t="shared" si="137"/>
        <v>0</v>
      </c>
      <c r="O191" s="1296">
        <f t="shared" si="137"/>
        <v>0</v>
      </c>
      <c r="P191" s="1296">
        <f>SUM(P189)</f>
        <v>0</v>
      </c>
      <c r="Q191" s="1251"/>
      <c r="R191" s="1259"/>
      <c r="S191" s="1251"/>
      <c r="T191" s="1251"/>
      <c r="U191" s="737"/>
      <c r="V191" s="737"/>
      <c r="W191" s="737"/>
      <c r="Y191" s="582" t="str">
        <f t="shared" si="136"/>
        <v/>
      </c>
      <c r="Z191" s="582" t="str">
        <f>IF(X191="","",CONCATENATE(Y191,"-",X191,"; ",#REF!))</f>
        <v/>
      </c>
      <c r="AA191" s="582"/>
      <c r="AB191" s="659"/>
      <c r="AC191" s="660"/>
      <c r="AD191" s="661"/>
      <c r="AE191" s="662"/>
      <c r="AF191" s="662"/>
      <c r="AG191" s="663" t="str">
        <f t="shared" si="54"/>
        <v>не совпадает</v>
      </c>
      <c r="AH191" s="664" t="str">
        <f t="shared" si="76"/>
        <v/>
      </c>
      <c r="AI191" s="665" t="str">
        <f t="shared" si="76"/>
        <v/>
      </c>
      <c r="AJ191" s="666" t="str">
        <f t="shared" si="76"/>
        <v/>
      </c>
      <c r="AK191" s="667">
        <f t="shared" si="115"/>
        <v>0</v>
      </c>
      <c r="AZ191" s="600" t="str">
        <f>IF(B191="","",IF(P191=SUM(H191,I191,K191,O191),"ИСТИНА",P191-SUM(H191,I191,K191,O191)))</f>
        <v>ИСТИНА</v>
      </c>
    </row>
    <row r="192" spans="2:87" ht="18.75">
      <c r="B192" s="1265" t="s">
        <v>19</v>
      </c>
      <c r="C192" s="1266" t="s">
        <v>2615</v>
      </c>
      <c r="D192" s="1267"/>
      <c r="E192" s="1267"/>
      <c r="F192" s="1268">
        <f>SUM(F193)</f>
        <v>0.02</v>
      </c>
      <c r="G192" s="1269">
        <f t="shared" ref="G192:P192" si="138">SUM(G193)</f>
        <v>264.66000000000003</v>
      </c>
      <c r="H192" s="1269">
        <f t="shared" si="138"/>
        <v>0</v>
      </c>
      <c r="I192" s="1269">
        <f t="shared" si="138"/>
        <v>0</v>
      </c>
      <c r="J192" s="1269">
        <f t="shared" si="138"/>
        <v>0</v>
      </c>
      <c r="K192" s="1269">
        <f t="shared" si="138"/>
        <v>1.3974800000000001</v>
      </c>
      <c r="L192" s="1269">
        <f t="shared" si="138"/>
        <v>0</v>
      </c>
      <c r="M192" s="1269">
        <f t="shared" si="138"/>
        <v>0</v>
      </c>
      <c r="N192" s="1269">
        <f t="shared" si="138"/>
        <v>0</v>
      </c>
      <c r="O192" s="1269">
        <f t="shared" si="138"/>
        <v>74.129929999999987</v>
      </c>
      <c r="P192" s="1269">
        <f t="shared" si="138"/>
        <v>75527.41</v>
      </c>
      <c r="Q192" s="1267"/>
      <c r="R192" s="1267"/>
      <c r="S192" s="1267"/>
      <c r="T192" s="1270"/>
      <c r="U192" s="620"/>
      <c r="V192" s="620"/>
      <c r="W192" s="620"/>
      <c r="Y192" s="582" t="str">
        <f>IF(X192="","",$C$192)</f>
        <v/>
      </c>
      <c r="Z192" s="582" t="str">
        <f>IF(X192="","",CONCATENATE(Y192,"-",X192,"; ",#REF!))</f>
        <v/>
      </c>
      <c r="AA192" s="582"/>
      <c r="AB192" s="659"/>
      <c r="AC192" s="660"/>
      <c r="AD192" s="661"/>
      <c r="AE192" s="662"/>
      <c r="AF192" s="662"/>
      <c r="AG192" s="663" t="str">
        <f t="shared" si="54"/>
        <v>не совпадает</v>
      </c>
      <c r="AH192" s="664" t="str">
        <f t="shared" si="76"/>
        <v/>
      </c>
      <c r="AI192" s="665" t="str">
        <f t="shared" si="76"/>
        <v/>
      </c>
      <c r="AJ192" s="666" t="str">
        <f t="shared" si="76"/>
        <v/>
      </c>
      <c r="AK192" s="667">
        <f t="shared" si="115"/>
        <v>0</v>
      </c>
      <c r="BC192" s="625" t="str">
        <f>C192</f>
        <v>ВЛ-10 от 150 до 670 кВт</v>
      </c>
    </row>
    <row r="193" spans="2:87" s="120" customFormat="1" ht="15.75">
      <c r="B193" s="121" t="s">
        <v>2616</v>
      </c>
      <c r="C193" s="1142" t="str">
        <f>"Всего по "&amp;T193&amp;" ("&amp;$C$192&amp;"):"</f>
        <v>Всего по Г.Н.П. (ВЛ-10 от 150 до 670 кВт):</v>
      </c>
      <c r="D193" s="1143"/>
      <c r="E193" s="1143"/>
      <c r="F193" s="1144">
        <f>SUM(F194,F197,F200)</f>
        <v>0.02</v>
      </c>
      <c r="G193" s="1145">
        <f t="shared" ref="G193:P193" si="139">SUM(G194,G197,G200)</f>
        <v>264.66000000000003</v>
      </c>
      <c r="H193" s="1145">
        <f t="shared" si="139"/>
        <v>0</v>
      </c>
      <c r="I193" s="1145">
        <f t="shared" si="139"/>
        <v>0</v>
      </c>
      <c r="J193" s="1145">
        <f t="shared" si="139"/>
        <v>0</v>
      </c>
      <c r="K193" s="1145">
        <f t="shared" si="139"/>
        <v>1.3974800000000001</v>
      </c>
      <c r="L193" s="1145">
        <f t="shared" si="139"/>
        <v>0</v>
      </c>
      <c r="M193" s="1145">
        <f t="shared" si="139"/>
        <v>0</v>
      </c>
      <c r="N193" s="1145">
        <f t="shared" si="139"/>
        <v>0</v>
      </c>
      <c r="O193" s="1145">
        <f t="shared" si="139"/>
        <v>74.129929999999987</v>
      </c>
      <c r="P193" s="1145">
        <f t="shared" si="139"/>
        <v>75527.41</v>
      </c>
      <c r="Q193" s="1146"/>
      <c r="R193" s="1146"/>
      <c r="S193" s="1146"/>
      <c r="T193" s="1146" t="s">
        <v>2956</v>
      </c>
      <c r="U193" s="128"/>
      <c r="V193" s="129"/>
      <c r="W193" s="630"/>
      <c r="X193" s="631"/>
      <c r="Y193" s="632"/>
      <c r="Z193" s="633"/>
      <c r="AA193" s="128"/>
      <c r="AB193" s="634"/>
      <c r="AC193" s="635"/>
      <c r="AD193" s="636"/>
      <c r="AE193" s="637"/>
      <c r="AF193" s="638"/>
      <c r="AG193" s="639"/>
      <c r="AH193" s="640"/>
      <c r="AI193" s="641"/>
      <c r="AJ193" s="642"/>
      <c r="AK193" s="638"/>
      <c r="AN193" s="643"/>
      <c r="AT193" s="126"/>
      <c r="AU193" s="644"/>
      <c r="BE193" s="645"/>
      <c r="BF193" s="645"/>
      <c r="BG193" s="645"/>
      <c r="BH193" s="645"/>
      <c r="BI193" s="645"/>
      <c r="BJ193" s="645"/>
      <c r="BK193" s="645"/>
      <c r="BL193" s="645"/>
      <c r="BM193" s="645"/>
      <c r="BN193" s="645"/>
      <c r="BO193" s="645"/>
      <c r="BP193" s="645"/>
      <c r="BQ193" s="645"/>
      <c r="BR193" s="645"/>
      <c r="BS193" s="645"/>
      <c r="BT193" s="645"/>
      <c r="BU193" s="645"/>
      <c r="BV193" s="645"/>
      <c r="BW193" s="645"/>
      <c r="BX193" s="645"/>
      <c r="BY193" s="645"/>
      <c r="BZ193" s="646"/>
      <c r="CA193" s="646"/>
      <c r="CB193" s="646"/>
      <c r="CC193" s="646"/>
      <c r="CD193" s="646"/>
      <c r="CE193" s="646"/>
      <c r="CF193" s="646"/>
      <c r="CG193" s="646"/>
      <c r="CH193" s="646"/>
      <c r="CI193" s="646"/>
    </row>
    <row r="194" spans="2:87" s="120" customFormat="1" ht="30">
      <c r="B194" s="1147" t="s">
        <v>2617</v>
      </c>
      <c r="C194" s="1148" t="str">
        <f>"Всего по "&amp;T193&amp;" "&amp;T194&amp;" ("&amp;$C$192&amp;"):"</f>
        <v>Всего по Г.Н.П. Изолир. алюм. до 50 мм (ВЛ-10 от 150 до 670 кВт):</v>
      </c>
      <c r="D194" s="1148"/>
      <c r="E194" s="1148"/>
      <c r="F194" s="1149">
        <f>SUM(F195:F196)</f>
        <v>0</v>
      </c>
      <c r="G194" s="1150">
        <f>SUM(G195:G196)</f>
        <v>0</v>
      </c>
      <c r="H194" s="1150">
        <f t="shared" ref="H194:P194" si="140">SUM(H195:H196)</f>
        <v>0</v>
      </c>
      <c r="I194" s="1150">
        <f t="shared" si="140"/>
        <v>0</v>
      </c>
      <c r="J194" s="1150">
        <f t="shared" si="140"/>
        <v>0</v>
      </c>
      <c r="K194" s="1150">
        <f t="shared" si="140"/>
        <v>0</v>
      </c>
      <c r="L194" s="1150">
        <f t="shared" si="140"/>
        <v>0</v>
      </c>
      <c r="M194" s="1150">
        <f t="shared" si="140"/>
        <v>0</v>
      </c>
      <c r="N194" s="1150">
        <f t="shared" si="140"/>
        <v>0</v>
      </c>
      <c r="O194" s="1150">
        <f t="shared" si="140"/>
        <v>0</v>
      </c>
      <c r="P194" s="1150">
        <f t="shared" si="140"/>
        <v>0</v>
      </c>
      <c r="Q194" s="1151"/>
      <c r="R194" s="1151"/>
      <c r="S194" s="1151"/>
      <c r="T194" s="1151" t="s">
        <v>2962</v>
      </c>
      <c r="U194" s="128"/>
      <c r="V194" s="129"/>
      <c r="W194" s="630"/>
      <c r="X194" s="631"/>
      <c r="Y194" s="632"/>
      <c r="Z194" s="633"/>
      <c r="AA194" s="128"/>
      <c r="AB194" s="634"/>
      <c r="AC194" s="635"/>
      <c r="AD194" s="636"/>
      <c r="AE194" s="637"/>
      <c r="AF194" s="638"/>
      <c r="AG194" s="687"/>
      <c r="AH194" s="688"/>
      <c r="AI194" s="785"/>
      <c r="AJ194" s="786"/>
      <c r="AK194" s="787"/>
      <c r="AN194" s="643"/>
      <c r="AT194" s="788"/>
      <c r="AU194" s="789"/>
      <c r="BC194" s="120" t="str">
        <f>[24]Прил.1!$F$13</f>
        <v>до 50 вкл.</v>
      </c>
      <c r="BD194" s="368" t="str">
        <f>CONCATENATE($BC$2,"; ",$BC$3,"; ",$BD$1,"; ",$BD$3,"; ",BC194)</f>
        <v>6-10 кВ; Г.Н.П.; изолированный; алюминевый; до 50 вкл.</v>
      </c>
      <c r="BE194" s="645"/>
      <c r="BF194" s="645"/>
      <c r="BG194" s="645"/>
      <c r="BH194" s="645"/>
      <c r="BI194" s="645"/>
      <c r="BJ194" s="645"/>
      <c r="BK194" s="645"/>
      <c r="BL194" s="645"/>
      <c r="BM194" s="645"/>
      <c r="BN194" s="645"/>
      <c r="BO194" s="645"/>
      <c r="BP194" s="645"/>
      <c r="BQ194" s="645"/>
      <c r="BR194" s="645"/>
      <c r="BS194" s="645"/>
      <c r="BT194" s="645"/>
      <c r="BU194" s="645"/>
      <c r="BV194" s="645"/>
      <c r="BW194" s="645"/>
      <c r="BX194" s="645"/>
      <c r="BY194" s="645"/>
      <c r="BZ194" s="646"/>
      <c r="CA194" s="646"/>
      <c r="CB194" s="646"/>
      <c r="CC194" s="646"/>
      <c r="CD194" s="646"/>
      <c r="CE194" s="646"/>
      <c r="CF194" s="646"/>
      <c r="CG194" s="646"/>
      <c r="CH194" s="646"/>
      <c r="CI194" s="646"/>
    </row>
    <row r="195" spans="2:87" s="76" customFormat="1" ht="15.75" outlineLevel="1">
      <c r="B195" s="676"/>
      <c r="C195" s="677"/>
      <c r="D195" s="678"/>
      <c r="E195" s="679"/>
      <c r="F195" s="680"/>
      <c r="G195" s="681"/>
      <c r="H195" s="517"/>
      <c r="I195" s="517"/>
      <c r="J195" s="517"/>
      <c r="K195" s="517"/>
      <c r="L195" s="517"/>
      <c r="M195" s="517"/>
      <c r="N195" s="517"/>
      <c r="O195" s="517"/>
      <c r="P195" s="682"/>
      <c r="Q195" s="683"/>
      <c r="R195" s="684"/>
      <c r="S195" s="685"/>
      <c r="T195" s="686"/>
      <c r="U195" s="168"/>
      <c r="V195" s="168"/>
      <c r="W195" s="168"/>
      <c r="X195" s="168"/>
      <c r="Y195" s="128"/>
      <c r="Z195" s="128"/>
      <c r="AA195" s="128"/>
      <c r="AB195" s="640"/>
      <c r="AC195" s="641"/>
      <c r="AD195" s="642"/>
      <c r="AE195" s="685"/>
      <c r="AF195" s="685"/>
      <c r="AG195" s="687"/>
      <c r="AH195" s="688"/>
      <c r="AI195" s="689"/>
      <c r="AJ195" s="690"/>
      <c r="AK195" s="691"/>
      <c r="BE195" s="692"/>
      <c r="BF195" s="692"/>
      <c r="BG195" s="692"/>
      <c r="BH195" s="692"/>
      <c r="BI195" s="692"/>
      <c r="BJ195" s="692"/>
      <c r="BK195" s="692"/>
      <c r="BL195" s="692"/>
      <c r="BM195" s="692"/>
      <c r="BN195" s="692"/>
      <c r="BO195" s="692"/>
      <c r="BP195" s="692"/>
      <c r="BQ195" s="692"/>
      <c r="BR195" s="692"/>
      <c r="BS195" s="692"/>
      <c r="BT195" s="692"/>
      <c r="BU195" s="692"/>
      <c r="BV195" s="692"/>
      <c r="BW195" s="692"/>
      <c r="BX195" s="692"/>
      <c r="BY195" s="692"/>
      <c r="BZ195" s="272"/>
      <c r="CA195" s="272"/>
      <c r="CB195" s="272"/>
      <c r="CC195" s="272"/>
      <c r="CD195" s="272"/>
      <c r="CE195" s="272"/>
      <c r="CF195" s="272"/>
      <c r="CG195" s="272"/>
      <c r="CH195" s="272"/>
      <c r="CI195" s="272"/>
    </row>
    <row r="196" spans="2:87" s="76" customFormat="1" ht="15.75" outlineLevel="1">
      <c r="B196" s="676"/>
      <c r="C196" s="693"/>
      <c r="D196" s="694"/>
      <c r="E196" s="695"/>
      <c r="F196" s="696"/>
      <c r="G196" s="697"/>
      <c r="H196" s="247"/>
      <c r="I196" s="247"/>
      <c r="J196" s="698"/>
      <c r="K196" s="247"/>
      <c r="L196" s="699"/>
      <c r="M196" s="698"/>
      <c r="N196" s="698"/>
      <c r="O196" s="247"/>
      <c r="P196" s="700"/>
      <c r="Q196" s="185"/>
      <c r="R196" s="186"/>
      <c r="S196" s="297"/>
      <c r="T196" s="188"/>
      <c r="U196" s="168"/>
      <c r="V196" s="168"/>
      <c r="W196" s="168"/>
      <c r="X196" s="168"/>
      <c r="Y196" s="128"/>
      <c r="Z196" s="128"/>
      <c r="AA196" s="128"/>
      <c r="AB196" s="640"/>
      <c r="AC196" s="641"/>
      <c r="AD196" s="642"/>
      <c r="AE196" s="685"/>
      <c r="AF196" s="685"/>
      <c r="AG196" s="639"/>
      <c r="AH196" s="701"/>
      <c r="AI196" s="702"/>
      <c r="AJ196" s="703"/>
      <c r="AK196" s="704"/>
      <c r="BE196" s="692"/>
      <c r="BF196" s="692"/>
      <c r="BG196" s="692"/>
      <c r="BH196" s="692"/>
      <c r="BI196" s="692"/>
      <c r="BJ196" s="692"/>
      <c r="BK196" s="692"/>
      <c r="BL196" s="692"/>
      <c r="BM196" s="692"/>
      <c r="BN196" s="692"/>
      <c r="BO196" s="692"/>
      <c r="BP196" s="692"/>
      <c r="BQ196" s="692"/>
      <c r="BR196" s="692"/>
      <c r="BS196" s="692"/>
      <c r="BT196" s="692"/>
      <c r="BU196" s="692"/>
      <c r="BV196" s="692"/>
      <c r="BW196" s="692"/>
      <c r="BX196" s="692"/>
      <c r="BY196" s="692"/>
      <c r="BZ196" s="272"/>
      <c r="CA196" s="272"/>
      <c r="CB196" s="272"/>
      <c r="CC196" s="272"/>
      <c r="CD196" s="272"/>
      <c r="CE196" s="272"/>
      <c r="CF196" s="272"/>
      <c r="CG196" s="272"/>
      <c r="CH196" s="272"/>
      <c r="CI196" s="272"/>
    </row>
    <row r="197" spans="2:87" s="120" customFormat="1" ht="30">
      <c r="B197" s="675" t="s">
        <v>3204</v>
      </c>
      <c r="C197" s="1148" t="str">
        <f>"Всего по "&amp;T193&amp;" "&amp;T197&amp;" ("&amp;$C$192&amp;"):"</f>
        <v>Всего по Г.Н.П. Изолир. алюм. 50-100 мм (ВЛ-10 от 150 до 670 кВт):</v>
      </c>
      <c r="D197" s="1148"/>
      <c r="E197" s="1148"/>
      <c r="F197" s="1149">
        <f>SUM(F198:F199)</f>
        <v>0</v>
      </c>
      <c r="G197" s="1150">
        <f t="shared" ref="G197:O197" si="141">SUM(G198:G199)</f>
        <v>0</v>
      </c>
      <c r="H197" s="1150">
        <f t="shared" si="141"/>
        <v>0</v>
      </c>
      <c r="I197" s="1150">
        <f t="shared" si="141"/>
        <v>0</v>
      </c>
      <c r="J197" s="1150">
        <f t="shared" si="141"/>
        <v>0</v>
      </c>
      <c r="K197" s="1150">
        <f t="shared" si="141"/>
        <v>0</v>
      </c>
      <c r="L197" s="1150">
        <f t="shared" si="141"/>
        <v>0</v>
      </c>
      <c r="M197" s="1150">
        <f t="shared" si="141"/>
        <v>0</v>
      </c>
      <c r="N197" s="1150">
        <f t="shared" si="141"/>
        <v>0</v>
      </c>
      <c r="O197" s="1150">
        <f t="shared" si="141"/>
        <v>0</v>
      </c>
      <c r="P197" s="1150">
        <f>SUM(P198:P199)</f>
        <v>0</v>
      </c>
      <c r="Q197" s="1151"/>
      <c r="R197" s="1151"/>
      <c r="S197" s="1151"/>
      <c r="T197" s="1151" t="s">
        <v>3005</v>
      </c>
      <c r="U197" s="128"/>
      <c r="V197" s="129"/>
      <c r="W197" s="630"/>
      <c r="X197" s="631"/>
      <c r="Y197" s="632"/>
      <c r="Z197" s="633"/>
      <c r="AA197" s="128"/>
      <c r="AB197" s="634"/>
      <c r="AC197" s="635"/>
      <c r="AD197" s="636"/>
      <c r="AE197" s="637"/>
      <c r="AF197" s="638"/>
      <c r="AG197" s="639"/>
      <c r="AH197" s="640"/>
      <c r="AI197" s="641"/>
      <c r="AJ197" s="642"/>
      <c r="AK197" s="638"/>
      <c r="AN197" s="643"/>
      <c r="AT197" s="126"/>
      <c r="AU197" s="644"/>
      <c r="BC197" s="120" t="str">
        <f>[24]Прил.1!$F$14</f>
        <v>50 - 100</v>
      </c>
      <c r="BD197" s="368" t="str">
        <f>CONCATENATE($BC$2,"; ",$BC$3,"; ",$BD$1,"; ",$BD$3,"; ",BC197)</f>
        <v>6-10 кВ; Г.Н.П.; изолированный; алюминевый; 50 - 100</v>
      </c>
      <c r="BE197" s="645"/>
      <c r="BF197" s="645"/>
      <c r="BG197" s="645"/>
      <c r="BH197" s="645"/>
      <c r="BI197" s="645"/>
      <c r="BJ197" s="645"/>
      <c r="BK197" s="645"/>
      <c r="BL197" s="645"/>
      <c r="BM197" s="645"/>
      <c r="BN197" s="645"/>
      <c r="BO197" s="645"/>
      <c r="BP197" s="645"/>
      <c r="BQ197" s="645"/>
      <c r="BR197" s="645"/>
      <c r="BS197" s="645"/>
      <c r="BT197" s="645"/>
      <c r="BU197" s="645"/>
      <c r="BV197" s="645"/>
      <c r="BW197" s="645"/>
      <c r="BX197" s="645"/>
      <c r="BY197" s="645"/>
      <c r="BZ197" s="646"/>
      <c r="CA197" s="646"/>
      <c r="CB197" s="646"/>
      <c r="CC197" s="646"/>
      <c r="CD197" s="646"/>
      <c r="CE197" s="646"/>
      <c r="CF197" s="646"/>
      <c r="CG197" s="646"/>
      <c r="CH197" s="646"/>
      <c r="CI197" s="646"/>
    </row>
    <row r="198" spans="2:87" s="76" customFormat="1" ht="15.75" outlineLevel="1">
      <c r="B198" s="676"/>
      <c r="C198" s="677"/>
      <c r="D198" s="678"/>
      <c r="E198" s="679"/>
      <c r="F198" s="680"/>
      <c r="G198" s="681"/>
      <c r="H198" s="517"/>
      <c r="I198" s="517"/>
      <c r="J198" s="517"/>
      <c r="K198" s="517"/>
      <c r="L198" s="517"/>
      <c r="M198" s="517"/>
      <c r="N198" s="517"/>
      <c r="O198" s="517"/>
      <c r="P198" s="682"/>
      <c r="Q198" s="683"/>
      <c r="R198" s="684"/>
      <c r="S198" s="685"/>
      <c r="T198" s="686"/>
      <c r="U198" s="168"/>
      <c r="V198" s="168"/>
      <c r="W198" s="168"/>
      <c r="X198" s="168"/>
      <c r="Y198" s="128"/>
      <c r="Z198" s="128"/>
      <c r="AA198" s="128"/>
      <c r="AB198" s="640"/>
      <c r="AC198" s="641"/>
      <c r="AD198" s="642"/>
      <c r="AE198" s="685"/>
      <c r="AF198" s="685"/>
      <c r="AG198" s="687"/>
      <c r="AH198" s="688"/>
      <c r="AI198" s="689"/>
      <c r="AJ198" s="690"/>
      <c r="AK198" s="691"/>
      <c r="BE198" s="692"/>
      <c r="BF198" s="692"/>
      <c r="BG198" s="692"/>
      <c r="BH198" s="692"/>
      <c r="BI198" s="692"/>
      <c r="BJ198" s="692"/>
      <c r="BK198" s="692"/>
      <c r="BL198" s="692"/>
      <c r="BM198" s="692"/>
      <c r="BN198" s="692"/>
      <c r="BO198" s="692"/>
      <c r="BP198" s="692"/>
      <c r="BQ198" s="692"/>
      <c r="BR198" s="692"/>
      <c r="BS198" s="692"/>
      <c r="BT198" s="692"/>
      <c r="BU198" s="692"/>
      <c r="BV198" s="692"/>
      <c r="BW198" s="692"/>
      <c r="BX198" s="692"/>
      <c r="BY198" s="692"/>
      <c r="BZ198" s="272"/>
      <c r="CA198" s="272"/>
      <c r="CB198" s="272"/>
      <c r="CC198" s="272"/>
      <c r="CD198" s="272"/>
      <c r="CE198" s="272"/>
      <c r="CF198" s="272"/>
      <c r="CG198" s="272"/>
      <c r="CH198" s="272"/>
      <c r="CI198" s="272"/>
    </row>
    <row r="199" spans="2:87" s="76" customFormat="1" ht="15.75" outlineLevel="1">
      <c r="B199" s="676"/>
      <c r="C199" s="693"/>
      <c r="D199" s="694"/>
      <c r="E199" s="695"/>
      <c r="F199" s="696"/>
      <c r="G199" s="697"/>
      <c r="H199" s="247"/>
      <c r="I199" s="247"/>
      <c r="J199" s="698"/>
      <c r="K199" s="247"/>
      <c r="L199" s="699"/>
      <c r="M199" s="698"/>
      <c r="N199" s="698"/>
      <c r="O199" s="247"/>
      <c r="P199" s="700"/>
      <c r="Q199" s="185"/>
      <c r="R199" s="186"/>
      <c r="S199" s="297"/>
      <c r="T199" s="188"/>
      <c r="U199" s="168"/>
      <c r="V199" s="168"/>
      <c r="W199" s="168"/>
      <c r="X199" s="168"/>
      <c r="Y199" s="128"/>
      <c r="Z199" s="128"/>
      <c r="AA199" s="128"/>
      <c r="AB199" s="640"/>
      <c r="AC199" s="641"/>
      <c r="AD199" s="642"/>
      <c r="AE199" s="685"/>
      <c r="AF199" s="685"/>
      <c r="AG199" s="639"/>
      <c r="AH199" s="701"/>
      <c r="AI199" s="702"/>
      <c r="AJ199" s="703"/>
      <c r="AK199" s="704"/>
      <c r="BE199" s="692"/>
      <c r="BF199" s="692"/>
      <c r="BG199" s="692"/>
      <c r="BH199" s="692"/>
      <c r="BI199" s="692"/>
      <c r="BJ199" s="692"/>
      <c r="BK199" s="692"/>
      <c r="BL199" s="692"/>
      <c r="BM199" s="692"/>
      <c r="BN199" s="692"/>
      <c r="BO199" s="692"/>
      <c r="BP199" s="692"/>
      <c r="BQ199" s="692"/>
      <c r="BR199" s="692"/>
      <c r="BS199" s="692"/>
      <c r="BT199" s="692"/>
      <c r="BU199" s="692"/>
      <c r="BV199" s="692"/>
      <c r="BW199" s="692"/>
      <c r="BX199" s="692"/>
      <c r="BY199" s="692"/>
      <c r="BZ199" s="272"/>
      <c r="CA199" s="272"/>
      <c r="CB199" s="272"/>
      <c r="CC199" s="272"/>
      <c r="CD199" s="272"/>
      <c r="CE199" s="272"/>
      <c r="CF199" s="272"/>
      <c r="CG199" s="272"/>
      <c r="CH199" s="272"/>
      <c r="CI199" s="272"/>
    </row>
    <row r="200" spans="2:87" s="120" customFormat="1" ht="30">
      <c r="B200" s="675" t="s">
        <v>3205</v>
      </c>
      <c r="C200" s="1148" t="str">
        <f>"Всего по "&amp;T193&amp;" "&amp;T200&amp;" ("&amp;$C$192&amp;"):"</f>
        <v>Всего по Г.Н.П. Неизолир. сталеалюм. до 50 мм (ВЛ-10 от 150 до 670 кВт):</v>
      </c>
      <c r="D200" s="1148"/>
      <c r="E200" s="1148"/>
      <c r="F200" s="1149">
        <f t="shared" ref="F200:P200" si="142">SUM(F201:F202)</f>
        <v>0.02</v>
      </c>
      <c r="G200" s="1150">
        <f t="shared" si="142"/>
        <v>264.66000000000003</v>
      </c>
      <c r="H200" s="1150">
        <f t="shared" si="142"/>
        <v>0</v>
      </c>
      <c r="I200" s="1150">
        <f t="shared" si="142"/>
        <v>0</v>
      </c>
      <c r="J200" s="1150">
        <f t="shared" si="142"/>
        <v>0</v>
      </c>
      <c r="K200" s="1150">
        <f t="shared" si="142"/>
        <v>1.3974800000000001</v>
      </c>
      <c r="L200" s="1150">
        <f t="shared" si="142"/>
        <v>0</v>
      </c>
      <c r="M200" s="1150">
        <f t="shared" si="142"/>
        <v>0</v>
      </c>
      <c r="N200" s="1150">
        <f t="shared" si="142"/>
        <v>0</v>
      </c>
      <c r="O200" s="1150">
        <f t="shared" si="142"/>
        <v>74.129929999999987</v>
      </c>
      <c r="P200" s="1150">
        <f t="shared" si="142"/>
        <v>75527.41</v>
      </c>
      <c r="Q200" s="1151"/>
      <c r="R200" s="1151"/>
      <c r="S200" s="1151"/>
      <c r="T200" s="1151" t="s">
        <v>3137</v>
      </c>
      <c r="U200" s="128"/>
      <c r="V200" s="129"/>
      <c r="W200" s="630"/>
      <c r="X200" s="631"/>
      <c r="Y200" s="632"/>
      <c r="Z200" s="633"/>
      <c r="AA200" s="128"/>
      <c r="AB200" s="634"/>
      <c r="AC200" s="635"/>
      <c r="AD200" s="636"/>
      <c r="AE200" s="637"/>
      <c r="AF200" s="638"/>
      <c r="AG200" s="639"/>
      <c r="AH200" s="640"/>
      <c r="AI200" s="641"/>
      <c r="AJ200" s="642"/>
      <c r="AK200" s="638"/>
      <c r="AN200" s="643"/>
      <c r="AT200" s="126"/>
      <c r="AU200" s="644"/>
      <c r="BC200" s="120" t="str">
        <f>[24]Прил.1!$F$13</f>
        <v>до 50 вкл.</v>
      </c>
      <c r="BD200" s="368" t="str">
        <f>CONCATENATE($BC$2,"; ",$BC$3,"; ",$BD$2,"; ",$BD$4,"; ",BC200)</f>
        <v>6-10 кВ; Г.Н.П.; неизолированный; сталеалюминиевый; до 50 вкл.</v>
      </c>
      <c r="BE200" s="645"/>
      <c r="BF200" s="645"/>
      <c r="BG200" s="645"/>
      <c r="BH200" s="645"/>
      <c r="BI200" s="645"/>
      <c r="BJ200" s="645"/>
      <c r="BK200" s="645"/>
      <c r="BL200" s="645"/>
      <c r="BM200" s="645"/>
      <c r="BN200" s="645"/>
      <c r="BO200" s="645"/>
      <c r="BP200" s="645"/>
      <c r="BQ200" s="645"/>
      <c r="BR200" s="645"/>
      <c r="BS200" s="645"/>
      <c r="BT200" s="645"/>
      <c r="BU200" s="645"/>
      <c r="BV200" s="645"/>
      <c r="BW200" s="645"/>
      <c r="BX200" s="645"/>
      <c r="BY200" s="645"/>
      <c r="BZ200" s="646"/>
      <c r="CA200" s="646"/>
      <c r="CB200" s="646"/>
      <c r="CC200" s="646"/>
      <c r="CD200" s="646"/>
      <c r="CE200" s="646"/>
      <c r="CF200" s="646"/>
      <c r="CG200" s="646"/>
      <c r="CH200" s="646"/>
      <c r="CI200" s="646"/>
    </row>
    <row r="201" spans="2:87" ht="25.5" outlineLevel="1">
      <c r="B201" s="724">
        <v>1</v>
      </c>
      <c r="C201" s="648" t="s">
        <v>3206</v>
      </c>
      <c r="D201" s="649" t="str">
        <f t="shared" ref="D201:D202" si="143">IF(AF201=0,"",AF201)</f>
        <v>4кв 2015</v>
      </c>
      <c r="E201" s="650">
        <v>10</v>
      </c>
      <c r="F201" s="743">
        <v>0.02</v>
      </c>
      <c r="G201" s="802">
        <v>264.66000000000003</v>
      </c>
      <c r="H201" s="653"/>
      <c r="I201" s="653"/>
      <c r="J201" s="803"/>
      <c r="K201" s="653">
        <f>1397.48/1000</f>
        <v>1.3974800000000001</v>
      </c>
      <c r="L201" s="803"/>
      <c r="M201" s="803"/>
      <c r="N201" s="803"/>
      <c r="O201" s="653">
        <f>74129.93/1000</f>
        <v>74.129929999999987</v>
      </c>
      <c r="P201" s="804">
        <v>75527.41</v>
      </c>
      <c r="Q201" s="805"/>
      <c r="R201" s="656" t="s">
        <v>2595</v>
      </c>
      <c r="S201" s="657" t="s">
        <v>3207</v>
      </c>
      <c r="T201" s="657" t="s">
        <v>2612</v>
      </c>
      <c r="U201" s="602" t="s">
        <v>2950</v>
      </c>
      <c r="V201" s="744"/>
      <c r="W201" s="744" t="s">
        <v>2965</v>
      </c>
      <c r="X201" s="602" t="s">
        <v>2951</v>
      </c>
      <c r="Y201" s="582" t="str">
        <f>IF(X201="","",$C$192)</f>
        <v>ВЛ-10 от 150 до 670 кВт</v>
      </c>
      <c r="Z201" s="582" t="e">
        <f>IF(X201="","",CONCATENATE(Y201,"-",X201,"; ",#REF!))</f>
        <v>#REF!</v>
      </c>
      <c r="AA201" s="582"/>
      <c r="AB201" s="659">
        <f>O201*1000</f>
        <v>74129.929999999993</v>
      </c>
      <c r="AC201" s="660">
        <f>(I201+H201)*1000</f>
        <v>0</v>
      </c>
      <c r="AD201" s="661">
        <f>K201*1000</f>
        <v>1397.48</v>
      </c>
      <c r="AE201" s="662">
        <f>AB201+AC201+AD201</f>
        <v>75527.409999999989</v>
      </c>
      <c r="AF201" s="662" t="s">
        <v>2981</v>
      </c>
      <c r="AG201" s="663">
        <f>IF($AF201="1кв 2015",3.67,IF($AF201="2кв 2015",3.67,IF($AF201="3кв 2015",3.8,IF($AF201="4кв 2015",3.87,"не совпадает"))))</f>
        <v>3.87</v>
      </c>
      <c r="AH201" s="664">
        <f>IF(ISERROR(AB201/$AG201),"",AB201/$AG201)</f>
        <v>19155.020671834623</v>
      </c>
      <c r="AI201" s="665">
        <f>IF(ISERROR(AC201/$AG201),"",AC201/$AG201)</f>
        <v>0</v>
      </c>
      <c r="AJ201" s="666">
        <f>IF(ISERROR(AD201/$AG201),"",AD201/$AG201)</f>
        <v>361.10594315245476</v>
      </c>
      <c r="AK201" s="667">
        <f>SUM(AH201,AI201,AJ201)</f>
        <v>19516.126614987079</v>
      </c>
      <c r="AN201" s="763" t="e">
        <f>#REF!</f>
        <v>#REF!</v>
      </c>
      <c r="AO201" s="764" t="e">
        <f>AN201*F201*$AO$6</f>
        <v>#REF!</v>
      </c>
      <c r="AP201" s="764" t="e">
        <f>AO201/F201</f>
        <v>#REF!</v>
      </c>
      <c r="AS201" s="600">
        <v>1</v>
      </c>
      <c r="AT201" s="600">
        <v>66</v>
      </c>
      <c r="AZ201" s="600">
        <f>IF(B201="","",IF(P201=SUM(H201,I201,K201,O201),"ИСТИНА",P201-SUM(H201,I201,K201,O201)))</f>
        <v>75451.882590000008</v>
      </c>
      <c r="BA201" s="668" t="s">
        <v>3208</v>
      </c>
    </row>
    <row r="202" spans="2:87" s="120" customFormat="1" ht="15.75" outlineLevel="1" collapsed="1">
      <c r="B202" s="179"/>
      <c r="C202" s="693"/>
      <c r="D202" s="694" t="str">
        <f t="shared" si="143"/>
        <v/>
      </c>
      <c r="E202" s="695">
        <v>10</v>
      </c>
      <c r="F202" s="696"/>
      <c r="G202" s="697"/>
      <c r="H202" s="247"/>
      <c r="I202" s="247"/>
      <c r="J202" s="698"/>
      <c r="K202" s="247"/>
      <c r="L202" s="699"/>
      <c r="M202" s="698"/>
      <c r="N202" s="698"/>
      <c r="O202" s="247"/>
      <c r="P202" s="700"/>
      <c r="Q202" s="185"/>
      <c r="R202" s="186"/>
      <c r="S202" s="297"/>
      <c r="T202" s="818"/>
      <c r="U202" s="128"/>
      <c r="V202" s="129"/>
      <c r="W202" s="630"/>
      <c r="X202" s="631"/>
      <c r="Y202" s="632" t="str">
        <f>IF(X202="","",#REF!)</f>
        <v/>
      </c>
      <c r="Z202" s="633" t="str">
        <f>IF(X202="","",CONCATENATE(Y202,"-",X202,"; ",$T$138))</f>
        <v/>
      </c>
      <c r="AA202" s="128"/>
      <c r="AB202" s="819">
        <f>J202+L202+M202</f>
        <v>0</v>
      </c>
      <c r="AC202" s="820">
        <f>I202</f>
        <v>0</v>
      </c>
      <c r="AD202" s="821">
        <f>K202+H202</f>
        <v>0</v>
      </c>
      <c r="AE202" s="822">
        <f>AB202+AC202+AD202</f>
        <v>0</v>
      </c>
      <c r="AF202" s="638"/>
      <c r="AG202" s="639" t="str">
        <f>IF($AF202="1кв 2014",3.58,IF($AF202="2кв 2014",3.59,IF($AF202="3кв 2014",3.67,IF($AF202="4кв 2014",3.66,"не совпадает"))))</f>
        <v>не совпадает</v>
      </c>
      <c r="AH202" s="688" t="str">
        <f t="shared" ref="AH202:AJ217" si="144">IF(ISERROR(AB202/$AG202),"",AB202/$AG202)</f>
        <v/>
      </c>
      <c r="AI202" s="689" t="str">
        <f t="shared" si="144"/>
        <v/>
      </c>
      <c r="AJ202" s="690" t="str">
        <f t="shared" si="144"/>
        <v/>
      </c>
      <c r="AK202" s="787">
        <f t="shared" ref="AK202" si="145">SUM(AH202,AI202,AJ202)</f>
        <v>0</v>
      </c>
      <c r="AL202" s="823"/>
      <c r="AM202" s="120" t="str">
        <f>IF(P202=AE202,"Истина",P202-AE202)</f>
        <v>Истина</v>
      </c>
      <c r="AN202" s="643"/>
      <c r="AT202" s="824"/>
      <c r="AU202" s="825"/>
      <c r="BE202" s="645"/>
      <c r="BF202" s="645"/>
      <c r="BG202" s="645"/>
      <c r="BH202" s="645"/>
      <c r="BI202" s="645"/>
      <c r="BJ202" s="645"/>
      <c r="BK202" s="645"/>
      <c r="BL202" s="645"/>
      <c r="BM202" s="645"/>
      <c r="BN202" s="645"/>
      <c r="BO202" s="645"/>
      <c r="BP202" s="645"/>
      <c r="BQ202" s="645"/>
      <c r="BR202" s="645"/>
      <c r="BS202" s="645"/>
      <c r="BT202" s="645"/>
      <c r="BU202" s="645"/>
      <c r="BV202" s="645"/>
      <c r="BW202" s="645"/>
      <c r="BX202" s="645"/>
      <c r="BY202" s="645"/>
      <c r="BZ202" s="646"/>
      <c r="CA202" s="646"/>
      <c r="CB202" s="646"/>
      <c r="CC202" s="646"/>
      <c r="CD202" s="646"/>
      <c r="CE202" s="646"/>
      <c r="CF202" s="646"/>
      <c r="CG202" s="646"/>
      <c r="CH202" s="646"/>
      <c r="CI202" s="646"/>
    </row>
    <row r="203" spans="2:87" ht="18.75">
      <c r="B203" s="1161">
        <f>MAX(B193:B202)</f>
        <v>1</v>
      </c>
      <c r="C203" s="1294" t="str">
        <f>"ИТОГО по "&amp;$C$192&amp;":"</f>
        <v>ИТОГО по ВЛ-10 от 150 до 670 кВт:</v>
      </c>
      <c r="D203" s="1294"/>
      <c r="E203" s="1294"/>
      <c r="F203" s="1295">
        <f>SUM(F193)</f>
        <v>0.02</v>
      </c>
      <c r="G203" s="1296">
        <f t="shared" ref="G203:P203" si="146">SUM(G193)</f>
        <v>264.66000000000003</v>
      </c>
      <c r="H203" s="1296">
        <f t="shared" si="146"/>
        <v>0</v>
      </c>
      <c r="I203" s="1296">
        <f t="shared" si="146"/>
        <v>0</v>
      </c>
      <c r="J203" s="1296">
        <f t="shared" si="146"/>
        <v>0</v>
      </c>
      <c r="K203" s="1296">
        <f t="shared" si="146"/>
        <v>1.3974800000000001</v>
      </c>
      <c r="L203" s="1296">
        <f t="shared" si="146"/>
        <v>0</v>
      </c>
      <c r="M203" s="1296">
        <f t="shared" si="146"/>
        <v>0</v>
      </c>
      <c r="N203" s="1296">
        <f t="shared" si="146"/>
        <v>0</v>
      </c>
      <c r="O203" s="1296">
        <f t="shared" si="146"/>
        <v>74.129929999999987</v>
      </c>
      <c r="P203" s="1296">
        <f t="shared" si="146"/>
        <v>75527.41</v>
      </c>
      <c r="Q203" s="1251"/>
      <c r="R203" s="1259"/>
      <c r="S203" s="1251"/>
      <c r="T203" s="1251"/>
      <c r="U203" s="737"/>
      <c r="V203" s="737"/>
      <c r="W203" s="737"/>
      <c r="Y203" s="582" t="str">
        <f t="shared" ref="Y203" si="147">IF(X203="","",$C$192)</f>
        <v/>
      </c>
      <c r="Z203" s="582" t="str">
        <f>IF(X203="","",CONCATENATE(Y203,"-",X203,"; ",#REF!))</f>
        <v/>
      </c>
      <c r="AA203" s="582"/>
      <c r="AB203" s="659"/>
      <c r="AC203" s="660"/>
      <c r="AD203" s="661"/>
      <c r="AE203" s="662"/>
      <c r="AF203" s="662"/>
      <c r="AG203" s="663" t="str">
        <f t="shared" si="54"/>
        <v>не совпадает</v>
      </c>
      <c r="AH203" s="664" t="str">
        <f t="shared" si="144"/>
        <v/>
      </c>
      <c r="AI203" s="665" t="str">
        <f t="shared" si="144"/>
        <v/>
      </c>
      <c r="AJ203" s="666" t="str">
        <f t="shared" si="144"/>
        <v/>
      </c>
      <c r="AK203" s="667">
        <f t="shared" si="115"/>
        <v>0</v>
      </c>
      <c r="AO203" s="1297" t="e">
        <f>SUM(AO192:AO202)</f>
        <v>#REF!</v>
      </c>
      <c r="AP203" s="1297" t="e">
        <f>AO203/F203</f>
        <v>#REF!</v>
      </c>
    </row>
    <row r="204" spans="2:87" s="757" customFormat="1" ht="21">
      <c r="B204" s="1285"/>
      <c r="C204" s="1286" t="str">
        <f>"ИТОГО ВЛ "&amp;$C$187&amp;":"</f>
        <v>ИТОГО ВЛ от 150 до 670 кВт:</v>
      </c>
      <c r="D204" s="1286"/>
      <c r="E204" s="1286"/>
      <c r="F204" s="1287">
        <f>SUM(F191,F203)</f>
        <v>0.02</v>
      </c>
      <c r="G204" s="1288">
        <f t="shared" ref="G204:P204" si="148">SUM(G191,G203)</f>
        <v>264.66000000000003</v>
      </c>
      <c r="H204" s="1288">
        <f t="shared" si="148"/>
        <v>0</v>
      </c>
      <c r="I204" s="1288">
        <f t="shared" si="148"/>
        <v>0</v>
      </c>
      <c r="J204" s="1288">
        <f t="shared" si="148"/>
        <v>0</v>
      </c>
      <c r="K204" s="1288">
        <f t="shared" si="148"/>
        <v>1.3974800000000001</v>
      </c>
      <c r="L204" s="1288">
        <f t="shared" si="148"/>
        <v>0</v>
      </c>
      <c r="M204" s="1288">
        <f t="shared" si="148"/>
        <v>0</v>
      </c>
      <c r="N204" s="1288">
        <f t="shared" si="148"/>
        <v>0</v>
      </c>
      <c r="O204" s="1288">
        <f t="shared" si="148"/>
        <v>74.129929999999987</v>
      </c>
      <c r="P204" s="1288">
        <f t="shared" si="148"/>
        <v>75527.41</v>
      </c>
      <c r="Q204" s="1289"/>
      <c r="R204" s="1289"/>
      <c r="S204" s="1289"/>
      <c r="T204" s="1290"/>
      <c r="U204" s="582"/>
      <c r="V204" s="745"/>
      <c r="W204" s="746"/>
      <c r="X204" s="747"/>
      <c r="Y204" s="748" t="str">
        <f>IF(X204="","",#REF!)</f>
        <v/>
      </c>
      <c r="Z204" s="749" t="str">
        <f t="shared" ref="Z204" si="149">IF(X204="","",CONCATENATE(Y204,"-",X204,"; ",$T$81))</f>
        <v/>
      </c>
      <c r="AA204" s="582"/>
      <c r="AB204" s="750">
        <f>J204+L204+M204</f>
        <v>0</v>
      </c>
      <c r="AC204" s="751">
        <f>I204</f>
        <v>0</v>
      </c>
      <c r="AD204" s="752">
        <f>K204+H204</f>
        <v>1.3974800000000001</v>
      </c>
      <c r="AE204" s="753">
        <f t="shared" ref="AE204" si="150">AB204+AC204+AD204</f>
        <v>1.3974800000000001</v>
      </c>
      <c r="AF204" s="754"/>
      <c r="AG204" s="663" t="str">
        <f t="shared" si="54"/>
        <v>не совпадает</v>
      </c>
      <c r="AH204" s="732" t="str">
        <f>IF(ISERROR(AB204/$AG204),"",AB204/$AG204)</f>
        <v/>
      </c>
      <c r="AI204" s="733" t="str">
        <f>IF(ISERROR(AC204/$AG204),"",AC204/$AG204)</f>
        <v/>
      </c>
      <c r="AJ204" s="734" t="str">
        <f>IF(ISERROR(AD204/$AG204),"",AD204/$AG204)</f>
        <v/>
      </c>
      <c r="AK204" s="755">
        <f t="shared" si="115"/>
        <v>0</v>
      </c>
      <c r="AL204" s="756"/>
      <c r="AM204" s="757">
        <f>IF(P204=AE204,"Истина",P204-AE204)</f>
        <v>75526.012520000004</v>
      </c>
      <c r="AN204" s="758"/>
      <c r="AT204" s="1291"/>
      <c r="AU204" s="1292"/>
      <c r="BE204" s="759"/>
      <c r="BF204" s="759"/>
      <c r="BG204" s="759"/>
      <c r="BH204" s="759"/>
      <c r="BI204" s="759"/>
      <c r="BJ204" s="759"/>
      <c r="BK204" s="759"/>
      <c r="BL204" s="759"/>
      <c r="BM204" s="759"/>
      <c r="BN204" s="759"/>
      <c r="BO204" s="759"/>
      <c r="BP204" s="759"/>
      <c r="BQ204" s="759"/>
      <c r="BR204" s="759"/>
      <c r="BS204" s="759"/>
      <c r="BT204" s="759"/>
      <c r="BU204" s="759"/>
      <c r="BV204" s="759"/>
      <c r="BW204" s="759"/>
      <c r="BX204" s="759"/>
      <c r="BY204" s="759"/>
      <c r="BZ204" s="760"/>
      <c r="CA204" s="760"/>
      <c r="CB204" s="760"/>
      <c r="CC204" s="760"/>
      <c r="CD204" s="760"/>
      <c r="CE204" s="760"/>
      <c r="CF204" s="760"/>
      <c r="CG204" s="760"/>
      <c r="CH204" s="760"/>
      <c r="CI204" s="760"/>
    </row>
    <row r="205" spans="2:87">
      <c r="F205" s="826"/>
      <c r="G205" s="827"/>
      <c r="H205" s="827"/>
      <c r="I205" s="827"/>
      <c r="J205" s="827"/>
      <c r="K205" s="827"/>
      <c r="L205" s="827"/>
      <c r="M205" s="827"/>
      <c r="N205" s="827"/>
      <c r="O205" s="827"/>
      <c r="P205" s="827"/>
      <c r="Y205" s="582" t="str">
        <f t="shared" ref="Y205:Y210" si="151">IF(X205="","",$C$187)</f>
        <v/>
      </c>
      <c r="Z205" s="582" t="str">
        <f t="shared" ref="Z205:Z253" si="152">IF(X205="","",CONCATENATE(Y205,"-",X205))</f>
        <v/>
      </c>
      <c r="AA205" s="582"/>
      <c r="AB205" s="659"/>
      <c r="AC205" s="660"/>
      <c r="AD205" s="661"/>
      <c r="AE205" s="662"/>
      <c r="AF205" s="662"/>
      <c r="AG205" s="663" t="str">
        <f t="shared" si="54"/>
        <v>не совпадает</v>
      </c>
      <c r="AH205" s="664" t="str">
        <f t="shared" si="144"/>
        <v/>
      </c>
      <c r="AI205" s="665" t="str">
        <f t="shared" si="144"/>
        <v/>
      </c>
      <c r="AJ205" s="666" t="str">
        <f t="shared" si="144"/>
        <v/>
      </c>
      <c r="AK205" s="667">
        <f t="shared" si="115"/>
        <v>0</v>
      </c>
    </row>
    <row r="206" spans="2:87">
      <c r="B206" s="1304"/>
      <c r="C206" s="1305" t="s">
        <v>2619</v>
      </c>
      <c r="D206" s="1305"/>
      <c r="E206" s="1305"/>
      <c r="F206" s="1306">
        <f t="shared" ref="F206:P206" si="153">SUM(F9,F82)</f>
        <v>6.59</v>
      </c>
      <c r="G206" s="1307">
        <f t="shared" si="153"/>
        <v>422.27</v>
      </c>
      <c r="H206" s="1307">
        <f t="shared" si="153"/>
        <v>52.933999999999997</v>
      </c>
      <c r="I206" s="1307">
        <f t="shared" si="153"/>
        <v>0</v>
      </c>
      <c r="J206" s="1307">
        <f t="shared" si="153"/>
        <v>0</v>
      </c>
      <c r="K206" s="1307">
        <f t="shared" si="153"/>
        <v>563.20748000000015</v>
      </c>
      <c r="L206" s="1307">
        <f t="shared" si="153"/>
        <v>0</v>
      </c>
      <c r="M206" s="1307">
        <f t="shared" si="153"/>
        <v>0</v>
      </c>
      <c r="N206" s="1307">
        <f t="shared" si="153"/>
        <v>0</v>
      </c>
      <c r="O206" s="1307">
        <f t="shared" si="153"/>
        <v>2505.7924500000004</v>
      </c>
      <c r="P206" s="1307">
        <f t="shared" si="153"/>
        <v>3188625.03</v>
      </c>
      <c r="Q206" s="1308"/>
      <c r="R206" s="1309"/>
      <c r="S206" s="1310"/>
      <c r="T206" s="1311"/>
      <c r="U206" s="828"/>
      <c r="V206" s="828"/>
      <c r="W206" s="828"/>
      <c r="Y206" s="582" t="str">
        <f t="shared" si="151"/>
        <v/>
      </c>
      <c r="Z206" s="582" t="str">
        <f t="shared" si="152"/>
        <v/>
      </c>
      <c r="AA206" s="582"/>
      <c r="AB206" s="659"/>
      <c r="AC206" s="660"/>
      <c r="AD206" s="661"/>
      <c r="AE206" s="662"/>
      <c r="AF206" s="662"/>
      <c r="AG206" s="663" t="str">
        <f t="shared" si="54"/>
        <v>не совпадает</v>
      </c>
      <c r="AH206" s="664" t="str">
        <f t="shared" si="144"/>
        <v/>
      </c>
      <c r="AI206" s="665" t="str">
        <f t="shared" si="144"/>
        <v/>
      </c>
      <c r="AJ206" s="666" t="str">
        <f t="shared" si="144"/>
        <v/>
      </c>
      <c r="AK206" s="667">
        <f t="shared" si="115"/>
        <v>0</v>
      </c>
    </row>
    <row r="207" spans="2:87">
      <c r="C207" s="600" t="s">
        <v>2620</v>
      </c>
      <c r="F207" s="829">
        <f t="shared" ref="F207:P207" si="154">SUM(F9,F105,F143,F188)</f>
        <v>6.47</v>
      </c>
      <c r="G207" s="830">
        <f t="shared" si="154"/>
        <v>418.27</v>
      </c>
      <c r="H207" s="830">
        <f t="shared" si="154"/>
        <v>52.933999999999997</v>
      </c>
      <c r="I207" s="830">
        <f t="shared" si="154"/>
        <v>0</v>
      </c>
      <c r="J207" s="830">
        <f t="shared" si="154"/>
        <v>0</v>
      </c>
      <c r="K207" s="830">
        <f t="shared" si="154"/>
        <v>539.80033000000014</v>
      </c>
      <c r="L207" s="830">
        <f t="shared" si="154"/>
        <v>0</v>
      </c>
      <c r="M207" s="830">
        <f t="shared" si="154"/>
        <v>0</v>
      </c>
      <c r="N207" s="830">
        <f t="shared" si="154"/>
        <v>0</v>
      </c>
      <c r="O207" s="830">
        <f t="shared" si="154"/>
        <v>2321.4513200000006</v>
      </c>
      <c r="P207" s="830">
        <f t="shared" si="154"/>
        <v>2980876.7499999995</v>
      </c>
      <c r="Y207" s="582" t="str">
        <f t="shared" si="151"/>
        <v/>
      </c>
      <c r="Z207" s="582" t="str">
        <f t="shared" si="152"/>
        <v/>
      </c>
      <c r="AA207" s="582"/>
      <c r="AB207" s="659"/>
      <c r="AC207" s="660"/>
      <c r="AD207" s="661"/>
      <c r="AE207" s="662"/>
      <c r="AF207" s="662"/>
      <c r="AG207" s="663" t="str">
        <f t="shared" si="54"/>
        <v>не совпадает</v>
      </c>
      <c r="AH207" s="664" t="str">
        <f t="shared" si="144"/>
        <v/>
      </c>
      <c r="AI207" s="665" t="str">
        <f t="shared" si="144"/>
        <v/>
      </c>
      <c r="AJ207" s="666" t="str">
        <f t="shared" si="144"/>
        <v/>
      </c>
      <c r="AK207" s="667">
        <f t="shared" si="115"/>
        <v>0</v>
      </c>
    </row>
    <row r="208" spans="2:87">
      <c r="C208" s="600" t="s">
        <v>2621</v>
      </c>
      <c r="F208" s="829">
        <f t="shared" ref="F208:P208" si="155">SUM(F82,F121,F162,F192)</f>
        <v>11.040999999999999</v>
      </c>
      <c r="G208" s="830">
        <f t="shared" si="155"/>
        <v>507.96000000000004</v>
      </c>
      <c r="H208" s="830">
        <f t="shared" si="155"/>
        <v>40.231310000000001</v>
      </c>
      <c r="I208" s="830">
        <f t="shared" si="155"/>
        <v>63.620370000000001</v>
      </c>
      <c r="J208" s="830">
        <f t="shared" si="155"/>
        <v>0</v>
      </c>
      <c r="K208" s="830">
        <f t="shared" si="155"/>
        <v>2316.8002900000001</v>
      </c>
      <c r="L208" s="830">
        <f t="shared" si="155"/>
        <v>0</v>
      </c>
      <c r="M208" s="830">
        <f t="shared" si="155"/>
        <v>0</v>
      </c>
      <c r="N208" s="830">
        <f t="shared" si="155"/>
        <v>0</v>
      </c>
      <c r="O208" s="830">
        <f t="shared" si="155"/>
        <v>5020.1854460000004</v>
      </c>
      <c r="P208" s="830">
        <f t="shared" si="155"/>
        <v>7440837.4159999993</v>
      </c>
      <c r="Y208" s="582" t="str">
        <f t="shared" si="151"/>
        <v/>
      </c>
      <c r="Z208" s="582" t="str">
        <f t="shared" si="152"/>
        <v/>
      </c>
      <c r="AA208" s="582"/>
      <c r="AB208" s="659"/>
      <c r="AC208" s="660"/>
      <c r="AD208" s="661"/>
      <c r="AE208" s="662"/>
      <c r="AF208" s="662"/>
      <c r="AG208" s="663" t="str">
        <f t="shared" si="54"/>
        <v>не совпадает</v>
      </c>
      <c r="AH208" s="664" t="str">
        <f t="shared" si="144"/>
        <v/>
      </c>
      <c r="AI208" s="665" t="str">
        <f t="shared" si="144"/>
        <v/>
      </c>
      <c r="AJ208" s="666" t="str">
        <f t="shared" si="144"/>
        <v/>
      </c>
      <c r="AK208" s="667">
        <f t="shared" si="115"/>
        <v>0</v>
      </c>
    </row>
    <row r="209" spans="2:87">
      <c r="F209" s="1295">
        <f>SUM(F207,F208)</f>
        <v>17.510999999999999</v>
      </c>
      <c r="G209" s="1296">
        <f t="shared" ref="G209:P209" si="156">SUM(G207,G208)</f>
        <v>926.23</v>
      </c>
      <c r="H209" s="1296">
        <f t="shared" si="156"/>
        <v>93.165310000000005</v>
      </c>
      <c r="I209" s="1296">
        <f t="shared" si="156"/>
        <v>63.620370000000001</v>
      </c>
      <c r="J209" s="1296">
        <f t="shared" si="156"/>
        <v>0</v>
      </c>
      <c r="K209" s="1296">
        <f t="shared" si="156"/>
        <v>2856.6006200000002</v>
      </c>
      <c r="L209" s="1296">
        <f t="shared" si="156"/>
        <v>0</v>
      </c>
      <c r="M209" s="1296">
        <f t="shared" si="156"/>
        <v>0</v>
      </c>
      <c r="N209" s="1296">
        <f t="shared" si="156"/>
        <v>0</v>
      </c>
      <c r="O209" s="1296">
        <f t="shared" si="156"/>
        <v>7341.6367660000014</v>
      </c>
      <c r="P209" s="1296">
        <f t="shared" si="156"/>
        <v>10421714.165999999</v>
      </c>
      <c r="Y209" s="582" t="str">
        <f t="shared" si="151"/>
        <v/>
      </c>
      <c r="Z209" s="582" t="str">
        <f t="shared" si="152"/>
        <v/>
      </c>
      <c r="AA209" s="582"/>
      <c r="AB209" s="659"/>
      <c r="AC209" s="660"/>
      <c r="AD209" s="661"/>
      <c r="AE209" s="662"/>
      <c r="AF209" s="662"/>
      <c r="AG209" s="663" t="str">
        <f t="shared" si="54"/>
        <v>не совпадает</v>
      </c>
      <c r="AH209" s="664" t="str">
        <f t="shared" si="144"/>
        <v/>
      </c>
      <c r="AI209" s="665" t="str">
        <f t="shared" si="144"/>
        <v/>
      </c>
      <c r="AJ209" s="666" t="str">
        <f t="shared" si="144"/>
        <v/>
      </c>
      <c r="AK209" s="667">
        <f t="shared" si="115"/>
        <v>0</v>
      </c>
    </row>
    <row r="210" spans="2:87">
      <c r="C210" s="600" t="s">
        <v>2559</v>
      </c>
      <c r="P210" s="2846">
        <f>P209+P231</f>
        <v>12086835.165999999</v>
      </c>
      <c r="Y210" s="582" t="str">
        <f t="shared" si="151"/>
        <v/>
      </c>
      <c r="Z210" s="582" t="str">
        <f t="shared" si="152"/>
        <v/>
      </c>
      <c r="AA210" s="582"/>
      <c r="AB210" s="831"/>
      <c r="AC210" s="832"/>
      <c r="AD210" s="833"/>
      <c r="AE210" s="834"/>
      <c r="AF210" s="834"/>
      <c r="AG210" s="835" t="str">
        <f t="shared" si="54"/>
        <v>не совпадает</v>
      </c>
      <c r="AH210" s="836" t="str">
        <f t="shared" si="144"/>
        <v/>
      </c>
      <c r="AI210" s="837" t="str">
        <f t="shared" si="144"/>
        <v/>
      </c>
      <c r="AJ210" s="838" t="str">
        <f t="shared" si="144"/>
        <v/>
      </c>
      <c r="AK210" s="839">
        <f t="shared" si="115"/>
        <v>0</v>
      </c>
    </row>
    <row r="211" spans="2:87" ht="25.5">
      <c r="B211" s="1312" t="s">
        <v>20</v>
      </c>
      <c r="C211" s="3228" t="s">
        <v>2622</v>
      </c>
      <c r="D211" s="3229"/>
      <c r="E211" s="3229"/>
      <c r="F211" s="3229"/>
      <c r="G211" s="3229"/>
      <c r="H211" s="3229"/>
      <c r="I211" s="3229"/>
      <c r="J211" s="3229"/>
      <c r="K211" s="3229"/>
      <c r="L211" s="3229"/>
      <c r="M211" s="3229"/>
      <c r="N211" s="3229"/>
      <c r="O211" s="3229"/>
      <c r="P211" s="3229"/>
      <c r="Q211" s="3229"/>
      <c r="R211" s="3229"/>
      <c r="S211" s="3229"/>
      <c r="T211" s="3230"/>
      <c r="U211" s="783"/>
      <c r="V211" s="783"/>
      <c r="W211" s="783"/>
      <c r="Y211" s="582" t="str">
        <f>IF(X211="","",$C$211)</f>
        <v/>
      </c>
      <c r="Z211" s="582" t="str">
        <f t="shared" si="152"/>
        <v/>
      </c>
      <c r="AA211" s="582"/>
      <c r="AB211" s="1313"/>
      <c r="AC211" s="840"/>
      <c r="AD211" s="1314"/>
      <c r="AE211" s="1315"/>
      <c r="AF211" s="1315"/>
      <c r="AG211" s="1316" t="str">
        <f t="shared" ref="AG211:AG242" si="157">IF($AF211="1кв 2015",5.98,IF($AF211="2кв 2015",5.98,IF($AF211="3кв 2015",6.19,IF($AF211="4кв 2015",6.3,"не совпадает"))))</f>
        <v>не совпадает</v>
      </c>
      <c r="AH211" s="1317" t="str">
        <f t="shared" si="144"/>
        <v/>
      </c>
      <c r="AI211" s="841" t="str">
        <f t="shared" si="144"/>
        <v/>
      </c>
      <c r="AJ211" s="1318" t="str">
        <f t="shared" si="144"/>
        <v/>
      </c>
      <c r="AK211" s="1319">
        <f t="shared" si="115"/>
        <v>0</v>
      </c>
      <c r="AN211" s="1320"/>
      <c r="AO211" s="1256" t="e">
        <f>#REF!</f>
        <v>#REF!</v>
      </c>
      <c r="AP211" s="1253" t="s">
        <v>2623</v>
      </c>
    </row>
    <row r="212" spans="2:87" ht="18.75">
      <c r="B212" s="1321" t="s">
        <v>2624</v>
      </c>
      <c r="C212" s="1321" t="s">
        <v>2625</v>
      </c>
      <c r="D212" s="1322"/>
      <c r="E212" s="1322"/>
      <c r="F212" s="1323">
        <f>SUM(F213,F226)</f>
        <v>0</v>
      </c>
      <c r="G212" s="1324">
        <f t="shared" ref="G212:O212" si="158">SUM(G213,G226)</f>
        <v>0</v>
      </c>
      <c r="H212" s="1324">
        <f t="shared" si="158"/>
        <v>0</v>
      </c>
      <c r="I212" s="1324">
        <f t="shared" si="158"/>
        <v>0</v>
      </c>
      <c r="J212" s="1324">
        <f t="shared" si="158"/>
        <v>0</v>
      </c>
      <c r="K212" s="1324">
        <f t="shared" si="158"/>
        <v>0</v>
      </c>
      <c r="L212" s="1324">
        <f t="shared" si="158"/>
        <v>0</v>
      </c>
      <c r="M212" s="1324">
        <f t="shared" si="158"/>
        <v>0</v>
      </c>
      <c r="N212" s="1324">
        <f t="shared" si="158"/>
        <v>0</v>
      </c>
      <c r="O212" s="1324">
        <f t="shared" si="158"/>
        <v>0</v>
      </c>
      <c r="P212" s="1324">
        <f>SUM(P213,P226)</f>
        <v>0</v>
      </c>
      <c r="Q212" s="1323">
        <f>SUM(Q213,Q226)</f>
        <v>0</v>
      </c>
      <c r="R212" s="1322"/>
      <c r="S212" s="1322"/>
      <c r="T212" s="1325"/>
      <c r="X212" s="582"/>
      <c r="Y212" s="582" t="str">
        <f t="shared" ref="Y212" si="159">IF(X212="","",$C$189)</f>
        <v/>
      </c>
      <c r="Z212" s="582" t="str">
        <f t="shared" si="152"/>
        <v/>
      </c>
      <c r="AA212" s="582"/>
      <c r="AB212" s="621"/>
      <c r="AC212" s="622"/>
      <c r="AD212" s="623"/>
      <c r="AE212" s="624"/>
      <c r="AF212" s="624"/>
      <c r="AG212" s="842" t="str">
        <f t="shared" si="157"/>
        <v>не совпадает</v>
      </c>
      <c r="AH212" s="664" t="str">
        <f t="shared" si="144"/>
        <v/>
      </c>
      <c r="AI212" s="665" t="str">
        <f t="shared" si="144"/>
        <v/>
      </c>
      <c r="AJ212" s="666" t="str">
        <f t="shared" si="144"/>
        <v/>
      </c>
      <c r="AK212" s="667">
        <f t="shared" si="115"/>
        <v>0</v>
      </c>
      <c r="AM212" s="600" t="str">
        <f>IF(P212=AE212,"ИСТИНА",P212-AE212)</f>
        <v>ИСТИНА</v>
      </c>
      <c r="BA212" s="600"/>
    </row>
    <row r="213" spans="2:87" s="757" customFormat="1" ht="18.75">
      <c r="B213" s="1326" t="s">
        <v>2626</v>
      </c>
      <c r="C213" s="1327" t="str">
        <f>""&amp;T213&amp;" ("&amp;$C$212&amp;")"</f>
        <v>Однотрансф. (Льгота (ТП, КТП, МТП, СТП))</v>
      </c>
      <c r="D213" s="1328"/>
      <c r="E213" s="1328"/>
      <c r="F213" s="1329">
        <f>SUM(F214,F216,F218,F220,F222,F224)</f>
        <v>0</v>
      </c>
      <c r="G213" s="1330">
        <f t="shared" ref="G213:Q213" si="160">SUM(G214,G216,G218,G220,G222,G224)</f>
        <v>0</v>
      </c>
      <c r="H213" s="1330">
        <f>SUM(H214,H216,H218,H220,H222,H224)</f>
        <v>0</v>
      </c>
      <c r="I213" s="1330">
        <f t="shared" si="160"/>
        <v>0</v>
      </c>
      <c r="J213" s="1330">
        <f t="shared" si="160"/>
        <v>0</v>
      </c>
      <c r="K213" s="1330">
        <f t="shared" si="160"/>
        <v>0</v>
      </c>
      <c r="L213" s="1330">
        <f t="shared" si="160"/>
        <v>0</v>
      </c>
      <c r="M213" s="1330">
        <f t="shared" si="160"/>
        <v>0</v>
      </c>
      <c r="N213" s="1330">
        <f t="shared" si="160"/>
        <v>0</v>
      </c>
      <c r="O213" s="1330">
        <f t="shared" si="160"/>
        <v>0</v>
      </c>
      <c r="P213" s="1330">
        <f t="shared" si="160"/>
        <v>0</v>
      </c>
      <c r="Q213" s="1329">
        <f t="shared" si="160"/>
        <v>0</v>
      </c>
      <c r="R213" s="1331"/>
      <c r="S213" s="1331"/>
      <c r="T213" s="1332" t="s">
        <v>2627</v>
      </c>
      <c r="U213" s="582"/>
      <c r="V213" s="582"/>
      <c r="W213" s="582"/>
      <c r="X213" s="600"/>
      <c r="Y213" s="582" t="str">
        <f>IF(X213="","",#REF!)</f>
        <v/>
      </c>
      <c r="Z213" s="582" t="str">
        <f>IF(X213="","",CONCATENATE(Y213,"-",X213))</f>
        <v/>
      </c>
      <c r="AA213" s="582"/>
      <c r="AB213" s="750">
        <f t="shared" ref="AB213:AB229" si="161">J213+L213+M213</f>
        <v>0</v>
      </c>
      <c r="AC213" s="751">
        <f t="shared" ref="AC213:AC229" si="162">I213</f>
        <v>0</v>
      </c>
      <c r="AD213" s="752">
        <f t="shared" ref="AD213:AD229" si="163">K213+H213</f>
        <v>0</v>
      </c>
      <c r="AE213" s="753">
        <f t="shared" ref="AE213:AE229" si="164">AB213+AC213+AD213</f>
        <v>0</v>
      </c>
      <c r="AF213" s="754"/>
      <c r="AG213" s="842" t="str">
        <f t="shared" si="157"/>
        <v>не совпадает</v>
      </c>
      <c r="AH213" s="732" t="str">
        <f t="shared" si="144"/>
        <v/>
      </c>
      <c r="AI213" s="733" t="str">
        <f t="shared" si="144"/>
        <v/>
      </c>
      <c r="AJ213" s="734" t="str">
        <f t="shared" si="144"/>
        <v/>
      </c>
      <c r="AK213" s="755">
        <f>SUM(AH213,AI213,AJ213)</f>
        <v>0</v>
      </c>
      <c r="AL213" s="756"/>
      <c r="AM213" s="757" t="str">
        <f>IF(P213=AE213,"Истина",P213-AE213)</f>
        <v>Истина</v>
      </c>
      <c r="AN213" s="758"/>
      <c r="AT213" s="1333"/>
      <c r="AU213" s="1334"/>
      <c r="BE213" s="759"/>
      <c r="BF213" s="759"/>
      <c r="BG213" s="759"/>
      <c r="BH213" s="759"/>
      <c r="BI213" s="759"/>
      <c r="BJ213" s="759"/>
      <c r="BK213" s="759"/>
      <c r="BL213" s="759"/>
      <c r="BM213" s="759"/>
      <c r="BN213" s="759"/>
      <c r="BO213" s="759"/>
      <c r="BP213" s="759"/>
      <c r="BQ213" s="759"/>
      <c r="BR213" s="759"/>
      <c r="BS213" s="759"/>
      <c r="BT213" s="759"/>
      <c r="BU213" s="759"/>
      <c r="BV213" s="759"/>
      <c r="BW213" s="759"/>
      <c r="BX213" s="759"/>
      <c r="BY213" s="759"/>
      <c r="BZ213" s="760"/>
      <c r="CA213" s="760"/>
      <c r="CB213" s="760"/>
      <c r="CC213" s="760"/>
      <c r="CD213" s="760"/>
      <c r="CE213" s="760"/>
      <c r="CF213" s="760"/>
      <c r="CG213" s="760"/>
      <c r="CH213" s="760"/>
      <c r="CI213" s="760"/>
    </row>
    <row r="214" spans="2:87" s="757" customFormat="1" ht="18.75" outlineLevel="1">
      <c r="B214" s="1335" t="s">
        <v>2628</v>
      </c>
      <c r="C214" s="1336" t="str">
        <f>"Всего по "&amp;$C$212&amp;" ("&amp;T214&amp;"):"</f>
        <v>Всего по Льгота (ТП, КТП, МТП, СТП) (до 25 кВА):</v>
      </c>
      <c r="D214" s="1336"/>
      <c r="E214" s="1336"/>
      <c r="F214" s="1337">
        <f>SUM(F215)</f>
        <v>0</v>
      </c>
      <c r="G214" s="1338">
        <f t="shared" ref="G214:Q214" si="165">SUM(G215)</f>
        <v>0</v>
      </c>
      <c r="H214" s="1338">
        <f t="shared" si="165"/>
        <v>0</v>
      </c>
      <c r="I214" s="1338">
        <f t="shared" si="165"/>
        <v>0</v>
      </c>
      <c r="J214" s="1338">
        <f t="shared" si="165"/>
        <v>0</v>
      </c>
      <c r="K214" s="1338">
        <f>SUM(K215)</f>
        <v>0</v>
      </c>
      <c r="L214" s="1338">
        <f t="shared" si="165"/>
        <v>0</v>
      </c>
      <c r="M214" s="1338">
        <f t="shared" si="165"/>
        <v>0</v>
      </c>
      <c r="N214" s="1338">
        <f t="shared" si="165"/>
        <v>0</v>
      </c>
      <c r="O214" s="1338">
        <f t="shared" si="165"/>
        <v>0</v>
      </c>
      <c r="P214" s="1338">
        <f>SUM(P215)</f>
        <v>0</v>
      </c>
      <c r="Q214" s="1337">
        <f t="shared" si="165"/>
        <v>0</v>
      </c>
      <c r="R214" s="1339"/>
      <c r="S214" s="1339"/>
      <c r="T214" s="1340" t="s">
        <v>2629</v>
      </c>
      <c r="U214" s="582"/>
      <c r="V214" s="582"/>
      <c r="W214" s="582"/>
      <c r="X214" s="600"/>
      <c r="Y214" s="582" t="str">
        <f>IF(X214="","",#REF!)</f>
        <v/>
      </c>
      <c r="Z214" s="582" t="str">
        <f>IF(X214="","",CONCATENATE(Y214,"-",X214))</f>
        <v/>
      </c>
      <c r="AA214" s="582"/>
      <c r="AB214" s="750">
        <f t="shared" si="161"/>
        <v>0</v>
      </c>
      <c r="AC214" s="751">
        <f t="shared" si="162"/>
        <v>0</v>
      </c>
      <c r="AD214" s="752">
        <f t="shared" si="163"/>
        <v>0</v>
      </c>
      <c r="AE214" s="753">
        <f t="shared" si="164"/>
        <v>0</v>
      </c>
      <c r="AF214" s="754"/>
      <c r="AG214" s="842" t="str">
        <f t="shared" si="157"/>
        <v>не совпадает</v>
      </c>
      <c r="AH214" s="732" t="str">
        <f t="shared" si="144"/>
        <v/>
      </c>
      <c r="AI214" s="733" t="str">
        <f t="shared" si="144"/>
        <v/>
      </c>
      <c r="AJ214" s="734" t="str">
        <f t="shared" si="144"/>
        <v/>
      </c>
      <c r="AK214" s="755">
        <f>SUM(AH214,AI214,AJ214)</f>
        <v>0</v>
      </c>
      <c r="AL214" s="756"/>
      <c r="AM214" s="757" t="str">
        <f>IF(P214=AE214,"Истина",P214-AE214)</f>
        <v>Истина</v>
      </c>
      <c r="AN214" s="758"/>
      <c r="AT214" s="1333"/>
      <c r="AU214" s="1334"/>
      <c r="BE214" s="759"/>
      <c r="BF214" s="759"/>
      <c r="BG214" s="759"/>
      <c r="BH214" s="759"/>
      <c r="BI214" s="759"/>
      <c r="BJ214" s="759"/>
      <c r="BK214" s="759"/>
      <c r="BL214" s="759"/>
      <c r="BM214" s="759"/>
      <c r="BN214" s="759"/>
      <c r="BO214" s="759"/>
      <c r="BP214" s="759"/>
      <c r="BQ214" s="759"/>
      <c r="BR214" s="759"/>
      <c r="BS214" s="759"/>
      <c r="BT214" s="759"/>
      <c r="BU214" s="759"/>
      <c r="BV214" s="759"/>
      <c r="BW214" s="759"/>
      <c r="BX214" s="759"/>
      <c r="BY214" s="759"/>
      <c r="BZ214" s="760"/>
      <c r="CA214" s="760"/>
      <c r="CB214" s="760"/>
      <c r="CC214" s="760"/>
      <c r="CD214" s="760"/>
      <c r="CE214" s="760"/>
      <c r="CF214" s="760"/>
      <c r="CG214" s="760"/>
      <c r="CH214" s="760"/>
      <c r="CI214" s="760"/>
    </row>
    <row r="215" spans="2:87" ht="15.75" outlineLevel="1">
      <c r="B215" s="843"/>
      <c r="C215" s="775"/>
      <c r="D215" s="808" t="str">
        <f t="shared" ref="D215" si="166">IF(AF215=0,"",AF215)</f>
        <v/>
      </c>
      <c r="E215" s="775"/>
      <c r="F215" s="844"/>
      <c r="G215" s="778"/>
      <c r="H215" s="845"/>
      <c r="I215" s="845"/>
      <c r="J215" s="845"/>
      <c r="K215" s="845"/>
      <c r="L215" s="845"/>
      <c r="M215" s="845"/>
      <c r="N215" s="845"/>
      <c r="O215" s="845"/>
      <c r="P215" s="811"/>
      <c r="Q215" s="810"/>
      <c r="R215" s="781"/>
      <c r="S215" s="846"/>
      <c r="T215" s="846"/>
      <c r="V215" s="1341"/>
      <c r="W215" s="1342" t="str">
        <f>""&amp;V215&amp;" - "&amp;X215&amp;""</f>
        <v xml:space="preserve"> - </v>
      </c>
      <c r="X215" s="1343"/>
      <c r="Y215" s="1343"/>
      <c r="Z215" s="1344" t="str">
        <f>IF(X215="","",CONCATENATE(Y215,": ",W215))</f>
        <v/>
      </c>
      <c r="AA215" s="582"/>
      <c r="AB215" s="750">
        <f t="shared" si="161"/>
        <v>0</v>
      </c>
      <c r="AC215" s="751">
        <f t="shared" si="162"/>
        <v>0</v>
      </c>
      <c r="AD215" s="752">
        <f t="shared" si="163"/>
        <v>0</v>
      </c>
      <c r="AE215" s="847">
        <f t="shared" si="164"/>
        <v>0</v>
      </c>
      <c r="AF215" s="624"/>
      <c r="AG215" s="842" t="str">
        <f t="shared" si="157"/>
        <v>не совпадает</v>
      </c>
      <c r="AH215" s="664" t="str">
        <f t="shared" si="144"/>
        <v/>
      </c>
      <c r="AI215" s="665" t="str">
        <f t="shared" si="144"/>
        <v/>
      </c>
      <c r="AJ215" s="666" t="str">
        <f t="shared" si="144"/>
        <v/>
      </c>
      <c r="AK215" s="667">
        <f t="shared" ref="AK215" si="167">SUM(AH215,AI215,AJ215)</f>
        <v>0</v>
      </c>
      <c r="AM215" s="600" t="str">
        <f>IF(P215=AE215,"ИСТИНА",P215-AE215)</f>
        <v>ИСТИНА</v>
      </c>
      <c r="BA215" s="600"/>
    </row>
    <row r="216" spans="2:87" s="757" customFormat="1" ht="18.75" outlineLevel="1">
      <c r="B216" s="1335" t="s">
        <v>2630</v>
      </c>
      <c r="C216" s="1336" t="str">
        <f>"Всего по "&amp;$C$212&amp;" ("&amp;T216&amp;"):"</f>
        <v>Всего по Льгота (ТП, КТП, МТП, СТП) (25-100 кВА):</v>
      </c>
      <c r="D216" s="1336"/>
      <c r="E216" s="1336"/>
      <c r="F216" s="1337">
        <f>SUM(F217)</f>
        <v>0</v>
      </c>
      <c r="G216" s="1338">
        <f t="shared" ref="G216:L224" si="168">SUM(G217)</f>
        <v>0</v>
      </c>
      <c r="H216" s="1338">
        <f t="shared" si="168"/>
        <v>0</v>
      </c>
      <c r="I216" s="1338">
        <f t="shared" si="168"/>
        <v>0</v>
      </c>
      <c r="J216" s="1338">
        <f t="shared" si="168"/>
        <v>0</v>
      </c>
      <c r="K216" s="1338">
        <f t="shared" si="168"/>
        <v>0</v>
      </c>
      <c r="L216" s="1338">
        <f t="shared" si="168"/>
        <v>0</v>
      </c>
      <c r="M216" s="1338">
        <f>SUM(M217)</f>
        <v>0</v>
      </c>
      <c r="N216" s="1338">
        <f t="shared" ref="N216:Q224" si="169">SUM(N217)</f>
        <v>0</v>
      </c>
      <c r="O216" s="1338">
        <f t="shared" si="169"/>
        <v>0</v>
      </c>
      <c r="P216" s="1338">
        <f t="shared" si="169"/>
        <v>0</v>
      </c>
      <c r="Q216" s="1337">
        <f t="shared" si="169"/>
        <v>0</v>
      </c>
      <c r="R216" s="1339"/>
      <c r="S216" s="1339"/>
      <c r="T216" s="1340" t="s">
        <v>2631</v>
      </c>
      <c r="U216" s="582"/>
      <c r="V216" s="582"/>
      <c r="W216" s="582"/>
      <c r="X216" s="600"/>
      <c r="Y216" s="582" t="str">
        <f>IF(X216="","",$C$253)</f>
        <v/>
      </c>
      <c r="Z216" s="582" t="str">
        <f>IF(X216="","",CONCATENATE(Y216,"-",X216))</f>
        <v/>
      </c>
      <c r="AA216" s="582"/>
      <c r="AB216" s="750">
        <f t="shared" si="161"/>
        <v>0</v>
      </c>
      <c r="AC216" s="751">
        <f t="shared" si="162"/>
        <v>0</v>
      </c>
      <c r="AD216" s="752">
        <f t="shared" si="163"/>
        <v>0</v>
      </c>
      <c r="AE216" s="753">
        <f t="shared" si="164"/>
        <v>0</v>
      </c>
      <c r="AF216" s="754"/>
      <c r="AG216" s="842" t="str">
        <f t="shared" si="157"/>
        <v>не совпадает</v>
      </c>
      <c r="AH216" s="732" t="str">
        <f t="shared" si="144"/>
        <v/>
      </c>
      <c r="AI216" s="733" t="str">
        <f t="shared" si="144"/>
        <v/>
      </c>
      <c r="AJ216" s="734" t="str">
        <f t="shared" si="144"/>
        <v/>
      </c>
      <c r="AK216" s="755">
        <f>SUM(AH216,AI216,AJ216)</f>
        <v>0</v>
      </c>
      <c r="AL216" s="756"/>
      <c r="AM216" s="757" t="str">
        <f>IF(P216=AE216,"Истина",P216-AE216)</f>
        <v>Истина</v>
      </c>
      <c r="AN216" s="758"/>
      <c r="AT216" s="1345"/>
      <c r="AU216" s="1334"/>
      <c r="BE216" s="759"/>
      <c r="BF216" s="759"/>
      <c r="BG216" s="759"/>
      <c r="BH216" s="759"/>
      <c r="BI216" s="759"/>
      <c r="BJ216" s="759"/>
      <c r="BK216" s="759"/>
      <c r="BL216" s="759"/>
      <c r="BM216" s="759"/>
      <c r="BN216" s="759"/>
      <c r="BO216" s="759"/>
      <c r="BP216" s="759"/>
      <c r="BQ216" s="759"/>
      <c r="BR216" s="759"/>
      <c r="BS216" s="759"/>
      <c r="BT216" s="759"/>
      <c r="BU216" s="759"/>
      <c r="BV216" s="759"/>
      <c r="BW216" s="759"/>
      <c r="BX216" s="759"/>
      <c r="BY216" s="759"/>
      <c r="BZ216" s="760"/>
      <c r="CA216" s="760"/>
      <c r="CB216" s="760"/>
      <c r="CC216" s="760"/>
      <c r="CD216" s="760"/>
      <c r="CE216" s="760"/>
      <c r="CF216" s="760"/>
      <c r="CG216" s="760"/>
      <c r="CH216" s="760"/>
      <c r="CI216" s="760"/>
    </row>
    <row r="217" spans="2:87" s="757" customFormat="1" ht="18.75" outlineLevel="1">
      <c r="B217" s="843"/>
      <c r="C217" s="775"/>
      <c r="D217" s="808" t="str">
        <f t="shared" ref="D217" si="170">IF(AF217=0,"",AF217)</f>
        <v/>
      </c>
      <c r="E217" s="775"/>
      <c r="F217" s="844"/>
      <c r="G217" s="778"/>
      <c r="H217" s="845"/>
      <c r="I217" s="845"/>
      <c r="J217" s="845"/>
      <c r="K217" s="845"/>
      <c r="L217" s="845"/>
      <c r="M217" s="845"/>
      <c r="N217" s="845"/>
      <c r="O217" s="845"/>
      <c r="P217" s="811"/>
      <c r="Q217" s="848"/>
      <c r="R217" s="849"/>
      <c r="S217" s="850"/>
      <c r="T217" s="851"/>
      <c r="U217" s="582"/>
      <c r="V217" s="852"/>
      <c r="W217" s="853" t="str">
        <f>""&amp;V217&amp;" - "&amp;X217&amp;""</f>
        <v xml:space="preserve"> - </v>
      </c>
      <c r="X217" s="845"/>
      <c r="Y217" s="854" t="str">
        <f>IF(X217="","",$C$253)</f>
        <v/>
      </c>
      <c r="Z217" s="855" t="str">
        <f>IF(X217="","",CONCATENATE(Y217,": ",W217))</f>
        <v/>
      </c>
      <c r="AA217" s="582"/>
      <c r="AB217" s="750">
        <f t="shared" si="161"/>
        <v>0</v>
      </c>
      <c r="AC217" s="751">
        <f t="shared" si="162"/>
        <v>0</v>
      </c>
      <c r="AD217" s="752">
        <f t="shared" si="163"/>
        <v>0</v>
      </c>
      <c r="AE217" s="753">
        <f t="shared" si="164"/>
        <v>0</v>
      </c>
      <c r="AF217" s="754"/>
      <c r="AG217" s="842" t="str">
        <f t="shared" si="157"/>
        <v>не совпадает</v>
      </c>
      <c r="AH217" s="732" t="str">
        <f t="shared" si="144"/>
        <v/>
      </c>
      <c r="AI217" s="733" t="str">
        <f t="shared" si="144"/>
        <v/>
      </c>
      <c r="AJ217" s="734" t="str">
        <f t="shared" si="144"/>
        <v/>
      </c>
      <c r="AK217" s="755">
        <f>SUM(AH217,AI217,AJ217)</f>
        <v>0</v>
      </c>
      <c r="AL217" s="756"/>
      <c r="AM217" s="757" t="str">
        <f>IF(P217=AE217,"Истина",P217-AE217)</f>
        <v>Истина</v>
      </c>
      <c r="AN217" s="758"/>
      <c r="AT217" s="856"/>
      <c r="AU217" s="856"/>
      <c r="BE217" s="759"/>
      <c r="BF217" s="759"/>
      <c r="BG217" s="759"/>
      <c r="BH217" s="759"/>
      <c r="BI217" s="759"/>
      <c r="BJ217" s="759"/>
      <c r="BK217" s="759"/>
      <c r="BL217" s="759"/>
      <c r="BM217" s="759"/>
      <c r="BN217" s="759"/>
      <c r="BO217" s="759"/>
      <c r="BP217" s="759"/>
      <c r="BQ217" s="759"/>
      <c r="BR217" s="759"/>
      <c r="BS217" s="759"/>
      <c r="BT217" s="759"/>
      <c r="BU217" s="759"/>
      <c r="BV217" s="759"/>
      <c r="BW217" s="759"/>
      <c r="BX217" s="759"/>
      <c r="BY217" s="759"/>
      <c r="BZ217" s="760"/>
      <c r="CA217" s="760"/>
      <c r="CB217" s="760"/>
      <c r="CC217" s="760"/>
      <c r="CD217" s="760"/>
      <c r="CE217" s="760"/>
      <c r="CF217" s="760"/>
      <c r="CG217" s="760"/>
      <c r="CH217" s="760"/>
      <c r="CI217" s="760"/>
    </row>
    <row r="218" spans="2:87" s="757" customFormat="1" ht="18.75" outlineLevel="1">
      <c r="B218" s="1335" t="s">
        <v>2632</v>
      </c>
      <c r="C218" s="1336" t="str">
        <f>"Всего по "&amp;$C$212&amp;" ("&amp;T218&amp;"):"</f>
        <v>Всего по Льгота (ТП, КТП, МТП, СТП) (100-250 кВА):</v>
      </c>
      <c r="D218" s="1336"/>
      <c r="E218" s="1336"/>
      <c r="F218" s="1337">
        <f>SUM(F219)</f>
        <v>0</v>
      </c>
      <c r="G218" s="1338">
        <f t="shared" si="168"/>
        <v>0</v>
      </c>
      <c r="H218" s="1338">
        <f t="shared" si="168"/>
        <v>0</v>
      </c>
      <c r="I218" s="1338">
        <f t="shared" si="168"/>
        <v>0</v>
      </c>
      <c r="J218" s="1338">
        <f t="shared" si="168"/>
        <v>0</v>
      </c>
      <c r="K218" s="1338">
        <f t="shared" si="168"/>
        <v>0</v>
      </c>
      <c r="L218" s="1338">
        <f t="shared" si="168"/>
        <v>0</v>
      </c>
      <c r="M218" s="1338">
        <f>SUM(M219)</f>
        <v>0</v>
      </c>
      <c r="N218" s="1338">
        <f t="shared" si="169"/>
        <v>0</v>
      </c>
      <c r="O218" s="1338">
        <f t="shared" si="169"/>
        <v>0</v>
      </c>
      <c r="P218" s="1338">
        <f t="shared" si="169"/>
        <v>0</v>
      </c>
      <c r="Q218" s="1337">
        <f t="shared" si="169"/>
        <v>0</v>
      </c>
      <c r="R218" s="1339"/>
      <c r="S218" s="1339"/>
      <c r="T218" s="1340" t="s">
        <v>2633</v>
      </c>
      <c r="U218" s="582"/>
      <c r="V218" s="582"/>
      <c r="W218" s="582"/>
      <c r="X218" s="600"/>
      <c r="Y218" s="582" t="str">
        <f>IF(X218="","",$C$253)</f>
        <v/>
      </c>
      <c r="Z218" s="582" t="str">
        <f>IF(X218="","",CONCATENATE(Y218,"-",X218))</f>
        <v/>
      </c>
      <c r="AA218" s="582"/>
      <c r="AB218" s="750">
        <f t="shared" si="161"/>
        <v>0</v>
      </c>
      <c r="AC218" s="751">
        <f t="shared" si="162"/>
        <v>0</v>
      </c>
      <c r="AD218" s="752">
        <f t="shared" si="163"/>
        <v>0</v>
      </c>
      <c r="AE218" s="753">
        <f t="shared" si="164"/>
        <v>0</v>
      </c>
      <c r="AF218" s="754"/>
      <c r="AG218" s="842" t="str">
        <f t="shared" si="157"/>
        <v>не совпадает</v>
      </c>
      <c r="AH218" s="732" t="str">
        <f t="shared" ref="AH218:AJ253" si="171">IF(ISERROR(AB218/$AG218),"",AB218/$AG218)</f>
        <v/>
      </c>
      <c r="AI218" s="733" t="str">
        <f t="shared" si="171"/>
        <v/>
      </c>
      <c r="AJ218" s="734" t="str">
        <f t="shared" si="171"/>
        <v/>
      </c>
      <c r="AK218" s="755">
        <f>SUM(AH218,AI218,AJ218)</f>
        <v>0</v>
      </c>
      <c r="AL218" s="756"/>
      <c r="AM218" s="757" t="str">
        <f>IF(P218=AE218,"Истина",P218-AE218)</f>
        <v>Истина</v>
      </c>
      <c r="AN218" s="758"/>
      <c r="AT218" s="1345"/>
      <c r="AU218" s="1334"/>
      <c r="BE218" s="759"/>
      <c r="BF218" s="759"/>
      <c r="BG218" s="759"/>
      <c r="BH218" s="759"/>
      <c r="BI218" s="759"/>
      <c r="BJ218" s="759"/>
      <c r="BK218" s="759"/>
      <c r="BL218" s="759"/>
      <c r="BM218" s="759"/>
      <c r="BN218" s="759"/>
      <c r="BO218" s="759"/>
      <c r="BP218" s="759"/>
      <c r="BQ218" s="759"/>
      <c r="BR218" s="759"/>
      <c r="BS218" s="759"/>
      <c r="BT218" s="759"/>
      <c r="BU218" s="759"/>
      <c r="BV218" s="759"/>
      <c r="BW218" s="759"/>
      <c r="BX218" s="759"/>
      <c r="BY218" s="759"/>
      <c r="BZ218" s="760"/>
      <c r="CA218" s="760"/>
      <c r="CB218" s="760"/>
      <c r="CC218" s="760"/>
      <c r="CD218" s="760"/>
      <c r="CE218" s="760"/>
      <c r="CF218" s="760"/>
      <c r="CG218" s="760"/>
      <c r="CH218" s="760"/>
      <c r="CI218" s="760"/>
    </row>
    <row r="219" spans="2:87" s="757" customFormat="1" ht="15.75" outlineLevel="1">
      <c r="B219" s="843"/>
      <c r="C219" s="775"/>
      <c r="D219" s="808" t="str">
        <f t="shared" ref="D219" si="172">IF(AF219=0,"",AF219)</f>
        <v/>
      </c>
      <c r="E219" s="775"/>
      <c r="F219" s="844"/>
      <c r="G219" s="778"/>
      <c r="H219" s="845"/>
      <c r="I219" s="845"/>
      <c r="J219" s="845"/>
      <c r="K219" s="845"/>
      <c r="L219" s="845"/>
      <c r="M219" s="845"/>
      <c r="N219" s="845"/>
      <c r="O219" s="845"/>
      <c r="P219" s="811"/>
      <c r="Q219" s="810"/>
      <c r="R219" s="781"/>
      <c r="S219" s="846"/>
      <c r="T219" s="846"/>
      <c r="U219" s="582"/>
      <c r="V219" s="852"/>
      <c r="W219" s="853" t="str">
        <f>""&amp;V219&amp;" - "&amp;X219&amp;""</f>
        <v xml:space="preserve"> - </v>
      </c>
      <c r="X219" s="845"/>
      <c r="Y219" s="854" t="str">
        <f>IF(X219="","",$C$253)</f>
        <v/>
      </c>
      <c r="Z219" s="855" t="str">
        <f>IF(X219="","",CONCATENATE(Y219,": ",W219))</f>
        <v/>
      </c>
      <c r="AA219" s="582"/>
      <c r="AB219" s="750">
        <f t="shared" si="161"/>
        <v>0</v>
      </c>
      <c r="AC219" s="751">
        <f t="shared" si="162"/>
        <v>0</v>
      </c>
      <c r="AD219" s="752">
        <f t="shared" si="163"/>
        <v>0</v>
      </c>
      <c r="AE219" s="753">
        <f t="shared" si="164"/>
        <v>0</v>
      </c>
      <c r="AF219" s="754"/>
      <c r="AG219" s="842" t="str">
        <f t="shared" si="157"/>
        <v>не совпадает</v>
      </c>
      <c r="AH219" s="732" t="str">
        <f t="shared" si="171"/>
        <v/>
      </c>
      <c r="AI219" s="733" t="str">
        <f t="shared" si="171"/>
        <v/>
      </c>
      <c r="AJ219" s="734" t="str">
        <f t="shared" si="171"/>
        <v/>
      </c>
      <c r="AK219" s="755">
        <f>SUM(AH219,AI219,AJ219)</f>
        <v>0</v>
      </c>
      <c r="AL219" s="756"/>
      <c r="AM219" s="757" t="str">
        <f>IF(P219=AE219,"Истина",P219-AE219)</f>
        <v>Истина</v>
      </c>
      <c r="AN219" s="758"/>
      <c r="AT219" s="856"/>
      <c r="AU219" s="856"/>
      <c r="BE219" s="759"/>
      <c r="BF219" s="759"/>
      <c r="BG219" s="759"/>
      <c r="BH219" s="759"/>
      <c r="BI219" s="759"/>
      <c r="BJ219" s="759"/>
      <c r="BK219" s="759"/>
      <c r="BL219" s="759"/>
      <c r="BM219" s="759"/>
      <c r="BN219" s="759"/>
      <c r="BO219" s="759"/>
      <c r="BP219" s="759"/>
      <c r="BQ219" s="759"/>
      <c r="BR219" s="759"/>
      <c r="BS219" s="759"/>
      <c r="BT219" s="759"/>
      <c r="BU219" s="759"/>
      <c r="BV219" s="759"/>
      <c r="BW219" s="759"/>
      <c r="BX219" s="759"/>
      <c r="BY219" s="759"/>
      <c r="BZ219" s="760"/>
      <c r="CA219" s="760"/>
      <c r="CB219" s="760"/>
      <c r="CC219" s="760"/>
      <c r="CD219" s="760"/>
      <c r="CE219" s="760"/>
      <c r="CF219" s="760"/>
      <c r="CG219" s="760"/>
      <c r="CH219" s="760"/>
      <c r="CI219" s="760"/>
    </row>
    <row r="220" spans="2:87" s="757" customFormat="1" ht="18.75" outlineLevel="1">
      <c r="B220" s="1335" t="s">
        <v>2634</v>
      </c>
      <c r="C220" s="1336" t="str">
        <f>"Всего по "&amp;$C$212&amp;" ("&amp;T220&amp;"):"</f>
        <v>Всего по Льгота (ТП, КТП, МТП, СТП) (250-500 кВА):</v>
      </c>
      <c r="D220" s="1336"/>
      <c r="E220" s="1336"/>
      <c r="F220" s="1337">
        <f>SUM(F221)</f>
        <v>0</v>
      </c>
      <c r="G220" s="1338">
        <f t="shared" si="168"/>
        <v>0</v>
      </c>
      <c r="H220" s="1338">
        <f t="shared" si="168"/>
        <v>0</v>
      </c>
      <c r="I220" s="1338">
        <f t="shared" si="168"/>
        <v>0</v>
      </c>
      <c r="J220" s="1338">
        <f t="shared" si="168"/>
        <v>0</v>
      </c>
      <c r="K220" s="1338">
        <f t="shared" si="168"/>
        <v>0</v>
      </c>
      <c r="L220" s="1338">
        <f t="shared" si="168"/>
        <v>0</v>
      </c>
      <c r="M220" s="1338">
        <f>SUM(M221)</f>
        <v>0</v>
      </c>
      <c r="N220" s="1338">
        <f t="shared" si="169"/>
        <v>0</v>
      </c>
      <c r="O220" s="1338">
        <f t="shared" si="169"/>
        <v>0</v>
      </c>
      <c r="P220" s="1338">
        <f t="shared" si="169"/>
        <v>0</v>
      </c>
      <c r="Q220" s="1337">
        <f t="shared" si="169"/>
        <v>0</v>
      </c>
      <c r="R220" s="1339"/>
      <c r="S220" s="1339"/>
      <c r="T220" s="1340" t="s">
        <v>2635</v>
      </c>
      <c r="U220" s="582"/>
      <c r="V220" s="582"/>
      <c r="W220" s="582"/>
      <c r="X220" s="600"/>
      <c r="Y220" s="582" t="str">
        <f>IF(X220="","",#REF!)</f>
        <v/>
      </c>
      <c r="Z220" s="582" t="str">
        <f>IF(X220="","",CONCATENATE(Y220,"-",X220))</f>
        <v/>
      </c>
      <c r="AA220" s="582"/>
      <c r="AB220" s="750">
        <f t="shared" si="161"/>
        <v>0</v>
      </c>
      <c r="AC220" s="751">
        <f t="shared" si="162"/>
        <v>0</v>
      </c>
      <c r="AD220" s="752">
        <f t="shared" si="163"/>
        <v>0</v>
      </c>
      <c r="AE220" s="753">
        <f t="shared" si="164"/>
        <v>0</v>
      </c>
      <c r="AF220" s="754"/>
      <c r="AG220" s="842" t="str">
        <f t="shared" si="157"/>
        <v>не совпадает</v>
      </c>
      <c r="AH220" s="732" t="str">
        <f t="shared" si="171"/>
        <v/>
      </c>
      <c r="AI220" s="733" t="str">
        <f t="shared" si="171"/>
        <v/>
      </c>
      <c r="AJ220" s="734" t="str">
        <f t="shared" si="171"/>
        <v/>
      </c>
      <c r="AK220" s="755">
        <f>SUM(AH220,AI220,AJ220)</f>
        <v>0</v>
      </c>
      <c r="AL220" s="756"/>
      <c r="AM220" s="757" t="str">
        <f>IF(P220=AE220,"Истина",P220-AE220)</f>
        <v>Истина</v>
      </c>
      <c r="AN220" s="758"/>
      <c r="AT220" s="1333"/>
      <c r="AU220" s="1334"/>
      <c r="BE220" s="759"/>
      <c r="BF220" s="759"/>
      <c r="BG220" s="759"/>
      <c r="BH220" s="759"/>
      <c r="BI220" s="759"/>
      <c r="BJ220" s="759"/>
      <c r="BK220" s="759"/>
      <c r="BL220" s="759"/>
      <c r="BM220" s="759"/>
      <c r="BN220" s="759"/>
      <c r="BO220" s="759"/>
      <c r="BP220" s="759"/>
      <c r="BQ220" s="759"/>
      <c r="BR220" s="759"/>
      <c r="BS220" s="759"/>
      <c r="BT220" s="759"/>
      <c r="BU220" s="759"/>
      <c r="BV220" s="759"/>
      <c r="BW220" s="759"/>
      <c r="BX220" s="759"/>
      <c r="BY220" s="759"/>
      <c r="BZ220" s="760"/>
      <c r="CA220" s="760"/>
      <c r="CB220" s="760"/>
      <c r="CC220" s="760"/>
      <c r="CD220" s="760"/>
      <c r="CE220" s="760"/>
      <c r="CF220" s="760"/>
      <c r="CG220" s="760"/>
      <c r="CH220" s="760"/>
      <c r="CI220" s="760"/>
    </row>
    <row r="221" spans="2:87" ht="15.75" outlineLevel="1">
      <c r="B221" s="843"/>
      <c r="C221" s="775"/>
      <c r="D221" s="808" t="str">
        <f t="shared" ref="D221" si="173">IF(AF221=0,"",AF221)</f>
        <v/>
      </c>
      <c r="E221" s="775"/>
      <c r="F221" s="844"/>
      <c r="G221" s="778"/>
      <c r="H221" s="845"/>
      <c r="I221" s="845"/>
      <c r="J221" s="845"/>
      <c r="K221" s="845"/>
      <c r="L221" s="845"/>
      <c r="M221" s="845"/>
      <c r="N221" s="845"/>
      <c r="O221" s="845"/>
      <c r="P221" s="811"/>
      <c r="Q221" s="810"/>
      <c r="R221" s="781"/>
      <c r="S221" s="846"/>
      <c r="T221" s="846"/>
      <c r="V221" s="857"/>
      <c r="W221" s="858" t="str">
        <f t="shared" ref="W221" si="174">""&amp;V221&amp;" - "&amp;X221&amp;""</f>
        <v xml:space="preserve"> - </v>
      </c>
      <c r="X221" s="859"/>
      <c r="Y221" s="859"/>
      <c r="Z221" s="860" t="str">
        <f>IF(X221="","",CONCATENATE(Y221,": ",W221))</f>
        <v/>
      </c>
      <c r="AA221" s="582"/>
      <c r="AB221" s="750">
        <f t="shared" si="161"/>
        <v>0</v>
      </c>
      <c r="AC221" s="751">
        <f t="shared" si="162"/>
        <v>0</v>
      </c>
      <c r="AD221" s="752">
        <f t="shared" si="163"/>
        <v>0</v>
      </c>
      <c r="AE221" s="847">
        <f t="shared" si="164"/>
        <v>0</v>
      </c>
      <c r="AF221" s="624"/>
      <c r="AG221" s="842" t="str">
        <f t="shared" si="157"/>
        <v>не совпадает</v>
      </c>
      <c r="AH221" s="664" t="str">
        <f t="shared" si="171"/>
        <v/>
      </c>
      <c r="AI221" s="665" t="str">
        <f t="shared" si="171"/>
        <v/>
      </c>
      <c r="AJ221" s="666" t="str">
        <f t="shared" si="171"/>
        <v/>
      </c>
      <c r="AK221" s="667">
        <f t="shared" ref="AK221:AK230" si="175">SUM(AH221,AI221,AJ221)</f>
        <v>0</v>
      </c>
      <c r="AM221" s="600" t="str">
        <f>IF(P221=AE221,"ИСТИНА",P221-AE221)</f>
        <v>ИСТИНА</v>
      </c>
      <c r="AN221" s="600" t="s">
        <v>3209</v>
      </c>
      <c r="BA221" s="600"/>
    </row>
    <row r="222" spans="2:87" s="757" customFormat="1" ht="18.75" outlineLevel="1">
      <c r="B222" s="1335" t="s">
        <v>2638</v>
      </c>
      <c r="C222" s="1336" t="str">
        <f>"Всего по "&amp;$C$212&amp;" ("&amp;T222&amp;"):"</f>
        <v>Всего по Льгота (ТП, КТП, МТП, СТП) (500-900 кВА):</v>
      </c>
      <c r="D222" s="1336"/>
      <c r="E222" s="1336"/>
      <c r="F222" s="1337">
        <f>SUM(F223)</f>
        <v>0</v>
      </c>
      <c r="G222" s="1338">
        <f t="shared" si="168"/>
        <v>0</v>
      </c>
      <c r="H222" s="1338">
        <f t="shared" si="168"/>
        <v>0</v>
      </c>
      <c r="I222" s="1338">
        <f t="shared" si="168"/>
        <v>0</v>
      </c>
      <c r="J222" s="1338">
        <f t="shared" si="168"/>
        <v>0</v>
      </c>
      <c r="K222" s="1338">
        <f t="shared" si="168"/>
        <v>0</v>
      </c>
      <c r="L222" s="1338">
        <f t="shared" si="168"/>
        <v>0</v>
      </c>
      <c r="M222" s="1338">
        <f>SUM(M223)</f>
        <v>0</v>
      </c>
      <c r="N222" s="1338">
        <f t="shared" si="169"/>
        <v>0</v>
      </c>
      <c r="O222" s="1338">
        <f t="shared" si="169"/>
        <v>0</v>
      </c>
      <c r="P222" s="1338">
        <f t="shared" si="169"/>
        <v>0</v>
      </c>
      <c r="Q222" s="1337">
        <f t="shared" si="169"/>
        <v>0</v>
      </c>
      <c r="R222" s="1339"/>
      <c r="S222" s="1339"/>
      <c r="T222" s="1340" t="s">
        <v>2639</v>
      </c>
      <c r="U222" s="582"/>
      <c r="V222" s="582"/>
      <c r="W222" s="582"/>
      <c r="X222" s="600"/>
      <c r="Y222" s="582" t="str">
        <f>IF(X222="","",$C$253)</f>
        <v/>
      </c>
      <c r="Z222" s="582" t="str">
        <f>IF(X222="","",CONCATENATE(Y222,"-",X222))</f>
        <v/>
      </c>
      <c r="AA222" s="582"/>
      <c r="AB222" s="750">
        <f t="shared" si="161"/>
        <v>0</v>
      </c>
      <c r="AC222" s="751">
        <f t="shared" si="162"/>
        <v>0</v>
      </c>
      <c r="AD222" s="752">
        <f t="shared" si="163"/>
        <v>0</v>
      </c>
      <c r="AE222" s="753">
        <f t="shared" si="164"/>
        <v>0</v>
      </c>
      <c r="AF222" s="754"/>
      <c r="AG222" s="842" t="str">
        <f t="shared" si="157"/>
        <v>не совпадает</v>
      </c>
      <c r="AH222" s="732" t="str">
        <f t="shared" si="171"/>
        <v/>
      </c>
      <c r="AI222" s="733" t="str">
        <f t="shared" si="171"/>
        <v/>
      </c>
      <c r="AJ222" s="734" t="str">
        <f t="shared" si="171"/>
        <v/>
      </c>
      <c r="AK222" s="755">
        <f t="shared" si="175"/>
        <v>0</v>
      </c>
      <c r="AL222" s="756"/>
      <c r="AM222" s="757" t="str">
        <f t="shared" ref="AM222:AM229" si="176">IF(P222=AE222,"Истина",P222-AE222)</f>
        <v>Истина</v>
      </c>
      <c r="AN222" s="758"/>
      <c r="AT222" s="1345"/>
      <c r="AU222" s="1334"/>
      <c r="BE222" s="759"/>
      <c r="BF222" s="759"/>
      <c r="BG222" s="759"/>
      <c r="BH222" s="759"/>
      <c r="BI222" s="759"/>
      <c r="BJ222" s="759"/>
      <c r="BK222" s="759"/>
      <c r="BL222" s="759"/>
      <c r="BM222" s="759"/>
      <c r="BN222" s="759"/>
      <c r="BO222" s="759"/>
      <c r="BP222" s="759"/>
      <c r="BQ222" s="759"/>
      <c r="BR222" s="759"/>
      <c r="BS222" s="759"/>
      <c r="BT222" s="759"/>
      <c r="BU222" s="759"/>
      <c r="BV222" s="759"/>
      <c r="BW222" s="759"/>
      <c r="BX222" s="759"/>
      <c r="BY222" s="759"/>
      <c r="BZ222" s="760"/>
      <c r="CA222" s="760"/>
      <c r="CB222" s="760"/>
      <c r="CC222" s="760"/>
      <c r="CD222" s="760"/>
      <c r="CE222" s="760"/>
      <c r="CF222" s="760"/>
      <c r="CG222" s="760"/>
      <c r="CH222" s="760"/>
      <c r="CI222" s="760"/>
    </row>
    <row r="223" spans="2:87" s="757" customFormat="1" ht="15.75" outlineLevel="1">
      <c r="B223" s="843"/>
      <c r="C223" s="775"/>
      <c r="D223" s="808" t="str">
        <f t="shared" ref="D223" si="177">IF(AF223=0,"",AF223)</f>
        <v/>
      </c>
      <c r="E223" s="775"/>
      <c r="F223" s="844"/>
      <c r="G223" s="778"/>
      <c r="H223" s="845"/>
      <c r="I223" s="845"/>
      <c r="J223" s="845"/>
      <c r="K223" s="845"/>
      <c r="L223" s="845"/>
      <c r="M223" s="845"/>
      <c r="N223" s="845"/>
      <c r="O223" s="845"/>
      <c r="P223" s="811"/>
      <c r="Q223" s="810"/>
      <c r="R223" s="781"/>
      <c r="S223" s="846"/>
      <c r="T223" s="846"/>
      <c r="U223" s="582"/>
      <c r="V223" s="852"/>
      <c r="W223" s="853" t="str">
        <f>""&amp;V223&amp;" - "&amp;X223&amp;""</f>
        <v xml:space="preserve"> - </v>
      </c>
      <c r="X223" s="845"/>
      <c r="Y223" s="854" t="str">
        <f>IF(X223="","",$C$253)</f>
        <v/>
      </c>
      <c r="Z223" s="855" t="str">
        <f>IF(X223="","",CONCATENATE(Y223,": ",W223))</f>
        <v/>
      </c>
      <c r="AA223" s="582"/>
      <c r="AB223" s="750">
        <f t="shared" si="161"/>
        <v>0</v>
      </c>
      <c r="AC223" s="751">
        <f t="shared" si="162"/>
        <v>0</v>
      </c>
      <c r="AD223" s="752">
        <f t="shared" si="163"/>
        <v>0</v>
      </c>
      <c r="AE223" s="753">
        <f t="shared" si="164"/>
        <v>0</v>
      </c>
      <c r="AF223" s="754"/>
      <c r="AG223" s="842" t="str">
        <f t="shared" si="157"/>
        <v>не совпадает</v>
      </c>
      <c r="AH223" s="732" t="str">
        <f t="shared" si="171"/>
        <v/>
      </c>
      <c r="AI223" s="733" t="str">
        <f t="shared" si="171"/>
        <v/>
      </c>
      <c r="AJ223" s="734" t="str">
        <f t="shared" si="171"/>
        <v/>
      </c>
      <c r="AK223" s="755">
        <f t="shared" si="175"/>
        <v>0</v>
      </c>
      <c r="AL223" s="756"/>
      <c r="AM223" s="757" t="str">
        <f t="shared" si="176"/>
        <v>Истина</v>
      </c>
      <c r="AN223" s="758"/>
      <c r="AT223" s="856"/>
      <c r="AU223" s="856"/>
      <c r="BE223" s="759"/>
      <c r="BF223" s="759"/>
      <c r="BG223" s="759"/>
      <c r="BH223" s="759"/>
      <c r="BI223" s="759"/>
      <c r="BJ223" s="759"/>
      <c r="BK223" s="759"/>
      <c r="BL223" s="759"/>
      <c r="BM223" s="759"/>
      <c r="BN223" s="759"/>
      <c r="BO223" s="759"/>
      <c r="BP223" s="759"/>
      <c r="BQ223" s="759"/>
      <c r="BR223" s="759"/>
      <c r="BS223" s="759"/>
      <c r="BT223" s="759"/>
      <c r="BU223" s="759"/>
      <c r="BV223" s="759"/>
      <c r="BW223" s="759"/>
      <c r="BX223" s="759"/>
      <c r="BY223" s="759"/>
      <c r="BZ223" s="760"/>
      <c r="CA223" s="760"/>
      <c r="CB223" s="760"/>
      <c r="CC223" s="760"/>
      <c r="CD223" s="760"/>
      <c r="CE223" s="760"/>
      <c r="CF223" s="760"/>
      <c r="CG223" s="760"/>
      <c r="CH223" s="760"/>
      <c r="CI223" s="760"/>
    </row>
    <row r="224" spans="2:87" s="757" customFormat="1" ht="18.75" outlineLevel="1">
      <c r="B224" s="1335" t="s">
        <v>2640</v>
      </c>
      <c r="C224" s="1336" t="str">
        <f>"Всего по "&amp;$C$212&amp;" ("&amp;T224&amp;"):"</f>
        <v>Всего по Льгота (ТП, КТП, МТП, СТП) (Свыше 900 кВА):</v>
      </c>
      <c r="D224" s="1336"/>
      <c r="E224" s="1336"/>
      <c r="F224" s="1337">
        <f>SUM(F225)</f>
        <v>0</v>
      </c>
      <c r="G224" s="1338">
        <f t="shared" si="168"/>
        <v>0</v>
      </c>
      <c r="H224" s="1338">
        <f t="shared" si="168"/>
        <v>0</v>
      </c>
      <c r="I224" s="1338">
        <f t="shared" si="168"/>
        <v>0</v>
      </c>
      <c r="J224" s="1338">
        <f t="shared" si="168"/>
        <v>0</v>
      </c>
      <c r="K224" s="1338">
        <f t="shared" si="168"/>
        <v>0</v>
      </c>
      <c r="L224" s="1338">
        <f t="shared" si="168"/>
        <v>0</v>
      </c>
      <c r="M224" s="1338">
        <f>SUM(M225)</f>
        <v>0</v>
      </c>
      <c r="N224" s="1338">
        <f t="shared" si="169"/>
        <v>0</v>
      </c>
      <c r="O224" s="1338">
        <f>SUM(O225)</f>
        <v>0</v>
      </c>
      <c r="P224" s="1338">
        <f t="shared" si="169"/>
        <v>0</v>
      </c>
      <c r="Q224" s="1337">
        <f t="shared" si="169"/>
        <v>0</v>
      </c>
      <c r="R224" s="1339"/>
      <c r="S224" s="1339"/>
      <c r="T224" s="1340" t="s">
        <v>3210</v>
      </c>
      <c r="U224" s="582"/>
      <c r="V224" s="582"/>
      <c r="W224" s="582"/>
      <c r="X224" s="600"/>
      <c r="Y224" s="582" t="str">
        <f>IF(X224="","",$C$253)</f>
        <v/>
      </c>
      <c r="Z224" s="582" t="str">
        <f>IF(X224="","",CONCATENATE(Y224,"-",X224))</f>
        <v/>
      </c>
      <c r="AA224" s="582"/>
      <c r="AB224" s="750">
        <f t="shared" si="161"/>
        <v>0</v>
      </c>
      <c r="AC224" s="751">
        <f t="shared" si="162"/>
        <v>0</v>
      </c>
      <c r="AD224" s="752">
        <f t="shared" si="163"/>
        <v>0</v>
      </c>
      <c r="AE224" s="753">
        <f t="shared" si="164"/>
        <v>0</v>
      </c>
      <c r="AF224" s="754"/>
      <c r="AG224" s="842" t="str">
        <f t="shared" si="157"/>
        <v>не совпадает</v>
      </c>
      <c r="AH224" s="732" t="str">
        <f t="shared" si="171"/>
        <v/>
      </c>
      <c r="AI224" s="733" t="str">
        <f t="shared" si="171"/>
        <v/>
      </c>
      <c r="AJ224" s="734" t="str">
        <f t="shared" si="171"/>
        <v/>
      </c>
      <c r="AK224" s="755">
        <f t="shared" si="175"/>
        <v>0</v>
      </c>
      <c r="AL224" s="756"/>
      <c r="AM224" s="757" t="str">
        <f t="shared" si="176"/>
        <v>Истина</v>
      </c>
      <c r="AN224" s="758"/>
      <c r="AT224" s="1345"/>
      <c r="AU224" s="1334"/>
      <c r="BE224" s="759"/>
      <c r="BF224" s="759"/>
      <c r="BG224" s="759"/>
      <c r="BH224" s="759"/>
      <c r="BI224" s="759"/>
      <c r="BJ224" s="759"/>
      <c r="BK224" s="759"/>
      <c r="BL224" s="759"/>
      <c r="BM224" s="759"/>
      <c r="BN224" s="759"/>
      <c r="BO224" s="759"/>
      <c r="BP224" s="759"/>
      <c r="BQ224" s="759"/>
      <c r="BR224" s="759"/>
      <c r="BS224" s="759"/>
      <c r="BT224" s="759"/>
      <c r="BU224" s="759"/>
      <c r="BV224" s="759"/>
      <c r="BW224" s="759"/>
      <c r="BX224" s="759"/>
      <c r="BY224" s="759"/>
      <c r="BZ224" s="760"/>
      <c r="CA224" s="760"/>
      <c r="CB224" s="760"/>
      <c r="CC224" s="760"/>
      <c r="CD224" s="760"/>
      <c r="CE224" s="760"/>
      <c r="CF224" s="760"/>
      <c r="CG224" s="760"/>
      <c r="CH224" s="760"/>
      <c r="CI224" s="760"/>
    </row>
    <row r="225" spans="2:87" s="757" customFormat="1" ht="15.75" outlineLevel="1">
      <c r="B225" s="843"/>
      <c r="C225" s="775"/>
      <c r="D225" s="808" t="str">
        <f t="shared" ref="D225" si="178">IF(AF225=0,"",AF225)</f>
        <v/>
      </c>
      <c r="E225" s="775"/>
      <c r="F225" s="844"/>
      <c r="G225" s="778"/>
      <c r="H225" s="845"/>
      <c r="I225" s="845"/>
      <c r="J225" s="845"/>
      <c r="K225" s="845"/>
      <c r="L225" s="845"/>
      <c r="M225" s="845"/>
      <c r="N225" s="845"/>
      <c r="O225" s="845"/>
      <c r="P225" s="811"/>
      <c r="Q225" s="810"/>
      <c r="R225" s="781"/>
      <c r="S225" s="846"/>
      <c r="T225" s="846"/>
      <c r="U225" s="582"/>
      <c r="V225" s="852"/>
      <c r="W225" s="853" t="str">
        <f>""&amp;V225&amp;" - "&amp;X225&amp;""</f>
        <v xml:space="preserve"> - </v>
      </c>
      <c r="X225" s="845"/>
      <c r="Y225" s="854" t="str">
        <f>IF(X225="","",$C$253)</f>
        <v/>
      </c>
      <c r="Z225" s="855" t="str">
        <f>IF(X225="","",CONCATENATE(Y225,": ",W225))</f>
        <v/>
      </c>
      <c r="AA225" s="582"/>
      <c r="AB225" s="750">
        <f t="shared" si="161"/>
        <v>0</v>
      </c>
      <c r="AC225" s="751">
        <f t="shared" si="162"/>
        <v>0</v>
      </c>
      <c r="AD225" s="752">
        <f t="shared" si="163"/>
        <v>0</v>
      </c>
      <c r="AE225" s="753">
        <f t="shared" si="164"/>
        <v>0</v>
      </c>
      <c r="AF225" s="754"/>
      <c r="AG225" s="842" t="str">
        <f t="shared" si="157"/>
        <v>не совпадает</v>
      </c>
      <c r="AH225" s="732" t="str">
        <f t="shared" si="171"/>
        <v/>
      </c>
      <c r="AI225" s="733" t="str">
        <f t="shared" si="171"/>
        <v/>
      </c>
      <c r="AJ225" s="734" t="str">
        <f t="shared" si="171"/>
        <v/>
      </c>
      <c r="AK225" s="755">
        <f t="shared" si="175"/>
        <v>0</v>
      </c>
      <c r="AL225" s="756"/>
      <c r="AM225" s="757" t="str">
        <f t="shared" si="176"/>
        <v>Истина</v>
      </c>
      <c r="AN225" s="758"/>
      <c r="AT225" s="856"/>
      <c r="AU225" s="856"/>
      <c r="BE225" s="759"/>
      <c r="BF225" s="759"/>
      <c r="BG225" s="759"/>
      <c r="BH225" s="759"/>
      <c r="BI225" s="759"/>
      <c r="BJ225" s="759"/>
      <c r="BK225" s="759"/>
      <c r="BL225" s="759"/>
      <c r="BM225" s="759"/>
      <c r="BN225" s="759"/>
      <c r="BO225" s="759"/>
      <c r="BP225" s="759"/>
      <c r="BQ225" s="759"/>
      <c r="BR225" s="759"/>
      <c r="BS225" s="759"/>
      <c r="BT225" s="759"/>
      <c r="BU225" s="759"/>
      <c r="BV225" s="759"/>
      <c r="BW225" s="759"/>
      <c r="BX225" s="759"/>
      <c r="BY225" s="759"/>
      <c r="BZ225" s="760"/>
      <c r="CA225" s="760"/>
      <c r="CB225" s="760"/>
      <c r="CC225" s="760"/>
      <c r="CD225" s="760"/>
      <c r="CE225" s="760"/>
      <c r="CF225" s="760"/>
      <c r="CG225" s="760"/>
      <c r="CH225" s="760"/>
      <c r="CI225" s="760"/>
    </row>
    <row r="226" spans="2:87" s="757" customFormat="1" ht="18.75">
      <c r="B226" s="1326" t="s">
        <v>2642</v>
      </c>
      <c r="C226" s="1327" t="str">
        <f>""&amp;T226&amp;" ("&amp;$C$212&amp;")"</f>
        <v>Двухтрансф. (Льгота (ТП, КТП, МТП, СТП))</v>
      </c>
      <c r="D226" s="1328"/>
      <c r="E226" s="1328"/>
      <c r="F226" s="1329">
        <f>SUM(F227)</f>
        <v>0</v>
      </c>
      <c r="G226" s="1330">
        <f t="shared" ref="G226" si="179">SUM(G227)</f>
        <v>0</v>
      </c>
      <c r="H226" s="1330">
        <f>SUM(H227)</f>
        <v>0</v>
      </c>
      <c r="I226" s="1330">
        <f t="shared" ref="I226:M226" si="180">SUM(I227)</f>
        <v>0</v>
      </c>
      <c r="J226" s="1330">
        <f t="shared" si="180"/>
        <v>0</v>
      </c>
      <c r="K226" s="1330">
        <f t="shared" si="180"/>
        <v>0</v>
      </c>
      <c r="L226" s="1330">
        <f t="shared" si="180"/>
        <v>0</v>
      </c>
      <c r="M226" s="1330">
        <f t="shared" si="180"/>
        <v>0</v>
      </c>
      <c r="N226" s="1330">
        <f>SUM(N227)</f>
        <v>0</v>
      </c>
      <c r="O226" s="1330">
        <f t="shared" ref="O226:Q226" si="181">SUM(O227)</f>
        <v>0</v>
      </c>
      <c r="P226" s="1330">
        <f t="shared" si="181"/>
        <v>0</v>
      </c>
      <c r="Q226" s="1329">
        <f t="shared" si="181"/>
        <v>0</v>
      </c>
      <c r="R226" s="1346"/>
      <c r="S226" s="1346"/>
      <c r="T226" s="1332" t="s">
        <v>2643</v>
      </c>
      <c r="U226" s="582"/>
      <c r="V226" s="582"/>
      <c r="W226" s="582"/>
      <c r="X226" s="600"/>
      <c r="Y226" s="582" t="str">
        <f>IF(X226="","",$C$211)</f>
        <v/>
      </c>
      <c r="Z226" s="582" t="str">
        <f>IF(X226="","",CONCATENATE(Y226,"-",X226))</f>
        <v/>
      </c>
      <c r="AA226" s="582"/>
      <c r="AB226" s="750">
        <f t="shared" si="161"/>
        <v>0</v>
      </c>
      <c r="AC226" s="751">
        <f t="shared" si="162"/>
        <v>0</v>
      </c>
      <c r="AD226" s="752">
        <f t="shared" si="163"/>
        <v>0</v>
      </c>
      <c r="AE226" s="753">
        <f t="shared" si="164"/>
        <v>0</v>
      </c>
      <c r="AF226" s="754"/>
      <c r="AG226" s="842" t="str">
        <f t="shared" si="157"/>
        <v>не совпадает</v>
      </c>
      <c r="AH226" s="732" t="str">
        <f t="shared" si="171"/>
        <v/>
      </c>
      <c r="AI226" s="733" t="str">
        <f t="shared" si="171"/>
        <v/>
      </c>
      <c r="AJ226" s="734" t="str">
        <f t="shared" si="171"/>
        <v/>
      </c>
      <c r="AK226" s="755">
        <f t="shared" si="175"/>
        <v>0</v>
      </c>
      <c r="AL226" s="756"/>
      <c r="AM226" s="757" t="str">
        <f t="shared" si="176"/>
        <v>Истина</v>
      </c>
      <c r="AN226" s="758"/>
      <c r="AT226" s="1345"/>
      <c r="AU226" s="1334"/>
      <c r="BE226" s="759"/>
      <c r="BF226" s="759"/>
      <c r="BG226" s="759"/>
      <c r="BH226" s="759"/>
      <c r="BI226" s="759"/>
      <c r="BJ226" s="759"/>
      <c r="BK226" s="759"/>
      <c r="BL226" s="759"/>
      <c r="BM226" s="759"/>
      <c r="BN226" s="759"/>
      <c r="BO226" s="759"/>
      <c r="BP226" s="759"/>
      <c r="BQ226" s="759"/>
      <c r="BR226" s="759"/>
      <c r="BS226" s="759"/>
      <c r="BT226" s="759"/>
      <c r="BU226" s="759"/>
      <c r="BV226" s="759"/>
      <c r="BW226" s="759"/>
      <c r="BX226" s="759"/>
      <c r="BY226" s="759"/>
      <c r="BZ226" s="760"/>
      <c r="CA226" s="760"/>
      <c r="CB226" s="760"/>
      <c r="CC226" s="760"/>
      <c r="CD226" s="760"/>
      <c r="CE226" s="760"/>
      <c r="CF226" s="760"/>
      <c r="CG226" s="760"/>
      <c r="CH226" s="760"/>
      <c r="CI226" s="760"/>
    </row>
    <row r="227" spans="2:87" s="757" customFormat="1" ht="18.75" outlineLevel="1">
      <c r="B227" s="1347"/>
      <c r="C227" s="1348"/>
      <c r="D227" s="649" t="str">
        <f t="shared" ref="D227" si="182">IF(AF227=0,"",AF227)</f>
        <v/>
      </c>
      <c r="E227" s="1348"/>
      <c r="F227" s="1349"/>
      <c r="G227" s="1350"/>
      <c r="H227" s="1351"/>
      <c r="I227" s="1351"/>
      <c r="J227" s="1351"/>
      <c r="K227" s="1351"/>
      <c r="L227" s="1351"/>
      <c r="M227" s="1351"/>
      <c r="N227" s="1351"/>
      <c r="O227" s="1351"/>
      <c r="P227" s="1352"/>
      <c r="Q227" s="848"/>
      <c r="R227" s="849"/>
      <c r="S227" s="850"/>
      <c r="T227" s="851"/>
      <c r="U227" s="582"/>
      <c r="V227" s="852"/>
      <c r="W227" s="853" t="str">
        <f>""&amp;V227&amp;" - "&amp;X227&amp;""</f>
        <v xml:space="preserve"> - </v>
      </c>
      <c r="X227" s="845"/>
      <c r="Y227" s="854" t="str">
        <f>IF(X227="","",$C$211)</f>
        <v/>
      </c>
      <c r="Z227" s="855" t="str">
        <f>IF(X227="","",CONCATENATE(Y227,": ",W227))</f>
        <v/>
      </c>
      <c r="AA227" s="582"/>
      <c r="AB227" s="750">
        <f t="shared" si="161"/>
        <v>0</v>
      </c>
      <c r="AC227" s="751">
        <f t="shared" si="162"/>
        <v>0</v>
      </c>
      <c r="AD227" s="752">
        <f t="shared" si="163"/>
        <v>0</v>
      </c>
      <c r="AE227" s="753">
        <f t="shared" si="164"/>
        <v>0</v>
      </c>
      <c r="AF227" s="754"/>
      <c r="AG227" s="842" t="str">
        <f t="shared" si="157"/>
        <v>не совпадает</v>
      </c>
      <c r="AH227" s="732" t="str">
        <f t="shared" si="171"/>
        <v/>
      </c>
      <c r="AI227" s="733" t="str">
        <f t="shared" si="171"/>
        <v/>
      </c>
      <c r="AJ227" s="734" t="str">
        <f t="shared" si="171"/>
        <v/>
      </c>
      <c r="AK227" s="755">
        <f t="shared" si="175"/>
        <v>0</v>
      </c>
      <c r="AL227" s="756"/>
      <c r="AM227" s="757" t="str">
        <f t="shared" si="176"/>
        <v>Истина</v>
      </c>
      <c r="AN227" s="758"/>
      <c r="AT227" s="856"/>
      <c r="AU227" s="856"/>
      <c r="BE227" s="759"/>
      <c r="BF227" s="759"/>
      <c r="BG227" s="759"/>
      <c r="BH227" s="759"/>
      <c r="BI227" s="759"/>
      <c r="BJ227" s="759"/>
      <c r="BK227" s="759"/>
      <c r="BL227" s="759"/>
      <c r="BM227" s="759"/>
      <c r="BN227" s="759"/>
      <c r="BO227" s="759"/>
      <c r="BP227" s="759"/>
      <c r="BQ227" s="759"/>
      <c r="BR227" s="759"/>
      <c r="BS227" s="759"/>
      <c r="BT227" s="759"/>
      <c r="BU227" s="759"/>
      <c r="BV227" s="759"/>
      <c r="BW227" s="759"/>
      <c r="BX227" s="759"/>
      <c r="BY227" s="759"/>
      <c r="BZ227" s="760"/>
      <c r="CA227" s="760"/>
      <c r="CB227" s="760"/>
      <c r="CC227" s="760"/>
      <c r="CD227" s="760"/>
      <c r="CE227" s="760"/>
      <c r="CF227" s="760"/>
      <c r="CG227" s="760"/>
      <c r="CH227" s="760"/>
      <c r="CI227" s="760"/>
    </row>
    <row r="228" spans="2:87" ht="18.75">
      <c r="B228" s="1321" t="s">
        <v>2644</v>
      </c>
      <c r="C228" s="1321" t="s">
        <v>2645</v>
      </c>
      <c r="D228" s="1322"/>
      <c r="E228" s="1322"/>
      <c r="F228" s="1323">
        <f>SUM(F229)</f>
        <v>0</v>
      </c>
      <c r="G228" s="1324">
        <f t="shared" ref="G228:H228" si="183">SUM(G229)</f>
        <v>0</v>
      </c>
      <c r="H228" s="1324">
        <f t="shared" si="183"/>
        <v>0</v>
      </c>
      <c r="I228" s="1324">
        <f>SUM(I229)</f>
        <v>0</v>
      </c>
      <c r="J228" s="1324">
        <f t="shared" ref="J228:L228" si="184">SUM(J229)</f>
        <v>0</v>
      </c>
      <c r="K228" s="1324">
        <f t="shared" si="184"/>
        <v>0</v>
      </c>
      <c r="L228" s="1324">
        <f t="shared" si="184"/>
        <v>0</v>
      </c>
      <c r="M228" s="1324">
        <f>SUM(M229)</f>
        <v>0</v>
      </c>
      <c r="N228" s="1324">
        <f t="shared" ref="N228:Q228" si="185">SUM(N229)</f>
        <v>0</v>
      </c>
      <c r="O228" s="1324">
        <f>SUM(O229)</f>
        <v>0</v>
      </c>
      <c r="P228" s="1324">
        <f>SUM(P229)</f>
        <v>0</v>
      </c>
      <c r="Q228" s="1323">
        <f t="shared" si="185"/>
        <v>0</v>
      </c>
      <c r="R228" s="1322"/>
      <c r="S228" s="1322"/>
      <c r="T228" s="1325"/>
      <c r="X228" s="582"/>
      <c r="Y228" s="582" t="str">
        <f>IF(X228="","",$C$213)</f>
        <v/>
      </c>
      <c r="Z228" s="582" t="str">
        <f>IF(X228="","",CONCATENATE(Y228,"-",X228))</f>
        <v/>
      </c>
      <c r="AA228" s="582"/>
      <c r="AB228" s="621">
        <f t="shared" si="161"/>
        <v>0</v>
      </c>
      <c r="AC228" s="622">
        <f t="shared" si="162"/>
        <v>0</v>
      </c>
      <c r="AD228" s="623">
        <f t="shared" si="163"/>
        <v>0</v>
      </c>
      <c r="AE228" s="624">
        <f t="shared" si="164"/>
        <v>0</v>
      </c>
      <c r="AF228" s="624"/>
      <c r="AG228" s="842" t="str">
        <f t="shared" si="157"/>
        <v>не совпадает</v>
      </c>
      <c r="AH228" s="664" t="str">
        <f t="shared" si="171"/>
        <v/>
      </c>
      <c r="AI228" s="665" t="str">
        <f t="shared" si="171"/>
        <v/>
      </c>
      <c r="AJ228" s="666" t="str">
        <f t="shared" si="171"/>
        <v/>
      </c>
      <c r="AK228" s="667">
        <f t="shared" si="175"/>
        <v>0</v>
      </c>
      <c r="AM228" s="600" t="str">
        <f t="shared" si="176"/>
        <v>Истина</v>
      </c>
      <c r="BA228" s="600"/>
    </row>
    <row r="229" spans="2:87" s="757" customFormat="1" ht="18.75">
      <c r="B229" s="861"/>
      <c r="C229" s="862"/>
      <c r="D229" s="649" t="str">
        <f t="shared" ref="D229" si="186">IF(AF229=0,"",AF229)</f>
        <v/>
      </c>
      <c r="E229" s="862"/>
      <c r="F229" s="863"/>
      <c r="G229" s="864"/>
      <c r="H229" s="865"/>
      <c r="I229" s="865"/>
      <c r="J229" s="865"/>
      <c r="K229" s="865"/>
      <c r="L229" s="865"/>
      <c r="M229" s="865"/>
      <c r="N229" s="865"/>
      <c r="O229" s="865"/>
      <c r="P229" s="865"/>
      <c r="Q229" s="866"/>
      <c r="R229" s="849"/>
      <c r="S229" s="850"/>
      <c r="T229" s="851"/>
      <c r="U229" s="582"/>
      <c r="V229" s="852"/>
      <c r="W229" s="853" t="str">
        <f>""&amp;V229&amp;" - "&amp;X229&amp;""</f>
        <v xml:space="preserve"> - </v>
      </c>
      <c r="X229" s="845"/>
      <c r="Y229" s="854" t="str">
        <f>IF(X229="","",$C$213)</f>
        <v/>
      </c>
      <c r="Z229" s="855" t="str">
        <f>IF(X229="","",CONCATENATE(Y229,": ",W229))</f>
        <v/>
      </c>
      <c r="AA229" s="582"/>
      <c r="AB229" s="750">
        <f t="shared" si="161"/>
        <v>0</v>
      </c>
      <c r="AC229" s="751">
        <f t="shared" si="162"/>
        <v>0</v>
      </c>
      <c r="AD229" s="752">
        <f t="shared" si="163"/>
        <v>0</v>
      </c>
      <c r="AE229" s="753">
        <f t="shared" si="164"/>
        <v>0</v>
      </c>
      <c r="AF229" s="754"/>
      <c r="AG229" s="842" t="str">
        <f t="shared" si="157"/>
        <v>не совпадает</v>
      </c>
      <c r="AH229" s="732" t="str">
        <f t="shared" si="171"/>
        <v/>
      </c>
      <c r="AI229" s="733" t="str">
        <f t="shared" si="171"/>
        <v/>
      </c>
      <c r="AJ229" s="734" t="str">
        <f t="shared" si="171"/>
        <v/>
      </c>
      <c r="AK229" s="755">
        <f t="shared" si="175"/>
        <v>0</v>
      </c>
      <c r="AL229" s="756"/>
      <c r="AM229" s="757" t="str">
        <f t="shared" si="176"/>
        <v>Истина</v>
      </c>
      <c r="AN229" s="758"/>
      <c r="AT229" s="856"/>
      <c r="AU229" s="856"/>
      <c r="BE229" s="759"/>
      <c r="BF229" s="759"/>
      <c r="BG229" s="759"/>
      <c r="BH229" s="759"/>
      <c r="BI229" s="759"/>
      <c r="BJ229" s="759"/>
      <c r="BK229" s="759"/>
      <c r="BL229" s="759"/>
      <c r="BM229" s="759"/>
      <c r="BN229" s="759"/>
      <c r="BO229" s="759"/>
      <c r="BP229" s="759"/>
      <c r="BQ229" s="759"/>
      <c r="BR229" s="759"/>
      <c r="BS229" s="759"/>
      <c r="BT229" s="759"/>
      <c r="BU229" s="759"/>
      <c r="BV229" s="759"/>
      <c r="BW229" s="759"/>
      <c r="BX229" s="759"/>
      <c r="BY229" s="759"/>
      <c r="BZ229" s="760"/>
      <c r="CA229" s="760"/>
      <c r="CB229" s="760"/>
      <c r="CC229" s="760"/>
      <c r="CD229" s="760"/>
      <c r="CE229" s="760"/>
      <c r="CF229" s="760"/>
      <c r="CG229" s="760"/>
      <c r="CH229" s="760"/>
      <c r="CI229" s="760"/>
    </row>
    <row r="230" spans="2:87" ht="18.75">
      <c r="B230" s="1353">
        <f>MAX(B215,B217,B219,B221,B223,B225,B227,B229)</f>
        <v>0</v>
      </c>
      <c r="C230" s="1294" t="str">
        <f>"ИТОГО "&amp;$C$211&amp;" (ЛЬГОТА):"</f>
        <v>ИТОГО Трансф. подстанции до 35 кВ (ЛЬГОТА):</v>
      </c>
      <c r="D230" s="1294"/>
      <c r="E230" s="1294"/>
      <c r="F230" s="1354">
        <f>SUM(F212,F228)</f>
        <v>0</v>
      </c>
      <c r="G230" s="1355">
        <f t="shared" ref="G230:O230" si="187">SUM(G212,G228)</f>
        <v>0</v>
      </c>
      <c r="H230" s="1355">
        <f t="shared" si="187"/>
        <v>0</v>
      </c>
      <c r="I230" s="1355">
        <f t="shared" si="187"/>
        <v>0</v>
      </c>
      <c r="J230" s="1355">
        <f t="shared" si="187"/>
        <v>0</v>
      </c>
      <c r="K230" s="1355">
        <f t="shared" si="187"/>
        <v>0</v>
      </c>
      <c r="L230" s="1355">
        <f t="shared" si="187"/>
        <v>0</v>
      </c>
      <c r="M230" s="1355">
        <f t="shared" si="187"/>
        <v>0</v>
      </c>
      <c r="N230" s="1355">
        <f t="shared" si="187"/>
        <v>0</v>
      </c>
      <c r="O230" s="1355">
        <f t="shared" si="187"/>
        <v>0</v>
      </c>
      <c r="P230" s="1355">
        <f>SUM(P212,P228)</f>
        <v>0</v>
      </c>
      <c r="Q230" s="1354">
        <f>SUM(Q212,Q228)</f>
        <v>0</v>
      </c>
      <c r="R230" s="1259"/>
      <c r="S230" s="1320"/>
      <c r="T230" s="1320"/>
      <c r="V230" s="867"/>
      <c r="W230" s="868" t="str">
        <f t="shared" ref="W230" si="188">""&amp;V230&amp;" - "&amp;X230&amp;""</f>
        <v xml:space="preserve"> - </v>
      </c>
      <c r="X230" s="603"/>
      <c r="Y230" s="603" t="str">
        <f t="shared" ref="Y230" si="189">IF(X230="","",$C$190)</f>
        <v/>
      </c>
      <c r="Z230" s="603" t="str">
        <f t="shared" ref="Z230" si="190">IF(X230="","",CONCATENATE(Y230,"-",X230))</f>
        <v/>
      </c>
      <c r="AA230" s="582"/>
      <c r="AB230" s="621"/>
      <c r="AC230" s="622"/>
      <c r="AD230" s="623"/>
      <c r="AE230" s="624"/>
      <c r="AF230" s="624"/>
      <c r="AG230" s="842" t="str">
        <f t="shared" si="157"/>
        <v>не совпадает</v>
      </c>
      <c r="AH230" s="664" t="str">
        <f t="shared" si="171"/>
        <v/>
      </c>
      <c r="AI230" s="665" t="str">
        <f t="shared" si="171"/>
        <v/>
      </c>
      <c r="AJ230" s="666" t="str">
        <f t="shared" si="171"/>
        <v/>
      </c>
      <c r="AK230" s="667">
        <f t="shared" si="175"/>
        <v>0</v>
      </c>
      <c r="BA230" s="600"/>
    </row>
    <row r="231" spans="2:87" ht="18.75">
      <c r="B231" s="1321" t="s">
        <v>2646</v>
      </c>
      <c r="C231" s="1321" t="s">
        <v>2647</v>
      </c>
      <c r="D231" s="1322"/>
      <c r="E231" s="1322"/>
      <c r="F231" s="1323">
        <f>SUM(F232,F249)</f>
        <v>0</v>
      </c>
      <c r="G231" s="1324">
        <f>SUM(G232,G249)</f>
        <v>184.7</v>
      </c>
      <c r="H231" s="1324">
        <f t="shared" ref="H231:Q231" si="191">SUM(H232,H249)</f>
        <v>24.024000000000001</v>
      </c>
      <c r="I231" s="1324">
        <f t="shared" si="191"/>
        <v>1368.87664</v>
      </c>
      <c r="J231" s="1324">
        <f t="shared" si="191"/>
        <v>0</v>
      </c>
      <c r="K231" s="1324">
        <f t="shared" si="191"/>
        <v>133.70922999999999</v>
      </c>
      <c r="L231" s="1324">
        <f t="shared" si="191"/>
        <v>0</v>
      </c>
      <c r="M231" s="1324">
        <f t="shared" si="191"/>
        <v>0</v>
      </c>
      <c r="N231" s="1324">
        <f t="shared" si="191"/>
        <v>0</v>
      </c>
      <c r="O231" s="1324">
        <f>SUM(O232,O249)</f>
        <v>138.51113000000001</v>
      </c>
      <c r="P231" s="1324">
        <f>SUM(P232,P249)</f>
        <v>1665121</v>
      </c>
      <c r="Q231" s="1323">
        <f t="shared" si="191"/>
        <v>6</v>
      </c>
      <c r="R231" s="1322"/>
      <c r="S231" s="1322"/>
      <c r="T231" s="1325"/>
      <c r="U231" s="869"/>
      <c r="V231" s="869"/>
      <c r="W231" s="869"/>
      <c r="Y231" s="582" t="str">
        <f t="shared" ref="Y231" si="192">IF(X231="","",$C$211)</f>
        <v/>
      </c>
      <c r="Z231" s="582" t="str">
        <f t="shared" si="152"/>
        <v/>
      </c>
      <c r="AA231" s="582"/>
      <c r="AB231" s="659"/>
      <c r="AC231" s="660"/>
      <c r="AD231" s="661"/>
      <c r="AE231" s="662"/>
      <c r="AF231" s="662"/>
      <c r="AG231" s="842" t="str">
        <f t="shared" si="157"/>
        <v>не совпадает</v>
      </c>
      <c r="AH231" s="664" t="str">
        <f t="shared" si="171"/>
        <v/>
      </c>
      <c r="AI231" s="665" t="str">
        <f t="shared" si="171"/>
        <v/>
      </c>
      <c r="AJ231" s="666" t="str">
        <f t="shared" si="171"/>
        <v/>
      </c>
      <c r="AK231" s="667">
        <f t="shared" si="115"/>
        <v>0</v>
      </c>
    </row>
    <row r="232" spans="2:87" s="757" customFormat="1" ht="18.75">
      <c r="B232" s="1326" t="s">
        <v>2648</v>
      </c>
      <c r="C232" s="1327" t="str">
        <f>""&amp;T232&amp;" ("&amp;$C$231&amp;")"</f>
        <v>Однотрансф. (Не льгота (ТП, КТП, МТП, СТП))</v>
      </c>
      <c r="D232" s="1328"/>
      <c r="E232" s="1328"/>
      <c r="F232" s="1329">
        <f>SUM(F233,F238,F240,F242,F245,F247)</f>
        <v>0</v>
      </c>
      <c r="G232" s="1330">
        <f>SUM(G233,G238,G240,G242,G245,G247)</f>
        <v>184.7</v>
      </c>
      <c r="H232" s="1330">
        <f t="shared" ref="H232:Q232" si="193">SUM(H233,H238,H240,H242,H245,H247)</f>
        <v>24.024000000000001</v>
      </c>
      <c r="I232" s="1330">
        <f t="shared" si="193"/>
        <v>1368.87664</v>
      </c>
      <c r="J232" s="1330">
        <f t="shared" si="193"/>
        <v>0</v>
      </c>
      <c r="K232" s="1330">
        <f t="shared" si="193"/>
        <v>133.70922999999999</v>
      </c>
      <c r="L232" s="1330">
        <f t="shared" si="193"/>
        <v>0</v>
      </c>
      <c r="M232" s="1330">
        <f t="shared" si="193"/>
        <v>0</v>
      </c>
      <c r="N232" s="1330">
        <f t="shared" si="193"/>
        <v>0</v>
      </c>
      <c r="O232" s="1330">
        <f>SUM(O233,O238,O240,O242,O245,O247)</f>
        <v>138.51113000000001</v>
      </c>
      <c r="P232" s="1330">
        <f t="shared" si="193"/>
        <v>1665121</v>
      </c>
      <c r="Q232" s="1329">
        <f t="shared" si="193"/>
        <v>6</v>
      </c>
      <c r="R232" s="1331"/>
      <c r="S232" s="1331"/>
      <c r="T232" s="1332" t="s">
        <v>2627</v>
      </c>
      <c r="U232" s="582"/>
      <c r="V232" s="582"/>
      <c r="W232" s="582"/>
      <c r="X232" s="600"/>
      <c r="Y232" s="582" t="str">
        <f>IF(X232="","",#REF!)</f>
        <v/>
      </c>
      <c r="Z232" s="582" t="str">
        <f>IF(X232="","",CONCATENATE(Y232,"-",X232))</f>
        <v/>
      </c>
      <c r="AA232" s="582"/>
      <c r="AB232" s="750">
        <f>J232+L232+M232</f>
        <v>0</v>
      </c>
      <c r="AC232" s="751">
        <f>I232</f>
        <v>1368.87664</v>
      </c>
      <c r="AD232" s="752">
        <f>K232+H232</f>
        <v>157.73322999999999</v>
      </c>
      <c r="AE232" s="753">
        <f t="shared" ref="AE232:AE242" si="194">AB232+AC232+AD232</f>
        <v>1526.60987</v>
      </c>
      <c r="AF232" s="754"/>
      <c r="AG232" s="842" t="str">
        <f t="shared" si="157"/>
        <v>не совпадает</v>
      </c>
      <c r="AH232" s="732" t="str">
        <f t="shared" si="171"/>
        <v/>
      </c>
      <c r="AI232" s="733" t="str">
        <f t="shared" si="171"/>
        <v/>
      </c>
      <c r="AJ232" s="734" t="str">
        <f t="shared" si="171"/>
        <v/>
      </c>
      <c r="AK232" s="755">
        <f>SUM(AH232,AI232,AJ232)</f>
        <v>0</v>
      </c>
      <c r="AL232" s="756"/>
      <c r="AM232" s="757">
        <f>IF(P232=AE232,"Истина",P232-AE232)</f>
        <v>1663594.39013</v>
      </c>
      <c r="AN232" s="758"/>
      <c r="AT232" s="1333"/>
      <c r="AU232" s="1334"/>
      <c r="BE232" s="759"/>
      <c r="BF232" s="759"/>
      <c r="BG232" s="759"/>
      <c r="BH232" s="759"/>
      <c r="BI232" s="759"/>
      <c r="BJ232" s="759"/>
      <c r="BK232" s="759"/>
      <c r="BL232" s="759"/>
      <c r="BM232" s="759"/>
      <c r="BN232" s="759"/>
      <c r="BO232" s="759"/>
      <c r="BP232" s="759"/>
      <c r="BQ232" s="759"/>
      <c r="BR232" s="759"/>
      <c r="BS232" s="759"/>
      <c r="BT232" s="759"/>
      <c r="BU232" s="759"/>
      <c r="BV232" s="759"/>
      <c r="BW232" s="759"/>
      <c r="BX232" s="759"/>
      <c r="BY232" s="759"/>
      <c r="BZ232" s="760"/>
      <c r="CA232" s="760"/>
      <c r="CB232" s="760"/>
      <c r="CC232" s="760"/>
      <c r="CD232" s="760"/>
      <c r="CE232" s="760"/>
      <c r="CF232" s="760"/>
      <c r="CG232" s="760"/>
      <c r="CH232" s="760"/>
      <c r="CI232" s="760"/>
    </row>
    <row r="233" spans="2:87" s="757" customFormat="1" ht="18.75">
      <c r="B233" s="1335" t="s">
        <v>2649</v>
      </c>
      <c r="C233" s="1336" t="str">
        <f>"Всего по "&amp;$C$231&amp;" ("&amp;T233&amp;"):"</f>
        <v>Всего по Не льгота (ТП, КТП, МТП, СТП) (до 25 кВА):</v>
      </c>
      <c r="D233" s="1336"/>
      <c r="E233" s="1336"/>
      <c r="F233" s="1337">
        <f>SUM(F234:F237)</f>
        <v>0</v>
      </c>
      <c r="G233" s="1338">
        <f>SUM(G234:G237)</f>
        <v>33</v>
      </c>
      <c r="H233" s="1338">
        <f t="shared" ref="H233:O233" si="195">SUM(H234:H237)</f>
        <v>0</v>
      </c>
      <c r="I233" s="1338">
        <f t="shared" si="195"/>
        <v>645.0995200000001</v>
      </c>
      <c r="J233" s="1338">
        <f t="shared" si="195"/>
        <v>0</v>
      </c>
      <c r="K233" s="1338">
        <f t="shared" si="195"/>
        <v>92.35848</v>
      </c>
      <c r="L233" s="1338">
        <f t="shared" si="195"/>
        <v>0</v>
      </c>
      <c r="M233" s="1338">
        <f t="shared" si="195"/>
        <v>0</v>
      </c>
      <c r="N233" s="1338">
        <f t="shared" si="195"/>
        <v>0</v>
      </c>
      <c r="O233" s="1338">
        <f t="shared" si="195"/>
        <v>71.139160000000004</v>
      </c>
      <c r="P233" s="1338">
        <f>SUM(P234:P237)</f>
        <v>808597.16</v>
      </c>
      <c r="Q233" s="1337">
        <f>SUM(Q234:Q237)</f>
        <v>4</v>
      </c>
      <c r="R233" s="1339"/>
      <c r="S233" s="1339"/>
      <c r="T233" s="1340" t="s">
        <v>2629</v>
      </c>
      <c r="U233" s="582"/>
      <c r="V233" s="582"/>
      <c r="W233" s="582"/>
      <c r="X233" s="600"/>
      <c r="Y233" s="582" t="str">
        <f>IF(X233="","",#REF!)</f>
        <v/>
      </c>
      <c r="Z233" s="582" t="str">
        <f>IF(X233="","",CONCATENATE(Y233,"-",X233))</f>
        <v/>
      </c>
      <c r="AA233" s="582"/>
      <c r="AB233" s="750">
        <f>J233+L233+M233</f>
        <v>0</v>
      </c>
      <c r="AC233" s="751">
        <f>I233</f>
        <v>645.0995200000001</v>
      </c>
      <c r="AD233" s="752">
        <f>K233+H233</f>
        <v>92.35848</v>
      </c>
      <c r="AE233" s="753">
        <f t="shared" si="194"/>
        <v>737.45800000000008</v>
      </c>
      <c r="AF233" s="754"/>
      <c r="AG233" s="842" t="str">
        <f t="shared" si="157"/>
        <v>не совпадает</v>
      </c>
      <c r="AH233" s="732" t="str">
        <f t="shared" si="171"/>
        <v/>
      </c>
      <c r="AI233" s="733" t="str">
        <f t="shared" si="171"/>
        <v/>
      </c>
      <c r="AJ233" s="734" t="str">
        <f t="shared" si="171"/>
        <v/>
      </c>
      <c r="AK233" s="755">
        <f>SUM(AH233,AI233,AJ233)</f>
        <v>0</v>
      </c>
      <c r="AL233" s="756"/>
      <c r="AM233" s="757">
        <f>IF(P233=AE233,"Истина",P233-AE233)</f>
        <v>807859.70200000005</v>
      </c>
      <c r="AN233" s="758"/>
      <c r="AT233" s="1333"/>
      <c r="AU233" s="1334"/>
      <c r="BE233" s="759"/>
      <c r="BF233" s="759"/>
      <c r="BG233" s="759"/>
      <c r="BH233" s="759"/>
      <c r="BI233" s="759"/>
      <c r="BJ233" s="759"/>
      <c r="BK233" s="759"/>
      <c r="BL233" s="759"/>
      <c r="BM233" s="759"/>
      <c r="BN233" s="759"/>
      <c r="BO233" s="759"/>
      <c r="BP233" s="759"/>
      <c r="BQ233" s="759"/>
      <c r="BR233" s="759"/>
      <c r="BS233" s="759"/>
      <c r="BT233" s="759"/>
      <c r="BU233" s="759"/>
      <c r="BV233" s="759"/>
      <c r="BW233" s="759"/>
      <c r="BX233" s="759"/>
      <c r="BY233" s="759"/>
      <c r="BZ233" s="760"/>
      <c r="CA233" s="760"/>
      <c r="CB233" s="760"/>
      <c r="CC233" s="760"/>
      <c r="CD233" s="760"/>
      <c r="CE233" s="760"/>
      <c r="CF233" s="760"/>
      <c r="CG233" s="760"/>
      <c r="CH233" s="760"/>
      <c r="CI233" s="760"/>
    </row>
    <row r="234" spans="2:87" ht="38.25">
      <c r="B234" s="647">
        <v>1</v>
      </c>
      <c r="C234" s="648" t="s">
        <v>3211</v>
      </c>
      <c r="D234" s="649" t="str">
        <f t="shared" ref="D234:D237" si="196">IF(AF234=0,"",AF234)</f>
        <v>3кв 2015</v>
      </c>
      <c r="E234" s="648"/>
      <c r="F234" s="743"/>
      <c r="G234" s="802">
        <v>5</v>
      </c>
      <c r="H234" s="653"/>
      <c r="I234" s="653">
        <f>AC234/1000</f>
        <v>170.13118</v>
      </c>
      <c r="J234" s="653"/>
      <c r="K234" s="653">
        <f>AD234/1000</f>
        <v>6.4554799999999997</v>
      </c>
      <c r="L234" s="653"/>
      <c r="M234" s="653"/>
      <c r="N234" s="653"/>
      <c r="O234" s="653">
        <f>AB234/1000</f>
        <v>3.847</v>
      </c>
      <c r="P234" s="804">
        <v>180433.66</v>
      </c>
      <c r="Q234" s="802">
        <v>1</v>
      </c>
      <c r="R234" s="656" t="s">
        <v>2595</v>
      </c>
      <c r="S234" s="657" t="s">
        <v>1235</v>
      </c>
      <c r="T234" s="805"/>
      <c r="U234" s="2741" t="s">
        <v>1462</v>
      </c>
      <c r="V234" s="871" t="s">
        <v>2650</v>
      </c>
      <c r="W234" s="748" t="str">
        <f t="shared" ref="W234:W237" si="197">""&amp;V234&amp;" - "&amp;X234&amp;""</f>
        <v>СТП 25 кВА - за границей г.н.п.</v>
      </c>
      <c r="X234" s="602" t="s">
        <v>2947</v>
      </c>
      <c r="Y234" s="872" t="s">
        <v>2651</v>
      </c>
      <c r="Z234" s="749" t="str">
        <f t="shared" ref="Z234:Z237" si="198">IF(X234="","",CONCATENATE(Y234,": ",W234))</f>
        <v>до 15 кВт (не льгота); 1Т: СТП 25 кВА - за границей г.н.п.</v>
      </c>
      <c r="AA234" s="582"/>
      <c r="AB234" s="669">
        <v>3847</v>
      </c>
      <c r="AC234" s="670">
        <v>170131.18</v>
      </c>
      <c r="AD234" s="671">
        <v>6455.48</v>
      </c>
      <c r="AE234" s="672">
        <f t="shared" si="194"/>
        <v>180433.66</v>
      </c>
      <c r="AF234" s="662" t="s">
        <v>3044</v>
      </c>
      <c r="AG234" s="842">
        <f t="shared" si="157"/>
        <v>6.19</v>
      </c>
      <c r="AH234" s="664">
        <f t="shared" si="171"/>
        <v>621.48626817447496</v>
      </c>
      <c r="AI234" s="665">
        <f t="shared" si="171"/>
        <v>27484.843295638122</v>
      </c>
      <c r="AJ234" s="666">
        <f t="shared" si="171"/>
        <v>1042.8885298869143</v>
      </c>
      <c r="AK234" s="667">
        <f t="shared" si="115"/>
        <v>29149.21809369951</v>
      </c>
      <c r="AN234" s="763" t="e">
        <f>#REF!</f>
        <v>#REF!</v>
      </c>
      <c r="AO234" s="764" t="e">
        <f>AN234*G234*$AO$211</f>
        <v>#REF!</v>
      </c>
      <c r="AP234" s="764" t="e">
        <f>AO234/G234</f>
        <v>#REF!</v>
      </c>
      <c r="AS234" s="721"/>
      <c r="AU234" s="721">
        <v>48</v>
      </c>
      <c r="AZ234" s="600">
        <f>IF(B234="","",IF(P234=SUM(H234,I234,K234,O234),"ИСТИНА",P234-SUM(H234,I234,K234,O234)))</f>
        <v>180253.22633999999</v>
      </c>
      <c r="BA234" s="603" t="s">
        <v>3173</v>
      </c>
      <c r="BB234" s="873"/>
    </row>
    <row r="235" spans="2:87" ht="38.25">
      <c r="B235" s="647">
        <f>B234+1</f>
        <v>2</v>
      </c>
      <c r="C235" s="648" t="s">
        <v>3212</v>
      </c>
      <c r="D235" s="649" t="str">
        <f t="shared" si="196"/>
        <v>3кв 2015</v>
      </c>
      <c r="E235" s="648"/>
      <c r="F235" s="743"/>
      <c r="G235" s="802">
        <v>5</v>
      </c>
      <c r="H235" s="653"/>
      <c r="I235" s="653">
        <f>AC235/1000</f>
        <v>173.51038</v>
      </c>
      <c r="J235" s="653"/>
      <c r="K235" s="653">
        <f>AD235/1000</f>
        <v>7.5665899999999997</v>
      </c>
      <c r="L235" s="653"/>
      <c r="M235" s="653"/>
      <c r="N235" s="653"/>
      <c r="O235" s="653">
        <f>AB235/1000</f>
        <v>18.60407</v>
      </c>
      <c r="P235" s="804">
        <v>199681.04</v>
      </c>
      <c r="Q235" s="802">
        <v>1</v>
      </c>
      <c r="R235" s="656" t="s">
        <v>2595</v>
      </c>
      <c r="S235" s="657" t="s">
        <v>1234</v>
      </c>
      <c r="T235" s="805"/>
      <c r="U235" s="2741" t="s">
        <v>1462</v>
      </c>
      <c r="V235" s="871" t="s">
        <v>2650</v>
      </c>
      <c r="W235" s="748" t="str">
        <f t="shared" si="197"/>
        <v>СТП 25 кВА - за границей г.н.п.</v>
      </c>
      <c r="X235" s="602" t="s">
        <v>2947</v>
      </c>
      <c r="Y235" s="872" t="s">
        <v>2651</v>
      </c>
      <c r="Z235" s="749" t="str">
        <f t="shared" si="198"/>
        <v>до 15 кВт (не льгота); 1Т: СТП 25 кВА - за границей г.н.п.</v>
      </c>
      <c r="AA235" s="582"/>
      <c r="AB235" s="669">
        <v>18604.07</v>
      </c>
      <c r="AC235" s="670">
        <v>173510.38</v>
      </c>
      <c r="AD235" s="671">
        <v>7566.59</v>
      </c>
      <c r="AE235" s="672">
        <f t="shared" si="194"/>
        <v>199681.04</v>
      </c>
      <c r="AF235" s="662" t="s">
        <v>3044</v>
      </c>
      <c r="AG235" s="842">
        <f t="shared" si="157"/>
        <v>6.19</v>
      </c>
      <c r="AH235" s="664">
        <f t="shared" si="171"/>
        <v>3005.5040387722129</v>
      </c>
      <c r="AI235" s="665">
        <f t="shared" si="171"/>
        <v>28030.75605815832</v>
      </c>
      <c r="AJ235" s="666">
        <f t="shared" si="171"/>
        <v>1222.3893376413569</v>
      </c>
      <c r="AK235" s="667">
        <f t="shared" si="115"/>
        <v>32258.649434571893</v>
      </c>
      <c r="AN235" s="763" t="e">
        <f>#REF!</f>
        <v>#REF!</v>
      </c>
      <c r="AO235" s="764" t="e">
        <f>AN235*G235*$AO$211</f>
        <v>#REF!</v>
      </c>
      <c r="AP235" s="764" t="e">
        <f>AO235/G235</f>
        <v>#REF!</v>
      </c>
      <c r="AS235" s="721"/>
      <c r="AU235" s="721">
        <v>49</v>
      </c>
      <c r="AZ235" s="600">
        <f>IF(B235="","",IF(P235=SUM(H235,I235,K235,O235),"ИСТИНА",P235-SUM(H235,I235,K235,O235)))</f>
        <v>199481.35896000001</v>
      </c>
      <c r="BA235" s="603" t="s">
        <v>3175</v>
      </c>
      <c r="BB235" s="873"/>
    </row>
    <row r="236" spans="2:87" ht="38.25">
      <c r="B236" s="647">
        <f>B235+1</f>
        <v>3</v>
      </c>
      <c r="C236" s="648" t="s">
        <v>3213</v>
      </c>
      <c r="D236" s="649" t="str">
        <f t="shared" si="196"/>
        <v>3кв 2015</v>
      </c>
      <c r="E236" s="648"/>
      <c r="F236" s="743"/>
      <c r="G236" s="802">
        <v>5</v>
      </c>
      <c r="H236" s="653"/>
      <c r="I236" s="653">
        <f>AC236/1000</f>
        <v>173.85795999999999</v>
      </c>
      <c r="J236" s="653"/>
      <c r="K236" s="653">
        <f>AD236/1000</f>
        <v>7.0902500000000002</v>
      </c>
      <c r="L236" s="653"/>
      <c r="M236" s="653"/>
      <c r="N236" s="653"/>
      <c r="O236" s="653">
        <f>AB236/1000</f>
        <v>12.75689</v>
      </c>
      <c r="P236" s="804">
        <v>193705.09999999998</v>
      </c>
      <c r="Q236" s="802">
        <v>1</v>
      </c>
      <c r="R236" s="656" t="s">
        <v>2595</v>
      </c>
      <c r="S236" s="657" t="s">
        <v>1236</v>
      </c>
      <c r="T236" s="805"/>
      <c r="U236" s="2741" t="s">
        <v>1462</v>
      </c>
      <c r="V236" s="871" t="s">
        <v>2650</v>
      </c>
      <c r="W236" s="748" t="str">
        <f t="shared" si="197"/>
        <v>СТП 25 кВА - за границей г.н.п.</v>
      </c>
      <c r="X236" s="602" t="s">
        <v>2947</v>
      </c>
      <c r="Y236" s="872" t="s">
        <v>2651</v>
      </c>
      <c r="Z236" s="749" t="str">
        <f t="shared" si="198"/>
        <v>до 15 кВт (не льгота); 1Т: СТП 25 кВА - за границей г.н.п.</v>
      </c>
      <c r="AA236" s="582"/>
      <c r="AB236" s="669">
        <v>12756.89</v>
      </c>
      <c r="AC236" s="670">
        <v>173857.96</v>
      </c>
      <c r="AD236" s="671">
        <v>7090.25</v>
      </c>
      <c r="AE236" s="672">
        <f t="shared" si="194"/>
        <v>193705.09999999998</v>
      </c>
      <c r="AF236" s="662" t="s">
        <v>3044</v>
      </c>
      <c r="AG236" s="842">
        <f t="shared" si="157"/>
        <v>6.19</v>
      </c>
      <c r="AH236" s="664">
        <f t="shared" si="171"/>
        <v>2060.8869143780289</v>
      </c>
      <c r="AI236" s="665">
        <f t="shared" si="171"/>
        <v>28086.907915993535</v>
      </c>
      <c r="AJ236" s="666">
        <f t="shared" si="171"/>
        <v>1145.4361873990306</v>
      </c>
      <c r="AK236" s="667">
        <f t="shared" si="115"/>
        <v>31293.231017770595</v>
      </c>
      <c r="AN236" s="763" t="e">
        <f>#REF!</f>
        <v>#REF!</v>
      </c>
      <c r="AO236" s="764" t="e">
        <f>AN236*G236*$AO$211</f>
        <v>#REF!</v>
      </c>
      <c r="AP236" s="764" t="e">
        <f>AO236/G236</f>
        <v>#REF!</v>
      </c>
      <c r="AS236" s="721"/>
      <c r="AU236" s="721">
        <v>47</v>
      </c>
      <c r="AZ236" s="600">
        <f>IF(B236="","",IF(P236=SUM(H236,I236,K236,O236),"ИСТИНА",P236-SUM(H236,I236,K236,O236)))</f>
        <v>193511.39489999998</v>
      </c>
      <c r="BA236" s="603" t="s">
        <v>3177</v>
      </c>
      <c r="BB236" s="873"/>
    </row>
    <row r="237" spans="2:87" ht="25.5">
      <c r="B237" s="807">
        <f>B236+1</f>
        <v>4</v>
      </c>
      <c r="C237" s="775" t="s">
        <v>3214</v>
      </c>
      <c r="D237" s="808" t="str">
        <f t="shared" si="196"/>
        <v>4кв 2015</v>
      </c>
      <c r="E237" s="775"/>
      <c r="F237" s="776"/>
      <c r="G237" s="810">
        <v>18</v>
      </c>
      <c r="H237" s="778"/>
      <c r="I237" s="778">
        <f>AC237/1000</f>
        <v>127.6</v>
      </c>
      <c r="J237" s="778"/>
      <c r="K237" s="778">
        <f>AD237/1000</f>
        <v>71.246160000000003</v>
      </c>
      <c r="L237" s="778"/>
      <c r="M237" s="778"/>
      <c r="N237" s="778"/>
      <c r="O237" s="778">
        <f>AB237/1000</f>
        <v>35.931199999999997</v>
      </c>
      <c r="P237" s="811">
        <v>234777.36</v>
      </c>
      <c r="Q237" s="810">
        <v>1</v>
      </c>
      <c r="R237" s="781" t="s">
        <v>2595</v>
      </c>
      <c r="S237" s="657" t="s">
        <v>3199</v>
      </c>
      <c r="T237" s="812"/>
      <c r="U237" s="870"/>
      <c r="V237" s="843" t="s">
        <v>2652</v>
      </c>
      <c r="W237" s="853" t="str">
        <f t="shared" si="197"/>
        <v>ТП 25 кВА - за границей г.н.п.</v>
      </c>
      <c r="X237" s="602" t="s">
        <v>2947</v>
      </c>
      <c r="Y237" s="854" t="s">
        <v>2653</v>
      </c>
      <c r="Z237" s="855" t="str">
        <f t="shared" si="198"/>
        <v>от 15 до 150 кВт; 1Т: ТП 25 кВА - за границей г.н.п.</v>
      </c>
      <c r="AA237" s="582"/>
      <c r="AB237" s="669">
        <v>35931.199999999997</v>
      </c>
      <c r="AC237" s="670">
        <v>127600</v>
      </c>
      <c r="AD237" s="671">
        <f>((10169.32+61076.84)/1000)*1000</f>
        <v>71246.16</v>
      </c>
      <c r="AE237" s="672">
        <f t="shared" si="194"/>
        <v>234777.36000000002</v>
      </c>
      <c r="AF237" s="662" t="s">
        <v>2981</v>
      </c>
      <c r="AG237" s="842">
        <f t="shared" si="157"/>
        <v>6.3</v>
      </c>
      <c r="AH237" s="664">
        <f t="shared" si="171"/>
        <v>5703.3650793650795</v>
      </c>
      <c r="AI237" s="665">
        <f t="shared" si="171"/>
        <v>20253.968253968254</v>
      </c>
      <c r="AJ237" s="666">
        <f t="shared" si="171"/>
        <v>11308.914285714287</v>
      </c>
      <c r="AK237" s="667">
        <f t="shared" si="115"/>
        <v>37266.247619047623</v>
      </c>
      <c r="AN237" s="763" t="e">
        <f>#REF!</f>
        <v>#REF!</v>
      </c>
      <c r="AO237" s="764" t="e">
        <f>AN237*G237*$AO$211</f>
        <v>#REF!</v>
      </c>
      <c r="AP237" s="764" t="e">
        <f>AO237/G237</f>
        <v>#REF!</v>
      </c>
      <c r="AS237" s="721"/>
      <c r="AU237" s="721">
        <v>76</v>
      </c>
      <c r="AZ237" s="600">
        <f>IF(B237="","",IF(P237=SUM(H237,I237,K237,O237),"ИСТИНА",P237-SUM(H237,I237,K237,O237)))</f>
        <v>234542.58263999998</v>
      </c>
      <c r="BA237" s="603" t="s">
        <v>3200</v>
      </c>
      <c r="BB237" s="873"/>
    </row>
    <row r="238" spans="2:87" s="757" customFormat="1" ht="18.75">
      <c r="B238" s="1335" t="s">
        <v>2654</v>
      </c>
      <c r="C238" s="1336" t="str">
        <f>"Всего по "&amp;$C$231&amp;" ("&amp;T238&amp;"):"</f>
        <v>Всего по Не льгота (ТП, КТП, МТП, СТП) (25-100 кВА):</v>
      </c>
      <c r="D238" s="1336"/>
      <c r="E238" s="1336"/>
      <c r="F238" s="1337">
        <f>SUM(F239)</f>
        <v>0</v>
      </c>
      <c r="G238" s="1338">
        <f t="shared" ref="G238:Q238" si="199">SUM(G239)</f>
        <v>0</v>
      </c>
      <c r="H238" s="1338">
        <f t="shared" si="199"/>
        <v>0</v>
      </c>
      <c r="I238" s="1338">
        <f t="shared" si="199"/>
        <v>0</v>
      </c>
      <c r="J238" s="1338">
        <f t="shared" si="199"/>
        <v>0</v>
      </c>
      <c r="K238" s="1338">
        <f t="shared" si="199"/>
        <v>0</v>
      </c>
      <c r="L238" s="1338">
        <f t="shared" si="199"/>
        <v>0</v>
      </c>
      <c r="M238" s="1338">
        <f t="shared" si="199"/>
        <v>0</v>
      </c>
      <c r="N238" s="1338">
        <f t="shared" si="199"/>
        <v>0</v>
      </c>
      <c r="O238" s="1338">
        <f t="shared" si="199"/>
        <v>0</v>
      </c>
      <c r="P238" s="1338">
        <f t="shared" si="199"/>
        <v>0</v>
      </c>
      <c r="Q238" s="1337">
        <f t="shared" si="199"/>
        <v>0</v>
      </c>
      <c r="R238" s="1339"/>
      <c r="S238" s="1339"/>
      <c r="T238" s="1340" t="s">
        <v>2631</v>
      </c>
      <c r="U238" s="582"/>
      <c r="V238" s="582"/>
      <c r="W238" s="582"/>
      <c r="X238" s="600"/>
      <c r="Y238" s="582" t="str">
        <f>IF(X238="","",$C$253)</f>
        <v/>
      </c>
      <c r="Z238" s="582" t="str">
        <f>IF(X238="","",CONCATENATE(Y238,"-",X238))</f>
        <v/>
      </c>
      <c r="AA238" s="582"/>
      <c r="AB238" s="750">
        <f>J238+L238+M238</f>
        <v>0</v>
      </c>
      <c r="AC238" s="751">
        <f>I238</f>
        <v>0</v>
      </c>
      <c r="AD238" s="752">
        <f>K238+H238</f>
        <v>0</v>
      </c>
      <c r="AE238" s="753">
        <f t="shared" si="194"/>
        <v>0</v>
      </c>
      <c r="AF238" s="754"/>
      <c r="AG238" s="842" t="str">
        <f t="shared" si="157"/>
        <v>не совпадает</v>
      </c>
      <c r="AH238" s="732" t="str">
        <f t="shared" si="171"/>
        <v/>
      </c>
      <c r="AI238" s="733" t="str">
        <f t="shared" si="171"/>
        <v/>
      </c>
      <c r="AJ238" s="734" t="str">
        <f t="shared" si="171"/>
        <v/>
      </c>
      <c r="AK238" s="755">
        <f t="shared" si="115"/>
        <v>0</v>
      </c>
      <c r="AL238" s="756"/>
      <c r="AM238" s="757" t="str">
        <f>IF(P238=AE238,"Истина",P238-AE238)</f>
        <v>Истина</v>
      </c>
      <c r="AN238" s="758"/>
      <c r="AT238" s="1345"/>
      <c r="AU238" s="1334"/>
      <c r="BE238" s="759"/>
      <c r="BF238" s="759"/>
      <c r="BG238" s="759"/>
      <c r="BH238" s="759"/>
      <c r="BI238" s="759"/>
      <c r="BJ238" s="759"/>
      <c r="BK238" s="759"/>
      <c r="BL238" s="759"/>
      <c r="BM238" s="759"/>
      <c r="BN238" s="759"/>
      <c r="BO238" s="759"/>
      <c r="BP238" s="759"/>
      <c r="BQ238" s="759"/>
      <c r="BR238" s="759"/>
      <c r="BS238" s="759"/>
      <c r="BT238" s="759"/>
      <c r="BU238" s="759"/>
      <c r="BV238" s="759"/>
      <c r="BW238" s="759"/>
      <c r="BX238" s="759"/>
      <c r="BY238" s="759"/>
      <c r="BZ238" s="760"/>
      <c r="CA238" s="760"/>
      <c r="CB238" s="760"/>
      <c r="CC238" s="760"/>
      <c r="CD238" s="760"/>
      <c r="CE238" s="760"/>
      <c r="CF238" s="760"/>
      <c r="CG238" s="760"/>
      <c r="CH238" s="760"/>
      <c r="CI238" s="760"/>
    </row>
    <row r="239" spans="2:87" s="757" customFormat="1" ht="18.75" outlineLevel="1">
      <c r="B239" s="843"/>
      <c r="C239" s="775"/>
      <c r="D239" s="808" t="str">
        <f t="shared" ref="D239" si="200">IF(AF239=0,"",AF239)</f>
        <v/>
      </c>
      <c r="E239" s="775"/>
      <c r="F239" s="844"/>
      <c r="G239" s="778"/>
      <c r="H239" s="845"/>
      <c r="I239" s="845"/>
      <c r="J239" s="845"/>
      <c r="K239" s="845"/>
      <c r="L239" s="845"/>
      <c r="M239" s="845"/>
      <c r="N239" s="845"/>
      <c r="O239" s="845"/>
      <c r="P239" s="811"/>
      <c r="Q239" s="848"/>
      <c r="R239" s="849"/>
      <c r="S239" s="850"/>
      <c r="T239" s="851"/>
      <c r="U239" s="582"/>
      <c r="V239" s="852"/>
      <c r="W239" s="853" t="str">
        <f>""&amp;V239&amp;" - "&amp;X239&amp;""</f>
        <v xml:space="preserve"> - </v>
      </c>
      <c r="X239" s="845"/>
      <c r="Y239" s="854" t="str">
        <f>IF(X239="","",$C$253)</f>
        <v/>
      </c>
      <c r="Z239" s="855" t="str">
        <f>IF(X239="","",CONCATENATE(Y239,": ",W239))</f>
        <v/>
      </c>
      <c r="AA239" s="582"/>
      <c r="AB239" s="750">
        <f>J239+L239+M239</f>
        <v>0</v>
      </c>
      <c r="AC239" s="751">
        <f>I239</f>
        <v>0</v>
      </c>
      <c r="AD239" s="752">
        <f>K239+H239</f>
        <v>0</v>
      </c>
      <c r="AE239" s="753">
        <f t="shared" si="194"/>
        <v>0</v>
      </c>
      <c r="AF239" s="754"/>
      <c r="AG239" s="842" t="str">
        <f t="shared" si="157"/>
        <v>не совпадает</v>
      </c>
      <c r="AH239" s="732" t="str">
        <f t="shared" si="171"/>
        <v/>
      </c>
      <c r="AI239" s="733" t="str">
        <f t="shared" si="171"/>
        <v/>
      </c>
      <c r="AJ239" s="734" t="str">
        <f t="shared" si="171"/>
        <v/>
      </c>
      <c r="AK239" s="755">
        <f t="shared" si="115"/>
        <v>0</v>
      </c>
      <c r="AL239" s="756"/>
      <c r="AM239" s="757" t="str">
        <f>IF(P239=AE239,"Истина",P239-AE239)</f>
        <v>Истина</v>
      </c>
      <c r="AN239" s="758"/>
      <c r="AT239" s="856"/>
      <c r="AU239" s="856"/>
      <c r="BE239" s="759"/>
      <c r="BF239" s="759"/>
      <c r="BG239" s="759"/>
      <c r="BH239" s="759"/>
      <c r="BI239" s="759"/>
      <c r="BJ239" s="759"/>
      <c r="BK239" s="759"/>
      <c r="BL239" s="759"/>
      <c r="BM239" s="759"/>
      <c r="BN239" s="759"/>
      <c r="BO239" s="759"/>
      <c r="BP239" s="759"/>
      <c r="BQ239" s="759"/>
      <c r="BR239" s="759"/>
      <c r="BS239" s="759"/>
      <c r="BT239" s="759"/>
      <c r="BU239" s="759"/>
      <c r="BV239" s="759"/>
      <c r="BW239" s="759"/>
      <c r="BX239" s="759"/>
      <c r="BY239" s="759"/>
      <c r="BZ239" s="760"/>
      <c r="CA239" s="760"/>
      <c r="CB239" s="760"/>
      <c r="CC239" s="760"/>
      <c r="CD239" s="760"/>
      <c r="CE239" s="760"/>
      <c r="CF239" s="760"/>
      <c r="CG239" s="760"/>
      <c r="CH239" s="760"/>
      <c r="CI239" s="760"/>
    </row>
    <row r="240" spans="2:87" s="757" customFormat="1" ht="18.75">
      <c r="B240" s="1335" t="s">
        <v>2656</v>
      </c>
      <c r="C240" s="1336" t="str">
        <f>"Всего по "&amp;$C$212&amp;" ("&amp;T240&amp;"):"</f>
        <v>Всего по Льгота (ТП, КТП, МТП, СТП) (100-250 кВА):</v>
      </c>
      <c r="D240" s="1336"/>
      <c r="E240" s="1336"/>
      <c r="F240" s="1337">
        <f>SUM(F241)</f>
        <v>0</v>
      </c>
      <c r="G240" s="1338">
        <f t="shared" ref="G240:L240" si="201">SUM(G241)</f>
        <v>0</v>
      </c>
      <c r="H240" s="1338">
        <f t="shared" si="201"/>
        <v>0</v>
      </c>
      <c r="I240" s="1338">
        <f t="shared" si="201"/>
        <v>0</v>
      </c>
      <c r="J240" s="1338">
        <f t="shared" si="201"/>
        <v>0</v>
      </c>
      <c r="K240" s="1338">
        <f t="shared" si="201"/>
        <v>0</v>
      </c>
      <c r="L240" s="1338">
        <f t="shared" si="201"/>
        <v>0</v>
      </c>
      <c r="M240" s="1338">
        <f>SUM(M241)</f>
        <v>0</v>
      </c>
      <c r="N240" s="1338">
        <f t="shared" ref="N240:Q240" si="202">SUM(N241)</f>
        <v>0</v>
      </c>
      <c r="O240" s="1338">
        <f>SUM(O241)</f>
        <v>0</v>
      </c>
      <c r="P240" s="1338">
        <f t="shared" si="202"/>
        <v>0</v>
      </c>
      <c r="Q240" s="1337">
        <f t="shared" si="202"/>
        <v>0</v>
      </c>
      <c r="R240" s="1339"/>
      <c r="S240" s="1339"/>
      <c r="T240" s="1340" t="s">
        <v>2633</v>
      </c>
      <c r="U240" s="582"/>
      <c r="V240" s="582"/>
      <c r="W240" s="582"/>
      <c r="X240" s="600"/>
      <c r="Y240" s="582" t="str">
        <f>IF(X240="","",$C$253)</f>
        <v/>
      </c>
      <c r="Z240" s="582" t="str">
        <f>IF(X240="","",CONCATENATE(Y240,"-",X240))</f>
        <v/>
      </c>
      <c r="AA240" s="582"/>
      <c r="AB240" s="750">
        <f>J240+L240+M240</f>
        <v>0</v>
      </c>
      <c r="AC240" s="751">
        <f>I240</f>
        <v>0</v>
      </c>
      <c r="AD240" s="752">
        <f>K240+H240</f>
        <v>0</v>
      </c>
      <c r="AE240" s="753">
        <f t="shared" si="194"/>
        <v>0</v>
      </c>
      <c r="AF240" s="754"/>
      <c r="AG240" s="842" t="str">
        <f t="shared" si="157"/>
        <v>не совпадает</v>
      </c>
      <c r="AH240" s="732" t="str">
        <f t="shared" si="171"/>
        <v/>
      </c>
      <c r="AI240" s="733" t="str">
        <f t="shared" si="171"/>
        <v/>
      </c>
      <c r="AJ240" s="734" t="str">
        <f t="shared" si="171"/>
        <v/>
      </c>
      <c r="AK240" s="755">
        <f t="shared" si="115"/>
        <v>0</v>
      </c>
      <c r="AL240" s="756"/>
      <c r="AM240" s="757" t="str">
        <f>IF(P240=AE240,"Истина",P240-AE240)</f>
        <v>Истина</v>
      </c>
      <c r="AN240" s="758"/>
      <c r="AT240" s="1345"/>
      <c r="AU240" s="1334"/>
      <c r="BE240" s="759"/>
      <c r="BF240" s="759"/>
      <c r="BG240" s="759"/>
      <c r="BH240" s="759"/>
      <c r="BI240" s="759"/>
      <c r="BJ240" s="759"/>
      <c r="BK240" s="759"/>
      <c r="BL240" s="759"/>
      <c r="BM240" s="759"/>
      <c r="BN240" s="759"/>
      <c r="BO240" s="759"/>
      <c r="BP240" s="759"/>
      <c r="BQ240" s="759"/>
      <c r="BR240" s="759"/>
      <c r="BS240" s="759"/>
      <c r="BT240" s="759"/>
      <c r="BU240" s="759"/>
      <c r="BV240" s="759"/>
      <c r="BW240" s="759"/>
      <c r="BX240" s="759"/>
      <c r="BY240" s="759"/>
      <c r="BZ240" s="760"/>
      <c r="CA240" s="760"/>
      <c r="CB240" s="760"/>
      <c r="CC240" s="760"/>
      <c r="CD240" s="760"/>
      <c r="CE240" s="760"/>
      <c r="CF240" s="760"/>
      <c r="CG240" s="760"/>
      <c r="CH240" s="760"/>
      <c r="CI240" s="760"/>
    </row>
    <row r="241" spans="2:87" s="757" customFormat="1" ht="18.75" outlineLevel="1">
      <c r="B241" s="843"/>
      <c r="C241" s="775"/>
      <c r="D241" s="808" t="str">
        <f t="shared" ref="D241" si="203">IF(AF241=0,"",AF241)</f>
        <v/>
      </c>
      <c r="E241" s="775"/>
      <c r="F241" s="844"/>
      <c r="G241" s="778"/>
      <c r="H241" s="845"/>
      <c r="I241" s="845"/>
      <c r="J241" s="845"/>
      <c r="K241" s="845"/>
      <c r="L241" s="845"/>
      <c r="M241" s="845"/>
      <c r="N241" s="845"/>
      <c r="O241" s="845"/>
      <c r="P241" s="811"/>
      <c r="Q241" s="848"/>
      <c r="R241" s="849"/>
      <c r="S241" s="850"/>
      <c r="T241" s="851"/>
      <c r="U241" s="582"/>
      <c r="V241" s="852"/>
      <c r="W241" s="853" t="str">
        <f>""&amp;V241&amp;" - "&amp;X241&amp;""</f>
        <v xml:space="preserve"> - </v>
      </c>
      <c r="X241" s="845"/>
      <c r="Y241" s="854" t="str">
        <f>IF(X241="","",$C$253)</f>
        <v/>
      </c>
      <c r="Z241" s="855" t="str">
        <f>IF(X241="","",CONCATENATE(Y241,": ",W241))</f>
        <v/>
      </c>
      <c r="AA241" s="582"/>
      <c r="AB241" s="750">
        <f>J241+L241+M241</f>
        <v>0</v>
      </c>
      <c r="AC241" s="751">
        <f>I241</f>
        <v>0</v>
      </c>
      <c r="AD241" s="752">
        <f>K241+H241</f>
        <v>0</v>
      </c>
      <c r="AE241" s="753">
        <f t="shared" si="194"/>
        <v>0</v>
      </c>
      <c r="AF241" s="754"/>
      <c r="AG241" s="842" t="str">
        <f t="shared" si="157"/>
        <v>не совпадает</v>
      </c>
      <c r="AH241" s="732" t="str">
        <f t="shared" si="171"/>
        <v/>
      </c>
      <c r="AI241" s="733" t="str">
        <f t="shared" si="171"/>
        <v/>
      </c>
      <c r="AJ241" s="734" t="str">
        <f t="shared" si="171"/>
        <v/>
      </c>
      <c r="AK241" s="755">
        <f t="shared" si="115"/>
        <v>0</v>
      </c>
      <c r="AL241" s="756"/>
      <c r="AM241" s="757" t="str">
        <f>IF(P241=AE241,"Истина",P241-AE241)</f>
        <v>Истина</v>
      </c>
      <c r="AN241" s="758"/>
      <c r="AT241" s="856"/>
      <c r="AU241" s="856"/>
      <c r="BE241" s="759"/>
      <c r="BF241" s="759"/>
      <c r="BG241" s="759"/>
      <c r="BH241" s="759"/>
      <c r="BI241" s="759"/>
      <c r="BJ241" s="759"/>
      <c r="BK241" s="759"/>
      <c r="BL241" s="759"/>
      <c r="BM241" s="759"/>
      <c r="BN241" s="759"/>
      <c r="BO241" s="759"/>
      <c r="BP241" s="759"/>
      <c r="BQ241" s="759"/>
      <c r="BR241" s="759"/>
      <c r="BS241" s="759"/>
      <c r="BT241" s="759"/>
      <c r="BU241" s="759"/>
      <c r="BV241" s="759"/>
      <c r="BW241" s="759"/>
      <c r="BX241" s="759"/>
      <c r="BY241" s="759"/>
      <c r="BZ241" s="760"/>
      <c r="CA241" s="760"/>
      <c r="CB241" s="760"/>
      <c r="CC241" s="760"/>
      <c r="CD241" s="760"/>
      <c r="CE241" s="760"/>
      <c r="CF241" s="760"/>
      <c r="CG241" s="760"/>
      <c r="CH241" s="760"/>
      <c r="CI241" s="760"/>
    </row>
    <row r="242" spans="2:87" s="757" customFormat="1" ht="18.75">
      <c r="B242" s="1335" t="s">
        <v>2657</v>
      </c>
      <c r="C242" s="1336" t="str">
        <f>"Всего по "&amp;$C$212&amp;" ("&amp;T242&amp;"):"</f>
        <v>Всего по Льгота (ТП, КТП, МТП, СТП) (250-500 кВА):</v>
      </c>
      <c r="D242" s="1336"/>
      <c r="E242" s="1336"/>
      <c r="F242" s="1337">
        <f>SUM(F243:F244)</f>
        <v>0</v>
      </c>
      <c r="G242" s="1338">
        <f t="shared" ref="G242:Q242" si="204">SUM(G243:G244)</f>
        <v>151.69999999999999</v>
      </c>
      <c r="H242" s="1338">
        <f t="shared" si="204"/>
        <v>24.024000000000001</v>
      </c>
      <c r="I242" s="1338">
        <f t="shared" si="204"/>
        <v>723.77711999999997</v>
      </c>
      <c r="J242" s="1338">
        <f t="shared" si="204"/>
        <v>0</v>
      </c>
      <c r="K242" s="1338">
        <f t="shared" si="204"/>
        <v>41.350749999999998</v>
      </c>
      <c r="L242" s="1338">
        <f t="shared" si="204"/>
        <v>0</v>
      </c>
      <c r="M242" s="1338">
        <f t="shared" si="204"/>
        <v>0</v>
      </c>
      <c r="N242" s="1338">
        <f t="shared" si="204"/>
        <v>0</v>
      </c>
      <c r="O242" s="1338">
        <f t="shared" si="204"/>
        <v>67.371970000000005</v>
      </c>
      <c r="P242" s="1338">
        <f t="shared" si="204"/>
        <v>856523.84000000008</v>
      </c>
      <c r="Q242" s="1337">
        <f t="shared" si="204"/>
        <v>2</v>
      </c>
      <c r="R242" s="1339"/>
      <c r="S242" s="1339"/>
      <c r="T242" s="1340" t="s">
        <v>2635</v>
      </c>
      <c r="U242" s="582"/>
      <c r="V242" s="582"/>
      <c r="W242" s="582"/>
      <c r="X242" s="600"/>
      <c r="Y242" s="582" t="str">
        <f>IF(X242="","",#REF!)</f>
        <v/>
      </c>
      <c r="Z242" s="582" t="str">
        <f>IF(X242="","",CONCATENATE(Y242,"-",X242))</f>
        <v/>
      </c>
      <c r="AA242" s="582"/>
      <c r="AB242" s="750">
        <f>J242+L242+M242</f>
        <v>0</v>
      </c>
      <c r="AC242" s="751">
        <f>I242</f>
        <v>723.77711999999997</v>
      </c>
      <c r="AD242" s="752">
        <f>K242+H242</f>
        <v>65.374750000000006</v>
      </c>
      <c r="AE242" s="753">
        <f t="shared" si="194"/>
        <v>789.15186999999992</v>
      </c>
      <c r="AF242" s="754"/>
      <c r="AG242" s="842" t="str">
        <f t="shared" si="157"/>
        <v>не совпадает</v>
      </c>
      <c r="AH242" s="732" t="str">
        <f t="shared" si="171"/>
        <v/>
      </c>
      <c r="AI242" s="733" t="str">
        <f t="shared" si="171"/>
        <v/>
      </c>
      <c r="AJ242" s="734" t="str">
        <f t="shared" si="171"/>
        <v/>
      </c>
      <c r="AK242" s="755">
        <f t="shared" si="115"/>
        <v>0</v>
      </c>
      <c r="AL242" s="756"/>
      <c r="AM242" s="757">
        <f>IF(P242=AE242,"Истина",P242-AE242)</f>
        <v>855734.68813000014</v>
      </c>
      <c r="AN242" s="758"/>
      <c r="AT242" s="1333"/>
      <c r="AU242" s="1334"/>
      <c r="BE242" s="759"/>
      <c r="BF242" s="759"/>
      <c r="BG242" s="759"/>
      <c r="BH242" s="759"/>
      <c r="BI242" s="759"/>
      <c r="BJ242" s="759"/>
      <c r="BK242" s="759"/>
      <c r="BL242" s="759"/>
      <c r="BM242" s="759"/>
      <c r="BN242" s="759"/>
      <c r="BO242" s="759"/>
      <c r="BP242" s="759"/>
      <c r="BQ242" s="759"/>
      <c r="BR242" s="759"/>
      <c r="BS242" s="759"/>
      <c r="BT242" s="759"/>
      <c r="BU242" s="759"/>
      <c r="BV242" s="759"/>
      <c r="BW242" s="759"/>
      <c r="BX242" s="759"/>
      <c r="BY242" s="759"/>
      <c r="BZ242" s="760"/>
      <c r="CA242" s="760"/>
      <c r="CB242" s="760"/>
      <c r="CC242" s="760"/>
      <c r="CD242" s="760"/>
      <c r="CE242" s="760"/>
      <c r="CF242" s="760"/>
      <c r="CG242" s="760"/>
      <c r="CH242" s="760"/>
      <c r="CI242" s="760"/>
    </row>
    <row r="243" spans="2:87" ht="38.25">
      <c r="B243" s="647">
        <f>B237+1</f>
        <v>5</v>
      </c>
      <c r="C243" s="648" t="s">
        <v>3215</v>
      </c>
      <c r="D243" s="649" t="str">
        <f t="shared" ref="D243:D244" si="205">IF(AF243=0,"",AF243)</f>
        <v>1кв 2015</v>
      </c>
      <c r="E243" s="874" t="s">
        <v>2965</v>
      </c>
      <c r="F243" s="743"/>
      <c r="G243" s="802">
        <v>80.7</v>
      </c>
      <c r="H243" s="653">
        <f>24024/1000</f>
        <v>24.024000000000001</v>
      </c>
      <c r="I243" s="653">
        <f>361888.56/1000</f>
        <v>361.88855999999998</v>
      </c>
      <c r="J243" s="803"/>
      <c r="K243" s="653">
        <f>19099.14/1000</f>
        <v>19.099139999999998</v>
      </c>
      <c r="L243" s="803"/>
      <c r="M243" s="803"/>
      <c r="N243" s="803"/>
      <c r="O243" s="653">
        <f>10146.31/1000</f>
        <v>10.14631</v>
      </c>
      <c r="P243" s="804">
        <v>415158.01</v>
      </c>
      <c r="Q243" s="802">
        <v>1</v>
      </c>
      <c r="R243" s="656" t="s">
        <v>2595</v>
      </c>
      <c r="S243" s="657" t="s">
        <v>3188</v>
      </c>
      <c r="T243" s="805"/>
      <c r="U243" s="870"/>
      <c r="V243" s="1347" t="s">
        <v>2636</v>
      </c>
      <c r="W243" s="1356" t="str">
        <f>""&amp;V243&amp;" - "&amp;X243&amp;""</f>
        <v>КТП 400 кВА - за границей г.н.п.</v>
      </c>
      <c r="X243" s="602" t="s">
        <v>2947</v>
      </c>
      <c r="Y243" s="1357" t="s">
        <v>2653</v>
      </c>
      <c r="Z243" s="1358" t="str">
        <f>IF(X243="","",CONCATENATE(Y243,": ",W243))</f>
        <v>от 15 до 150 кВт; 1Т: КТП 400 кВА - за границей г.н.п.</v>
      </c>
      <c r="AA243" s="582"/>
      <c r="AB243" s="659">
        <f>O243*1000</f>
        <v>10146.31</v>
      </c>
      <c r="AC243" s="660">
        <f>(I243+H243)*1000</f>
        <v>385912.56</v>
      </c>
      <c r="AD243" s="661">
        <f>K243*1000</f>
        <v>19099.14</v>
      </c>
      <c r="AE243" s="662">
        <f>AB243+AC243+AD243</f>
        <v>415158.01</v>
      </c>
      <c r="AF243" s="662" t="s">
        <v>2966</v>
      </c>
      <c r="AG243" s="842">
        <f>IF($AF243="1кв 2015",5.98,IF($AF243="2кв 2015",5.98,IF($AF243="3кв 2015",6.19,IF($AF243="4кв 2015",6.3,"не совпадает"))))</f>
        <v>5.98</v>
      </c>
      <c r="AH243" s="664">
        <f t="shared" si="171"/>
        <v>1696.7073578595316</v>
      </c>
      <c r="AI243" s="665">
        <f t="shared" si="171"/>
        <v>64533.872909698992</v>
      </c>
      <c r="AJ243" s="666">
        <f t="shared" si="171"/>
        <v>3193.8361204013377</v>
      </c>
      <c r="AK243" s="667">
        <f t="shared" si="115"/>
        <v>69424.416387959864</v>
      </c>
      <c r="AN243" s="763" t="e">
        <f>#REF!</f>
        <v>#REF!</v>
      </c>
      <c r="AO243" s="764" t="e">
        <f>AN243*G243*$AO$211</f>
        <v>#REF!</v>
      </c>
      <c r="AP243" s="764" t="e">
        <f>AO243/G243</f>
        <v>#REF!</v>
      </c>
      <c r="AS243" s="875">
        <v>1</v>
      </c>
      <c r="AT243" s="600">
        <v>13</v>
      </c>
      <c r="AZ243" s="600">
        <f>IF(B243="","",IF(P243=SUM(H243,I243,K243,O243),"ИСТИНА",P243-SUM(H243,I243,K243,O243)))</f>
        <v>414742.85199</v>
      </c>
      <c r="BA243" s="668" t="s">
        <v>3189</v>
      </c>
    </row>
    <row r="244" spans="2:87" ht="38.25">
      <c r="B244" s="876">
        <f>B243+1</f>
        <v>6</v>
      </c>
      <c r="C244" s="775" t="s">
        <v>3216</v>
      </c>
      <c r="D244" s="808" t="str">
        <f t="shared" si="205"/>
        <v>1кв 2015</v>
      </c>
      <c r="E244" s="877" t="s">
        <v>2965</v>
      </c>
      <c r="F244" s="776"/>
      <c r="G244" s="878">
        <v>71</v>
      </c>
      <c r="H244" s="778"/>
      <c r="I244" s="778">
        <f>361888.56/1000</f>
        <v>361.88855999999998</v>
      </c>
      <c r="J244" s="879"/>
      <c r="K244" s="778">
        <f>22251.61/1000</f>
        <v>22.251609999999999</v>
      </c>
      <c r="L244" s="879"/>
      <c r="M244" s="879"/>
      <c r="N244" s="879"/>
      <c r="O244" s="778">
        <f>57225.66/1000</f>
        <v>57.225660000000005</v>
      </c>
      <c r="P244" s="811">
        <v>441365.83</v>
      </c>
      <c r="Q244" s="810">
        <v>1</v>
      </c>
      <c r="R244" s="781" t="s">
        <v>2595</v>
      </c>
      <c r="S244" s="782" t="s">
        <v>3217</v>
      </c>
      <c r="T244" s="812"/>
      <c r="U244" s="870"/>
      <c r="V244" s="871" t="s">
        <v>2636</v>
      </c>
      <c r="W244" s="748" t="str">
        <f>""&amp;V244&amp;" - "&amp;X244&amp;""</f>
        <v>КТП 400 кВА - за границей г.н.п.</v>
      </c>
      <c r="X244" s="602" t="s">
        <v>2947</v>
      </c>
      <c r="Y244" s="872" t="s">
        <v>2653</v>
      </c>
      <c r="Z244" s="749" t="str">
        <f>IF(X244="","",CONCATENATE(Y244,": ",W244))</f>
        <v>от 15 до 150 кВт; 1Т: КТП 400 кВА - за границей г.н.п.</v>
      </c>
      <c r="AA244" s="582"/>
      <c r="AB244" s="659">
        <f>O244*1000</f>
        <v>57225.66</v>
      </c>
      <c r="AC244" s="660">
        <f>(I244+H244)*1000</f>
        <v>361888.56</v>
      </c>
      <c r="AD244" s="661">
        <f>K244*1000</f>
        <v>22251.61</v>
      </c>
      <c r="AE244" s="662">
        <f>AB244+AC244+AD244</f>
        <v>441365.82999999996</v>
      </c>
      <c r="AF244" s="662" t="s">
        <v>2966</v>
      </c>
      <c r="AG244" s="842">
        <f>IF($AF244="1кв 2015",5.98,IF($AF244="2кв 2015",5.98,IF($AF244="3кв 2015",6.19,IF($AF244="4кв 2015",6.3,"не совпадает"))))</f>
        <v>5.98</v>
      </c>
      <c r="AH244" s="664">
        <f t="shared" si="171"/>
        <v>9569.5083612040125</v>
      </c>
      <c r="AI244" s="665">
        <f t="shared" si="171"/>
        <v>60516.481605351168</v>
      </c>
      <c r="AJ244" s="666">
        <f t="shared" si="171"/>
        <v>3721.0050167224081</v>
      </c>
      <c r="AK244" s="667">
        <f t="shared" si="115"/>
        <v>73806.994983277589</v>
      </c>
      <c r="AN244" s="763" t="e">
        <f>#REF!</f>
        <v>#REF!</v>
      </c>
      <c r="AO244" s="764" t="e">
        <f>AN244*G244*$AO$211</f>
        <v>#REF!</v>
      </c>
      <c r="AP244" s="764" t="e">
        <f>AO244/G244</f>
        <v>#REF!</v>
      </c>
      <c r="AS244" s="600">
        <v>1</v>
      </c>
      <c r="AT244" s="600">
        <v>15</v>
      </c>
      <c r="AZ244" s="600">
        <f>IF(B244="","",IF(P244=SUM(H244,I244,K244,O244),"ИСТИНА",P244-SUM(H244,I244,K244,O244)))</f>
        <v>440924.46416999999</v>
      </c>
      <c r="BA244" s="668" t="s">
        <v>3218</v>
      </c>
    </row>
    <row r="245" spans="2:87" s="757" customFormat="1" ht="18.75" outlineLevel="1">
      <c r="B245" s="1335" t="s">
        <v>2658</v>
      </c>
      <c r="C245" s="1336" t="str">
        <f>"Всего по "&amp;$C$212&amp;" ("&amp;T245&amp;"):"</f>
        <v>Всего по Льгота (ТП, КТП, МТП, СТП) (500-900 кВА):</v>
      </c>
      <c r="D245" s="1336"/>
      <c r="E245" s="1336"/>
      <c r="F245" s="1337">
        <f>SUM(F246)</f>
        <v>0</v>
      </c>
      <c r="G245" s="1338">
        <f t="shared" ref="G245:L247" si="206">SUM(G246)</f>
        <v>0</v>
      </c>
      <c r="H245" s="1338">
        <f t="shared" si="206"/>
        <v>0</v>
      </c>
      <c r="I245" s="1338">
        <f t="shared" si="206"/>
        <v>0</v>
      </c>
      <c r="J245" s="1338">
        <f t="shared" si="206"/>
        <v>0</v>
      </c>
      <c r="K245" s="1338">
        <f t="shared" si="206"/>
        <v>0</v>
      </c>
      <c r="L245" s="1338">
        <f t="shared" si="206"/>
        <v>0</v>
      </c>
      <c r="M245" s="1338">
        <f>SUM(M246)</f>
        <v>0</v>
      </c>
      <c r="N245" s="1338">
        <f t="shared" ref="N245:Q247" si="207">SUM(N246)</f>
        <v>0</v>
      </c>
      <c r="O245" s="1338">
        <f>SUM(O246)</f>
        <v>0</v>
      </c>
      <c r="P245" s="1338">
        <f t="shared" si="207"/>
        <v>0</v>
      </c>
      <c r="Q245" s="1337">
        <f t="shared" si="207"/>
        <v>0</v>
      </c>
      <c r="R245" s="1339"/>
      <c r="S245" s="1339"/>
      <c r="T245" s="1340" t="s">
        <v>2639</v>
      </c>
      <c r="U245" s="582"/>
      <c r="V245" s="582"/>
      <c r="W245" s="582"/>
      <c r="X245" s="600"/>
      <c r="Y245" s="582" t="str">
        <f>IF(X245="","",$C$253)</f>
        <v/>
      </c>
      <c r="Z245" s="582" t="str">
        <f>IF(X245="","",CONCATENATE(Y245,"-",X245))</f>
        <v/>
      </c>
      <c r="AA245" s="582"/>
      <c r="AB245" s="750">
        <f t="shared" ref="AB245:AB252" si="208">J245+L245+M245</f>
        <v>0</v>
      </c>
      <c r="AC245" s="751">
        <f t="shared" ref="AC245:AC252" si="209">I245</f>
        <v>0</v>
      </c>
      <c r="AD245" s="752">
        <f t="shared" ref="AD245:AD252" si="210">K245+H245</f>
        <v>0</v>
      </c>
      <c r="AE245" s="753">
        <f t="shared" ref="AE245:AE252" si="211">AB245+AC245+AD245</f>
        <v>0</v>
      </c>
      <c r="AF245" s="754"/>
      <c r="AG245" s="880" t="str">
        <f t="shared" ref="AG245:AG253" si="212">IF($AF245="1кв 2015",5.98,IF($AF245="2кв 2015",5.98,IF($AF245="3кв 2015",6.19,IF($AF245="4кв 2015",6.3,"не совпадает"))))</f>
        <v>не совпадает</v>
      </c>
      <c r="AH245" s="732" t="str">
        <f t="shared" si="171"/>
        <v/>
      </c>
      <c r="AI245" s="733" t="str">
        <f t="shared" si="171"/>
        <v/>
      </c>
      <c r="AJ245" s="734" t="str">
        <f t="shared" si="171"/>
        <v/>
      </c>
      <c r="AK245" s="755">
        <f t="shared" si="115"/>
        <v>0</v>
      </c>
      <c r="AL245" s="756"/>
      <c r="AM245" s="757" t="str">
        <f t="shared" ref="AM245:AM252" si="213">IF(P245=AE245,"Истина",P245-AE245)</f>
        <v>Истина</v>
      </c>
      <c r="AN245" s="758"/>
      <c r="AT245" s="1345"/>
      <c r="AU245" s="1334"/>
      <c r="BE245" s="759"/>
      <c r="BF245" s="759"/>
      <c r="BG245" s="759"/>
      <c r="BH245" s="759"/>
      <c r="BI245" s="759"/>
      <c r="BJ245" s="759"/>
      <c r="BK245" s="759"/>
      <c r="BL245" s="759"/>
      <c r="BM245" s="759"/>
      <c r="BN245" s="759"/>
      <c r="BO245" s="759"/>
      <c r="BP245" s="759"/>
      <c r="BQ245" s="759"/>
      <c r="BR245" s="759"/>
      <c r="BS245" s="759"/>
      <c r="BT245" s="759"/>
      <c r="BU245" s="759"/>
      <c r="BV245" s="759"/>
      <c r="BW245" s="759"/>
      <c r="BX245" s="759"/>
      <c r="BY245" s="759"/>
      <c r="BZ245" s="760"/>
      <c r="CA245" s="760"/>
      <c r="CB245" s="760"/>
      <c r="CC245" s="760"/>
      <c r="CD245" s="760"/>
      <c r="CE245" s="760"/>
      <c r="CF245" s="760"/>
      <c r="CG245" s="760"/>
      <c r="CH245" s="760"/>
      <c r="CI245" s="760"/>
    </row>
    <row r="246" spans="2:87" s="757" customFormat="1" ht="18.75" outlineLevel="1">
      <c r="B246" s="843"/>
      <c r="C246" s="775"/>
      <c r="D246" s="808" t="str">
        <f t="shared" ref="D246" si="214">IF(AF246=0,"",AF246)</f>
        <v/>
      </c>
      <c r="E246" s="775"/>
      <c r="F246" s="844"/>
      <c r="G246" s="778"/>
      <c r="H246" s="845"/>
      <c r="I246" s="845"/>
      <c r="J246" s="845"/>
      <c r="K246" s="845"/>
      <c r="L246" s="845"/>
      <c r="M246" s="845"/>
      <c r="N246" s="845"/>
      <c r="O246" s="845"/>
      <c r="P246" s="811"/>
      <c r="Q246" s="848"/>
      <c r="R246" s="849"/>
      <c r="S246" s="850"/>
      <c r="T246" s="851"/>
      <c r="U246" s="582"/>
      <c r="V246" s="852"/>
      <c r="W246" s="853" t="str">
        <f>""&amp;V246&amp;" - "&amp;X246&amp;""</f>
        <v xml:space="preserve"> - </v>
      </c>
      <c r="X246" s="845"/>
      <c r="Y246" s="854" t="str">
        <f>IF(X246="","",$C$253)</f>
        <v/>
      </c>
      <c r="Z246" s="855" t="str">
        <f>IF(X246="","",CONCATENATE(Y246,": ",W246))</f>
        <v/>
      </c>
      <c r="AA246" s="582"/>
      <c r="AB246" s="750">
        <f t="shared" si="208"/>
        <v>0</v>
      </c>
      <c r="AC246" s="751">
        <f t="shared" si="209"/>
        <v>0</v>
      </c>
      <c r="AD246" s="752">
        <f t="shared" si="210"/>
        <v>0</v>
      </c>
      <c r="AE246" s="753">
        <f t="shared" si="211"/>
        <v>0</v>
      </c>
      <c r="AF246" s="754"/>
      <c r="AG246" s="880" t="str">
        <f t="shared" si="212"/>
        <v>не совпадает</v>
      </c>
      <c r="AH246" s="732" t="str">
        <f t="shared" si="171"/>
        <v/>
      </c>
      <c r="AI246" s="733" t="str">
        <f t="shared" si="171"/>
        <v/>
      </c>
      <c r="AJ246" s="734" t="str">
        <f t="shared" si="171"/>
        <v/>
      </c>
      <c r="AK246" s="755">
        <f t="shared" si="115"/>
        <v>0</v>
      </c>
      <c r="AL246" s="756"/>
      <c r="AM246" s="757" t="str">
        <f t="shared" si="213"/>
        <v>Истина</v>
      </c>
      <c r="AN246" s="758"/>
      <c r="AT246" s="856"/>
      <c r="AU246" s="856"/>
      <c r="BE246" s="759"/>
      <c r="BF246" s="759"/>
      <c r="BG246" s="759"/>
      <c r="BH246" s="759"/>
      <c r="BI246" s="759"/>
      <c r="BJ246" s="759"/>
      <c r="BK246" s="759"/>
      <c r="BL246" s="759"/>
      <c r="BM246" s="759"/>
      <c r="BN246" s="759"/>
      <c r="BO246" s="759"/>
      <c r="BP246" s="759"/>
      <c r="BQ246" s="759"/>
      <c r="BR246" s="759"/>
      <c r="BS246" s="759"/>
      <c r="BT246" s="759"/>
      <c r="BU246" s="759"/>
      <c r="BV246" s="759"/>
      <c r="BW246" s="759"/>
      <c r="BX246" s="759"/>
      <c r="BY246" s="759"/>
      <c r="BZ246" s="760"/>
      <c r="CA246" s="760"/>
      <c r="CB246" s="760"/>
      <c r="CC246" s="760"/>
      <c r="CD246" s="760"/>
      <c r="CE246" s="760"/>
      <c r="CF246" s="760"/>
      <c r="CG246" s="760"/>
      <c r="CH246" s="760"/>
      <c r="CI246" s="760"/>
    </row>
    <row r="247" spans="2:87" s="757" customFormat="1" ht="18.75" outlineLevel="1">
      <c r="B247" s="1335" t="s">
        <v>2659</v>
      </c>
      <c r="C247" s="1336" t="str">
        <f>"Всего по "&amp;$C$212&amp;" ("&amp;T247&amp;"):"</f>
        <v>Всего по Льгота (ТП, КТП, МТП, СТП) (Свыше 900 кВА):</v>
      </c>
      <c r="D247" s="1336"/>
      <c r="E247" s="1336"/>
      <c r="F247" s="1337">
        <f>SUM(F248)</f>
        <v>0</v>
      </c>
      <c r="G247" s="1338">
        <f t="shared" si="206"/>
        <v>0</v>
      </c>
      <c r="H247" s="1338">
        <f t="shared" si="206"/>
        <v>0</v>
      </c>
      <c r="I247" s="1338">
        <f t="shared" si="206"/>
        <v>0</v>
      </c>
      <c r="J247" s="1338">
        <f t="shared" si="206"/>
        <v>0</v>
      </c>
      <c r="K247" s="1338">
        <f t="shared" si="206"/>
        <v>0</v>
      </c>
      <c r="L247" s="1338">
        <f>SUM(L248)</f>
        <v>0</v>
      </c>
      <c r="M247" s="1338">
        <f>SUM(M248)</f>
        <v>0</v>
      </c>
      <c r="N247" s="1338">
        <f t="shared" si="207"/>
        <v>0</v>
      </c>
      <c r="O247" s="1338">
        <f t="shared" si="207"/>
        <v>0</v>
      </c>
      <c r="P247" s="1338">
        <f t="shared" si="207"/>
        <v>0</v>
      </c>
      <c r="Q247" s="1337">
        <f t="shared" si="207"/>
        <v>0</v>
      </c>
      <c r="R247" s="1339"/>
      <c r="S247" s="1339"/>
      <c r="T247" s="1340" t="s">
        <v>3210</v>
      </c>
      <c r="U247" s="582"/>
      <c r="V247" s="582"/>
      <c r="W247" s="582"/>
      <c r="X247" s="600"/>
      <c r="Y247" s="582" t="str">
        <f>IF(X247="","",$C$253)</f>
        <v/>
      </c>
      <c r="Z247" s="582" t="str">
        <f>IF(X247="","",CONCATENATE(Y247,"-",X247))</f>
        <v/>
      </c>
      <c r="AA247" s="582"/>
      <c r="AB247" s="750">
        <f t="shared" si="208"/>
        <v>0</v>
      </c>
      <c r="AC247" s="751">
        <f t="shared" si="209"/>
        <v>0</v>
      </c>
      <c r="AD247" s="752">
        <f t="shared" si="210"/>
        <v>0</v>
      </c>
      <c r="AE247" s="753">
        <f t="shared" si="211"/>
        <v>0</v>
      </c>
      <c r="AF247" s="754"/>
      <c r="AG247" s="880" t="str">
        <f t="shared" si="212"/>
        <v>не совпадает</v>
      </c>
      <c r="AH247" s="732" t="str">
        <f t="shared" si="171"/>
        <v/>
      </c>
      <c r="AI247" s="733" t="str">
        <f t="shared" si="171"/>
        <v/>
      </c>
      <c r="AJ247" s="734" t="str">
        <f t="shared" si="171"/>
        <v/>
      </c>
      <c r="AK247" s="755">
        <f t="shared" si="115"/>
        <v>0</v>
      </c>
      <c r="AL247" s="756"/>
      <c r="AM247" s="757" t="str">
        <f t="shared" si="213"/>
        <v>Истина</v>
      </c>
      <c r="AN247" s="758"/>
      <c r="AT247" s="1345"/>
      <c r="AU247" s="1334"/>
      <c r="BE247" s="759"/>
      <c r="BF247" s="759"/>
      <c r="BG247" s="759"/>
      <c r="BH247" s="759"/>
      <c r="BI247" s="759"/>
      <c r="BJ247" s="759"/>
      <c r="BK247" s="759"/>
      <c r="BL247" s="759"/>
      <c r="BM247" s="759"/>
      <c r="BN247" s="759"/>
      <c r="BO247" s="759"/>
      <c r="BP247" s="759"/>
      <c r="BQ247" s="759"/>
      <c r="BR247" s="759"/>
      <c r="BS247" s="759"/>
      <c r="BT247" s="759"/>
      <c r="BU247" s="759"/>
      <c r="BV247" s="759"/>
      <c r="BW247" s="759"/>
      <c r="BX247" s="759"/>
      <c r="BY247" s="759"/>
      <c r="BZ247" s="760"/>
      <c r="CA247" s="760"/>
      <c r="CB247" s="760"/>
      <c r="CC247" s="760"/>
      <c r="CD247" s="760"/>
      <c r="CE247" s="760"/>
      <c r="CF247" s="760"/>
      <c r="CG247" s="760"/>
      <c r="CH247" s="760"/>
      <c r="CI247" s="760"/>
    </row>
    <row r="248" spans="2:87" s="757" customFormat="1" ht="18.75" outlineLevel="1">
      <c r="B248" s="843"/>
      <c r="C248" s="775"/>
      <c r="D248" s="808" t="str">
        <f t="shared" ref="D248" si="215">IF(AF248=0,"",AF248)</f>
        <v/>
      </c>
      <c r="E248" s="775"/>
      <c r="F248" s="844"/>
      <c r="G248" s="778"/>
      <c r="H248" s="845"/>
      <c r="I248" s="845"/>
      <c r="J248" s="845"/>
      <c r="K248" s="845"/>
      <c r="L248" s="845"/>
      <c r="M248" s="845"/>
      <c r="N248" s="845"/>
      <c r="O248" s="845"/>
      <c r="P248" s="811"/>
      <c r="Q248" s="848"/>
      <c r="R248" s="849"/>
      <c r="S248" s="850"/>
      <c r="T248" s="851"/>
      <c r="U248" s="582"/>
      <c r="V248" s="852"/>
      <c r="W248" s="853" t="str">
        <f>""&amp;V248&amp;" - "&amp;X248&amp;""</f>
        <v xml:space="preserve"> - </v>
      </c>
      <c r="X248" s="845"/>
      <c r="Y248" s="854" t="str">
        <f>IF(X248="","",$C$253)</f>
        <v/>
      </c>
      <c r="Z248" s="855" t="str">
        <f>IF(X248="","",CONCATENATE(Y248,": ",W248))</f>
        <v/>
      </c>
      <c r="AA248" s="582"/>
      <c r="AB248" s="750">
        <f t="shared" si="208"/>
        <v>0</v>
      </c>
      <c r="AC248" s="751">
        <f t="shared" si="209"/>
        <v>0</v>
      </c>
      <c r="AD248" s="752">
        <f t="shared" si="210"/>
        <v>0</v>
      </c>
      <c r="AE248" s="753">
        <f t="shared" si="211"/>
        <v>0</v>
      </c>
      <c r="AF248" s="754"/>
      <c r="AG248" s="880" t="str">
        <f t="shared" si="212"/>
        <v>не совпадает</v>
      </c>
      <c r="AH248" s="732" t="str">
        <f t="shared" si="171"/>
        <v/>
      </c>
      <c r="AI248" s="733" t="str">
        <f t="shared" si="171"/>
        <v/>
      </c>
      <c r="AJ248" s="734" t="str">
        <f t="shared" si="171"/>
        <v/>
      </c>
      <c r="AK248" s="755">
        <f t="shared" si="115"/>
        <v>0</v>
      </c>
      <c r="AL248" s="756"/>
      <c r="AM248" s="757" t="str">
        <f t="shared" si="213"/>
        <v>Истина</v>
      </c>
      <c r="AN248" s="758"/>
      <c r="AT248" s="856"/>
      <c r="AU248" s="856"/>
      <c r="BE248" s="759"/>
      <c r="BF248" s="759"/>
      <c r="BG248" s="759"/>
      <c r="BH248" s="759"/>
      <c r="BI248" s="759"/>
      <c r="BJ248" s="759"/>
      <c r="BK248" s="759"/>
      <c r="BL248" s="759"/>
      <c r="BM248" s="759"/>
      <c r="BN248" s="759"/>
      <c r="BO248" s="759"/>
      <c r="BP248" s="759"/>
      <c r="BQ248" s="759"/>
      <c r="BR248" s="759"/>
      <c r="BS248" s="759"/>
      <c r="BT248" s="759"/>
      <c r="BU248" s="759"/>
      <c r="BV248" s="759"/>
      <c r="BW248" s="759"/>
      <c r="BX248" s="759"/>
      <c r="BY248" s="759"/>
      <c r="BZ248" s="760"/>
      <c r="CA248" s="760"/>
      <c r="CB248" s="760"/>
      <c r="CC248" s="760"/>
      <c r="CD248" s="760"/>
      <c r="CE248" s="760"/>
      <c r="CF248" s="760"/>
      <c r="CG248" s="760"/>
      <c r="CH248" s="760"/>
      <c r="CI248" s="760"/>
    </row>
    <row r="249" spans="2:87" s="757" customFormat="1" ht="18.75" outlineLevel="1">
      <c r="B249" s="1326" t="s">
        <v>2660</v>
      </c>
      <c r="C249" s="1327" t="str">
        <f>""&amp;T249&amp;" ("&amp;$C$231&amp;")"</f>
        <v>Двухтрансф. (Не льгота (ТП, КТП, МТП, СТП))</v>
      </c>
      <c r="D249" s="1328"/>
      <c r="E249" s="1328"/>
      <c r="F249" s="1329">
        <f>SUM(F250)</f>
        <v>0</v>
      </c>
      <c r="G249" s="1330">
        <f t="shared" ref="G249" si="216">SUM(G250)</f>
        <v>0</v>
      </c>
      <c r="H249" s="1330">
        <f>SUM(H250)</f>
        <v>0</v>
      </c>
      <c r="I249" s="1330">
        <f t="shared" ref="I249:L249" si="217">SUM(I250)</f>
        <v>0</v>
      </c>
      <c r="J249" s="1330">
        <f t="shared" si="217"/>
        <v>0</v>
      </c>
      <c r="K249" s="1330">
        <f t="shared" si="217"/>
        <v>0</v>
      </c>
      <c r="L249" s="1330">
        <f t="shared" si="217"/>
        <v>0</v>
      </c>
      <c r="M249" s="1330">
        <f>SUM(M250)</f>
        <v>0</v>
      </c>
      <c r="N249" s="1330">
        <f>SUM(N250)</f>
        <v>0</v>
      </c>
      <c r="O249" s="1330">
        <f t="shared" ref="O249:Q249" si="218">SUM(O250)</f>
        <v>0</v>
      </c>
      <c r="P249" s="1330">
        <f t="shared" si="218"/>
        <v>0</v>
      </c>
      <c r="Q249" s="1329">
        <f t="shared" si="218"/>
        <v>0</v>
      </c>
      <c r="R249" s="1346"/>
      <c r="S249" s="1346"/>
      <c r="T249" s="1332" t="s">
        <v>2643</v>
      </c>
      <c r="U249" s="582"/>
      <c r="V249" s="582"/>
      <c r="W249" s="582"/>
      <c r="X249" s="600"/>
      <c r="Y249" s="582" t="str">
        <f>IF(X249="","",$C$211)</f>
        <v/>
      </c>
      <c r="Z249" s="582" t="str">
        <f>IF(X249="","",CONCATENATE(Y249,"-",X249))</f>
        <v/>
      </c>
      <c r="AA249" s="582"/>
      <c r="AB249" s="750">
        <f t="shared" si="208"/>
        <v>0</v>
      </c>
      <c r="AC249" s="751">
        <f t="shared" si="209"/>
        <v>0</v>
      </c>
      <c r="AD249" s="752">
        <f t="shared" si="210"/>
        <v>0</v>
      </c>
      <c r="AE249" s="753">
        <f t="shared" si="211"/>
        <v>0</v>
      </c>
      <c r="AF249" s="754"/>
      <c r="AG249" s="880" t="str">
        <f t="shared" si="212"/>
        <v>не совпадает</v>
      </c>
      <c r="AH249" s="732" t="str">
        <f t="shared" si="171"/>
        <v/>
      </c>
      <c r="AI249" s="733" t="str">
        <f t="shared" si="171"/>
        <v/>
      </c>
      <c r="AJ249" s="734" t="str">
        <f t="shared" si="171"/>
        <v/>
      </c>
      <c r="AK249" s="755">
        <f t="shared" si="115"/>
        <v>0</v>
      </c>
      <c r="AL249" s="756"/>
      <c r="AM249" s="757" t="str">
        <f t="shared" si="213"/>
        <v>Истина</v>
      </c>
      <c r="AN249" s="758"/>
      <c r="AT249" s="1345"/>
      <c r="AU249" s="1334"/>
      <c r="BE249" s="759"/>
      <c r="BF249" s="759"/>
      <c r="BG249" s="759"/>
      <c r="BH249" s="759"/>
      <c r="BI249" s="759"/>
      <c r="BJ249" s="759"/>
      <c r="BK249" s="759"/>
      <c r="BL249" s="759"/>
      <c r="BM249" s="759"/>
      <c r="BN249" s="759"/>
      <c r="BO249" s="759"/>
      <c r="BP249" s="759"/>
      <c r="BQ249" s="759"/>
      <c r="BR249" s="759"/>
      <c r="BS249" s="759"/>
      <c r="BT249" s="759"/>
      <c r="BU249" s="759"/>
      <c r="BV249" s="759"/>
      <c r="BW249" s="759"/>
      <c r="BX249" s="759"/>
      <c r="BY249" s="759"/>
      <c r="BZ249" s="760"/>
      <c r="CA249" s="760"/>
      <c r="CB249" s="760"/>
      <c r="CC249" s="760"/>
      <c r="CD249" s="760"/>
      <c r="CE249" s="760"/>
      <c r="CF249" s="760"/>
      <c r="CG249" s="760"/>
      <c r="CH249" s="760"/>
      <c r="CI249" s="760"/>
    </row>
    <row r="250" spans="2:87" s="757" customFormat="1" ht="18.75" outlineLevel="1">
      <c r="B250" s="1347"/>
      <c r="C250" s="1348"/>
      <c r="D250" s="649" t="str">
        <f t="shared" ref="D250" si="219">IF(AF250=0,"",AF250)</f>
        <v/>
      </c>
      <c r="E250" s="1348"/>
      <c r="F250" s="1349"/>
      <c r="G250" s="1350"/>
      <c r="H250" s="1351"/>
      <c r="I250" s="1351"/>
      <c r="J250" s="1351"/>
      <c r="K250" s="1351"/>
      <c r="L250" s="1351"/>
      <c r="M250" s="1351"/>
      <c r="N250" s="1351"/>
      <c r="O250" s="1351"/>
      <c r="P250" s="1352"/>
      <c r="Q250" s="848"/>
      <c r="R250" s="849"/>
      <c r="S250" s="850"/>
      <c r="T250" s="851"/>
      <c r="U250" s="582"/>
      <c r="V250" s="852"/>
      <c r="W250" s="853" t="str">
        <f>""&amp;V250&amp;" - "&amp;X250&amp;""</f>
        <v xml:space="preserve"> - </v>
      </c>
      <c r="X250" s="845"/>
      <c r="Y250" s="854" t="str">
        <f>IF(X250="","",$C$211)</f>
        <v/>
      </c>
      <c r="Z250" s="855" t="str">
        <f>IF(X250="","",CONCATENATE(Y250,": ",W250))</f>
        <v/>
      </c>
      <c r="AA250" s="582"/>
      <c r="AB250" s="750">
        <f t="shared" si="208"/>
        <v>0</v>
      </c>
      <c r="AC250" s="751">
        <f t="shared" si="209"/>
        <v>0</v>
      </c>
      <c r="AD250" s="752">
        <f t="shared" si="210"/>
        <v>0</v>
      </c>
      <c r="AE250" s="753">
        <f t="shared" si="211"/>
        <v>0</v>
      </c>
      <c r="AF250" s="754"/>
      <c r="AG250" s="880" t="str">
        <f t="shared" si="212"/>
        <v>не совпадает</v>
      </c>
      <c r="AH250" s="732" t="str">
        <f t="shared" si="171"/>
        <v/>
      </c>
      <c r="AI250" s="733" t="str">
        <f t="shared" si="171"/>
        <v/>
      </c>
      <c r="AJ250" s="734" t="str">
        <f t="shared" si="171"/>
        <v/>
      </c>
      <c r="AK250" s="755">
        <f t="shared" si="115"/>
        <v>0</v>
      </c>
      <c r="AL250" s="756"/>
      <c r="AM250" s="757" t="str">
        <f t="shared" si="213"/>
        <v>Истина</v>
      </c>
      <c r="AN250" s="758"/>
      <c r="AT250" s="856"/>
      <c r="AU250" s="856"/>
      <c r="BE250" s="759"/>
      <c r="BF250" s="759"/>
      <c r="BG250" s="759"/>
      <c r="BH250" s="759"/>
      <c r="BI250" s="759"/>
      <c r="BJ250" s="759"/>
      <c r="BK250" s="759"/>
      <c r="BL250" s="759"/>
      <c r="BM250" s="759"/>
      <c r="BN250" s="759"/>
      <c r="BO250" s="759"/>
      <c r="BP250" s="759"/>
      <c r="BQ250" s="759"/>
      <c r="BR250" s="759"/>
      <c r="BS250" s="759"/>
      <c r="BT250" s="759"/>
      <c r="BU250" s="759"/>
      <c r="BV250" s="759"/>
      <c r="BW250" s="759"/>
      <c r="BX250" s="759"/>
      <c r="BY250" s="759"/>
      <c r="BZ250" s="760"/>
      <c r="CA250" s="760"/>
      <c r="CB250" s="760"/>
      <c r="CC250" s="760"/>
      <c r="CD250" s="760"/>
      <c r="CE250" s="760"/>
      <c r="CF250" s="760"/>
      <c r="CG250" s="760"/>
      <c r="CH250" s="760"/>
      <c r="CI250" s="760"/>
    </row>
    <row r="251" spans="2:87" ht="18.75">
      <c r="B251" s="1321" t="s">
        <v>2661</v>
      </c>
      <c r="C251" s="1321" t="s">
        <v>2662</v>
      </c>
      <c r="D251" s="1322"/>
      <c r="E251" s="1322"/>
      <c r="F251" s="1323">
        <f>SUM(F252)</f>
        <v>0</v>
      </c>
      <c r="G251" s="1324">
        <f t="shared" ref="G251:H251" si="220">SUM(G252)</f>
        <v>0</v>
      </c>
      <c r="H251" s="1324">
        <f t="shared" si="220"/>
        <v>0</v>
      </c>
      <c r="I251" s="1324">
        <f>SUM(I252)</f>
        <v>0</v>
      </c>
      <c r="J251" s="1324">
        <f t="shared" ref="J251:L251" si="221">SUM(J252)</f>
        <v>0</v>
      </c>
      <c r="K251" s="1324">
        <f>SUM(K252)</f>
        <v>0</v>
      </c>
      <c r="L251" s="1324">
        <f t="shared" si="221"/>
        <v>0</v>
      </c>
      <c r="M251" s="1324">
        <f>SUM(M252)</f>
        <v>0</v>
      </c>
      <c r="N251" s="1324">
        <f t="shared" ref="N251:Q251" si="222">SUM(N252)</f>
        <v>0</v>
      </c>
      <c r="O251" s="1324">
        <f t="shared" si="222"/>
        <v>0</v>
      </c>
      <c r="P251" s="1324">
        <f>SUM(P252)</f>
        <v>0</v>
      </c>
      <c r="Q251" s="1323">
        <f t="shared" si="222"/>
        <v>0</v>
      </c>
      <c r="R251" s="1322"/>
      <c r="S251" s="1322"/>
      <c r="T251" s="1325"/>
      <c r="X251" s="582"/>
      <c r="Y251" s="582" t="str">
        <f>IF(X251="","",$C$213)</f>
        <v/>
      </c>
      <c r="Z251" s="582" t="str">
        <f>IF(X251="","",CONCATENATE(Y251,"-",X251))</f>
        <v/>
      </c>
      <c r="AA251" s="582"/>
      <c r="AB251" s="621">
        <f t="shared" si="208"/>
        <v>0</v>
      </c>
      <c r="AC251" s="622">
        <f t="shared" si="209"/>
        <v>0</v>
      </c>
      <c r="AD251" s="623">
        <f t="shared" si="210"/>
        <v>0</v>
      </c>
      <c r="AE251" s="624">
        <f t="shared" si="211"/>
        <v>0</v>
      </c>
      <c r="AF251" s="624"/>
      <c r="AG251" s="881" t="str">
        <f t="shared" si="212"/>
        <v>не совпадает</v>
      </c>
      <c r="AH251" s="664" t="str">
        <f t="shared" si="171"/>
        <v/>
      </c>
      <c r="AI251" s="665" t="str">
        <f t="shared" si="171"/>
        <v/>
      </c>
      <c r="AJ251" s="666" t="str">
        <f t="shared" si="171"/>
        <v/>
      </c>
      <c r="AK251" s="667">
        <f t="shared" si="115"/>
        <v>0</v>
      </c>
      <c r="AM251" s="600" t="str">
        <f t="shared" si="213"/>
        <v>Истина</v>
      </c>
      <c r="BA251" s="600"/>
    </row>
    <row r="252" spans="2:87" s="757" customFormat="1" ht="18.75">
      <c r="B252" s="861"/>
      <c r="C252" s="862"/>
      <c r="D252" s="649" t="str">
        <f t="shared" ref="D252" si="223">IF(AF252=0,"",AF252)</f>
        <v/>
      </c>
      <c r="E252" s="862"/>
      <c r="F252" s="863"/>
      <c r="G252" s="864"/>
      <c r="H252" s="865"/>
      <c r="I252" s="865"/>
      <c r="J252" s="865"/>
      <c r="K252" s="865"/>
      <c r="L252" s="865"/>
      <c r="M252" s="865"/>
      <c r="N252" s="865"/>
      <c r="O252" s="865"/>
      <c r="P252" s="865"/>
      <c r="Q252" s="866"/>
      <c r="R252" s="849"/>
      <c r="S252" s="850"/>
      <c r="T252" s="851"/>
      <c r="U252" s="582"/>
      <c r="V252" s="852"/>
      <c r="W252" s="853" t="str">
        <f>""&amp;V252&amp;" - "&amp;X252&amp;""</f>
        <v xml:space="preserve"> - </v>
      </c>
      <c r="X252" s="845"/>
      <c r="Y252" s="854" t="str">
        <f>IF(X252="","",$C$213)</f>
        <v/>
      </c>
      <c r="Z252" s="855" t="str">
        <f>IF(X252="","",CONCATENATE(Y252,": ",W252))</f>
        <v/>
      </c>
      <c r="AA252" s="582"/>
      <c r="AB252" s="750">
        <f t="shared" si="208"/>
        <v>0</v>
      </c>
      <c r="AC252" s="751">
        <f t="shared" si="209"/>
        <v>0</v>
      </c>
      <c r="AD252" s="752">
        <f t="shared" si="210"/>
        <v>0</v>
      </c>
      <c r="AE252" s="753">
        <f t="shared" si="211"/>
        <v>0</v>
      </c>
      <c r="AF252" s="754"/>
      <c r="AG252" s="880" t="str">
        <f t="shared" si="212"/>
        <v>не совпадает</v>
      </c>
      <c r="AH252" s="732" t="str">
        <f t="shared" si="171"/>
        <v/>
      </c>
      <c r="AI252" s="733" t="str">
        <f t="shared" si="171"/>
        <v/>
      </c>
      <c r="AJ252" s="734" t="str">
        <f t="shared" si="171"/>
        <v/>
      </c>
      <c r="AK252" s="755">
        <f t="shared" si="115"/>
        <v>0</v>
      </c>
      <c r="AL252" s="756"/>
      <c r="AM252" s="757" t="str">
        <f t="shared" si="213"/>
        <v>Истина</v>
      </c>
      <c r="AN252" s="758"/>
      <c r="AT252" s="856"/>
      <c r="AU252" s="856"/>
      <c r="BE252" s="759"/>
      <c r="BF252" s="759"/>
      <c r="BG252" s="759"/>
      <c r="BH252" s="759"/>
      <c r="BI252" s="759"/>
      <c r="BJ252" s="759"/>
      <c r="BK252" s="759"/>
      <c r="BL252" s="759"/>
      <c r="BM252" s="759"/>
      <c r="BN252" s="759"/>
      <c r="BO252" s="759"/>
      <c r="BP252" s="759"/>
      <c r="BQ252" s="759"/>
      <c r="BR252" s="759"/>
      <c r="BS252" s="759"/>
      <c r="BT252" s="759"/>
      <c r="BU252" s="759"/>
      <c r="BV252" s="759"/>
      <c r="BW252" s="759"/>
      <c r="BX252" s="759"/>
      <c r="BY252" s="759"/>
      <c r="BZ252" s="760"/>
      <c r="CA252" s="760"/>
      <c r="CB252" s="760"/>
      <c r="CC252" s="760"/>
      <c r="CD252" s="760"/>
      <c r="CE252" s="760"/>
      <c r="CF252" s="760"/>
      <c r="CG252" s="760"/>
      <c r="CH252" s="760"/>
      <c r="CI252" s="760"/>
    </row>
    <row r="253" spans="2:87" ht="18.75">
      <c r="B253" s="1353">
        <f>MAX(B234:B237,B239,B241,B243:B244,B246,B248,B250,B252)</f>
        <v>6</v>
      </c>
      <c r="C253" s="1294" t="str">
        <f>"ИТОГО "&amp;$C$211&amp;" (НЕ ЛЬГОТА):"</f>
        <v>ИТОГО Трансф. подстанции до 35 кВ (НЕ ЛЬГОТА):</v>
      </c>
      <c r="D253" s="1294"/>
      <c r="E253" s="1294"/>
      <c r="F253" s="1354">
        <f>SUM(F231,F251)</f>
        <v>0</v>
      </c>
      <c r="G253" s="1355">
        <f>SUM(G231,G251)</f>
        <v>184.7</v>
      </c>
      <c r="H253" s="1355">
        <f t="shared" ref="H253:Q253" si="224">SUM(H231,H251)</f>
        <v>24.024000000000001</v>
      </c>
      <c r="I253" s="1355">
        <f t="shared" si="224"/>
        <v>1368.87664</v>
      </c>
      <c r="J253" s="1355">
        <f t="shared" si="224"/>
        <v>0</v>
      </c>
      <c r="K253" s="1355">
        <f t="shared" si="224"/>
        <v>133.70922999999999</v>
      </c>
      <c r="L253" s="1355">
        <f t="shared" si="224"/>
        <v>0</v>
      </c>
      <c r="M253" s="1355">
        <f t="shared" si="224"/>
        <v>0</v>
      </c>
      <c r="N253" s="1355">
        <f t="shared" si="224"/>
        <v>0</v>
      </c>
      <c r="O253" s="1355">
        <f>SUM(O231,O251)</f>
        <v>138.51113000000001</v>
      </c>
      <c r="P253" s="1355">
        <f>SUM(P231,P251)</f>
        <v>1665121</v>
      </c>
      <c r="Q253" s="1354">
        <f t="shared" si="224"/>
        <v>6</v>
      </c>
      <c r="R253" s="1320"/>
      <c r="S253" s="1320"/>
      <c r="T253" s="1320"/>
      <c r="U253" s="617"/>
      <c r="V253" s="617"/>
      <c r="W253" s="617"/>
      <c r="Y253" s="582" t="str">
        <f t="shared" ref="Y253" si="225">IF(X253="","",$C$231)</f>
        <v/>
      </c>
      <c r="Z253" s="582" t="str">
        <f t="shared" si="152"/>
        <v/>
      </c>
      <c r="AA253" s="582"/>
      <c r="AB253" s="882"/>
      <c r="AC253" s="883"/>
      <c r="AD253" s="884"/>
      <c r="AE253" s="846"/>
      <c r="AF253" s="846"/>
      <c r="AG253" s="885" t="str">
        <f t="shared" si="212"/>
        <v>не совпадает</v>
      </c>
      <c r="AH253" s="886" t="str">
        <f t="shared" si="171"/>
        <v/>
      </c>
      <c r="AI253" s="887" t="str">
        <f t="shared" si="171"/>
        <v/>
      </c>
      <c r="AJ253" s="888" t="str">
        <f t="shared" si="171"/>
        <v/>
      </c>
      <c r="AK253" s="889">
        <f t="shared" si="115"/>
        <v>0</v>
      </c>
    </row>
    <row r="254" spans="2:87">
      <c r="F254" s="826"/>
      <c r="X254" s="600">
        <f>COUNTIF($X$8:$X$253,X236)</f>
        <v>61</v>
      </c>
      <c r="Y254" s="890" t="e">
        <f>X254/#REF!</f>
        <v>#REF!</v>
      </c>
      <c r="Z254" s="608"/>
      <c r="AA254" s="608"/>
      <c r="AB254" s="608"/>
      <c r="AC254" s="608"/>
      <c r="AD254" s="608"/>
      <c r="AE254" s="608"/>
      <c r="AF254" s="608"/>
      <c r="AG254" s="608"/>
      <c r="AH254" s="608"/>
      <c r="AI254" s="608"/>
      <c r="AJ254" s="608"/>
      <c r="AK254" s="608"/>
      <c r="AL254" s="608"/>
      <c r="AM254" s="608"/>
      <c r="AN254" s="608"/>
      <c r="AO254" s="608"/>
      <c r="AP254" s="608"/>
      <c r="AQ254" s="608"/>
      <c r="AR254" s="608"/>
      <c r="AS254" s="608"/>
      <c r="AT254" s="608"/>
      <c r="AU254" s="608"/>
      <c r="AV254" s="608"/>
      <c r="AW254" s="608"/>
      <c r="AX254" s="608"/>
      <c r="AY254" s="608"/>
      <c r="AZ254" s="608"/>
      <c r="BA254" s="608"/>
      <c r="BB254" s="608"/>
      <c r="BC254" s="608"/>
      <c r="BD254" s="608"/>
    </row>
    <row r="255" spans="2:87">
      <c r="F255" s="826"/>
      <c r="Y255" s="890"/>
      <c r="Z255" s="608"/>
      <c r="AA255" s="608"/>
      <c r="AB255" s="608"/>
      <c r="AC255" s="608"/>
      <c r="AD255" s="608"/>
      <c r="AE255" s="608"/>
      <c r="AF255" s="608"/>
      <c r="AG255" s="608"/>
      <c r="AH255" s="1359">
        <f>SUM(AH9:AH253)</f>
        <v>1956679.6778046377</v>
      </c>
      <c r="AI255" s="1359">
        <f>SUM(AI9:AI253)</f>
        <v>271034.67572215846</v>
      </c>
      <c r="AJ255" s="1359">
        <f>SUM(AJ9:AJ253)</f>
        <v>770700.79643104505</v>
      </c>
      <c r="AK255" s="1360">
        <f>SUM(AK9:AK253)</f>
        <v>2998415.1499578417</v>
      </c>
      <c r="AL255" s="608"/>
      <c r="AM255" s="608"/>
      <c r="AN255" s="608"/>
      <c r="AO255" s="608"/>
      <c r="AP255" s="608"/>
      <c r="AQ255" s="608"/>
      <c r="AR255" s="608"/>
      <c r="AS255" s="608"/>
      <c r="AT255" s="608"/>
      <c r="AU255" s="608"/>
      <c r="AV255" s="608"/>
      <c r="AW255" s="608"/>
      <c r="AX255" s="608"/>
      <c r="AY255" s="608"/>
      <c r="AZ255" s="608"/>
      <c r="BA255" s="608"/>
      <c r="BB255" s="608"/>
      <c r="BC255" s="608"/>
      <c r="BD255" s="608"/>
    </row>
    <row r="256" spans="2:87">
      <c r="F256" s="826"/>
      <c r="P256" s="608"/>
    </row>
    <row r="257" spans="2:89" s="76" customFormat="1" ht="18.75">
      <c r="C257" s="1117" t="s">
        <v>3351</v>
      </c>
      <c r="D257" s="1118"/>
      <c r="E257" s="1118"/>
      <c r="F257" s="1118"/>
      <c r="G257" s="1119"/>
      <c r="H257" s="1119"/>
      <c r="I257" s="1118"/>
      <c r="J257" s="1118"/>
      <c r="K257" s="1118"/>
      <c r="L257" s="1117"/>
      <c r="P257" s="272"/>
      <c r="Q257" s="1117" t="s">
        <v>3352</v>
      </c>
      <c r="S257" s="1117"/>
      <c r="X257" s="128"/>
      <c r="AM257" s="1120"/>
      <c r="BE257" s="272"/>
      <c r="BF257" s="272"/>
      <c r="BG257" s="272"/>
      <c r="BH257" s="272"/>
      <c r="BI257" s="272"/>
      <c r="BJ257" s="272"/>
      <c r="BK257" s="272"/>
      <c r="BL257" s="272"/>
      <c r="BM257" s="272"/>
      <c r="BN257" s="272"/>
      <c r="BO257" s="272"/>
      <c r="BP257" s="272"/>
      <c r="BQ257" s="272"/>
      <c r="BR257" s="272"/>
      <c r="BS257" s="272"/>
      <c r="BT257" s="272"/>
      <c r="BU257" s="272"/>
      <c r="BV257" s="272"/>
      <c r="BW257" s="272"/>
      <c r="BX257" s="272"/>
      <c r="BY257" s="272"/>
      <c r="BZ257" s="272"/>
      <c r="CA257" s="272"/>
      <c r="CB257" s="272"/>
      <c r="CC257" s="272"/>
      <c r="CD257" s="272"/>
      <c r="CE257" s="272"/>
      <c r="CF257" s="272"/>
      <c r="CG257" s="272"/>
      <c r="CH257" s="272"/>
      <c r="CI257" s="272"/>
      <c r="CJ257" s="272"/>
      <c r="CK257" s="272"/>
    </row>
    <row r="258" spans="2:89" s="76" customFormat="1" ht="15.75">
      <c r="C258" s="1121"/>
      <c r="D258" s="1121"/>
      <c r="E258" s="1121"/>
      <c r="F258" s="1122"/>
      <c r="G258" s="272"/>
      <c r="P258" s="272"/>
      <c r="X258" s="128"/>
      <c r="AM258" s="1120"/>
      <c r="BE258" s="272"/>
      <c r="BF258" s="272"/>
      <c r="BG258" s="272"/>
      <c r="BH258" s="272"/>
      <c r="BI258" s="272"/>
      <c r="BJ258" s="272"/>
      <c r="BK258" s="272"/>
      <c r="BL258" s="272"/>
      <c r="BM258" s="272"/>
      <c r="BN258" s="272"/>
      <c r="BO258" s="272"/>
      <c r="BP258" s="272"/>
      <c r="BQ258" s="272"/>
      <c r="BR258" s="272"/>
      <c r="BS258" s="272"/>
      <c r="BT258" s="272"/>
      <c r="BU258" s="272"/>
      <c r="BV258" s="272"/>
      <c r="BW258" s="272"/>
      <c r="BX258" s="272"/>
      <c r="BY258" s="272"/>
      <c r="BZ258" s="272"/>
      <c r="CA258" s="272"/>
      <c r="CB258" s="272"/>
      <c r="CC258" s="272"/>
      <c r="CD258" s="272"/>
      <c r="CE258" s="272"/>
      <c r="CF258" s="272"/>
      <c r="CG258" s="272"/>
      <c r="CH258" s="272"/>
      <c r="CI258" s="272"/>
      <c r="CJ258" s="272"/>
      <c r="CK258" s="272"/>
    </row>
    <row r="259" spans="2:89" s="76" customFormat="1" ht="15.75">
      <c r="C259" s="1121"/>
      <c r="D259" s="1121"/>
      <c r="E259" s="1121"/>
      <c r="F259" s="1122"/>
      <c r="G259" s="272"/>
      <c r="P259" s="272"/>
      <c r="X259" s="128"/>
      <c r="AM259" s="1120"/>
      <c r="AQ259" s="736"/>
      <c r="BE259" s="272"/>
      <c r="BF259" s="272"/>
      <c r="BG259" s="272"/>
      <c r="BH259" s="272"/>
      <c r="BI259" s="272"/>
      <c r="BJ259" s="272"/>
      <c r="BK259" s="272"/>
      <c r="BL259" s="272"/>
      <c r="BM259" s="272"/>
      <c r="BN259" s="272"/>
      <c r="BO259" s="272"/>
      <c r="BP259" s="272"/>
      <c r="BQ259" s="272"/>
      <c r="BR259" s="272"/>
      <c r="BS259" s="272"/>
      <c r="BT259" s="272"/>
      <c r="BU259" s="272"/>
      <c r="BV259" s="272"/>
      <c r="BW259" s="272"/>
      <c r="BX259" s="272"/>
      <c r="BY259" s="272"/>
      <c r="BZ259" s="272"/>
      <c r="CA259" s="272"/>
      <c r="CB259" s="272"/>
      <c r="CC259" s="272"/>
      <c r="CD259" s="272"/>
      <c r="CE259" s="272"/>
      <c r="CF259" s="272"/>
      <c r="CG259" s="272"/>
      <c r="CH259" s="272"/>
      <c r="CI259" s="272"/>
      <c r="CJ259" s="272"/>
      <c r="CK259" s="272"/>
    </row>
    <row r="260" spans="2:89" s="76" customFormat="1" ht="18.75">
      <c r="C260" s="2449" t="s">
        <v>3954</v>
      </c>
      <c r="D260" s="2450"/>
      <c r="E260" s="1123"/>
      <c r="F260" s="1124"/>
      <c r="G260" s="272"/>
      <c r="P260" s="272"/>
      <c r="Q260" s="1117" t="s">
        <v>3955</v>
      </c>
      <c r="X260" s="128"/>
      <c r="AM260" s="1120"/>
      <c r="BE260" s="272"/>
      <c r="BF260" s="272"/>
      <c r="BG260" s="272"/>
      <c r="BH260" s="272"/>
      <c r="BI260" s="272"/>
      <c r="BJ260" s="272"/>
      <c r="BK260" s="272"/>
      <c r="BL260" s="272"/>
      <c r="BM260" s="272"/>
      <c r="BN260" s="272"/>
      <c r="BO260" s="272"/>
      <c r="BP260" s="272"/>
      <c r="BQ260" s="272"/>
      <c r="BR260" s="272"/>
      <c r="BS260" s="272"/>
      <c r="BT260" s="272"/>
      <c r="BU260" s="272"/>
      <c r="BV260" s="272"/>
      <c r="BW260" s="272"/>
      <c r="BX260" s="272"/>
      <c r="BY260" s="272"/>
      <c r="BZ260" s="272"/>
      <c r="CA260" s="272"/>
      <c r="CB260" s="272"/>
      <c r="CC260" s="272"/>
      <c r="CD260" s="272"/>
      <c r="CE260" s="272"/>
      <c r="CF260" s="272"/>
      <c r="CG260" s="272"/>
      <c r="CH260" s="272"/>
      <c r="CI260" s="272"/>
      <c r="CJ260" s="272"/>
      <c r="CK260" s="272"/>
    </row>
    <row r="261" spans="2:89" s="76" customFormat="1" ht="15.75">
      <c r="C261" s="1121"/>
      <c r="D261" s="1121"/>
      <c r="E261" s="1121"/>
      <c r="F261" s="1122"/>
      <c r="G261" s="272"/>
      <c r="P261" s="272"/>
      <c r="X261" s="128"/>
      <c r="AM261" s="1120"/>
      <c r="BE261" s="272"/>
      <c r="BF261" s="272"/>
      <c r="BG261" s="272"/>
      <c r="BH261" s="272"/>
      <c r="BI261" s="272"/>
      <c r="BJ261" s="272"/>
      <c r="BK261" s="272"/>
      <c r="BL261" s="272"/>
      <c r="BM261" s="272"/>
      <c r="BN261" s="272"/>
      <c r="BO261" s="272"/>
      <c r="BP261" s="272"/>
      <c r="BQ261" s="272"/>
      <c r="BR261" s="272"/>
      <c r="BS261" s="272"/>
      <c r="BT261" s="272"/>
      <c r="BU261" s="272"/>
      <c r="BV261" s="272"/>
      <c r="BW261" s="272"/>
      <c r="BX261" s="272"/>
      <c r="BY261" s="272"/>
      <c r="BZ261" s="272"/>
      <c r="CA261" s="272"/>
      <c r="CB261" s="272"/>
      <c r="CC261" s="272"/>
      <c r="CD261" s="272"/>
      <c r="CE261" s="272"/>
      <c r="CF261" s="272"/>
      <c r="CG261" s="272"/>
      <c r="CH261" s="272"/>
      <c r="CI261" s="272"/>
      <c r="CJ261" s="272"/>
      <c r="CK261" s="272"/>
    </row>
    <row r="262" spans="2:89">
      <c r="F262" s="826"/>
      <c r="P262" s="608"/>
    </row>
    <row r="263" spans="2:89" ht="15.75">
      <c r="B263" s="385">
        <f>B80</f>
        <v>57</v>
      </c>
      <c r="C263" s="368" t="str">
        <f>"до 15 кВт ВЛ-0,4 льгот - "&amp;B263&amp;" шт."</f>
        <v>до 15 кВт ВЛ-0,4 льгот - 57 шт.</v>
      </c>
      <c r="F263" s="385">
        <f>F80</f>
        <v>6.25</v>
      </c>
      <c r="G263" s="385">
        <f t="shared" ref="G263:P263" si="226">G80</f>
        <v>389.27</v>
      </c>
      <c r="H263" s="385">
        <f t="shared" si="226"/>
        <v>52.933999999999997</v>
      </c>
      <c r="I263" s="385">
        <f t="shared" si="226"/>
        <v>0</v>
      </c>
      <c r="J263" s="385">
        <f t="shared" si="226"/>
        <v>0</v>
      </c>
      <c r="K263" s="385">
        <f t="shared" si="226"/>
        <v>534.69421000000011</v>
      </c>
      <c r="L263" s="385">
        <f t="shared" si="226"/>
        <v>0</v>
      </c>
      <c r="M263" s="385">
        <f t="shared" si="226"/>
        <v>0</v>
      </c>
      <c r="N263" s="385">
        <f t="shared" si="226"/>
        <v>0</v>
      </c>
      <c r="O263" s="385">
        <f t="shared" si="226"/>
        <v>2294.2977200000005</v>
      </c>
      <c r="P263" s="385">
        <f t="shared" si="226"/>
        <v>2948617.03</v>
      </c>
      <c r="AT263" s="606"/>
    </row>
    <row r="264" spans="2:89" ht="15.75">
      <c r="B264" s="385">
        <f>B102</f>
        <v>3</v>
      </c>
      <c r="C264" s="368" t="str">
        <f>"до 15 кВт ВЛ-10 льгот - "&amp;B264&amp;" шт."</f>
        <v>до 15 кВт ВЛ-10 льгот - 3 шт.</v>
      </c>
      <c r="F264" s="385">
        <f>F102</f>
        <v>0.33999999999999997</v>
      </c>
      <c r="G264" s="385">
        <f t="shared" ref="G264:P264" si="227">G102</f>
        <v>33</v>
      </c>
      <c r="H264" s="385">
        <f t="shared" si="227"/>
        <v>0</v>
      </c>
      <c r="I264" s="385">
        <f t="shared" si="227"/>
        <v>0</v>
      </c>
      <c r="J264" s="385">
        <f t="shared" si="227"/>
        <v>0</v>
      </c>
      <c r="K264" s="385">
        <f t="shared" si="227"/>
        <v>28.513270000000002</v>
      </c>
      <c r="L264" s="385">
        <f t="shared" si="227"/>
        <v>0</v>
      </c>
      <c r="M264" s="385">
        <f t="shared" si="227"/>
        <v>0</v>
      </c>
      <c r="N264" s="385">
        <f t="shared" si="227"/>
        <v>0</v>
      </c>
      <c r="O264" s="385">
        <f t="shared" si="227"/>
        <v>211.49473</v>
      </c>
      <c r="P264" s="385">
        <f t="shared" si="227"/>
        <v>240008</v>
      </c>
    </row>
    <row r="265" spans="2:89" ht="15.75">
      <c r="B265" s="385">
        <f>B120</f>
        <v>1</v>
      </c>
      <c r="C265" s="368" t="str">
        <f>"до 15 кВт ВЛ-0,4 не льгот - "&amp;B265&amp;" шт."</f>
        <v>до 15 кВт ВЛ-0,4 не льгот - 1 шт.</v>
      </c>
      <c r="F265" s="385">
        <f>F120</f>
        <v>0.05</v>
      </c>
      <c r="G265" s="385">
        <f t="shared" ref="G265:P265" si="228">G120</f>
        <v>5</v>
      </c>
      <c r="H265" s="385">
        <f t="shared" si="228"/>
        <v>0</v>
      </c>
      <c r="I265" s="385">
        <f t="shared" si="228"/>
        <v>0</v>
      </c>
      <c r="J265" s="385">
        <f t="shared" si="228"/>
        <v>0</v>
      </c>
      <c r="K265" s="385">
        <f t="shared" si="228"/>
        <v>4.69686</v>
      </c>
      <c r="L265" s="385">
        <f t="shared" si="228"/>
        <v>0</v>
      </c>
      <c r="M265" s="385">
        <f t="shared" si="228"/>
        <v>0</v>
      </c>
      <c r="N265" s="385">
        <f t="shared" si="228"/>
        <v>0</v>
      </c>
      <c r="O265" s="385">
        <f t="shared" si="228"/>
        <v>16.652810000000002</v>
      </c>
      <c r="P265" s="385">
        <f t="shared" si="228"/>
        <v>21349.67</v>
      </c>
    </row>
    <row r="266" spans="2:89" ht="15.75">
      <c r="B266" s="385">
        <f>B140</f>
        <v>3</v>
      </c>
      <c r="C266" s="368" t="str">
        <f>"до 15 кВт ВЛ-10 не льгот - "&amp;B266&amp;" шт."</f>
        <v>до 15 кВт ВЛ-10 не льгот - 3 шт.</v>
      </c>
      <c r="F266" s="385">
        <f>F140</f>
        <v>0.65100000000000002</v>
      </c>
      <c r="G266" s="385">
        <f t="shared" ref="G266:P266" si="229">G140</f>
        <v>15</v>
      </c>
      <c r="H266" s="385">
        <f t="shared" si="229"/>
        <v>0</v>
      </c>
      <c r="I266" s="385">
        <f t="shared" si="229"/>
        <v>0</v>
      </c>
      <c r="J266" s="385">
        <f t="shared" si="229"/>
        <v>0</v>
      </c>
      <c r="K266" s="385">
        <f t="shared" si="229"/>
        <v>401.13386000000003</v>
      </c>
      <c r="L266" s="385">
        <f t="shared" si="229"/>
        <v>0</v>
      </c>
      <c r="M266" s="385">
        <f t="shared" si="229"/>
        <v>0</v>
      </c>
      <c r="N266" s="385">
        <f t="shared" si="229"/>
        <v>0</v>
      </c>
      <c r="O266" s="385">
        <f t="shared" si="229"/>
        <v>668.95130599999993</v>
      </c>
      <c r="P266" s="385">
        <f t="shared" si="229"/>
        <v>1070085.1660000002</v>
      </c>
    </row>
    <row r="267" spans="2:89" ht="15.75">
      <c r="B267" s="385">
        <f>B161</f>
        <v>1</v>
      </c>
      <c r="C267" s="368" t="str">
        <f>"от 15 до 150 кВт 0,4 кВ не льгот - "&amp;B267&amp;" шт."</f>
        <v>от 15 до 150 кВт 0,4 кВ не льгот - 1 шт.</v>
      </c>
      <c r="F267" s="385">
        <f>F161</f>
        <v>0.17</v>
      </c>
      <c r="G267" s="385">
        <f t="shared" ref="G267:P267" si="230">G161</f>
        <v>24</v>
      </c>
      <c r="H267" s="385">
        <f t="shared" si="230"/>
        <v>0</v>
      </c>
      <c r="I267" s="385">
        <f t="shared" si="230"/>
        <v>0</v>
      </c>
      <c r="J267" s="385">
        <f t="shared" si="230"/>
        <v>0</v>
      </c>
      <c r="K267" s="385">
        <f t="shared" si="230"/>
        <v>0.40926000000000001</v>
      </c>
      <c r="L267" s="385">
        <f t="shared" si="230"/>
        <v>0</v>
      </c>
      <c r="M267" s="385">
        <f t="shared" si="230"/>
        <v>0</v>
      </c>
      <c r="N267" s="385">
        <f t="shared" si="230"/>
        <v>0</v>
      </c>
      <c r="O267" s="385">
        <f t="shared" si="230"/>
        <v>10.50079</v>
      </c>
      <c r="P267" s="385">
        <f t="shared" si="230"/>
        <v>10910.05</v>
      </c>
      <c r="AT267" s="606"/>
    </row>
    <row r="268" spans="2:89" ht="15.75">
      <c r="B268" s="385">
        <f>B185</f>
        <v>4</v>
      </c>
      <c r="C268" s="368" t="str">
        <f>"от 15 до 150 кВт 6-20 кВ не льгот - "&amp;B268&amp;" шт."</f>
        <v>от 15 до 150 кВт 6-20 кВ не льгот - 4 шт.</v>
      </c>
      <c r="F268" s="385">
        <f>F185</f>
        <v>10.029999999999999</v>
      </c>
      <c r="G268" s="385">
        <f t="shared" ref="G268:P268" si="231">G185</f>
        <v>195.3</v>
      </c>
      <c r="H268" s="385">
        <f t="shared" si="231"/>
        <v>40.231310000000001</v>
      </c>
      <c r="I268" s="385">
        <f t="shared" si="231"/>
        <v>63.620370000000001</v>
      </c>
      <c r="J268" s="385">
        <f t="shared" si="231"/>
        <v>0</v>
      </c>
      <c r="K268" s="385">
        <f t="shared" si="231"/>
        <v>1885.75568</v>
      </c>
      <c r="L268" s="385">
        <f t="shared" si="231"/>
        <v>0</v>
      </c>
      <c r="M268" s="385">
        <f t="shared" si="231"/>
        <v>0</v>
      </c>
      <c r="N268" s="385">
        <f t="shared" si="231"/>
        <v>0</v>
      </c>
      <c r="O268" s="385">
        <f t="shared" si="231"/>
        <v>4065.6094800000001</v>
      </c>
      <c r="P268" s="385">
        <f t="shared" si="231"/>
        <v>6055216.8399999989</v>
      </c>
    </row>
    <row r="269" spans="2:89" ht="15.75">
      <c r="B269" s="385">
        <f>B191</f>
        <v>0</v>
      </c>
      <c r="C269" s="368" t="str">
        <f>"от 150 до 670 кВт 0,4 кВ - "&amp;B269&amp;" шт."</f>
        <v>от 150 до 670 кВт 0,4 кВ - 0 шт.</v>
      </c>
      <c r="F269" s="385">
        <f>F191</f>
        <v>0</v>
      </c>
      <c r="G269" s="385">
        <f t="shared" ref="G269:P269" si="232">G191</f>
        <v>0</v>
      </c>
      <c r="H269" s="385">
        <f t="shared" si="232"/>
        <v>0</v>
      </c>
      <c r="I269" s="385">
        <f t="shared" si="232"/>
        <v>0</v>
      </c>
      <c r="J269" s="385">
        <f t="shared" si="232"/>
        <v>0</v>
      </c>
      <c r="K269" s="385">
        <f t="shared" si="232"/>
        <v>0</v>
      </c>
      <c r="L269" s="385">
        <f t="shared" si="232"/>
        <v>0</v>
      </c>
      <c r="M269" s="385">
        <f t="shared" si="232"/>
        <v>0</v>
      </c>
      <c r="N269" s="385">
        <f t="shared" si="232"/>
        <v>0</v>
      </c>
      <c r="O269" s="385">
        <f t="shared" si="232"/>
        <v>0</v>
      </c>
      <c r="P269" s="385">
        <f t="shared" si="232"/>
        <v>0</v>
      </c>
    </row>
    <row r="270" spans="2:89" ht="15.75">
      <c r="B270" s="385">
        <f>B203</f>
        <v>1</v>
      </c>
      <c r="C270" s="368" t="str">
        <f>"от 150 до 670 кВт 6-20кВ - "&amp;B270&amp;" шт."</f>
        <v>от 150 до 670 кВт 6-20кВ - 1 шт.</v>
      </c>
      <c r="F270" s="385">
        <f>F203</f>
        <v>0.02</v>
      </c>
      <c r="G270" s="385">
        <f t="shared" ref="G270:P270" si="233">G203</f>
        <v>264.66000000000003</v>
      </c>
      <c r="H270" s="385">
        <f t="shared" si="233"/>
        <v>0</v>
      </c>
      <c r="I270" s="385">
        <f t="shared" si="233"/>
        <v>0</v>
      </c>
      <c r="J270" s="385">
        <f t="shared" si="233"/>
        <v>0</v>
      </c>
      <c r="K270" s="385">
        <f t="shared" si="233"/>
        <v>1.3974800000000001</v>
      </c>
      <c r="L270" s="385">
        <f t="shared" si="233"/>
        <v>0</v>
      </c>
      <c r="M270" s="385">
        <f t="shared" si="233"/>
        <v>0</v>
      </c>
      <c r="N270" s="385">
        <f t="shared" si="233"/>
        <v>0</v>
      </c>
      <c r="O270" s="385">
        <f t="shared" si="233"/>
        <v>74.129929999999987</v>
      </c>
      <c r="P270" s="385">
        <f t="shared" si="233"/>
        <v>75527.41</v>
      </c>
    </row>
    <row r="271" spans="2:89" ht="15.75">
      <c r="B271" s="385">
        <f>B230</f>
        <v>0</v>
      </c>
      <c r="C271" s="368" t="str">
        <f>"ТП, КТП, СТП льгот. - "&amp;B271&amp;" шт."</f>
        <v>ТП, КТП, СТП льгот. - 0 шт.</v>
      </c>
      <c r="F271" s="385">
        <f>F230</f>
        <v>0</v>
      </c>
      <c r="G271" s="385">
        <f t="shared" ref="G271:P271" si="234">G230</f>
        <v>0</v>
      </c>
      <c r="H271" s="385">
        <f t="shared" si="234"/>
        <v>0</v>
      </c>
      <c r="I271" s="385">
        <f t="shared" si="234"/>
        <v>0</v>
      </c>
      <c r="J271" s="385">
        <f t="shared" si="234"/>
        <v>0</v>
      </c>
      <c r="K271" s="385">
        <f t="shared" si="234"/>
        <v>0</v>
      </c>
      <c r="L271" s="385">
        <f t="shared" si="234"/>
        <v>0</v>
      </c>
      <c r="M271" s="385">
        <f t="shared" si="234"/>
        <v>0</v>
      </c>
      <c r="N271" s="385">
        <f t="shared" si="234"/>
        <v>0</v>
      </c>
      <c r="O271" s="385">
        <f t="shared" si="234"/>
        <v>0</v>
      </c>
      <c r="P271" s="385">
        <f t="shared" si="234"/>
        <v>0</v>
      </c>
    </row>
    <row r="272" spans="2:89" ht="15.75">
      <c r="B272" s="385">
        <f>B253</f>
        <v>6</v>
      </c>
      <c r="C272" s="368" t="str">
        <f>"ТП, КТП, СТП не льгот. - "&amp;B272&amp;" шт."</f>
        <v>ТП, КТП, СТП не льгот. - 6 шт.</v>
      </c>
      <c r="F272" s="385">
        <f>F253</f>
        <v>0</v>
      </c>
      <c r="G272" s="385">
        <f>G253</f>
        <v>184.7</v>
      </c>
      <c r="H272" s="385">
        <f t="shared" ref="H272:P272" si="235">H253</f>
        <v>24.024000000000001</v>
      </c>
      <c r="I272" s="385">
        <f t="shared" si="235"/>
        <v>1368.87664</v>
      </c>
      <c r="J272" s="385">
        <f t="shared" si="235"/>
        <v>0</v>
      </c>
      <c r="K272" s="385">
        <f t="shared" si="235"/>
        <v>133.70922999999999</v>
      </c>
      <c r="L272" s="385">
        <f t="shared" si="235"/>
        <v>0</v>
      </c>
      <c r="M272" s="385">
        <f t="shared" si="235"/>
        <v>0</v>
      </c>
      <c r="N272" s="385">
        <f t="shared" si="235"/>
        <v>0</v>
      </c>
      <c r="O272" s="385">
        <f t="shared" si="235"/>
        <v>138.51113000000001</v>
      </c>
      <c r="P272" s="385">
        <f t="shared" si="235"/>
        <v>1665121</v>
      </c>
    </row>
    <row r="283" spans="3:3">
      <c r="C283" s="600" t="s">
        <v>3969</v>
      </c>
    </row>
    <row r="284" spans="3:3">
      <c r="C284" s="600" t="s">
        <v>3970</v>
      </c>
    </row>
  </sheetData>
  <autoFilter ref="B7:BB254"/>
  <mergeCells count="34">
    <mergeCell ref="B3:R3"/>
    <mergeCell ref="B5:B6"/>
    <mergeCell ref="C5:C6"/>
    <mergeCell ref="D5:D6"/>
    <mergeCell ref="E5:E6"/>
    <mergeCell ref="F5:G5"/>
    <mergeCell ref="H5:H6"/>
    <mergeCell ref="I5:I6"/>
    <mergeCell ref="J5:J6"/>
    <mergeCell ref="K5:L5"/>
    <mergeCell ref="C211:T211"/>
    <mergeCell ref="AH5:AK5"/>
    <mergeCell ref="AN5:AN6"/>
    <mergeCell ref="AP5:AP6"/>
    <mergeCell ref="AR5:AR6"/>
    <mergeCell ref="T5:T6"/>
    <mergeCell ref="X5:X6"/>
    <mergeCell ref="Y5:Y6"/>
    <mergeCell ref="AB5:AE5"/>
    <mergeCell ref="AF5:AF6"/>
    <mergeCell ref="AG5:AG6"/>
    <mergeCell ref="M5:M6"/>
    <mergeCell ref="N5:N6"/>
    <mergeCell ref="O5:O6"/>
    <mergeCell ref="Q5:Q6"/>
    <mergeCell ref="R5:R6"/>
    <mergeCell ref="AU5:AU6"/>
    <mergeCell ref="C8:T8"/>
    <mergeCell ref="C104:T104"/>
    <mergeCell ref="C142:T142"/>
    <mergeCell ref="C187:T187"/>
    <mergeCell ref="AS5:AS6"/>
    <mergeCell ref="AT5:AT6"/>
    <mergeCell ref="S5:S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colBreaks count="2" manualBreakCount="2">
    <brk id="20" max="1048575" man="1"/>
    <brk id="39" max="272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CH249"/>
  <sheetViews>
    <sheetView view="pageBreakPreview" zoomScale="70" zoomScaleNormal="75" zoomScaleSheetLayoutView="70" workbookViewId="0">
      <pane ySplit="7" topLeftCell="A197" activePane="bottomLeft" state="frozen"/>
      <selection pane="bottomLeft" activeCell="P214" activeCellId="1" sqref="P110 P214"/>
    </sheetView>
  </sheetViews>
  <sheetFormatPr defaultRowHeight="12.75" outlineLevelRow="1" outlineLevelCol="1"/>
  <cols>
    <col min="1" max="1" width="0.85546875" style="891" customWidth="1"/>
    <col min="2" max="2" width="10.85546875" style="891" customWidth="1"/>
    <col min="3" max="3" width="65.5703125" style="891" customWidth="1"/>
    <col min="4" max="5" width="12.28515625" style="891" customWidth="1"/>
    <col min="6" max="6" width="12.42578125" style="891" customWidth="1"/>
    <col min="7" max="7" width="12.85546875" style="891" customWidth="1"/>
    <col min="8" max="8" width="12.5703125" style="891" hidden="1" customWidth="1" outlineLevel="1"/>
    <col min="9" max="9" width="20.7109375" style="891" hidden="1" customWidth="1" outlineLevel="1"/>
    <col min="10" max="10" width="9.140625" style="891" hidden="1" customWidth="1" outlineLevel="1"/>
    <col min="11" max="11" width="18.5703125" style="891" hidden="1" customWidth="1" outlineLevel="1"/>
    <col min="12" max="14" width="9.140625" style="891" hidden="1" customWidth="1" outlineLevel="1"/>
    <col min="15" max="15" width="17.7109375" style="891" hidden="1" customWidth="1" outlineLevel="1"/>
    <col min="16" max="16" width="19" style="891" customWidth="1" collapsed="1"/>
    <col min="17" max="17" width="9.28515625" style="891" customWidth="1"/>
    <col min="18" max="18" width="9.140625" style="891" customWidth="1"/>
    <col min="19" max="19" width="17.5703125" style="891" customWidth="1"/>
    <col min="20" max="20" width="22.7109375" style="891" customWidth="1"/>
    <col min="21" max="21" width="13.140625" style="891" customWidth="1"/>
    <col min="22" max="22" width="11.28515625" style="891" hidden="1" customWidth="1" outlineLevel="1"/>
    <col min="23" max="23" width="15.85546875" style="891" hidden="1" customWidth="1" outlineLevel="1"/>
    <col min="24" max="24" width="15.5703125" style="891" hidden="1" customWidth="1" outlineLevel="1"/>
    <col min="25" max="25" width="26.7109375" style="891" hidden="1" customWidth="1" outlineLevel="1"/>
    <col min="26" max="26" width="27" style="891" hidden="1" customWidth="1" outlineLevel="1"/>
    <col min="27" max="27" width="2.140625" style="895" customWidth="1" collapsed="1"/>
    <col min="28" max="28" width="13" style="895" hidden="1" customWidth="1" outlineLevel="1"/>
    <col min="29" max="29" width="12.7109375" style="895" hidden="1" customWidth="1" outlineLevel="1"/>
    <col min="30" max="30" width="13" style="895" hidden="1" customWidth="1" outlineLevel="1"/>
    <col min="31" max="31" width="14.42578125" style="895" hidden="1" customWidth="1" outlineLevel="1"/>
    <col min="32" max="32" width="10.7109375" style="895" hidden="1" customWidth="1" outlineLevel="1"/>
    <col min="33" max="33" width="12.7109375" style="895" hidden="1" customWidth="1" outlineLevel="1"/>
    <col min="34" max="34" width="14.5703125" style="895" hidden="1" customWidth="1" outlineLevel="1" collapsed="1"/>
    <col min="35" max="35" width="13.42578125" style="895" hidden="1" customWidth="1" outlineLevel="1"/>
    <col min="36" max="36" width="12.42578125" style="895" hidden="1" customWidth="1" outlineLevel="1"/>
    <col min="37" max="37" width="14" style="895" hidden="1" customWidth="1" outlineLevel="1"/>
    <col min="38" max="38" width="10.140625" style="895" hidden="1" customWidth="1" outlineLevel="1"/>
    <col min="39" max="39" width="8.140625" style="896" hidden="1" customWidth="1" outlineLevel="1"/>
    <col min="40" max="40" width="15" style="896" hidden="1" customWidth="1" outlineLevel="1"/>
    <col min="41" max="41" width="14.85546875" style="896" hidden="1" customWidth="1" outlineLevel="1"/>
    <col min="42" max="42" width="10.7109375" style="896" hidden="1" customWidth="1" outlineLevel="1"/>
    <col min="43" max="43" width="10.7109375" style="897" hidden="1" customWidth="1" outlineLevel="1"/>
    <col min="44" max="44" width="9.140625" style="896" hidden="1" customWidth="1" outlineLevel="1"/>
    <col min="45" max="45" width="24.42578125" style="898" hidden="1" customWidth="1" outlineLevel="1"/>
    <col min="46" max="46" width="14.28515625" style="899" hidden="1" customWidth="1" outlineLevel="1"/>
    <col min="47" max="48" width="0" style="896" hidden="1" customWidth="1" outlineLevel="1"/>
    <col min="49" max="49" width="14.28515625" style="896" hidden="1" customWidth="1" outlineLevel="1"/>
    <col min="50" max="50" width="0" style="896" hidden="1" customWidth="1" outlineLevel="1"/>
    <col min="51" max="51" width="7.28515625" style="896" hidden="1" customWidth="1" outlineLevel="1"/>
    <col min="52" max="52" width="24.42578125" style="896" bestFit="1" customWidth="1" collapsed="1"/>
    <col min="53" max="54" width="9.140625" style="891"/>
    <col min="55" max="55" width="11.28515625" style="891" hidden="1" customWidth="1" outlineLevel="1"/>
    <col min="56" max="56" width="71.140625" style="891" hidden="1" customWidth="1" outlineLevel="1"/>
    <col min="57" max="57" width="9.140625" style="891" collapsed="1"/>
    <col min="58" max="58" width="9.140625" style="896"/>
    <col min="59" max="268" width="9.140625" style="891"/>
    <col min="269" max="269" width="45" style="891" customWidth="1"/>
    <col min="270" max="270" width="17.28515625" style="891" customWidth="1"/>
    <col min="271" max="271" width="9.140625" style="891"/>
    <col min="272" max="279" width="0" style="891" hidden="1" customWidth="1"/>
    <col min="280" max="280" width="10.85546875" style="891" bestFit="1" customWidth="1"/>
    <col min="281" max="282" width="9.140625" style="891"/>
    <col min="283" max="283" width="13.42578125" style="891" customWidth="1"/>
    <col min="284" max="284" width="14.7109375" style="891" customWidth="1"/>
    <col min="285" max="286" width="9.140625" style="891"/>
    <col min="287" max="287" width="15" style="891" customWidth="1"/>
    <col min="288" max="288" width="14.85546875" style="891" customWidth="1"/>
    <col min="289" max="289" width="12.85546875" style="891" customWidth="1"/>
    <col min="290" max="290" width="21.85546875" style="891" customWidth="1"/>
    <col min="291" max="524" width="9.140625" style="891"/>
    <col min="525" max="525" width="45" style="891" customWidth="1"/>
    <col min="526" max="526" width="17.28515625" style="891" customWidth="1"/>
    <col min="527" max="527" width="9.140625" style="891"/>
    <col min="528" max="535" width="0" style="891" hidden="1" customWidth="1"/>
    <col min="536" max="536" width="10.85546875" style="891" bestFit="1" customWidth="1"/>
    <col min="537" max="538" width="9.140625" style="891"/>
    <col min="539" max="539" width="13.42578125" style="891" customWidth="1"/>
    <col min="540" max="540" width="14.7109375" style="891" customWidth="1"/>
    <col min="541" max="542" width="9.140625" style="891"/>
    <col min="543" max="543" width="15" style="891" customWidth="1"/>
    <col min="544" max="544" width="14.85546875" style="891" customWidth="1"/>
    <col min="545" max="545" width="12.85546875" style="891" customWidth="1"/>
    <col min="546" max="546" width="21.85546875" style="891" customWidth="1"/>
    <col min="547" max="780" width="9.140625" style="891"/>
    <col min="781" max="781" width="45" style="891" customWidth="1"/>
    <col min="782" max="782" width="17.28515625" style="891" customWidth="1"/>
    <col min="783" max="783" width="9.140625" style="891"/>
    <col min="784" max="791" width="0" style="891" hidden="1" customWidth="1"/>
    <col min="792" max="792" width="10.85546875" style="891" bestFit="1" customWidth="1"/>
    <col min="793" max="794" width="9.140625" style="891"/>
    <col min="795" max="795" width="13.42578125" style="891" customWidth="1"/>
    <col min="796" max="796" width="14.7109375" style="891" customWidth="1"/>
    <col min="797" max="798" width="9.140625" style="891"/>
    <col min="799" max="799" width="15" style="891" customWidth="1"/>
    <col min="800" max="800" width="14.85546875" style="891" customWidth="1"/>
    <col min="801" max="801" width="12.85546875" style="891" customWidth="1"/>
    <col min="802" max="802" width="21.85546875" style="891" customWidth="1"/>
    <col min="803" max="1036" width="9.140625" style="891"/>
    <col min="1037" max="1037" width="45" style="891" customWidth="1"/>
    <col min="1038" max="1038" width="17.28515625" style="891" customWidth="1"/>
    <col min="1039" max="1039" width="9.140625" style="891"/>
    <col min="1040" max="1047" width="0" style="891" hidden="1" customWidth="1"/>
    <col min="1048" max="1048" width="10.85546875" style="891" bestFit="1" customWidth="1"/>
    <col min="1049" max="1050" width="9.140625" style="891"/>
    <col min="1051" max="1051" width="13.42578125" style="891" customWidth="1"/>
    <col min="1052" max="1052" width="14.7109375" style="891" customWidth="1"/>
    <col min="1053" max="1054" width="9.140625" style="891"/>
    <col min="1055" max="1055" width="15" style="891" customWidth="1"/>
    <col min="1056" max="1056" width="14.85546875" style="891" customWidth="1"/>
    <col min="1057" max="1057" width="12.85546875" style="891" customWidth="1"/>
    <col min="1058" max="1058" width="21.85546875" style="891" customWidth="1"/>
    <col min="1059" max="1292" width="9.140625" style="891"/>
    <col min="1293" max="1293" width="45" style="891" customWidth="1"/>
    <col min="1294" max="1294" width="17.28515625" style="891" customWidth="1"/>
    <col min="1295" max="1295" width="9.140625" style="891"/>
    <col min="1296" max="1303" width="0" style="891" hidden="1" customWidth="1"/>
    <col min="1304" max="1304" width="10.85546875" style="891" bestFit="1" customWidth="1"/>
    <col min="1305" max="1306" width="9.140625" style="891"/>
    <col min="1307" max="1307" width="13.42578125" style="891" customWidth="1"/>
    <col min="1308" max="1308" width="14.7109375" style="891" customWidth="1"/>
    <col min="1309" max="1310" width="9.140625" style="891"/>
    <col min="1311" max="1311" width="15" style="891" customWidth="1"/>
    <col min="1312" max="1312" width="14.85546875" style="891" customWidth="1"/>
    <col min="1313" max="1313" width="12.85546875" style="891" customWidth="1"/>
    <col min="1314" max="1314" width="21.85546875" style="891" customWidth="1"/>
    <col min="1315" max="1548" width="9.140625" style="891"/>
    <col min="1549" max="1549" width="45" style="891" customWidth="1"/>
    <col min="1550" max="1550" width="17.28515625" style="891" customWidth="1"/>
    <col min="1551" max="1551" width="9.140625" style="891"/>
    <col min="1552" max="1559" width="0" style="891" hidden="1" customWidth="1"/>
    <col min="1560" max="1560" width="10.85546875" style="891" bestFit="1" customWidth="1"/>
    <col min="1561" max="1562" width="9.140625" style="891"/>
    <col min="1563" max="1563" width="13.42578125" style="891" customWidth="1"/>
    <col min="1564" max="1564" width="14.7109375" style="891" customWidth="1"/>
    <col min="1565" max="1566" width="9.140625" style="891"/>
    <col min="1567" max="1567" width="15" style="891" customWidth="1"/>
    <col min="1568" max="1568" width="14.85546875" style="891" customWidth="1"/>
    <col min="1569" max="1569" width="12.85546875" style="891" customWidth="1"/>
    <col min="1570" max="1570" width="21.85546875" style="891" customWidth="1"/>
    <col min="1571" max="1804" width="9.140625" style="891"/>
    <col min="1805" max="1805" width="45" style="891" customWidth="1"/>
    <col min="1806" max="1806" width="17.28515625" style="891" customWidth="1"/>
    <col min="1807" max="1807" width="9.140625" style="891"/>
    <col min="1808" max="1815" width="0" style="891" hidden="1" customWidth="1"/>
    <col min="1816" max="1816" width="10.85546875" style="891" bestFit="1" customWidth="1"/>
    <col min="1817" max="1818" width="9.140625" style="891"/>
    <col min="1819" max="1819" width="13.42578125" style="891" customWidth="1"/>
    <col min="1820" max="1820" width="14.7109375" style="891" customWidth="1"/>
    <col min="1821" max="1822" width="9.140625" style="891"/>
    <col min="1823" max="1823" width="15" style="891" customWidth="1"/>
    <col min="1824" max="1824" width="14.85546875" style="891" customWidth="1"/>
    <col min="1825" max="1825" width="12.85546875" style="891" customWidth="1"/>
    <col min="1826" max="1826" width="21.85546875" style="891" customWidth="1"/>
    <col min="1827" max="2060" width="9.140625" style="891"/>
    <col min="2061" max="2061" width="45" style="891" customWidth="1"/>
    <col min="2062" max="2062" width="17.28515625" style="891" customWidth="1"/>
    <col min="2063" max="2063" width="9.140625" style="891"/>
    <col min="2064" max="2071" width="0" style="891" hidden="1" customWidth="1"/>
    <col min="2072" max="2072" width="10.85546875" style="891" bestFit="1" customWidth="1"/>
    <col min="2073" max="2074" width="9.140625" style="891"/>
    <col min="2075" max="2075" width="13.42578125" style="891" customWidth="1"/>
    <col min="2076" max="2076" width="14.7109375" style="891" customWidth="1"/>
    <col min="2077" max="2078" width="9.140625" style="891"/>
    <col min="2079" max="2079" width="15" style="891" customWidth="1"/>
    <col min="2080" max="2080" width="14.85546875" style="891" customWidth="1"/>
    <col min="2081" max="2081" width="12.85546875" style="891" customWidth="1"/>
    <col min="2082" max="2082" width="21.85546875" style="891" customWidth="1"/>
    <col min="2083" max="2316" width="9.140625" style="891"/>
    <col min="2317" max="2317" width="45" style="891" customWidth="1"/>
    <col min="2318" max="2318" width="17.28515625" style="891" customWidth="1"/>
    <col min="2319" max="2319" width="9.140625" style="891"/>
    <col min="2320" max="2327" width="0" style="891" hidden="1" customWidth="1"/>
    <col min="2328" max="2328" width="10.85546875" style="891" bestFit="1" customWidth="1"/>
    <col min="2329" max="2330" width="9.140625" style="891"/>
    <col min="2331" max="2331" width="13.42578125" style="891" customWidth="1"/>
    <col min="2332" max="2332" width="14.7109375" style="891" customWidth="1"/>
    <col min="2333" max="2334" width="9.140625" style="891"/>
    <col min="2335" max="2335" width="15" style="891" customWidth="1"/>
    <col min="2336" max="2336" width="14.85546875" style="891" customWidth="1"/>
    <col min="2337" max="2337" width="12.85546875" style="891" customWidth="1"/>
    <col min="2338" max="2338" width="21.85546875" style="891" customWidth="1"/>
    <col min="2339" max="2572" width="9.140625" style="891"/>
    <col min="2573" max="2573" width="45" style="891" customWidth="1"/>
    <col min="2574" max="2574" width="17.28515625" style="891" customWidth="1"/>
    <col min="2575" max="2575" width="9.140625" style="891"/>
    <col min="2576" max="2583" width="0" style="891" hidden="1" customWidth="1"/>
    <col min="2584" max="2584" width="10.85546875" style="891" bestFit="1" customWidth="1"/>
    <col min="2585" max="2586" width="9.140625" style="891"/>
    <col min="2587" max="2587" width="13.42578125" style="891" customWidth="1"/>
    <col min="2588" max="2588" width="14.7109375" style="891" customWidth="1"/>
    <col min="2589" max="2590" width="9.140625" style="891"/>
    <col min="2591" max="2591" width="15" style="891" customWidth="1"/>
    <col min="2592" max="2592" width="14.85546875" style="891" customWidth="1"/>
    <col min="2593" max="2593" width="12.85546875" style="891" customWidth="1"/>
    <col min="2594" max="2594" width="21.85546875" style="891" customWidth="1"/>
    <col min="2595" max="2828" width="9.140625" style="891"/>
    <col min="2829" max="2829" width="45" style="891" customWidth="1"/>
    <col min="2830" max="2830" width="17.28515625" style="891" customWidth="1"/>
    <col min="2831" max="2831" width="9.140625" style="891"/>
    <col min="2832" max="2839" width="0" style="891" hidden="1" customWidth="1"/>
    <col min="2840" max="2840" width="10.85546875" style="891" bestFit="1" customWidth="1"/>
    <col min="2841" max="2842" width="9.140625" style="891"/>
    <col min="2843" max="2843" width="13.42578125" style="891" customWidth="1"/>
    <col min="2844" max="2844" width="14.7109375" style="891" customWidth="1"/>
    <col min="2845" max="2846" width="9.140625" style="891"/>
    <col min="2847" max="2847" width="15" style="891" customWidth="1"/>
    <col min="2848" max="2848" width="14.85546875" style="891" customWidth="1"/>
    <col min="2849" max="2849" width="12.85546875" style="891" customWidth="1"/>
    <col min="2850" max="2850" width="21.85546875" style="891" customWidth="1"/>
    <col min="2851" max="3084" width="9.140625" style="891"/>
    <col min="3085" max="3085" width="45" style="891" customWidth="1"/>
    <col min="3086" max="3086" width="17.28515625" style="891" customWidth="1"/>
    <col min="3087" max="3087" width="9.140625" style="891"/>
    <col min="3088" max="3095" width="0" style="891" hidden="1" customWidth="1"/>
    <col min="3096" max="3096" width="10.85546875" style="891" bestFit="1" customWidth="1"/>
    <col min="3097" max="3098" width="9.140625" style="891"/>
    <col min="3099" max="3099" width="13.42578125" style="891" customWidth="1"/>
    <col min="3100" max="3100" width="14.7109375" style="891" customWidth="1"/>
    <col min="3101" max="3102" width="9.140625" style="891"/>
    <col min="3103" max="3103" width="15" style="891" customWidth="1"/>
    <col min="3104" max="3104" width="14.85546875" style="891" customWidth="1"/>
    <col min="3105" max="3105" width="12.85546875" style="891" customWidth="1"/>
    <col min="3106" max="3106" width="21.85546875" style="891" customWidth="1"/>
    <col min="3107" max="3340" width="9.140625" style="891"/>
    <col min="3341" max="3341" width="45" style="891" customWidth="1"/>
    <col min="3342" max="3342" width="17.28515625" style="891" customWidth="1"/>
    <col min="3343" max="3343" width="9.140625" style="891"/>
    <col min="3344" max="3351" width="0" style="891" hidden="1" customWidth="1"/>
    <col min="3352" max="3352" width="10.85546875" style="891" bestFit="1" customWidth="1"/>
    <col min="3353" max="3354" width="9.140625" style="891"/>
    <col min="3355" max="3355" width="13.42578125" style="891" customWidth="1"/>
    <col min="3356" max="3356" width="14.7109375" style="891" customWidth="1"/>
    <col min="3357" max="3358" width="9.140625" style="891"/>
    <col min="3359" max="3359" width="15" style="891" customWidth="1"/>
    <col min="3360" max="3360" width="14.85546875" style="891" customWidth="1"/>
    <col min="3361" max="3361" width="12.85546875" style="891" customWidth="1"/>
    <col min="3362" max="3362" width="21.85546875" style="891" customWidth="1"/>
    <col min="3363" max="3596" width="9.140625" style="891"/>
    <col min="3597" max="3597" width="45" style="891" customWidth="1"/>
    <col min="3598" max="3598" width="17.28515625" style="891" customWidth="1"/>
    <col min="3599" max="3599" width="9.140625" style="891"/>
    <col min="3600" max="3607" width="0" style="891" hidden="1" customWidth="1"/>
    <col min="3608" max="3608" width="10.85546875" style="891" bestFit="1" customWidth="1"/>
    <col min="3609" max="3610" width="9.140625" style="891"/>
    <col min="3611" max="3611" width="13.42578125" style="891" customWidth="1"/>
    <col min="3612" max="3612" width="14.7109375" style="891" customWidth="1"/>
    <col min="3613" max="3614" width="9.140625" style="891"/>
    <col min="3615" max="3615" width="15" style="891" customWidth="1"/>
    <col min="3616" max="3616" width="14.85546875" style="891" customWidth="1"/>
    <col min="3617" max="3617" width="12.85546875" style="891" customWidth="1"/>
    <col min="3618" max="3618" width="21.85546875" style="891" customWidth="1"/>
    <col min="3619" max="3852" width="9.140625" style="891"/>
    <col min="3853" max="3853" width="45" style="891" customWidth="1"/>
    <col min="3854" max="3854" width="17.28515625" style="891" customWidth="1"/>
    <col min="3855" max="3855" width="9.140625" style="891"/>
    <col min="3856" max="3863" width="0" style="891" hidden="1" customWidth="1"/>
    <col min="3864" max="3864" width="10.85546875" style="891" bestFit="1" customWidth="1"/>
    <col min="3865" max="3866" width="9.140625" style="891"/>
    <col min="3867" max="3867" width="13.42578125" style="891" customWidth="1"/>
    <col min="3868" max="3868" width="14.7109375" style="891" customWidth="1"/>
    <col min="3869" max="3870" width="9.140625" style="891"/>
    <col min="3871" max="3871" width="15" style="891" customWidth="1"/>
    <col min="3872" max="3872" width="14.85546875" style="891" customWidth="1"/>
    <col min="3873" max="3873" width="12.85546875" style="891" customWidth="1"/>
    <col min="3874" max="3874" width="21.85546875" style="891" customWidth="1"/>
    <col min="3875" max="4108" width="9.140625" style="891"/>
    <col min="4109" max="4109" width="45" style="891" customWidth="1"/>
    <col min="4110" max="4110" width="17.28515625" style="891" customWidth="1"/>
    <col min="4111" max="4111" width="9.140625" style="891"/>
    <col min="4112" max="4119" width="0" style="891" hidden="1" customWidth="1"/>
    <col min="4120" max="4120" width="10.85546875" style="891" bestFit="1" customWidth="1"/>
    <col min="4121" max="4122" width="9.140625" style="891"/>
    <col min="4123" max="4123" width="13.42578125" style="891" customWidth="1"/>
    <col min="4124" max="4124" width="14.7109375" style="891" customWidth="1"/>
    <col min="4125" max="4126" width="9.140625" style="891"/>
    <col min="4127" max="4127" width="15" style="891" customWidth="1"/>
    <col min="4128" max="4128" width="14.85546875" style="891" customWidth="1"/>
    <col min="4129" max="4129" width="12.85546875" style="891" customWidth="1"/>
    <col min="4130" max="4130" width="21.85546875" style="891" customWidth="1"/>
    <col min="4131" max="4364" width="9.140625" style="891"/>
    <col min="4365" max="4365" width="45" style="891" customWidth="1"/>
    <col min="4366" max="4366" width="17.28515625" style="891" customWidth="1"/>
    <col min="4367" max="4367" width="9.140625" style="891"/>
    <col min="4368" max="4375" width="0" style="891" hidden="1" customWidth="1"/>
    <col min="4376" max="4376" width="10.85546875" style="891" bestFit="1" customWidth="1"/>
    <col min="4377" max="4378" width="9.140625" style="891"/>
    <col min="4379" max="4379" width="13.42578125" style="891" customWidth="1"/>
    <col min="4380" max="4380" width="14.7109375" style="891" customWidth="1"/>
    <col min="4381" max="4382" width="9.140625" style="891"/>
    <col min="4383" max="4383" width="15" style="891" customWidth="1"/>
    <col min="4384" max="4384" width="14.85546875" style="891" customWidth="1"/>
    <col min="4385" max="4385" width="12.85546875" style="891" customWidth="1"/>
    <col min="4386" max="4386" width="21.85546875" style="891" customWidth="1"/>
    <col min="4387" max="4620" width="9.140625" style="891"/>
    <col min="4621" max="4621" width="45" style="891" customWidth="1"/>
    <col min="4622" max="4622" width="17.28515625" style="891" customWidth="1"/>
    <col min="4623" max="4623" width="9.140625" style="891"/>
    <col min="4624" max="4631" width="0" style="891" hidden="1" customWidth="1"/>
    <col min="4632" max="4632" width="10.85546875" style="891" bestFit="1" customWidth="1"/>
    <col min="4633" max="4634" width="9.140625" style="891"/>
    <col min="4635" max="4635" width="13.42578125" style="891" customWidth="1"/>
    <col min="4636" max="4636" width="14.7109375" style="891" customWidth="1"/>
    <col min="4637" max="4638" width="9.140625" style="891"/>
    <col min="4639" max="4639" width="15" style="891" customWidth="1"/>
    <col min="4640" max="4640" width="14.85546875" style="891" customWidth="1"/>
    <col min="4641" max="4641" width="12.85546875" style="891" customWidth="1"/>
    <col min="4642" max="4642" width="21.85546875" style="891" customWidth="1"/>
    <col min="4643" max="4876" width="9.140625" style="891"/>
    <col min="4877" max="4877" width="45" style="891" customWidth="1"/>
    <col min="4878" max="4878" width="17.28515625" style="891" customWidth="1"/>
    <col min="4879" max="4879" width="9.140625" style="891"/>
    <col min="4880" max="4887" width="0" style="891" hidden="1" customWidth="1"/>
    <col min="4888" max="4888" width="10.85546875" style="891" bestFit="1" customWidth="1"/>
    <col min="4889" max="4890" width="9.140625" style="891"/>
    <col min="4891" max="4891" width="13.42578125" style="891" customWidth="1"/>
    <col min="4892" max="4892" width="14.7109375" style="891" customWidth="1"/>
    <col min="4893" max="4894" width="9.140625" style="891"/>
    <col min="4895" max="4895" width="15" style="891" customWidth="1"/>
    <col min="4896" max="4896" width="14.85546875" style="891" customWidth="1"/>
    <col min="4897" max="4897" width="12.85546875" style="891" customWidth="1"/>
    <col min="4898" max="4898" width="21.85546875" style="891" customWidth="1"/>
    <col min="4899" max="5132" width="9.140625" style="891"/>
    <col min="5133" max="5133" width="45" style="891" customWidth="1"/>
    <col min="5134" max="5134" width="17.28515625" style="891" customWidth="1"/>
    <col min="5135" max="5135" width="9.140625" style="891"/>
    <col min="5136" max="5143" width="0" style="891" hidden="1" customWidth="1"/>
    <col min="5144" max="5144" width="10.85546875" style="891" bestFit="1" customWidth="1"/>
    <col min="5145" max="5146" width="9.140625" style="891"/>
    <col min="5147" max="5147" width="13.42578125" style="891" customWidth="1"/>
    <col min="5148" max="5148" width="14.7109375" style="891" customWidth="1"/>
    <col min="5149" max="5150" width="9.140625" style="891"/>
    <col min="5151" max="5151" width="15" style="891" customWidth="1"/>
    <col min="5152" max="5152" width="14.85546875" style="891" customWidth="1"/>
    <col min="5153" max="5153" width="12.85546875" style="891" customWidth="1"/>
    <col min="5154" max="5154" width="21.85546875" style="891" customWidth="1"/>
    <col min="5155" max="5388" width="9.140625" style="891"/>
    <col min="5389" max="5389" width="45" style="891" customWidth="1"/>
    <col min="5390" max="5390" width="17.28515625" style="891" customWidth="1"/>
    <col min="5391" max="5391" width="9.140625" style="891"/>
    <col min="5392" max="5399" width="0" style="891" hidden="1" customWidth="1"/>
    <col min="5400" max="5400" width="10.85546875" style="891" bestFit="1" customWidth="1"/>
    <col min="5401" max="5402" width="9.140625" style="891"/>
    <col min="5403" max="5403" width="13.42578125" style="891" customWidth="1"/>
    <col min="5404" max="5404" width="14.7109375" style="891" customWidth="1"/>
    <col min="5405" max="5406" width="9.140625" style="891"/>
    <col min="5407" max="5407" width="15" style="891" customWidth="1"/>
    <col min="5408" max="5408" width="14.85546875" style="891" customWidth="1"/>
    <col min="5409" max="5409" width="12.85546875" style="891" customWidth="1"/>
    <col min="5410" max="5410" width="21.85546875" style="891" customWidth="1"/>
    <col min="5411" max="5644" width="9.140625" style="891"/>
    <col min="5645" max="5645" width="45" style="891" customWidth="1"/>
    <col min="5646" max="5646" width="17.28515625" style="891" customWidth="1"/>
    <col min="5647" max="5647" width="9.140625" style="891"/>
    <col min="5648" max="5655" width="0" style="891" hidden="1" customWidth="1"/>
    <col min="5656" max="5656" width="10.85546875" style="891" bestFit="1" customWidth="1"/>
    <col min="5657" max="5658" width="9.140625" style="891"/>
    <col min="5659" max="5659" width="13.42578125" style="891" customWidth="1"/>
    <col min="5660" max="5660" width="14.7109375" style="891" customWidth="1"/>
    <col min="5661" max="5662" width="9.140625" style="891"/>
    <col min="5663" max="5663" width="15" style="891" customWidth="1"/>
    <col min="5664" max="5664" width="14.85546875" style="891" customWidth="1"/>
    <col min="5665" max="5665" width="12.85546875" style="891" customWidth="1"/>
    <col min="5666" max="5666" width="21.85546875" style="891" customWidth="1"/>
    <col min="5667" max="5900" width="9.140625" style="891"/>
    <col min="5901" max="5901" width="45" style="891" customWidth="1"/>
    <col min="5902" max="5902" width="17.28515625" style="891" customWidth="1"/>
    <col min="5903" max="5903" width="9.140625" style="891"/>
    <col min="5904" max="5911" width="0" style="891" hidden="1" customWidth="1"/>
    <col min="5912" max="5912" width="10.85546875" style="891" bestFit="1" customWidth="1"/>
    <col min="5913" max="5914" width="9.140625" style="891"/>
    <col min="5915" max="5915" width="13.42578125" style="891" customWidth="1"/>
    <col min="5916" max="5916" width="14.7109375" style="891" customWidth="1"/>
    <col min="5917" max="5918" width="9.140625" style="891"/>
    <col min="5919" max="5919" width="15" style="891" customWidth="1"/>
    <col min="5920" max="5920" width="14.85546875" style="891" customWidth="1"/>
    <col min="5921" max="5921" width="12.85546875" style="891" customWidth="1"/>
    <col min="5922" max="5922" width="21.85546875" style="891" customWidth="1"/>
    <col min="5923" max="6156" width="9.140625" style="891"/>
    <col min="6157" max="6157" width="45" style="891" customWidth="1"/>
    <col min="6158" max="6158" width="17.28515625" style="891" customWidth="1"/>
    <col min="6159" max="6159" width="9.140625" style="891"/>
    <col min="6160" max="6167" width="0" style="891" hidden="1" customWidth="1"/>
    <col min="6168" max="6168" width="10.85546875" style="891" bestFit="1" customWidth="1"/>
    <col min="6169" max="6170" width="9.140625" style="891"/>
    <col min="6171" max="6171" width="13.42578125" style="891" customWidth="1"/>
    <col min="6172" max="6172" width="14.7109375" style="891" customWidth="1"/>
    <col min="6173" max="6174" width="9.140625" style="891"/>
    <col min="6175" max="6175" width="15" style="891" customWidth="1"/>
    <col min="6176" max="6176" width="14.85546875" style="891" customWidth="1"/>
    <col min="6177" max="6177" width="12.85546875" style="891" customWidth="1"/>
    <col min="6178" max="6178" width="21.85546875" style="891" customWidth="1"/>
    <col min="6179" max="6412" width="9.140625" style="891"/>
    <col min="6413" max="6413" width="45" style="891" customWidth="1"/>
    <col min="6414" max="6414" width="17.28515625" style="891" customWidth="1"/>
    <col min="6415" max="6415" width="9.140625" style="891"/>
    <col min="6416" max="6423" width="0" style="891" hidden="1" customWidth="1"/>
    <col min="6424" max="6424" width="10.85546875" style="891" bestFit="1" customWidth="1"/>
    <col min="6425" max="6426" width="9.140625" style="891"/>
    <col min="6427" max="6427" width="13.42578125" style="891" customWidth="1"/>
    <col min="6428" max="6428" width="14.7109375" style="891" customWidth="1"/>
    <col min="6429" max="6430" width="9.140625" style="891"/>
    <col min="6431" max="6431" width="15" style="891" customWidth="1"/>
    <col min="6432" max="6432" width="14.85546875" style="891" customWidth="1"/>
    <col min="6433" max="6433" width="12.85546875" style="891" customWidth="1"/>
    <col min="6434" max="6434" width="21.85546875" style="891" customWidth="1"/>
    <col min="6435" max="6668" width="9.140625" style="891"/>
    <col min="6669" max="6669" width="45" style="891" customWidth="1"/>
    <col min="6670" max="6670" width="17.28515625" style="891" customWidth="1"/>
    <col min="6671" max="6671" width="9.140625" style="891"/>
    <col min="6672" max="6679" width="0" style="891" hidden="1" customWidth="1"/>
    <col min="6680" max="6680" width="10.85546875" style="891" bestFit="1" customWidth="1"/>
    <col min="6681" max="6682" width="9.140625" style="891"/>
    <col min="6683" max="6683" width="13.42578125" style="891" customWidth="1"/>
    <col min="6684" max="6684" width="14.7109375" style="891" customWidth="1"/>
    <col min="6685" max="6686" width="9.140625" style="891"/>
    <col min="6687" max="6687" width="15" style="891" customWidth="1"/>
    <col min="6688" max="6688" width="14.85546875" style="891" customWidth="1"/>
    <col min="6689" max="6689" width="12.85546875" style="891" customWidth="1"/>
    <col min="6690" max="6690" width="21.85546875" style="891" customWidth="1"/>
    <col min="6691" max="6924" width="9.140625" style="891"/>
    <col min="6925" max="6925" width="45" style="891" customWidth="1"/>
    <col min="6926" max="6926" width="17.28515625" style="891" customWidth="1"/>
    <col min="6927" max="6927" width="9.140625" style="891"/>
    <col min="6928" max="6935" width="0" style="891" hidden="1" customWidth="1"/>
    <col min="6936" max="6936" width="10.85546875" style="891" bestFit="1" customWidth="1"/>
    <col min="6937" max="6938" width="9.140625" style="891"/>
    <col min="6939" max="6939" width="13.42578125" style="891" customWidth="1"/>
    <col min="6940" max="6940" width="14.7109375" style="891" customWidth="1"/>
    <col min="6941" max="6942" width="9.140625" style="891"/>
    <col min="6943" max="6943" width="15" style="891" customWidth="1"/>
    <col min="6944" max="6944" width="14.85546875" style="891" customWidth="1"/>
    <col min="6945" max="6945" width="12.85546875" style="891" customWidth="1"/>
    <col min="6946" max="6946" width="21.85546875" style="891" customWidth="1"/>
    <col min="6947" max="7180" width="9.140625" style="891"/>
    <col min="7181" max="7181" width="45" style="891" customWidth="1"/>
    <col min="7182" max="7182" width="17.28515625" style="891" customWidth="1"/>
    <col min="7183" max="7183" width="9.140625" style="891"/>
    <col min="7184" max="7191" width="0" style="891" hidden="1" customWidth="1"/>
    <col min="7192" max="7192" width="10.85546875" style="891" bestFit="1" customWidth="1"/>
    <col min="7193" max="7194" width="9.140625" style="891"/>
    <col min="7195" max="7195" width="13.42578125" style="891" customWidth="1"/>
    <col min="7196" max="7196" width="14.7109375" style="891" customWidth="1"/>
    <col min="7197" max="7198" width="9.140625" style="891"/>
    <col min="7199" max="7199" width="15" style="891" customWidth="1"/>
    <col min="7200" max="7200" width="14.85546875" style="891" customWidth="1"/>
    <col min="7201" max="7201" width="12.85546875" style="891" customWidth="1"/>
    <col min="7202" max="7202" width="21.85546875" style="891" customWidth="1"/>
    <col min="7203" max="7436" width="9.140625" style="891"/>
    <col min="7437" max="7437" width="45" style="891" customWidth="1"/>
    <col min="7438" max="7438" width="17.28515625" style="891" customWidth="1"/>
    <col min="7439" max="7439" width="9.140625" style="891"/>
    <col min="7440" max="7447" width="0" style="891" hidden="1" customWidth="1"/>
    <col min="7448" max="7448" width="10.85546875" style="891" bestFit="1" customWidth="1"/>
    <col min="7449" max="7450" width="9.140625" style="891"/>
    <col min="7451" max="7451" width="13.42578125" style="891" customWidth="1"/>
    <col min="7452" max="7452" width="14.7109375" style="891" customWidth="1"/>
    <col min="7453" max="7454" width="9.140625" style="891"/>
    <col min="7455" max="7455" width="15" style="891" customWidth="1"/>
    <col min="7456" max="7456" width="14.85546875" style="891" customWidth="1"/>
    <col min="7457" max="7457" width="12.85546875" style="891" customWidth="1"/>
    <col min="7458" max="7458" width="21.85546875" style="891" customWidth="1"/>
    <col min="7459" max="7692" width="9.140625" style="891"/>
    <col min="7693" max="7693" width="45" style="891" customWidth="1"/>
    <col min="7694" max="7694" width="17.28515625" style="891" customWidth="1"/>
    <col min="7695" max="7695" width="9.140625" style="891"/>
    <col min="7696" max="7703" width="0" style="891" hidden="1" customWidth="1"/>
    <col min="7704" max="7704" width="10.85546875" style="891" bestFit="1" customWidth="1"/>
    <col min="7705" max="7706" width="9.140625" style="891"/>
    <col min="7707" max="7707" width="13.42578125" style="891" customWidth="1"/>
    <col min="7708" max="7708" width="14.7109375" style="891" customWidth="1"/>
    <col min="7709" max="7710" width="9.140625" style="891"/>
    <col min="7711" max="7711" width="15" style="891" customWidth="1"/>
    <col min="7712" max="7712" width="14.85546875" style="891" customWidth="1"/>
    <col min="7713" max="7713" width="12.85546875" style="891" customWidth="1"/>
    <col min="7714" max="7714" width="21.85546875" style="891" customWidth="1"/>
    <col min="7715" max="7948" width="9.140625" style="891"/>
    <col min="7949" max="7949" width="45" style="891" customWidth="1"/>
    <col min="7950" max="7950" width="17.28515625" style="891" customWidth="1"/>
    <col min="7951" max="7951" width="9.140625" style="891"/>
    <col min="7952" max="7959" width="0" style="891" hidden="1" customWidth="1"/>
    <col min="7960" max="7960" width="10.85546875" style="891" bestFit="1" customWidth="1"/>
    <col min="7961" max="7962" width="9.140625" style="891"/>
    <col min="7963" max="7963" width="13.42578125" style="891" customWidth="1"/>
    <col min="7964" max="7964" width="14.7109375" style="891" customWidth="1"/>
    <col min="7965" max="7966" width="9.140625" style="891"/>
    <col min="7967" max="7967" width="15" style="891" customWidth="1"/>
    <col min="7968" max="7968" width="14.85546875" style="891" customWidth="1"/>
    <col min="7969" max="7969" width="12.85546875" style="891" customWidth="1"/>
    <col min="7970" max="7970" width="21.85546875" style="891" customWidth="1"/>
    <col min="7971" max="8204" width="9.140625" style="891"/>
    <col min="8205" max="8205" width="45" style="891" customWidth="1"/>
    <col min="8206" max="8206" width="17.28515625" style="891" customWidth="1"/>
    <col min="8207" max="8207" width="9.140625" style="891"/>
    <col min="8208" max="8215" width="0" style="891" hidden="1" customWidth="1"/>
    <col min="8216" max="8216" width="10.85546875" style="891" bestFit="1" customWidth="1"/>
    <col min="8217" max="8218" width="9.140625" style="891"/>
    <col min="8219" max="8219" width="13.42578125" style="891" customWidth="1"/>
    <col min="8220" max="8220" width="14.7109375" style="891" customWidth="1"/>
    <col min="8221" max="8222" width="9.140625" style="891"/>
    <col min="8223" max="8223" width="15" style="891" customWidth="1"/>
    <col min="8224" max="8224" width="14.85546875" style="891" customWidth="1"/>
    <col min="8225" max="8225" width="12.85546875" style="891" customWidth="1"/>
    <col min="8226" max="8226" width="21.85546875" style="891" customWidth="1"/>
    <col min="8227" max="8460" width="9.140625" style="891"/>
    <col min="8461" max="8461" width="45" style="891" customWidth="1"/>
    <col min="8462" max="8462" width="17.28515625" style="891" customWidth="1"/>
    <col min="8463" max="8463" width="9.140625" style="891"/>
    <col min="8464" max="8471" width="0" style="891" hidden="1" customWidth="1"/>
    <col min="8472" max="8472" width="10.85546875" style="891" bestFit="1" customWidth="1"/>
    <col min="8473" max="8474" width="9.140625" style="891"/>
    <col min="8475" max="8475" width="13.42578125" style="891" customWidth="1"/>
    <col min="8476" max="8476" width="14.7109375" style="891" customWidth="1"/>
    <col min="8477" max="8478" width="9.140625" style="891"/>
    <col min="8479" max="8479" width="15" style="891" customWidth="1"/>
    <col min="8480" max="8480" width="14.85546875" style="891" customWidth="1"/>
    <col min="8481" max="8481" width="12.85546875" style="891" customWidth="1"/>
    <col min="8482" max="8482" width="21.85546875" style="891" customWidth="1"/>
    <col min="8483" max="8716" width="9.140625" style="891"/>
    <col min="8717" max="8717" width="45" style="891" customWidth="1"/>
    <col min="8718" max="8718" width="17.28515625" style="891" customWidth="1"/>
    <col min="8719" max="8719" width="9.140625" style="891"/>
    <col min="8720" max="8727" width="0" style="891" hidden="1" customWidth="1"/>
    <col min="8728" max="8728" width="10.85546875" style="891" bestFit="1" customWidth="1"/>
    <col min="8729" max="8730" width="9.140625" style="891"/>
    <col min="8731" max="8731" width="13.42578125" style="891" customWidth="1"/>
    <col min="8732" max="8732" width="14.7109375" style="891" customWidth="1"/>
    <col min="8733" max="8734" width="9.140625" style="891"/>
    <col min="8735" max="8735" width="15" style="891" customWidth="1"/>
    <col min="8736" max="8736" width="14.85546875" style="891" customWidth="1"/>
    <col min="8737" max="8737" width="12.85546875" style="891" customWidth="1"/>
    <col min="8738" max="8738" width="21.85546875" style="891" customWidth="1"/>
    <col min="8739" max="8972" width="9.140625" style="891"/>
    <col min="8973" max="8973" width="45" style="891" customWidth="1"/>
    <col min="8974" max="8974" width="17.28515625" style="891" customWidth="1"/>
    <col min="8975" max="8975" width="9.140625" style="891"/>
    <col min="8976" max="8983" width="0" style="891" hidden="1" customWidth="1"/>
    <col min="8984" max="8984" width="10.85546875" style="891" bestFit="1" customWidth="1"/>
    <col min="8985" max="8986" width="9.140625" style="891"/>
    <col min="8987" max="8987" width="13.42578125" style="891" customWidth="1"/>
    <col min="8988" max="8988" width="14.7109375" style="891" customWidth="1"/>
    <col min="8989" max="8990" width="9.140625" style="891"/>
    <col min="8991" max="8991" width="15" style="891" customWidth="1"/>
    <col min="8992" max="8992" width="14.85546875" style="891" customWidth="1"/>
    <col min="8993" max="8993" width="12.85546875" style="891" customWidth="1"/>
    <col min="8994" max="8994" width="21.85546875" style="891" customWidth="1"/>
    <col min="8995" max="9228" width="9.140625" style="891"/>
    <col min="9229" max="9229" width="45" style="891" customWidth="1"/>
    <col min="9230" max="9230" width="17.28515625" style="891" customWidth="1"/>
    <col min="9231" max="9231" width="9.140625" style="891"/>
    <col min="9232" max="9239" width="0" style="891" hidden="1" customWidth="1"/>
    <col min="9240" max="9240" width="10.85546875" style="891" bestFit="1" customWidth="1"/>
    <col min="9241" max="9242" width="9.140625" style="891"/>
    <col min="9243" max="9243" width="13.42578125" style="891" customWidth="1"/>
    <col min="9244" max="9244" width="14.7109375" style="891" customWidth="1"/>
    <col min="9245" max="9246" width="9.140625" style="891"/>
    <col min="9247" max="9247" width="15" style="891" customWidth="1"/>
    <col min="9248" max="9248" width="14.85546875" style="891" customWidth="1"/>
    <col min="9249" max="9249" width="12.85546875" style="891" customWidth="1"/>
    <col min="9250" max="9250" width="21.85546875" style="891" customWidth="1"/>
    <col min="9251" max="9484" width="9.140625" style="891"/>
    <col min="9485" max="9485" width="45" style="891" customWidth="1"/>
    <col min="9486" max="9486" width="17.28515625" style="891" customWidth="1"/>
    <col min="9487" max="9487" width="9.140625" style="891"/>
    <col min="9488" max="9495" width="0" style="891" hidden="1" customWidth="1"/>
    <col min="9496" max="9496" width="10.85546875" style="891" bestFit="1" customWidth="1"/>
    <col min="9497" max="9498" width="9.140625" style="891"/>
    <col min="9499" max="9499" width="13.42578125" style="891" customWidth="1"/>
    <col min="9500" max="9500" width="14.7109375" style="891" customWidth="1"/>
    <col min="9501" max="9502" width="9.140625" style="891"/>
    <col min="9503" max="9503" width="15" style="891" customWidth="1"/>
    <col min="9504" max="9504" width="14.85546875" style="891" customWidth="1"/>
    <col min="9505" max="9505" width="12.85546875" style="891" customWidth="1"/>
    <col min="9506" max="9506" width="21.85546875" style="891" customWidth="1"/>
    <col min="9507" max="9740" width="9.140625" style="891"/>
    <col min="9741" max="9741" width="45" style="891" customWidth="1"/>
    <col min="9742" max="9742" width="17.28515625" style="891" customWidth="1"/>
    <col min="9743" max="9743" width="9.140625" style="891"/>
    <col min="9744" max="9751" width="0" style="891" hidden="1" customWidth="1"/>
    <col min="9752" max="9752" width="10.85546875" style="891" bestFit="1" customWidth="1"/>
    <col min="9753" max="9754" width="9.140625" style="891"/>
    <col min="9755" max="9755" width="13.42578125" style="891" customWidth="1"/>
    <col min="9756" max="9756" width="14.7109375" style="891" customWidth="1"/>
    <col min="9757" max="9758" width="9.140625" style="891"/>
    <col min="9759" max="9759" width="15" style="891" customWidth="1"/>
    <col min="9760" max="9760" width="14.85546875" style="891" customWidth="1"/>
    <col min="9761" max="9761" width="12.85546875" style="891" customWidth="1"/>
    <col min="9762" max="9762" width="21.85546875" style="891" customWidth="1"/>
    <col min="9763" max="9996" width="9.140625" style="891"/>
    <col min="9997" max="9997" width="45" style="891" customWidth="1"/>
    <col min="9998" max="9998" width="17.28515625" style="891" customWidth="1"/>
    <col min="9999" max="9999" width="9.140625" style="891"/>
    <col min="10000" max="10007" width="0" style="891" hidden="1" customWidth="1"/>
    <col min="10008" max="10008" width="10.85546875" style="891" bestFit="1" customWidth="1"/>
    <col min="10009" max="10010" width="9.140625" style="891"/>
    <col min="10011" max="10011" width="13.42578125" style="891" customWidth="1"/>
    <col min="10012" max="10012" width="14.7109375" style="891" customWidth="1"/>
    <col min="10013" max="10014" width="9.140625" style="891"/>
    <col min="10015" max="10015" width="15" style="891" customWidth="1"/>
    <col min="10016" max="10016" width="14.85546875" style="891" customWidth="1"/>
    <col min="10017" max="10017" width="12.85546875" style="891" customWidth="1"/>
    <col min="10018" max="10018" width="21.85546875" style="891" customWidth="1"/>
    <col min="10019" max="10252" width="9.140625" style="891"/>
    <col min="10253" max="10253" width="45" style="891" customWidth="1"/>
    <col min="10254" max="10254" width="17.28515625" style="891" customWidth="1"/>
    <col min="10255" max="10255" width="9.140625" style="891"/>
    <col min="10256" max="10263" width="0" style="891" hidden="1" customWidth="1"/>
    <col min="10264" max="10264" width="10.85546875" style="891" bestFit="1" customWidth="1"/>
    <col min="10265" max="10266" width="9.140625" style="891"/>
    <col min="10267" max="10267" width="13.42578125" style="891" customWidth="1"/>
    <col min="10268" max="10268" width="14.7109375" style="891" customWidth="1"/>
    <col min="10269" max="10270" width="9.140625" style="891"/>
    <col min="10271" max="10271" width="15" style="891" customWidth="1"/>
    <col min="10272" max="10272" width="14.85546875" style="891" customWidth="1"/>
    <col min="10273" max="10273" width="12.85546875" style="891" customWidth="1"/>
    <col min="10274" max="10274" width="21.85546875" style="891" customWidth="1"/>
    <col min="10275" max="10508" width="9.140625" style="891"/>
    <col min="10509" max="10509" width="45" style="891" customWidth="1"/>
    <col min="10510" max="10510" width="17.28515625" style="891" customWidth="1"/>
    <col min="10511" max="10511" width="9.140625" style="891"/>
    <col min="10512" max="10519" width="0" style="891" hidden="1" customWidth="1"/>
    <col min="10520" max="10520" width="10.85546875" style="891" bestFit="1" customWidth="1"/>
    <col min="10521" max="10522" width="9.140625" style="891"/>
    <col min="10523" max="10523" width="13.42578125" style="891" customWidth="1"/>
    <col min="10524" max="10524" width="14.7109375" style="891" customWidth="1"/>
    <col min="10525" max="10526" width="9.140625" style="891"/>
    <col min="10527" max="10527" width="15" style="891" customWidth="1"/>
    <col min="10528" max="10528" width="14.85546875" style="891" customWidth="1"/>
    <col min="10529" max="10529" width="12.85546875" style="891" customWidth="1"/>
    <col min="10530" max="10530" width="21.85546875" style="891" customWidth="1"/>
    <col min="10531" max="10764" width="9.140625" style="891"/>
    <col min="10765" max="10765" width="45" style="891" customWidth="1"/>
    <col min="10766" max="10766" width="17.28515625" style="891" customWidth="1"/>
    <col min="10767" max="10767" width="9.140625" style="891"/>
    <col min="10768" max="10775" width="0" style="891" hidden="1" customWidth="1"/>
    <col min="10776" max="10776" width="10.85546875" style="891" bestFit="1" customWidth="1"/>
    <col min="10777" max="10778" width="9.140625" style="891"/>
    <col min="10779" max="10779" width="13.42578125" style="891" customWidth="1"/>
    <col min="10780" max="10780" width="14.7109375" style="891" customWidth="1"/>
    <col min="10781" max="10782" width="9.140625" style="891"/>
    <col min="10783" max="10783" width="15" style="891" customWidth="1"/>
    <col min="10784" max="10784" width="14.85546875" style="891" customWidth="1"/>
    <col min="10785" max="10785" width="12.85546875" style="891" customWidth="1"/>
    <col min="10786" max="10786" width="21.85546875" style="891" customWidth="1"/>
    <col min="10787" max="11020" width="9.140625" style="891"/>
    <col min="11021" max="11021" width="45" style="891" customWidth="1"/>
    <col min="11022" max="11022" width="17.28515625" style="891" customWidth="1"/>
    <col min="11023" max="11023" width="9.140625" style="891"/>
    <col min="11024" max="11031" width="0" style="891" hidden="1" customWidth="1"/>
    <col min="11032" max="11032" width="10.85546875" style="891" bestFit="1" customWidth="1"/>
    <col min="11033" max="11034" width="9.140625" style="891"/>
    <col min="11035" max="11035" width="13.42578125" style="891" customWidth="1"/>
    <col min="11036" max="11036" width="14.7109375" style="891" customWidth="1"/>
    <col min="11037" max="11038" width="9.140625" style="891"/>
    <col min="11039" max="11039" width="15" style="891" customWidth="1"/>
    <col min="11040" max="11040" width="14.85546875" style="891" customWidth="1"/>
    <col min="11041" max="11041" width="12.85546875" style="891" customWidth="1"/>
    <col min="11042" max="11042" width="21.85546875" style="891" customWidth="1"/>
    <col min="11043" max="11276" width="9.140625" style="891"/>
    <col min="11277" max="11277" width="45" style="891" customWidth="1"/>
    <col min="11278" max="11278" width="17.28515625" style="891" customWidth="1"/>
    <col min="11279" max="11279" width="9.140625" style="891"/>
    <col min="11280" max="11287" width="0" style="891" hidden="1" customWidth="1"/>
    <col min="11288" max="11288" width="10.85546875" style="891" bestFit="1" customWidth="1"/>
    <col min="11289" max="11290" width="9.140625" style="891"/>
    <col min="11291" max="11291" width="13.42578125" style="891" customWidth="1"/>
    <col min="11292" max="11292" width="14.7109375" style="891" customWidth="1"/>
    <col min="11293" max="11294" width="9.140625" style="891"/>
    <col min="11295" max="11295" width="15" style="891" customWidth="1"/>
    <col min="11296" max="11296" width="14.85546875" style="891" customWidth="1"/>
    <col min="11297" max="11297" width="12.85546875" style="891" customWidth="1"/>
    <col min="11298" max="11298" width="21.85546875" style="891" customWidth="1"/>
    <col min="11299" max="11532" width="9.140625" style="891"/>
    <col min="11533" max="11533" width="45" style="891" customWidth="1"/>
    <col min="11534" max="11534" width="17.28515625" style="891" customWidth="1"/>
    <col min="11535" max="11535" width="9.140625" style="891"/>
    <col min="11536" max="11543" width="0" style="891" hidden="1" customWidth="1"/>
    <col min="11544" max="11544" width="10.85546875" style="891" bestFit="1" customWidth="1"/>
    <col min="11545" max="11546" width="9.140625" style="891"/>
    <col min="11547" max="11547" width="13.42578125" style="891" customWidth="1"/>
    <col min="11548" max="11548" width="14.7109375" style="891" customWidth="1"/>
    <col min="11549" max="11550" width="9.140625" style="891"/>
    <col min="11551" max="11551" width="15" style="891" customWidth="1"/>
    <col min="11552" max="11552" width="14.85546875" style="891" customWidth="1"/>
    <col min="11553" max="11553" width="12.85546875" style="891" customWidth="1"/>
    <col min="11554" max="11554" width="21.85546875" style="891" customWidth="1"/>
    <col min="11555" max="11788" width="9.140625" style="891"/>
    <col min="11789" max="11789" width="45" style="891" customWidth="1"/>
    <col min="11790" max="11790" width="17.28515625" style="891" customWidth="1"/>
    <col min="11791" max="11791" width="9.140625" style="891"/>
    <col min="11792" max="11799" width="0" style="891" hidden="1" customWidth="1"/>
    <col min="11800" max="11800" width="10.85546875" style="891" bestFit="1" customWidth="1"/>
    <col min="11801" max="11802" width="9.140625" style="891"/>
    <col min="11803" max="11803" width="13.42578125" style="891" customWidth="1"/>
    <col min="11804" max="11804" width="14.7109375" style="891" customWidth="1"/>
    <col min="11805" max="11806" width="9.140625" style="891"/>
    <col min="11807" max="11807" width="15" style="891" customWidth="1"/>
    <col min="11808" max="11808" width="14.85546875" style="891" customWidth="1"/>
    <col min="11809" max="11809" width="12.85546875" style="891" customWidth="1"/>
    <col min="11810" max="11810" width="21.85546875" style="891" customWidth="1"/>
    <col min="11811" max="12044" width="9.140625" style="891"/>
    <col min="12045" max="12045" width="45" style="891" customWidth="1"/>
    <col min="12046" max="12046" width="17.28515625" style="891" customWidth="1"/>
    <col min="12047" max="12047" width="9.140625" style="891"/>
    <col min="12048" max="12055" width="0" style="891" hidden="1" customWidth="1"/>
    <col min="12056" max="12056" width="10.85546875" style="891" bestFit="1" customWidth="1"/>
    <col min="12057" max="12058" width="9.140625" style="891"/>
    <col min="12059" max="12059" width="13.42578125" style="891" customWidth="1"/>
    <col min="12060" max="12060" width="14.7109375" style="891" customWidth="1"/>
    <col min="12061" max="12062" width="9.140625" style="891"/>
    <col min="12063" max="12063" width="15" style="891" customWidth="1"/>
    <col min="12064" max="12064" width="14.85546875" style="891" customWidth="1"/>
    <col min="12065" max="12065" width="12.85546875" style="891" customWidth="1"/>
    <col min="12066" max="12066" width="21.85546875" style="891" customWidth="1"/>
    <col min="12067" max="12300" width="9.140625" style="891"/>
    <col min="12301" max="12301" width="45" style="891" customWidth="1"/>
    <col min="12302" max="12302" width="17.28515625" style="891" customWidth="1"/>
    <col min="12303" max="12303" width="9.140625" style="891"/>
    <col min="12304" max="12311" width="0" style="891" hidden="1" customWidth="1"/>
    <col min="12312" max="12312" width="10.85546875" style="891" bestFit="1" customWidth="1"/>
    <col min="12313" max="12314" width="9.140625" style="891"/>
    <col min="12315" max="12315" width="13.42578125" style="891" customWidth="1"/>
    <col min="12316" max="12316" width="14.7109375" style="891" customWidth="1"/>
    <col min="12317" max="12318" width="9.140625" style="891"/>
    <col min="12319" max="12319" width="15" style="891" customWidth="1"/>
    <col min="12320" max="12320" width="14.85546875" style="891" customWidth="1"/>
    <col min="12321" max="12321" width="12.85546875" style="891" customWidth="1"/>
    <col min="12322" max="12322" width="21.85546875" style="891" customWidth="1"/>
    <col min="12323" max="12556" width="9.140625" style="891"/>
    <col min="12557" max="12557" width="45" style="891" customWidth="1"/>
    <col min="12558" max="12558" width="17.28515625" style="891" customWidth="1"/>
    <col min="12559" max="12559" width="9.140625" style="891"/>
    <col min="12560" max="12567" width="0" style="891" hidden="1" customWidth="1"/>
    <col min="12568" max="12568" width="10.85546875" style="891" bestFit="1" customWidth="1"/>
    <col min="12569" max="12570" width="9.140625" style="891"/>
    <col min="12571" max="12571" width="13.42578125" style="891" customWidth="1"/>
    <col min="12572" max="12572" width="14.7109375" style="891" customWidth="1"/>
    <col min="12573" max="12574" width="9.140625" style="891"/>
    <col min="12575" max="12575" width="15" style="891" customWidth="1"/>
    <col min="12576" max="12576" width="14.85546875" style="891" customWidth="1"/>
    <col min="12577" max="12577" width="12.85546875" style="891" customWidth="1"/>
    <col min="12578" max="12578" width="21.85546875" style="891" customWidth="1"/>
    <col min="12579" max="12812" width="9.140625" style="891"/>
    <col min="12813" max="12813" width="45" style="891" customWidth="1"/>
    <col min="12814" max="12814" width="17.28515625" style="891" customWidth="1"/>
    <col min="12815" max="12815" width="9.140625" style="891"/>
    <col min="12816" max="12823" width="0" style="891" hidden="1" customWidth="1"/>
    <col min="12824" max="12824" width="10.85546875" style="891" bestFit="1" customWidth="1"/>
    <col min="12825" max="12826" width="9.140625" style="891"/>
    <col min="12827" max="12827" width="13.42578125" style="891" customWidth="1"/>
    <col min="12828" max="12828" width="14.7109375" style="891" customWidth="1"/>
    <col min="12829" max="12830" width="9.140625" style="891"/>
    <col min="12831" max="12831" width="15" style="891" customWidth="1"/>
    <col min="12832" max="12832" width="14.85546875" style="891" customWidth="1"/>
    <col min="12833" max="12833" width="12.85546875" style="891" customWidth="1"/>
    <col min="12834" max="12834" width="21.85546875" style="891" customWidth="1"/>
    <col min="12835" max="13068" width="9.140625" style="891"/>
    <col min="13069" max="13069" width="45" style="891" customWidth="1"/>
    <col min="13070" max="13070" width="17.28515625" style="891" customWidth="1"/>
    <col min="13071" max="13071" width="9.140625" style="891"/>
    <col min="13072" max="13079" width="0" style="891" hidden="1" customWidth="1"/>
    <col min="13080" max="13080" width="10.85546875" style="891" bestFit="1" customWidth="1"/>
    <col min="13081" max="13082" width="9.140625" style="891"/>
    <col min="13083" max="13083" width="13.42578125" style="891" customWidth="1"/>
    <col min="13084" max="13084" width="14.7109375" style="891" customWidth="1"/>
    <col min="13085" max="13086" width="9.140625" style="891"/>
    <col min="13087" max="13087" width="15" style="891" customWidth="1"/>
    <col min="13088" max="13088" width="14.85546875" style="891" customWidth="1"/>
    <col min="13089" max="13089" width="12.85546875" style="891" customWidth="1"/>
    <col min="13090" max="13090" width="21.85546875" style="891" customWidth="1"/>
    <col min="13091" max="13324" width="9.140625" style="891"/>
    <col min="13325" max="13325" width="45" style="891" customWidth="1"/>
    <col min="13326" max="13326" width="17.28515625" style="891" customWidth="1"/>
    <col min="13327" max="13327" width="9.140625" style="891"/>
    <col min="13328" max="13335" width="0" style="891" hidden="1" customWidth="1"/>
    <col min="13336" max="13336" width="10.85546875" style="891" bestFit="1" customWidth="1"/>
    <col min="13337" max="13338" width="9.140625" style="891"/>
    <col min="13339" max="13339" width="13.42578125" style="891" customWidth="1"/>
    <col min="13340" max="13340" width="14.7109375" style="891" customWidth="1"/>
    <col min="13341" max="13342" width="9.140625" style="891"/>
    <col min="13343" max="13343" width="15" style="891" customWidth="1"/>
    <col min="13344" max="13344" width="14.85546875" style="891" customWidth="1"/>
    <col min="13345" max="13345" width="12.85546875" style="891" customWidth="1"/>
    <col min="13346" max="13346" width="21.85546875" style="891" customWidth="1"/>
    <col min="13347" max="13580" width="9.140625" style="891"/>
    <col min="13581" max="13581" width="45" style="891" customWidth="1"/>
    <col min="13582" max="13582" width="17.28515625" style="891" customWidth="1"/>
    <col min="13583" max="13583" width="9.140625" style="891"/>
    <col min="13584" max="13591" width="0" style="891" hidden="1" customWidth="1"/>
    <col min="13592" max="13592" width="10.85546875" style="891" bestFit="1" customWidth="1"/>
    <col min="13593" max="13594" width="9.140625" style="891"/>
    <col min="13595" max="13595" width="13.42578125" style="891" customWidth="1"/>
    <col min="13596" max="13596" width="14.7109375" style="891" customWidth="1"/>
    <col min="13597" max="13598" width="9.140625" style="891"/>
    <col min="13599" max="13599" width="15" style="891" customWidth="1"/>
    <col min="13600" max="13600" width="14.85546875" style="891" customWidth="1"/>
    <col min="13601" max="13601" width="12.85546875" style="891" customWidth="1"/>
    <col min="13602" max="13602" width="21.85546875" style="891" customWidth="1"/>
    <col min="13603" max="13836" width="9.140625" style="891"/>
    <col min="13837" max="13837" width="45" style="891" customWidth="1"/>
    <col min="13838" max="13838" width="17.28515625" style="891" customWidth="1"/>
    <col min="13839" max="13839" width="9.140625" style="891"/>
    <col min="13840" max="13847" width="0" style="891" hidden="1" customWidth="1"/>
    <col min="13848" max="13848" width="10.85546875" style="891" bestFit="1" customWidth="1"/>
    <col min="13849" max="13850" width="9.140625" style="891"/>
    <col min="13851" max="13851" width="13.42578125" style="891" customWidth="1"/>
    <col min="13852" max="13852" width="14.7109375" style="891" customWidth="1"/>
    <col min="13853" max="13854" width="9.140625" style="891"/>
    <col min="13855" max="13855" width="15" style="891" customWidth="1"/>
    <col min="13856" max="13856" width="14.85546875" style="891" customWidth="1"/>
    <col min="13857" max="13857" width="12.85546875" style="891" customWidth="1"/>
    <col min="13858" max="13858" width="21.85546875" style="891" customWidth="1"/>
    <col min="13859" max="14092" width="9.140625" style="891"/>
    <col min="14093" max="14093" width="45" style="891" customWidth="1"/>
    <col min="14094" max="14094" width="17.28515625" style="891" customWidth="1"/>
    <col min="14095" max="14095" width="9.140625" style="891"/>
    <col min="14096" max="14103" width="0" style="891" hidden="1" customWidth="1"/>
    <col min="14104" max="14104" width="10.85546875" style="891" bestFit="1" customWidth="1"/>
    <col min="14105" max="14106" width="9.140625" style="891"/>
    <col min="14107" max="14107" width="13.42578125" style="891" customWidth="1"/>
    <col min="14108" max="14108" width="14.7109375" style="891" customWidth="1"/>
    <col min="14109" max="14110" width="9.140625" style="891"/>
    <col min="14111" max="14111" width="15" style="891" customWidth="1"/>
    <col min="14112" max="14112" width="14.85546875" style="891" customWidth="1"/>
    <col min="14113" max="14113" width="12.85546875" style="891" customWidth="1"/>
    <col min="14114" max="14114" width="21.85546875" style="891" customWidth="1"/>
    <col min="14115" max="14348" width="9.140625" style="891"/>
    <col min="14349" max="14349" width="45" style="891" customWidth="1"/>
    <col min="14350" max="14350" width="17.28515625" style="891" customWidth="1"/>
    <col min="14351" max="14351" width="9.140625" style="891"/>
    <col min="14352" max="14359" width="0" style="891" hidden="1" customWidth="1"/>
    <col min="14360" max="14360" width="10.85546875" style="891" bestFit="1" customWidth="1"/>
    <col min="14361" max="14362" width="9.140625" style="891"/>
    <col min="14363" max="14363" width="13.42578125" style="891" customWidth="1"/>
    <col min="14364" max="14364" width="14.7109375" style="891" customWidth="1"/>
    <col min="14365" max="14366" width="9.140625" style="891"/>
    <col min="14367" max="14367" width="15" style="891" customWidth="1"/>
    <col min="14368" max="14368" width="14.85546875" style="891" customWidth="1"/>
    <col min="14369" max="14369" width="12.85546875" style="891" customWidth="1"/>
    <col min="14370" max="14370" width="21.85546875" style="891" customWidth="1"/>
    <col min="14371" max="14604" width="9.140625" style="891"/>
    <col min="14605" max="14605" width="45" style="891" customWidth="1"/>
    <col min="14606" max="14606" width="17.28515625" style="891" customWidth="1"/>
    <col min="14607" max="14607" width="9.140625" style="891"/>
    <col min="14608" max="14615" width="0" style="891" hidden="1" customWidth="1"/>
    <col min="14616" max="14616" width="10.85546875" style="891" bestFit="1" customWidth="1"/>
    <col min="14617" max="14618" width="9.140625" style="891"/>
    <col min="14619" max="14619" width="13.42578125" style="891" customWidth="1"/>
    <col min="14620" max="14620" width="14.7109375" style="891" customWidth="1"/>
    <col min="14621" max="14622" width="9.140625" style="891"/>
    <col min="14623" max="14623" width="15" style="891" customWidth="1"/>
    <col min="14624" max="14624" width="14.85546875" style="891" customWidth="1"/>
    <col min="14625" max="14625" width="12.85546875" style="891" customWidth="1"/>
    <col min="14626" max="14626" width="21.85546875" style="891" customWidth="1"/>
    <col min="14627" max="14860" width="9.140625" style="891"/>
    <col min="14861" max="14861" width="45" style="891" customWidth="1"/>
    <col min="14862" max="14862" width="17.28515625" style="891" customWidth="1"/>
    <col min="14863" max="14863" width="9.140625" style="891"/>
    <col min="14864" max="14871" width="0" style="891" hidden="1" customWidth="1"/>
    <col min="14872" max="14872" width="10.85546875" style="891" bestFit="1" customWidth="1"/>
    <col min="14873" max="14874" width="9.140625" style="891"/>
    <col min="14875" max="14875" width="13.42578125" style="891" customWidth="1"/>
    <col min="14876" max="14876" width="14.7109375" style="891" customWidth="1"/>
    <col min="14877" max="14878" width="9.140625" style="891"/>
    <col min="14879" max="14879" width="15" style="891" customWidth="1"/>
    <col min="14880" max="14880" width="14.85546875" style="891" customWidth="1"/>
    <col min="14881" max="14881" width="12.85546875" style="891" customWidth="1"/>
    <col min="14882" max="14882" width="21.85546875" style="891" customWidth="1"/>
    <col min="14883" max="15116" width="9.140625" style="891"/>
    <col min="15117" max="15117" width="45" style="891" customWidth="1"/>
    <col min="15118" max="15118" width="17.28515625" style="891" customWidth="1"/>
    <col min="15119" max="15119" width="9.140625" style="891"/>
    <col min="15120" max="15127" width="0" style="891" hidden="1" customWidth="1"/>
    <col min="15128" max="15128" width="10.85546875" style="891" bestFit="1" customWidth="1"/>
    <col min="15129" max="15130" width="9.140625" style="891"/>
    <col min="15131" max="15131" width="13.42578125" style="891" customWidth="1"/>
    <col min="15132" max="15132" width="14.7109375" style="891" customWidth="1"/>
    <col min="15133" max="15134" width="9.140625" style="891"/>
    <col min="15135" max="15135" width="15" style="891" customWidth="1"/>
    <col min="15136" max="15136" width="14.85546875" style="891" customWidth="1"/>
    <col min="15137" max="15137" width="12.85546875" style="891" customWidth="1"/>
    <col min="15138" max="15138" width="21.85546875" style="891" customWidth="1"/>
    <col min="15139" max="15372" width="9.140625" style="891"/>
    <col min="15373" max="15373" width="45" style="891" customWidth="1"/>
    <col min="15374" max="15374" width="17.28515625" style="891" customWidth="1"/>
    <col min="15375" max="15375" width="9.140625" style="891"/>
    <col min="15376" max="15383" width="0" style="891" hidden="1" customWidth="1"/>
    <col min="15384" max="15384" width="10.85546875" style="891" bestFit="1" customWidth="1"/>
    <col min="15385" max="15386" width="9.140625" style="891"/>
    <col min="15387" max="15387" width="13.42578125" style="891" customWidth="1"/>
    <col min="15388" max="15388" width="14.7109375" style="891" customWidth="1"/>
    <col min="15389" max="15390" width="9.140625" style="891"/>
    <col min="15391" max="15391" width="15" style="891" customWidth="1"/>
    <col min="15392" max="15392" width="14.85546875" style="891" customWidth="1"/>
    <col min="15393" max="15393" width="12.85546875" style="891" customWidth="1"/>
    <col min="15394" max="15394" width="21.85546875" style="891" customWidth="1"/>
    <col min="15395" max="15628" width="9.140625" style="891"/>
    <col min="15629" max="15629" width="45" style="891" customWidth="1"/>
    <col min="15630" max="15630" width="17.28515625" style="891" customWidth="1"/>
    <col min="15631" max="15631" width="9.140625" style="891"/>
    <col min="15632" max="15639" width="0" style="891" hidden="1" customWidth="1"/>
    <col min="15640" max="15640" width="10.85546875" style="891" bestFit="1" customWidth="1"/>
    <col min="15641" max="15642" width="9.140625" style="891"/>
    <col min="15643" max="15643" width="13.42578125" style="891" customWidth="1"/>
    <col min="15644" max="15644" width="14.7109375" style="891" customWidth="1"/>
    <col min="15645" max="15646" width="9.140625" style="891"/>
    <col min="15647" max="15647" width="15" style="891" customWidth="1"/>
    <col min="15648" max="15648" width="14.85546875" style="891" customWidth="1"/>
    <col min="15649" max="15649" width="12.85546875" style="891" customWidth="1"/>
    <col min="15650" max="15650" width="21.85546875" style="891" customWidth="1"/>
    <col min="15651" max="15884" width="9.140625" style="891"/>
    <col min="15885" max="15885" width="45" style="891" customWidth="1"/>
    <col min="15886" max="15886" width="17.28515625" style="891" customWidth="1"/>
    <col min="15887" max="15887" width="9.140625" style="891"/>
    <col min="15888" max="15895" width="0" style="891" hidden="1" customWidth="1"/>
    <col min="15896" max="15896" width="10.85546875" style="891" bestFit="1" customWidth="1"/>
    <col min="15897" max="15898" width="9.140625" style="891"/>
    <col min="15899" max="15899" width="13.42578125" style="891" customWidth="1"/>
    <col min="15900" max="15900" width="14.7109375" style="891" customWidth="1"/>
    <col min="15901" max="15902" width="9.140625" style="891"/>
    <col min="15903" max="15903" width="15" style="891" customWidth="1"/>
    <col min="15904" max="15904" width="14.85546875" style="891" customWidth="1"/>
    <col min="15905" max="15905" width="12.85546875" style="891" customWidth="1"/>
    <col min="15906" max="15906" width="21.85546875" style="891" customWidth="1"/>
    <col min="15907" max="16140" width="9.140625" style="891"/>
    <col min="16141" max="16141" width="45" style="891" customWidth="1"/>
    <col min="16142" max="16142" width="17.28515625" style="891" customWidth="1"/>
    <col min="16143" max="16143" width="9.140625" style="891"/>
    <col min="16144" max="16151" width="0" style="891" hidden="1" customWidth="1"/>
    <col min="16152" max="16152" width="10.85546875" style="891" bestFit="1" customWidth="1"/>
    <col min="16153" max="16154" width="9.140625" style="891"/>
    <col min="16155" max="16155" width="13.42578125" style="891" customWidth="1"/>
    <col min="16156" max="16156" width="14.7109375" style="891" customWidth="1"/>
    <col min="16157" max="16158" width="9.140625" style="891"/>
    <col min="16159" max="16159" width="15" style="891" customWidth="1"/>
    <col min="16160" max="16160" width="14.85546875" style="891" customWidth="1"/>
    <col min="16161" max="16161" width="12.85546875" style="891" customWidth="1"/>
    <col min="16162" max="16162" width="21.85546875" style="891" customWidth="1"/>
    <col min="16163" max="16384" width="9.140625" style="891"/>
  </cols>
  <sheetData>
    <row r="1" spans="1:58" ht="33.75">
      <c r="F1" s="892"/>
      <c r="G1" s="892"/>
      <c r="U1" s="602" t="s">
        <v>2946</v>
      </c>
      <c r="V1" s="603"/>
      <c r="X1" s="602" t="s">
        <v>2947</v>
      </c>
      <c r="Y1" s="602" t="s">
        <v>2948</v>
      </c>
      <c r="Z1" s="893"/>
      <c r="AA1" s="894"/>
      <c r="AF1" s="895" t="s">
        <v>3219</v>
      </c>
      <c r="AG1" s="895">
        <v>3.9</v>
      </c>
      <c r="AH1" s="895">
        <v>6.34</v>
      </c>
      <c r="AI1" s="895" t="s">
        <v>3220</v>
      </c>
      <c r="BC1" s="76" t="s">
        <v>2938</v>
      </c>
      <c r="BD1" s="76" t="s">
        <v>2949</v>
      </c>
    </row>
    <row r="2" spans="1:58" ht="22.5">
      <c r="B2" s="900"/>
      <c r="C2" s="901"/>
      <c r="D2" s="901"/>
      <c r="E2" s="901"/>
      <c r="F2" s="902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602" t="s">
        <v>2950</v>
      </c>
      <c r="V2" s="600"/>
      <c r="X2" s="602" t="s">
        <v>2951</v>
      </c>
      <c r="Y2" s="602" t="s">
        <v>2952</v>
      </c>
      <c r="Z2" s="893"/>
      <c r="AA2" s="894"/>
      <c r="AF2" s="895" t="s">
        <v>3221</v>
      </c>
      <c r="AG2" s="895">
        <v>3.9</v>
      </c>
      <c r="AH2" s="895">
        <v>6.34</v>
      </c>
      <c r="AI2" s="895" t="s">
        <v>3222</v>
      </c>
      <c r="BC2" s="76" t="s">
        <v>2953</v>
      </c>
      <c r="BD2" s="76" t="s">
        <v>2954</v>
      </c>
    </row>
    <row r="3" spans="1:58">
      <c r="B3" s="3279" t="s">
        <v>3223</v>
      </c>
      <c r="C3" s="3279"/>
      <c r="D3" s="3279"/>
      <c r="E3" s="3279"/>
      <c r="F3" s="3279"/>
      <c r="G3" s="3279"/>
      <c r="H3" s="3279"/>
      <c r="I3" s="3279"/>
      <c r="J3" s="3279"/>
      <c r="K3" s="3279"/>
      <c r="L3" s="3279"/>
      <c r="M3" s="3279"/>
      <c r="N3" s="3279"/>
      <c r="O3" s="3279"/>
      <c r="P3" s="3279"/>
      <c r="Q3" s="3279"/>
      <c r="R3" s="3279"/>
      <c r="S3" s="900"/>
      <c r="T3" s="900"/>
      <c r="U3" s="900"/>
      <c r="V3" s="900"/>
      <c r="W3" s="900"/>
      <c r="AB3" s="895">
        <v>1000</v>
      </c>
      <c r="AF3" s="895" t="s">
        <v>3224</v>
      </c>
      <c r="AG3" s="895">
        <v>3.96</v>
      </c>
      <c r="AH3" s="895">
        <v>6.44</v>
      </c>
      <c r="AI3" s="895" t="s">
        <v>3225</v>
      </c>
      <c r="AT3" s="903" t="e">
        <f>#REF!</f>
        <v>#REF!</v>
      </c>
      <c r="BC3" s="76" t="s">
        <v>2956</v>
      </c>
      <c r="BD3" s="76" t="s">
        <v>2957</v>
      </c>
    </row>
    <row r="4" spans="1:58">
      <c r="B4" s="900"/>
      <c r="C4" s="901"/>
      <c r="D4" s="901"/>
      <c r="E4" s="901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4"/>
      <c r="Q4" s="900"/>
      <c r="R4" s="900"/>
      <c r="S4" s="900"/>
      <c r="T4" s="900"/>
      <c r="U4" s="900"/>
      <c r="V4" s="900"/>
      <c r="W4" s="900"/>
      <c r="AF4" s="895" t="s">
        <v>3226</v>
      </c>
      <c r="AG4" s="895">
        <v>4.0199999999999996</v>
      </c>
      <c r="AH4" s="895">
        <v>6.53</v>
      </c>
      <c r="AI4" s="895" t="s">
        <v>3227</v>
      </c>
      <c r="BC4" s="76" t="s">
        <v>2958</v>
      </c>
      <c r="BD4" s="76" t="s">
        <v>2950</v>
      </c>
    </row>
    <row r="5" spans="1:58" ht="25.5" customHeight="1">
      <c r="B5" s="3268" t="s">
        <v>2521</v>
      </c>
      <c r="C5" s="3280" t="s">
        <v>2522</v>
      </c>
      <c r="D5" s="3282" t="s">
        <v>2523</v>
      </c>
      <c r="E5" s="3282" t="s">
        <v>2524</v>
      </c>
      <c r="F5" s="3284" t="s">
        <v>2525</v>
      </c>
      <c r="G5" s="3285"/>
      <c r="H5" s="3268" t="s">
        <v>2526</v>
      </c>
      <c r="I5" s="3268" t="s">
        <v>2527</v>
      </c>
      <c r="J5" s="3268" t="s">
        <v>2528</v>
      </c>
      <c r="K5" s="3286" t="s">
        <v>2529</v>
      </c>
      <c r="L5" s="3287"/>
      <c r="M5" s="3268" t="s">
        <v>2530</v>
      </c>
      <c r="N5" s="3268" t="s">
        <v>2531</v>
      </c>
      <c r="O5" s="3268" t="s">
        <v>2532</v>
      </c>
      <c r="P5" s="1125" t="s">
        <v>2533</v>
      </c>
      <c r="Q5" s="3268" t="s">
        <v>2534</v>
      </c>
      <c r="R5" s="3268" t="s">
        <v>2535</v>
      </c>
      <c r="S5" s="3268" t="s">
        <v>1</v>
      </c>
      <c r="T5" s="3270" t="s">
        <v>2536</v>
      </c>
      <c r="U5" s="3272" t="s">
        <v>2959</v>
      </c>
      <c r="V5" s="614"/>
      <c r="W5" s="615" t="s">
        <v>2960</v>
      </c>
      <c r="X5" s="3274" t="s">
        <v>2537</v>
      </c>
      <c r="Y5" s="3275"/>
      <c r="Z5" s="905"/>
      <c r="AA5" s="906"/>
      <c r="AB5" s="3276" t="s">
        <v>2538</v>
      </c>
      <c r="AC5" s="3277"/>
      <c r="AD5" s="3277"/>
      <c r="AE5" s="3278"/>
      <c r="AF5" s="3261" t="s">
        <v>2539</v>
      </c>
      <c r="AG5" s="3261" t="s">
        <v>2540</v>
      </c>
      <c r="AH5" s="3263" t="s">
        <v>2541</v>
      </c>
      <c r="AI5" s="3264"/>
      <c r="AJ5" s="3264"/>
      <c r="AK5" s="3265"/>
      <c r="AL5" s="907"/>
      <c r="AM5" s="908"/>
      <c r="AN5" s="3266" t="s">
        <v>2542</v>
      </c>
      <c r="AO5" s="3266" t="s">
        <v>2543</v>
      </c>
      <c r="AP5" s="3267" t="s">
        <v>2544</v>
      </c>
      <c r="AQ5" s="3268" t="s">
        <v>2545</v>
      </c>
      <c r="AR5" s="908"/>
      <c r="AS5" s="3254" t="s">
        <v>2546</v>
      </c>
      <c r="AT5" s="909" t="e">
        <f>SUM(AT8:AT230)</f>
        <v>#REF!</v>
      </c>
      <c r="AU5" s="908" t="e">
        <f>AT5=AT3</f>
        <v>#REF!</v>
      </c>
      <c r="AV5" s="908"/>
      <c r="AW5" s="909">
        <f>SUM(AW8:AW230)</f>
        <v>11043669.120000003</v>
      </c>
      <c r="AX5" s="908"/>
      <c r="AY5" s="908"/>
      <c r="AZ5" s="3256" t="s">
        <v>2547</v>
      </c>
      <c r="BF5" s="908"/>
    </row>
    <row r="6" spans="1:58" ht="25.5" customHeight="1">
      <c r="B6" s="3269"/>
      <c r="C6" s="3281"/>
      <c r="D6" s="3283"/>
      <c r="E6" s="3283"/>
      <c r="F6" s="1125" t="s">
        <v>2551</v>
      </c>
      <c r="G6" s="1125" t="s">
        <v>2552</v>
      </c>
      <c r="H6" s="3269"/>
      <c r="I6" s="3269"/>
      <c r="J6" s="3269"/>
      <c r="K6" s="1125" t="s">
        <v>2553</v>
      </c>
      <c r="L6" s="1125" t="s">
        <v>2554</v>
      </c>
      <c r="M6" s="3269"/>
      <c r="N6" s="3269"/>
      <c r="O6" s="3269"/>
      <c r="P6" s="1125" t="s">
        <v>2555</v>
      </c>
      <c r="Q6" s="3269"/>
      <c r="R6" s="3269"/>
      <c r="S6" s="3269"/>
      <c r="T6" s="3271"/>
      <c r="U6" s="3273"/>
      <c r="V6" s="614"/>
      <c r="W6" s="614"/>
      <c r="X6" s="3274"/>
      <c r="Y6" s="3275"/>
      <c r="Z6" s="905"/>
      <c r="AA6" s="906"/>
      <c r="AB6" s="1126" t="s">
        <v>2556</v>
      </c>
      <c r="AC6" s="1126" t="s">
        <v>2557</v>
      </c>
      <c r="AD6" s="1126" t="s">
        <v>2558</v>
      </c>
      <c r="AE6" s="1126" t="s">
        <v>2559</v>
      </c>
      <c r="AF6" s="3262"/>
      <c r="AG6" s="3262"/>
      <c r="AH6" s="1126" t="s">
        <v>2556</v>
      </c>
      <c r="AI6" s="1126" t="s">
        <v>2557</v>
      </c>
      <c r="AJ6" s="1126" t="s">
        <v>2558</v>
      </c>
      <c r="AK6" s="1126" t="s">
        <v>2559</v>
      </c>
      <c r="AL6" s="907"/>
      <c r="AM6" s="908"/>
      <c r="AN6" s="3266"/>
      <c r="AO6" s="3266"/>
      <c r="AP6" s="3267"/>
      <c r="AQ6" s="3269"/>
      <c r="AR6" s="908"/>
      <c r="AS6" s="3255"/>
      <c r="AT6" s="910"/>
      <c r="AU6" s="908"/>
      <c r="AV6" s="908"/>
      <c r="AW6" s="908"/>
      <c r="AX6" s="908"/>
      <c r="AY6" s="908"/>
      <c r="AZ6" s="3256"/>
      <c r="BF6" s="908"/>
    </row>
    <row r="7" spans="1:58">
      <c r="B7" s="1127">
        <v>1</v>
      </c>
      <c r="C7" s="1128">
        <v>2</v>
      </c>
      <c r="D7" s="1128"/>
      <c r="E7" s="1128"/>
      <c r="F7" s="1127">
        <v>3</v>
      </c>
      <c r="G7" s="1127">
        <v>4</v>
      </c>
      <c r="H7" s="1127">
        <v>5</v>
      </c>
      <c r="I7" s="1127">
        <v>6</v>
      </c>
      <c r="J7" s="1127">
        <v>7</v>
      </c>
      <c r="K7" s="1127">
        <v>8</v>
      </c>
      <c r="L7" s="1127"/>
      <c r="M7" s="1127">
        <v>9</v>
      </c>
      <c r="N7" s="900">
        <v>10</v>
      </c>
      <c r="O7" s="1127">
        <v>11</v>
      </c>
      <c r="P7" s="1127">
        <v>5</v>
      </c>
      <c r="Q7" s="1127">
        <v>6</v>
      </c>
      <c r="R7" s="1127">
        <v>7</v>
      </c>
      <c r="S7" s="1129">
        <v>8</v>
      </c>
      <c r="T7" s="1130">
        <v>9</v>
      </c>
      <c r="U7" s="614"/>
      <c r="V7" s="614"/>
      <c r="W7" s="614"/>
      <c r="AN7" s="911"/>
      <c r="AO7" s="911"/>
      <c r="AP7" s="911"/>
    </row>
    <row r="8" spans="1:58" ht="18.75">
      <c r="B8" s="1131" t="s">
        <v>3</v>
      </c>
      <c r="C8" s="3257" t="s">
        <v>2560</v>
      </c>
      <c r="D8" s="3258"/>
      <c r="E8" s="3258"/>
      <c r="F8" s="3258"/>
      <c r="G8" s="3258"/>
      <c r="H8" s="3258"/>
      <c r="I8" s="3258"/>
      <c r="J8" s="3258"/>
      <c r="K8" s="3258"/>
      <c r="L8" s="3258"/>
      <c r="M8" s="3258"/>
      <c r="N8" s="3258"/>
      <c r="O8" s="3258"/>
      <c r="P8" s="3258"/>
      <c r="Q8" s="3258"/>
      <c r="R8" s="3258"/>
      <c r="S8" s="3258"/>
      <c r="T8" s="3259"/>
      <c r="U8" s="912"/>
      <c r="V8" s="912"/>
      <c r="W8" s="912"/>
      <c r="AB8" s="1132"/>
      <c r="AC8" s="913"/>
      <c r="AD8" s="1133"/>
      <c r="AE8" s="914"/>
      <c r="AF8" s="1134"/>
      <c r="AG8" s="1134"/>
      <c r="AH8" s="1132"/>
      <c r="AI8" s="913"/>
      <c r="AJ8" s="1133"/>
      <c r="AK8" s="1134"/>
    </row>
    <row r="9" spans="1:58" ht="18.75">
      <c r="B9" s="1135" t="s">
        <v>4</v>
      </c>
      <c r="C9" s="1136" t="s">
        <v>2561</v>
      </c>
      <c r="D9" s="1137"/>
      <c r="E9" s="1137"/>
      <c r="F9" s="1138">
        <f>SUM(F10,F21)</f>
        <v>5.4520000000000008</v>
      </c>
      <c r="G9" s="1139">
        <f t="shared" ref="G9:P9" si="0">SUM(G10,G21)</f>
        <v>1661.13</v>
      </c>
      <c r="H9" s="1139">
        <f t="shared" si="0"/>
        <v>4836.26</v>
      </c>
      <c r="I9" s="1139">
        <f t="shared" si="0"/>
        <v>0</v>
      </c>
      <c r="J9" s="1139">
        <f t="shared" si="0"/>
        <v>0</v>
      </c>
      <c r="K9" s="1139">
        <f t="shared" si="0"/>
        <v>1106161.01</v>
      </c>
      <c r="L9" s="1139">
        <f t="shared" si="0"/>
        <v>0</v>
      </c>
      <c r="M9" s="1139">
        <f t="shared" si="0"/>
        <v>0</v>
      </c>
      <c r="N9" s="1139">
        <f t="shared" si="0"/>
        <v>0</v>
      </c>
      <c r="O9" s="1139" t="e">
        <f t="shared" si="0"/>
        <v>#REF!</v>
      </c>
      <c r="P9" s="1139">
        <f t="shared" si="0"/>
        <v>4116442.4499999997</v>
      </c>
      <c r="Q9" s="1137"/>
      <c r="R9" s="1137"/>
      <c r="S9" s="1137"/>
      <c r="T9" s="1140"/>
      <c r="U9" s="915"/>
      <c r="V9" s="915"/>
      <c r="W9" s="915"/>
      <c r="AB9" s="916"/>
      <c r="AC9" s="917"/>
      <c r="AD9" s="918"/>
      <c r="AE9" s="914"/>
      <c r="AF9" s="914"/>
      <c r="AG9" s="914"/>
      <c r="AH9" s="916"/>
      <c r="AI9" s="917"/>
      <c r="AJ9" s="918"/>
      <c r="AK9" s="914"/>
      <c r="AS9" s="919"/>
      <c r="BC9" s="625" t="str">
        <f>C9</f>
        <v>ВЛ-0,4 до 15 кВт (льгота)</v>
      </c>
      <c r="BD9" s="76"/>
    </row>
    <row r="10" spans="1:58" s="120" customFormat="1" ht="15.75" customHeight="1">
      <c r="B10" s="1141" t="s">
        <v>2562</v>
      </c>
      <c r="C10" s="1142" t="str">
        <f>"Всего по "&amp;T10&amp;" ("&amp;$C$9&amp;"):"</f>
        <v>Всего по Г.Н.П. (ВЛ-0,4 до 15 кВт (льгота)):</v>
      </c>
      <c r="D10" s="1143"/>
      <c r="E10" s="1143"/>
      <c r="F10" s="1144">
        <f t="shared" ref="F10:P10" si="1">SUM(F11,F18)</f>
        <v>0.49</v>
      </c>
      <c r="G10" s="1145">
        <f t="shared" si="1"/>
        <v>24</v>
      </c>
      <c r="H10" s="1145">
        <f t="shared" si="1"/>
        <v>0</v>
      </c>
      <c r="I10" s="1145">
        <f t="shared" si="1"/>
        <v>0</v>
      </c>
      <c r="J10" s="1145">
        <f t="shared" si="1"/>
        <v>0</v>
      </c>
      <c r="K10" s="1145">
        <f t="shared" si="1"/>
        <v>9744.33</v>
      </c>
      <c r="L10" s="1145">
        <f t="shared" si="1"/>
        <v>0</v>
      </c>
      <c r="M10" s="1145">
        <f t="shared" si="1"/>
        <v>0</v>
      </c>
      <c r="N10" s="1145">
        <f t="shared" si="1"/>
        <v>0</v>
      </c>
      <c r="O10" s="1145" t="e">
        <f t="shared" si="1"/>
        <v>#REF!</v>
      </c>
      <c r="P10" s="1145">
        <f t="shared" si="1"/>
        <v>256412.82</v>
      </c>
      <c r="Q10" s="1146"/>
      <c r="R10" s="1146"/>
      <c r="S10" s="1146"/>
      <c r="T10" s="1146" t="s">
        <v>2956</v>
      </c>
      <c r="U10" s="128"/>
      <c r="V10" s="129"/>
      <c r="W10" s="630"/>
      <c r="X10" s="631"/>
      <c r="Y10" s="632"/>
      <c r="Z10" s="633"/>
      <c r="AA10" s="128"/>
      <c r="AB10" s="634"/>
      <c r="AC10" s="635"/>
      <c r="AD10" s="636"/>
      <c r="AE10" s="637"/>
      <c r="AF10" s="638"/>
      <c r="AG10" s="639"/>
      <c r="AH10" s="640"/>
      <c r="AI10" s="641"/>
      <c r="AJ10" s="642"/>
      <c r="AK10" s="638"/>
      <c r="AN10" s="643"/>
      <c r="AT10" s="126"/>
      <c r="AU10" s="644"/>
    </row>
    <row r="11" spans="1:58" s="120" customFormat="1" ht="30">
      <c r="B11" s="1147" t="s">
        <v>2563</v>
      </c>
      <c r="C11" s="1148" t="str">
        <f>"Всего по "&amp;T10&amp;" "&amp;T11&amp;" ("&amp;$C$9&amp;"):"</f>
        <v>Всего по Г.Н.П. Изолир. алюм. до 50 мм (ВЛ-0,4 до 15 кВт (льгота)):</v>
      </c>
      <c r="D11" s="1148"/>
      <c r="E11" s="1148"/>
      <c r="F11" s="1149">
        <f>SUM(F12:F17)</f>
        <v>0.49</v>
      </c>
      <c r="G11" s="1150">
        <f t="shared" ref="G11:P11" si="2">SUM(G12:G17)</f>
        <v>24</v>
      </c>
      <c r="H11" s="1150">
        <f t="shared" si="2"/>
        <v>0</v>
      </c>
      <c r="I11" s="1150">
        <f t="shared" si="2"/>
        <v>0</v>
      </c>
      <c r="J11" s="1150">
        <f t="shared" si="2"/>
        <v>0</v>
      </c>
      <c r="K11" s="1150">
        <f t="shared" si="2"/>
        <v>9744.33</v>
      </c>
      <c r="L11" s="1150">
        <f t="shared" si="2"/>
        <v>0</v>
      </c>
      <c r="M11" s="1150">
        <f t="shared" si="2"/>
        <v>0</v>
      </c>
      <c r="N11" s="1150">
        <f t="shared" si="2"/>
        <v>0</v>
      </c>
      <c r="O11" s="1150" t="e">
        <f t="shared" si="2"/>
        <v>#REF!</v>
      </c>
      <c r="P11" s="1150">
        <f t="shared" si="2"/>
        <v>256412.82</v>
      </c>
      <c r="Q11" s="1151"/>
      <c r="R11" s="1151"/>
      <c r="S11" s="1151"/>
      <c r="T11" s="1151" t="s">
        <v>2962</v>
      </c>
      <c r="U11" s="128"/>
      <c r="V11" s="129"/>
      <c r="W11" s="630"/>
      <c r="X11" s="631"/>
      <c r="Y11" s="632"/>
      <c r="Z11" s="633"/>
      <c r="AA11" s="128"/>
      <c r="AB11" s="634"/>
      <c r="AC11" s="635"/>
      <c r="AD11" s="636"/>
      <c r="AE11" s="637"/>
      <c r="AF11" s="638"/>
      <c r="AG11" s="639"/>
      <c r="AH11" s="640"/>
      <c r="AI11" s="641"/>
      <c r="AJ11" s="642"/>
      <c r="AK11" s="638"/>
      <c r="AN11" s="643"/>
      <c r="AT11" s="126"/>
      <c r="AU11" s="644"/>
      <c r="BC11" s="120" t="str">
        <f>[24]Прил.1!$F$13</f>
        <v>до 50 вкл.</v>
      </c>
      <c r="BD11" s="368" t="str">
        <f>CONCATENATE($BC$1,"; ",$BC$3,"; ",$BD$1,"; ",$BD$3,"; ",BC11)</f>
        <v>0,4 кВ; Г.Н.П.; изолированный; алюминевый; до 50 вкл.</v>
      </c>
    </row>
    <row r="12" spans="1:58" ht="33.75" outlineLevel="1">
      <c r="A12" s="891">
        <f>IF(C12="","",1)</f>
        <v>1</v>
      </c>
      <c r="B12" s="1152">
        <v>1</v>
      </c>
      <c r="C12" s="921" t="s">
        <v>3228</v>
      </c>
      <c r="D12" s="922" t="str">
        <f>IF(AF12=0,"",AF12)</f>
        <v>3кв 2016</v>
      </c>
      <c r="E12" s="923">
        <v>0.4</v>
      </c>
      <c r="F12" s="924">
        <v>0.08</v>
      </c>
      <c r="G12" s="925">
        <v>2</v>
      </c>
      <c r="H12" s="926"/>
      <c r="I12" s="926"/>
      <c r="J12" s="926"/>
      <c r="K12" s="926"/>
      <c r="L12" s="926"/>
      <c r="M12" s="926"/>
      <c r="N12" s="926"/>
      <c r="O12" s="926">
        <f>30198.7</f>
        <v>30198.7</v>
      </c>
      <c r="P12" s="927">
        <v>30198.7</v>
      </c>
      <c r="Q12" s="928"/>
      <c r="R12" s="929" t="s">
        <v>2564</v>
      </c>
      <c r="S12" s="930" t="s">
        <v>3229</v>
      </c>
      <c r="T12" s="931" t="s">
        <v>2565</v>
      </c>
      <c r="U12" s="602" t="s">
        <v>2946</v>
      </c>
      <c r="V12" s="932"/>
      <c r="W12" s="932" t="s">
        <v>2965</v>
      </c>
      <c r="X12" s="602" t="s">
        <v>2951</v>
      </c>
      <c r="Y12" s="933" t="str">
        <f>IF(X12="","",$C$9)</f>
        <v>ВЛ-0,4 до 15 кВт (льгота)</v>
      </c>
      <c r="Z12" s="933" t="e">
        <f>IF(X12="","",CONCATENATE(Y12,"-",X12,"; ",#REF!))</f>
        <v>#REF!</v>
      </c>
      <c r="AA12" s="934"/>
      <c r="AB12" s="935">
        <f>O12</f>
        <v>30198.7</v>
      </c>
      <c r="AC12" s="936">
        <f>(I12+H12)</f>
        <v>0</v>
      </c>
      <c r="AD12" s="937">
        <f>K12</f>
        <v>0</v>
      </c>
      <c r="AE12" s="938">
        <f>AB12+AC12+AD12</f>
        <v>30198.7</v>
      </c>
      <c r="AF12" s="939" t="s">
        <v>3230</v>
      </c>
      <c r="AG12" s="940">
        <f>IF($AF12="1кв 2016",3.9,IF($AF12="2кв 2016",3.9,IF($AF12="3кв 2016",3.96,IF($AF12="4кв 2016",4.02,"не совпадает"))))</f>
        <v>3.96</v>
      </c>
      <c r="AH12" s="941">
        <f t="shared" ref="AH12:AJ16" si="3">IF(ISERROR(AB12/$AG12),"",AB12/$AG12)</f>
        <v>7625.9343434343436</v>
      </c>
      <c r="AI12" s="942">
        <f t="shared" si="3"/>
        <v>0</v>
      </c>
      <c r="AJ12" s="943">
        <f t="shared" si="3"/>
        <v>0</v>
      </c>
      <c r="AK12" s="938">
        <f>SUM(AH12,AI12,AJ12)</f>
        <v>7625.9343434343436</v>
      </c>
      <c r="AO12" s="896">
        <v>1</v>
      </c>
      <c r="AP12" s="896">
        <v>23</v>
      </c>
      <c r="AR12" s="896" t="str">
        <f>IF(B12="","",IF(P12=SUM(H12,I12,K12,O12),"ИСТИНА",P12-SUM(H12,I12,K12,O12)))</f>
        <v>ИСТИНА</v>
      </c>
      <c r="AS12" s="919" t="s">
        <v>3231</v>
      </c>
      <c r="AT12" s="899">
        <f>IF(AS12="","",VLOOKUP($AS12,[25]прил5МУ!N$25:O$84,2,FALSE)*1000)</f>
        <v>30198.7</v>
      </c>
      <c r="AU12" s="896" t="str">
        <f>IF(P12=AT12,"ИСТИНА",P12-AT12)</f>
        <v>ИСТИНА</v>
      </c>
      <c r="AW12" s="896">
        <f>IF(AS12="","",P12)</f>
        <v>30198.7</v>
      </c>
      <c r="AX12" s="896" t="b">
        <f>AT12=AW12</f>
        <v>1</v>
      </c>
    </row>
    <row r="13" spans="1:58" ht="33.75" outlineLevel="1">
      <c r="A13" s="891">
        <f>IF(C13="","",1)</f>
        <v>1</v>
      </c>
      <c r="B13" s="1152">
        <v>2</v>
      </c>
      <c r="C13" s="921" t="s">
        <v>3232</v>
      </c>
      <c r="D13" s="922" t="str">
        <f>IF(AF13=0,"",AF13)</f>
        <v>2кв 2016</v>
      </c>
      <c r="E13" s="923">
        <v>0.4</v>
      </c>
      <c r="F13" s="1153">
        <v>0.03</v>
      </c>
      <c r="G13" s="925">
        <v>5</v>
      </c>
      <c r="H13" s="926"/>
      <c r="I13" s="926"/>
      <c r="J13" s="926"/>
      <c r="K13" s="926">
        <f>4836.26</f>
        <v>4836.26</v>
      </c>
      <c r="L13" s="926"/>
      <c r="M13" s="926"/>
      <c r="N13" s="926"/>
      <c r="O13" s="926">
        <f>16759.9</f>
        <v>16759.900000000001</v>
      </c>
      <c r="P13" s="927">
        <f>21596.16</f>
        <v>21596.16</v>
      </c>
      <c r="Q13" s="928"/>
      <c r="R13" s="929" t="s">
        <v>2564</v>
      </c>
      <c r="S13" s="930" t="s">
        <v>3233</v>
      </c>
      <c r="T13" s="931" t="s">
        <v>2565</v>
      </c>
      <c r="U13" s="602" t="s">
        <v>2946</v>
      </c>
      <c r="V13" s="932"/>
      <c r="W13" s="932" t="s">
        <v>2965</v>
      </c>
      <c r="X13" s="602" t="s">
        <v>2951</v>
      </c>
      <c r="Y13" s="933" t="str">
        <f>IF(X13="","",$C$9)</f>
        <v>ВЛ-0,4 до 15 кВт (льгота)</v>
      </c>
      <c r="Z13" s="933" t="e">
        <f>IF(X13="","",CONCATENATE(Y13,"-",X13,"; ",#REF!))</f>
        <v>#REF!</v>
      </c>
      <c r="AA13" s="934"/>
      <c r="AB13" s="935">
        <f>O13</f>
        <v>16759.900000000001</v>
      </c>
      <c r="AC13" s="936">
        <f>(I13+H13)</f>
        <v>0</v>
      </c>
      <c r="AD13" s="937">
        <f>K13</f>
        <v>4836.26</v>
      </c>
      <c r="AE13" s="938">
        <f>AB13+AC13+AD13</f>
        <v>21596.160000000003</v>
      </c>
      <c r="AF13" s="939" t="s">
        <v>3234</v>
      </c>
      <c r="AG13" s="940">
        <f>IF($AF13="1кв 2016",3.9,IF($AF13="2кв 2016",3.9,IF($AF13="3кв 2016",3.96,IF($AF13="4кв 2016",4.02,"не совпадает"))))</f>
        <v>3.9</v>
      </c>
      <c r="AH13" s="941">
        <f t="shared" si="3"/>
        <v>4297.4102564102568</v>
      </c>
      <c r="AI13" s="942">
        <f t="shared" si="3"/>
        <v>0</v>
      </c>
      <c r="AJ13" s="943">
        <f t="shared" si="3"/>
        <v>1240.0666666666668</v>
      </c>
      <c r="AK13" s="938">
        <f>SUM(AH13,AI13,AJ13)</f>
        <v>5537.4769230769234</v>
      </c>
      <c r="AO13" s="896">
        <v>1</v>
      </c>
      <c r="AP13" s="896">
        <v>8</v>
      </c>
      <c r="AR13" s="896" t="str">
        <f>IF(B13="","",IF(P13=SUM(H13,I13,K13,O13),"ИСТИНА",P13-SUM(H13,I13,K13,O13)))</f>
        <v>ИСТИНА</v>
      </c>
      <c r="AS13" s="919" t="s">
        <v>3235</v>
      </c>
      <c r="AT13" s="899">
        <f>IF(AS13="","",VLOOKUP($AS13,[25]прил5МУ!N$25:O$84,2,FALSE)*1000)</f>
        <v>21596.16</v>
      </c>
      <c r="AU13" s="896" t="str">
        <f>IF(P13=AT13,"ИСТИНА",P13-AT13)</f>
        <v>ИСТИНА</v>
      </c>
      <c r="AW13" s="896">
        <f>IF(AS13="","",P13)</f>
        <v>21596.16</v>
      </c>
      <c r="AX13" s="896" t="b">
        <f>AT13=AW13</f>
        <v>1</v>
      </c>
    </row>
    <row r="14" spans="1:58" ht="33.75" outlineLevel="1">
      <c r="A14" s="891">
        <f>IF(C14="","",1)</f>
        <v>1</v>
      </c>
      <c r="B14" s="1152">
        <v>3</v>
      </c>
      <c r="C14" s="945" t="s">
        <v>3236</v>
      </c>
      <c r="D14" s="922" t="str">
        <f>IF(AF14=0,"",AF14)</f>
        <v>3кв 2016</v>
      </c>
      <c r="E14" s="923">
        <v>0.4</v>
      </c>
      <c r="F14" s="1153">
        <v>0.08</v>
      </c>
      <c r="G14" s="1154">
        <v>7</v>
      </c>
      <c r="H14" s="1155"/>
      <c r="I14" s="1155"/>
      <c r="J14" s="1155"/>
      <c r="K14" s="1155"/>
      <c r="L14" s="1155"/>
      <c r="M14" s="1155"/>
      <c r="N14" s="1155"/>
      <c r="O14" s="1155" t="e">
        <f>#REF!</f>
        <v>#REF!</v>
      </c>
      <c r="P14" s="1156">
        <v>33573.919999999998</v>
      </c>
      <c r="Q14" s="928"/>
      <c r="R14" s="929" t="s">
        <v>2564</v>
      </c>
      <c r="S14" s="930" t="s">
        <v>3237</v>
      </c>
      <c r="T14" s="931" t="s">
        <v>2566</v>
      </c>
      <c r="U14" s="602" t="s">
        <v>2946</v>
      </c>
      <c r="V14" s="932"/>
      <c r="W14" s="932" t="s">
        <v>2965</v>
      </c>
      <c r="X14" s="602" t="s">
        <v>2951</v>
      </c>
      <c r="Y14" s="933" t="str">
        <f>IF(X14="","",$C$9)</f>
        <v>ВЛ-0,4 до 15 кВт (льгота)</v>
      </c>
      <c r="Z14" s="933" t="e">
        <f>IF(X14="","",CONCATENATE(Y14,"-",X14,"; ",#REF!))</f>
        <v>#REF!</v>
      </c>
      <c r="AA14" s="934"/>
      <c r="AB14" s="935" t="e">
        <f>O14</f>
        <v>#REF!</v>
      </c>
      <c r="AC14" s="936">
        <f>(I14+H14)</f>
        <v>0</v>
      </c>
      <c r="AD14" s="937">
        <f>K14</f>
        <v>0</v>
      </c>
      <c r="AE14" s="938" t="e">
        <f>AB14+AC14+AD14</f>
        <v>#REF!</v>
      </c>
      <c r="AF14" s="939" t="s">
        <v>3230</v>
      </c>
      <c r="AG14" s="940">
        <f>IF($AF14="1кв 2016",3.9,IF($AF14="2кв 2016",3.9,IF($AF14="3кв 2016",3.96,IF($AF14="4кв 2016",4.02,"не совпадает"))))</f>
        <v>3.96</v>
      </c>
      <c r="AH14" s="941" t="str">
        <f t="shared" si="3"/>
        <v/>
      </c>
      <c r="AI14" s="942">
        <f t="shared" si="3"/>
        <v>0</v>
      </c>
      <c r="AJ14" s="943">
        <f t="shared" si="3"/>
        <v>0</v>
      </c>
      <c r="AK14" s="938">
        <f>SUM(AH14,AI14,AJ14)</f>
        <v>0</v>
      </c>
      <c r="AO14" s="896">
        <v>1</v>
      </c>
      <c r="AP14" s="949">
        <v>24</v>
      </c>
      <c r="AQ14" s="950" t="str">
        <f>"24 / 1"</f>
        <v>24 / 1</v>
      </c>
      <c r="AR14" s="896" t="e">
        <f>IF(B14="","",IF(P14=SUM(H14,I14,K14,O14),"ИСТИНА",P14-SUM(H14,I14,K14,O14)))</f>
        <v>#REF!</v>
      </c>
      <c r="AS14" s="951" t="s">
        <v>3238</v>
      </c>
      <c r="AT14" s="899" t="e">
        <f>IF(AS14="","",VLOOKUP($AS14,[25]прил5МУ!N$25:O$84,2,FALSE)*1000)*#REF!</f>
        <v>#REF!</v>
      </c>
      <c r="AU14" s="896" t="e">
        <f>IF(P14=AT14,"ИСТИНА",P14-AT14)</f>
        <v>#REF!</v>
      </c>
      <c r="AW14" s="896">
        <f>IF(AS14="","",P14)</f>
        <v>33573.919999999998</v>
      </c>
      <c r="AX14" s="896" t="e">
        <f>AT14=AW14</f>
        <v>#REF!</v>
      </c>
    </row>
    <row r="15" spans="1:58" ht="33.75" outlineLevel="1">
      <c r="A15" s="891">
        <f>IF(C15="","",1)</f>
        <v>1</v>
      </c>
      <c r="B15" s="944"/>
      <c r="C15" s="945" t="s">
        <v>3236</v>
      </c>
      <c r="D15" s="922" t="str">
        <f>IF(AF15=0,"",AF15)</f>
        <v>3кв 2016</v>
      </c>
      <c r="E15" s="923">
        <v>0.4</v>
      </c>
      <c r="F15" s="924"/>
      <c r="G15" s="946"/>
      <c r="H15" s="926"/>
      <c r="I15" s="926"/>
      <c r="J15" s="926"/>
      <c r="K15" s="926"/>
      <c r="L15" s="926"/>
      <c r="M15" s="926"/>
      <c r="N15" s="926"/>
      <c r="O15" s="947" t="e">
        <f>#REF!</f>
        <v>#REF!</v>
      </c>
      <c r="P15" s="948"/>
      <c r="Q15" s="928"/>
      <c r="R15" s="929" t="s">
        <v>2564</v>
      </c>
      <c r="S15" s="930" t="s">
        <v>3237</v>
      </c>
      <c r="T15" s="931" t="s">
        <v>2568</v>
      </c>
      <c r="U15" s="602" t="s">
        <v>2946</v>
      </c>
      <c r="V15" s="932"/>
      <c r="W15" s="932" t="s">
        <v>2965</v>
      </c>
      <c r="X15" s="602" t="s">
        <v>2951</v>
      </c>
      <c r="Y15" s="933" t="str">
        <f>IF(X15="","",$C$9)</f>
        <v>ВЛ-0,4 до 15 кВт (льгота)</v>
      </c>
      <c r="Z15" s="933" t="e">
        <f>IF(X15="","",CONCATENATE(Y15,"-",X15,"; ",#REF!))</f>
        <v>#REF!</v>
      </c>
      <c r="AA15" s="934"/>
      <c r="AB15" s="935" t="e">
        <f>O15</f>
        <v>#REF!</v>
      </c>
      <c r="AC15" s="936">
        <f>(I15+H15)</f>
        <v>0</v>
      </c>
      <c r="AD15" s="937">
        <f>K15</f>
        <v>0</v>
      </c>
      <c r="AE15" s="938" t="e">
        <f>AB15+AC15+AD15</f>
        <v>#REF!</v>
      </c>
      <c r="AF15" s="939" t="s">
        <v>3230</v>
      </c>
      <c r="AG15" s="940">
        <f>IF($AF15="1кв 2016",3.9,IF($AF15="2кв 2016",3.9,IF($AF15="3кв 2016",3.96,IF($AF15="4кв 2016",4.02,"не совпадает"))))</f>
        <v>3.96</v>
      </c>
      <c r="AH15" s="941" t="str">
        <f t="shared" si="3"/>
        <v/>
      </c>
      <c r="AI15" s="942">
        <f t="shared" si="3"/>
        <v>0</v>
      </c>
      <c r="AJ15" s="943">
        <f t="shared" si="3"/>
        <v>0</v>
      </c>
      <c r="AK15" s="938">
        <f>SUM(AH15,AI15,AJ15)</f>
        <v>0</v>
      </c>
      <c r="AO15" s="896">
        <v>1</v>
      </c>
      <c r="AP15" s="949">
        <v>24</v>
      </c>
      <c r="AQ15" s="950" t="str">
        <f>"24 / 2"</f>
        <v>24 / 2</v>
      </c>
      <c r="AR15" s="896" t="str">
        <f>IF(B15="","",IF(P15=SUM(H15,I15,K15,O15),"ИСТИНА",P15-SUM(H15,I15,K15,O15)))</f>
        <v/>
      </c>
      <c r="AS15" s="951" t="s">
        <v>3238</v>
      </c>
      <c r="AT15" s="899" t="e">
        <f>IF(AS15="","",VLOOKUP($AS15,[25]прил5МУ!N$25:O$84,2,FALSE)*1000)*#REF!</f>
        <v>#REF!</v>
      </c>
      <c r="AU15" s="896" t="e">
        <f>IF(P15=AT15,"ИСТИНА",P15-AT15)</f>
        <v>#REF!</v>
      </c>
      <c r="AW15" s="896">
        <f>IF(AS15="","",P15)</f>
        <v>0</v>
      </c>
      <c r="AX15" s="896" t="e">
        <f>AT15=AW15</f>
        <v>#REF!</v>
      </c>
      <c r="AY15" s="896">
        <v>1</v>
      </c>
      <c r="AZ15" s="952" t="e">
        <f>#REF!</f>
        <v>#REF!</v>
      </c>
    </row>
    <row r="16" spans="1:58" ht="33.75" outlineLevel="1">
      <c r="A16" s="891">
        <f>IF(C16="","",1)</f>
        <v>1</v>
      </c>
      <c r="B16" s="1152">
        <v>4</v>
      </c>
      <c r="C16" s="921" t="s">
        <v>3239</v>
      </c>
      <c r="D16" s="922" t="str">
        <f>IF(AF16=0,"",AF16)</f>
        <v>1кв 2016</v>
      </c>
      <c r="E16" s="923">
        <v>0.4</v>
      </c>
      <c r="F16" s="924">
        <v>0.3</v>
      </c>
      <c r="G16" s="925">
        <v>10</v>
      </c>
      <c r="H16" s="926"/>
      <c r="I16" s="926"/>
      <c r="J16" s="926"/>
      <c r="K16" s="926">
        <f>4908.07</f>
        <v>4908.07</v>
      </c>
      <c r="L16" s="926"/>
      <c r="M16" s="926"/>
      <c r="N16" s="926"/>
      <c r="O16" s="926">
        <f>166135.97</f>
        <v>166135.97</v>
      </c>
      <c r="P16" s="927">
        <f>171044.04</f>
        <v>171044.04</v>
      </c>
      <c r="Q16" s="928"/>
      <c r="R16" s="929" t="s">
        <v>2564</v>
      </c>
      <c r="S16" s="930" t="s">
        <v>3240</v>
      </c>
      <c r="T16" s="931" t="s">
        <v>2997</v>
      </c>
      <c r="U16" s="602" t="s">
        <v>2946</v>
      </c>
      <c r="V16" s="932"/>
      <c r="W16" s="932" t="s">
        <v>2965</v>
      </c>
      <c r="X16" s="602" t="s">
        <v>2951</v>
      </c>
      <c r="Y16" s="933" t="str">
        <f>IF(X16="","",$C$9)</f>
        <v>ВЛ-0,4 до 15 кВт (льгота)</v>
      </c>
      <c r="Z16" s="933" t="e">
        <f>IF(X16="","",CONCATENATE(Y16,"-",X16,"; ",#REF!))</f>
        <v>#REF!</v>
      </c>
      <c r="AA16" s="934"/>
      <c r="AB16" s="935">
        <f>O16</f>
        <v>166135.97</v>
      </c>
      <c r="AC16" s="936">
        <f>(I16+H16)</f>
        <v>0</v>
      </c>
      <c r="AD16" s="937">
        <f>K16</f>
        <v>4908.07</v>
      </c>
      <c r="AE16" s="938">
        <f>AB16+AC16+AD16</f>
        <v>171044.04</v>
      </c>
      <c r="AF16" s="939" t="s">
        <v>3241</v>
      </c>
      <c r="AG16" s="940">
        <f>IF($AF16="1кв 2016",3.9,IF($AF16="2кв 2016",3.9,IF($AF16="3кв 2016",3.96,IF($AF16="4кв 2016",4.02,"не совпадает"))))</f>
        <v>3.9</v>
      </c>
      <c r="AH16" s="941">
        <f t="shared" si="3"/>
        <v>42598.966666666667</v>
      </c>
      <c r="AI16" s="942">
        <f t="shared" si="3"/>
        <v>0</v>
      </c>
      <c r="AJ16" s="943">
        <f t="shared" si="3"/>
        <v>1258.479487179487</v>
      </c>
      <c r="AK16" s="938">
        <f>SUM(AH16,AI16,AJ16)</f>
        <v>43857.446153846155</v>
      </c>
      <c r="AO16" s="896">
        <v>1</v>
      </c>
      <c r="AP16" s="896">
        <v>2</v>
      </c>
      <c r="AR16" s="896" t="str">
        <f>IF(B16="","",IF(P16=SUM(H16,I16,K16,O16),"ИСТИНА",P16-SUM(H16,I16,K16,O16)))</f>
        <v>ИСТИНА</v>
      </c>
      <c r="AS16" s="919" t="s">
        <v>3242</v>
      </c>
      <c r="AT16" s="899">
        <f>IF(AS16="","",VLOOKUP($AS16,[25]прил5МУ!N$25:O$84,2,FALSE)*1000)</f>
        <v>171044.04</v>
      </c>
      <c r="AU16" s="896" t="str">
        <f>IF(P16=AT16,"ИСТИНА",P16-AT16)</f>
        <v>ИСТИНА</v>
      </c>
      <c r="AW16" s="896">
        <f>IF(AS16="","",P16)</f>
        <v>171044.04</v>
      </c>
      <c r="AX16" s="896" t="b">
        <f>AT16=AW16</f>
        <v>1</v>
      </c>
    </row>
    <row r="17" spans="1:58" s="600" customFormat="1" ht="15.75" outlineLevel="1">
      <c r="B17" s="647"/>
      <c r="C17" s="648"/>
      <c r="D17" s="649"/>
      <c r="E17" s="650"/>
      <c r="F17" s="651"/>
      <c r="G17" s="652"/>
      <c r="H17" s="653"/>
      <c r="I17" s="653"/>
      <c r="J17" s="653"/>
      <c r="K17" s="653"/>
      <c r="L17" s="653"/>
      <c r="M17" s="653"/>
      <c r="N17" s="653"/>
      <c r="O17" s="653"/>
      <c r="P17" s="654"/>
      <c r="Q17" s="655"/>
      <c r="R17" s="656"/>
      <c r="S17" s="657"/>
      <c r="T17" s="658"/>
      <c r="U17" s="602"/>
      <c r="V17" s="602"/>
      <c r="W17" s="602"/>
      <c r="X17" s="602"/>
      <c r="Y17" s="582"/>
      <c r="Z17" s="582"/>
      <c r="AA17" s="582"/>
      <c r="AB17" s="659"/>
      <c r="AC17" s="660"/>
      <c r="AD17" s="661"/>
      <c r="AE17" s="662"/>
      <c r="AF17" s="662"/>
      <c r="AG17" s="663"/>
      <c r="AH17" s="664"/>
      <c r="AI17" s="665"/>
      <c r="AJ17" s="666"/>
      <c r="AK17" s="667"/>
      <c r="BF17" s="668"/>
    </row>
    <row r="18" spans="1:58" s="120" customFormat="1" ht="30">
      <c r="B18" s="675" t="s">
        <v>2570</v>
      </c>
      <c r="C18" s="1148" t="str">
        <f>"Всего по "&amp;T10&amp;" "&amp;T18&amp;" ("&amp;$C$9&amp;"):"</f>
        <v>Всего по Г.Н.П. Изолир. алюм. 50-100 мм (ВЛ-0,4 до 15 кВт (льгота)):</v>
      </c>
      <c r="D18" s="1148"/>
      <c r="E18" s="1148"/>
      <c r="F18" s="1149">
        <f>SUM(F19:F20)</f>
        <v>0</v>
      </c>
      <c r="G18" s="1150">
        <f t="shared" ref="G18:P18" si="4">SUM(G19:G20)</f>
        <v>0</v>
      </c>
      <c r="H18" s="1150">
        <f t="shared" si="4"/>
        <v>0</v>
      </c>
      <c r="I18" s="1150">
        <f t="shared" si="4"/>
        <v>0</v>
      </c>
      <c r="J18" s="1150">
        <f>SUM(J19:J20)</f>
        <v>0</v>
      </c>
      <c r="K18" s="1150">
        <f t="shared" si="4"/>
        <v>0</v>
      </c>
      <c r="L18" s="1150">
        <f t="shared" si="4"/>
        <v>0</v>
      </c>
      <c r="M18" s="1150">
        <f t="shared" si="4"/>
        <v>0</v>
      </c>
      <c r="N18" s="1150">
        <f t="shared" si="4"/>
        <v>0</v>
      </c>
      <c r="O18" s="1150">
        <f t="shared" si="4"/>
        <v>0</v>
      </c>
      <c r="P18" s="1150">
        <f t="shared" si="4"/>
        <v>0</v>
      </c>
      <c r="Q18" s="1151"/>
      <c r="R18" s="1151"/>
      <c r="S18" s="1151"/>
      <c r="T18" s="1151" t="s">
        <v>3005</v>
      </c>
      <c r="U18" s="128"/>
      <c r="V18" s="129"/>
      <c r="W18" s="630"/>
      <c r="X18" s="631"/>
      <c r="Y18" s="632"/>
      <c r="Z18" s="633"/>
      <c r="AA18" s="128"/>
      <c r="AB18" s="634"/>
      <c r="AC18" s="635"/>
      <c r="AD18" s="636"/>
      <c r="AE18" s="637"/>
      <c r="AF18" s="638"/>
      <c r="AG18" s="639"/>
      <c r="AH18" s="640"/>
      <c r="AI18" s="641"/>
      <c r="AJ18" s="642"/>
      <c r="AK18" s="638"/>
      <c r="AN18" s="643"/>
      <c r="AT18" s="126"/>
      <c r="AU18" s="644"/>
      <c r="BC18" s="120" t="str">
        <f>[24]Прил.1!$F$14</f>
        <v>50 - 100</v>
      </c>
      <c r="BD18" s="368" t="str">
        <f>CONCATENATE($BC$1,"; ",$BC$3,"; ",$BD$1,"; ",$BD$3,"; ",BC18)</f>
        <v>0,4 кВ; Г.Н.П.; изолированный; алюминевый; 50 - 100</v>
      </c>
    </row>
    <row r="19" spans="1:58" s="76" customFormat="1" ht="15.75" outlineLevel="1">
      <c r="B19" s="676"/>
      <c r="C19" s="677"/>
      <c r="D19" s="678"/>
      <c r="E19" s="679"/>
      <c r="F19" s="680"/>
      <c r="G19" s="681"/>
      <c r="H19" s="517"/>
      <c r="I19" s="517"/>
      <c r="J19" s="517"/>
      <c r="K19" s="517"/>
      <c r="L19" s="517"/>
      <c r="M19" s="517"/>
      <c r="N19" s="517"/>
      <c r="O19" s="517"/>
      <c r="P19" s="682"/>
      <c r="Q19" s="683"/>
      <c r="R19" s="684"/>
      <c r="S19" s="685"/>
      <c r="T19" s="686"/>
      <c r="U19" s="168"/>
      <c r="V19" s="168"/>
      <c r="W19" s="168"/>
      <c r="X19" s="168"/>
      <c r="Y19" s="128"/>
      <c r="Z19" s="128"/>
      <c r="AA19" s="128"/>
      <c r="AB19" s="640"/>
      <c r="AC19" s="641"/>
      <c r="AD19" s="642"/>
      <c r="AE19" s="685"/>
      <c r="AF19" s="685"/>
      <c r="AG19" s="687"/>
      <c r="AH19" s="688"/>
      <c r="AI19" s="689"/>
      <c r="AJ19" s="690"/>
      <c r="AK19" s="691"/>
    </row>
    <row r="20" spans="1:58" s="76" customFormat="1" ht="15.75" outlineLevel="1">
      <c r="B20" s="179"/>
      <c r="C20" s="693"/>
      <c r="D20" s="694"/>
      <c r="E20" s="695"/>
      <c r="F20" s="696"/>
      <c r="G20" s="697"/>
      <c r="H20" s="247"/>
      <c r="I20" s="247"/>
      <c r="J20" s="698"/>
      <c r="K20" s="247"/>
      <c r="L20" s="699"/>
      <c r="M20" s="698"/>
      <c r="N20" s="698"/>
      <c r="O20" s="247"/>
      <c r="P20" s="700"/>
      <c r="Q20" s="185"/>
      <c r="R20" s="186"/>
      <c r="S20" s="297"/>
      <c r="T20" s="188"/>
      <c r="U20" s="168"/>
      <c r="V20" s="168"/>
      <c r="W20" s="168"/>
      <c r="X20" s="168"/>
      <c r="Y20" s="128"/>
      <c r="Z20" s="128"/>
      <c r="AA20" s="128"/>
      <c r="AB20" s="640"/>
      <c r="AC20" s="641"/>
      <c r="AD20" s="642"/>
      <c r="AE20" s="685"/>
      <c r="AF20" s="685"/>
      <c r="AG20" s="639"/>
      <c r="AH20" s="701"/>
      <c r="AI20" s="702"/>
      <c r="AJ20" s="703"/>
      <c r="AK20" s="704"/>
    </row>
    <row r="21" spans="1:58" s="120" customFormat="1" ht="15.75" customHeight="1">
      <c r="B21" s="1141" t="s">
        <v>2576</v>
      </c>
      <c r="C21" s="1142" t="str">
        <f>"Всего по "&amp;T21&amp;" ("&amp;$C$9&amp;"):"</f>
        <v>Всего по Вне Г.Н.П. (ВЛ-0,4 до 15 кВт (льгота)):</v>
      </c>
      <c r="D21" s="1143"/>
      <c r="E21" s="1143"/>
      <c r="F21" s="1144">
        <f>SUM(F22,F45,F49)</f>
        <v>4.9620000000000006</v>
      </c>
      <c r="G21" s="1145">
        <f t="shared" ref="G21:P21" si="5">SUM(G22,G45,G49)</f>
        <v>1637.13</v>
      </c>
      <c r="H21" s="1145">
        <f t="shared" si="5"/>
        <v>4836.26</v>
      </c>
      <c r="I21" s="1145">
        <f t="shared" si="5"/>
        <v>0</v>
      </c>
      <c r="J21" s="1145">
        <f t="shared" si="5"/>
        <v>0</v>
      </c>
      <c r="K21" s="1145">
        <f t="shared" si="5"/>
        <v>1096416.68</v>
      </c>
      <c r="L21" s="1145">
        <f t="shared" si="5"/>
        <v>0</v>
      </c>
      <c r="M21" s="1145">
        <f t="shared" si="5"/>
        <v>0</v>
      </c>
      <c r="N21" s="1145">
        <f t="shared" si="5"/>
        <v>0</v>
      </c>
      <c r="O21" s="1145">
        <f t="shared" si="5"/>
        <v>2758776.69</v>
      </c>
      <c r="P21" s="1145">
        <f t="shared" si="5"/>
        <v>3860029.63</v>
      </c>
      <c r="Q21" s="1146"/>
      <c r="R21" s="1146"/>
      <c r="S21" s="1146"/>
      <c r="T21" s="1146" t="s">
        <v>2958</v>
      </c>
      <c r="U21" s="128"/>
      <c r="V21" s="129"/>
      <c r="W21" s="630"/>
      <c r="X21" s="631"/>
      <c r="Y21" s="632"/>
      <c r="Z21" s="633"/>
      <c r="AA21" s="128"/>
      <c r="AB21" s="634"/>
      <c r="AC21" s="635"/>
      <c r="AD21" s="636"/>
      <c r="AE21" s="637"/>
      <c r="AF21" s="638"/>
      <c r="AG21" s="639"/>
      <c r="AH21" s="640"/>
      <c r="AI21" s="641"/>
      <c r="AJ21" s="642"/>
      <c r="AK21" s="638"/>
      <c r="AN21" s="643"/>
      <c r="AT21" s="126"/>
      <c r="AU21" s="644"/>
    </row>
    <row r="22" spans="1:58" s="120" customFormat="1" ht="30">
      <c r="B22" s="1147" t="s">
        <v>2578</v>
      </c>
      <c r="C22" s="1148" t="str">
        <f>"Всего по "&amp;T21&amp;" "&amp;T22&amp;" ("&amp;$C$9&amp;"):"</f>
        <v>Всего по Вне Г.Н.П. Изолир. алюм. до 50 мм (ВЛ-0,4 до 15 кВт (льгота)):</v>
      </c>
      <c r="D22" s="1148"/>
      <c r="E22" s="1148"/>
      <c r="F22" s="1149">
        <f>SUM(F23:F44)</f>
        <v>1.5100000000000005</v>
      </c>
      <c r="G22" s="1150">
        <f t="shared" ref="G22:P22" si="6">SUM(G23:G44)</f>
        <v>149.13000000000002</v>
      </c>
      <c r="H22" s="1150">
        <f t="shared" si="6"/>
        <v>4836.26</v>
      </c>
      <c r="I22" s="1150">
        <f t="shared" si="6"/>
        <v>0</v>
      </c>
      <c r="J22" s="1150">
        <f t="shared" si="6"/>
        <v>0</v>
      </c>
      <c r="K22" s="1150">
        <f t="shared" si="6"/>
        <v>63799.3</v>
      </c>
      <c r="L22" s="1150">
        <f t="shared" si="6"/>
        <v>0</v>
      </c>
      <c r="M22" s="1150">
        <f t="shared" si="6"/>
        <v>0</v>
      </c>
      <c r="N22" s="1150">
        <f t="shared" si="6"/>
        <v>0</v>
      </c>
      <c r="O22" s="1150">
        <f t="shared" si="6"/>
        <v>807534.22999999986</v>
      </c>
      <c r="P22" s="1150">
        <f t="shared" si="6"/>
        <v>876169.78999999992</v>
      </c>
      <c r="Q22" s="1151"/>
      <c r="R22" s="1151"/>
      <c r="S22" s="1151"/>
      <c r="T22" s="1151" t="s">
        <v>2962</v>
      </c>
      <c r="U22" s="128"/>
      <c r="V22" s="129"/>
      <c r="W22" s="630"/>
      <c r="X22" s="631"/>
      <c r="Y22" s="632"/>
      <c r="Z22" s="633"/>
      <c r="AA22" s="128"/>
      <c r="AB22" s="634"/>
      <c r="AC22" s="635"/>
      <c r="AD22" s="636"/>
      <c r="AE22" s="637"/>
      <c r="AF22" s="638"/>
      <c r="AG22" s="639"/>
      <c r="AH22" s="640"/>
      <c r="AI22" s="641"/>
      <c r="AJ22" s="642"/>
      <c r="AK22" s="638"/>
      <c r="AN22" s="643"/>
      <c r="AT22" s="126"/>
      <c r="AU22" s="644"/>
      <c r="BC22" s="120" t="str">
        <f>[24]Прил.1!$F$13</f>
        <v>до 50 вкл.</v>
      </c>
      <c r="BD22" s="368" t="str">
        <f>CONCATENATE($BC$1,"; ",$BC$4,"; ",$BD$1,"; ",$BD$3,"; ",BC22)</f>
        <v>0,4 кВ; Вне Г.Н.П.; изолированный; алюминевый; до 50 вкл.</v>
      </c>
    </row>
    <row r="23" spans="1:58" ht="33.75" outlineLevel="1">
      <c r="A23" s="891">
        <f t="shared" ref="A23:A43" si="7">IF(C23="","",1)</f>
        <v>1</v>
      </c>
      <c r="B23" s="1152">
        <v>5</v>
      </c>
      <c r="C23" s="921" t="s">
        <v>3243</v>
      </c>
      <c r="D23" s="922" t="str">
        <f t="shared" ref="D23:D42" si="8">IF(AF23=0,"",AF23)</f>
        <v>3кв 2016</v>
      </c>
      <c r="E23" s="923">
        <v>0.4</v>
      </c>
      <c r="F23" s="924">
        <v>3.5000000000000003E-2</v>
      </c>
      <c r="G23" s="925">
        <v>5</v>
      </c>
      <c r="H23" s="926"/>
      <c r="I23" s="926"/>
      <c r="J23" s="926"/>
      <c r="K23" s="926"/>
      <c r="L23" s="926"/>
      <c r="M23" s="926"/>
      <c r="N23" s="926"/>
      <c r="O23" s="926">
        <v>33999.79</v>
      </c>
      <c r="P23" s="1157">
        <v>33999.79</v>
      </c>
      <c r="Q23" s="928"/>
      <c r="R23" s="929" t="s">
        <v>2564</v>
      </c>
      <c r="S23" s="954" t="s">
        <v>3244</v>
      </c>
      <c r="T23" s="931" t="s">
        <v>2565</v>
      </c>
      <c r="U23" s="602" t="s">
        <v>2946</v>
      </c>
      <c r="V23" s="932"/>
      <c r="W23" s="932" t="s">
        <v>3008</v>
      </c>
      <c r="X23" s="602" t="s">
        <v>2947</v>
      </c>
      <c r="Y23" s="955" t="str">
        <f t="shared" ref="Y23:Y43" si="9">IF(X23="","",$C$9)</f>
        <v>ВЛ-0,4 до 15 кВт (льгота)</v>
      </c>
      <c r="Z23" s="955" t="e">
        <f>IF(X23="","",CONCATENATE(Y23,"-",X23,"; ",#REF!))</f>
        <v>#REF!</v>
      </c>
      <c r="AA23" s="934"/>
      <c r="AB23" s="935">
        <f t="shared" ref="AB23:AB43" si="10">O23</f>
        <v>33999.79</v>
      </c>
      <c r="AC23" s="936">
        <f t="shared" ref="AC23:AC43" si="11">(I23+H23)</f>
        <v>0</v>
      </c>
      <c r="AD23" s="937">
        <f t="shared" ref="AD23:AD43" si="12">K23</f>
        <v>0</v>
      </c>
      <c r="AE23" s="938">
        <f t="shared" ref="AE23:AE43" si="13">AB23+AC23+AD23</f>
        <v>33999.79</v>
      </c>
      <c r="AF23" s="939" t="s">
        <v>3230</v>
      </c>
      <c r="AG23" s="940">
        <f t="shared" ref="AG23:AG43" si="14">IF($AF23="1кв 2016",3.9,IF($AF23="2кв 2016",3.9,IF($AF23="3кв 2016",3.96,IF($AF23="4кв 2016",4.02,"не совпадает"))))</f>
        <v>3.96</v>
      </c>
      <c r="AH23" s="941">
        <f t="shared" ref="AH23:AJ43" si="15">IF(ISERROR(AB23/$AG23),"",AB23/$AG23)</f>
        <v>8585.8055555555566</v>
      </c>
      <c r="AI23" s="942">
        <f t="shared" si="15"/>
        <v>0</v>
      </c>
      <c r="AJ23" s="943">
        <f t="shared" si="15"/>
        <v>0</v>
      </c>
      <c r="AK23" s="938">
        <f t="shared" ref="AK23:AK43" si="16">SUM(AH23,AI23,AJ23)</f>
        <v>8585.8055555555566</v>
      </c>
      <c r="AO23" s="896">
        <v>1</v>
      </c>
      <c r="AP23" s="896">
        <v>10</v>
      </c>
      <c r="AR23" s="896" t="str">
        <f t="shared" ref="AR23:AR43" si="17">IF(B23="","",IF(P23=SUM(H23,I23,K23,O23),"ИСТИНА",P23-SUM(H23,I23,K23,O23)))</f>
        <v>ИСТИНА</v>
      </c>
      <c r="AS23" s="919" t="s">
        <v>3245</v>
      </c>
      <c r="AT23" s="899">
        <f>IF(AS23="","",VLOOKUP($AS23,[25]прил5МУ!N$25:O$84,2,FALSE)*1000)</f>
        <v>33999.79</v>
      </c>
      <c r="AU23" s="896" t="str">
        <f t="shared" ref="AU23:AU43" si="18">IF(P23=AT23,"ИСТИНА",P23-AT23)</f>
        <v>ИСТИНА</v>
      </c>
      <c r="AW23" s="896">
        <f t="shared" ref="AW23:AW43" si="19">IF(AS23="","",P23)</f>
        <v>33999.79</v>
      </c>
      <c r="AX23" s="896" t="b">
        <f t="shared" ref="AX23:AX43" si="20">AT23=AW23</f>
        <v>1</v>
      </c>
    </row>
    <row r="24" spans="1:58" ht="33.75" outlineLevel="1">
      <c r="A24" s="891">
        <f t="shared" si="7"/>
        <v>1</v>
      </c>
      <c r="B24" s="1152">
        <v>6</v>
      </c>
      <c r="C24" s="921" t="s">
        <v>3246</v>
      </c>
      <c r="D24" s="922" t="str">
        <f t="shared" si="8"/>
        <v>3кв 2016</v>
      </c>
      <c r="E24" s="923">
        <v>0.4</v>
      </c>
      <c r="F24" s="924">
        <v>0.03</v>
      </c>
      <c r="G24" s="925">
        <v>5</v>
      </c>
      <c r="H24" s="926"/>
      <c r="I24" s="926"/>
      <c r="J24" s="926"/>
      <c r="K24" s="926"/>
      <c r="L24" s="926"/>
      <c r="M24" s="926"/>
      <c r="N24" s="926"/>
      <c r="O24" s="926">
        <f>21081.19</f>
        <v>21081.19</v>
      </c>
      <c r="P24" s="927">
        <v>21081.19</v>
      </c>
      <c r="Q24" s="928"/>
      <c r="R24" s="929" t="s">
        <v>2564</v>
      </c>
      <c r="S24" s="954" t="s">
        <v>3247</v>
      </c>
      <c r="T24" s="931" t="s">
        <v>2565</v>
      </c>
      <c r="U24" s="602" t="s">
        <v>2946</v>
      </c>
      <c r="V24" s="932"/>
      <c r="W24" s="932" t="s">
        <v>3008</v>
      </c>
      <c r="X24" s="602" t="s">
        <v>2947</v>
      </c>
      <c r="Y24" s="933" t="str">
        <f t="shared" si="9"/>
        <v>ВЛ-0,4 до 15 кВт (льгота)</v>
      </c>
      <c r="Z24" s="933" t="e">
        <f>IF(X24="","",CONCATENATE(Y24,"-",X24,"; ",#REF!))</f>
        <v>#REF!</v>
      </c>
      <c r="AA24" s="934"/>
      <c r="AB24" s="935">
        <f t="shared" si="10"/>
        <v>21081.19</v>
      </c>
      <c r="AC24" s="936">
        <f t="shared" si="11"/>
        <v>0</v>
      </c>
      <c r="AD24" s="937">
        <f t="shared" si="12"/>
        <v>0</v>
      </c>
      <c r="AE24" s="938">
        <f t="shared" si="13"/>
        <v>21081.19</v>
      </c>
      <c r="AF24" s="939" t="s">
        <v>3230</v>
      </c>
      <c r="AG24" s="940">
        <f t="shared" si="14"/>
        <v>3.96</v>
      </c>
      <c r="AH24" s="941">
        <f t="shared" si="15"/>
        <v>5323.5328282828277</v>
      </c>
      <c r="AI24" s="942">
        <f t="shared" si="15"/>
        <v>0</v>
      </c>
      <c r="AJ24" s="943">
        <f t="shared" si="15"/>
        <v>0</v>
      </c>
      <c r="AK24" s="938">
        <f t="shared" si="16"/>
        <v>5323.5328282828277</v>
      </c>
      <c r="AO24" s="896">
        <v>1</v>
      </c>
      <c r="AP24" s="896">
        <v>13</v>
      </c>
      <c r="AR24" s="896" t="str">
        <f t="shared" si="17"/>
        <v>ИСТИНА</v>
      </c>
      <c r="AS24" s="919" t="s">
        <v>3248</v>
      </c>
      <c r="AT24" s="899">
        <f>IF(AS24="","",VLOOKUP($AS24,[25]прил5МУ!N$25:O$84,2,FALSE)*1000)</f>
        <v>21081.19</v>
      </c>
      <c r="AU24" s="896" t="str">
        <f t="shared" si="18"/>
        <v>ИСТИНА</v>
      </c>
      <c r="AW24" s="896">
        <f t="shared" si="19"/>
        <v>21081.19</v>
      </c>
      <c r="AX24" s="896" t="b">
        <f t="shared" si="20"/>
        <v>1</v>
      </c>
    </row>
    <row r="25" spans="1:58" ht="33.75" outlineLevel="1">
      <c r="A25" s="891">
        <f t="shared" si="7"/>
        <v>1</v>
      </c>
      <c r="B25" s="1152">
        <v>7</v>
      </c>
      <c r="C25" s="921" t="s">
        <v>3249</v>
      </c>
      <c r="D25" s="922" t="str">
        <f t="shared" si="8"/>
        <v>1кв 2016</v>
      </c>
      <c r="E25" s="923">
        <v>0.4</v>
      </c>
      <c r="F25" s="924">
        <v>0.03</v>
      </c>
      <c r="G25" s="925">
        <v>5</v>
      </c>
      <c r="H25" s="926"/>
      <c r="I25" s="926"/>
      <c r="J25" s="926"/>
      <c r="K25" s="926">
        <f>4836.26</f>
        <v>4836.26</v>
      </c>
      <c r="L25" s="926"/>
      <c r="M25" s="926"/>
      <c r="N25" s="926"/>
      <c r="O25" s="926">
        <f>13698.54</f>
        <v>13698.54</v>
      </c>
      <c r="P25" s="927">
        <f>18534.8</f>
        <v>18534.8</v>
      </c>
      <c r="Q25" s="928"/>
      <c r="R25" s="929" t="s">
        <v>2564</v>
      </c>
      <c r="S25" s="954" t="s">
        <v>3250</v>
      </c>
      <c r="T25" s="931" t="s">
        <v>2565</v>
      </c>
      <c r="U25" s="602" t="s">
        <v>2946</v>
      </c>
      <c r="V25" s="932"/>
      <c r="W25" s="932" t="s">
        <v>3008</v>
      </c>
      <c r="X25" s="602" t="s">
        <v>2947</v>
      </c>
      <c r="Y25" s="933" t="str">
        <f t="shared" si="9"/>
        <v>ВЛ-0,4 до 15 кВт (льгота)</v>
      </c>
      <c r="Z25" s="933" t="e">
        <f>IF(X25="","",CONCATENATE(Y25,"-",X25,"; ",#REF!))</f>
        <v>#REF!</v>
      </c>
      <c r="AA25" s="934"/>
      <c r="AB25" s="935">
        <f t="shared" si="10"/>
        <v>13698.54</v>
      </c>
      <c r="AC25" s="936">
        <f t="shared" si="11"/>
        <v>0</v>
      </c>
      <c r="AD25" s="937">
        <f t="shared" si="12"/>
        <v>4836.26</v>
      </c>
      <c r="AE25" s="938">
        <f t="shared" si="13"/>
        <v>18534.800000000003</v>
      </c>
      <c r="AF25" s="939" t="s">
        <v>3241</v>
      </c>
      <c r="AG25" s="940">
        <f t="shared" si="14"/>
        <v>3.9</v>
      </c>
      <c r="AH25" s="941">
        <f t="shared" si="15"/>
        <v>3512.4461538461542</v>
      </c>
      <c r="AI25" s="942">
        <f t="shared" si="15"/>
        <v>0</v>
      </c>
      <c r="AJ25" s="943">
        <f t="shared" si="15"/>
        <v>1240.0666666666668</v>
      </c>
      <c r="AK25" s="938">
        <f t="shared" si="16"/>
        <v>4752.5128205128212</v>
      </c>
      <c r="AO25" s="896">
        <v>1</v>
      </c>
      <c r="AP25" s="896">
        <v>4</v>
      </c>
      <c r="AR25" s="896" t="str">
        <f t="shared" si="17"/>
        <v>ИСТИНА</v>
      </c>
      <c r="AS25" s="919" t="s">
        <v>3251</v>
      </c>
      <c r="AT25" s="899">
        <f>IF(AS25="","",VLOOKUP($AS25,[25]прил5МУ!N$25:O$84,2,FALSE)*1000)</f>
        <v>18534.8</v>
      </c>
      <c r="AU25" s="896" t="str">
        <f t="shared" si="18"/>
        <v>ИСТИНА</v>
      </c>
      <c r="AW25" s="896">
        <f t="shared" si="19"/>
        <v>18534.8</v>
      </c>
      <c r="AX25" s="896" t="b">
        <f t="shared" si="20"/>
        <v>1</v>
      </c>
    </row>
    <row r="26" spans="1:58" ht="33.75" outlineLevel="1">
      <c r="A26" s="891">
        <f t="shared" si="7"/>
        <v>1</v>
      </c>
      <c r="B26" s="1152">
        <v>8</v>
      </c>
      <c r="C26" s="921" t="s">
        <v>3252</v>
      </c>
      <c r="D26" s="922" t="str">
        <f t="shared" si="8"/>
        <v>3кв 2016</v>
      </c>
      <c r="E26" s="923">
        <v>0.4</v>
      </c>
      <c r="F26" s="924">
        <v>0.23</v>
      </c>
      <c r="G26" s="925">
        <v>8</v>
      </c>
      <c r="H26" s="926"/>
      <c r="I26" s="926"/>
      <c r="J26" s="926"/>
      <c r="K26" s="926"/>
      <c r="L26" s="926"/>
      <c r="M26" s="926"/>
      <c r="N26" s="926"/>
      <c r="O26" s="926">
        <f>79183.56</f>
        <v>79183.56</v>
      </c>
      <c r="P26" s="927">
        <v>79183.56</v>
      </c>
      <c r="Q26" s="928"/>
      <c r="R26" s="929" t="s">
        <v>2564</v>
      </c>
      <c r="S26" s="954" t="s">
        <v>3253</v>
      </c>
      <c r="T26" s="931" t="s">
        <v>2565</v>
      </c>
      <c r="U26" s="602" t="s">
        <v>2946</v>
      </c>
      <c r="V26" s="932"/>
      <c r="W26" s="932" t="s">
        <v>3008</v>
      </c>
      <c r="X26" s="602" t="s">
        <v>2947</v>
      </c>
      <c r="Y26" s="933" t="str">
        <f t="shared" si="9"/>
        <v>ВЛ-0,4 до 15 кВт (льгота)</v>
      </c>
      <c r="Z26" s="933" t="e">
        <f>IF(X26="","",CONCATENATE(Y26,"-",X26,"; ",#REF!))</f>
        <v>#REF!</v>
      </c>
      <c r="AA26" s="934"/>
      <c r="AB26" s="935">
        <f t="shared" si="10"/>
        <v>79183.56</v>
      </c>
      <c r="AC26" s="936">
        <f t="shared" si="11"/>
        <v>0</v>
      </c>
      <c r="AD26" s="937">
        <f t="shared" si="12"/>
        <v>0</v>
      </c>
      <c r="AE26" s="938">
        <f t="shared" si="13"/>
        <v>79183.56</v>
      </c>
      <c r="AF26" s="939" t="s">
        <v>3230</v>
      </c>
      <c r="AG26" s="940">
        <f t="shared" si="14"/>
        <v>3.96</v>
      </c>
      <c r="AH26" s="941">
        <f t="shared" si="15"/>
        <v>19995.848484848484</v>
      </c>
      <c r="AI26" s="942">
        <f t="shared" si="15"/>
        <v>0</v>
      </c>
      <c r="AJ26" s="943">
        <f t="shared" si="15"/>
        <v>0</v>
      </c>
      <c r="AK26" s="938">
        <f t="shared" si="16"/>
        <v>19995.848484848484</v>
      </c>
      <c r="AO26" s="896">
        <v>1</v>
      </c>
      <c r="AP26" s="896">
        <v>9</v>
      </c>
      <c r="AR26" s="896" t="str">
        <f t="shared" si="17"/>
        <v>ИСТИНА</v>
      </c>
      <c r="AS26" s="919" t="s">
        <v>3254</v>
      </c>
      <c r="AT26" s="899">
        <f>IF(AS26="","",VLOOKUP($AS26,[25]прил5МУ!N$25:O$84,2,FALSE)*1000)</f>
        <v>79183.56</v>
      </c>
      <c r="AU26" s="896" t="str">
        <f t="shared" si="18"/>
        <v>ИСТИНА</v>
      </c>
      <c r="AW26" s="896">
        <f t="shared" si="19"/>
        <v>79183.56</v>
      </c>
      <c r="AX26" s="896" t="b">
        <f t="shared" si="20"/>
        <v>1</v>
      </c>
    </row>
    <row r="27" spans="1:58" ht="33.75" outlineLevel="1">
      <c r="A27" s="891">
        <f t="shared" si="7"/>
        <v>1</v>
      </c>
      <c r="B27" s="1152">
        <v>9</v>
      </c>
      <c r="C27" s="921" t="s">
        <v>3255</v>
      </c>
      <c r="D27" s="922" t="str">
        <f t="shared" si="8"/>
        <v>4кв 2016</v>
      </c>
      <c r="E27" s="923">
        <v>0.4</v>
      </c>
      <c r="F27" s="1153">
        <v>0.08</v>
      </c>
      <c r="G27" s="1158">
        <v>15</v>
      </c>
      <c r="H27" s="1155"/>
      <c r="I27" s="1155"/>
      <c r="J27" s="1155"/>
      <c r="K27" s="1155"/>
      <c r="L27" s="1155"/>
      <c r="M27" s="1155"/>
      <c r="N27" s="1155"/>
      <c r="O27" s="1155">
        <f>55603.44</f>
        <v>55603.44</v>
      </c>
      <c r="P27" s="1159">
        <v>55603.44</v>
      </c>
      <c r="Q27" s="928"/>
      <c r="R27" s="929" t="s">
        <v>2564</v>
      </c>
      <c r="S27" s="930" t="s">
        <v>3256</v>
      </c>
      <c r="T27" s="931" t="s">
        <v>2565</v>
      </c>
      <c r="U27" s="602" t="s">
        <v>2946</v>
      </c>
      <c r="V27" s="932"/>
      <c r="W27" s="932" t="s">
        <v>3008</v>
      </c>
      <c r="X27" s="602" t="s">
        <v>2947</v>
      </c>
      <c r="Y27" s="933" t="str">
        <f t="shared" si="9"/>
        <v>ВЛ-0,4 до 15 кВт (льгота)</v>
      </c>
      <c r="Z27" s="933" t="e">
        <f>IF(X27="","",CONCATENATE(Y27,"-",X27,"; ",#REF!))</f>
        <v>#REF!</v>
      </c>
      <c r="AA27" s="934"/>
      <c r="AB27" s="935">
        <f t="shared" si="10"/>
        <v>55603.44</v>
      </c>
      <c r="AC27" s="936">
        <f t="shared" si="11"/>
        <v>0</v>
      </c>
      <c r="AD27" s="937">
        <f t="shared" si="12"/>
        <v>0</v>
      </c>
      <c r="AE27" s="938">
        <f t="shared" si="13"/>
        <v>55603.44</v>
      </c>
      <c r="AF27" s="939" t="s">
        <v>3257</v>
      </c>
      <c r="AG27" s="940">
        <f t="shared" si="14"/>
        <v>4.0199999999999996</v>
      </c>
      <c r="AH27" s="941">
        <f t="shared" si="15"/>
        <v>13831.701492537315</v>
      </c>
      <c r="AI27" s="942">
        <f t="shared" si="15"/>
        <v>0</v>
      </c>
      <c r="AJ27" s="943">
        <f t="shared" si="15"/>
        <v>0</v>
      </c>
      <c r="AK27" s="938">
        <f t="shared" si="16"/>
        <v>13831.701492537315</v>
      </c>
      <c r="AO27" s="896">
        <v>1</v>
      </c>
      <c r="AP27" s="896">
        <v>26</v>
      </c>
      <c r="AR27" s="896" t="str">
        <f t="shared" si="17"/>
        <v>ИСТИНА</v>
      </c>
      <c r="AS27" s="919" t="s">
        <v>3258</v>
      </c>
      <c r="AT27" s="899">
        <f>IF(AS27="","",VLOOKUP($AS27,[25]прил5МУ!N$25:O$84,2,FALSE)*1000)</f>
        <v>55603.44</v>
      </c>
      <c r="AU27" s="896" t="str">
        <f t="shared" si="18"/>
        <v>ИСТИНА</v>
      </c>
      <c r="AW27" s="896">
        <f t="shared" si="19"/>
        <v>55603.44</v>
      </c>
      <c r="AX27" s="896" t="b">
        <f t="shared" si="20"/>
        <v>1</v>
      </c>
    </row>
    <row r="28" spans="1:58" ht="33.75" outlineLevel="1">
      <c r="A28" s="891">
        <f t="shared" si="7"/>
        <v>1</v>
      </c>
      <c r="B28" s="1152">
        <v>10</v>
      </c>
      <c r="C28" s="921" t="s">
        <v>3259</v>
      </c>
      <c r="D28" s="922" t="str">
        <f t="shared" si="8"/>
        <v>4кв 2016</v>
      </c>
      <c r="E28" s="923">
        <v>0.4</v>
      </c>
      <c r="F28" s="924">
        <v>0.255</v>
      </c>
      <c r="G28" s="925">
        <v>3.6</v>
      </c>
      <c r="H28" s="926"/>
      <c r="I28" s="926"/>
      <c r="J28" s="926"/>
      <c r="K28" s="926">
        <f>54126.78</f>
        <v>54126.78</v>
      </c>
      <c r="L28" s="926"/>
      <c r="M28" s="926"/>
      <c r="N28" s="926"/>
      <c r="O28" s="926">
        <f>177371.53</f>
        <v>177371.53</v>
      </c>
      <c r="P28" s="927">
        <f>231498.31</f>
        <v>231498.31</v>
      </c>
      <c r="Q28" s="928"/>
      <c r="R28" s="929" t="s">
        <v>2564</v>
      </c>
      <c r="S28" s="930" t="s">
        <v>3260</v>
      </c>
      <c r="T28" s="931" t="s">
        <v>2565</v>
      </c>
      <c r="U28" s="602" t="s">
        <v>2946</v>
      </c>
      <c r="V28" s="932"/>
      <c r="W28" s="932" t="s">
        <v>3008</v>
      </c>
      <c r="X28" s="602" t="s">
        <v>2947</v>
      </c>
      <c r="Y28" s="933" t="str">
        <f t="shared" si="9"/>
        <v>ВЛ-0,4 до 15 кВт (льгота)</v>
      </c>
      <c r="Z28" s="933" t="e">
        <f>IF(X28="","",CONCATENATE(Y28,"-",X28,"; ",#REF!))</f>
        <v>#REF!</v>
      </c>
      <c r="AA28" s="934"/>
      <c r="AB28" s="935">
        <f t="shared" si="10"/>
        <v>177371.53</v>
      </c>
      <c r="AC28" s="936">
        <f t="shared" si="11"/>
        <v>0</v>
      </c>
      <c r="AD28" s="937">
        <f t="shared" si="12"/>
        <v>54126.78</v>
      </c>
      <c r="AE28" s="938">
        <f t="shared" si="13"/>
        <v>231498.31</v>
      </c>
      <c r="AF28" s="939" t="s">
        <v>3257</v>
      </c>
      <c r="AG28" s="940">
        <f t="shared" si="14"/>
        <v>4.0199999999999996</v>
      </c>
      <c r="AH28" s="941">
        <f t="shared" si="15"/>
        <v>44122.271144278609</v>
      </c>
      <c r="AI28" s="942">
        <f t="shared" si="15"/>
        <v>0</v>
      </c>
      <c r="AJ28" s="943">
        <f t="shared" si="15"/>
        <v>13464.37313432836</v>
      </c>
      <c r="AK28" s="938">
        <f t="shared" si="16"/>
        <v>57586.644278606967</v>
      </c>
      <c r="AO28" s="896">
        <v>1</v>
      </c>
      <c r="AP28" s="896">
        <v>35</v>
      </c>
      <c r="AR28" s="896" t="str">
        <f t="shared" si="17"/>
        <v>ИСТИНА</v>
      </c>
      <c r="AS28" s="919" t="s">
        <v>3261</v>
      </c>
      <c r="AT28" s="899">
        <f>IF(AS28="","",VLOOKUP($AS28,[25]прил5МУ!N$25:O$84,2,FALSE)*1000)</f>
        <v>231498.31</v>
      </c>
      <c r="AU28" s="896" t="str">
        <f t="shared" si="18"/>
        <v>ИСТИНА</v>
      </c>
      <c r="AW28" s="896">
        <f t="shared" si="19"/>
        <v>231498.31</v>
      </c>
      <c r="AX28" s="896" t="b">
        <f t="shared" si="20"/>
        <v>1</v>
      </c>
    </row>
    <row r="29" spans="1:58" ht="33.75" outlineLevel="1">
      <c r="A29" s="891">
        <f t="shared" si="7"/>
        <v>1</v>
      </c>
      <c r="B29" s="1152">
        <v>11</v>
      </c>
      <c r="C29" s="921" t="s">
        <v>3262</v>
      </c>
      <c r="D29" s="922" t="str">
        <f t="shared" si="8"/>
        <v>3кв 2016</v>
      </c>
      <c r="E29" s="923">
        <v>0.4</v>
      </c>
      <c r="F29" s="924">
        <v>0.11</v>
      </c>
      <c r="G29" s="925">
        <v>5</v>
      </c>
      <c r="H29" s="926"/>
      <c r="I29" s="926"/>
      <c r="J29" s="926"/>
      <c r="K29" s="926"/>
      <c r="L29" s="926"/>
      <c r="M29" s="926"/>
      <c r="N29" s="926"/>
      <c r="O29" s="926">
        <f>47974.16</f>
        <v>47974.16</v>
      </c>
      <c r="P29" s="927">
        <v>47974.16</v>
      </c>
      <c r="Q29" s="928"/>
      <c r="R29" s="929" t="s">
        <v>2564</v>
      </c>
      <c r="S29" s="930" t="s">
        <v>3263</v>
      </c>
      <c r="T29" s="931" t="s">
        <v>2565</v>
      </c>
      <c r="U29" s="602" t="s">
        <v>2946</v>
      </c>
      <c r="V29" s="932"/>
      <c r="W29" s="932" t="s">
        <v>3008</v>
      </c>
      <c r="X29" s="602" t="s">
        <v>2947</v>
      </c>
      <c r="Y29" s="933" t="str">
        <f t="shared" si="9"/>
        <v>ВЛ-0,4 до 15 кВт (льгота)</v>
      </c>
      <c r="Z29" s="933" t="e">
        <f>IF(X29="","",CONCATENATE(Y29,"-",X29,"; ",#REF!))</f>
        <v>#REF!</v>
      </c>
      <c r="AA29" s="934"/>
      <c r="AB29" s="935">
        <f t="shared" si="10"/>
        <v>47974.16</v>
      </c>
      <c r="AC29" s="936">
        <f t="shared" si="11"/>
        <v>0</v>
      </c>
      <c r="AD29" s="937">
        <f t="shared" si="12"/>
        <v>0</v>
      </c>
      <c r="AE29" s="938">
        <f t="shared" si="13"/>
        <v>47974.16</v>
      </c>
      <c r="AF29" s="939" t="s">
        <v>3230</v>
      </c>
      <c r="AG29" s="940">
        <f t="shared" si="14"/>
        <v>3.96</v>
      </c>
      <c r="AH29" s="941">
        <f t="shared" si="15"/>
        <v>12114.686868686869</v>
      </c>
      <c r="AI29" s="942">
        <f t="shared" si="15"/>
        <v>0</v>
      </c>
      <c r="AJ29" s="943">
        <f t="shared" si="15"/>
        <v>0</v>
      </c>
      <c r="AK29" s="938">
        <f t="shared" si="16"/>
        <v>12114.686868686869</v>
      </c>
      <c r="AO29" s="896">
        <v>1</v>
      </c>
      <c r="AP29" s="896">
        <v>12</v>
      </c>
      <c r="AR29" s="896" t="str">
        <f t="shared" si="17"/>
        <v>ИСТИНА</v>
      </c>
      <c r="AS29" s="919" t="s">
        <v>3264</v>
      </c>
      <c r="AT29" s="899">
        <f>IF(AS29="","",VLOOKUP($AS29,[25]прил5МУ!N$25:O$84,2,FALSE)*1000)</f>
        <v>47974.16</v>
      </c>
      <c r="AU29" s="896" t="str">
        <f t="shared" si="18"/>
        <v>ИСТИНА</v>
      </c>
      <c r="AW29" s="896">
        <f t="shared" si="19"/>
        <v>47974.16</v>
      </c>
      <c r="AX29" s="896" t="b">
        <f t="shared" si="20"/>
        <v>1</v>
      </c>
    </row>
    <row r="30" spans="1:58" ht="33.75" outlineLevel="1">
      <c r="A30" s="891">
        <f t="shared" si="7"/>
        <v>1</v>
      </c>
      <c r="B30" s="1152">
        <v>12</v>
      </c>
      <c r="C30" s="921" t="s">
        <v>3265</v>
      </c>
      <c r="D30" s="922" t="str">
        <f t="shared" si="8"/>
        <v>3кв 2016</v>
      </c>
      <c r="E30" s="923">
        <v>0.4</v>
      </c>
      <c r="F30" s="924">
        <v>0.03</v>
      </c>
      <c r="G30" s="925">
        <v>5</v>
      </c>
      <c r="H30" s="926"/>
      <c r="I30" s="926"/>
      <c r="J30" s="926"/>
      <c r="K30" s="926"/>
      <c r="L30" s="926"/>
      <c r="M30" s="926"/>
      <c r="N30" s="926"/>
      <c r="O30" s="926">
        <f>19494.12</f>
        <v>19494.12</v>
      </c>
      <c r="P30" s="927">
        <v>19494.12</v>
      </c>
      <c r="Q30" s="928"/>
      <c r="R30" s="929" t="s">
        <v>2564</v>
      </c>
      <c r="S30" s="930" t="s">
        <v>3266</v>
      </c>
      <c r="T30" s="931" t="s">
        <v>2565</v>
      </c>
      <c r="U30" s="602" t="s">
        <v>2946</v>
      </c>
      <c r="V30" s="932"/>
      <c r="W30" s="932" t="s">
        <v>3008</v>
      </c>
      <c r="X30" s="602" t="s">
        <v>2947</v>
      </c>
      <c r="Y30" s="933" t="str">
        <f t="shared" si="9"/>
        <v>ВЛ-0,4 до 15 кВт (льгота)</v>
      </c>
      <c r="Z30" s="933" t="e">
        <f>IF(X30="","",CONCATENATE(Y30,"-",X30,"; ",#REF!))</f>
        <v>#REF!</v>
      </c>
      <c r="AA30" s="934"/>
      <c r="AB30" s="935">
        <f t="shared" si="10"/>
        <v>19494.12</v>
      </c>
      <c r="AC30" s="936">
        <f t="shared" si="11"/>
        <v>0</v>
      </c>
      <c r="AD30" s="937">
        <f t="shared" si="12"/>
        <v>0</v>
      </c>
      <c r="AE30" s="938">
        <f t="shared" si="13"/>
        <v>19494.12</v>
      </c>
      <c r="AF30" s="939" t="s">
        <v>3230</v>
      </c>
      <c r="AG30" s="940">
        <f t="shared" si="14"/>
        <v>3.96</v>
      </c>
      <c r="AH30" s="941">
        <f t="shared" si="15"/>
        <v>4922.757575757576</v>
      </c>
      <c r="AI30" s="942">
        <f t="shared" si="15"/>
        <v>0</v>
      </c>
      <c r="AJ30" s="943">
        <f t="shared" si="15"/>
        <v>0</v>
      </c>
      <c r="AK30" s="938">
        <f t="shared" si="16"/>
        <v>4922.757575757576</v>
      </c>
      <c r="AO30" s="896">
        <v>1</v>
      </c>
      <c r="AP30" s="896">
        <v>11</v>
      </c>
      <c r="AR30" s="896" t="str">
        <f t="shared" si="17"/>
        <v>ИСТИНА</v>
      </c>
      <c r="AS30" s="919" t="s">
        <v>3267</v>
      </c>
      <c r="AT30" s="899">
        <f>IF(AS30="","",VLOOKUP($AS30,[25]прил5МУ!N$25:O$84,2,FALSE)*1000)</f>
        <v>19494.12</v>
      </c>
      <c r="AU30" s="896" t="str">
        <f t="shared" si="18"/>
        <v>ИСТИНА</v>
      </c>
      <c r="AW30" s="896">
        <f t="shared" si="19"/>
        <v>19494.12</v>
      </c>
      <c r="AX30" s="896" t="b">
        <f t="shared" si="20"/>
        <v>1</v>
      </c>
    </row>
    <row r="31" spans="1:58" ht="33.75" outlineLevel="1">
      <c r="A31" s="891">
        <f t="shared" si="7"/>
        <v>1</v>
      </c>
      <c r="B31" s="1152">
        <v>13</v>
      </c>
      <c r="C31" s="921" t="s">
        <v>3268</v>
      </c>
      <c r="D31" s="922" t="str">
        <f t="shared" si="8"/>
        <v>3кв 2016</v>
      </c>
      <c r="E31" s="923">
        <v>0.4</v>
      </c>
      <c r="F31" s="924">
        <v>0.04</v>
      </c>
      <c r="G31" s="925">
        <v>5</v>
      </c>
      <c r="H31" s="926"/>
      <c r="I31" s="926"/>
      <c r="J31" s="926"/>
      <c r="K31" s="926"/>
      <c r="L31" s="926"/>
      <c r="M31" s="926"/>
      <c r="N31" s="926"/>
      <c r="O31" s="926">
        <f>21331.62</f>
        <v>21331.62</v>
      </c>
      <c r="P31" s="927">
        <v>21331.62</v>
      </c>
      <c r="Q31" s="928"/>
      <c r="R31" s="929" t="s">
        <v>2564</v>
      </c>
      <c r="S31" s="930" t="s">
        <v>3269</v>
      </c>
      <c r="T31" s="931" t="s">
        <v>2565</v>
      </c>
      <c r="U31" s="602" t="s">
        <v>2946</v>
      </c>
      <c r="V31" s="932"/>
      <c r="W31" s="932" t="s">
        <v>3008</v>
      </c>
      <c r="X31" s="602" t="s">
        <v>2947</v>
      </c>
      <c r="Y31" s="933" t="str">
        <f t="shared" si="9"/>
        <v>ВЛ-0,4 до 15 кВт (льгота)</v>
      </c>
      <c r="Z31" s="933" t="e">
        <f>IF(X31="","",CONCATENATE(Y31,"-",X31,"; ",#REF!))</f>
        <v>#REF!</v>
      </c>
      <c r="AA31" s="934"/>
      <c r="AB31" s="935">
        <f t="shared" si="10"/>
        <v>21331.62</v>
      </c>
      <c r="AC31" s="936">
        <f t="shared" si="11"/>
        <v>0</v>
      </c>
      <c r="AD31" s="937">
        <f t="shared" si="12"/>
        <v>0</v>
      </c>
      <c r="AE31" s="938">
        <f t="shared" si="13"/>
        <v>21331.62</v>
      </c>
      <c r="AF31" s="939" t="s">
        <v>3230</v>
      </c>
      <c r="AG31" s="940">
        <f t="shared" si="14"/>
        <v>3.96</v>
      </c>
      <c r="AH31" s="941">
        <f t="shared" si="15"/>
        <v>5386.772727272727</v>
      </c>
      <c r="AI31" s="942">
        <f t="shared" si="15"/>
        <v>0</v>
      </c>
      <c r="AJ31" s="943">
        <f t="shared" si="15"/>
        <v>0</v>
      </c>
      <c r="AK31" s="938">
        <f t="shared" si="16"/>
        <v>5386.772727272727</v>
      </c>
      <c r="AO31" s="896">
        <v>1</v>
      </c>
      <c r="AP31" s="896">
        <v>14</v>
      </c>
      <c r="AR31" s="896" t="str">
        <f t="shared" si="17"/>
        <v>ИСТИНА</v>
      </c>
      <c r="AS31" s="919" t="s">
        <v>3270</v>
      </c>
      <c r="AT31" s="899">
        <f>IF(AS31="","",VLOOKUP($AS31,[25]прил5МУ!N$25:O$84,2,FALSE)*1000)</f>
        <v>21331.62</v>
      </c>
      <c r="AU31" s="896" t="str">
        <f t="shared" si="18"/>
        <v>ИСТИНА</v>
      </c>
      <c r="AW31" s="896">
        <f t="shared" si="19"/>
        <v>21331.62</v>
      </c>
      <c r="AX31" s="896" t="b">
        <f t="shared" si="20"/>
        <v>1</v>
      </c>
    </row>
    <row r="32" spans="1:58" ht="33.75" outlineLevel="1">
      <c r="A32" s="891">
        <f t="shared" si="7"/>
        <v>1</v>
      </c>
      <c r="B32" s="1152">
        <v>14</v>
      </c>
      <c r="C32" s="921" t="s">
        <v>3271</v>
      </c>
      <c r="D32" s="922" t="str">
        <f t="shared" si="8"/>
        <v>4кв 2016</v>
      </c>
      <c r="E32" s="923">
        <v>0.4</v>
      </c>
      <c r="F32" s="924">
        <v>0.02</v>
      </c>
      <c r="G32" s="925">
        <v>5</v>
      </c>
      <c r="H32" s="926"/>
      <c r="I32" s="926"/>
      <c r="J32" s="926"/>
      <c r="K32" s="926"/>
      <c r="L32" s="926"/>
      <c r="M32" s="926"/>
      <c r="N32" s="926"/>
      <c r="O32" s="926">
        <f>11926.15</f>
        <v>11926.15</v>
      </c>
      <c r="P32" s="927">
        <v>11926.15</v>
      </c>
      <c r="Q32" s="928"/>
      <c r="R32" s="929" t="s">
        <v>2564</v>
      </c>
      <c r="S32" s="954" t="s">
        <v>3272</v>
      </c>
      <c r="T32" s="931" t="s">
        <v>2565</v>
      </c>
      <c r="U32" s="602" t="s">
        <v>2946</v>
      </c>
      <c r="V32" s="932"/>
      <c r="W32" s="932" t="s">
        <v>3008</v>
      </c>
      <c r="X32" s="602" t="s">
        <v>2947</v>
      </c>
      <c r="Y32" s="933" t="str">
        <f t="shared" si="9"/>
        <v>ВЛ-0,4 до 15 кВт (льгота)</v>
      </c>
      <c r="Z32" s="933" t="e">
        <f>IF(X32="","",CONCATENATE(Y32,"-",X32,"; ",#REF!))</f>
        <v>#REF!</v>
      </c>
      <c r="AA32" s="934"/>
      <c r="AB32" s="935">
        <f t="shared" si="10"/>
        <v>11926.15</v>
      </c>
      <c r="AC32" s="936">
        <f t="shared" si="11"/>
        <v>0</v>
      </c>
      <c r="AD32" s="937">
        <f t="shared" si="12"/>
        <v>0</v>
      </c>
      <c r="AE32" s="938">
        <f t="shared" si="13"/>
        <v>11926.15</v>
      </c>
      <c r="AF32" s="939" t="s">
        <v>3257</v>
      </c>
      <c r="AG32" s="940">
        <f t="shared" si="14"/>
        <v>4.0199999999999996</v>
      </c>
      <c r="AH32" s="941">
        <f t="shared" si="15"/>
        <v>2966.7039800995026</v>
      </c>
      <c r="AI32" s="942">
        <f t="shared" si="15"/>
        <v>0</v>
      </c>
      <c r="AJ32" s="943">
        <f t="shared" si="15"/>
        <v>0</v>
      </c>
      <c r="AK32" s="938">
        <f t="shared" si="16"/>
        <v>2966.7039800995026</v>
      </c>
      <c r="AO32" s="896">
        <v>1</v>
      </c>
      <c r="AP32" s="896">
        <v>32</v>
      </c>
      <c r="AR32" s="896" t="str">
        <f t="shared" si="17"/>
        <v>ИСТИНА</v>
      </c>
      <c r="AS32" s="919" t="s">
        <v>3273</v>
      </c>
      <c r="AT32" s="899">
        <f>IF(AS32="","",VLOOKUP($AS32,[25]прил5МУ!N$25:O$84,2,FALSE)*1000)</f>
        <v>11926.15</v>
      </c>
      <c r="AU32" s="896" t="str">
        <f t="shared" si="18"/>
        <v>ИСТИНА</v>
      </c>
      <c r="AW32" s="896">
        <f t="shared" si="19"/>
        <v>11926.15</v>
      </c>
      <c r="AX32" s="896" t="b">
        <f t="shared" si="20"/>
        <v>1</v>
      </c>
    </row>
    <row r="33" spans="1:56" ht="33.75" outlineLevel="1">
      <c r="A33" s="891">
        <f t="shared" si="7"/>
        <v>1</v>
      </c>
      <c r="B33" s="1152">
        <v>15</v>
      </c>
      <c r="C33" s="921" t="s">
        <v>3274</v>
      </c>
      <c r="D33" s="922" t="str">
        <f t="shared" si="8"/>
        <v>4кв 2016</v>
      </c>
      <c r="E33" s="923">
        <v>0.4</v>
      </c>
      <c r="F33" s="924">
        <v>0.02</v>
      </c>
      <c r="G33" s="925">
        <v>5.36</v>
      </c>
      <c r="H33" s="926"/>
      <c r="I33" s="926"/>
      <c r="J33" s="926"/>
      <c r="K33" s="926"/>
      <c r="L33" s="926"/>
      <c r="M33" s="926"/>
      <c r="N33" s="926"/>
      <c r="O33" s="926">
        <f>25068.1</f>
        <v>25068.1</v>
      </c>
      <c r="P33" s="927">
        <v>25068.1</v>
      </c>
      <c r="Q33" s="928"/>
      <c r="R33" s="929" t="s">
        <v>2564</v>
      </c>
      <c r="S33" s="930" t="s">
        <v>3275</v>
      </c>
      <c r="T33" s="931" t="s">
        <v>2565</v>
      </c>
      <c r="U33" s="602" t="s">
        <v>2946</v>
      </c>
      <c r="V33" s="932"/>
      <c r="W33" s="932" t="s">
        <v>3008</v>
      </c>
      <c r="X33" s="602" t="s">
        <v>2947</v>
      </c>
      <c r="Y33" s="933" t="str">
        <f t="shared" si="9"/>
        <v>ВЛ-0,4 до 15 кВт (льгота)</v>
      </c>
      <c r="Z33" s="933" t="e">
        <f>IF(X33="","",CONCATENATE(Y33,"-",X33,"; ",#REF!))</f>
        <v>#REF!</v>
      </c>
      <c r="AA33" s="934"/>
      <c r="AB33" s="935">
        <f t="shared" si="10"/>
        <v>25068.1</v>
      </c>
      <c r="AC33" s="936">
        <f t="shared" si="11"/>
        <v>0</v>
      </c>
      <c r="AD33" s="937">
        <f t="shared" si="12"/>
        <v>0</v>
      </c>
      <c r="AE33" s="938">
        <f t="shared" si="13"/>
        <v>25068.1</v>
      </c>
      <c r="AF33" s="939" t="s">
        <v>3257</v>
      </c>
      <c r="AG33" s="940">
        <f t="shared" si="14"/>
        <v>4.0199999999999996</v>
      </c>
      <c r="AH33" s="941">
        <f t="shared" si="15"/>
        <v>6235.8457711442788</v>
      </c>
      <c r="AI33" s="942">
        <f t="shared" si="15"/>
        <v>0</v>
      </c>
      <c r="AJ33" s="943">
        <f t="shared" si="15"/>
        <v>0</v>
      </c>
      <c r="AK33" s="938">
        <f t="shared" si="16"/>
        <v>6235.8457711442788</v>
      </c>
      <c r="AO33" s="896">
        <v>1</v>
      </c>
      <c r="AP33" s="896">
        <v>33</v>
      </c>
      <c r="AR33" s="896" t="str">
        <f t="shared" si="17"/>
        <v>ИСТИНА</v>
      </c>
      <c r="AS33" s="919" t="s">
        <v>3276</v>
      </c>
      <c r="AT33" s="899">
        <f>IF(AS33="","",VLOOKUP($AS33,[25]прил5МУ!N$25:O$84,2,FALSE)*1000)</f>
        <v>25068.1</v>
      </c>
      <c r="AU33" s="896" t="str">
        <f t="shared" si="18"/>
        <v>ИСТИНА</v>
      </c>
      <c r="AW33" s="896">
        <f t="shared" si="19"/>
        <v>25068.1</v>
      </c>
      <c r="AX33" s="896" t="b">
        <f t="shared" si="20"/>
        <v>1</v>
      </c>
    </row>
    <row r="34" spans="1:56" ht="33.75" outlineLevel="1">
      <c r="A34" s="891">
        <f t="shared" si="7"/>
        <v>1</v>
      </c>
      <c r="B34" s="1152">
        <v>16</v>
      </c>
      <c r="C34" s="921" t="s">
        <v>3277</v>
      </c>
      <c r="D34" s="922" t="str">
        <f t="shared" si="8"/>
        <v>4кв 2016</v>
      </c>
      <c r="E34" s="923">
        <v>0.4</v>
      </c>
      <c r="F34" s="924">
        <v>0.06</v>
      </c>
      <c r="G34" s="925">
        <v>11.33</v>
      </c>
      <c r="H34" s="926"/>
      <c r="I34" s="926"/>
      <c r="J34" s="926"/>
      <c r="K34" s="926"/>
      <c r="L34" s="926"/>
      <c r="M34" s="926"/>
      <c r="N34" s="926"/>
      <c r="O34" s="926">
        <f>46009.76</f>
        <v>46009.760000000002</v>
      </c>
      <c r="P34" s="927">
        <v>46009.760000000002</v>
      </c>
      <c r="Q34" s="928"/>
      <c r="R34" s="929" t="s">
        <v>2564</v>
      </c>
      <c r="S34" s="954" t="s">
        <v>3278</v>
      </c>
      <c r="T34" s="931" t="s">
        <v>2565</v>
      </c>
      <c r="U34" s="602" t="s">
        <v>2946</v>
      </c>
      <c r="V34" s="932"/>
      <c r="W34" s="932" t="s">
        <v>3008</v>
      </c>
      <c r="X34" s="602" t="s">
        <v>2947</v>
      </c>
      <c r="Y34" s="933" t="str">
        <f t="shared" si="9"/>
        <v>ВЛ-0,4 до 15 кВт (льгота)</v>
      </c>
      <c r="Z34" s="933" t="e">
        <f>IF(X34="","",CONCATENATE(Y34,"-",X34,"; ",#REF!))</f>
        <v>#REF!</v>
      </c>
      <c r="AA34" s="934"/>
      <c r="AB34" s="935">
        <f t="shared" si="10"/>
        <v>46009.760000000002</v>
      </c>
      <c r="AC34" s="936">
        <f t="shared" si="11"/>
        <v>0</v>
      </c>
      <c r="AD34" s="937">
        <f t="shared" si="12"/>
        <v>0</v>
      </c>
      <c r="AE34" s="938">
        <f t="shared" si="13"/>
        <v>46009.760000000002</v>
      </c>
      <c r="AF34" s="939" t="s">
        <v>3257</v>
      </c>
      <c r="AG34" s="940">
        <f t="shared" si="14"/>
        <v>4.0199999999999996</v>
      </c>
      <c r="AH34" s="941">
        <f t="shared" si="15"/>
        <v>11445.21393034826</v>
      </c>
      <c r="AI34" s="942">
        <f t="shared" si="15"/>
        <v>0</v>
      </c>
      <c r="AJ34" s="943">
        <f t="shared" si="15"/>
        <v>0</v>
      </c>
      <c r="AK34" s="938">
        <f t="shared" si="16"/>
        <v>11445.21393034826</v>
      </c>
      <c r="AO34" s="896">
        <v>1</v>
      </c>
      <c r="AP34" s="896">
        <v>34</v>
      </c>
      <c r="AR34" s="896" t="str">
        <f t="shared" si="17"/>
        <v>ИСТИНА</v>
      </c>
      <c r="AS34" s="919" t="s">
        <v>3279</v>
      </c>
      <c r="AT34" s="899">
        <f>IF(AS34="","",VLOOKUP($AS34,[25]прил5МУ!N$25:O$84,2,FALSE)*1000)</f>
        <v>46009.760000000002</v>
      </c>
      <c r="AU34" s="896" t="str">
        <f t="shared" si="18"/>
        <v>ИСТИНА</v>
      </c>
      <c r="AW34" s="896">
        <f t="shared" si="19"/>
        <v>46009.760000000002</v>
      </c>
      <c r="AX34" s="896" t="b">
        <f t="shared" si="20"/>
        <v>1</v>
      </c>
    </row>
    <row r="35" spans="1:56" ht="33.75" outlineLevel="1">
      <c r="A35" s="891">
        <f t="shared" si="7"/>
        <v>1</v>
      </c>
      <c r="B35" s="1152">
        <v>17</v>
      </c>
      <c r="C35" s="921" t="s">
        <v>3280</v>
      </c>
      <c r="D35" s="922" t="str">
        <f t="shared" si="8"/>
        <v>3кв 2016</v>
      </c>
      <c r="E35" s="923">
        <v>0.4</v>
      </c>
      <c r="F35" s="924">
        <v>0.09</v>
      </c>
      <c r="G35" s="925">
        <v>8</v>
      </c>
      <c r="H35" s="926"/>
      <c r="I35" s="926"/>
      <c r="J35" s="926"/>
      <c r="K35" s="926"/>
      <c r="L35" s="926"/>
      <c r="M35" s="926"/>
      <c r="N35" s="926"/>
      <c r="O35" s="926">
        <v>70189.48</v>
      </c>
      <c r="P35" s="927">
        <v>70189.48</v>
      </c>
      <c r="Q35" s="928"/>
      <c r="R35" s="929" t="s">
        <v>2564</v>
      </c>
      <c r="S35" s="954" t="s">
        <v>3281</v>
      </c>
      <c r="T35" s="931" t="s">
        <v>2566</v>
      </c>
      <c r="U35" s="602" t="s">
        <v>2946</v>
      </c>
      <c r="V35" s="932"/>
      <c r="W35" s="932" t="s">
        <v>3008</v>
      </c>
      <c r="X35" s="602" t="s">
        <v>2947</v>
      </c>
      <c r="Y35" s="933" t="str">
        <f t="shared" si="9"/>
        <v>ВЛ-0,4 до 15 кВт (льгота)</v>
      </c>
      <c r="Z35" s="933" t="e">
        <f>IF(X35="","",CONCATENATE(Y35,"-",X35,"; ",#REF!))</f>
        <v>#REF!</v>
      </c>
      <c r="AA35" s="934"/>
      <c r="AB35" s="935">
        <f t="shared" si="10"/>
        <v>70189.48</v>
      </c>
      <c r="AC35" s="936">
        <f t="shared" si="11"/>
        <v>0</v>
      </c>
      <c r="AD35" s="937">
        <f t="shared" si="12"/>
        <v>0</v>
      </c>
      <c r="AE35" s="938">
        <f t="shared" si="13"/>
        <v>70189.48</v>
      </c>
      <c r="AF35" s="939" t="s">
        <v>3230</v>
      </c>
      <c r="AG35" s="940">
        <f t="shared" si="14"/>
        <v>3.96</v>
      </c>
      <c r="AH35" s="941">
        <f t="shared" si="15"/>
        <v>17724.616161616159</v>
      </c>
      <c r="AI35" s="942">
        <f t="shared" si="15"/>
        <v>0</v>
      </c>
      <c r="AJ35" s="943">
        <f t="shared" si="15"/>
        <v>0</v>
      </c>
      <c r="AK35" s="938">
        <f t="shared" si="16"/>
        <v>17724.616161616159</v>
      </c>
      <c r="AO35" s="896">
        <v>1</v>
      </c>
      <c r="AP35" s="896" t="s">
        <v>2567</v>
      </c>
      <c r="AR35" s="896" t="str">
        <f t="shared" si="17"/>
        <v>ИСТИНА</v>
      </c>
      <c r="AS35" s="919" t="s">
        <v>3282</v>
      </c>
      <c r="AT35" s="899">
        <f>IF(AS35="","",VLOOKUP($AS35,[25]прил5МУ!N$25:O$84,2,FALSE)*1000)</f>
        <v>70189.48</v>
      </c>
      <c r="AU35" s="896" t="str">
        <f t="shared" si="18"/>
        <v>ИСТИНА</v>
      </c>
      <c r="AW35" s="896">
        <f t="shared" si="19"/>
        <v>70189.48</v>
      </c>
      <c r="AX35" s="896" t="b">
        <f t="shared" si="20"/>
        <v>1</v>
      </c>
    </row>
    <row r="36" spans="1:56" ht="33.75" outlineLevel="1">
      <c r="A36" s="891">
        <f t="shared" si="7"/>
        <v>1</v>
      </c>
      <c r="B36" s="1152">
        <v>18</v>
      </c>
      <c r="C36" s="921" t="s">
        <v>3283</v>
      </c>
      <c r="D36" s="922" t="str">
        <f t="shared" si="8"/>
        <v>1кв 2016</v>
      </c>
      <c r="E36" s="923">
        <v>0.4</v>
      </c>
      <c r="F36" s="924">
        <v>0.03</v>
      </c>
      <c r="G36" s="925">
        <v>15</v>
      </c>
      <c r="H36" s="926">
        <f>4836.26</f>
        <v>4836.26</v>
      </c>
      <c r="I36" s="926"/>
      <c r="J36" s="926"/>
      <c r="K36" s="926"/>
      <c r="L36" s="926"/>
      <c r="M36" s="926"/>
      <c r="N36" s="926"/>
      <c r="O36" s="926">
        <f>13240.74</f>
        <v>13240.74</v>
      </c>
      <c r="P36" s="927">
        <f>18077</f>
        <v>18077</v>
      </c>
      <c r="Q36" s="928"/>
      <c r="R36" s="929" t="s">
        <v>2564</v>
      </c>
      <c r="S36" s="930" t="s">
        <v>3284</v>
      </c>
      <c r="T36" s="931" t="s">
        <v>2566</v>
      </c>
      <c r="U36" s="602" t="s">
        <v>2946</v>
      </c>
      <c r="V36" s="932"/>
      <c r="W36" s="932" t="s">
        <v>3008</v>
      </c>
      <c r="X36" s="602" t="s">
        <v>2947</v>
      </c>
      <c r="Y36" s="933" t="str">
        <f t="shared" si="9"/>
        <v>ВЛ-0,4 до 15 кВт (льгота)</v>
      </c>
      <c r="Z36" s="933" t="e">
        <f>IF(X36="","",CONCATENATE(Y36,"-",X36,"; ",#REF!))</f>
        <v>#REF!</v>
      </c>
      <c r="AA36" s="934"/>
      <c r="AB36" s="935">
        <f t="shared" si="10"/>
        <v>13240.74</v>
      </c>
      <c r="AC36" s="936">
        <f t="shared" si="11"/>
        <v>4836.26</v>
      </c>
      <c r="AD36" s="937">
        <f t="shared" si="12"/>
        <v>0</v>
      </c>
      <c r="AE36" s="938">
        <f t="shared" si="13"/>
        <v>18077</v>
      </c>
      <c r="AF36" s="939" t="s">
        <v>3241</v>
      </c>
      <c r="AG36" s="940">
        <f t="shared" si="14"/>
        <v>3.9</v>
      </c>
      <c r="AH36" s="941">
        <f t="shared" si="15"/>
        <v>3395.0615384615385</v>
      </c>
      <c r="AI36" s="942">
        <f t="shared" si="15"/>
        <v>1240.0666666666668</v>
      </c>
      <c r="AJ36" s="943">
        <f t="shared" si="15"/>
        <v>0</v>
      </c>
      <c r="AK36" s="938">
        <f t="shared" si="16"/>
        <v>4635.1282051282051</v>
      </c>
      <c r="AO36" s="896">
        <v>1</v>
      </c>
      <c r="AP36" s="896">
        <v>3</v>
      </c>
      <c r="AR36" s="896" t="str">
        <f t="shared" si="17"/>
        <v>ИСТИНА</v>
      </c>
      <c r="AS36" s="919" t="s">
        <v>3285</v>
      </c>
      <c r="AT36" s="899">
        <f>IF(AS36="","",VLOOKUP($AS36,[25]прил5МУ!N$25:O$84,2,FALSE)*1000)</f>
        <v>18077</v>
      </c>
      <c r="AU36" s="896" t="str">
        <f t="shared" si="18"/>
        <v>ИСТИНА</v>
      </c>
      <c r="AW36" s="896">
        <f t="shared" si="19"/>
        <v>18077</v>
      </c>
      <c r="AX36" s="896" t="b">
        <f t="shared" si="20"/>
        <v>1</v>
      </c>
    </row>
    <row r="37" spans="1:56" ht="33.75" outlineLevel="1">
      <c r="A37" s="891">
        <f t="shared" si="7"/>
        <v>1</v>
      </c>
      <c r="B37" s="1152">
        <v>19</v>
      </c>
      <c r="C37" s="921" t="s">
        <v>3286</v>
      </c>
      <c r="D37" s="922" t="str">
        <f t="shared" si="8"/>
        <v>4кв 2016</v>
      </c>
      <c r="E37" s="923">
        <v>0.4</v>
      </c>
      <c r="F37" s="924">
        <v>7.0000000000000007E-2</v>
      </c>
      <c r="G37" s="925">
        <v>5</v>
      </c>
      <c r="H37" s="926"/>
      <c r="I37" s="926"/>
      <c r="J37" s="926"/>
      <c r="K37" s="926"/>
      <c r="L37" s="926"/>
      <c r="M37" s="926"/>
      <c r="N37" s="926"/>
      <c r="O37" s="926">
        <f>22388.26</f>
        <v>22388.26</v>
      </c>
      <c r="P37" s="927">
        <v>22388.26</v>
      </c>
      <c r="Q37" s="928"/>
      <c r="R37" s="929" t="s">
        <v>2564</v>
      </c>
      <c r="S37" s="930" t="s">
        <v>3287</v>
      </c>
      <c r="T37" s="931" t="s">
        <v>2568</v>
      </c>
      <c r="U37" s="602" t="s">
        <v>2946</v>
      </c>
      <c r="V37" s="932"/>
      <c r="W37" s="932" t="s">
        <v>3008</v>
      </c>
      <c r="X37" s="602" t="s">
        <v>2947</v>
      </c>
      <c r="Y37" s="933" t="str">
        <f t="shared" si="9"/>
        <v>ВЛ-0,4 до 15 кВт (льгота)</v>
      </c>
      <c r="Z37" s="933" t="e">
        <f>IF(X37="","",CONCATENATE(Y37,"-",X37,"; ",#REF!))</f>
        <v>#REF!</v>
      </c>
      <c r="AA37" s="934"/>
      <c r="AB37" s="935">
        <f t="shared" si="10"/>
        <v>22388.26</v>
      </c>
      <c r="AC37" s="936">
        <f t="shared" si="11"/>
        <v>0</v>
      </c>
      <c r="AD37" s="937">
        <f t="shared" si="12"/>
        <v>0</v>
      </c>
      <c r="AE37" s="938">
        <f t="shared" si="13"/>
        <v>22388.26</v>
      </c>
      <c r="AF37" s="939" t="s">
        <v>3257</v>
      </c>
      <c r="AG37" s="940">
        <f t="shared" si="14"/>
        <v>4.0199999999999996</v>
      </c>
      <c r="AH37" s="941">
        <f t="shared" si="15"/>
        <v>5569.2189054726368</v>
      </c>
      <c r="AI37" s="942">
        <f t="shared" si="15"/>
        <v>0</v>
      </c>
      <c r="AJ37" s="943">
        <f t="shared" si="15"/>
        <v>0</v>
      </c>
      <c r="AK37" s="938">
        <f t="shared" si="16"/>
        <v>5569.2189054726368</v>
      </c>
      <c r="AO37" s="896">
        <v>1</v>
      </c>
      <c r="AP37" s="896">
        <v>31</v>
      </c>
      <c r="AR37" s="896" t="str">
        <f t="shared" si="17"/>
        <v>ИСТИНА</v>
      </c>
      <c r="AS37" s="919" t="s">
        <v>3288</v>
      </c>
      <c r="AT37" s="899">
        <f>IF(AS37="","",VLOOKUP($AS37,[25]прил5МУ!N$25:O$84,2,FALSE)*1000)</f>
        <v>22388.26</v>
      </c>
      <c r="AU37" s="896" t="str">
        <f t="shared" si="18"/>
        <v>ИСТИНА</v>
      </c>
      <c r="AW37" s="896">
        <f t="shared" si="19"/>
        <v>22388.26</v>
      </c>
      <c r="AX37" s="896" t="b">
        <f t="shared" si="20"/>
        <v>1</v>
      </c>
    </row>
    <row r="38" spans="1:56" ht="33.75" outlineLevel="1">
      <c r="A38" s="891">
        <f t="shared" si="7"/>
        <v>1</v>
      </c>
      <c r="B38" s="1152">
        <v>20</v>
      </c>
      <c r="C38" s="921" t="s">
        <v>3289</v>
      </c>
      <c r="D38" s="922" t="str">
        <f t="shared" si="8"/>
        <v>4кв 2016</v>
      </c>
      <c r="E38" s="923">
        <v>0.4</v>
      </c>
      <c r="F38" s="924">
        <v>0.06</v>
      </c>
      <c r="G38" s="925">
        <v>8</v>
      </c>
      <c r="H38" s="926"/>
      <c r="I38" s="926"/>
      <c r="J38" s="926"/>
      <c r="K38" s="926"/>
      <c r="L38" s="926"/>
      <c r="M38" s="926"/>
      <c r="N38" s="926"/>
      <c r="O38" s="926">
        <f>22880.86</f>
        <v>22880.86</v>
      </c>
      <c r="P38" s="927">
        <v>22880.86</v>
      </c>
      <c r="Q38" s="928"/>
      <c r="R38" s="929" t="s">
        <v>2564</v>
      </c>
      <c r="S38" s="954" t="s">
        <v>3290</v>
      </c>
      <c r="T38" s="931" t="s">
        <v>2568</v>
      </c>
      <c r="U38" s="602" t="s">
        <v>2946</v>
      </c>
      <c r="V38" s="932"/>
      <c r="W38" s="932" t="s">
        <v>3008</v>
      </c>
      <c r="X38" s="602" t="s">
        <v>2947</v>
      </c>
      <c r="Y38" s="933" t="str">
        <f t="shared" si="9"/>
        <v>ВЛ-0,4 до 15 кВт (льгота)</v>
      </c>
      <c r="Z38" s="933" t="e">
        <f>IF(X38="","",CONCATENATE(Y38,"-",X38,"; ",#REF!))</f>
        <v>#REF!</v>
      </c>
      <c r="AA38" s="934"/>
      <c r="AB38" s="935">
        <f t="shared" si="10"/>
        <v>22880.86</v>
      </c>
      <c r="AC38" s="936">
        <f t="shared" si="11"/>
        <v>0</v>
      </c>
      <c r="AD38" s="937">
        <f t="shared" si="12"/>
        <v>0</v>
      </c>
      <c r="AE38" s="938">
        <f t="shared" si="13"/>
        <v>22880.86</v>
      </c>
      <c r="AF38" s="939" t="s">
        <v>3257</v>
      </c>
      <c r="AG38" s="940">
        <f t="shared" si="14"/>
        <v>4.0199999999999996</v>
      </c>
      <c r="AH38" s="941">
        <f t="shared" si="15"/>
        <v>5691.7562189054734</v>
      </c>
      <c r="AI38" s="942">
        <f t="shared" si="15"/>
        <v>0</v>
      </c>
      <c r="AJ38" s="943">
        <f t="shared" si="15"/>
        <v>0</v>
      </c>
      <c r="AK38" s="938">
        <f t="shared" si="16"/>
        <v>5691.7562189054734</v>
      </c>
      <c r="AO38" s="896">
        <v>1</v>
      </c>
      <c r="AP38" s="896">
        <v>31</v>
      </c>
      <c r="AQ38" s="897">
        <v>30</v>
      </c>
      <c r="AR38" s="896" t="str">
        <f t="shared" si="17"/>
        <v>ИСТИНА</v>
      </c>
      <c r="AS38" s="919" t="s">
        <v>3291</v>
      </c>
      <c r="AT38" s="899">
        <f>IF(AS38="","",VLOOKUP($AS38,[25]прил5МУ!N$25:O$84,2,FALSE)*1000)</f>
        <v>22880.86</v>
      </c>
      <c r="AU38" s="896" t="str">
        <f t="shared" si="18"/>
        <v>ИСТИНА</v>
      </c>
      <c r="AW38" s="896">
        <f t="shared" si="19"/>
        <v>22880.86</v>
      </c>
      <c r="AX38" s="896" t="b">
        <f t="shared" si="20"/>
        <v>1</v>
      </c>
    </row>
    <row r="39" spans="1:56" ht="33.75" outlineLevel="1">
      <c r="A39" s="891">
        <f t="shared" si="7"/>
        <v>1</v>
      </c>
      <c r="B39" s="1152">
        <v>21</v>
      </c>
      <c r="C39" s="921" t="s">
        <v>3292</v>
      </c>
      <c r="D39" s="922" t="str">
        <f t="shared" si="8"/>
        <v>4кв 2016</v>
      </c>
      <c r="E39" s="923">
        <v>0.4</v>
      </c>
      <c r="F39" s="924">
        <v>0.03</v>
      </c>
      <c r="G39" s="925">
        <v>5</v>
      </c>
      <c r="H39" s="926"/>
      <c r="I39" s="926"/>
      <c r="J39" s="926"/>
      <c r="K39" s="926"/>
      <c r="L39" s="926"/>
      <c r="M39" s="926"/>
      <c r="N39" s="926"/>
      <c r="O39" s="926">
        <f>12189.59</f>
        <v>12189.59</v>
      </c>
      <c r="P39" s="927">
        <v>12189.59</v>
      </c>
      <c r="Q39" s="928"/>
      <c r="R39" s="929" t="s">
        <v>2564</v>
      </c>
      <c r="S39" s="930" t="s">
        <v>3293</v>
      </c>
      <c r="T39" s="931" t="s">
        <v>2568</v>
      </c>
      <c r="U39" s="602" t="s">
        <v>2946</v>
      </c>
      <c r="V39" s="932"/>
      <c r="W39" s="932" t="s">
        <v>3008</v>
      </c>
      <c r="X39" s="602" t="s">
        <v>2947</v>
      </c>
      <c r="Y39" s="933" t="str">
        <f t="shared" si="9"/>
        <v>ВЛ-0,4 до 15 кВт (льгота)</v>
      </c>
      <c r="Z39" s="933" t="e">
        <f>IF(X39="","",CONCATENATE(Y39,"-",X39,"; ",#REF!))</f>
        <v>#REF!</v>
      </c>
      <c r="AA39" s="934"/>
      <c r="AB39" s="935">
        <f t="shared" si="10"/>
        <v>12189.59</v>
      </c>
      <c r="AC39" s="936">
        <f t="shared" si="11"/>
        <v>0</v>
      </c>
      <c r="AD39" s="937">
        <f t="shared" si="12"/>
        <v>0</v>
      </c>
      <c r="AE39" s="938">
        <f t="shared" si="13"/>
        <v>12189.59</v>
      </c>
      <c r="AF39" s="939" t="s">
        <v>3257</v>
      </c>
      <c r="AG39" s="940">
        <f t="shared" si="14"/>
        <v>4.0199999999999996</v>
      </c>
      <c r="AH39" s="941">
        <f t="shared" si="15"/>
        <v>3032.2363184079604</v>
      </c>
      <c r="AI39" s="942">
        <f t="shared" si="15"/>
        <v>0</v>
      </c>
      <c r="AJ39" s="943">
        <f t="shared" si="15"/>
        <v>0</v>
      </c>
      <c r="AK39" s="938">
        <f t="shared" si="16"/>
        <v>3032.2363184079604</v>
      </c>
      <c r="AO39" s="896">
        <v>1</v>
      </c>
      <c r="AP39" s="896">
        <v>28</v>
      </c>
      <c r="AR39" s="896" t="str">
        <f t="shared" si="17"/>
        <v>ИСТИНА</v>
      </c>
      <c r="AS39" s="919" t="s">
        <v>3294</v>
      </c>
      <c r="AT39" s="899">
        <f>IF(AS39="","",VLOOKUP($AS39,[25]прил5МУ!N$25:O$84,2,FALSE)*1000)</f>
        <v>12189.59</v>
      </c>
      <c r="AU39" s="896" t="str">
        <f t="shared" si="18"/>
        <v>ИСТИНА</v>
      </c>
      <c r="AW39" s="896">
        <f t="shared" si="19"/>
        <v>12189.59</v>
      </c>
      <c r="AX39" s="896" t="b">
        <f t="shared" si="20"/>
        <v>1</v>
      </c>
    </row>
    <row r="40" spans="1:56" ht="22.5" outlineLevel="1">
      <c r="A40" s="891">
        <f t="shared" si="7"/>
        <v>1</v>
      </c>
      <c r="B40" s="1152">
        <v>22</v>
      </c>
      <c r="C40" s="921" t="s">
        <v>3295</v>
      </c>
      <c r="D40" s="922" t="str">
        <f t="shared" si="8"/>
        <v>4кв 2016</v>
      </c>
      <c r="E40" s="923">
        <v>0.4</v>
      </c>
      <c r="F40" s="924">
        <v>0.06</v>
      </c>
      <c r="G40" s="925">
        <v>6</v>
      </c>
      <c r="H40" s="926"/>
      <c r="I40" s="926"/>
      <c r="J40" s="926"/>
      <c r="K40" s="926"/>
      <c r="L40" s="926"/>
      <c r="M40" s="926"/>
      <c r="N40" s="926"/>
      <c r="O40" s="926">
        <f>22821.92</f>
        <v>22821.919999999998</v>
      </c>
      <c r="P40" s="927">
        <v>22821.919999999998</v>
      </c>
      <c r="Q40" s="928"/>
      <c r="R40" s="929" t="s">
        <v>2564</v>
      </c>
      <c r="S40" s="930" t="s">
        <v>3296</v>
      </c>
      <c r="T40" s="931" t="s">
        <v>2568</v>
      </c>
      <c r="U40" s="602" t="s">
        <v>2946</v>
      </c>
      <c r="V40" s="932"/>
      <c r="W40" s="932" t="s">
        <v>3008</v>
      </c>
      <c r="X40" s="602" t="s">
        <v>2947</v>
      </c>
      <c r="Y40" s="933" t="str">
        <f t="shared" si="9"/>
        <v>ВЛ-0,4 до 15 кВт (льгота)</v>
      </c>
      <c r="Z40" s="933" t="e">
        <f>IF(X40="","",CONCATENATE(Y40,"-",X40,"; ",#REF!))</f>
        <v>#REF!</v>
      </c>
      <c r="AA40" s="934"/>
      <c r="AB40" s="935">
        <f t="shared" si="10"/>
        <v>22821.919999999998</v>
      </c>
      <c r="AC40" s="936">
        <f t="shared" si="11"/>
        <v>0</v>
      </c>
      <c r="AD40" s="937">
        <f t="shared" si="12"/>
        <v>0</v>
      </c>
      <c r="AE40" s="938">
        <f t="shared" si="13"/>
        <v>22821.919999999998</v>
      </c>
      <c r="AF40" s="939" t="s">
        <v>3257</v>
      </c>
      <c r="AG40" s="940">
        <f t="shared" si="14"/>
        <v>4.0199999999999996</v>
      </c>
      <c r="AH40" s="941">
        <f t="shared" si="15"/>
        <v>5677.0945273631842</v>
      </c>
      <c r="AI40" s="942">
        <f t="shared" si="15"/>
        <v>0</v>
      </c>
      <c r="AJ40" s="943">
        <f t="shared" si="15"/>
        <v>0</v>
      </c>
      <c r="AK40" s="938">
        <f t="shared" si="16"/>
        <v>5677.0945273631842</v>
      </c>
      <c r="AO40" s="896">
        <v>1</v>
      </c>
      <c r="AP40" s="896">
        <v>29</v>
      </c>
      <c r="AR40" s="896" t="str">
        <f t="shared" si="17"/>
        <v>ИСТИНА</v>
      </c>
      <c r="AS40" s="919" t="s">
        <v>3297</v>
      </c>
      <c r="AT40" s="899">
        <f>IF(AS40="","",VLOOKUP($AS40,[25]прил5МУ!N$25:O$84,2,FALSE)*1000)</f>
        <v>22821.919999999998</v>
      </c>
      <c r="AU40" s="896" t="str">
        <f t="shared" si="18"/>
        <v>ИСТИНА</v>
      </c>
      <c r="AW40" s="896">
        <f t="shared" si="19"/>
        <v>22821.919999999998</v>
      </c>
      <c r="AX40" s="896" t="b">
        <f t="shared" si="20"/>
        <v>1</v>
      </c>
    </row>
    <row r="41" spans="1:56" ht="33.75" outlineLevel="1">
      <c r="A41" s="891">
        <f t="shared" si="7"/>
        <v>1</v>
      </c>
      <c r="B41" s="1152">
        <v>23</v>
      </c>
      <c r="C41" s="921" t="s">
        <v>3298</v>
      </c>
      <c r="D41" s="922" t="str">
        <f t="shared" si="8"/>
        <v>3кв 2016</v>
      </c>
      <c r="E41" s="923">
        <v>0.4</v>
      </c>
      <c r="F41" s="924">
        <v>0.12</v>
      </c>
      <c r="G41" s="925">
        <v>5</v>
      </c>
      <c r="H41" s="926"/>
      <c r="I41" s="926"/>
      <c r="J41" s="926"/>
      <c r="K41" s="926">
        <f>4836.26</f>
        <v>4836.26</v>
      </c>
      <c r="L41" s="926"/>
      <c r="M41" s="926"/>
      <c r="N41" s="926"/>
      <c r="O41" s="926">
        <f>16859.94</f>
        <v>16859.939999999999</v>
      </c>
      <c r="P41" s="927">
        <f>21696.2</f>
        <v>21696.2</v>
      </c>
      <c r="Q41" s="928"/>
      <c r="R41" s="929" t="s">
        <v>2564</v>
      </c>
      <c r="S41" s="930" t="s">
        <v>3299</v>
      </c>
      <c r="T41" s="931" t="s">
        <v>2568</v>
      </c>
      <c r="U41" s="602" t="s">
        <v>2946</v>
      </c>
      <c r="V41" s="932"/>
      <c r="W41" s="932" t="s">
        <v>3008</v>
      </c>
      <c r="X41" s="602" t="s">
        <v>2947</v>
      </c>
      <c r="Y41" s="933" t="str">
        <f t="shared" si="9"/>
        <v>ВЛ-0,4 до 15 кВт (льгота)</v>
      </c>
      <c r="Z41" s="933" t="e">
        <f>IF(X41="","",CONCATENATE(Y41,"-",X41,"; ",#REF!))</f>
        <v>#REF!</v>
      </c>
      <c r="AA41" s="934"/>
      <c r="AB41" s="935">
        <f t="shared" si="10"/>
        <v>16859.939999999999</v>
      </c>
      <c r="AC41" s="936">
        <f t="shared" si="11"/>
        <v>0</v>
      </c>
      <c r="AD41" s="937">
        <f t="shared" si="12"/>
        <v>4836.26</v>
      </c>
      <c r="AE41" s="938">
        <f t="shared" si="13"/>
        <v>21696.199999999997</v>
      </c>
      <c r="AF41" s="939" t="s">
        <v>3230</v>
      </c>
      <c r="AG41" s="940">
        <f t="shared" si="14"/>
        <v>3.96</v>
      </c>
      <c r="AH41" s="941">
        <f t="shared" si="15"/>
        <v>4257.560606060606</v>
      </c>
      <c r="AI41" s="942">
        <f t="shared" si="15"/>
        <v>0</v>
      </c>
      <c r="AJ41" s="943">
        <f t="shared" si="15"/>
        <v>1221.2777777777778</v>
      </c>
      <c r="AK41" s="938">
        <f t="shared" si="16"/>
        <v>5478.8383838383834</v>
      </c>
      <c r="AO41" s="896">
        <v>1</v>
      </c>
      <c r="AP41" s="896">
        <v>19</v>
      </c>
      <c r="AR41" s="896" t="str">
        <f t="shared" si="17"/>
        <v>ИСТИНА</v>
      </c>
      <c r="AS41" s="919" t="s">
        <v>3300</v>
      </c>
      <c r="AT41" s="899">
        <f>IF(AS41="","",VLOOKUP($AS41,[25]прил5МУ!N$25:O$84,2,FALSE)*1000)</f>
        <v>21696.2</v>
      </c>
      <c r="AU41" s="896" t="str">
        <f t="shared" si="18"/>
        <v>ИСТИНА</v>
      </c>
      <c r="AW41" s="896">
        <f t="shared" si="19"/>
        <v>21696.2</v>
      </c>
      <c r="AX41" s="896" t="b">
        <f t="shared" si="20"/>
        <v>1</v>
      </c>
    </row>
    <row r="42" spans="1:56" ht="33.75" outlineLevel="1">
      <c r="A42" s="891">
        <f t="shared" si="7"/>
        <v>1</v>
      </c>
      <c r="B42" s="1152">
        <v>24</v>
      </c>
      <c r="C42" s="921" t="s">
        <v>3301</v>
      </c>
      <c r="D42" s="922" t="str">
        <f t="shared" si="8"/>
        <v>3кв 2016</v>
      </c>
      <c r="E42" s="923">
        <v>0.4</v>
      </c>
      <c r="F42" s="924">
        <v>0.08</v>
      </c>
      <c r="G42" s="925">
        <v>15</v>
      </c>
      <c r="H42" s="926"/>
      <c r="I42" s="926"/>
      <c r="J42" s="926"/>
      <c r="K42" s="926"/>
      <c r="L42" s="926"/>
      <c r="M42" s="926"/>
      <c r="N42" s="926"/>
      <c r="O42" s="926">
        <f>30833.01</f>
        <v>30833.01</v>
      </c>
      <c r="P42" s="927">
        <v>30833.01</v>
      </c>
      <c r="Q42" s="928"/>
      <c r="R42" s="929" t="s">
        <v>2564</v>
      </c>
      <c r="S42" s="930" t="s">
        <v>3302</v>
      </c>
      <c r="T42" s="931" t="s">
        <v>2568</v>
      </c>
      <c r="U42" s="602" t="s">
        <v>2946</v>
      </c>
      <c r="V42" s="932"/>
      <c r="W42" s="932" t="s">
        <v>3008</v>
      </c>
      <c r="X42" s="602" t="s">
        <v>2947</v>
      </c>
      <c r="Y42" s="933" t="str">
        <f t="shared" si="9"/>
        <v>ВЛ-0,4 до 15 кВт (льгота)</v>
      </c>
      <c r="Z42" s="933" t="e">
        <f>IF(X42="","",CONCATENATE(Y42,"-",X42,"; ",#REF!))</f>
        <v>#REF!</v>
      </c>
      <c r="AA42" s="934"/>
      <c r="AB42" s="935">
        <f t="shared" si="10"/>
        <v>30833.01</v>
      </c>
      <c r="AC42" s="936">
        <f t="shared" si="11"/>
        <v>0</v>
      </c>
      <c r="AD42" s="937">
        <f t="shared" si="12"/>
        <v>0</v>
      </c>
      <c r="AE42" s="938">
        <f t="shared" si="13"/>
        <v>30833.01</v>
      </c>
      <c r="AF42" s="939" t="s">
        <v>3230</v>
      </c>
      <c r="AG42" s="940">
        <f t="shared" si="14"/>
        <v>3.96</v>
      </c>
      <c r="AH42" s="941">
        <f t="shared" si="15"/>
        <v>7786.113636363636</v>
      </c>
      <c r="AI42" s="942">
        <f t="shared" si="15"/>
        <v>0</v>
      </c>
      <c r="AJ42" s="943">
        <f t="shared" si="15"/>
        <v>0</v>
      </c>
      <c r="AK42" s="938">
        <f t="shared" si="16"/>
        <v>7786.113636363636</v>
      </c>
      <c r="AO42" s="896">
        <v>1</v>
      </c>
      <c r="AP42" s="896" t="s">
        <v>2567</v>
      </c>
      <c r="AR42" s="896" t="str">
        <f t="shared" si="17"/>
        <v>ИСТИНА</v>
      </c>
      <c r="AS42" s="919" t="s">
        <v>3303</v>
      </c>
      <c r="AT42" s="899">
        <f>IF(AS42="","",VLOOKUP($AS42,[25]прил5МУ!N$25:O$84,2,FALSE)*1000)</f>
        <v>30833.01</v>
      </c>
      <c r="AU42" s="896" t="str">
        <f t="shared" si="18"/>
        <v>ИСТИНА</v>
      </c>
      <c r="AW42" s="896">
        <f t="shared" si="19"/>
        <v>30833.01</v>
      </c>
      <c r="AX42" s="896" t="b">
        <f t="shared" si="20"/>
        <v>1</v>
      </c>
    </row>
    <row r="43" spans="1:56" ht="56.25" outlineLevel="1">
      <c r="A43" s="891">
        <f t="shared" si="7"/>
        <v>1</v>
      </c>
      <c r="B43" s="1152">
        <v>25</v>
      </c>
      <c r="C43" s="921" t="s">
        <v>3304</v>
      </c>
      <c r="D43" s="922" t="str">
        <f>IF(AF43=0,"",AF43)</f>
        <v>4кв 2016</v>
      </c>
      <c r="E43" s="923">
        <v>0.4</v>
      </c>
      <c r="F43" s="924">
        <v>0.03</v>
      </c>
      <c r="G43" s="925">
        <v>3.84</v>
      </c>
      <c r="H43" s="926"/>
      <c r="I43" s="926"/>
      <c r="J43" s="926"/>
      <c r="K43" s="926"/>
      <c r="L43" s="926"/>
      <c r="M43" s="926"/>
      <c r="N43" s="926"/>
      <c r="O43" s="926">
        <f>43388.47</f>
        <v>43388.47</v>
      </c>
      <c r="P43" s="927">
        <v>43388.47</v>
      </c>
      <c r="Q43" s="928"/>
      <c r="R43" s="929" t="s">
        <v>2564</v>
      </c>
      <c r="S43" s="930" t="s">
        <v>3305</v>
      </c>
      <c r="T43" s="931" t="s">
        <v>2569</v>
      </c>
      <c r="U43" s="602" t="s">
        <v>2946</v>
      </c>
      <c r="V43" s="932"/>
      <c r="W43" s="932" t="s">
        <v>3008</v>
      </c>
      <c r="X43" s="602" t="s">
        <v>2947</v>
      </c>
      <c r="Y43" s="933" t="str">
        <f t="shared" si="9"/>
        <v>ВЛ-0,4 до 15 кВт (льгота)</v>
      </c>
      <c r="Z43" s="933" t="e">
        <f>IF(X43="","",CONCATENATE(Y43,"-",X43,"; ",#REF!))</f>
        <v>#REF!</v>
      </c>
      <c r="AA43" s="934"/>
      <c r="AB43" s="935">
        <f t="shared" si="10"/>
        <v>43388.47</v>
      </c>
      <c r="AC43" s="936">
        <f t="shared" si="11"/>
        <v>0</v>
      </c>
      <c r="AD43" s="937">
        <f t="shared" si="12"/>
        <v>0</v>
      </c>
      <c r="AE43" s="938">
        <f t="shared" si="13"/>
        <v>43388.47</v>
      </c>
      <c r="AF43" s="939" t="s">
        <v>3257</v>
      </c>
      <c r="AG43" s="940">
        <f t="shared" si="14"/>
        <v>4.0199999999999996</v>
      </c>
      <c r="AH43" s="941">
        <f t="shared" si="15"/>
        <v>10793.151741293534</v>
      </c>
      <c r="AI43" s="942">
        <f t="shared" si="15"/>
        <v>0</v>
      </c>
      <c r="AJ43" s="943">
        <f t="shared" si="15"/>
        <v>0</v>
      </c>
      <c r="AK43" s="938">
        <f t="shared" si="16"/>
        <v>10793.151741293534</v>
      </c>
      <c r="AO43" s="896">
        <v>1</v>
      </c>
      <c r="AP43" s="896">
        <v>27</v>
      </c>
      <c r="AR43" s="896" t="str">
        <f t="shared" si="17"/>
        <v>ИСТИНА</v>
      </c>
      <c r="AS43" s="919" t="s">
        <v>3306</v>
      </c>
      <c r="AT43" s="899">
        <f>IF(AS43="","",VLOOKUP($AS43,[25]прил5МУ!N$25:O$84,2,FALSE)*1000)</f>
        <v>43388.47</v>
      </c>
      <c r="AU43" s="896" t="str">
        <f t="shared" si="18"/>
        <v>ИСТИНА</v>
      </c>
      <c r="AW43" s="896">
        <f t="shared" si="19"/>
        <v>43388.47</v>
      </c>
      <c r="AX43" s="896" t="b">
        <f t="shared" si="20"/>
        <v>1</v>
      </c>
    </row>
    <row r="44" spans="1:56" s="76" customFormat="1" ht="15.75" outlineLevel="1">
      <c r="B44" s="676"/>
      <c r="C44" s="693"/>
      <c r="D44" s="694"/>
      <c r="E44" s="695"/>
      <c r="F44" s="696"/>
      <c r="G44" s="726"/>
      <c r="H44" s="247"/>
      <c r="I44" s="247"/>
      <c r="J44" s="698"/>
      <c r="K44" s="247"/>
      <c r="L44" s="699"/>
      <c r="M44" s="698"/>
      <c r="N44" s="698"/>
      <c r="O44" s="247"/>
      <c r="P44" s="700"/>
      <c r="Q44" s="185"/>
      <c r="R44" s="186"/>
      <c r="S44" s="297"/>
      <c r="T44" s="188"/>
      <c r="U44" s="168"/>
      <c r="V44" s="168"/>
      <c r="W44" s="168"/>
      <c r="X44" s="168"/>
      <c r="Y44" s="128"/>
      <c r="Z44" s="128"/>
      <c r="AA44" s="128"/>
      <c r="AB44" s="727"/>
      <c r="AC44" s="728"/>
      <c r="AD44" s="729"/>
      <c r="AE44" s="730"/>
      <c r="AF44" s="685"/>
      <c r="AG44" s="639"/>
      <c r="AH44" s="701"/>
      <c r="AI44" s="702"/>
      <c r="AJ44" s="703"/>
      <c r="AK44" s="704"/>
    </row>
    <row r="45" spans="1:56" s="120" customFormat="1" ht="30">
      <c r="B45" s="675" t="s">
        <v>3127</v>
      </c>
      <c r="C45" s="1148" t="str">
        <f>"Всего по "&amp;T21&amp;" "&amp;T45&amp;" ("&amp;$C$9&amp;"):"</f>
        <v>Всего по Вне Г.Н.П. Изолир. алюм. 50-100 мм (ВЛ-0,4 до 15 кВт (льгота)):</v>
      </c>
      <c r="D45" s="1148"/>
      <c r="E45" s="1148"/>
      <c r="F45" s="1149">
        <f>SUM(F46:F48)</f>
        <v>3.452</v>
      </c>
      <c r="G45" s="1361">
        <f>SUM(G46:G48)*0+0.93*400*4</f>
        <v>1488</v>
      </c>
      <c r="H45" s="1150">
        <f t="shared" ref="H45:P45" si="21">SUM(H46:H48)</f>
        <v>0</v>
      </c>
      <c r="I45" s="1150">
        <f t="shared" si="21"/>
        <v>0</v>
      </c>
      <c r="J45" s="1150">
        <f t="shared" si="21"/>
        <v>0</v>
      </c>
      <c r="K45" s="1150">
        <f t="shared" si="21"/>
        <v>1032617.38</v>
      </c>
      <c r="L45" s="1150">
        <f t="shared" si="21"/>
        <v>0</v>
      </c>
      <c r="M45" s="1150">
        <f t="shared" si="21"/>
        <v>0</v>
      </c>
      <c r="N45" s="1150">
        <f t="shared" si="21"/>
        <v>0</v>
      </c>
      <c r="O45" s="1150">
        <f t="shared" si="21"/>
        <v>1951242.46</v>
      </c>
      <c r="P45" s="1150">
        <f t="shared" si="21"/>
        <v>2983859.84</v>
      </c>
      <c r="Q45" s="1151"/>
      <c r="R45" s="1151"/>
      <c r="S45" s="1151"/>
      <c r="T45" s="1151" t="s">
        <v>3005</v>
      </c>
      <c r="U45" s="128"/>
      <c r="V45" s="129"/>
      <c r="W45" s="630"/>
      <c r="X45" s="631"/>
      <c r="Y45" s="632"/>
      <c r="Z45" s="633"/>
      <c r="AA45" s="128"/>
      <c r="AB45" s="634"/>
      <c r="AC45" s="635"/>
      <c r="AD45" s="636"/>
      <c r="AE45" s="637"/>
      <c r="AF45" s="638"/>
      <c r="AG45" s="639"/>
      <c r="AH45" s="640"/>
      <c r="AI45" s="641"/>
      <c r="AJ45" s="642"/>
      <c r="AK45" s="638"/>
      <c r="AN45" s="643"/>
      <c r="AT45" s="126"/>
      <c r="AU45" s="644"/>
      <c r="BC45" s="120" t="str">
        <f>[24]Прил.1!$F$14</f>
        <v>50 - 100</v>
      </c>
      <c r="BD45" s="368" t="str">
        <f>CONCATENATE($BC$1,"; ",$BC$4,"; ",$BD$1,"; ",$BD$3,"; ",BC45)</f>
        <v>0,4 кВ; Вне Г.Н.П.; изолированный; алюминевый; 50 - 100</v>
      </c>
    </row>
    <row r="46" spans="1:56" ht="49.5" outlineLevel="1">
      <c r="A46" s="891">
        <f>IF(C46="","",1)</f>
        <v>1</v>
      </c>
      <c r="B46" s="953">
        <v>26</v>
      </c>
      <c r="C46" s="956" t="s">
        <v>3307</v>
      </c>
      <c r="D46" s="922" t="str">
        <f>IF(AF46=0,"",AF46)</f>
        <v>2кв 2016</v>
      </c>
      <c r="E46" s="923">
        <v>0.4</v>
      </c>
      <c r="F46" s="957">
        <f>(0.819+0.285)+(0.496+0.349)+(0.448+0.41)</f>
        <v>2.8069999999999999</v>
      </c>
      <c r="G46" s="1362">
        <f>5*240</f>
        <v>1200</v>
      </c>
      <c r="H46" s="958"/>
      <c r="I46" s="958"/>
      <c r="J46" s="958"/>
      <c r="K46" s="958">
        <v>1005601.46</v>
      </c>
      <c r="L46" s="958"/>
      <c r="M46" s="958"/>
      <c r="N46" s="958"/>
      <c r="O46" s="958">
        <v>1714872.48</v>
      </c>
      <c r="P46" s="927">
        <v>2720473.94</v>
      </c>
      <c r="Q46" s="928"/>
      <c r="R46" s="929" t="s">
        <v>2564</v>
      </c>
      <c r="S46" s="954"/>
      <c r="T46" s="931" t="s">
        <v>3308</v>
      </c>
      <c r="U46" s="602" t="s">
        <v>2946</v>
      </c>
      <c r="V46" s="932"/>
      <c r="W46" s="932" t="s">
        <v>3008</v>
      </c>
      <c r="X46" s="602" t="s">
        <v>2947</v>
      </c>
      <c r="Y46" s="933" t="str">
        <f>IF(X46="","",$C$9)</f>
        <v>ВЛ-0,4 до 15 кВт (льгота)</v>
      </c>
      <c r="Z46" s="933" t="e">
        <f>IF(X46="","",CONCATENATE(Y46,"-",X46,"; ",#REF!))</f>
        <v>#REF!</v>
      </c>
      <c r="AA46" s="934"/>
      <c r="AB46" s="935">
        <f>O46</f>
        <v>1714872.48</v>
      </c>
      <c r="AC46" s="936">
        <f>(I46+H46)</f>
        <v>0</v>
      </c>
      <c r="AD46" s="937">
        <f>K46</f>
        <v>1005601.46</v>
      </c>
      <c r="AE46" s="938">
        <f>AB46+AC46+AD46</f>
        <v>2720473.94</v>
      </c>
      <c r="AF46" s="939" t="s">
        <v>3234</v>
      </c>
      <c r="AG46" s="940">
        <f>IF($AF46="1кв 2016",3.9,IF($AF46="2кв 2016",3.9,IF($AF46="3кв 2016",3.96,IF($AF46="4кв 2016",4.02,"не совпадает"))))</f>
        <v>3.9</v>
      </c>
      <c r="AH46" s="941">
        <f t="shared" ref="AH46:AJ47" si="22">IF(ISERROR(AB46/$AG46),"",AB46/$AG46)</f>
        <v>439710.89230769232</v>
      </c>
      <c r="AI46" s="942">
        <f t="shared" si="22"/>
        <v>0</v>
      </c>
      <c r="AJ46" s="943">
        <f t="shared" si="22"/>
        <v>257846.52820512821</v>
      </c>
      <c r="AK46" s="938">
        <f>SUM(AH46,AI46,AJ46)</f>
        <v>697557.42051282059</v>
      </c>
      <c r="AO46" s="896">
        <v>1</v>
      </c>
      <c r="AP46" s="959">
        <v>6</v>
      </c>
      <c r="AQ46" s="951" t="s">
        <v>3309</v>
      </c>
      <c r="AR46" s="896" t="str">
        <f>IF(B46="","",IF(P46=SUM(H46,I46,K46,O46),"ИСТИНА",P46-SUM(H46,I46,K46,O46)))</f>
        <v>ИСТИНА</v>
      </c>
      <c r="AS46" s="919" t="s">
        <v>3310</v>
      </c>
      <c r="AT46" s="3253" t="e">
        <f>IF(AS46="","",SUMIF([25]прил5МУ!N$25:N$84,AS46,[25]прил5МУ!O$25:O$84)*1000)</f>
        <v>#VALUE!</v>
      </c>
      <c r="AU46" s="960" t="e">
        <f>IF(SUM(P46:P47)=AT46,"ИСТИНА",SUM(P46:P47)-AT46)</f>
        <v>#VALUE!</v>
      </c>
      <c r="AV46" s="961" t="s">
        <v>3311</v>
      </c>
      <c r="AW46" s="896">
        <f>IF(AS46="","",P46)</f>
        <v>2720473.94</v>
      </c>
      <c r="AX46" s="896" t="e">
        <f>AT46=AW46</f>
        <v>#VALUE!</v>
      </c>
    </row>
    <row r="47" spans="1:56" ht="36.75" outlineLevel="1">
      <c r="A47" s="891">
        <f>IF(C47="","",1)</f>
        <v>1</v>
      </c>
      <c r="B47" s="953">
        <v>27</v>
      </c>
      <c r="C47" s="956" t="s">
        <v>3312</v>
      </c>
      <c r="D47" s="922" t="str">
        <f>IF(AF47=0,"",AF47)</f>
        <v>3кв 2016</v>
      </c>
      <c r="E47" s="923">
        <v>0.4</v>
      </c>
      <c r="F47" s="957">
        <f>0.331+0.314</f>
        <v>0.64500000000000002</v>
      </c>
      <c r="G47" s="1362">
        <f>5*240</f>
        <v>1200</v>
      </c>
      <c r="H47" s="958"/>
      <c r="I47" s="958"/>
      <c r="J47" s="958"/>
      <c r="K47" s="958">
        <v>27015.919999999998</v>
      </c>
      <c r="L47" s="958"/>
      <c r="M47" s="958"/>
      <c r="N47" s="958"/>
      <c r="O47" s="958">
        <v>236369.98</v>
      </c>
      <c r="P47" s="927">
        <v>263385.90000000002</v>
      </c>
      <c r="Q47" s="928"/>
      <c r="R47" s="929" t="s">
        <v>2564</v>
      </c>
      <c r="S47" s="954"/>
      <c r="T47" s="931" t="s">
        <v>3308</v>
      </c>
      <c r="U47" s="602" t="s">
        <v>2946</v>
      </c>
      <c r="V47" s="932"/>
      <c r="W47" s="932" t="s">
        <v>3008</v>
      </c>
      <c r="X47" s="602" t="s">
        <v>2947</v>
      </c>
      <c r="Y47" s="933" t="str">
        <f>IF(X47="","",$C$9)</f>
        <v>ВЛ-0,4 до 15 кВт (льгота)</v>
      </c>
      <c r="Z47" s="933" t="e">
        <f>IF(X47="","",CONCATENATE(Y47,"-",X47,"; ",#REF!))</f>
        <v>#REF!</v>
      </c>
      <c r="AA47" s="934"/>
      <c r="AB47" s="935">
        <f>O47</f>
        <v>236369.98</v>
      </c>
      <c r="AC47" s="936">
        <f>(I47+H47)</f>
        <v>0</v>
      </c>
      <c r="AD47" s="937">
        <f>K47</f>
        <v>27015.919999999998</v>
      </c>
      <c r="AE47" s="938">
        <f>AB47+AC47+AD47</f>
        <v>263385.90000000002</v>
      </c>
      <c r="AF47" s="939" t="s">
        <v>3230</v>
      </c>
      <c r="AG47" s="940">
        <f>IF($AF47="1кв 2016",3.9,IF($AF47="2кв 2016",3.9,IF($AF47="3кв 2016",3.96,IF($AF47="4кв 2016",4.02,"не совпадает"))))</f>
        <v>3.96</v>
      </c>
      <c r="AH47" s="941">
        <f t="shared" si="22"/>
        <v>59689.388888888891</v>
      </c>
      <c r="AI47" s="942">
        <f t="shared" si="22"/>
        <v>0</v>
      </c>
      <c r="AJ47" s="943">
        <f t="shared" si="22"/>
        <v>6822.2020202020194</v>
      </c>
      <c r="AK47" s="938">
        <f>SUM(AH47,AI47,AJ47)</f>
        <v>66511.590909090912</v>
      </c>
      <c r="AO47" s="896">
        <v>1</v>
      </c>
      <c r="AP47" s="959">
        <v>15</v>
      </c>
      <c r="AQ47" s="951" t="s">
        <v>3309</v>
      </c>
      <c r="AR47" s="896" t="str">
        <f>IF(B47="","",IF(P47=SUM(H47,I47,K47,O47),"ИСТИНА",P47-SUM(H47,I47,K47,O47)))</f>
        <v>ИСТИНА</v>
      </c>
      <c r="AS47" s="919" t="s">
        <v>3310</v>
      </c>
      <c r="AT47" s="3253"/>
      <c r="AU47" s="960" t="e">
        <f>IF(SUM(P46:P47)=AT46,"ИСТИНА",SUM(P46:P47)-AT46)</f>
        <v>#VALUE!</v>
      </c>
      <c r="AV47" s="961" t="s">
        <v>3313</v>
      </c>
      <c r="AW47" s="896">
        <f>IF(AS47="","",P47)</f>
        <v>263385.90000000002</v>
      </c>
      <c r="AX47" s="896" t="b">
        <f>AT47=AW47</f>
        <v>0</v>
      </c>
    </row>
    <row r="48" spans="1:56" s="76" customFormat="1" ht="15.75" outlineLevel="1">
      <c r="B48" s="676"/>
      <c r="C48" s="693"/>
      <c r="D48" s="694"/>
      <c r="E48" s="695"/>
      <c r="F48" s="696"/>
      <c r="G48" s="1160"/>
      <c r="H48" s="247"/>
      <c r="I48" s="247"/>
      <c r="J48" s="698"/>
      <c r="K48" s="247"/>
      <c r="L48" s="699"/>
      <c r="M48" s="698"/>
      <c r="N48" s="698"/>
      <c r="O48" s="247"/>
      <c r="P48" s="700"/>
      <c r="Q48" s="185"/>
      <c r="R48" s="186"/>
      <c r="S48" s="297"/>
      <c r="T48" s="188"/>
      <c r="U48" s="168"/>
      <c r="V48" s="168"/>
      <c r="W48" s="168"/>
      <c r="X48" s="168"/>
      <c r="Y48" s="128"/>
      <c r="Z48" s="128"/>
      <c r="AA48" s="128"/>
      <c r="AB48" s="640"/>
      <c r="AC48" s="641"/>
      <c r="AD48" s="642"/>
      <c r="AE48" s="685"/>
      <c r="AF48" s="685"/>
      <c r="AG48" s="639"/>
      <c r="AH48" s="701"/>
      <c r="AI48" s="702"/>
      <c r="AJ48" s="703"/>
      <c r="AK48" s="704"/>
    </row>
    <row r="49" spans="2:58" s="120" customFormat="1" ht="30">
      <c r="B49" s="675" t="s">
        <v>3136</v>
      </c>
      <c r="C49" s="1148" t="str">
        <f>"Всего по "&amp;T21&amp;" "&amp;T49&amp;" ("&amp;$C$9&amp;"):"</f>
        <v>Всего по Вне Г.Н.П. Неизолир. сталеалюм. до 50 мм (ВЛ-0,4 до 15 кВт (льгота)):</v>
      </c>
      <c r="D49" s="1148"/>
      <c r="E49" s="1148"/>
      <c r="F49" s="1149">
        <f t="shared" ref="F49:P49" si="23">SUM(F50:F51)</f>
        <v>0</v>
      </c>
      <c r="G49" s="1150">
        <f t="shared" si="23"/>
        <v>0</v>
      </c>
      <c r="H49" s="1150">
        <f t="shared" si="23"/>
        <v>0</v>
      </c>
      <c r="I49" s="1150">
        <f t="shared" si="23"/>
        <v>0</v>
      </c>
      <c r="J49" s="1150">
        <f t="shared" si="23"/>
        <v>0</v>
      </c>
      <c r="K49" s="1150">
        <f t="shared" si="23"/>
        <v>0</v>
      </c>
      <c r="L49" s="1150">
        <f t="shared" si="23"/>
        <v>0</v>
      </c>
      <c r="M49" s="1150">
        <f t="shared" si="23"/>
        <v>0</v>
      </c>
      <c r="N49" s="1150">
        <f t="shared" si="23"/>
        <v>0</v>
      </c>
      <c r="O49" s="1150">
        <f t="shared" si="23"/>
        <v>0</v>
      </c>
      <c r="P49" s="1150">
        <f t="shared" si="23"/>
        <v>0</v>
      </c>
      <c r="Q49" s="1151"/>
      <c r="R49" s="1151"/>
      <c r="S49" s="1151"/>
      <c r="T49" s="1151" t="s">
        <v>3137</v>
      </c>
      <c r="U49" s="128"/>
      <c r="V49" s="129"/>
      <c r="W49" s="630"/>
      <c r="X49" s="631"/>
      <c r="Y49" s="632"/>
      <c r="Z49" s="633"/>
      <c r="AA49" s="128"/>
      <c r="AB49" s="634"/>
      <c r="AC49" s="635"/>
      <c r="AD49" s="636"/>
      <c r="AE49" s="637"/>
      <c r="AF49" s="638"/>
      <c r="AG49" s="639"/>
      <c r="AH49" s="640"/>
      <c r="AI49" s="641"/>
      <c r="AJ49" s="642"/>
      <c r="AK49" s="638"/>
      <c r="AN49" s="643"/>
      <c r="AT49" s="126"/>
      <c r="AU49" s="644"/>
      <c r="BC49" s="120" t="str">
        <f>[24]Прил.1!$F$13</f>
        <v>до 50 вкл.</v>
      </c>
      <c r="BD49" s="368" t="str">
        <f>CONCATENATE($BC$1,"; ",$BC$4,"; ",$BD$2,"; ",$BD$4,"; ",BC49)</f>
        <v>0,4 кВ; Вне Г.Н.П.; неизолированный; сталеалюминиевый; до 50 вкл.</v>
      </c>
    </row>
    <row r="50" spans="2:58" s="600" customFormat="1" ht="15.75" outlineLevel="1">
      <c r="B50" s="647"/>
      <c r="C50" s="648"/>
      <c r="D50" s="649"/>
      <c r="E50" s="650"/>
      <c r="F50" s="651"/>
      <c r="G50" s="652"/>
      <c r="H50" s="653"/>
      <c r="I50" s="653"/>
      <c r="J50" s="653"/>
      <c r="K50" s="653"/>
      <c r="L50" s="653"/>
      <c r="M50" s="653"/>
      <c r="N50" s="653"/>
      <c r="O50" s="653"/>
      <c r="P50" s="654"/>
      <c r="Q50" s="655"/>
      <c r="R50" s="656"/>
      <c r="S50" s="708"/>
      <c r="T50" s="658"/>
      <c r="U50" s="602"/>
      <c r="V50" s="602"/>
      <c r="W50" s="602"/>
      <c r="X50" s="602"/>
      <c r="Y50" s="582"/>
      <c r="Z50" s="582"/>
      <c r="AA50" s="582"/>
      <c r="AB50" s="659"/>
      <c r="AC50" s="660"/>
      <c r="AD50" s="661"/>
      <c r="AE50" s="662"/>
      <c r="AF50" s="662"/>
      <c r="AG50" s="731"/>
      <c r="AH50" s="732"/>
      <c r="AI50" s="733"/>
      <c r="AJ50" s="734"/>
      <c r="AK50" s="735"/>
      <c r="BF50" s="668"/>
    </row>
    <row r="51" spans="2:58" s="76" customFormat="1" ht="15.75" outlineLevel="1">
      <c r="B51" s="179"/>
      <c r="C51" s="693"/>
      <c r="D51" s="694"/>
      <c r="E51" s="695"/>
      <c r="F51" s="696"/>
      <c r="G51" s="726"/>
      <c r="H51" s="247"/>
      <c r="I51" s="247"/>
      <c r="J51" s="698"/>
      <c r="K51" s="247"/>
      <c r="L51" s="699"/>
      <c r="M51" s="698"/>
      <c r="N51" s="698"/>
      <c r="O51" s="247"/>
      <c r="P51" s="700"/>
      <c r="Q51" s="185"/>
      <c r="R51" s="186"/>
      <c r="S51" s="297"/>
      <c r="T51" s="188"/>
      <c r="U51" s="168"/>
      <c r="V51" s="168"/>
      <c r="W51" s="168"/>
      <c r="X51" s="168"/>
      <c r="Y51" s="128"/>
      <c r="Z51" s="128"/>
      <c r="AA51" s="128"/>
      <c r="AB51" s="640"/>
      <c r="AC51" s="641"/>
      <c r="AD51" s="642"/>
      <c r="AE51" s="685"/>
      <c r="AF51" s="685"/>
      <c r="AG51" s="639"/>
      <c r="AH51" s="701"/>
      <c r="AI51" s="702"/>
      <c r="AJ51" s="703"/>
      <c r="AK51" s="704"/>
    </row>
    <row r="52" spans="2:58" ht="18.75">
      <c r="B52" s="1161">
        <f>MAX(B9:B51)</f>
        <v>27</v>
      </c>
      <c r="C52" s="1162" t="str">
        <f>"ИТОГО по "&amp;$C$9&amp;":"</f>
        <v>ИТОГО по ВЛ-0,4 до 15 кВт (льгота):</v>
      </c>
      <c r="D52" s="1162"/>
      <c r="E52" s="1162"/>
      <c r="F52" s="1163">
        <f>SUM(F10,F21)</f>
        <v>5.4520000000000008</v>
      </c>
      <c r="G52" s="1164">
        <f t="shared" ref="G52:P52" si="24">SUM(G10,G21)</f>
        <v>1661.13</v>
      </c>
      <c r="H52" s="1164">
        <f t="shared" si="24"/>
        <v>4836.26</v>
      </c>
      <c r="I52" s="1164">
        <f t="shared" si="24"/>
        <v>0</v>
      </c>
      <c r="J52" s="1164">
        <f t="shared" si="24"/>
        <v>0</v>
      </c>
      <c r="K52" s="1164">
        <f t="shared" si="24"/>
        <v>1106161.01</v>
      </c>
      <c r="L52" s="1164">
        <f t="shared" si="24"/>
        <v>0</v>
      </c>
      <c r="M52" s="1164">
        <f t="shared" si="24"/>
        <v>0</v>
      </c>
      <c r="N52" s="1164">
        <f t="shared" si="24"/>
        <v>0</v>
      </c>
      <c r="O52" s="1164" t="e">
        <f t="shared" si="24"/>
        <v>#REF!</v>
      </c>
      <c r="P52" s="1164">
        <f t="shared" si="24"/>
        <v>4116442.4499999997</v>
      </c>
      <c r="Q52" s="1125"/>
      <c r="R52" s="1129"/>
      <c r="S52" s="1125"/>
      <c r="T52" s="1165"/>
      <c r="U52" s="962"/>
      <c r="V52" s="962"/>
      <c r="W52" s="962"/>
      <c r="Y52" s="933" t="str">
        <f t="shared" ref="Y52:Y53" si="25">IF(X52="","",$C$9)</f>
        <v/>
      </c>
      <c r="Z52" s="933" t="str">
        <f>IF(X52="","",CONCATENATE(Y52,"-",X52,"; ",#REF!))</f>
        <v/>
      </c>
      <c r="AA52" s="934"/>
      <c r="AB52" s="916"/>
      <c r="AC52" s="917"/>
      <c r="AD52" s="918"/>
      <c r="AE52" s="914"/>
      <c r="AF52" s="939"/>
      <c r="AG52" s="940" t="str">
        <f t="shared" ref="AG52:AG54" si="26">IF($AF52="1кв 2016",3.9,IF($AF52="2кв 2016",3.9,IF($AF52="3кв 2016",3.96,IF($AF52="4кв 2016",4.02,"не совпадает"))))</f>
        <v>не совпадает</v>
      </c>
      <c r="AH52" s="941" t="str">
        <f t="shared" ref="AH52:AJ75" si="27">IF(ISERROR(AB52/$AG52),"",AB52/$AG52)</f>
        <v/>
      </c>
      <c r="AI52" s="942" t="str">
        <f t="shared" si="27"/>
        <v/>
      </c>
      <c r="AJ52" s="943" t="str">
        <f t="shared" si="27"/>
        <v/>
      </c>
      <c r="AK52" s="938">
        <f t="shared" ref="AK52:AK230" si="28">SUM(AH52,AI52,AJ52)</f>
        <v>0</v>
      </c>
      <c r="AN52" s="963"/>
      <c r="AS52" s="919"/>
      <c r="AT52" s="899" t="str">
        <f>IF(AS52="","",VLOOKUP($AS52,[25]прил5МУ!N$25:O$84,2,FALSE)*1000)</f>
        <v/>
      </c>
      <c r="AU52" s="896" t="e">
        <f>IF(P52=AT52,"ИСТИНА",P52-AT52)</f>
        <v>#VALUE!</v>
      </c>
      <c r="AW52" s="896" t="str">
        <f>IF(AS52="","",P52)</f>
        <v/>
      </c>
      <c r="AX52" s="896" t="b">
        <f t="shared" ref="AX52:AX54" si="29">AT52=AW52</f>
        <v>1</v>
      </c>
      <c r="AY52" s="964"/>
    </row>
    <row r="53" spans="2:58" ht="15.75">
      <c r="B53" s="1166"/>
      <c r="C53" s="1167" t="s">
        <v>2582</v>
      </c>
      <c r="D53" s="1168"/>
      <c r="E53" s="1168"/>
      <c r="F53" s="1169">
        <f>SUM(F12:F17,F19:F20,F23:F44,F46:F48,F50:F51)</f>
        <v>5.452</v>
      </c>
      <c r="G53" s="1170">
        <f>SUM(G12:G17,G19:G20,G23:G44,G46:G48,G50:G51)</f>
        <v>2573.13</v>
      </c>
      <c r="H53" s="1171">
        <f t="shared" ref="H53:P53" si="30">SUM(H12:H17,H19:H20,H23:H44,H46:H48,H50:H51)</f>
        <v>4836.26</v>
      </c>
      <c r="I53" s="1171">
        <f t="shared" si="30"/>
        <v>0</v>
      </c>
      <c r="J53" s="1171">
        <f t="shared" si="30"/>
        <v>0</v>
      </c>
      <c r="K53" s="1171">
        <f t="shared" si="30"/>
        <v>1106161.0099999998</v>
      </c>
      <c r="L53" s="1171">
        <f t="shared" si="30"/>
        <v>0</v>
      </c>
      <c r="M53" s="1171">
        <f t="shared" si="30"/>
        <v>0</v>
      </c>
      <c r="N53" s="1171">
        <f t="shared" si="30"/>
        <v>0</v>
      </c>
      <c r="O53" s="1171" t="e">
        <f t="shared" si="30"/>
        <v>#REF!</v>
      </c>
      <c r="P53" s="1171">
        <f t="shared" si="30"/>
        <v>4116442.4499999997</v>
      </c>
      <c r="Q53" s="1172"/>
      <c r="R53" s="1173"/>
      <c r="S53" s="1172"/>
      <c r="T53" s="1174"/>
      <c r="U53" s="965"/>
      <c r="V53" s="965"/>
      <c r="W53" s="965"/>
      <c r="Y53" s="933" t="str">
        <f t="shared" si="25"/>
        <v/>
      </c>
      <c r="Z53" s="933" t="str">
        <f>IF(X53="","",CONCATENATE(Y53,"-",X53,"; ",#REF!))</f>
        <v/>
      </c>
      <c r="AA53" s="934"/>
      <c r="AB53" s="916"/>
      <c r="AC53" s="917"/>
      <c r="AD53" s="918"/>
      <c r="AE53" s="914"/>
      <c r="AF53" s="939"/>
      <c r="AG53" s="940" t="str">
        <f t="shared" si="26"/>
        <v>не совпадает</v>
      </c>
      <c r="AH53" s="941" t="str">
        <f t="shared" si="27"/>
        <v/>
      </c>
      <c r="AI53" s="942" t="str">
        <f t="shared" si="27"/>
        <v/>
      </c>
      <c r="AJ53" s="943" t="str">
        <f t="shared" si="27"/>
        <v/>
      </c>
      <c r="AK53" s="938">
        <f t="shared" si="28"/>
        <v>0</v>
      </c>
      <c r="AN53" s="963"/>
      <c r="AS53" s="919"/>
      <c r="AT53" s="899" t="str">
        <f>IF(AS53="","",VLOOKUP($AS53,[25]прил5МУ!N$25:O$84,2,FALSE)*1000)</f>
        <v/>
      </c>
      <c r="AU53" s="896" t="e">
        <f>IF(P53=AT53,"ИСТИНА",P53-AT53)</f>
        <v>#VALUE!</v>
      </c>
      <c r="AW53" s="896" t="str">
        <f>IF(AS53="","",P53)</f>
        <v/>
      </c>
      <c r="AX53" s="896" t="b">
        <f t="shared" si="29"/>
        <v>1</v>
      </c>
    </row>
    <row r="54" spans="2:58" ht="18.75">
      <c r="B54" s="1135" t="s">
        <v>5</v>
      </c>
      <c r="C54" s="1136" t="s">
        <v>2583</v>
      </c>
      <c r="D54" s="1137"/>
      <c r="E54" s="1137"/>
      <c r="F54" s="1138">
        <f>SUM(F55,F62)</f>
        <v>3.5409999999999999</v>
      </c>
      <c r="G54" s="1139">
        <f t="shared" ref="G54:P54" si="31">SUM(G55,G62)</f>
        <v>2986</v>
      </c>
      <c r="H54" s="1139">
        <f t="shared" si="31"/>
        <v>0</v>
      </c>
      <c r="I54" s="1139">
        <f t="shared" si="31"/>
        <v>0</v>
      </c>
      <c r="J54" s="1139">
        <f t="shared" si="31"/>
        <v>0</v>
      </c>
      <c r="K54" s="1139">
        <f t="shared" si="31"/>
        <v>374768.24</v>
      </c>
      <c r="L54" s="1139">
        <f t="shared" si="31"/>
        <v>0</v>
      </c>
      <c r="M54" s="1139">
        <f t="shared" si="31"/>
        <v>0</v>
      </c>
      <c r="N54" s="1139">
        <f t="shared" si="31"/>
        <v>0</v>
      </c>
      <c r="O54" s="1139">
        <f t="shared" si="31"/>
        <v>3060891.13</v>
      </c>
      <c r="P54" s="1139">
        <f t="shared" si="31"/>
        <v>3435659.37</v>
      </c>
      <c r="Q54" s="1137"/>
      <c r="R54" s="1137"/>
      <c r="S54" s="1137"/>
      <c r="T54" s="1140"/>
      <c r="U54" s="915"/>
      <c r="V54" s="915"/>
      <c r="W54" s="915"/>
      <c r="Y54" s="933" t="str">
        <f>IF(X54="","",$C$54)</f>
        <v/>
      </c>
      <c r="Z54" s="933" t="str">
        <f>IF(X54="","",CONCATENATE(Y54,"-",X54,"; ",#REF!))</f>
        <v/>
      </c>
      <c r="AA54" s="934"/>
      <c r="AB54" s="916"/>
      <c r="AC54" s="917"/>
      <c r="AD54" s="918"/>
      <c r="AE54" s="914"/>
      <c r="AF54" s="939"/>
      <c r="AG54" s="940" t="str">
        <f t="shared" si="26"/>
        <v>не совпадает</v>
      </c>
      <c r="AH54" s="941" t="str">
        <f t="shared" si="27"/>
        <v/>
      </c>
      <c r="AI54" s="942" t="str">
        <f t="shared" si="27"/>
        <v/>
      </c>
      <c r="AJ54" s="943" t="str">
        <f t="shared" si="27"/>
        <v/>
      </c>
      <c r="AK54" s="938">
        <f t="shared" si="28"/>
        <v>0</v>
      </c>
      <c r="AS54" s="919"/>
      <c r="AT54" s="899" t="str">
        <f>IF(AS54="","",VLOOKUP($AS54,[25]прил5МУ!N$25:O$84,2,FALSE)*1000)</f>
        <v/>
      </c>
      <c r="AU54" s="896" t="e">
        <f>IF(P54=AT54,"ИСТИНА",P54-AT54)</f>
        <v>#VALUE!</v>
      </c>
      <c r="AW54" s="896" t="str">
        <f>IF(AS54="","",P54)</f>
        <v/>
      </c>
      <c r="AX54" s="896" t="b">
        <f t="shared" si="29"/>
        <v>1</v>
      </c>
      <c r="BC54" s="625" t="str">
        <f>C54</f>
        <v>ВЛ-10 до 15 кВт (льгота)</v>
      </c>
    </row>
    <row r="55" spans="2:58" s="120" customFormat="1" ht="15.75" customHeight="1">
      <c r="B55" s="1141" t="s">
        <v>2584</v>
      </c>
      <c r="C55" s="1142" t="str">
        <f>"Всего по "&amp;T55&amp;" ("&amp;$C$54&amp;"):"</f>
        <v>Всего по Г.Н.П. (ВЛ-10 до 15 кВт (льгота)):</v>
      </c>
      <c r="D55" s="1143"/>
      <c r="E55" s="1143"/>
      <c r="F55" s="1144">
        <f>SUM(F56,F59)</f>
        <v>0</v>
      </c>
      <c r="G55" s="1145">
        <f t="shared" ref="G55:P55" si="32">SUM(G56,G59)</f>
        <v>0</v>
      </c>
      <c r="H55" s="1145">
        <f t="shared" si="32"/>
        <v>0</v>
      </c>
      <c r="I55" s="1145">
        <f t="shared" si="32"/>
        <v>0</v>
      </c>
      <c r="J55" s="1145">
        <f t="shared" si="32"/>
        <v>0</v>
      </c>
      <c r="K55" s="1145">
        <f t="shared" si="32"/>
        <v>0</v>
      </c>
      <c r="L55" s="1145">
        <f t="shared" si="32"/>
        <v>0</v>
      </c>
      <c r="M55" s="1145">
        <f t="shared" si="32"/>
        <v>0</v>
      </c>
      <c r="N55" s="1145">
        <f t="shared" si="32"/>
        <v>0</v>
      </c>
      <c r="O55" s="1145">
        <f t="shared" si="32"/>
        <v>0</v>
      </c>
      <c r="P55" s="1145">
        <f t="shared" si="32"/>
        <v>0</v>
      </c>
      <c r="Q55" s="1146"/>
      <c r="R55" s="1146"/>
      <c r="S55" s="1146"/>
      <c r="T55" s="1146" t="s">
        <v>2956</v>
      </c>
      <c r="U55" s="128"/>
      <c r="V55" s="129"/>
      <c r="W55" s="630"/>
      <c r="X55" s="631"/>
      <c r="Y55" s="632"/>
      <c r="Z55" s="633"/>
      <c r="AA55" s="128"/>
      <c r="AB55" s="634"/>
      <c r="AC55" s="635"/>
      <c r="AD55" s="636"/>
      <c r="AE55" s="637"/>
      <c r="AF55" s="638"/>
      <c r="AG55" s="639"/>
      <c r="AH55" s="640"/>
      <c r="AI55" s="641"/>
      <c r="AJ55" s="642"/>
      <c r="AK55" s="638"/>
      <c r="AN55" s="643"/>
      <c r="AT55" s="126"/>
      <c r="AU55" s="644"/>
    </row>
    <row r="56" spans="2:58" s="120" customFormat="1" ht="30">
      <c r="B56" s="1147" t="s">
        <v>2585</v>
      </c>
      <c r="C56" s="1148" t="str">
        <f>"Всего по "&amp;T55&amp;" "&amp;T56&amp;" ("&amp;$C$54&amp;"):"</f>
        <v>Всего по Г.Н.П. Изолир. алюм. до 50 мм (ВЛ-10 до 15 кВт (льгота)):</v>
      </c>
      <c r="D56" s="1148"/>
      <c r="E56" s="1148"/>
      <c r="F56" s="1149">
        <f>SUM(F57:F58)</f>
        <v>0</v>
      </c>
      <c r="G56" s="1150">
        <f t="shared" ref="G56:P56" si="33">SUM(G57:G58)</f>
        <v>0</v>
      </c>
      <c r="H56" s="1150">
        <f t="shared" si="33"/>
        <v>0</v>
      </c>
      <c r="I56" s="1150">
        <f t="shared" si="33"/>
        <v>0</v>
      </c>
      <c r="J56" s="1150">
        <f t="shared" si="33"/>
        <v>0</v>
      </c>
      <c r="K56" s="1150">
        <f t="shared" si="33"/>
        <v>0</v>
      </c>
      <c r="L56" s="1150">
        <f t="shared" si="33"/>
        <v>0</v>
      </c>
      <c r="M56" s="1150">
        <f t="shared" si="33"/>
        <v>0</v>
      </c>
      <c r="N56" s="1150">
        <f t="shared" si="33"/>
        <v>0</v>
      </c>
      <c r="O56" s="1150">
        <f t="shared" si="33"/>
        <v>0</v>
      </c>
      <c r="P56" s="1150">
        <f t="shared" si="33"/>
        <v>0</v>
      </c>
      <c r="Q56" s="1151"/>
      <c r="R56" s="1151"/>
      <c r="S56" s="1151"/>
      <c r="T56" s="1151" t="s">
        <v>2962</v>
      </c>
      <c r="U56" s="128"/>
      <c r="V56" s="129"/>
      <c r="W56" s="630"/>
      <c r="X56" s="631"/>
      <c r="Y56" s="632"/>
      <c r="Z56" s="633"/>
      <c r="AA56" s="128"/>
      <c r="AB56" s="634"/>
      <c r="AC56" s="635"/>
      <c r="AD56" s="636"/>
      <c r="AE56" s="637"/>
      <c r="AF56" s="638"/>
      <c r="AG56" s="639"/>
      <c r="AH56" s="640"/>
      <c r="AI56" s="641"/>
      <c r="AJ56" s="642"/>
      <c r="AK56" s="638"/>
      <c r="AN56" s="643"/>
      <c r="AT56" s="126"/>
      <c r="AU56" s="644"/>
      <c r="BC56" s="120" t="str">
        <f>[24]Прил.1!$F$13</f>
        <v>до 50 вкл.</v>
      </c>
      <c r="BD56" s="368" t="str">
        <f>CONCATENATE($BC$2,"; ",$BC$3,"; ",$BD$1,"; ",$BD$3,"; ",BC56)</f>
        <v>6-10 кВ; Г.Н.П.; изолированный; алюминевый; до 50 вкл.</v>
      </c>
    </row>
    <row r="57" spans="2:58" s="76" customFormat="1" ht="15.75" outlineLevel="1">
      <c r="B57" s="676"/>
      <c r="C57" s="677"/>
      <c r="D57" s="678"/>
      <c r="E57" s="679"/>
      <c r="F57" s="680"/>
      <c r="G57" s="681"/>
      <c r="H57" s="517"/>
      <c r="I57" s="517"/>
      <c r="J57" s="517"/>
      <c r="K57" s="517"/>
      <c r="L57" s="517"/>
      <c r="M57" s="517"/>
      <c r="N57" s="517"/>
      <c r="O57" s="517"/>
      <c r="P57" s="682"/>
      <c r="Q57" s="683"/>
      <c r="R57" s="684"/>
      <c r="S57" s="685"/>
      <c r="T57" s="686"/>
      <c r="U57" s="168"/>
      <c r="V57" s="168"/>
      <c r="W57" s="168"/>
      <c r="X57" s="168"/>
      <c r="Y57" s="128"/>
      <c r="Z57" s="128"/>
      <c r="AA57" s="128"/>
      <c r="AB57" s="640"/>
      <c r="AC57" s="641"/>
      <c r="AD57" s="642"/>
      <c r="AE57" s="685"/>
      <c r="AF57" s="685"/>
      <c r="AG57" s="687"/>
      <c r="AH57" s="688"/>
      <c r="AI57" s="689"/>
      <c r="AJ57" s="690"/>
      <c r="AK57" s="691"/>
    </row>
    <row r="58" spans="2:58" s="76" customFormat="1" ht="15.75" outlineLevel="1">
      <c r="B58" s="676"/>
      <c r="C58" s="693"/>
      <c r="D58" s="694"/>
      <c r="E58" s="695"/>
      <c r="F58" s="696"/>
      <c r="G58" s="697"/>
      <c r="H58" s="247"/>
      <c r="I58" s="247"/>
      <c r="J58" s="698"/>
      <c r="K58" s="247"/>
      <c r="L58" s="699"/>
      <c r="M58" s="698"/>
      <c r="N58" s="698"/>
      <c r="O58" s="247"/>
      <c r="P58" s="700"/>
      <c r="Q58" s="185"/>
      <c r="R58" s="186"/>
      <c r="S58" s="297"/>
      <c r="T58" s="188"/>
      <c r="U58" s="168"/>
      <c r="V58" s="168"/>
      <c r="W58" s="168"/>
      <c r="X58" s="168"/>
      <c r="Y58" s="128"/>
      <c r="Z58" s="128"/>
      <c r="AA58" s="128"/>
      <c r="AB58" s="640"/>
      <c r="AC58" s="641"/>
      <c r="AD58" s="642"/>
      <c r="AE58" s="685"/>
      <c r="AF58" s="685"/>
      <c r="AG58" s="639"/>
      <c r="AH58" s="701"/>
      <c r="AI58" s="702"/>
      <c r="AJ58" s="703"/>
      <c r="AK58" s="704"/>
    </row>
    <row r="59" spans="2:58" s="120" customFormat="1" ht="30">
      <c r="B59" s="675" t="s">
        <v>3147</v>
      </c>
      <c r="C59" s="1148" t="str">
        <f>"Всего по "&amp;T55&amp;" "&amp;T59&amp;" ("&amp;$C$54&amp;"):"</f>
        <v>Всего по Г.Н.П. Изолир. алюм. 50-100 мм (ВЛ-10 до 15 кВт (льгота)):</v>
      </c>
      <c r="D59" s="1148"/>
      <c r="E59" s="1148"/>
      <c r="F59" s="1149">
        <f>SUM(F60:F61)</f>
        <v>0</v>
      </c>
      <c r="G59" s="1150">
        <f t="shared" ref="G59:P59" si="34">SUM(G60:G61)</f>
        <v>0</v>
      </c>
      <c r="H59" s="1150">
        <f t="shared" si="34"/>
        <v>0</v>
      </c>
      <c r="I59" s="1150">
        <f t="shared" si="34"/>
        <v>0</v>
      </c>
      <c r="J59" s="1150">
        <f t="shared" si="34"/>
        <v>0</v>
      </c>
      <c r="K59" s="1150">
        <f t="shared" si="34"/>
        <v>0</v>
      </c>
      <c r="L59" s="1150">
        <f t="shared" si="34"/>
        <v>0</v>
      </c>
      <c r="M59" s="1150">
        <f t="shared" si="34"/>
        <v>0</v>
      </c>
      <c r="N59" s="1150">
        <f t="shared" si="34"/>
        <v>0</v>
      </c>
      <c r="O59" s="1150">
        <f t="shared" si="34"/>
        <v>0</v>
      </c>
      <c r="P59" s="1150">
        <f t="shared" si="34"/>
        <v>0</v>
      </c>
      <c r="Q59" s="1151"/>
      <c r="R59" s="1151"/>
      <c r="S59" s="1151"/>
      <c r="T59" s="1151" t="s">
        <v>3005</v>
      </c>
      <c r="U59" s="128"/>
      <c r="V59" s="129"/>
      <c r="W59" s="630"/>
      <c r="X59" s="631"/>
      <c r="Y59" s="632"/>
      <c r="Z59" s="633"/>
      <c r="AA59" s="128"/>
      <c r="AB59" s="634"/>
      <c r="AC59" s="635"/>
      <c r="AD59" s="636"/>
      <c r="AE59" s="637"/>
      <c r="AF59" s="638"/>
      <c r="AG59" s="639"/>
      <c r="AH59" s="640"/>
      <c r="AI59" s="641"/>
      <c r="AJ59" s="642"/>
      <c r="AK59" s="638"/>
      <c r="AN59" s="643"/>
      <c r="AT59" s="126"/>
      <c r="AU59" s="644"/>
      <c r="BC59" s="120" t="str">
        <f>[24]Прил.1!$F$14</f>
        <v>50 - 100</v>
      </c>
      <c r="BD59" s="368" t="str">
        <f>CONCATENATE($BC$2,"; ",$BC$3,"; ",$BD$1,"; ",$BD$3,"; ",BC59)</f>
        <v>6-10 кВ; Г.Н.П.; изолированный; алюминевый; 50 - 100</v>
      </c>
    </row>
    <row r="60" spans="2:58" s="76" customFormat="1" ht="15.75" outlineLevel="1">
      <c r="B60" s="676"/>
      <c r="C60" s="677"/>
      <c r="D60" s="678"/>
      <c r="E60" s="679"/>
      <c r="F60" s="680"/>
      <c r="G60" s="681"/>
      <c r="H60" s="517"/>
      <c r="I60" s="517"/>
      <c r="J60" s="517"/>
      <c r="K60" s="517"/>
      <c r="L60" s="517"/>
      <c r="M60" s="517"/>
      <c r="N60" s="517"/>
      <c r="O60" s="517"/>
      <c r="P60" s="682"/>
      <c r="Q60" s="683"/>
      <c r="R60" s="684"/>
      <c r="S60" s="685"/>
      <c r="T60" s="686"/>
      <c r="U60" s="168"/>
      <c r="V60" s="168"/>
      <c r="W60" s="168"/>
      <c r="X60" s="168"/>
      <c r="Y60" s="128"/>
      <c r="Z60" s="128"/>
      <c r="AA60" s="128"/>
      <c r="AB60" s="640"/>
      <c r="AC60" s="641"/>
      <c r="AD60" s="642"/>
      <c r="AE60" s="685"/>
      <c r="AF60" s="685"/>
      <c r="AG60" s="687"/>
      <c r="AH60" s="688"/>
      <c r="AI60" s="689"/>
      <c r="AJ60" s="690"/>
      <c r="AK60" s="691"/>
    </row>
    <row r="61" spans="2:58" s="76" customFormat="1" ht="15.75" outlineLevel="1">
      <c r="B61" s="738"/>
      <c r="C61" s="693"/>
      <c r="D61" s="694"/>
      <c r="E61" s="695"/>
      <c r="F61" s="696"/>
      <c r="G61" s="697"/>
      <c r="H61" s="247"/>
      <c r="I61" s="247"/>
      <c r="J61" s="698"/>
      <c r="K61" s="247"/>
      <c r="L61" s="699"/>
      <c r="M61" s="698"/>
      <c r="N61" s="698"/>
      <c r="O61" s="247"/>
      <c r="P61" s="700"/>
      <c r="Q61" s="185"/>
      <c r="R61" s="186"/>
      <c r="S61" s="297"/>
      <c r="T61" s="188"/>
      <c r="U61" s="168"/>
      <c r="V61" s="168"/>
      <c r="W61" s="168"/>
      <c r="X61" s="168"/>
      <c r="Y61" s="128"/>
      <c r="Z61" s="128"/>
      <c r="AA61" s="128"/>
      <c r="AB61" s="640"/>
      <c r="AC61" s="641"/>
      <c r="AD61" s="642"/>
      <c r="AE61" s="685"/>
      <c r="AF61" s="685"/>
      <c r="AG61" s="639"/>
      <c r="AH61" s="701"/>
      <c r="AI61" s="702"/>
      <c r="AJ61" s="703"/>
      <c r="AK61" s="704"/>
    </row>
    <row r="62" spans="2:58" s="120" customFormat="1" ht="15.75" customHeight="1">
      <c r="B62" s="1141" t="s">
        <v>2586</v>
      </c>
      <c r="C62" s="1142" t="str">
        <f>"Всего по "&amp;T62&amp;" ("&amp;$C$54&amp;"):"</f>
        <v>Всего по Вне Г.Н.П. (ВЛ-10 до 15 кВт (льгота)):</v>
      </c>
      <c r="D62" s="1143"/>
      <c r="E62" s="1143"/>
      <c r="F62" s="1144">
        <f>SUM(F63,F66,F69,F72)</f>
        <v>3.5409999999999999</v>
      </c>
      <c r="G62" s="1145">
        <f t="shared" ref="G62:P62" si="35">SUM(G63,G66,G69,G72)</f>
        <v>2986</v>
      </c>
      <c r="H62" s="1145">
        <f t="shared" si="35"/>
        <v>0</v>
      </c>
      <c r="I62" s="1145">
        <f t="shared" si="35"/>
        <v>0</v>
      </c>
      <c r="J62" s="1145">
        <f t="shared" si="35"/>
        <v>0</v>
      </c>
      <c r="K62" s="1145">
        <f t="shared" si="35"/>
        <v>374768.24</v>
      </c>
      <c r="L62" s="1145">
        <f t="shared" si="35"/>
        <v>0</v>
      </c>
      <c r="M62" s="1145">
        <f t="shared" si="35"/>
        <v>0</v>
      </c>
      <c r="N62" s="1145">
        <f t="shared" si="35"/>
        <v>0</v>
      </c>
      <c r="O62" s="1145">
        <f t="shared" si="35"/>
        <v>3060891.13</v>
      </c>
      <c r="P62" s="1145">
        <f t="shared" si="35"/>
        <v>3435659.37</v>
      </c>
      <c r="Q62" s="1146"/>
      <c r="R62" s="1146"/>
      <c r="S62" s="1146"/>
      <c r="T62" s="1146" t="s">
        <v>2958</v>
      </c>
      <c r="U62" s="128"/>
      <c r="V62" s="129"/>
      <c r="W62" s="630"/>
      <c r="X62" s="631"/>
      <c r="Y62" s="632"/>
      <c r="Z62" s="633"/>
      <c r="AA62" s="128"/>
      <c r="AB62" s="634"/>
      <c r="AC62" s="635"/>
      <c r="AD62" s="636"/>
      <c r="AE62" s="637"/>
      <c r="AF62" s="638"/>
      <c r="AG62" s="639"/>
      <c r="AH62" s="640"/>
      <c r="AI62" s="641"/>
      <c r="AJ62" s="642"/>
      <c r="AK62" s="638"/>
      <c r="AN62" s="643"/>
      <c r="AT62" s="126"/>
      <c r="AU62" s="644"/>
    </row>
    <row r="63" spans="2:58" s="120" customFormat="1" ht="30">
      <c r="B63" s="1147" t="s">
        <v>2587</v>
      </c>
      <c r="C63" s="739" t="str">
        <f>"Всего по "&amp;T62&amp;" "&amp;T63&amp;" ("&amp;$C$54&amp;"):"</f>
        <v>Всего по Вне Г.Н.П. Изолир. алюм. до 50 мм (ВЛ-10 до 15 кВт (льгота)):</v>
      </c>
      <c r="D63" s="739"/>
      <c r="E63" s="739"/>
      <c r="F63" s="740">
        <f>SUM(F64:F65)</f>
        <v>0</v>
      </c>
      <c r="G63" s="741">
        <f t="shared" ref="G63:P63" si="36">SUM(G64:G65)</f>
        <v>0</v>
      </c>
      <c r="H63" s="741">
        <f t="shared" si="36"/>
        <v>0</v>
      </c>
      <c r="I63" s="741">
        <f t="shared" si="36"/>
        <v>0</v>
      </c>
      <c r="J63" s="741">
        <f t="shared" si="36"/>
        <v>0</v>
      </c>
      <c r="K63" s="741">
        <f t="shared" si="36"/>
        <v>0</v>
      </c>
      <c r="L63" s="741">
        <f t="shared" si="36"/>
        <v>0</v>
      </c>
      <c r="M63" s="741">
        <f t="shared" si="36"/>
        <v>0</v>
      </c>
      <c r="N63" s="741">
        <f t="shared" si="36"/>
        <v>0</v>
      </c>
      <c r="O63" s="741">
        <f t="shared" si="36"/>
        <v>0</v>
      </c>
      <c r="P63" s="741">
        <f t="shared" si="36"/>
        <v>0</v>
      </c>
      <c r="Q63" s="742"/>
      <c r="R63" s="742"/>
      <c r="S63" s="742"/>
      <c r="T63" s="1151" t="s">
        <v>2962</v>
      </c>
      <c r="U63" s="128"/>
      <c r="V63" s="129"/>
      <c r="W63" s="630"/>
      <c r="X63" s="631"/>
      <c r="Y63" s="632"/>
      <c r="Z63" s="633"/>
      <c r="AA63" s="128"/>
      <c r="AB63" s="634"/>
      <c r="AC63" s="635"/>
      <c r="AD63" s="636"/>
      <c r="AE63" s="637"/>
      <c r="AF63" s="638"/>
      <c r="AG63" s="639"/>
      <c r="AH63" s="640"/>
      <c r="AI63" s="641"/>
      <c r="AJ63" s="642"/>
      <c r="AK63" s="638"/>
      <c r="AN63" s="643"/>
      <c r="AT63" s="126"/>
      <c r="AU63" s="644"/>
      <c r="BC63" s="120" t="str">
        <f>[24]Прил.1!$F$13</f>
        <v>до 50 вкл.</v>
      </c>
      <c r="BD63" s="368" t="str">
        <f>CONCATENATE($BC$2,"; ",$BC$4,"; ",$BD$1,"; ",$BD$3,"; ",BC63)</f>
        <v>6-10 кВ; Вне Г.Н.П.; изолированный; алюминевый; до 50 вкл.</v>
      </c>
    </row>
    <row r="64" spans="2:58" s="76" customFormat="1" ht="15.75" outlineLevel="1">
      <c r="B64" s="676"/>
      <c r="C64" s="677"/>
      <c r="D64" s="678"/>
      <c r="E64" s="679"/>
      <c r="F64" s="680"/>
      <c r="G64" s="681"/>
      <c r="H64" s="517"/>
      <c r="I64" s="517"/>
      <c r="J64" s="517"/>
      <c r="K64" s="517"/>
      <c r="L64" s="517"/>
      <c r="M64" s="517"/>
      <c r="N64" s="517"/>
      <c r="O64" s="517"/>
      <c r="P64" s="682"/>
      <c r="Q64" s="683"/>
      <c r="R64" s="684"/>
      <c r="S64" s="685"/>
      <c r="T64" s="686"/>
      <c r="U64" s="168"/>
      <c r="V64" s="168"/>
      <c r="W64" s="168"/>
      <c r="X64" s="168"/>
      <c r="Y64" s="128"/>
      <c r="Z64" s="128"/>
      <c r="AA64" s="128"/>
      <c r="AB64" s="640"/>
      <c r="AC64" s="641"/>
      <c r="AD64" s="642"/>
      <c r="AE64" s="685"/>
      <c r="AF64" s="685"/>
      <c r="AG64" s="687"/>
      <c r="AH64" s="688"/>
      <c r="AI64" s="689"/>
      <c r="AJ64" s="690"/>
      <c r="AK64" s="691"/>
    </row>
    <row r="65" spans="1:58" s="76" customFormat="1" ht="15.75" outlineLevel="1">
      <c r="B65" s="676"/>
      <c r="C65" s="693"/>
      <c r="D65" s="694"/>
      <c r="E65" s="695"/>
      <c r="F65" s="696"/>
      <c r="G65" s="697"/>
      <c r="H65" s="247"/>
      <c r="I65" s="247"/>
      <c r="J65" s="698"/>
      <c r="K65" s="247"/>
      <c r="L65" s="699"/>
      <c r="M65" s="698"/>
      <c r="N65" s="698"/>
      <c r="O65" s="247"/>
      <c r="P65" s="700"/>
      <c r="Q65" s="185"/>
      <c r="R65" s="186"/>
      <c r="S65" s="297"/>
      <c r="T65" s="188"/>
      <c r="U65" s="168"/>
      <c r="V65" s="168"/>
      <c r="W65" s="168"/>
      <c r="X65" s="168"/>
      <c r="Y65" s="128"/>
      <c r="Z65" s="128"/>
      <c r="AA65" s="128"/>
      <c r="AB65" s="640"/>
      <c r="AC65" s="641"/>
      <c r="AD65" s="642"/>
      <c r="AE65" s="685"/>
      <c r="AF65" s="685"/>
      <c r="AG65" s="639"/>
      <c r="AH65" s="701"/>
      <c r="AI65" s="702"/>
      <c r="AJ65" s="703"/>
      <c r="AK65" s="704"/>
    </row>
    <row r="66" spans="1:58" s="120" customFormat="1" ht="30">
      <c r="B66" s="675" t="s">
        <v>2588</v>
      </c>
      <c r="C66" s="1148" t="str">
        <f>"Всего по "&amp;T62&amp;" "&amp;T66&amp;" ("&amp;$C$54&amp;"):"</f>
        <v>Всего по Вне Г.Н.П. Изолир. алюм. 50-100 мм (ВЛ-10 до 15 кВт (льгота)):</v>
      </c>
      <c r="D66" s="1148"/>
      <c r="E66" s="1148"/>
      <c r="F66" s="1149">
        <f t="shared" ref="F66:P66" si="37">SUM(F67:F68)</f>
        <v>0.47400000000000003</v>
      </c>
      <c r="G66" s="1186">
        <f>SUM(G67:G68)*0+0.93*400*4</f>
        <v>1488</v>
      </c>
      <c r="H66" s="1150">
        <f t="shared" si="37"/>
        <v>0</v>
      </c>
      <c r="I66" s="1150">
        <f t="shared" si="37"/>
        <v>0</v>
      </c>
      <c r="J66" s="1150">
        <f t="shared" si="37"/>
        <v>0</v>
      </c>
      <c r="K66" s="1150">
        <f t="shared" si="37"/>
        <v>50848.670000000042</v>
      </c>
      <c r="L66" s="1150">
        <f t="shared" si="37"/>
        <v>0</v>
      </c>
      <c r="M66" s="1150">
        <f t="shared" si="37"/>
        <v>0</v>
      </c>
      <c r="N66" s="1150">
        <f t="shared" si="37"/>
        <v>0</v>
      </c>
      <c r="O66" s="1150">
        <f t="shared" si="37"/>
        <v>413312.68999999994</v>
      </c>
      <c r="P66" s="1150">
        <f t="shared" si="37"/>
        <v>464161.36</v>
      </c>
      <c r="Q66" s="1151"/>
      <c r="R66" s="1151"/>
      <c r="S66" s="1151"/>
      <c r="T66" s="1151" t="s">
        <v>3005</v>
      </c>
      <c r="U66" s="128"/>
      <c r="V66" s="129"/>
      <c r="W66" s="630"/>
      <c r="X66" s="631"/>
      <c r="Y66" s="632"/>
      <c r="Z66" s="633"/>
      <c r="AA66" s="128"/>
      <c r="AB66" s="634"/>
      <c r="AC66" s="635"/>
      <c r="AD66" s="636"/>
      <c r="AE66" s="637"/>
      <c r="AF66" s="638"/>
      <c r="AG66" s="639"/>
      <c r="AH66" s="640"/>
      <c r="AI66" s="641"/>
      <c r="AJ66" s="642"/>
      <c r="AK66" s="638"/>
      <c r="AN66" s="643"/>
      <c r="AT66" s="126"/>
      <c r="AU66" s="644"/>
      <c r="BC66" s="120" t="str">
        <f>[24]Прил.1!$F$14</f>
        <v>50 - 100</v>
      </c>
      <c r="BD66" s="368" t="str">
        <f>CONCATENATE($BC$2,"; ",$BC$4,"; ",$BD$1,"; ",$BD$3,"; ",BC66)</f>
        <v>6-10 кВ; Вне Г.Н.П.; изолированный; алюминевый; 50 - 100</v>
      </c>
    </row>
    <row r="67" spans="1:58" ht="38.25" outlineLevel="1">
      <c r="A67" s="891">
        <f>IF(C67="","",1)</f>
        <v>1</v>
      </c>
      <c r="B67" s="920">
        <f>IF(A67="","",SUM($A$67:A67))</f>
        <v>1</v>
      </c>
      <c r="C67" s="956" t="s">
        <v>3314</v>
      </c>
      <c r="D67" s="922" t="str">
        <f>IF(AF67=0,"",AF67)</f>
        <v>2кв 2016</v>
      </c>
      <c r="E67" s="923">
        <v>10</v>
      </c>
      <c r="F67" s="966">
        <f>0.154+0.138+0.182</f>
        <v>0.47400000000000003</v>
      </c>
      <c r="G67" s="967">
        <f>$G$46</f>
        <v>1200</v>
      </c>
      <c r="H67" s="926"/>
      <c r="I67" s="926"/>
      <c r="J67" s="926"/>
      <c r="K67" s="926">
        <v>50848.670000000042</v>
      </c>
      <c r="L67" s="926"/>
      <c r="M67" s="926"/>
      <c r="N67" s="926"/>
      <c r="O67" s="926">
        <v>413312.68999999994</v>
      </c>
      <c r="P67" s="927">
        <v>464161.36</v>
      </c>
      <c r="Q67" s="928"/>
      <c r="R67" s="929" t="s">
        <v>2564</v>
      </c>
      <c r="S67" s="930"/>
      <c r="T67" s="954" t="s">
        <v>2590</v>
      </c>
      <c r="U67" s="602" t="s">
        <v>2946</v>
      </c>
      <c r="V67" s="968"/>
      <c r="W67" s="932" t="s">
        <v>3008</v>
      </c>
      <c r="X67" s="602" t="s">
        <v>2947</v>
      </c>
      <c r="Y67" s="933" t="str">
        <f>IF(X67="","",$C$54)</f>
        <v>ВЛ-10 до 15 кВт (льгота)</v>
      </c>
      <c r="Z67" s="933" t="e">
        <f>IF(X67="","",CONCATENATE(Y67,"-",X67,"; ",#REF!))</f>
        <v>#REF!</v>
      </c>
      <c r="AA67" s="934"/>
      <c r="AB67" s="935">
        <f>O67</f>
        <v>413312.68999999994</v>
      </c>
      <c r="AC67" s="936">
        <f>(I67+H67)</f>
        <v>0</v>
      </c>
      <c r="AD67" s="937">
        <f>K67</f>
        <v>50848.670000000042</v>
      </c>
      <c r="AE67" s="938">
        <f>AB67+AC67+AD67</f>
        <v>464161.36</v>
      </c>
      <c r="AF67" s="939" t="s">
        <v>3234</v>
      </c>
      <c r="AG67" s="940">
        <f>IF($AF67="1кв 2016",3.9,IF($AF67="2кв 2016",3.9,IF($AF67="3кв 2016",3.96,IF($AF67="4кв 2016",4.02,"не совпадает"))))</f>
        <v>3.9</v>
      </c>
      <c r="AH67" s="941">
        <f>IF(ISERROR(AB67/$AG67),"",AB67/$AG67)</f>
        <v>105977.6128205128</v>
      </c>
      <c r="AI67" s="942">
        <f>IF(ISERROR(AC67/$AG67),"",AC67/$AG67)</f>
        <v>0</v>
      </c>
      <c r="AJ67" s="943">
        <f>IF(ISERROR(AD67/$AG67),"",AD67/$AG67)</f>
        <v>13038.120512820524</v>
      </c>
      <c r="AK67" s="938">
        <f>SUM(AH67,AI67,AJ67)</f>
        <v>119015.73333333332</v>
      </c>
      <c r="AO67" s="896">
        <v>1</v>
      </c>
      <c r="AP67" s="959">
        <v>6</v>
      </c>
      <c r="AQ67" s="951" t="s">
        <v>3309</v>
      </c>
      <c r="AR67" s="896" t="str">
        <f>IF(B67="","",IF(P67=SUM(H67,I67,K67,O67),"ИСТИНА",P67-SUM(H67,I67,K67,O67)))</f>
        <v>ИСТИНА</v>
      </c>
      <c r="AS67" s="919" t="s">
        <v>3315</v>
      </c>
      <c r="AT67" s="899" t="e">
        <f>IF(AS67="","",VLOOKUP($AS67,[25]прил5МУ!N$25:O$84,2,FALSE)*1000)</f>
        <v>#N/A</v>
      </c>
      <c r="AU67" s="896" t="e">
        <f>IF(P67=AT67,"ИСТИНА",P67-AT67)</f>
        <v>#N/A</v>
      </c>
      <c r="AV67" s="961" t="s">
        <v>3311</v>
      </c>
      <c r="AW67" s="896">
        <f>IF(AS67="","",P67)</f>
        <v>464161.36</v>
      </c>
      <c r="AX67" s="896" t="e">
        <f>AT67=AW67</f>
        <v>#N/A</v>
      </c>
    </row>
    <row r="68" spans="1:58" s="76" customFormat="1" ht="15.75" outlineLevel="1">
      <c r="B68" s="676"/>
      <c r="C68" s="693"/>
      <c r="D68" s="694"/>
      <c r="E68" s="695"/>
      <c r="F68" s="696"/>
      <c r="G68" s="697"/>
      <c r="H68" s="247"/>
      <c r="I68" s="247"/>
      <c r="J68" s="698"/>
      <c r="K68" s="247"/>
      <c r="L68" s="699"/>
      <c r="M68" s="698"/>
      <c r="N68" s="698"/>
      <c r="O68" s="247"/>
      <c r="P68" s="700"/>
      <c r="Q68" s="185"/>
      <c r="R68" s="186"/>
      <c r="S68" s="297"/>
      <c r="T68" s="188"/>
      <c r="U68" s="168"/>
      <c r="V68" s="168"/>
      <c r="W68" s="168"/>
      <c r="X68" s="168"/>
      <c r="Y68" s="128"/>
      <c r="Z68" s="128"/>
      <c r="AA68" s="128"/>
      <c r="AB68" s="640"/>
      <c r="AC68" s="641"/>
      <c r="AD68" s="642"/>
      <c r="AE68" s="685"/>
      <c r="AF68" s="685"/>
      <c r="AG68" s="639"/>
      <c r="AH68" s="701"/>
      <c r="AI68" s="702"/>
      <c r="AJ68" s="703"/>
      <c r="AK68" s="704"/>
    </row>
    <row r="69" spans="1:58" s="120" customFormat="1" ht="30">
      <c r="B69" s="675" t="s">
        <v>3148</v>
      </c>
      <c r="C69" s="1148" t="str">
        <f>"Всего по "&amp;T62&amp;" "&amp;T69&amp;" ("&amp;$C$54&amp;"):"</f>
        <v>Всего по Вне Г.Н.П. Неизолир. сталеалюм. до 50 мм (ВЛ-10 до 15 кВт (льгота)):</v>
      </c>
      <c r="D69" s="1148"/>
      <c r="E69" s="1148"/>
      <c r="F69" s="1149">
        <f t="shared" ref="F69:P69" si="38">SUM(F70:F71)</f>
        <v>0.115</v>
      </c>
      <c r="G69" s="1150">
        <f t="shared" si="38"/>
        <v>10</v>
      </c>
      <c r="H69" s="1150">
        <f t="shared" si="38"/>
        <v>0</v>
      </c>
      <c r="I69" s="1150">
        <f t="shared" si="38"/>
        <v>0</v>
      </c>
      <c r="J69" s="1150">
        <f t="shared" si="38"/>
        <v>0</v>
      </c>
      <c r="K69" s="1150">
        <f t="shared" si="38"/>
        <v>7241.78</v>
      </c>
      <c r="L69" s="1150">
        <f t="shared" si="38"/>
        <v>0</v>
      </c>
      <c r="M69" s="1150">
        <f t="shared" si="38"/>
        <v>0</v>
      </c>
      <c r="N69" s="1150">
        <f t="shared" si="38"/>
        <v>0</v>
      </c>
      <c r="O69" s="1150">
        <f t="shared" si="38"/>
        <v>73529.81</v>
      </c>
      <c r="P69" s="1150">
        <f t="shared" si="38"/>
        <v>80771.59</v>
      </c>
      <c r="Q69" s="1151"/>
      <c r="R69" s="1151"/>
      <c r="S69" s="1151"/>
      <c r="T69" s="1151" t="s">
        <v>3137</v>
      </c>
      <c r="U69" s="128"/>
      <c r="V69" s="129"/>
      <c r="W69" s="630"/>
      <c r="X69" s="631"/>
      <c r="Y69" s="632"/>
      <c r="Z69" s="633"/>
      <c r="AA69" s="128"/>
      <c r="AB69" s="634"/>
      <c r="AC69" s="635"/>
      <c r="AD69" s="636"/>
      <c r="AE69" s="637"/>
      <c r="AF69" s="638"/>
      <c r="AG69" s="639"/>
      <c r="AH69" s="640"/>
      <c r="AI69" s="641"/>
      <c r="AJ69" s="642"/>
      <c r="AK69" s="638"/>
      <c r="AN69" s="643"/>
      <c r="AT69" s="126"/>
      <c r="AU69" s="644"/>
      <c r="BC69" s="120" t="str">
        <f>[24]Прил.1!$F$13</f>
        <v>до 50 вкл.</v>
      </c>
      <c r="BD69" s="368" t="str">
        <f>CONCATENATE($BC$2,"; ",$BC$4,"; ",$BD$2,"; ",$BD$4,"; ",BC69)</f>
        <v>6-10 кВ; Вне Г.Н.П.; неизолированный; сталеалюминиевый; до 50 вкл.</v>
      </c>
    </row>
    <row r="70" spans="1:58" ht="33.75" outlineLevel="1">
      <c r="A70" s="891">
        <f>IF(C70="","",1)</f>
        <v>1</v>
      </c>
      <c r="B70" s="920">
        <f>B67+1</f>
        <v>2</v>
      </c>
      <c r="C70" s="921" t="s">
        <v>3316</v>
      </c>
      <c r="D70" s="922" t="str">
        <f>IF(AF70=0,"",AF70)</f>
        <v>2кв 2016</v>
      </c>
      <c r="E70" s="923">
        <v>10</v>
      </c>
      <c r="F70" s="966">
        <v>0.115</v>
      </c>
      <c r="G70" s="925">
        <v>10</v>
      </c>
      <c r="H70" s="926"/>
      <c r="I70" s="926"/>
      <c r="J70" s="926"/>
      <c r="K70" s="926">
        <f>7241.78</f>
        <v>7241.78</v>
      </c>
      <c r="L70" s="926"/>
      <c r="M70" s="926"/>
      <c r="N70" s="926"/>
      <c r="O70" s="926">
        <f>73529.81</f>
        <v>73529.81</v>
      </c>
      <c r="P70" s="927">
        <f>80771.59</f>
        <v>80771.59</v>
      </c>
      <c r="Q70" s="928"/>
      <c r="R70" s="929" t="s">
        <v>2564</v>
      </c>
      <c r="S70" s="930" t="s">
        <v>3317</v>
      </c>
      <c r="T70" s="954" t="s">
        <v>3151</v>
      </c>
      <c r="U70" s="602" t="s">
        <v>2950</v>
      </c>
      <c r="V70" s="968"/>
      <c r="W70" s="932" t="s">
        <v>3008</v>
      </c>
      <c r="X70" s="602" t="s">
        <v>2947</v>
      </c>
      <c r="Y70" s="933" t="str">
        <f>IF(X70="","",$C$54)</f>
        <v>ВЛ-10 до 15 кВт (льгота)</v>
      </c>
      <c r="Z70" s="933" t="e">
        <f>IF(X70="","",CONCATENATE(Y70,"-",X70,"; ",#REF!))</f>
        <v>#REF!</v>
      </c>
      <c r="AA70" s="934"/>
      <c r="AB70" s="935">
        <f>O70</f>
        <v>73529.81</v>
      </c>
      <c r="AC70" s="936">
        <f>(I70+H70)</f>
        <v>0</v>
      </c>
      <c r="AD70" s="937">
        <f>K70</f>
        <v>7241.78</v>
      </c>
      <c r="AE70" s="938">
        <f>AB70+AC70+AD70</f>
        <v>80771.59</v>
      </c>
      <c r="AF70" s="939" t="s">
        <v>3234</v>
      </c>
      <c r="AG70" s="940">
        <f>IF($AF70="1кв 2016",3.9,IF($AF70="2кв 2016",3.9,IF($AF70="3кв 2016",3.96,IF($AF70="4кв 2016",4.02,"не совпадает"))))</f>
        <v>3.9</v>
      </c>
      <c r="AH70" s="941">
        <f>IF(ISERROR(AB70/$AG70),"",AB70/$AG70)</f>
        <v>18853.797435897435</v>
      </c>
      <c r="AI70" s="942">
        <f>IF(ISERROR(AC70/$AG70),"",AC70/$AG70)</f>
        <v>0</v>
      </c>
      <c r="AJ70" s="943">
        <f>IF(ISERROR(AD70/$AG70),"",AD70/$AG70)</f>
        <v>1856.8666666666666</v>
      </c>
      <c r="AK70" s="938">
        <f>SUM(AH70,AI70,AJ70)</f>
        <v>20710.6641025641</v>
      </c>
      <c r="AO70" s="896">
        <v>1</v>
      </c>
      <c r="AP70" s="896">
        <v>7</v>
      </c>
      <c r="AR70" s="896" t="str">
        <f>IF(B70="","",IF(P70=SUM(H70,I70,K70,O70),"ИСТИНА",P70-SUM(H70,I70,K70,O70)))</f>
        <v>ИСТИНА</v>
      </c>
      <c r="AS70" s="919" t="s">
        <v>3318</v>
      </c>
      <c r="AT70" s="899">
        <f>IF(AS70="","",VLOOKUP($AS70,[25]прил5МУ!N$25:O$84,2,FALSE)*1000)</f>
        <v>80771.59</v>
      </c>
      <c r="AU70" s="896" t="str">
        <f>IF(P70=AT70,"ИСТИНА",P70-AT70)</f>
        <v>ИСТИНА</v>
      </c>
      <c r="AW70" s="896">
        <f>IF(AS70="","",P70)</f>
        <v>80771.59</v>
      </c>
      <c r="AX70" s="896" t="b">
        <f>AT70=AW70</f>
        <v>1</v>
      </c>
    </row>
    <row r="71" spans="1:58" s="76" customFormat="1" ht="15.75" outlineLevel="1">
      <c r="B71" s="676"/>
      <c r="C71" s="693"/>
      <c r="D71" s="694"/>
      <c r="E71" s="695"/>
      <c r="F71" s="696"/>
      <c r="G71" s="697"/>
      <c r="H71" s="247"/>
      <c r="I71" s="247"/>
      <c r="J71" s="698"/>
      <c r="K71" s="247"/>
      <c r="L71" s="699"/>
      <c r="M71" s="698"/>
      <c r="N71" s="698"/>
      <c r="O71" s="247"/>
      <c r="P71" s="700"/>
      <c r="Q71" s="185"/>
      <c r="R71" s="186"/>
      <c r="S71" s="297"/>
      <c r="T71" s="188"/>
      <c r="U71" s="168"/>
      <c r="V71" s="168"/>
      <c r="W71" s="168"/>
      <c r="X71" s="168"/>
      <c r="Y71" s="128"/>
      <c r="Z71" s="128"/>
      <c r="AA71" s="128"/>
      <c r="AB71" s="640"/>
      <c r="AC71" s="641"/>
      <c r="AD71" s="642"/>
      <c r="AE71" s="685"/>
      <c r="AF71" s="685"/>
      <c r="AG71" s="639"/>
      <c r="AH71" s="701"/>
      <c r="AI71" s="702"/>
      <c r="AJ71" s="703"/>
      <c r="AK71" s="704"/>
    </row>
    <row r="72" spans="1:58" s="120" customFormat="1" ht="30">
      <c r="B72" s="675" t="s">
        <v>3319</v>
      </c>
      <c r="C72" s="1148" t="str">
        <f>"Всего по "&amp;T65&amp;" "&amp;T72&amp;" ("&amp;$C$54&amp;"):"</f>
        <v>Всего по  Неизолир. сталеалюм. 50-100 мм (ВЛ-10 до 15 кВт (льгота)):</v>
      </c>
      <c r="D72" s="1148"/>
      <c r="E72" s="1148"/>
      <c r="F72" s="1149">
        <f t="shared" ref="F72:P72" si="39">SUM(F73:F74)</f>
        <v>2.952</v>
      </c>
      <c r="G72" s="1186">
        <f>SUM(G73:G74)*0+0.93*400*4</f>
        <v>1488</v>
      </c>
      <c r="H72" s="1150">
        <f t="shared" si="39"/>
        <v>0</v>
      </c>
      <c r="I72" s="1150">
        <f t="shared" si="39"/>
        <v>0</v>
      </c>
      <c r="J72" s="1150">
        <f t="shared" si="39"/>
        <v>0</v>
      </c>
      <c r="K72" s="1150">
        <f t="shared" si="39"/>
        <v>316677.78999999998</v>
      </c>
      <c r="L72" s="1150">
        <f t="shared" si="39"/>
        <v>0</v>
      </c>
      <c r="M72" s="1150">
        <f t="shared" si="39"/>
        <v>0</v>
      </c>
      <c r="N72" s="1150">
        <f t="shared" si="39"/>
        <v>0</v>
      </c>
      <c r="O72" s="1150">
        <f t="shared" si="39"/>
        <v>2574048.63</v>
      </c>
      <c r="P72" s="1150">
        <f t="shared" si="39"/>
        <v>2890726.42</v>
      </c>
      <c r="Q72" s="1151"/>
      <c r="R72" s="1151"/>
      <c r="S72" s="1151"/>
      <c r="T72" s="1151" t="s">
        <v>3320</v>
      </c>
      <c r="U72" s="128"/>
      <c r="V72" s="129"/>
      <c r="W72" s="630"/>
      <c r="X72" s="631"/>
      <c r="Y72" s="632"/>
      <c r="Z72" s="633"/>
      <c r="AA72" s="128"/>
      <c r="AB72" s="634"/>
      <c r="AC72" s="635"/>
      <c r="AD72" s="636"/>
      <c r="AE72" s="637"/>
      <c r="AF72" s="638"/>
      <c r="AG72" s="639"/>
      <c r="AH72" s="640"/>
      <c r="AI72" s="641"/>
      <c r="AJ72" s="642"/>
      <c r="AK72" s="638"/>
      <c r="AN72" s="643"/>
      <c r="AT72" s="126"/>
      <c r="AU72" s="644"/>
      <c r="BC72" s="120" t="str">
        <f>[24]Прил.1!$F$14</f>
        <v>50 - 100</v>
      </c>
      <c r="BD72" s="368" t="str">
        <f>CONCATENATE($BC$2,"; ",$BC$4,"; ",$BD$2,"; ",$BD$4,"; ",BC72)</f>
        <v>6-10 кВ; Вне Г.Н.П.; неизолированный; сталеалюминиевый; 50 - 100</v>
      </c>
    </row>
    <row r="73" spans="1:58" ht="38.25" outlineLevel="1">
      <c r="A73" s="891">
        <f>IF(C73="","",1)</f>
        <v>1</v>
      </c>
      <c r="B73" s="953">
        <f>B70+1</f>
        <v>3</v>
      </c>
      <c r="C73" s="956" t="s">
        <v>3314</v>
      </c>
      <c r="D73" s="922" t="str">
        <f>IF(AF73=0,"",AF73)</f>
        <v>2кв 2016</v>
      </c>
      <c r="E73" s="923">
        <v>10</v>
      </c>
      <c r="F73" s="957">
        <v>2.952</v>
      </c>
      <c r="G73" s="967">
        <f>$G$46</f>
        <v>1200</v>
      </c>
      <c r="H73" s="926"/>
      <c r="I73" s="926"/>
      <c r="J73" s="926"/>
      <c r="K73" s="926">
        <v>316677.78999999998</v>
      </c>
      <c r="L73" s="926"/>
      <c r="M73" s="926"/>
      <c r="N73" s="926"/>
      <c r="O73" s="926">
        <v>2574048.63</v>
      </c>
      <c r="P73" s="927">
        <v>2890726.42</v>
      </c>
      <c r="Q73" s="928"/>
      <c r="R73" s="929" t="s">
        <v>2564</v>
      </c>
      <c r="S73" s="930"/>
      <c r="T73" s="954" t="s">
        <v>2590</v>
      </c>
      <c r="U73" s="602" t="s">
        <v>2950</v>
      </c>
      <c r="V73" s="932"/>
      <c r="W73" s="932" t="s">
        <v>3008</v>
      </c>
      <c r="X73" s="602" t="s">
        <v>2947</v>
      </c>
      <c r="Y73" s="933" t="str">
        <f>IF(X73="","",$C$54)</f>
        <v>ВЛ-10 до 15 кВт (льгота)</v>
      </c>
      <c r="Z73" s="933" t="e">
        <f>IF(X73="","",CONCATENATE(Y73,"-",X73,"; ",#REF!))</f>
        <v>#REF!</v>
      </c>
      <c r="AA73" s="934"/>
      <c r="AB73" s="935">
        <f>O73</f>
        <v>2574048.63</v>
      </c>
      <c r="AC73" s="936">
        <f>(I73+H73)</f>
        <v>0</v>
      </c>
      <c r="AD73" s="937">
        <f>K73</f>
        <v>316677.78999999998</v>
      </c>
      <c r="AE73" s="938">
        <f>AB73+AC73+AD73</f>
        <v>2890726.42</v>
      </c>
      <c r="AF73" s="939" t="s">
        <v>3234</v>
      </c>
      <c r="AG73" s="940">
        <f>IF($AF73="1кв 2016",3.9,IF($AF73="2кв 2016",3.9,IF($AF73="3кв 2016",3.96,IF($AF73="4кв 2016",4.02,"не совпадает"))))</f>
        <v>3.9</v>
      </c>
      <c r="AH73" s="941">
        <f>IF(ISERROR(AB73/$AG73),"",AB73/$AG73)</f>
        <v>660012.4692307692</v>
      </c>
      <c r="AI73" s="942">
        <f>IF(ISERROR(AC73/$AG73),"",AC73/$AG73)</f>
        <v>0</v>
      </c>
      <c r="AJ73" s="943">
        <f>IF(ISERROR(AD73/$AG73),"",AD73/$AG73)</f>
        <v>81199.433333333334</v>
      </c>
      <c r="AK73" s="938">
        <f>SUM(AH73,AI73,AJ73)</f>
        <v>741211.90256410255</v>
      </c>
      <c r="AO73" s="896">
        <v>1</v>
      </c>
      <c r="AP73" s="959">
        <v>6</v>
      </c>
      <c r="AQ73" s="951" t="s">
        <v>3309</v>
      </c>
      <c r="AR73" s="896" t="str">
        <f>IF(B73="","",IF(P73=SUM(H73,I73,K73,O73),"ИСТИНА",P73-SUM(H73,I73,K73,O73)))</f>
        <v>ИСТИНА</v>
      </c>
      <c r="AS73" s="919" t="s">
        <v>3315</v>
      </c>
      <c r="AT73" s="899" t="e">
        <f>IF(AS73="","",VLOOKUP($AS73,[25]прил5МУ!N$25:O$84,2,FALSE)*1000)</f>
        <v>#N/A</v>
      </c>
      <c r="AU73" s="960" t="e">
        <f>IF(SUM(P73:P74)=AT73,"ИСТИНА",SUM(P73:P74)-AT73)</f>
        <v>#N/A</v>
      </c>
      <c r="AV73" s="961" t="s">
        <v>3311</v>
      </c>
      <c r="AW73" s="896">
        <f>IF(AS73="","",P73)</f>
        <v>2890726.42</v>
      </c>
      <c r="AX73" s="896" t="e">
        <f>AT73=AW73</f>
        <v>#N/A</v>
      </c>
    </row>
    <row r="74" spans="1:58" s="76" customFormat="1" ht="15.75" outlineLevel="1">
      <c r="B74" s="179"/>
      <c r="C74" s="693"/>
      <c r="D74" s="694"/>
      <c r="E74" s="695"/>
      <c r="F74" s="696"/>
      <c r="G74" s="697"/>
      <c r="H74" s="247"/>
      <c r="I74" s="247"/>
      <c r="J74" s="698"/>
      <c r="K74" s="247"/>
      <c r="L74" s="699"/>
      <c r="M74" s="698"/>
      <c r="N74" s="698"/>
      <c r="O74" s="247"/>
      <c r="P74" s="700"/>
      <c r="Q74" s="185"/>
      <c r="R74" s="186"/>
      <c r="S74" s="297"/>
      <c r="T74" s="188"/>
      <c r="U74" s="168"/>
      <c r="V74" s="168"/>
      <c r="W74" s="168"/>
      <c r="X74" s="168"/>
      <c r="Y74" s="128"/>
      <c r="Z74" s="128"/>
      <c r="AA74" s="128"/>
      <c r="AB74" s="640"/>
      <c r="AC74" s="641"/>
      <c r="AD74" s="642"/>
      <c r="AE74" s="685"/>
      <c r="AF74" s="685"/>
      <c r="AG74" s="639"/>
      <c r="AH74" s="701"/>
      <c r="AI74" s="702"/>
      <c r="AJ74" s="703"/>
      <c r="AK74" s="704"/>
    </row>
    <row r="75" spans="1:58" ht="18.75">
      <c r="B75" s="1161">
        <f>MAX(B55:B74)</f>
        <v>3</v>
      </c>
      <c r="C75" s="1162" t="str">
        <f>"ИТОГО по "&amp;$C$54&amp;":"</f>
        <v>ИТОГО по ВЛ-10 до 15 кВт (льгота):</v>
      </c>
      <c r="D75" s="1162"/>
      <c r="E75" s="1162"/>
      <c r="F75" s="1163">
        <f>SUM(F55,F62)</f>
        <v>3.5409999999999999</v>
      </c>
      <c r="G75" s="1164">
        <f t="shared" ref="G75:P75" si="40">SUM(G55,G62)</f>
        <v>2986</v>
      </c>
      <c r="H75" s="1164">
        <f t="shared" si="40"/>
        <v>0</v>
      </c>
      <c r="I75" s="1164">
        <f t="shared" si="40"/>
        <v>0</v>
      </c>
      <c r="J75" s="1164">
        <f t="shared" si="40"/>
        <v>0</v>
      </c>
      <c r="K75" s="1164">
        <f t="shared" si="40"/>
        <v>374768.24</v>
      </c>
      <c r="L75" s="1164">
        <f t="shared" si="40"/>
        <v>0</v>
      </c>
      <c r="M75" s="1164">
        <f t="shared" si="40"/>
        <v>0</v>
      </c>
      <c r="N75" s="1164">
        <f t="shared" si="40"/>
        <v>0</v>
      </c>
      <c r="O75" s="1164">
        <f t="shared" si="40"/>
        <v>3060891.13</v>
      </c>
      <c r="P75" s="1164">
        <f t="shared" si="40"/>
        <v>3435659.37</v>
      </c>
      <c r="Q75" s="1125"/>
      <c r="R75" s="1129"/>
      <c r="S75" s="1125"/>
      <c r="T75" s="1125"/>
      <c r="U75" s="965"/>
      <c r="V75" s="965"/>
      <c r="W75" s="965"/>
      <c r="Y75" s="933" t="str">
        <f t="shared" ref="Y75:Y77" si="41">IF(X75="","",$C$54)</f>
        <v/>
      </c>
      <c r="Z75" s="933" t="str">
        <f>IF(X75="","",CONCATENATE(Y75,"-",X75,"; ",#REF!))</f>
        <v/>
      </c>
      <c r="AA75" s="934"/>
      <c r="AB75" s="916"/>
      <c r="AC75" s="917"/>
      <c r="AD75" s="918"/>
      <c r="AE75" s="914"/>
      <c r="AF75" s="939"/>
      <c r="AG75" s="940" t="str">
        <f t="shared" ref="AG75:AG162" si="42">IF($AF75="1кв 2016",3.9,IF($AF75="2кв 2016",3.9,IF($AF75="3кв 2016",3.96,IF($AF75="4кв 2016",4.02,"не совпадает"))))</f>
        <v>не совпадает</v>
      </c>
      <c r="AH75" s="941" t="str">
        <f t="shared" si="27"/>
        <v/>
      </c>
      <c r="AI75" s="942" t="str">
        <f t="shared" si="27"/>
        <v/>
      </c>
      <c r="AJ75" s="943" t="str">
        <f t="shared" si="27"/>
        <v/>
      </c>
      <c r="AK75" s="938">
        <f t="shared" si="28"/>
        <v>0</v>
      </c>
      <c r="AN75" s="963"/>
      <c r="AS75" s="919"/>
      <c r="AT75" s="899" t="str">
        <f>IF(AS75="","",VLOOKUP($AS75,[25]прил5МУ!N$25:O$84,2,FALSE)*1000)</f>
        <v/>
      </c>
      <c r="AU75" s="896" t="e">
        <f>IF(P75=AT75,"ИСТИНА",P75-AT75)</f>
        <v>#VALUE!</v>
      </c>
      <c r="AW75" s="896" t="str">
        <f>IF(AS75="","",P75)</f>
        <v/>
      </c>
      <c r="AX75" s="896" t="b">
        <f t="shared" ref="AX75:AX175" si="43">AT75=AW75</f>
        <v>1</v>
      </c>
    </row>
    <row r="76" spans="1:58" s="969" customFormat="1" ht="21">
      <c r="B76" s="1175"/>
      <c r="C76" s="1176" t="str">
        <f>"ИТОГО ВЛ "&amp;$C$8&amp;":"</f>
        <v>ИТОГО ВЛ до 15 кВт (льгота):</v>
      </c>
      <c r="D76" s="1176"/>
      <c r="E76" s="1176"/>
      <c r="F76" s="1177">
        <f>SUM(F52,F75)</f>
        <v>8.9930000000000003</v>
      </c>
      <c r="G76" s="1178">
        <f t="shared" ref="G76:P76" si="44">SUM(G52,G75)</f>
        <v>4647.13</v>
      </c>
      <c r="H76" s="1178">
        <f t="shared" si="44"/>
        <v>4836.26</v>
      </c>
      <c r="I76" s="1178">
        <f t="shared" si="44"/>
        <v>0</v>
      </c>
      <c r="J76" s="1178">
        <f t="shared" si="44"/>
        <v>0</v>
      </c>
      <c r="K76" s="1178">
        <f t="shared" si="44"/>
        <v>1480929.25</v>
      </c>
      <c r="L76" s="1178">
        <f t="shared" si="44"/>
        <v>0</v>
      </c>
      <c r="M76" s="1178">
        <f t="shared" si="44"/>
        <v>0</v>
      </c>
      <c r="N76" s="1178">
        <f t="shared" si="44"/>
        <v>0</v>
      </c>
      <c r="O76" s="1178" t="e">
        <f t="shared" si="44"/>
        <v>#REF!</v>
      </c>
      <c r="P76" s="1178">
        <f t="shared" si="44"/>
        <v>7552101.8200000003</v>
      </c>
      <c r="Q76" s="1179"/>
      <c r="R76" s="1179"/>
      <c r="S76" s="1179"/>
      <c r="T76" s="1180"/>
      <c r="U76" s="970"/>
      <c r="V76" s="971"/>
      <c r="W76" s="972"/>
      <c r="X76" s="973"/>
      <c r="Y76" s="974" t="str">
        <f>IF(X76="","",#REF!)</f>
        <v/>
      </c>
      <c r="Z76" s="975" t="str">
        <f t="shared" ref="Z76" si="45">IF(X76="","",CONCATENATE(Y76,"-",X76,"; ",$T$53))</f>
        <v/>
      </c>
      <c r="AA76" s="934"/>
      <c r="AB76" s="916"/>
      <c r="AC76" s="917"/>
      <c r="AD76" s="918"/>
      <c r="AE76" s="914"/>
      <c r="AF76" s="976"/>
      <c r="AG76" s="977" t="str">
        <f t="shared" si="42"/>
        <v>не совпадает</v>
      </c>
      <c r="AH76" s="978" t="str">
        <f>IF(ISERROR(AB76/$AG76),"",AB76/$AG76)</f>
        <v/>
      </c>
      <c r="AI76" s="979" t="str">
        <f>IF(ISERROR(AC76/$AG76),"",AC76/$AG76)</f>
        <v/>
      </c>
      <c r="AJ76" s="980" t="str">
        <f>IF(ISERROR(AD76/$AG76),"",AD76/$AG76)</f>
        <v/>
      </c>
      <c r="AK76" s="981">
        <f t="shared" si="28"/>
        <v>0</v>
      </c>
      <c r="AL76" s="895"/>
      <c r="AM76" s="896">
        <f>IF(P76=AE76,"Истина",P76-AE76)</f>
        <v>7552101.8200000003</v>
      </c>
      <c r="AN76" s="982"/>
      <c r="AO76" s="982"/>
      <c r="AP76" s="1181"/>
      <c r="AQ76" s="1182"/>
      <c r="AR76" s="982"/>
      <c r="AS76" s="919"/>
      <c r="AT76" s="899" t="str">
        <f>IF(AS76="","",VLOOKUP($AS76,[25]прил5МУ!N$25:O$84,2,FALSE)*1000)</f>
        <v/>
      </c>
      <c r="AU76" s="896" t="e">
        <f>IF(P76=AT76,"ИСТИНА",P76-AT76)</f>
        <v>#VALUE!</v>
      </c>
      <c r="AV76" s="896"/>
      <c r="AW76" s="896" t="str">
        <f>IF(AS76="","",P76)</f>
        <v/>
      </c>
      <c r="AX76" s="896" t="b">
        <f t="shared" si="43"/>
        <v>1</v>
      </c>
      <c r="AY76" s="982"/>
      <c r="AZ76" s="982"/>
      <c r="BF76" s="982"/>
    </row>
    <row r="77" spans="1:58" ht="18.75">
      <c r="B77" s="1131" t="s">
        <v>8</v>
      </c>
      <c r="C77" s="3257" t="s">
        <v>2591</v>
      </c>
      <c r="D77" s="3258"/>
      <c r="E77" s="3258"/>
      <c r="F77" s="3258"/>
      <c r="G77" s="3258"/>
      <c r="H77" s="3258"/>
      <c r="I77" s="3258"/>
      <c r="J77" s="3258"/>
      <c r="K77" s="3258"/>
      <c r="L77" s="3258"/>
      <c r="M77" s="3258"/>
      <c r="N77" s="3258"/>
      <c r="O77" s="3258"/>
      <c r="P77" s="3258"/>
      <c r="Q77" s="3258"/>
      <c r="R77" s="3258"/>
      <c r="S77" s="3258"/>
      <c r="T77" s="3259"/>
      <c r="U77" s="912"/>
      <c r="V77" s="912"/>
      <c r="W77" s="912"/>
      <c r="Y77" s="933" t="str">
        <f t="shared" si="41"/>
        <v/>
      </c>
      <c r="Z77" s="933" t="str">
        <f>IF(X77="","",CONCATENATE(Y77,"-",X77,"; ",#REF!))</f>
        <v/>
      </c>
      <c r="AA77" s="934"/>
      <c r="AB77" s="916"/>
      <c r="AC77" s="917"/>
      <c r="AD77" s="918"/>
      <c r="AE77" s="914"/>
      <c r="AF77" s="939"/>
      <c r="AG77" s="940" t="str">
        <f t="shared" si="42"/>
        <v>не совпадает</v>
      </c>
      <c r="AH77" s="941" t="str">
        <f t="shared" ref="AH77:AJ164" si="46">IF(ISERROR(AB77/$AG77),"",AB77/$AG77)</f>
        <v/>
      </c>
      <c r="AI77" s="942" t="str">
        <f t="shared" si="46"/>
        <v/>
      </c>
      <c r="AJ77" s="943" t="str">
        <f t="shared" si="46"/>
        <v/>
      </c>
      <c r="AK77" s="938">
        <f t="shared" si="28"/>
        <v>0</v>
      </c>
      <c r="AN77" s="963"/>
      <c r="AS77" s="919"/>
      <c r="AT77" s="899" t="str">
        <f>IF(AS77="","",VLOOKUP($AS77,[25]прил5МУ!N$25:O$84,2,FALSE)*1000)</f>
        <v/>
      </c>
      <c r="AU77" s="896" t="str">
        <f>IF(P77=AT77,"ИСТИНА",P77-AT77)</f>
        <v>ИСТИНА</v>
      </c>
      <c r="AW77" s="896" t="str">
        <f>IF(AS77="","",P77)</f>
        <v/>
      </c>
      <c r="AX77" s="896" t="b">
        <f t="shared" si="43"/>
        <v>1</v>
      </c>
    </row>
    <row r="78" spans="1:58" ht="18.75">
      <c r="B78" s="1135" t="s">
        <v>9</v>
      </c>
      <c r="C78" s="1136" t="s">
        <v>2592</v>
      </c>
      <c r="D78" s="1137"/>
      <c r="E78" s="1137"/>
      <c r="F78" s="1138">
        <f>SUM(F79,F86)</f>
        <v>0</v>
      </c>
      <c r="G78" s="1139">
        <f t="shared" ref="G78:P78" si="47">SUM(G79,G86)</f>
        <v>0</v>
      </c>
      <c r="H78" s="1139">
        <f t="shared" si="47"/>
        <v>0</v>
      </c>
      <c r="I78" s="1139">
        <f t="shared" si="47"/>
        <v>0</v>
      </c>
      <c r="J78" s="1139">
        <f t="shared" si="47"/>
        <v>0</v>
      </c>
      <c r="K78" s="1139">
        <f t="shared" si="47"/>
        <v>0</v>
      </c>
      <c r="L78" s="1139">
        <f t="shared" si="47"/>
        <v>0</v>
      </c>
      <c r="M78" s="1139">
        <f t="shared" si="47"/>
        <v>0</v>
      </c>
      <c r="N78" s="1139">
        <f t="shared" si="47"/>
        <v>0</v>
      </c>
      <c r="O78" s="1139">
        <f t="shared" si="47"/>
        <v>0</v>
      </c>
      <c r="P78" s="1139">
        <f t="shared" si="47"/>
        <v>0</v>
      </c>
      <c r="Q78" s="1137"/>
      <c r="R78" s="1137"/>
      <c r="S78" s="1137"/>
      <c r="T78" s="1140"/>
      <c r="U78" s="915"/>
      <c r="V78" s="915"/>
      <c r="W78" s="915"/>
      <c r="Y78" s="933" t="str">
        <f>IF(X78="","",$C$78)</f>
        <v/>
      </c>
      <c r="Z78" s="933" t="str">
        <f>IF(X78="","",CONCATENATE(Y78,"-",X78,"; ",#REF!))</f>
        <v/>
      </c>
      <c r="AA78" s="934"/>
      <c r="AB78" s="916"/>
      <c r="AC78" s="917"/>
      <c r="AD78" s="918"/>
      <c r="AE78" s="914"/>
      <c r="AF78" s="939"/>
      <c r="AG78" s="940" t="str">
        <f t="shared" si="42"/>
        <v>не совпадает</v>
      </c>
      <c r="AH78" s="941" t="str">
        <f t="shared" si="46"/>
        <v/>
      </c>
      <c r="AI78" s="942" t="str">
        <f t="shared" si="46"/>
        <v/>
      </c>
      <c r="AJ78" s="943" t="str">
        <f t="shared" si="46"/>
        <v/>
      </c>
      <c r="AK78" s="938">
        <f t="shared" si="28"/>
        <v>0</v>
      </c>
      <c r="AN78" s="963"/>
      <c r="AS78" s="919"/>
      <c r="AT78" s="899" t="str">
        <f>IF(AS78="","",VLOOKUP($AS78,[25]прил5МУ!N$25:O$84,2,FALSE)*1000)</f>
        <v/>
      </c>
      <c r="AU78" s="896" t="e">
        <f>IF(P78=AT78,"ИСТИНА",P78-AT78)</f>
        <v>#VALUE!</v>
      </c>
      <c r="AW78" s="896" t="str">
        <f>IF(AS78="","",P78)</f>
        <v/>
      </c>
      <c r="AX78" s="896" t="b">
        <f t="shared" si="43"/>
        <v>1</v>
      </c>
      <c r="BC78" s="625" t="str">
        <f>C78</f>
        <v>ВЛ-0,4 до 15 кВт (не льгота)</v>
      </c>
    </row>
    <row r="79" spans="1:58" s="120" customFormat="1" ht="15.75" customHeight="1">
      <c r="B79" s="1141" t="s">
        <v>2593</v>
      </c>
      <c r="C79" s="1142" t="str">
        <f>"Всего по "&amp;T79&amp;" ("&amp;$C$78&amp;"):"</f>
        <v>Всего по Г.Н.П. (ВЛ-0,4 до 15 кВт (не льгота)):</v>
      </c>
      <c r="D79" s="1143"/>
      <c r="E79" s="1143"/>
      <c r="F79" s="1144">
        <f>SUM(F80,F83)</f>
        <v>0</v>
      </c>
      <c r="G79" s="1145">
        <f t="shared" ref="G79:Q79" si="48">SUM(G80,G83)</f>
        <v>0</v>
      </c>
      <c r="H79" s="1145">
        <f t="shared" si="48"/>
        <v>0</v>
      </c>
      <c r="I79" s="1145">
        <f t="shared" si="48"/>
        <v>0</v>
      </c>
      <c r="J79" s="1145">
        <f t="shared" si="48"/>
        <v>0</v>
      </c>
      <c r="K79" s="1145">
        <f t="shared" si="48"/>
        <v>0</v>
      </c>
      <c r="L79" s="1145">
        <f t="shared" si="48"/>
        <v>0</v>
      </c>
      <c r="M79" s="1145">
        <f t="shared" si="48"/>
        <v>0</v>
      </c>
      <c r="N79" s="1145">
        <f t="shared" si="48"/>
        <v>0</v>
      </c>
      <c r="O79" s="1145">
        <f t="shared" si="48"/>
        <v>0</v>
      </c>
      <c r="P79" s="1145">
        <f t="shared" si="48"/>
        <v>0</v>
      </c>
      <c r="Q79" s="1183">
        <f t="shared" si="48"/>
        <v>0</v>
      </c>
      <c r="R79" s="1146"/>
      <c r="S79" s="1146"/>
      <c r="T79" s="1146" t="s">
        <v>2956</v>
      </c>
      <c r="U79" s="128"/>
      <c r="V79" s="129"/>
      <c r="W79" s="630"/>
      <c r="X79" s="631"/>
      <c r="Y79" s="632"/>
      <c r="Z79" s="633"/>
      <c r="AA79" s="128"/>
      <c r="AB79" s="634"/>
      <c r="AC79" s="635"/>
      <c r="AD79" s="636"/>
      <c r="AE79" s="637"/>
      <c r="AF79" s="638"/>
      <c r="AG79" s="639"/>
      <c r="AH79" s="640"/>
      <c r="AI79" s="641"/>
      <c r="AJ79" s="642"/>
      <c r="AK79" s="638"/>
      <c r="AN79" s="643"/>
      <c r="AT79" s="126"/>
      <c r="AU79" s="644"/>
    </row>
    <row r="80" spans="1:58" s="120" customFormat="1" ht="30">
      <c r="B80" s="1147" t="s">
        <v>2594</v>
      </c>
      <c r="C80" s="1148" t="str">
        <f>"Всего по "&amp;T79&amp;" "&amp;T80&amp;" ("&amp;$C$78&amp;"):"</f>
        <v>Всего по Г.Н.П. Изолир. алюм. до 50 мм (ВЛ-0,4 до 15 кВт (не льгота)):</v>
      </c>
      <c r="D80" s="1148"/>
      <c r="E80" s="1148"/>
      <c r="F80" s="1149">
        <f>SUM(F81:F82)</f>
        <v>0</v>
      </c>
      <c r="G80" s="1150">
        <f t="shared" ref="G80:Q80" si="49">SUM(G81:G82)</f>
        <v>0</v>
      </c>
      <c r="H80" s="1150">
        <f t="shared" si="49"/>
        <v>0</v>
      </c>
      <c r="I80" s="1150">
        <f t="shared" si="49"/>
        <v>0</v>
      </c>
      <c r="J80" s="1150">
        <f t="shared" si="49"/>
        <v>0</v>
      </c>
      <c r="K80" s="1150">
        <f t="shared" si="49"/>
        <v>0</v>
      </c>
      <c r="L80" s="1150">
        <f t="shared" si="49"/>
        <v>0</v>
      </c>
      <c r="M80" s="1150">
        <f t="shared" si="49"/>
        <v>0</v>
      </c>
      <c r="N80" s="1150">
        <f t="shared" si="49"/>
        <v>0</v>
      </c>
      <c r="O80" s="1150">
        <f t="shared" si="49"/>
        <v>0</v>
      </c>
      <c r="P80" s="1150">
        <f t="shared" si="49"/>
        <v>0</v>
      </c>
      <c r="Q80" s="1184">
        <f t="shared" si="49"/>
        <v>0</v>
      </c>
      <c r="R80" s="1151"/>
      <c r="S80" s="1151"/>
      <c r="T80" s="1151" t="s">
        <v>2962</v>
      </c>
      <c r="U80" s="128"/>
      <c r="V80" s="129"/>
      <c r="W80" s="630"/>
      <c r="X80" s="631"/>
      <c r="Y80" s="632"/>
      <c r="Z80" s="633"/>
      <c r="AA80" s="128"/>
      <c r="AB80" s="634"/>
      <c r="AC80" s="635"/>
      <c r="AD80" s="636"/>
      <c r="AE80" s="637"/>
      <c r="AF80" s="638"/>
      <c r="AG80" s="639"/>
      <c r="AH80" s="640"/>
      <c r="AI80" s="641"/>
      <c r="AJ80" s="642"/>
      <c r="AK80" s="638"/>
      <c r="AN80" s="643"/>
      <c r="AT80" s="126"/>
      <c r="AU80" s="644"/>
      <c r="BC80" s="120" t="str">
        <f>[24]Прил.1!$F$13</f>
        <v>до 50 вкл.</v>
      </c>
      <c r="BD80" s="368" t="str">
        <f>CONCATENATE($BC$1,"; ",$BC$3,"; ",$BD$1,"; ",$BD$3,"; ",BC80)</f>
        <v>0,4 кВ; Г.Н.П.; изолированный; алюминевый; до 50 вкл.</v>
      </c>
    </row>
    <row r="81" spans="2:58" s="76" customFormat="1" ht="15.75" outlineLevel="1">
      <c r="B81" s="676"/>
      <c r="C81" s="677"/>
      <c r="D81" s="678"/>
      <c r="E81" s="679"/>
      <c r="F81" s="680"/>
      <c r="G81" s="681"/>
      <c r="H81" s="517"/>
      <c r="I81" s="517"/>
      <c r="J81" s="517"/>
      <c r="K81" s="517"/>
      <c r="L81" s="517"/>
      <c r="M81" s="517"/>
      <c r="N81" s="517"/>
      <c r="O81" s="517"/>
      <c r="P81" s="682"/>
      <c r="Q81" s="683"/>
      <c r="R81" s="684"/>
      <c r="S81" s="685"/>
      <c r="T81" s="686"/>
      <c r="U81" s="168"/>
      <c r="V81" s="168"/>
      <c r="W81" s="168"/>
      <c r="X81" s="168"/>
      <c r="Y81" s="128"/>
      <c r="Z81" s="128"/>
      <c r="AA81" s="128"/>
      <c r="AB81" s="640"/>
      <c r="AC81" s="641"/>
      <c r="AD81" s="642"/>
      <c r="AE81" s="685"/>
      <c r="AF81" s="685"/>
      <c r="AG81" s="687"/>
      <c r="AH81" s="688"/>
      <c r="AI81" s="689"/>
      <c r="AJ81" s="690"/>
      <c r="AK81" s="691"/>
    </row>
    <row r="82" spans="2:58" s="76" customFormat="1" ht="15.75" outlineLevel="1">
      <c r="B82" s="676"/>
      <c r="C82" s="693"/>
      <c r="D82" s="694"/>
      <c r="E82" s="695"/>
      <c r="F82" s="696"/>
      <c r="G82" s="697"/>
      <c r="H82" s="247"/>
      <c r="I82" s="247"/>
      <c r="J82" s="698"/>
      <c r="K82" s="247"/>
      <c r="L82" s="699"/>
      <c r="M82" s="698"/>
      <c r="N82" s="698"/>
      <c r="O82" s="247"/>
      <c r="P82" s="700"/>
      <c r="Q82" s="185"/>
      <c r="R82" s="186"/>
      <c r="S82" s="297"/>
      <c r="T82" s="188"/>
      <c r="U82" s="168"/>
      <c r="V82" s="168"/>
      <c r="W82" s="168"/>
      <c r="X82" s="168"/>
      <c r="Y82" s="128"/>
      <c r="Z82" s="128"/>
      <c r="AA82" s="128"/>
      <c r="AB82" s="640"/>
      <c r="AC82" s="641"/>
      <c r="AD82" s="642"/>
      <c r="AE82" s="685"/>
      <c r="AF82" s="685"/>
      <c r="AG82" s="639"/>
      <c r="AH82" s="701"/>
      <c r="AI82" s="702"/>
      <c r="AJ82" s="703"/>
      <c r="AK82" s="704"/>
    </row>
    <row r="83" spans="2:58" s="120" customFormat="1" ht="30">
      <c r="B83" s="675" t="s">
        <v>3159</v>
      </c>
      <c r="C83" s="1148" t="str">
        <f>"Всего по "&amp;T79&amp;" "&amp;T83&amp;" ("&amp;$C$78&amp;"):"</f>
        <v>Всего по Г.Н.П. Изолир. алюм. 50-100 мм (ВЛ-0,4 до 15 кВт (не льгота)):</v>
      </c>
      <c r="D83" s="1148"/>
      <c r="E83" s="1148"/>
      <c r="F83" s="1149">
        <f>SUM(F84:F85)</f>
        <v>0</v>
      </c>
      <c r="G83" s="1150">
        <f t="shared" ref="G83:O83" si="50">SUM(G84:G85)</f>
        <v>0</v>
      </c>
      <c r="H83" s="1150">
        <f t="shared" si="50"/>
        <v>0</v>
      </c>
      <c r="I83" s="1150">
        <f t="shared" si="50"/>
        <v>0</v>
      </c>
      <c r="J83" s="1150">
        <f t="shared" si="50"/>
        <v>0</v>
      </c>
      <c r="K83" s="1150">
        <f t="shared" si="50"/>
        <v>0</v>
      </c>
      <c r="L83" s="1150">
        <f t="shared" si="50"/>
        <v>0</v>
      </c>
      <c r="M83" s="1150">
        <f t="shared" si="50"/>
        <v>0</v>
      </c>
      <c r="N83" s="1150">
        <f t="shared" si="50"/>
        <v>0</v>
      </c>
      <c r="O83" s="1150">
        <f t="shared" si="50"/>
        <v>0</v>
      </c>
      <c r="P83" s="1150">
        <f>SUM(P84:P85)</f>
        <v>0</v>
      </c>
      <c r="Q83" s="1151"/>
      <c r="R83" s="1151"/>
      <c r="S83" s="1151"/>
      <c r="T83" s="1151" t="s">
        <v>3005</v>
      </c>
      <c r="U83" s="128"/>
      <c r="V83" s="129"/>
      <c r="W83" s="630"/>
      <c r="X83" s="631"/>
      <c r="Y83" s="632"/>
      <c r="Z83" s="633"/>
      <c r="AA83" s="128"/>
      <c r="AB83" s="634"/>
      <c r="AC83" s="635"/>
      <c r="AD83" s="636"/>
      <c r="AE83" s="637"/>
      <c r="AF83" s="638"/>
      <c r="AG83" s="639"/>
      <c r="AH83" s="640"/>
      <c r="AI83" s="641"/>
      <c r="AJ83" s="642"/>
      <c r="AK83" s="638"/>
      <c r="AN83" s="643"/>
      <c r="AT83" s="126"/>
      <c r="AU83" s="644"/>
      <c r="BC83" s="120" t="str">
        <f>[24]Прил.1!$F$14</f>
        <v>50 - 100</v>
      </c>
      <c r="BD83" s="368" t="str">
        <f>CONCATENATE($BC$1,"; ",$BC$3,"; ",$BD$1,"; ",$BD$3,"; ",BC83)</f>
        <v>0,4 кВ; Г.Н.П.; изолированный; алюминевый; 50 - 100</v>
      </c>
    </row>
    <row r="84" spans="2:58" s="76" customFormat="1" ht="15.75" outlineLevel="1">
      <c r="B84" s="676"/>
      <c r="C84" s="677"/>
      <c r="D84" s="678"/>
      <c r="E84" s="679"/>
      <c r="F84" s="680"/>
      <c r="G84" s="681"/>
      <c r="H84" s="517"/>
      <c r="I84" s="517"/>
      <c r="J84" s="517"/>
      <c r="K84" s="517"/>
      <c r="L84" s="517"/>
      <c r="M84" s="517"/>
      <c r="N84" s="517"/>
      <c r="O84" s="517"/>
      <c r="P84" s="682"/>
      <c r="Q84" s="683"/>
      <c r="R84" s="684"/>
      <c r="S84" s="685"/>
      <c r="T84" s="686"/>
      <c r="U84" s="168"/>
      <c r="V84" s="168"/>
      <c r="W84" s="168"/>
      <c r="X84" s="168"/>
      <c r="Y84" s="128"/>
      <c r="Z84" s="128"/>
      <c r="AA84" s="128"/>
      <c r="AB84" s="640"/>
      <c r="AC84" s="641"/>
      <c r="AD84" s="642"/>
      <c r="AE84" s="685"/>
      <c r="AF84" s="685"/>
      <c r="AG84" s="687"/>
      <c r="AH84" s="688"/>
      <c r="AI84" s="689"/>
      <c r="AJ84" s="690"/>
      <c r="AK84" s="691"/>
    </row>
    <row r="85" spans="2:58" s="76" customFormat="1" ht="15.75" outlineLevel="1">
      <c r="B85" s="738"/>
      <c r="C85" s="693"/>
      <c r="D85" s="694"/>
      <c r="E85" s="695"/>
      <c r="F85" s="696"/>
      <c r="G85" s="697"/>
      <c r="H85" s="247"/>
      <c r="I85" s="247"/>
      <c r="J85" s="698"/>
      <c r="K85" s="247"/>
      <c r="L85" s="699"/>
      <c r="M85" s="698"/>
      <c r="N85" s="698"/>
      <c r="O85" s="247"/>
      <c r="P85" s="700"/>
      <c r="Q85" s="185"/>
      <c r="R85" s="186"/>
      <c r="S85" s="297"/>
      <c r="T85" s="188"/>
      <c r="U85" s="168"/>
      <c r="V85" s="168"/>
      <c r="W85" s="168"/>
      <c r="X85" s="168"/>
      <c r="Y85" s="128"/>
      <c r="Z85" s="128"/>
      <c r="AA85" s="128"/>
      <c r="AB85" s="640"/>
      <c r="AC85" s="641"/>
      <c r="AD85" s="642"/>
      <c r="AE85" s="685"/>
      <c r="AF85" s="685"/>
      <c r="AG85" s="639"/>
      <c r="AH85" s="701"/>
      <c r="AI85" s="702"/>
      <c r="AJ85" s="703"/>
      <c r="AK85" s="704"/>
    </row>
    <row r="86" spans="2:58" s="120" customFormat="1" ht="15.75" customHeight="1">
      <c r="B86" s="1141" t="s">
        <v>3160</v>
      </c>
      <c r="C86" s="1142" t="str">
        <f>"Всего по "&amp;T86&amp;" ("&amp;$C$78&amp;"):"</f>
        <v>Всего по Вне Г.Н.П. (ВЛ-0,4 до 15 кВт (не льгота)):</v>
      </c>
      <c r="D86" s="1143"/>
      <c r="E86" s="1143"/>
      <c r="F86" s="1144">
        <f t="shared" ref="F86:P86" si="51">SUM(F87,F90)</f>
        <v>0</v>
      </c>
      <c r="G86" s="1145">
        <f t="shared" si="51"/>
        <v>0</v>
      </c>
      <c r="H86" s="1145">
        <f t="shared" si="51"/>
        <v>0</v>
      </c>
      <c r="I86" s="1145">
        <f t="shared" si="51"/>
        <v>0</v>
      </c>
      <c r="J86" s="1145">
        <f t="shared" si="51"/>
        <v>0</v>
      </c>
      <c r="K86" s="1145">
        <f t="shared" si="51"/>
        <v>0</v>
      </c>
      <c r="L86" s="1145">
        <f t="shared" si="51"/>
        <v>0</v>
      </c>
      <c r="M86" s="1145">
        <f t="shared" si="51"/>
        <v>0</v>
      </c>
      <c r="N86" s="1145">
        <f t="shared" si="51"/>
        <v>0</v>
      </c>
      <c r="O86" s="1145">
        <f t="shared" si="51"/>
        <v>0</v>
      </c>
      <c r="P86" s="1145">
        <f t="shared" si="51"/>
        <v>0</v>
      </c>
      <c r="Q86" s="1146"/>
      <c r="R86" s="1146"/>
      <c r="S86" s="1146"/>
      <c r="T86" s="1146" t="s">
        <v>2958</v>
      </c>
      <c r="U86" s="128"/>
      <c r="V86" s="129"/>
      <c r="W86" s="630"/>
      <c r="X86" s="631"/>
      <c r="Y86" s="632"/>
      <c r="Z86" s="633"/>
      <c r="AA86" s="128"/>
      <c r="AB86" s="634"/>
      <c r="AC86" s="635"/>
      <c r="AD86" s="636"/>
      <c r="AE86" s="637"/>
      <c r="AF86" s="638"/>
      <c r="AG86" s="639"/>
      <c r="AH86" s="640"/>
      <c r="AI86" s="641"/>
      <c r="AJ86" s="642"/>
      <c r="AK86" s="638"/>
      <c r="AN86" s="643"/>
      <c r="AT86" s="126"/>
      <c r="AU86" s="644"/>
    </row>
    <row r="87" spans="2:58" s="120" customFormat="1" ht="30">
      <c r="B87" s="1147" t="s">
        <v>3161</v>
      </c>
      <c r="C87" s="1148" t="str">
        <f>"Всего по "&amp;T86&amp;" "&amp;T87&amp;" ("&amp;$C$78&amp;"):"</f>
        <v>Всего по Вне Г.Н.П. Изолир. алюм. до 50 мм (ВЛ-0,4 до 15 кВт (не льгота)):</v>
      </c>
      <c r="D87" s="1148"/>
      <c r="E87" s="1148"/>
      <c r="F87" s="1149">
        <f t="shared" ref="F87:P87" si="52">SUM(F88:F89)</f>
        <v>0</v>
      </c>
      <c r="G87" s="1150">
        <f t="shared" si="52"/>
        <v>0</v>
      </c>
      <c r="H87" s="1150">
        <f t="shared" si="52"/>
        <v>0</v>
      </c>
      <c r="I87" s="1150">
        <f t="shared" si="52"/>
        <v>0</v>
      </c>
      <c r="J87" s="1150">
        <f t="shared" si="52"/>
        <v>0</v>
      </c>
      <c r="K87" s="1150">
        <f t="shared" si="52"/>
        <v>0</v>
      </c>
      <c r="L87" s="1150">
        <f t="shared" si="52"/>
        <v>0</v>
      </c>
      <c r="M87" s="1150">
        <f t="shared" si="52"/>
        <v>0</v>
      </c>
      <c r="N87" s="1150">
        <f t="shared" si="52"/>
        <v>0</v>
      </c>
      <c r="O87" s="1150">
        <f t="shared" si="52"/>
        <v>0</v>
      </c>
      <c r="P87" s="1150">
        <f t="shared" si="52"/>
        <v>0</v>
      </c>
      <c r="Q87" s="1151"/>
      <c r="R87" s="1151"/>
      <c r="S87" s="1151"/>
      <c r="T87" s="1151" t="s">
        <v>2962</v>
      </c>
      <c r="U87" s="128"/>
      <c r="V87" s="129"/>
      <c r="W87" s="630"/>
      <c r="X87" s="631"/>
      <c r="Y87" s="632"/>
      <c r="Z87" s="633"/>
      <c r="AA87" s="128"/>
      <c r="AB87" s="634"/>
      <c r="AC87" s="635"/>
      <c r="AD87" s="636"/>
      <c r="AE87" s="637"/>
      <c r="AF87" s="638"/>
      <c r="AG87" s="639"/>
      <c r="AH87" s="640"/>
      <c r="AI87" s="641"/>
      <c r="AJ87" s="642"/>
      <c r="AK87" s="638"/>
      <c r="AN87" s="643"/>
      <c r="AT87" s="126"/>
      <c r="AU87" s="644"/>
      <c r="BC87" s="120" t="str">
        <f>[24]Прил.1!$F$13</f>
        <v>до 50 вкл.</v>
      </c>
      <c r="BD87" s="368" t="str">
        <f>CONCATENATE($BC$1,"; ",$BC$4,"; ",$BD$1,"; ",$BD$3,"; ",BC87)</f>
        <v>0,4 кВ; Вне Г.Н.П.; изолированный; алюминевый; до 50 вкл.</v>
      </c>
    </row>
    <row r="88" spans="2:58" s="600" customFormat="1" ht="15.75" outlineLevel="1">
      <c r="B88" s="647"/>
      <c r="C88" s="983"/>
      <c r="D88" s="984"/>
      <c r="E88" s="985"/>
      <c r="F88" s="986"/>
      <c r="G88" s="987"/>
      <c r="H88" s="988"/>
      <c r="I88" s="988"/>
      <c r="J88" s="988"/>
      <c r="K88" s="988"/>
      <c r="L88" s="988"/>
      <c r="M88" s="988"/>
      <c r="N88" s="988"/>
      <c r="O88" s="988"/>
      <c r="P88" s="989"/>
      <c r="Q88" s="990"/>
      <c r="R88" s="991"/>
      <c r="S88" s="992"/>
      <c r="T88" s="992"/>
      <c r="U88" s="602"/>
      <c r="V88" s="744"/>
      <c r="W88" s="744"/>
      <c r="X88" s="602"/>
      <c r="Y88" s="582"/>
      <c r="Z88" s="582"/>
      <c r="AA88" s="582"/>
      <c r="AB88" s="659"/>
      <c r="AC88" s="660"/>
      <c r="AD88" s="661"/>
      <c r="AE88" s="662"/>
      <c r="AF88" s="662"/>
      <c r="AG88" s="663"/>
      <c r="AH88" s="664"/>
      <c r="AI88" s="665"/>
      <c r="AJ88" s="666"/>
      <c r="AK88" s="667"/>
      <c r="AN88" s="763"/>
      <c r="AO88" s="764"/>
      <c r="AP88" s="764"/>
      <c r="AQ88" s="765"/>
      <c r="AR88" s="606"/>
      <c r="BF88" s="668"/>
    </row>
    <row r="89" spans="2:58" s="76" customFormat="1" ht="15.75" outlineLevel="1">
      <c r="B89" s="676"/>
      <c r="C89" s="693"/>
      <c r="D89" s="694"/>
      <c r="E89" s="695"/>
      <c r="F89" s="696"/>
      <c r="G89" s="697"/>
      <c r="H89" s="247"/>
      <c r="I89" s="247"/>
      <c r="J89" s="698"/>
      <c r="K89" s="247"/>
      <c r="L89" s="699"/>
      <c r="M89" s="698"/>
      <c r="N89" s="698"/>
      <c r="O89" s="247"/>
      <c r="P89" s="700"/>
      <c r="Q89" s="185"/>
      <c r="R89" s="186"/>
      <c r="S89" s="297"/>
      <c r="T89" s="188"/>
      <c r="U89" s="168"/>
      <c r="V89" s="168"/>
      <c r="W89" s="168"/>
      <c r="X89" s="168"/>
      <c r="Y89" s="128"/>
      <c r="Z89" s="128"/>
      <c r="AA89" s="128"/>
      <c r="AB89" s="640"/>
      <c r="AC89" s="641"/>
      <c r="AD89" s="642"/>
      <c r="AE89" s="685"/>
      <c r="AF89" s="685"/>
      <c r="AG89" s="639"/>
      <c r="AH89" s="701"/>
      <c r="AI89" s="702"/>
      <c r="AJ89" s="703"/>
      <c r="AK89" s="704"/>
    </row>
    <row r="90" spans="2:58" s="120" customFormat="1" ht="30">
      <c r="B90" s="675" t="s">
        <v>3165</v>
      </c>
      <c r="C90" s="1148" t="str">
        <f>"Всего по "&amp;T86&amp;" "&amp;T90&amp;" ("&amp;$C$78&amp;"):"</f>
        <v>Всего по Вне Г.Н.П. Изолир. алюм. 50-100 мм (ВЛ-0,4 до 15 кВт (не льгота)):</v>
      </c>
      <c r="D90" s="1148"/>
      <c r="E90" s="1148"/>
      <c r="F90" s="1149">
        <f>SUM(F91:F92)</f>
        <v>0</v>
      </c>
      <c r="G90" s="1150">
        <f t="shared" ref="G90:P90" si="53">SUM(G91:G92)</f>
        <v>0</v>
      </c>
      <c r="H90" s="1150">
        <f t="shared" si="53"/>
        <v>0</v>
      </c>
      <c r="I90" s="1150">
        <f t="shared" si="53"/>
        <v>0</v>
      </c>
      <c r="J90" s="1150">
        <f t="shared" si="53"/>
        <v>0</v>
      </c>
      <c r="K90" s="1150">
        <f t="shared" si="53"/>
        <v>0</v>
      </c>
      <c r="L90" s="1150">
        <f t="shared" si="53"/>
        <v>0</v>
      </c>
      <c r="M90" s="1150">
        <f t="shared" si="53"/>
        <v>0</v>
      </c>
      <c r="N90" s="1150">
        <f t="shared" si="53"/>
        <v>0</v>
      </c>
      <c r="O90" s="1150">
        <f t="shared" si="53"/>
        <v>0</v>
      </c>
      <c r="P90" s="1150">
        <f t="shared" si="53"/>
        <v>0</v>
      </c>
      <c r="Q90" s="1151"/>
      <c r="R90" s="1151"/>
      <c r="S90" s="1151"/>
      <c r="T90" s="1151" t="s">
        <v>3005</v>
      </c>
      <c r="U90" s="128"/>
      <c r="V90" s="129"/>
      <c r="W90" s="630"/>
      <c r="X90" s="631"/>
      <c r="Y90" s="632"/>
      <c r="Z90" s="633"/>
      <c r="AA90" s="128"/>
      <c r="AB90" s="634"/>
      <c r="AC90" s="635"/>
      <c r="AD90" s="636"/>
      <c r="AE90" s="637"/>
      <c r="AF90" s="638"/>
      <c r="AG90" s="639"/>
      <c r="AH90" s="640"/>
      <c r="AI90" s="641"/>
      <c r="AJ90" s="642"/>
      <c r="AK90" s="638"/>
      <c r="AN90" s="643"/>
      <c r="AT90" s="126"/>
      <c r="AU90" s="644"/>
      <c r="BC90" s="120" t="str">
        <f>[24]Прил.1!$F$14</f>
        <v>50 - 100</v>
      </c>
      <c r="BD90" s="368" t="str">
        <f>CONCATENATE($BC$1,"; ",$BC$4,"; ",$BD$1,"; ",$BD$3,"; ",BC90)</f>
        <v>0,4 кВ; Вне Г.Н.П.; изолированный; алюминевый; 50 - 100</v>
      </c>
    </row>
    <row r="91" spans="2:58" s="76" customFormat="1" ht="15.75" outlineLevel="1">
      <c r="B91" s="676"/>
      <c r="C91" s="677"/>
      <c r="D91" s="678"/>
      <c r="E91" s="679"/>
      <c r="F91" s="680"/>
      <c r="G91" s="681"/>
      <c r="H91" s="517"/>
      <c r="I91" s="517"/>
      <c r="J91" s="517"/>
      <c r="K91" s="517"/>
      <c r="L91" s="517"/>
      <c r="M91" s="517"/>
      <c r="N91" s="517"/>
      <c r="O91" s="517"/>
      <c r="P91" s="682"/>
      <c r="Q91" s="683"/>
      <c r="R91" s="684"/>
      <c r="S91" s="685"/>
      <c r="T91" s="686"/>
      <c r="U91" s="168"/>
      <c r="V91" s="168"/>
      <c r="W91" s="168"/>
      <c r="X91" s="168"/>
      <c r="Y91" s="128"/>
      <c r="Z91" s="128"/>
      <c r="AA91" s="128"/>
      <c r="AB91" s="640"/>
      <c r="AC91" s="641"/>
      <c r="AD91" s="642"/>
      <c r="AE91" s="685"/>
      <c r="AF91" s="685"/>
      <c r="AG91" s="687"/>
      <c r="AH91" s="688"/>
      <c r="AI91" s="689"/>
      <c r="AJ91" s="690"/>
      <c r="AK91" s="691"/>
    </row>
    <row r="92" spans="2:58" s="76" customFormat="1" ht="15.75" outlineLevel="1">
      <c r="B92" s="179"/>
      <c r="C92" s="693"/>
      <c r="D92" s="694"/>
      <c r="E92" s="695"/>
      <c r="F92" s="696"/>
      <c r="G92" s="697"/>
      <c r="H92" s="247"/>
      <c r="I92" s="247"/>
      <c r="J92" s="698"/>
      <c r="K92" s="247"/>
      <c r="L92" s="699"/>
      <c r="M92" s="698"/>
      <c r="N92" s="698"/>
      <c r="O92" s="247"/>
      <c r="P92" s="700"/>
      <c r="Q92" s="185"/>
      <c r="R92" s="186"/>
      <c r="S92" s="297"/>
      <c r="T92" s="188"/>
      <c r="U92" s="168"/>
      <c r="V92" s="168"/>
      <c r="W92" s="168"/>
      <c r="X92" s="168"/>
      <c r="Y92" s="128"/>
      <c r="Z92" s="128"/>
      <c r="AA92" s="128"/>
      <c r="AB92" s="640"/>
      <c r="AC92" s="641"/>
      <c r="AD92" s="642"/>
      <c r="AE92" s="685"/>
      <c r="AF92" s="685"/>
      <c r="AG92" s="639"/>
      <c r="AH92" s="701"/>
      <c r="AI92" s="702"/>
      <c r="AJ92" s="703"/>
      <c r="AK92" s="704"/>
    </row>
    <row r="93" spans="2:58" ht="18.75">
      <c r="B93" s="1161">
        <f>MAX(B79:B92)</f>
        <v>0</v>
      </c>
      <c r="C93" s="1162" t="str">
        <f>"ИТОГО по "&amp;$C$78&amp;":"</f>
        <v>ИТОГО по ВЛ-0,4 до 15 кВт (не льгота):</v>
      </c>
      <c r="D93" s="1162"/>
      <c r="E93" s="1162"/>
      <c r="F93" s="1163">
        <f>SUM(F79,F86)</f>
        <v>0</v>
      </c>
      <c r="G93" s="1164">
        <f t="shared" ref="G93:P93" si="54">SUM(G79,G86)</f>
        <v>0</v>
      </c>
      <c r="H93" s="1164">
        <f t="shared" si="54"/>
        <v>0</v>
      </c>
      <c r="I93" s="1164">
        <f t="shared" si="54"/>
        <v>0</v>
      </c>
      <c r="J93" s="1164">
        <f t="shared" si="54"/>
        <v>0</v>
      </c>
      <c r="K93" s="1164">
        <f t="shared" si="54"/>
        <v>0</v>
      </c>
      <c r="L93" s="1164">
        <f t="shared" si="54"/>
        <v>0</v>
      </c>
      <c r="M93" s="1164">
        <f t="shared" si="54"/>
        <v>0</v>
      </c>
      <c r="N93" s="1164">
        <f t="shared" si="54"/>
        <v>0</v>
      </c>
      <c r="O93" s="1164">
        <f t="shared" si="54"/>
        <v>0</v>
      </c>
      <c r="P93" s="1164">
        <f t="shared" si="54"/>
        <v>0</v>
      </c>
      <c r="Q93" s="1125"/>
      <c r="R93" s="1129"/>
      <c r="S93" s="1125"/>
      <c r="T93" s="1125"/>
      <c r="U93" s="965"/>
      <c r="V93" s="965"/>
      <c r="W93" s="965"/>
      <c r="Y93" s="933" t="str">
        <f t="shared" ref="Y93" si="55">IF(X93="","",$C$78)</f>
        <v/>
      </c>
      <c r="Z93" s="933"/>
      <c r="AA93" s="934"/>
      <c r="AB93" s="916"/>
      <c r="AC93" s="917"/>
      <c r="AD93" s="918"/>
      <c r="AE93" s="914"/>
      <c r="AF93" s="939"/>
      <c r="AG93" s="940" t="str">
        <f t="shared" si="42"/>
        <v>не совпадает</v>
      </c>
      <c r="AH93" s="941" t="str">
        <f t="shared" si="46"/>
        <v/>
      </c>
      <c r="AI93" s="942" t="str">
        <f t="shared" si="46"/>
        <v/>
      </c>
      <c r="AJ93" s="943" t="str">
        <f t="shared" si="46"/>
        <v/>
      </c>
      <c r="AK93" s="938">
        <f t="shared" si="28"/>
        <v>0</v>
      </c>
      <c r="AS93" s="919"/>
      <c r="AT93" s="899" t="str">
        <f>IF(AS93="","",VLOOKUP($AS93,[25]прил5МУ!N$25:O$84,2,FALSE)*1000)</f>
        <v/>
      </c>
      <c r="AU93" s="896" t="e">
        <f>IF(P93=AT93,"ИСТИНА",P93-AT93)</f>
        <v>#VALUE!</v>
      </c>
      <c r="AW93" s="896" t="str">
        <f>IF(AS93="","",P93)</f>
        <v/>
      </c>
      <c r="AX93" s="896" t="b">
        <f t="shared" si="43"/>
        <v>1</v>
      </c>
    </row>
    <row r="94" spans="2:58" ht="18.75">
      <c r="B94" s="1135" t="s">
        <v>10</v>
      </c>
      <c r="C94" s="1136" t="s">
        <v>2596</v>
      </c>
      <c r="D94" s="1137"/>
      <c r="E94" s="1137"/>
      <c r="F94" s="1138">
        <f>SUM(F95,F102)</f>
        <v>1.6819999999999999</v>
      </c>
      <c r="G94" s="1139">
        <f t="shared" ref="G94:P94" si="56">SUM(G95,G102)</f>
        <v>30</v>
      </c>
      <c r="H94" s="1139">
        <f t="shared" si="56"/>
        <v>0</v>
      </c>
      <c r="I94" s="1139">
        <f t="shared" si="56"/>
        <v>15875.67</v>
      </c>
      <c r="J94" s="1139">
        <f t="shared" si="56"/>
        <v>0</v>
      </c>
      <c r="K94" s="1139">
        <f t="shared" si="56"/>
        <v>411642.37000000005</v>
      </c>
      <c r="L94" s="1139">
        <f t="shared" si="56"/>
        <v>0</v>
      </c>
      <c r="M94" s="1139">
        <f t="shared" si="56"/>
        <v>0</v>
      </c>
      <c r="N94" s="1139">
        <f t="shared" si="56"/>
        <v>0</v>
      </c>
      <c r="O94" s="1139">
        <f t="shared" si="56"/>
        <v>838632.64</v>
      </c>
      <c r="P94" s="1139">
        <f t="shared" si="56"/>
        <v>1266150.68</v>
      </c>
      <c r="Q94" s="1137"/>
      <c r="R94" s="1137"/>
      <c r="S94" s="1137"/>
      <c r="T94" s="1140"/>
      <c r="U94" s="915"/>
      <c r="V94" s="915"/>
      <c r="W94" s="915"/>
      <c r="Y94" s="933" t="str">
        <f>IF(X94="","",$C$94)</f>
        <v/>
      </c>
      <c r="Z94" s="933"/>
      <c r="AA94" s="934"/>
      <c r="AB94" s="916"/>
      <c r="AC94" s="917"/>
      <c r="AD94" s="918"/>
      <c r="AE94" s="914"/>
      <c r="AF94" s="939"/>
      <c r="AG94" s="940" t="str">
        <f t="shared" si="42"/>
        <v>не совпадает</v>
      </c>
      <c r="AH94" s="941" t="str">
        <f t="shared" si="46"/>
        <v/>
      </c>
      <c r="AI94" s="942" t="str">
        <f t="shared" si="46"/>
        <v/>
      </c>
      <c r="AJ94" s="943" t="str">
        <f t="shared" si="46"/>
        <v/>
      </c>
      <c r="AK94" s="938">
        <f t="shared" si="28"/>
        <v>0</v>
      </c>
      <c r="AN94" s="963"/>
      <c r="AS94" s="919"/>
      <c r="AT94" s="899" t="str">
        <f>IF(AS94="","",VLOOKUP($AS94,[25]прил5МУ!N$25:O$84,2,FALSE)*1000)</f>
        <v/>
      </c>
      <c r="AU94" s="896" t="e">
        <f>IF(P94=AT94,"ИСТИНА",P94-AT94)</f>
        <v>#VALUE!</v>
      </c>
      <c r="AW94" s="896" t="str">
        <f>IF(AS94="","",P94)</f>
        <v/>
      </c>
      <c r="AX94" s="896" t="b">
        <f t="shared" si="43"/>
        <v>1</v>
      </c>
      <c r="BC94" s="625" t="str">
        <f>C94</f>
        <v>ВЛ-10 до 15 кВт (не льгота)</v>
      </c>
    </row>
    <row r="95" spans="2:58" s="120" customFormat="1" ht="15.75" customHeight="1">
      <c r="B95" s="1141" t="s">
        <v>2597</v>
      </c>
      <c r="C95" s="1142" t="str">
        <f>"Всего по "&amp;T95&amp;" ("&amp;$C$94&amp;"):"</f>
        <v>Всего по Г.Н.П. (ВЛ-10 до 15 кВт (не льгота)):</v>
      </c>
      <c r="D95" s="1143"/>
      <c r="E95" s="1143"/>
      <c r="F95" s="1144">
        <f>SUM(F96,F99)</f>
        <v>0</v>
      </c>
      <c r="G95" s="1145">
        <f t="shared" ref="G95:P95" si="57">SUM(G96,G99)</f>
        <v>0</v>
      </c>
      <c r="H95" s="1145">
        <f t="shared" si="57"/>
        <v>0</v>
      </c>
      <c r="I95" s="1145">
        <f t="shared" si="57"/>
        <v>0</v>
      </c>
      <c r="J95" s="1145">
        <f t="shared" si="57"/>
        <v>0</v>
      </c>
      <c r="K95" s="1145">
        <f t="shared" si="57"/>
        <v>0</v>
      </c>
      <c r="L95" s="1145">
        <f t="shared" si="57"/>
        <v>0</v>
      </c>
      <c r="M95" s="1145">
        <f t="shared" si="57"/>
        <v>0</v>
      </c>
      <c r="N95" s="1145">
        <f t="shared" si="57"/>
        <v>0</v>
      </c>
      <c r="O95" s="1145">
        <f t="shared" si="57"/>
        <v>0</v>
      </c>
      <c r="P95" s="1145">
        <f t="shared" si="57"/>
        <v>0</v>
      </c>
      <c r="Q95" s="1146"/>
      <c r="R95" s="1146"/>
      <c r="S95" s="1146"/>
      <c r="T95" s="1146" t="s">
        <v>2956</v>
      </c>
      <c r="U95" s="128"/>
      <c r="V95" s="129"/>
      <c r="W95" s="630"/>
      <c r="X95" s="631"/>
      <c r="Y95" s="632"/>
      <c r="Z95" s="633"/>
      <c r="AA95" s="128"/>
      <c r="AB95" s="634"/>
      <c r="AC95" s="635"/>
      <c r="AD95" s="636"/>
      <c r="AE95" s="637"/>
      <c r="AF95" s="638"/>
      <c r="AG95" s="639"/>
      <c r="AH95" s="640"/>
      <c r="AI95" s="641"/>
      <c r="AJ95" s="642"/>
      <c r="AK95" s="638"/>
      <c r="AN95" s="643"/>
      <c r="AT95" s="126"/>
      <c r="AU95" s="644"/>
    </row>
    <row r="96" spans="2:58" s="120" customFormat="1" ht="30">
      <c r="B96" s="1147" t="s">
        <v>2598</v>
      </c>
      <c r="C96" s="1148" t="str">
        <f>"Всего по "&amp;T95&amp;" "&amp;T96&amp;" ("&amp;$C$94&amp;"):"</f>
        <v>Всего по Г.Н.П. Изолир. алюм. до 50 мм (ВЛ-10 до 15 кВт (не льгота)):</v>
      </c>
      <c r="D96" s="1148"/>
      <c r="E96" s="1148"/>
      <c r="F96" s="1149">
        <f>SUM(F97:F98)</f>
        <v>0</v>
      </c>
      <c r="G96" s="1150">
        <f t="shared" ref="G96:P96" si="58">SUM(G97:G98)</f>
        <v>0</v>
      </c>
      <c r="H96" s="1150">
        <f t="shared" si="58"/>
        <v>0</v>
      </c>
      <c r="I96" s="1150">
        <f t="shared" si="58"/>
        <v>0</v>
      </c>
      <c r="J96" s="1150">
        <f t="shared" si="58"/>
        <v>0</v>
      </c>
      <c r="K96" s="1150">
        <f t="shared" si="58"/>
        <v>0</v>
      </c>
      <c r="L96" s="1150">
        <f t="shared" si="58"/>
        <v>0</v>
      </c>
      <c r="M96" s="1150">
        <f t="shared" si="58"/>
        <v>0</v>
      </c>
      <c r="N96" s="1150">
        <f t="shared" si="58"/>
        <v>0</v>
      </c>
      <c r="O96" s="1150">
        <f t="shared" si="58"/>
        <v>0</v>
      </c>
      <c r="P96" s="1150">
        <f t="shared" si="58"/>
        <v>0</v>
      </c>
      <c r="Q96" s="1151"/>
      <c r="R96" s="1151"/>
      <c r="S96" s="1151"/>
      <c r="T96" s="1151" t="s">
        <v>2962</v>
      </c>
      <c r="U96" s="128"/>
      <c r="V96" s="129"/>
      <c r="W96" s="630"/>
      <c r="X96" s="631"/>
      <c r="Y96" s="632"/>
      <c r="Z96" s="633"/>
      <c r="AA96" s="128"/>
      <c r="AB96" s="634"/>
      <c r="AC96" s="635"/>
      <c r="AD96" s="636"/>
      <c r="AE96" s="637"/>
      <c r="AF96" s="638"/>
      <c r="AG96" s="639"/>
      <c r="AH96" s="640"/>
      <c r="AI96" s="641"/>
      <c r="AJ96" s="642"/>
      <c r="AK96" s="638"/>
      <c r="AN96" s="643"/>
      <c r="AT96" s="126"/>
      <c r="AU96" s="644"/>
      <c r="BC96" s="120" t="str">
        <f>[24]Прил.1!$F$13</f>
        <v>до 50 вкл.</v>
      </c>
      <c r="BD96" s="368" t="str">
        <f>CONCATENATE($BC$2,"; ",$BC$3,"; ",$BD$1,"; ",$BD$3,"; ",BC96)</f>
        <v>6-10 кВ; Г.Н.П.; изолированный; алюминевый; до 50 вкл.</v>
      </c>
    </row>
    <row r="97" spans="1:58" s="76" customFormat="1" ht="15.75" outlineLevel="1">
      <c r="B97" s="676"/>
      <c r="C97" s="677"/>
      <c r="D97" s="678"/>
      <c r="E97" s="679"/>
      <c r="F97" s="680"/>
      <c r="G97" s="681"/>
      <c r="H97" s="517"/>
      <c r="I97" s="517"/>
      <c r="J97" s="517"/>
      <c r="K97" s="517"/>
      <c r="L97" s="517"/>
      <c r="M97" s="517"/>
      <c r="N97" s="517"/>
      <c r="O97" s="517"/>
      <c r="P97" s="682"/>
      <c r="Q97" s="683"/>
      <c r="R97" s="684"/>
      <c r="S97" s="685"/>
      <c r="T97" s="686"/>
      <c r="U97" s="168"/>
      <c r="V97" s="168"/>
      <c r="W97" s="168"/>
      <c r="X97" s="168"/>
      <c r="Y97" s="128"/>
      <c r="Z97" s="128"/>
      <c r="AA97" s="128"/>
      <c r="AB97" s="640"/>
      <c r="AC97" s="641"/>
      <c r="AD97" s="642"/>
      <c r="AE97" s="685"/>
      <c r="AF97" s="685"/>
      <c r="AG97" s="687"/>
      <c r="AH97" s="688"/>
      <c r="AI97" s="689"/>
      <c r="AJ97" s="690"/>
      <c r="AK97" s="691"/>
    </row>
    <row r="98" spans="1:58" s="76" customFormat="1" ht="15.75" outlineLevel="1">
      <c r="B98" s="676"/>
      <c r="C98" s="693"/>
      <c r="D98" s="694"/>
      <c r="E98" s="695"/>
      <c r="F98" s="696"/>
      <c r="G98" s="697"/>
      <c r="H98" s="247"/>
      <c r="I98" s="247"/>
      <c r="J98" s="698"/>
      <c r="K98" s="247"/>
      <c r="L98" s="699"/>
      <c r="M98" s="698"/>
      <c r="N98" s="698"/>
      <c r="O98" s="247"/>
      <c r="P98" s="700"/>
      <c r="Q98" s="185"/>
      <c r="R98" s="186"/>
      <c r="S98" s="297"/>
      <c r="T98" s="188"/>
      <c r="U98" s="168"/>
      <c r="V98" s="168"/>
      <c r="W98" s="168"/>
      <c r="X98" s="168"/>
      <c r="Y98" s="128"/>
      <c r="Z98" s="128"/>
      <c r="AA98" s="128"/>
      <c r="AB98" s="640"/>
      <c r="AC98" s="641"/>
      <c r="AD98" s="642"/>
      <c r="AE98" s="685"/>
      <c r="AF98" s="685"/>
      <c r="AG98" s="639"/>
      <c r="AH98" s="701"/>
      <c r="AI98" s="702"/>
      <c r="AJ98" s="703"/>
      <c r="AK98" s="704"/>
    </row>
    <row r="99" spans="1:58" s="120" customFormat="1" ht="30">
      <c r="B99" s="675" t="s">
        <v>3166</v>
      </c>
      <c r="C99" s="1148" t="str">
        <f>"Всего по "&amp;T95&amp;" "&amp;T99&amp;" ("&amp;$C$94&amp;"):"</f>
        <v>Всего по Г.Н.П. Изолир. алюм. 50-100 мм (ВЛ-10 до 15 кВт (не льгота)):</v>
      </c>
      <c r="D99" s="1148"/>
      <c r="E99" s="1148"/>
      <c r="F99" s="1149">
        <f>SUM(F100:F101)</f>
        <v>0</v>
      </c>
      <c r="G99" s="1150">
        <f t="shared" ref="G99:P99" si="59">SUM(G100:G101)</f>
        <v>0</v>
      </c>
      <c r="H99" s="1150">
        <f t="shared" si="59"/>
        <v>0</v>
      </c>
      <c r="I99" s="1150">
        <f t="shared" si="59"/>
        <v>0</v>
      </c>
      <c r="J99" s="1150">
        <f t="shared" si="59"/>
        <v>0</v>
      </c>
      <c r="K99" s="1150">
        <f t="shared" si="59"/>
        <v>0</v>
      </c>
      <c r="L99" s="1150">
        <f t="shared" si="59"/>
        <v>0</v>
      </c>
      <c r="M99" s="1150">
        <f t="shared" si="59"/>
        <v>0</v>
      </c>
      <c r="N99" s="1150">
        <f t="shared" si="59"/>
        <v>0</v>
      </c>
      <c r="O99" s="1150">
        <f t="shared" si="59"/>
        <v>0</v>
      </c>
      <c r="P99" s="1150">
        <f t="shared" si="59"/>
        <v>0</v>
      </c>
      <c r="Q99" s="1151"/>
      <c r="R99" s="1151"/>
      <c r="S99" s="1151"/>
      <c r="T99" s="1151" t="s">
        <v>3005</v>
      </c>
      <c r="U99" s="128"/>
      <c r="V99" s="129"/>
      <c r="W99" s="630"/>
      <c r="X99" s="631"/>
      <c r="Y99" s="632"/>
      <c r="Z99" s="633"/>
      <c r="AA99" s="128"/>
      <c r="AB99" s="634"/>
      <c r="AC99" s="635"/>
      <c r="AD99" s="636"/>
      <c r="AE99" s="637"/>
      <c r="AF99" s="638"/>
      <c r="AG99" s="639"/>
      <c r="AH99" s="640"/>
      <c r="AI99" s="641"/>
      <c r="AJ99" s="642"/>
      <c r="AK99" s="638"/>
      <c r="AN99" s="643"/>
      <c r="AT99" s="126"/>
      <c r="AU99" s="644"/>
      <c r="BC99" s="120" t="str">
        <f>[24]Прил.1!$F$14</f>
        <v>50 - 100</v>
      </c>
      <c r="BD99" s="368" t="str">
        <f>CONCATENATE($BC$2,"; ",$BC$3,"; ",$BD$1,"; ",$BD$3,"; ",BC99)</f>
        <v>6-10 кВ; Г.Н.П.; изолированный; алюминевый; 50 - 100</v>
      </c>
    </row>
    <row r="100" spans="1:58" s="76" customFormat="1" ht="15.75" outlineLevel="1">
      <c r="B100" s="676"/>
      <c r="C100" s="677"/>
      <c r="D100" s="678"/>
      <c r="E100" s="679"/>
      <c r="F100" s="680"/>
      <c r="G100" s="681"/>
      <c r="H100" s="517"/>
      <c r="I100" s="517"/>
      <c r="J100" s="517"/>
      <c r="K100" s="517"/>
      <c r="L100" s="517"/>
      <c r="M100" s="517"/>
      <c r="N100" s="517"/>
      <c r="O100" s="517"/>
      <c r="P100" s="682"/>
      <c r="Q100" s="683"/>
      <c r="R100" s="684"/>
      <c r="S100" s="685"/>
      <c r="T100" s="686"/>
      <c r="U100" s="168"/>
      <c r="V100" s="168"/>
      <c r="W100" s="168"/>
      <c r="X100" s="168"/>
      <c r="Y100" s="128"/>
      <c r="Z100" s="128"/>
      <c r="AA100" s="128"/>
      <c r="AB100" s="640"/>
      <c r="AC100" s="641"/>
      <c r="AD100" s="642"/>
      <c r="AE100" s="685"/>
      <c r="AF100" s="685"/>
      <c r="AG100" s="687"/>
      <c r="AH100" s="688"/>
      <c r="AI100" s="689"/>
      <c r="AJ100" s="690"/>
      <c r="AK100" s="691"/>
    </row>
    <row r="101" spans="1:58" s="76" customFormat="1" ht="15.75" outlineLevel="1">
      <c r="B101" s="676"/>
      <c r="C101" s="693"/>
      <c r="D101" s="694"/>
      <c r="E101" s="695"/>
      <c r="F101" s="696"/>
      <c r="G101" s="697"/>
      <c r="H101" s="247"/>
      <c r="I101" s="247"/>
      <c r="J101" s="698"/>
      <c r="K101" s="247"/>
      <c r="L101" s="699"/>
      <c r="M101" s="698"/>
      <c r="N101" s="698"/>
      <c r="O101" s="247"/>
      <c r="P101" s="700"/>
      <c r="Q101" s="185"/>
      <c r="R101" s="186"/>
      <c r="S101" s="297"/>
      <c r="T101" s="188"/>
      <c r="U101" s="168"/>
      <c r="V101" s="168"/>
      <c r="W101" s="168"/>
      <c r="X101" s="168"/>
      <c r="Y101" s="128"/>
      <c r="Z101" s="128"/>
      <c r="AA101" s="128"/>
      <c r="AB101" s="640"/>
      <c r="AC101" s="641"/>
      <c r="AD101" s="642"/>
      <c r="AE101" s="685"/>
      <c r="AF101" s="685"/>
      <c r="AG101" s="639"/>
      <c r="AH101" s="701"/>
      <c r="AI101" s="702"/>
      <c r="AJ101" s="703"/>
      <c r="AK101" s="704"/>
    </row>
    <row r="102" spans="1:58" s="120" customFormat="1" ht="15.75" customHeight="1">
      <c r="B102" s="1141" t="s">
        <v>3167</v>
      </c>
      <c r="C102" s="1142" t="str">
        <f>"Всего по "&amp;T102&amp;" ("&amp;$C$94&amp;"):"</f>
        <v>Всего по Вне Г.Н.П. (ВЛ-10 до 15 кВт (не льгота)):</v>
      </c>
      <c r="D102" s="1143"/>
      <c r="E102" s="1143"/>
      <c r="F102" s="1144">
        <f>SUM(F103,F106,F109)</f>
        <v>1.6819999999999999</v>
      </c>
      <c r="G102" s="1145">
        <f>SUM(G103,G106,G109)</f>
        <v>30</v>
      </c>
      <c r="H102" s="1145">
        <f t="shared" ref="H102:P102" si="60">SUM(H103,H106,H109)</f>
        <v>0</v>
      </c>
      <c r="I102" s="1145">
        <f t="shared" si="60"/>
        <v>15875.67</v>
      </c>
      <c r="J102" s="1145">
        <f t="shared" si="60"/>
        <v>0</v>
      </c>
      <c r="K102" s="1145">
        <f t="shared" si="60"/>
        <v>411642.37000000005</v>
      </c>
      <c r="L102" s="1145">
        <f t="shared" si="60"/>
        <v>0</v>
      </c>
      <c r="M102" s="1145">
        <f t="shared" si="60"/>
        <v>0</v>
      </c>
      <c r="N102" s="1145">
        <f t="shared" si="60"/>
        <v>0</v>
      </c>
      <c r="O102" s="1145">
        <f t="shared" si="60"/>
        <v>838632.64</v>
      </c>
      <c r="P102" s="1145">
        <f t="shared" si="60"/>
        <v>1266150.68</v>
      </c>
      <c r="Q102" s="1146"/>
      <c r="R102" s="1146"/>
      <c r="S102" s="1146"/>
      <c r="T102" s="1146" t="s">
        <v>2958</v>
      </c>
      <c r="U102" s="128"/>
      <c r="V102" s="129"/>
      <c r="W102" s="630"/>
      <c r="X102" s="631"/>
      <c r="Y102" s="632"/>
      <c r="Z102" s="633"/>
      <c r="AA102" s="128"/>
      <c r="AB102" s="634"/>
      <c r="AC102" s="635"/>
      <c r="AD102" s="636"/>
      <c r="AE102" s="637"/>
      <c r="AF102" s="638"/>
      <c r="AG102" s="639"/>
      <c r="AH102" s="640"/>
      <c r="AI102" s="641"/>
      <c r="AJ102" s="642"/>
      <c r="AK102" s="638"/>
      <c r="AN102" s="643"/>
      <c r="AT102" s="126"/>
      <c r="AU102" s="644"/>
    </row>
    <row r="103" spans="1:58" s="120" customFormat="1" ht="30">
      <c r="B103" s="675" t="s">
        <v>3168</v>
      </c>
      <c r="C103" s="1148" t="str">
        <f>"Всего по "&amp;T102&amp;" "&amp;T103&amp;" ("&amp;$C$94&amp;"):"</f>
        <v>Всего по Вне Г.Н.П. Изолир. алюм. до 50 мм (ВЛ-10 до 15 кВт (не льгота)):</v>
      </c>
      <c r="D103" s="1148"/>
      <c r="E103" s="1148"/>
      <c r="F103" s="1149">
        <f>SUM(F104:F105)</f>
        <v>0</v>
      </c>
      <c r="G103" s="1150">
        <f t="shared" ref="G103:P103" si="61">SUM(G104:G105)</f>
        <v>0</v>
      </c>
      <c r="H103" s="1150">
        <f t="shared" si="61"/>
        <v>0</v>
      </c>
      <c r="I103" s="1150">
        <f t="shared" si="61"/>
        <v>0</v>
      </c>
      <c r="J103" s="1150">
        <f t="shared" si="61"/>
        <v>0</v>
      </c>
      <c r="K103" s="1150">
        <f t="shared" si="61"/>
        <v>0</v>
      </c>
      <c r="L103" s="1150">
        <f t="shared" si="61"/>
        <v>0</v>
      </c>
      <c r="M103" s="1150">
        <f t="shared" si="61"/>
        <v>0</v>
      </c>
      <c r="N103" s="1150">
        <f t="shared" si="61"/>
        <v>0</v>
      </c>
      <c r="O103" s="1150">
        <f t="shared" si="61"/>
        <v>0</v>
      </c>
      <c r="P103" s="1150">
        <f t="shared" si="61"/>
        <v>0</v>
      </c>
      <c r="Q103" s="1151"/>
      <c r="R103" s="1151"/>
      <c r="S103" s="1151"/>
      <c r="T103" s="1151" t="s">
        <v>2962</v>
      </c>
      <c r="U103" s="128"/>
      <c r="V103" s="129"/>
      <c r="W103" s="630"/>
      <c r="X103" s="631"/>
      <c r="Y103" s="632"/>
      <c r="Z103" s="633"/>
      <c r="AA103" s="128"/>
      <c r="AB103" s="634"/>
      <c r="AC103" s="635"/>
      <c r="AD103" s="636"/>
      <c r="AE103" s="637"/>
      <c r="AF103" s="638"/>
      <c r="AG103" s="639"/>
      <c r="AH103" s="640"/>
      <c r="AI103" s="641"/>
      <c r="AJ103" s="642"/>
      <c r="AK103" s="638"/>
      <c r="AN103" s="643"/>
      <c r="AT103" s="126"/>
      <c r="AU103" s="644"/>
      <c r="BC103" s="120" t="str">
        <f>[24]Прил.1!$F$13</f>
        <v>до 50 вкл.</v>
      </c>
      <c r="BD103" s="368" t="str">
        <f>CONCATENATE($BC$2,"; ",$BC$4,"; ",$BD$1,"; ",$BD$3,"; ",BC103)</f>
        <v>6-10 кВ; Вне Г.Н.П.; изолированный; алюминевый; до 50 вкл.</v>
      </c>
    </row>
    <row r="104" spans="1:58" s="76" customFormat="1" ht="15.75" outlineLevel="1">
      <c r="B104" s="676"/>
      <c r="C104" s="677"/>
      <c r="D104" s="678"/>
      <c r="E104" s="679"/>
      <c r="F104" s="680"/>
      <c r="G104" s="681"/>
      <c r="H104" s="517"/>
      <c r="I104" s="517"/>
      <c r="J104" s="517"/>
      <c r="K104" s="517"/>
      <c r="L104" s="517"/>
      <c r="M104" s="517"/>
      <c r="N104" s="517"/>
      <c r="O104" s="517"/>
      <c r="P104" s="682"/>
      <c r="Q104" s="683"/>
      <c r="R104" s="684"/>
      <c r="S104" s="685"/>
      <c r="T104" s="686"/>
      <c r="U104" s="168"/>
      <c r="V104" s="168"/>
      <c r="W104" s="168"/>
      <c r="X104" s="168"/>
      <c r="Y104" s="128"/>
      <c r="Z104" s="128"/>
      <c r="AA104" s="128"/>
      <c r="AB104" s="640"/>
      <c r="AC104" s="641"/>
      <c r="AD104" s="642"/>
      <c r="AE104" s="685"/>
      <c r="AF104" s="685"/>
      <c r="AG104" s="687"/>
      <c r="AH104" s="688"/>
      <c r="AI104" s="689"/>
      <c r="AJ104" s="690"/>
      <c r="AK104" s="691"/>
    </row>
    <row r="105" spans="1:58" s="76" customFormat="1" ht="15.75" outlineLevel="1">
      <c r="B105" s="676"/>
      <c r="C105" s="693"/>
      <c r="D105" s="694"/>
      <c r="E105" s="695"/>
      <c r="F105" s="696"/>
      <c r="G105" s="697"/>
      <c r="H105" s="247"/>
      <c r="I105" s="247"/>
      <c r="J105" s="698"/>
      <c r="K105" s="247"/>
      <c r="L105" s="699"/>
      <c r="M105" s="698"/>
      <c r="N105" s="698"/>
      <c r="O105" s="247"/>
      <c r="P105" s="700"/>
      <c r="Q105" s="185"/>
      <c r="R105" s="186"/>
      <c r="S105" s="297"/>
      <c r="T105" s="188"/>
      <c r="U105" s="168"/>
      <c r="V105" s="168"/>
      <c r="W105" s="168"/>
      <c r="X105" s="168"/>
      <c r="Y105" s="128"/>
      <c r="Z105" s="128"/>
      <c r="AA105" s="128"/>
      <c r="AB105" s="640"/>
      <c r="AC105" s="641"/>
      <c r="AD105" s="642"/>
      <c r="AE105" s="685"/>
      <c r="AF105" s="685"/>
      <c r="AG105" s="639"/>
      <c r="AH105" s="701"/>
      <c r="AI105" s="702"/>
      <c r="AJ105" s="703"/>
      <c r="AK105" s="704"/>
    </row>
    <row r="106" spans="1:58" s="120" customFormat="1" ht="30">
      <c r="B106" s="675" t="s">
        <v>3169</v>
      </c>
      <c r="C106" s="1148" t="str">
        <f>"Всего по "&amp;T102&amp;" "&amp;T106&amp;" ("&amp;$C$94&amp;"):"</f>
        <v>Всего по Вне Г.Н.П. Изолир. алюм. 50-100 мм (ВЛ-10 до 15 кВт (не льгота)):</v>
      </c>
      <c r="D106" s="1148"/>
      <c r="E106" s="1148"/>
      <c r="F106" s="1149">
        <f>SUM(F107:F108)</f>
        <v>0</v>
      </c>
      <c r="G106" s="1150">
        <f t="shared" ref="G106:P106" si="62">SUM(G107:G108)</f>
        <v>0</v>
      </c>
      <c r="H106" s="1150">
        <f t="shared" si="62"/>
        <v>0</v>
      </c>
      <c r="I106" s="1150">
        <f t="shared" si="62"/>
        <v>0</v>
      </c>
      <c r="J106" s="1150">
        <f t="shared" si="62"/>
        <v>0</v>
      </c>
      <c r="K106" s="1150">
        <f t="shared" si="62"/>
        <v>0</v>
      </c>
      <c r="L106" s="1150">
        <f t="shared" si="62"/>
        <v>0</v>
      </c>
      <c r="M106" s="1150">
        <f t="shared" si="62"/>
        <v>0</v>
      </c>
      <c r="N106" s="1150">
        <f t="shared" si="62"/>
        <v>0</v>
      </c>
      <c r="O106" s="1150">
        <f t="shared" si="62"/>
        <v>0</v>
      </c>
      <c r="P106" s="1150">
        <f t="shared" si="62"/>
        <v>0</v>
      </c>
      <c r="Q106" s="1151"/>
      <c r="R106" s="1151"/>
      <c r="S106" s="1151"/>
      <c r="T106" s="1151" t="s">
        <v>3005</v>
      </c>
      <c r="U106" s="128"/>
      <c r="V106" s="129"/>
      <c r="W106" s="630"/>
      <c r="X106" s="631"/>
      <c r="Y106" s="632"/>
      <c r="Z106" s="633"/>
      <c r="AA106" s="128"/>
      <c r="AB106" s="634"/>
      <c r="AC106" s="635"/>
      <c r="AD106" s="636"/>
      <c r="AE106" s="637"/>
      <c r="AF106" s="638"/>
      <c r="AG106" s="639"/>
      <c r="AH106" s="640"/>
      <c r="AI106" s="641"/>
      <c r="AJ106" s="642"/>
      <c r="AK106" s="638"/>
      <c r="AN106" s="643"/>
      <c r="AT106" s="126"/>
      <c r="AU106" s="644"/>
      <c r="BC106" s="120" t="str">
        <f>[24]Прил.1!$F$14</f>
        <v>50 - 100</v>
      </c>
      <c r="BD106" s="368" t="str">
        <f>CONCATENATE($BC$2,"; ",$BC$4,"; ",$BD$1,"; ",$BD$3,"; ",BC106)</f>
        <v>6-10 кВ; Вне Г.Н.П.; изолированный; алюминевый; 50 - 100</v>
      </c>
    </row>
    <row r="107" spans="1:58" s="76" customFormat="1" ht="15.75" outlineLevel="1">
      <c r="B107" s="676"/>
      <c r="C107" s="677"/>
      <c r="D107" s="678"/>
      <c r="E107" s="679"/>
      <c r="F107" s="680"/>
      <c r="G107" s="681"/>
      <c r="H107" s="517"/>
      <c r="I107" s="517"/>
      <c r="J107" s="517"/>
      <c r="K107" s="517"/>
      <c r="L107" s="517"/>
      <c r="M107" s="517"/>
      <c r="N107" s="517"/>
      <c r="O107" s="517"/>
      <c r="P107" s="682"/>
      <c r="Q107" s="683"/>
      <c r="R107" s="684"/>
      <c r="S107" s="685"/>
      <c r="T107" s="686"/>
      <c r="U107" s="168"/>
      <c r="V107" s="168"/>
      <c r="W107" s="168"/>
      <c r="X107" s="168"/>
      <c r="Y107" s="128"/>
      <c r="Z107" s="128"/>
      <c r="AA107" s="128"/>
      <c r="AB107" s="640"/>
      <c r="AC107" s="641"/>
      <c r="AD107" s="642"/>
      <c r="AE107" s="685"/>
      <c r="AF107" s="685"/>
      <c r="AG107" s="687"/>
      <c r="AH107" s="688"/>
      <c r="AI107" s="689"/>
      <c r="AJ107" s="690"/>
      <c r="AK107" s="691"/>
    </row>
    <row r="108" spans="1:58" s="76" customFormat="1" ht="15.75" outlineLevel="1">
      <c r="B108" s="676"/>
      <c r="C108" s="693"/>
      <c r="D108" s="694"/>
      <c r="E108" s="695"/>
      <c r="F108" s="696"/>
      <c r="G108" s="697"/>
      <c r="H108" s="247"/>
      <c r="I108" s="247"/>
      <c r="J108" s="698"/>
      <c r="K108" s="247"/>
      <c r="L108" s="699"/>
      <c r="M108" s="698"/>
      <c r="N108" s="698"/>
      <c r="O108" s="247"/>
      <c r="P108" s="700"/>
      <c r="Q108" s="185"/>
      <c r="R108" s="186"/>
      <c r="S108" s="297"/>
      <c r="T108" s="188"/>
      <c r="U108" s="168"/>
      <c r="V108" s="168"/>
      <c r="W108" s="168"/>
      <c r="X108" s="168"/>
      <c r="Y108" s="128"/>
      <c r="Z108" s="128"/>
      <c r="AA108" s="128"/>
      <c r="AB108" s="640"/>
      <c r="AC108" s="641"/>
      <c r="AD108" s="642"/>
      <c r="AE108" s="685"/>
      <c r="AF108" s="685"/>
      <c r="AG108" s="639"/>
      <c r="AH108" s="701"/>
      <c r="AI108" s="702"/>
      <c r="AJ108" s="703"/>
      <c r="AK108" s="704"/>
    </row>
    <row r="109" spans="1:58" s="120" customFormat="1" ht="30">
      <c r="B109" s="675" t="s">
        <v>3170</v>
      </c>
      <c r="C109" s="1148" t="str">
        <f>"Всего по "&amp;T102&amp;" "&amp;T109&amp;" ("&amp;$C$94&amp;"):"</f>
        <v>Всего по Вне Г.Н.П. Неизолир. сталеалюм. до 50 мм (ВЛ-10 до 15 кВт (не льгота)):</v>
      </c>
      <c r="D109" s="1148"/>
      <c r="E109" s="1148"/>
      <c r="F109" s="1149">
        <f t="shared" ref="F109:P109" si="63">SUM(F110:F112)</f>
        <v>1.6819999999999999</v>
      </c>
      <c r="G109" s="1150">
        <f t="shared" si="63"/>
        <v>30</v>
      </c>
      <c r="H109" s="1150">
        <f t="shared" si="63"/>
        <v>0</v>
      </c>
      <c r="I109" s="1150">
        <f t="shared" si="63"/>
        <v>15875.67</v>
      </c>
      <c r="J109" s="1150">
        <f t="shared" si="63"/>
        <v>0</v>
      </c>
      <c r="K109" s="1150">
        <f t="shared" si="63"/>
        <v>411642.37000000005</v>
      </c>
      <c r="L109" s="1150">
        <f t="shared" si="63"/>
        <v>0</v>
      </c>
      <c r="M109" s="1150">
        <f t="shared" si="63"/>
        <v>0</v>
      </c>
      <c r="N109" s="1150">
        <f t="shared" si="63"/>
        <v>0</v>
      </c>
      <c r="O109" s="1150">
        <f t="shared" si="63"/>
        <v>838632.64</v>
      </c>
      <c r="P109" s="1150">
        <f t="shared" si="63"/>
        <v>1266150.68</v>
      </c>
      <c r="Q109" s="1151"/>
      <c r="R109" s="1151"/>
      <c r="S109" s="1151"/>
      <c r="T109" s="1151" t="s">
        <v>3137</v>
      </c>
      <c r="U109" s="128"/>
      <c r="V109" s="129"/>
      <c r="W109" s="630"/>
      <c r="X109" s="631"/>
      <c r="Y109" s="632"/>
      <c r="Z109" s="633"/>
      <c r="AA109" s="128"/>
      <c r="AB109" s="634"/>
      <c r="AC109" s="635"/>
      <c r="AD109" s="636"/>
      <c r="AE109" s="637"/>
      <c r="AF109" s="638"/>
      <c r="AG109" s="639"/>
      <c r="AH109" s="640"/>
      <c r="AI109" s="641"/>
      <c r="AJ109" s="642"/>
      <c r="AK109" s="638"/>
      <c r="AN109" s="643"/>
      <c r="AT109" s="126"/>
      <c r="AU109" s="644"/>
      <c r="BC109" s="120" t="str">
        <f>[24]Прил.1!$F$13</f>
        <v>до 50 вкл.</v>
      </c>
      <c r="BD109" s="368" t="str">
        <f>CONCATENATE($BC$2,"; ",$BC$4,"; ",$BD$2,"; ",$BD$4,"; ",BC109)</f>
        <v>6-10 кВ; Вне Г.Н.П.; неизолированный; сталеалюминиевый; до 50 вкл.</v>
      </c>
    </row>
    <row r="110" spans="1:58" ht="46.5" outlineLevel="1">
      <c r="A110" s="891">
        <f>IF(C110="","",1)</f>
        <v>1</v>
      </c>
      <c r="B110" s="944">
        <f>IF(A110="","",SUM($A$110:A110))</f>
        <v>1</v>
      </c>
      <c r="C110" s="945" t="s">
        <v>3321</v>
      </c>
      <c r="D110" s="922" t="str">
        <f>IF(AF110=0,"",AF110)</f>
        <v>3кв 2016</v>
      </c>
      <c r="E110" s="923">
        <v>10</v>
      </c>
      <c r="F110" s="966">
        <v>0.27</v>
      </c>
      <c r="G110" s="993">
        <v>15</v>
      </c>
      <c r="H110" s="926"/>
      <c r="I110" s="926"/>
      <c r="J110" s="926"/>
      <c r="K110" s="926">
        <v>16048.34</v>
      </c>
      <c r="L110" s="926"/>
      <c r="M110" s="926"/>
      <c r="N110" s="926"/>
      <c r="O110" s="926">
        <f>121793.43+8436.12+2564.58</f>
        <v>132794.12999999998</v>
      </c>
      <c r="P110" s="927">
        <v>148842.47</v>
      </c>
      <c r="Q110" s="994"/>
      <c r="R110" s="929" t="s">
        <v>2595</v>
      </c>
      <c r="S110" s="954" t="s">
        <v>3322</v>
      </c>
      <c r="T110" s="954" t="s">
        <v>2580</v>
      </c>
      <c r="U110" s="602" t="s">
        <v>2950</v>
      </c>
      <c r="V110" s="968"/>
      <c r="W110" s="932" t="s">
        <v>3008</v>
      </c>
      <c r="X110" s="602" t="s">
        <v>2947</v>
      </c>
      <c r="Y110" s="933" t="str">
        <f>IF(X110="","",$C$94)</f>
        <v>ВЛ-10 до 15 кВт (не льгота)</v>
      </c>
      <c r="Z110" s="933" t="e">
        <f>IF(X110="","",CONCATENATE(Y110,"-",X110,"; ",#REF!))</f>
        <v>#REF!</v>
      </c>
      <c r="AA110" s="934"/>
      <c r="AB110" s="935">
        <f>O110</f>
        <v>132794.12999999998</v>
      </c>
      <c r="AC110" s="936">
        <f>(I110+H110)</f>
        <v>0</v>
      </c>
      <c r="AD110" s="937">
        <f>K110</f>
        <v>16048.34</v>
      </c>
      <c r="AE110" s="938">
        <f>AB110+AC110+AD110</f>
        <v>148842.46999999997</v>
      </c>
      <c r="AF110" s="939" t="s">
        <v>3230</v>
      </c>
      <c r="AG110" s="940">
        <f>IF($AF110="1кв 2016",3.9,IF($AF110="2кв 2016",3.9,IF($AF110="3кв 2016",3.96,IF($AF110="4кв 2016",4.02,"не совпадает"))))</f>
        <v>3.96</v>
      </c>
      <c r="AH110" s="941">
        <f t="shared" ref="AH110:AJ111" si="64">IF(ISERROR(AB110/$AG110),"",AB110/$AG110)</f>
        <v>33533.871212121208</v>
      </c>
      <c r="AI110" s="942">
        <f t="shared" si="64"/>
        <v>0</v>
      </c>
      <c r="AJ110" s="943">
        <f t="shared" si="64"/>
        <v>4052.6111111111113</v>
      </c>
      <c r="AK110" s="938">
        <f>SUM(AH110,AI110,AJ110)</f>
        <v>37586.482323232318</v>
      </c>
      <c r="AN110" s="963"/>
      <c r="AO110" s="896">
        <v>1</v>
      </c>
      <c r="AP110" s="949">
        <v>20</v>
      </c>
      <c r="AQ110" s="995" t="s">
        <v>3323</v>
      </c>
      <c r="AR110" s="896" t="str">
        <f>IF(B110="","",IF(P110=SUM(H110,I110,K110,O110),"ИСТИНА",P110-SUM(H110,I110,K110,O110)))</f>
        <v>ИСТИНА</v>
      </c>
      <c r="AS110" s="951" t="s">
        <v>3324</v>
      </c>
      <c r="AT110" s="899">
        <f>IF(AS110="","",VLOOKUP($AS110,[25]прил5МУ!N$25:O$84,2,FALSE)*1000)</f>
        <v>148842.47</v>
      </c>
      <c r="AU110" s="896" t="str">
        <f>IF(P110=AT110,"ИСТИНА",P110-AT110)</f>
        <v>ИСТИНА</v>
      </c>
      <c r="AW110" s="896">
        <f>IF(AS110="","",P110)</f>
        <v>148842.47</v>
      </c>
      <c r="AX110" s="896" t="b">
        <f>AT110=AW110</f>
        <v>1</v>
      </c>
    </row>
    <row r="111" spans="1:58" ht="24" outlineLevel="1">
      <c r="A111" s="891">
        <f>IF(C111="","",1)</f>
        <v>1</v>
      </c>
      <c r="B111" s="953">
        <f>IF(A111="","",SUM($A$110:A112))</f>
        <v>2</v>
      </c>
      <c r="C111" s="945" t="s">
        <v>3325</v>
      </c>
      <c r="D111" s="922" t="str">
        <f>IF(AF111=0,"",AF111)</f>
        <v>4кв 2016</v>
      </c>
      <c r="E111" s="923">
        <v>10</v>
      </c>
      <c r="F111" s="966">
        <v>1.4119999999999999</v>
      </c>
      <c r="G111" s="993">
        <v>15</v>
      </c>
      <c r="H111" s="926"/>
      <c r="I111" s="926">
        <v>15875.67</v>
      </c>
      <c r="J111" s="926"/>
      <c r="K111" s="926">
        <v>395594.03</v>
      </c>
      <c r="L111" s="926"/>
      <c r="M111" s="926"/>
      <c r="N111" s="926"/>
      <c r="O111" s="926">
        <f>22992.79+682845.72</f>
        <v>705838.51</v>
      </c>
      <c r="P111" s="927">
        <v>1117308.21</v>
      </c>
      <c r="Q111" s="994"/>
      <c r="R111" s="929" t="s">
        <v>2595</v>
      </c>
      <c r="S111" s="954" t="s">
        <v>3326</v>
      </c>
      <c r="T111" s="954" t="s">
        <v>2581</v>
      </c>
      <c r="U111" s="602" t="s">
        <v>2950</v>
      </c>
      <c r="V111" s="968"/>
      <c r="W111" s="932" t="s">
        <v>3008</v>
      </c>
      <c r="X111" s="602" t="s">
        <v>2947</v>
      </c>
      <c r="Y111" s="933" t="str">
        <f>IF(X111="","",$C$94)</f>
        <v>ВЛ-10 до 15 кВт (не льгота)</v>
      </c>
      <c r="Z111" s="933" t="e">
        <f>IF(X111="","",CONCATENATE(Y111,"-",X111,"; ",#REF!))</f>
        <v>#REF!</v>
      </c>
      <c r="AA111" s="934"/>
      <c r="AB111" s="935">
        <f>O111</f>
        <v>705838.51</v>
      </c>
      <c r="AC111" s="936">
        <f>(I111+H111)</f>
        <v>15875.67</v>
      </c>
      <c r="AD111" s="937">
        <f>K111</f>
        <v>395594.03</v>
      </c>
      <c r="AE111" s="938">
        <f>AB111+AC111+AD111</f>
        <v>1117308.21</v>
      </c>
      <c r="AF111" s="939" t="s">
        <v>3257</v>
      </c>
      <c r="AG111" s="940">
        <f>IF($AF111="1кв 2016",3.9,IF($AF111="2кв 2016",3.9,IF($AF111="3кв 2016",3.96,IF($AF111="4кв 2016",4.02,"не совпадает"))))</f>
        <v>4.0199999999999996</v>
      </c>
      <c r="AH111" s="941">
        <f t="shared" si="64"/>
        <v>175581.71890547266</v>
      </c>
      <c r="AI111" s="942">
        <f t="shared" si="64"/>
        <v>3949.1716417910452</v>
      </c>
      <c r="AJ111" s="943">
        <f t="shared" si="64"/>
        <v>98406.475124378121</v>
      </c>
      <c r="AK111" s="938">
        <f>SUM(AH111,AI111,AJ111)</f>
        <v>277937.36567164183</v>
      </c>
      <c r="AN111" s="963"/>
      <c r="AO111" s="896">
        <v>1</v>
      </c>
      <c r="AP111" s="949">
        <v>43</v>
      </c>
      <c r="AQ111" s="995" t="s">
        <v>3327</v>
      </c>
      <c r="AR111" s="896" t="str">
        <f>IF(B111="","",IF(P111=SUM(H111,I111,K111,O111),"ИСТИНА",P111-SUM(H111,I111,K111,O111)))</f>
        <v>ИСТИНА</v>
      </c>
      <c r="AS111" s="919" t="s">
        <v>3328</v>
      </c>
      <c r="AT111" s="899">
        <f>SUM([25]прил5МУ!$O$84)*1000</f>
        <v>1117308.21</v>
      </c>
      <c r="AU111" s="896" t="str">
        <f>IF(P111=AT111,"ИСТИНА",P111-AT111)</f>
        <v>ИСТИНА</v>
      </c>
      <c r="AW111" s="896">
        <f>IF(AS111="","",P111)</f>
        <v>1117308.21</v>
      </c>
      <c r="AX111" s="896" t="b">
        <f>AT111=AW111</f>
        <v>1</v>
      </c>
    </row>
    <row r="112" spans="1:58" s="600" customFormat="1" ht="15.75" outlineLevel="1">
      <c r="B112" s="996"/>
      <c r="C112" s="983"/>
      <c r="D112" s="649"/>
      <c r="E112" s="650"/>
      <c r="F112" s="986"/>
      <c r="G112" s="997"/>
      <c r="H112" s="998"/>
      <c r="I112" s="998"/>
      <c r="J112" s="998"/>
      <c r="K112" s="998"/>
      <c r="L112" s="998"/>
      <c r="M112" s="998"/>
      <c r="N112" s="998"/>
      <c r="O112" s="998"/>
      <c r="P112" s="989"/>
      <c r="Q112" s="990"/>
      <c r="R112" s="991"/>
      <c r="S112" s="992"/>
      <c r="T112" s="992"/>
      <c r="U112" s="602"/>
      <c r="V112" s="744"/>
      <c r="W112" s="744"/>
      <c r="X112" s="602"/>
      <c r="Y112" s="582"/>
      <c r="Z112" s="582"/>
      <c r="AA112" s="582"/>
      <c r="AB112" s="669"/>
      <c r="AC112" s="670"/>
      <c r="AD112" s="671"/>
      <c r="AE112" s="672"/>
      <c r="AF112" s="662"/>
      <c r="AG112" s="663"/>
      <c r="AH112" s="664"/>
      <c r="AI112" s="665"/>
      <c r="AJ112" s="666"/>
      <c r="AK112" s="667"/>
      <c r="AR112" s="606"/>
      <c r="AU112" s="721"/>
      <c r="BF112" s="603"/>
    </row>
    <row r="113" spans="1:58" ht="18.75">
      <c r="B113" s="1161">
        <f>MAX(B95:B112)</f>
        <v>2</v>
      </c>
      <c r="C113" s="1162" t="str">
        <f>"ИТОГО по "&amp;$C$94&amp;":"</f>
        <v>ИТОГО по ВЛ-10 до 15 кВт (не льгота):</v>
      </c>
      <c r="D113" s="1162"/>
      <c r="E113" s="1162"/>
      <c r="F113" s="1163">
        <f>SUM(F95,F102)</f>
        <v>1.6819999999999999</v>
      </c>
      <c r="G113" s="1164">
        <f t="shared" ref="G113:P113" si="65">SUM(G95,G102)</f>
        <v>30</v>
      </c>
      <c r="H113" s="1164">
        <f t="shared" si="65"/>
        <v>0</v>
      </c>
      <c r="I113" s="1164">
        <f t="shared" si="65"/>
        <v>15875.67</v>
      </c>
      <c r="J113" s="1164">
        <f t="shared" si="65"/>
        <v>0</v>
      </c>
      <c r="K113" s="1164">
        <f t="shared" si="65"/>
        <v>411642.37000000005</v>
      </c>
      <c r="L113" s="1164">
        <f t="shared" si="65"/>
        <v>0</v>
      </c>
      <c r="M113" s="1164">
        <f t="shared" si="65"/>
        <v>0</v>
      </c>
      <c r="N113" s="1164">
        <f t="shared" si="65"/>
        <v>0</v>
      </c>
      <c r="O113" s="1164">
        <f t="shared" si="65"/>
        <v>838632.64</v>
      </c>
      <c r="P113" s="1164">
        <f t="shared" si="65"/>
        <v>1266150.68</v>
      </c>
      <c r="Q113" s="1125"/>
      <c r="R113" s="1129"/>
      <c r="S113" s="1125"/>
      <c r="T113" s="1125"/>
      <c r="U113" s="965"/>
      <c r="V113" s="965"/>
      <c r="W113" s="965"/>
      <c r="Y113" s="933" t="str">
        <f t="shared" ref="Y113:Y115" si="66">IF(X113="","",$C$94)</f>
        <v/>
      </c>
      <c r="Z113" s="933" t="str">
        <f>IF(X113="","",CONCATENATE(Y113,"-",X113,"; ",#REF!))</f>
        <v/>
      </c>
      <c r="AA113" s="934"/>
      <c r="AB113" s="916"/>
      <c r="AC113" s="917"/>
      <c r="AD113" s="918"/>
      <c r="AE113" s="914"/>
      <c r="AF113" s="939"/>
      <c r="AG113" s="940" t="str">
        <f t="shared" si="42"/>
        <v>не совпадает</v>
      </c>
      <c r="AH113" s="941" t="str">
        <f t="shared" si="46"/>
        <v/>
      </c>
      <c r="AI113" s="942" t="str">
        <f t="shared" si="46"/>
        <v/>
      </c>
      <c r="AJ113" s="943" t="str">
        <f t="shared" si="46"/>
        <v/>
      </c>
      <c r="AK113" s="938">
        <f t="shared" si="28"/>
        <v>0</v>
      </c>
      <c r="AS113" s="919"/>
      <c r="AT113" s="899" t="str">
        <f>IF(AS113="","",VLOOKUP($AS113,[25]прил5МУ!N$25:O$84,2,FALSE)*1000)</f>
        <v/>
      </c>
      <c r="AU113" s="896" t="e">
        <f>IF(P113=AT113,"ИСТИНА",P113-AT113)</f>
        <v>#VALUE!</v>
      </c>
      <c r="AW113" s="896" t="str">
        <f>IF(AS113="","",P113)</f>
        <v/>
      </c>
      <c r="AX113" s="896" t="b">
        <f t="shared" si="43"/>
        <v>1</v>
      </c>
    </row>
    <row r="114" spans="1:58" s="969" customFormat="1" ht="21">
      <c r="B114" s="1175"/>
      <c r="C114" s="1176" t="str">
        <f>"ИТОГО ВЛ "&amp;$C$77&amp;":"</f>
        <v>ИТОГО ВЛ до 15 кВт (не льгота):</v>
      </c>
      <c r="D114" s="1176"/>
      <c r="E114" s="1176"/>
      <c r="F114" s="1177">
        <f>SUM(F93,F113)</f>
        <v>1.6819999999999999</v>
      </c>
      <c r="G114" s="1178">
        <f t="shared" ref="G114:P114" si="67">SUM(G93,G113)</f>
        <v>30</v>
      </c>
      <c r="H114" s="1178">
        <f t="shared" si="67"/>
        <v>0</v>
      </c>
      <c r="I114" s="1178">
        <f t="shared" si="67"/>
        <v>15875.67</v>
      </c>
      <c r="J114" s="1178">
        <f t="shared" si="67"/>
        <v>0</v>
      </c>
      <c r="K114" s="1178">
        <f t="shared" si="67"/>
        <v>411642.37000000005</v>
      </c>
      <c r="L114" s="1178">
        <f t="shared" si="67"/>
        <v>0</v>
      </c>
      <c r="M114" s="1178">
        <f t="shared" si="67"/>
        <v>0</v>
      </c>
      <c r="N114" s="1178">
        <f t="shared" si="67"/>
        <v>0</v>
      </c>
      <c r="O114" s="1178">
        <f t="shared" si="67"/>
        <v>838632.64</v>
      </c>
      <c r="P114" s="1178">
        <f t="shared" si="67"/>
        <v>1266150.68</v>
      </c>
      <c r="Q114" s="1179"/>
      <c r="R114" s="1179"/>
      <c r="S114" s="1179"/>
      <c r="T114" s="1180"/>
      <c r="U114" s="970"/>
      <c r="V114" s="971"/>
      <c r="W114" s="972"/>
      <c r="X114" s="973"/>
      <c r="Y114" s="974" t="str">
        <f>IF(X114="","",#REF!)</f>
        <v/>
      </c>
      <c r="Z114" s="975"/>
      <c r="AA114" s="934"/>
      <c r="AB114" s="916"/>
      <c r="AC114" s="917"/>
      <c r="AD114" s="918"/>
      <c r="AE114" s="914"/>
      <c r="AF114" s="976"/>
      <c r="AG114" s="977" t="str">
        <f t="shared" si="42"/>
        <v>не совпадает</v>
      </c>
      <c r="AH114" s="978" t="str">
        <f>IF(ISERROR(AB114/$AG114),"",AB114/$AG114)</f>
        <v/>
      </c>
      <c r="AI114" s="979" t="str">
        <f>IF(ISERROR(AC114/$AG114),"",AC114/$AG114)</f>
        <v/>
      </c>
      <c r="AJ114" s="980" t="str">
        <f>IF(ISERROR(AD114/$AG114),"",AD114/$AG114)</f>
        <v/>
      </c>
      <c r="AK114" s="981">
        <f t="shared" si="28"/>
        <v>0</v>
      </c>
      <c r="AL114" s="895"/>
      <c r="AM114" s="896">
        <f>IF(P114=AE114,"Истина",P114-AE114)</f>
        <v>1266150.68</v>
      </c>
      <c r="AN114" s="982"/>
      <c r="AO114" s="982"/>
      <c r="AP114" s="1181"/>
      <c r="AQ114" s="1182"/>
      <c r="AR114" s="982"/>
      <c r="AS114" s="919"/>
      <c r="AT114" s="899" t="str">
        <f>IF(AS114="","",VLOOKUP($AS114,[25]прил5МУ!N$25:O$84,2,FALSE)*1000)</f>
        <v/>
      </c>
      <c r="AU114" s="896" t="e">
        <f>IF(P114=AT114,"ИСТИНА",P114-AT114)</f>
        <v>#VALUE!</v>
      </c>
      <c r="AV114" s="896"/>
      <c r="AW114" s="896" t="str">
        <f>IF(AS114="","",P114)</f>
        <v/>
      </c>
      <c r="AX114" s="896" t="b">
        <f t="shared" si="43"/>
        <v>1</v>
      </c>
      <c r="AY114" s="982"/>
      <c r="AZ114" s="982"/>
      <c r="BF114" s="982"/>
    </row>
    <row r="115" spans="1:58" ht="18.75">
      <c r="B115" s="1131" t="s">
        <v>11</v>
      </c>
      <c r="C115" s="3260" t="s">
        <v>2599</v>
      </c>
      <c r="D115" s="3249"/>
      <c r="E115" s="3249"/>
      <c r="F115" s="3249"/>
      <c r="G115" s="3249"/>
      <c r="H115" s="3249"/>
      <c r="I115" s="3249"/>
      <c r="J115" s="3249"/>
      <c r="K115" s="3249"/>
      <c r="L115" s="3249"/>
      <c r="M115" s="3249"/>
      <c r="N115" s="3249"/>
      <c r="O115" s="3249"/>
      <c r="P115" s="3249"/>
      <c r="Q115" s="3249"/>
      <c r="R115" s="3249"/>
      <c r="S115" s="3249"/>
      <c r="T115" s="3249"/>
      <c r="U115" s="999"/>
      <c r="V115" s="999"/>
      <c r="W115" s="999"/>
      <c r="Y115" s="933" t="str">
        <f t="shared" si="66"/>
        <v/>
      </c>
      <c r="Z115" s="933" t="str">
        <f>IF(X115="","",CONCATENATE(Y115,"-",X115,"; ",#REF!))</f>
        <v/>
      </c>
      <c r="AA115" s="934"/>
      <c r="AB115" s="916"/>
      <c r="AC115" s="917"/>
      <c r="AD115" s="918"/>
      <c r="AE115" s="914"/>
      <c r="AF115" s="939"/>
      <c r="AG115" s="940" t="str">
        <f t="shared" si="42"/>
        <v>не совпадает</v>
      </c>
      <c r="AH115" s="941" t="str">
        <f t="shared" si="46"/>
        <v/>
      </c>
      <c r="AI115" s="942" t="str">
        <f t="shared" si="46"/>
        <v/>
      </c>
      <c r="AJ115" s="943" t="str">
        <f t="shared" si="46"/>
        <v/>
      </c>
      <c r="AK115" s="938">
        <f t="shared" si="28"/>
        <v>0</v>
      </c>
      <c r="AS115" s="919"/>
      <c r="AT115" s="899" t="str">
        <f>IF(AS115="","",VLOOKUP($AS115,[25]прил5МУ!N$25:O$84,2,FALSE)*1000)</f>
        <v/>
      </c>
      <c r="AU115" s="896" t="str">
        <f>IF(P115=AT115,"ИСТИНА",P115-AT115)</f>
        <v>ИСТИНА</v>
      </c>
      <c r="AW115" s="896" t="str">
        <f>IF(AS115="","",P115)</f>
        <v/>
      </c>
      <c r="AX115" s="896" t="b">
        <f t="shared" si="43"/>
        <v>1</v>
      </c>
    </row>
    <row r="116" spans="1:58" ht="18.75">
      <c r="B116" s="1135" t="s">
        <v>12</v>
      </c>
      <c r="C116" s="1136" t="s">
        <v>2600</v>
      </c>
      <c r="D116" s="1137"/>
      <c r="E116" s="1137"/>
      <c r="F116" s="1138">
        <f>SUM(F117,F124)</f>
        <v>0.45</v>
      </c>
      <c r="G116" s="1139">
        <f t="shared" ref="G116:P116" si="68">SUM(G117,G124)</f>
        <v>92.78</v>
      </c>
      <c r="H116" s="1139">
        <f t="shared" si="68"/>
        <v>0</v>
      </c>
      <c r="I116" s="1139">
        <f t="shared" si="68"/>
        <v>0</v>
      </c>
      <c r="J116" s="1139">
        <f t="shared" si="68"/>
        <v>0</v>
      </c>
      <c r="K116" s="1139">
        <f t="shared" si="68"/>
        <v>0</v>
      </c>
      <c r="L116" s="1139">
        <f t="shared" si="68"/>
        <v>0</v>
      </c>
      <c r="M116" s="1139">
        <f t="shared" si="68"/>
        <v>0</v>
      </c>
      <c r="N116" s="1139">
        <f t="shared" si="68"/>
        <v>0</v>
      </c>
      <c r="O116" s="1139">
        <f t="shared" si="68"/>
        <v>85507.07</v>
      </c>
      <c r="P116" s="1139">
        <f t="shared" si="68"/>
        <v>85507.07</v>
      </c>
      <c r="Q116" s="1137"/>
      <c r="R116" s="1137"/>
      <c r="S116" s="1137"/>
      <c r="T116" s="1140"/>
      <c r="U116" s="915"/>
      <c r="V116" s="915"/>
      <c r="W116" s="915"/>
      <c r="Y116" s="933" t="str">
        <f>IF(X116="","",$C$116)</f>
        <v/>
      </c>
      <c r="Z116" s="933" t="str">
        <f>IF(X116="","",CONCATENATE(Y116,"-",X116,"; ",#REF!))</f>
        <v/>
      </c>
      <c r="AA116" s="934"/>
      <c r="AB116" s="916"/>
      <c r="AC116" s="917"/>
      <c r="AD116" s="918"/>
      <c r="AE116" s="914"/>
      <c r="AF116" s="939"/>
      <c r="AG116" s="940" t="str">
        <f t="shared" si="42"/>
        <v>не совпадает</v>
      </c>
      <c r="AH116" s="941" t="str">
        <f t="shared" si="46"/>
        <v/>
      </c>
      <c r="AI116" s="942" t="str">
        <f t="shared" si="46"/>
        <v/>
      </c>
      <c r="AJ116" s="943" t="str">
        <f t="shared" si="46"/>
        <v/>
      </c>
      <c r="AK116" s="938">
        <f t="shared" si="28"/>
        <v>0</v>
      </c>
      <c r="AN116" s="963"/>
      <c r="AS116" s="919"/>
      <c r="AT116" s="899" t="str">
        <f>IF(AS116="","",VLOOKUP($AS116,[25]прил5МУ!N$25:O$84,2,FALSE)*1000)</f>
        <v/>
      </c>
      <c r="AU116" s="896" t="e">
        <f>IF(P116=AT116,"ИСТИНА",P116-AT116)</f>
        <v>#VALUE!</v>
      </c>
      <c r="AW116" s="896" t="str">
        <f>IF(AS116="","",P116)</f>
        <v/>
      </c>
      <c r="AX116" s="896" t="b">
        <f t="shared" si="43"/>
        <v>1</v>
      </c>
      <c r="BC116" s="625" t="str">
        <f>C116</f>
        <v>ВЛ-0,4 от 15 до 150 кВт</v>
      </c>
    </row>
    <row r="117" spans="1:58" s="120" customFormat="1" ht="15.75">
      <c r="B117" s="1141" t="s">
        <v>2601</v>
      </c>
      <c r="C117" s="1142" t="str">
        <f>"Всего по "&amp;T117&amp;" ("&amp;$C$116&amp;"):"</f>
        <v>Всего по Г.Н.П. (ВЛ-0,4 от 15 до 150 кВт):</v>
      </c>
      <c r="D117" s="1143"/>
      <c r="E117" s="1143"/>
      <c r="F117" s="1144">
        <f>SUM(F118)</f>
        <v>0</v>
      </c>
      <c r="G117" s="1145">
        <f t="shared" ref="G117:P117" si="69">SUM(G118)</f>
        <v>0</v>
      </c>
      <c r="H117" s="1145">
        <f t="shared" si="69"/>
        <v>0</v>
      </c>
      <c r="I117" s="1145">
        <f t="shared" si="69"/>
        <v>0</v>
      </c>
      <c r="J117" s="1145">
        <f t="shared" si="69"/>
        <v>0</v>
      </c>
      <c r="K117" s="1145">
        <f t="shared" si="69"/>
        <v>0</v>
      </c>
      <c r="L117" s="1145">
        <f t="shared" si="69"/>
        <v>0</v>
      </c>
      <c r="M117" s="1145">
        <f t="shared" si="69"/>
        <v>0</v>
      </c>
      <c r="N117" s="1145">
        <f t="shared" si="69"/>
        <v>0</v>
      </c>
      <c r="O117" s="1145">
        <f t="shared" si="69"/>
        <v>0</v>
      </c>
      <c r="P117" s="1145">
        <f t="shared" si="69"/>
        <v>0</v>
      </c>
      <c r="Q117" s="1146"/>
      <c r="R117" s="1146"/>
      <c r="S117" s="1146"/>
      <c r="T117" s="1146" t="s">
        <v>2956</v>
      </c>
      <c r="U117" s="128"/>
      <c r="V117" s="129"/>
      <c r="W117" s="630"/>
      <c r="X117" s="631"/>
      <c r="Y117" s="632"/>
      <c r="Z117" s="633"/>
      <c r="AA117" s="128"/>
      <c r="AB117" s="634"/>
      <c r="AC117" s="635"/>
      <c r="AD117" s="636"/>
      <c r="AE117" s="637"/>
      <c r="AF117" s="638"/>
      <c r="AG117" s="639"/>
      <c r="AH117" s="640"/>
      <c r="AI117" s="641"/>
      <c r="AJ117" s="642"/>
      <c r="AK117" s="638"/>
      <c r="AN117" s="643"/>
      <c r="AT117" s="784"/>
      <c r="AU117" s="644"/>
    </row>
    <row r="118" spans="1:58" s="120" customFormat="1" ht="30">
      <c r="B118" s="1147" t="s">
        <v>2602</v>
      </c>
      <c r="C118" s="1148" t="str">
        <f>"Всего по "&amp;T117&amp;" "&amp;T118&amp;" ("&amp;$C$116&amp;"):"</f>
        <v>Всего по Г.Н.П. Изолир. алюм. до 50 мм (ВЛ-0,4 от 15 до 150 кВт):</v>
      </c>
      <c r="D118" s="1148"/>
      <c r="E118" s="1148"/>
      <c r="F118" s="1149">
        <f t="shared" ref="F118:P118" si="70">SUM(F119:F120)</f>
        <v>0</v>
      </c>
      <c r="G118" s="1150">
        <f t="shared" si="70"/>
        <v>0</v>
      </c>
      <c r="H118" s="1150">
        <f t="shared" si="70"/>
        <v>0</v>
      </c>
      <c r="I118" s="1150">
        <f t="shared" si="70"/>
        <v>0</v>
      </c>
      <c r="J118" s="1150">
        <f t="shared" si="70"/>
        <v>0</v>
      </c>
      <c r="K118" s="1150">
        <f t="shared" si="70"/>
        <v>0</v>
      </c>
      <c r="L118" s="1150">
        <f t="shared" si="70"/>
        <v>0</v>
      </c>
      <c r="M118" s="1150">
        <f t="shared" si="70"/>
        <v>0</v>
      </c>
      <c r="N118" s="1150">
        <f t="shared" si="70"/>
        <v>0</v>
      </c>
      <c r="O118" s="1150">
        <f t="shared" si="70"/>
        <v>0</v>
      </c>
      <c r="P118" s="1150">
        <f t="shared" si="70"/>
        <v>0</v>
      </c>
      <c r="Q118" s="1151"/>
      <c r="R118" s="1151"/>
      <c r="S118" s="1151"/>
      <c r="T118" s="1151" t="s">
        <v>2962</v>
      </c>
      <c r="U118" s="128"/>
      <c r="V118" s="129"/>
      <c r="W118" s="630"/>
      <c r="X118" s="631"/>
      <c r="Y118" s="632"/>
      <c r="Z118" s="633"/>
      <c r="AA118" s="128"/>
      <c r="AB118" s="634"/>
      <c r="AC118" s="635"/>
      <c r="AD118" s="636"/>
      <c r="AE118" s="637"/>
      <c r="AF118" s="638"/>
      <c r="AG118" s="687"/>
      <c r="AH118" s="688"/>
      <c r="AI118" s="785"/>
      <c r="AJ118" s="786"/>
      <c r="AK118" s="787"/>
      <c r="AN118" s="643"/>
      <c r="AT118" s="788"/>
      <c r="AU118" s="789"/>
      <c r="BC118" s="120" t="str">
        <f>[24]Прил.1!$F$13</f>
        <v>до 50 вкл.</v>
      </c>
      <c r="BD118" s="368" t="str">
        <f>CONCATENATE($BC$1,"; ",$BC$3,"; ",$BD$1,"; ",$BD$3,"; ",BC118)</f>
        <v>0,4 кВ; Г.Н.П.; изолированный; алюминевый; до 50 вкл.</v>
      </c>
    </row>
    <row r="119" spans="1:58" s="600" customFormat="1" ht="15.75" outlineLevel="1">
      <c r="B119" s="724"/>
      <c r="C119" s="983"/>
      <c r="D119" s="984"/>
      <c r="E119" s="985"/>
      <c r="F119" s="986"/>
      <c r="G119" s="997"/>
      <c r="H119" s="988"/>
      <c r="I119" s="988"/>
      <c r="J119" s="988"/>
      <c r="K119" s="988"/>
      <c r="L119" s="988"/>
      <c r="M119" s="988"/>
      <c r="N119" s="988"/>
      <c r="O119" s="988"/>
      <c r="P119" s="989"/>
      <c r="Q119" s="990"/>
      <c r="R119" s="991"/>
      <c r="S119" s="992"/>
      <c r="T119" s="992"/>
      <c r="U119" s="602"/>
      <c r="V119" s="744"/>
      <c r="W119" s="602"/>
      <c r="X119" s="602"/>
      <c r="Y119" s="582"/>
      <c r="Z119" s="582"/>
      <c r="AA119" s="582"/>
      <c r="AB119" s="659"/>
      <c r="AC119" s="660"/>
      <c r="AD119" s="661"/>
      <c r="AE119" s="662"/>
      <c r="AF119" s="662"/>
      <c r="AG119" s="663"/>
      <c r="AH119" s="664"/>
      <c r="AI119" s="665"/>
      <c r="AJ119" s="666"/>
      <c r="AK119" s="667"/>
      <c r="BF119" s="668"/>
    </row>
    <row r="120" spans="1:58" s="76" customFormat="1" ht="15.75" outlineLevel="1">
      <c r="B120" s="676"/>
      <c r="C120" s="693"/>
      <c r="D120" s="694"/>
      <c r="E120" s="695"/>
      <c r="F120" s="696"/>
      <c r="G120" s="697"/>
      <c r="H120" s="247"/>
      <c r="I120" s="247"/>
      <c r="J120" s="698"/>
      <c r="K120" s="247"/>
      <c r="L120" s="699"/>
      <c r="M120" s="698"/>
      <c r="N120" s="698"/>
      <c r="O120" s="247"/>
      <c r="P120" s="700"/>
      <c r="Q120" s="185"/>
      <c r="R120" s="186"/>
      <c r="S120" s="297"/>
      <c r="T120" s="188"/>
      <c r="U120" s="168"/>
      <c r="V120" s="168"/>
      <c r="W120" s="168"/>
      <c r="X120" s="168"/>
      <c r="Y120" s="128"/>
      <c r="Z120" s="128"/>
      <c r="AA120" s="128"/>
      <c r="AB120" s="640"/>
      <c r="AC120" s="641"/>
      <c r="AD120" s="642"/>
      <c r="AE120" s="685"/>
      <c r="AF120" s="685"/>
      <c r="AG120" s="639"/>
      <c r="AH120" s="701"/>
      <c r="AI120" s="702"/>
      <c r="AJ120" s="703"/>
      <c r="AK120" s="704"/>
    </row>
    <row r="121" spans="1:58" s="120" customFormat="1" ht="30">
      <c r="B121" s="790" t="s">
        <v>2604</v>
      </c>
      <c r="C121" s="1148" t="str">
        <f>"Всего по "&amp;T117&amp;" "&amp;T121&amp;" ("&amp;$C$116&amp;"):"</f>
        <v>Всего по Г.Н.П. Изолир. алюм. 50-100 мм (ВЛ-0,4 от 15 до 150 кВт):</v>
      </c>
      <c r="D121" s="1148"/>
      <c r="E121" s="1148"/>
      <c r="F121" s="1149">
        <f>SUM(F122:F123)</f>
        <v>0</v>
      </c>
      <c r="G121" s="1150">
        <f t="shared" ref="G121:P121" si="71">SUM(G122:G123)</f>
        <v>0</v>
      </c>
      <c r="H121" s="1150">
        <f t="shared" si="71"/>
        <v>0</v>
      </c>
      <c r="I121" s="1150">
        <f t="shared" si="71"/>
        <v>0</v>
      </c>
      <c r="J121" s="1150">
        <f t="shared" si="71"/>
        <v>0</v>
      </c>
      <c r="K121" s="1150">
        <f t="shared" si="71"/>
        <v>0</v>
      </c>
      <c r="L121" s="1150">
        <f t="shared" si="71"/>
        <v>0</v>
      </c>
      <c r="M121" s="1150">
        <f t="shared" si="71"/>
        <v>0</v>
      </c>
      <c r="N121" s="1150">
        <f t="shared" si="71"/>
        <v>0</v>
      </c>
      <c r="O121" s="1150">
        <f t="shared" si="71"/>
        <v>0</v>
      </c>
      <c r="P121" s="1150">
        <f t="shared" si="71"/>
        <v>0</v>
      </c>
      <c r="Q121" s="1151"/>
      <c r="R121" s="1151"/>
      <c r="S121" s="1151"/>
      <c r="T121" s="1151" t="s">
        <v>3005</v>
      </c>
      <c r="U121" s="128"/>
      <c r="V121" s="129"/>
      <c r="W121" s="630"/>
      <c r="X121" s="631"/>
      <c r="Y121" s="632"/>
      <c r="Z121" s="633"/>
      <c r="AA121" s="128"/>
      <c r="AB121" s="634"/>
      <c r="AC121" s="635"/>
      <c r="AD121" s="636"/>
      <c r="AE121" s="637"/>
      <c r="AF121" s="638"/>
      <c r="AG121" s="639"/>
      <c r="AH121" s="640"/>
      <c r="AI121" s="641"/>
      <c r="AJ121" s="642"/>
      <c r="AK121" s="638"/>
      <c r="AN121" s="643"/>
      <c r="AT121" s="126"/>
      <c r="AU121" s="644"/>
      <c r="BC121" s="120" t="str">
        <f>[24]Прил.1!$F$14</f>
        <v>50 - 100</v>
      </c>
      <c r="BD121" s="368" t="str">
        <f>CONCATENATE($BC$1,"; ",$BC$3,"; ",$BD$1,"; ",$BD$3,"; ",BC121)</f>
        <v>0,4 кВ; Г.Н.П.; изолированный; алюминевый; 50 - 100</v>
      </c>
    </row>
    <row r="122" spans="1:58" s="76" customFormat="1" ht="15.75" outlineLevel="1">
      <c r="B122" s="457"/>
      <c r="C122" s="677"/>
      <c r="D122" s="678"/>
      <c r="E122" s="679"/>
      <c r="F122" s="680"/>
      <c r="G122" s="681"/>
      <c r="H122" s="517"/>
      <c r="I122" s="517"/>
      <c r="J122" s="517"/>
      <c r="K122" s="517"/>
      <c r="L122" s="517"/>
      <c r="M122" s="517"/>
      <c r="N122" s="517"/>
      <c r="O122" s="517"/>
      <c r="P122" s="682"/>
      <c r="Q122" s="683"/>
      <c r="R122" s="684"/>
      <c r="S122" s="685"/>
      <c r="T122" s="686"/>
      <c r="U122" s="168"/>
      <c r="V122" s="168"/>
      <c r="W122" s="168"/>
      <c r="X122" s="168"/>
      <c r="Y122" s="128"/>
      <c r="Z122" s="128"/>
      <c r="AA122" s="128"/>
      <c r="AB122" s="640"/>
      <c r="AC122" s="641"/>
      <c r="AD122" s="642"/>
      <c r="AE122" s="685"/>
      <c r="AF122" s="685"/>
      <c r="AG122" s="687"/>
      <c r="AH122" s="688"/>
      <c r="AI122" s="689"/>
      <c r="AJ122" s="690"/>
      <c r="AK122" s="691"/>
    </row>
    <row r="123" spans="1:58" s="76" customFormat="1" ht="15.75" outlineLevel="1">
      <c r="B123" s="676"/>
      <c r="C123" s="693"/>
      <c r="D123" s="694"/>
      <c r="E123" s="695"/>
      <c r="F123" s="696"/>
      <c r="G123" s="697"/>
      <c r="H123" s="247"/>
      <c r="I123" s="247"/>
      <c r="J123" s="698"/>
      <c r="K123" s="247"/>
      <c r="L123" s="699"/>
      <c r="M123" s="698"/>
      <c r="N123" s="698"/>
      <c r="O123" s="247"/>
      <c r="P123" s="700"/>
      <c r="Q123" s="185"/>
      <c r="R123" s="186"/>
      <c r="S123" s="297"/>
      <c r="T123" s="188"/>
      <c r="U123" s="168"/>
      <c r="V123" s="168"/>
      <c r="W123" s="168"/>
      <c r="X123" s="168"/>
      <c r="Y123" s="128"/>
      <c r="Z123" s="128"/>
      <c r="AA123" s="128"/>
      <c r="AB123" s="640"/>
      <c r="AC123" s="641"/>
      <c r="AD123" s="642"/>
      <c r="AE123" s="685"/>
      <c r="AF123" s="685"/>
      <c r="AG123" s="639"/>
      <c r="AH123" s="701"/>
      <c r="AI123" s="702"/>
      <c r="AJ123" s="703"/>
      <c r="AK123" s="704"/>
    </row>
    <row r="124" spans="1:58" s="120" customFormat="1" ht="15.75" customHeight="1">
      <c r="B124" s="1141" t="s">
        <v>3181</v>
      </c>
      <c r="C124" s="1142" t="str">
        <f>"Всего по "&amp;T124&amp;" ("&amp;$C$116&amp;"):"</f>
        <v>Всего по Вне Г.Н.П. (ВЛ-0,4 от 15 до 150 кВт):</v>
      </c>
      <c r="D124" s="1143"/>
      <c r="E124" s="1143"/>
      <c r="F124" s="1144">
        <f t="shared" ref="F124:P124" si="72">SUM(F125,F129,F132)</f>
        <v>0.45</v>
      </c>
      <c r="G124" s="1145">
        <f t="shared" si="72"/>
        <v>92.78</v>
      </c>
      <c r="H124" s="1145">
        <f t="shared" si="72"/>
        <v>0</v>
      </c>
      <c r="I124" s="1145">
        <f t="shared" si="72"/>
        <v>0</v>
      </c>
      <c r="J124" s="1145">
        <f t="shared" si="72"/>
        <v>0</v>
      </c>
      <c r="K124" s="1145">
        <f t="shared" si="72"/>
        <v>0</v>
      </c>
      <c r="L124" s="1145">
        <f t="shared" si="72"/>
        <v>0</v>
      </c>
      <c r="M124" s="1145">
        <f t="shared" si="72"/>
        <v>0</v>
      </c>
      <c r="N124" s="1145">
        <f t="shared" si="72"/>
        <v>0</v>
      </c>
      <c r="O124" s="1145">
        <f t="shared" si="72"/>
        <v>85507.07</v>
      </c>
      <c r="P124" s="1145">
        <f t="shared" si="72"/>
        <v>85507.07</v>
      </c>
      <c r="Q124" s="1146"/>
      <c r="R124" s="1146"/>
      <c r="S124" s="1146"/>
      <c r="T124" s="1146" t="s">
        <v>2958</v>
      </c>
      <c r="U124" s="128"/>
      <c r="V124" s="129"/>
      <c r="W124" s="630"/>
      <c r="X124" s="631"/>
      <c r="Y124" s="632"/>
      <c r="Z124" s="633"/>
      <c r="AA124" s="128"/>
      <c r="AB124" s="634"/>
      <c r="AC124" s="635"/>
      <c r="AD124" s="636"/>
      <c r="AE124" s="637"/>
      <c r="AF124" s="638"/>
      <c r="AG124" s="639"/>
      <c r="AH124" s="640"/>
      <c r="AI124" s="641"/>
      <c r="AJ124" s="642"/>
      <c r="AK124" s="638"/>
      <c r="AN124" s="643"/>
      <c r="AT124" s="126"/>
      <c r="AU124" s="644"/>
    </row>
    <row r="125" spans="1:58" s="120" customFormat="1" ht="30">
      <c r="B125" s="1147" t="s">
        <v>3182</v>
      </c>
      <c r="C125" s="1148" t="str">
        <f>"Всего по "&amp;T124&amp;" "&amp;T125&amp;" ("&amp;$C$116&amp;"):"</f>
        <v>Всего по Вне Г.Н.П. Изолир. алюм. до 50 мм (ВЛ-0,4 от 15 до 150 кВт):</v>
      </c>
      <c r="D125" s="1148"/>
      <c r="E125" s="1148"/>
      <c r="F125" s="1185">
        <f t="shared" ref="F125:P125" si="73">SUM(F126:F128)</f>
        <v>0.45</v>
      </c>
      <c r="G125" s="1186">
        <f t="shared" si="73"/>
        <v>92.78</v>
      </c>
      <c r="H125" s="1186">
        <f t="shared" si="73"/>
        <v>0</v>
      </c>
      <c r="I125" s="1186">
        <f t="shared" si="73"/>
        <v>0</v>
      </c>
      <c r="J125" s="1186">
        <f t="shared" si="73"/>
        <v>0</v>
      </c>
      <c r="K125" s="1186">
        <f t="shared" si="73"/>
        <v>0</v>
      </c>
      <c r="L125" s="1186">
        <f t="shared" si="73"/>
        <v>0</v>
      </c>
      <c r="M125" s="1186">
        <f t="shared" si="73"/>
        <v>0</v>
      </c>
      <c r="N125" s="1186">
        <f t="shared" si="73"/>
        <v>0</v>
      </c>
      <c r="O125" s="1186">
        <f t="shared" si="73"/>
        <v>85507.07</v>
      </c>
      <c r="P125" s="1186">
        <f t="shared" si="73"/>
        <v>85507.07</v>
      </c>
      <c r="Q125" s="1151"/>
      <c r="R125" s="1151"/>
      <c r="S125" s="1151"/>
      <c r="T125" s="1151" t="s">
        <v>2962</v>
      </c>
      <c r="U125" s="128"/>
      <c r="V125" s="129"/>
      <c r="W125" s="630"/>
      <c r="X125" s="631"/>
      <c r="Y125" s="632"/>
      <c r="Z125" s="633"/>
      <c r="AA125" s="128"/>
      <c r="AB125" s="634"/>
      <c r="AC125" s="635"/>
      <c r="AD125" s="636"/>
      <c r="AE125" s="637"/>
      <c r="AF125" s="638"/>
      <c r="AG125" s="639"/>
      <c r="AH125" s="640"/>
      <c r="AI125" s="641"/>
      <c r="AJ125" s="642"/>
      <c r="AK125" s="638"/>
      <c r="AN125" s="643"/>
      <c r="AT125" s="126"/>
      <c r="AU125" s="644"/>
      <c r="BC125" s="120" t="str">
        <f>[24]Прил.1!$F$13</f>
        <v>до 50 вкл.</v>
      </c>
      <c r="BD125" s="368" t="str">
        <f>CONCATENATE($BC$1,"; ",$BC$4,"; ",$BD$1,"; ",$BD$3,"; ",BC125)</f>
        <v>0,4 кВ; Вне Г.Н.П.; изолированный; алюминевый; до 50 вкл.</v>
      </c>
    </row>
    <row r="126" spans="1:58" ht="35.25" outlineLevel="1">
      <c r="A126" s="891">
        <f t="shared" ref="A126:A127" si="74">IF(C126="","",1)</f>
        <v>1</v>
      </c>
      <c r="B126" s="953">
        <v>1</v>
      </c>
      <c r="C126" s="921" t="s">
        <v>3329</v>
      </c>
      <c r="D126" s="922" t="str">
        <f t="shared" ref="D126" si="75">IF(AF126=0,"",AF126)</f>
        <v>1кв 2016</v>
      </c>
      <c r="E126" s="923">
        <v>0.4</v>
      </c>
      <c r="F126" s="966">
        <v>0.23</v>
      </c>
      <c r="G126" s="1000">
        <v>57.78</v>
      </c>
      <c r="H126" s="926"/>
      <c r="I126" s="926"/>
      <c r="J126" s="1001"/>
      <c r="K126" s="926"/>
      <c r="L126" s="1001"/>
      <c r="M126" s="1001"/>
      <c r="N126" s="1001"/>
      <c r="O126" s="926">
        <f>61639.73</f>
        <v>61639.73</v>
      </c>
      <c r="P126" s="1002">
        <v>61639.73</v>
      </c>
      <c r="Q126" s="1003"/>
      <c r="R126" s="929" t="s">
        <v>2595</v>
      </c>
      <c r="S126" s="954" t="s">
        <v>3330</v>
      </c>
      <c r="T126" s="954" t="s">
        <v>2606</v>
      </c>
      <c r="U126" s="602" t="s">
        <v>2946</v>
      </c>
      <c r="V126" s="968"/>
      <c r="W126" s="932" t="s">
        <v>3008</v>
      </c>
      <c r="X126" s="602" t="s">
        <v>2947</v>
      </c>
      <c r="Y126" s="933" t="str">
        <f>IF(X126="","",$C$116)</f>
        <v>ВЛ-0,4 от 15 до 150 кВт</v>
      </c>
      <c r="Z126" s="933" t="e">
        <f>IF(X126="","",CONCATENATE(Y126,"-",X126,"; ",#REF!))</f>
        <v>#REF!</v>
      </c>
      <c r="AA126" s="934"/>
      <c r="AB126" s="935">
        <f>O126</f>
        <v>61639.73</v>
      </c>
      <c r="AC126" s="936">
        <f>(I126+H126)</f>
        <v>0</v>
      </c>
      <c r="AD126" s="937">
        <f>K126</f>
        <v>0</v>
      </c>
      <c r="AE126" s="938">
        <f t="shared" ref="AE126:AE127" si="76">AB126+AC126+AD126</f>
        <v>61639.73</v>
      </c>
      <c r="AF126" s="939" t="s">
        <v>3241</v>
      </c>
      <c r="AG126" s="940">
        <f>IF($AF126="1кв 2016",3.9,IF($AF126="2кв 2016",3.9,IF($AF126="3кв 2016",3.96,IF($AF126="4кв 2016",4.02,"не совпадает"))))</f>
        <v>3.9</v>
      </c>
      <c r="AH126" s="941">
        <f t="shared" ref="AH126:AJ127" si="77">IF(ISERROR(AB126/$AG126),"",AB126/$AG126)</f>
        <v>15805.058974358975</v>
      </c>
      <c r="AI126" s="942">
        <f t="shared" si="77"/>
        <v>0</v>
      </c>
      <c r="AJ126" s="943">
        <f t="shared" si="77"/>
        <v>0</v>
      </c>
      <c r="AK126" s="938">
        <f>SUM(AH126,AI126,AJ126)</f>
        <v>15805.058974358975</v>
      </c>
      <c r="AO126" s="896">
        <v>1</v>
      </c>
      <c r="AP126" s="896">
        <v>1</v>
      </c>
      <c r="AR126" s="896" t="str">
        <f>IF(B126="","",IF(P126=SUM(H126,I126,K126,O126),"ИСТИНА",P126-SUM(H126,I126,K126,O126)))</f>
        <v>ИСТИНА</v>
      </c>
      <c r="AS126" s="919" t="s">
        <v>3331</v>
      </c>
      <c r="AT126" s="899">
        <f>IF(AS126="","",VLOOKUP($AS126,[25]прил5МУ!N$25:O$84,2,FALSE)*1000)</f>
        <v>61639.73</v>
      </c>
      <c r="AU126" s="896" t="str">
        <f>IF(P126=AT126,"ИСТИНА",P126-AT126)</f>
        <v>ИСТИНА</v>
      </c>
      <c r="AW126" s="896">
        <f>IF(AS126="","",P126)</f>
        <v>61639.73</v>
      </c>
      <c r="AX126" s="896" t="b">
        <f>AT126=AW126</f>
        <v>1</v>
      </c>
    </row>
    <row r="127" spans="1:58" ht="33.75" outlineLevel="1">
      <c r="A127" s="891">
        <f t="shared" si="74"/>
        <v>1</v>
      </c>
      <c r="B127" s="953">
        <f>B126+1</f>
        <v>2</v>
      </c>
      <c r="C127" s="921" t="s">
        <v>3332</v>
      </c>
      <c r="D127" s="922" t="str">
        <f>IF(AF127=0,"",AF127)</f>
        <v>4кв 2016</v>
      </c>
      <c r="E127" s="923">
        <v>0.4</v>
      </c>
      <c r="F127" s="966">
        <v>0.22</v>
      </c>
      <c r="G127" s="993">
        <v>35</v>
      </c>
      <c r="H127" s="1004"/>
      <c r="I127" s="1004"/>
      <c r="J127" s="1004"/>
      <c r="K127" s="1004"/>
      <c r="L127" s="1004"/>
      <c r="M127" s="1004"/>
      <c r="N127" s="1004"/>
      <c r="O127" s="1004">
        <v>23867.34</v>
      </c>
      <c r="P127" s="927">
        <v>23867.34</v>
      </c>
      <c r="Q127" s="994"/>
      <c r="R127" s="929" t="s">
        <v>2595</v>
      </c>
      <c r="S127" s="954" t="s">
        <v>3333</v>
      </c>
      <c r="T127" s="954" t="s">
        <v>2571</v>
      </c>
      <c r="U127" s="602" t="s">
        <v>2946</v>
      </c>
      <c r="V127" s="968"/>
      <c r="W127" s="932" t="s">
        <v>3008</v>
      </c>
      <c r="X127" s="602" t="s">
        <v>2947</v>
      </c>
      <c r="Y127" s="933" t="str">
        <f>IF(X127="","",$C$116)</f>
        <v>ВЛ-0,4 от 15 до 150 кВт</v>
      </c>
      <c r="Z127" s="933" t="e">
        <f>IF(X127="","",CONCATENATE(Y127,"-",X127,"; ",#REF!))</f>
        <v>#REF!</v>
      </c>
      <c r="AA127" s="934"/>
      <c r="AB127" s="935">
        <f>O127</f>
        <v>23867.34</v>
      </c>
      <c r="AC127" s="936">
        <f>(I127+H127)</f>
        <v>0</v>
      </c>
      <c r="AD127" s="937">
        <f>K127</f>
        <v>0</v>
      </c>
      <c r="AE127" s="938">
        <f t="shared" si="76"/>
        <v>23867.34</v>
      </c>
      <c r="AF127" s="939" t="s">
        <v>3257</v>
      </c>
      <c r="AG127" s="940">
        <f>IF($AF127="1кв 2016",3.9,IF($AF127="2кв 2016",3.9,IF($AF127="3кв 2016",3.96,IF($AF127="4кв 2016",4.02,"не совпадает"))))</f>
        <v>4.0199999999999996</v>
      </c>
      <c r="AH127" s="941">
        <f t="shared" si="77"/>
        <v>5937.1492537313443</v>
      </c>
      <c r="AI127" s="942">
        <f t="shared" si="77"/>
        <v>0</v>
      </c>
      <c r="AJ127" s="943">
        <f t="shared" si="77"/>
        <v>0</v>
      </c>
      <c r="AK127" s="938">
        <f>SUM(AH127,AI127,AJ127)</f>
        <v>5937.1492537313443</v>
      </c>
      <c r="AO127" s="896">
        <v>1</v>
      </c>
      <c r="AP127" s="896">
        <v>36</v>
      </c>
      <c r="AR127" s="896" t="str">
        <f>IF(B127="","",IF(P127=SUM(H127,I127,K127,O127),"ИСТИНА",P127-SUM(H127,I127,K127,O127)))</f>
        <v>ИСТИНА</v>
      </c>
      <c r="AS127" s="919" t="s">
        <v>3334</v>
      </c>
      <c r="AT127" s="899">
        <f>IF(AS127="","",VLOOKUP($AS127,[25]прил5МУ!N$25:O$84,2,FALSE)*1000)</f>
        <v>23867.34</v>
      </c>
      <c r="AU127" s="896" t="str">
        <f>IF(P127=AT127,"ИСТИНА",P127-AT127)</f>
        <v>ИСТИНА</v>
      </c>
      <c r="AW127" s="896">
        <f>IF(AS127="","",P127)</f>
        <v>23867.34</v>
      </c>
      <c r="AX127" s="896" t="b">
        <f>AT127=AW127</f>
        <v>1</v>
      </c>
    </row>
    <row r="128" spans="1:58" s="76" customFormat="1" ht="15.75" outlineLevel="1">
      <c r="B128" s="676"/>
      <c r="C128" s="693"/>
      <c r="D128" s="694"/>
      <c r="E128" s="695"/>
      <c r="F128" s="696"/>
      <c r="G128" s="697"/>
      <c r="H128" s="247"/>
      <c r="I128" s="247"/>
      <c r="J128" s="698"/>
      <c r="K128" s="247"/>
      <c r="L128" s="699"/>
      <c r="M128" s="698"/>
      <c r="N128" s="698"/>
      <c r="O128" s="247"/>
      <c r="P128" s="700"/>
      <c r="Q128" s="185"/>
      <c r="R128" s="186"/>
      <c r="S128" s="297"/>
      <c r="T128" s="188"/>
      <c r="U128" s="168"/>
      <c r="V128" s="168"/>
      <c r="W128" s="168"/>
      <c r="X128" s="168"/>
      <c r="Y128" s="128"/>
      <c r="Z128" s="128"/>
      <c r="AA128" s="128"/>
      <c r="AB128" s="640"/>
      <c r="AC128" s="641"/>
      <c r="AD128" s="642"/>
      <c r="AE128" s="685"/>
      <c r="AF128" s="685"/>
      <c r="AG128" s="639"/>
      <c r="AH128" s="701"/>
      <c r="AI128" s="702"/>
      <c r="AJ128" s="703"/>
      <c r="AK128" s="704"/>
    </row>
    <row r="129" spans="2:56" s="120" customFormat="1" ht="30">
      <c r="B129" s="675" t="s">
        <v>3183</v>
      </c>
      <c r="C129" s="1148" t="str">
        <f>"Всего по "&amp;T124&amp;" "&amp;T129&amp;" ("&amp;$C$116&amp;"):"</f>
        <v>Всего по Вне Г.Н.П. Изолир. алюм. 50-100 мм (ВЛ-0,4 от 15 до 150 кВт):</v>
      </c>
      <c r="D129" s="1148"/>
      <c r="E129" s="1148"/>
      <c r="F129" s="1149">
        <f>SUM(F130:F131)</f>
        <v>0</v>
      </c>
      <c r="G129" s="1150">
        <f>SUM(G130:G131)</f>
        <v>0</v>
      </c>
      <c r="H129" s="1150">
        <f t="shared" ref="H129:O129" si="78">SUM(H130:H131)</f>
        <v>0</v>
      </c>
      <c r="I129" s="1150">
        <f t="shared" si="78"/>
        <v>0</v>
      </c>
      <c r="J129" s="1150">
        <f t="shared" si="78"/>
        <v>0</v>
      </c>
      <c r="K129" s="1150">
        <f t="shared" si="78"/>
        <v>0</v>
      </c>
      <c r="L129" s="1150">
        <f t="shared" si="78"/>
        <v>0</v>
      </c>
      <c r="M129" s="1150">
        <f t="shared" si="78"/>
        <v>0</v>
      </c>
      <c r="N129" s="1150">
        <f t="shared" si="78"/>
        <v>0</v>
      </c>
      <c r="O129" s="1150">
        <f t="shared" si="78"/>
        <v>0</v>
      </c>
      <c r="P129" s="1150">
        <f>SUM(P130:P131)</f>
        <v>0</v>
      </c>
      <c r="Q129" s="1151"/>
      <c r="R129" s="1151"/>
      <c r="S129" s="1151"/>
      <c r="T129" s="1151" t="s">
        <v>3005</v>
      </c>
      <c r="U129" s="128"/>
      <c r="V129" s="129"/>
      <c r="W129" s="630"/>
      <c r="X129" s="631"/>
      <c r="Y129" s="632"/>
      <c r="Z129" s="633"/>
      <c r="AA129" s="128"/>
      <c r="AB129" s="634"/>
      <c r="AC129" s="635"/>
      <c r="AD129" s="636"/>
      <c r="AE129" s="637"/>
      <c r="AF129" s="638"/>
      <c r="AG129" s="639"/>
      <c r="AH129" s="640"/>
      <c r="AI129" s="641"/>
      <c r="AJ129" s="642"/>
      <c r="AK129" s="638"/>
      <c r="AN129" s="643"/>
      <c r="AT129" s="126"/>
      <c r="AU129" s="644"/>
      <c r="BC129" s="120" t="str">
        <f>[24]Прил.1!$F$14</f>
        <v>50 - 100</v>
      </c>
      <c r="BD129" s="368" t="str">
        <f>CONCATENATE($BC$1,"; ",$BC$4,"; ",$BD$1,"; ",$BD$3,"; ",BC129)</f>
        <v>0,4 кВ; Вне Г.Н.П.; изолированный; алюминевый; 50 - 100</v>
      </c>
    </row>
    <row r="130" spans="2:56" s="76" customFormat="1" ht="15.75" outlineLevel="1">
      <c r="B130" s="676"/>
      <c r="C130" s="677"/>
      <c r="D130" s="678"/>
      <c r="E130" s="679"/>
      <c r="F130" s="680"/>
      <c r="G130" s="681"/>
      <c r="H130" s="517"/>
      <c r="I130" s="517"/>
      <c r="J130" s="517"/>
      <c r="K130" s="517"/>
      <c r="L130" s="517"/>
      <c r="M130" s="517"/>
      <c r="N130" s="517"/>
      <c r="O130" s="517"/>
      <c r="P130" s="682"/>
      <c r="Q130" s="683"/>
      <c r="R130" s="684"/>
      <c r="S130" s="685"/>
      <c r="T130" s="686"/>
      <c r="U130" s="168"/>
      <c r="V130" s="168"/>
      <c r="W130" s="168"/>
      <c r="X130" s="168"/>
      <c r="Y130" s="128"/>
      <c r="Z130" s="128"/>
      <c r="AA130" s="128"/>
      <c r="AB130" s="640"/>
      <c r="AC130" s="641"/>
      <c r="AD130" s="642"/>
      <c r="AE130" s="685"/>
      <c r="AF130" s="685"/>
      <c r="AG130" s="687"/>
      <c r="AH130" s="688"/>
      <c r="AI130" s="689"/>
      <c r="AJ130" s="690"/>
      <c r="AK130" s="691"/>
    </row>
    <row r="131" spans="2:56" s="76" customFormat="1" ht="15.75" outlineLevel="1">
      <c r="B131" s="676"/>
      <c r="C131" s="693"/>
      <c r="D131" s="694"/>
      <c r="E131" s="695"/>
      <c r="F131" s="696"/>
      <c r="G131" s="697"/>
      <c r="H131" s="247"/>
      <c r="I131" s="247"/>
      <c r="J131" s="698"/>
      <c r="K131" s="247"/>
      <c r="L131" s="699"/>
      <c r="M131" s="698"/>
      <c r="N131" s="698"/>
      <c r="O131" s="247"/>
      <c r="P131" s="700"/>
      <c r="Q131" s="185"/>
      <c r="R131" s="186"/>
      <c r="S131" s="297"/>
      <c r="T131" s="188"/>
      <c r="U131" s="168"/>
      <c r="V131" s="168"/>
      <c r="W131" s="168"/>
      <c r="X131" s="168"/>
      <c r="Y131" s="128"/>
      <c r="Z131" s="128"/>
      <c r="AA131" s="128"/>
      <c r="AB131" s="640"/>
      <c r="AC131" s="641"/>
      <c r="AD131" s="642"/>
      <c r="AE131" s="685"/>
      <c r="AF131" s="685"/>
      <c r="AG131" s="639"/>
      <c r="AH131" s="701"/>
      <c r="AI131" s="702"/>
      <c r="AJ131" s="703"/>
      <c r="AK131" s="704"/>
    </row>
    <row r="132" spans="2:56" s="120" customFormat="1" ht="30">
      <c r="B132" s="675" t="s">
        <v>3184</v>
      </c>
      <c r="C132" s="1148" t="str">
        <f>"Всего по "&amp;T124&amp;" "&amp;T132&amp;" ("&amp;$C$116&amp;"):"</f>
        <v>Всего по Вне Г.Н.П. Неизолир. сталеалюм. до 50 мм (ВЛ-0,4 от 15 до 150 кВт):</v>
      </c>
      <c r="D132" s="1148"/>
      <c r="E132" s="1148"/>
      <c r="F132" s="1149">
        <f>SUM(F133:F134)</f>
        <v>0</v>
      </c>
      <c r="G132" s="1150">
        <f>SUM(G133:G134)</f>
        <v>0</v>
      </c>
      <c r="H132" s="1150">
        <f t="shared" ref="H132:O132" si="79">SUM(H133:H134)</f>
        <v>0</v>
      </c>
      <c r="I132" s="1150">
        <f t="shared" si="79"/>
        <v>0</v>
      </c>
      <c r="J132" s="1150">
        <f t="shared" si="79"/>
        <v>0</v>
      </c>
      <c r="K132" s="1150">
        <f t="shared" si="79"/>
        <v>0</v>
      </c>
      <c r="L132" s="1150">
        <f t="shared" si="79"/>
        <v>0</v>
      </c>
      <c r="M132" s="1150">
        <f t="shared" si="79"/>
        <v>0</v>
      </c>
      <c r="N132" s="1150">
        <f t="shared" si="79"/>
        <v>0</v>
      </c>
      <c r="O132" s="1150">
        <f t="shared" si="79"/>
        <v>0</v>
      </c>
      <c r="P132" s="1150">
        <f>SUM(P133:P134)</f>
        <v>0</v>
      </c>
      <c r="Q132" s="1151"/>
      <c r="R132" s="1151"/>
      <c r="S132" s="1151"/>
      <c r="T132" s="1151" t="s">
        <v>3137</v>
      </c>
      <c r="U132" s="128"/>
      <c r="V132" s="129"/>
      <c r="W132" s="630"/>
      <c r="X132" s="631"/>
      <c r="Y132" s="632"/>
      <c r="Z132" s="633"/>
      <c r="AA132" s="128"/>
      <c r="AB132" s="634"/>
      <c r="AC132" s="635"/>
      <c r="AD132" s="636"/>
      <c r="AE132" s="637"/>
      <c r="AF132" s="638"/>
      <c r="AG132" s="639"/>
      <c r="AH132" s="640"/>
      <c r="AI132" s="641"/>
      <c r="AJ132" s="642"/>
      <c r="AK132" s="638"/>
      <c r="AN132" s="643"/>
      <c r="AT132" s="126"/>
      <c r="AU132" s="644"/>
      <c r="BC132" s="120" t="str">
        <f>[24]Прил.1!$F$13</f>
        <v>до 50 вкл.</v>
      </c>
      <c r="BD132" s="368" t="str">
        <f>CONCATENATE($BC$1,"; ",$BC$4,"; ",$BD$2,"; ",$BD$4,"; ",BC132)</f>
        <v>0,4 кВ; Вне Г.Н.П.; неизолированный; сталеалюминиевый; до 50 вкл.</v>
      </c>
    </row>
    <row r="133" spans="2:56" s="76" customFormat="1" ht="15.75" outlineLevel="1">
      <c r="B133" s="676"/>
      <c r="C133" s="677"/>
      <c r="D133" s="678"/>
      <c r="E133" s="679"/>
      <c r="F133" s="680"/>
      <c r="G133" s="681"/>
      <c r="H133" s="517"/>
      <c r="I133" s="517"/>
      <c r="J133" s="517"/>
      <c r="K133" s="517"/>
      <c r="L133" s="517"/>
      <c r="M133" s="517"/>
      <c r="N133" s="517"/>
      <c r="O133" s="517"/>
      <c r="P133" s="682"/>
      <c r="Q133" s="683"/>
      <c r="R133" s="684"/>
      <c r="S133" s="685"/>
      <c r="T133" s="686"/>
      <c r="U133" s="168"/>
      <c r="V133" s="168"/>
      <c r="W133" s="168"/>
      <c r="X133" s="168"/>
      <c r="Y133" s="128"/>
      <c r="Z133" s="128"/>
      <c r="AA133" s="128"/>
      <c r="AB133" s="640"/>
      <c r="AC133" s="641"/>
      <c r="AD133" s="642"/>
      <c r="AE133" s="685"/>
      <c r="AF133" s="685"/>
      <c r="AG133" s="687"/>
      <c r="AH133" s="688"/>
      <c r="AI133" s="689"/>
      <c r="AJ133" s="690"/>
      <c r="AK133" s="691"/>
    </row>
    <row r="134" spans="2:56" s="76" customFormat="1" ht="15.75" outlineLevel="1">
      <c r="B134" s="179"/>
      <c r="C134" s="693"/>
      <c r="D134" s="694"/>
      <c r="E134" s="695"/>
      <c r="F134" s="696"/>
      <c r="G134" s="697"/>
      <c r="H134" s="247"/>
      <c r="I134" s="247"/>
      <c r="J134" s="698"/>
      <c r="K134" s="247"/>
      <c r="L134" s="699"/>
      <c r="M134" s="698"/>
      <c r="N134" s="698"/>
      <c r="O134" s="247"/>
      <c r="P134" s="700"/>
      <c r="Q134" s="185"/>
      <c r="R134" s="186"/>
      <c r="S134" s="297"/>
      <c r="T134" s="188"/>
      <c r="U134" s="168"/>
      <c r="V134" s="168"/>
      <c r="W134" s="168"/>
      <c r="X134" s="168"/>
      <c r="Y134" s="128"/>
      <c r="Z134" s="128"/>
      <c r="AA134" s="128"/>
      <c r="AB134" s="640"/>
      <c r="AC134" s="641"/>
      <c r="AD134" s="642"/>
      <c r="AE134" s="685"/>
      <c r="AF134" s="685"/>
      <c r="AG134" s="639"/>
      <c r="AH134" s="701"/>
      <c r="AI134" s="702"/>
      <c r="AJ134" s="703"/>
      <c r="AK134" s="704"/>
    </row>
    <row r="135" spans="2:56" ht="18.75">
      <c r="B135" s="1161">
        <f>MAX(B117:B134)</f>
        <v>2</v>
      </c>
      <c r="C135" s="1162" t="str">
        <f>"ИТОГО по "&amp;$C$116&amp;":"</f>
        <v>ИТОГО по ВЛ-0,4 от 15 до 150 кВт:</v>
      </c>
      <c r="D135" s="1162"/>
      <c r="E135" s="1162"/>
      <c r="F135" s="1163">
        <f>SUM(F117,F124)</f>
        <v>0.45</v>
      </c>
      <c r="G135" s="1164">
        <f t="shared" ref="G135:P135" si="80">SUM(G117,G124)</f>
        <v>92.78</v>
      </c>
      <c r="H135" s="1164">
        <f t="shared" si="80"/>
        <v>0</v>
      </c>
      <c r="I135" s="1164">
        <f t="shared" si="80"/>
        <v>0</v>
      </c>
      <c r="J135" s="1164">
        <f t="shared" si="80"/>
        <v>0</v>
      </c>
      <c r="K135" s="1164">
        <f t="shared" si="80"/>
        <v>0</v>
      </c>
      <c r="L135" s="1164">
        <f t="shared" si="80"/>
        <v>0</v>
      </c>
      <c r="M135" s="1164">
        <f t="shared" si="80"/>
        <v>0</v>
      </c>
      <c r="N135" s="1164">
        <f t="shared" si="80"/>
        <v>0</v>
      </c>
      <c r="O135" s="1164">
        <f t="shared" si="80"/>
        <v>85507.07</v>
      </c>
      <c r="P135" s="1164">
        <f t="shared" si="80"/>
        <v>85507.07</v>
      </c>
      <c r="Q135" s="1125"/>
      <c r="R135" s="1129"/>
      <c r="S135" s="1125"/>
      <c r="T135" s="1125"/>
      <c r="U135" s="965"/>
      <c r="V135" s="965"/>
      <c r="W135" s="965"/>
      <c r="Y135" s="933" t="str">
        <f>IF(X135="","",$C$116)</f>
        <v/>
      </c>
      <c r="Z135" s="933" t="str">
        <f>IF(X135="","",CONCATENATE(Y135,"-",X135,"; ",#REF!))</f>
        <v/>
      </c>
      <c r="AA135" s="934"/>
      <c r="AB135" s="916"/>
      <c r="AC135" s="917"/>
      <c r="AD135" s="918"/>
      <c r="AE135" s="914"/>
      <c r="AF135" s="939"/>
      <c r="AG135" s="940" t="str">
        <f t="shared" si="42"/>
        <v>не совпадает</v>
      </c>
      <c r="AH135" s="941" t="str">
        <f t="shared" si="46"/>
        <v/>
      </c>
      <c r="AI135" s="942" t="str">
        <f t="shared" si="46"/>
        <v/>
      </c>
      <c r="AJ135" s="943" t="str">
        <f t="shared" si="46"/>
        <v/>
      </c>
      <c r="AK135" s="938">
        <f t="shared" si="28"/>
        <v>0</v>
      </c>
      <c r="AR135" s="896" t="str">
        <f>IF(B135="","",IF(P135=SUM(H135,I135,K135,O135),"ИСТИНА",P135-SUM(H135,I135,K135,O135)))</f>
        <v>ИСТИНА</v>
      </c>
      <c r="AS135" s="919"/>
      <c r="AT135" s="899" t="str">
        <f>IF(AS135="","",VLOOKUP($AS135,[25]прил5МУ!N$25:O$84,2,FALSE)*1000)</f>
        <v/>
      </c>
      <c r="AU135" s="896" t="e">
        <f>IF(P135=AT135,"ИСТИНА",P135-AT135)</f>
        <v>#VALUE!</v>
      </c>
      <c r="AW135" s="896" t="str">
        <f>IF(AS135="","",P135)</f>
        <v/>
      </c>
      <c r="AX135" s="896" t="b">
        <f t="shared" si="43"/>
        <v>1</v>
      </c>
    </row>
    <row r="136" spans="2:56" ht="18.75">
      <c r="B136" s="1135" t="s">
        <v>13</v>
      </c>
      <c r="C136" s="1136" t="s">
        <v>2608</v>
      </c>
      <c r="D136" s="1137"/>
      <c r="E136" s="1137"/>
      <c r="F136" s="1138">
        <f>SUM(F137,F147)</f>
        <v>0</v>
      </c>
      <c r="G136" s="1139">
        <f t="shared" ref="G136:P136" si="81">SUM(G137,G147)</f>
        <v>0</v>
      </c>
      <c r="H136" s="1139">
        <f t="shared" si="81"/>
        <v>0</v>
      </c>
      <c r="I136" s="1139">
        <f t="shared" si="81"/>
        <v>0</v>
      </c>
      <c r="J136" s="1139">
        <f t="shared" si="81"/>
        <v>0</v>
      </c>
      <c r="K136" s="1139">
        <f t="shared" si="81"/>
        <v>0</v>
      </c>
      <c r="L136" s="1139">
        <f t="shared" si="81"/>
        <v>0</v>
      </c>
      <c r="M136" s="1139">
        <f t="shared" si="81"/>
        <v>0</v>
      </c>
      <c r="N136" s="1139">
        <f t="shared" si="81"/>
        <v>0</v>
      </c>
      <c r="O136" s="1139">
        <f t="shared" si="81"/>
        <v>0</v>
      </c>
      <c r="P136" s="1139">
        <f t="shared" si="81"/>
        <v>0</v>
      </c>
      <c r="Q136" s="1137"/>
      <c r="R136" s="1137"/>
      <c r="S136" s="1137"/>
      <c r="T136" s="1140"/>
      <c r="U136" s="915"/>
      <c r="V136" s="915"/>
      <c r="W136" s="915"/>
      <c r="Y136" s="933" t="str">
        <f>IF(X136="","",$C$136)</f>
        <v/>
      </c>
      <c r="Z136" s="933" t="str">
        <f>IF(X136="","",CONCATENATE(Y136,"-",X136,"; ",#REF!))</f>
        <v/>
      </c>
      <c r="AA136" s="934"/>
      <c r="AB136" s="916"/>
      <c r="AC136" s="917"/>
      <c r="AD136" s="918"/>
      <c r="AE136" s="914"/>
      <c r="AF136" s="939"/>
      <c r="AG136" s="940" t="str">
        <f t="shared" si="42"/>
        <v>не совпадает</v>
      </c>
      <c r="AH136" s="941" t="str">
        <f t="shared" si="46"/>
        <v/>
      </c>
      <c r="AI136" s="942" t="str">
        <f t="shared" si="46"/>
        <v/>
      </c>
      <c r="AJ136" s="943" t="str">
        <f t="shared" si="46"/>
        <v/>
      </c>
      <c r="AK136" s="938">
        <f t="shared" si="28"/>
        <v>0</v>
      </c>
      <c r="AS136" s="919"/>
      <c r="AT136" s="899" t="str">
        <f>IF(AS136="","",VLOOKUP($AS136,[25]прил5МУ!N$25:O$84,2,FALSE)*1000)</f>
        <v/>
      </c>
      <c r="AU136" s="896" t="e">
        <f>IF(P136=AT136,"ИСТИНА",P136-AT136)</f>
        <v>#VALUE!</v>
      </c>
      <c r="AW136" s="896" t="str">
        <f>IF(AS136="","",P136)</f>
        <v/>
      </c>
      <c r="AX136" s="896" t="b">
        <f t="shared" si="43"/>
        <v>1</v>
      </c>
      <c r="BC136" s="625" t="str">
        <f>C136</f>
        <v>ВЛ-10 от 15 до 150 кВт</v>
      </c>
    </row>
    <row r="137" spans="2:56" s="120" customFormat="1" ht="15.75">
      <c r="B137" s="1141" t="s">
        <v>2609</v>
      </c>
      <c r="C137" s="1142" t="str">
        <f>"Всего по "&amp;T137&amp;" ("&amp;$C$136&amp;"):"</f>
        <v>Всего по Г.Н.П. (ВЛ-10 от 15 до 150 кВт):</v>
      </c>
      <c r="D137" s="1143"/>
      <c r="E137" s="1143"/>
      <c r="F137" s="1144">
        <f>SUM(F138,F141,F144)</f>
        <v>0</v>
      </c>
      <c r="G137" s="1145">
        <f t="shared" ref="G137:O137" si="82">SUM(G138,G141,G144)</f>
        <v>0</v>
      </c>
      <c r="H137" s="1145">
        <f t="shared" si="82"/>
        <v>0</v>
      </c>
      <c r="I137" s="1145">
        <f t="shared" si="82"/>
        <v>0</v>
      </c>
      <c r="J137" s="1145">
        <f t="shared" si="82"/>
        <v>0</v>
      </c>
      <c r="K137" s="1145">
        <f t="shared" si="82"/>
        <v>0</v>
      </c>
      <c r="L137" s="1145">
        <f t="shared" si="82"/>
        <v>0</v>
      </c>
      <c r="M137" s="1145">
        <f t="shared" si="82"/>
        <v>0</v>
      </c>
      <c r="N137" s="1145">
        <f t="shared" si="82"/>
        <v>0</v>
      </c>
      <c r="O137" s="1145">
        <f t="shared" si="82"/>
        <v>0</v>
      </c>
      <c r="P137" s="1145">
        <f>SUM(P138,P141,P144)</f>
        <v>0</v>
      </c>
      <c r="Q137" s="1146"/>
      <c r="R137" s="1146"/>
      <c r="S137" s="1146"/>
      <c r="T137" s="1146" t="s">
        <v>2956</v>
      </c>
      <c r="U137" s="128"/>
      <c r="V137" s="129"/>
      <c r="W137" s="630"/>
      <c r="X137" s="631"/>
      <c r="Y137" s="632"/>
      <c r="Z137" s="633"/>
      <c r="AA137" s="128"/>
      <c r="AB137" s="634"/>
      <c r="AC137" s="635"/>
      <c r="AD137" s="636"/>
      <c r="AE137" s="637"/>
      <c r="AF137" s="638"/>
      <c r="AG137" s="639"/>
      <c r="AH137" s="640"/>
      <c r="AI137" s="641"/>
      <c r="AJ137" s="642"/>
      <c r="AK137" s="638"/>
      <c r="AN137" s="643"/>
      <c r="AT137" s="784"/>
      <c r="AU137" s="644"/>
    </row>
    <row r="138" spans="2:56" s="120" customFormat="1" ht="30">
      <c r="B138" s="1147" t="s">
        <v>2610</v>
      </c>
      <c r="C138" s="1148" t="str">
        <f>"Всего по "&amp;T137&amp;" "&amp;T138&amp;" ("&amp;$C$136&amp;"):"</f>
        <v>Всего по Г.Н.П. Изолир. алюм. до 50 мм (ВЛ-10 от 15 до 150 кВт):</v>
      </c>
      <c r="D138" s="1148"/>
      <c r="E138" s="1148"/>
      <c r="F138" s="1149">
        <f>SUM(F139:F140)</f>
        <v>0</v>
      </c>
      <c r="G138" s="1150">
        <f>SUM(G139:G140)</f>
        <v>0</v>
      </c>
      <c r="H138" s="1150">
        <f t="shared" ref="H138:P138" si="83">SUM(H139:H140)</f>
        <v>0</v>
      </c>
      <c r="I138" s="1150">
        <f t="shared" si="83"/>
        <v>0</v>
      </c>
      <c r="J138" s="1150">
        <f t="shared" si="83"/>
        <v>0</v>
      </c>
      <c r="K138" s="1150">
        <f t="shared" si="83"/>
        <v>0</v>
      </c>
      <c r="L138" s="1150">
        <f t="shared" si="83"/>
        <v>0</v>
      </c>
      <c r="M138" s="1150">
        <f t="shared" si="83"/>
        <v>0</v>
      </c>
      <c r="N138" s="1150">
        <f t="shared" si="83"/>
        <v>0</v>
      </c>
      <c r="O138" s="1150">
        <f t="shared" si="83"/>
        <v>0</v>
      </c>
      <c r="P138" s="1150">
        <f t="shared" si="83"/>
        <v>0</v>
      </c>
      <c r="Q138" s="1151"/>
      <c r="R138" s="1151"/>
      <c r="S138" s="1151"/>
      <c r="T138" s="1151" t="s">
        <v>2962</v>
      </c>
      <c r="U138" s="128"/>
      <c r="V138" s="129"/>
      <c r="W138" s="630"/>
      <c r="X138" s="631"/>
      <c r="Y138" s="632"/>
      <c r="Z138" s="633"/>
      <c r="AA138" s="128"/>
      <c r="AB138" s="634"/>
      <c r="AC138" s="635"/>
      <c r="AD138" s="636"/>
      <c r="AE138" s="637"/>
      <c r="AF138" s="638"/>
      <c r="AG138" s="687"/>
      <c r="AH138" s="688"/>
      <c r="AI138" s="785"/>
      <c r="AJ138" s="786"/>
      <c r="AK138" s="787"/>
      <c r="AN138" s="643"/>
      <c r="AT138" s="788"/>
      <c r="AU138" s="789"/>
      <c r="BC138" s="120" t="str">
        <f>[24]Прил.1!$F$13</f>
        <v>до 50 вкл.</v>
      </c>
      <c r="BD138" s="368" t="str">
        <f>CONCATENATE($BC$2,"; ",$BC$3,"; ",$BD$1,"; ",$BD$3,"; ",BC138)</f>
        <v>6-10 кВ; Г.Н.П.; изолированный; алюминевый; до 50 вкл.</v>
      </c>
    </row>
    <row r="139" spans="2:56" s="76" customFormat="1" ht="15.75" outlineLevel="1">
      <c r="B139" s="676"/>
      <c r="C139" s="677"/>
      <c r="D139" s="678"/>
      <c r="E139" s="679"/>
      <c r="F139" s="680"/>
      <c r="G139" s="681"/>
      <c r="H139" s="517"/>
      <c r="I139" s="517"/>
      <c r="J139" s="517"/>
      <c r="K139" s="517"/>
      <c r="L139" s="517"/>
      <c r="M139" s="517"/>
      <c r="N139" s="517"/>
      <c r="O139" s="517"/>
      <c r="P139" s="682"/>
      <c r="Q139" s="683"/>
      <c r="R139" s="684"/>
      <c r="S139" s="685"/>
      <c r="T139" s="686"/>
      <c r="U139" s="168"/>
      <c r="V139" s="168"/>
      <c r="W139" s="168"/>
      <c r="X139" s="168"/>
      <c r="Y139" s="128"/>
      <c r="Z139" s="128"/>
      <c r="AA139" s="128"/>
      <c r="AB139" s="640"/>
      <c r="AC139" s="641"/>
      <c r="AD139" s="642"/>
      <c r="AE139" s="685"/>
      <c r="AF139" s="685"/>
      <c r="AG139" s="687"/>
      <c r="AH139" s="688"/>
      <c r="AI139" s="689"/>
      <c r="AJ139" s="690"/>
      <c r="AK139" s="691"/>
    </row>
    <row r="140" spans="2:56" s="76" customFormat="1" ht="15.75" outlineLevel="1">
      <c r="B140" s="676"/>
      <c r="C140" s="693"/>
      <c r="D140" s="694"/>
      <c r="E140" s="695"/>
      <c r="F140" s="696"/>
      <c r="G140" s="697"/>
      <c r="H140" s="247"/>
      <c r="I140" s="247"/>
      <c r="J140" s="698"/>
      <c r="K140" s="247"/>
      <c r="L140" s="699"/>
      <c r="M140" s="698"/>
      <c r="N140" s="698"/>
      <c r="O140" s="247"/>
      <c r="P140" s="700"/>
      <c r="Q140" s="185"/>
      <c r="R140" s="186"/>
      <c r="S140" s="297"/>
      <c r="T140" s="188"/>
      <c r="U140" s="168"/>
      <c r="V140" s="168"/>
      <c r="W140" s="168"/>
      <c r="X140" s="168"/>
      <c r="Y140" s="128"/>
      <c r="Z140" s="128"/>
      <c r="AA140" s="128"/>
      <c r="AB140" s="640"/>
      <c r="AC140" s="641"/>
      <c r="AD140" s="642"/>
      <c r="AE140" s="685"/>
      <c r="AF140" s="685"/>
      <c r="AG140" s="639"/>
      <c r="AH140" s="701"/>
      <c r="AI140" s="702"/>
      <c r="AJ140" s="703"/>
      <c r="AK140" s="704"/>
    </row>
    <row r="141" spans="2:56" s="120" customFormat="1" ht="30">
      <c r="B141" s="675" t="s">
        <v>3185</v>
      </c>
      <c r="C141" s="1148" t="str">
        <f>"Всего по "&amp;T137&amp;" "&amp;T141&amp;" ("&amp;$C$136&amp;"):"</f>
        <v>Всего по Г.Н.П. Изолир. алюм. 50-100 мм (ВЛ-10 от 15 до 150 кВт):</v>
      </c>
      <c r="D141" s="1148"/>
      <c r="E141" s="1148"/>
      <c r="F141" s="1149">
        <f>SUM(F142:F143)</f>
        <v>0</v>
      </c>
      <c r="G141" s="1150">
        <f t="shared" ref="G141:O141" si="84">SUM(G142:G143)</f>
        <v>0</v>
      </c>
      <c r="H141" s="1150">
        <f t="shared" si="84"/>
        <v>0</v>
      </c>
      <c r="I141" s="1150">
        <f t="shared" si="84"/>
        <v>0</v>
      </c>
      <c r="J141" s="1150">
        <f t="shared" si="84"/>
        <v>0</v>
      </c>
      <c r="K141" s="1150">
        <f t="shared" si="84"/>
        <v>0</v>
      </c>
      <c r="L141" s="1150">
        <f t="shared" si="84"/>
        <v>0</v>
      </c>
      <c r="M141" s="1150">
        <f t="shared" si="84"/>
        <v>0</v>
      </c>
      <c r="N141" s="1150">
        <f t="shared" si="84"/>
        <v>0</v>
      </c>
      <c r="O141" s="1150">
        <f t="shared" si="84"/>
        <v>0</v>
      </c>
      <c r="P141" s="1150">
        <f>SUM(P142:P143)</f>
        <v>0</v>
      </c>
      <c r="Q141" s="1151"/>
      <c r="R141" s="1151"/>
      <c r="S141" s="1151"/>
      <c r="T141" s="1151" t="s">
        <v>3005</v>
      </c>
      <c r="U141" s="128"/>
      <c r="V141" s="129"/>
      <c r="W141" s="630"/>
      <c r="X141" s="631"/>
      <c r="Y141" s="632"/>
      <c r="Z141" s="633"/>
      <c r="AA141" s="128"/>
      <c r="AB141" s="634"/>
      <c r="AC141" s="635"/>
      <c r="AD141" s="636"/>
      <c r="AE141" s="637"/>
      <c r="AF141" s="638"/>
      <c r="AG141" s="639"/>
      <c r="AH141" s="640"/>
      <c r="AI141" s="641"/>
      <c r="AJ141" s="642"/>
      <c r="AK141" s="638"/>
      <c r="AN141" s="643"/>
      <c r="AT141" s="126"/>
      <c r="AU141" s="644"/>
      <c r="BC141" s="120" t="str">
        <f>[24]Прил.1!$F$14</f>
        <v>50 - 100</v>
      </c>
      <c r="BD141" s="368" t="str">
        <f>CONCATENATE($BC$2,"; ",$BC$3,"; ",$BD$1,"; ",$BD$3,"; ",BC141)</f>
        <v>6-10 кВ; Г.Н.П.; изолированный; алюминевый; 50 - 100</v>
      </c>
    </row>
    <row r="142" spans="2:56" s="76" customFormat="1" ht="15.75" outlineLevel="1">
      <c r="B142" s="676"/>
      <c r="C142" s="677"/>
      <c r="D142" s="678"/>
      <c r="E142" s="679"/>
      <c r="F142" s="680"/>
      <c r="G142" s="681"/>
      <c r="H142" s="517"/>
      <c r="I142" s="517"/>
      <c r="J142" s="517"/>
      <c r="K142" s="517"/>
      <c r="L142" s="517"/>
      <c r="M142" s="517"/>
      <c r="N142" s="517"/>
      <c r="O142" s="517"/>
      <c r="P142" s="682"/>
      <c r="Q142" s="683"/>
      <c r="R142" s="684"/>
      <c r="S142" s="685"/>
      <c r="T142" s="686"/>
      <c r="U142" s="168"/>
      <c r="V142" s="168"/>
      <c r="W142" s="168"/>
      <c r="X142" s="168"/>
      <c r="Y142" s="128"/>
      <c r="Z142" s="128"/>
      <c r="AA142" s="128"/>
      <c r="AB142" s="640"/>
      <c r="AC142" s="641"/>
      <c r="AD142" s="642"/>
      <c r="AE142" s="685"/>
      <c r="AF142" s="685"/>
      <c r="AG142" s="687"/>
      <c r="AH142" s="688"/>
      <c r="AI142" s="689"/>
      <c r="AJ142" s="690"/>
      <c r="AK142" s="691"/>
    </row>
    <row r="143" spans="2:56" s="76" customFormat="1" ht="15.75" outlineLevel="1">
      <c r="B143" s="676"/>
      <c r="C143" s="693"/>
      <c r="D143" s="694"/>
      <c r="E143" s="695"/>
      <c r="F143" s="696"/>
      <c r="G143" s="697"/>
      <c r="H143" s="247"/>
      <c r="I143" s="247"/>
      <c r="J143" s="698"/>
      <c r="K143" s="247"/>
      <c r="L143" s="699"/>
      <c r="M143" s="698"/>
      <c r="N143" s="698"/>
      <c r="O143" s="247"/>
      <c r="P143" s="700"/>
      <c r="Q143" s="185"/>
      <c r="R143" s="186"/>
      <c r="S143" s="297"/>
      <c r="T143" s="188"/>
      <c r="U143" s="168"/>
      <c r="V143" s="168"/>
      <c r="W143" s="168"/>
      <c r="X143" s="168"/>
      <c r="Y143" s="128"/>
      <c r="Z143" s="128"/>
      <c r="AA143" s="128"/>
      <c r="AB143" s="640"/>
      <c r="AC143" s="641"/>
      <c r="AD143" s="642"/>
      <c r="AE143" s="685"/>
      <c r="AF143" s="685"/>
      <c r="AG143" s="639"/>
      <c r="AH143" s="701"/>
      <c r="AI143" s="702"/>
      <c r="AJ143" s="703"/>
      <c r="AK143" s="704"/>
    </row>
    <row r="144" spans="2:56" s="120" customFormat="1" ht="30">
      <c r="B144" s="675" t="s">
        <v>3186</v>
      </c>
      <c r="C144" s="1148" t="str">
        <f>"Всего по "&amp;T137&amp;" "&amp;T144&amp;" ("&amp;$C$136&amp;"):"</f>
        <v>Всего по Г.Н.П. Неизолир. сталеалюм. до 50 мм (ВЛ-10 от 15 до 150 кВт):</v>
      </c>
      <c r="D144" s="1148"/>
      <c r="E144" s="1148"/>
      <c r="F144" s="1149">
        <f t="shared" ref="F144:P144" si="85">SUM(F145:F146)</f>
        <v>0</v>
      </c>
      <c r="G144" s="1150">
        <f t="shared" si="85"/>
        <v>0</v>
      </c>
      <c r="H144" s="1150">
        <f t="shared" si="85"/>
        <v>0</v>
      </c>
      <c r="I144" s="1150">
        <f t="shared" si="85"/>
        <v>0</v>
      </c>
      <c r="J144" s="1150">
        <f t="shared" si="85"/>
        <v>0</v>
      </c>
      <c r="K144" s="1150">
        <f t="shared" si="85"/>
        <v>0</v>
      </c>
      <c r="L144" s="1150">
        <f t="shared" si="85"/>
        <v>0</v>
      </c>
      <c r="M144" s="1150">
        <f t="shared" si="85"/>
        <v>0</v>
      </c>
      <c r="N144" s="1150">
        <f t="shared" si="85"/>
        <v>0</v>
      </c>
      <c r="O144" s="1150">
        <f t="shared" si="85"/>
        <v>0</v>
      </c>
      <c r="P144" s="1150">
        <f t="shared" si="85"/>
        <v>0</v>
      </c>
      <c r="Q144" s="1151"/>
      <c r="R144" s="1151"/>
      <c r="S144" s="1151"/>
      <c r="T144" s="1151" t="s">
        <v>3137</v>
      </c>
      <c r="U144" s="128"/>
      <c r="V144" s="129"/>
      <c r="W144" s="630"/>
      <c r="X144" s="631"/>
      <c r="Y144" s="632"/>
      <c r="Z144" s="633"/>
      <c r="AA144" s="128"/>
      <c r="AB144" s="634"/>
      <c r="AC144" s="635"/>
      <c r="AD144" s="636"/>
      <c r="AE144" s="637"/>
      <c r="AF144" s="638"/>
      <c r="AG144" s="639"/>
      <c r="AH144" s="640"/>
      <c r="AI144" s="641"/>
      <c r="AJ144" s="642"/>
      <c r="AK144" s="638"/>
      <c r="AN144" s="643"/>
      <c r="AT144" s="126"/>
      <c r="AU144" s="644"/>
      <c r="BC144" s="120" t="str">
        <f>[24]Прил.1!$F$13</f>
        <v>до 50 вкл.</v>
      </c>
      <c r="BD144" s="368" t="str">
        <f>CONCATENATE($BC$2,"; ",$BC$3,"; ",$BD$2,"; ",$BD$4,"; ",BC144)</f>
        <v>6-10 кВ; Г.Н.П.; неизолированный; сталеалюминиевый; до 50 вкл.</v>
      </c>
    </row>
    <row r="145" spans="1:58" s="600" customFormat="1" ht="15.75" outlineLevel="1">
      <c r="B145" s="724"/>
      <c r="C145" s="983"/>
      <c r="D145" s="984"/>
      <c r="E145" s="923">
        <v>10</v>
      </c>
      <c r="F145" s="986"/>
      <c r="G145" s="1005"/>
      <c r="H145" s="998"/>
      <c r="I145" s="998"/>
      <c r="J145" s="1006"/>
      <c r="K145" s="998"/>
      <c r="L145" s="1006"/>
      <c r="M145" s="1006"/>
      <c r="N145" s="1006"/>
      <c r="O145" s="998"/>
      <c r="P145" s="1007"/>
      <c r="Q145" s="1008"/>
      <c r="R145" s="991"/>
      <c r="S145" s="992"/>
      <c r="T145" s="992"/>
      <c r="U145" s="602"/>
      <c r="V145" s="744"/>
      <c r="W145" s="602"/>
      <c r="X145" s="602"/>
      <c r="Y145" s="582"/>
      <c r="Z145" s="582"/>
      <c r="AA145" s="582"/>
      <c r="AB145" s="659"/>
      <c r="AC145" s="660"/>
      <c r="AD145" s="661"/>
      <c r="AE145" s="662"/>
      <c r="AF145" s="662"/>
      <c r="AG145" s="663"/>
      <c r="AH145" s="664"/>
      <c r="AI145" s="665"/>
      <c r="AJ145" s="666"/>
      <c r="AK145" s="667"/>
      <c r="BF145" s="668"/>
    </row>
    <row r="146" spans="1:58" s="76" customFormat="1" ht="15.75" outlineLevel="1">
      <c r="B146" s="676"/>
      <c r="C146" s="693"/>
      <c r="D146" s="694"/>
      <c r="E146" s="923">
        <v>10</v>
      </c>
      <c r="F146" s="696"/>
      <c r="G146" s="697"/>
      <c r="H146" s="247"/>
      <c r="I146" s="247"/>
      <c r="J146" s="698"/>
      <c r="K146" s="247"/>
      <c r="L146" s="699"/>
      <c r="M146" s="698"/>
      <c r="N146" s="698"/>
      <c r="O146" s="247"/>
      <c r="P146" s="700"/>
      <c r="Q146" s="185"/>
      <c r="R146" s="186"/>
      <c r="S146" s="297"/>
      <c r="T146" s="188"/>
      <c r="U146" s="168"/>
      <c r="V146" s="168"/>
      <c r="W146" s="168"/>
      <c r="X146" s="168"/>
      <c r="Y146" s="128"/>
      <c r="Z146" s="128"/>
      <c r="AA146" s="128"/>
      <c r="AB146" s="640"/>
      <c r="AC146" s="641"/>
      <c r="AD146" s="642"/>
      <c r="AE146" s="685"/>
      <c r="AF146" s="685"/>
      <c r="AG146" s="639"/>
      <c r="AH146" s="701"/>
      <c r="AI146" s="702"/>
      <c r="AJ146" s="703"/>
      <c r="AK146" s="704"/>
    </row>
    <row r="147" spans="1:58" s="120" customFormat="1" ht="15.75" customHeight="1">
      <c r="B147" s="1141" t="s">
        <v>3190</v>
      </c>
      <c r="C147" s="1142" t="str">
        <f>"Всего по "&amp;T147&amp;" ("&amp;$C$136&amp;"):"</f>
        <v>Всего по Вне Г.Н.П. (ВЛ-10 от 15 до 150 кВт):</v>
      </c>
      <c r="D147" s="1143"/>
      <c r="E147" s="1143"/>
      <c r="F147" s="1144">
        <f>SUM(F148,F154,F151)</f>
        <v>0</v>
      </c>
      <c r="G147" s="1145">
        <f t="shared" ref="G147:P147" si="86">SUM(G148,G154,G151)</f>
        <v>0</v>
      </c>
      <c r="H147" s="1145">
        <f t="shared" si="86"/>
        <v>0</v>
      </c>
      <c r="I147" s="1145">
        <f t="shared" si="86"/>
        <v>0</v>
      </c>
      <c r="J147" s="1145">
        <f t="shared" si="86"/>
        <v>0</v>
      </c>
      <c r="K147" s="1145">
        <f t="shared" si="86"/>
        <v>0</v>
      </c>
      <c r="L147" s="1145">
        <f t="shared" si="86"/>
        <v>0</v>
      </c>
      <c r="M147" s="1145">
        <f t="shared" si="86"/>
        <v>0</v>
      </c>
      <c r="N147" s="1145">
        <f t="shared" si="86"/>
        <v>0</v>
      </c>
      <c r="O147" s="1145">
        <f t="shared" si="86"/>
        <v>0</v>
      </c>
      <c r="P147" s="1145">
        <f t="shared" si="86"/>
        <v>0</v>
      </c>
      <c r="Q147" s="1146"/>
      <c r="R147" s="1146"/>
      <c r="S147" s="1146"/>
      <c r="T147" s="1146" t="s">
        <v>2958</v>
      </c>
      <c r="U147" s="128"/>
      <c r="V147" s="129"/>
      <c r="W147" s="630"/>
      <c r="X147" s="631"/>
      <c r="Y147" s="632"/>
      <c r="Z147" s="633"/>
      <c r="AA147" s="128"/>
      <c r="AB147" s="634"/>
      <c r="AC147" s="635"/>
      <c r="AD147" s="636"/>
      <c r="AE147" s="637"/>
      <c r="AF147" s="638"/>
      <c r="AG147" s="639"/>
      <c r="AH147" s="640"/>
      <c r="AI147" s="641"/>
      <c r="AJ147" s="642"/>
      <c r="AK147" s="638"/>
      <c r="AN147" s="643"/>
      <c r="AT147" s="126"/>
      <c r="AU147" s="644"/>
    </row>
    <row r="148" spans="1:58" s="120" customFormat="1" ht="30">
      <c r="B148" s="1147" t="s">
        <v>3191</v>
      </c>
      <c r="C148" s="1148" t="str">
        <f>"Всего по "&amp;T147&amp;" "&amp;T148&amp;" ("&amp;$C$136&amp;"):"</f>
        <v>Всего по Вне Г.Н.П. Изолир. алюм. до 50 мм (ВЛ-10 от 15 до 150 кВт):</v>
      </c>
      <c r="D148" s="1148"/>
      <c r="E148" s="1148"/>
      <c r="F148" s="1149">
        <f>SUM(F149:F150)</f>
        <v>0</v>
      </c>
      <c r="G148" s="1150">
        <f t="shared" ref="G148:P148" si="87">SUM(G149:G150)</f>
        <v>0</v>
      </c>
      <c r="H148" s="1150">
        <f t="shared" si="87"/>
        <v>0</v>
      </c>
      <c r="I148" s="1150">
        <f t="shared" si="87"/>
        <v>0</v>
      </c>
      <c r="J148" s="1150">
        <f t="shared" si="87"/>
        <v>0</v>
      </c>
      <c r="K148" s="1150">
        <f t="shared" si="87"/>
        <v>0</v>
      </c>
      <c r="L148" s="1150">
        <f t="shared" si="87"/>
        <v>0</v>
      </c>
      <c r="M148" s="1150">
        <f t="shared" si="87"/>
        <v>0</v>
      </c>
      <c r="N148" s="1150">
        <f t="shared" si="87"/>
        <v>0</v>
      </c>
      <c r="O148" s="1150">
        <f t="shared" si="87"/>
        <v>0</v>
      </c>
      <c r="P148" s="1150">
        <f t="shared" si="87"/>
        <v>0</v>
      </c>
      <c r="Q148" s="1151"/>
      <c r="R148" s="1151"/>
      <c r="S148" s="1151"/>
      <c r="T148" s="1151" t="s">
        <v>2962</v>
      </c>
      <c r="U148" s="128"/>
      <c r="V148" s="129"/>
      <c r="W148" s="630"/>
      <c r="X148" s="631"/>
      <c r="Y148" s="632"/>
      <c r="Z148" s="633"/>
      <c r="AA148" s="128"/>
      <c r="AB148" s="634"/>
      <c r="AC148" s="635"/>
      <c r="AD148" s="636"/>
      <c r="AE148" s="637"/>
      <c r="AF148" s="638"/>
      <c r="AG148" s="639"/>
      <c r="AH148" s="640"/>
      <c r="AI148" s="641"/>
      <c r="AJ148" s="642"/>
      <c r="AK148" s="638"/>
      <c r="AN148" s="643"/>
      <c r="AT148" s="126"/>
      <c r="AU148" s="644"/>
      <c r="BC148" s="120" t="str">
        <f>[24]Прил.1!$F$13</f>
        <v>до 50 вкл.</v>
      </c>
      <c r="BD148" s="368" t="str">
        <f>CONCATENATE($BC$2,"; ",$BC$4,"; ",$BD$1,"; ",$BD$3,"; ",BC148)</f>
        <v>6-10 кВ; Вне Г.Н.П.; изолированный; алюминевый; до 50 вкл.</v>
      </c>
    </row>
    <row r="149" spans="1:58" s="76" customFormat="1" ht="15.75" outlineLevel="1">
      <c r="B149" s="676"/>
      <c r="C149" s="677"/>
      <c r="D149" s="678"/>
      <c r="E149" s="679"/>
      <c r="F149" s="680"/>
      <c r="G149" s="681"/>
      <c r="H149" s="517"/>
      <c r="I149" s="517"/>
      <c r="J149" s="517"/>
      <c r="K149" s="517"/>
      <c r="L149" s="517"/>
      <c r="M149" s="517"/>
      <c r="N149" s="517"/>
      <c r="O149" s="517"/>
      <c r="P149" s="682"/>
      <c r="Q149" s="683"/>
      <c r="R149" s="684"/>
      <c r="S149" s="685"/>
      <c r="T149" s="686"/>
      <c r="U149" s="168"/>
      <c r="V149" s="168"/>
      <c r="W149" s="168"/>
      <c r="X149" s="168"/>
      <c r="Y149" s="128"/>
      <c r="Z149" s="128"/>
      <c r="AA149" s="128"/>
      <c r="AB149" s="640"/>
      <c r="AC149" s="641"/>
      <c r="AD149" s="642"/>
      <c r="AE149" s="685"/>
      <c r="AF149" s="685"/>
      <c r="AG149" s="687"/>
      <c r="AH149" s="688"/>
      <c r="AI149" s="689"/>
      <c r="AJ149" s="690"/>
      <c r="AK149" s="691"/>
    </row>
    <row r="150" spans="1:58" s="76" customFormat="1" ht="15.75" outlineLevel="1">
      <c r="B150" s="676"/>
      <c r="C150" s="693"/>
      <c r="D150" s="694"/>
      <c r="E150" s="695"/>
      <c r="F150" s="696"/>
      <c r="G150" s="697"/>
      <c r="H150" s="247"/>
      <c r="I150" s="247"/>
      <c r="J150" s="698"/>
      <c r="K150" s="247"/>
      <c r="L150" s="699"/>
      <c r="M150" s="698"/>
      <c r="N150" s="698"/>
      <c r="O150" s="247"/>
      <c r="P150" s="700"/>
      <c r="Q150" s="185"/>
      <c r="R150" s="186"/>
      <c r="S150" s="297"/>
      <c r="T150" s="188"/>
      <c r="U150" s="168"/>
      <c r="V150" s="168"/>
      <c r="W150" s="168"/>
      <c r="X150" s="168"/>
      <c r="Y150" s="128"/>
      <c r="Z150" s="128"/>
      <c r="AA150" s="128"/>
      <c r="AB150" s="640"/>
      <c r="AC150" s="641"/>
      <c r="AD150" s="642"/>
      <c r="AE150" s="685"/>
      <c r="AF150" s="685"/>
      <c r="AG150" s="639"/>
      <c r="AH150" s="701"/>
      <c r="AI150" s="702"/>
      <c r="AJ150" s="703"/>
      <c r="AK150" s="704"/>
    </row>
    <row r="151" spans="1:58" s="120" customFormat="1" ht="30">
      <c r="B151" s="675" t="s">
        <v>3192</v>
      </c>
      <c r="C151" s="1148" t="str">
        <f>"Всего по "&amp;T147&amp;" "&amp;T151&amp;" ("&amp;$C$136&amp;"):"</f>
        <v>Всего по Вне Г.Н.П. Изолир. алюм. 50-100 мм (ВЛ-10 от 15 до 150 кВт):</v>
      </c>
      <c r="D151" s="1148"/>
      <c r="E151" s="1148"/>
      <c r="F151" s="1149">
        <f>SUM(F152:F153)</f>
        <v>0</v>
      </c>
      <c r="G151" s="1150">
        <f>SUM(G152:G153)</f>
        <v>0</v>
      </c>
      <c r="H151" s="1150">
        <f t="shared" ref="H151:O151" si="88">SUM(H152:H153)</f>
        <v>0</v>
      </c>
      <c r="I151" s="1150">
        <f t="shared" si="88"/>
        <v>0</v>
      </c>
      <c r="J151" s="1150">
        <f t="shared" si="88"/>
        <v>0</v>
      </c>
      <c r="K151" s="1150">
        <f t="shared" si="88"/>
        <v>0</v>
      </c>
      <c r="L151" s="1150">
        <f t="shared" si="88"/>
        <v>0</v>
      </c>
      <c r="M151" s="1150">
        <f t="shared" si="88"/>
        <v>0</v>
      </c>
      <c r="N151" s="1150">
        <f t="shared" si="88"/>
        <v>0</v>
      </c>
      <c r="O151" s="1150">
        <f t="shared" si="88"/>
        <v>0</v>
      </c>
      <c r="P151" s="1150">
        <f>SUM(P152:P153)</f>
        <v>0</v>
      </c>
      <c r="Q151" s="1151"/>
      <c r="R151" s="1151"/>
      <c r="S151" s="1151"/>
      <c r="T151" s="1151" t="s">
        <v>3005</v>
      </c>
      <c r="U151" s="128"/>
      <c r="V151" s="129"/>
      <c r="W151" s="630"/>
      <c r="X151" s="631"/>
      <c r="Y151" s="632"/>
      <c r="Z151" s="633"/>
      <c r="AA151" s="128"/>
      <c r="AB151" s="634"/>
      <c r="AC151" s="635"/>
      <c r="AD151" s="636"/>
      <c r="AE151" s="637"/>
      <c r="AF151" s="638"/>
      <c r="AG151" s="639"/>
      <c r="AH151" s="640"/>
      <c r="AI151" s="641"/>
      <c r="AJ151" s="642"/>
      <c r="AK151" s="638"/>
      <c r="AN151" s="643"/>
      <c r="AT151" s="126"/>
      <c r="AU151" s="644"/>
      <c r="BC151" s="120" t="str">
        <f>[24]Прил.1!$F$14</f>
        <v>50 - 100</v>
      </c>
      <c r="BD151" s="368" t="str">
        <f>CONCATENATE($BC$2,"; ",$BC$4,"; ",$BD$1,"; ",$BD$3,"; ",BC151)</f>
        <v>6-10 кВ; Вне Г.Н.П.; изолированный; алюминевый; 50 - 100</v>
      </c>
    </row>
    <row r="152" spans="1:58" s="76" customFormat="1" ht="15.75" outlineLevel="1">
      <c r="B152" s="676"/>
      <c r="C152" s="677"/>
      <c r="D152" s="678"/>
      <c r="E152" s="679"/>
      <c r="F152" s="680"/>
      <c r="G152" s="681"/>
      <c r="H152" s="517"/>
      <c r="I152" s="517"/>
      <c r="J152" s="517"/>
      <c r="K152" s="517"/>
      <c r="L152" s="517"/>
      <c r="M152" s="517"/>
      <c r="N152" s="517"/>
      <c r="O152" s="517"/>
      <c r="P152" s="682"/>
      <c r="Q152" s="683"/>
      <c r="R152" s="684"/>
      <c r="S152" s="685"/>
      <c r="T152" s="686"/>
      <c r="U152" s="168"/>
      <c r="V152" s="168"/>
      <c r="W152" s="168"/>
      <c r="X152" s="168"/>
      <c r="Y152" s="128"/>
      <c r="Z152" s="128"/>
      <c r="AA152" s="128"/>
      <c r="AB152" s="640"/>
      <c r="AC152" s="641"/>
      <c r="AD152" s="642"/>
      <c r="AE152" s="685"/>
      <c r="AF152" s="685"/>
      <c r="AG152" s="687"/>
      <c r="AH152" s="688"/>
      <c r="AI152" s="689"/>
      <c r="AJ152" s="690"/>
      <c r="AK152" s="691"/>
    </row>
    <row r="153" spans="1:58" s="76" customFormat="1" ht="15.75" outlineLevel="1">
      <c r="B153" s="676"/>
      <c r="C153" s="693"/>
      <c r="D153" s="694"/>
      <c r="E153" s="695"/>
      <c r="F153" s="696"/>
      <c r="G153" s="697"/>
      <c r="H153" s="247"/>
      <c r="I153" s="247"/>
      <c r="J153" s="698"/>
      <c r="K153" s="247"/>
      <c r="L153" s="699"/>
      <c r="M153" s="698"/>
      <c r="N153" s="698"/>
      <c r="O153" s="247"/>
      <c r="P153" s="700"/>
      <c r="Q153" s="185"/>
      <c r="R153" s="186"/>
      <c r="S153" s="297"/>
      <c r="T153" s="188"/>
      <c r="U153" s="168"/>
      <c r="V153" s="168"/>
      <c r="W153" s="168"/>
      <c r="X153" s="168"/>
      <c r="Y153" s="128"/>
      <c r="Z153" s="128"/>
      <c r="AA153" s="128"/>
      <c r="AB153" s="640"/>
      <c r="AC153" s="641"/>
      <c r="AD153" s="642"/>
      <c r="AE153" s="685"/>
      <c r="AF153" s="685"/>
      <c r="AG153" s="639"/>
      <c r="AH153" s="701"/>
      <c r="AI153" s="702"/>
      <c r="AJ153" s="703"/>
      <c r="AK153" s="704"/>
    </row>
    <row r="154" spans="1:58" s="120" customFormat="1" ht="30">
      <c r="B154" s="675" t="s">
        <v>3193</v>
      </c>
      <c r="C154" s="1148" t="str">
        <f>"Всего по "&amp;T147&amp;" "&amp;T154&amp;" ("&amp;$C$136&amp;"):"</f>
        <v>Всего по Вне Г.Н.П. Неизолир. сталеалюм. до 50 мм (ВЛ-10 от 15 до 150 кВт):</v>
      </c>
      <c r="D154" s="1148"/>
      <c r="E154" s="1148"/>
      <c r="F154" s="1149">
        <f>SUM(F155:F156)</f>
        <v>0</v>
      </c>
      <c r="G154" s="1150">
        <f t="shared" ref="G154:P154" si="89">SUM(G155:G156)</f>
        <v>0</v>
      </c>
      <c r="H154" s="1150">
        <f t="shared" si="89"/>
        <v>0</v>
      </c>
      <c r="I154" s="1150">
        <f t="shared" si="89"/>
        <v>0</v>
      </c>
      <c r="J154" s="1150">
        <f t="shared" si="89"/>
        <v>0</v>
      </c>
      <c r="K154" s="1150">
        <f t="shared" si="89"/>
        <v>0</v>
      </c>
      <c r="L154" s="1150">
        <f t="shared" si="89"/>
        <v>0</v>
      </c>
      <c r="M154" s="1150">
        <f t="shared" si="89"/>
        <v>0</v>
      </c>
      <c r="N154" s="1150">
        <f t="shared" si="89"/>
        <v>0</v>
      </c>
      <c r="O154" s="1150">
        <f t="shared" si="89"/>
        <v>0</v>
      </c>
      <c r="P154" s="1150">
        <f t="shared" si="89"/>
        <v>0</v>
      </c>
      <c r="Q154" s="1151"/>
      <c r="R154" s="1151"/>
      <c r="S154" s="1151"/>
      <c r="T154" s="1151" t="s">
        <v>3137</v>
      </c>
      <c r="U154" s="128"/>
      <c r="V154" s="129"/>
      <c r="W154" s="630"/>
      <c r="X154" s="631"/>
      <c r="Y154" s="632"/>
      <c r="Z154" s="633"/>
      <c r="AA154" s="128"/>
      <c r="AB154" s="634"/>
      <c r="AC154" s="635"/>
      <c r="AD154" s="636"/>
      <c r="AE154" s="637"/>
      <c r="AF154" s="638"/>
      <c r="AG154" s="639"/>
      <c r="AH154" s="640"/>
      <c r="AI154" s="641"/>
      <c r="AJ154" s="642"/>
      <c r="AK154" s="638"/>
      <c r="AN154" s="643"/>
      <c r="AT154" s="126"/>
      <c r="AU154" s="644"/>
      <c r="BC154" s="120" t="str">
        <f>[24]Прил.1!$F$13</f>
        <v>до 50 вкл.</v>
      </c>
      <c r="BD154" s="368" t="str">
        <f>CONCATENATE($BC$2,"; ",$BC$4,"; ",$BD$2,"; ",$BD$4,"; ",BC154)</f>
        <v>6-10 кВ; Вне Г.Н.П.; неизолированный; сталеалюминиевый; до 50 вкл.</v>
      </c>
    </row>
    <row r="155" spans="1:58" ht="15.75" outlineLevel="1">
      <c r="A155" s="891" t="str">
        <f t="shared" ref="A155:A156" si="90">IF(C155="","",1)</f>
        <v/>
      </c>
      <c r="B155" s="953" t="str">
        <f>IF(A155="","",SUM($A$155:A155))</f>
        <v/>
      </c>
      <c r="C155" s="921"/>
      <c r="D155" s="922" t="str">
        <f t="shared" ref="D155:D156" si="91">IF(AF155=0,"",AF155)</f>
        <v/>
      </c>
      <c r="E155" s="923">
        <v>10</v>
      </c>
      <c r="F155" s="966"/>
      <c r="G155" s="1000"/>
      <c r="H155" s="958"/>
      <c r="I155" s="958"/>
      <c r="J155" s="1009"/>
      <c r="K155" s="958"/>
      <c r="L155" s="1009"/>
      <c r="M155" s="1009"/>
      <c r="N155" s="1009"/>
      <c r="O155" s="958"/>
      <c r="P155" s="1002"/>
      <c r="Q155" s="1003"/>
      <c r="R155" s="929" t="s">
        <v>2595</v>
      </c>
      <c r="S155" s="954"/>
      <c r="T155" s="954" t="s">
        <v>2612</v>
      </c>
      <c r="U155" s="602"/>
      <c r="V155" s="968"/>
      <c r="W155" s="968"/>
      <c r="Y155" s="933" t="str">
        <f>IF(X155="","",$C$136)</f>
        <v/>
      </c>
      <c r="Z155" s="933" t="str">
        <f>IF(X155="","",CONCATENATE(Y155,"-",X155,"; ",#REF!))</f>
        <v/>
      </c>
      <c r="AA155" s="934"/>
      <c r="AB155" s="935">
        <f>O155</f>
        <v>0</v>
      </c>
      <c r="AC155" s="936">
        <f>(I155+H155)</f>
        <v>0</v>
      </c>
      <c r="AD155" s="937">
        <f>K155</f>
        <v>0</v>
      </c>
      <c r="AE155" s="938">
        <f t="shared" ref="AE155:AE156" si="92">AB155+AC155+AD155</f>
        <v>0</v>
      </c>
      <c r="AF155" s="939"/>
      <c r="AG155" s="940" t="str">
        <f t="shared" si="42"/>
        <v>не совпадает</v>
      </c>
      <c r="AH155" s="941" t="str">
        <f t="shared" si="46"/>
        <v/>
      </c>
      <c r="AI155" s="942" t="str">
        <f t="shared" si="46"/>
        <v/>
      </c>
      <c r="AJ155" s="943" t="str">
        <f t="shared" si="46"/>
        <v/>
      </c>
      <c r="AK155" s="938">
        <f t="shared" si="28"/>
        <v>0</v>
      </c>
      <c r="AO155" s="896">
        <v>1</v>
      </c>
      <c r="AR155" s="896" t="str">
        <f>IF(B155="","",IF(P155=SUM(H155,I155,K155,O155),"ИСТИНА",P155-SUM(H155,I155,K155,O155)))</f>
        <v/>
      </c>
      <c r="AS155" s="919"/>
      <c r="AT155" s="899" t="str">
        <f>IF(AS155="","",VLOOKUP($AS155,[25]прил5МУ!N$25:O$84,2,FALSE)*1000)</f>
        <v/>
      </c>
      <c r="AU155" s="896" t="str">
        <f t="shared" ref="AU155:AU164" si="93">IF(P155=AT155,"ИСТИНА",P155-AT155)</f>
        <v>ИСТИНА</v>
      </c>
      <c r="AW155" s="896" t="str">
        <f t="shared" ref="AW155:AW164" si="94">IF(AS155="","",P155)</f>
        <v/>
      </c>
      <c r="AX155" s="896" t="b">
        <f t="shared" si="43"/>
        <v>1</v>
      </c>
    </row>
    <row r="156" spans="1:58" ht="15.75" outlineLevel="1">
      <c r="A156" s="891" t="str">
        <f t="shared" si="90"/>
        <v/>
      </c>
      <c r="B156" s="1010" t="str">
        <f>IF(A156="","",SUM($A$155:A156))</f>
        <v/>
      </c>
      <c r="C156" s="1011"/>
      <c r="D156" s="922" t="str">
        <f t="shared" si="91"/>
        <v/>
      </c>
      <c r="E156" s="923">
        <v>10</v>
      </c>
      <c r="F156" s="1012"/>
      <c r="G156" s="1013"/>
      <c r="H156" s="1014"/>
      <c r="I156" s="1014"/>
      <c r="J156" s="1015"/>
      <c r="K156" s="1014"/>
      <c r="L156" s="1015"/>
      <c r="M156" s="1015"/>
      <c r="N156" s="1015"/>
      <c r="O156" s="1014"/>
      <c r="P156" s="1016"/>
      <c r="Q156" s="1017"/>
      <c r="R156" s="1018" t="s">
        <v>2595</v>
      </c>
      <c r="S156" s="1019"/>
      <c r="T156" s="1019" t="s">
        <v>2581</v>
      </c>
      <c r="U156" s="602"/>
      <c r="V156" s="968"/>
      <c r="W156" s="968"/>
      <c r="Y156" s="933" t="str">
        <f>IF(X156="","",$C$136)</f>
        <v/>
      </c>
      <c r="Z156" s="933" t="str">
        <f>IF(X156="","",CONCATENATE(Y156,"-",X156,"; ",#REF!))</f>
        <v/>
      </c>
      <c r="AA156" s="934"/>
      <c r="AB156" s="935">
        <f>O156</f>
        <v>0</v>
      </c>
      <c r="AC156" s="936">
        <f>(I156+H156)</f>
        <v>0</v>
      </c>
      <c r="AD156" s="937">
        <f>K156</f>
        <v>0</v>
      </c>
      <c r="AE156" s="938">
        <f t="shared" si="92"/>
        <v>0</v>
      </c>
      <c r="AF156" s="939"/>
      <c r="AG156" s="940" t="str">
        <f t="shared" si="42"/>
        <v>не совпадает</v>
      </c>
      <c r="AH156" s="941" t="str">
        <f t="shared" si="46"/>
        <v/>
      </c>
      <c r="AI156" s="942" t="str">
        <f t="shared" si="46"/>
        <v/>
      </c>
      <c r="AJ156" s="943" t="str">
        <f t="shared" si="46"/>
        <v/>
      </c>
      <c r="AK156" s="938">
        <f t="shared" si="28"/>
        <v>0</v>
      </c>
      <c r="AO156" s="896">
        <v>1</v>
      </c>
      <c r="AR156" s="896" t="str">
        <f>IF(B156="","",IF(P156=SUM(H156,I156,K156,O156),"ИСТИНА",P156-SUM(H156,I156,K156,O156)))</f>
        <v/>
      </c>
      <c r="AS156" s="919"/>
      <c r="AT156" s="899" t="str">
        <f>IF(AS156="","",VLOOKUP($AS156,[25]прил5МУ!N$25:O$84,2,FALSE)*1000)</f>
        <v/>
      </c>
      <c r="AU156" s="896" t="str">
        <f t="shared" si="93"/>
        <v>ИСТИНА</v>
      </c>
      <c r="AW156" s="896" t="str">
        <f t="shared" si="94"/>
        <v/>
      </c>
      <c r="AX156" s="896" t="b">
        <f t="shared" si="43"/>
        <v>1</v>
      </c>
    </row>
    <row r="157" spans="1:58" ht="18.75">
      <c r="B157" s="1161">
        <f>MAX(B137:B156)</f>
        <v>0</v>
      </c>
      <c r="C157" s="1162" t="str">
        <f>"ИТОГО по "&amp;$C$136&amp;":"</f>
        <v>ИТОГО по ВЛ-10 от 15 до 150 кВт:</v>
      </c>
      <c r="D157" s="1162"/>
      <c r="E157" s="1162"/>
      <c r="F157" s="1163">
        <f>SUM(F137,F147)</f>
        <v>0</v>
      </c>
      <c r="G157" s="1164">
        <f t="shared" ref="G157:P157" si="95">SUM(G137,G147)</f>
        <v>0</v>
      </c>
      <c r="H157" s="1164">
        <f t="shared" si="95"/>
        <v>0</v>
      </c>
      <c r="I157" s="1164">
        <f t="shared" si="95"/>
        <v>0</v>
      </c>
      <c r="J157" s="1164">
        <f t="shared" si="95"/>
        <v>0</v>
      </c>
      <c r="K157" s="1164">
        <f t="shared" si="95"/>
        <v>0</v>
      </c>
      <c r="L157" s="1164">
        <f t="shared" si="95"/>
        <v>0</v>
      </c>
      <c r="M157" s="1164">
        <f t="shared" si="95"/>
        <v>0</v>
      </c>
      <c r="N157" s="1164">
        <f t="shared" si="95"/>
        <v>0</v>
      </c>
      <c r="O157" s="1164">
        <f t="shared" si="95"/>
        <v>0</v>
      </c>
      <c r="P157" s="1164">
        <f t="shared" si="95"/>
        <v>0</v>
      </c>
      <c r="Q157" s="1125"/>
      <c r="R157" s="1129"/>
      <c r="S157" s="1125"/>
      <c r="T157" s="1125"/>
      <c r="U157" s="965"/>
      <c r="V157" s="965"/>
      <c r="W157" s="965"/>
      <c r="Y157" s="933" t="str">
        <f>IF(X157="","",$C$136)</f>
        <v/>
      </c>
      <c r="Z157" s="933" t="str">
        <f>IF(X157="","",CONCATENATE(Y157,"-",X157,"; ",#REF!))</f>
        <v/>
      </c>
      <c r="AA157" s="934"/>
      <c r="AB157" s="916"/>
      <c r="AC157" s="917"/>
      <c r="AD157" s="918"/>
      <c r="AE157" s="914"/>
      <c r="AF157" s="939"/>
      <c r="AG157" s="940" t="str">
        <f t="shared" si="42"/>
        <v>не совпадает</v>
      </c>
      <c r="AH157" s="941" t="str">
        <f t="shared" si="46"/>
        <v/>
      </c>
      <c r="AI157" s="942" t="str">
        <f t="shared" si="46"/>
        <v/>
      </c>
      <c r="AJ157" s="943" t="str">
        <f t="shared" si="46"/>
        <v/>
      </c>
      <c r="AK157" s="938">
        <f t="shared" si="28"/>
        <v>0</v>
      </c>
      <c r="AS157" s="919"/>
      <c r="AT157" s="899" t="str">
        <f>IF(AS157="","",VLOOKUP($AS157,[25]прил5МУ!N$25:O$84,2,FALSE)*1000)</f>
        <v/>
      </c>
      <c r="AU157" s="896" t="e">
        <f t="shared" si="93"/>
        <v>#VALUE!</v>
      </c>
      <c r="AW157" s="896" t="str">
        <f t="shared" si="94"/>
        <v/>
      </c>
      <c r="AX157" s="896" t="b">
        <f t="shared" si="43"/>
        <v>1</v>
      </c>
    </row>
    <row r="158" spans="1:58" s="969" customFormat="1" ht="21">
      <c r="B158" s="1175"/>
      <c r="C158" s="1176" t="str">
        <f>"ИТОГО ВЛ "&amp;$C$115&amp;":"</f>
        <v>ИТОГО ВЛ от 15 до 150 кВт:</v>
      </c>
      <c r="D158" s="1176"/>
      <c r="E158" s="1176"/>
      <c r="F158" s="1177">
        <f>SUM(F135,F157)</f>
        <v>0.45</v>
      </c>
      <c r="G158" s="1178">
        <f t="shared" ref="G158:P158" si="96">SUM(G135,G157)</f>
        <v>92.78</v>
      </c>
      <c r="H158" s="1178">
        <f t="shared" si="96"/>
        <v>0</v>
      </c>
      <c r="I158" s="1178">
        <f t="shared" si="96"/>
        <v>0</v>
      </c>
      <c r="J158" s="1178">
        <f t="shared" si="96"/>
        <v>0</v>
      </c>
      <c r="K158" s="1178">
        <f t="shared" si="96"/>
        <v>0</v>
      </c>
      <c r="L158" s="1178">
        <f t="shared" si="96"/>
        <v>0</v>
      </c>
      <c r="M158" s="1178">
        <f t="shared" si="96"/>
        <v>0</v>
      </c>
      <c r="N158" s="1178">
        <f t="shared" si="96"/>
        <v>0</v>
      </c>
      <c r="O158" s="1178">
        <f t="shared" si="96"/>
        <v>85507.07</v>
      </c>
      <c r="P158" s="1178">
        <f t="shared" si="96"/>
        <v>85507.07</v>
      </c>
      <c r="Q158" s="1179"/>
      <c r="R158" s="1179"/>
      <c r="S158" s="1179"/>
      <c r="T158" s="1180"/>
      <c r="U158" s="970"/>
      <c r="V158" s="971"/>
      <c r="W158" s="972"/>
      <c r="X158" s="973"/>
      <c r="Y158" s="974" t="str">
        <f>IF(X158="","",#REF!)</f>
        <v/>
      </c>
      <c r="Z158" s="975" t="str">
        <f t="shared" ref="Z158" si="97">IF(X158="","",CONCATENATE(Y158,"-",X158,"; ",$T$53))</f>
        <v/>
      </c>
      <c r="AA158" s="934"/>
      <c r="AB158" s="916"/>
      <c r="AC158" s="917"/>
      <c r="AD158" s="918"/>
      <c r="AE158" s="914"/>
      <c r="AF158" s="976"/>
      <c r="AG158" s="977" t="str">
        <f t="shared" si="42"/>
        <v>не совпадает</v>
      </c>
      <c r="AH158" s="978" t="str">
        <f>IF(ISERROR(AB158/$AG158),"",AB158/$AG158)</f>
        <v/>
      </c>
      <c r="AI158" s="979" t="str">
        <f>IF(ISERROR(AC158/$AG158),"",AC158/$AG158)</f>
        <v/>
      </c>
      <c r="AJ158" s="980" t="str">
        <f>IF(ISERROR(AD158/$AG158),"",AD158/$AG158)</f>
        <v/>
      </c>
      <c r="AK158" s="981">
        <f t="shared" si="28"/>
        <v>0</v>
      </c>
      <c r="AL158" s="895"/>
      <c r="AM158" s="896">
        <f>IF(P158=AE158,"Истина",P158-AE158)</f>
        <v>85507.07</v>
      </c>
      <c r="AN158" s="982"/>
      <c r="AO158" s="982"/>
      <c r="AP158" s="1181"/>
      <c r="AQ158" s="1182"/>
      <c r="AR158" s="982"/>
      <c r="AS158" s="919"/>
      <c r="AT158" s="899" t="str">
        <f>IF(AS158="","",VLOOKUP($AS158,[25]прил5МУ!N$25:O$84,2,FALSE)*1000)</f>
        <v/>
      </c>
      <c r="AU158" s="896" t="e">
        <f t="shared" si="93"/>
        <v>#VALUE!</v>
      </c>
      <c r="AV158" s="896"/>
      <c r="AW158" s="896" t="str">
        <f t="shared" si="94"/>
        <v/>
      </c>
      <c r="AX158" s="896" t="b">
        <f t="shared" si="43"/>
        <v>1</v>
      </c>
      <c r="AY158" s="982"/>
      <c r="AZ158" s="982"/>
      <c r="BF158" s="982"/>
    </row>
    <row r="159" spans="1:58" ht="18.75">
      <c r="B159" s="1131" t="s">
        <v>14</v>
      </c>
      <c r="C159" s="3249" t="s">
        <v>2613</v>
      </c>
      <c r="D159" s="3249"/>
      <c r="E159" s="3249"/>
      <c r="F159" s="3249"/>
      <c r="G159" s="3249"/>
      <c r="H159" s="3249"/>
      <c r="I159" s="3249"/>
      <c r="J159" s="3249"/>
      <c r="K159" s="3249"/>
      <c r="L159" s="3249"/>
      <c r="M159" s="3249"/>
      <c r="N159" s="3249"/>
      <c r="O159" s="3249"/>
      <c r="P159" s="3249"/>
      <c r="Q159" s="3249"/>
      <c r="R159" s="3249"/>
      <c r="S159" s="3249"/>
      <c r="T159" s="3249"/>
      <c r="U159" s="999"/>
      <c r="V159" s="999"/>
      <c r="W159" s="999"/>
      <c r="Y159" s="933" t="str">
        <f t="shared" ref="Y159" si="98">IF(X159="","",$C$136)</f>
        <v/>
      </c>
      <c r="Z159" s="933" t="str">
        <f>IF(X159="","",CONCATENATE(Y159,"-",X159,"; ",#REF!))</f>
        <v/>
      </c>
      <c r="AA159" s="934"/>
      <c r="AB159" s="916"/>
      <c r="AC159" s="917"/>
      <c r="AD159" s="918"/>
      <c r="AE159" s="914"/>
      <c r="AF159" s="939"/>
      <c r="AG159" s="940" t="str">
        <f t="shared" si="42"/>
        <v>не совпадает</v>
      </c>
      <c r="AH159" s="941" t="str">
        <f t="shared" si="46"/>
        <v/>
      </c>
      <c r="AI159" s="942" t="str">
        <f t="shared" si="46"/>
        <v/>
      </c>
      <c r="AJ159" s="943" t="str">
        <f t="shared" si="46"/>
        <v/>
      </c>
      <c r="AK159" s="938">
        <f t="shared" si="28"/>
        <v>0</v>
      </c>
      <c r="AS159" s="919"/>
      <c r="AT159" s="899" t="str">
        <f>IF(AS159="","",VLOOKUP($AS159,[25]прил5МУ!N$25:O$84,2,FALSE)*1000)</f>
        <v/>
      </c>
      <c r="AU159" s="896" t="str">
        <f t="shared" si="93"/>
        <v>ИСТИНА</v>
      </c>
      <c r="AW159" s="896" t="str">
        <f t="shared" si="94"/>
        <v/>
      </c>
      <c r="AX159" s="896" t="b">
        <f t="shared" si="43"/>
        <v>1</v>
      </c>
    </row>
    <row r="160" spans="1:58" ht="18.75">
      <c r="B160" s="1135" t="s">
        <v>18</v>
      </c>
      <c r="C160" s="1136" t="s">
        <v>2614</v>
      </c>
      <c r="D160" s="1137"/>
      <c r="E160" s="1137"/>
      <c r="F160" s="1138">
        <f>SUM(F161)</f>
        <v>0</v>
      </c>
      <c r="G160" s="1139">
        <f t="shared" ref="G160:P161" si="99">SUM(G161)</f>
        <v>0</v>
      </c>
      <c r="H160" s="1139">
        <f t="shared" si="99"/>
        <v>0</v>
      </c>
      <c r="I160" s="1139">
        <f t="shared" si="99"/>
        <v>0</v>
      </c>
      <c r="J160" s="1139">
        <f t="shared" si="99"/>
        <v>0</v>
      </c>
      <c r="K160" s="1139">
        <f t="shared" si="99"/>
        <v>0</v>
      </c>
      <c r="L160" s="1139">
        <f t="shared" si="99"/>
        <v>0</v>
      </c>
      <c r="M160" s="1139">
        <f t="shared" si="99"/>
        <v>0</v>
      </c>
      <c r="N160" s="1139">
        <f t="shared" si="99"/>
        <v>0</v>
      </c>
      <c r="O160" s="1139">
        <f t="shared" si="99"/>
        <v>0</v>
      </c>
      <c r="P160" s="1139">
        <f t="shared" si="99"/>
        <v>0</v>
      </c>
      <c r="Q160" s="1137"/>
      <c r="R160" s="1137"/>
      <c r="S160" s="1137"/>
      <c r="T160" s="1140"/>
      <c r="U160" s="915"/>
      <c r="V160" s="915"/>
      <c r="W160" s="915"/>
      <c r="Y160" s="933" t="str">
        <f>IF(X160="","",$C$116)</f>
        <v/>
      </c>
      <c r="Z160" s="933" t="str">
        <f>IF(X160="","",CONCATENATE(Y160,"-",X160,"; ",#REF!))</f>
        <v/>
      </c>
      <c r="AA160" s="934"/>
      <c r="AB160" s="916"/>
      <c r="AC160" s="917"/>
      <c r="AD160" s="918"/>
      <c r="AE160" s="914"/>
      <c r="AF160" s="939"/>
      <c r="AG160" s="940" t="str">
        <f t="shared" si="42"/>
        <v>не совпадает</v>
      </c>
      <c r="AH160" s="941" t="str">
        <f t="shared" si="46"/>
        <v/>
      </c>
      <c r="AI160" s="942" t="str">
        <f t="shared" si="46"/>
        <v/>
      </c>
      <c r="AJ160" s="943" t="str">
        <f t="shared" si="46"/>
        <v/>
      </c>
      <c r="AK160" s="938">
        <f t="shared" si="28"/>
        <v>0</v>
      </c>
      <c r="AN160" s="963"/>
      <c r="AS160" s="919"/>
      <c r="AT160" s="899" t="str">
        <f>IF(AS160="","",VLOOKUP($AS160,[25]прил5МУ!N$25:O$84,2,FALSE)*1000)</f>
        <v/>
      </c>
      <c r="AU160" s="896" t="e">
        <f t="shared" si="93"/>
        <v>#VALUE!</v>
      </c>
      <c r="AW160" s="896" t="str">
        <f t="shared" si="94"/>
        <v/>
      </c>
      <c r="AX160" s="896" t="b">
        <f t="shared" si="43"/>
        <v>1</v>
      </c>
      <c r="BC160" s="625" t="str">
        <f>C160</f>
        <v>ВЛ-0,4 от 150 до 670 кВт</v>
      </c>
    </row>
    <row r="161" spans="2:58" s="908" customFormat="1" ht="15.75" outlineLevel="1">
      <c r="B161" s="1187"/>
      <c r="C161" s="1188" t="str">
        <f>"Всего по "&amp;T161&amp;" ("&amp;$C$160&amp;"):"</f>
        <v>Всего по 0 (ВЛ-0,4 от 150 до 670 кВт):</v>
      </c>
      <c r="D161" s="1189"/>
      <c r="E161" s="1189"/>
      <c r="F161" s="1190">
        <f>SUM(F162)</f>
        <v>0</v>
      </c>
      <c r="G161" s="1191">
        <f t="shared" si="99"/>
        <v>0</v>
      </c>
      <c r="H161" s="1191">
        <f t="shared" si="99"/>
        <v>0</v>
      </c>
      <c r="I161" s="1191">
        <f t="shared" si="99"/>
        <v>0</v>
      </c>
      <c r="J161" s="1191">
        <f t="shared" si="99"/>
        <v>0</v>
      </c>
      <c r="K161" s="1191">
        <f t="shared" si="99"/>
        <v>0</v>
      </c>
      <c r="L161" s="1191">
        <f t="shared" si="99"/>
        <v>0</v>
      </c>
      <c r="M161" s="1191">
        <f t="shared" si="99"/>
        <v>0</v>
      </c>
      <c r="N161" s="1191">
        <f t="shared" si="99"/>
        <v>0</v>
      </c>
      <c r="O161" s="1191">
        <f t="shared" si="99"/>
        <v>0</v>
      </c>
      <c r="P161" s="1191">
        <f t="shared" si="99"/>
        <v>0</v>
      </c>
      <c r="Q161" s="1192"/>
      <c r="R161" s="1192"/>
      <c r="S161" s="1192"/>
      <c r="T161" s="1193">
        <f>T162</f>
        <v>0</v>
      </c>
      <c r="U161" s="1020"/>
      <c r="V161" s="1020"/>
      <c r="W161" s="1020"/>
      <c r="Y161" s="933" t="str">
        <f t="shared" ref="Y161:Y163" si="100">IF(X161="","",$C$116)</f>
        <v/>
      </c>
      <c r="Z161" s="933" t="str">
        <f>IF(X161="","",CONCATENATE(Y161,"-",X161,"; ",#REF!))</f>
        <v/>
      </c>
      <c r="AA161" s="934"/>
      <c r="AB161" s="916"/>
      <c r="AC161" s="917"/>
      <c r="AD161" s="918"/>
      <c r="AE161" s="914"/>
      <c r="AF161" s="939"/>
      <c r="AG161" s="940" t="str">
        <f t="shared" si="42"/>
        <v>не совпадает</v>
      </c>
      <c r="AH161" s="941" t="str">
        <f t="shared" si="46"/>
        <v/>
      </c>
      <c r="AI161" s="942" t="str">
        <f t="shared" si="46"/>
        <v/>
      </c>
      <c r="AJ161" s="943" t="str">
        <f t="shared" si="46"/>
        <v/>
      </c>
      <c r="AK161" s="938">
        <f t="shared" si="28"/>
        <v>0</v>
      </c>
      <c r="AL161" s="895"/>
      <c r="AM161" s="896"/>
      <c r="AN161" s="896"/>
      <c r="AO161" s="896"/>
      <c r="AP161" s="896"/>
      <c r="AQ161" s="897"/>
      <c r="AR161" s="896"/>
      <c r="AS161" s="919"/>
      <c r="AT161" s="899" t="str">
        <f>IF(AS161="","",VLOOKUP($AS161,[25]прил5МУ!N$25:O$84,2,FALSE)*1000)</f>
        <v/>
      </c>
      <c r="AU161" s="896" t="e">
        <f t="shared" si="93"/>
        <v>#VALUE!</v>
      </c>
      <c r="AV161" s="896"/>
      <c r="AW161" s="896" t="str">
        <f t="shared" si="94"/>
        <v/>
      </c>
      <c r="AX161" s="896" t="b">
        <f t="shared" si="43"/>
        <v>1</v>
      </c>
      <c r="AY161" s="896"/>
      <c r="AZ161" s="896"/>
      <c r="BF161" s="896"/>
    </row>
    <row r="162" spans="2:58" ht="15.75" outlineLevel="1">
      <c r="B162" s="1010"/>
      <c r="C162" s="1011"/>
      <c r="D162" s="922" t="str">
        <f>IF(AF162=0,"",AF162)</f>
        <v/>
      </c>
      <c r="E162" s="923">
        <v>0.4</v>
      </c>
      <c r="F162" s="1012"/>
      <c r="G162" s="1021"/>
      <c r="H162" s="1022"/>
      <c r="I162" s="1022"/>
      <c r="J162" s="1022"/>
      <c r="K162" s="1022"/>
      <c r="L162" s="1022"/>
      <c r="M162" s="1022"/>
      <c r="N162" s="1022"/>
      <c r="O162" s="1022"/>
      <c r="P162" s="1023"/>
      <c r="Q162" s="1024"/>
      <c r="R162" s="1018"/>
      <c r="S162" s="1019"/>
      <c r="T162" s="1019"/>
      <c r="U162" s="968"/>
      <c r="V162" s="968"/>
      <c r="W162" s="968"/>
      <c r="Y162" s="933" t="str">
        <f t="shared" si="100"/>
        <v/>
      </c>
      <c r="Z162" s="933" t="str">
        <f>IF(X162="","",CONCATENATE(Y162,"-",X162,"; ",$T$161))</f>
        <v/>
      </c>
      <c r="AA162" s="934"/>
      <c r="AB162" s="935">
        <f>O162</f>
        <v>0</v>
      </c>
      <c r="AC162" s="936">
        <f>(I162+H162)</f>
        <v>0</v>
      </c>
      <c r="AD162" s="937">
        <f>K162</f>
        <v>0</v>
      </c>
      <c r="AE162" s="938">
        <f t="shared" ref="AE162" si="101">AB162+AC162+AD162</f>
        <v>0</v>
      </c>
      <c r="AF162" s="939"/>
      <c r="AG162" s="940" t="str">
        <f t="shared" si="42"/>
        <v>не совпадает</v>
      </c>
      <c r="AH162" s="941" t="str">
        <f t="shared" si="46"/>
        <v/>
      </c>
      <c r="AI162" s="942" t="str">
        <f t="shared" si="46"/>
        <v/>
      </c>
      <c r="AJ162" s="943" t="str">
        <f t="shared" si="46"/>
        <v/>
      </c>
      <c r="AK162" s="938">
        <f t="shared" si="28"/>
        <v>0</v>
      </c>
      <c r="AO162" s="896">
        <v>1</v>
      </c>
      <c r="AR162" s="896" t="str">
        <f>IF(B162="","",IF(P162=SUM(H162,I162,K162,O162),"ИСТИНА",P162-SUM(H162,I162,K162,O162)))</f>
        <v/>
      </c>
      <c r="AS162" s="919"/>
      <c r="AT162" s="899" t="str">
        <f>IF(AS162="","",VLOOKUP($AS162,[25]прил5МУ!N$25:O$84,2,FALSE)*1000)</f>
        <v/>
      </c>
      <c r="AU162" s="896" t="str">
        <f t="shared" si="93"/>
        <v>ИСТИНА</v>
      </c>
      <c r="AW162" s="896" t="str">
        <f t="shared" si="94"/>
        <v/>
      </c>
      <c r="AX162" s="896" t="b">
        <f t="shared" si="43"/>
        <v>1</v>
      </c>
    </row>
    <row r="163" spans="2:58" ht="18.75">
      <c r="B163" s="1161">
        <f>MAX(B161:B162)</f>
        <v>0</v>
      </c>
      <c r="C163" s="1162" t="str">
        <f>"ИТОГО по "&amp;$C$160&amp;":"</f>
        <v>ИТОГО по ВЛ-0,4 от 150 до 670 кВт:</v>
      </c>
      <c r="D163" s="1162"/>
      <c r="E163" s="1162"/>
      <c r="F163" s="1163">
        <f>SUM(F161)</f>
        <v>0</v>
      </c>
      <c r="G163" s="1164">
        <f t="shared" ref="G163:O163" si="102">SUM(G161)</f>
        <v>0</v>
      </c>
      <c r="H163" s="1164">
        <f t="shared" si="102"/>
        <v>0</v>
      </c>
      <c r="I163" s="1164">
        <f t="shared" si="102"/>
        <v>0</v>
      </c>
      <c r="J163" s="1164">
        <f t="shared" si="102"/>
        <v>0</v>
      </c>
      <c r="K163" s="1164">
        <f t="shared" si="102"/>
        <v>0</v>
      </c>
      <c r="L163" s="1164">
        <f t="shared" si="102"/>
        <v>0</v>
      </c>
      <c r="M163" s="1164">
        <f t="shared" si="102"/>
        <v>0</v>
      </c>
      <c r="N163" s="1164">
        <f t="shared" si="102"/>
        <v>0</v>
      </c>
      <c r="O163" s="1164">
        <f t="shared" si="102"/>
        <v>0</v>
      </c>
      <c r="P163" s="1164">
        <f>SUM(P161)</f>
        <v>0</v>
      </c>
      <c r="Q163" s="1125"/>
      <c r="R163" s="1129"/>
      <c r="S163" s="1125"/>
      <c r="T163" s="1125"/>
      <c r="U163" s="965"/>
      <c r="V163" s="965"/>
      <c r="W163" s="965"/>
      <c r="Y163" s="933" t="str">
        <f t="shared" si="100"/>
        <v/>
      </c>
      <c r="Z163" s="933" t="str">
        <f>IF(X163="","",CONCATENATE(Y163,"-",X163,"; ",$T$161))</f>
        <v/>
      </c>
      <c r="AA163" s="934"/>
      <c r="AB163" s="916"/>
      <c r="AC163" s="917"/>
      <c r="AD163" s="918"/>
      <c r="AE163" s="914"/>
      <c r="AF163" s="939"/>
      <c r="AG163" s="940" t="str">
        <f t="shared" ref="AG163:AG182" si="103">IF($AF163="1кв 2016",3.9,IF($AF163="2кв 2016",3.9,IF($AF163="3кв 2016",3.96,IF($AF163="4кв 2016",4.02,"не совпадает"))))</f>
        <v>не совпадает</v>
      </c>
      <c r="AH163" s="941" t="str">
        <f t="shared" si="46"/>
        <v/>
      </c>
      <c r="AI163" s="942" t="str">
        <f t="shared" si="46"/>
        <v/>
      </c>
      <c r="AJ163" s="943" t="str">
        <f t="shared" si="46"/>
        <v/>
      </c>
      <c r="AK163" s="938">
        <f t="shared" si="28"/>
        <v>0</v>
      </c>
      <c r="AR163" s="896" t="str">
        <f>IF(B163="","",IF(P163=SUM(H163,I163,K163,O163),"ИСТИНА",P163-SUM(H163,I163,K163,O163)))</f>
        <v>ИСТИНА</v>
      </c>
      <c r="AS163" s="919"/>
      <c r="AT163" s="899" t="str">
        <f>IF(AS163="","",VLOOKUP($AS163,[25]прил5МУ!N$25:O$84,2,FALSE)*1000)</f>
        <v/>
      </c>
      <c r="AU163" s="896" t="e">
        <f t="shared" si="93"/>
        <v>#VALUE!</v>
      </c>
      <c r="AW163" s="896" t="str">
        <f t="shared" si="94"/>
        <v/>
      </c>
      <c r="AX163" s="896" t="b">
        <f t="shared" si="43"/>
        <v>1</v>
      </c>
    </row>
    <row r="164" spans="2:58" ht="18.75">
      <c r="B164" s="1135" t="s">
        <v>19</v>
      </c>
      <c r="C164" s="1136" t="s">
        <v>2615</v>
      </c>
      <c r="D164" s="1137"/>
      <c r="E164" s="1137"/>
      <c r="F164" s="1138">
        <f>SUM(F165)</f>
        <v>0</v>
      </c>
      <c r="G164" s="1139">
        <f t="shared" ref="G164:P164" si="104">SUM(G165)</f>
        <v>0</v>
      </c>
      <c r="H164" s="1139">
        <f t="shared" si="104"/>
        <v>0</v>
      </c>
      <c r="I164" s="1139">
        <f t="shared" si="104"/>
        <v>0</v>
      </c>
      <c r="J164" s="1139">
        <f t="shared" si="104"/>
        <v>0</v>
      </c>
      <c r="K164" s="1139">
        <f t="shared" si="104"/>
        <v>0</v>
      </c>
      <c r="L164" s="1139">
        <f t="shared" si="104"/>
        <v>0</v>
      </c>
      <c r="M164" s="1139">
        <f t="shared" si="104"/>
        <v>0</v>
      </c>
      <c r="N164" s="1139">
        <f t="shared" si="104"/>
        <v>0</v>
      </c>
      <c r="O164" s="1139">
        <f t="shared" si="104"/>
        <v>0</v>
      </c>
      <c r="P164" s="1139">
        <f t="shared" si="104"/>
        <v>0</v>
      </c>
      <c r="Q164" s="1137"/>
      <c r="R164" s="1137"/>
      <c r="S164" s="1137"/>
      <c r="T164" s="1140"/>
      <c r="U164" s="915"/>
      <c r="V164" s="915"/>
      <c r="W164" s="915"/>
      <c r="Y164" s="933" t="str">
        <f>IF(X164="","",$C$164)</f>
        <v/>
      </c>
      <c r="Z164" s="933" t="str">
        <f>IF(X164="","",CONCATENATE(Y164,"-",X164,"; ",$T$161))</f>
        <v/>
      </c>
      <c r="AA164" s="934"/>
      <c r="AB164" s="916"/>
      <c r="AC164" s="917"/>
      <c r="AD164" s="918"/>
      <c r="AE164" s="914"/>
      <c r="AF164" s="939"/>
      <c r="AG164" s="940" t="str">
        <f t="shared" si="103"/>
        <v>не совпадает</v>
      </c>
      <c r="AH164" s="941" t="str">
        <f t="shared" si="46"/>
        <v/>
      </c>
      <c r="AI164" s="942" t="str">
        <f t="shared" si="46"/>
        <v/>
      </c>
      <c r="AJ164" s="943" t="str">
        <f t="shared" si="46"/>
        <v/>
      </c>
      <c r="AK164" s="938">
        <f t="shared" si="28"/>
        <v>0</v>
      </c>
      <c r="AS164" s="919"/>
      <c r="AT164" s="899" t="str">
        <f>IF(AS164="","",VLOOKUP($AS164,[25]прил5МУ!N$25:O$84,2,FALSE)*1000)</f>
        <v/>
      </c>
      <c r="AU164" s="896" t="e">
        <f t="shared" si="93"/>
        <v>#VALUE!</v>
      </c>
      <c r="AW164" s="896" t="str">
        <f t="shared" si="94"/>
        <v/>
      </c>
      <c r="AX164" s="896" t="b">
        <f t="shared" si="43"/>
        <v>1</v>
      </c>
      <c r="BC164" s="625" t="str">
        <f>C164</f>
        <v>ВЛ-10 от 150 до 670 кВт</v>
      </c>
    </row>
    <row r="165" spans="2:58" s="120" customFormat="1" ht="31.5">
      <c r="B165" s="121" t="s">
        <v>2616</v>
      </c>
      <c r="C165" s="1142" t="str">
        <f>"Всего по "&amp;T165&amp;" ("&amp;$C$188&amp;"):"</f>
        <v>Всего по Г.Н.П. (Всего по Льгота (ТП, КТП, МТП, СТП) (25-100 кВА):):</v>
      </c>
      <c r="D165" s="1143"/>
      <c r="E165" s="1143"/>
      <c r="F165" s="1144">
        <f>SUM(F166,F169,F172)</f>
        <v>0</v>
      </c>
      <c r="G165" s="1145">
        <f t="shared" ref="G165:P165" si="105">SUM(G166,G169,G172)</f>
        <v>0</v>
      </c>
      <c r="H165" s="1145">
        <f t="shared" si="105"/>
        <v>0</v>
      </c>
      <c r="I165" s="1145">
        <f t="shared" si="105"/>
        <v>0</v>
      </c>
      <c r="J165" s="1145">
        <f t="shared" si="105"/>
        <v>0</v>
      </c>
      <c r="K165" s="1145">
        <f t="shared" si="105"/>
        <v>0</v>
      </c>
      <c r="L165" s="1145">
        <f t="shared" si="105"/>
        <v>0</v>
      </c>
      <c r="M165" s="1145">
        <f t="shared" si="105"/>
        <v>0</v>
      </c>
      <c r="N165" s="1145">
        <f t="shared" si="105"/>
        <v>0</v>
      </c>
      <c r="O165" s="1145">
        <f t="shared" si="105"/>
        <v>0</v>
      </c>
      <c r="P165" s="1145">
        <f t="shared" si="105"/>
        <v>0</v>
      </c>
      <c r="Q165" s="1146"/>
      <c r="R165" s="1146"/>
      <c r="S165" s="1146"/>
      <c r="T165" s="1146" t="s">
        <v>2956</v>
      </c>
      <c r="U165" s="128"/>
      <c r="V165" s="129"/>
      <c r="W165" s="630"/>
      <c r="X165" s="631"/>
      <c r="Y165" s="632"/>
      <c r="Z165" s="633"/>
      <c r="AA165" s="128"/>
      <c r="AB165" s="634"/>
      <c r="AC165" s="635"/>
      <c r="AD165" s="636"/>
      <c r="AE165" s="637"/>
      <c r="AF165" s="638"/>
      <c r="AG165" s="639"/>
      <c r="AH165" s="640"/>
      <c r="AI165" s="641"/>
      <c r="AJ165" s="642"/>
      <c r="AK165" s="638"/>
      <c r="AN165" s="643"/>
      <c r="AT165" s="126"/>
      <c r="AU165" s="644"/>
    </row>
    <row r="166" spans="2:58" s="120" customFormat="1" ht="30">
      <c r="B166" s="1147" t="s">
        <v>2617</v>
      </c>
      <c r="C166" s="1148" t="str">
        <f>"Всего по "&amp;T165&amp;" "&amp;T166&amp;" ("&amp;$C$188&amp;"):"</f>
        <v>Всего по Г.Н.П. Изолир. алюм. до 50 мм (Всего по Льгота (ТП, КТП, МТП, СТП) (25-100 кВА):):</v>
      </c>
      <c r="D166" s="1148"/>
      <c r="E166" s="1148"/>
      <c r="F166" s="1149">
        <f>SUM(F167:F168)</f>
        <v>0</v>
      </c>
      <c r="G166" s="1150">
        <f>SUM(G167:G168)</f>
        <v>0</v>
      </c>
      <c r="H166" s="1150">
        <f t="shared" ref="H166:P166" si="106">SUM(H167:H168)</f>
        <v>0</v>
      </c>
      <c r="I166" s="1150">
        <f t="shared" si="106"/>
        <v>0</v>
      </c>
      <c r="J166" s="1150">
        <f t="shared" si="106"/>
        <v>0</v>
      </c>
      <c r="K166" s="1150">
        <f t="shared" si="106"/>
        <v>0</v>
      </c>
      <c r="L166" s="1150">
        <f t="shared" si="106"/>
        <v>0</v>
      </c>
      <c r="M166" s="1150">
        <f t="shared" si="106"/>
        <v>0</v>
      </c>
      <c r="N166" s="1150">
        <f t="shared" si="106"/>
        <v>0</v>
      </c>
      <c r="O166" s="1150">
        <f t="shared" si="106"/>
        <v>0</v>
      </c>
      <c r="P166" s="1150">
        <f t="shared" si="106"/>
        <v>0</v>
      </c>
      <c r="Q166" s="1151"/>
      <c r="R166" s="1151"/>
      <c r="S166" s="1151"/>
      <c r="T166" s="1151" t="s">
        <v>2962</v>
      </c>
      <c r="U166" s="128"/>
      <c r="V166" s="129"/>
      <c r="W166" s="630"/>
      <c r="X166" s="631"/>
      <c r="Y166" s="632"/>
      <c r="Z166" s="633"/>
      <c r="AA166" s="128"/>
      <c r="AB166" s="634"/>
      <c r="AC166" s="635"/>
      <c r="AD166" s="636"/>
      <c r="AE166" s="637"/>
      <c r="AF166" s="638"/>
      <c r="AG166" s="687"/>
      <c r="AH166" s="688"/>
      <c r="AI166" s="785"/>
      <c r="AJ166" s="786"/>
      <c r="AK166" s="787"/>
      <c r="AN166" s="643"/>
      <c r="AT166" s="788"/>
      <c r="AU166" s="789"/>
      <c r="BC166" s="120" t="str">
        <f>[24]Прил.1!$F$13</f>
        <v>до 50 вкл.</v>
      </c>
      <c r="BD166" s="368" t="str">
        <f>CONCATENATE($BC$2,"; ",$BC$3,"; ",$BD$1,"; ",$BD$3,"; ",BC166)</f>
        <v>6-10 кВ; Г.Н.П.; изолированный; алюминевый; до 50 вкл.</v>
      </c>
    </row>
    <row r="167" spans="2:58" s="76" customFormat="1" ht="15.75" outlineLevel="1">
      <c r="B167" s="676"/>
      <c r="C167" s="677"/>
      <c r="D167" s="678"/>
      <c r="E167" s="679"/>
      <c r="F167" s="680"/>
      <c r="G167" s="681"/>
      <c r="H167" s="517"/>
      <c r="I167" s="517"/>
      <c r="J167" s="517"/>
      <c r="K167" s="517"/>
      <c r="L167" s="517"/>
      <c r="M167" s="517"/>
      <c r="N167" s="517"/>
      <c r="O167" s="517"/>
      <c r="P167" s="682"/>
      <c r="Q167" s="683"/>
      <c r="R167" s="684"/>
      <c r="S167" s="685"/>
      <c r="T167" s="686"/>
      <c r="U167" s="168"/>
      <c r="V167" s="168"/>
      <c r="W167" s="168"/>
      <c r="X167" s="168"/>
      <c r="Y167" s="128"/>
      <c r="Z167" s="128"/>
      <c r="AA167" s="128"/>
      <c r="AB167" s="640"/>
      <c r="AC167" s="641"/>
      <c r="AD167" s="642"/>
      <c r="AE167" s="685"/>
      <c r="AF167" s="685"/>
      <c r="AG167" s="687"/>
      <c r="AH167" s="688"/>
      <c r="AI167" s="689"/>
      <c r="AJ167" s="690"/>
      <c r="AK167" s="691"/>
    </row>
    <row r="168" spans="2:58" s="76" customFormat="1" ht="15.75" outlineLevel="1">
      <c r="B168" s="676"/>
      <c r="C168" s="693"/>
      <c r="D168" s="694"/>
      <c r="E168" s="695"/>
      <c r="F168" s="696"/>
      <c r="G168" s="697"/>
      <c r="H168" s="247"/>
      <c r="I168" s="247"/>
      <c r="J168" s="698"/>
      <c r="K168" s="247"/>
      <c r="L168" s="699"/>
      <c r="M168" s="698"/>
      <c r="N168" s="698"/>
      <c r="O168" s="247"/>
      <c r="P168" s="700"/>
      <c r="Q168" s="185"/>
      <c r="R168" s="186"/>
      <c r="S168" s="297"/>
      <c r="T168" s="188"/>
      <c r="U168" s="168"/>
      <c r="V168" s="168"/>
      <c r="W168" s="168"/>
      <c r="X168" s="168"/>
      <c r="Y168" s="128"/>
      <c r="Z168" s="128"/>
      <c r="AA168" s="128"/>
      <c r="AB168" s="640"/>
      <c r="AC168" s="641"/>
      <c r="AD168" s="642"/>
      <c r="AE168" s="685"/>
      <c r="AF168" s="685"/>
      <c r="AG168" s="639"/>
      <c r="AH168" s="701"/>
      <c r="AI168" s="702"/>
      <c r="AJ168" s="703"/>
      <c r="AK168" s="704"/>
    </row>
    <row r="169" spans="2:58" s="120" customFormat="1" ht="30">
      <c r="B169" s="675" t="s">
        <v>3204</v>
      </c>
      <c r="C169" s="1148" t="str">
        <f>"Всего по "&amp;T165&amp;" "&amp;T169&amp;" ("&amp;$C$188&amp;"):"</f>
        <v>Всего по Г.Н.П. Изолир. алюм. 50-100 мм (Всего по Льгота (ТП, КТП, МТП, СТП) (25-100 кВА):):</v>
      </c>
      <c r="D169" s="1148"/>
      <c r="E169" s="1148"/>
      <c r="F169" s="1149">
        <f>SUM(F170:F171)</f>
        <v>0</v>
      </c>
      <c r="G169" s="1150">
        <f t="shared" ref="G169:O169" si="107">SUM(G170:G171)</f>
        <v>0</v>
      </c>
      <c r="H169" s="1150">
        <f t="shared" si="107"/>
        <v>0</v>
      </c>
      <c r="I169" s="1150">
        <f t="shared" si="107"/>
        <v>0</v>
      </c>
      <c r="J169" s="1150">
        <f t="shared" si="107"/>
        <v>0</v>
      </c>
      <c r="K169" s="1150">
        <f t="shared" si="107"/>
        <v>0</v>
      </c>
      <c r="L169" s="1150">
        <f t="shared" si="107"/>
        <v>0</v>
      </c>
      <c r="M169" s="1150">
        <f t="shared" si="107"/>
        <v>0</v>
      </c>
      <c r="N169" s="1150">
        <f t="shared" si="107"/>
        <v>0</v>
      </c>
      <c r="O169" s="1150">
        <f t="shared" si="107"/>
        <v>0</v>
      </c>
      <c r="P169" s="1150">
        <f>SUM(P170:P171)</f>
        <v>0</v>
      </c>
      <c r="Q169" s="1151"/>
      <c r="R169" s="1151"/>
      <c r="S169" s="1151"/>
      <c r="T169" s="1151" t="s">
        <v>3005</v>
      </c>
      <c r="U169" s="128"/>
      <c r="V169" s="129"/>
      <c r="W169" s="630"/>
      <c r="X169" s="631"/>
      <c r="Y169" s="632"/>
      <c r="Z169" s="633"/>
      <c r="AA169" s="128"/>
      <c r="AB169" s="634"/>
      <c r="AC169" s="635"/>
      <c r="AD169" s="636"/>
      <c r="AE169" s="637"/>
      <c r="AF169" s="638"/>
      <c r="AG169" s="639"/>
      <c r="AH169" s="640"/>
      <c r="AI169" s="641"/>
      <c r="AJ169" s="642"/>
      <c r="AK169" s="638"/>
      <c r="AN169" s="643"/>
      <c r="AT169" s="126"/>
      <c r="AU169" s="644"/>
      <c r="BC169" s="120" t="str">
        <f>[24]Прил.1!$F$14</f>
        <v>50 - 100</v>
      </c>
      <c r="BD169" s="368" t="str">
        <f>CONCATENATE($BC$2,"; ",$BC$3,"; ",$BD$1,"; ",$BD$3,"; ",BC169)</f>
        <v>6-10 кВ; Г.Н.П.; изолированный; алюминевый; 50 - 100</v>
      </c>
    </row>
    <row r="170" spans="2:58" s="76" customFormat="1" ht="15.75" outlineLevel="1">
      <c r="B170" s="676"/>
      <c r="C170" s="677"/>
      <c r="D170" s="678"/>
      <c r="E170" s="679"/>
      <c r="F170" s="680"/>
      <c r="G170" s="681"/>
      <c r="H170" s="517"/>
      <c r="I170" s="517"/>
      <c r="J170" s="517"/>
      <c r="K170" s="517"/>
      <c r="L170" s="517"/>
      <c r="M170" s="517"/>
      <c r="N170" s="517"/>
      <c r="O170" s="517"/>
      <c r="P170" s="682"/>
      <c r="Q170" s="683"/>
      <c r="R170" s="684"/>
      <c r="S170" s="685"/>
      <c r="T170" s="686"/>
      <c r="U170" s="168"/>
      <c r="V170" s="168"/>
      <c r="W170" s="168"/>
      <c r="X170" s="168"/>
      <c r="Y170" s="128"/>
      <c r="Z170" s="128"/>
      <c r="AA170" s="128"/>
      <c r="AB170" s="640"/>
      <c r="AC170" s="641"/>
      <c r="AD170" s="642"/>
      <c r="AE170" s="685"/>
      <c r="AF170" s="685"/>
      <c r="AG170" s="687"/>
      <c r="AH170" s="688"/>
      <c r="AI170" s="689"/>
      <c r="AJ170" s="690"/>
      <c r="AK170" s="691"/>
    </row>
    <row r="171" spans="2:58" s="76" customFormat="1" ht="15.75" outlineLevel="1">
      <c r="B171" s="676"/>
      <c r="C171" s="693"/>
      <c r="D171" s="694"/>
      <c r="E171" s="695"/>
      <c r="F171" s="696"/>
      <c r="G171" s="697"/>
      <c r="H171" s="247"/>
      <c r="I171" s="247"/>
      <c r="J171" s="698"/>
      <c r="K171" s="247"/>
      <c r="L171" s="699"/>
      <c r="M171" s="698"/>
      <c r="N171" s="698"/>
      <c r="O171" s="247"/>
      <c r="P171" s="700"/>
      <c r="Q171" s="185"/>
      <c r="R171" s="186"/>
      <c r="S171" s="297"/>
      <c r="T171" s="188"/>
      <c r="U171" s="168"/>
      <c r="V171" s="168"/>
      <c r="W171" s="168"/>
      <c r="X171" s="168"/>
      <c r="Y171" s="128"/>
      <c r="Z171" s="128"/>
      <c r="AA171" s="128"/>
      <c r="AB171" s="640"/>
      <c r="AC171" s="641"/>
      <c r="AD171" s="642"/>
      <c r="AE171" s="685"/>
      <c r="AF171" s="685"/>
      <c r="AG171" s="639"/>
      <c r="AH171" s="701"/>
      <c r="AI171" s="702"/>
      <c r="AJ171" s="703"/>
      <c r="AK171" s="704"/>
    </row>
    <row r="172" spans="2:58" s="120" customFormat="1" ht="30">
      <c r="B172" s="675" t="s">
        <v>3205</v>
      </c>
      <c r="C172" s="1148" t="str">
        <f>"Всего по "&amp;T165&amp;" "&amp;T172&amp;" ("&amp;$C$188&amp;"):"</f>
        <v>Всего по Г.Н.П. Неизолир. сталеалюм. до 50 мм (Всего по Льгота (ТП, КТП, МТП, СТП) (25-100 кВА):):</v>
      </c>
      <c r="D172" s="1148"/>
      <c r="E172" s="1148"/>
      <c r="F172" s="1149">
        <f t="shared" ref="F172:P172" si="108">SUM(F173:F174)</f>
        <v>0</v>
      </c>
      <c r="G172" s="1150">
        <f t="shared" si="108"/>
        <v>0</v>
      </c>
      <c r="H172" s="1150">
        <f t="shared" si="108"/>
        <v>0</v>
      </c>
      <c r="I172" s="1150">
        <f t="shared" si="108"/>
        <v>0</v>
      </c>
      <c r="J172" s="1150">
        <f t="shared" si="108"/>
        <v>0</v>
      </c>
      <c r="K172" s="1150">
        <f t="shared" si="108"/>
        <v>0</v>
      </c>
      <c r="L172" s="1150">
        <f t="shared" si="108"/>
        <v>0</v>
      </c>
      <c r="M172" s="1150">
        <f t="shared" si="108"/>
        <v>0</v>
      </c>
      <c r="N172" s="1150">
        <f t="shared" si="108"/>
        <v>0</v>
      </c>
      <c r="O172" s="1150">
        <f t="shared" si="108"/>
        <v>0</v>
      </c>
      <c r="P172" s="1150">
        <f t="shared" si="108"/>
        <v>0</v>
      </c>
      <c r="Q172" s="1151"/>
      <c r="R172" s="1151"/>
      <c r="S172" s="1151"/>
      <c r="T172" s="1151" t="s">
        <v>3137</v>
      </c>
      <c r="U172" s="128"/>
      <c r="V172" s="129"/>
      <c r="W172" s="630"/>
      <c r="X172" s="631"/>
      <c r="Y172" s="632"/>
      <c r="Z172" s="633"/>
      <c r="AA172" s="128"/>
      <c r="AB172" s="634"/>
      <c r="AC172" s="635"/>
      <c r="AD172" s="636"/>
      <c r="AE172" s="637"/>
      <c r="AF172" s="638"/>
      <c r="AG172" s="639"/>
      <c r="AH172" s="640"/>
      <c r="AI172" s="641"/>
      <c r="AJ172" s="642"/>
      <c r="AK172" s="638"/>
      <c r="AN172" s="643"/>
      <c r="AT172" s="126"/>
      <c r="AU172" s="644"/>
      <c r="BC172" s="120" t="str">
        <f>[24]Прил.1!$F$13</f>
        <v>до 50 вкл.</v>
      </c>
      <c r="BD172" s="368" t="str">
        <f>CONCATENATE($BC$2,"; ",$BC$3,"; ",$BD$2,"; ",$BD$4,"; ",BC172)</f>
        <v>6-10 кВ; Г.Н.П.; неизолированный; сталеалюминиевый; до 50 вкл.</v>
      </c>
    </row>
    <row r="173" spans="2:58" s="600" customFormat="1" ht="15.75" outlineLevel="1">
      <c r="B173" s="996"/>
      <c r="C173" s="983"/>
      <c r="D173" s="984"/>
      <c r="E173" s="985"/>
      <c r="F173" s="986"/>
      <c r="G173" s="1005"/>
      <c r="H173" s="998"/>
      <c r="I173" s="998"/>
      <c r="J173" s="1006"/>
      <c r="K173" s="998"/>
      <c r="L173" s="1006"/>
      <c r="M173" s="1006"/>
      <c r="N173" s="1006"/>
      <c r="O173" s="998"/>
      <c r="P173" s="1007"/>
      <c r="Q173" s="1008"/>
      <c r="R173" s="991"/>
      <c r="S173" s="992"/>
      <c r="T173" s="992"/>
      <c r="U173" s="602"/>
      <c r="V173" s="744"/>
      <c r="W173" s="744"/>
      <c r="X173" s="602"/>
      <c r="Y173" s="582"/>
      <c r="Z173" s="582"/>
      <c r="AA173" s="582"/>
      <c r="AB173" s="659"/>
      <c r="AC173" s="660"/>
      <c r="AD173" s="661"/>
      <c r="AE173" s="662"/>
      <c r="AF173" s="662"/>
      <c r="AG173" s="663"/>
      <c r="AH173" s="664"/>
      <c r="AI173" s="665"/>
      <c r="AJ173" s="666"/>
      <c r="AK173" s="667"/>
      <c r="AN173" s="763"/>
      <c r="AO173" s="764"/>
      <c r="AP173" s="764"/>
      <c r="BF173" s="668"/>
    </row>
    <row r="174" spans="2:58" s="120" customFormat="1" ht="15.75" outlineLevel="1" collapsed="1">
      <c r="B174" s="179"/>
      <c r="C174" s="693"/>
      <c r="D174" s="694" t="str">
        <f t="shared" ref="D174" si="109">IF(AF174=0,"",AF174)</f>
        <v/>
      </c>
      <c r="E174" s="695">
        <v>10</v>
      </c>
      <c r="F174" s="696"/>
      <c r="G174" s="697"/>
      <c r="H174" s="247"/>
      <c r="I174" s="247"/>
      <c r="J174" s="698"/>
      <c r="K174" s="247"/>
      <c r="L174" s="699"/>
      <c r="M174" s="698"/>
      <c r="N174" s="698"/>
      <c r="O174" s="247"/>
      <c r="P174" s="700"/>
      <c r="Q174" s="185"/>
      <c r="R174" s="186"/>
      <c r="S174" s="297"/>
      <c r="T174" s="818"/>
      <c r="U174" s="128"/>
      <c r="V174" s="129"/>
      <c r="W174" s="630"/>
      <c r="X174" s="631"/>
      <c r="Y174" s="632" t="str">
        <f>IF(X174="","",#REF!)</f>
        <v/>
      </c>
      <c r="Z174" s="633" t="str">
        <f>IF(X174="","",CONCATENATE(Y174,"-",X174,"; ",$T$138))</f>
        <v/>
      </c>
      <c r="AA174" s="128"/>
      <c r="AB174" s="819">
        <f>J174+L174+M174</f>
        <v>0</v>
      </c>
      <c r="AC174" s="820">
        <f>I174</f>
        <v>0</v>
      </c>
      <c r="AD174" s="821">
        <f>K174+H174</f>
        <v>0</v>
      </c>
      <c r="AE174" s="822">
        <f>AB174+AC174+AD174</f>
        <v>0</v>
      </c>
      <c r="AF174" s="638"/>
      <c r="AG174" s="639" t="str">
        <f>IF($AF174="1кв 2014",3.58,IF($AF174="2кв 2014",3.59,IF($AF174="3кв 2014",3.67,IF($AF174="4кв 2014",3.66,"не совпадает"))))</f>
        <v>не совпадает</v>
      </c>
      <c r="AH174" s="688" t="str">
        <f t="shared" ref="AH174:AJ189" si="110">IF(ISERROR(AB174/$AG174),"",AB174/$AG174)</f>
        <v/>
      </c>
      <c r="AI174" s="689" t="str">
        <f t="shared" si="110"/>
        <v/>
      </c>
      <c r="AJ174" s="690" t="str">
        <f t="shared" si="110"/>
        <v/>
      </c>
      <c r="AK174" s="787">
        <f t="shared" ref="AK174" si="111">SUM(AH174,AI174,AJ174)</f>
        <v>0</v>
      </c>
      <c r="AL174" s="823"/>
      <c r="AM174" s="120" t="str">
        <f>IF(P174=AE174,"Истина",P174-AE174)</f>
        <v>Истина</v>
      </c>
      <c r="AN174" s="643"/>
      <c r="AT174" s="824"/>
      <c r="AU174" s="825"/>
    </row>
    <row r="175" spans="2:58" ht="18.75">
      <c r="B175" s="1161">
        <f>MAX(B165:B174)</f>
        <v>0</v>
      </c>
      <c r="C175" s="1162" t="str">
        <f>"ИТОГО по "&amp;$C$164&amp;":"</f>
        <v>ИТОГО по ВЛ-10 от 150 до 670 кВт:</v>
      </c>
      <c r="D175" s="1162"/>
      <c r="E175" s="1162"/>
      <c r="F175" s="1163">
        <f>SUM(F165)</f>
        <v>0</v>
      </c>
      <c r="G175" s="1164">
        <f t="shared" ref="G175:P175" si="112">SUM(G165)</f>
        <v>0</v>
      </c>
      <c r="H175" s="1164">
        <f t="shared" si="112"/>
        <v>0</v>
      </c>
      <c r="I175" s="1164">
        <f t="shared" si="112"/>
        <v>0</v>
      </c>
      <c r="J175" s="1164">
        <f t="shared" si="112"/>
        <v>0</v>
      </c>
      <c r="K175" s="1164">
        <f t="shared" si="112"/>
        <v>0</v>
      </c>
      <c r="L175" s="1164">
        <f t="shared" si="112"/>
        <v>0</v>
      </c>
      <c r="M175" s="1164">
        <f t="shared" si="112"/>
        <v>0</v>
      </c>
      <c r="N175" s="1164">
        <f t="shared" si="112"/>
        <v>0</v>
      </c>
      <c r="O175" s="1164">
        <f t="shared" si="112"/>
        <v>0</v>
      </c>
      <c r="P175" s="1164">
        <f t="shared" si="112"/>
        <v>0</v>
      </c>
      <c r="Q175" s="1125"/>
      <c r="R175" s="1129"/>
      <c r="S175" s="1125"/>
      <c r="T175" s="1125"/>
      <c r="U175" s="965"/>
      <c r="V175" s="965"/>
      <c r="W175" s="965"/>
      <c r="Y175" s="933" t="str">
        <f t="shared" ref="Y175" si="113">IF(X175="","",$C$164)</f>
        <v/>
      </c>
      <c r="Z175" s="933" t="str">
        <f>IF(X175="","",CONCATENATE(Y175,"-",X175,"; ",#REF!))</f>
        <v/>
      </c>
      <c r="AA175" s="934"/>
      <c r="AB175" s="916"/>
      <c r="AC175" s="917"/>
      <c r="AD175" s="918"/>
      <c r="AE175" s="914"/>
      <c r="AF175" s="939"/>
      <c r="AG175" s="940" t="str">
        <f t="shared" si="103"/>
        <v>не совпадает</v>
      </c>
      <c r="AH175" s="941" t="str">
        <f t="shared" si="110"/>
        <v/>
      </c>
      <c r="AI175" s="942" t="str">
        <f t="shared" si="110"/>
        <v/>
      </c>
      <c r="AJ175" s="943" t="str">
        <f t="shared" si="110"/>
        <v/>
      </c>
      <c r="AK175" s="938">
        <f t="shared" si="28"/>
        <v>0</v>
      </c>
      <c r="AS175" s="919"/>
      <c r="AT175" s="899" t="str">
        <f>IF(AS175="","",VLOOKUP($AS175,[25]прил5МУ!N$25:O$84,2,FALSE)*1000)</f>
        <v/>
      </c>
      <c r="AU175" s="896" t="e">
        <f t="shared" ref="AU175:AU192" si="114">IF(P175=AT175,"ИСТИНА",P175-AT175)</f>
        <v>#VALUE!</v>
      </c>
      <c r="AW175" s="896" t="str">
        <f t="shared" ref="AW175:AW230" si="115">IF(AS175="","",P175)</f>
        <v/>
      </c>
      <c r="AX175" s="896" t="b">
        <f t="shared" si="43"/>
        <v>1</v>
      </c>
    </row>
    <row r="176" spans="2:58" s="969" customFormat="1" ht="21">
      <c r="B176" s="1175"/>
      <c r="C176" s="1176" t="str">
        <f>"ИТОГО ВЛ "&amp;$C$159&amp;":"</f>
        <v>ИТОГО ВЛ от 150 до 670 кВт:</v>
      </c>
      <c r="D176" s="1176"/>
      <c r="E176" s="1176"/>
      <c r="F176" s="1177">
        <f>SUM(F163,F175)</f>
        <v>0</v>
      </c>
      <c r="G176" s="1178">
        <f t="shared" ref="G176:P176" si="116">SUM(G163,G175)</f>
        <v>0</v>
      </c>
      <c r="H176" s="1178">
        <f t="shared" si="116"/>
        <v>0</v>
      </c>
      <c r="I176" s="1178">
        <f t="shared" si="116"/>
        <v>0</v>
      </c>
      <c r="J176" s="1178">
        <f t="shared" si="116"/>
        <v>0</v>
      </c>
      <c r="K176" s="1178">
        <f t="shared" si="116"/>
        <v>0</v>
      </c>
      <c r="L176" s="1178">
        <f t="shared" si="116"/>
        <v>0</v>
      </c>
      <c r="M176" s="1178">
        <f t="shared" si="116"/>
        <v>0</v>
      </c>
      <c r="N176" s="1178">
        <f t="shared" si="116"/>
        <v>0</v>
      </c>
      <c r="O176" s="1178">
        <f t="shared" si="116"/>
        <v>0</v>
      </c>
      <c r="P176" s="1178">
        <f t="shared" si="116"/>
        <v>0</v>
      </c>
      <c r="Q176" s="1179"/>
      <c r="R176" s="1179"/>
      <c r="S176" s="1179"/>
      <c r="T176" s="1180"/>
      <c r="U176" s="970"/>
      <c r="V176" s="971"/>
      <c r="W176" s="972"/>
      <c r="X176" s="973"/>
      <c r="Y176" s="974" t="str">
        <f>IF(X176="","",#REF!)</f>
        <v/>
      </c>
      <c r="Z176" s="975" t="str">
        <f t="shared" ref="Z176" si="117">IF(X176="","",CONCATENATE(Y176,"-",X176,"; ",$T$53))</f>
        <v/>
      </c>
      <c r="AA176" s="934"/>
      <c r="AB176" s="916"/>
      <c r="AC176" s="917"/>
      <c r="AD176" s="918"/>
      <c r="AE176" s="914"/>
      <c r="AF176" s="976"/>
      <c r="AG176" s="977" t="str">
        <f t="shared" si="103"/>
        <v>не совпадает</v>
      </c>
      <c r="AH176" s="978" t="str">
        <f>IF(ISERROR(AB176/$AG176),"",AB176/$AG176)</f>
        <v/>
      </c>
      <c r="AI176" s="979" t="str">
        <f>IF(ISERROR(AC176/$AG176),"",AC176/$AG176)</f>
        <v/>
      </c>
      <c r="AJ176" s="980" t="str">
        <f>IF(ISERROR(AD176/$AG176),"",AD176/$AG176)</f>
        <v/>
      </c>
      <c r="AK176" s="981">
        <f t="shared" si="28"/>
        <v>0</v>
      </c>
      <c r="AL176" s="895"/>
      <c r="AM176" s="896" t="str">
        <f>IF(P176=AE176,"Истина",P176-AE176)</f>
        <v>Истина</v>
      </c>
      <c r="AN176" s="982"/>
      <c r="AO176" s="982"/>
      <c r="AP176" s="1181"/>
      <c r="AQ176" s="1182"/>
      <c r="AR176" s="982"/>
      <c r="AS176" s="919"/>
      <c r="AT176" s="899" t="str">
        <f>IF(AS176="","",VLOOKUP($AS176,[25]прил5МУ!N$25:O$84,2,FALSE)*1000)</f>
        <v/>
      </c>
      <c r="AU176" s="896" t="e">
        <f t="shared" si="114"/>
        <v>#VALUE!</v>
      </c>
      <c r="AV176" s="896"/>
      <c r="AW176" s="896" t="str">
        <f t="shared" si="115"/>
        <v/>
      </c>
      <c r="AX176" s="896" t="b">
        <f t="shared" ref="AX176:AX230" si="118">AT176=AW176</f>
        <v>1</v>
      </c>
      <c r="AY176" s="982"/>
      <c r="AZ176" s="982"/>
      <c r="BF176" s="982"/>
    </row>
    <row r="177" spans="1:58">
      <c r="F177" s="1025"/>
      <c r="G177" s="1026"/>
      <c r="H177" s="1026"/>
      <c r="I177" s="1026"/>
      <c r="J177" s="1026"/>
      <c r="K177" s="1026"/>
      <c r="L177" s="1026"/>
      <c r="M177" s="1026"/>
      <c r="N177" s="1026"/>
      <c r="O177" s="1026"/>
      <c r="P177" s="1026"/>
      <c r="Y177" s="933" t="str">
        <f t="shared" ref="Y177:Y182" si="119">IF(X177="","",$C$159)</f>
        <v/>
      </c>
      <c r="Z177" s="933" t="str">
        <f t="shared" ref="Z177:Z230" si="120">IF(X177="","",CONCATENATE(Y177,"-",X177))</f>
        <v/>
      </c>
      <c r="AA177" s="934"/>
      <c r="AB177" s="916"/>
      <c r="AC177" s="917"/>
      <c r="AD177" s="918"/>
      <c r="AE177" s="914"/>
      <c r="AF177" s="939"/>
      <c r="AG177" s="940" t="str">
        <f t="shared" si="103"/>
        <v>не совпадает</v>
      </c>
      <c r="AH177" s="941" t="str">
        <f t="shared" si="110"/>
        <v/>
      </c>
      <c r="AI177" s="942" t="str">
        <f t="shared" si="110"/>
        <v/>
      </c>
      <c r="AJ177" s="943" t="str">
        <f t="shared" si="110"/>
        <v/>
      </c>
      <c r="AK177" s="938">
        <f t="shared" si="28"/>
        <v>0</v>
      </c>
      <c r="AS177" s="919"/>
      <c r="AT177" s="899" t="str">
        <f>IF(AS177="","",VLOOKUP($AS177,[25]прил5МУ!N$25:O$84,2,FALSE)*1000)</f>
        <v/>
      </c>
      <c r="AU177" s="896" t="str">
        <f t="shared" si="114"/>
        <v>ИСТИНА</v>
      </c>
      <c r="AW177" s="896" t="str">
        <f t="shared" si="115"/>
        <v/>
      </c>
      <c r="AX177" s="896" t="b">
        <f t="shared" si="118"/>
        <v>1</v>
      </c>
    </row>
    <row r="178" spans="1:58">
      <c r="B178" s="1194"/>
      <c r="C178" s="1195" t="s">
        <v>2619</v>
      </c>
      <c r="D178" s="1195"/>
      <c r="E178" s="1195"/>
      <c r="F178" s="1196">
        <f t="shared" ref="F178:P178" si="121">SUM(F9,F54)</f>
        <v>8.9930000000000003</v>
      </c>
      <c r="G178" s="1197">
        <f t="shared" si="121"/>
        <v>4647.13</v>
      </c>
      <c r="H178" s="1197">
        <f t="shared" si="121"/>
        <v>4836.26</v>
      </c>
      <c r="I178" s="1197">
        <f t="shared" si="121"/>
        <v>0</v>
      </c>
      <c r="J178" s="1197">
        <f t="shared" si="121"/>
        <v>0</v>
      </c>
      <c r="K178" s="1197">
        <f t="shared" si="121"/>
        <v>1480929.25</v>
      </c>
      <c r="L178" s="1197">
        <f t="shared" si="121"/>
        <v>0</v>
      </c>
      <c r="M178" s="1197">
        <f t="shared" si="121"/>
        <v>0</v>
      </c>
      <c r="N178" s="1197">
        <f t="shared" si="121"/>
        <v>0</v>
      </c>
      <c r="O178" s="1197" t="e">
        <f t="shared" si="121"/>
        <v>#REF!</v>
      </c>
      <c r="P178" s="1197">
        <f t="shared" si="121"/>
        <v>7552101.8200000003</v>
      </c>
      <c r="Q178" s="1198"/>
      <c r="R178" s="1199"/>
      <c r="S178" s="1200"/>
      <c r="T178" s="1201"/>
      <c r="U178" s="1027"/>
      <c r="V178" s="1027"/>
      <c r="W178" s="1027"/>
      <c r="Y178" s="933" t="str">
        <f t="shared" si="119"/>
        <v/>
      </c>
      <c r="Z178" s="933" t="str">
        <f t="shared" si="120"/>
        <v/>
      </c>
      <c r="AA178" s="934"/>
      <c r="AB178" s="916"/>
      <c r="AC178" s="917"/>
      <c r="AD178" s="918"/>
      <c r="AE178" s="914"/>
      <c r="AF178" s="939"/>
      <c r="AG178" s="940" t="str">
        <f t="shared" si="103"/>
        <v>не совпадает</v>
      </c>
      <c r="AH178" s="941" t="str">
        <f t="shared" si="110"/>
        <v/>
      </c>
      <c r="AI178" s="942" t="str">
        <f t="shared" si="110"/>
        <v/>
      </c>
      <c r="AJ178" s="943" t="str">
        <f t="shared" si="110"/>
        <v/>
      </c>
      <c r="AK178" s="938">
        <f t="shared" si="28"/>
        <v>0</v>
      </c>
      <c r="AS178" s="919"/>
      <c r="AT178" s="899" t="str">
        <f>IF(AS178="","",VLOOKUP($AS178,[25]прил5МУ!N$25:O$84,2,FALSE)*1000)</f>
        <v/>
      </c>
      <c r="AU178" s="896" t="e">
        <f t="shared" si="114"/>
        <v>#VALUE!</v>
      </c>
      <c r="AW178" s="896" t="str">
        <f t="shared" si="115"/>
        <v/>
      </c>
      <c r="AX178" s="896" t="b">
        <f t="shared" si="118"/>
        <v>1</v>
      </c>
    </row>
    <row r="179" spans="1:58">
      <c r="C179" s="891" t="s">
        <v>2620</v>
      </c>
      <c r="F179" s="270">
        <f t="shared" ref="F179:P179" si="122">SUM(F9,F78,F116,F160)</f>
        <v>5.902000000000001</v>
      </c>
      <c r="G179" s="271">
        <f t="shared" si="122"/>
        <v>1753.91</v>
      </c>
      <c r="H179" s="271">
        <f t="shared" si="122"/>
        <v>4836.26</v>
      </c>
      <c r="I179" s="271">
        <f t="shared" si="122"/>
        <v>0</v>
      </c>
      <c r="J179" s="271">
        <f t="shared" si="122"/>
        <v>0</v>
      </c>
      <c r="K179" s="271">
        <f t="shared" si="122"/>
        <v>1106161.01</v>
      </c>
      <c r="L179" s="271">
        <f t="shared" si="122"/>
        <v>0</v>
      </c>
      <c r="M179" s="271">
        <f t="shared" si="122"/>
        <v>0</v>
      </c>
      <c r="N179" s="271">
        <f t="shared" si="122"/>
        <v>0</v>
      </c>
      <c r="O179" s="271" t="e">
        <f t="shared" si="122"/>
        <v>#REF!</v>
      </c>
      <c r="P179" s="271">
        <f t="shared" si="122"/>
        <v>4201949.5199999996</v>
      </c>
      <c r="Y179" s="933" t="str">
        <f t="shared" si="119"/>
        <v/>
      </c>
      <c r="Z179" s="933" t="str">
        <f t="shared" si="120"/>
        <v/>
      </c>
      <c r="AA179" s="934"/>
      <c r="AB179" s="916"/>
      <c r="AC179" s="917"/>
      <c r="AD179" s="918"/>
      <c r="AE179" s="914"/>
      <c r="AF179" s="939"/>
      <c r="AG179" s="940" t="str">
        <f t="shared" si="103"/>
        <v>не совпадает</v>
      </c>
      <c r="AH179" s="941" t="str">
        <f t="shared" si="110"/>
        <v/>
      </c>
      <c r="AI179" s="942" t="str">
        <f t="shared" si="110"/>
        <v/>
      </c>
      <c r="AJ179" s="943" t="str">
        <f t="shared" si="110"/>
        <v/>
      </c>
      <c r="AK179" s="938">
        <f t="shared" si="28"/>
        <v>0</v>
      </c>
      <c r="AS179" s="919"/>
      <c r="AT179" s="899" t="str">
        <f>IF(AS179="","",VLOOKUP($AS179,[25]прил5МУ!N$25:O$84,2,FALSE)*1000)</f>
        <v/>
      </c>
      <c r="AU179" s="896" t="e">
        <f t="shared" si="114"/>
        <v>#VALUE!</v>
      </c>
      <c r="AW179" s="896" t="str">
        <f t="shared" si="115"/>
        <v/>
      </c>
      <c r="AX179" s="896" t="b">
        <f t="shared" si="118"/>
        <v>1</v>
      </c>
    </row>
    <row r="180" spans="1:58">
      <c r="C180" s="891" t="s">
        <v>2621</v>
      </c>
      <c r="F180" s="270">
        <f t="shared" ref="F180:P180" si="123">SUM(F54,F94,F136,F164)</f>
        <v>5.2229999999999999</v>
      </c>
      <c r="G180" s="271">
        <f t="shared" si="123"/>
        <v>3016</v>
      </c>
      <c r="H180" s="271">
        <f t="shared" si="123"/>
        <v>0</v>
      </c>
      <c r="I180" s="271">
        <f t="shared" si="123"/>
        <v>15875.67</v>
      </c>
      <c r="J180" s="271">
        <f t="shared" si="123"/>
        <v>0</v>
      </c>
      <c r="K180" s="271">
        <f t="shared" si="123"/>
        <v>786410.6100000001</v>
      </c>
      <c r="L180" s="271">
        <f t="shared" si="123"/>
        <v>0</v>
      </c>
      <c r="M180" s="271">
        <f t="shared" si="123"/>
        <v>0</v>
      </c>
      <c r="N180" s="271">
        <f t="shared" si="123"/>
        <v>0</v>
      </c>
      <c r="O180" s="271">
        <f t="shared" si="123"/>
        <v>3899523.77</v>
      </c>
      <c r="P180" s="271">
        <f t="shared" si="123"/>
        <v>4701810.05</v>
      </c>
      <c r="Y180" s="933" t="str">
        <f t="shared" si="119"/>
        <v/>
      </c>
      <c r="Z180" s="933" t="str">
        <f t="shared" si="120"/>
        <v/>
      </c>
      <c r="AA180" s="934"/>
      <c r="AB180" s="916"/>
      <c r="AC180" s="917"/>
      <c r="AD180" s="918"/>
      <c r="AE180" s="914"/>
      <c r="AF180" s="939"/>
      <c r="AG180" s="940" t="str">
        <f t="shared" si="103"/>
        <v>не совпадает</v>
      </c>
      <c r="AH180" s="941" t="str">
        <f t="shared" si="110"/>
        <v/>
      </c>
      <c r="AI180" s="942" t="str">
        <f t="shared" si="110"/>
        <v/>
      </c>
      <c r="AJ180" s="943" t="str">
        <f t="shared" si="110"/>
        <v/>
      </c>
      <c r="AK180" s="938">
        <f t="shared" si="28"/>
        <v>0</v>
      </c>
      <c r="AS180" s="919"/>
      <c r="AT180" s="899" t="str">
        <f>IF(AS180="","",VLOOKUP($AS180,[25]прил5МУ!N$25:O$84,2,FALSE)*1000)</f>
        <v/>
      </c>
      <c r="AU180" s="896" t="e">
        <f t="shared" si="114"/>
        <v>#VALUE!</v>
      </c>
      <c r="AW180" s="896" t="str">
        <f t="shared" si="115"/>
        <v/>
      </c>
      <c r="AX180" s="896" t="b">
        <f t="shared" si="118"/>
        <v>1</v>
      </c>
    </row>
    <row r="181" spans="1:58">
      <c r="F181" s="1163">
        <f>SUM(F179,F180)</f>
        <v>11.125</v>
      </c>
      <c r="G181" s="1164">
        <f t="shared" ref="G181:P181" si="124">SUM(G179,G180)</f>
        <v>4769.91</v>
      </c>
      <c r="H181" s="1164">
        <f t="shared" si="124"/>
        <v>4836.26</v>
      </c>
      <c r="I181" s="1164">
        <f t="shared" si="124"/>
        <v>15875.67</v>
      </c>
      <c r="J181" s="1164">
        <f t="shared" si="124"/>
        <v>0</v>
      </c>
      <c r="K181" s="1164">
        <f t="shared" si="124"/>
        <v>1892571.62</v>
      </c>
      <c r="L181" s="1164">
        <f t="shared" si="124"/>
        <v>0</v>
      </c>
      <c r="M181" s="1164">
        <f t="shared" si="124"/>
        <v>0</v>
      </c>
      <c r="N181" s="1164">
        <f t="shared" si="124"/>
        <v>0</v>
      </c>
      <c r="O181" s="1164" t="e">
        <f t="shared" si="124"/>
        <v>#REF!</v>
      </c>
      <c r="P181" s="1164">
        <f t="shared" si="124"/>
        <v>8903759.5700000003</v>
      </c>
      <c r="Y181" s="933" t="str">
        <f t="shared" si="119"/>
        <v/>
      </c>
      <c r="Z181" s="933" t="str">
        <f t="shared" si="120"/>
        <v/>
      </c>
      <c r="AA181" s="934"/>
      <c r="AB181" s="916"/>
      <c r="AC181" s="917"/>
      <c r="AD181" s="918"/>
      <c r="AE181" s="914"/>
      <c r="AF181" s="939"/>
      <c r="AG181" s="940" t="str">
        <f t="shared" si="103"/>
        <v>не совпадает</v>
      </c>
      <c r="AH181" s="941" t="str">
        <f t="shared" si="110"/>
        <v/>
      </c>
      <c r="AI181" s="942" t="str">
        <f t="shared" si="110"/>
        <v/>
      </c>
      <c r="AJ181" s="943" t="str">
        <f t="shared" si="110"/>
        <v/>
      </c>
      <c r="AK181" s="938">
        <f t="shared" si="28"/>
        <v>0</v>
      </c>
      <c r="AS181" s="919"/>
      <c r="AT181" s="899" t="str">
        <f>IF(AS181="","",VLOOKUP($AS181,[25]прил5МУ!N$25:O$84,2,FALSE)*1000)</f>
        <v/>
      </c>
      <c r="AU181" s="896" t="e">
        <f t="shared" si="114"/>
        <v>#VALUE!</v>
      </c>
      <c r="AW181" s="896" t="str">
        <f t="shared" si="115"/>
        <v/>
      </c>
      <c r="AX181" s="896" t="b">
        <f t="shared" si="118"/>
        <v>1</v>
      </c>
    </row>
    <row r="182" spans="1:58">
      <c r="C182" s="891" t="s">
        <v>2559</v>
      </c>
      <c r="P182" s="2847">
        <f>P181+P184+P206</f>
        <v>11043669.120000001</v>
      </c>
      <c r="Y182" s="933" t="str">
        <f t="shared" si="119"/>
        <v/>
      </c>
      <c r="Z182" s="933" t="str">
        <f t="shared" si="120"/>
        <v/>
      </c>
      <c r="AA182" s="934"/>
      <c r="AB182" s="1029"/>
      <c r="AC182" s="1030"/>
      <c r="AD182" s="1031"/>
      <c r="AE182" s="1032"/>
      <c r="AF182" s="1033"/>
      <c r="AG182" s="1034" t="str">
        <f t="shared" si="103"/>
        <v>не совпадает</v>
      </c>
      <c r="AH182" s="1035" t="str">
        <f t="shared" si="110"/>
        <v/>
      </c>
      <c r="AI182" s="1036" t="str">
        <f t="shared" si="110"/>
        <v/>
      </c>
      <c r="AJ182" s="1037" t="str">
        <f t="shared" si="110"/>
        <v/>
      </c>
      <c r="AK182" s="1038">
        <f t="shared" si="28"/>
        <v>0</v>
      </c>
      <c r="AS182" s="919"/>
      <c r="AT182" s="899" t="str">
        <f>IF(AS182="","",VLOOKUP($AS182,[25]прил5МУ!N$25:O$84,2,FALSE)*1000)</f>
        <v/>
      </c>
      <c r="AU182" s="896" t="e">
        <f t="shared" si="114"/>
        <v>#VALUE!</v>
      </c>
      <c r="AW182" s="896" t="str">
        <f t="shared" si="115"/>
        <v/>
      </c>
      <c r="AX182" s="896" t="b">
        <f t="shared" si="118"/>
        <v>1</v>
      </c>
    </row>
    <row r="183" spans="1:58" ht="25.5">
      <c r="B183" s="1202" t="s">
        <v>20</v>
      </c>
      <c r="C183" s="3250" t="s">
        <v>2622</v>
      </c>
      <c r="D183" s="3251"/>
      <c r="E183" s="3251"/>
      <c r="F183" s="3251"/>
      <c r="G183" s="3251"/>
      <c r="H183" s="3251"/>
      <c r="I183" s="3251"/>
      <c r="J183" s="3251"/>
      <c r="K183" s="3251"/>
      <c r="L183" s="3251"/>
      <c r="M183" s="3251"/>
      <c r="N183" s="3251"/>
      <c r="O183" s="3251"/>
      <c r="P183" s="3251"/>
      <c r="Q183" s="3251"/>
      <c r="R183" s="3251"/>
      <c r="S183" s="3251"/>
      <c r="T183" s="3252"/>
      <c r="U183" s="999"/>
      <c r="V183" s="999"/>
      <c r="W183" s="999"/>
      <c r="Y183" s="933" t="str">
        <f>IF(X183="","",$C$183)</f>
        <v/>
      </c>
      <c r="Z183" s="933" t="str">
        <f t="shared" si="120"/>
        <v/>
      </c>
      <c r="AA183" s="934"/>
      <c r="AB183" s="1132"/>
      <c r="AC183" s="913"/>
      <c r="AD183" s="1133"/>
      <c r="AE183" s="1134"/>
      <c r="AF183" s="1203"/>
      <c r="AG183" s="1204" t="str">
        <f>IF($AF183="1кв 2016",6.34,IF($AF183="2кв 2016",6.34,IF($AF183="3кв 2016",6.44,IF($AF183="4кв 2016",6.53,"не совпадает"))))</f>
        <v>не совпадает</v>
      </c>
      <c r="AH183" s="1205" t="str">
        <f t="shared" si="110"/>
        <v/>
      </c>
      <c r="AI183" s="1039" t="str">
        <f t="shared" si="110"/>
        <v/>
      </c>
      <c r="AJ183" s="1206" t="str">
        <f t="shared" si="110"/>
        <v/>
      </c>
      <c r="AK183" s="1207">
        <f t="shared" si="28"/>
        <v>0</v>
      </c>
      <c r="AS183" s="919"/>
      <c r="AT183" s="899" t="str">
        <f>IF(AS183="","",VLOOKUP($AS183,[25]прил5МУ!N$25:O$84,2,FALSE)*1000)</f>
        <v/>
      </c>
      <c r="AU183" s="896" t="str">
        <f t="shared" si="114"/>
        <v>ИСТИНА</v>
      </c>
      <c r="AW183" s="896" t="str">
        <f t="shared" si="115"/>
        <v/>
      </c>
      <c r="AX183" s="896" t="b">
        <f t="shared" si="118"/>
        <v>1</v>
      </c>
    </row>
    <row r="184" spans="1:58" ht="18.75">
      <c r="B184" s="1208" t="s">
        <v>2624</v>
      </c>
      <c r="C184" s="1208" t="s">
        <v>2625</v>
      </c>
      <c r="D184" s="1209"/>
      <c r="E184" s="1209"/>
      <c r="F184" s="1210">
        <f>SUM(F185,F200)</f>
        <v>0</v>
      </c>
      <c r="G184" s="1211">
        <f t="shared" ref="G184:O184" si="125">SUM(G185,G200)</f>
        <v>1600</v>
      </c>
      <c r="H184" s="1211">
        <f t="shared" si="125"/>
        <v>0</v>
      </c>
      <c r="I184" s="1211">
        <f t="shared" si="125"/>
        <v>1415262</v>
      </c>
      <c r="J184" s="1211">
        <f t="shared" si="125"/>
        <v>0</v>
      </c>
      <c r="K184" s="1211">
        <f t="shared" si="125"/>
        <v>159561.70000000001</v>
      </c>
      <c r="L184" s="1211">
        <f t="shared" si="125"/>
        <v>0</v>
      </c>
      <c r="M184" s="1211">
        <f t="shared" si="125"/>
        <v>0</v>
      </c>
      <c r="N184" s="1211">
        <f t="shared" si="125"/>
        <v>0</v>
      </c>
      <c r="O184" s="1211">
        <f t="shared" si="125"/>
        <v>140332.91999999998</v>
      </c>
      <c r="P184" s="1211">
        <f>SUM(P185,P200)</f>
        <v>1715156.62</v>
      </c>
      <c r="Q184" s="1210">
        <f>SUM(Q185,Q200)</f>
        <v>4</v>
      </c>
      <c r="R184" s="1209"/>
      <c r="S184" s="1209"/>
      <c r="T184" s="1212"/>
      <c r="X184" s="970"/>
      <c r="Y184" s="933" t="str">
        <f t="shared" ref="Y184" si="126">IF(X184="","",$C$161)</f>
        <v/>
      </c>
      <c r="Z184" s="933" t="str">
        <f t="shared" si="120"/>
        <v/>
      </c>
      <c r="AA184" s="934"/>
      <c r="AB184" s="916"/>
      <c r="AC184" s="917"/>
      <c r="AD184" s="918"/>
      <c r="AE184" s="914"/>
      <c r="AF184" s="939"/>
      <c r="AG184" s="1040" t="str">
        <f t="shared" ref="AG184:AG230" si="127">IF($AF184="1кв 2016",6.34,IF($AF184="2кв 2016",6.34,IF($AF184="3кв 2016",6.44,IF($AF184="4кв 2016",6.53,"не совпадает"))))</f>
        <v>не совпадает</v>
      </c>
      <c r="AH184" s="941" t="str">
        <f t="shared" si="110"/>
        <v/>
      </c>
      <c r="AI184" s="942" t="str">
        <f t="shared" si="110"/>
        <v/>
      </c>
      <c r="AJ184" s="943" t="str">
        <f t="shared" si="110"/>
        <v/>
      </c>
      <c r="AK184" s="938">
        <f t="shared" si="28"/>
        <v>0</v>
      </c>
      <c r="AM184" s="896">
        <f>IF(P184=AE184,"ИСТИНА",P184-AE184)</f>
        <v>1715156.62</v>
      </c>
      <c r="AS184" s="919"/>
      <c r="AT184" s="899" t="str">
        <f>IF(AS184="","",VLOOKUP($AS184,[25]прил5МУ!N$25:O$84,2,FALSE)*1000)</f>
        <v/>
      </c>
      <c r="AU184" s="896" t="e">
        <f t="shared" si="114"/>
        <v>#VALUE!</v>
      </c>
      <c r="AW184" s="896" t="str">
        <f t="shared" si="115"/>
        <v/>
      </c>
      <c r="AX184" s="896" t="b">
        <f t="shared" si="118"/>
        <v>1</v>
      </c>
    </row>
    <row r="185" spans="1:58" s="969" customFormat="1" ht="18.75">
      <c r="B185" s="1213" t="s">
        <v>2626</v>
      </c>
      <c r="C185" s="1214" t="str">
        <f>""&amp;T185&amp;" ("&amp;$C$184&amp;")"</f>
        <v>Однотрансф. (Льгота (ТП, КТП, МТП, СТП))</v>
      </c>
      <c r="D185" s="1215"/>
      <c r="E185" s="1215"/>
      <c r="F185" s="1216">
        <f>SUM(F186,F188,F190,F192,F196,F198)</f>
        <v>0</v>
      </c>
      <c r="G185" s="1217">
        <f t="shared" ref="G185:Q185" si="128">SUM(G186,G188,G190,G192,G196,G198)</f>
        <v>1600</v>
      </c>
      <c r="H185" s="1217">
        <f>SUM(H186,H188,H190,H192,H196,H198)</f>
        <v>0</v>
      </c>
      <c r="I185" s="1217">
        <f t="shared" si="128"/>
        <v>1415262</v>
      </c>
      <c r="J185" s="1217">
        <f t="shared" si="128"/>
        <v>0</v>
      </c>
      <c r="K185" s="1217">
        <f t="shared" si="128"/>
        <v>159561.70000000001</v>
      </c>
      <c r="L185" s="1217">
        <f t="shared" si="128"/>
        <v>0</v>
      </c>
      <c r="M185" s="1217">
        <f t="shared" si="128"/>
        <v>0</v>
      </c>
      <c r="N185" s="1217">
        <f t="shared" si="128"/>
        <v>0</v>
      </c>
      <c r="O185" s="1217">
        <f t="shared" si="128"/>
        <v>140332.91999999998</v>
      </c>
      <c r="P185" s="1217">
        <f t="shared" si="128"/>
        <v>1715156.62</v>
      </c>
      <c r="Q185" s="1216">
        <f t="shared" si="128"/>
        <v>4</v>
      </c>
      <c r="R185" s="1218"/>
      <c r="S185" s="1218"/>
      <c r="T185" s="1219" t="s">
        <v>2627</v>
      </c>
      <c r="U185" s="970"/>
      <c r="V185" s="970"/>
      <c r="W185" s="970"/>
      <c r="X185" s="891"/>
      <c r="Y185" s="933" t="str">
        <f>IF(X185="","",#REF!)</f>
        <v/>
      </c>
      <c r="Z185" s="933" t="str">
        <f>IF(X185="","",CONCATENATE(Y185,"-",X185))</f>
        <v/>
      </c>
      <c r="AA185" s="934"/>
      <c r="AB185" s="916"/>
      <c r="AC185" s="917"/>
      <c r="AD185" s="918"/>
      <c r="AE185" s="914"/>
      <c r="AF185" s="976"/>
      <c r="AG185" s="1041" t="str">
        <f t="shared" si="127"/>
        <v>не совпадает</v>
      </c>
      <c r="AH185" s="978" t="str">
        <f t="shared" si="110"/>
        <v/>
      </c>
      <c r="AI185" s="979" t="str">
        <f t="shared" si="110"/>
        <v/>
      </c>
      <c r="AJ185" s="980" t="str">
        <f t="shared" si="110"/>
        <v/>
      </c>
      <c r="AK185" s="981">
        <f>SUM(AH185,AI185,AJ185)</f>
        <v>0</v>
      </c>
      <c r="AL185" s="895"/>
      <c r="AM185" s="896">
        <f>IF(P185=AE185,"Истина",P185-AE185)</f>
        <v>1715156.62</v>
      </c>
      <c r="AN185" s="982"/>
      <c r="AO185" s="982"/>
      <c r="AP185" s="1220"/>
      <c r="AQ185" s="1221"/>
      <c r="AR185" s="982"/>
      <c r="AS185" s="919"/>
      <c r="AT185" s="899" t="str">
        <f>IF(AS185="","",VLOOKUP($AS185,[25]прил5МУ!N$25:O$84,2,FALSE)*1000)</f>
        <v/>
      </c>
      <c r="AU185" s="896" t="e">
        <f t="shared" si="114"/>
        <v>#VALUE!</v>
      </c>
      <c r="AV185" s="896"/>
      <c r="AW185" s="896" t="str">
        <f t="shared" si="115"/>
        <v/>
      </c>
      <c r="AX185" s="896" t="b">
        <f t="shared" si="118"/>
        <v>1</v>
      </c>
      <c r="AY185" s="982"/>
      <c r="AZ185" s="982"/>
      <c r="BF185" s="982"/>
    </row>
    <row r="186" spans="1:58" s="969" customFormat="1" ht="18.75">
      <c r="B186" s="1222" t="s">
        <v>2628</v>
      </c>
      <c r="C186" s="1223" t="str">
        <f>"Всего по "&amp;$C$184&amp;" ("&amp;T186&amp;"):"</f>
        <v>Всего по Льгота (ТП, КТП, МТП, СТП) (до 25 кВА):</v>
      </c>
      <c r="D186" s="1223"/>
      <c r="E186" s="1223"/>
      <c r="F186" s="1224">
        <f>SUM(F187)</f>
        <v>0</v>
      </c>
      <c r="G186" s="1225">
        <f t="shared" ref="G186:Q186" si="129">SUM(G187)</f>
        <v>0</v>
      </c>
      <c r="H186" s="1225">
        <f t="shared" si="129"/>
        <v>0</v>
      </c>
      <c r="I186" s="1225">
        <f t="shared" si="129"/>
        <v>0</v>
      </c>
      <c r="J186" s="1225">
        <f t="shared" si="129"/>
        <v>0</v>
      </c>
      <c r="K186" s="1225">
        <f>SUM(K187)</f>
        <v>0</v>
      </c>
      <c r="L186" s="1225">
        <f t="shared" si="129"/>
        <v>0</v>
      </c>
      <c r="M186" s="1225">
        <f t="shared" si="129"/>
        <v>0</v>
      </c>
      <c r="N186" s="1225">
        <f t="shared" si="129"/>
        <v>0</v>
      </c>
      <c r="O186" s="1225">
        <f t="shared" si="129"/>
        <v>0</v>
      </c>
      <c r="P186" s="1225">
        <f>SUM(P187)</f>
        <v>0</v>
      </c>
      <c r="Q186" s="1224">
        <f t="shared" si="129"/>
        <v>0</v>
      </c>
      <c r="R186" s="1226"/>
      <c r="S186" s="1226"/>
      <c r="T186" s="1227" t="s">
        <v>2629</v>
      </c>
      <c r="U186" s="970"/>
      <c r="V186" s="970"/>
      <c r="W186" s="970"/>
      <c r="X186" s="891"/>
      <c r="Y186" s="933" t="str">
        <f>IF(X186="","",#REF!)</f>
        <v/>
      </c>
      <c r="Z186" s="933" t="str">
        <f>IF(X186="","",CONCATENATE(Y186,"-",X186))</f>
        <v/>
      </c>
      <c r="AA186" s="934"/>
      <c r="AB186" s="916"/>
      <c r="AC186" s="917"/>
      <c r="AD186" s="918"/>
      <c r="AE186" s="914"/>
      <c r="AF186" s="976"/>
      <c r="AG186" s="1041" t="str">
        <f t="shared" si="127"/>
        <v>не совпадает</v>
      </c>
      <c r="AH186" s="978" t="str">
        <f t="shared" si="110"/>
        <v/>
      </c>
      <c r="AI186" s="979" t="str">
        <f t="shared" si="110"/>
        <v/>
      </c>
      <c r="AJ186" s="980" t="str">
        <f t="shared" si="110"/>
        <v/>
      </c>
      <c r="AK186" s="981">
        <f>SUM(AH186,AI186,AJ186)</f>
        <v>0</v>
      </c>
      <c r="AL186" s="895"/>
      <c r="AM186" s="896" t="str">
        <f>IF(P186=AE186,"Истина",P186-AE186)</f>
        <v>Истина</v>
      </c>
      <c r="AN186" s="982"/>
      <c r="AO186" s="982"/>
      <c r="AP186" s="1220"/>
      <c r="AQ186" s="1221"/>
      <c r="AR186" s="982"/>
      <c r="AS186" s="919"/>
      <c r="AT186" s="899" t="str">
        <f>IF(AS186="","",VLOOKUP($AS186,[25]прил5МУ!N$25:O$84,2,FALSE)*1000)</f>
        <v/>
      </c>
      <c r="AU186" s="896" t="e">
        <f t="shared" si="114"/>
        <v>#VALUE!</v>
      </c>
      <c r="AV186" s="896"/>
      <c r="AW186" s="896" t="str">
        <f t="shared" si="115"/>
        <v/>
      </c>
      <c r="AX186" s="896" t="b">
        <f t="shared" si="118"/>
        <v>1</v>
      </c>
      <c r="AY186" s="982"/>
      <c r="AZ186" s="982"/>
      <c r="BF186" s="982"/>
    </row>
    <row r="187" spans="1:58" ht="15.75" outlineLevel="1">
      <c r="A187" s="891" t="str">
        <f t="shared" ref="A187" si="130">IF(C187="","",1)</f>
        <v/>
      </c>
      <c r="B187" s="1042" t="str">
        <f>IF(A187="","",SUM($A$187:A187))</f>
        <v/>
      </c>
      <c r="C187" s="1011"/>
      <c r="D187" s="922" t="str">
        <f t="shared" ref="D187" si="131">IF(AF187=0,"",AF187)</f>
        <v/>
      </c>
      <c r="E187" s="923"/>
      <c r="F187" s="1043"/>
      <c r="G187" s="1014"/>
      <c r="H187" s="1044"/>
      <c r="I187" s="1044"/>
      <c r="J187" s="1044"/>
      <c r="K187" s="1044"/>
      <c r="L187" s="1044"/>
      <c r="M187" s="1044"/>
      <c r="N187" s="1044"/>
      <c r="O187" s="1044"/>
      <c r="P187" s="1016"/>
      <c r="Q187" s="1013"/>
      <c r="R187" s="1018"/>
      <c r="S187" s="1045"/>
      <c r="T187" s="1045"/>
      <c r="V187" s="1228"/>
      <c r="W187" s="1229" t="str">
        <f>""&amp;V187&amp;" - "&amp;X187&amp;""</f>
        <v xml:space="preserve"> - </v>
      </c>
      <c r="X187" s="1230"/>
      <c r="Y187" s="1230"/>
      <c r="Z187" s="1231" t="str">
        <f>IF(X187="","",CONCATENATE(Y187,": ",W187))</f>
        <v/>
      </c>
      <c r="AA187" s="934"/>
      <c r="AB187" s="935">
        <f>O187</f>
        <v>0</v>
      </c>
      <c r="AC187" s="936">
        <f>(I187+H187)</f>
        <v>0</v>
      </c>
      <c r="AD187" s="937">
        <f>K187</f>
        <v>0</v>
      </c>
      <c r="AE187" s="938">
        <f t="shared" ref="AE187" si="132">AB187+AC187+AD187</f>
        <v>0</v>
      </c>
      <c r="AF187" s="939"/>
      <c r="AG187" s="1040" t="str">
        <f t="shared" si="127"/>
        <v>не совпадает</v>
      </c>
      <c r="AH187" s="941" t="str">
        <f t="shared" si="110"/>
        <v/>
      </c>
      <c r="AI187" s="942" t="str">
        <f t="shared" si="110"/>
        <v/>
      </c>
      <c r="AJ187" s="943" t="str">
        <f t="shared" si="110"/>
        <v/>
      </c>
      <c r="AK187" s="938">
        <f t="shared" ref="AK187" si="133">SUM(AH187,AI187,AJ187)</f>
        <v>0</v>
      </c>
      <c r="AM187" s="896" t="str">
        <f>IF(P187=AE187,"ИСТИНА",P187-AE187)</f>
        <v>ИСТИНА</v>
      </c>
      <c r="AS187" s="919"/>
      <c r="AT187" s="899" t="str">
        <f>IF(AS187="","",VLOOKUP($AS187,[25]прил5МУ!N$25:O$84,2,FALSE)*1000)</f>
        <v/>
      </c>
      <c r="AU187" s="896" t="str">
        <f t="shared" si="114"/>
        <v>ИСТИНА</v>
      </c>
      <c r="AW187" s="896" t="str">
        <f t="shared" si="115"/>
        <v/>
      </c>
      <c r="AX187" s="896" t="b">
        <f t="shared" si="118"/>
        <v>1</v>
      </c>
    </row>
    <row r="188" spans="1:58" s="969" customFormat="1" ht="18.75">
      <c r="B188" s="1222" t="s">
        <v>2630</v>
      </c>
      <c r="C188" s="1223" t="str">
        <f>"Всего по "&amp;$C$184&amp;" ("&amp;T188&amp;"):"</f>
        <v>Всего по Льгота (ТП, КТП, МТП, СТП) (25-100 кВА):</v>
      </c>
      <c r="D188" s="1223"/>
      <c r="E188" s="1223"/>
      <c r="F188" s="1224">
        <f>SUM(F189)</f>
        <v>0</v>
      </c>
      <c r="G188" s="1225">
        <f t="shared" ref="G188:L198" si="134">SUM(G189)</f>
        <v>0</v>
      </c>
      <c r="H188" s="1225">
        <f t="shared" si="134"/>
        <v>0</v>
      </c>
      <c r="I188" s="1225">
        <f t="shared" si="134"/>
        <v>0</v>
      </c>
      <c r="J188" s="1225">
        <f t="shared" si="134"/>
        <v>0</v>
      </c>
      <c r="K188" s="1225">
        <f t="shared" si="134"/>
        <v>0</v>
      </c>
      <c r="L188" s="1225">
        <f t="shared" si="134"/>
        <v>0</v>
      </c>
      <c r="M188" s="1225">
        <f>SUM(M189)</f>
        <v>0</v>
      </c>
      <c r="N188" s="1225">
        <f t="shared" ref="N188:Q198" si="135">SUM(N189)</f>
        <v>0</v>
      </c>
      <c r="O188" s="1225">
        <f t="shared" si="135"/>
        <v>0</v>
      </c>
      <c r="P188" s="1225">
        <f t="shared" si="135"/>
        <v>0</v>
      </c>
      <c r="Q188" s="1224">
        <f t="shared" si="135"/>
        <v>0</v>
      </c>
      <c r="R188" s="1226"/>
      <c r="S188" s="1226"/>
      <c r="T188" s="1227" t="s">
        <v>2631</v>
      </c>
      <c r="U188" s="970"/>
      <c r="V188" s="970"/>
      <c r="W188" s="970"/>
      <c r="X188" s="891"/>
      <c r="Y188" s="933" t="str">
        <f>IF(X188="","",$C$230)</f>
        <v/>
      </c>
      <c r="Z188" s="933" t="str">
        <f>IF(X188="","",CONCATENATE(Y188,"-",X188))</f>
        <v/>
      </c>
      <c r="AA188" s="934"/>
      <c r="AB188" s="916"/>
      <c r="AC188" s="917"/>
      <c r="AD188" s="918"/>
      <c r="AE188" s="914"/>
      <c r="AF188" s="976"/>
      <c r="AG188" s="1041" t="str">
        <f t="shared" si="127"/>
        <v>не совпадает</v>
      </c>
      <c r="AH188" s="978" t="str">
        <f t="shared" si="110"/>
        <v/>
      </c>
      <c r="AI188" s="979" t="str">
        <f t="shared" si="110"/>
        <v/>
      </c>
      <c r="AJ188" s="980" t="str">
        <f t="shared" si="110"/>
        <v/>
      </c>
      <c r="AK188" s="981">
        <f>SUM(AH188,AI188,AJ188)</f>
        <v>0</v>
      </c>
      <c r="AL188" s="895"/>
      <c r="AM188" s="896" t="str">
        <f>IF(P188=AE188,"Истина",P188-AE188)</f>
        <v>Истина</v>
      </c>
      <c r="AN188" s="982"/>
      <c r="AO188" s="982"/>
      <c r="AP188" s="1232"/>
      <c r="AQ188" s="1221"/>
      <c r="AR188" s="982"/>
      <c r="AS188" s="919"/>
      <c r="AT188" s="899" t="str">
        <f>IF(AS188="","",VLOOKUP($AS188,[25]прил5МУ!N$25:O$84,2,FALSE)*1000)</f>
        <v/>
      </c>
      <c r="AU188" s="896" t="e">
        <f t="shared" si="114"/>
        <v>#VALUE!</v>
      </c>
      <c r="AV188" s="896"/>
      <c r="AW188" s="896" t="str">
        <f t="shared" si="115"/>
        <v/>
      </c>
      <c r="AX188" s="896" t="b">
        <f t="shared" si="118"/>
        <v>1</v>
      </c>
      <c r="AY188" s="982"/>
      <c r="AZ188" s="982"/>
      <c r="BF188" s="982"/>
    </row>
    <row r="189" spans="1:58" s="969" customFormat="1" ht="18.75" outlineLevel="1">
      <c r="A189" s="969" t="str">
        <f t="shared" ref="A189" si="136">IF(C189="","",1)</f>
        <v/>
      </c>
      <c r="B189" s="1042" t="str">
        <f>IF(A189="","",SUM($A$187:A189))</f>
        <v/>
      </c>
      <c r="C189" s="1011"/>
      <c r="D189" s="922" t="str">
        <f t="shared" ref="D189" si="137">IF(AF189=0,"",AF189)</f>
        <v/>
      </c>
      <c r="E189" s="923"/>
      <c r="F189" s="1043"/>
      <c r="G189" s="1014"/>
      <c r="H189" s="1044"/>
      <c r="I189" s="1044"/>
      <c r="J189" s="1044"/>
      <c r="K189" s="1044"/>
      <c r="L189" s="1044"/>
      <c r="M189" s="1044"/>
      <c r="N189" s="1044"/>
      <c r="O189" s="1044"/>
      <c r="P189" s="1016"/>
      <c r="Q189" s="1046"/>
      <c r="R189" s="1047"/>
      <c r="S189" s="1048"/>
      <c r="T189" s="1049"/>
      <c r="U189" s="970"/>
      <c r="V189" s="1050"/>
      <c r="W189" s="1051" t="str">
        <f>""&amp;V189&amp;" - "&amp;X189&amp;""</f>
        <v xml:space="preserve"> - </v>
      </c>
      <c r="X189" s="1052"/>
      <c r="Y189" s="1053" t="str">
        <f>IF(X189="","",$C$230)</f>
        <v/>
      </c>
      <c r="Z189" s="1054" t="str">
        <f>IF(X189="","",CONCATENATE(Y189,": ",W189))</f>
        <v/>
      </c>
      <c r="AA189" s="934"/>
      <c r="AB189" s="935">
        <f>O189</f>
        <v>0</v>
      </c>
      <c r="AC189" s="936">
        <f>(I189+H189)</f>
        <v>0</v>
      </c>
      <c r="AD189" s="937">
        <f>K189</f>
        <v>0</v>
      </c>
      <c r="AE189" s="938">
        <f t="shared" ref="AE189" si="138">AB189+AC189+AD189</f>
        <v>0</v>
      </c>
      <c r="AF189" s="976"/>
      <c r="AG189" s="1041" t="str">
        <f t="shared" si="127"/>
        <v>не совпадает</v>
      </c>
      <c r="AH189" s="978" t="str">
        <f t="shared" si="110"/>
        <v/>
      </c>
      <c r="AI189" s="979" t="str">
        <f t="shared" si="110"/>
        <v/>
      </c>
      <c r="AJ189" s="980" t="str">
        <f t="shared" si="110"/>
        <v/>
      </c>
      <c r="AK189" s="981">
        <f>SUM(AH189,AI189,AJ189)</f>
        <v>0</v>
      </c>
      <c r="AL189" s="895"/>
      <c r="AM189" s="896" t="str">
        <f>IF(P189=AE189,"Истина",P189-AE189)</f>
        <v>Истина</v>
      </c>
      <c r="AN189" s="982"/>
      <c r="AO189" s="982"/>
      <c r="AP189" s="1055"/>
      <c r="AQ189" s="1056"/>
      <c r="AR189" s="982"/>
      <c r="AS189" s="919"/>
      <c r="AT189" s="899" t="str">
        <f>IF(AS189="","",VLOOKUP($AS189,[25]прил5МУ!N$25:O$84,2,FALSE)*1000)</f>
        <v/>
      </c>
      <c r="AU189" s="896" t="str">
        <f t="shared" si="114"/>
        <v>ИСТИНА</v>
      </c>
      <c r="AV189" s="896"/>
      <c r="AW189" s="896" t="str">
        <f t="shared" si="115"/>
        <v/>
      </c>
      <c r="AX189" s="896" t="b">
        <f t="shared" si="118"/>
        <v>1</v>
      </c>
      <c r="AY189" s="982"/>
      <c r="AZ189" s="982"/>
      <c r="BF189" s="982"/>
    </row>
    <row r="190" spans="1:58" s="969" customFormat="1" ht="18.75">
      <c r="B190" s="1222" t="s">
        <v>2632</v>
      </c>
      <c r="C190" s="1223" t="str">
        <f>"Всего по "&amp;$C$184&amp;" ("&amp;T190&amp;"):"</f>
        <v>Всего по Льгота (ТП, КТП, МТП, СТП) (100-250 кВА):</v>
      </c>
      <c r="D190" s="1223"/>
      <c r="E190" s="1223"/>
      <c r="F190" s="1224">
        <f>SUM(F191)</f>
        <v>0</v>
      </c>
      <c r="G190" s="1225">
        <f t="shared" si="134"/>
        <v>0</v>
      </c>
      <c r="H190" s="1225">
        <f t="shared" si="134"/>
        <v>0</v>
      </c>
      <c r="I190" s="1225">
        <f t="shared" si="134"/>
        <v>0</v>
      </c>
      <c r="J190" s="1225">
        <f t="shared" si="134"/>
        <v>0</v>
      </c>
      <c r="K190" s="1225">
        <f t="shared" si="134"/>
        <v>0</v>
      </c>
      <c r="L190" s="1225">
        <f t="shared" si="134"/>
        <v>0</v>
      </c>
      <c r="M190" s="1225">
        <f>SUM(M191)</f>
        <v>0</v>
      </c>
      <c r="N190" s="1225">
        <f t="shared" si="135"/>
        <v>0</v>
      </c>
      <c r="O190" s="1225">
        <f t="shared" si="135"/>
        <v>0</v>
      </c>
      <c r="P190" s="1225">
        <f t="shared" si="135"/>
        <v>0</v>
      </c>
      <c r="Q190" s="1224">
        <f t="shared" si="135"/>
        <v>0</v>
      </c>
      <c r="R190" s="1226"/>
      <c r="S190" s="1226"/>
      <c r="T190" s="1227" t="s">
        <v>2633</v>
      </c>
      <c r="U190" s="970"/>
      <c r="V190" s="970"/>
      <c r="W190" s="970"/>
      <c r="X190" s="891"/>
      <c r="Y190" s="933" t="str">
        <f>IF(X190="","",$C$230)</f>
        <v/>
      </c>
      <c r="Z190" s="933" t="str">
        <f>IF(X190="","",CONCATENATE(Y190,"-",X190))</f>
        <v/>
      </c>
      <c r="AA190" s="934"/>
      <c r="AB190" s="916"/>
      <c r="AC190" s="917"/>
      <c r="AD190" s="918"/>
      <c r="AE190" s="914"/>
      <c r="AF190" s="976"/>
      <c r="AG190" s="1041" t="str">
        <f t="shared" si="127"/>
        <v>не совпадает</v>
      </c>
      <c r="AH190" s="978" t="str">
        <f t="shared" ref="AH190:AJ230" si="139">IF(ISERROR(AB190/$AG190),"",AB190/$AG190)</f>
        <v/>
      </c>
      <c r="AI190" s="979" t="str">
        <f t="shared" si="139"/>
        <v/>
      </c>
      <c r="AJ190" s="980" t="str">
        <f t="shared" si="139"/>
        <v/>
      </c>
      <c r="AK190" s="981">
        <f>SUM(AH190,AI190,AJ190)</f>
        <v>0</v>
      </c>
      <c r="AL190" s="895"/>
      <c r="AM190" s="896" t="str">
        <f>IF(P190=AE190,"Истина",P190-AE190)</f>
        <v>Истина</v>
      </c>
      <c r="AN190" s="982"/>
      <c r="AO190" s="982"/>
      <c r="AP190" s="1232"/>
      <c r="AQ190" s="1221"/>
      <c r="AR190" s="982"/>
      <c r="AS190" s="919"/>
      <c r="AT190" s="899" t="str">
        <f>IF(AS190="","",VLOOKUP($AS190,[25]прил5МУ!N$25:O$84,2,FALSE)*1000)</f>
        <v/>
      </c>
      <c r="AU190" s="896" t="e">
        <f t="shared" si="114"/>
        <v>#VALUE!</v>
      </c>
      <c r="AV190" s="896"/>
      <c r="AW190" s="896" t="str">
        <f t="shared" si="115"/>
        <v/>
      </c>
      <c r="AX190" s="896" t="b">
        <f t="shared" si="118"/>
        <v>1</v>
      </c>
      <c r="AY190" s="982"/>
      <c r="AZ190" s="982"/>
      <c r="BF190" s="982"/>
    </row>
    <row r="191" spans="1:58" s="969" customFormat="1" ht="15.75" outlineLevel="1">
      <c r="A191" s="891" t="str">
        <f t="shared" ref="A191" si="140">IF(C191="","",1)</f>
        <v/>
      </c>
      <c r="B191" s="1042" t="str">
        <f>IF(A191="","",SUM($A$187:A191))</f>
        <v/>
      </c>
      <c r="C191" s="1011"/>
      <c r="D191" s="922" t="str">
        <f t="shared" ref="D191" si="141">IF(AF191=0,"",AF191)</f>
        <v/>
      </c>
      <c r="E191" s="923"/>
      <c r="F191" s="1043"/>
      <c r="G191" s="1014"/>
      <c r="H191" s="1044"/>
      <c r="I191" s="1044"/>
      <c r="J191" s="1044"/>
      <c r="K191" s="1044"/>
      <c r="L191" s="1044"/>
      <c r="M191" s="1044"/>
      <c r="N191" s="1044"/>
      <c r="O191" s="1044"/>
      <c r="P191" s="1016"/>
      <c r="Q191" s="1013"/>
      <c r="R191" s="1018"/>
      <c r="S191" s="1045"/>
      <c r="T191" s="1045"/>
      <c r="U191" s="970"/>
      <c r="V191" s="1050"/>
      <c r="W191" s="1051" t="str">
        <f>""&amp;V191&amp;" - "&amp;X191&amp;""</f>
        <v xml:space="preserve"> - </v>
      </c>
      <c r="X191" s="1052"/>
      <c r="Y191" s="1053" t="str">
        <f>IF(X191="","",$C$230)</f>
        <v/>
      </c>
      <c r="Z191" s="1054" t="str">
        <f>IF(X191="","",CONCATENATE(Y191,": ",W191))</f>
        <v/>
      </c>
      <c r="AA191" s="934"/>
      <c r="AB191" s="935">
        <f>O191</f>
        <v>0</v>
      </c>
      <c r="AC191" s="936">
        <f>(I191+H191)</f>
        <v>0</v>
      </c>
      <c r="AD191" s="937">
        <f>K191</f>
        <v>0</v>
      </c>
      <c r="AE191" s="938">
        <f t="shared" ref="AE191" si="142">AB191+AC191+AD191</f>
        <v>0</v>
      </c>
      <c r="AF191" s="976"/>
      <c r="AG191" s="1041" t="str">
        <f t="shared" si="127"/>
        <v>не совпадает</v>
      </c>
      <c r="AH191" s="978" t="str">
        <f t="shared" si="139"/>
        <v/>
      </c>
      <c r="AI191" s="979" t="str">
        <f t="shared" si="139"/>
        <v/>
      </c>
      <c r="AJ191" s="980" t="str">
        <f t="shared" si="139"/>
        <v/>
      </c>
      <c r="AK191" s="981">
        <f>SUM(AH191,AI191,AJ191)</f>
        <v>0</v>
      </c>
      <c r="AL191" s="895"/>
      <c r="AM191" s="896" t="str">
        <f>IF(P191=AE191,"Истина",P191-AE191)</f>
        <v>Истина</v>
      </c>
      <c r="AN191" s="982"/>
      <c r="AO191" s="982"/>
      <c r="AP191" s="1055"/>
      <c r="AQ191" s="1056"/>
      <c r="AR191" s="982"/>
      <c r="AS191" s="919"/>
      <c r="AT191" s="899" t="str">
        <f>IF(AS191="","",VLOOKUP($AS191,[25]прил5МУ!N$25:O$84,2,FALSE)*1000)</f>
        <v/>
      </c>
      <c r="AU191" s="896" t="str">
        <f t="shared" si="114"/>
        <v>ИСТИНА</v>
      </c>
      <c r="AV191" s="896"/>
      <c r="AW191" s="896" t="str">
        <f t="shared" si="115"/>
        <v/>
      </c>
      <c r="AX191" s="896" t="b">
        <f t="shared" si="118"/>
        <v>1</v>
      </c>
      <c r="AY191" s="982"/>
      <c r="AZ191" s="982"/>
      <c r="BF191" s="982"/>
    </row>
    <row r="192" spans="1:58" s="969" customFormat="1" ht="18.75">
      <c r="B192" s="1222" t="s">
        <v>2634</v>
      </c>
      <c r="C192" s="1223" t="str">
        <f>"Всего по "&amp;$C$184&amp;" ("&amp;T192&amp;"):"</f>
        <v>Всего по Льгота (ТП, КТП, МТП, СТП) (250-500 кВА):</v>
      </c>
      <c r="D192" s="1223"/>
      <c r="E192" s="1223"/>
      <c r="F192" s="1224">
        <f>SUM(F193:F195)</f>
        <v>0</v>
      </c>
      <c r="G192" s="1225">
        <f t="shared" ref="G192:Q192" si="143">SUM(G193:G195)</f>
        <v>1600</v>
      </c>
      <c r="H192" s="1225">
        <f t="shared" si="143"/>
        <v>0</v>
      </c>
      <c r="I192" s="1225">
        <f t="shared" si="143"/>
        <v>1415262</v>
      </c>
      <c r="J192" s="1225">
        <f t="shared" si="143"/>
        <v>0</v>
      </c>
      <c r="K192" s="1225">
        <f t="shared" si="143"/>
        <v>159561.70000000001</v>
      </c>
      <c r="L192" s="1225">
        <f t="shared" si="143"/>
        <v>0</v>
      </c>
      <c r="M192" s="1225">
        <f t="shared" si="143"/>
        <v>0</v>
      </c>
      <c r="N192" s="1225">
        <f>SUM(N193:N195)</f>
        <v>0</v>
      </c>
      <c r="O192" s="1225">
        <f t="shared" si="143"/>
        <v>140332.91999999998</v>
      </c>
      <c r="P192" s="1225">
        <f>SUM(P193:P195)</f>
        <v>1715156.62</v>
      </c>
      <c r="Q192" s="1224">
        <f t="shared" si="143"/>
        <v>4</v>
      </c>
      <c r="R192" s="1226"/>
      <c r="S192" s="1226"/>
      <c r="T192" s="1227" t="s">
        <v>2635</v>
      </c>
      <c r="U192" s="970"/>
      <c r="V192" s="970"/>
      <c r="W192" s="970"/>
      <c r="X192" s="891"/>
      <c r="Y192" s="933" t="str">
        <f>IF(X192="","",#REF!)</f>
        <v/>
      </c>
      <c r="Z192" s="933" t="str">
        <f>IF(X192="","",CONCATENATE(Y192,"-",X192))</f>
        <v/>
      </c>
      <c r="AA192" s="934"/>
      <c r="AB192" s="916"/>
      <c r="AC192" s="917"/>
      <c r="AD192" s="918"/>
      <c r="AE192" s="914"/>
      <c r="AF192" s="976"/>
      <c r="AG192" s="1041" t="str">
        <f t="shared" si="127"/>
        <v>не совпадает</v>
      </c>
      <c r="AH192" s="978" t="str">
        <f t="shared" si="139"/>
        <v/>
      </c>
      <c r="AI192" s="979" t="str">
        <f t="shared" si="139"/>
        <v/>
      </c>
      <c r="AJ192" s="980" t="str">
        <f t="shared" si="139"/>
        <v/>
      </c>
      <c r="AK192" s="981">
        <f>SUM(AH192,AI192,AJ192)</f>
        <v>0</v>
      </c>
      <c r="AL192" s="895"/>
      <c r="AM192" s="896">
        <f>IF(P192=AE192,"Истина",P192-AE192)</f>
        <v>1715156.62</v>
      </c>
      <c r="AN192" s="982"/>
      <c r="AO192" s="982"/>
      <c r="AP192" s="1220"/>
      <c r="AQ192" s="1221"/>
      <c r="AR192" s="982"/>
      <c r="AS192" s="919"/>
      <c r="AT192" s="899" t="str">
        <f>IF(AS192="","",VLOOKUP($AS192,[25]прил5МУ!N$25:O$84,2,FALSE)*1000)</f>
        <v/>
      </c>
      <c r="AU192" s="896" t="e">
        <f t="shared" si="114"/>
        <v>#VALUE!</v>
      </c>
      <c r="AV192" s="896"/>
      <c r="AW192" s="896" t="str">
        <f t="shared" si="115"/>
        <v/>
      </c>
      <c r="AX192" s="896" t="b">
        <f t="shared" si="118"/>
        <v>1</v>
      </c>
      <c r="AY192" s="982"/>
      <c r="AZ192" s="982"/>
      <c r="BF192" s="982"/>
    </row>
    <row r="193" spans="1:58" ht="49.5">
      <c r="A193" s="891">
        <f t="shared" ref="A193:A195" si="144">IF(C193="","",1)</f>
        <v>1</v>
      </c>
      <c r="B193" s="1057">
        <f>IF(A193="","",SUM($A$187:A193))</f>
        <v>1</v>
      </c>
      <c r="C193" s="956" t="s">
        <v>3335</v>
      </c>
      <c r="D193" s="922" t="str">
        <f t="shared" ref="D193:D195" si="145">IF(AF193=0,"",AF193)</f>
        <v>2кв 2016</v>
      </c>
      <c r="E193" s="923"/>
      <c r="F193" s="1058"/>
      <c r="G193" s="1363">
        <f>Q193*400</f>
        <v>1200</v>
      </c>
      <c r="H193" s="926"/>
      <c r="I193" s="926">
        <v>1062284.75</v>
      </c>
      <c r="J193" s="926"/>
      <c r="K193" s="926">
        <v>119671.28</v>
      </c>
      <c r="L193" s="926"/>
      <c r="M193" s="926"/>
      <c r="N193" s="926"/>
      <c r="O193" s="926">
        <v>85408.79</v>
      </c>
      <c r="P193" s="927">
        <v>1267364.82</v>
      </c>
      <c r="Q193" s="1000">
        <v>3</v>
      </c>
      <c r="R193" s="929" t="s">
        <v>2564</v>
      </c>
      <c r="S193" s="1059"/>
      <c r="T193" s="1059"/>
      <c r="V193" s="1230" t="s">
        <v>2636</v>
      </c>
      <c r="W193" s="1229" t="str">
        <f t="shared" ref="W193:W194" si="146">""&amp;V193&amp;" - "&amp;X193&amp;""</f>
        <v>КТП 400 кВА - за границей г.н.п.</v>
      </c>
      <c r="X193" s="602" t="s">
        <v>2947</v>
      </c>
      <c r="Y193" s="1230" t="s">
        <v>2637</v>
      </c>
      <c r="Z193" s="1231" t="str">
        <f>IF(X193="","",CONCATENATE(Y193,": ",W193))</f>
        <v>до 15 кВт (льгота); 1Т: КТП 400 кВА - за границей г.н.п.</v>
      </c>
      <c r="AA193" s="934"/>
      <c r="AB193" s="935">
        <f>O193</f>
        <v>85408.79</v>
      </c>
      <c r="AC193" s="936">
        <f>(I193+H193)</f>
        <v>1062284.75</v>
      </c>
      <c r="AD193" s="937">
        <f>K193</f>
        <v>119671.28</v>
      </c>
      <c r="AE193" s="938">
        <f t="shared" ref="AE193:AE195" si="147">AB193+AC193+AD193</f>
        <v>1267364.82</v>
      </c>
      <c r="AF193" s="939" t="s">
        <v>3234</v>
      </c>
      <c r="AG193" s="1040">
        <f t="shared" si="127"/>
        <v>6.34</v>
      </c>
      <c r="AH193" s="941">
        <f t="shared" si="139"/>
        <v>13471.417981072555</v>
      </c>
      <c r="AI193" s="942">
        <f t="shared" si="139"/>
        <v>167552.79968454258</v>
      </c>
      <c r="AJ193" s="943">
        <f t="shared" si="139"/>
        <v>18875.596214511042</v>
      </c>
      <c r="AK193" s="938">
        <f t="shared" ref="AK193:AK205" si="148">SUM(AH193,AI193,AJ193)</f>
        <v>199899.8138801262</v>
      </c>
      <c r="AM193" s="896" t="str">
        <f>IF(P193=AE193,"ИСТИНА",P193-AE193)</f>
        <v>ИСТИНА</v>
      </c>
      <c r="AP193" s="959">
        <v>6</v>
      </c>
      <c r="AQ193" s="951" t="s">
        <v>3336</v>
      </c>
      <c r="AS193" s="919" t="s">
        <v>3337</v>
      </c>
      <c r="AT193" s="3253" t="e">
        <f>IF(AS193="","",SUMIF([25]прил5МУ!N$25:N$84,AS193,[25]прил5МУ!O$25:O$84)*1000)</f>
        <v>#VALUE!</v>
      </c>
      <c r="AU193" s="960" t="e">
        <f>IF(SUM(P193:P194)=AT193,"ИСТИНА",SUM(P193:P194)-AT193)</f>
        <v>#VALUE!</v>
      </c>
      <c r="AV193" s="961" t="s">
        <v>3311</v>
      </c>
      <c r="AW193" s="896">
        <f t="shared" si="115"/>
        <v>1267364.82</v>
      </c>
      <c r="AX193" s="896" t="e">
        <f>AT193=AW193</f>
        <v>#VALUE!</v>
      </c>
      <c r="AZ193" s="952" t="e">
        <f>#REF!</f>
        <v>#REF!</v>
      </c>
    </row>
    <row r="194" spans="1:58" ht="38.25">
      <c r="A194" s="891">
        <f t="shared" si="144"/>
        <v>1</v>
      </c>
      <c r="B194" s="1057">
        <f>IF(A194="","",SUM($A$187:A194))</f>
        <v>2</v>
      </c>
      <c r="C194" s="956" t="s">
        <v>3338</v>
      </c>
      <c r="D194" s="922" t="str">
        <f t="shared" si="145"/>
        <v>3кв 2016</v>
      </c>
      <c r="E194" s="923"/>
      <c r="F194" s="1058"/>
      <c r="G194" s="1363">
        <f>Q194*400</f>
        <v>400</v>
      </c>
      <c r="H194" s="926"/>
      <c r="I194" s="926">
        <v>352977.25</v>
      </c>
      <c r="J194" s="926"/>
      <c r="K194" s="926">
        <v>39890.42</v>
      </c>
      <c r="L194" s="926"/>
      <c r="M194" s="926"/>
      <c r="N194" s="926"/>
      <c r="O194" s="926">
        <v>54924.13</v>
      </c>
      <c r="P194" s="927">
        <v>447791.8</v>
      </c>
      <c r="Q194" s="1000">
        <v>1</v>
      </c>
      <c r="R194" s="929" t="s">
        <v>2564</v>
      </c>
      <c r="S194" s="1059"/>
      <c r="T194" s="1059"/>
      <c r="V194" s="1060" t="s">
        <v>2636</v>
      </c>
      <c r="W194" s="1061" t="str">
        <f t="shared" si="146"/>
        <v>КТП 400 кВА - за границей г.н.п.</v>
      </c>
      <c r="X194" s="602" t="s">
        <v>2947</v>
      </c>
      <c r="Y194" s="1060" t="s">
        <v>2637</v>
      </c>
      <c r="Z194" s="1062" t="str">
        <f>IF(X194="","",CONCATENATE(Y194,": ",W194))</f>
        <v>до 15 кВт (льгота); 1Т: КТП 400 кВА - за границей г.н.п.</v>
      </c>
      <c r="AA194" s="934"/>
      <c r="AB194" s="935">
        <f>O194</f>
        <v>54924.13</v>
      </c>
      <c r="AC194" s="936">
        <f>(I194+H194)</f>
        <v>352977.25</v>
      </c>
      <c r="AD194" s="937">
        <f>K194</f>
        <v>39890.42</v>
      </c>
      <c r="AE194" s="938">
        <f t="shared" si="147"/>
        <v>447791.8</v>
      </c>
      <c r="AF194" s="939" t="s">
        <v>3230</v>
      </c>
      <c r="AG194" s="1040">
        <f t="shared" si="127"/>
        <v>6.44</v>
      </c>
      <c r="AH194" s="941">
        <f t="shared" si="139"/>
        <v>8528.5916149068307</v>
      </c>
      <c r="AI194" s="942">
        <f t="shared" si="139"/>
        <v>54810.131987577639</v>
      </c>
      <c r="AJ194" s="943">
        <f t="shared" si="139"/>
        <v>6194.164596273291</v>
      </c>
      <c r="AK194" s="938">
        <f t="shared" si="148"/>
        <v>69532.888198757762</v>
      </c>
      <c r="AM194" s="896" t="str">
        <f>IF(P194=AE194,"ИСТИНА",P194-AE194)</f>
        <v>ИСТИНА</v>
      </c>
      <c r="AP194" s="959">
        <v>15</v>
      </c>
      <c r="AQ194" s="951" t="s">
        <v>3336</v>
      </c>
      <c r="AS194" s="919" t="s">
        <v>3337</v>
      </c>
      <c r="AT194" s="3253"/>
      <c r="AU194" s="960" t="e">
        <f>IF(SUM(P193:P194)=AT193,"ИСТИНА",SUM(P193:P194)-AT193)</f>
        <v>#VALUE!</v>
      </c>
      <c r="AV194" s="961" t="s">
        <v>3313</v>
      </c>
      <c r="AW194" s="896">
        <f t="shared" si="115"/>
        <v>447791.8</v>
      </c>
      <c r="AX194" s="896" t="b">
        <f t="shared" si="118"/>
        <v>0</v>
      </c>
      <c r="AZ194" s="952" t="e">
        <f>#REF!</f>
        <v>#REF!</v>
      </c>
      <c r="BE194" s="891">
        <v>1200</v>
      </c>
    </row>
    <row r="195" spans="1:58" s="969" customFormat="1" ht="15.75">
      <c r="A195" s="891" t="str">
        <f t="shared" si="144"/>
        <v/>
      </c>
      <c r="B195" s="1042" t="str">
        <f>IF(A195="","",SUM($A$187:A195))</f>
        <v/>
      </c>
      <c r="C195" s="1011"/>
      <c r="D195" s="1063" t="str">
        <f t="shared" si="145"/>
        <v/>
      </c>
      <c r="E195" s="1046"/>
      <c r="F195" s="1043"/>
      <c r="G195" s="1014"/>
      <c r="H195" s="1044"/>
      <c r="I195" s="1044"/>
      <c r="J195" s="1044"/>
      <c r="K195" s="1044"/>
      <c r="L195" s="1044"/>
      <c r="M195" s="1044"/>
      <c r="N195" s="1044"/>
      <c r="O195" s="1044"/>
      <c r="P195" s="1016"/>
      <c r="Q195" s="1013"/>
      <c r="R195" s="1018"/>
      <c r="S195" s="1045"/>
      <c r="T195" s="1045"/>
      <c r="U195" s="970"/>
      <c r="V195" s="1050"/>
      <c r="W195" s="1051" t="str">
        <f>""&amp;V195&amp;" - "&amp;X195&amp;""</f>
        <v xml:space="preserve"> - </v>
      </c>
      <c r="X195" s="1052"/>
      <c r="Y195" s="1053" t="str">
        <f>IF(X195="","",$C$230)</f>
        <v/>
      </c>
      <c r="Z195" s="1054" t="str">
        <f>IF(X195="","",CONCATENATE(Y195,": ",W195))</f>
        <v/>
      </c>
      <c r="AA195" s="934"/>
      <c r="AB195" s="935">
        <f>O195</f>
        <v>0</v>
      </c>
      <c r="AC195" s="936">
        <f>(I195+H195)</f>
        <v>0</v>
      </c>
      <c r="AD195" s="937">
        <f>K195</f>
        <v>0</v>
      </c>
      <c r="AE195" s="938">
        <f t="shared" si="147"/>
        <v>0</v>
      </c>
      <c r="AF195" s="976"/>
      <c r="AG195" s="1041" t="str">
        <f t="shared" si="127"/>
        <v>не совпадает</v>
      </c>
      <c r="AH195" s="978" t="str">
        <f t="shared" si="139"/>
        <v/>
      </c>
      <c r="AI195" s="979" t="str">
        <f t="shared" si="139"/>
        <v/>
      </c>
      <c r="AJ195" s="980" t="str">
        <f t="shared" si="139"/>
        <v/>
      </c>
      <c r="AK195" s="981">
        <f>SUM(AH195,AI195,AJ195)</f>
        <v>0</v>
      </c>
      <c r="AL195" s="895"/>
      <c r="AM195" s="896" t="str">
        <f t="shared" ref="AM195:AM204" si="149">IF(P195=AE195,"Истина",P195-AE195)</f>
        <v>Истина</v>
      </c>
      <c r="AN195" s="982"/>
      <c r="AO195" s="982"/>
      <c r="AP195" s="1055"/>
      <c r="AQ195" s="1056"/>
      <c r="AR195" s="982"/>
      <c r="AS195" s="919"/>
      <c r="AT195" s="899" t="str">
        <f>IF(AS195="","",VLOOKUP($AS195,[25]прил5МУ!N$25:O$84,2,FALSE)*1000)</f>
        <v/>
      </c>
      <c r="AU195" s="896" t="str">
        <f t="shared" ref="AU195:AU230" si="150">IF(P195=AT195,"ИСТИНА",P195-AT195)</f>
        <v>ИСТИНА</v>
      </c>
      <c r="AV195" s="896"/>
      <c r="AW195" s="896" t="str">
        <f t="shared" si="115"/>
        <v/>
      </c>
      <c r="AX195" s="896" t="b">
        <f t="shared" si="118"/>
        <v>1</v>
      </c>
      <c r="AY195" s="982"/>
      <c r="AZ195" s="982"/>
      <c r="BF195" s="982"/>
    </row>
    <row r="196" spans="1:58" s="969" customFormat="1" ht="18.75">
      <c r="B196" s="1222" t="s">
        <v>2638</v>
      </c>
      <c r="C196" s="1223" t="str">
        <f>"Всего по "&amp;$C$184&amp;" ("&amp;T196&amp;"):"</f>
        <v>Всего по Льгота (ТП, КТП, МТП, СТП) (500-900 кВА):</v>
      </c>
      <c r="D196" s="1223"/>
      <c r="E196" s="1223"/>
      <c r="F196" s="1224">
        <f>SUM(F197)</f>
        <v>0</v>
      </c>
      <c r="G196" s="1225">
        <f t="shared" si="134"/>
        <v>0</v>
      </c>
      <c r="H196" s="1225">
        <f t="shared" si="134"/>
        <v>0</v>
      </c>
      <c r="I196" s="1225">
        <f t="shared" si="134"/>
        <v>0</v>
      </c>
      <c r="J196" s="1225">
        <f t="shared" si="134"/>
        <v>0</v>
      </c>
      <c r="K196" s="1225">
        <f t="shared" si="134"/>
        <v>0</v>
      </c>
      <c r="L196" s="1225">
        <f t="shared" si="134"/>
        <v>0</v>
      </c>
      <c r="M196" s="1225">
        <f>SUM(M197)</f>
        <v>0</v>
      </c>
      <c r="N196" s="1225">
        <f t="shared" si="135"/>
        <v>0</v>
      </c>
      <c r="O196" s="1225">
        <f t="shared" si="135"/>
        <v>0</v>
      </c>
      <c r="P196" s="1225">
        <f t="shared" si="135"/>
        <v>0</v>
      </c>
      <c r="Q196" s="1224">
        <f t="shared" si="135"/>
        <v>0</v>
      </c>
      <c r="R196" s="1226"/>
      <c r="S196" s="1226"/>
      <c r="T196" s="1227" t="s">
        <v>2639</v>
      </c>
      <c r="U196" s="970"/>
      <c r="V196" s="970"/>
      <c r="W196" s="970"/>
      <c r="X196" s="891"/>
      <c r="Y196" s="933" t="str">
        <f>IF(X196="","",$C$230)</f>
        <v/>
      </c>
      <c r="Z196" s="933" t="str">
        <f>IF(X196="","",CONCATENATE(Y196,"-",X196))</f>
        <v/>
      </c>
      <c r="AA196" s="934"/>
      <c r="AB196" s="916"/>
      <c r="AC196" s="917"/>
      <c r="AD196" s="918"/>
      <c r="AE196" s="914"/>
      <c r="AF196" s="976"/>
      <c r="AG196" s="1041" t="str">
        <f t="shared" si="127"/>
        <v>не совпадает</v>
      </c>
      <c r="AH196" s="978" t="str">
        <f t="shared" si="139"/>
        <v/>
      </c>
      <c r="AI196" s="979" t="str">
        <f t="shared" si="139"/>
        <v/>
      </c>
      <c r="AJ196" s="980" t="str">
        <f t="shared" si="139"/>
        <v/>
      </c>
      <c r="AK196" s="981">
        <f t="shared" si="148"/>
        <v>0</v>
      </c>
      <c r="AL196" s="895"/>
      <c r="AM196" s="896" t="str">
        <f t="shared" si="149"/>
        <v>Истина</v>
      </c>
      <c r="AN196" s="982"/>
      <c r="AO196" s="982"/>
      <c r="AP196" s="1232"/>
      <c r="AQ196" s="1221"/>
      <c r="AR196" s="982"/>
      <c r="AS196" s="919"/>
      <c r="AT196" s="899" t="str">
        <f>IF(AS196="","",VLOOKUP($AS196,[25]прил5МУ!N$25:O$84,2,FALSE)*1000)</f>
        <v/>
      </c>
      <c r="AU196" s="896" t="e">
        <f t="shared" si="150"/>
        <v>#VALUE!</v>
      </c>
      <c r="AV196" s="896"/>
      <c r="AW196" s="896" t="str">
        <f t="shared" si="115"/>
        <v/>
      </c>
      <c r="AX196" s="896" t="b">
        <f t="shared" si="118"/>
        <v>1</v>
      </c>
      <c r="AY196" s="982"/>
      <c r="AZ196" s="982"/>
      <c r="BF196" s="982"/>
    </row>
    <row r="197" spans="1:58" s="969" customFormat="1" ht="15.75" outlineLevel="1">
      <c r="A197" s="891" t="str">
        <f t="shared" ref="A197" si="151">IF(C197="","",1)</f>
        <v/>
      </c>
      <c r="B197" s="1042" t="str">
        <f>IF(A197="","",SUM($A$187:A197))</f>
        <v/>
      </c>
      <c r="C197" s="1011"/>
      <c r="D197" s="922" t="str">
        <f t="shared" ref="D197" si="152">IF(AF197=0,"",AF197)</f>
        <v/>
      </c>
      <c r="E197" s="923"/>
      <c r="F197" s="1043"/>
      <c r="G197" s="1014"/>
      <c r="H197" s="1044"/>
      <c r="I197" s="1044"/>
      <c r="J197" s="1044"/>
      <c r="K197" s="1044"/>
      <c r="L197" s="1044"/>
      <c r="M197" s="1044"/>
      <c r="N197" s="1044"/>
      <c r="O197" s="1044"/>
      <c r="P197" s="1016"/>
      <c r="Q197" s="1013"/>
      <c r="R197" s="1018"/>
      <c r="S197" s="1045"/>
      <c r="T197" s="1045"/>
      <c r="U197" s="970"/>
      <c r="V197" s="1050"/>
      <c r="W197" s="1051" t="str">
        <f>""&amp;V197&amp;" - "&amp;X197&amp;""</f>
        <v xml:space="preserve"> - </v>
      </c>
      <c r="X197" s="1052"/>
      <c r="Y197" s="1053" t="str">
        <f>IF(X197="","",$C$230)</f>
        <v/>
      </c>
      <c r="Z197" s="1054" t="str">
        <f>IF(X197="","",CONCATENATE(Y197,": ",W197))</f>
        <v/>
      </c>
      <c r="AA197" s="934"/>
      <c r="AB197" s="935">
        <f>O197</f>
        <v>0</v>
      </c>
      <c r="AC197" s="936">
        <f>(I197+H197)</f>
        <v>0</v>
      </c>
      <c r="AD197" s="937">
        <f>K197</f>
        <v>0</v>
      </c>
      <c r="AE197" s="938">
        <f t="shared" ref="AE197" si="153">AB197+AC197+AD197</f>
        <v>0</v>
      </c>
      <c r="AF197" s="976"/>
      <c r="AG197" s="1041" t="str">
        <f t="shared" si="127"/>
        <v>не совпадает</v>
      </c>
      <c r="AH197" s="978" t="str">
        <f t="shared" si="139"/>
        <v/>
      </c>
      <c r="AI197" s="979" t="str">
        <f t="shared" si="139"/>
        <v/>
      </c>
      <c r="AJ197" s="980" t="str">
        <f t="shared" si="139"/>
        <v/>
      </c>
      <c r="AK197" s="981">
        <f t="shared" si="148"/>
        <v>0</v>
      </c>
      <c r="AL197" s="895"/>
      <c r="AM197" s="896" t="str">
        <f t="shared" si="149"/>
        <v>Истина</v>
      </c>
      <c r="AN197" s="982"/>
      <c r="AO197" s="982"/>
      <c r="AP197" s="1055"/>
      <c r="AQ197" s="1056"/>
      <c r="AR197" s="982"/>
      <c r="AS197" s="919"/>
      <c r="AT197" s="899" t="str">
        <f>IF(AS197="","",VLOOKUP($AS197,[25]прил5МУ!N$25:O$84,2,FALSE)*1000)</f>
        <v/>
      </c>
      <c r="AU197" s="896" t="str">
        <f t="shared" si="150"/>
        <v>ИСТИНА</v>
      </c>
      <c r="AV197" s="896"/>
      <c r="AW197" s="896" t="str">
        <f t="shared" si="115"/>
        <v/>
      </c>
      <c r="AX197" s="896" t="b">
        <f t="shared" si="118"/>
        <v>1</v>
      </c>
      <c r="AY197" s="982"/>
      <c r="AZ197" s="982"/>
      <c r="BF197" s="982"/>
    </row>
    <row r="198" spans="1:58" s="969" customFormat="1" ht="18.75">
      <c r="B198" s="1222" t="s">
        <v>2640</v>
      </c>
      <c r="C198" s="1223" t="str">
        <f>"Всего по "&amp;$C$184&amp;" ("&amp;T198&amp;"):"</f>
        <v>Всего по Льгота (ТП, КТП, МТП, СТП) (Свыше 900 кВА):</v>
      </c>
      <c r="D198" s="1223"/>
      <c r="E198" s="1223"/>
      <c r="F198" s="1224">
        <f>SUM(F199)</f>
        <v>0</v>
      </c>
      <c r="G198" s="1225">
        <f t="shared" si="134"/>
        <v>0</v>
      </c>
      <c r="H198" s="1225">
        <f t="shared" si="134"/>
        <v>0</v>
      </c>
      <c r="I198" s="1225">
        <f t="shared" si="134"/>
        <v>0</v>
      </c>
      <c r="J198" s="1225">
        <f t="shared" si="134"/>
        <v>0</v>
      </c>
      <c r="K198" s="1225">
        <f t="shared" si="134"/>
        <v>0</v>
      </c>
      <c r="L198" s="1225">
        <f t="shared" si="134"/>
        <v>0</v>
      </c>
      <c r="M198" s="1225">
        <f>SUM(M199)</f>
        <v>0</v>
      </c>
      <c r="N198" s="1225">
        <f t="shared" si="135"/>
        <v>0</v>
      </c>
      <c r="O198" s="1225">
        <f>SUM(O199)</f>
        <v>0</v>
      </c>
      <c r="P198" s="1225">
        <f t="shared" si="135"/>
        <v>0</v>
      </c>
      <c r="Q198" s="1224">
        <f t="shared" si="135"/>
        <v>0</v>
      </c>
      <c r="R198" s="1226"/>
      <c r="S198" s="1226"/>
      <c r="T198" s="1227" t="s">
        <v>3210</v>
      </c>
      <c r="U198" s="970"/>
      <c r="V198" s="970"/>
      <c r="W198" s="970"/>
      <c r="X198" s="891"/>
      <c r="Y198" s="933" t="str">
        <f>IF(X198="","",$C$230)</f>
        <v/>
      </c>
      <c r="Z198" s="933" t="str">
        <f>IF(X198="","",CONCATENATE(Y198,"-",X198))</f>
        <v/>
      </c>
      <c r="AA198" s="934"/>
      <c r="AB198" s="916"/>
      <c r="AC198" s="917"/>
      <c r="AD198" s="918"/>
      <c r="AE198" s="914"/>
      <c r="AF198" s="976"/>
      <c r="AG198" s="1041" t="str">
        <f t="shared" si="127"/>
        <v>не совпадает</v>
      </c>
      <c r="AH198" s="978" t="str">
        <f t="shared" si="139"/>
        <v/>
      </c>
      <c r="AI198" s="979" t="str">
        <f t="shared" si="139"/>
        <v/>
      </c>
      <c r="AJ198" s="980" t="str">
        <f t="shared" si="139"/>
        <v/>
      </c>
      <c r="AK198" s="981">
        <f t="shared" si="148"/>
        <v>0</v>
      </c>
      <c r="AL198" s="895"/>
      <c r="AM198" s="896" t="str">
        <f t="shared" si="149"/>
        <v>Истина</v>
      </c>
      <c r="AN198" s="982"/>
      <c r="AO198" s="982"/>
      <c r="AP198" s="1232"/>
      <c r="AQ198" s="1221"/>
      <c r="AR198" s="982"/>
      <c r="AS198" s="919"/>
      <c r="AT198" s="899" t="str">
        <f>IF(AS198="","",VLOOKUP($AS198,[25]прил5МУ!N$25:O$84,2,FALSE)*1000)</f>
        <v/>
      </c>
      <c r="AU198" s="896" t="e">
        <f t="shared" si="150"/>
        <v>#VALUE!</v>
      </c>
      <c r="AV198" s="896"/>
      <c r="AW198" s="896" t="str">
        <f t="shared" si="115"/>
        <v/>
      </c>
      <c r="AX198" s="896" t="b">
        <f t="shared" si="118"/>
        <v>1</v>
      </c>
      <c r="AY198" s="982"/>
      <c r="AZ198" s="982"/>
      <c r="BF198" s="982"/>
    </row>
    <row r="199" spans="1:58" s="969" customFormat="1" ht="15.75" outlineLevel="1">
      <c r="A199" s="891" t="str">
        <f t="shared" ref="A199" si="154">IF(C199="","",1)</f>
        <v/>
      </c>
      <c r="B199" s="1042" t="str">
        <f>IF(A199="","",SUM($A$187:A199))</f>
        <v/>
      </c>
      <c r="C199" s="1011"/>
      <c r="D199" s="922" t="str">
        <f t="shared" ref="D199" si="155">IF(AF199=0,"",AF199)</f>
        <v/>
      </c>
      <c r="E199" s="923"/>
      <c r="F199" s="1043"/>
      <c r="G199" s="1014"/>
      <c r="H199" s="1044"/>
      <c r="I199" s="1044"/>
      <c r="J199" s="1044"/>
      <c r="K199" s="1044"/>
      <c r="L199" s="1044"/>
      <c r="M199" s="1044"/>
      <c r="N199" s="1044"/>
      <c r="O199" s="1044"/>
      <c r="P199" s="1016"/>
      <c r="Q199" s="1013"/>
      <c r="R199" s="1018"/>
      <c r="S199" s="1045"/>
      <c r="T199" s="1045"/>
      <c r="U199" s="970"/>
      <c r="V199" s="1050"/>
      <c r="W199" s="1051" t="str">
        <f>""&amp;V199&amp;" - "&amp;X199&amp;""</f>
        <v xml:space="preserve"> - </v>
      </c>
      <c r="X199" s="1052"/>
      <c r="Y199" s="1053" t="str">
        <f>IF(X199="","",$C$230)</f>
        <v/>
      </c>
      <c r="Z199" s="1054" t="str">
        <f>IF(X199="","",CONCATENATE(Y199,": ",W199))</f>
        <v/>
      </c>
      <c r="AA199" s="934"/>
      <c r="AB199" s="935">
        <f>O199</f>
        <v>0</v>
      </c>
      <c r="AC199" s="936">
        <f>(I199+H199)</f>
        <v>0</v>
      </c>
      <c r="AD199" s="937">
        <f>K199</f>
        <v>0</v>
      </c>
      <c r="AE199" s="938">
        <f t="shared" ref="AE199" si="156">AB199+AC199+AD199</f>
        <v>0</v>
      </c>
      <c r="AF199" s="976"/>
      <c r="AG199" s="1041" t="str">
        <f t="shared" si="127"/>
        <v>не совпадает</v>
      </c>
      <c r="AH199" s="978" t="str">
        <f t="shared" si="139"/>
        <v/>
      </c>
      <c r="AI199" s="979" t="str">
        <f t="shared" si="139"/>
        <v/>
      </c>
      <c r="AJ199" s="980" t="str">
        <f t="shared" si="139"/>
        <v/>
      </c>
      <c r="AK199" s="981">
        <f t="shared" si="148"/>
        <v>0</v>
      </c>
      <c r="AL199" s="895"/>
      <c r="AM199" s="896" t="str">
        <f t="shared" si="149"/>
        <v>Истина</v>
      </c>
      <c r="AN199" s="982"/>
      <c r="AO199" s="982"/>
      <c r="AP199" s="1055"/>
      <c r="AQ199" s="1056"/>
      <c r="AR199" s="982"/>
      <c r="AS199" s="919"/>
      <c r="AT199" s="899" t="str">
        <f>IF(AS199="","",VLOOKUP($AS199,[25]прил5МУ!N$25:O$84,2,FALSE)*1000)</f>
        <v/>
      </c>
      <c r="AU199" s="896" t="str">
        <f t="shared" si="150"/>
        <v>ИСТИНА</v>
      </c>
      <c r="AV199" s="896"/>
      <c r="AW199" s="896" t="str">
        <f t="shared" si="115"/>
        <v/>
      </c>
      <c r="AX199" s="896" t="b">
        <f t="shared" si="118"/>
        <v>1</v>
      </c>
      <c r="AY199" s="982"/>
      <c r="AZ199" s="982"/>
      <c r="BF199" s="982"/>
    </row>
    <row r="200" spans="1:58" s="969" customFormat="1" ht="18.75">
      <c r="B200" s="1213" t="s">
        <v>2642</v>
      </c>
      <c r="C200" s="1214" t="str">
        <f>""&amp;T200&amp;" ("&amp;$C$184&amp;")"</f>
        <v>Двухтрансф. (Льгота (ТП, КТП, МТП, СТП))</v>
      </c>
      <c r="D200" s="1223"/>
      <c r="E200" s="1223"/>
      <c r="F200" s="1216">
        <f>SUM(F202)</f>
        <v>0</v>
      </c>
      <c r="G200" s="1217">
        <f t="shared" ref="G200" si="157">SUM(G202)</f>
        <v>0</v>
      </c>
      <c r="H200" s="1217">
        <f>SUM(H202)</f>
        <v>0</v>
      </c>
      <c r="I200" s="1217">
        <f t="shared" ref="I200:M200" si="158">SUM(I202)</f>
        <v>0</v>
      </c>
      <c r="J200" s="1217">
        <f t="shared" si="158"/>
        <v>0</v>
      </c>
      <c r="K200" s="1217">
        <f t="shared" si="158"/>
        <v>0</v>
      </c>
      <c r="L200" s="1217">
        <f t="shared" si="158"/>
        <v>0</v>
      </c>
      <c r="M200" s="1217">
        <f t="shared" si="158"/>
        <v>0</v>
      </c>
      <c r="N200" s="1217">
        <f>SUM(N202)</f>
        <v>0</v>
      </c>
      <c r="O200" s="1217">
        <f t="shared" ref="O200:Q200" si="159">SUM(O202)</f>
        <v>0</v>
      </c>
      <c r="P200" s="1217">
        <f t="shared" si="159"/>
        <v>0</v>
      </c>
      <c r="Q200" s="1216">
        <f t="shared" si="159"/>
        <v>0</v>
      </c>
      <c r="R200" s="1233"/>
      <c r="S200" s="1233"/>
      <c r="T200" s="1219" t="s">
        <v>2643</v>
      </c>
      <c r="U200" s="970"/>
      <c r="V200" s="970"/>
      <c r="W200" s="970"/>
      <c r="X200" s="891"/>
      <c r="Y200" s="933" t="str">
        <f>IF(X200="","",$C$183)</f>
        <v/>
      </c>
      <c r="Z200" s="933" t="str">
        <f>IF(X200="","",CONCATENATE(Y200,"-",X200))</f>
        <v/>
      </c>
      <c r="AA200" s="934"/>
      <c r="AB200" s="916"/>
      <c r="AC200" s="917"/>
      <c r="AD200" s="918"/>
      <c r="AE200" s="914"/>
      <c r="AF200" s="976"/>
      <c r="AG200" s="1041" t="str">
        <f t="shared" si="127"/>
        <v>не совпадает</v>
      </c>
      <c r="AH200" s="978" t="str">
        <f t="shared" si="139"/>
        <v/>
      </c>
      <c r="AI200" s="979" t="str">
        <f t="shared" si="139"/>
        <v/>
      </c>
      <c r="AJ200" s="980" t="str">
        <f t="shared" si="139"/>
        <v/>
      </c>
      <c r="AK200" s="981">
        <f t="shared" si="148"/>
        <v>0</v>
      </c>
      <c r="AL200" s="895"/>
      <c r="AM200" s="896" t="str">
        <f t="shared" si="149"/>
        <v>Истина</v>
      </c>
      <c r="AN200" s="982"/>
      <c r="AO200" s="982"/>
      <c r="AP200" s="1232"/>
      <c r="AQ200" s="1221"/>
      <c r="AR200" s="982"/>
      <c r="AS200" s="919"/>
      <c r="AT200" s="899" t="str">
        <f>IF(AS200="","",VLOOKUP($AS200,[25]прил5МУ!N$25:O$84,2,FALSE)*1000)</f>
        <v/>
      </c>
      <c r="AU200" s="896" t="e">
        <f t="shared" si="150"/>
        <v>#VALUE!</v>
      </c>
      <c r="AV200" s="896"/>
      <c r="AW200" s="896" t="str">
        <f t="shared" si="115"/>
        <v/>
      </c>
      <c r="AX200" s="896" t="b">
        <f t="shared" si="118"/>
        <v>1</v>
      </c>
      <c r="AY200" s="982"/>
      <c r="AZ200" s="982">
        <f>G193*3</f>
        <v>3600</v>
      </c>
      <c r="BF200" s="982"/>
    </row>
    <row r="201" spans="1:58" s="969" customFormat="1" ht="18.75">
      <c r="B201" s="1222" t="s">
        <v>2628</v>
      </c>
      <c r="C201" s="1223" t="str">
        <f>"Всего по "&amp;$C$184&amp;" ("&amp;T201&amp;"):"</f>
        <v>Всего по Льгота (ТП, КТП, МТП, СТП) (до 25 кВА):</v>
      </c>
      <c r="D201" s="1223"/>
      <c r="E201" s="1223"/>
      <c r="F201" s="1224">
        <f>SUM(F202)</f>
        <v>0</v>
      </c>
      <c r="G201" s="1225">
        <f t="shared" ref="G201:Q201" si="160">SUM(G202)</f>
        <v>0</v>
      </c>
      <c r="H201" s="1225">
        <f t="shared" si="160"/>
        <v>0</v>
      </c>
      <c r="I201" s="1225">
        <f t="shared" si="160"/>
        <v>0</v>
      </c>
      <c r="J201" s="1225">
        <f t="shared" si="160"/>
        <v>0</v>
      </c>
      <c r="K201" s="1225">
        <f>SUM(K202)</f>
        <v>0</v>
      </c>
      <c r="L201" s="1225">
        <f t="shared" si="160"/>
        <v>0</v>
      </c>
      <c r="M201" s="1225">
        <f t="shared" si="160"/>
        <v>0</v>
      </c>
      <c r="N201" s="1225">
        <f t="shared" si="160"/>
        <v>0</v>
      </c>
      <c r="O201" s="1225">
        <f t="shared" si="160"/>
        <v>0</v>
      </c>
      <c r="P201" s="1225">
        <f>SUM(P202)</f>
        <v>0</v>
      </c>
      <c r="Q201" s="1224">
        <f t="shared" si="160"/>
        <v>0</v>
      </c>
      <c r="R201" s="1226"/>
      <c r="S201" s="1226"/>
      <c r="T201" s="1227" t="s">
        <v>2629</v>
      </c>
      <c r="U201" s="970"/>
      <c r="V201" s="970"/>
      <c r="W201" s="970"/>
      <c r="X201" s="891"/>
      <c r="Y201" s="933" t="str">
        <f>IF(X201="","",#REF!)</f>
        <v/>
      </c>
      <c r="Z201" s="933" t="str">
        <f>IF(X201="","",CONCATENATE(Y201,"-",X201))</f>
        <v/>
      </c>
      <c r="AA201" s="934"/>
      <c r="AB201" s="916"/>
      <c r="AC201" s="917"/>
      <c r="AD201" s="918"/>
      <c r="AE201" s="914"/>
      <c r="AF201" s="976"/>
      <c r="AG201" s="1041" t="str">
        <f t="shared" si="127"/>
        <v>не совпадает</v>
      </c>
      <c r="AH201" s="978" t="str">
        <f t="shared" si="139"/>
        <v/>
      </c>
      <c r="AI201" s="979" t="str">
        <f t="shared" si="139"/>
        <v/>
      </c>
      <c r="AJ201" s="980" t="str">
        <f t="shared" si="139"/>
        <v/>
      </c>
      <c r="AK201" s="981">
        <f>SUM(AH201,AI201,AJ201)</f>
        <v>0</v>
      </c>
      <c r="AL201" s="895"/>
      <c r="AM201" s="896" t="str">
        <f t="shared" si="149"/>
        <v>Истина</v>
      </c>
      <c r="AN201" s="982"/>
      <c r="AO201" s="982"/>
      <c r="AP201" s="1220"/>
      <c r="AQ201" s="1221"/>
      <c r="AR201" s="982"/>
      <c r="AS201" s="919"/>
      <c r="AT201" s="899" t="str">
        <f>IF(AS201="","",VLOOKUP($AS201,[25]прил5МУ!N$25:O$84,2,FALSE)*1000)</f>
        <v/>
      </c>
      <c r="AU201" s="896" t="e">
        <f t="shared" si="150"/>
        <v>#VALUE!</v>
      </c>
      <c r="AV201" s="896"/>
      <c r="AW201" s="896" t="str">
        <f t="shared" si="115"/>
        <v/>
      </c>
      <c r="AX201" s="896" t="b">
        <f t="shared" si="118"/>
        <v>1</v>
      </c>
      <c r="AY201" s="982"/>
      <c r="AZ201" s="2715">
        <f>AZ200+G194</f>
        <v>4000</v>
      </c>
      <c r="BF201" s="982"/>
    </row>
    <row r="202" spans="1:58" s="969" customFormat="1" ht="18.75" outlineLevel="1">
      <c r="B202" s="1042"/>
      <c r="C202" s="1011"/>
      <c r="D202" s="922" t="str">
        <f t="shared" ref="D202" si="161">IF(AF202=0,"",AF202)</f>
        <v/>
      </c>
      <c r="E202" s="923"/>
      <c r="F202" s="1043"/>
      <c r="G202" s="1014"/>
      <c r="H202" s="1044"/>
      <c r="I202" s="1044"/>
      <c r="J202" s="1044"/>
      <c r="K202" s="1044"/>
      <c r="L202" s="1044"/>
      <c r="M202" s="1044"/>
      <c r="N202" s="1044"/>
      <c r="O202" s="1044"/>
      <c r="P202" s="1016"/>
      <c r="Q202" s="1046"/>
      <c r="R202" s="1047"/>
      <c r="S202" s="1048"/>
      <c r="T202" s="1049"/>
      <c r="U202" s="970"/>
      <c r="V202" s="1050"/>
      <c r="W202" s="1051" t="str">
        <f>""&amp;V202&amp;" - "&amp;X202&amp;""</f>
        <v xml:space="preserve"> - </v>
      </c>
      <c r="X202" s="1052"/>
      <c r="Y202" s="1053" t="str">
        <f>IF(X202="","",$C$183)</f>
        <v/>
      </c>
      <c r="Z202" s="1054" t="str">
        <f>IF(X202="","",CONCATENATE(Y202,": ",W202))</f>
        <v/>
      </c>
      <c r="AA202" s="934"/>
      <c r="AB202" s="935">
        <f>O202</f>
        <v>0</v>
      </c>
      <c r="AC202" s="936">
        <f>(I202+H202)</f>
        <v>0</v>
      </c>
      <c r="AD202" s="937">
        <f>K202</f>
        <v>0</v>
      </c>
      <c r="AE202" s="938">
        <f t="shared" ref="AE202" si="162">AB202+AC202+AD202</f>
        <v>0</v>
      </c>
      <c r="AF202" s="976"/>
      <c r="AG202" s="1041" t="str">
        <f t="shared" si="127"/>
        <v>не совпадает</v>
      </c>
      <c r="AH202" s="978" t="str">
        <f t="shared" si="139"/>
        <v/>
      </c>
      <c r="AI202" s="979" t="str">
        <f t="shared" si="139"/>
        <v/>
      </c>
      <c r="AJ202" s="980" t="str">
        <f t="shared" si="139"/>
        <v/>
      </c>
      <c r="AK202" s="981">
        <f t="shared" si="148"/>
        <v>0</v>
      </c>
      <c r="AL202" s="895"/>
      <c r="AM202" s="896" t="str">
        <f t="shared" si="149"/>
        <v>Истина</v>
      </c>
      <c r="AN202" s="982"/>
      <c r="AO202" s="982"/>
      <c r="AP202" s="1055"/>
      <c r="AQ202" s="1056"/>
      <c r="AR202" s="982"/>
      <c r="AS202" s="919"/>
      <c r="AT202" s="899" t="str">
        <f>IF(AS202="","",VLOOKUP($AS202,[25]прил5МУ!N$25:O$84,2,FALSE)*1000)</f>
        <v/>
      </c>
      <c r="AU202" s="896" t="str">
        <f t="shared" si="150"/>
        <v>ИСТИНА</v>
      </c>
      <c r="AV202" s="896"/>
      <c r="AW202" s="896" t="str">
        <f t="shared" si="115"/>
        <v/>
      </c>
      <c r="AX202" s="896" t="b">
        <f t="shared" si="118"/>
        <v>1</v>
      </c>
      <c r="AY202" s="982"/>
      <c r="AZ202" s="982"/>
      <c r="BB202" s="969">
        <f>Q193*1200</f>
        <v>3600</v>
      </c>
      <c r="BF202" s="982"/>
    </row>
    <row r="203" spans="1:58" ht="18.75">
      <c r="B203" s="1208" t="s">
        <v>2644</v>
      </c>
      <c r="C203" s="1208" t="s">
        <v>2645</v>
      </c>
      <c r="D203" s="1209"/>
      <c r="E203" s="1209"/>
      <c r="F203" s="1210">
        <f>SUM(F204)</f>
        <v>0</v>
      </c>
      <c r="G203" s="1211">
        <f t="shared" ref="G203:H203" si="163">SUM(G204)</f>
        <v>0</v>
      </c>
      <c r="H203" s="1211">
        <f t="shared" si="163"/>
        <v>0</v>
      </c>
      <c r="I203" s="1211">
        <f>SUM(I204)</f>
        <v>0</v>
      </c>
      <c r="J203" s="1211">
        <f t="shared" ref="J203:L203" si="164">SUM(J204)</f>
        <v>0</v>
      </c>
      <c r="K203" s="1211">
        <f t="shared" si="164"/>
        <v>0</v>
      </c>
      <c r="L203" s="1211">
        <f t="shared" si="164"/>
        <v>0</v>
      </c>
      <c r="M203" s="1211">
        <f>SUM(M204)</f>
        <v>0</v>
      </c>
      <c r="N203" s="1211">
        <f t="shared" ref="N203:Q203" si="165">SUM(N204)</f>
        <v>0</v>
      </c>
      <c r="O203" s="1211">
        <f>SUM(O204)</f>
        <v>0</v>
      </c>
      <c r="P203" s="1211">
        <f>SUM(P204)</f>
        <v>0</v>
      </c>
      <c r="Q203" s="1210">
        <f t="shared" si="165"/>
        <v>0</v>
      </c>
      <c r="R203" s="1209"/>
      <c r="S203" s="1209"/>
      <c r="T203" s="1212"/>
      <c r="X203" s="970"/>
      <c r="Y203" s="933" t="str">
        <f>IF(X203="","",$C$185)</f>
        <v/>
      </c>
      <c r="Z203" s="933" t="str">
        <f>IF(X203="","",CONCATENATE(Y203,"-",X203))</f>
        <v/>
      </c>
      <c r="AA203" s="934"/>
      <c r="AB203" s="916"/>
      <c r="AC203" s="917"/>
      <c r="AD203" s="918"/>
      <c r="AE203" s="914"/>
      <c r="AF203" s="939"/>
      <c r="AG203" s="1040" t="str">
        <f t="shared" si="127"/>
        <v>не совпадает</v>
      </c>
      <c r="AH203" s="941" t="str">
        <f t="shared" si="139"/>
        <v/>
      </c>
      <c r="AI203" s="942" t="str">
        <f t="shared" si="139"/>
        <v/>
      </c>
      <c r="AJ203" s="943" t="str">
        <f t="shared" si="139"/>
        <v/>
      </c>
      <c r="AK203" s="938">
        <f t="shared" si="148"/>
        <v>0</v>
      </c>
      <c r="AM203" s="896" t="str">
        <f t="shared" si="149"/>
        <v>Истина</v>
      </c>
      <c r="AS203" s="919"/>
      <c r="AT203" s="899" t="str">
        <f>IF(AS203="","",VLOOKUP($AS203,[25]прил5МУ!N$25:O$84,2,FALSE)*1000)</f>
        <v/>
      </c>
      <c r="AU203" s="896" t="e">
        <f t="shared" si="150"/>
        <v>#VALUE!</v>
      </c>
      <c r="AW203" s="896" t="str">
        <f t="shared" si="115"/>
        <v/>
      </c>
      <c r="AX203" s="896" t="b">
        <f t="shared" si="118"/>
        <v>1</v>
      </c>
      <c r="BB203" s="1028">
        <f>BB202+G194</f>
        <v>4000</v>
      </c>
      <c r="BF203" s="896">
        <v>400</v>
      </c>
    </row>
    <row r="204" spans="1:58" s="969" customFormat="1" ht="18.75">
      <c r="A204" s="969" t="str">
        <f t="shared" ref="A204" si="166">IF(C204="","",1)</f>
        <v/>
      </c>
      <c r="B204" s="1064" t="str">
        <f>IF(A204="","",SUM($A$204:A204))</f>
        <v/>
      </c>
      <c r="C204" s="1065"/>
      <c r="D204" s="922" t="str">
        <f t="shared" ref="D204" si="167">IF(AF204=0,"",AF204)</f>
        <v/>
      </c>
      <c r="E204" s="923"/>
      <c r="F204" s="1066"/>
      <c r="G204" s="1067"/>
      <c r="H204" s="1068"/>
      <c r="I204" s="1068"/>
      <c r="J204" s="1068"/>
      <c r="K204" s="1068"/>
      <c r="L204" s="1068"/>
      <c r="M204" s="1068"/>
      <c r="N204" s="1068"/>
      <c r="O204" s="1068"/>
      <c r="P204" s="1068"/>
      <c r="Q204" s="1069"/>
      <c r="R204" s="1047"/>
      <c r="S204" s="1048"/>
      <c r="T204" s="1049"/>
      <c r="U204" s="970"/>
      <c r="V204" s="1050"/>
      <c r="W204" s="1051" t="str">
        <f>""&amp;V204&amp;" - "&amp;X204&amp;""</f>
        <v xml:space="preserve"> - </v>
      </c>
      <c r="X204" s="1052"/>
      <c r="Y204" s="1053" t="str">
        <f>IF(X204="","",$C$185)</f>
        <v/>
      </c>
      <c r="Z204" s="1054" t="str">
        <f>IF(X204="","",CONCATENATE(Y204,": ",W204))</f>
        <v/>
      </c>
      <c r="AA204" s="934"/>
      <c r="AB204" s="916"/>
      <c r="AC204" s="917"/>
      <c r="AD204" s="918"/>
      <c r="AE204" s="914"/>
      <c r="AF204" s="976"/>
      <c r="AG204" s="1041" t="str">
        <f t="shared" si="127"/>
        <v>не совпадает</v>
      </c>
      <c r="AH204" s="978" t="str">
        <f t="shared" si="139"/>
        <v/>
      </c>
      <c r="AI204" s="979" t="str">
        <f t="shared" si="139"/>
        <v/>
      </c>
      <c r="AJ204" s="980" t="str">
        <f t="shared" si="139"/>
        <v/>
      </c>
      <c r="AK204" s="981">
        <f t="shared" si="148"/>
        <v>0</v>
      </c>
      <c r="AL204" s="895"/>
      <c r="AM204" s="896" t="str">
        <f t="shared" si="149"/>
        <v>Истина</v>
      </c>
      <c r="AN204" s="982"/>
      <c r="AO204" s="982"/>
      <c r="AP204" s="1055"/>
      <c r="AQ204" s="1056"/>
      <c r="AR204" s="982"/>
      <c r="AS204" s="919"/>
      <c r="AT204" s="899" t="str">
        <f>IF(AS204="","",VLOOKUP($AS204,[25]прил5МУ!N$25:O$84,2,FALSE)*1000)</f>
        <v/>
      </c>
      <c r="AU204" s="896" t="str">
        <f t="shared" si="150"/>
        <v>ИСТИНА</v>
      </c>
      <c r="AV204" s="896"/>
      <c r="AW204" s="896" t="str">
        <f t="shared" si="115"/>
        <v/>
      </c>
      <c r="AX204" s="896" t="b">
        <f t="shared" si="118"/>
        <v>1</v>
      </c>
      <c r="AY204" s="982"/>
      <c r="AZ204" s="982"/>
      <c r="BF204" s="2716">
        <f>BB202+BF203</f>
        <v>4000</v>
      </c>
    </row>
    <row r="205" spans="1:58" ht="18.75">
      <c r="B205" s="1234">
        <f>MAX(B187,B189,B191,B193:B195,B197,B199,B202,B204)</f>
        <v>2</v>
      </c>
      <c r="C205" s="1162" t="str">
        <f>"ИТОГО "&amp;$C$183&amp;" (ЛЬГОТА):"</f>
        <v>ИТОГО Трансф. подстанции до 35 кВ (ЛЬГОТА):</v>
      </c>
      <c r="D205" s="1162"/>
      <c r="E205" s="1162"/>
      <c r="F205" s="1235">
        <f>SUM(F184,F203)</f>
        <v>0</v>
      </c>
      <c r="G205" s="1236">
        <f>SUM(G184,G203)</f>
        <v>1600</v>
      </c>
      <c r="H205" s="1236">
        <f t="shared" ref="H205:O205" si="168">SUM(H184,H203)</f>
        <v>0</v>
      </c>
      <c r="I205" s="1236">
        <f t="shared" si="168"/>
        <v>1415262</v>
      </c>
      <c r="J205" s="1236">
        <f t="shared" si="168"/>
        <v>0</v>
      </c>
      <c r="K205" s="1236">
        <f t="shared" si="168"/>
        <v>159561.70000000001</v>
      </c>
      <c r="L205" s="1236">
        <f t="shared" si="168"/>
        <v>0</v>
      </c>
      <c r="M205" s="1236">
        <f t="shared" si="168"/>
        <v>0</v>
      </c>
      <c r="N205" s="1236">
        <f t="shared" si="168"/>
        <v>0</v>
      </c>
      <c r="O205" s="1236">
        <f t="shared" si="168"/>
        <v>140332.91999999998</v>
      </c>
      <c r="P205" s="1236">
        <f>SUM(P184,P203)</f>
        <v>1715156.62</v>
      </c>
      <c r="Q205" s="1235">
        <f>SUM(Q184,Q203)</f>
        <v>4</v>
      </c>
      <c r="R205" s="1129"/>
      <c r="S205" s="1237"/>
      <c r="T205" s="1237"/>
      <c r="V205" s="1070"/>
      <c r="W205" s="1071" t="str">
        <f t="shared" ref="W205" si="169">""&amp;V205&amp;" - "&amp;X205&amp;""</f>
        <v xml:space="preserve"> - </v>
      </c>
      <c r="X205" s="1072"/>
      <c r="Y205" s="1073" t="str">
        <f t="shared" ref="Y205" si="170">IF(X205="","",$C$162)</f>
        <v/>
      </c>
      <c r="Z205" s="1073" t="str">
        <f t="shared" ref="Z205" si="171">IF(X205="","",CONCATENATE(Y205,"-",X205))</f>
        <v/>
      </c>
      <c r="AA205" s="934"/>
      <c r="AB205" s="916"/>
      <c r="AC205" s="917"/>
      <c r="AD205" s="918"/>
      <c r="AE205" s="914"/>
      <c r="AF205" s="939"/>
      <c r="AG205" s="1040" t="str">
        <f t="shared" si="127"/>
        <v>не совпадает</v>
      </c>
      <c r="AH205" s="941" t="str">
        <f t="shared" si="139"/>
        <v/>
      </c>
      <c r="AI205" s="942" t="str">
        <f t="shared" si="139"/>
        <v/>
      </c>
      <c r="AJ205" s="943" t="str">
        <f t="shared" si="139"/>
        <v/>
      </c>
      <c r="AK205" s="938">
        <f t="shared" si="148"/>
        <v>0</v>
      </c>
      <c r="AS205" s="919"/>
      <c r="AT205" s="899" t="str">
        <f>IF(AS205="","",VLOOKUP($AS205,[25]прил5МУ!N$25:O$84,2,FALSE)*1000)</f>
        <v/>
      </c>
      <c r="AU205" s="896" t="e">
        <f t="shared" si="150"/>
        <v>#VALUE!</v>
      </c>
      <c r="AW205" s="896" t="str">
        <f t="shared" si="115"/>
        <v/>
      </c>
      <c r="AX205" s="896" t="b">
        <f t="shared" si="118"/>
        <v>1</v>
      </c>
    </row>
    <row r="206" spans="1:58" ht="18.75">
      <c r="B206" s="1208" t="s">
        <v>2646</v>
      </c>
      <c r="C206" s="1208" t="s">
        <v>2647</v>
      </c>
      <c r="D206" s="1209"/>
      <c r="E206" s="1209"/>
      <c r="F206" s="1210">
        <f>SUM(F207,F226)</f>
        <v>0</v>
      </c>
      <c r="G206" s="1211">
        <f t="shared" ref="G206:N206" si="172">SUM(G207,G226)</f>
        <v>30</v>
      </c>
      <c r="H206" s="1211">
        <f t="shared" si="172"/>
        <v>0</v>
      </c>
      <c r="I206" s="1211">
        <f t="shared" si="172"/>
        <v>266257.46000000002</v>
      </c>
      <c r="J206" s="1211">
        <f t="shared" si="172"/>
        <v>0</v>
      </c>
      <c r="K206" s="1211">
        <f t="shared" si="172"/>
        <v>80473.13</v>
      </c>
      <c r="L206" s="1211">
        <f t="shared" si="172"/>
        <v>0</v>
      </c>
      <c r="M206" s="1211">
        <f t="shared" si="172"/>
        <v>0</v>
      </c>
      <c r="N206" s="1211">
        <f t="shared" si="172"/>
        <v>0</v>
      </c>
      <c r="O206" s="1211">
        <f>SUM(O207,O226)</f>
        <v>78022.34</v>
      </c>
      <c r="P206" s="1211">
        <f>SUM(P207,P226)</f>
        <v>424752.93000000005</v>
      </c>
      <c r="Q206" s="1210">
        <f>SUM(Q207,Q226)</f>
        <v>2</v>
      </c>
      <c r="R206" s="1209"/>
      <c r="S206" s="1209"/>
      <c r="T206" s="1212"/>
      <c r="U206" s="1074"/>
      <c r="V206" s="1074"/>
      <c r="W206" s="1074"/>
      <c r="Y206" s="933" t="str">
        <f t="shared" ref="Y206" si="173">IF(X206="","",$C$183)</f>
        <v/>
      </c>
      <c r="Z206" s="933" t="str">
        <f t="shared" si="120"/>
        <v/>
      </c>
      <c r="AA206" s="934"/>
      <c r="AB206" s="916"/>
      <c r="AC206" s="917"/>
      <c r="AD206" s="918"/>
      <c r="AE206" s="914"/>
      <c r="AF206" s="939"/>
      <c r="AG206" s="1040" t="str">
        <f t="shared" si="127"/>
        <v>не совпадает</v>
      </c>
      <c r="AH206" s="941" t="str">
        <f t="shared" si="139"/>
        <v/>
      </c>
      <c r="AI206" s="942" t="str">
        <f t="shared" si="139"/>
        <v/>
      </c>
      <c r="AJ206" s="943" t="str">
        <f t="shared" si="139"/>
        <v/>
      </c>
      <c r="AK206" s="938">
        <f t="shared" si="28"/>
        <v>0</v>
      </c>
      <c r="AS206" s="919"/>
      <c r="AT206" s="899" t="str">
        <f>IF(AS206="","",VLOOKUP($AS206,[25]прил5МУ!N$25:O$84,2,FALSE)*1000)</f>
        <v/>
      </c>
      <c r="AU206" s="896" t="e">
        <f t="shared" si="150"/>
        <v>#VALUE!</v>
      </c>
      <c r="AW206" s="896" t="str">
        <f t="shared" si="115"/>
        <v/>
      </c>
      <c r="AX206" s="896" t="b">
        <f t="shared" si="118"/>
        <v>1</v>
      </c>
    </row>
    <row r="207" spans="1:58" s="969" customFormat="1" ht="18.75">
      <c r="B207" s="1213" t="s">
        <v>2648</v>
      </c>
      <c r="C207" s="1214" t="str">
        <f>""&amp;T207&amp;" ("&amp;$C$206&amp;")"</f>
        <v>Однотрансф. (Не льгота (ТП, КТП, МТП, СТП))</v>
      </c>
      <c r="D207" s="1215"/>
      <c r="E207" s="1215"/>
      <c r="F207" s="1216">
        <f>SUM(F208,F213,F217,F219,F222,F224)</f>
        <v>0</v>
      </c>
      <c r="G207" s="1217">
        <f t="shared" ref="G207:Q207" si="174">SUM(G208,G213,G217,G219,G222,G224)</f>
        <v>30</v>
      </c>
      <c r="H207" s="1217">
        <f t="shared" si="174"/>
        <v>0</v>
      </c>
      <c r="I207" s="1217">
        <f t="shared" si="174"/>
        <v>266257.46000000002</v>
      </c>
      <c r="J207" s="1217">
        <f t="shared" si="174"/>
        <v>0</v>
      </c>
      <c r="K207" s="1217">
        <f t="shared" si="174"/>
        <v>80473.13</v>
      </c>
      <c r="L207" s="1217">
        <f t="shared" si="174"/>
        <v>0</v>
      </c>
      <c r="M207" s="1217">
        <f t="shared" si="174"/>
        <v>0</v>
      </c>
      <c r="N207" s="1217">
        <f t="shared" si="174"/>
        <v>0</v>
      </c>
      <c r="O207" s="1217">
        <f>SUM(O208,O213,O217,O219,O222,O224)</f>
        <v>78022.34</v>
      </c>
      <c r="P207" s="1217">
        <f t="shared" si="174"/>
        <v>424752.93000000005</v>
      </c>
      <c r="Q207" s="1216">
        <f t="shared" si="174"/>
        <v>2</v>
      </c>
      <c r="R207" s="1218"/>
      <c r="S207" s="1218"/>
      <c r="T207" s="1219" t="s">
        <v>2627</v>
      </c>
      <c r="U207" s="970"/>
      <c r="V207" s="970"/>
      <c r="W207" s="970"/>
      <c r="X207" s="891"/>
      <c r="Y207" s="933" t="str">
        <f>IF(X207="","",#REF!)</f>
        <v/>
      </c>
      <c r="Z207" s="933" t="str">
        <f>IF(X207="","",CONCATENATE(Y207,"-",X207))</f>
        <v/>
      </c>
      <c r="AA207" s="934"/>
      <c r="AB207" s="916"/>
      <c r="AC207" s="917"/>
      <c r="AD207" s="918"/>
      <c r="AE207" s="914"/>
      <c r="AF207" s="976"/>
      <c r="AG207" s="1041" t="str">
        <f t="shared" si="127"/>
        <v>не совпадает</v>
      </c>
      <c r="AH207" s="978" t="str">
        <f t="shared" si="139"/>
        <v/>
      </c>
      <c r="AI207" s="979" t="str">
        <f t="shared" si="139"/>
        <v/>
      </c>
      <c r="AJ207" s="980" t="str">
        <f t="shared" si="139"/>
        <v/>
      </c>
      <c r="AK207" s="981">
        <f>SUM(AH207,AI207,AJ207)</f>
        <v>0</v>
      </c>
      <c r="AL207" s="895"/>
      <c r="AM207" s="896">
        <f>IF(P207=AE207,"Истина",P207-AE207)</f>
        <v>424752.93000000005</v>
      </c>
      <c r="AN207" s="982"/>
      <c r="AO207" s="982"/>
      <c r="AP207" s="1220"/>
      <c r="AQ207" s="1221"/>
      <c r="AR207" s="982"/>
      <c r="AS207" s="919"/>
      <c r="AT207" s="899" t="str">
        <f>IF(AS207="","",VLOOKUP($AS207,[25]прил5МУ!N$25:O$84,2,FALSE)*1000)</f>
        <v/>
      </c>
      <c r="AU207" s="896" t="e">
        <f t="shared" si="150"/>
        <v>#VALUE!</v>
      </c>
      <c r="AV207" s="896"/>
      <c r="AW207" s="896" t="str">
        <f t="shared" si="115"/>
        <v/>
      </c>
      <c r="AX207" s="896" t="b">
        <f t="shared" si="118"/>
        <v>1</v>
      </c>
      <c r="AY207" s="982"/>
      <c r="AZ207" s="982"/>
      <c r="BF207" s="982"/>
    </row>
    <row r="208" spans="1:58" s="969" customFormat="1" ht="18.75">
      <c r="B208" s="1222" t="s">
        <v>2649</v>
      </c>
      <c r="C208" s="1223" t="str">
        <f>"Всего по "&amp;$C$206&amp;" ("&amp;T208&amp;"):"</f>
        <v>Всего по Не льгота (ТП, КТП, МТП, СТП) (до 25 кВА):</v>
      </c>
      <c r="D208" s="1223"/>
      <c r="E208" s="1223"/>
      <c r="F208" s="1224">
        <f>SUM(F209:F212)</f>
        <v>0</v>
      </c>
      <c r="G208" s="1225">
        <f t="shared" ref="G208:Q208" si="175">SUM(G209:G212)</f>
        <v>15</v>
      </c>
      <c r="H208" s="1225">
        <f t="shared" si="175"/>
        <v>0</v>
      </c>
      <c r="I208" s="1225">
        <f t="shared" si="175"/>
        <v>139036.08000000002</v>
      </c>
      <c r="J208" s="1225">
        <f t="shared" si="175"/>
        <v>0</v>
      </c>
      <c r="K208" s="1225">
        <f t="shared" si="175"/>
        <v>29804.07</v>
      </c>
      <c r="L208" s="1225">
        <f t="shared" si="175"/>
        <v>0</v>
      </c>
      <c r="M208" s="1225">
        <f t="shared" si="175"/>
        <v>0</v>
      </c>
      <c r="N208" s="1225">
        <f t="shared" si="175"/>
        <v>0</v>
      </c>
      <c r="O208" s="1225">
        <f t="shared" si="175"/>
        <v>33101.07</v>
      </c>
      <c r="P208" s="1225">
        <f t="shared" si="175"/>
        <v>201941.22</v>
      </c>
      <c r="Q208" s="1224">
        <f t="shared" si="175"/>
        <v>1</v>
      </c>
      <c r="R208" s="1226"/>
      <c r="S208" s="1226"/>
      <c r="T208" s="1227" t="s">
        <v>2629</v>
      </c>
      <c r="U208" s="970"/>
      <c r="V208" s="970"/>
      <c r="W208" s="970"/>
      <c r="X208" s="891"/>
      <c r="Y208" s="933" t="str">
        <f>IF(X208="","",#REF!)</f>
        <v/>
      </c>
      <c r="Z208" s="933" t="str">
        <f>IF(X208="","",CONCATENATE(Y208,"-",X208))</f>
        <v/>
      </c>
      <c r="AA208" s="934"/>
      <c r="AB208" s="916"/>
      <c r="AC208" s="917"/>
      <c r="AD208" s="918"/>
      <c r="AE208" s="914"/>
      <c r="AF208" s="976"/>
      <c r="AG208" s="1041" t="str">
        <f t="shared" si="127"/>
        <v>не совпадает</v>
      </c>
      <c r="AH208" s="978" t="str">
        <f t="shared" si="139"/>
        <v/>
      </c>
      <c r="AI208" s="979" t="str">
        <f t="shared" si="139"/>
        <v/>
      </c>
      <c r="AJ208" s="980" t="str">
        <f t="shared" si="139"/>
        <v/>
      </c>
      <c r="AK208" s="981">
        <f>SUM(AH208,AI208,AJ208)</f>
        <v>0</v>
      </c>
      <c r="AL208" s="895"/>
      <c r="AM208" s="896">
        <f>IF(P208=AE208,"Истина",P208-AE208)</f>
        <v>201941.22</v>
      </c>
      <c r="AN208" s="982"/>
      <c r="AO208" s="982"/>
      <c r="AP208" s="1220"/>
      <c r="AQ208" s="1221"/>
      <c r="AR208" s="982"/>
      <c r="AS208" s="919"/>
      <c r="AT208" s="899" t="str">
        <f>IF(AS208="","",VLOOKUP($AS208,[25]прил5МУ!N$25:O$84,2,FALSE)*1000)</f>
        <v/>
      </c>
      <c r="AU208" s="896" t="e">
        <f t="shared" si="150"/>
        <v>#VALUE!</v>
      </c>
      <c r="AV208" s="896"/>
      <c r="AW208" s="896" t="str">
        <f t="shared" si="115"/>
        <v/>
      </c>
      <c r="AX208" s="896" t="b">
        <f t="shared" si="118"/>
        <v>1</v>
      </c>
      <c r="AY208" s="982"/>
      <c r="AZ208" s="982"/>
      <c r="BF208" s="982"/>
    </row>
    <row r="209" spans="1:58" ht="46.5">
      <c r="A209" s="891">
        <f t="shared" ref="A209:A212" si="176">IF(C209="","",1)</f>
        <v>1</v>
      </c>
      <c r="B209" s="944">
        <f>IF(A209="","",SUM($A$209:A209))</f>
        <v>1</v>
      </c>
      <c r="C209" s="945" t="s">
        <v>3339</v>
      </c>
      <c r="D209" s="922" t="str">
        <f t="shared" ref="D209:D212" si="177">IF(AF209=0,"",AF209)</f>
        <v>3кв 2016</v>
      </c>
      <c r="E209" s="923">
        <v>10</v>
      </c>
      <c r="F209" s="966"/>
      <c r="G209" s="1000">
        <v>15</v>
      </c>
      <c r="H209" s="926"/>
      <c r="I209" s="926">
        <f>77860.21+61175.87</f>
        <v>139036.08000000002</v>
      </c>
      <c r="J209" s="926"/>
      <c r="K209" s="926">
        <f>5960.81+11921.63+11921.63</f>
        <v>29804.07</v>
      </c>
      <c r="L209" s="926"/>
      <c r="M209" s="926"/>
      <c r="N209" s="926"/>
      <c r="O209" s="926">
        <v>33101.07</v>
      </c>
      <c r="P209" s="927">
        <f>19245.91+81234.11+101461.2</f>
        <v>201941.22</v>
      </c>
      <c r="Q209" s="1000">
        <v>1</v>
      </c>
      <c r="R209" s="929" t="s">
        <v>2595</v>
      </c>
      <c r="S209" s="954" t="s">
        <v>3322</v>
      </c>
      <c r="T209" s="1003"/>
      <c r="U209" s="2742" t="s">
        <v>1462</v>
      </c>
      <c r="V209" s="1057" t="s">
        <v>2650</v>
      </c>
      <c r="W209" s="974" t="str">
        <f t="shared" ref="W209:W212" si="178">""&amp;V209&amp;" - "&amp;X209&amp;""</f>
        <v>СТП 25 кВА - за границей г.н.п.</v>
      </c>
      <c r="X209" s="602" t="s">
        <v>2947</v>
      </c>
      <c r="Y209" s="1076" t="s">
        <v>2651</v>
      </c>
      <c r="Z209" s="1077" t="str">
        <f>IF(X209="","",CONCATENATE(Y209,": ",W209))</f>
        <v>до 15 кВт (не льгота); 1Т: СТП 25 кВА - за границей г.н.п.</v>
      </c>
      <c r="AA209" s="934"/>
      <c r="AB209" s="935">
        <f>O209</f>
        <v>33101.07</v>
      </c>
      <c r="AC209" s="936">
        <f>(I209+H209)</f>
        <v>139036.08000000002</v>
      </c>
      <c r="AD209" s="937">
        <f>K209</f>
        <v>29804.07</v>
      </c>
      <c r="AE209" s="938">
        <f t="shared" ref="AE209:AE212" si="179">AB209+AC209+AD209</f>
        <v>201941.22000000003</v>
      </c>
      <c r="AF209" s="939" t="s">
        <v>3230</v>
      </c>
      <c r="AG209" s="1040">
        <f t="shared" si="127"/>
        <v>6.44</v>
      </c>
      <c r="AH209" s="941">
        <f t="shared" si="139"/>
        <v>5139.9177018633536</v>
      </c>
      <c r="AI209" s="942">
        <f t="shared" si="139"/>
        <v>21589.45341614907</v>
      </c>
      <c r="AJ209" s="943">
        <f t="shared" si="139"/>
        <v>4627.9611801242236</v>
      </c>
      <c r="AK209" s="938">
        <f t="shared" si="28"/>
        <v>31357.332298136647</v>
      </c>
      <c r="AO209" s="1078"/>
      <c r="AP209" s="949">
        <v>20</v>
      </c>
      <c r="AQ209" s="995" t="s">
        <v>3340</v>
      </c>
      <c r="AR209" s="896" t="str">
        <f>IF(B209="","",IF(P209=SUM(H209,I209,K209,O209),"ИСТИНА",P209-SUM(H209,I209,K209,O209)))</f>
        <v>ИСТИНА</v>
      </c>
      <c r="AS209" s="951" t="s">
        <v>3324</v>
      </c>
      <c r="AT209" s="1079">
        <f>SUM([25]прил5МУ!$O$57:$O$59)*1000</f>
        <v>201941.22</v>
      </c>
      <c r="AU209" s="896" t="str">
        <f t="shared" si="150"/>
        <v>ИСТИНА</v>
      </c>
      <c r="AW209" s="896">
        <f t="shared" si="115"/>
        <v>201941.22</v>
      </c>
      <c r="AX209" s="896" t="b">
        <f t="shared" si="118"/>
        <v>1</v>
      </c>
      <c r="AZ209" s="952" t="e">
        <f>#REF!</f>
        <v>#REF!</v>
      </c>
    </row>
    <row r="210" spans="1:58" ht="15.75" outlineLevel="1">
      <c r="A210" s="891" t="str">
        <f t="shared" si="176"/>
        <v/>
      </c>
      <c r="B210" s="920" t="str">
        <f>IF(A210="","",SUM($A$209:A210))</f>
        <v/>
      </c>
      <c r="C210" s="921"/>
      <c r="D210" s="922" t="str">
        <f t="shared" si="177"/>
        <v/>
      </c>
      <c r="E210" s="1080"/>
      <c r="F210" s="966"/>
      <c r="G210" s="1000"/>
      <c r="H210" s="926"/>
      <c r="I210" s="926"/>
      <c r="J210" s="926"/>
      <c r="K210" s="926"/>
      <c r="L210" s="926"/>
      <c r="M210" s="926"/>
      <c r="N210" s="926"/>
      <c r="O210" s="926"/>
      <c r="P210" s="927"/>
      <c r="Q210" s="1000"/>
      <c r="R210" s="929" t="s">
        <v>2595</v>
      </c>
      <c r="S210" s="954"/>
      <c r="T210" s="1003"/>
      <c r="U210" s="1075"/>
      <c r="V210" s="1057"/>
      <c r="W210" s="974" t="str">
        <f t="shared" si="178"/>
        <v xml:space="preserve"> - </v>
      </c>
      <c r="X210" s="973"/>
      <c r="Y210" s="1076"/>
      <c r="Z210" s="1077" t="str">
        <f t="shared" ref="Z210:Z212" si="180">IF(X210="","",CONCATENATE(Y210,": ",W210))</f>
        <v/>
      </c>
      <c r="AA210" s="934"/>
      <c r="AB210" s="935">
        <f>O210</f>
        <v>0</v>
      </c>
      <c r="AC210" s="936">
        <f>(I210+H210)</f>
        <v>0</v>
      </c>
      <c r="AD210" s="937">
        <f>K210</f>
        <v>0</v>
      </c>
      <c r="AE210" s="938">
        <f t="shared" si="179"/>
        <v>0</v>
      </c>
      <c r="AF210" s="939"/>
      <c r="AG210" s="1040" t="str">
        <f t="shared" si="127"/>
        <v>не совпадает</v>
      </c>
      <c r="AH210" s="941" t="str">
        <f t="shared" si="139"/>
        <v/>
      </c>
      <c r="AI210" s="942" t="str">
        <f t="shared" si="139"/>
        <v/>
      </c>
      <c r="AJ210" s="943" t="str">
        <f t="shared" si="139"/>
        <v/>
      </c>
      <c r="AK210" s="938">
        <f t="shared" si="28"/>
        <v>0</v>
      </c>
      <c r="AO210" s="1078"/>
      <c r="AQ210" s="1081">
        <v>49</v>
      </c>
      <c r="AR210" s="896" t="str">
        <f>IF(B210="","",IF(P210=SUM(H210,I210,K210,O210),"ИСТИНА",P210-SUM(H210,I210,K210,O210)))</f>
        <v/>
      </c>
      <c r="AS210" s="919"/>
      <c r="AT210" s="899" t="str">
        <f>IF(AS210="","",VLOOKUP($AS210,[25]прил5МУ!N$25:O$84,2,FALSE)*1000)</f>
        <v/>
      </c>
      <c r="AU210" s="896" t="str">
        <f t="shared" si="150"/>
        <v>ИСТИНА</v>
      </c>
      <c r="AW210" s="896" t="str">
        <f t="shared" si="115"/>
        <v/>
      </c>
      <c r="AX210" s="896" t="b">
        <f t="shared" si="118"/>
        <v>1</v>
      </c>
    </row>
    <row r="211" spans="1:58" ht="15.75" outlineLevel="1">
      <c r="A211" s="891" t="str">
        <f t="shared" si="176"/>
        <v/>
      </c>
      <c r="B211" s="920" t="str">
        <f>IF(A211="","",SUM($A$209:A211))</f>
        <v/>
      </c>
      <c r="C211" s="921"/>
      <c r="D211" s="922" t="str">
        <f t="shared" si="177"/>
        <v/>
      </c>
      <c r="E211" s="1080"/>
      <c r="F211" s="966"/>
      <c r="G211" s="1000"/>
      <c r="H211" s="926"/>
      <c r="I211" s="926"/>
      <c r="J211" s="926"/>
      <c r="K211" s="926"/>
      <c r="L211" s="926"/>
      <c r="M211" s="926"/>
      <c r="N211" s="926"/>
      <c r="O211" s="926"/>
      <c r="P211" s="927"/>
      <c r="Q211" s="1000"/>
      <c r="R211" s="929" t="s">
        <v>2595</v>
      </c>
      <c r="S211" s="954"/>
      <c r="T211" s="1003"/>
      <c r="U211" s="1075"/>
      <c r="V211" s="1057"/>
      <c r="W211" s="974" t="str">
        <f t="shared" si="178"/>
        <v xml:space="preserve"> - </v>
      </c>
      <c r="X211" s="973"/>
      <c r="Y211" s="1076"/>
      <c r="Z211" s="1077" t="str">
        <f t="shared" si="180"/>
        <v/>
      </c>
      <c r="AA211" s="934"/>
      <c r="AB211" s="935">
        <f>O211</f>
        <v>0</v>
      </c>
      <c r="AC211" s="936">
        <f>(I211+H211)</f>
        <v>0</v>
      </c>
      <c r="AD211" s="937">
        <f>K211</f>
        <v>0</v>
      </c>
      <c r="AE211" s="938">
        <f t="shared" si="179"/>
        <v>0</v>
      </c>
      <c r="AF211" s="939"/>
      <c r="AG211" s="1040" t="str">
        <f t="shared" si="127"/>
        <v>не совпадает</v>
      </c>
      <c r="AH211" s="941" t="str">
        <f t="shared" si="139"/>
        <v/>
      </c>
      <c r="AI211" s="942" t="str">
        <f t="shared" si="139"/>
        <v/>
      </c>
      <c r="AJ211" s="943" t="str">
        <f t="shared" si="139"/>
        <v/>
      </c>
      <c r="AK211" s="938">
        <f t="shared" si="28"/>
        <v>0</v>
      </c>
      <c r="AO211" s="1078"/>
      <c r="AQ211" s="1081">
        <v>47</v>
      </c>
      <c r="AR211" s="896" t="str">
        <f>IF(B211="","",IF(P211=SUM(H211,I211,K211,O211),"ИСТИНА",P211-SUM(H211,I211,K211,O211)))</f>
        <v/>
      </c>
      <c r="AS211" s="919"/>
      <c r="AT211" s="899" t="str">
        <f>IF(AS211="","",VLOOKUP($AS211,[25]прил5МУ!N$25:O$84,2,FALSE)*1000)</f>
        <v/>
      </c>
      <c r="AU211" s="896" t="str">
        <f t="shared" si="150"/>
        <v>ИСТИНА</v>
      </c>
      <c r="AW211" s="896" t="str">
        <f t="shared" si="115"/>
        <v/>
      </c>
      <c r="AX211" s="896" t="b">
        <f t="shared" si="118"/>
        <v>1</v>
      </c>
    </row>
    <row r="212" spans="1:58" ht="15.75" outlineLevel="1">
      <c r="A212" s="891" t="str">
        <f t="shared" si="176"/>
        <v/>
      </c>
      <c r="B212" s="1010" t="str">
        <f>IF(A212="","",SUM($A$209:A212))</f>
        <v/>
      </c>
      <c r="C212" s="1011"/>
      <c r="D212" s="1063" t="str">
        <f t="shared" si="177"/>
        <v/>
      </c>
      <c r="E212" s="1082"/>
      <c r="F212" s="1012"/>
      <c r="G212" s="1013"/>
      <c r="H212" s="1083"/>
      <c r="I212" s="1083"/>
      <c r="J212" s="1083"/>
      <c r="K212" s="1083"/>
      <c r="L212" s="1083"/>
      <c r="M212" s="1083"/>
      <c r="N212" s="1083"/>
      <c r="O212" s="1083"/>
      <c r="P212" s="927"/>
      <c r="Q212" s="1013"/>
      <c r="R212" s="1018" t="s">
        <v>2595</v>
      </c>
      <c r="S212" s="1017"/>
      <c r="T212" s="1017"/>
      <c r="U212" s="1075"/>
      <c r="V212" s="1042"/>
      <c r="W212" s="1051" t="str">
        <f t="shared" si="178"/>
        <v xml:space="preserve"> - </v>
      </c>
      <c r="X212" s="1052"/>
      <c r="Y212" s="1053"/>
      <c r="Z212" s="1054" t="str">
        <f t="shared" si="180"/>
        <v/>
      </c>
      <c r="AA212" s="934"/>
      <c r="AB212" s="935">
        <f>O212</f>
        <v>0</v>
      </c>
      <c r="AC212" s="936">
        <f>(I212+H212)</f>
        <v>0</v>
      </c>
      <c r="AD212" s="937">
        <f>K212</f>
        <v>0</v>
      </c>
      <c r="AE212" s="938">
        <f t="shared" si="179"/>
        <v>0</v>
      </c>
      <c r="AF212" s="939"/>
      <c r="AG212" s="1040" t="str">
        <f t="shared" si="127"/>
        <v>не совпадает</v>
      </c>
      <c r="AH212" s="941" t="str">
        <f t="shared" si="139"/>
        <v/>
      </c>
      <c r="AI212" s="942" t="str">
        <f t="shared" si="139"/>
        <v/>
      </c>
      <c r="AJ212" s="943" t="str">
        <f t="shared" si="139"/>
        <v/>
      </c>
      <c r="AK212" s="938">
        <f t="shared" si="28"/>
        <v>0</v>
      </c>
      <c r="AO212" s="1078"/>
      <c r="AQ212" s="1081">
        <v>76</v>
      </c>
      <c r="AR212" s="896" t="str">
        <f>IF(B212="","",IF(P212=SUM(H212,I212,K212,O212),"ИСТИНА",P212-SUM(H212,I212,K212,O212)))</f>
        <v/>
      </c>
      <c r="AS212" s="919"/>
      <c r="AT212" s="899" t="str">
        <f>IF(AS212="","",VLOOKUP($AS212,[25]прил5МУ!N$25:O$84,2,FALSE)*1000)</f>
        <v/>
      </c>
      <c r="AU212" s="896" t="str">
        <f t="shared" si="150"/>
        <v>ИСТИНА</v>
      </c>
      <c r="AW212" s="896" t="str">
        <f t="shared" si="115"/>
        <v/>
      </c>
      <c r="AX212" s="896" t="b">
        <f t="shared" si="118"/>
        <v>1</v>
      </c>
    </row>
    <row r="213" spans="1:58" s="969" customFormat="1" ht="18.75">
      <c r="B213" s="1222" t="s">
        <v>2654</v>
      </c>
      <c r="C213" s="1223" t="str">
        <f>"Всего по "&amp;$C$206&amp;" ("&amp;T213&amp;"):"</f>
        <v>Всего по Не льгота (ТП, КТП, МТП, СТП) (25-100 кВА):</v>
      </c>
      <c r="D213" s="1223"/>
      <c r="E213" s="1223"/>
      <c r="F213" s="1224">
        <f>SUM(F214:F216)</f>
        <v>0</v>
      </c>
      <c r="G213" s="1225">
        <f t="shared" ref="G213:Q213" si="181">SUM(G214:G216)</f>
        <v>15</v>
      </c>
      <c r="H213" s="1225">
        <f t="shared" si="181"/>
        <v>0</v>
      </c>
      <c r="I213" s="1225">
        <f t="shared" si="181"/>
        <v>127221.38</v>
      </c>
      <c r="J213" s="1225">
        <f t="shared" si="181"/>
        <v>0</v>
      </c>
      <c r="K213" s="1225">
        <f t="shared" si="181"/>
        <v>50669.060000000005</v>
      </c>
      <c r="L213" s="1225">
        <f t="shared" si="181"/>
        <v>0</v>
      </c>
      <c r="M213" s="1225">
        <f t="shared" si="181"/>
        <v>0</v>
      </c>
      <c r="N213" s="1225">
        <f t="shared" si="181"/>
        <v>0</v>
      </c>
      <c r="O213" s="1225">
        <f t="shared" si="181"/>
        <v>44921.270000000004</v>
      </c>
      <c r="P213" s="1225">
        <f t="shared" si="181"/>
        <v>222811.71000000002</v>
      </c>
      <c r="Q213" s="1224">
        <f t="shared" si="181"/>
        <v>1</v>
      </c>
      <c r="R213" s="1226"/>
      <c r="S213" s="1226"/>
      <c r="T213" s="1227" t="s">
        <v>2631</v>
      </c>
      <c r="U213" s="970"/>
      <c r="V213" s="970"/>
      <c r="W213" s="970"/>
      <c r="X213" s="891"/>
      <c r="Y213" s="970" t="str">
        <f>IF(X213="","",$C$230)</f>
        <v/>
      </c>
      <c r="Z213" s="933" t="str">
        <f>IF(X213="","",CONCATENATE(Y213,"-",X213))</f>
        <v/>
      </c>
      <c r="AA213" s="934"/>
      <c r="AB213" s="916"/>
      <c r="AC213" s="917"/>
      <c r="AD213" s="918"/>
      <c r="AE213" s="914"/>
      <c r="AF213" s="976"/>
      <c r="AG213" s="1041" t="str">
        <f t="shared" si="127"/>
        <v>не совпадает</v>
      </c>
      <c r="AH213" s="978" t="str">
        <f t="shared" si="139"/>
        <v/>
      </c>
      <c r="AI213" s="979" t="str">
        <f t="shared" si="139"/>
        <v/>
      </c>
      <c r="AJ213" s="980" t="str">
        <f t="shared" si="139"/>
        <v/>
      </c>
      <c r="AK213" s="981">
        <f t="shared" si="28"/>
        <v>0</v>
      </c>
      <c r="AL213" s="895"/>
      <c r="AM213" s="896">
        <f>IF(P213=AE213,"Истина",P213-AE213)</f>
        <v>222811.71000000002</v>
      </c>
      <c r="AN213" s="982"/>
      <c r="AO213" s="982"/>
      <c r="AP213" s="1232"/>
      <c r="AQ213" s="1221"/>
      <c r="AR213" s="982"/>
      <c r="AS213" s="919"/>
      <c r="AT213" s="899" t="str">
        <f>IF(AS213="","",VLOOKUP($AS213,[25]прил5МУ!N$25:O$84,2,FALSE)*1000)</f>
        <v/>
      </c>
      <c r="AU213" s="896" t="e">
        <f t="shared" si="150"/>
        <v>#VALUE!</v>
      </c>
      <c r="AV213" s="896"/>
      <c r="AW213" s="896" t="str">
        <f t="shared" si="115"/>
        <v/>
      </c>
      <c r="AX213" s="896" t="b">
        <f t="shared" si="118"/>
        <v>1</v>
      </c>
      <c r="AY213" s="982"/>
      <c r="AZ213" s="982"/>
      <c r="BF213" s="982"/>
    </row>
    <row r="214" spans="1:58" ht="25.5">
      <c r="A214" s="891">
        <f t="shared" ref="A214:A216" si="182">IF(C214="","",1)</f>
        <v>1</v>
      </c>
      <c r="B214" s="944">
        <f>IF(A214="","",SUM($A$209:A214))</f>
        <v>2</v>
      </c>
      <c r="C214" s="945" t="s">
        <v>3341</v>
      </c>
      <c r="D214" s="922" t="str">
        <f t="shared" ref="D214:D216" si="183">IF(AF214=0,"",AF214)</f>
        <v>4кв 2016</v>
      </c>
      <c r="E214" s="923">
        <v>10</v>
      </c>
      <c r="F214" s="966"/>
      <c r="G214" s="1000">
        <v>15</v>
      </c>
      <c r="H214" s="926"/>
      <c r="I214" s="926">
        <v>127221.38</v>
      </c>
      <c r="J214" s="926"/>
      <c r="K214" s="926">
        <v>50669.060000000005</v>
      </c>
      <c r="L214" s="926"/>
      <c r="M214" s="926"/>
      <c r="N214" s="926"/>
      <c r="O214" s="926">
        <f>26766.65+18154.62</f>
        <v>44921.270000000004</v>
      </c>
      <c r="P214" s="927">
        <v>222811.71000000002</v>
      </c>
      <c r="Q214" s="1000">
        <v>1</v>
      </c>
      <c r="R214" s="929" t="s">
        <v>2595</v>
      </c>
      <c r="S214" s="954" t="s">
        <v>3326</v>
      </c>
      <c r="T214" s="1003"/>
      <c r="U214" s="2742" t="s">
        <v>1462</v>
      </c>
      <c r="V214" s="1057" t="s">
        <v>2655</v>
      </c>
      <c r="W214" s="974" t="str">
        <f t="shared" ref="W214:W215" si="184">""&amp;V214&amp;" - "&amp;X214&amp;""</f>
        <v>ТП 63 кВА - за границей г.н.п.</v>
      </c>
      <c r="X214" s="602" t="s">
        <v>2947</v>
      </c>
      <c r="Y214" s="1076" t="s">
        <v>2651</v>
      </c>
      <c r="Z214" s="1077" t="str">
        <f t="shared" ref="Z214:Z215" si="185">IF(X214="","",CONCATENATE(Y214,": ",W214))</f>
        <v>до 15 кВт (не льгота); 1Т: ТП 63 кВА - за границей г.н.п.</v>
      </c>
      <c r="AA214" s="934"/>
      <c r="AB214" s="935">
        <f>O214</f>
        <v>44921.270000000004</v>
      </c>
      <c r="AC214" s="936">
        <f>(I214+H214)</f>
        <v>127221.38</v>
      </c>
      <c r="AD214" s="937">
        <f>K214</f>
        <v>50669.060000000005</v>
      </c>
      <c r="AE214" s="938">
        <f t="shared" ref="AE214:AE216" si="186">AB214+AC214+AD214</f>
        <v>222811.71000000002</v>
      </c>
      <c r="AF214" s="939" t="s">
        <v>3257</v>
      </c>
      <c r="AG214" s="1040">
        <f t="shared" si="127"/>
        <v>6.53</v>
      </c>
      <c r="AH214" s="941">
        <f t="shared" si="139"/>
        <v>6879.2143950995405</v>
      </c>
      <c r="AI214" s="942">
        <f t="shared" si="139"/>
        <v>19482.600306278713</v>
      </c>
      <c r="AJ214" s="943">
        <f t="shared" si="139"/>
        <v>7759.4272588055137</v>
      </c>
      <c r="AK214" s="938">
        <f t="shared" si="28"/>
        <v>34121.241960183768</v>
      </c>
      <c r="AO214" s="1078"/>
      <c r="AP214" s="949">
        <v>43</v>
      </c>
      <c r="AQ214" s="995" t="s">
        <v>3340</v>
      </c>
      <c r="AR214" s="896" t="str">
        <f>IF(B214="","",IF(P214=SUM(H214,I214,K214,O214),"ИСТИНА",P214-SUM(H214,I214,K214,O214)))</f>
        <v>ИСТИНА</v>
      </c>
      <c r="AS214" s="951" t="s">
        <v>3328</v>
      </c>
      <c r="AT214" s="1079">
        <f>SUM([25]прил5МУ!$O$81:$O$83)*1000</f>
        <v>222811.71</v>
      </c>
      <c r="AU214" s="896" t="str">
        <f t="shared" si="150"/>
        <v>ИСТИНА</v>
      </c>
      <c r="AW214" s="896">
        <f t="shared" si="115"/>
        <v>222811.71000000002</v>
      </c>
      <c r="AX214" s="896" t="b">
        <f t="shared" si="118"/>
        <v>1</v>
      </c>
      <c r="AZ214" s="952" t="e">
        <f>#REF!</f>
        <v>#REF!</v>
      </c>
    </row>
    <row r="215" spans="1:58" ht="15.75" outlineLevel="1">
      <c r="A215" s="891" t="str">
        <f t="shared" si="182"/>
        <v/>
      </c>
      <c r="B215" s="920" t="str">
        <f>IF(A215="","",SUM($A$209:A215))</f>
        <v/>
      </c>
      <c r="C215" s="921"/>
      <c r="D215" s="922" t="str">
        <f t="shared" si="183"/>
        <v/>
      </c>
      <c r="E215" s="1080"/>
      <c r="F215" s="966"/>
      <c r="G215" s="1000"/>
      <c r="H215" s="926"/>
      <c r="I215" s="926"/>
      <c r="J215" s="926"/>
      <c r="K215" s="926"/>
      <c r="L215" s="926"/>
      <c r="M215" s="926"/>
      <c r="N215" s="926"/>
      <c r="O215" s="926"/>
      <c r="P215" s="927"/>
      <c r="Q215" s="1000"/>
      <c r="R215" s="929" t="s">
        <v>2595</v>
      </c>
      <c r="S215" s="954"/>
      <c r="T215" s="1003"/>
      <c r="U215" s="1075"/>
      <c r="V215" s="1057"/>
      <c r="W215" s="974" t="str">
        <f t="shared" si="184"/>
        <v xml:space="preserve"> - </v>
      </c>
      <c r="X215" s="973"/>
      <c r="Y215" s="1076"/>
      <c r="Z215" s="1077" t="str">
        <f t="shared" si="185"/>
        <v/>
      </c>
      <c r="AA215" s="934"/>
      <c r="AB215" s="935">
        <f>O215</f>
        <v>0</v>
      </c>
      <c r="AC215" s="936">
        <f>(I215+H215)</f>
        <v>0</v>
      </c>
      <c r="AD215" s="937">
        <f>K215</f>
        <v>0</v>
      </c>
      <c r="AE215" s="938">
        <f t="shared" si="186"/>
        <v>0</v>
      </c>
      <c r="AF215" s="939"/>
      <c r="AG215" s="1040" t="str">
        <f t="shared" si="127"/>
        <v>не совпадает</v>
      </c>
      <c r="AH215" s="941" t="str">
        <f t="shared" si="139"/>
        <v/>
      </c>
      <c r="AI215" s="942" t="str">
        <f t="shared" si="139"/>
        <v/>
      </c>
      <c r="AJ215" s="943" t="str">
        <f t="shared" si="139"/>
        <v/>
      </c>
      <c r="AK215" s="938">
        <f t="shared" si="28"/>
        <v>0</v>
      </c>
      <c r="AO215" s="1078"/>
      <c r="AQ215" s="1081">
        <v>49</v>
      </c>
      <c r="AR215" s="896" t="str">
        <f>IF(B215="","",IF(P215=SUM(H215,I215,K215,O215),"ИСТИНА",P215-SUM(H215,I215,K215,O215)))</f>
        <v/>
      </c>
      <c r="AS215" s="919"/>
      <c r="AT215" s="899" t="str">
        <f>IF(AS215="","",VLOOKUP($AS215,[25]прил5МУ!N$25:O$84,2,FALSE)*1000)</f>
        <v/>
      </c>
      <c r="AU215" s="896" t="str">
        <f t="shared" si="150"/>
        <v>ИСТИНА</v>
      </c>
      <c r="AW215" s="896" t="str">
        <f t="shared" si="115"/>
        <v/>
      </c>
      <c r="AX215" s="896" t="b">
        <f t="shared" si="118"/>
        <v>1</v>
      </c>
    </row>
    <row r="216" spans="1:58" s="969" customFormat="1" ht="18.75" outlineLevel="1">
      <c r="A216" s="969" t="str">
        <f t="shared" si="182"/>
        <v/>
      </c>
      <c r="B216" s="1042" t="str">
        <f>IF(A216="","",SUM($A$209:A216))</f>
        <v/>
      </c>
      <c r="C216" s="1011"/>
      <c r="D216" s="1063" t="str">
        <f t="shared" si="183"/>
        <v/>
      </c>
      <c r="E216" s="1082"/>
      <c r="F216" s="1043"/>
      <c r="G216" s="1014"/>
      <c r="H216" s="1044"/>
      <c r="I216" s="1044"/>
      <c r="J216" s="1044"/>
      <c r="K216" s="1044"/>
      <c r="L216" s="1044"/>
      <c r="M216" s="1044"/>
      <c r="N216" s="1044"/>
      <c r="O216" s="1044"/>
      <c r="P216" s="1016"/>
      <c r="Q216" s="1046"/>
      <c r="R216" s="1047"/>
      <c r="S216" s="1048"/>
      <c r="T216" s="1049"/>
      <c r="U216" s="970"/>
      <c r="V216" s="1050"/>
      <c r="W216" s="1051" t="str">
        <f>""&amp;V216&amp;" - "&amp;X216&amp;""</f>
        <v xml:space="preserve"> - </v>
      </c>
      <c r="X216" s="1052"/>
      <c r="Y216" s="1053" t="str">
        <f>IF(X216="","",$C$230)</f>
        <v/>
      </c>
      <c r="Z216" s="1054" t="str">
        <f>IF(X216="","",CONCATENATE(Y216,": ",W216))</f>
        <v/>
      </c>
      <c r="AA216" s="934"/>
      <c r="AB216" s="935">
        <f>O216</f>
        <v>0</v>
      </c>
      <c r="AC216" s="936">
        <f>(I216+H216)</f>
        <v>0</v>
      </c>
      <c r="AD216" s="937">
        <f>K216</f>
        <v>0</v>
      </c>
      <c r="AE216" s="938">
        <f t="shared" si="186"/>
        <v>0</v>
      </c>
      <c r="AF216" s="976"/>
      <c r="AG216" s="1041" t="str">
        <f t="shared" si="127"/>
        <v>не совпадает</v>
      </c>
      <c r="AH216" s="978" t="str">
        <f t="shared" si="139"/>
        <v/>
      </c>
      <c r="AI216" s="979" t="str">
        <f t="shared" si="139"/>
        <v/>
      </c>
      <c r="AJ216" s="980" t="str">
        <f t="shared" si="139"/>
        <v/>
      </c>
      <c r="AK216" s="981">
        <f t="shared" si="28"/>
        <v>0</v>
      </c>
      <c r="AL216" s="895"/>
      <c r="AM216" s="896" t="str">
        <f>IF(P216=AE216,"Истина",P216-AE216)</f>
        <v>Истина</v>
      </c>
      <c r="AN216" s="982"/>
      <c r="AO216" s="982"/>
      <c r="AP216" s="1055"/>
      <c r="AQ216" s="1056"/>
      <c r="AR216" s="982"/>
      <c r="AS216" s="919"/>
      <c r="AT216" s="899" t="str">
        <f>IF(AS216="","",VLOOKUP($AS216,[25]прил5МУ!N$25:O$84,2,FALSE)*1000)</f>
        <v/>
      </c>
      <c r="AU216" s="896" t="str">
        <f t="shared" si="150"/>
        <v>ИСТИНА</v>
      </c>
      <c r="AV216" s="896"/>
      <c r="AW216" s="896" t="str">
        <f t="shared" si="115"/>
        <v/>
      </c>
      <c r="AX216" s="896" t="b">
        <f t="shared" si="118"/>
        <v>1</v>
      </c>
      <c r="AY216" s="982"/>
      <c r="AZ216" s="982"/>
      <c r="BF216" s="982"/>
    </row>
    <row r="217" spans="1:58" s="969" customFormat="1" ht="18.75">
      <c r="B217" s="1222" t="s">
        <v>2656</v>
      </c>
      <c r="C217" s="1223" t="str">
        <f>"Всего по "&amp;$C$206&amp;" ("&amp;T217&amp;"):"</f>
        <v>Всего по Не льгота (ТП, КТП, МТП, СТП) (100-250 кВА):</v>
      </c>
      <c r="D217" s="1223"/>
      <c r="E217" s="1223"/>
      <c r="F217" s="1224">
        <f>SUM(F218)</f>
        <v>0</v>
      </c>
      <c r="G217" s="1225">
        <f t="shared" ref="G217:L217" si="187">SUM(G218)</f>
        <v>0</v>
      </c>
      <c r="H217" s="1225">
        <f t="shared" si="187"/>
        <v>0</v>
      </c>
      <c r="I217" s="1225">
        <f t="shared" si="187"/>
        <v>0</v>
      </c>
      <c r="J217" s="1225">
        <f t="shared" si="187"/>
        <v>0</v>
      </c>
      <c r="K217" s="1225">
        <f t="shared" si="187"/>
        <v>0</v>
      </c>
      <c r="L217" s="1225">
        <f t="shared" si="187"/>
        <v>0</v>
      </c>
      <c r="M217" s="1225">
        <f>SUM(M218)</f>
        <v>0</v>
      </c>
      <c r="N217" s="1225">
        <f t="shared" ref="N217:Q217" si="188">SUM(N218)</f>
        <v>0</v>
      </c>
      <c r="O217" s="1225">
        <f>SUM(O218)</f>
        <v>0</v>
      </c>
      <c r="P217" s="1225">
        <f t="shared" si="188"/>
        <v>0</v>
      </c>
      <c r="Q217" s="1224">
        <f t="shared" si="188"/>
        <v>0</v>
      </c>
      <c r="R217" s="1226"/>
      <c r="S217" s="1226"/>
      <c r="T217" s="1227" t="s">
        <v>2633</v>
      </c>
      <c r="U217" s="970"/>
      <c r="V217" s="970"/>
      <c r="W217" s="970"/>
      <c r="X217" s="891"/>
      <c r="Y217" s="970" t="str">
        <f>IF(X217="","",$C$230)</f>
        <v/>
      </c>
      <c r="Z217" s="933" t="str">
        <f>IF(X217="","",CONCATENATE(Y217,"-",X217))</f>
        <v/>
      </c>
      <c r="AA217" s="934"/>
      <c r="AB217" s="916"/>
      <c r="AC217" s="917"/>
      <c r="AD217" s="918"/>
      <c r="AE217" s="914"/>
      <c r="AF217" s="976"/>
      <c r="AG217" s="1041" t="str">
        <f t="shared" si="127"/>
        <v>не совпадает</v>
      </c>
      <c r="AH217" s="978" t="str">
        <f t="shared" si="139"/>
        <v/>
      </c>
      <c r="AI217" s="979" t="str">
        <f t="shared" si="139"/>
        <v/>
      </c>
      <c r="AJ217" s="980" t="str">
        <f t="shared" si="139"/>
        <v/>
      </c>
      <c r="AK217" s="981">
        <f t="shared" si="28"/>
        <v>0</v>
      </c>
      <c r="AL217" s="895"/>
      <c r="AM217" s="896" t="str">
        <f>IF(P217=AE217,"Истина",P217-AE217)</f>
        <v>Истина</v>
      </c>
      <c r="AN217" s="982"/>
      <c r="AO217" s="982"/>
      <c r="AP217" s="1232"/>
      <c r="AQ217" s="1221"/>
      <c r="AR217" s="982"/>
      <c r="AS217" s="919"/>
      <c r="AT217" s="899" t="str">
        <f>IF(AS217="","",VLOOKUP($AS217,[25]прил5МУ!N$25:O$84,2,FALSE)*1000)</f>
        <v/>
      </c>
      <c r="AU217" s="896" t="e">
        <f t="shared" si="150"/>
        <v>#VALUE!</v>
      </c>
      <c r="AV217" s="896"/>
      <c r="AW217" s="896" t="str">
        <f t="shared" si="115"/>
        <v/>
      </c>
      <c r="AX217" s="896" t="b">
        <f t="shared" si="118"/>
        <v>1</v>
      </c>
      <c r="AY217" s="982"/>
      <c r="AZ217" s="982"/>
      <c r="BF217" s="982"/>
    </row>
    <row r="218" spans="1:58" s="969" customFormat="1" ht="18.75" outlineLevel="1">
      <c r="A218" s="969" t="str">
        <f t="shared" ref="A218" si="189">IF(C218="","",1)</f>
        <v/>
      </c>
      <c r="B218" s="1042" t="str">
        <f>IF(A218="","",SUM($A$209:A218))</f>
        <v/>
      </c>
      <c r="C218" s="1011"/>
      <c r="D218" s="1063" t="str">
        <f t="shared" ref="D218" si="190">IF(AF218=0,"",AF218)</f>
        <v/>
      </c>
      <c r="E218" s="1082"/>
      <c r="F218" s="1043"/>
      <c r="G218" s="1014"/>
      <c r="H218" s="1044"/>
      <c r="I218" s="1044"/>
      <c r="J218" s="1044"/>
      <c r="K218" s="1044"/>
      <c r="L218" s="1044"/>
      <c r="M218" s="1044"/>
      <c r="N218" s="1044"/>
      <c r="O218" s="1044"/>
      <c r="P218" s="1016"/>
      <c r="Q218" s="1046"/>
      <c r="R218" s="1047"/>
      <c r="S218" s="1048"/>
      <c r="T218" s="1049"/>
      <c r="U218" s="970"/>
      <c r="V218" s="1050"/>
      <c r="W218" s="1051" t="str">
        <f>""&amp;V218&amp;" - "&amp;X218&amp;""</f>
        <v xml:space="preserve"> - </v>
      </c>
      <c r="X218" s="1052"/>
      <c r="Y218" s="1053" t="str">
        <f>IF(X218="","",$C$230)</f>
        <v/>
      </c>
      <c r="Z218" s="1054" t="str">
        <f>IF(X218="","",CONCATENATE(Y218,": ",W218))</f>
        <v/>
      </c>
      <c r="AA218" s="934"/>
      <c r="AB218" s="935">
        <f>O218</f>
        <v>0</v>
      </c>
      <c r="AC218" s="936">
        <f>(I218+H218)</f>
        <v>0</v>
      </c>
      <c r="AD218" s="937">
        <f>K218</f>
        <v>0</v>
      </c>
      <c r="AE218" s="938">
        <f t="shared" ref="AE218" si="191">AB218+AC218+AD218</f>
        <v>0</v>
      </c>
      <c r="AF218" s="976"/>
      <c r="AG218" s="1041" t="str">
        <f t="shared" si="127"/>
        <v>не совпадает</v>
      </c>
      <c r="AH218" s="978" t="str">
        <f t="shared" si="139"/>
        <v/>
      </c>
      <c r="AI218" s="979" t="str">
        <f t="shared" si="139"/>
        <v/>
      </c>
      <c r="AJ218" s="980" t="str">
        <f t="shared" si="139"/>
        <v/>
      </c>
      <c r="AK218" s="981">
        <f t="shared" si="28"/>
        <v>0</v>
      </c>
      <c r="AL218" s="895"/>
      <c r="AM218" s="896" t="str">
        <f>IF(P218=AE218,"Истина",P218-AE218)</f>
        <v>Истина</v>
      </c>
      <c r="AN218" s="982"/>
      <c r="AO218" s="982"/>
      <c r="AP218" s="1055"/>
      <c r="AQ218" s="1056"/>
      <c r="AR218" s="982"/>
      <c r="AS218" s="919"/>
      <c r="AT218" s="899" t="str">
        <f>IF(AS218="","",VLOOKUP($AS218,[25]прил5МУ!N$25:O$84,2,FALSE)*1000)</f>
        <v/>
      </c>
      <c r="AU218" s="896" t="str">
        <f t="shared" si="150"/>
        <v>ИСТИНА</v>
      </c>
      <c r="AV218" s="896"/>
      <c r="AW218" s="896" t="str">
        <f t="shared" si="115"/>
        <v/>
      </c>
      <c r="AX218" s="896" t="b">
        <f t="shared" si="118"/>
        <v>1</v>
      </c>
      <c r="AY218" s="982"/>
      <c r="AZ218" s="982"/>
      <c r="BF218" s="982"/>
    </row>
    <row r="219" spans="1:58" s="969" customFormat="1" ht="18.75">
      <c r="B219" s="1222" t="s">
        <v>2657</v>
      </c>
      <c r="C219" s="1223" t="str">
        <f>"Всего по "&amp;$C$206&amp;" ("&amp;T219&amp;"):"</f>
        <v>Всего по Не льгота (ТП, КТП, МТП, СТП) (250-500 кВА):</v>
      </c>
      <c r="D219" s="1223"/>
      <c r="E219" s="1223"/>
      <c r="F219" s="1224">
        <f>SUM(F220:F221)</f>
        <v>0</v>
      </c>
      <c r="G219" s="1225">
        <f t="shared" ref="G219:Q219" si="192">SUM(G220:G221)</f>
        <v>0</v>
      </c>
      <c r="H219" s="1225">
        <f t="shared" si="192"/>
        <v>0</v>
      </c>
      <c r="I219" s="1225">
        <f t="shared" si="192"/>
        <v>0</v>
      </c>
      <c r="J219" s="1225">
        <f t="shared" si="192"/>
        <v>0</v>
      </c>
      <c r="K219" s="1225">
        <f t="shared" si="192"/>
        <v>0</v>
      </c>
      <c r="L219" s="1225">
        <f t="shared" si="192"/>
        <v>0</v>
      </c>
      <c r="M219" s="1225">
        <f t="shared" si="192"/>
        <v>0</v>
      </c>
      <c r="N219" s="1225">
        <f t="shared" si="192"/>
        <v>0</v>
      </c>
      <c r="O219" s="1225">
        <f t="shared" si="192"/>
        <v>0</v>
      </c>
      <c r="P219" s="1225">
        <f t="shared" si="192"/>
        <v>0</v>
      </c>
      <c r="Q219" s="1224">
        <f t="shared" si="192"/>
        <v>0</v>
      </c>
      <c r="R219" s="1226"/>
      <c r="S219" s="1226"/>
      <c r="T219" s="1227" t="s">
        <v>2635</v>
      </c>
      <c r="U219" s="970"/>
      <c r="V219" s="970"/>
      <c r="W219" s="970"/>
      <c r="X219" s="891"/>
      <c r="Y219" s="970" t="str">
        <f>IF(X219="","",#REF!)</f>
        <v/>
      </c>
      <c r="Z219" s="933" t="str">
        <f>IF(X219="","",CONCATENATE(Y219,"-",X219))</f>
        <v/>
      </c>
      <c r="AA219" s="934"/>
      <c r="AB219" s="916"/>
      <c r="AC219" s="917"/>
      <c r="AD219" s="918"/>
      <c r="AE219" s="914"/>
      <c r="AF219" s="976"/>
      <c r="AG219" s="1041" t="str">
        <f t="shared" si="127"/>
        <v>не совпадает</v>
      </c>
      <c r="AH219" s="978" t="str">
        <f t="shared" si="139"/>
        <v/>
      </c>
      <c r="AI219" s="979" t="str">
        <f t="shared" si="139"/>
        <v/>
      </c>
      <c r="AJ219" s="980" t="str">
        <f t="shared" si="139"/>
        <v/>
      </c>
      <c r="AK219" s="981">
        <f t="shared" si="28"/>
        <v>0</v>
      </c>
      <c r="AL219" s="895"/>
      <c r="AM219" s="896" t="str">
        <f>IF(P219=AE219,"Истина",P219-AE219)</f>
        <v>Истина</v>
      </c>
      <c r="AN219" s="982"/>
      <c r="AO219" s="982"/>
      <c r="AP219" s="1220"/>
      <c r="AQ219" s="1221"/>
      <c r="AR219" s="982"/>
      <c r="AS219" s="919"/>
      <c r="AT219" s="899" t="str">
        <f>IF(AS219="","",VLOOKUP($AS219,[25]прил5МУ!N$25:O$84,2,FALSE)*1000)</f>
        <v/>
      </c>
      <c r="AU219" s="896" t="e">
        <f t="shared" si="150"/>
        <v>#VALUE!</v>
      </c>
      <c r="AV219" s="896"/>
      <c r="AW219" s="896" t="str">
        <f t="shared" si="115"/>
        <v/>
      </c>
      <c r="AX219" s="896" t="b">
        <f t="shared" si="118"/>
        <v>1</v>
      </c>
      <c r="AY219" s="982"/>
      <c r="AZ219" s="982"/>
      <c r="BF219" s="982"/>
    </row>
    <row r="220" spans="1:58" ht="15.75" outlineLevel="1">
      <c r="A220" s="891" t="str">
        <f t="shared" ref="A220:A221" si="193">IF(C220="","",1)</f>
        <v/>
      </c>
      <c r="B220" s="920" t="str">
        <f>IF(A220="","",SUM($A$209:A220))</f>
        <v/>
      </c>
      <c r="C220" s="921"/>
      <c r="D220" s="922" t="str">
        <f t="shared" ref="D220:D221" si="194">IF(AF220=0,"",AF220)</f>
        <v/>
      </c>
      <c r="E220" s="1080"/>
      <c r="F220" s="966"/>
      <c r="G220" s="1000"/>
      <c r="H220" s="926"/>
      <c r="I220" s="926"/>
      <c r="J220" s="1001"/>
      <c r="K220" s="926"/>
      <c r="L220" s="1001"/>
      <c r="M220" s="1001"/>
      <c r="N220" s="1001"/>
      <c r="O220" s="926"/>
      <c r="P220" s="1002"/>
      <c r="Q220" s="1000"/>
      <c r="R220" s="929" t="s">
        <v>2595</v>
      </c>
      <c r="S220" s="954"/>
      <c r="T220" s="1003"/>
      <c r="U220" s="1075"/>
      <c r="V220" s="1238"/>
      <c r="W220" s="1239" t="str">
        <f>""&amp;V220&amp;" - "&amp;X220&amp;""</f>
        <v xml:space="preserve"> - </v>
      </c>
      <c r="X220" s="1240"/>
      <c r="Y220" s="1241"/>
      <c r="Z220" s="1242" t="str">
        <f>IF(X220="","",CONCATENATE(Y220,": ",W220))</f>
        <v/>
      </c>
      <c r="AA220" s="934"/>
      <c r="AB220" s="935">
        <f>O220</f>
        <v>0</v>
      </c>
      <c r="AC220" s="936">
        <f>(I220+H220)</f>
        <v>0</v>
      </c>
      <c r="AD220" s="937">
        <f>K220</f>
        <v>0</v>
      </c>
      <c r="AE220" s="938">
        <f t="shared" ref="AE220:AE221" si="195">AB220+AC220+AD220</f>
        <v>0</v>
      </c>
      <c r="AF220" s="939"/>
      <c r="AG220" s="1040" t="str">
        <f t="shared" si="127"/>
        <v>не совпадает</v>
      </c>
      <c r="AH220" s="941" t="str">
        <f t="shared" si="139"/>
        <v/>
      </c>
      <c r="AI220" s="942" t="str">
        <f t="shared" si="139"/>
        <v/>
      </c>
      <c r="AJ220" s="943" t="str">
        <f t="shared" si="139"/>
        <v/>
      </c>
      <c r="AK220" s="938">
        <f t="shared" si="28"/>
        <v>0</v>
      </c>
      <c r="AO220" s="1084">
        <v>1</v>
      </c>
      <c r="AR220" s="896" t="str">
        <f>IF(B220="","",IF(P220=SUM(H220,I220,K220,O220),"ИСТИНА",P220-SUM(H220,I220,K220,O220)))</f>
        <v/>
      </c>
      <c r="AS220" s="919"/>
      <c r="AT220" s="899" t="str">
        <f>IF(AS220="","",VLOOKUP($AS220,[25]прил5МУ!N$25:O$84,2,FALSE)*1000)</f>
        <v/>
      </c>
      <c r="AU220" s="896" t="str">
        <f t="shared" si="150"/>
        <v>ИСТИНА</v>
      </c>
      <c r="AW220" s="896" t="str">
        <f t="shared" si="115"/>
        <v/>
      </c>
      <c r="AX220" s="896" t="b">
        <f t="shared" si="118"/>
        <v>1</v>
      </c>
    </row>
    <row r="221" spans="1:58" ht="15.75" outlineLevel="1">
      <c r="A221" s="891" t="str">
        <f t="shared" si="193"/>
        <v/>
      </c>
      <c r="B221" s="1085" t="str">
        <f>IF(A221="","",SUM($A$209:A221))</f>
        <v/>
      </c>
      <c r="C221" s="1011"/>
      <c r="D221" s="1063" t="str">
        <f t="shared" si="194"/>
        <v/>
      </c>
      <c r="E221" s="1082"/>
      <c r="F221" s="1012"/>
      <c r="G221" s="1013"/>
      <c r="H221" s="1083"/>
      <c r="I221" s="1083"/>
      <c r="J221" s="1086"/>
      <c r="K221" s="1083"/>
      <c r="L221" s="1086"/>
      <c r="M221" s="1086"/>
      <c r="N221" s="1086"/>
      <c r="O221" s="1083"/>
      <c r="P221" s="1016"/>
      <c r="Q221" s="1013"/>
      <c r="R221" s="1018" t="s">
        <v>2595</v>
      </c>
      <c r="S221" s="1019"/>
      <c r="T221" s="1017"/>
      <c r="U221" s="1075"/>
      <c r="V221" s="1057"/>
      <c r="W221" s="974" t="str">
        <f>""&amp;V221&amp;" - "&amp;X221&amp;""</f>
        <v xml:space="preserve"> - </v>
      </c>
      <c r="X221" s="973"/>
      <c r="Y221" s="1076"/>
      <c r="Z221" s="1077" t="str">
        <f>IF(X221="","",CONCATENATE(Y221,": ",W221))</f>
        <v/>
      </c>
      <c r="AA221" s="934"/>
      <c r="AB221" s="935">
        <f>O221</f>
        <v>0</v>
      </c>
      <c r="AC221" s="936">
        <f>(I221+H221)</f>
        <v>0</v>
      </c>
      <c r="AD221" s="937">
        <f>K221</f>
        <v>0</v>
      </c>
      <c r="AE221" s="938">
        <f t="shared" si="195"/>
        <v>0</v>
      </c>
      <c r="AF221" s="939"/>
      <c r="AG221" s="1040" t="str">
        <f t="shared" si="127"/>
        <v>не совпадает</v>
      </c>
      <c r="AH221" s="941" t="str">
        <f t="shared" si="139"/>
        <v/>
      </c>
      <c r="AI221" s="942" t="str">
        <f t="shared" si="139"/>
        <v/>
      </c>
      <c r="AJ221" s="943" t="str">
        <f t="shared" si="139"/>
        <v/>
      </c>
      <c r="AK221" s="938">
        <f t="shared" si="28"/>
        <v>0</v>
      </c>
      <c r="AO221" s="896">
        <v>1</v>
      </c>
      <c r="AR221" s="896" t="str">
        <f>IF(B221="","",IF(P221=SUM(H221,I221,K221,O221),"ИСТИНА",P221-SUM(H221,I221,K221,O221)))</f>
        <v/>
      </c>
      <c r="AS221" s="919"/>
      <c r="AT221" s="899" t="str">
        <f>IF(AS221="","",VLOOKUP($AS221,[25]прил5МУ!N$25:O$84,2,FALSE)*1000)</f>
        <v/>
      </c>
      <c r="AU221" s="896" t="str">
        <f t="shared" si="150"/>
        <v>ИСТИНА</v>
      </c>
      <c r="AW221" s="896" t="str">
        <f t="shared" si="115"/>
        <v/>
      </c>
      <c r="AX221" s="896" t="b">
        <f t="shared" si="118"/>
        <v>1</v>
      </c>
    </row>
    <row r="222" spans="1:58" s="969" customFormat="1" ht="18.75">
      <c r="B222" s="1222" t="s">
        <v>2658</v>
      </c>
      <c r="C222" s="1223" t="str">
        <f>"Всего по "&amp;$C$206&amp;" ("&amp;T222&amp;"):"</f>
        <v>Всего по Не льгота (ТП, КТП, МТП, СТП) (500-900 кВА):</v>
      </c>
      <c r="D222" s="1223"/>
      <c r="E222" s="1223"/>
      <c r="F222" s="1224">
        <f>SUM(F223)</f>
        <v>0</v>
      </c>
      <c r="G222" s="1225">
        <f t="shared" ref="G222:L224" si="196">SUM(G223)</f>
        <v>0</v>
      </c>
      <c r="H222" s="1225">
        <f t="shared" si="196"/>
        <v>0</v>
      </c>
      <c r="I222" s="1225">
        <f t="shared" si="196"/>
        <v>0</v>
      </c>
      <c r="J222" s="1225">
        <f t="shared" si="196"/>
        <v>0</v>
      </c>
      <c r="K222" s="1225">
        <f t="shared" si="196"/>
        <v>0</v>
      </c>
      <c r="L222" s="1225">
        <f t="shared" si="196"/>
        <v>0</v>
      </c>
      <c r="M222" s="1225">
        <f>SUM(M223)</f>
        <v>0</v>
      </c>
      <c r="N222" s="1225">
        <f t="shared" ref="N222:Q224" si="197">SUM(N223)</f>
        <v>0</v>
      </c>
      <c r="O222" s="1225">
        <f>SUM(O223)</f>
        <v>0</v>
      </c>
      <c r="P222" s="1225">
        <f t="shared" si="197"/>
        <v>0</v>
      </c>
      <c r="Q222" s="1224">
        <f t="shared" si="197"/>
        <v>0</v>
      </c>
      <c r="R222" s="1226"/>
      <c r="S222" s="1226"/>
      <c r="T222" s="1227" t="s">
        <v>2639</v>
      </c>
      <c r="U222" s="970"/>
      <c r="V222" s="970"/>
      <c r="W222" s="970"/>
      <c r="X222" s="891"/>
      <c r="Y222" s="970" t="str">
        <f>IF(X222="","",$C$230)</f>
        <v/>
      </c>
      <c r="Z222" s="933" t="str">
        <f>IF(X222="","",CONCATENATE(Y222,"-",X222))</f>
        <v/>
      </c>
      <c r="AA222" s="934"/>
      <c r="AB222" s="916"/>
      <c r="AC222" s="917"/>
      <c r="AD222" s="918"/>
      <c r="AE222" s="914"/>
      <c r="AF222" s="976"/>
      <c r="AG222" s="1041" t="str">
        <f t="shared" si="127"/>
        <v>не совпадает</v>
      </c>
      <c r="AH222" s="978" t="str">
        <f t="shared" si="139"/>
        <v/>
      </c>
      <c r="AI222" s="979" t="str">
        <f t="shared" si="139"/>
        <v/>
      </c>
      <c r="AJ222" s="980" t="str">
        <f t="shared" si="139"/>
        <v/>
      </c>
      <c r="AK222" s="981">
        <f t="shared" si="28"/>
        <v>0</v>
      </c>
      <c r="AL222" s="895"/>
      <c r="AM222" s="896" t="str">
        <f t="shared" ref="AM222:AM229" si="198">IF(P222=AE222,"Истина",P222-AE222)</f>
        <v>Истина</v>
      </c>
      <c r="AN222" s="982"/>
      <c r="AO222" s="982"/>
      <c r="AP222" s="1232"/>
      <c r="AQ222" s="1221"/>
      <c r="AR222" s="982"/>
      <c r="AS222" s="919"/>
      <c r="AT222" s="899" t="str">
        <f>IF(AS222="","",VLOOKUP($AS222,[25]прил5МУ!N$25:O$84,2,FALSE)*1000)</f>
        <v/>
      </c>
      <c r="AU222" s="896" t="e">
        <f t="shared" si="150"/>
        <v>#VALUE!</v>
      </c>
      <c r="AV222" s="896"/>
      <c r="AW222" s="896" t="str">
        <f t="shared" si="115"/>
        <v/>
      </c>
      <c r="AX222" s="896" t="b">
        <f t="shared" si="118"/>
        <v>1</v>
      </c>
      <c r="AY222" s="982"/>
      <c r="AZ222" s="982"/>
      <c r="BF222" s="982"/>
    </row>
    <row r="223" spans="1:58" s="969" customFormat="1" ht="18.75" outlineLevel="1">
      <c r="A223" s="969" t="str">
        <f t="shared" ref="A223" si="199">IF(C223="","",1)</f>
        <v/>
      </c>
      <c r="B223" s="1042" t="str">
        <f>IF(A223="","",SUM($A$209:A223))</f>
        <v/>
      </c>
      <c r="C223" s="1011"/>
      <c r="D223" s="1063" t="str">
        <f t="shared" ref="D223" si="200">IF(AF223=0,"",AF223)</f>
        <v/>
      </c>
      <c r="E223" s="1082"/>
      <c r="F223" s="1043"/>
      <c r="G223" s="1014"/>
      <c r="H223" s="1044"/>
      <c r="I223" s="1044"/>
      <c r="J223" s="1044"/>
      <c r="K223" s="1044"/>
      <c r="L223" s="1044"/>
      <c r="M223" s="1044"/>
      <c r="N223" s="1044"/>
      <c r="O223" s="1044"/>
      <c r="P223" s="1016"/>
      <c r="Q223" s="1046"/>
      <c r="R223" s="1047"/>
      <c r="S223" s="1048"/>
      <c r="T223" s="1049"/>
      <c r="U223" s="970"/>
      <c r="V223" s="1050"/>
      <c r="W223" s="1051" t="str">
        <f>""&amp;V223&amp;" - "&amp;X223&amp;""</f>
        <v xml:space="preserve"> - </v>
      </c>
      <c r="X223" s="1052"/>
      <c r="Y223" s="1053" t="str">
        <f>IF(X223="","",$C$230)</f>
        <v/>
      </c>
      <c r="Z223" s="1054" t="str">
        <f>IF(X223="","",CONCATENATE(Y223,": ",W223))</f>
        <v/>
      </c>
      <c r="AA223" s="934"/>
      <c r="AB223" s="935">
        <f>O223</f>
        <v>0</v>
      </c>
      <c r="AC223" s="936">
        <f>(I223+H223)</f>
        <v>0</v>
      </c>
      <c r="AD223" s="937">
        <f>K223</f>
        <v>0</v>
      </c>
      <c r="AE223" s="938">
        <f t="shared" ref="AE223" si="201">AB223+AC223+AD223</f>
        <v>0</v>
      </c>
      <c r="AF223" s="976"/>
      <c r="AG223" s="1041" t="str">
        <f t="shared" si="127"/>
        <v>не совпадает</v>
      </c>
      <c r="AH223" s="978" t="str">
        <f t="shared" si="139"/>
        <v/>
      </c>
      <c r="AI223" s="979" t="str">
        <f t="shared" si="139"/>
        <v/>
      </c>
      <c r="AJ223" s="980" t="str">
        <f t="shared" si="139"/>
        <v/>
      </c>
      <c r="AK223" s="981">
        <f t="shared" si="28"/>
        <v>0</v>
      </c>
      <c r="AL223" s="895"/>
      <c r="AM223" s="896" t="str">
        <f t="shared" si="198"/>
        <v>Истина</v>
      </c>
      <c r="AN223" s="982"/>
      <c r="AO223" s="982"/>
      <c r="AP223" s="1055"/>
      <c r="AQ223" s="1056"/>
      <c r="AR223" s="982"/>
      <c r="AS223" s="919"/>
      <c r="AT223" s="899" t="str">
        <f>IF(AS223="","",VLOOKUP($AS223,[25]прил5МУ!N$25:O$84,2,FALSE)*1000)</f>
        <v/>
      </c>
      <c r="AU223" s="896" t="str">
        <f t="shared" si="150"/>
        <v>ИСТИНА</v>
      </c>
      <c r="AV223" s="896"/>
      <c r="AW223" s="896" t="str">
        <f t="shared" si="115"/>
        <v/>
      </c>
      <c r="AX223" s="896" t="b">
        <f t="shared" si="118"/>
        <v>1</v>
      </c>
      <c r="AY223" s="982"/>
      <c r="AZ223" s="982"/>
      <c r="BF223" s="982"/>
    </row>
    <row r="224" spans="1:58" s="969" customFormat="1" ht="32.25">
      <c r="B224" s="1222" t="s">
        <v>2659</v>
      </c>
      <c r="C224" s="1223" t="str">
        <f>"Всего по "&amp;$C$206&amp;" ("&amp;T224&amp;"):"</f>
        <v>Всего по Не льгота (ТП, КТП, МТП, СТП) (Свыше 900 кВА):</v>
      </c>
      <c r="D224" s="1223"/>
      <c r="E224" s="1223"/>
      <c r="F224" s="1224">
        <f>SUM(F225)</f>
        <v>0</v>
      </c>
      <c r="G224" s="1225">
        <f t="shared" si="196"/>
        <v>0</v>
      </c>
      <c r="H224" s="1225">
        <f t="shared" si="196"/>
        <v>0</v>
      </c>
      <c r="I224" s="1225">
        <f t="shared" si="196"/>
        <v>0</v>
      </c>
      <c r="J224" s="1225">
        <f t="shared" si="196"/>
        <v>0</v>
      </c>
      <c r="K224" s="1225">
        <f t="shared" si="196"/>
        <v>0</v>
      </c>
      <c r="L224" s="1225">
        <f>SUM(L225)</f>
        <v>0</v>
      </c>
      <c r="M224" s="1225">
        <f>SUM(M225)</f>
        <v>0</v>
      </c>
      <c r="N224" s="1225">
        <f t="shared" si="197"/>
        <v>0</v>
      </c>
      <c r="O224" s="1225">
        <f t="shared" si="197"/>
        <v>0</v>
      </c>
      <c r="P224" s="1225">
        <f t="shared" si="197"/>
        <v>0</v>
      </c>
      <c r="Q224" s="1224">
        <f t="shared" si="197"/>
        <v>0</v>
      </c>
      <c r="R224" s="1226"/>
      <c r="S224" s="1226"/>
      <c r="T224" s="1227" t="s">
        <v>3210</v>
      </c>
      <c r="U224" s="970"/>
      <c r="V224" s="970"/>
      <c r="W224" s="970"/>
      <c r="X224" s="891"/>
      <c r="Y224" s="970" t="str">
        <f>IF(X224="","",$C$230)</f>
        <v/>
      </c>
      <c r="Z224" s="933" t="str">
        <f>IF(X224="","",CONCATENATE(Y224,"-",X224))</f>
        <v/>
      </c>
      <c r="AA224" s="934"/>
      <c r="AB224" s="916"/>
      <c r="AC224" s="917"/>
      <c r="AD224" s="918"/>
      <c r="AE224" s="914"/>
      <c r="AF224" s="976"/>
      <c r="AG224" s="1041" t="str">
        <f t="shared" si="127"/>
        <v>не совпадает</v>
      </c>
      <c r="AH224" s="978" t="str">
        <f t="shared" si="139"/>
        <v/>
      </c>
      <c r="AI224" s="979" t="str">
        <f t="shared" si="139"/>
        <v/>
      </c>
      <c r="AJ224" s="980" t="str">
        <f t="shared" si="139"/>
        <v/>
      </c>
      <c r="AK224" s="981">
        <f t="shared" si="28"/>
        <v>0</v>
      </c>
      <c r="AL224" s="895"/>
      <c r="AM224" s="896" t="str">
        <f t="shared" si="198"/>
        <v>Истина</v>
      </c>
      <c r="AN224" s="982"/>
      <c r="AO224" s="982"/>
      <c r="AP224" s="1232"/>
      <c r="AQ224" s="1221"/>
      <c r="AR224" s="982"/>
      <c r="AS224" s="919"/>
      <c r="AT224" s="899" t="str">
        <f>IF(AS224="","",VLOOKUP($AS224,[25]прил5МУ!N$25:O$84,2,FALSE)*1000)</f>
        <v/>
      </c>
      <c r="AU224" s="896" t="e">
        <f t="shared" si="150"/>
        <v>#VALUE!</v>
      </c>
      <c r="AV224" s="896"/>
      <c r="AW224" s="896" t="str">
        <f t="shared" si="115"/>
        <v/>
      </c>
      <c r="AX224" s="896" t="b">
        <f t="shared" si="118"/>
        <v>1</v>
      </c>
      <c r="AY224" s="982"/>
      <c r="AZ224" s="982"/>
      <c r="BF224" s="982"/>
    </row>
    <row r="225" spans="1:86" s="969" customFormat="1" ht="18.75" outlineLevel="1">
      <c r="A225" s="969" t="str">
        <f t="shared" ref="A225" si="202">IF(C225="","",1)</f>
        <v/>
      </c>
      <c r="B225" s="1042" t="str">
        <f>IF(A225="","",SUM($A$209:A225))</f>
        <v/>
      </c>
      <c r="C225" s="1011"/>
      <c r="D225" s="1063" t="str">
        <f t="shared" ref="D225" si="203">IF(AF225=0,"",AF225)</f>
        <v/>
      </c>
      <c r="E225" s="1082"/>
      <c r="F225" s="1043"/>
      <c r="G225" s="1014"/>
      <c r="H225" s="1044"/>
      <c r="I225" s="1044"/>
      <c r="J225" s="1044"/>
      <c r="K225" s="1044"/>
      <c r="L225" s="1044"/>
      <c r="M225" s="1044"/>
      <c r="N225" s="1044"/>
      <c r="O225" s="1044"/>
      <c r="P225" s="1016"/>
      <c r="Q225" s="1046"/>
      <c r="R225" s="1047"/>
      <c r="S225" s="1048"/>
      <c r="T225" s="1049"/>
      <c r="U225" s="970"/>
      <c r="V225" s="1050"/>
      <c r="W225" s="1051" t="str">
        <f>""&amp;V225&amp;" - "&amp;X225&amp;""</f>
        <v xml:space="preserve"> - </v>
      </c>
      <c r="X225" s="1052"/>
      <c r="Y225" s="1053" t="str">
        <f>IF(X225="","",$C$230)</f>
        <v/>
      </c>
      <c r="Z225" s="1054" t="str">
        <f>IF(X225="","",CONCATENATE(Y225,": ",W225))</f>
        <v/>
      </c>
      <c r="AA225" s="934"/>
      <c r="AB225" s="935">
        <f>O225</f>
        <v>0</v>
      </c>
      <c r="AC225" s="936">
        <f>(I225+H225)</f>
        <v>0</v>
      </c>
      <c r="AD225" s="937">
        <f>K225</f>
        <v>0</v>
      </c>
      <c r="AE225" s="938">
        <f t="shared" ref="AE225" si="204">AB225+AC225+AD225</f>
        <v>0</v>
      </c>
      <c r="AF225" s="976"/>
      <c r="AG225" s="1041" t="str">
        <f t="shared" si="127"/>
        <v>не совпадает</v>
      </c>
      <c r="AH225" s="978" t="str">
        <f t="shared" si="139"/>
        <v/>
      </c>
      <c r="AI225" s="979" t="str">
        <f t="shared" si="139"/>
        <v/>
      </c>
      <c r="AJ225" s="980" t="str">
        <f t="shared" si="139"/>
        <v/>
      </c>
      <c r="AK225" s="981">
        <f t="shared" si="28"/>
        <v>0</v>
      </c>
      <c r="AL225" s="895"/>
      <c r="AM225" s="896" t="str">
        <f t="shared" si="198"/>
        <v>Истина</v>
      </c>
      <c r="AN225" s="982"/>
      <c r="AO225" s="982"/>
      <c r="AP225" s="1055"/>
      <c r="AQ225" s="1056"/>
      <c r="AR225" s="982"/>
      <c r="AS225" s="919"/>
      <c r="AT225" s="899" t="str">
        <f>IF(AS225="","",VLOOKUP($AS225,[25]прил5МУ!N$25:O$84,2,FALSE)*1000)</f>
        <v/>
      </c>
      <c r="AU225" s="896" t="str">
        <f t="shared" si="150"/>
        <v>ИСТИНА</v>
      </c>
      <c r="AV225" s="896"/>
      <c r="AW225" s="896" t="str">
        <f t="shared" si="115"/>
        <v/>
      </c>
      <c r="AX225" s="896" t="b">
        <f t="shared" si="118"/>
        <v>1</v>
      </c>
      <c r="AY225" s="982"/>
      <c r="AZ225" s="982"/>
      <c r="BF225" s="982"/>
    </row>
    <row r="226" spans="1:86" s="969" customFormat="1" ht="18.75">
      <c r="B226" s="1213" t="s">
        <v>2660</v>
      </c>
      <c r="C226" s="1214" t="str">
        <f>""&amp;T226&amp;" ("&amp;$C$206&amp;")"</f>
        <v>Двухтрансф. (Не льгота (ТП, КТП, МТП, СТП))</v>
      </c>
      <c r="D226" s="1215"/>
      <c r="E226" s="1215"/>
      <c r="F226" s="1216">
        <f>SUM(F227)</f>
        <v>0</v>
      </c>
      <c r="G226" s="1217">
        <f t="shared" ref="G226" si="205">SUM(G227)</f>
        <v>0</v>
      </c>
      <c r="H226" s="1217">
        <f>SUM(H227)</f>
        <v>0</v>
      </c>
      <c r="I226" s="1217">
        <f t="shared" ref="I226:L226" si="206">SUM(I227)</f>
        <v>0</v>
      </c>
      <c r="J226" s="1217">
        <f t="shared" si="206"/>
        <v>0</v>
      </c>
      <c r="K226" s="1217">
        <f t="shared" si="206"/>
        <v>0</v>
      </c>
      <c r="L226" s="1217">
        <f t="shared" si="206"/>
        <v>0</v>
      </c>
      <c r="M226" s="1217">
        <f>SUM(M227)</f>
        <v>0</v>
      </c>
      <c r="N226" s="1217">
        <f>SUM(N227)</f>
        <v>0</v>
      </c>
      <c r="O226" s="1217">
        <f t="shared" ref="O226:Q226" si="207">SUM(O227)</f>
        <v>0</v>
      </c>
      <c r="P226" s="1217">
        <f t="shared" si="207"/>
        <v>0</v>
      </c>
      <c r="Q226" s="1216">
        <f t="shared" si="207"/>
        <v>0</v>
      </c>
      <c r="R226" s="1233"/>
      <c r="S226" s="1233"/>
      <c r="T226" s="1219" t="s">
        <v>2643</v>
      </c>
      <c r="U226" s="970"/>
      <c r="V226" s="970"/>
      <c r="W226" s="970"/>
      <c r="X226" s="891"/>
      <c r="Y226" s="970" t="str">
        <f>IF(X226="","",$C$183)</f>
        <v/>
      </c>
      <c r="Z226" s="933" t="str">
        <f>IF(X226="","",CONCATENATE(Y226,"-",X226))</f>
        <v/>
      </c>
      <c r="AA226" s="934"/>
      <c r="AB226" s="916"/>
      <c r="AC226" s="917"/>
      <c r="AD226" s="918"/>
      <c r="AE226" s="914"/>
      <c r="AF226" s="976"/>
      <c r="AG226" s="1041" t="str">
        <f t="shared" si="127"/>
        <v>не совпадает</v>
      </c>
      <c r="AH226" s="978" t="str">
        <f t="shared" si="139"/>
        <v/>
      </c>
      <c r="AI226" s="979" t="str">
        <f t="shared" si="139"/>
        <v/>
      </c>
      <c r="AJ226" s="980" t="str">
        <f t="shared" si="139"/>
        <v/>
      </c>
      <c r="AK226" s="981">
        <f t="shared" si="28"/>
        <v>0</v>
      </c>
      <c r="AL226" s="895"/>
      <c r="AM226" s="896" t="str">
        <f t="shared" si="198"/>
        <v>Истина</v>
      </c>
      <c r="AN226" s="982"/>
      <c r="AO226" s="982"/>
      <c r="AP226" s="1232"/>
      <c r="AQ226" s="1221"/>
      <c r="AR226" s="982"/>
      <c r="AS226" s="919"/>
      <c r="AT226" s="899" t="str">
        <f>IF(AS226="","",VLOOKUP($AS226,[25]прил5МУ!N$25:O$84,2,FALSE)*1000)</f>
        <v/>
      </c>
      <c r="AU226" s="896" t="e">
        <f t="shared" si="150"/>
        <v>#VALUE!</v>
      </c>
      <c r="AV226" s="896"/>
      <c r="AW226" s="896" t="str">
        <f t="shared" si="115"/>
        <v/>
      </c>
      <c r="AX226" s="896" t="b">
        <f t="shared" si="118"/>
        <v>1</v>
      </c>
      <c r="AY226" s="982"/>
      <c r="AZ226" s="982"/>
      <c r="BF226" s="982"/>
    </row>
    <row r="227" spans="1:86" s="969" customFormat="1" ht="18.75">
      <c r="A227" s="969" t="str">
        <f t="shared" ref="A227" si="208">IF(C227="","",1)</f>
        <v/>
      </c>
      <c r="B227" s="1238" t="str">
        <f>IF(A227="","",SUM($A$209:A227))</f>
        <v/>
      </c>
      <c r="C227" s="1243"/>
      <c r="D227" s="922" t="str">
        <f t="shared" ref="D227" si="209">IF(AF227=0,"",AF227)</f>
        <v/>
      </c>
      <c r="E227" s="1244"/>
      <c r="F227" s="1245"/>
      <c r="G227" s="1246"/>
      <c r="H227" s="1247"/>
      <c r="I227" s="1247"/>
      <c r="J227" s="1247"/>
      <c r="K227" s="1247"/>
      <c r="L227" s="1247"/>
      <c r="M227" s="1247"/>
      <c r="N227" s="1247"/>
      <c r="O227" s="1247"/>
      <c r="P227" s="1248"/>
      <c r="Q227" s="1046"/>
      <c r="R227" s="1047"/>
      <c r="S227" s="1048"/>
      <c r="T227" s="1049"/>
      <c r="U227" s="970"/>
      <c r="V227" s="1050"/>
      <c r="W227" s="1051" t="str">
        <f>""&amp;V227&amp;" - "&amp;X227&amp;""</f>
        <v xml:space="preserve"> - </v>
      </c>
      <c r="X227" s="1052"/>
      <c r="Y227" s="1053" t="str">
        <f>IF(X227="","",$C$183)</f>
        <v/>
      </c>
      <c r="Z227" s="1054" t="str">
        <f>IF(X227="","",CONCATENATE(Y227,": ",W227))</f>
        <v/>
      </c>
      <c r="AA227" s="934"/>
      <c r="AB227" s="935">
        <f>O227</f>
        <v>0</v>
      </c>
      <c r="AC227" s="936">
        <f>(I227+H227)</f>
        <v>0</v>
      </c>
      <c r="AD227" s="937">
        <f>K227</f>
        <v>0</v>
      </c>
      <c r="AE227" s="938">
        <f t="shared" ref="AE227" si="210">AB227+AC227+AD227</f>
        <v>0</v>
      </c>
      <c r="AF227" s="976"/>
      <c r="AG227" s="1041" t="str">
        <f t="shared" si="127"/>
        <v>не совпадает</v>
      </c>
      <c r="AH227" s="978" t="str">
        <f t="shared" si="139"/>
        <v/>
      </c>
      <c r="AI227" s="979" t="str">
        <f t="shared" si="139"/>
        <v/>
      </c>
      <c r="AJ227" s="980" t="str">
        <f t="shared" si="139"/>
        <v/>
      </c>
      <c r="AK227" s="981">
        <f t="shared" si="28"/>
        <v>0</v>
      </c>
      <c r="AL227" s="895"/>
      <c r="AM227" s="896" t="str">
        <f t="shared" si="198"/>
        <v>Истина</v>
      </c>
      <c r="AN227" s="982"/>
      <c r="AO227" s="982"/>
      <c r="AP227" s="1055"/>
      <c r="AQ227" s="1056"/>
      <c r="AR227" s="982"/>
      <c r="AS227" s="919"/>
      <c r="AT227" s="899" t="str">
        <f>IF(AS227="","",VLOOKUP($AS227,[25]прил5МУ!N$25:O$84,2,FALSE)*1000)</f>
        <v/>
      </c>
      <c r="AU227" s="896" t="str">
        <f t="shared" si="150"/>
        <v>ИСТИНА</v>
      </c>
      <c r="AV227" s="896"/>
      <c r="AW227" s="896" t="str">
        <f t="shared" si="115"/>
        <v/>
      </c>
      <c r="AX227" s="896" t="b">
        <f t="shared" si="118"/>
        <v>1</v>
      </c>
      <c r="AY227" s="982"/>
      <c r="AZ227" s="982"/>
      <c r="BF227" s="982"/>
    </row>
    <row r="228" spans="1:86" ht="18.75">
      <c r="B228" s="1208" t="s">
        <v>2661</v>
      </c>
      <c r="C228" s="1208" t="s">
        <v>2662</v>
      </c>
      <c r="D228" s="1209"/>
      <c r="E228" s="1209"/>
      <c r="F228" s="1210">
        <f>SUM(F229)</f>
        <v>0</v>
      </c>
      <c r="G228" s="1211">
        <f t="shared" ref="G228:H228" si="211">SUM(G229)</f>
        <v>0</v>
      </c>
      <c r="H228" s="1211">
        <f t="shared" si="211"/>
        <v>0</v>
      </c>
      <c r="I228" s="1211">
        <f>SUM(I229)</f>
        <v>0</v>
      </c>
      <c r="J228" s="1211">
        <f t="shared" ref="J228:L228" si="212">SUM(J229)</f>
        <v>0</v>
      </c>
      <c r="K228" s="1211">
        <f>SUM(K229)</f>
        <v>0</v>
      </c>
      <c r="L228" s="1211">
        <f t="shared" si="212"/>
        <v>0</v>
      </c>
      <c r="M228" s="1211">
        <f>SUM(M229)</f>
        <v>0</v>
      </c>
      <c r="N228" s="1211">
        <f t="shared" ref="N228:Q228" si="213">SUM(N229)</f>
        <v>0</v>
      </c>
      <c r="O228" s="1211">
        <f t="shared" si="213"/>
        <v>0</v>
      </c>
      <c r="P228" s="1211">
        <f>SUM(P229)</f>
        <v>0</v>
      </c>
      <c r="Q228" s="1210">
        <f t="shared" si="213"/>
        <v>0</v>
      </c>
      <c r="R228" s="1209"/>
      <c r="S228" s="1209"/>
      <c r="T228" s="1212"/>
      <c r="X228" s="970"/>
      <c r="Y228" s="970" t="str">
        <f>IF(X228="","",$C$185)</f>
        <v/>
      </c>
      <c r="Z228" s="933" t="str">
        <f>IF(X228="","",CONCATENATE(Y228,"-",X228))</f>
        <v/>
      </c>
      <c r="AA228" s="934"/>
      <c r="AB228" s="916"/>
      <c r="AC228" s="917"/>
      <c r="AD228" s="918"/>
      <c r="AE228" s="914"/>
      <c r="AF228" s="939"/>
      <c r="AG228" s="1040" t="str">
        <f t="shared" si="127"/>
        <v>не совпадает</v>
      </c>
      <c r="AH228" s="941" t="str">
        <f t="shared" si="139"/>
        <v/>
      </c>
      <c r="AI228" s="942" t="str">
        <f t="shared" si="139"/>
        <v/>
      </c>
      <c r="AJ228" s="943" t="str">
        <f t="shared" si="139"/>
        <v/>
      </c>
      <c r="AK228" s="938">
        <f t="shared" si="28"/>
        <v>0</v>
      </c>
      <c r="AM228" s="896" t="str">
        <f t="shared" si="198"/>
        <v>Истина</v>
      </c>
      <c r="AS228" s="919"/>
      <c r="AT228" s="899" t="str">
        <f>IF(AS228="","",VLOOKUP($AS228,[25]прил5МУ!N$25:O$84,2,FALSE)*1000)</f>
        <v/>
      </c>
      <c r="AU228" s="896" t="e">
        <f t="shared" si="150"/>
        <v>#VALUE!</v>
      </c>
      <c r="AW228" s="896" t="str">
        <f t="shared" si="115"/>
        <v/>
      </c>
      <c r="AX228" s="896" t="b">
        <f t="shared" si="118"/>
        <v>1</v>
      </c>
    </row>
    <row r="229" spans="1:86" s="969" customFormat="1" ht="18.75">
      <c r="A229" s="969" t="str">
        <f t="shared" ref="A229" si="214">IF(C229="","",1)</f>
        <v/>
      </c>
      <c r="B229" s="1064" t="str">
        <f>IF(A229="","",SUM($A$229:A229))</f>
        <v/>
      </c>
      <c r="C229" s="1065"/>
      <c r="D229" s="922" t="str">
        <f t="shared" ref="D229" si="215">IF(AF229=0,"",AF229)</f>
        <v/>
      </c>
      <c r="E229" s="1065"/>
      <c r="F229" s="1066"/>
      <c r="G229" s="1067"/>
      <c r="H229" s="1068"/>
      <c r="I229" s="1068"/>
      <c r="J229" s="1068"/>
      <c r="K229" s="1068"/>
      <c r="L229" s="1068"/>
      <c r="M229" s="1068"/>
      <c r="N229" s="1068"/>
      <c r="O229" s="1068"/>
      <c r="P229" s="1068"/>
      <c r="Q229" s="1069"/>
      <c r="R229" s="1047"/>
      <c r="S229" s="1048"/>
      <c r="T229" s="1049"/>
      <c r="U229" s="970"/>
      <c r="V229" s="1050"/>
      <c r="W229" s="1051" t="str">
        <f>""&amp;V229&amp;" - "&amp;X229&amp;""</f>
        <v xml:space="preserve"> - </v>
      </c>
      <c r="X229" s="1052"/>
      <c r="Y229" s="1053" t="str">
        <f>IF(X229="","",$C$185)</f>
        <v/>
      </c>
      <c r="Z229" s="1054" t="str">
        <f>IF(X229="","",CONCATENATE(Y229,": ",W229))</f>
        <v/>
      </c>
      <c r="AA229" s="934"/>
      <c r="AB229" s="916"/>
      <c r="AC229" s="917"/>
      <c r="AD229" s="918"/>
      <c r="AE229" s="914"/>
      <c r="AF229" s="976"/>
      <c r="AG229" s="1041" t="str">
        <f t="shared" si="127"/>
        <v>не совпадает</v>
      </c>
      <c r="AH229" s="978" t="str">
        <f t="shared" si="139"/>
        <v/>
      </c>
      <c r="AI229" s="979" t="str">
        <f t="shared" si="139"/>
        <v/>
      </c>
      <c r="AJ229" s="980" t="str">
        <f t="shared" si="139"/>
        <v/>
      </c>
      <c r="AK229" s="981">
        <f t="shared" si="28"/>
        <v>0</v>
      </c>
      <c r="AL229" s="895"/>
      <c r="AM229" s="896" t="str">
        <f t="shared" si="198"/>
        <v>Истина</v>
      </c>
      <c r="AN229" s="982"/>
      <c r="AO229" s="982"/>
      <c r="AP229" s="1055"/>
      <c r="AQ229" s="1056"/>
      <c r="AR229" s="982"/>
      <c r="AS229" s="919"/>
      <c r="AT229" s="899" t="str">
        <f>IF(AS229="","",VLOOKUP($AS229,[25]прил5МУ!N$25:O$84,2,FALSE)*1000)</f>
        <v/>
      </c>
      <c r="AU229" s="896" t="str">
        <f t="shared" si="150"/>
        <v>ИСТИНА</v>
      </c>
      <c r="AV229" s="896"/>
      <c r="AW229" s="896" t="str">
        <f t="shared" si="115"/>
        <v/>
      </c>
      <c r="AX229" s="896" t="b">
        <f t="shared" si="118"/>
        <v>1</v>
      </c>
      <c r="AY229" s="982"/>
      <c r="AZ229" s="982"/>
      <c r="BF229" s="982"/>
    </row>
    <row r="230" spans="1:86" ht="18.75">
      <c r="B230" s="1234">
        <f>MAX(B209:B212,B214:B216,B218,B220:B221,B223,B225,B227,B229)</f>
        <v>2</v>
      </c>
      <c r="C230" s="1162" t="str">
        <f>"ИТОГО "&amp;$C$183&amp;" (НЕ ЛЬГОТА):"</f>
        <v>ИТОГО Трансф. подстанции до 35 кВ (НЕ ЛЬГОТА):</v>
      </c>
      <c r="D230" s="1162"/>
      <c r="E230" s="1162"/>
      <c r="F230" s="1235">
        <f>SUM(F206,F228)</f>
        <v>0</v>
      </c>
      <c r="G230" s="1236">
        <f>SUM(G206,G228)</f>
        <v>30</v>
      </c>
      <c r="H230" s="1236">
        <f t="shared" ref="H230:N230" si="216">SUM(H206,H228)</f>
        <v>0</v>
      </c>
      <c r="I230" s="1236">
        <f t="shared" si="216"/>
        <v>266257.46000000002</v>
      </c>
      <c r="J230" s="1236">
        <f t="shared" si="216"/>
        <v>0</v>
      </c>
      <c r="K230" s="1236">
        <f t="shared" si="216"/>
        <v>80473.13</v>
      </c>
      <c r="L230" s="1236">
        <f t="shared" si="216"/>
        <v>0</v>
      </c>
      <c r="M230" s="1236">
        <f t="shared" si="216"/>
        <v>0</v>
      </c>
      <c r="N230" s="1236">
        <f t="shared" si="216"/>
        <v>0</v>
      </c>
      <c r="O230" s="1236">
        <f>SUM(O206,O228)</f>
        <v>78022.34</v>
      </c>
      <c r="P230" s="1236">
        <f>SUM(P206,P228)</f>
        <v>424752.93000000005</v>
      </c>
      <c r="Q230" s="1235">
        <f>SUM(Q206,Q228)</f>
        <v>2</v>
      </c>
      <c r="R230" s="1237"/>
      <c r="S230" s="1237"/>
      <c r="T230" s="1237"/>
      <c r="U230" s="1087"/>
      <c r="V230" s="1087"/>
      <c r="W230" s="1087"/>
      <c r="Y230" s="970" t="str">
        <f t="shared" ref="Y230" si="217">IF(X230="","",$C$206)</f>
        <v/>
      </c>
      <c r="Z230" s="970" t="str">
        <f t="shared" si="120"/>
        <v/>
      </c>
      <c r="AA230" s="934"/>
      <c r="AB230" s="1088"/>
      <c r="AC230" s="1089"/>
      <c r="AD230" s="1090"/>
      <c r="AE230" s="1091"/>
      <c r="AF230" s="1092"/>
      <c r="AG230" s="1093" t="str">
        <f t="shared" si="127"/>
        <v>не совпадает</v>
      </c>
      <c r="AH230" s="1094" t="str">
        <f t="shared" si="139"/>
        <v/>
      </c>
      <c r="AI230" s="1095" t="str">
        <f t="shared" si="139"/>
        <v/>
      </c>
      <c r="AJ230" s="1096" t="str">
        <f t="shared" si="139"/>
        <v/>
      </c>
      <c r="AK230" s="1097">
        <f t="shared" si="28"/>
        <v>0</v>
      </c>
      <c r="AS230" s="919"/>
      <c r="AT230" s="899" t="str">
        <f>IF(AS230="","",VLOOKUP($AS230,[25]прил5МУ!N$25:O$84,2,FALSE)*1000)</f>
        <v/>
      </c>
      <c r="AU230" s="896" t="e">
        <f t="shared" si="150"/>
        <v>#VALUE!</v>
      </c>
      <c r="AW230" s="896" t="str">
        <f t="shared" si="115"/>
        <v/>
      </c>
      <c r="AX230" s="896" t="b">
        <f t="shared" si="118"/>
        <v>1</v>
      </c>
    </row>
    <row r="231" spans="1:86">
      <c r="F231" s="1025"/>
      <c r="X231" s="891">
        <f>COUNTIF($X$8:$X$230,X211)</f>
        <v>0</v>
      </c>
      <c r="Y231" s="1098" t="e">
        <f>X231/#REF!</f>
        <v>#REF!</v>
      </c>
      <c r="Z231" s="1028"/>
      <c r="AN231" s="899"/>
      <c r="AO231" s="899"/>
      <c r="AP231" s="899"/>
      <c r="AQ231" s="1099"/>
      <c r="AR231" s="899"/>
      <c r="AS231" s="899"/>
      <c r="AU231" s="899"/>
      <c r="AV231" s="899"/>
      <c r="AW231" s="899"/>
      <c r="AX231" s="899"/>
      <c r="AY231" s="899"/>
      <c r="AZ231" s="899"/>
      <c r="BF231" s="899"/>
    </row>
    <row r="232" spans="1:86">
      <c r="F232" s="1025"/>
      <c r="Y232" s="1098"/>
      <c r="Z232" s="1028"/>
      <c r="AH232" s="1249">
        <f>SUM(AH9:AH230)</f>
        <v>1806013.8081555013</v>
      </c>
      <c r="AI232" s="1249">
        <f>SUM(AI9:AI230)</f>
        <v>268624.22370300576</v>
      </c>
      <c r="AJ232" s="1249">
        <f>SUM(AJ9:AJ230)</f>
        <v>519103.64995597291</v>
      </c>
      <c r="AK232" s="1250">
        <f>SUM(AK9:AK230)</f>
        <v>2593741.6818144796</v>
      </c>
      <c r="AN232" s="899"/>
      <c r="AO232" s="899"/>
      <c r="AP232" s="899"/>
      <c r="AQ232" s="1099"/>
      <c r="AR232" s="899"/>
      <c r="AS232" s="899"/>
      <c r="AU232" s="899"/>
      <c r="AV232" s="899"/>
      <c r="AW232" s="899"/>
      <c r="AX232" s="899"/>
      <c r="AY232" s="899"/>
      <c r="AZ232" s="899"/>
      <c r="BF232" s="899"/>
    </row>
    <row r="233" spans="1:86">
      <c r="F233" s="1025"/>
      <c r="Q233" s="1100"/>
      <c r="Y233" s="1098"/>
      <c r="Z233" s="1028"/>
      <c r="AN233" s="899"/>
      <c r="AO233" s="899"/>
      <c r="AP233" s="899"/>
      <c r="AQ233" s="1099"/>
      <c r="AR233" s="899"/>
      <c r="AS233" s="899"/>
      <c r="AU233" s="899"/>
      <c r="AV233" s="899"/>
      <c r="AW233" s="899"/>
      <c r="AX233" s="899"/>
      <c r="AY233" s="899"/>
      <c r="AZ233" s="899"/>
      <c r="BF233" s="899"/>
    </row>
    <row r="234" spans="1:86" s="76" customFormat="1" ht="18.75">
      <c r="C234" s="1117" t="s">
        <v>3351</v>
      </c>
      <c r="D234" s="1118"/>
      <c r="E234" s="1118"/>
      <c r="F234" s="1118"/>
      <c r="G234" s="1119"/>
      <c r="H234" s="1119"/>
      <c r="I234" s="1118"/>
      <c r="J234" s="1118"/>
      <c r="K234" s="1118"/>
      <c r="L234" s="1117"/>
      <c r="P234" s="272"/>
      <c r="Q234" s="1117" t="s">
        <v>3352</v>
      </c>
      <c r="S234" s="1117"/>
      <c r="X234" s="128"/>
      <c r="AM234" s="1120"/>
      <c r="BE234" s="272"/>
      <c r="BF234" s="272"/>
      <c r="BG234" s="272"/>
      <c r="BH234" s="272"/>
      <c r="BI234" s="272"/>
      <c r="BJ234" s="272"/>
      <c r="BK234" s="272"/>
      <c r="BL234" s="272"/>
      <c r="BM234" s="272"/>
      <c r="BN234" s="272"/>
      <c r="BO234" s="272"/>
      <c r="BP234" s="272"/>
      <c r="BQ234" s="272"/>
      <c r="BR234" s="272"/>
      <c r="BS234" s="272"/>
      <c r="BT234" s="272"/>
      <c r="BU234" s="272"/>
      <c r="BV234" s="272"/>
      <c r="BW234" s="272"/>
      <c r="BX234" s="272"/>
      <c r="BY234" s="272"/>
      <c r="BZ234" s="272"/>
      <c r="CA234" s="272"/>
      <c r="CB234" s="272"/>
      <c r="CC234" s="272"/>
      <c r="CD234" s="272"/>
      <c r="CE234" s="272"/>
      <c r="CF234" s="272"/>
      <c r="CG234" s="272"/>
      <c r="CH234" s="272"/>
    </row>
    <row r="235" spans="1:86" s="76" customFormat="1" ht="15.75">
      <c r="C235" s="1121"/>
      <c r="D235" s="1121"/>
      <c r="E235" s="1121"/>
      <c r="F235" s="1122"/>
      <c r="G235" s="272"/>
      <c r="P235" s="272"/>
      <c r="X235" s="128"/>
      <c r="AM235" s="1120"/>
      <c r="BE235" s="272"/>
      <c r="BF235" s="272"/>
      <c r="BG235" s="272"/>
      <c r="BH235" s="272"/>
      <c r="BI235" s="272"/>
      <c r="BJ235" s="272"/>
      <c r="BK235" s="272"/>
      <c r="BL235" s="272"/>
      <c r="BM235" s="272"/>
      <c r="BN235" s="272"/>
      <c r="BO235" s="272"/>
      <c r="BP235" s="272"/>
      <c r="BQ235" s="272"/>
      <c r="BR235" s="272"/>
      <c r="BS235" s="272"/>
      <c r="BT235" s="272"/>
      <c r="BU235" s="272"/>
      <c r="BV235" s="272"/>
      <c r="BW235" s="272"/>
      <c r="BX235" s="272"/>
      <c r="BY235" s="272"/>
      <c r="BZ235" s="272"/>
      <c r="CA235" s="272"/>
      <c r="CB235" s="272"/>
      <c r="CC235" s="272"/>
      <c r="CD235" s="272"/>
      <c r="CE235" s="272"/>
      <c r="CF235" s="272"/>
      <c r="CG235" s="272"/>
      <c r="CH235" s="272"/>
    </row>
    <row r="236" spans="1:86" s="76" customFormat="1" ht="15.75">
      <c r="C236" s="1121"/>
      <c r="D236" s="1121"/>
      <c r="E236" s="1121"/>
      <c r="F236" s="1122"/>
      <c r="G236" s="272"/>
      <c r="P236" s="272"/>
      <c r="X236" s="128"/>
      <c r="AM236" s="1120"/>
      <c r="AQ236" s="736"/>
      <c r="BE236" s="272"/>
      <c r="BF236" s="272"/>
      <c r="BG236" s="272"/>
      <c r="BH236" s="272"/>
      <c r="BI236" s="272"/>
      <c r="BJ236" s="272"/>
      <c r="BK236" s="272"/>
      <c r="BL236" s="272"/>
      <c r="BM236" s="272"/>
      <c r="BN236" s="272"/>
      <c r="BO236" s="272"/>
      <c r="BP236" s="272"/>
      <c r="BQ236" s="272"/>
      <c r="BR236" s="272"/>
      <c r="BS236" s="272"/>
      <c r="BT236" s="272"/>
      <c r="BU236" s="272"/>
      <c r="BV236" s="272"/>
      <c r="BW236" s="272"/>
      <c r="BX236" s="272"/>
      <c r="BY236" s="272"/>
      <c r="BZ236" s="272"/>
      <c r="CA236" s="272"/>
      <c r="CB236" s="272"/>
      <c r="CC236" s="272"/>
      <c r="CD236" s="272"/>
      <c r="CE236" s="272"/>
      <c r="CF236" s="272"/>
      <c r="CG236" s="272"/>
      <c r="CH236" s="272"/>
    </row>
    <row r="237" spans="1:86" s="76" customFormat="1" ht="18.75">
      <c r="C237" s="2449" t="s">
        <v>3954</v>
      </c>
      <c r="D237" s="2450"/>
      <c r="E237" s="1123"/>
      <c r="F237" s="1124"/>
      <c r="G237" s="272"/>
      <c r="P237" s="272"/>
      <c r="Q237" s="1117" t="s">
        <v>3955</v>
      </c>
      <c r="X237" s="128"/>
      <c r="AM237" s="1120"/>
      <c r="BE237" s="272"/>
      <c r="BF237" s="272"/>
      <c r="BG237" s="272"/>
      <c r="BH237" s="272"/>
      <c r="BI237" s="272"/>
      <c r="BJ237" s="272"/>
      <c r="BK237" s="272"/>
      <c r="BL237" s="272"/>
      <c r="BM237" s="272"/>
      <c r="BN237" s="272"/>
      <c r="BO237" s="272"/>
      <c r="BP237" s="272"/>
      <c r="BQ237" s="272"/>
      <c r="BR237" s="272"/>
      <c r="BS237" s="272"/>
      <c r="BT237" s="272"/>
      <c r="BU237" s="272"/>
      <c r="BV237" s="272"/>
      <c r="BW237" s="272"/>
      <c r="BX237" s="272"/>
      <c r="BY237" s="272"/>
      <c r="BZ237" s="272"/>
      <c r="CA237" s="272"/>
      <c r="CB237" s="272"/>
      <c r="CC237" s="272"/>
      <c r="CD237" s="272"/>
      <c r="CE237" s="272"/>
      <c r="CF237" s="272"/>
      <c r="CG237" s="272"/>
      <c r="CH237" s="272"/>
    </row>
    <row r="238" spans="1:86">
      <c r="F238" s="1026"/>
      <c r="G238" s="1026"/>
      <c r="H238" s="1026"/>
      <c r="I238" s="1026"/>
      <c r="J238" s="1026"/>
      <c r="K238" s="1026"/>
      <c r="L238" s="1026"/>
      <c r="M238" s="1026"/>
      <c r="N238" s="1026"/>
      <c r="O238" s="1026"/>
      <c r="P238" s="1026"/>
    </row>
    <row r="240" spans="1:86" ht="15.75">
      <c r="B240" s="385">
        <f>B52</f>
        <v>27</v>
      </c>
      <c r="C240" s="368" t="str">
        <f>"до 15 кВт ВЛ-0,4 льгот - "&amp;B240&amp;" шт."</f>
        <v>до 15 кВт ВЛ-0,4 льгот - 27 шт.</v>
      </c>
    </row>
    <row r="241" spans="2:3" ht="15.75">
      <c r="B241" s="385">
        <f>B75</f>
        <v>3</v>
      </c>
      <c r="C241" s="368" t="str">
        <f>"до 15 кВт ВЛ-10 льгот - "&amp;B241&amp;" шт."</f>
        <v>до 15 кВт ВЛ-10 льгот - 3 шт.</v>
      </c>
    </row>
    <row r="242" spans="2:3" ht="15.75">
      <c r="B242" s="385">
        <f>B93</f>
        <v>0</v>
      </c>
      <c r="C242" s="368" t="str">
        <f>"до 15 кВт ВЛ-0,4 не льгот - "&amp;B242&amp;" шт."</f>
        <v>до 15 кВт ВЛ-0,4 не льгот - 0 шт.</v>
      </c>
    </row>
    <row r="243" spans="2:3" ht="15.75">
      <c r="B243" s="385">
        <f>B113</f>
        <v>2</v>
      </c>
      <c r="C243" s="368" t="str">
        <f>"до 15 кВт ВЛ-10 не льгот - "&amp;B243&amp;" шт."</f>
        <v>до 15 кВт ВЛ-10 не льгот - 2 шт.</v>
      </c>
    </row>
    <row r="244" spans="2:3" ht="15.75">
      <c r="B244" s="385">
        <f>B135</f>
        <v>2</v>
      </c>
      <c r="C244" s="368" t="str">
        <f>"от 15 до 150 кВт 0,4 кВ не льгот - "&amp;B244&amp;" шт."</f>
        <v>от 15 до 150 кВт 0,4 кВ не льгот - 2 шт.</v>
      </c>
    </row>
    <row r="245" spans="2:3" ht="15.75">
      <c r="B245" s="385">
        <f>B157</f>
        <v>0</v>
      </c>
      <c r="C245" s="368" t="str">
        <f>"от 15 до 150 кВт 6-20 кВ не льгот - "&amp;B245&amp;" шт."</f>
        <v>от 15 до 150 кВт 6-20 кВ не льгот - 0 шт.</v>
      </c>
    </row>
    <row r="246" spans="2:3" ht="15.75">
      <c r="B246" s="385">
        <f>B163</f>
        <v>0</v>
      </c>
      <c r="C246" s="368" t="str">
        <f>"от 150 до 670 кВт 0,4 кВ - "&amp;B246&amp;" шт."</f>
        <v>от 150 до 670 кВт 0,4 кВ - 0 шт.</v>
      </c>
    </row>
    <row r="247" spans="2:3" ht="15.75">
      <c r="B247" s="385">
        <f>B175</f>
        <v>0</v>
      </c>
      <c r="C247" s="368" t="str">
        <f>"от 150 до 670 кВт 6-20кВ - "&amp;B247&amp;" шт."</f>
        <v>от 150 до 670 кВт 6-20кВ - 0 шт.</v>
      </c>
    </row>
    <row r="248" spans="2:3" ht="15.75">
      <c r="B248" s="385">
        <f>B205</f>
        <v>2</v>
      </c>
      <c r="C248" s="368" t="str">
        <f>"ТП, КТП, СТП льгот. - "&amp;B248&amp;" шт."</f>
        <v>ТП, КТП, СТП льгот. - 2 шт.</v>
      </c>
    </row>
    <row r="249" spans="2:3" ht="15.75">
      <c r="B249" s="385">
        <f>B230</f>
        <v>2</v>
      </c>
      <c r="C249" s="368" t="str">
        <f>"ТП, КТП, СТП не льгот. - "&amp;B249&amp;" шт."</f>
        <v>ТП, КТП, СТП не льгот. - 2 шт.</v>
      </c>
    </row>
  </sheetData>
  <autoFilter ref="B7:AT231"/>
  <mergeCells count="37">
    <mergeCell ref="S5:S6"/>
    <mergeCell ref="B3:R3"/>
    <mergeCell ref="B5:B6"/>
    <mergeCell ref="C5:C6"/>
    <mergeCell ref="D5:D6"/>
    <mergeCell ref="E5:E6"/>
    <mergeCell ref="F5:G5"/>
    <mergeCell ref="H5:H6"/>
    <mergeCell ref="I5:I6"/>
    <mergeCell ref="J5:J6"/>
    <mergeCell ref="K5:L5"/>
    <mergeCell ref="M5:M6"/>
    <mergeCell ref="N5:N6"/>
    <mergeCell ref="O5:O6"/>
    <mergeCell ref="Q5:Q6"/>
    <mergeCell ref="R5:R6"/>
    <mergeCell ref="U5:U6"/>
    <mergeCell ref="X5:X6"/>
    <mergeCell ref="Y5:Y6"/>
    <mergeCell ref="AB5:AE5"/>
    <mergeCell ref="AF5:AF6"/>
    <mergeCell ref="C159:T159"/>
    <mergeCell ref="C183:T183"/>
    <mergeCell ref="AT193:AT194"/>
    <mergeCell ref="AS5:AS6"/>
    <mergeCell ref="AZ5:AZ6"/>
    <mergeCell ref="C8:T8"/>
    <mergeCell ref="AT46:AT47"/>
    <mergeCell ref="C77:T77"/>
    <mergeCell ref="C115:T115"/>
    <mergeCell ref="AG5:AG6"/>
    <mergeCell ref="AH5:AK5"/>
    <mergeCell ref="AN5:AN6"/>
    <mergeCell ref="AO5:AO6"/>
    <mergeCell ref="AP5:AP6"/>
    <mergeCell ref="AQ5:AQ6"/>
    <mergeCell ref="T5:T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3" orientation="portrait" r:id="rId1"/>
  <rowBreaks count="1" manualBreakCount="1">
    <brk id="182" max="19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WWS241"/>
  <sheetViews>
    <sheetView view="pageBreakPreview" zoomScale="85" zoomScaleNormal="75" zoomScaleSheetLayoutView="85" workbookViewId="0">
      <pane xSplit="3" ySplit="6" topLeftCell="D49" activePane="bottomRight" state="frozen"/>
      <selection pane="topRight" activeCell="D1" sqref="D1"/>
      <selection pane="bottomLeft" activeCell="A7" sqref="A7"/>
      <selection pane="bottomRight" activeCell="P61" sqref="P61"/>
    </sheetView>
  </sheetViews>
  <sheetFormatPr defaultRowHeight="12.75" outlineLevelCol="1"/>
  <cols>
    <col min="1" max="1" width="2.140625" style="76" customWidth="1"/>
    <col min="2" max="2" width="10.85546875" style="76" customWidth="1"/>
    <col min="3" max="3" width="65.28515625" style="76" customWidth="1"/>
    <col min="4" max="5" width="12.28515625" style="76" customWidth="1"/>
    <col min="6" max="6" width="14.42578125" style="76" bestFit="1" customWidth="1"/>
    <col min="7" max="7" width="12.85546875" style="76" bestFit="1" customWidth="1"/>
    <col min="8" max="8" width="12.5703125" style="76" customWidth="1" outlineLevel="1"/>
    <col min="9" max="9" width="20.7109375" style="76" customWidth="1" outlineLevel="1"/>
    <col min="10" max="10" width="9.140625" style="76" customWidth="1" outlineLevel="1"/>
    <col min="11" max="11" width="18.5703125" style="76" customWidth="1" outlineLevel="1"/>
    <col min="12" max="14" width="9.140625" style="76" customWidth="1" outlineLevel="1"/>
    <col min="15" max="15" width="19.140625" style="76" customWidth="1" outlineLevel="1"/>
    <col min="16" max="16" width="19" style="76" customWidth="1"/>
    <col min="17" max="17" width="14.85546875" style="76" bestFit="1" customWidth="1"/>
    <col min="18" max="18" width="13.85546875" style="76" bestFit="1" customWidth="1"/>
    <col min="19" max="19" width="17.5703125" style="76" customWidth="1"/>
    <col min="20" max="20" width="21" style="76" customWidth="1"/>
    <col min="21" max="21" width="10.42578125" style="76" customWidth="1"/>
    <col min="22" max="22" width="11.28515625" style="76" hidden="1" customWidth="1" outlineLevel="1"/>
    <col min="23" max="23" width="15.85546875" style="76" hidden="1" customWidth="1" outlineLevel="1"/>
    <col min="24" max="24" width="15.5703125" style="76" hidden="1" customWidth="1" outlineLevel="1"/>
    <col min="25" max="25" width="15.85546875" style="76" hidden="1" customWidth="1" outlineLevel="1"/>
    <col min="26" max="26" width="26.42578125" style="76" hidden="1" customWidth="1" outlineLevel="1"/>
    <col min="27" max="27" width="5.5703125" style="81" customWidth="1" collapsed="1"/>
    <col min="28" max="28" width="13" style="81" hidden="1" customWidth="1" outlineLevel="1"/>
    <col min="29" max="29" width="12.7109375" style="81" hidden="1" customWidth="1" outlineLevel="1"/>
    <col min="30" max="30" width="5.85546875" style="81" hidden="1" customWidth="1" outlineLevel="1"/>
    <col min="31" max="31" width="4.7109375" style="81" hidden="1" customWidth="1" outlineLevel="1"/>
    <col min="32" max="32" width="8.7109375" style="81" hidden="1" customWidth="1" outlineLevel="1"/>
    <col min="33" max="33" width="11.140625" style="81" hidden="1" customWidth="1" outlineLevel="1"/>
    <col min="34" max="34" width="8.42578125" style="76" customWidth="1" collapsed="1"/>
    <col min="35" max="35" width="14.5703125" style="81" hidden="1" customWidth="1" outlineLevel="1"/>
    <col min="36" max="36" width="13.42578125" style="81" hidden="1" customWidth="1" outlineLevel="1"/>
    <col min="37" max="37" width="12.42578125" style="81" hidden="1" customWidth="1" outlineLevel="1"/>
    <col min="38" max="38" width="14" style="81" hidden="1" customWidth="1" outlineLevel="1"/>
    <col min="39" max="39" width="10.140625" style="81" bestFit="1" customWidth="1" collapsed="1"/>
    <col min="40" max="40" width="8.140625" style="82" hidden="1" customWidth="1" outlineLevel="1"/>
    <col min="41" max="41" width="15" style="82" hidden="1" customWidth="1" outlineLevel="1"/>
    <col min="42" max="42" width="14.85546875" style="82" hidden="1" customWidth="1" outlineLevel="1"/>
    <col min="43" max="43" width="10.7109375" style="82" hidden="1" customWidth="1" outlineLevel="1"/>
    <col min="44" max="44" width="10.7109375" style="83" hidden="1" customWidth="1" outlineLevel="1"/>
    <col min="45" max="45" width="9.140625" style="82" customWidth="1" collapsed="1"/>
    <col min="46" max="46" width="24.42578125" style="84" customWidth="1"/>
    <col min="47" max="47" width="14.28515625" style="85" bestFit="1" customWidth="1"/>
    <col min="48" max="49" width="9.140625" style="82"/>
    <col min="50" max="50" width="14.28515625" style="82" bestFit="1" customWidth="1"/>
    <col min="51" max="51" width="9.140625" style="82"/>
    <col min="52" max="52" width="7.28515625" style="82" hidden="1" customWidth="1" outlineLevel="1"/>
    <col min="53" max="53" width="24.42578125" style="82" bestFit="1" customWidth="1" collapsed="1"/>
    <col min="54" max="54" width="9.140625" style="82"/>
    <col min="55" max="55" width="21" style="82" hidden="1" customWidth="1" outlineLevel="1"/>
    <col min="56" max="56" width="13.5703125" style="82" hidden="1" customWidth="1" outlineLevel="1"/>
    <col min="57" max="57" width="15" style="82" hidden="1" customWidth="1" outlineLevel="1"/>
    <col min="58" max="58" width="9.140625" style="82" collapsed="1"/>
    <col min="59" max="59" width="9.140625" style="76"/>
    <col min="60" max="60" width="10" style="76" bestFit="1" customWidth="1"/>
    <col min="61" max="271" width="9.140625" style="76"/>
    <col min="272" max="272" width="45" style="76" customWidth="1"/>
    <col min="273" max="273" width="17.28515625" style="76" customWidth="1"/>
    <col min="274" max="274" width="9.140625" style="76"/>
    <col min="275" max="282" width="0" style="76" hidden="1" customWidth="1"/>
    <col min="283" max="283" width="10.85546875" style="76" bestFit="1" customWidth="1"/>
    <col min="284" max="285" width="9.140625" style="76"/>
    <col min="286" max="286" width="13.42578125" style="76" customWidth="1"/>
    <col min="287" max="287" width="14.7109375" style="76" customWidth="1"/>
    <col min="288" max="289" width="9.140625" style="76"/>
    <col min="290" max="290" width="15" style="76" customWidth="1"/>
    <col min="291" max="291" width="14.85546875" style="76" customWidth="1"/>
    <col min="292" max="292" width="12.85546875" style="76" customWidth="1"/>
    <col min="293" max="293" width="21.85546875" style="76" customWidth="1"/>
    <col min="294" max="527" width="9.140625" style="76"/>
    <col min="528" max="528" width="45" style="76" customWidth="1"/>
    <col min="529" max="529" width="17.28515625" style="76" customWidth="1"/>
    <col min="530" max="530" width="9.140625" style="76"/>
    <col min="531" max="538" width="0" style="76" hidden="1" customWidth="1"/>
    <col min="539" max="539" width="10.85546875" style="76" bestFit="1" customWidth="1"/>
    <col min="540" max="541" width="9.140625" style="76"/>
    <col min="542" max="542" width="13.42578125" style="76" customWidth="1"/>
    <col min="543" max="543" width="14.7109375" style="76" customWidth="1"/>
    <col min="544" max="545" width="9.140625" style="76"/>
    <col min="546" max="546" width="15" style="76" customWidth="1"/>
    <col min="547" max="547" width="14.85546875" style="76" customWidth="1"/>
    <col min="548" max="548" width="12.85546875" style="76" customWidth="1"/>
    <col min="549" max="549" width="21.85546875" style="76" customWidth="1"/>
    <col min="550" max="783" width="9.140625" style="76"/>
    <col min="784" max="784" width="45" style="76" customWidth="1"/>
    <col min="785" max="785" width="17.28515625" style="76" customWidth="1"/>
    <col min="786" max="786" width="9.140625" style="76"/>
    <col min="787" max="794" width="0" style="76" hidden="1" customWidth="1"/>
    <col min="795" max="795" width="10.85546875" style="76" bestFit="1" customWidth="1"/>
    <col min="796" max="797" width="9.140625" style="76"/>
    <col min="798" max="798" width="13.42578125" style="76" customWidth="1"/>
    <col min="799" max="799" width="14.7109375" style="76" customWidth="1"/>
    <col min="800" max="801" width="9.140625" style="76"/>
    <col min="802" max="802" width="15" style="76" customWidth="1"/>
    <col min="803" max="803" width="14.85546875" style="76" customWidth="1"/>
    <col min="804" max="804" width="12.85546875" style="76" customWidth="1"/>
    <col min="805" max="805" width="21.85546875" style="76" customWidth="1"/>
    <col min="806" max="1039" width="9.140625" style="76"/>
    <col min="1040" max="1040" width="45" style="76" customWidth="1"/>
    <col min="1041" max="1041" width="17.28515625" style="76" customWidth="1"/>
    <col min="1042" max="1042" width="9.140625" style="76"/>
    <col min="1043" max="1050" width="0" style="76" hidden="1" customWidth="1"/>
    <col min="1051" max="1051" width="10.85546875" style="76" bestFit="1" customWidth="1"/>
    <col min="1052" max="1053" width="9.140625" style="76"/>
    <col min="1054" max="1054" width="13.42578125" style="76" customWidth="1"/>
    <col min="1055" max="1055" width="14.7109375" style="76" customWidth="1"/>
    <col min="1056" max="1057" width="9.140625" style="76"/>
    <col min="1058" max="1058" width="15" style="76" customWidth="1"/>
    <col min="1059" max="1059" width="14.85546875" style="76" customWidth="1"/>
    <col min="1060" max="1060" width="12.85546875" style="76" customWidth="1"/>
    <col min="1061" max="1061" width="21.85546875" style="76" customWidth="1"/>
    <col min="1062" max="1295" width="9.140625" style="76"/>
    <col min="1296" max="1296" width="45" style="76" customWidth="1"/>
    <col min="1297" max="1297" width="17.28515625" style="76" customWidth="1"/>
    <col min="1298" max="1298" width="9.140625" style="76"/>
    <col min="1299" max="1306" width="0" style="76" hidden="1" customWidth="1"/>
    <col min="1307" max="1307" width="10.85546875" style="76" bestFit="1" customWidth="1"/>
    <col min="1308" max="1309" width="9.140625" style="76"/>
    <col min="1310" max="1310" width="13.42578125" style="76" customWidth="1"/>
    <col min="1311" max="1311" width="14.7109375" style="76" customWidth="1"/>
    <col min="1312" max="1313" width="9.140625" style="76"/>
    <col min="1314" max="1314" width="15" style="76" customWidth="1"/>
    <col min="1315" max="1315" width="14.85546875" style="76" customWidth="1"/>
    <col min="1316" max="1316" width="12.85546875" style="76" customWidth="1"/>
    <col min="1317" max="1317" width="21.85546875" style="76" customWidth="1"/>
    <col min="1318" max="1551" width="9.140625" style="76"/>
    <col min="1552" max="1552" width="45" style="76" customWidth="1"/>
    <col min="1553" max="1553" width="17.28515625" style="76" customWidth="1"/>
    <col min="1554" max="1554" width="9.140625" style="76"/>
    <col min="1555" max="1562" width="0" style="76" hidden="1" customWidth="1"/>
    <col min="1563" max="1563" width="10.85546875" style="76" bestFit="1" customWidth="1"/>
    <col min="1564" max="1565" width="9.140625" style="76"/>
    <col min="1566" max="1566" width="13.42578125" style="76" customWidth="1"/>
    <col min="1567" max="1567" width="14.7109375" style="76" customWidth="1"/>
    <col min="1568" max="1569" width="9.140625" style="76"/>
    <col min="1570" max="1570" width="15" style="76" customWidth="1"/>
    <col min="1571" max="1571" width="14.85546875" style="76" customWidth="1"/>
    <col min="1572" max="1572" width="12.85546875" style="76" customWidth="1"/>
    <col min="1573" max="1573" width="21.85546875" style="76" customWidth="1"/>
    <col min="1574" max="1807" width="9.140625" style="76"/>
    <col min="1808" max="1808" width="45" style="76" customWidth="1"/>
    <col min="1809" max="1809" width="17.28515625" style="76" customWidth="1"/>
    <col min="1810" max="1810" width="9.140625" style="76"/>
    <col min="1811" max="1818" width="0" style="76" hidden="1" customWidth="1"/>
    <col min="1819" max="1819" width="10.85546875" style="76" bestFit="1" customWidth="1"/>
    <col min="1820" max="1821" width="9.140625" style="76"/>
    <col min="1822" max="1822" width="13.42578125" style="76" customWidth="1"/>
    <col min="1823" max="1823" width="14.7109375" style="76" customWidth="1"/>
    <col min="1824" max="1825" width="9.140625" style="76"/>
    <col min="1826" max="1826" width="15" style="76" customWidth="1"/>
    <col min="1827" max="1827" width="14.85546875" style="76" customWidth="1"/>
    <col min="1828" max="1828" width="12.85546875" style="76" customWidth="1"/>
    <col min="1829" max="1829" width="21.85546875" style="76" customWidth="1"/>
    <col min="1830" max="2063" width="9.140625" style="76"/>
    <col min="2064" max="2064" width="45" style="76" customWidth="1"/>
    <col min="2065" max="2065" width="17.28515625" style="76" customWidth="1"/>
    <col min="2066" max="2066" width="9.140625" style="76"/>
    <col min="2067" max="2074" width="0" style="76" hidden="1" customWidth="1"/>
    <col min="2075" max="2075" width="10.85546875" style="76" bestFit="1" customWidth="1"/>
    <col min="2076" max="2077" width="9.140625" style="76"/>
    <col min="2078" max="2078" width="13.42578125" style="76" customWidth="1"/>
    <col min="2079" max="2079" width="14.7109375" style="76" customWidth="1"/>
    <col min="2080" max="2081" width="9.140625" style="76"/>
    <col min="2082" max="2082" width="15" style="76" customWidth="1"/>
    <col min="2083" max="2083" width="14.85546875" style="76" customWidth="1"/>
    <col min="2084" max="2084" width="12.85546875" style="76" customWidth="1"/>
    <col min="2085" max="2085" width="21.85546875" style="76" customWidth="1"/>
    <col min="2086" max="2319" width="9.140625" style="76"/>
    <col min="2320" max="2320" width="45" style="76" customWidth="1"/>
    <col min="2321" max="2321" width="17.28515625" style="76" customWidth="1"/>
    <col min="2322" max="2322" width="9.140625" style="76"/>
    <col min="2323" max="2330" width="0" style="76" hidden="1" customWidth="1"/>
    <col min="2331" max="2331" width="10.85546875" style="76" bestFit="1" customWidth="1"/>
    <col min="2332" max="2333" width="9.140625" style="76"/>
    <col min="2334" max="2334" width="13.42578125" style="76" customWidth="1"/>
    <col min="2335" max="2335" width="14.7109375" style="76" customWidth="1"/>
    <col min="2336" max="2337" width="9.140625" style="76"/>
    <col min="2338" max="2338" width="15" style="76" customWidth="1"/>
    <col min="2339" max="2339" width="14.85546875" style="76" customWidth="1"/>
    <col min="2340" max="2340" width="12.85546875" style="76" customWidth="1"/>
    <col min="2341" max="2341" width="21.85546875" style="76" customWidth="1"/>
    <col min="2342" max="2575" width="9.140625" style="76"/>
    <col min="2576" max="2576" width="45" style="76" customWidth="1"/>
    <col min="2577" max="2577" width="17.28515625" style="76" customWidth="1"/>
    <col min="2578" max="2578" width="9.140625" style="76"/>
    <col min="2579" max="2586" width="0" style="76" hidden="1" customWidth="1"/>
    <col min="2587" max="2587" width="10.85546875" style="76" bestFit="1" customWidth="1"/>
    <col min="2588" max="2589" width="9.140625" style="76"/>
    <col min="2590" max="2590" width="13.42578125" style="76" customWidth="1"/>
    <col min="2591" max="2591" width="14.7109375" style="76" customWidth="1"/>
    <col min="2592" max="2593" width="9.140625" style="76"/>
    <col min="2594" max="2594" width="15" style="76" customWidth="1"/>
    <col min="2595" max="2595" width="14.85546875" style="76" customWidth="1"/>
    <col min="2596" max="2596" width="12.85546875" style="76" customWidth="1"/>
    <col min="2597" max="2597" width="21.85546875" style="76" customWidth="1"/>
    <col min="2598" max="2831" width="9.140625" style="76"/>
    <col min="2832" max="2832" width="45" style="76" customWidth="1"/>
    <col min="2833" max="2833" width="17.28515625" style="76" customWidth="1"/>
    <col min="2834" max="2834" width="9.140625" style="76"/>
    <col min="2835" max="2842" width="0" style="76" hidden="1" customWidth="1"/>
    <col min="2843" max="2843" width="10.85546875" style="76" bestFit="1" customWidth="1"/>
    <col min="2844" max="2845" width="9.140625" style="76"/>
    <col min="2846" max="2846" width="13.42578125" style="76" customWidth="1"/>
    <col min="2847" max="2847" width="14.7109375" style="76" customWidth="1"/>
    <col min="2848" max="2849" width="9.140625" style="76"/>
    <col min="2850" max="2850" width="15" style="76" customWidth="1"/>
    <col min="2851" max="2851" width="14.85546875" style="76" customWidth="1"/>
    <col min="2852" max="2852" width="12.85546875" style="76" customWidth="1"/>
    <col min="2853" max="2853" width="21.85546875" style="76" customWidth="1"/>
    <col min="2854" max="3087" width="9.140625" style="76"/>
    <col min="3088" max="3088" width="45" style="76" customWidth="1"/>
    <col min="3089" max="3089" width="17.28515625" style="76" customWidth="1"/>
    <col min="3090" max="3090" width="9.140625" style="76"/>
    <col min="3091" max="3098" width="0" style="76" hidden="1" customWidth="1"/>
    <col min="3099" max="3099" width="10.85546875" style="76" bestFit="1" customWidth="1"/>
    <col min="3100" max="3101" width="9.140625" style="76"/>
    <col min="3102" max="3102" width="13.42578125" style="76" customWidth="1"/>
    <col min="3103" max="3103" width="14.7109375" style="76" customWidth="1"/>
    <col min="3104" max="3105" width="9.140625" style="76"/>
    <col min="3106" max="3106" width="15" style="76" customWidth="1"/>
    <col min="3107" max="3107" width="14.85546875" style="76" customWidth="1"/>
    <col min="3108" max="3108" width="12.85546875" style="76" customWidth="1"/>
    <col min="3109" max="3109" width="21.85546875" style="76" customWidth="1"/>
    <col min="3110" max="3343" width="9.140625" style="76"/>
    <col min="3344" max="3344" width="45" style="76" customWidth="1"/>
    <col min="3345" max="3345" width="17.28515625" style="76" customWidth="1"/>
    <col min="3346" max="3346" width="9.140625" style="76"/>
    <col min="3347" max="3354" width="0" style="76" hidden="1" customWidth="1"/>
    <col min="3355" max="3355" width="10.85546875" style="76" bestFit="1" customWidth="1"/>
    <col min="3356" max="3357" width="9.140625" style="76"/>
    <col min="3358" max="3358" width="13.42578125" style="76" customWidth="1"/>
    <col min="3359" max="3359" width="14.7109375" style="76" customWidth="1"/>
    <col min="3360" max="3361" width="9.140625" style="76"/>
    <col min="3362" max="3362" width="15" style="76" customWidth="1"/>
    <col min="3363" max="3363" width="14.85546875" style="76" customWidth="1"/>
    <col min="3364" max="3364" width="12.85546875" style="76" customWidth="1"/>
    <col min="3365" max="3365" width="21.85546875" style="76" customWidth="1"/>
    <col min="3366" max="3599" width="9.140625" style="76"/>
    <col min="3600" max="3600" width="45" style="76" customWidth="1"/>
    <col min="3601" max="3601" width="17.28515625" style="76" customWidth="1"/>
    <col min="3602" max="3602" width="9.140625" style="76"/>
    <col min="3603" max="3610" width="0" style="76" hidden="1" customWidth="1"/>
    <col min="3611" max="3611" width="10.85546875" style="76" bestFit="1" customWidth="1"/>
    <col min="3612" max="3613" width="9.140625" style="76"/>
    <col min="3614" max="3614" width="13.42578125" style="76" customWidth="1"/>
    <col min="3615" max="3615" width="14.7109375" style="76" customWidth="1"/>
    <col min="3616" max="3617" width="9.140625" style="76"/>
    <col min="3618" max="3618" width="15" style="76" customWidth="1"/>
    <col min="3619" max="3619" width="14.85546875" style="76" customWidth="1"/>
    <col min="3620" max="3620" width="12.85546875" style="76" customWidth="1"/>
    <col min="3621" max="3621" width="21.85546875" style="76" customWidth="1"/>
    <col min="3622" max="3855" width="9.140625" style="76"/>
    <col min="3856" max="3856" width="45" style="76" customWidth="1"/>
    <col min="3857" max="3857" width="17.28515625" style="76" customWidth="1"/>
    <col min="3858" max="3858" width="9.140625" style="76"/>
    <col min="3859" max="3866" width="0" style="76" hidden="1" customWidth="1"/>
    <col min="3867" max="3867" width="10.85546875" style="76" bestFit="1" customWidth="1"/>
    <col min="3868" max="3869" width="9.140625" style="76"/>
    <col min="3870" max="3870" width="13.42578125" style="76" customWidth="1"/>
    <col min="3871" max="3871" width="14.7109375" style="76" customWidth="1"/>
    <col min="3872" max="3873" width="9.140625" style="76"/>
    <col min="3874" max="3874" width="15" style="76" customWidth="1"/>
    <col min="3875" max="3875" width="14.85546875" style="76" customWidth="1"/>
    <col min="3876" max="3876" width="12.85546875" style="76" customWidth="1"/>
    <col min="3877" max="3877" width="21.85546875" style="76" customWidth="1"/>
    <col min="3878" max="4111" width="9.140625" style="76"/>
    <col min="4112" max="4112" width="45" style="76" customWidth="1"/>
    <col min="4113" max="4113" width="17.28515625" style="76" customWidth="1"/>
    <col min="4114" max="4114" width="9.140625" style="76"/>
    <col min="4115" max="4122" width="0" style="76" hidden="1" customWidth="1"/>
    <col min="4123" max="4123" width="10.85546875" style="76" bestFit="1" customWidth="1"/>
    <col min="4124" max="4125" width="9.140625" style="76"/>
    <col min="4126" max="4126" width="13.42578125" style="76" customWidth="1"/>
    <col min="4127" max="4127" width="14.7109375" style="76" customWidth="1"/>
    <col min="4128" max="4129" width="9.140625" style="76"/>
    <col min="4130" max="4130" width="15" style="76" customWidth="1"/>
    <col min="4131" max="4131" width="14.85546875" style="76" customWidth="1"/>
    <col min="4132" max="4132" width="12.85546875" style="76" customWidth="1"/>
    <col min="4133" max="4133" width="21.85546875" style="76" customWidth="1"/>
    <col min="4134" max="4367" width="9.140625" style="76"/>
    <col min="4368" max="4368" width="45" style="76" customWidth="1"/>
    <col min="4369" max="4369" width="17.28515625" style="76" customWidth="1"/>
    <col min="4370" max="4370" width="9.140625" style="76"/>
    <col min="4371" max="4378" width="0" style="76" hidden="1" customWidth="1"/>
    <col min="4379" max="4379" width="10.85546875" style="76" bestFit="1" customWidth="1"/>
    <col min="4380" max="4381" width="9.140625" style="76"/>
    <col min="4382" max="4382" width="13.42578125" style="76" customWidth="1"/>
    <col min="4383" max="4383" width="14.7109375" style="76" customWidth="1"/>
    <col min="4384" max="4385" width="9.140625" style="76"/>
    <col min="4386" max="4386" width="15" style="76" customWidth="1"/>
    <col min="4387" max="4387" width="14.85546875" style="76" customWidth="1"/>
    <col min="4388" max="4388" width="12.85546875" style="76" customWidth="1"/>
    <col min="4389" max="4389" width="21.85546875" style="76" customWidth="1"/>
    <col min="4390" max="4623" width="9.140625" style="76"/>
    <col min="4624" max="4624" width="45" style="76" customWidth="1"/>
    <col min="4625" max="4625" width="17.28515625" style="76" customWidth="1"/>
    <col min="4626" max="4626" width="9.140625" style="76"/>
    <col min="4627" max="4634" width="0" style="76" hidden="1" customWidth="1"/>
    <col min="4635" max="4635" width="10.85546875" style="76" bestFit="1" customWidth="1"/>
    <col min="4636" max="4637" width="9.140625" style="76"/>
    <col min="4638" max="4638" width="13.42578125" style="76" customWidth="1"/>
    <col min="4639" max="4639" width="14.7109375" style="76" customWidth="1"/>
    <col min="4640" max="4641" width="9.140625" style="76"/>
    <col min="4642" max="4642" width="15" style="76" customWidth="1"/>
    <col min="4643" max="4643" width="14.85546875" style="76" customWidth="1"/>
    <col min="4644" max="4644" width="12.85546875" style="76" customWidth="1"/>
    <col min="4645" max="4645" width="21.85546875" style="76" customWidth="1"/>
    <col min="4646" max="4879" width="9.140625" style="76"/>
    <col min="4880" max="4880" width="45" style="76" customWidth="1"/>
    <col min="4881" max="4881" width="17.28515625" style="76" customWidth="1"/>
    <col min="4882" max="4882" width="9.140625" style="76"/>
    <col min="4883" max="4890" width="0" style="76" hidden="1" customWidth="1"/>
    <col min="4891" max="4891" width="10.85546875" style="76" bestFit="1" customWidth="1"/>
    <col min="4892" max="4893" width="9.140625" style="76"/>
    <col min="4894" max="4894" width="13.42578125" style="76" customWidth="1"/>
    <col min="4895" max="4895" width="14.7109375" style="76" customWidth="1"/>
    <col min="4896" max="4897" width="9.140625" style="76"/>
    <col min="4898" max="4898" width="15" style="76" customWidth="1"/>
    <col min="4899" max="4899" width="14.85546875" style="76" customWidth="1"/>
    <col min="4900" max="4900" width="12.85546875" style="76" customWidth="1"/>
    <col min="4901" max="4901" width="21.85546875" style="76" customWidth="1"/>
    <col min="4902" max="5135" width="9.140625" style="76"/>
    <col min="5136" max="5136" width="45" style="76" customWidth="1"/>
    <col min="5137" max="5137" width="17.28515625" style="76" customWidth="1"/>
    <col min="5138" max="5138" width="9.140625" style="76"/>
    <col min="5139" max="5146" width="0" style="76" hidden="1" customWidth="1"/>
    <col min="5147" max="5147" width="10.85546875" style="76" bestFit="1" customWidth="1"/>
    <col min="5148" max="5149" width="9.140625" style="76"/>
    <col min="5150" max="5150" width="13.42578125" style="76" customWidth="1"/>
    <col min="5151" max="5151" width="14.7109375" style="76" customWidth="1"/>
    <col min="5152" max="5153" width="9.140625" style="76"/>
    <col min="5154" max="5154" width="15" style="76" customWidth="1"/>
    <col min="5155" max="5155" width="14.85546875" style="76" customWidth="1"/>
    <col min="5156" max="5156" width="12.85546875" style="76" customWidth="1"/>
    <col min="5157" max="5157" width="21.85546875" style="76" customWidth="1"/>
    <col min="5158" max="5391" width="9.140625" style="76"/>
    <col min="5392" max="5392" width="45" style="76" customWidth="1"/>
    <col min="5393" max="5393" width="17.28515625" style="76" customWidth="1"/>
    <col min="5394" max="5394" width="9.140625" style="76"/>
    <col min="5395" max="5402" width="0" style="76" hidden="1" customWidth="1"/>
    <col min="5403" max="5403" width="10.85546875" style="76" bestFit="1" customWidth="1"/>
    <col min="5404" max="5405" width="9.140625" style="76"/>
    <col min="5406" max="5406" width="13.42578125" style="76" customWidth="1"/>
    <col min="5407" max="5407" width="14.7109375" style="76" customWidth="1"/>
    <col min="5408" max="5409" width="9.140625" style="76"/>
    <col min="5410" max="5410" width="15" style="76" customWidth="1"/>
    <col min="5411" max="5411" width="14.85546875" style="76" customWidth="1"/>
    <col min="5412" max="5412" width="12.85546875" style="76" customWidth="1"/>
    <col min="5413" max="5413" width="21.85546875" style="76" customWidth="1"/>
    <col min="5414" max="5647" width="9.140625" style="76"/>
    <col min="5648" max="5648" width="45" style="76" customWidth="1"/>
    <col min="5649" max="5649" width="17.28515625" style="76" customWidth="1"/>
    <col min="5650" max="5650" width="9.140625" style="76"/>
    <col min="5651" max="5658" width="0" style="76" hidden="1" customWidth="1"/>
    <col min="5659" max="5659" width="10.85546875" style="76" bestFit="1" customWidth="1"/>
    <col min="5660" max="5661" width="9.140625" style="76"/>
    <col min="5662" max="5662" width="13.42578125" style="76" customWidth="1"/>
    <col min="5663" max="5663" width="14.7109375" style="76" customWidth="1"/>
    <col min="5664" max="5665" width="9.140625" style="76"/>
    <col min="5666" max="5666" width="15" style="76" customWidth="1"/>
    <col min="5667" max="5667" width="14.85546875" style="76" customWidth="1"/>
    <col min="5668" max="5668" width="12.85546875" style="76" customWidth="1"/>
    <col min="5669" max="5669" width="21.85546875" style="76" customWidth="1"/>
    <col min="5670" max="5903" width="9.140625" style="76"/>
    <col min="5904" max="5904" width="45" style="76" customWidth="1"/>
    <col min="5905" max="5905" width="17.28515625" style="76" customWidth="1"/>
    <col min="5906" max="5906" width="9.140625" style="76"/>
    <col min="5907" max="5914" width="0" style="76" hidden="1" customWidth="1"/>
    <col min="5915" max="5915" width="10.85546875" style="76" bestFit="1" customWidth="1"/>
    <col min="5916" max="5917" width="9.140625" style="76"/>
    <col min="5918" max="5918" width="13.42578125" style="76" customWidth="1"/>
    <col min="5919" max="5919" width="14.7109375" style="76" customWidth="1"/>
    <col min="5920" max="5921" width="9.140625" style="76"/>
    <col min="5922" max="5922" width="15" style="76" customWidth="1"/>
    <col min="5923" max="5923" width="14.85546875" style="76" customWidth="1"/>
    <col min="5924" max="5924" width="12.85546875" style="76" customWidth="1"/>
    <col min="5925" max="5925" width="21.85546875" style="76" customWidth="1"/>
    <col min="5926" max="6159" width="9.140625" style="76"/>
    <col min="6160" max="6160" width="45" style="76" customWidth="1"/>
    <col min="6161" max="6161" width="17.28515625" style="76" customWidth="1"/>
    <col min="6162" max="6162" width="9.140625" style="76"/>
    <col min="6163" max="6170" width="0" style="76" hidden="1" customWidth="1"/>
    <col min="6171" max="6171" width="10.85546875" style="76" bestFit="1" customWidth="1"/>
    <col min="6172" max="6173" width="9.140625" style="76"/>
    <col min="6174" max="6174" width="13.42578125" style="76" customWidth="1"/>
    <col min="6175" max="6175" width="14.7109375" style="76" customWidth="1"/>
    <col min="6176" max="6177" width="9.140625" style="76"/>
    <col min="6178" max="6178" width="15" style="76" customWidth="1"/>
    <col min="6179" max="6179" width="14.85546875" style="76" customWidth="1"/>
    <col min="6180" max="6180" width="12.85546875" style="76" customWidth="1"/>
    <col min="6181" max="6181" width="21.85546875" style="76" customWidth="1"/>
    <col min="6182" max="6415" width="9.140625" style="76"/>
    <col min="6416" max="6416" width="45" style="76" customWidth="1"/>
    <col min="6417" max="6417" width="17.28515625" style="76" customWidth="1"/>
    <col min="6418" max="6418" width="9.140625" style="76"/>
    <col min="6419" max="6426" width="0" style="76" hidden="1" customWidth="1"/>
    <col min="6427" max="6427" width="10.85546875" style="76" bestFit="1" customWidth="1"/>
    <col min="6428" max="6429" width="9.140625" style="76"/>
    <col min="6430" max="6430" width="13.42578125" style="76" customWidth="1"/>
    <col min="6431" max="6431" width="14.7109375" style="76" customWidth="1"/>
    <col min="6432" max="6433" width="9.140625" style="76"/>
    <col min="6434" max="6434" width="15" style="76" customWidth="1"/>
    <col min="6435" max="6435" width="14.85546875" style="76" customWidth="1"/>
    <col min="6436" max="6436" width="12.85546875" style="76" customWidth="1"/>
    <col min="6437" max="6437" width="21.85546875" style="76" customWidth="1"/>
    <col min="6438" max="6671" width="9.140625" style="76"/>
    <col min="6672" max="6672" width="45" style="76" customWidth="1"/>
    <col min="6673" max="6673" width="17.28515625" style="76" customWidth="1"/>
    <col min="6674" max="6674" width="9.140625" style="76"/>
    <col min="6675" max="6682" width="0" style="76" hidden="1" customWidth="1"/>
    <col min="6683" max="6683" width="10.85546875" style="76" bestFit="1" customWidth="1"/>
    <col min="6684" max="6685" width="9.140625" style="76"/>
    <col min="6686" max="6686" width="13.42578125" style="76" customWidth="1"/>
    <col min="6687" max="6687" width="14.7109375" style="76" customWidth="1"/>
    <col min="6688" max="6689" width="9.140625" style="76"/>
    <col min="6690" max="6690" width="15" style="76" customWidth="1"/>
    <col min="6691" max="6691" width="14.85546875" style="76" customWidth="1"/>
    <col min="6692" max="6692" width="12.85546875" style="76" customWidth="1"/>
    <col min="6693" max="6693" width="21.85546875" style="76" customWidth="1"/>
    <col min="6694" max="6927" width="9.140625" style="76"/>
    <col min="6928" max="6928" width="45" style="76" customWidth="1"/>
    <col min="6929" max="6929" width="17.28515625" style="76" customWidth="1"/>
    <col min="6930" max="6930" width="9.140625" style="76"/>
    <col min="6931" max="6938" width="0" style="76" hidden="1" customWidth="1"/>
    <col min="6939" max="6939" width="10.85546875" style="76" bestFit="1" customWidth="1"/>
    <col min="6940" max="6941" width="9.140625" style="76"/>
    <col min="6942" max="6942" width="13.42578125" style="76" customWidth="1"/>
    <col min="6943" max="6943" width="14.7109375" style="76" customWidth="1"/>
    <col min="6944" max="6945" width="9.140625" style="76"/>
    <col min="6946" max="6946" width="15" style="76" customWidth="1"/>
    <col min="6947" max="6947" width="14.85546875" style="76" customWidth="1"/>
    <col min="6948" max="6948" width="12.85546875" style="76" customWidth="1"/>
    <col min="6949" max="6949" width="21.85546875" style="76" customWidth="1"/>
    <col min="6950" max="7183" width="9.140625" style="76"/>
    <col min="7184" max="7184" width="45" style="76" customWidth="1"/>
    <col min="7185" max="7185" width="17.28515625" style="76" customWidth="1"/>
    <col min="7186" max="7186" width="9.140625" style="76"/>
    <col min="7187" max="7194" width="0" style="76" hidden="1" customWidth="1"/>
    <col min="7195" max="7195" width="10.85546875" style="76" bestFit="1" customWidth="1"/>
    <col min="7196" max="7197" width="9.140625" style="76"/>
    <col min="7198" max="7198" width="13.42578125" style="76" customWidth="1"/>
    <col min="7199" max="7199" width="14.7109375" style="76" customWidth="1"/>
    <col min="7200" max="7201" width="9.140625" style="76"/>
    <col min="7202" max="7202" width="15" style="76" customWidth="1"/>
    <col min="7203" max="7203" width="14.85546875" style="76" customWidth="1"/>
    <col min="7204" max="7204" width="12.85546875" style="76" customWidth="1"/>
    <col min="7205" max="7205" width="21.85546875" style="76" customWidth="1"/>
    <col min="7206" max="7439" width="9.140625" style="76"/>
    <col min="7440" max="7440" width="45" style="76" customWidth="1"/>
    <col min="7441" max="7441" width="17.28515625" style="76" customWidth="1"/>
    <col min="7442" max="7442" width="9.140625" style="76"/>
    <col min="7443" max="7450" width="0" style="76" hidden="1" customWidth="1"/>
    <col min="7451" max="7451" width="10.85546875" style="76" bestFit="1" customWidth="1"/>
    <col min="7452" max="7453" width="9.140625" style="76"/>
    <col min="7454" max="7454" width="13.42578125" style="76" customWidth="1"/>
    <col min="7455" max="7455" width="14.7109375" style="76" customWidth="1"/>
    <col min="7456" max="7457" width="9.140625" style="76"/>
    <col min="7458" max="7458" width="15" style="76" customWidth="1"/>
    <col min="7459" max="7459" width="14.85546875" style="76" customWidth="1"/>
    <col min="7460" max="7460" width="12.85546875" style="76" customWidth="1"/>
    <col min="7461" max="7461" width="21.85546875" style="76" customWidth="1"/>
    <col min="7462" max="7695" width="9.140625" style="76"/>
    <col min="7696" max="7696" width="45" style="76" customWidth="1"/>
    <col min="7697" max="7697" width="17.28515625" style="76" customWidth="1"/>
    <col min="7698" max="7698" width="9.140625" style="76"/>
    <col min="7699" max="7706" width="0" style="76" hidden="1" customWidth="1"/>
    <col min="7707" max="7707" width="10.85546875" style="76" bestFit="1" customWidth="1"/>
    <col min="7708" max="7709" width="9.140625" style="76"/>
    <col min="7710" max="7710" width="13.42578125" style="76" customWidth="1"/>
    <col min="7711" max="7711" width="14.7109375" style="76" customWidth="1"/>
    <col min="7712" max="7713" width="9.140625" style="76"/>
    <col min="7714" max="7714" width="15" style="76" customWidth="1"/>
    <col min="7715" max="7715" width="14.85546875" style="76" customWidth="1"/>
    <col min="7716" max="7716" width="12.85546875" style="76" customWidth="1"/>
    <col min="7717" max="7717" width="21.85546875" style="76" customWidth="1"/>
    <col min="7718" max="7951" width="9.140625" style="76"/>
    <col min="7952" max="7952" width="45" style="76" customWidth="1"/>
    <col min="7953" max="7953" width="17.28515625" style="76" customWidth="1"/>
    <col min="7954" max="7954" width="9.140625" style="76"/>
    <col min="7955" max="7962" width="0" style="76" hidden="1" customWidth="1"/>
    <col min="7963" max="7963" width="10.85546875" style="76" bestFit="1" customWidth="1"/>
    <col min="7964" max="7965" width="9.140625" style="76"/>
    <col min="7966" max="7966" width="13.42578125" style="76" customWidth="1"/>
    <col min="7967" max="7967" width="14.7109375" style="76" customWidth="1"/>
    <col min="7968" max="7969" width="9.140625" style="76"/>
    <col min="7970" max="7970" width="15" style="76" customWidth="1"/>
    <col min="7971" max="7971" width="14.85546875" style="76" customWidth="1"/>
    <col min="7972" max="7972" width="12.85546875" style="76" customWidth="1"/>
    <col min="7973" max="7973" width="21.85546875" style="76" customWidth="1"/>
    <col min="7974" max="8207" width="9.140625" style="76"/>
    <col min="8208" max="8208" width="45" style="76" customWidth="1"/>
    <col min="8209" max="8209" width="17.28515625" style="76" customWidth="1"/>
    <col min="8210" max="8210" width="9.140625" style="76"/>
    <col min="8211" max="8218" width="0" style="76" hidden="1" customWidth="1"/>
    <col min="8219" max="8219" width="10.85546875" style="76" bestFit="1" customWidth="1"/>
    <col min="8220" max="8221" width="9.140625" style="76"/>
    <col min="8222" max="8222" width="13.42578125" style="76" customWidth="1"/>
    <col min="8223" max="8223" width="14.7109375" style="76" customWidth="1"/>
    <col min="8224" max="8225" width="9.140625" style="76"/>
    <col min="8226" max="8226" width="15" style="76" customWidth="1"/>
    <col min="8227" max="8227" width="14.85546875" style="76" customWidth="1"/>
    <col min="8228" max="8228" width="12.85546875" style="76" customWidth="1"/>
    <col min="8229" max="8229" width="21.85546875" style="76" customWidth="1"/>
    <col min="8230" max="8463" width="9.140625" style="76"/>
    <col min="8464" max="8464" width="45" style="76" customWidth="1"/>
    <col min="8465" max="8465" width="17.28515625" style="76" customWidth="1"/>
    <col min="8466" max="8466" width="9.140625" style="76"/>
    <col min="8467" max="8474" width="0" style="76" hidden="1" customWidth="1"/>
    <col min="8475" max="8475" width="10.85546875" style="76" bestFit="1" customWidth="1"/>
    <col min="8476" max="8477" width="9.140625" style="76"/>
    <col min="8478" max="8478" width="13.42578125" style="76" customWidth="1"/>
    <col min="8479" max="8479" width="14.7109375" style="76" customWidth="1"/>
    <col min="8480" max="8481" width="9.140625" style="76"/>
    <col min="8482" max="8482" width="15" style="76" customWidth="1"/>
    <col min="8483" max="8483" width="14.85546875" style="76" customWidth="1"/>
    <col min="8484" max="8484" width="12.85546875" style="76" customWidth="1"/>
    <col min="8485" max="8485" width="21.85546875" style="76" customWidth="1"/>
    <col min="8486" max="8719" width="9.140625" style="76"/>
    <col min="8720" max="8720" width="45" style="76" customWidth="1"/>
    <col min="8721" max="8721" width="17.28515625" style="76" customWidth="1"/>
    <col min="8722" max="8722" width="9.140625" style="76"/>
    <col min="8723" max="8730" width="0" style="76" hidden="1" customWidth="1"/>
    <col min="8731" max="8731" width="10.85546875" style="76" bestFit="1" customWidth="1"/>
    <col min="8732" max="8733" width="9.140625" style="76"/>
    <col min="8734" max="8734" width="13.42578125" style="76" customWidth="1"/>
    <col min="8735" max="8735" width="14.7109375" style="76" customWidth="1"/>
    <col min="8736" max="8737" width="9.140625" style="76"/>
    <col min="8738" max="8738" width="15" style="76" customWidth="1"/>
    <col min="8739" max="8739" width="14.85546875" style="76" customWidth="1"/>
    <col min="8740" max="8740" width="12.85546875" style="76" customWidth="1"/>
    <col min="8741" max="8741" width="21.85546875" style="76" customWidth="1"/>
    <col min="8742" max="8975" width="9.140625" style="76"/>
    <col min="8976" max="8976" width="45" style="76" customWidth="1"/>
    <col min="8977" max="8977" width="17.28515625" style="76" customWidth="1"/>
    <col min="8978" max="8978" width="9.140625" style="76"/>
    <col min="8979" max="8986" width="0" style="76" hidden="1" customWidth="1"/>
    <col min="8987" max="8987" width="10.85546875" style="76" bestFit="1" customWidth="1"/>
    <col min="8988" max="8989" width="9.140625" style="76"/>
    <col min="8990" max="8990" width="13.42578125" style="76" customWidth="1"/>
    <col min="8991" max="8991" width="14.7109375" style="76" customWidth="1"/>
    <col min="8992" max="8993" width="9.140625" style="76"/>
    <col min="8994" max="8994" width="15" style="76" customWidth="1"/>
    <col min="8995" max="8995" width="14.85546875" style="76" customWidth="1"/>
    <col min="8996" max="8996" width="12.85546875" style="76" customWidth="1"/>
    <col min="8997" max="8997" width="21.85546875" style="76" customWidth="1"/>
    <col min="8998" max="9231" width="9.140625" style="76"/>
    <col min="9232" max="9232" width="45" style="76" customWidth="1"/>
    <col min="9233" max="9233" width="17.28515625" style="76" customWidth="1"/>
    <col min="9234" max="9234" width="9.140625" style="76"/>
    <col min="9235" max="9242" width="0" style="76" hidden="1" customWidth="1"/>
    <col min="9243" max="9243" width="10.85546875" style="76" bestFit="1" customWidth="1"/>
    <col min="9244" max="9245" width="9.140625" style="76"/>
    <col min="9246" max="9246" width="13.42578125" style="76" customWidth="1"/>
    <col min="9247" max="9247" width="14.7109375" style="76" customWidth="1"/>
    <col min="9248" max="9249" width="9.140625" style="76"/>
    <col min="9250" max="9250" width="15" style="76" customWidth="1"/>
    <col min="9251" max="9251" width="14.85546875" style="76" customWidth="1"/>
    <col min="9252" max="9252" width="12.85546875" style="76" customWidth="1"/>
    <col min="9253" max="9253" width="21.85546875" style="76" customWidth="1"/>
    <col min="9254" max="9487" width="9.140625" style="76"/>
    <col min="9488" max="9488" width="45" style="76" customWidth="1"/>
    <col min="9489" max="9489" width="17.28515625" style="76" customWidth="1"/>
    <col min="9490" max="9490" width="9.140625" style="76"/>
    <col min="9491" max="9498" width="0" style="76" hidden="1" customWidth="1"/>
    <col min="9499" max="9499" width="10.85546875" style="76" bestFit="1" customWidth="1"/>
    <col min="9500" max="9501" width="9.140625" style="76"/>
    <col min="9502" max="9502" width="13.42578125" style="76" customWidth="1"/>
    <col min="9503" max="9503" width="14.7109375" style="76" customWidth="1"/>
    <col min="9504" max="9505" width="9.140625" style="76"/>
    <col min="9506" max="9506" width="15" style="76" customWidth="1"/>
    <col min="9507" max="9507" width="14.85546875" style="76" customWidth="1"/>
    <col min="9508" max="9508" width="12.85546875" style="76" customWidth="1"/>
    <col min="9509" max="9509" width="21.85546875" style="76" customWidth="1"/>
    <col min="9510" max="9743" width="9.140625" style="76"/>
    <col min="9744" max="9744" width="45" style="76" customWidth="1"/>
    <col min="9745" max="9745" width="17.28515625" style="76" customWidth="1"/>
    <col min="9746" max="9746" width="9.140625" style="76"/>
    <col min="9747" max="9754" width="0" style="76" hidden="1" customWidth="1"/>
    <col min="9755" max="9755" width="10.85546875" style="76" bestFit="1" customWidth="1"/>
    <col min="9756" max="9757" width="9.140625" style="76"/>
    <col min="9758" max="9758" width="13.42578125" style="76" customWidth="1"/>
    <col min="9759" max="9759" width="14.7109375" style="76" customWidth="1"/>
    <col min="9760" max="9761" width="9.140625" style="76"/>
    <col min="9762" max="9762" width="15" style="76" customWidth="1"/>
    <col min="9763" max="9763" width="14.85546875" style="76" customWidth="1"/>
    <col min="9764" max="9764" width="12.85546875" style="76" customWidth="1"/>
    <col min="9765" max="9765" width="21.85546875" style="76" customWidth="1"/>
    <col min="9766" max="9999" width="9.140625" style="76"/>
    <col min="10000" max="10000" width="45" style="76" customWidth="1"/>
    <col min="10001" max="10001" width="17.28515625" style="76" customWidth="1"/>
    <col min="10002" max="10002" width="9.140625" style="76"/>
    <col min="10003" max="10010" width="0" style="76" hidden="1" customWidth="1"/>
    <col min="10011" max="10011" width="10.85546875" style="76" bestFit="1" customWidth="1"/>
    <col min="10012" max="10013" width="9.140625" style="76"/>
    <col min="10014" max="10014" width="13.42578125" style="76" customWidth="1"/>
    <col min="10015" max="10015" width="14.7109375" style="76" customWidth="1"/>
    <col min="10016" max="10017" width="9.140625" style="76"/>
    <col min="10018" max="10018" width="15" style="76" customWidth="1"/>
    <col min="10019" max="10019" width="14.85546875" style="76" customWidth="1"/>
    <col min="10020" max="10020" width="12.85546875" style="76" customWidth="1"/>
    <col min="10021" max="10021" width="21.85546875" style="76" customWidth="1"/>
    <col min="10022" max="10255" width="9.140625" style="76"/>
    <col min="10256" max="10256" width="45" style="76" customWidth="1"/>
    <col min="10257" max="10257" width="17.28515625" style="76" customWidth="1"/>
    <col min="10258" max="10258" width="9.140625" style="76"/>
    <col min="10259" max="10266" width="0" style="76" hidden="1" customWidth="1"/>
    <col min="10267" max="10267" width="10.85546875" style="76" bestFit="1" customWidth="1"/>
    <col min="10268" max="10269" width="9.140625" style="76"/>
    <col min="10270" max="10270" width="13.42578125" style="76" customWidth="1"/>
    <col min="10271" max="10271" width="14.7109375" style="76" customWidth="1"/>
    <col min="10272" max="10273" width="9.140625" style="76"/>
    <col min="10274" max="10274" width="15" style="76" customWidth="1"/>
    <col min="10275" max="10275" width="14.85546875" style="76" customWidth="1"/>
    <col min="10276" max="10276" width="12.85546875" style="76" customWidth="1"/>
    <col min="10277" max="10277" width="21.85546875" style="76" customWidth="1"/>
    <col min="10278" max="10511" width="9.140625" style="76"/>
    <col min="10512" max="10512" width="45" style="76" customWidth="1"/>
    <col min="10513" max="10513" width="17.28515625" style="76" customWidth="1"/>
    <col min="10514" max="10514" width="9.140625" style="76"/>
    <col min="10515" max="10522" width="0" style="76" hidden="1" customWidth="1"/>
    <col min="10523" max="10523" width="10.85546875" style="76" bestFit="1" customWidth="1"/>
    <col min="10524" max="10525" width="9.140625" style="76"/>
    <col min="10526" max="10526" width="13.42578125" style="76" customWidth="1"/>
    <col min="10527" max="10527" width="14.7109375" style="76" customWidth="1"/>
    <col min="10528" max="10529" width="9.140625" style="76"/>
    <col min="10530" max="10530" width="15" style="76" customWidth="1"/>
    <col min="10531" max="10531" width="14.85546875" style="76" customWidth="1"/>
    <col min="10532" max="10532" width="12.85546875" style="76" customWidth="1"/>
    <col min="10533" max="10533" width="21.85546875" style="76" customWidth="1"/>
    <col min="10534" max="10767" width="9.140625" style="76"/>
    <col min="10768" max="10768" width="45" style="76" customWidth="1"/>
    <col min="10769" max="10769" width="17.28515625" style="76" customWidth="1"/>
    <col min="10770" max="10770" width="9.140625" style="76"/>
    <col min="10771" max="10778" width="0" style="76" hidden="1" customWidth="1"/>
    <col min="10779" max="10779" width="10.85546875" style="76" bestFit="1" customWidth="1"/>
    <col min="10780" max="10781" width="9.140625" style="76"/>
    <col min="10782" max="10782" width="13.42578125" style="76" customWidth="1"/>
    <col min="10783" max="10783" width="14.7109375" style="76" customWidth="1"/>
    <col min="10784" max="10785" width="9.140625" style="76"/>
    <col min="10786" max="10786" width="15" style="76" customWidth="1"/>
    <col min="10787" max="10787" width="14.85546875" style="76" customWidth="1"/>
    <col min="10788" max="10788" width="12.85546875" style="76" customWidth="1"/>
    <col min="10789" max="10789" width="21.85546875" style="76" customWidth="1"/>
    <col min="10790" max="11023" width="9.140625" style="76"/>
    <col min="11024" max="11024" width="45" style="76" customWidth="1"/>
    <col min="11025" max="11025" width="17.28515625" style="76" customWidth="1"/>
    <col min="11026" max="11026" width="9.140625" style="76"/>
    <col min="11027" max="11034" width="0" style="76" hidden="1" customWidth="1"/>
    <col min="11035" max="11035" width="10.85546875" style="76" bestFit="1" customWidth="1"/>
    <col min="11036" max="11037" width="9.140625" style="76"/>
    <col min="11038" max="11038" width="13.42578125" style="76" customWidth="1"/>
    <col min="11039" max="11039" width="14.7109375" style="76" customWidth="1"/>
    <col min="11040" max="11041" width="9.140625" style="76"/>
    <col min="11042" max="11042" width="15" style="76" customWidth="1"/>
    <col min="11043" max="11043" width="14.85546875" style="76" customWidth="1"/>
    <col min="11044" max="11044" width="12.85546875" style="76" customWidth="1"/>
    <col min="11045" max="11045" width="21.85546875" style="76" customWidth="1"/>
    <col min="11046" max="11279" width="9.140625" style="76"/>
    <col min="11280" max="11280" width="45" style="76" customWidth="1"/>
    <col min="11281" max="11281" width="17.28515625" style="76" customWidth="1"/>
    <col min="11282" max="11282" width="9.140625" style="76"/>
    <col min="11283" max="11290" width="0" style="76" hidden="1" customWidth="1"/>
    <col min="11291" max="11291" width="10.85546875" style="76" bestFit="1" customWidth="1"/>
    <col min="11292" max="11293" width="9.140625" style="76"/>
    <col min="11294" max="11294" width="13.42578125" style="76" customWidth="1"/>
    <col min="11295" max="11295" width="14.7109375" style="76" customWidth="1"/>
    <col min="11296" max="11297" width="9.140625" style="76"/>
    <col min="11298" max="11298" width="15" style="76" customWidth="1"/>
    <col min="11299" max="11299" width="14.85546875" style="76" customWidth="1"/>
    <col min="11300" max="11300" width="12.85546875" style="76" customWidth="1"/>
    <col min="11301" max="11301" width="21.85546875" style="76" customWidth="1"/>
    <col min="11302" max="11535" width="9.140625" style="76"/>
    <col min="11536" max="11536" width="45" style="76" customWidth="1"/>
    <col min="11537" max="11537" width="17.28515625" style="76" customWidth="1"/>
    <col min="11538" max="11538" width="9.140625" style="76"/>
    <col min="11539" max="11546" width="0" style="76" hidden="1" customWidth="1"/>
    <col min="11547" max="11547" width="10.85546875" style="76" bestFit="1" customWidth="1"/>
    <col min="11548" max="11549" width="9.140625" style="76"/>
    <col min="11550" max="11550" width="13.42578125" style="76" customWidth="1"/>
    <col min="11551" max="11551" width="14.7109375" style="76" customWidth="1"/>
    <col min="11552" max="11553" width="9.140625" style="76"/>
    <col min="11554" max="11554" width="15" style="76" customWidth="1"/>
    <col min="11555" max="11555" width="14.85546875" style="76" customWidth="1"/>
    <col min="11556" max="11556" width="12.85546875" style="76" customWidth="1"/>
    <col min="11557" max="11557" width="21.85546875" style="76" customWidth="1"/>
    <col min="11558" max="11791" width="9.140625" style="76"/>
    <col min="11792" max="11792" width="45" style="76" customWidth="1"/>
    <col min="11793" max="11793" width="17.28515625" style="76" customWidth="1"/>
    <col min="11794" max="11794" width="9.140625" style="76"/>
    <col min="11795" max="11802" width="0" style="76" hidden="1" customWidth="1"/>
    <col min="11803" max="11803" width="10.85546875" style="76" bestFit="1" customWidth="1"/>
    <col min="11804" max="11805" width="9.140625" style="76"/>
    <col min="11806" max="11806" width="13.42578125" style="76" customWidth="1"/>
    <col min="11807" max="11807" width="14.7109375" style="76" customWidth="1"/>
    <col min="11808" max="11809" width="9.140625" style="76"/>
    <col min="11810" max="11810" width="15" style="76" customWidth="1"/>
    <col min="11811" max="11811" width="14.85546875" style="76" customWidth="1"/>
    <col min="11812" max="11812" width="12.85546875" style="76" customWidth="1"/>
    <col min="11813" max="11813" width="21.85546875" style="76" customWidth="1"/>
    <col min="11814" max="12047" width="9.140625" style="76"/>
    <col min="12048" max="12048" width="45" style="76" customWidth="1"/>
    <col min="12049" max="12049" width="17.28515625" style="76" customWidth="1"/>
    <col min="12050" max="12050" width="9.140625" style="76"/>
    <col min="12051" max="12058" width="0" style="76" hidden="1" customWidth="1"/>
    <col min="12059" max="12059" width="10.85546875" style="76" bestFit="1" customWidth="1"/>
    <col min="12060" max="12061" width="9.140625" style="76"/>
    <col min="12062" max="12062" width="13.42578125" style="76" customWidth="1"/>
    <col min="12063" max="12063" width="14.7109375" style="76" customWidth="1"/>
    <col min="12064" max="12065" width="9.140625" style="76"/>
    <col min="12066" max="12066" width="15" style="76" customWidth="1"/>
    <col min="12067" max="12067" width="14.85546875" style="76" customWidth="1"/>
    <col min="12068" max="12068" width="12.85546875" style="76" customWidth="1"/>
    <col min="12069" max="12069" width="21.85546875" style="76" customWidth="1"/>
    <col min="12070" max="12303" width="9.140625" style="76"/>
    <col min="12304" max="12304" width="45" style="76" customWidth="1"/>
    <col min="12305" max="12305" width="17.28515625" style="76" customWidth="1"/>
    <col min="12306" max="12306" width="9.140625" style="76"/>
    <col min="12307" max="12314" width="0" style="76" hidden="1" customWidth="1"/>
    <col min="12315" max="12315" width="10.85546875" style="76" bestFit="1" customWidth="1"/>
    <col min="12316" max="12317" width="9.140625" style="76"/>
    <col min="12318" max="12318" width="13.42578125" style="76" customWidth="1"/>
    <col min="12319" max="12319" width="14.7109375" style="76" customWidth="1"/>
    <col min="12320" max="12321" width="9.140625" style="76"/>
    <col min="12322" max="12322" width="15" style="76" customWidth="1"/>
    <col min="12323" max="12323" width="14.85546875" style="76" customWidth="1"/>
    <col min="12324" max="12324" width="12.85546875" style="76" customWidth="1"/>
    <col min="12325" max="12325" width="21.85546875" style="76" customWidth="1"/>
    <col min="12326" max="12559" width="9.140625" style="76"/>
    <col min="12560" max="12560" width="45" style="76" customWidth="1"/>
    <col min="12561" max="12561" width="17.28515625" style="76" customWidth="1"/>
    <col min="12562" max="12562" width="9.140625" style="76"/>
    <col min="12563" max="12570" width="0" style="76" hidden="1" customWidth="1"/>
    <col min="12571" max="12571" width="10.85546875" style="76" bestFit="1" customWidth="1"/>
    <col min="12572" max="12573" width="9.140625" style="76"/>
    <col min="12574" max="12574" width="13.42578125" style="76" customWidth="1"/>
    <col min="12575" max="12575" width="14.7109375" style="76" customWidth="1"/>
    <col min="12576" max="12577" width="9.140625" style="76"/>
    <col min="12578" max="12578" width="15" style="76" customWidth="1"/>
    <col min="12579" max="12579" width="14.85546875" style="76" customWidth="1"/>
    <col min="12580" max="12580" width="12.85546875" style="76" customWidth="1"/>
    <col min="12581" max="12581" width="21.85546875" style="76" customWidth="1"/>
    <col min="12582" max="12815" width="9.140625" style="76"/>
    <col min="12816" max="12816" width="45" style="76" customWidth="1"/>
    <col min="12817" max="12817" width="17.28515625" style="76" customWidth="1"/>
    <col min="12818" max="12818" width="9.140625" style="76"/>
    <col min="12819" max="12826" width="0" style="76" hidden="1" customWidth="1"/>
    <col min="12827" max="12827" width="10.85546875" style="76" bestFit="1" customWidth="1"/>
    <col min="12828" max="12829" width="9.140625" style="76"/>
    <col min="12830" max="12830" width="13.42578125" style="76" customWidth="1"/>
    <col min="12831" max="12831" width="14.7109375" style="76" customWidth="1"/>
    <col min="12832" max="12833" width="9.140625" style="76"/>
    <col min="12834" max="12834" width="15" style="76" customWidth="1"/>
    <col min="12835" max="12835" width="14.85546875" style="76" customWidth="1"/>
    <col min="12836" max="12836" width="12.85546875" style="76" customWidth="1"/>
    <col min="12837" max="12837" width="21.85546875" style="76" customWidth="1"/>
    <col min="12838" max="13071" width="9.140625" style="76"/>
    <col min="13072" max="13072" width="45" style="76" customWidth="1"/>
    <col min="13073" max="13073" width="17.28515625" style="76" customWidth="1"/>
    <col min="13074" max="13074" width="9.140625" style="76"/>
    <col min="13075" max="13082" width="0" style="76" hidden="1" customWidth="1"/>
    <col min="13083" max="13083" width="10.85546875" style="76" bestFit="1" customWidth="1"/>
    <col min="13084" max="13085" width="9.140625" style="76"/>
    <col min="13086" max="13086" width="13.42578125" style="76" customWidth="1"/>
    <col min="13087" max="13087" width="14.7109375" style="76" customWidth="1"/>
    <col min="13088" max="13089" width="9.140625" style="76"/>
    <col min="13090" max="13090" width="15" style="76" customWidth="1"/>
    <col min="13091" max="13091" width="14.85546875" style="76" customWidth="1"/>
    <col min="13092" max="13092" width="12.85546875" style="76" customWidth="1"/>
    <col min="13093" max="13093" width="21.85546875" style="76" customWidth="1"/>
    <col min="13094" max="13327" width="9.140625" style="76"/>
    <col min="13328" max="13328" width="45" style="76" customWidth="1"/>
    <col min="13329" max="13329" width="17.28515625" style="76" customWidth="1"/>
    <col min="13330" max="13330" width="9.140625" style="76"/>
    <col min="13331" max="13338" width="0" style="76" hidden="1" customWidth="1"/>
    <col min="13339" max="13339" width="10.85546875" style="76" bestFit="1" customWidth="1"/>
    <col min="13340" max="13341" width="9.140625" style="76"/>
    <col min="13342" max="13342" width="13.42578125" style="76" customWidth="1"/>
    <col min="13343" max="13343" width="14.7109375" style="76" customWidth="1"/>
    <col min="13344" max="13345" width="9.140625" style="76"/>
    <col min="13346" max="13346" width="15" style="76" customWidth="1"/>
    <col min="13347" max="13347" width="14.85546875" style="76" customWidth="1"/>
    <col min="13348" max="13348" width="12.85546875" style="76" customWidth="1"/>
    <col min="13349" max="13349" width="21.85546875" style="76" customWidth="1"/>
    <col min="13350" max="13583" width="9.140625" style="76"/>
    <col min="13584" max="13584" width="45" style="76" customWidth="1"/>
    <col min="13585" max="13585" width="17.28515625" style="76" customWidth="1"/>
    <col min="13586" max="13586" width="9.140625" style="76"/>
    <col min="13587" max="13594" width="0" style="76" hidden="1" customWidth="1"/>
    <col min="13595" max="13595" width="10.85546875" style="76" bestFit="1" customWidth="1"/>
    <col min="13596" max="13597" width="9.140625" style="76"/>
    <col min="13598" max="13598" width="13.42578125" style="76" customWidth="1"/>
    <col min="13599" max="13599" width="14.7109375" style="76" customWidth="1"/>
    <col min="13600" max="13601" width="9.140625" style="76"/>
    <col min="13602" max="13602" width="15" style="76" customWidth="1"/>
    <col min="13603" max="13603" width="14.85546875" style="76" customWidth="1"/>
    <col min="13604" max="13604" width="12.85546875" style="76" customWidth="1"/>
    <col min="13605" max="13605" width="21.85546875" style="76" customWidth="1"/>
    <col min="13606" max="13839" width="9.140625" style="76"/>
    <col min="13840" max="13840" width="45" style="76" customWidth="1"/>
    <col min="13841" max="13841" width="17.28515625" style="76" customWidth="1"/>
    <col min="13842" max="13842" width="9.140625" style="76"/>
    <col min="13843" max="13850" width="0" style="76" hidden="1" customWidth="1"/>
    <col min="13851" max="13851" width="10.85546875" style="76" bestFit="1" customWidth="1"/>
    <col min="13852" max="13853" width="9.140625" style="76"/>
    <col min="13854" max="13854" width="13.42578125" style="76" customWidth="1"/>
    <col min="13855" max="13855" width="14.7109375" style="76" customWidth="1"/>
    <col min="13856" max="13857" width="9.140625" style="76"/>
    <col min="13858" max="13858" width="15" style="76" customWidth="1"/>
    <col min="13859" max="13859" width="14.85546875" style="76" customWidth="1"/>
    <col min="13860" max="13860" width="12.85546875" style="76" customWidth="1"/>
    <col min="13861" max="13861" width="21.85546875" style="76" customWidth="1"/>
    <col min="13862" max="14095" width="9.140625" style="76"/>
    <col min="14096" max="14096" width="45" style="76" customWidth="1"/>
    <col min="14097" max="14097" width="17.28515625" style="76" customWidth="1"/>
    <col min="14098" max="14098" width="9.140625" style="76"/>
    <col min="14099" max="14106" width="0" style="76" hidden="1" customWidth="1"/>
    <col min="14107" max="14107" width="10.85546875" style="76" bestFit="1" customWidth="1"/>
    <col min="14108" max="14109" width="9.140625" style="76"/>
    <col min="14110" max="14110" width="13.42578125" style="76" customWidth="1"/>
    <col min="14111" max="14111" width="14.7109375" style="76" customWidth="1"/>
    <col min="14112" max="14113" width="9.140625" style="76"/>
    <col min="14114" max="14114" width="15" style="76" customWidth="1"/>
    <col min="14115" max="14115" width="14.85546875" style="76" customWidth="1"/>
    <col min="14116" max="14116" width="12.85546875" style="76" customWidth="1"/>
    <col min="14117" max="14117" width="21.85546875" style="76" customWidth="1"/>
    <col min="14118" max="14351" width="9.140625" style="76"/>
    <col min="14352" max="14352" width="45" style="76" customWidth="1"/>
    <col min="14353" max="14353" width="17.28515625" style="76" customWidth="1"/>
    <col min="14354" max="14354" width="9.140625" style="76"/>
    <col min="14355" max="14362" width="0" style="76" hidden="1" customWidth="1"/>
    <col min="14363" max="14363" width="10.85546875" style="76" bestFit="1" customWidth="1"/>
    <col min="14364" max="14365" width="9.140625" style="76"/>
    <col min="14366" max="14366" width="13.42578125" style="76" customWidth="1"/>
    <col min="14367" max="14367" width="14.7109375" style="76" customWidth="1"/>
    <col min="14368" max="14369" width="9.140625" style="76"/>
    <col min="14370" max="14370" width="15" style="76" customWidth="1"/>
    <col min="14371" max="14371" width="14.85546875" style="76" customWidth="1"/>
    <col min="14372" max="14372" width="12.85546875" style="76" customWidth="1"/>
    <col min="14373" max="14373" width="21.85546875" style="76" customWidth="1"/>
    <col min="14374" max="14607" width="9.140625" style="76"/>
    <col min="14608" max="14608" width="45" style="76" customWidth="1"/>
    <col min="14609" max="14609" width="17.28515625" style="76" customWidth="1"/>
    <col min="14610" max="14610" width="9.140625" style="76"/>
    <col min="14611" max="14618" width="0" style="76" hidden="1" customWidth="1"/>
    <col min="14619" max="14619" width="10.85546875" style="76" bestFit="1" customWidth="1"/>
    <col min="14620" max="14621" width="9.140625" style="76"/>
    <col min="14622" max="14622" width="13.42578125" style="76" customWidth="1"/>
    <col min="14623" max="14623" width="14.7109375" style="76" customWidth="1"/>
    <col min="14624" max="14625" width="9.140625" style="76"/>
    <col min="14626" max="14626" width="15" style="76" customWidth="1"/>
    <col min="14627" max="14627" width="14.85546875" style="76" customWidth="1"/>
    <col min="14628" max="14628" width="12.85546875" style="76" customWidth="1"/>
    <col min="14629" max="14629" width="21.85546875" style="76" customWidth="1"/>
    <col min="14630" max="14863" width="9.140625" style="76"/>
    <col min="14864" max="14864" width="45" style="76" customWidth="1"/>
    <col min="14865" max="14865" width="17.28515625" style="76" customWidth="1"/>
    <col min="14866" max="14866" width="9.140625" style="76"/>
    <col min="14867" max="14874" width="0" style="76" hidden="1" customWidth="1"/>
    <col min="14875" max="14875" width="10.85546875" style="76" bestFit="1" customWidth="1"/>
    <col min="14876" max="14877" width="9.140625" style="76"/>
    <col min="14878" max="14878" width="13.42578125" style="76" customWidth="1"/>
    <col min="14879" max="14879" width="14.7109375" style="76" customWidth="1"/>
    <col min="14880" max="14881" width="9.140625" style="76"/>
    <col min="14882" max="14882" width="15" style="76" customWidth="1"/>
    <col min="14883" max="14883" width="14.85546875" style="76" customWidth="1"/>
    <col min="14884" max="14884" width="12.85546875" style="76" customWidth="1"/>
    <col min="14885" max="14885" width="21.85546875" style="76" customWidth="1"/>
    <col min="14886" max="15119" width="9.140625" style="76"/>
    <col min="15120" max="15120" width="45" style="76" customWidth="1"/>
    <col min="15121" max="15121" width="17.28515625" style="76" customWidth="1"/>
    <col min="15122" max="15122" width="9.140625" style="76"/>
    <col min="15123" max="15130" width="0" style="76" hidden="1" customWidth="1"/>
    <col min="15131" max="15131" width="10.85546875" style="76" bestFit="1" customWidth="1"/>
    <col min="15132" max="15133" width="9.140625" style="76"/>
    <col min="15134" max="15134" width="13.42578125" style="76" customWidth="1"/>
    <col min="15135" max="15135" width="14.7109375" style="76" customWidth="1"/>
    <col min="15136" max="15137" width="9.140625" style="76"/>
    <col min="15138" max="15138" width="15" style="76" customWidth="1"/>
    <col min="15139" max="15139" width="14.85546875" style="76" customWidth="1"/>
    <col min="15140" max="15140" width="12.85546875" style="76" customWidth="1"/>
    <col min="15141" max="15141" width="21.85546875" style="76" customWidth="1"/>
    <col min="15142" max="15375" width="9.140625" style="76"/>
    <col min="15376" max="15376" width="45" style="76" customWidth="1"/>
    <col min="15377" max="15377" width="17.28515625" style="76" customWidth="1"/>
    <col min="15378" max="15378" width="9.140625" style="76"/>
    <col min="15379" max="15386" width="0" style="76" hidden="1" customWidth="1"/>
    <col min="15387" max="15387" width="10.85546875" style="76" bestFit="1" customWidth="1"/>
    <col min="15388" max="15389" width="9.140625" style="76"/>
    <col min="15390" max="15390" width="13.42578125" style="76" customWidth="1"/>
    <col min="15391" max="15391" width="14.7109375" style="76" customWidth="1"/>
    <col min="15392" max="15393" width="9.140625" style="76"/>
    <col min="15394" max="15394" width="15" style="76" customWidth="1"/>
    <col min="15395" max="15395" width="14.85546875" style="76" customWidth="1"/>
    <col min="15396" max="15396" width="12.85546875" style="76" customWidth="1"/>
    <col min="15397" max="15397" width="21.85546875" style="76" customWidth="1"/>
    <col min="15398" max="15631" width="9.140625" style="76"/>
    <col min="15632" max="15632" width="45" style="76" customWidth="1"/>
    <col min="15633" max="15633" width="17.28515625" style="76" customWidth="1"/>
    <col min="15634" max="15634" width="9.140625" style="76"/>
    <col min="15635" max="15642" width="0" style="76" hidden="1" customWidth="1"/>
    <col min="15643" max="15643" width="10.85546875" style="76" bestFit="1" customWidth="1"/>
    <col min="15644" max="15645" width="9.140625" style="76"/>
    <col min="15646" max="15646" width="13.42578125" style="76" customWidth="1"/>
    <col min="15647" max="15647" width="14.7109375" style="76" customWidth="1"/>
    <col min="15648" max="15649" width="9.140625" style="76"/>
    <col min="15650" max="15650" width="15" style="76" customWidth="1"/>
    <col min="15651" max="15651" width="14.85546875" style="76" customWidth="1"/>
    <col min="15652" max="15652" width="12.85546875" style="76" customWidth="1"/>
    <col min="15653" max="15653" width="21.85546875" style="76" customWidth="1"/>
    <col min="15654" max="15887" width="9.140625" style="76"/>
    <col min="15888" max="15888" width="45" style="76" customWidth="1"/>
    <col min="15889" max="15889" width="17.28515625" style="76" customWidth="1"/>
    <col min="15890" max="15890" width="9.140625" style="76"/>
    <col min="15891" max="15898" width="0" style="76" hidden="1" customWidth="1"/>
    <col min="15899" max="15899" width="10.85546875" style="76" bestFit="1" customWidth="1"/>
    <col min="15900" max="15901" width="9.140625" style="76"/>
    <col min="15902" max="15902" width="13.42578125" style="76" customWidth="1"/>
    <col min="15903" max="15903" width="14.7109375" style="76" customWidth="1"/>
    <col min="15904" max="15905" width="9.140625" style="76"/>
    <col min="15906" max="15906" width="15" style="76" customWidth="1"/>
    <col min="15907" max="15907" width="14.85546875" style="76" customWidth="1"/>
    <col min="15908" max="15908" width="12.85546875" style="76" customWidth="1"/>
    <col min="15909" max="15909" width="21.85546875" style="76" customWidth="1"/>
    <col min="15910" max="16143" width="9.140625" style="76"/>
    <col min="16144" max="16144" width="45" style="76" customWidth="1"/>
    <col min="16145" max="16145" width="17.28515625" style="76" customWidth="1"/>
    <col min="16146" max="16146" width="9.140625" style="76"/>
    <col min="16147" max="16154" width="0" style="76" hidden="1" customWidth="1"/>
    <col min="16155" max="16155" width="10.85546875" style="76" bestFit="1" customWidth="1"/>
    <col min="16156" max="16157" width="9.140625" style="76"/>
    <col min="16158" max="16158" width="13.42578125" style="76" customWidth="1"/>
    <col min="16159" max="16159" width="14.7109375" style="76" customWidth="1"/>
    <col min="16160" max="16161" width="9.140625" style="76"/>
    <col min="16162" max="16162" width="15" style="76" customWidth="1"/>
    <col min="16163" max="16163" width="14.85546875" style="76" customWidth="1"/>
    <col min="16164" max="16164" width="12.85546875" style="76" customWidth="1"/>
    <col min="16165" max="16165" width="21.85546875" style="76" customWidth="1"/>
    <col min="16166" max="16384" width="9.140625" style="76"/>
  </cols>
  <sheetData>
    <row r="1" spans="1:60">
      <c r="F1" s="77"/>
      <c r="G1" s="77"/>
      <c r="X1" s="78" t="s">
        <v>2517</v>
      </c>
      <c r="Y1" s="79" t="s">
        <v>2518</v>
      </c>
      <c r="Z1" s="79"/>
      <c r="AA1" s="80"/>
    </row>
    <row r="2" spans="1:60">
      <c r="B2" s="86"/>
      <c r="C2" s="87"/>
      <c r="D2" s="87"/>
      <c r="E2" s="87"/>
      <c r="F2" s="88"/>
      <c r="G2" s="86"/>
      <c r="H2" s="86"/>
      <c r="I2" s="86"/>
      <c r="J2" s="86"/>
      <c r="K2" s="86"/>
      <c r="L2" s="86">
        <v>1000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78" t="s">
        <v>2519</v>
      </c>
      <c r="Y2" s="79" t="s">
        <v>2520</v>
      </c>
      <c r="Z2" s="79"/>
      <c r="AA2" s="80"/>
    </row>
    <row r="3" spans="1:60">
      <c r="B3" s="3288" t="s">
        <v>2731</v>
      </c>
      <c r="C3" s="3288"/>
      <c r="D3" s="3288"/>
      <c r="E3" s="3288"/>
      <c r="F3" s="3288"/>
      <c r="G3" s="3288"/>
      <c r="H3" s="3288"/>
      <c r="I3" s="3288"/>
      <c r="J3" s="3288"/>
      <c r="K3" s="3288"/>
      <c r="L3" s="3288"/>
      <c r="M3" s="3288"/>
      <c r="N3" s="3288"/>
      <c r="O3" s="3288"/>
      <c r="P3" s="3288"/>
      <c r="Q3" s="3288"/>
      <c r="R3" s="3288"/>
      <c r="S3" s="86"/>
      <c r="T3" s="86"/>
      <c r="U3" s="86"/>
      <c r="V3" s="86"/>
      <c r="W3" s="86"/>
      <c r="AB3" s="81">
        <v>1000</v>
      </c>
      <c r="AU3" s="89">
        <f>P211</f>
        <v>13891659.449999999</v>
      </c>
    </row>
    <row r="4" spans="1:60">
      <c r="B4" s="86"/>
      <c r="C4" s="87"/>
      <c r="D4" s="87"/>
      <c r="E4" s="87"/>
      <c r="F4" s="1364"/>
      <c r="G4" s="86"/>
      <c r="H4" s="86"/>
      <c r="I4" s="86"/>
      <c r="J4" s="86"/>
      <c r="K4" s="86"/>
      <c r="L4" s="86"/>
      <c r="M4" s="86"/>
      <c r="N4" s="86"/>
      <c r="O4" s="86"/>
      <c r="P4" s="90">
        <f>P9+P56</f>
        <v>3009070.83</v>
      </c>
      <c r="Q4" s="86">
        <v>2905.1165599999999</v>
      </c>
      <c r="R4" s="86"/>
      <c r="S4" s="86"/>
      <c r="T4" s="86"/>
      <c r="U4" s="86"/>
      <c r="V4" s="86"/>
      <c r="W4" s="86"/>
    </row>
    <row r="5" spans="1:60" ht="25.5">
      <c r="B5" s="3289" t="s">
        <v>2521</v>
      </c>
      <c r="C5" s="3291" t="s">
        <v>2522</v>
      </c>
      <c r="D5" s="3293" t="s">
        <v>2523</v>
      </c>
      <c r="E5" s="3293" t="s">
        <v>2524</v>
      </c>
      <c r="F5" s="3295" t="s">
        <v>2525</v>
      </c>
      <c r="G5" s="3296"/>
      <c r="H5" s="3289" t="s">
        <v>2526</v>
      </c>
      <c r="I5" s="3289" t="s">
        <v>2527</v>
      </c>
      <c r="J5" s="3289" t="s">
        <v>2528</v>
      </c>
      <c r="K5" s="3297" t="s">
        <v>2529</v>
      </c>
      <c r="L5" s="3298"/>
      <c r="M5" s="3289" t="s">
        <v>2530</v>
      </c>
      <c r="N5" s="3289" t="s">
        <v>2531</v>
      </c>
      <c r="O5" s="3289" t="s">
        <v>2532</v>
      </c>
      <c r="P5" s="494" t="s">
        <v>2533</v>
      </c>
      <c r="Q5" s="3289" t="s">
        <v>2534</v>
      </c>
      <c r="R5" s="3289" t="s">
        <v>2535</v>
      </c>
      <c r="S5" s="3289" t="s">
        <v>1</v>
      </c>
      <c r="T5" s="3311" t="s">
        <v>2536</v>
      </c>
      <c r="U5" s="91"/>
      <c r="V5" s="91"/>
      <c r="W5" s="91"/>
      <c r="X5" s="3313" t="s">
        <v>2537</v>
      </c>
      <c r="Y5" s="3314"/>
      <c r="Z5" s="496"/>
      <c r="AA5" s="92"/>
      <c r="AB5" s="3315" t="s">
        <v>2538</v>
      </c>
      <c r="AC5" s="3316"/>
      <c r="AD5" s="3316"/>
      <c r="AE5" s="3317"/>
      <c r="AF5" s="3318" t="s">
        <v>2539</v>
      </c>
      <c r="AG5" s="3318" t="s">
        <v>2540</v>
      </c>
      <c r="AI5" s="3304" t="s">
        <v>2541</v>
      </c>
      <c r="AJ5" s="3305"/>
      <c r="AK5" s="3305"/>
      <c r="AL5" s="3306"/>
      <c r="AM5" s="93"/>
      <c r="AN5" s="94"/>
      <c r="AO5" s="3307" t="s">
        <v>2542</v>
      </c>
      <c r="AP5" s="3307" t="s">
        <v>2543</v>
      </c>
      <c r="AQ5" s="3308" t="s">
        <v>2544</v>
      </c>
      <c r="AR5" s="3289" t="s">
        <v>2545</v>
      </c>
      <c r="AS5" s="94"/>
      <c r="AT5" s="3309" t="s">
        <v>2546</v>
      </c>
      <c r="AU5" s="82"/>
      <c r="AW5" s="94"/>
      <c r="AX5" s="95">
        <f>SUM(AX8:AX190)</f>
        <v>13891659.449999999</v>
      </c>
      <c r="AY5" s="94"/>
      <c r="AZ5" s="94"/>
      <c r="BA5" s="3299" t="s">
        <v>2547</v>
      </c>
      <c r="BB5" s="94"/>
      <c r="BC5" s="3299" t="s">
        <v>2548</v>
      </c>
      <c r="BD5" s="493" t="s">
        <v>2549</v>
      </c>
      <c r="BE5" s="3299" t="s">
        <v>2550</v>
      </c>
      <c r="BF5" s="94"/>
    </row>
    <row r="6" spans="1:60">
      <c r="B6" s="3290"/>
      <c r="C6" s="3292"/>
      <c r="D6" s="3294"/>
      <c r="E6" s="3294"/>
      <c r="F6" s="494" t="s">
        <v>2551</v>
      </c>
      <c r="G6" s="494" t="s">
        <v>2552</v>
      </c>
      <c r="H6" s="3290"/>
      <c r="I6" s="3290"/>
      <c r="J6" s="3290"/>
      <c r="K6" s="494" t="s">
        <v>2553</v>
      </c>
      <c r="L6" s="494" t="s">
        <v>2554</v>
      </c>
      <c r="M6" s="3290"/>
      <c r="N6" s="3290"/>
      <c r="O6" s="3290"/>
      <c r="P6" s="494" t="s">
        <v>2555</v>
      </c>
      <c r="Q6" s="3290"/>
      <c r="R6" s="3290"/>
      <c r="S6" s="3290"/>
      <c r="T6" s="3312"/>
      <c r="U6" s="91"/>
      <c r="V6" s="91"/>
      <c r="W6" s="91"/>
      <c r="X6" s="3313"/>
      <c r="Y6" s="3314"/>
      <c r="Z6" s="496"/>
      <c r="AA6" s="92"/>
      <c r="AB6" s="96" t="s">
        <v>2556</v>
      </c>
      <c r="AC6" s="96" t="s">
        <v>2557</v>
      </c>
      <c r="AD6" s="96" t="s">
        <v>2558</v>
      </c>
      <c r="AE6" s="96" t="s">
        <v>2559</v>
      </c>
      <c r="AF6" s="3319"/>
      <c r="AG6" s="3319"/>
      <c r="AI6" s="96" t="s">
        <v>2556</v>
      </c>
      <c r="AJ6" s="96" t="s">
        <v>2557</v>
      </c>
      <c r="AK6" s="96" t="s">
        <v>2558</v>
      </c>
      <c r="AL6" s="96" t="s">
        <v>2559</v>
      </c>
      <c r="AM6" s="93"/>
      <c r="AN6" s="94"/>
      <c r="AO6" s="3307"/>
      <c r="AP6" s="3307"/>
      <c r="AQ6" s="3308"/>
      <c r="AR6" s="3290"/>
      <c r="AS6" s="94"/>
      <c r="AT6" s="3310"/>
      <c r="AU6" s="97"/>
      <c r="AV6" s="94"/>
      <c r="AW6" s="94"/>
      <c r="AX6" s="94"/>
      <c r="AY6" s="94"/>
      <c r="AZ6" s="94"/>
      <c r="BA6" s="3299"/>
      <c r="BB6" s="94"/>
      <c r="BC6" s="3299"/>
      <c r="BD6" s="98" t="e">
        <f>#REF!</f>
        <v>#REF!</v>
      </c>
      <c r="BE6" s="3299"/>
      <c r="BF6" s="94"/>
    </row>
    <row r="7" spans="1:60">
      <c r="B7" s="99">
        <v>1</v>
      </c>
      <c r="C7" s="100">
        <v>2</v>
      </c>
      <c r="D7" s="100"/>
      <c r="E7" s="100"/>
      <c r="F7" s="99">
        <v>3</v>
      </c>
      <c r="G7" s="99">
        <v>4</v>
      </c>
      <c r="H7" s="99">
        <v>5</v>
      </c>
      <c r="I7" s="99">
        <v>6</v>
      </c>
      <c r="J7" s="99">
        <v>7</v>
      </c>
      <c r="K7" s="99">
        <v>8</v>
      </c>
      <c r="L7" s="99"/>
      <c r="M7" s="99">
        <v>9</v>
      </c>
      <c r="N7" s="86">
        <v>10</v>
      </c>
      <c r="O7" s="99">
        <v>11</v>
      </c>
      <c r="P7" s="99">
        <v>5</v>
      </c>
      <c r="Q7" s="99">
        <v>6</v>
      </c>
      <c r="R7" s="99">
        <v>7</v>
      </c>
      <c r="S7" s="495">
        <v>8</v>
      </c>
      <c r="T7" s="101">
        <v>9</v>
      </c>
      <c r="U7" s="91"/>
      <c r="V7" s="91"/>
      <c r="W7" s="91"/>
      <c r="AO7" s="102"/>
      <c r="AP7" s="102"/>
      <c r="AQ7" s="102"/>
    </row>
    <row r="8" spans="1:60" ht="18.75">
      <c r="B8" s="103" t="s">
        <v>3</v>
      </c>
      <c r="C8" s="3300" t="s">
        <v>2560</v>
      </c>
      <c r="D8" s="3301"/>
      <c r="E8" s="3301"/>
      <c r="F8" s="3301"/>
      <c r="G8" s="3301"/>
      <c r="H8" s="3301"/>
      <c r="I8" s="3301"/>
      <c r="J8" s="3301"/>
      <c r="K8" s="3301"/>
      <c r="L8" s="3301"/>
      <c r="M8" s="3301"/>
      <c r="N8" s="3301"/>
      <c r="O8" s="3301"/>
      <c r="P8" s="3301"/>
      <c r="Q8" s="3301"/>
      <c r="R8" s="3301"/>
      <c r="S8" s="3301"/>
      <c r="T8" s="3302"/>
      <c r="U8" s="104"/>
      <c r="V8" s="104"/>
      <c r="W8" s="104"/>
      <c r="AB8" s="105"/>
      <c r="AC8" s="106"/>
      <c r="AD8" s="107"/>
      <c r="AE8" s="108"/>
      <c r="AF8" s="109"/>
      <c r="AG8" s="109"/>
      <c r="AI8" s="105"/>
      <c r="AJ8" s="106"/>
      <c r="AK8" s="107"/>
      <c r="AL8" s="109"/>
    </row>
    <row r="9" spans="1:60" ht="18.75">
      <c r="B9" s="110" t="s">
        <v>4</v>
      </c>
      <c r="C9" s="111" t="s">
        <v>2561</v>
      </c>
      <c r="D9" s="112"/>
      <c r="E9" s="112"/>
      <c r="F9" s="113">
        <f>SUM(F10,F38)</f>
        <v>3.0420000000000007</v>
      </c>
      <c r="G9" s="113">
        <f t="shared" ref="G9:O9" si="0">SUM(G10,G38)</f>
        <v>222.37000000000003</v>
      </c>
      <c r="H9" s="113">
        <f t="shared" si="0"/>
        <v>0</v>
      </c>
      <c r="I9" s="113">
        <f t="shared" si="0"/>
        <v>0</v>
      </c>
      <c r="J9" s="113">
        <f t="shared" si="0"/>
        <v>0</v>
      </c>
      <c r="K9" s="113">
        <f t="shared" si="0"/>
        <v>825.62225000000012</v>
      </c>
      <c r="L9" s="113">
        <f t="shared" si="0"/>
        <v>0</v>
      </c>
      <c r="M9" s="113">
        <f t="shared" si="0"/>
        <v>0</v>
      </c>
      <c r="N9" s="113">
        <f t="shared" si="0"/>
        <v>0</v>
      </c>
      <c r="O9" s="113">
        <f t="shared" si="0"/>
        <v>1535.1416499999998</v>
      </c>
      <c r="P9" s="113">
        <f>SUM(P10,P38)</f>
        <v>2360763.9</v>
      </c>
      <c r="Q9" s="112"/>
      <c r="R9" s="112"/>
      <c r="S9" s="112"/>
      <c r="T9" s="115"/>
      <c r="U9" s="116"/>
      <c r="V9" s="116"/>
      <c r="W9" s="116"/>
      <c r="AB9" s="117"/>
      <c r="AC9" s="118"/>
      <c r="AD9" s="119"/>
      <c r="AE9" s="108"/>
      <c r="AF9" s="108"/>
      <c r="AG9" s="108"/>
      <c r="AI9" s="117"/>
      <c r="AJ9" s="118"/>
      <c r="AK9" s="119"/>
      <c r="AL9" s="108"/>
      <c r="AT9" s="426"/>
    </row>
    <row r="10" spans="1:60" s="120" customFormat="1" ht="15.75">
      <c r="B10" s="121" t="s">
        <v>2562</v>
      </c>
      <c r="C10" s="142" t="str">
        <f>"Всего по "&amp;T10&amp;" ("&amp;$C$9&amp;"):"</f>
        <v>Всего по Г.Н.П. (ВЛ-0,4 до 15 кВт (льгота)):</v>
      </c>
      <c r="D10" s="143"/>
      <c r="E10" s="143"/>
      <c r="F10" s="124">
        <f>SUM(F11,F42,F47)</f>
        <v>2.9540000000000006</v>
      </c>
      <c r="G10" s="124">
        <f t="shared" ref="G10:O10" si="1">SUM(G11,G42,G47)</f>
        <v>208.37000000000003</v>
      </c>
      <c r="H10" s="124">
        <f t="shared" si="1"/>
        <v>0</v>
      </c>
      <c r="I10" s="124">
        <f t="shared" si="1"/>
        <v>0</v>
      </c>
      <c r="J10" s="124">
        <f t="shared" si="1"/>
        <v>0</v>
      </c>
      <c r="K10" s="124">
        <f t="shared" si="1"/>
        <v>753.15586000000008</v>
      </c>
      <c r="L10" s="124">
        <f t="shared" si="1"/>
        <v>0</v>
      </c>
      <c r="M10" s="124">
        <f t="shared" si="1"/>
        <v>0</v>
      </c>
      <c r="N10" s="124">
        <f t="shared" si="1"/>
        <v>0</v>
      </c>
      <c r="O10" s="124">
        <f t="shared" si="1"/>
        <v>1490.2818899999997</v>
      </c>
      <c r="P10" s="124">
        <f>SUM(P11,P42,P47)</f>
        <v>2243437.75</v>
      </c>
      <c r="Q10" s="126"/>
      <c r="R10" s="126"/>
      <c r="S10" s="126"/>
      <c r="T10" s="127" t="s">
        <v>2956</v>
      </c>
      <c r="U10" s="128"/>
      <c r="V10" s="129"/>
      <c r="W10" s="130"/>
      <c r="X10" s="131"/>
      <c r="Y10" s="132"/>
      <c r="Z10" s="133"/>
      <c r="AA10" s="134"/>
      <c r="AB10" s="135"/>
      <c r="AC10" s="136"/>
      <c r="AD10" s="137"/>
      <c r="AE10" s="108"/>
      <c r="AF10" s="138"/>
      <c r="AG10" s="139"/>
      <c r="AI10" s="117"/>
      <c r="AJ10" s="118"/>
      <c r="AK10" s="119"/>
      <c r="AL10" s="138"/>
      <c r="AM10" s="81"/>
      <c r="AN10" s="82"/>
      <c r="AO10" s="140"/>
      <c r="AP10" s="140"/>
      <c r="AQ10" s="82"/>
      <c r="AR10" s="83"/>
      <c r="AS10" s="140"/>
      <c r="AT10" s="426"/>
      <c r="AU10" s="141"/>
      <c r="AV10" s="140"/>
      <c r="AW10" s="140"/>
      <c r="AX10" s="140"/>
      <c r="AY10" s="140"/>
      <c r="AZ10" s="140"/>
      <c r="BA10" s="140"/>
      <c r="BB10" s="140"/>
      <c r="BC10" s="82"/>
      <c r="BD10" s="82"/>
      <c r="BE10" s="82"/>
      <c r="BF10" s="140"/>
    </row>
    <row r="11" spans="1:60" s="94" customFormat="1" ht="31.5">
      <c r="B11" s="121" t="s">
        <v>2563</v>
      </c>
      <c r="C11" s="144" t="str">
        <f>"Всего по "&amp;$T$10&amp;"  "&amp;T11&amp;" ("&amp;$C$9&amp;"):"</f>
        <v>Всего по Г.Н.П.  Изолир. алюм. до 50 мм (ВЛ-0,4 до 15 кВт (льгота)):</v>
      </c>
      <c r="D11" s="144"/>
      <c r="E11" s="144"/>
      <c r="F11" s="2946">
        <f>SUM(F12:F36)</f>
        <v>2.0940000000000003</v>
      </c>
      <c r="G11" s="2946">
        <f t="shared" ref="G11:O11" si="2">SUM(G12:G36)</f>
        <v>187.52</v>
      </c>
      <c r="H11" s="2946">
        <f t="shared" si="2"/>
        <v>0</v>
      </c>
      <c r="I11" s="2946">
        <f t="shared" si="2"/>
        <v>0</v>
      </c>
      <c r="J11" s="2946">
        <f t="shared" si="2"/>
        <v>0</v>
      </c>
      <c r="K11" s="2946">
        <f t="shared" si="2"/>
        <v>753.15586000000008</v>
      </c>
      <c r="L11" s="2946">
        <f t="shared" si="2"/>
        <v>0</v>
      </c>
      <c r="M11" s="2946">
        <f t="shared" si="2"/>
        <v>0</v>
      </c>
      <c r="N11" s="2946">
        <f t="shared" si="2"/>
        <v>0</v>
      </c>
      <c r="O11" s="2946">
        <f t="shared" si="2"/>
        <v>929.17817000000002</v>
      </c>
      <c r="P11" s="2946">
        <f>SUM(P12:P36)</f>
        <v>1682334.03</v>
      </c>
      <c r="Q11" s="145"/>
      <c r="R11" s="145" t="s">
        <v>2564</v>
      </c>
      <c r="S11" s="145"/>
      <c r="T11" s="146" t="s">
        <v>2962</v>
      </c>
      <c r="U11" s="147"/>
      <c r="V11" s="147"/>
      <c r="W11" s="147"/>
      <c r="Y11" s="128" t="str">
        <f t="shared" ref="Y11:Y39" si="3">IF(X11="","",$C$9)</f>
        <v/>
      </c>
      <c r="Z11" s="128" t="str">
        <f t="shared" ref="Z11:Z26" si="4">IF(X11="","",CONCATENATE(Y11,"-",X11,"; ",$T$11))</f>
        <v/>
      </c>
      <c r="AA11" s="134"/>
      <c r="AB11" s="117"/>
      <c r="AC11" s="118"/>
      <c r="AD11" s="119"/>
      <c r="AE11" s="108"/>
      <c r="AF11" s="108"/>
      <c r="AG11" s="148" t="str">
        <f t="shared" ref="AG11" si="5">IF($AF11="1кв 2015",3.67,IF($AF11="2кв 2015",3.67,IF($AF11="3кв 2015",3.8,IF($AF11="4кв 2015",3.87,"не совпадает"))))</f>
        <v>не совпадает</v>
      </c>
      <c r="AI11" s="149" t="str">
        <f t="shared" ref="AI11:AK41" si="6">IF(ISERROR(AB11/$AG11),"",AB11/$AG11)</f>
        <v/>
      </c>
      <c r="AJ11" s="150" t="str">
        <f t="shared" si="6"/>
        <v/>
      </c>
      <c r="AK11" s="151" t="str">
        <f t="shared" si="6"/>
        <v/>
      </c>
      <c r="AL11" s="152">
        <f t="shared" ref="AL11:AL41" si="7">SUM(AI11,AJ11,AK11)</f>
        <v>0</v>
      </c>
      <c r="AM11" s="81"/>
      <c r="AN11" s="82"/>
      <c r="AO11" s="82"/>
      <c r="AP11" s="82"/>
      <c r="AQ11" s="82"/>
      <c r="AR11" s="83"/>
      <c r="AS11" s="82"/>
      <c r="AT11" s="426"/>
      <c r="AU11" s="85"/>
      <c r="AV11" s="82"/>
      <c r="AW11" s="82"/>
      <c r="AX11" s="82"/>
      <c r="AY11" s="82"/>
      <c r="AZ11" s="153"/>
      <c r="BA11" s="82"/>
      <c r="BB11" s="82"/>
      <c r="BC11" s="154" t="e">
        <f>#REF!</f>
        <v>#REF!</v>
      </c>
      <c r="BD11" s="155" t="e">
        <f>BC11*F11*$BD$6</f>
        <v>#REF!</v>
      </c>
      <c r="BE11" s="155" t="e">
        <f>BD11/F11</f>
        <v>#REF!</v>
      </c>
      <c r="BF11" s="82"/>
    </row>
    <row r="12" spans="1:60" ht="38.25">
      <c r="A12" s="76">
        <f>IF(C12="","",1)</f>
        <v>1</v>
      </c>
      <c r="B12" s="156">
        <f>IF(A12="","",SUM($A$12:A12))</f>
        <v>1</v>
      </c>
      <c r="C12" s="157" t="s">
        <v>2668</v>
      </c>
      <c r="D12" s="158" t="str">
        <f t="shared" ref="D12:D29" si="8">IF(AF12=0,"",AF12)</f>
        <v>1кв 2017</v>
      </c>
      <c r="E12" s="159">
        <v>0.4</v>
      </c>
      <c r="F12" s="160">
        <v>0.1</v>
      </c>
      <c r="G12" s="161">
        <v>5</v>
      </c>
      <c r="H12" s="162"/>
      <c r="I12" s="162"/>
      <c r="J12" s="162"/>
      <c r="K12" s="162">
        <v>5.6692999999999998</v>
      </c>
      <c r="L12" s="162"/>
      <c r="M12" s="162"/>
      <c r="N12" s="162"/>
      <c r="O12" s="162">
        <v>40.992230000000006</v>
      </c>
      <c r="P12" s="163">
        <v>46661.53</v>
      </c>
      <c r="Q12" s="164"/>
      <c r="R12" s="165" t="s">
        <v>2564</v>
      </c>
      <c r="S12" s="166" t="s">
        <v>2673</v>
      </c>
      <c r="T12" s="167" t="s">
        <v>2565</v>
      </c>
      <c r="U12" s="168">
        <f>[26]ТП2017!$K$38*1000</f>
        <v>46661.53</v>
      </c>
      <c r="V12" s="168" t="b">
        <f t="shared" ref="V12:V29" si="9">U12=P12</f>
        <v>1</v>
      </c>
      <c r="W12" s="168" t="s">
        <v>2946</v>
      </c>
      <c r="X12" s="76" t="s">
        <v>2519</v>
      </c>
      <c r="Y12" s="169" t="str">
        <f t="shared" si="3"/>
        <v>ВЛ-0,4 до 15 кВт (льгота)</v>
      </c>
      <c r="Z12" s="169" t="str">
        <f t="shared" si="4"/>
        <v>ВЛ-0,4 до 15 кВт (льгота)-н.п.; Изолир. алюм. до 50 мм</v>
      </c>
      <c r="AA12" s="134"/>
      <c r="AB12" s="170">
        <f>O12</f>
        <v>40.992230000000006</v>
      </c>
      <c r="AC12" s="171">
        <f>(I12+H12)</f>
        <v>0</v>
      </c>
      <c r="AD12" s="172">
        <f>K12</f>
        <v>5.6692999999999998</v>
      </c>
      <c r="AE12" s="152">
        <f>AB12+AC12+AD12</f>
        <v>46.661530000000006</v>
      </c>
      <c r="AF12" s="139" t="s">
        <v>2670</v>
      </c>
      <c r="AG12" s="148">
        <f>IF($AF12="1кв 2017",4.03,IF($AF12="2кв 2017",4.05,IF($AF12="3кв 2017",4.15,IF($AF12="4кв 2017",4.2,"не совпадает"))))</f>
        <v>4.03</v>
      </c>
      <c r="AH12" s="173" t="str">
        <f>IFERROR(VLOOKUP($S12,'[27]3.1.1 -реестр исполненных'!$C$10:$I$201,7,FALSE),"")</f>
        <v/>
      </c>
      <c r="AI12" s="149">
        <f>IF(ISERROR(AB12/$AG12),"",AB12/$AG12)</f>
        <v>10.171769230769232</v>
      </c>
      <c r="AJ12" s="150">
        <f t="shared" si="6"/>
        <v>0</v>
      </c>
      <c r="AK12" s="151">
        <f t="shared" si="6"/>
        <v>1.4067741935483871</v>
      </c>
      <c r="AL12" s="152">
        <f>SUM(AI12,AJ12,AK12)</f>
        <v>11.578543424317619</v>
      </c>
      <c r="AQ12" s="427">
        <v>4</v>
      </c>
      <c r="AS12" s="82">
        <f>IF(B12="","",IF(P12=SUM(H12,I12,K12,O12),"ИСТИНА",P12-SUM(H12,I12,K12,O12)))</f>
        <v>46614.868470000001</v>
      </c>
      <c r="AT12" s="1104" t="s">
        <v>2669</v>
      </c>
      <c r="AX12" s="82">
        <f>IF(AT12="","",P12)</f>
        <v>46661.53</v>
      </c>
      <c r="BH12" s="173" t="str">
        <f>IFERROR(VLOOKUP($S12,'[27]3.1.1 -реестр исполненных'!$C$10:$I$201,7,FALSE),"")</f>
        <v/>
      </c>
    </row>
    <row r="13" spans="1:60" ht="38.25">
      <c r="A13" s="76">
        <f t="shared" ref="A13:A41" si="10">IF(C13="","",1)</f>
        <v>1</v>
      </c>
      <c r="B13" s="156">
        <f>IF(A13="","",SUM($A$12:A13))</f>
        <v>2</v>
      </c>
      <c r="C13" s="157" t="s">
        <v>2671</v>
      </c>
      <c r="D13" s="158" t="str">
        <f t="shared" si="8"/>
        <v>2кв 2017</v>
      </c>
      <c r="E13" s="159">
        <v>0.4</v>
      </c>
      <c r="F13" s="160">
        <v>0.1</v>
      </c>
      <c r="G13" s="161">
        <v>5</v>
      </c>
      <c r="H13" s="162"/>
      <c r="I13" s="162"/>
      <c r="J13" s="162"/>
      <c r="K13" s="162"/>
      <c r="L13" s="162"/>
      <c r="M13" s="162"/>
      <c r="N13" s="162"/>
      <c r="O13" s="162">
        <v>35.310010000000005</v>
      </c>
      <c r="P13" s="163">
        <v>35310.01</v>
      </c>
      <c r="Q13" s="164"/>
      <c r="R13" s="165" t="s">
        <v>2564</v>
      </c>
      <c r="S13" s="166" t="s">
        <v>2674</v>
      </c>
      <c r="T13" s="167" t="s">
        <v>2565</v>
      </c>
      <c r="U13" s="168">
        <f>[26]ТП2017!$K$33*1000</f>
        <v>35310.009999999995</v>
      </c>
      <c r="V13" s="168" t="b">
        <f t="shared" si="9"/>
        <v>1</v>
      </c>
      <c r="W13" s="168" t="s">
        <v>2946</v>
      </c>
      <c r="X13" s="76" t="s">
        <v>2519</v>
      </c>
      <c r="Y13" s="174" t="str">
        <f t="shared" si="3"/>
        <v>ВЛ-0,4 до 15 кВт (льгота)</v>
      </c>
      <c r="Z13" s="174" t="str">
        <f t="shared" si="4"/>
        <v>ВЛ-0,4 до 15 кВт (льгота)-н.п.; Изолир. алюм. до 50 мм</v>
      </c>
      <c r="AA13" s="134"/>
      <c r="AB13" s="170">
        <f t="shared" ref="AB13:AB29" si="11">O13</f>
        <v>35.310010000000005</v>
      </c>
      <c r="AC13" s="171">
        <f t="shared" ref="AC13:AC26" si="12">(I13+H13)</f>
        <v>0</v>
      </c>
      <c r="AD13" s="172">
        <f t="shared" ref="AD13:AD36" si="13">K13</f>
        <v>0</v>
      </c>
      <c r="AE13" s="152">
        <f t="shared" ref="AE13:AE36" si="14">AB13+AC13+AD13</f>
        <v>35.310010000000005</v>
      </c>
      <c r="AF13" s="139" t="s">
        <v>2675</v>
      </c>
      <c r="AG13" s="148">
        <f>IF($AF13="1кв 2017",4.03,IF($AF13="2кв 2017",4.05,IF($AF13="3кв 2017",4.15,IF($AF13="4кв 2017",4.2,"не совпадает"))))</f>
        <v>4.05</v>
      </c>
      <c r="AH13" s="175" t="str">
        <f>IFERROR(VLOOKUP($S13,'[27]3.1.1 -реестр исполненных'!$C$10:$I$201,7,FALSE),"")</f>
        <v/>
      </c>
      <c r="AI13" s="149">
        <f t="shared" si="6"/>
        <v>8.7185209876543226</v>
      </c>
      <c r="AJ13" s="150">
        <f t="shared" si="6"/>
        <v>0</v>
      </c>
      <c r="AK13" s="151">
        <f t="shared" si="6"/>
        <v>0</v>
      </c>
      <c r="AL13" s="152">
        <f t="shared" si="7"/>
        <v>8.7185209876543226</v>
      </c>
      <c r="AQ13" s="427" t="s">
        <v>2567</v>
      </c>
      <c r="AS13" s="82">
        <f t="shared" ref="AS13:AS41" si="15">IF(B13="","",IF(P13=SUM(H13,I13,K13,O13),"ИСТИНА",P13-SUM(H13,I13,K13,O13)))</f>
        <v>35274.699990000001</v>
      </c>
      <c r="AT13" s="1104" t="s">
        <v>2672</v>
      </c>
      <c r="AX13" s="82">
        <f t="shared" ref="AX13:AX77" si="16">IF(AT13="","",P13)</f>
        <v>35310.01</v>
      </c>
      <c r="BH13" s="175" t="str">
        <f>IFERROR(VLOOKUP($S13,'[27]3.1.1 -реестр исполненных'!$C$10:$I$201,7,FALSE),"")</f>
        <v/>
      </c>
    </row>
    <row r="14" spans="1:60" ht="38.25">
      <c r="A14" s="76">
        <f t="shared" si="10"/>
        <v>1</v>
      </c>
      <c r="B14" s="156">
        <f>IF(A14="","",SUM($A$12:A14))</f>
        <v>3</v>
      </c>
      <c r="C14" s="157" t="s">
        <v>2676</v>
      </c>
      <c r="D14" s="158" t="str">
        <f t="shared" si="8"/>
        <v>2кв 2017</v>
      </c>
      <c r="E14" s="159">
        <v>0.4</v>
      </c>
      <c r="F14" s="160">
        <v>0.02</v>
      </c>
      <c r="G14" s="161">
        <v>5</v>
      </c>
      <c r="H14" s="162"/>
      <c r="I14" s="162"/>
      <c r="J14" s="162"/>
      <c r="K14" s="162"/>
      <c r="L14" s="162"/>
      <c r="M14" s="162"/>
      <c r="N14" s="162"/>
      <c r="O14" s="162">
        <v>10.232059999999999</v>
      </c>
      <c r="P14" s="163">
        <v>10232.06</v>
      </c>
      <c r="Q14" s="164"/>
      <c r="R14" s="165" t="s">
        <v>2564</v>
      </c>
      <c r="S14" s="166" t="s">
        <v>2677</v>
      </c>
      <c r="T14" s="167" t="s">
        <v>2565</v>
      </c>
      <c r="U14" s="168">
        <f>[26]ТП2017!$K$34*1000</f>
        <v>10232.060000000001</v>
      </c>
      <c r="V14" s="168" t="b">
        <f t="shared" si="9"/>
        <v>1</v>
      </c>
      <c r="W14" s="168" t="s">
        <v>2946</v>
      </c>
      <c r="X14" s="76" t="s">
        <v>2519</v>
      </c>
      <c r="Y14" s="174" t="str">
        <f t="shared" si="3"/>
        <v>ВЛ-0,4 до 15 кВт (льгота)</v>
      </c>
      <c r="Z14" s="174" t="str">
        <f t="shared" si="4"/>
        <v>ВЛ-0,4 до 15 кВт (льгота)-н.п.; Изолир. алюм. до 50 мм</v>
      </c>
      <c r="AA14" s="134"/>
      <c r="AB14" s="170">
        <f t="shared" si="11"/>
        <v>10.232059999999999</v>
      </c>
      <c r="AC14" s="171">
        <f t="shared" si="12"/>
        <v>0</v>
      </c>
      <c r="AD14" s="172">
        <f t="shared" si="13"/>
        <v>0</v>
      </c>
      <c r="AE14" s="152">
        <f t="shared" si="14"/>
        <v>10.232059999999999</v>
      </c>
      <c r="AF14" s="139" t="s">
        <v>2675</v>
      </c>
      <c r="AG14" s="148">
        <f t="shared" ref="AG14:AG56" si="17">IF($AF14="1кв 2017",4.03,IF($AF14="2кв 2017",4.05,IF($AF14="3кв 2017",4.15,IF($AF14="4кв 2017",4.2,"не совпадает"))))</f>
        <v>4.05</v>
      </c>
      <c r="AH14" s="175" t="str">
        <f>IFERROR(VLOOKUP($S14,'[27]3.1.1 -реестр исполненных'!$C$10:$I$201,7,FALSE),"")</f>
        <v/>
      </c>
      <c r="AI14" s="149">
        <f t="shared" si="6"/>
        <v>2.5264345679012346</v>
      </c>
      <c r="AJ14" s="150">
        <f t="shared" si="6"/>
        <v>0</v>
      </c>
      <c r="AK14" s="151">
        <f t="shared" si="6"/>
        <v>0</v>
      </c>
      <c r="AL14" s="152">
        <f t="shared" si="7"/>
        <v>2.5264345679012346</v>
      </c>
      <c r="AQ14" s="427" t="s">
        <v>2567</v>
      </c>
      <c r="AS14" s="82">
        <f t="shared" si="15"/>
        <v>10221.827939999999</v>
      </c>
      <c r="AT14" s="1104" t="s">
        <v>2678</v>
      </c>
      <c r="AX14" s="82">
        <f t="shared" si="16"/>
        <v>10232.06</v>
      </c>
      <c r="BH14" s="175" t="str">
        <f>IFERROR(VLOOKUP($S14,'[27]3.1.1 -реестр исполненных'!$C$10:$I$201,7,FALSE),"")</f>
        <v/>
      </c>
    </row>
    <row r="15" spans="1:60" ht="38.25">
      <c r="A15" s="76">
        <f t="shared" si="10"/>
        <v>1</v>
      </c>
      <c r="B15" s="156">
        <f>IF(A15="","",SUM($A$12:A15))</f>
        <v>4</v>
      </c>
      <c r="C15" s="157" t="s">
        <v>2679</v>
      </c>
      <c r="D15" s="158" t="str">
        <f t="shared" si="8"/>
        <v>3кв 2017</v>
      </c>
      <c r="E15" s="159">
        <v>0.4</v>
      </c>
      <c r="F15" s="160">
        <v>0.04</v>
      </c>
      <c r="G15" s="161">
        <v>5</v>
      </c>
      <c r="H15" s="162"/>
      <c r="I15" s="162"/>
      <c r="J15" s="162"/>
      <c r="K15" s="162">
        <v>28.987400000000001</v>
      </c>
      <c r="L15" s="162"/>
      <c r="M15" s="162"/>
      <c r="N15" s="162"/>
      <c r="O15" s="162">
        <v>19.676310000000001</v>
      </c>
      <c r="P15" s="163">
        <v>48663.710000000006</v>
      </c>
      <c r="Q15" s="164"/>
      <c r="R15" s="165" t="s">
        <v>2564</v>
      </c>
      <c r="S15" s="166" t="s">
        <v>2680</v>
      </c>
      <c r="T15" s="167" t="s">
        <v>2565</v>
      </c>
      <c r="U15" s="168">
        <f>[26]ТП2017!$K$41*1000</f>
        <v>48663.71</v>
      </c>
      <c r="V15" s="168" t="b">
        <f t="shared" si="9"/>
        <v>1</v>
      </c>
      <c r="W15" s="168" t="s">
        <v>2946</v>
      </c>
      <c r="X15" s="76" t="s">
        <v>2519</v>
      </c>
      <c r="Y15" s="174" t="str">
        <f t="shared" si="3"/>
        <v>ВЛ-0,4 до 15 кВт (льгота)</v>
      </c>
      <c r="Z15" s="174" t="str">
        <f t="shared" si="4"/>
        <v>ВЛ-0,4 до 15 кВт (льгота)-н.п.; Изолир. алюм. до 50 мм</v>
      </c>
      <c r="AA15" s="134"/>
      <c r="AB15" s="170">
        <f t="shared" si="11"/>
        <v>19.676310000000001</v>
      </c>
      <c r="AC15" s="171">
        <f t="shared" si="12"/>
        <v>0</v>
      </c>
      <c r="AD15" s="172">
        <f t="shared" si="13"/>
        <v>28.987400000000001</v>
      </c>
      <c r="AE15" s="152">
        <f t="shared" si="14"/>
        <v>48.663710000000002</v>
      </c>
      <c r="AF15" s="139" t="s">
        <v>2681</v>
      </c>
      <c r="AG15" s="148">
        <f t="shared" si="17"/>
        <v>4.1500000000000004</v>
      </c>
      <c r="AH15" s="175" t="str">
        <f>IFERROR(VLOOKUP($S15,'[27]3.1.1 -реестр исполненных'!$C$10:$I$201,7,FALSE),"")</f>
        <v/>
      </c>
      <c r="AI15" s="149">
        <f t="shared" si="6"/>
        <v>4.7412795180722886</v>
      </c>
      <c r="AJ15" s="150">
        <f t="shared" si="6"/>
        <v>0</v>
      </c>
      <c r="AK15" s="151">
        <f t="shared" si="6"/>
        <v>6.9849156626506019</v>
      </c>
      <c r="AL15" s="152">
        <f t="shared" si="7"/>
        <v>11.72619518072289</v>
      </c>
      <c r="AQ15" s="427">
        <v>21</v>
      </c>
      <c r="AS15" s="82">
        <f t="shared" si="15"/>
        <v>48615.046290000006</v>
      </c>
      <c r="AT15" s="1104" t="s">
        <v>2682</v>
      </c>
      <c r="AX15" s="82">
        <f t="shared" si="16"/>
        <v>48663.710000000006</v>
      </c>
      <c r="BH15" s="175" t="str">
        <f>IFERROR(VLOOKUP($S15,'[27]3.1.1 -реестр исполненных'!$C$10:$I$201,7,FALSE),"")</f>
        <v/>
      </c>
    </row>
    <row r="16" spans="1:60" ht="26.25" customHeight="1">
      <c r="A16" s="76">
        <f t="shared" si="10"/>
        <v>1</v>
      </c>
      <c r="B16" s="156">
        <f>IF(A16="","",SUM($A$12:A16))</f>
        <v>5</v>
      </c>
      <c r="C16" s="157" t="s">
        <v>2686</v>
      </c>
      <c r="D16" s="158" t="str">
        <f t="shared" si="8"/>
        <v>3кв 2017</v>
      </c>
      <c r="E16" s="159">
        <v>0.4</v>
      </c>
      <c r="F16" s="160">
        <v>1.4999999999999999E-2</v>
      </c>
      <c r="G16" s="161">
        <v>5</v>
      </c>
      <c r="H16" s="162"/>
      <c r="I16" s="162"/>
      <c r="J16" s="162"/>
      <c r="K16" s="162">
        <v>21.740500000000001</v>
      </c>
      <c r="L16" s="162"/>
      <c r="M16" s="162"/>
      <c r="N16" s="162"/>
      <c r="O16" s="162">
        <v>10.413260000000001</v>
      </c>
      <c r="P16" s="163">
        <v>32153.760000000002</v>
      </c>
      <c r="Q16" s="164"/>
      <c r="R16" s="165" t="s">
        <v>2564</v>
      </c>
      <c r="S16" s="166" t="s">
        <v>2687</v>
      </c>
      <c r="T16" s="167" t="s">
        <v>2565</v>
      </c>
      <c r="U16" s="168">
        <f>[26]ТП2017!$K$44*1000</f>
        <v>32153.759999999998</v>
      </c>
      <c r="V16" s="168" t="b">
        <f t="shared" si="9"/>
        <v>1</v>
      </c>
      <c r="W16" s="168" t="s">
        <v>2946</v>
      </c>
      <c r="X16" s="76" t="s">
        <v>2519</v>
      </c>
      <c r="Y16" s="174" t="str">
        <f t="shared" si="3"/>
        <v>ВЛ-0,4 до 15 кВт (льгота)</v>
      </c>
      <c r="Z16" s="174" t="str">
        <f>IF(X16="","",CONCATENATE(Y16,"-",X16,"; ",$T$11))</f>
        <v>ВЛ-0,4 до 15 кВт (льгота)-н.п.; Изолир. алюм. до 50 мм</v>
      </c>
      <c r="AA16" s="134"/>
      <c r="AB16" s="170">
        <f t="shared" si="11"/>
        <v>10.413260000000001</v>
      </c>
      <c r="AC16" s="171">
        <f t="shared" si="12"/>
        <v>0</v>
      </c>
      <c r="AD16" s="172">
        <f t="shared" si="13"/>
        <v>21.740500000000001</v>
      </c>
      <c r="AE16" s="152">
        <f t="shared" si="14"/>
        <v>32.153760000000005</v>
      </c>
      <c r="AF16" s="139" t="s">
        <v>2681</v>
      </c>
      <c r="AG16" s="148">
        <f t="shared" si="17"/>
        <v>4.1500000000000004</v>
      </c>
      <c r="AH16" s="175" t="str">
        <f>IFERROR(VLOOKUP($S16,'[27]3.1.1 -реестр исполненных'!$C$10:$I$201,7,FALSE),"")</f>
        <v/>
      </c>
      <c r="AI16" s="149">
        <f t="shared" si="6"/>
        <v>2.5092192771084338</v>
      </c>
      <c r="AJ16" s="150">
        <f t="shared" si="6"/>
        <v>0</v>
      </c>
      <c r="AK16" s="151">
        <f t="shared" si="6"/>
        <v>5.2386746987951804</v>
      </c>
      <c r="AL16" s="152">
        <f t="shared" si="7"/>
        <v>7.7478939759036143</v>
      </c>
      <c r="AQ16" s="427" t="s">
        <v>2567</v>
      </c>
      <c r="AS16" s="82">
        <f t="shared" si="15"/>
        <v>32121.606240000001</v>
      </c>
      <c r="AT16" s="1104" t="s">
        <v>2688</v>
      </c>
      <c r="AX16" s="82">
        <f t="shared" si="16"/>
        <v>32153.760000000002</v>
      </c>
      <c r="BH16" s="175" t="str">
        <f>IFERROR(VLOOKUP($S16,'[27]3.1.1 -реестр исполненных'!$C$10:$I$201,7,FALSE),"")</f>
        <v/>
      </c>
    </row>
    <row r="17" spans="1:60" ht="38.25">
      <c r="A17" s="76">
        <f t="shared" si="10"/>
        <v>1</v>
      </c>
      <c r="B17" s="156">
        <f>IF(A17="","",SUM($A$12:A17))</f>
        <v>6</v>
      </c>
      <c r="C17" s="157" t="s">
        <v>2689</v>
      </c>
      <c r="D17" s="158" t="str">
        <f t="shared" si="8"/>
        <v>3кв 2017</v>
      </c>
      <c r="E17" s="159">
        <v>0.4</v>
      </c>
      <c r="F17" s="160">
        <v>0.1</v>
      </c>
      <c r="G17" s="161">
        <v>5</v>
      </c>
      <c r="H17" s="162"/>
      <c r="I17" s="162"/>
      <c r="J17" s="162"/>
      <c r="K17" s="162">
        <v>86.837299999999999</v>
      </c>
      <c r="L17" s="162"/>
      <c r="M17" s="162"/>
      <c r="N17" s="162"/>
      <c r="O17" s="162">
        <v>42.598690000000005</v>
      </c>
      <c r="P17" s="163">
        <v>129435.99</v>
      </c>
      <c r="Q17" s="164"/>
      <c r="R17" s="165" t="s">
        <v>2564</v>
      </c>
      <c r="S17" s="166" t="s">
        <v>2690</v>
      </c>
      <c r="T17" s="167" t="s">
        <v>2565</v>
      </c>
      <c r="U17" s="168">
        <f>[26]ТП2017!$K$45*1000</f>
        <v>129435.99</v>
      </c>
      <c r="V17" s="168" t="b">
        <f t="shared" si="9"/>
        <v>1</v>
      </c>
      <c r="W17" s="168" t="s">
        <v>2946</v>
      </c>
      <c r="X17" s="76" t="s">
        <v>2519</v>
      </c>
      <c r="Y17" s="174" t="str">
        <f t="shared" si="3"/>
        <v>ВЛ-0,4 до 15 кВт (льгота)</v>
      </c>
      <c r="Z17" s="174" t="str">
        <f t="shared" si="4"/>
        <v>ВЛ-0,4 до 15 кВт (льгота)-н.п.; Изолир. алюм. до 50 мм</v>
      </c>
      <c r="AA17" s="134"/>
      <c r="AB17" s="170">
        <f t="shared" si="11"/>
        <v>42.598690000000005</v>
      </c>
      <c r="AC17" s="171">
        <f t="shared" si="12"/>
        <v>0</v>
      </c>
      <c r="AD17" s="172">
        <f t="shared" si="13"/>
        <v>86.837299999999999</v>
      </c>
      <c r="AE17" s="152">
        <f t="shared" si="14"/>
        <v>129.43599</v>
      </c>
      <c r="AF17" s="139" t="s">
        <v>2681</v>
      </c>
      <c r="AG17" s="148">
        <f t="shared" si="17"/>
        <v>4.1500000000000004</v>
      </c>
      <c r="AH17" s="175" t="str">
        <f>IFERROR(VLOOKUP($S17,'[27]3.1.1 -реестр исполненных'!$C$10:$I$201,7,FALSE),"")</f>
        <v/>
      </c>
      <c r="AI17" s="149">
        <f t="shared" si="6"/>
        <v>10.264744578313254</v>
      </c>
      <c r="AJ17" s="150">
        <f t="shared" si="6"/>
        <v>0</v>
      </c>
      <c r="AK17" s="151">
        <f t="shared" si="6"/>
        <v>20.924650602409635</v>
      </c>
      <c r="AL17" s="152">
        <f t="shared" si="7"/>
        <v>31.18939518072289</v>
      </c>
      <c r="AQ17" s="427" t="s">
        <v>2567</v>
      </c>
      <c r="AS17" s="82">
        <f t="shared" si="15"/>
        <v>129306.55401000001</v>
      </c>
      <c r="AT17" s="1104" t="s">
        <v>2691</v>
      </c>
      <c r="AX17" s="82">
        <f t="shared" si="16"/>
        <v>129435.99</v>
      </c>
      <c r="BH17" s="175" t="str">
        <f>IFERROR(VLOOKUP($S17,'[27]3.1.1 -реестр исполненных'!$C$10:$I$201,7,FALSE),"")</f>
        <v/>
      </c>
    </row>
    <row r="18" spans="1:60" ht="38.25">
      <c r="A18" s="76">
        <f t="shared" si="10"/>
        <v>1</v>
      </c>
      <c r="B18" s="156">
        <f>IF(A18="","",SUM($A$12:A18))</f>
        <v>7</v>
      </c>
      <c r="C18" s="157" t="s">
        <v>2692</v>
      </c>
      <c r="D18" s="158" t="str">
        <f t="shared" si="8"/>
        <v>3кв 2017</v>
      </c>
      <c r="E18" s="159">
        <v>0.4</v>
      </c>
      <c r="F18" s="160">
        <v>0.02</v>
      </c>
      <c r="G18" s="161">
        <v>5</v>
      </c>
      <c r="H18" s="162"/>
      <c r="I18" s="162"/>
      <c r="J18" s="162"/>
      <c r="K18" s="162">
        <v>18.085900000000002</v>
      </c>
      <c r="L18" s="162"/>
      <c r="M18" s="162"/>
      <c r="N18" s="162"/>
      <c r="O18" s="162">
        <v>13.11192</v>
      </c>
      <c r="P18" s="163">
        <v>31197.82</v>
      </c>
      <c r="Q18" s="164"/>
      <c r="R18" s="165" t="s">
        <v>2564</v>
      </c>
      <c r="S18" s="166" t="s">
        <v>2693</v>
      </c>
      <c r="T18" s="167" t="s">
        <v>2565</v>
      </c>
      <c r="U18" s="168">
        <f>[26]ТП2017!$K$46*1000</f>
        <v>31197.82</v>
      </c>
      <c r="V18" s="168" t="b">
        <f t="shared" si="9"/>
        <v>1</v>
      </c>
      <c r="W18" s="168" t="s">
        <v>2946</v>
      </c>
      <c r="X18" s="76" t="s">
        <v>2519</v>
      </c>
      <c r="Y18" s="174" t="str">
        <f t="shared" si="3"/>
        <v>ВЛ-0,4 до 15 кВт (льгота)</v>
      </c>
      <c r="Z18" s="174" t="str">
        <f t="shared" si="4"/>
        <v>ВЛ-0,4 до 15 кВт (льгота)-н.п.; Изолир. алюм. до 50 мм</v>
      </c>
      <c r="AA18" s="134"/>
      <c r="AB18" s="170">
        <f t="shared" si="11"/>
        <v>13.11192</v>
      </c>
      <c r="AC18" s="171">
        <f t="shared" si="12"/>
        <v>0</v>
      </c>
      <c r="AD18" s="172">
        <f t="shared" si="13"/>
        <v>18.085900000000002</v>
      </c>
      <c r="AE18" s="152">
        <f t="shared" si="14"/>
        <v>31.19782</v>
      </c>
      <c r="AF18" s="139" t="s">
        <v>2681</v>
      </c>
      <c r="AG18" s="148">
        <f t="shared" si="17"/>
        <v>4.1500000000000004</v>
      </c>
      <c r="AH18" s="175" t="str">
        <f>IFERROR(VLOOKUP($S18,'[27]3.1.1 -реестр исполненных'!$C$10:$I$201,7,FALSE),"")</f>
        <v/>
      </c>
      <c r="AI18" s="149">
        <f t="shared" si="6"/>
        <v>3.1594987951807223</v>
      </c>
      <c r="AJ18" s="150">
        <f t="shared" si="6"/>
        <v>0</v>
      </c>
      <c r="AK18" s="151">
        <f t="shared" si="6"/>
        <v>4.3580481927710846</v>
      </c>
      <c r="AL18" s="152">
        <f t="shared" si="7"/>
        <v>7.5175469879518069</v>
      </c>
      <c r="AQ18" s="427" t="s">
        <v>2567</v>
      </c>
      <c r="AS18" s="82">
        <f>IF(B18="","",IF(P18=SUM(H18,I18,K18,O18),"ИСТИНА",P18-SUM(H18,I18,K18,O18)))</f>
        <v>31166.622179999998</v>
      </c>
      <c r="AT18" s="1104" t="s">
        <v>2694</v>
      </c>
      <c r="AX18" s="82">
        <f t="shared" si="16"/>
        <v>31197.82</v>
      </c>
      <c r="BH18" s="175" t="str">
        <f>IFERROR(VLOOKUP($S18,'[27]3.1.1 -реестр исполненных'!$C$10:$I$201,7,FALSE),"")</f>
        <v/>
      </c>
    </row>
    <row r="19" spans="1:60" ht="38.25">
      <c r="A19" s="76">
        <f t="shared" si="10"/>
        <v>1</v>
      </c>
      <c r="B19" s="156">
        <f>IF(A19="","",SUM($A$12:A19))</f>
        <v>8</v>
      </c>
      <c r="C19" s="157" t="s">
        <v>2695</v>
      </c>
      <c r="D19" s="158" t="str">
        <f t="shared" si="8"/>
        <v>4кв 2017</v>
      </c>
      <c r="E19" s="159">
        <v>0.4</v>
      </c>
      <c r="F19" s="160">
        <v>0.03</v>
      </c>
      <c r="G19" s="161">
        <v>5</v>
      </c>
      <c r="H19" s="162"/>
      <c r="I19" s="162"/>
      <c r="J19" s="162"/>
      <c r="K19" s="162"/>
      <c r="L19" s="162"/>
      <c r="M19" s="162"/>
      <c r="N19" s="162"/>
      <c r="O19" s="162">
        <v>13.32292</v>
      </c>
      <c r="P19" s="163">
        <v>13322.92</v>
      </c>
      <c r="Q19" s="164"/>
      <c r="R19" s="165" t="s">
        <v>2564</v>
      </c>
      <c r="S19" s="166" t="s">
        <v>2696</v>
      </c>
      <c r="T19" s="167" t="s">
        <v>2565</v>
      </c>
      <c r="U19" s="168">
        <f>[26]ТП2017!$K$47*1000</f>
        <v>13322.92</v>
      </c>
      <c r="V19" s="168" t="b">
        <f t="shared" si="9"/>
        <v>1</v>
      </c>
      <c r="W19" s="168" t="s">
        <v>2946</v>
      </c>
      <c r="X19" s="76" t="s">
        <v>2519</v>
      </c>
      <c r="Y19" s="174" t="str">
        <f t="shared" si="3"/>
        <v>ВЛ-0,4 до 15 кВт (льгота)</v>
      </c>
      <c r="Z19" s="174" t="str">
        <f t="shared" si="4"/>
        <v>ВЛ-0,4 до 15 кВт (льгота)-н.п.; Изолир. алюм. до 50 мм</v>
      </c>
      <c r="AA19" s="134"/>
      <c r="AB19" s="170">
        <f t="shared" si="11"/>
        <v>13.32292</v>
      </c>
      <c r="AC19" s="171">
        <f t="shared" si="12"/>
        <v>0</v>
      </c>
      <c r="AD19" s="172">
        <f t="shared" si="13"/>
        <v>0</v>
      </c>
      <c r="AE19" s="152">
        <f t="shared" si="14"/>
        <v>13.32292</v>
      </c>
      <c r="AF19" s="139" t="s">
        <v>2697</v>
      </c>
      <c r="AG19" s="148">
        <f t="shared" si="17"/>
        <v>4.2</v>
      </c>
      <c r="AH19" s="175" t="str">
        <f>IFERROR(VLOOKUP($S19,'[27]3.1.1 -реестр исполненных'!$C$10:$I$201,7,FALSE),"")</f>
        <v/>
      </c>
      <c r="AI19" s="149">
        <f t="shared" si="6"/>
        <v>3.1721238095238093</v>
      </c>
      <c r="AJ19" s="150">
        <f t="shared" si="6"/>
        <v>0</v>
      </c>
      <c r="AK19" s="151">
        <f t="shared" si="6"/>
        <v>0</v>
      </c>
      <c r="AL19" s="152">
        <f t="shared" si="7"/>
        <v>3.1721238095238093</v>
      </c>
      <c r="AQ19" s="427">
        <v>32</v>
      </c>
      <c r="AS19" s="82">
        <f>IF(B19="","",IF(P19=SUM(H19,I19,K19,O19),"ИСТИНА",P19-SUM(H19,I19,K19,O19)))</f>
        <v>13309.59708</v>
      </c>
      <c r="AT19" s="1104" t="s">
        <v>2698</v>
      </c>
      <c r="AX19" s="82">
        <f t="shared" si="16"/>
        <v>13322.92</v>
      </c>
      <c r="BH19" s="175" t="str">
        <f>IFERROR(VLOOKUP($S19,'[27]3.1.1 -реестр исполненных'!$C$10:$I$201,7,FALSE),"")</f>
        <v/>
      </c>
    </row>
    <row r="20" spans="1:60" ht="38.25">
      <c r="A20" s="76">
        <f t="shared" si="10"/>
        <v>1</v>
      </c>
      <c r="B20" s="156">
        <f>IF(A20="","",SUM($A$12:A20))</f>
        <v>9</v>
      </c>
      <c r="C20" s="157" t="s">
        <v>2699</v>
      </c>
      <c r="D20" s="158" t="str">
        <f t="shared" si="8"/>
        <v>4кв 2017</v>
      </c>
      <c r="E20" s="159">
        <v>0.4</v>
      </c>
      <c r="F20" s="160">
        <v>1.4999999999999999E-2</v>
      </c>
      <c r="G20" s="161">
        <v>10</v>
      </c>
      <c r="H20" s="162"/>
      <c r="I20" s="162"/>
      <c r="J20" s="162"/>
      <c r="K20" s="162">
        <v>69.970759999999999</v>
      </c>
      <c r="L20" s="162"/>
      <c r="M20" s="162"/>
      <c r="N20" s="162"/>
      <c r="O20" s="162">
        <v>12.21039</v>
      </c>
      <c r="P20" s="163">
        <v>82181.149999999994</v>
      </c>
      <c r="Q20" s="164"/>
      <c r="R20" s="165" t="s">
        <v>2564</v>
      </c>
      <c r="S20" s="166" t="s">
        <v>2700</v>
      </c>
      <c r="T20" s="167" t="s">
        <v>2565</v>
      </c>
      <c r="U20" s="168">
        <f>[26]ТП2017!$K$53*1000</f>
        <v>82181.149999999994</v>
      </c>
      <c r="V20" s="168" t="b">
        <f t="shared" si="9"/>
        <v>1</v>
      </c>
      <c r="W20" s="168" t="s">
        <v>2946</v>
      </c>
      <c r="X20" s="76" t="s">
        <v>2519</v>
      </c>
      <c r="Y20" s="174" t="str">
        <f t="shared" si="3"/>
        <v>ВЛ-0,4 до 15 кВт (льгота)</v>
      </c>
      <c r="Z20" s="174" t="str">
        <f t="shared" si="4"/>
        <v>ВЛ-0,4 до 15 кВт (льгота)-н.п.; Изолир. алюм. до 50 мм</v>
      </c>
      <c r="AA20" s="134"/>
      <c r="AB20" s="170">
        <f t="shared" si="11"/>
        <v>12.21039</v>
      </c>
      <c r="AC20" s="171">
        <f t="shared" si="12"/>
        <v>0</v>
      </c>
      <c r="AD20" s="172">
        <f t="shared" si="13"/>
        <v>69.970759999999999</v>
      </c>
      <c r="AE20" s="152">
        <f t="shared" si="14"/>
        <v>82.181150000000002</v>
      </c>
      <c r="AF20" s="139" t="s">
        <v>2697</v>
      </c>
      <c r="AG20" s="148">
        <f t="shared" si="17"/>
        <v>4.2</v>
      </c>
      <c r="AH20" s="175" t="str">
        <f>IFERROR(VLOOKUP($S20,'[27]3.1.1 -реестр исполненных'!$C$10:$I$201,7,FALSE),"")</f>
        <v/>
      </c>
      <c r="AI20" s="149">
        <f t="shared" si="6"/>
        <v>2.9072357142857141</v>
      </c>
      <c r="AJ20" s="150">
        <f t="shared" si="6"/>
        <v>0</v>
      </c>
      <c r="AK20" s="151">
        <f t="shared" si="6"/>
        <v>16.659704761904759</v>
      </c>
      <c r="AL20" s="152">
        <f t="shared" si="7"/>
        <v>19.566940476190474</v>
      </c>
      <c r="AQ20" s="427" t="s">
        <v>2567</v>
      </c>
      <c r="AS20" s="82">
        <f t="shared" si="15"/>
        <v>82098.96884999999</v>
      </c>
      <c r="AT20" s="1104" t="s">
        <v>2701</v>
      </c>
      <c r="AX20" s="82">
        <f t="shared" si="16"/>
        <v>82181.149999999994</v>
      </c>
      <c r="BH20" s="175" t="str">
        <f>IFERROR(VLOOKUP($S20,'[27]3.1.1 -реестр исполненных'!$C$10:$I$201,7,FALSE),"")</f>
        <v/>
      </c>
    </row>
    <row r="21" spans="1:60" ht="38.25">
      <c r="A21" s="76">
        <f t="shared" si="10"/>
        <v>1</v>
      </c>
      <c r="B21" s="156">
        <f>IF(A21="","",SUM($A$12:A21))</f>
        <v>10</v>
      </c>
      <c r="C21" s="157" t="s">
        <v>2702</v>
      </c>
      <c r="D21" s="158" t="str">
        <f t="shared" si="8"/>
        <v>4кв 2017</v>
      </c>
      <c r="E21" s="159">
        <v>0.4</v>
      </c>
      <c r="F21" s="160">
        <v>2.5000000000000001E-2</v>
      </c>
      <c r="G21" s="161">
        <v>7</v>
      </c>
      <c r="H21" s="162"/>
      <c r="I21" s="162"/>
      <c r="J21" s="162"/>
      <c r="K21" s="162">
        <v>69.970759999999999</v>
      </c>
      <c r="L21" s="162"/>
      <c r="M21" s="162"/>
      <c r="N21" s="162"/>
      <c r="O21" s="162">
        <v>11.805950000000001</v>
      </c>
      <c r="P21" s="163">
        <v>81776.709999999992</v>
      </c>
      <c r="Q21" s="164"/>
      <c r="R21" s="165" t="s">
        <v>2564</v>
      </c>
      <c r="S21" s="166" t="s">
        <v>2703</v>
      </c>
      <c r="T21" s="167" t="s">
        <v>2565</v>
      </c>
      <c r="U21" s="168">
        <f>[26]ТП2017!$K$56*1000</f>
        <v>81776.710000000006</v>
      </c>
      <c r="V21" s="168" t="b">
        <f t="shared" si="9"/>
        <v>1</v>
      </c>
      <c r="W21" s="168" t="s">
        <v>2946</v>
      </c>
      <c r="X21" s="76" t="s">
        <v>2519</v>
      </c>
      <c r="Y21" s="174" t="str">
        <f t="shared" si="3"/>
        <v>ВЛ-0,4 до 15 кВт (льгота)</v>
      </c>
      <c r="Z21" s="174" t="str">
        <f t="shared" si="4"/>
        <v>ВЛ-0,4 до 15 кВт (льгота)-н.п.; Изолир. алюм. до 50 мм</v>
      </c>
      <c r="AA21" s="134"/>
      <c r="AB21" s="170">
        <f t="shared" si="11"/>
        <v>11.805950000000001</v>
      </c>
      <c r="AC21" s="171">
        <f t="shared" si="12"/>
        <v>0</v>
      </c>
      <c r="AD21" s="172">
        <f t="shared" si="13"/>
        <v>69.970759999999999</v>
      </c>
      <c r="AE21" s="152">
        <f t="shared" si="14"/>
        <v>81.776709999999994</v>
      </c>
      <c r="AF21" s="139" t="s">
        <v>2697</v>
      </c>
      <c r="AG21" s="148">
        <f t="shared" si="17"/>
        <v>4.2</v>
      </c>
      <c r="AH21" s="175" t="str">
        <f>IFERROR(VLOOKUP($S21,'[27]3.1.1 -реестр исполненных'!$C$10:$I$201,7,FALSE),"")</f>
        <v/>
      </c>
      <c r="AI21" s="149">
        <f t="shared" si="6"/>
        <v>2.8109404761904764</v>
      </c>
      <c r="AJ21" s="150">
        <f t="shared" si="6"/>
        <v>0</v>
      </c>
      <c r="AK21" s="151">
        <f t="shared" si="6"/>
        <v>16.659704761904759</v>
      </c>
      <c r="AL21" s="152">
        <f t="shared" si="7"/>
        <v>19.470645238095237</v>
      </c>
      <c r="AQ21" s="427" t="s">
        <v>2567</v>
      </c>
      <c r="AS21" s="82">
        <f t="shared" si="15"/>
        <v>81694.933289999986</v>
      </c>
      <c r="AT21" s="1104" t="s">
        <v>2704</v>
      </c>
      <c r="AX21" s="82">
        <f t="shared" si="16"/>
        <v>81776.709999999992</v>
      </c>
      <c r="BH21" s="175" t="str">
        <f>IFERROR(VLOOKUP($S21,'[27]3.1.1 -реестр исполненных'!$C$10:$I$201,7,FALSE),"")</f>
        <v/>
      </c>
    </row>
    <row r="22" spans="1:60" ht="38.25">
      <c r="A22" s="76">
        <f t="shared" si="10"/>
        <v>1</v>
      </c>
      <c r="B22" s="156">
        <f>IF(A22="","",SUM($A$12:A22))</f>
        <v>11</v>
      </c>
      <c r="C22" s="157" t="s">
        <v>2706</v>
      </c>
      <c r="D22" s="158" t="str">
        <f t="shared" si="8"/>
        <v>4кв 2017</v>
      </c>
      <c r="E22" s="159">
        <v>0.4</v>
      </c>
      <c r="F22" s="160">
        <v>2.5000000000000001E-2</v>
      </c>
      <c r="G22" s="161">
        <v>15</v>
      </c>
      <c r="H22" s="162"/>
      <c r="I22" s="162"/>
      <c r="J22" s="162"/>
      <c r="K22" s="162">
        <v>69.970759999999999</v>
      </c>
      <c r="L22" s="162"/>
      <c r="M22" s="162"/>
      <c r="N22" s="162"/>
      <c r="O22" s="162">
        <v>11.90253</v>
      </c>
      <c r="P22" s="163">
        <v>81873.289999999994</v>
      </c>
      <c r="Q22" s="164"/>
      <c r="R22" s="165" t="s">
        <v>2564</v>
      </c>
      <c r="S22" s="166" t="s">
        <v>2705</v>
      </c>
      <c r="T22" s="167" t="s">
        <v>2565</v>
      </c>
      <c r="U22" s="168">
        <f>[26]ТП2017!$K$57*1000</f>
        <v>81873.289999999994</v>
      </c>
      <c r="V22" s="168" t="b">
        <f t="shared" si="9"/>
        <v>1</v>
      </c>
      <c r="W22" s="168" t="s">
        <v>2946</v>
      </c>
      <c r="X22" s="76" t="s">
        <v>2519</v>
      </c>
      <c r="Y22" s="174" t="str">
        <f t="shared" si="3"/>
        <v>ВЛ-0,4 до 15 кВт (льгота)</v>
      </c>
      <c r="Z22" s="174" t="str">
        <f t="shared" si="4"/>
        <v>ВЛ-0,4 до 15 кВт (льгота)-н.п.; Изолир. алюм. до 50 мм</v>
      </c>
      <c r="AA22" s="134"/>
      <c r="AB22" s="170">
        <f t="shared" si="11"/>
        <v>11.90253</v>
      </c>
      <c r="AC22" s="171">
        <f t="shared" si="12"/>
        <v>0</v>
      </c>
      <c r="AD22" s="172">
        <f t="shared" si="13"/>
        <v>69.970759999999999</v>
      </c>
      <c r="AE22" s="152">
        <f t="shared" si="14"/>
        <v>81.873289999999997</v>
      </c>
      <c r="AF22" s="139" t="s">
        <v>2697</v>
      </c>
      <c r="AG22" s="148">
        <f t="shared" si="17"/>
        <v>4.2</v>
      </c>
      <c r="AH22" s="175" t="str">
        <f>IFERROR(VLOOKUP($S22,'[27]3.1.1 -реестр исполненных'!$C$10:$I$201,7,FALSE),"")</f>
        <v/>
      </c>
      <c r="AI22" s="149">
        <f t="shared" si="6"/>
        <v>2.8339357142857144</v>
      </c>
      <c r="AJ22" s="150">
        <f t="shared" si="6"/>
        <v>0</v>
      </c>
      <c r="AK22" s="151">
        <f t="shared" si="6"/>
        <v>16.659704761904759</v>
      </c>
      <c r="AL22" s="152">
        <f t="shared" si="7"/>
        <v>19.493640476190475</v>
      </c>
      <c r="AQ22" s="427" t="s">
        <v>2567</v>
      </c>
      <c r="AS22" s="82">
        <f t="shared" si="15"/>
        <v>81791.41670999999</v>
      </c>
      <c r="AT22" s="1104" t="s">
        <v>2707</v>
      </c>
      <c r="AX22" s="82">
        <f t="shared" si="16"/>
        <v>81873.289999999994</v>
      </c>
      <c r="BH22" s="175" t="str">
        <f>IFERROR(VLOOKUP($S22,'[27]3.1.1 -реестр исполненных'!$C$10:$I$201,7,FALSE),"")</f>
        <v/>
      </c>
    </row>
    <row r="23" spans="1:60" ht="38.25">
      <c r="A23" s="76">
        <f t="shared" si="10"/>
        <v>1</v>
      </c>
      <c r="B23" s="156">
        <f>IF(A23="","",SUM($A$12:A23))</f>
        <v>12</v>
      </c>
      <c r="C23" s="157" t="s">
        <v>2709</v>
      </c>
      <c r="D23" s="158" t="str">
        <f t="shared" si="8"/>
        <v>4кв 2017</v>
      </c>
      <c r="E23" s="159">
        <v>0.4</v>
      </c>
      <c r="F23" s="160">
        <v>0.03</v>
      </c>
      <c r="G23" s="161">
        <v>10</v>
      </c>
      <c r="H23" s="162"/>
      <c r="I23" s="162"/>
      <c r="J23" s="162"/>
      <c r="K23" s="1428">
        <v>69.970479999999995</v>
      </c>
      <c r="L23" s="1428"/>
      <c r="M23" s="1428"/>
      <c r="N23" s="1428"/>
      <c r="O23" s="1428">
        <v>18.286860000000001</v>
      </c>
      <c r="P23" s="163">
        <v>88257.34</v>
      </c>
      <c r="Q23" s="164"/>
      <c r="R23" s="165" t="s">
        <v>2564</v>
      </c>
      <c r="S23" s="166" t="s">
        <v>2708</v>
      </c>
      <c r="T23" s="167" t="s">
        <v>2565</v>
      </c>
      <c r="U23" s="168">
        <f>[26]ТП2017!$K$51*1000</f>
        <v>88257.34</v>
      </c>
      <c r="V23" s="168" t="b">
        <f t="shared" si="9"/>
        <v>1</v>
      </c>
      <c r="W23" s="168" t="s">
        <v>2946</v>
      </c>
      <c r="X23" s="76" t="s">
        <v>2519</v>
      </c>
      <c r="Y23" s="174" t="str">
        <f t="shared" si="3"/>
        <v>ВЛ-0,4 до 15 кВт (льгота)</v>
      </c>
      <c r="Z23" s="174" t="str">
        <f t="shared" si="4"/>
        <v>ВЛ-0,4 до 15 кВт (льгота)-н.п.; Изолир. алюм. до 50 мм</v>
      </c>
      <c r="AA23" s="134"/>
      <c r="AB23" s="170">
        <f t="shared" si="11"/>
        <v>18.286860000000001</v>
      </c>
      <c r="AC23" s="171">
        <f t="shared" si="12"/>
        <v>0</v>
      </c>
      <c r="AD23" s="172">
        <f t="shared" si="13"/>
        <v>69.970479999999995</v>
      </c>
      <c r="AE23" s="152">
        <f t="shared" si="14"/>
        <v>88.257339999999999</v>
      </c>
      <c r="AF23" s="139" t="s">
        <v>2697</v>
      </c>
      <c r="AG23" s="148">
        <f t="shared" si="17"/>
        <v>4.2</v>
      </c>
      <c r="AH23" s="175" t="str">
        <f>IFERROR(VLOOKUP($S23,'[27]3.1.1 -реестр исполненных'!$C$10:$I$201,7,FALSE),"")</f>
        <v/>
      </c>
      <c r="AI23" s="149">
        <f t="shared" si="6"/>
        <v>4.3540142857142854</v>
      </c>
      <c r="AJ23" s="150">
        <f t="shared" si="6"/>
        <v>0</v>
      </c>
      <c r="AK23" s="151">
        <f t="shared" si="6"/>
        <v>16.659638095238094</v>
      </c>
      <c r="AL23" s="152">
        <f t="shared" si="7"/>
        <v>21.013652380952379</v>
      </c>
      <c r="AQ23" s="427" t="s">
        <v>2567</v>
      </c>
      <c r="AS23" s="82">
        <f t="shared" si="15"/>
        <v>88169.08266</v>
      </c>
      <c r="AT23" s="1104" t="s">
        <v>2710</v>
      </c>
      <c r="AX23" s="82">
        <f t="shared" si="16"/>
        <v>88257.34</v>
      </c>
      <c r="BH23" s="175" t="str">
        <f>IFERROR(VLOOKUP($S23,'[27]3.1.1 -реестр исполненных'!$C$10:$I$201,7,FALSE),"")</f>
        <v/>
      </c>
    </row>
    <row r="24" spans="1:60" ht="38.25">
      <c r="A24" s="76">
        <f t="shared" si="10"/>
        <v>1</v>
      </c>
      <c r="B24" s="156">
        <f>IF(A24="","",SUM($A$12:A24))</f>
        <v>13</v>
      </c>
      <c r="C24" s="157" t="s">
        <v>2711</v>
      </c>
      <c r="D24" s="158" t="str">
        <f t="shared" si="8"/>
        <v>4кв 2017</v>
      </c>
      <c r="E24" s="159">
        <v>0.4</v>
      </c>
      <c r="F24" s="160">
        <v>0.12</v>
      </c>
      <c r="G24" s="161">
        <v>5</v>
      </c>
      <c r="H24" s="162"/>
      <c r="I24" s="162"/>
      <c r="J24" s="162"/>
      <c r="K24" s="162"/>
      <c r="L24" s="162"/>
      <c r="M24" s="162"/>
      <c r="N24" s="162"/>
      <c r="O24" s="162">
        <v>6.5974300000000001</v>
      </c>
      <c r="P24" s="163">
        <v>6597.43</v>
      </c>
      <c r="Q24" s="164"/>
      <c r="R24" s="165" t="s">
        <v>2564</v>
      </c>
      <c r="S24" s="166" t="s">
        <v>2712</v>
      </c>
      <c r="T24" s="167" t="s">
        <v>2565</v>
      </c>
      <c r="U24" s="168">
        <f>[26]ТП2017!$K$59*1000</f>
        <v>6597.43</v>
      </c>
      <c r="V24" s="168" t="b">
        <f t="shared" si="9"/>
        <v>1</v>
      </c>
      <c r="W24" s="168" t="s">
        <v>2946</v>
      </c>
      <c r="X24" s="76" t="s">
        <v>2519</v>
      </c>
      <c r="Y24" s="174" t="str">
        <f t="shared" si="3"/>
        <v>ВЛ-0,4 до 15 кВт (льгота)</v>
      </c>
      <c r="Z24" s="174" t="str">
        <f t="shared" si="4"/>
        <v>ВЛ-0,4 до 15 кВт (льгота)-н.п.; Изолир. алюм. до 50 мм</v>
      </c>
      <c r="AA24" s="134"/>
      <c r="AB24" s="170">
        <f t="shared" si="11"/>
        <v>6.5974300000000001</v>
      </c>
      <c r="AC24" s="171">
        <f t="shared" si="12"/>
        <v>0</v>
      </c>
      <c r="AD24" s="172">
        <f t="shared" si="13"/>
        <v>0</v>
      </c>
      <c r="AE24" s="152">
        <f t="shared" si="14"/>
        <v>6.5974300000000001</v>
      </c>
      <c r="AF24" s="139" t="s">
        <v>2697</v>
      </c>
      <c r="AG24" s="148">
        <f t="shared" si="17"/>
        <v>4.2</v>
      </c>
      <c r="AH24" s="175" t="str">
        <f>IFERROR(VLOOKUP($S24,'[27]3.1.1 -реестр исполненных'!$C$10:$I$201,7,FALSE),"")</f>
        <v/>
      </c>
      <c r="AI24" s="149">
        <f t="shared" si="6"/>
        <v>1.5708166666666665</v>
      </c>
      <c r="AJ24" s="150">
        <f t="shared" si="6"/>
        <v>0</v>
      </c>
      <c r="AK24" s="151">
        <f t="shared" si="6"/>
        <v>0</v>
      </c>
      <c r="AL24" s="152">
        <f t="shared" si="7"/>
        <v>1.5708166666666665</v>
      </c>
      <c r="AQ24" s="427" t="s">
        <v>2567</v>
      </c>
      <c r="AS24" s="82">
        <f t="shared" si="15"/>
        <v>6590.8325700000005</v>
      </c>
      <c r="AT24" s="1104" t="s">
        <v>2713</v>
      </c>
      <c r="AX24" s="82">
        <f t="shared" si="16"/>
        <v>6597.43</v>
      </c>
      <c r="BH24" s="175" t="str">
        <f>IFERROR(VLOOKUP($S24,'[27]3.1.1 -реестр исполненных'!$C$10:$I$201,7,FALSE),"")</f>
        <v/>
      </c>
    </row>
    <row r="25" spans="1:60" ht="38.25">
      <c r="A25" s="76">
        <f t="shared" si="10"/>
        <v>1</v>
      </c>
      <c r="B25" s="156">
        <f>IF(A25="","",SUM($A$12:A25))</f>
        <v>14</v>
      </c>
      <c r="C25" s="157" t="s">
        <v>2714</v>
      </c>
      <c r="D25" s="158" t="str">
        <f t="shared" si="8"/>
        <v>4кв 2017</v>
      </c>
      <c r="E25" s="159">
        <v>0.4</v>
      </c>
      <c r="F25" s="160">
        <v>5.5E-2</v>
      </c>
      <c r="G25" s="161">
        <v>5</v>
      </c>
      <c r="H25" s="162"/>
      <c r="I25" s="162"/>
      <c r="J25" s="162"/>
      <c r="K25" s="162"/>
      <c r="L25" s="162"/>
      <c r="M25" s="162"/>
      <c r="N25" s="162"/>
      <c r="O25" s="162">
        <v>36.803129999999996</v>
      </c>
      <c r="P25" s="163">
        <v>36803.129999999997</v>
      </c>
      <c r="Q25" s="164"/>
      <c r="R25" s="165" t="s">
        <v>2564</v>
      </c>
      <c r="S25" s="166" t="s">
        <v>2715</v>
      </c>
      <c r="T25" s="167" t="s">
        <v>2565</v>
      </c>
      <c r="U25" s="168">
        <f>[26]ТП2017!$K$60*1000</f>
        <v>36803.129999999997</v>
      </c>
      <c r="V25" s="168" t="b">
        <f t="shared" si="9"/>
        <v>1</v>
      </c>
      <c r="W25" s="168" t="s">
        <v>2946</v>
      </c>
      <c r="X25" s="76" t="s">
        <v>2519</v>
      </c>
      <c r="Y25" s="174" t="str">
        <f t="shared" si="3"/>
        <v>ВЛ-0,4 до 15 кВт (льгота)</v>
      </c>
      <c r="Z25" s="174" t="str">
        <f t="shared" si="4"/>
        <v>ВЛ-0,4 до 15 кВт (льгота)-н.п.; Изолир. алюм. до 50 мм</v>
      </c>
      <c r="AA25" s="134"/>
      <c r="AB25" s="170">
        <f t="shared" si="11"/>
        <v>36.803129999999996</v>
      </c>
      <c r="AC25" s="171">
        <f t="shared" si="12"/>
        <v>0</v>
      </c>
      <c r="AD25" s="172">
        <f t="shared" si="13"/>
        <v>0</v>
      </c>
      <c r="AE25" s="152">
        <f t="shared" si="14"/>
        <v>36.803129999999996</v>
      </c>
      <c r="AF25" s="139" t="s">
        <v>2697</v>
      </c>
      <c r="AG25" s="148">
        <f t="shared" si="17"/>
        <v>4.2</v>
      </c>
      <c r="AH25" s="175" t="str">
        <f>IFERROR(VLOOKUP($S25,'[27]3.1.1 -реестр исполненных'!$C$10:$I$201,7,FALSE),"")</f>
        <v/>
      </c>
      <c r="AI25" s="149">
        <f t="shared" si="6"/>
        <v>8.7626499999999989</v>
      </c>
      <c r="AJ25" s="150">
        <f t="shared" si="6"/>
        <v>0</v>
      </c>
      <c r="AK25" s="151">
        <f t="shared" si="6"/>
        <v>0</v>
      </c>
      <c r="AL25" s="152">
        <f t="shared" si="7"/>
        <v>8.7626499999999989</v>
      </c>
      <c r="AQ25" s="427" t="s">
        <v>2567</v>
      </c>
      <c r="AS25" s="82">
        <f t="shared" si="15"/>
        <v>36766.326869999997</v>
      </c>
      <c r="AT25" s="1104" t="s">
        <v>2716</v>
      </c>
      <c r="AX25" s="82">
        <f t="shared" si="16"/>
        <v>36803.129999999997</v>
      </c>
      <c r="BH25" s="175" t="str">
        <f>IFERROR(VLOOKUP($S25,'[27]3.1.1 -реестр исполненных'!$C$10:$I$201,7,FALSE),"")</f>
        <v/>
      </c>
    </row>
    <row r="26" spans="1:60" ht="38.25">
      <c r="A26" s="76">
        <f>IF(C26="","",1)</f>
        <v>1</v>
      </c>
      <c r="B26" s="156">
        <f>IF(A26="","",SUM($A$12:A26))</f>
        <v>15</v>
      </c>
      <c r="C26" s="157" t="s">
        <v>2718</v>
      </c>
      <c r="D26" s="158" t="str">
        <f t="shared" si="8"/>
        <v>4кв 2017</v>
      </c>
      <c r="E26" s="159">
        <v>0.4</v>
      </c>
      <c r="F26" s="160">
        <v>0.03</v>
      </c>
      <c r="G26" s="161">
        <v>5</v>
      </c>
      <c r="H26" s="162"/>
      <c r="I26" s="162"/>
      <c r="J26" s="162"/>
      <c r="K26" s="162"/>
      <c r="L26" s="162"/>
      <c r="M26" s="162"/>
      <c r="N26" s="162"/>
      <c r="O26" s="162">
        <v>11.08967</v>
      </c>
      <c r="P26" s="163">
        <v>11089.67</v>
      </c>
      <c r="Q26" s="164"/>
      <c r="R26" s="165" t="s">
        <v>2564</v>
      </c>
      <c r="S26" s="166" t="s">
        <v>2717</v>
      </c>
      <c r="T26" s="167" t="s">
        <v>2565</v>
      </c>
      <c r="U26" s="168">
        <f>[26]ТП2017!$K$61*1000</f>
        <v>11089.67</v>
      </c>
      <c r="V26" s="168" t="b">
        <f t="shared" si="9"/>
        <v>1</v>
      </c>
      <c r="W26" s="168" t="s">
        <v>2946</v>
      </c>
      <c r="X26" s="76" t="s">
        <v>2519</v>
      </c>
      <c r="Y26" s="174" t="str">
        <f t="shared" si="3"/>
        <v>ВЛ-0,4 до 15 кВт (льгота)</v>
      </c>
      <c r="Z26" s="174" t="str">
        <f t="shared" si="4"/>
        <v>ВЛ-0,4 до 15 кВт (льгота)-н.п.; Изолир. алюм. до 50 мм</v>
      </c>
      <c r="AA26" s="134"/>
      <c r="AB26" s="170">
        <f t="shared" si="11"/>
        <v>11.08967</v>
      </c>
      <c r="AC26" s="171">
        <f t="shared" si="12"/>
        <v>0</v>
      </c>
      <c r="AD26" s="172">
        <f t="shared" si="13"/>
        <v>0</v>
      </c>
      <c r="AE26" s="152">
        <f t="shared" si="14"/>
        <v>11.08967</v>
      </c>
      <c r="AF26" s="139" t="s">
        <v>2697</v>
      </c>
      <c r="AG26" s="148">
        <f t="shared" si="17"/>
        <v>4.2</v>
      </c>
      <c r="AH26" s="175" t="str">
        <f>IFERROR(VLOOKUP($S26,'[27]3.1.1 -реестр исполненных'!$C$10:$I$201,7,FALSE),"")</f>
        <v/>
      </c>
      <c r="AI26" s="149">
        <f t="shared" si="6"/>
        <v>2.640397619047619</v>
      </c>
      <c r="AJ26" s="150">
        <f t="shared" si="6"/>
        <v>0</v>
      </c>
      <c r="AK26" s="151">
        <f t="shared" si="6"/>
        <v>0</v>
      </c>
      <c r="AL26" s="152">
        <f t="shared" si="7"/>
        <v>2.640397619047619</v>
      </c>
      <c r="AQ26" s="427" t="s">
        <v>2567</v>
      </c>
      <c r="AS26" s="82">
        <f t="shared" si="15"/>
        <v>11078.580330000001</v>
      </c>
      <c r="AT26" s="1104" t="s">
        <v>2719</v>
      </c>
      <c r="AX26" s="82">
        <f t="shared" si="16"/>
        <v>11089.67</v>
      </c>
      <c r="BH26" s="175" t="str">
        <f>IFERROR(VLOOKUP($S26,'[27]3.1.1 -реестр исполненных'!$C$10:$I$201,7,FALSE),"")</f>
        <v/>
      </c>
    </row>
    <row r="27" spans="1:60" ht="38.25">
      <c r="A27" s="76">
        <f t="shared" ref="A27" si="18">IF(C27="","",1)</f>
        <v>1</v>
      </c>
      <c r="B27" s="156">
        <f>IF(A27="","",SUM($A$12:A27))</f>
        <v>16</v>
      </c>
      <c r="C27" s="428" t="s">
        <v>2720</v>
      </c>
      <c r="D27" s="158" t="str">
        <f t="shared" si="8"/>
        <v>4кв 2017</v>
      </c>
      <c r="E27" s="159">
        <v>0.4</v>
      </c>
      <c r="F27" s="429">
        <v>7.0000000000000007E-2</v>
      </c>
      <c r="G27" s="430">
        <v>5</v>
      </c>
      <c r="H27" s="431"/>
      <c r="I27" s="431"/>
      <c r="J27" s="431"/>
      <c r="K27" s="431"/>
      <c r="L27" s="431"/>
      <c r="M27" s="431"/>
      <c r="N27" s="431"/>
      <c r="O27" s="431">
        <v>26.19725</v>
      </c>
      <c r="P27" s="163">
        <v>26197.25</v>
      </c>
      <c r="Q27" s="433"/>
      <c r="R27" s="165" t="s">
        <v>2564</v>
      </c>
      <c r="S27" s="434" t="s">
        <v>2721</v>
      </c>
      <c r="T27" s="167" t="s">
        <v>2565</v>
      </c>
      <c r="U27" s="168">
        <f>[26]ТП2017!$K$62*1000</f>
        <v>26197.25</v>
      </c>
      <c r="V27" s="168" t="b">
        <f t="shared" si="9"/>
        <v>1</v>
      </c>
      <c r="W27" s="168" t="s">
        <v>2946</v>
      </c>
      <c r="X27" s="76" t="s">
        <v>2519</v>
      </c>
      <c r="Y27" s="174" t="str">
        <f t="shared" ref="Y27:Y34" si="19">IF(X27="","",$C$9)</f>
        <v>ВЛ-0,4 до 15 кВт (льгота)</v>
      </c>
      <c r="Z27" s="174" t="str">
        <f t="shared" ref="Z27:Z34" si="20">IF(X27="","",CONCATENATE(Y27,"-",X27,"; ",$T$11))</f>
        <v>ВЛ-0,4 до 15 кВт (льгота)-н.п.; Изолир. алюм. до 50 мм</v>
      </c>
      <c r="AA27" s="134"/>
      <c r="AB27" s="170">
        <f t="shared" si="11"/>
        <v>26.19725</v>
      </c>
      <c r="AC27" s="171">
        <f>(I27+H27)</f>
        <v>0</v>
      </c>
      <c r="AD27" s="172">
        <f t="shared" si="13"/>
        <v>0</v>
      </c>
      <c r="AE27" s="152">
        <f t="shared" si="14"/>
        <v>26.19725</v>
      </c>
      <c r="AF27" s="139" t="s">
        <v>2697</v>
      </c>
      <c r="AG27" s="148">
        <f t="shared" si="17"/>
        <v>4.2</v>
      </c>
      <c r="AH27" s="175"/>
      <c r="AI27" s="149">
        <f t="shared" si="6"/>
        <v>6.2374404761904758</v>
      </c>
      <c r="AJ27" s="150">
        <f t="shared" si="6"/>
        <v>0</v>
      </c>
      <c r="AK27" s="151">
        <f t="shared" si="6"/>
        <v>0</v>
      </c>
      <c r="AL27" s="152">
        <f t="shared" si="7"/>
        <v>6.2374404761904758</v>
      </c>
      <c r="AQ27" s="427" t="s">
        <v>2567</v>
      </c>
      <c r="AS27" s="82">
        <f t="shared" si="15"/>
        <v>26171.052749999999</v>
      </c>
      <c r="AT27" s="1104" t="s">
        <v>2722</v>
      </c>
      <c r="AX27" s="82">
        <f t="shared" si="16"/>
        <v>26197.25</v>
      </c>
      <c r="BH27" s="175"/>
    </row>
    <row r="28" spans="1:60" ht="38.25">
      <c r="A28" s="76">
        <f>IF(C28="","",1)</f>
        <v>1</v>
      </c>
      <c r="B28" s="156">
        <f>IF(A28="","",SUM($A$12:A28))</f>
        <v>17</v>
      </c>
      <c r="C28" s="428" t="s">
        <v>2723</v>
      </c>
      <c r="D28" s="158" t="str">
        <f t="shared" si="8"/>
        <v>4кв 2017</v>
      </c>
      <c r="E28" s="159">
        <v>0.4</v>
      </c>
      <c r="F28" s="429">
        <v>0.01</v>
      </c>
      <c r="G28" s="430">
        <v>5</v>
      </c>
      <c r="H28" s="431"/>
      <c r="I28" s="431"/>
      <c r="J28" s="431"/>
      <c r="K28" s="431"/>
      <c r="L28" s="431"/>
      <c r="M28" s="431"/>
      <c r="N28" s="431"/>
      <c r="O28" s="431">
        <v>11.32733</v>
      </c>
      <c r="P28" s="432">
        <v>11327.33</v>
      </c>
      <c r="Q28" s="433"/>
      <c r="R28" s="165" t="s">
        <v>2564</v>
      </c>
      <c r="S28" s="434" t="s">
        <v>2724</v>
      </c>
      <c r="T28" s="167" t="s">
        <v>2565</v>
      </c>
      <c r="U28" s="168">
        <f>[26]ТП2017!$K$63*1000</f>
        <v>11327.33</v>
      </c>
      <c r="V28" s="168" t="b">
        <f t="shared" si="9"/>
        <v>1</v>
      </c>
      <c r="W28" s="168" t="s">
        <v>2946</v>
      </c>
      <c r="X28" s="76" t="s">
        <v>2519</v>
      </c>
      <c r="Y28" s="174" t="str">
        <f t="shared" si="19"/>
        <v>ВЛ-0,4 до 15 кВт (льгота)</v>
      </c>
      <c r="Z28" s="174" t="str">
        <f t="shared" si="20"/>
        <v>ВЛ-0,4 до 15 кВт (льгота)-н.п.; Изолир. алюм. до 50 мм</v>
      </c>
      <c r="AA28" s="134"/>
      <c r="AB28" s="170">
        <f t="shared" si="11"/>
        <v>11.32733</v>
      </c>
      <c r="AC28" s="171">
        <f>(I28+H28)</f>
        <v>0</v>
      </c>
      <c r="AD28" s="172">
        <f t="shared" si="13"/>
        <v>0</v>
      </c>
      <c r="AE28" s="152">
        <f t="shared" si="14"/>
        <v>11.32733</v>
      </c>
      <c r="AF28" s="139" t="s">
        <v>2697</v>
      </c>
      <c r="AG28" s="148">
        <f t="shared" si="17"/>
        <v>4.2</v>
      </c>
      <c r="AH28" s="175"/>
      <c r="AI28" s="149">
        <f t="shared" si="6"/>
        <v>2.6969833333333333</v>
      </c>
      <c r="AJ28" s="150">
        <f t="shared" si="6"/>
        <v>0</v>
      </c>
      <c r="AK28" s="151">
        <f t="shared" si="6"/>
        <v>0</v>
      </c>
      <c r="AL28" s="152">
        <f t="shared" si="7"/>
        <v>2.6969833333333333</v>
      </c>
      <c r="AQ28" s="427" t="s">
        <v>2567</v>
      </c>
      <c r="AS28" s="82">
        <f t="shared" si="15"/>
        <v>11316.00267</v>
      </c>
      <c r="AT28" s="1104" t="s">
        <v>2725</v>
      </c>
      <c r="AX28" s="82">
        <f t="shared" si="16"/>
        <v>11327.33</v>
      </c>
      <c r="BH28" s="175"/>
    </row>
    <row r="29" spans="1:60" ht="38.25">
      <c r="A29" s="76">
        <f t="shared" ref="A29:A37" si="21">IF(C29="","",1)</f>
        <v>1</v>
      </c>
      <c r="B29" s="156">
        <f>IF(A29="","",SUM($A$12:A29))</f>
        <v>18</v>
      </c>
      <c r="C29" s="428" t="s">
        <v>2726</v>
      </c>
      <c r="D29" s="158" t="str">
        <f t="shared" si="8"/>
        <v>4кв 2017</v>
      </c>
      <c r="E29" s="159">
        <v>0.4</v>
      </c>
      <c r="F29" s="429">
        <v>0.02</v>
      </c>
      <c r="G29" s="430">
        <v>5</v>
      </c>
      <c r="H29" s="431"/>
      <c r="I29" s="431"/>
      <c r="J29" s="431"/>
      <c r="K29" s="431"/>
      <c r="L29" s="431"/>
      <c r="M29" s="431"/>
      <c r="N29" s="431"/>
      <c r="O29" s="431">
        <v>11.71669</v>
      </c>
      <c r="P29" s="432">
        <v>11716.69</v>
      </c>
      <c r="Q29" s="433"/>
      <c r="R29" s="165" t="s">
        <v>2564</v>
      </c>
      <c r="S29" s="434" t="s">
        <v>2727</v>
      </c>
      <c r="T29" s="167" t="s">
        <v>2565</v>
      </c>
      <c r="U29" s="168">
        <f>[26]ТП2017!$K$64*1000</f>
        <v>11716.69</v>
      </c>
      <c r="V29" s="168" t="b">
        <f t="shared" si="9"/>
        <v>1</v>
      </c>
      <c r="W29" s="168" t="s">
        <v>2946</v>
      </c>
      <c r="X29" s="76" t="s">
        <v>2519</v>
      </c>
      <c r="Y29" s="174" t="str">
        <f t="shared" si="19"/>
        <v>ВЛ-0,4 до 15 кВт (льгота)</v>
      </c>
      <c r="Z29" s="174" t="str">
        <f t="shared" si="20"/>
        <v>ВЛ-0,4 до 15 кВт (льгота)-н.п.; Изолир. алюм. до 50 мм</v>
      </c>
      <c r="AA29" s="134"/>
      <c r="AB29" s="170">
        <f t="shared" si="11"/>
        <v>11.71669</v>
      </c>
      <c r="AC29" s="171">
        <f>(I29+H29)</f>
        <v>0</v>
      </c>
      <c r="AD29" s="172">
        <f t="shared" si="13"/>
        <v>0</v>
      </c>
      <c r="AE29" s="152">
        <f t="shared" si="14"/>
        <v>11.71669</v>
      </c>
      <c r="AF29" s="139" t="s">
        <v>2697</v>
      </c>
      <c r="AG29" s="148">
        <f t="shared" si="17"/>
        <v>4.2</v>
      </c>
      <c r="AH29" s="175"/>
      <c r="AI29" s="149">
        <f t="shared" si="6"/>
        <v>2.7896880952380951</v>
      </c>
      <c r="AJ29" s="150">
        <f t="shared" si="6"/>
        <v>0</v>
      </c>
      <c r="AK29" s="151">
        <f t="shared" si="6"/>
        <v>0</v>
      </c>
      <c r="AL29" s="152">
        <f t="shared" si="7"/>
        <v>2.7896880952380951</v>
      </c>
      <c r="AQ29" s="427" t="s">
        <v>2567</v>
      </c>
      <c r="AS29" s="82">
        <f t="shared" si="15"/>
        <v>11704.973310000001</v>
      </c>
      <c r="AT29" s="1104" t="s">
        <v>2728</v>
      </c>
      <c r="AX29" s="82">
        <f t="shared" si="16"/>
        <v>11716.69</v>
      </c>
      <c r="BH29" s="175"/>
    </row>
    <row r="30" spans="1:60" ht="38.25">
      <c r="A30" s="76">
        <f t="shared" si="21"/>
        <v>1</v>
      </c>
      <c r="B30" s="156">
        <f>IF(A30="","",SUM($A$12:A30))</f>
        <v>19</v>
      </c>
      <c r="C30" s="157" t="s">
        <v>2729</v>
      </c>
      <c r="D30" s="158" t="str">
        <f>IF(AF30=0,"",AF30)</f>
        <v>2кв 2017</v>
      </c>
      <c r="E30" s="159">
        <v>0.4</v>
      </c>
      <c r="F30" s="160">
        <v>0.09</v>
      </c>
      <c r="G30" s="161">
        <v>14</v>
      </c>
      <c r="H30" s="431"/>
      <c r="I30" s="431"/>
      <c r="J30" s="431"/>
      <c r="K30" s="431"/>
      <c r="L30" s="431"/>
      <c r="M30" s="431"/>
      <c r="N30" s="431"/>
      <c r="O30" s="431">
        <v>49.452510000000004</v>
      </c>
      <c r="P30" s="432">
        <v>49452.51</v>
      </c>
      <c r="Q30" s="433"/>
      <c r="R30" s="445" t="s">
        <v>2564</v>
      </c>
      <c r="S30" s="434" t="s">
        <v>2730</v>
      </c>
      <c r="T30" s="446" t="s">
        <v>2566</v>
      </c>
      <c r="U30" s="168">
        <f>[26]ТП2017!$K$35*1000</f>
        <v>49452.509999999995</v>
      </c>
      <c r="V30" s="168" t="b">
        <f t="shared" ref="V30:V36" si="22">U30=P30</f>
        <v>1</v>
      </c>
      <c r="W30" s="168" t="s">
        <v>2946</v>
      </c>
      <c r="X30" s="76" t="s">
        <v>2519</v>
      </c>
      <c r="Y30" s="174" t="str">
        <f t="shared" si="19"/>
        <v>ВЛ-0,4 до 15 кВт (льгота)</v>
      </c>
      <c r="Z30" s="174" t="str">
        <f t="shared" si="20"/>
        <v>ВЛ-0,4 до 15 кВт (льгота)-н.п.; Изолир. алюм. до 50 мм</v>
      </c>
      <c r="AA30" s="134"/>
      <c r="AB30" s="170">
        <f>O30</f>
        <v>49.452510000000004</v>
      </c>
      <c r="AC30" s="171">
        <f t="shared" ref="AC30:AC36" si="23">(I30+H30)</f>
        <v>0</v>
      </c>
      <c r="AD30" s="172">
        <f t="shared" si="13"/>
        <v>0</v>
      </c>
      <c r="AE30" s="152">
        <f t="shared" si="14"/>
        <v>49.452510000000004</v>
      </c>
      <c r="AF30" s="139" t="s">
        <v>2675</v>
      </c>
      <c r="AG30" s="148">
        <f t="shared" si="17"/>
        <v>4.05</v>
      </c>
      <c r="AH30" s="175" t="str">
        <f>IFERROR(VLOOKUP($S30,'[27]3.1.1 -реестр исполненных'!$C$10:$I$201,7,FALSE),"")</f>
        <v/>
      </c>
      <c r="AI30" s="149">
        <f t="shared" ref="AI30:AI36" si="24">IF(ISERROR(AB30/$AG30),"",AB30/$AG30)</f>
        <v>12.210496296296299</v>
      </c>
      <c r="AJ30" s="150">
        <f t="shared" ref="AJ30:AJ36" si="25">IF(ISERROR(AC30/$AG30),"",AC30/$AG30)</f>
        <v>0</v>
      </c>
      <c r="AK30" s="151">
        <f t="shared" ref="AK30:AK36" si="26">IF(ISERROR(AD30/$AG30),"",AD30/$AG30)</f>
        <v>0</v>
      </c>
      <c r="AL30" s="152">
        <f t="shared" ref="AL30:AL36" si="27">SUM(AI30,AJ30,AK30)</f>
        <v>12.210496296296299</v>
      </c>
      <c r="AQ30" s="427">
        <v>6</v>
      </c>
      <c r="AS30" s="82">
        <f>IF(B30="","",IF(P30=SUM(H30,I30,K30,O30),"ИСТИНА",P30-SUM(H30,I30,K30,O30)))</f>
        <v>49403.057489999999</v>
      </c>
      <c r="AT30" s="1104" t="s">
        <v>2732</v>
      </c>
      <c r="AX30" s="82">
        <f t="shared" si="16"/>
        <v>49452.51</v>
      </c>
      <c r="BH30" s="175"/>
    </row>
    <row r="31" spans="1:60" ht="38.25">
      <c r="A31" s="76">
        <f t="shared" si="21"/>
        <v>1</v>
      </c>
      <c r="B31" s="156">
        <f>IF(A31="","",SUM($A$12:A31))</f>
        <v>20</v>
      </c>
      <c r="C31" s="157" t="s">
        <v>2736</v>
      </c>
      <c r="D31" s="158" t="str">
        <f>IF(AF31=0,"",AF31)</f>
        <v>4кв 2017</v>
      </c>
      <c r="E31" s="159">
        <v>0.4</v>
      </c>
      <c r="F31" s="160">
        <v>0.27</v>
      </c>
      <c r="G31" s="161">
        <v>15</v>
      </c>
      <c r="H31" s="162"/>
      <c r="I31" s="162"/>
      <c r="J31" s="162"/>
      <c r="K31" s="162">
        <v>62.749550000000006</v>
      </c>
      <c r="L31" s="162"/>
      <c r="M31" s="162"/>
      <c r="N31" s="162"/>
      <c r="O31" s="162">
        <v>118.56379</v>
      </c>
      <c r="P31" s="432">
        <v>181313.34</v>
      </c>
      <c r="Q31" s="164"/>
      <c r="R31" s="165" t="s">
        <v>2564</v>
      </c>
      <c r="S31" s="166" t="s">
        <v>2737</v>
      </c>
      <c r="T31" s="167" t="s">
        <v>2566</v>
      </c>
      <c r="U31" s="168">
        <f>[26]ТП2017!$K$65*1000</f>
        <v>181313.34</v>
      </c>
      <c r="V31" s="168" t="b">
        <f t="shared" si="22"/>
        <v>1</v>
      </c>
      <c r="W31" s="168" t="s">
        <v>2946</v>
      </c>
      <c r="X31" s="76" t="s">
        <v>2519</v>
      </c>
      <c r="Y31" s="174" t="str">
        <f t="shared" si="19"/>
        <v>ВЛ-0,4 до 15 кВт (льгота)</v>
      </c>
      <c r="Z31" s="174" t="str">
        <f t="shared" si="20"/>
        <v>ВЛ-0,4 до 15 кВт (льгота)-н.п.; Изолир. алюм. до 50 мм</v>
      </c>
      <c r="AA31" s="134"/>
      <c r="AB31" s="170">
        <f t="shared" ref="AB31:AB36" si="28">O31</f>
        <v>118.56379</v>
      </c>
      <c r="AC31" s="171">
        <f t="shared" si="23"/>
        <v>0</v>
      </c>
      <c r="AD31" s="172">
        <f t="shared" si="13"/>
        <v>62.749550000000006</v>
      </c>
      <c r="AE31" s="152">
        <f t="shared" si="14"/>
        <v>181.31334000000001</v>
      </c>
      <c r="AF31" s="139" t="s">
        <v>2697</v>
      </c>
      <c r="AG31" s="148">
        <f t="shared" si="17"/>
        <v>4.2</v>
      </c>
      <c r="AH31" s="175" t="str">
        <f>IFERROR(VLOOKUP($S31,'[27]3.1.1 -реестр исполненных'!$C$10:$I$201,7,FALSE),"")</f>
        <v/>
      </c>
      <c r="AI31" s="149">
        <f t="shared" si="24"/>
        <v>28.229473809523807</v>
      </c>
      <c r="AJ31" s="150">
        <f t="shared" si="25"/>
        <v>0</v>
      </c>
      <c r="AK31" s="151">
        <f t="shared" si="26"/>
        <v>14.940369047619049</v>
      </c>
      <c r="AL31" s="152">
        <f t="shared" si="27"/>
        <v>43.169842857142854</v>
      </c>
      <c r="AQ31" s="427" t="s">
        <v>2567</v>
      </c>
      <c r="AS31" s="82">
        <f t="shared" ref="AS31:AS33" si="29">IF(B31="","",IF(P31=SUM(H31,I31,K31,O31),"ИСТИНА",P31-SUM(H31,I31,K31,O31)))</f>
        <v>181132.02666</v>
      </c>
      <c r="AT31" s="1104" t="s">
        <v>2738</v>
      </c>
      <c r="AX31" s="82">
        <f t="shared" si="16"/>
        <v>181313.34</v>
      </c>
      <c r="BH31" s="175"/>
    </row>
    <row r="32" spans="1:60" ht="38.25">
      <c r="A32" s="76">
        <f t="shared" si="21"/>
        <v>1</v>
      </c>
      <c r="B32" s="156">
        <f>IF(A32="","",SUM($A$12:A32))</f>
        <v>21</v>
      </c>
      <c r="C32" s="157" t="s">
        <v>2739</v>
      </c>
      <c r="D32" s="158" t="str">
        <f t="shared" ref="D32:D34" si="30">IF(AF32=0,"",AF32)</f>
        <v>1кв 2017</v>
      </c>
      <c r="E32" s="159">
        <v>0.4</v>
      </c>
      <c r="F32" s="160">
        <v>0.3</v>
      </c>
      <c r="G32" s="161">
        <v>7</v>
      </c>
      <c r="H32" s="431"/>
      <c r="I32" s="431"/>
      <c r="J32" s="431"/>
      <c r="K32" s="162">
        <v>50.37903</v>
      </c>
      <c r="L32" s="162"/>
      <c r="M32" s="162"/>
      <c r="N32" s="162"/>
      <c r="O32" s="162">
        <v>146.59014000000002</v>
      </c>
      <c r="P32" s="432">
        <v>196969.17</v>
      </c>
      <c r="Q32" s="164"/>
      <c r="R32" s="165" t="s">
        <v>2564</v>
      </c>
      <c r="S32" s="166" t="s">
        <v>2741</v>
      </c>
      <c r="T32" s="167" t="s">
        <v>2569</v>
      </c>
      <c r="U32" s="168">
        <f>[26]ТП2017!$K$40*1000</f>
        <v>196969.16999999998</v>
      </c>
      <c r="V32" s="168" t="b">
        <f t="shared" si="22"/>
        <v>1</v>
      </c>
      <c r="W32" s="168" t="s">
        <v>2946</v>
      </c>
      <c r="X32" s="76" t="s">
        <v>2519</v>
      </c>
      <c r="Y32" s="174" t="str">
        <f t="shared" si="19"/>
        <v>ВЛ-0,4 до 15 кВт (льгота)</v>
      </c>
      <c r="Z32" s="174" t="str">
        <f t="shared" si="20"/>
        <v>ВЛ-0,4 до 15 кВт (льгота)-н.п.; Изолир. алюм. до 50 мм</v>
      </c>
      <c r="AA32" s="134"/>
      <c r="AB32" s="170">
        <f t="shared" si="28"/>
        <v>146.59014000000002</v>
      </c>
      <c r="AC32" s="171">
        <f t="shared" si="23"/>
        <v>0</v>
      </c>
      <c r="AD32" s="172">
        <f t="shared" si="13"/>
        <v>50.37903</v>
      </c>
      <c r="AE32" s="152">
        <f t="shared" si="14"/>
        <v>196.96917000000002</v>
      </c>
      <c r="AF32" s="139" t="s">
        <v>2670</v>
      </c>
      <c r="AG32" s="148">
        <f t="shared" si="17"/>
        <v>4.03</v>
      </c>
      <c r="AH32" s="175" t="str">
        <f>IFERROR(VLOOKUP($S32,'[27]3.1.1 -реестр исполненных'!$C$10:$I$201,7,FALSE),"")</f>
        <v/>
      </c>
      <c r="AI32" s="149">
        <f t="shared" si="24"/>
        <v>36.374724565756829</v>
      </c>
      <c r="AJ32" s="150">
        <f t="shared" si="25"/>
        <v>0</v>
      </c>
      <c r="AK32" s="151">
        <f t="shared" si="26"/>
        <v>12.500999999999999</v>
      </c>
      <c r="AL32" s="152">
        <f t="shared" si="27"/>
        <v>48.875724565756826</v>
      </c>
      <c r="AQ32" s="427">
        <v>1</v>
      </c>
      <c r="AS32" s="82">
        <f t="shared" si="29"/>
        <v>196772.20083000002</v>
      </c>
      <c r="AT32" s="1104" t="s">
        <v>2740</v>
      </c>
      <c r="AX32" s="82">
        <f t="shared" si="16"/>
        <v>196969.17</v>
      </c>
      <c r="BH32" s="175"/>
    </row>
    <row r="33" spans="1:60" ht="38.25">
      <c r="A33" s="76">
        <f t="shared" si="21"/>
        <v>1</v>
      </c>
      <c r="B33" s="156">
        <f>IF(A33="","",SUM($A$12:A33))</f>
        <v>22</v>
      </c>
      <c r="C33" s="157" t="s">
        <v>2742</v>
      </c>
      <c r="D33" s="158" t="str">
        <f t="shared" si="30"/>
        <v>4кв 2017</v>
      </c>
      <c r="E33" s="159">
        <v>0.4</v>
      </c>
      <c r="F33" s="160">
        <v>4.4999999999999998E-2</v>
      </c>
      <c r="G33" s="161">
        <v>10</v>
      </c>
      <c r="H33" s="431"/>
      <c r="I33" s="431"/>
      <c r="J33" s="431"/>
      <c r="K33" s="162">
        <v>69.970759999999999</v>
      </c>
      <c r="L33" s="162"/>
      <c r="M33" s="162"/>
      <c r="N33" s="162"/>
      <c r="O33" s="162">
        <v>6.6065399999999999</v>
      </c>
      <c r="P33" s="432">
        <v>76577.299999999988</v>
      </c>
      <c r="Q33" s="164"/>
      <c r="R33" s="165" t="s">
        <v>2564</v>
      </c>
      <c r="S33" s="166" t="s">
        <v>2743</v>
      </c>
      <c r="T33" s="167" t="s">
        <v>2569</v>
      </c>
      <c r="U33" s="168">
        <f>[26]ТП2017!$K$58*1000</f>
        <v>76577.3</v>
      </c>
      <c r="V33" s="168" t="b">
        <f t="shared" si="22"/>
        <v>1</v>
      </c>
      <c r="W33" s="168" t="s">
        <v>2946</v>
      </c>
      <c r="X33" s="76" t="s">
        <v>2519</v>
      </c>
      <c r="Y33" s="174" t="str">
        <f t="shared" si="19"/>
        <v>ВЛ-0,4 до 15 кВт (льгота)</v>
      </c>
      <c r="Z33" s="174" t="str">
        <f t="shared" si="20"/>
        <v>ВЛ-0,4 до 15 кВт (льгота)-н.п.; Изолир. алюм. до 50 мм</v>
      </c>
      <c r="AA33" s="134"/>
      <c r="AB33" s="170">
        <f t="shared" si="28"/>
        <v>6.6065399999999999</v>
      </c>
      <c r="AC33" s="171">
        <f t="shared" si="23"/>
        <v>0</v>
      </c>
      <c r="AD33" s="172">
        <f t="shared" si="13"/>
        <v>69.970759999999999</v>
      </c>
      <c r="AE33" s="152">
        <f t="shared" si="14"/>
        <v>76.577299999999994</v>
      </c>
      <c r="AF33" s="139" t="s">
        <v>2697</v>
      </c>
      <c r="AG33" s="148">
        <f t="shared" si="17"/>
        <v>4.2</v>
      </c>
      <c r="AH33" s="175" t="str">
        <f>IFERROR(VLOOKUP($S33,'[27]3.1.1 -реестр исполненных'!$C$10:$I$201,7,FALSE),"")</f>
        <v/>
      </c>
      <c r="AI33" s="149">
        <f t="shared" si="24"/>
        <v>1.5729857142857142</v>
      </c>
      <c r="AJ33" s="150">
        <f t="shared" si="25"/>
        <v>0</v>
      </c>
      <c r="AK33" s="151">
        <f t="shared" si="26"/>
        <v>16.659704761904759</v>
      </c>
      <c r="AL33" s="152">
        <f t="shared" si="27"/>
        <v>18.232690476190474</v>
      </c>
      <c r="AQ33" s="427" t="s">
        <v>2567</v>
      </c>
      <c r="AS33" s="82">
        <f t="shared" si="29"/>
        <v>76500.722699999984</v>
      </c>
      <c r="AT33" s="1104" t="s">
        <v>2744</v>
      </c>
      <c r="AX33" s="82">
        <f t="shared" si="16"/>
        <v>76577.299999999988</v>
      </c>
      <c r="BH33" s="175"/>
    </row>
    <row r="34" spans="1:60" ht="38.25">
      <c r="A34" s="76">
        <f t="shared" si="21"/>
        <v>1</v>
      </c>
      <c r="B34" s="156">
        <f>IF(A34="","",SUM($A$12:A34))</f>
        <v>23</v>
      </c>
      <c r="C34" s="157" t="s">
        <v>2759</v>
      </c>
      <c r="D34" s="158" t="str">
        <f t="shared" si="30"/>
        <v>2кв 2017</v>
      </c>
      <c r="E34" s="159">
        <v>0.4</v>
      </c>
      <c r="F34" s="160">
        <v>5.1999999999999998E-2</v>
      </c>
      <c r="G34" s="161">
        <v>14.52</v>
      </c>
      <c r="H34" s="431"/>
      <c r="I34" s="431"/>
      <c r="J34" s="431"/>
      <c r="K34" s="431"/>
      <c r="L34" s="431"/>
      <c r="M34" s="431"/>
      <c r="N34" s="431"/>
      <c r="O34" s="431">
        <v>26.060030000000001</v>
      </c>
      <c r="P34" s="432">
        <v>26060.03</v>
      </c>
      <c r="Q34" s="433"/>
      <c r="R34" s="165" t="s">
        <v>2564</v>
      </c>
      <c r="S34" s="166" t="s">
        <v>2760</v>
      </c>
      <c r="T34" s="167" t="s">
        <v>2606</v>
      </c>
      <c r="U34" s="168">
        <f>[26]ТП2017!$K$37*1000</f>
        <v>26060.030000000002</v>
      </c>
      <c r="V34" s="168" t="b">
        <f t="shared" si="22"/>
        <v>1</v>
      </c>
      <c r="W34" s="168" t="s">
        <v>2946</v>
      </c>
      <c r="X34" s="76" t="s">
        <v>2519</v>
      </c>
      <c r="Y34" s="174" t="str">
        <f t="shared" si="19"/>
        <v>ВЛ-0,4 до 15 кВт (льгота)</v>
      </c>
      <c r="Z34" s="174" t="str">
        <f t="shared" si="20"/>
        <v>ВЛ-0,4 до 15 кВт (льгота)-н.п.; Изолир. алюм. до 50 мм</v>
      </c>
      <c r="AA34" s="134"/>
      <c r="AB34" s="170">
        <f t="shared" si="28"/>
        <v>26.060030000000001</v>
      </c>
      <c r="AC34" s="171">
        <f t="shared" si="23"/>
        <v>0</v>
      </c>
      <c r="AD34" s="172">
        <f t="shared" si="13"/>
        <v>0</v>
      </c>
      <c r="AE34" s="152">
        <f t="shared" si="14"/>
        <v>26.060030000000001</v>
      </c>
      <c r="AF34" s="139" t="s">
        <v>2675</v>
      </c>
      <c r="AG34" s="148">
        <f t="shared" si="17"/>
        <v>4.05</v>
      </c>
      <c r="AH34" s="175" t="str">
        <f>IFERROR(VLOOKUP($S34,'[27]3.1.1 -реестр исполненных'!$C$10:$I$201,7,FALSE),"")</f>
        <v/>
      </c>
      <c r="AI34" s="149">
        <f t="shared" si="24"/>
        <v>6.4345753086419757</v>
      </c>
      <c r="AJ34" s="150">
        <f t="shared" si="25"/>
        <v>0</v>
      </c>
      <c r="AK34" s="151">
        <f t="shared" si="26"/>
        <v>0</v>
      </c>
      <c r="AL34" s="152">
        <f t="shared" si="27"/>
        <v>6.4345753086419757</v>
      </c>
      <c r="AQ34" s="427" t="s">
        <v>2567</v>
      </c>
      <c r="AS34" s="82">
        <f>IF(B34="","",IF(P34=SUM(H34,I34,K34,O34),"ИСТИНА",P34-SUM(H34,I34,K34,O34)))</f>
        <v>26033.969969999998</v>
      </c>
      <c r="AT34" s="1104" t="s">
        <v>2761</v>
      </c>
      <c r="AX34" s="82">
        <f t="shared" si="16"/>
        <v>26060.03</v>
      </c>
      <c r="BH34" s="175"/>
    </row>
    <row r="35" spans="1:60" ht="38.25">
      <c r="A35" s="76">
        <f t="shared" si="21"/>
        <v>1</v>
      </c>
      <c r="B35" s="156">
        <f>IF(A35="","",SUM($A$12:A35))</f>
        <v>24</v>
      </c>
      <c r="C35" s="157" t="s">
        <v>2746</v>
      </c>
      <c r="D35" s="158" t="str">
        <f>IF(AF35=0,"",AF35)</f>
        <v>1кв 2017</v>
      </c>
      <c r="E35" s="159">
        <v>0.4</v>
      </c>
      <c r="F35" s="160">
        <v>0.27</v>
      </c>
      <c r="G35" s="161">
        <v>5</v>
      </c>
      <c r="H35" s="194"/>
      <c r="I35" s="194"/>
      <c r="J35" s="194"/>
      <c r="K35" s="194">
        <v>58.882599999999996</v>
      </c>
      <c r="L35" s="194"/>
      <c r="M35" s="194"/>
      <c r="N35" s="194"/>
      <c r="O35" s="194">
        <v>180.08673999999999</v>
      </c>
      <c r="P35" s="163">
        <v>238969.34</v>
      </c>
      <c r="Q35" s="433"/>
      <c r="R35" s="165" t="s">
        <v>2564</v>
      </c>
      <c r="S35" s="166" t="s">
        <v>2745</v>
      </c>
      <c r="T35" s="167" t="s">
        <v>2571</v>
      </c>
      <c r="U35" s="168">
        <f>[26]ТП2017!$K$39*1000</f>
        <v>238969.34</v>
      </c>
      <c r="V35" s="168" t="b">
        <f t="shared" si="22"/>
        <v>1</v>
      </c>
      <c r="W35" s="168" t="s">
        <v>2946</v>
      </c>
      <c r="X35" s="76" t="s">
        <v>2519</v>
      </c>
      <c r="Y35" s="174" t="str">
        <f t="shared" ref="Y35:Y36" si="31">IF(X35="","",$C$9)</f>
        <v>ВЛ-0,4 до 15 кВт (льгота)</v>
      </c>
      <c r="Z35" s="174" t="str">
        <f t="shared" ref="Z35:Z36" si="32">IF(X35="","",CONCATENATE(Y35,"-",X35,"; ",$T$11))</f>
        <v>ВЛ-0,4 до 15 кВт (льгота)-н.п.; Изолир. алюм. до 50 мм</v>
      </c>
      <c r="AA35" s="134"/>
      <c r="AB35" s="170">
        <f t="shared" si="28"/>
        <v>180.08673999999999</v>
      </c>
      <c r="AC35" s="171">
        <f t="shared" si="23"/>
        <v>0</v>
      </c>
      <c r="AD35" s="172">
        <f t="shared" si="13"/>
        <v>58.882599999999996</v>
      </c>
      <c r="AE35" s="152">
        <f t="shared" si="14"/>
        <v>238.96933999999999</v>
      </c>
      <c r="AF35" s="139" t="s">
        <v>2670</v>
      </c>
      <c r="AG35" s="148">
        <f t="shared" si="17"/>
        <v>4.03</v>
      </c>
      <c r="AH35" s="175" t="str">
        <f>IFERROR(VLOOKUP($S35,'[27]3.1.1 -реестр исполненных'!$C$10:$I$201,7,FALSE),"")</f>
        <v/>
      </c>
      <c r="AI35" s="149">
        <f t="shared" si="24"/>
        <v>44.686535980148875</v>
      </c>
      <c r="AJ35" s="150">
        <f t="shared" si="25"/>
        <v>0</v>
      </c>
      <c r="AK35" s="151">
        <f t="shared" si="26"/>
        <v>14.611066997518609</v>
      </c>
      <c r="AL35" s="152">
        <f t="shared" si="27"/>
        <v>59.297602977667481</v>
      </c>
      <c r="AQ35" s="427">
        <v>2</v>
      </c>
      <c r="AS35" s="82">
        <f>IF(B35="","",IF(P35=SUM(H35,I35,K35,O35),"ИСТИНА",P35-SUM(H35,I35,K35,O35)))</f>
        <v>238730.37065999999</v>
      </c>
      <c r="AT35" s="1104" t="s">
        <v>2747</v>
      </c>
      <c r="AX35" s="82">
        <f t="shared" si="16"/>
        <v>238969.34</v>
      </c>
      <c r="BH35" s="175"/>
    </row>
    <row r="36" spans="1:60" ht="38.25">
      <c r="A36" s="76">
        <f t="shared" si="21"/>
        <v>1</v>
      </c>
      <c r="B36" s="156">
        <f>IF(A36="","",SUM($A$12:A36))</f>
        <v>25</v>
      </c>
      <c r="C36" s="157" t="s">
        <v>2748</v>
      </c>
      <c r="D36" s="158" t="str">
        <f>IF(AF36=0,"",AF36)</f>
        <v>4кв 2017</v>
      </c>
      <c r="E36" s="159">
        <v>0.4</v>
      </c>
      <c r="F36" s="160">
        <v>0.24199999999999999</v>
      </c>
      <c r="G36" s="161">
        <v>10</v>
      </c>
      <c r="H36" s="194"/>
      <c r="I36" s="194"/>
      <c r="J36" s="194"/>
      <c r="K36" s="194">
        <v>69.970759999999999</v>
      </c>
      <c r="L36" s="194"/>
      <c r="M36" s="194"/>
      <c r="N36" s="194"/>
      <c r="O36" s="194">
        <v>58.223790000000001</v>
      </c>
      <c r="P36" s="163">
        <v>128194.54999999999</v>
      </c>
      <c r="Q36" s="433"/>
      <c r="R36" s="165" t="s">
        <v>2564</v>
      </c>
      <c r="S36" s="166" t="s">
        <v>2749</v>
      </c>
      <c r="T36" s="167" t="s">
        <v>2571</v>
      </c>
      <c r="U36" s="168">
        <f>[26]ТП2017!$K$55*1000</f>
        <v>128194.54999999999</v>
      </c>
      <c r="V36" s="168" t="b">
        <f t="shared" si="22"/>
        <v>1</v>
      </c>
      <c r="W36" s="168" t="s">
        <v>2946</v>
      </c>
      <c r="X36" s="76" t="s">
        <v>2519</v>
      </c>
      <c r="Y36" s="174" t="str">
        <f t="shared" si="31"/>
        <v>ВЛ-0,4 до 15 кВт (льгота)</v>
      </c>
      <c r="Z36" s="174" t="str">
        <f t="shared" si="32"/>
        <v>ВЛ-0,4 до 15 кВт (льгота)-н.п.; Изолир. алюм. до 50 мм</v>
      </c>
      <c r="AA36" s="134"/>
      <c r="AB36" s="170">
        <f t="shared" si="28"/>
        <v>58.223790000000001</v>
      </c>
      <c r="AC36" s="171">
        <f t="shared" si="23"/>
        <v>0</v>
      </c>
      <c r="AD36" s="172">
        <f t="shared" si="13"/>
        <v>69.970759999999999</v>
      </c>
      <c r="AE36" s="152">
        <f t="shared" si="14"/>
        <v>128.19454999999999</v>
      </c>
      <c r="AF36" s="139" t="s">
        <v>2697</v>
      </c>
      <c r="AG36" s="148">
        <f t="shared" si="17"/>
        <v>4.2</v>
      </c>
      <c r="AH36" s="175" t="str">
        <f>IFERROR(VLOOKUP($S36,'[27]3.1.1 -реестр исполненных'!$C$10:$I$201,7,FALSE),"")</f>
        <v/>
      </c>
      <c r="AI36" s="149">
        <f t="shared" si="24"/>
        <v>13.862807142857143</v>
      </c>
      <c r="AJ36" s="150">
        <f t="shared" si="25"/>
        <v>0</v>
      </c>
      <c r="AK36" s="151">
        <f t="shared" si="26"/>
        <v>16.659704761904759</v>
      </c>
      <c r="AL36" s="152">
        <f t="shared" si="27"/>
        <v>30.522511904761902</v>
      </c>
      <c r="AQ36" s="427" t="s">
        <v>2567</v>
      </c>
      <c r="AS36" s="82">
        <f>IF(B36="","",IF(P36=SUM(H36,I36,K36,O36),"ИСТИНА",P36-SUM(H36,I36,K36,O36)))</f>
        <v>128066.35544999999</v>
      </c>
      <c r="AT36" s="1104" t="s">
        <v>2750</v>
      </c>
      <c r="AX36" s="82">
        <f t="shared" si="16"/>
        <v>128194.54999999999</v>
      </c>
      <c r="BH36" s="175"/>
    </row>
    <row r="37" spans="1:60" ht="15.75">
      <c r="A37" s="76" t="str">
        <f t="shared" si="21"/>
        <v/>
      </c>
      <c r="B37" s="156" t="str">
        <f>IF(A37="","",SUM($A$12:A37))</f>
        <v/>
      </c>
      <c r="C37" s="428"/>
      <c r="D37" s="435"/>
      <c r="E37" s="436"/>
      <c r="F37" s="429"/>
      <c r="G37" s="430"/>
      <c r="H37" s="431"/>
      <c r="I37" s="431"/>
      <c r="J37" s="431"/>
      <c r="K37" s="431"/>
      <c r="L37" s="431"/>
      <c r="M37" s="431"/>
      <c r="N37" s="431"/>
      <c r="O37" s="431"/>
      <c r="P37" s="432"/>
      <c r="Q37" s="433"/>
      <c r="R37" s="445"/>
      <c r="S37" s="434"/>
      <c r="T37" s="446"/>
      <c r="U37" s="168"/>
      <c r="V37" s="168"/>
      <c r="W37" s="168"/>
      <c r="Y37" s="174"/>
      <c r="Z37" s="174"/>
      <c r="AA37" s="134"/>
      <c r="AB37" s="437"/>
      <c r="AC37" s="438"/>
      <c r="AD37" s="439"/>
      <c r="AE37" s="440"/>
      <c r="AF37" s="441"/>
      <c r="AG37" s="1102"/>
      <c r="AH37" s="175"/>
      <c r="AI37" s="500"/>
      <c r="AJ37" s="501"/>
      <c r="AK37" s="502"/>
      <c r="AL37" s="440"/>
      <c r="AQ37" s="427"/>
      <c r="AT37" s="1104"/>
      <c r="AX37" s="82" t="str">
        <f t="shared" si="16"/>
        <v/>
      </c>
      <c r="BH37" s="175"/>
    </row>
    <row r="38" spans="1:60" ht="15.75">
      <c r="B38" s="176" t="s">
        <v>2576</v>
      </c>
      <c r="C38" s="627" t="str">
        <f>"Всего по "&amp;T38&amp;" ("&amp;$C$9&amp;"):"</f>
        <v>Всего по Вне Г.Н.П. (ВЛ-0,4 до 15 кВт (льгота)):</v>
      </c>
      <c r="D38" s="628"/>
      <c r="E38" s="628"/>
      <c r="F38" s="629">
        <f>SUM(F39,)</f>
        <v>8.7999999999999995E-2</v>
      </c>
      <c r="G38" s="629">
        <f t="shared" ref="G38:O38" si="33">SUM(G39,)</f>
        <v>14</v>
      </c>
      <c r="H38" s="629">
        <f t="shared" si="33"/>
        <v>0</v>
      </c>
      <c r="I38" s="629">
        <f t="shared" si="33"/>
        <v>0</v>
      </c>
      <c r="J38" s="629">
        <f t="shared" si="33"/>
        <v>0</v>
      </c>
      <c r="K38" s="629">
        <f t="shared" si="33"/>
        <v>72.46638999999999</v>
      </c>
      <c r="L38" s="629">
        <f t="shared" si="33"/>
        <v>0</v>
      </c>
      <c r="M38" s="629">
        <f t="shared" si="33"/>
        <v>0</v>
      </c>
      <c r="N38" s="629">
        <f t="shared" si="33"/>
        <v>0</v>
      </c>
      <c r="O38" s="629">
        <f t="shared" si="33"/>
        <v>44.859759999999994</v>
      </c>
      <c r="P38" s="629">
        <f>SUM(P39,)</f>
        <v>117326.15</v>
      </c>
      <c r="Q38" s="127"/>
      <c r="R38" s="127"/>
      <c r="S38" s="127"/>
      <c r="T38" s="127" t="s">
        <v>2958</v>
      </c>
      <c r="U38" s="168"/>
      <c r="V38" s="168"/>
      <c r="W38" s="168"/>
      <c r="Y38" s="174"/>
      <c r="Z38" s="174"/>
      <c r="AA38" s="134"/>
      <c r="AB38" s="437"/>
      <c r="AC38" s="438"/>
      <c r="AD38" s="439"/>
      <c r="AE38" s="440"/>
      <c r="AF38" s="441"/>
      <c r="AG38" s="1102"/>
      <c r="AH38" s="175"/>
      <c r="AI38" s="500"/>
      <c r="AJ38" s="501"/>
      <c r="AK38" s="502"/>
      <c r="AL38" s="440"/>
      <c r="AQ38" s="427"/>
      <c r="AT38" s="1104"/>
      <c r="AX38" s="82" t="str">
        <f t="shared" si="16"/>
        <v/>
      </c>
      <c r="BH38" s="175"/>
    </row>
    <row r="39" spans="1:60" s="94" customFormat="1" ht="36" customHeight="1">
      <c r="B39" s="176" t="s">
        <v>2578</v>
      </c>
      <c r="C39" s="144" t="str">
        <f>"Всего по "&amp;$T$38&amp;"  "&amp;T39&amp;" ("&amp;$C$9&amp;"):"</f>
        <v>Всего по Вне Г.Н.П.  Изолир. алюм. до 50 мм (ВЛ-0,4 до 15 кВт (льгота)):</v>
      </c>
      <c r="D39" s="144"/>
      <c r="E39" s="144"/>
      <c r="F39" s="177">
        <f t="shared" ref="F39:O39" si="34">SUM(F40:F41)</f>
        <v>8.7999999999999995E-2</v>
      </c>
      <c r="G39" s="177">
        <f t="shared" si="34"/>
        <v>14</v>
      </c>
      <c r="H39" s="177">
        <f t="shared" si="34"/>
        <v>0</v>
      </c>
      <c r="I39" s="177">
        <f t="shared" si="34"/>
        <v>0</v>
      </c>
      <c r="J39" s="177">
        <f t="shared" si="34"/>
        <v>0</v>
      </c>
      <c r="K39" s="177">
        <f t="shared" si="34"/>
        <v>72.46638999999999</v>
      </c>
      <c r="L39" s="177">
        <f t="shared" si="34"/>
        <v>0</v>
      </c>
      <c r="M39" s="177">
        <f t="shared" si="34"/>
        <v>0</v>
      </c>
      <c r="N39" s="177">
        <f t="shared" si="34"/>
        <v>0</v>
      </c>
      <c r="O39" s="177">
        <f t="shared" si="34"/>
        <v>44.859759999999994</v>
      </c>
      <c r="P39" s="177">
        <f>SUM(P40:P41)</f>
        <v>117326.15</v>
      </c>
      <c r="Q39" s="145"/>
      <c r="R39" s="145" t="s">
        <v>2564</v>
      </c>
      <c r="S39" s="145"/>
      <c r="T39" s="146" t="s">
        <v>2962</v>
      </c>
      <c r="U39" s="147"/>
      <c r="V39" s="147"/>
      <c r="W39" s="147"/>
      <c r="Y39" s="174" t="str">
        <f t="shared" si="3"/>
        <v/>
      </c>
      <c r="Z39" s="174" t="str">
        <f t="shared" ref="Z39" si="35">IF(X39="","",CONCATENATE(Y39,"-",X39,"; ",$T$39))</f>
        <v/>
      </c>
      <c r="AA39" s="134"/>
      <c r="AB39" s="117"/>
      <c r="AC39" s="118"/>
      <c r="AD39" s="119"/>
      <c r="AE39" s="108"/>
      <c r="AF39" s="139"/>
      <c r="AG39" s="148"/>
      <c r="AH39" s="175"/>
      <c r="AI39" s="149" t="str">
        <f t="shared" si="6"/>
        <v/>
      </c>
      <c r="AJ39" s="150" t="str">
        <f t="shared" si="6"/>
        <v/>
      </c>
      <c r="AK39" s="151" t="str">
        <f t="shared" si="6"/>
        <v/>
      </c>
      <c r="AL39" s="152"/>
      <c r="AM39" s="81"/>
      <c r="AN39" s="82"/>
      <c r="AO39" s="82"/>
      <c r="AP39" s="82"/>
      <c r="AQ39" s="427"/>
      <c r="AR39" s="83"/>
      <c r="AS39" s="82"/>
      <c r="AT39" s="1104"/>
      <c r="AU39" s="85"/>
      <c r="AV39" s="82"/>
      <c r="AW39" s="82"/>
      <c r="AX39" s="82" t="str">
        <f t="shared" si="16"/>
        <v/>
      </c>
      <c r="AY39" s="82"/>
      <c r="AZ39" s="153"/>
      <c r="BA39" s="82"/>
      <c r="BB39" s="82"/>
      <c r="BC39" s="154" t="e">
        <f>#REF!</f>
        <v>#REF!</v>
      </c>
      <c r="BD39" s="155" t="e">
        <f>BC39*F39*$BD$6</f>
        <v>#REF!</v>
      </c>
      <c r="BE39" s="155" t="e">
        <f>BD39/F39</f>
        <v>#REF!</v>
      </c>
      <c r="BF39" s="82"/>
      <c r="BH39" s="175">
        <f>IFERROR(VLOOKUP($S39,'[27]3.1.1 -реестр исполненных'!$C$10:$I$201,7,FALSE),"")</f>
        <v>0</v>
      </c>
    </row>
    <row r="40" spans="1:60" ht="38.25">
      <c r="A40" s="76">
        <f t="shared" si="10"/>
        <v>1</v>
      </c>
      <c r="B40" s="156">
        <f>IF(A40="","",SUM($A$12:A40))</f>
        <v>26</v>
      </c>
      <c r="C40" s="157" t="s">
        <v>2683</v>
      </c>
      <c r="D40" s="158" t="str">
        <f t="shared" ref="D40" si="36">IF(AF40=0,"",AF40)</f>
        <v>3кв 2017</v>
      </c>
      <c r="E40" s="159">
        <v>0.4</v>
      </c>
      <c r="F40" s="160">
        <v>0.06</v>
      </c>
      <c r="G40" s="161">
        <v>5</v>
      </c>
      <c r="H40" s="162"/>
      <c r="I40" s="162"/>
      <c r="J40" s="162"/>
      <c r="K40" s="162">
        <v>50.727499999999999</v>
      </c>
      <c r="L40" s="162"/>
      <c r="M40" s="162"/>
      <c r="N40" s="162"/>
      <c r="O40" s="162">
        <v>21.37537</v>
      </c>
      <c r="P40" s="163">
        <v>72102.87</v>
      </c>
      <c r="Q40" s="164"/>
      <c r="R40" s="165" t="s">
        <v>2564</v>
      </c>
      <c r="S40" s="166" t="s">
        <v>2684</v>
      </c>
      <c r="T40" s="167" t="s">
        <v>2565</v>
      </c>
      <c r="U40" s="168">
        <f>[26]ТП2017!$K$43*1000</f>
        <v>72102.87</v>
      </c>
      <c r="V40" s="168" t="b">
        <f t="shared" ref="V40" si="37">U40=P40</f>
        <v>1</v>
      </c>
      <c r="W40" s="168" t="s">
        <v>2946</v>
      </c>
      <c r="X40" s="76" t="s">
        <v>2517</v>
      </c>
      <c r="Y40" s="174" t="str">
        <f>IF(X40="","",$C$9)</f>
        <v>ВЛ-0,4 до 15 кВт (льгота)</v>
      </c>
      <c r="Z40" s="174" t="str">
        <f>IF(X40="","",CONCATENATE(Y40,"-",X40,"; ",$T$11))</f>
        <v>ВЛ-0,4 до 15 кВт (льгота)-за границей н.п.; Изолир. алюм. до 50 мм</v>
      </c>
      <c r="AA40" s="134"/>
      <c r="AB40" s="170">
        <f t="shared" ref="AB40" si="38">O40</f>
        <v>21.37537</v>
      </c>
      <c r="AC40" s="171">
        <f t="shared" ref="AC40" si="39">(I40+H40)</f>
        <v>0</v>
      </c>
      <c r="AD40" s="172">
        <f t="shared" ref="AD40" si="40">K40</f>
        <v>50.727499999999999</v>
      </c>
      <c r="AE40" s="152">
        <f t="shared" ref="AE40" si="41">AB40+AC40+AD40</f>
        <v>72.102869999999996</v>
      </c>
      <c r="AF40" s="139" t="s">
        <v>2681</v>
      </c>
      <c r="AG40" s="148">
        <f t="shared" si="17"/>
        <v>4.1500000000000004</v>
      </c>
      <c r="AH40" s="175" t="str">
        <f>IFERROR(VLOOKUP($S40,'[27]3.1.1 -реестр исполненных'!$C$10:$I$201,7,FALSE),"")</f>
        <v/>
      </c>
      <c r="AI40" s="149">
        <f t="shared" ref="AI40" si="42">IF(ISERROR(AB40/$AG40),"",AB40/$AG40)</f>
        <v>5.1506915662650599</v>
      </c>
      <c r="AJ40" s="150">
        <f t="shared" ref="AJ40" si="43">IF(ISERROR(AC40/$AG40),"",AC40/$AG40)</f>
        <v>0</v>
      </c>
      <c r="AK40" s="151">
        <f t="shared" ref="AK40" si="44">IF(ISERROR(AD40/$AG40),"",AD40/$AG40)</f>
        <v>12.223493975903613</v>
      </c>
      <c r="AL40" s="152">
        <f t="shared" ref="AL40" si="45">SUM(AI40,AJ40,AK40)</f>
        <v>17.374185542168675</v>
      </c>
      <c r="AQ40" s="427" t="s">
        <v>2567</v>
      </c>
      <c r="AS40" s="82">
        <f t="shared" ref="AS40" si="46">IF(B40="","",IF(P40=SUM(H40,I40,K40,O40),"ИСТИНА",P40-SUM(H40,I40,K40,O40)))</f>
        <v>72030.767129999993</v>
      </c>
      <c r="AT40" s="1104" t="s">
        <v>2685</v>
      </c>
      <c r="AX40" s="82">
        <f t="shared" si="16"/>
        <v>72102.87</v>
      </c>
      <c r="BH40" s="175" t="str">
        <f>IFERROR(VLOOKUP($S40,'[27]3.1.1 -реестр исполненных'!$C$10:$I$201,7,FALSE),"")</f>
        <v/>
      </c>
    </row>
    <row r="41" spans="1:60" ht="38.25">
      <c r="A41" s="76">
        <f t="shared" si="10"/>
        <v>1</v>
      </c>
      <c r="B41" s="156">
        <f>IF(A41="","",SUM($A$12:A41))</f>
        <v>27</v>
      </c>
      <c r="C41" s="157" t="s">
        <v>2733</v>
      </c>
      <c r="D41" s="158" t="str">
        <f>IF(AF41=0,"",AF41)</f>
        <v>3кв 2017</v>
      </c>
      <c r="E41" s="159">
        <v>0.4</v>
      </c>
      <c r="F41" s="160">
        <v>2.8000000000000001E-2</v>
      </c>
      <c r="G41" s="161">
        <v>9</v>
      </c>
      <c r="H41" s="162"/>
      <c r="I41" s="162"/>
      <c r="J41" s="162"/>
      <c r="K41" s="162">
        <v>21.738889999999998</v>
      </c>
      <c r="L41" s="162"/>
      <c r="M41" s="162"/>
      <c r="N41" s="162"/>
      <c r="O41" s="162">
        <v>23.484389999999998</v>
      </c>
      <c r="P41" s="432">
        <v>45223.28</v>
      </c>
      <c r="Q41" s="451"/>
      <c r="R41" s="798" t="s">
        <v>2564</v>
      </c>
      <c r="S41" s="1103" t="s">
        <v>2734</v>
      </c>
      <c r="T41" s="167" t="s">
        <v>2566</v>
      </c>
      <c r="U41" s="168">
        <f>[26]ТП2017!$K$42*1000</f>
        <v>45223.280000000006</v>
      </c>
      <c r="V41" s="168" t="b">
        <f t="shared" ref="V41" si="47">U41=P41</f>
        <v>1</v>
      </c>
      <c r="W41" s="168" t="s">
        <v>2946</v>
      </c>
      <c r="X41" s="76" t="s">
        <v>2517</v>
      </c>
      <c r="Y41" s="174" t="str">
        <f>IF(X41="","",$C$9)</f>
        <v>ВЛ-0,4 до 15 кВт (льгота)</v>
      </c>
      <c r="Z41" s="174" t="str">
        <f>IF(X41="","",CONCATENATE(Y41,"-",X41,"; ",$T$39))</f>
        <v>ВЛ-0,4 до 15 кВт (льгота)-за границей н.п.; Изолир. алюм. до 50 мм</v>
      </c>
      <c r="AA41" s="134"/>
      <c r="AB41" s="170">
        <f t="shared" ref="AB41" si="48">O41</f>
        <v>23.484389999999998</v>
      </c>
      <c r="AC41" s="171">
        <f t="shared" ref="AC41" si="49">(I41+H41)</f>
        <v>0</v>
      </c>
      <c r="AD41" s="172">
        <f t="shared" ref="AD41" si="50">K41</f>
        <v>21.738889999999998</v>
      </c>
      <c r="AE41" s="152">
        <f t="shared" ref="AE41" si="51">AB41+AC41+AD41</f>
        <v>45.223279999999995</v>
      </c>
      <c r="AF41" s="139" t="s">
        <v>2681</v>
      </c>
      <c r="AG41" s="148">
        <f t="shared" si="17"/>
        <v>4.1500000000000004</v>
      </c>
      <c r="AH41" s="175" t="str">
        <f>IFERROR(VLOOKUP($S41,'[27]3.1.1 -реестр исполненных'!$C$10:$I$201,7,FALSE),"")</f>
        <v/>
      </c>
      <c r="AI41" s="149">
        <f t="shared" si="6"/>
        <v>5.6588891566265049</v>
      </c>
      <c r="AJ41" s="150">
        <f t="shared" si="6"/>
        <v>0</v>
      </c>
      <c r="AK41" s="151">
        <f t="shared" si="6"/>
        <v>5.238286746987951</v>
      </c>
      <c r="AL41" s="152">
        <f t="shared" si="7"/>
        <v>10.897175903614457</v>
      </c>
      <c r="AQ41" s="427">
        <v>20</v>
      </c>
      <c r="AS41" s="82">
        <f t="shared" si="15"/>
        <v>45178.05672</v>
      </c>
      <c r="AT41" s="1104" t="s">
        <v>2735</v>
      </c>
      <c r="AX41" s="82">
        <f t="shared" si="16"/>
        <v>45223.28</v>
      </c>
      <c r="BH41" s="175" t="str">
        <f>IFERROR(VLOOKUP($S41,'[27]3.1.1 -реестр исполненных'!$C$10:$I$201,7,FALSE),"")</f>
        <v/>
      </c>
    </row>
    <row r="42" spans="1:60" s="120" customFormat="1" ht="15.75">
      <c r="B42" s="121" t="s">
        <v>2574</v>
      </c>
      <c r="C42" s="142" t="str">
        <f>"Всего по "&amp;T42&amp;" ("&amp;$C$9&amp;"):"</f>
        <v>Всего по Г.Н.П. (ВЛ-0,4 до 15 кВт (льгота)):</v>
      </c>
      <c r="D42" s="143"/>
      <c r="E42" s="143"/>
      <c r="F42" s="124">
        <f>SUM(F43)</f>
        <v>0.78</v>
      </c>
      <c r="G42" s="124">
        <f t="shared" ref="G42:P42" si="52">SUM(G43)</f>
        <v>16.55</v>
      </c>
      <c r="H42" s="124">
        <f t="shared" si="52"/>
        <v>0</v>
      </c>
      <c r="I42" s="124">
        <f t="shared" si="52"/>
        <v>0</v>
      </c>
      <c r="J42" s="124">
        <f t="shared" si="52"/>
        <v>0</v>
      </c>
      <c r="K42" s="124">
        <f t="shared" si="52"/>
        <v>0</v>
      </c>
      <c r="L42" s="124">
        <f t="shared" si="52"/>
        <v>0</v>
      </c>
      <c r="M42" s="124">
        <f t="shared" si="52"/>
        <v>0</v>
      </c>
      <c r="N42" s="124">
        <f t="shared" si="52"/>
        <v>0</v>
      </c>
      <c r="O42" s="124">
        <f t="shared" si="52"/>
        <v>504.04990999999995</v>
      </c>
      <c r="P42" s="124">
        <f t="shared" si="52"/>
        <v>504049.91000000003</v>
      </c>
      <c r="Q42" s="127"/>
      <c r="R42" s="127"/>
      <c r="S42" s="127"/>
      <c r="T42" s="127" t="s">
        <v>2956</v>
      </c>
      <c r="U42" s="128"/>
      <c r="V42" s="129"/>
      <c r="W42" s="130"/>
      <c r="X42" s="131"/>
      <c r="Y42" s="132"/>
      <c r="Z42" s="133"/>
      <c r="AA42" s="134"/>
      <c r="AB42" s="135"/>
      <c r="AC42" s="136"/>
      <c r="AD42" s="137"/>
      <c r="AE42" s="192"/>
      <c r="AF42" s="193"/>
      <c r="AG42" s="148" t="str">
        <f t="shared" si="17"/>
        <v>не совпадает</v>
      </c>
      <c r="AH42" s="175">
        <f>IFERROR(VLOOKUP($S42,'[27]3.1.1 -реестр исполненных'!$C$10:$I$201,7,FALSE),"")</f>
        <v>0</v>
      </c>
      <c r="AI42" s="117"/>
      <c r="AJ42" s="118"/>
      <c r="AK42" s="119"/>
      <c r="AL42" s="138"/>
      <c r="AM42" s="81"/>
      <c r="AN42" s="82"/>
      <c r="AO42" s="140"/>
      <c r="AP42" s="140"/>
      <c r="AQ42" s="427"/>
      <c r="AR42" s="83"/>
      <c r="AS42" s="140"/>
      <c r="AT42" s="1104"/>
      <c r="AU42" s="85"/>
      <c r="AV42" s="82"/>
      <c r="AW42" s="82"/>
      <c r="AX42" s="82" t="str">
        <f t="shared" si="16"/>
        <v/>
      </c>
      <c r="AY42" s="82"/>
      <c r="AZ42" s="140"/>
      <c r="BA42" s="140"/>
      <c r="BB42" s="140"/>
      <c r="BC42" s="82"/>
      <c r="BD42" s="140"/>
      <c r="BE42" s="140"/>
      <c r="BF42" s="140"/>
      <c r="BH42" s="175">
        <f>IFERROR(VLOOKUP($S42,'[27]3.1.1 -реестр исполненных'!$C$10:$I$201,7,FALSE),"")</f>
        <v>0</v>
      </c>
    </row>
    <row r="43" spans="1:60" s="94" customFormat="1" ht="31.5">
      <c r="B43" s="121" t="s">
        <v>2575</v>
      </c>
      <c r="C43" s="144" t="str">
        <f>"Всего по "&amp;$T$42&amp;""&amp;T43&amp;" ("&amp;$C$9&amp;"):"</f>
        <v>Всего по Г.Н.П.Изолир. алюм. 50-100 мм (ВЛ-0,4 до 15 кВт (льгота)):</v>
      </c>
      <c r="D43" s="144"/>
      <c r="E43" s="144"/>
      <c r="F43" s="177">
        <f>SUM(F44:F46)</f>
        <v>0.78</v>
      </c>
      <c r="G43" s="177">
        <f t="shared" ref="G43:P43" si="53">SUM(G44:G46)</f>
        <v>16.55</v>
      </c>
      <c r="H43" s="177">
        <f t="shared" si="53"/>
        <v>0</v>
      </c>
      <c r="I43" s="177">
        <f t="shared" si="53"/>
        <v>0</v>
      </c>
      <c r="J43" s="177">
        <f t="shared" si="53"/>
        <v>0</v>
      </c>
      <c r="K43" s="177">
        <f t="shared" si="53"/>
        <v>0</v>
      </c>
      <c r="L43" s="177">
        <f t="shared" si="53"/>
        <v>0</v>
      </c>
      <c r="M43" s="177">
        <f t="shared" si="53"/>
        <v>0</v>
      </c>
      <c r="N43" s="177">
        <f t="shared" si="53"/>
        <v>0</v>
      </c>
      <c r="O43" s="177">
        <f t="shared" si="53"/>
        <v>504.04990999999995</v>
      </c>
      <c r="P43" s="177">
        <f t="shared" si="53"/>
        <v>504049.91000000003</v>
      </c>
      <c r="Q43" s="145"/>
      <c r="R43" s="145" t="s">
        <v>2564</v>
      </c>
      <c r="S43" s="145"/>
      <c r="T43" s="146" t="s">
        <v>3005</v>
      </c>
      <c r="U43" s="147"/>
      <c r="V43" s="147"/>
      <c r="W43" s="147"/>
      <c r="Y43" s="174" t="str">
        <f>IF(X43="","",$C$9)</f>
        <v/>
      </c>
      <c r="Z43" s="174" t="str">
        <f>IF(X43="","",CONCATENATE(Y43,"-",X43,"; ",$T$43))</f>
        <v/>
      </c>
      <c r="AA43" s="134"/>
      <c r="AB43" s="117"/>
      <c r="AC43" s="118"/>
      <c r="AD43" s="119"/>
      <c r="AE43" s="108"/>
      <c r="AF43" s="139"/>
      <c r="AG43" s="148" t="str">
        <f t="shared" si="17"/>
        <v>не совпадает</v>
      </c>
      <c r="AH43" s="175">
        <f>IFERROR(VLOOKUP($S43,'[27]3.1.1 -реестр исполненных'!$C$10:$I$201,7,FALSE),"")</f>
        <v>0</v>
      </c>
      <c r="AI43" s="149" t="str">
        <f t="shared" ref="AI43:AK46" si="54">IF(ISERROR(AB43/$AG43),"",AB43/$AG43)</f>
        <v/>
      </c>
      <c r="AJ43" s="150" t="str">
        <f t="shared" si="54"/>
        <v/>
      </c>
      <c r="AK43" s="151" t="str">
        <f t="shared" si="54"/>
        <v/>
      </c>
      <c r="AL43" s="152">
        <f>SUM(AI43,AJ43,AK43)</f>
        <v>0</v>
      </c>
      <c r="AM43" s="81"/>
      <c r="AN43" s="82"/>
      <c r="AO43" s="82"/>
      <c r="AP43" s="82"/>
      <c r="AQ43" s="427"/>
      <c r="AR43" s="83"/>
      <c r="AS43" s="82"/>
      <c r="AT43" s="1104"/>
      <c r="AU43" s="85"/>
      <c r="AV43" s="82"/>
      <c r="AW43" s="82"/>
      <c r="AX43" s="82" t="str">
        <f t="shared" si="16"/>
        <v/>
      </c>
      <c r="AY43" s="82"/>
      <c r="AZ43" s="153"/>
      <c r="BA43" s="82"/>
      <c r="BB43" s="82"/>
      <c r="BC43" s="154" t="e">
        <f>#REF!</f>
        <v>#REF!</v>
      </c>
      <c r="BD43" s="155" t="e">
        <f>BC43*F43*$BD$6</f>
        <v>#REF!</v>
      </c>
      <c r="BE43" s="155" t="e">
        <f>BD43/F43</f>
        <v>#REF!</v>
      </c>
      <c r="BF43" s="82"/>
      <c r="BH43" s="175">
        <f>IFERROR(VLOOKUP($S43,'[27]3.1.1 -реестр исполненных'!$C$10:$I$201,7,FALSE),"")</f>
        <v>0</v>
      </c>
    </row>
    <row r="44" spans="1:60" ht="38.25">
      <c r="A44" s="76">
        <f t="shared" ref="A44:A46" si="55">IF(C44="","",1)</f>
        <v>1</v>
      </c>
      <c r="B44" s="190">
        <f>IF(A44="","",SUM($A$12:A44))</f>
        <v>28</v>
      </c>
      <c r="C44" s="157" t="s">
        <v>2762</v>
      </c>
      <c r="D44" s="158" t="str">
        <f>IF(AF44=0,"",AF44)</f>
        <v>3кв 2017</v>
      </c>
      <c r="E44" s="159">
        <v>0.4</v>
      </c>
      <c r="F44" s="196">
        <v>0.33</v>
      </c>
      <c r="G44" s="161">
        <v>5</v>
      </c>
      <c r="H44" s="194"/>
      <c r="I44" s="194"/>
      <c r="J44" s="194"/>
      <c r="K44" s="194"/>
      <c r="L44" s="194"/>
      <c r="M44" s="194"/>
      <c r="N44" s="194"/>
      <c r="O44" s="194">
        <v>208.32629</v>
      </c>
      <c r="P44" s="163">
        <v>208326.29</v>
      </c>
      <c r="Q44" s="164"/>
      <c r="R44" s="165" t="s">
        <v>2564</v>
      </c>
      <c r="S44" s="166" t="s">
        <v>2764</v>
      </c>
      <c r="T44" s="167" t="s">
        <v>2763</v>
      </c>
      <c r="U44" s="168">
        <f>[26]ТП2017!$K$48*1000</f>
        <v>208326.29</v>
      </c>
      <c r="V44" s="168" t="b">
        <f t="shared" ref="V44:V45" si="56">U44=P44</f>
        <v>1</v>
      </c>
      <c r="W44" s="168" t="s">
        <v>2946</v>
      </c>
      <c r="X44" s="76" t="s">
        <v>2519</v>
      </c>
      <c r="Y44" s="174" t="str">
        <f>IF(X44="","",$C$9)</f>
        <v>ВЛ-0,4 до 15 кВт (льгота)</v>
      </c>
      <c r="Z44" s="174" t="str">
        <f>IF(X44="","",CONCATENATE(Y44,"-",X44,"; ",$T$43))</f>
        <v>ВЛ-0,4 до 15 кВт (льгота)-н.п.; Изолир. алюм. 50-100 мм</v>
      </c>
      <c r="AA44" s="134"/>
      <c r="AB44" s="170">
        <f t="shared" ref="AB44:AB46" si="57">O44</f>
        <v>208.32629</v>
      </c>
      <c r="AC44" s="171">
        <f t="shared" ref="AC44:AC46" si="58">(I44+H44)</f>
        <v>0</v>
      </c>
      <c r="AD44" s="172">
        <f t="shared" ref="AD44:AD46" si="59">K44</f>
        <v>0</v>
      </c>
      <c r="AE44" s="152">
        <f t="shared" ref="AE44:AE46" si="60">AB44+AC44+AD44</f>
        <v>208.32629</v>
      </c>
      <c r="AF44" s="139" t="s">
        <v>2681</v>
      </c>
      <c r="AG44" s="148">
        <f t="shared" si="17"/>
        <v>4.1500000000000004</v>
      </c>
      <c r="AH44" s="175" t="str">
        <f>IFERROR(VLOOKUP($S44,'[27]3.1.1 -реестр исполненных'!$C$10:$I$201,7,FALSE),"")</f>
        <v/>
      </c>
      <c r="AI44" s="149">
        <f t="shared" si="54"/>
        <v>50.19910602409638</v>
      </c>
      <c r="AJ44" s="150">
        <f t="shared" si="54"/>
        <v>0</v>
      </c>
      <c r="AK44" s="151">
        <f t="shared" si="54"/>
        <v>0</v>
      </c>
      <c r="AL44" s="152">
        <f>SUM(AI44,AJ44,AK44)</f>
        <v>50.19910602409638</v>
      </c>
      <c r="AQ44" s="427">
        <v>31</v>
      </c>
      <c r="AS44" s="82">
        <f>IF(B44="","",IF(P44=SUM(H44,I44,K44,O44),"ИСТИНА",P44-SUM(H44,I44,K44,O44)))</f>
        <v>208117.96371000001</v>
      </c>
      <c r="AT44" s="1104" t="s">
        <v>2765</v>
      </c>
      <c r="AU44" s="3303"/>
      <c r="AV44" s="198"/>
      <c r="AW44" s="199"/>
      <c r="AX44" s="82">
        <f t="shared" si="16"/>
        <v>208326.29</v>
      </c>
      <c r="BH44" s="175" t="str">
        <f>IFERROR(VLOOKUP($S44,'[27]3.1.1 -реестр исполненных'!$C$10:$I$201,7,FALSE),"")</f>
        <v/>
      </c>
    </row>
    <row r="45" spans="1:60" ht="38.25">
      <c r="A45" s="76">
        <f t="shared" si="55"/>
        <v>1</v>
      </c>
      <c r="B45" s="190">
        <f>IF(A45="","",SUM($A$12:A45))</f>
        <v>29</v>
      </c>
      <c r="C45" s="157" t="s">
        <v>2766</v>
      </c>
      <c r="D45" s="158" t="str">
        <f>IF(AF45=0,"",AF45)</f>
        <v>4кв 2017</v>
      </c>
      <c r="E45" s="159">
        <v>0.4</v>
      </c>
      <c r="F45" s="196">
        <v>0.45</v>
      </c>
      <c r="G45" s="161">
        <v>11.55</v>
      </c>
      <c r="H45" s="194"/>
      <c r="I45" s="194"/>
      <c r="J45" s="194"/>
      <c r="K45" s="194"/>
      <c r="L45" s="194"/>
      <c r="M45" s="194"/>
      <c r="N45" s="194"/>
      <c r="O45" s="194">
        <v>295.72361999999998</v>
      </c>
      <c r="P45" s="163">
        <v>295723.62</v>
      </c>
      <c r="Q45" s="164"/>
      <c r="R45" s="165" t="s">
        <v>2564</v>
      </c>
      <c r="S45" s="166" t="s">
        <v>2767</v>
      </c>
      <c r="T45" s="167" t="s">
        <v>2763</v>
      </c>
      <c r="U45" s="168">
        <f>[26]ТП2017!$K$52*1000</f>
        <v>295723.62</v>
      </c>
      <c r="V45" s="168" t="b">
        <f t="shared" si="56"/>
        <v>1</v>
      </c>
      <c r="W45" s="168" t="s">
        <v>2946</v>
      </c>
      <c r="X45" s="76" t="s">
        <v>2519</v>
      </c>
      <c r="Y45" s="174" t="str">
        <f t="shared" ref="Y45:Y46" si="61">IF(X45="","",$C$9)</f>
        <v>ВЛ-0,4 до 15 кВт (льгота)</v>
      </c>
      <c r="Z45" s="174" t="str">
        <f t="shared" ref="Z45:Z46" si="62">IF(X45="","",CONCATENATE(Y45,"-",X45,"; ",$T$43))</f>
        <v>ВЛ-0,4 до 15 кВт (льгота)-н.п.; Изолир. алюм. 50-100 мм</v>
      </c>
      <c r="AA45" s="134"/>
      <c r="AB45" s="170">
        <f t="shared" si="57"/>
        <v>295.72361999999998</v>
      </c>
      <c r="AC45" s="171">
        <f t="shared" si="58"/>
        <v>0</v>
      </c>
      <c r="AD45" s="172">
        <f t="shared" si="59"/>
        <v>0</v>
      </c>
      <c r="AE45" s="152">
        <f t="shared" si="60"/>
        <v>295.72361999999998</v>
      </c>
      <c r="AF45" s="139" t="s">
        <v>2697</v>
      </c>
      <c r="AG45" s="148">
        <f t="shared" si="17"/>
        <v>4.2</v>
      </c>
      <c r="AH45" s="175" t="str">
        <f>IFERROR(VLOOKUP($S45,'[27]3.1.1 -реестр исполненных'!$C$10:$I$201,7,FALSE),"")</f>
        <v/>
      </c>
      <c r="AI45" s="149">
        <f t="shared" si="54"/>
        <v>70.410385714285709</v>
      </c>
      <c r="AJ45" s="150">
        <f t="shared" si="54"/>
        <v>0</v>
      </c>
      <c r="AK45" s="151">
        <f t="shared" si="54"/>
        <v>0</v>
      </c>
      <c r="AL45" s="152">
        <f>SUM(AI45,AJ45,AK45)</f>
        <v>70.410385714285709</v>
      </c>
      <c r="AQ45" s="427">
        <v>33</v>
      </c>
      <c r="AS45" s="82">
        <f>IF(B45="","",IF(P45=SUM(H45,I45,K45,O45),"ИСТИНА",P45-SUM(H45,I45,K45,O45)))</f>
        <v>295427.89637999999</v>
      </c>
      <c r="AT45" s="1104" t="s">
        <v>2768</v>
      </c>
      <c r="AU45" s="3303"/>
      <c r="AV45" s="198"/>
      <c r="AW45" s="199"/>
      <c r="AX45" s="82">
        <f t="shared" si="16"/>
        <v>295723.62</v>
      </c>
      <c r="BH45" s="175" t="str">
        <f>IFERROR(VLOOKUP($S45,'[27]3.1.1 -реестр исполненных'!$C$10:$I$201,7,FALSE),"")</f>
        <v/>
      </c>
    </row>
    <row r="46" spans="1:60" ht="38.25">
      <c r="A46" s="76" t="str">
        <f t="shared" si="55"/>
        <v/>
      </c>
      <c r="B46" s="179" t="str">
        <f>IF(A46="","",SUM($A$12:A46))</f>
        <v/>
      </c>
      <c r="C46" s="157"/>
      <c r="D46" s="158" t="str">
        <f>IF(AF46=0,"",AF46)</f>
        <v/>
      </c>
      <c r="E46" s="159">
        <v>0.4</v>
      </c>
      <c r="F46" s="181"/>
      <c r="G46" s="161"/>
      <c r="H46" s="195"/>
      <c r="I46" s="195"/>
      <c r="J46" s="195"/>
      <c r="K46" s="195"/>
      <c r="L46" s="195"/>
      <c r="M46" s="195"/>
      <c r="N46" s="195"/>
      <c r="O46" s="195"/>
      <c r="P46" s="184"/>
      <c r="Q46" s="185"/>
      <c r="R46" s="186" t="s">
        <v>2564</v>
      </c>
      <c r="S46" s="187"/>
      <c r="T46" s="167" t="s">
        <v>2763</v>
      </c>
      <c r="U46" s="168"/>
      <c r="V46" s="168"/>
      <c r="W46" s="168"/>
      <c r="X46" s="76" t="s">
        <v>2519</v>
      </c>
      <c r="Y46" s="174" t="str">
        <f t="shared" si="61"/>
        <v>ВЛ-0,4 до 15 кВт (льгота)</v>
      </c>
      <c r="Z46" s="174" t="str">
        <f t="shared" si="62"/>
        <v>ВЛ-0,4 до 15 кВт (льгота)-н.п.; Изолир. алюм. 50-100 мм</v>
      </c>
      <c r="AA46" s="134"/>
      <c r="AB46" s="170">
        <f t="shared" si="57"/>
        <v>0</v>
      </c>
      <c r="AC46" s="171">
        <f t="shared" si="58"/>
        <v>0</v>
      </c>
      <c r="AD46" s="172">
        <f t="shared" si="59"/>
        <v>0</v>
      </c>
      <c r="AE46" s="152">
        <f t="shared" si="60"/>
        <v>0</v>
      </c>
      <c r="AF46" s="139"/>
      <c r="AG46" s="148" t="str">
        <f t="shared" si="17"/>
        <v>не совпадает</v>
      </c>
      <c r="AH46" s="175">
        <f>IFERROR(VLOOKUP($S46,'[27]3.1.1 -реестр исполненных'!$C$10:$I$201,7,FALSE),"")</f>
        <v>0</v>
      </c>
      <c r="AI46" s="149" t="str">
        <f t="shared" si="54"/>
        <v/>
      </c>
      <c r="AJ46" s="150" t="str">
        <f t="shared" si="54"/>
        <v/>
      </c>
      <c r="AK46" s="151" t="str">
        <f t="shared" si="54"/>
        <v/>
      </c>
      <c r="AL46" s="152">
        <f>SUM(AI46,AJ46,AK46)</f>
        <v>0</v>
      </c>
      <c r="AQ46" s="427"/>
      <c r="AS46" s="82" t="str">
        <f>IF(B46="","",IF(P46=SUM(H46,I46,K46,O46),"ИСТИНА",P46-SUM(H46,I46,K46,O46)))</f>
        <v/>
      </c>
      <c r="AT46" s="1104"/>
      <c r="AX46" s="82" t="str">
        <f t="shared" si="16"/>
        <v/>
      </c>
      <c r="BH46" s="175">
        <f>IFERROR(VLOOKUP($S46,'[27]3.1.1 -реестр исполненных'!$C$10:$I$201,7,FALSE),"")</f>
        <v>0</v>
      </c>
    </row>
    <row r="47" spans="1:60" s="120" customFormat="1" ht="15.75">
      <c r="B47" s="121" t="s">
        <v>2578</v>
      </c>
      <c r="C47" s="142" t="str">
        <f>"Всего по "&amp;T47&amp;" ("&amp;$C$9&amp;"):"</f>
        <v>Всего по Г.Н.П. (ВЛ-0,4 до 15 кВт (льгота)):</v>
      </c>
      <c r="D47" s="143"/>
      <c r="E47" s="143"/>
      <c r="F47" s="124">
        <f>SUM(F48)</f>
        <v>0.08</v>
      </c>
      <c r="G47" s="124">
        <f t="shared" ref="G47:P47" si="63">SUM(G48)</f>
        <v>4.3</v>
      </c>
      <c r="H47" s="124">
        <f t="shared" si="63"/>
        <v>0</v>
      </c>
      <c r="I47" s="124">
        <f t="shared" si="63"/>
        <v>0</v>
      </c>
      <c r="J47" s="124">
        <f t="shared" si="63"/>
        <v>0</v>
      </c>
      <c r="K47" s="124">
        <f t="shared" si="63"/>
        <v>0</v>
      </c>
      <c r="L47" s="124">
        <f t="shared" si="63"/>
        <v>0</v>
      </c>
      <c r="M47" s="124">
        <f t="shared" si="63"/>
        <v>0</v>
      </c>
      <c r="N47" s="124">
        <f t="shared" si="63"/>
        <v>0</v>
      </c>
      <c r="O47" s="124">
        <f t="shared" si="63"/>
        <v>57.053809999999999</v>
      </c>
      <c r="P47" s="124">
        <f t="shared" si="63"/>
        <v>57053.81</v>
      </c>
      <c r="Q47" s="127"/>
      <c r="R47" s="127"/>
      <c r="S47" s="127"/>
      <c r="T47" s="127" t="s">
        <v>2956</v>
      </c>
      <c r="U47" s="128"/>
      <c r="V47" s="129"/>
      <c r="W47" s="130"/>
      <c r="X47" s="131"/>
      <c r="Y47" s="132"/>
      <c r="Z47" s="133"/>
      <c r="AA47" s="134"/>
      <c r="AB47" s="135"/>
      <c r="AC47" s="136"/>
      <c r="AD47" s="137"/>
      <c r="AE47" s="192"/>
      <c r="AF47" s="193"/>
      <c r="AG47" s="148" t="str">
        <f t="shared" si="17"/>
        <v>не совпадает</v>
      </c>
      <c r="AH47" s="175">
        <f>IFERROR(VLOOKUP($S47,'[27]3.1.1 -реестр исполненных'!$C$10:$I$201,7,FALSE),"")</f>
        <v>0</v>
      </c>
      <c r="AI47" s="117"/>
      <c r="AJ47" s="118"/>
      <c r="AK47" s="119"/>
      <c r="AL47" s="138"/>
      <c r="AM47" s="81"/>
      <c r="AN47" s="82"/>
      <c r="AO47" s="140"/>
      <c r="AP47" s="140"/>
      <c r="AQ47" s="427"/>
      <c r="AR47" s="83"/>
      <c r="AS47" s="82"/>
      <c r="AT47" s="1104"/>
      <c r="AU47" s="85"/>
      <c r="AV47" s="82"/>
      <c r="AW47" s="82"/>
      <c r="AX47" s="82" t="str">
        <f t="shared" si="16"/>
        <v/>
      </c>
      <c r="AY47" s="82"/>
      <c r="AZ47" s="140"/>
      <c r="BA47" s="140"/>
      <c r="BB47" s="140"/>
      <c r="BC47" s="82"/>
      <c r="BD47" s="140"/>
      <c r="BE47" s="140"/>
      <c r="BF47" s="140"/>
      <c r="BH47" s="175">
        <f>IFERROR(VLOOKUP($S47,'[27]3.1.1 -реестр исполненных'!$C$10:$I$201,7,FALSE),"")</f>
        <v>0</v>
      </c>
    </row>
    <row r="48" spans="1:60" s="94" customFormat="1" ht="31.5">
      <c r="B48" s="121" t="s">
        <v>2579</v>
      </c>
      <c r="C48" s="144" t="str">
        <f>"Всего по "&amp;$T$47&amp;""&amp;T48&amp;" ("&amp;$C$9&amp;"):"</f>
        <v>Всего по Г.Н.П.Неизолир. сталеалюм. до 50 мм (ВЛ-0,4 до 15 кВт (льгота)):</v>
      </c>
      <c r="D48" s="144"/>
      <c r="E48" s="144"/>
      <c r="F48" s="177">
        <f>SUM(F49)</f>
        <v>0.08</v>
      </c>
      <c r="G48" s="177">
        <f>SUM(G49)</f>
        <v>4.3</v>
      </c>
      <c r="H48" s="177">
        <f t="shared" ref="H48:P48" si="64">SUM(H49)</f>
        <v>0</v>
      </c>
      <c r="I48" s="177">
        <f t="shared" si="64"/>
        <v>0</v>
      </c>
      <c r="J48" s="177">
        <f t="shared" si="64"/>
        <v>0</v>
      </c>
      <c r="K48" s="177">
        <f t="shared" si="64"/>
        <v>0</v>
      </c>
      <c r="L48" s="177">
        <f t="shared" si="64"/>
        <v>0</v>
      </c>
      <c r="M48" s="177">
        <f t="shared" si="64"/>
        <v>0</v>
      </c>
      <c r="N48" s="177">
        <f t="shared" si="64"/>
        <v>0</v>
      </c>
      <c r="O48" s="177">
        <f t="shared" si="64"/>
        <v>57.053809999999999</v>
      </c>
      <c r="P48" s="177">
        <f t="shared" si="64"/>
        <v>57053.81</v>
      </c>
      <c r="Q48" s="145"/>
      <c r="R48" s="145" t="s">
        <v>2564</v>
      </c>
      <c r="S48" s="145"/>
      <c r="T48" s="146" t="s">
        <v>3137</v>
      </c>
      <c r="U48" s="147"/>
      <c r="V48" s="147"/>
      <c r="W48" s="147"/>
      <c r="AA48" s="81"/>
      <c r="AB48" s="117"/>
      <c r="AC48" s="118"/>
      <c r="AD48" s="119"/>
      <c r="AE48" s="108"/>
      <c r="AF48" s="139"/>
      <c r="AG48" s="148" t="str">
        <f t="shared" si="17"/>
        <v>не совпадает</v>
      </c>
      <c r="AH48" s="175">
        <f>IFERROR(VLOOKUP($S48,'[27]3.1.1 -реестр исполненных'!$C$10:$I$201,7,FALSE),"")</f>
        <v>0</v>
      </c>
      <c r="AI48" s="117"/>
      <c r="AJ48" s="118"/>
      <c r="AK48" s="119"/>
      <c r="AL48" s="108"/>
      <c r="AM48" s="81"/>
      <c r="AN48" s="82"/>
      <c r="AO48" s="82"/>
      <c r="AP48" s="82"/>
      <c r="AQ48" s="427"/>
      <c r="AR48" s="83"/>
      <c r="AS48" s="82"/>
      <c r="AT48" s="1104"/>
      <c r="AU48" s="85"/>
      <c r="AV48" s="82"/>
      <c r="AW48" s="82"/>
      <c r="AX48" s="82" t="str">
        <f t="shared" si="16"/>
        <v/>
      </c>
      <c r="AY48" s="82"/>
      <c r="AZ48" s="153"/>
      <c r="BA48" s="82"/>
      <c r="BB48" s="82"/>
      <c r="BC48" s="154" t="e">
        <f>#REF!</f>
        <v>#REF!</v>
      </c>
      <c r="BD48" s="155" t="e">
        <f>BC48*F48*$BD$6</f>
        <v>#REF!</v>
      </c>
      <c r="BE48" s="155" t="e">
        <f>BD48/F48</f>
        <v>#REF!</v>
      </c>
      <c r="BF48" s="82"/>
      <c r="BH48" s="175">
        <f>IFERROR(VLOOKUP($S48,'[27]3.1.1 -реестр исполненных'!$C$10:$I$201,7,FALSE),"")</f>
        <v>0</v>
      </c>
    </row>
    <row r="49" spans="1:60" ht="38.25">
      <c r="A49" s="76">
        <f t="shared" ref="A49:A52" si="65">IF(C49="","",1)</f>
        <v>1</v>
      </c>
      <c r="B49" s="190">
        <f>IF(A49="","",SUM($A$12:A49))</f>
        <v>30</v>
      </c>
      <c r="C49" s="157" t="s">
        <v>2769</v>
      </c>
      <c r="D49" s="158" t="str">
        <f>IF(AF49=0,"",AF49)</f>
        <v>4кв 2017</v>
      </c>
      <c r="E49" s="159">
        <v>0.4</v>
      </c>
      <c r="F49" s="160">
        <v>0.08</v>
      </c>
      <c r="G49" s="194">
        <v>4.3</v>
      </c>
      <c r="H49" s="194"/>
      <c r="I49" s="194"/>
      <c r="J49" s="194"/>
      <c r="K49" s="194"/>
      <c r="L49" s="157"/>
      <c r="M49" s="157"/>
      <c r="N49" s="157"/>
      <c r="O49" s="157">
        <v>57.053809999999999</v>
      </c>
      <c r="P49" s="163">
        <v>57053.81</v>
      </c>
      <c r="Q49" s="164"/>
      <c r="R49" s="165" t="s">
        <v>2564</v>
      </c>
      <c r="S49" s="166" t="s">
        <v>2770</v>
      </c>
      <c r="T49" s="167" t="s">
        <v>3151</v>
      </c>
      <c r="U49" s="168">
        <f>[26]ТП2017!$K$49*1000</f>
        <v>57053.81</v>
      </c>
      <c r="V49" s="168" t="b">
        <f>U49=P49</f>
        <v>1</v>
      </c>
      <c r="W49" s="168" t="s">
        <v>2950</v>
      </c>
      <c r="X49" s="76" t="s">
        <v>2519</v>
      </c>
      <c r="Y49" s="174" t="str">
        <f>IF(X49="","",$C$9)</f>
        <v>ВЛ-0,4 до 15 кВт (льгота)</v>
      </c>
      <c r="Z49" s="174" t="str">
        <f>IF(X49="","",CONCATENATE(Y49,"-",X49,"; ",$T$48))</f>
        <v>ВЛ-0,4 до 15 кВт (льгота)-н.п.; Неизолир. сталеалюм. до 50 мм</v>
      </c>
      <c r="AA49" s="134"/>
      <c r="AB49" s="170">
        <f>O49</f>
        <v>57.053809999999999</v>
      </c>
      <c r="AC49" s="171">
        <f>(I49+H49)</f>
        <v>0</v>
      </c>
      <c r="AD49" s="172">
        <f>K49</f>
        <v>0</v>
      </c>
      <c r="AE49" s="152">
        <f t="shared" ref="AE49:AE50" si="66">AB49+AC49+AD49</f>
        <v>57.053809999999999</v>
      </c>
      <c r="AF49" s="139" t="s">
        <v>2697</v>
      </c>
      <c r="AG49" s="148">
        <f t="shared" si="17"/>
        <v>4.2</v>
      </c>
      <c r="AH49" s="175" t="str">
        <f>IFERROR(VLOOKUP($S49,'[27]3.1.1 -реестр исполненных'!$C$10:$I$201,7,FALSE),"")</f>
        <v/>
      </c>
      <c r="AI49" s="200">
        <f t="shared" ref="AI49:AK56" si="67">IF(ISERROR(AB49/$AG49),"",AB49/$AG49)</f>
        <v>13.584240476190475</v>
      </c>
      <c r="AJ49" s="201">
        <f t="shared" si="67"/>
        <v>0</v>
      </c>
      <c r="AK49" s="202">
        <f t="shared" si="67"/>
        <v>0</v>
      </c>
      <c r="AL49" s="152">
        <f>SUM(AI49,AJ49,AK49)</f>
        <v>13.584240476190475</v>
      </c>
      <c r="AQ49" s="427">
        <v>34</v>
      </c>
      <c r="AS49" s="82">
        <f t="shared" ref="AS49:AS53" si="68">IF(B49="","",IF(P49=SUM(H49,I49,K49,O49),"ИСТИНА",P49-SUM(H49,I49,K49,O49)))</f>
        <v>56996.75619</v>
      </c>
      <c r="AT49" s="1104" t="s">
        <v>2771</v>
      </c>
      <c r="AX49" s="82">
        <f t="shared" si="16"/>
        <v>57053.81</v>
      </c>
      <c r="BH49" s="175" t="str">
        <f>IFERROR(VLOOKUP($S49,'[27]3.1.1 -реестр исполненных'!$C$10:$I$201,7,FALSE),"")</f>
        <v/>
      </c>
    </row>
    <row r="50" spans="1:60" ht="38.25">
      <c r="A50" s="76" t="str">
        <f>IF(C50="","",1)</f>
        <v/>
      </c>
      <c r="B50" s="190" t="str">
        <f>IF(A50="","",SUM($A$12:A50))</f>
        <v/>
      </c>
      <c r="C50" s="157"/>
      <c r="D50" s="435"/>
      <c r="E50" s="159">
        <v>0.4</v>
      </c>
      <c r="F50" s="160"/>
      <c r="G50" s="194"/>
      <c r="H50" s="194"/>
      <c r="I50" s="194"/>
      <c r="J50" s="194"/>
      <c r="K50" s="194"/>
      <c r="L50" s="157"/>
      <c r="M50" s="157"/>
      <c r="N50" s="157"/>
      <c r="O50" s="157"/>
      <c r="P50" s="163"/>
      <c r="Q50" s="164"/>
      <c r="R50" s="165" t="s">
        <v>2564</v>
      </c>
      <c r="S50" s="166"/>
      <c r="T50" s="167" t="s">
        <v>2580</v>
      </c>
      <c r="U50" s="168"/>
      <c r="V50" s="168"/>
      <c r="W50" s="168"/>
      <c r="X50" s="76" t="s">
        <v>2517</v>
      </c>
      <c r="Y50" s="174" t="str">
        <f>IF(X50="","",$C$9)</f>
        <v>ВЛ-0,4 до 15 кВт (льгота)</v>
      </c>
      <c r="Z50" s="174" t="str">
        <f>IF(X50="","",CONCATENATE(Y50,"-",X50,"; ",$T$48))</f>
        <v>ВЛ-0,4 до 15 кВт (льгота)-за границей н.п.; Неизолир. сталеалюм. до 50 мм</v>
      </c>
      <c r="AA50" s="134"/>
      <c r="AB50" s="170">
        <f>O50</f>
        <v>0</v>
      </c>
      <c r="AC50" s="171">
        <f>(I50+H50)</f>
        <v>0</v>
      </c>
      <c r="AD50" s="172">
        <f>K50</f>
        <v>0</v>
      </c>
      <c r="AE50" s="152">
        <f t="shared" si="66"/>
        <v>0</v>
      </c>
      <c r="AF50" s="139"/>
      <c r="AG50" s="148" t="str">
        <f t="shared" si="17"/>
        <v>не совпадает</v>
      </c>
      <c r="AH50" s="175"/>
      <c r="AI50" s="200" t="str">
        <f t="shared" si="67"/>
        <v/>
      </c>
      <c r="AJ50" s="201" t="str">
        <f t="shared" si="67"/>
        <v/>
      </c>
      <c r="AK50" s="202" t="str">
        <f t="shared" si="67"/>
        <v/>
      </c>
      <c r="AL50" s="152">
        <f>SUM(AI50,AJ50,AK50)</f>
        <v>0</v>
      </c>
      <c r="AQ50" s="427"/>
      <c r="AS50" s="82" t="str">
        <f t="shared" si="68"/>
        <v/>
      </c>
      <c r="AT50" s="1104"/>
      <c r="AX50" s="82" t="str">
        <f t="shared" si="16"/>
        <v/>
      </c>
      <c r="BH50" s="175"/>
    </row>
    <row r="51" spans="1:60" ht="15.75">
      <c r="A51" s="76" t="str">
        <f t="shared" si="65"/>
        <v/>
      </c>
      <c r="B51" s="190" t="str">
        <f>IF(A51="","",SUM($A$12:A51))</f>
        <v/>
      </c>
      <c r="C51" s="428"/>
      <c r="D51" s="435"/>
      <c r="E51" s="436"/>
      <c r="F51" s="429"/>
      <c r="G51" s="314"/>
      <c r="H51" s="314"/>
      <c r="I51" s="314"/>
      <c r="J51" s="314"/>
      <c r="K51" s="314"/>
      <c r="L51" s="428"/>
      <c r="M51" s="428"/>
      <c r="N51" s="428"/>
      <c r="O51" s="428"/>
      <c r="P51" s="432"/>
      <c r="Q51" s="433"/>
      <c r="R51" s="445"/>
      <c r="S51" s="434"/>
      <c r="T51" s="446"/>
      <c r="U51" s="168"/>
      <c r="V51" s="168"/>
      <c r="W51" s="168"/>
      <c r="Y51" s="174"/>
      <c r="Z51" s="174"/>
      <c r="AA51" s="134"/>
      <c r="AB51" s="437"/>
      <c r="AC51" s="438"/>
      <c r="AD51" s="439"/>
      <c r="AE51" s="440"/>
      <c r="AF51" s="441"/>
      <c r="AG51" s="148" t="str">
        <f t="shared" si="17"/>
        <v>не совпадает</v>
      </c>
      <c r="AH51" s="175"/>
      <c r="AI51" s="442"/>
      <c r="AJ51" s="443"/>
      <c r="AK51" s="444"/>
      <c r="AL51" s="440"/>
      <c r="AQ51" s="427"/>
      <c r="AS51" s="82" t="str">
        <f t="shared" si="68"/>
        <v/>
      </c>
      <c r="AT51" s="1104"/>
      <c r="AX51" s="82" t="str">
        <f t="shared" si="16"/>
        <v/>
      </c>
      <c r="BH51" s="175"/>
    </row>
    <row r="52" spans="1:60" ht="15.75">
      <c r="A52" s="76" t="str">
        <f t="shared" si="65"/>
        <v/>
      </c>
      <c r="B52" s="190" t="str">
        <f>IF(A52="","",SUM($A$12:A52))</f>
        <v/>
      </c>
      <c r="C52" s="428"/>
      <c r="D52" s="435"/>
      <c r="E52" s="436"/>
      <c r="F52" s="429"/>
      <c r="G52" s="314"/>
      <c r="H52" s="314"/>
      <c r="I52" s="314"/>
      <c r="J52" s="314"/>
      <c r="K52" s="314"/>
      <c r="L52" s="428"/>
      <c r="M52" s="428"/>
      <c r="N52" s="428"/>
      <c r="O52" s="428"/>
      <c r="P52" s="432"/>
      <c r="Q52" s="433"/>
      <c r="R52" s="445"/>
      <c r="S52" s="434"/>
      <c r="T52" s="446"/>
      <c r="U52" s="168"/>
      <c r="V52" s="168"/>
      <c r="W52" s="168"/>
      <c r="Y52" s="174"/>
      <c r="Z52" s="174"/>
      <c r="AA52" s="134"/>
      <c r="AB52" s="437"/>
      <c r="AC52" s="438"/>
      <c r="AD52" s="439"/>
      <c r="AE52" s="440"/>
      <c r="AF52" s="441"/>
      <c r="AG52" s="148" t="str">
        <f t="shared" si="17"/>
        <v>не совпадает</v>
      </c>
      <c r="AH52" s="175"/>
      <c r="AI52" s="442"/>
      <c r="AJ52" s="443"/>
      <c r="AK52" s="444"/>
      <c r="AL52" s="440"/>
      <c r="AQ52" s="427"/>
      <c r="AS52" s="82" t="str">
        <f t="shared" si="68"/>
        <v/>
      </c>
      <c r="AT52" s="1104"/>
      <c r="AX52" s="82" t="str">
        <f t="shared" si="16"/>
        <v/>
      </c>
      <c r="BH52" s="175"/>
    </row>
    <row r="53" spans="1:60" ht="25.5">
      <c r="A53" s="76" t="str">
        <f t="shared" ref="A53" si="69">IF(C53="","",1)</f>
        <v/>
      </c>
      <c r="B53" s="179" t="str">
        <f>IF(A53="","",SUM($A$12:A53))</f>
        <v/>
      </c>
      <c r="C53" s="180"/>
      <c r="D53" s="158" t="str">
        <f>IF(AF53=0,"",AF53)</f>
        <v/>
      </c>
      <c r="E53" s="159">
        <v>0.4</v>
      </c>
      <c r="F53" s="181"/>
      <c r="G53" s="182"/>
      <c r="H53" s="195"/>
      <c r="I53" s="195"/>
      <c r="J53" s="195"/>
      <c r="K53" s="195"/>
      <c r="L53" s="195"/>
      <c r="M53" s="195"/>
      <c r="N53" s="195"/>
      <c r="O53" s="195"/>
      <c r="P53" s="184"/>
      <c r="Q53" s="185"/>
      <c r="R53" s="186" t="s">
        <v>2564</v>
      </c>
      <c r="S53" s="187"/>
      <c r="T53" s="188" t="s">
        <v>2581</v>
      </c>
      <c r="U53" s="168"/>
      <c r="V53" s="168"/>
      <c r="W53" s="168"/>
      <c r="X53" s="76" t="s">
        <v>2519</v>
      </c>
      <c r="Y53" s="174" t="str">
        <f>IF(X53="","",$C$9)</f>
        <v>ВЛ-0,4 до 15 кВт (льгота)</v>
      </c>
      <c r="Z53" s="174" t="e">
        <f>IF(X53="","",CONCATENATE(Y53,"-",X53,"; ",#REF!))</f>
        <v>#REF!</v>
      </c>
      <c r="AA53" s="134"/>
      <c r="AB53" s="170">
        <f t="shared" ref="AB53" si="70">O53</f>
        <v>0</v>
      </c>
      <c r="AC53" s="171">
        <f t="shared" ref="AC53" si="71">(I53+H53)</f>
        <v>0</v>
      </c>
      <c r="AD53" s="172">
        <f t="shared" ref="AD53" si="72">K53</f>
        <v>0</v>
      </c>
      <c r="AE53" s="152">
        <f t="shared" ref="AE53" si="73">AB53+AC53+AD53</f>
        <v>0</v>
      </c>
      <c r="AF53" s="139"/>
      <c r="AG53" s="148" t="str">
        <f t="shared" si="17"/>
        <v>не совпадает</v>
      </c>
      <c r="AH53" s="175">
        <f>IFERROR(VLOOKUP($S53,'[27]3.1.1 -реестр исполненных'!$C$10:$I$201,7,FALSE),"")</f>
        <v>0</v>
      </c>
      <c r="AI53" s="149" t="str">
        <f t="shared" si="67"/>
        <v/>
      </c>
      <c r="AJ53" s="150" t="str">
        <f t="shared" si="67"/>
        <v/>
      </c>
      <c r="AK53" s="151" t="str">
        <f t="shared" si="67"/>
        <v/>
      </c>
      <c r="AL53" s="152">
        <f>SUM(AI53,AJ53,AK53)</f>
        <v>0</v>
      </c>
      <c r="AQ53" s="427"/>
      <c r="AS53" s="82" t="str">
        <f t="shared" si="68"/>
        <v/>
      </c>
      <c r="AT53" s="1104"/>
      <c r="AX53" s="82" t="str">
        <f t="shared" si="16"/>
        <v/>
      </c>
      <c r="BH53" s="175">
        <f>IFERROR(VLOOKUP($S53,'[27]3.1.1 -реестр исполненных'!$C$10:$I$201,7,FALSE),"")</f>
        <v>0</v>
      </c>
    </row>
    <row r="54" spans="1:60" ht="18.75">
      <c r="B54" s="203">
        <f>MAX(B9:B53)</f>
        <v>30</v>
      </c>
      <c r="C54" s="204" t="str">
        <f>"ИТОГО по "&amp;$C$9&amp;":"</f>
        <v>ИТОГО по ВЛ-0,4 до 15 кВт (льгота):</v>
      </c>
      <c r="D54" s="204"/>
      <c r="E54" s="204"/>
      <c r="F54" s="205">
        <f>SUM(F38,F10)</f>
        <v>3.0420000000000007</v>
      </c>
      <c r="G54" s="205">
        <f t="shared" ref="G54:O54" si="74">SUM(G38,G10)</f>
        <v>222.37000000000003</v>
      </c>
      <c r="H54" s="205">
        <f t="shared" si="74"/>
        <v>0</v>
      </c>
      <c r="I54" s="205">
        <f t="shared" si="74"/>
        <v>0</v>
      </c>
      <c r="J54" s="205">
        <f t="shared" si="74"/>
        <v>0</v>
      </c>
      <c r="K54" s="205">
        <f t="shared" si="74"/>
        <v>825.62225000000012</v>
      </c>
      <c r="L54" s="205">
        <f t="shared" si="74"/>
        <v>0</v>
      </c>
      <c r="M54" s="205">
        <f t="shared" si="74"/>
        <v>0</v>
      </c>
      <c r="N54" s="205">
        <f t="shared" si="74"/>
        <v>0</v>
      </c>
      <c r="O54" s="205">
        <f t="shared" si="74"/>
        <v>1535.1416499999998</v>
      </c>
      <c r="P54" s="205">
        <f>SUM(P38,P10)</f>
        <v>2360763.9</v>
      </c>
      <c r="Q54" s="494"/>
      <c r="R54" s="495"/>
      <c r="S54" s="494"/>
      <c r="T54" s="207"/>
      <c r="U54" s="208"/>
      <c r="V54" s="208"/>
      <c r="W54" s="208"/>
      <c r="Y54" s="174" t="str">
        <f t="shared" ref="Y54:Y55" si="75">IF(X54="","",$C$9)</f>
        <v/>
      </c>
      <c r="Z54" s="174" t="str">
        <f>IF(X54="","",CONCATENATE(Y54,"-",X54,"; ",$T$43))</f>
        <v/>
      </c>
      <c r="AA54" s="134"/>
      <c r="AB54" s="117"/>
      <c r="AC54" s="118"/>
      <c r="AD54" s="119"/>
      <c r="AE54" s="108"/>
      <c r="AF54" s="139"/>
      <c r="AG54" s="148" t="str">
        <f t="shared" si="17"/>
        <v>не совпадает</v>
      </c>
      <c r="AH54" s="175">
        <f>IFERROR(VLOOKUP($S54,'[27]3.1.1 -реестр исполненных'!$C$10:$I$201,7,FALSE),"")</f>
        <v>0</v>
      </c>
      <c r="AI54" s="149" t="str">
        <f t="shared" si="67"/>
        <v/>
      </c>
      <c r="AJ54" s="150" t="str">
        <f t="shared" si="67"/>
        <v/>
      </c>
      <c r="AK54" s="151" t="str">
        <f t="shared" si="67"/>
        <v/>
      </c>
      <c r="AL54" s="152">
        <f t="shared" ref="AL54:AL190" si="76">SUM(AI54,AJ54,AK54)</f>
        <v>0</v>
      </c>
      <c r="AO54" s="209"/>
      <c r="AQ54" s="427"/>
      <c r="AT54" s="1104"/>
      <c r="AX54" s="82" t="str">
        <f t="shared" si="16"/>
        <v/>
      </c>
      <c r="AZ54" s="153"/>
      <c r="BD54" s="210" t="e">
        <f>SUM(BD42:BD53)</f>
        <v>#REF!</v>
      </c>
      <c r="BE54" s="210" t="e">
        <f>BD54/F54</f>
        <v>#REF!</v>
      </c>
      <c r="BH54" s="175">
        <f>IFERROR(VLOOKUP($S54,'[27]3.1.1 -реестр исполненных'!$C$10:$I$201,7,FALSE),"")</f>
        <v>0</v>
      </c>
    </row>
    <row r="55" spans="1:60" ht="15.75">
      <c r="B55" s="211"/>
      <c r="C55" s="212" t="s">
        <v>2582</v>
      </c>
      <c r="D55" s="213"/>
      <c r="E55" s="213"/>
      <c r="F55" s="214">
        <f>SUM(F11,F39,F43,F48)</f>
        <v>3.0420000000000007</v>
      </c>
      <c r="G55" s="214">
        <f t="shared" ref="G55:P55" si="77">SUM(G11,G39,G43,G48)</f>
        <v>222.37000000000003</v>
      </c>
      <c r="H55" s="214">
        <f t="shared" si="77"/>
        <v>0</v>
      </c>
      <c r="I55" s="214">
        <f t="shared" si="77"/>
        <v>0</v>
      </c>
      <c r="J55" s="214">
        <f t="shared" si="77"/>
        <v>0</v>
      </c>
      <c r="K55" s="214">
        <f t="shared" si="77"/>
        <v>825.62225000000012</v>
      </c>
      <c r="L55" s="214">
        <f t="shared" si="77"/>
        <v>0</v>
      </c>
      <c r="M55" s="214">
        <f t="shared" si="77"/>
        <v>0</v>
      </c>
      <c r="N55" s="214">
        <f t="shared" si="77"/>
        <v>0</v>
      </c>
      <c r="O55" s="214">
        <f t="shared" si="77"/>
        <v>1535.14165</v>
      </c>
      <c r="P55" s="214">
        <f t="shared" si="77"/>
        <v>2360763.9</v>
      </c>
      <c r="Q55" s="1437">
        <f>P55+P65+P64+P66</f>
        <v>2905116.5599999996</v>
      </c>
      <c r="R55" s="216"/>
      <c r="S55" s="215"/>
      <c r="T55" s="497"/>
      <c r="U55" s="217"/>
      <c r="V55" s="217"/>
      <c r="W55" s="217"/>
      <c r="Y55" s="174" t="str">
        <f t="shared" si="75"/>
        <v/>
      </c>
      <c r="Z55" s="174" t="str">
        <f>IF(X55="","",CONCATENATE(Y55,"-",X55,"; ",$T$43))</f>
        <v/>
      </c>
      <c r="AA55" s="134"/>
      <c r="AB55" s="117"/>
      <c r="AC55" s="118"/>
      <c r="AD55" s="119"/>
      <c r="AE55" s="108"/>
      <c r="AF55" s="139"/>
      <c r="AG55" s="148" t="str">
        <f t="shared" si="17"/>
        <v>не совпадает</v>
      </c>
      <c r="AH55" s="175">
        <f>IFERROR(VLOOKUP($S55,'[27]3.1.1 -реестр исполненных'!$C$10:$I$201,7,FALSE),"")</f>
        <v>0</v>
      </c>
      <c r="AI55" s="149" t="str">
        <f t="shared" si="67"/>
        <v/>
      </c>
      <c r="AJ55" s="150" t="str">
        <f t="shared" si="67"/>
        <v/>
      </c>
      <c r="AK55" s="151" t="str">
        <f t="shared" si="67"/>
        <v/>
      </c>
      <c r="AL55" s="152">
        <f t="shared" si="76"/>
        <v>0</v>
      </c>
      <c r="AO55" s="209"/>
      <c r="AQ55" s="427"/>
      <c r="AT55" s="1104"/>
      <c r="AX55" s="82" t="str">
        <f t="shared" si="16"/>
        <v/>
      </c>
      <c r="BH55" s="175">
        <f>IFERROR(VLOOKUP($S55,'[27]3.1.1 -реестр исполненных'!$C$10:$I$201,7,FALSE),"")</f>
        <v>0</v>
      </c>
    </row>
    <row r="56" spans="1:60" ht="18.75">
      <c r="B56" s="110" t="s">
        <v>5</v>
      </c>
      <c r="C56" s="111" t="s">
        <v>2583</v>
      </c>
      <c r="D56" s="112"/>
      <c r="E56" s="112"/>
      <c r="F56" s="113">
        <f>SUM(F58,F62)</f>
        <v>0.73299999999999998</v>
      </c>
      <c r="G56" s="113">
        <f t="shared" ref="G56:P56" si="78">SUM(G58,G62)</f>
        <v>47</v>
      </c>
      <c r="H56" s="113">
        <f t="shared" si="78"/>
        <v>0</v>
      </c>
      <c r="I56" s="113">
        <f t="shared" si="78"/>
        <v>0</v>
      </c>
      <c r="J56" s="113">
        <f t="shared" si="78"/>
        <v>0</v>
      </c>
      <c r="K56" s="113">
        <f t="shared" si="78"/>
        <v>233.36069000000001</v>
      </c>
      <c r="L56" s="113">
        <f t="shared" si="78"/>
        <v>0</v>
      </c>
      <c r="M56" s="113">
        <f t="shared" si="78"/>
        <v>0</v>
      </c>
      <c r="N56" s="113">
        <f t="shared" si="78"/>
        <v>0</v>
      </c>
      <c r="O56" s="113">
        <f t="shared" si="78"/>
        <v>310.99197000000004</v>
      </c>
      <c r="P56" s="113">
        <f t="shared" si="78"/>
        <v>648306.92999999993</v>
      </c>
      <c r="Q56" s="112"/>
      <c r="R56" s="112"/>
      <c r="S56" s="112"/>
      <c r="T56" s="115"/>
      <c r="U56" s="116"/>
      <c r="V56" s="116"/>
      <c r="W56" s="116"/>
      <c r="Y56" s="174" t="str">
        <f>IF(X56="","",$C$56)</f>
        <v/>
      </c>
      <c r="Z56" s="174" t="str">
        <f>IF(X56="","",CONCATENATE(Y56,"-",X56,"; ",$T$43))</f>
        <v/>
      </c>
      <c r="AA56" s="134"/>
      <c r="AB56" s="117"/>
      <c r="AC56" s="118"/>
      <c r="AD56" s="119"/>
      <c r="AE56" s="108"/>
      <c r="AF56" s="139"/>
      <c r="AG56" s="148" t="str">
        <f t="shared" si="17"/>
        <v>не совпадает</v>
      </c>
      <c r="AH56" s="175">
        <f>IFERROR(VLOOKUP($S56,'[27]3.1.1 -реестр исполненных'!$C$10:$I$201,7,FALSE),"")</f>
        <v>0</v>
      </c>
      <c r="AI56" s="149" t="str">
        <f t="shared" si="67"/>
        <v/>
      </c>
      <c r="AJ56" s="150" t="str">
        <f t="shared" si="67"/>
        <v/>
      </c>
      <c r="AK56" s="151" t="str">
        <f t="shared" si="67"/>
        <v/>
      </c>
      <c r="AL56" s="152">
        <f t="shared" si="76"/>
        <v>0</v>
      </c>
      <c r="AQ56" s="427"/>
      <c r="AT56" s="1104"/>
      <c r="AX56" s="82" t="str">
        <f t="shared" si="16"/>
        <v/>
      </c>
      <c r="BH56" s="175">
        <f>IFERROR(VLOOKUP($S56,'[27]3.1.1 -реестр исполненных'!$C$10:$I$201,7,FALSE),"")</f>
        <v>0</v>
      </c>
    </row>
    <row r="57" spans="1:60" ht="25.5">
      <c r="A57" s="76" t="str">
        <f t="shared" ref="A57" si="79">IF(C57="","",1)</f>
        <v/>
      </c>
      <c r="B57" s="179" t="str">
        <f>IF(A57="","",SUM($A$57:A57))</f>
        <v/>
      </c>
      <c r="C57" s="180"/>
      <c r="D57" s="158" t="str">
        <f>IF(AF57=0,"",AF57)</f>
        <v/>
      </c>
      <c r="E57" s="159">
        <v>10</v>
      </c>
      <c r="F57" s="221"/>
      <c r="G57" s="182"/>
      <c r="H57" s="183"/>
      <c r="I57" s="183"/>
      <c r="J57" s="183"/>
      <c r="K57" s="183"/>
      <c r="L57" s="183"/>
      <c r="M57" s="183"/>
      <c r="N57" s="183"/>
      <c r="O57" s="183"/>
      <c r="P57" s="184"/>
      <c r="Q57" s="185"/>
      <c r="R57" s="186" t="s">
        <v>2564</v>
      </c>
      <c r="S57" s="166"/>
      <c r="T57" s="187"/>
      <c r="U57" s="220"/>
      <c r="V57" s="220"/>
      <c r="W57" s="220"/>
      <c r="X57" s="76" t="s">
        <v>2517</v>
      </c>
      <c r="Y57" s="174" t="str">
        <f t="shared" ref="Y57" si="80">IF(X57="","",$C$56)</f>
        <v>ВЛ-10 до 15 кВт (льгота)</v>
      </c>
      <c r="Z57" s="174" t="e">
        <f>IF(X57="","",CONCATENATE(Y57,"-",X57,"; ",#REF!))</f>
        <v>#REF!</v>
      </c>
      <c r="AA57" s="134"/>
      <c r="AB57" s="170">
        <f t="shared" ref="AB57" si="81">O57</f>
        <v>0</v>
      </c>
      <c r="AC57" s="171">
        <f t="shared" ref="AC57" si="82">(I57+H57)</f>
        <v>0</v>
      </c>
      <c r="AD57" s="172">
        <f t="shared" ref="AD57" si="83">K57</f>
        <v>0</v>
      </c>
      <c r="AE57" s="152">
        <f t="shared" ref="AE57" si="84">AB57+AC57+AD57</f>
        <v>0</v>
      </c>
      <c r="AF57" s="139"/>
      <c r="AG57" s="148" t="str">
        <f t="shared" ref="AG57:AG113" si="85">IF($AF57="1кв 2017",4.03,IF($AF57="2кв 2017",4.05,IF($AF57="3кв 2017",4.15,IF($AF57="4кв 2017",4.2,"не совпадает"))))</f>
        <v>не совпадает</v>
      </c>
      <c r="AH57" s="175">
        <f>IFERROR(VLOOKUP($S57,'[27]3.1.1 -реестр исполненных'!$C$10:$I$201,7,FALSE),"")</f>
        <v>0</v>
      </c>
      <c r="AI57" s="149" t="str">
        <f t="shared" ref="AI57:AK57" si="86">IF(ISERROR(AB57/$AG57),"",AB57/$AG57)</f>
        <v/>
      </c>
      <c r="AJ57" s="150" t="str">
        <f t="shared" si="86"/>
        <v/>
      </c>
      <c r="AK57" s="151" t="str">
        <f t="shared" si="86"/>
        <v/>
      </c>
      <c r="AL57" s="152">
        <f t="shared" ref="AL57" si="87">SUM(AI57,AJ57,AK57)</f>
        <v>0</v>
      </c>
      <c r="AQ57" s="427"/>
      <c r="AS57" s="82" t="str">
        <f>IF(B57="","",IF(P57=SUM(H57,I57,K57,O57),"ИСТИНА",P57-SUM(H57,I57,K57,O57)))</f>
        <v/>
      </c>
      <c r="AT57" s="1104"/>
      <c r="AX57" s="82" t="str">
        <f t="shared" si="16"/>
        <v/>
      </c>
      <c r="BH57" s="175">
        <f>IFERROR(VLOOKUP($S57,'[27]3.1.1 -реестр исполненных'!$C$10:$I$201,7,FALSE),"")</f>
        <v>0</v>
      </c>
    </row>
    <row r="58" spans="1:60" s="120" customFormat="1" ht="15.75">
      <c r="B58" s="121" t="s">
        <v>2586</v>
      </c>
      <c r="C58" s="122" t="str">
        <f>"Всего по "&amp;T58&amp;" ("&amp;$C$56&amp;"):"</f>
        <v>Всего по Г.Н.П. (ВЛ-10 до 15 кВт (льгота)):</v>
      </c>
      <c r="D58" s="123"/>
      <c r="E58" s="123"/>
      <c r="F58" s="124">
        <f>SUM(F59,)</f>
        <v>0.11</v>
      </c>
      <c r="G58" s="124">
        <f t="shared" ref="G58:P58" si="88">SUM(G59,)</f>
        <v>15</v>
      </c>
      <c r="H58" s="124">
        <f t="shared" si="88"/>
        <v>0</v>
      </c>
      <c r="I58" s="124">
        <f t="shared" si="88"/>
        <v>0</v>
      </c>
      <c r="J58" s="124">
        <f t="shared" si="88"/>
        <v>0</v>
      </c>
      <c r="K58" s="124">
        <f t="shared" si="88"/>
        <v>0</v>
      </c>
      <c r="L58" s="124">
        <f t="shared" si="88"/>
        <v>0</v>
      </c>
      <c r="M58" s="124">
        <f t="shared" si="88"/>
        <v>0</v>
      </c>
      <c r="N58" s="124">
        <f t="shared" si="88"/>
        <v>0</v>
      </c>
      <c r="O58" s="124">
        <f t="shared" si="88"/>
        <v>0</v>
      </c>
      <c r="P58" s="124">
        <f t="shared" si="88"/>
        <v>103954.27</v>
      </c>
      <c r="Q58" s="127"/>
      <c r="R58" s="127"/>
      <c r="S58" s="127"/>
      <c r="T58" s="127" t="s">
        <v>2956</v>
      </c>
      <c r="U58" s="128"/>
      <c r="V58" s="129"/>
      <c r="W58" s="130"/>
      <c r="X58" s="131"/>
      <c r="Y58" s="132"/>
      <c r="Z58" s="133"/>
      <c r="AA58" s="134"/>
      <c r="AB58" s="135"/>
      <c r="AC58" s="136"/>
      <c r="AD58" s="137"/>
      <c r="AE58" s="192"/>
      <c r="AF58" s="193"/>
      <c r="AG58" s="148" t="str">
        <f t="shared" si="85"/>
        <v>не совпадает</v>
      </c>
      <c r="AH58" s="175">
        <f>IFERROR(VLOOKUP($S58,'[27]3.1.1 -реестр исполненных'!$C$10:$I$201,7,FALSE),"")</f>
        <v>0</v>
      </c>
      <c r="AI58" s="117"/>
      <c r="AJ58" s="118"/>
      <c r="AK58" s="119"/>
      <c r="AL58" s="138"/>
      <c r="AM58" s="81"/>
      <c r="AN58" s="82"/>
      <c r="AO58" s="140"/>
      <c r="AP58" s="140"/>
      <c r="AQ58" s="427"/>
      <c r="AR58" s="83"/>
      <c r="AS58" s="140"/>
      <c r="AT58" s="1104"/>
      <c r="AU58" s="85"/>
      <c r="AV58" s="82"/>
      <c r="AW58" s="82"/>
      <c r="AX58" s="82" t="str">
        <f t="shared" si="16"/>
        <v/>
      </c>
      <c r="AY58" s="82"/>
      <c r="AZ58" s="140"/>
      <c r="BA58" s="140"/>
      <c r="BB58" s="140"/>
      <c r="BC58" s="218"/>
      <c r="BD58" s="140"/>
      <c r="BE58" s="140"/>
      <c r="BF58" s="140"/>
      <c r="BH58" s="175">
        <f>IFERROR(VLOOKUP($S58,'[27]3.1.1 -реестр исполненных'!$C$10:$I$201,7,FALSE),"")</f>
        <v>0</v>
      </c>
    </row>
    <row r="59" spans="1:60" s="120" customFormat="1" ht="47.25">
      <c r="B59" s="121" t="s">
        <v>2587</v>
      </c>
      <c r="C59" s="142" t="str">
        <f>"Всего по "&amp;$T$58&amp;"  "&amp;T59&amp;" ("&amp;$C$56&amp;"):"</f>
        <v>Всего по Г.Н.П.  неизолир. сталеалюм. до 50 мм (ВЛ-10 до 15 кВт (льгота)):</v>
      </c>
      <c r="D59" s="143"/>
      <c r="E59" s="143"/>
      <c r="F59" s="1106">
        <f>SUM(F60:F61)</f>
        <v>0.11</v>
      </c>
      <c r="G59" s="1106">
        <f t="shared" ref="G59:P59" si="89">SUM(G60:G61)</f>
        <v>15</v>
      </c>
      <c r="H59" s="1106">
        <f t="shared" si="89"/>
        <v>0</v>
      </c>
      <c r="I59" s="1106">
        <f t="shared" si="89"/>
        <v>0</v>
      </c>
      <c r="J59" s="1106">
        <f t="shared" si="89"/>
        <v>0</v>
      </c>
      <c r="K59" s="1106">
        <f t="shared" si="89"/>
        <v>0</v>
      </c>
      <c r="L59" s="1106">
        <f t="shared" si="89"/>
        <v>0</v>
      </c>
      <c r="M59" s="1106">
        <f t="shared" si="89"/>
        <v>0</v>
      </c>
      <c r="N59" s="1106">
        <f t="shared" si="89"/>
        <v>0</v>
      </c>
      <c r="O59" s="1106">
        <f t="shared" si="89"/>
        <v>0</v>
      </c>
      <c r="P59" s="1106">
        <f t="shared" si="89"/>
        <v>103954.27</v>
      </c>
      <c r="Q59" s="1107"/>
      <c r="R59" s="1107"/>
      <c r="S59" s="1107"/>
      <c r="T59" s="1107" t="s">
        <v>3343</v>
      </c>
      <c r="U59" s="128"/>
      <c r="V59" s="129"/>
      <c r="W59" s="130"/>
      <c r="X59" s="131"/>
      <c r="Y59" s="132"/>
      <c r="Z59" s="133"/>
      <c r="AA59" s="134"/>
      <c r="AB59" s="135"/>
      <c r="AC59" s="136"/>
      <c r="AD59" s="137"/>
      <c r="AE59" s="192"/>
      <c r="AF59" s="193"/>
      <c r="AG59" s="148" t="str">
        <f t="shared" si="85"/>
        <v>не совпадает</v>
      </c>
      <c r="AH59" s="175">
        <f>IFERROR(VLOOKUP($S59,'[27]3.1.1 -реестр исполненных'!$C$10:$I$201,7,FALSE),"")</f>
        <v>0</v>
      </c>
      <c r="AI59" s="117"/>
      <c r="AJ59" s="118"/>
      <c r="AK59" s="119"/>
      <c r="AL59" s="138"/>
      <c r="AM59" s="81"/>
      <c r="AN59" s="82"/>
      <c r="AO59" s="140"/>
      <c r="AP59" s="140"/>
      <c r="AQ59" s="427"/>
      <c r="AR59" s="83"/>
      <c r="AS59" s="140"/>
      <c r="AT59" s="1104"/>
      <c r="AU59" s="85"/>
      <c r="AV59" s="82"/>
      <c r="AW59" s="82"/>
      <c r="AX59" s="82" t="str">
        <f t="shared" si="16"/>
        <v/>
      </c>
      <c r="AY59" s="82"/>
      <c r="AZ59" s="140"/>
      <c r="BA59" s="140"/>
      <c r="BB59" s="140"/>
      <c r="BC59" s="218"/>
      <c r="BD59" s="140"/>
      <c r="BE59" s="140"/>
      <c r="BF59" s="140"/>
      <c r="BH59" s="175">
        <f>IFERROR(VLOOKUP($S59,'[27]3.1.1 -реестр исполненных'!$C$10:$I$201,7,FALSE),"")</f>
        <v>0</v>
      </c>
    </row>
    <row r="60" spans="1:60" ht="38.25">
      <c r="A60" s="76">
        <f t="shared" ref="A60:A61" si="90">IF(C60="","",1)</f>
        <v>1</v>
      </c>
      <c r="B60" s="156">
        <f>IF(A60="","",SUM($A$57:A60))</f>
        <v>1</v>
      </c>
      <c r="C60" s="1445" t="s">
        <v>2751</v>
      </c>
      <c r="D60" s="158" t="str">
        <f t="shared" ref="D60" si="91">IF(AF60=0,"",AF60)</f>
        <v>1кв 2017</v>
      </c>
      <c r="E60" s="159">
        <v>10</v>
      </c>
      <c r="F60" s="458">
        <v>0.11</v>
      </c>
      <c r="G60" s="236">
        <v>15</v>
      </c>
      <c r="H60" s="162"/>
      <c r="I60" s="162"/>
      <c r="J60" s="162"/>
      <c r="K60" s="508"/>
      <c r="L60" s="162"/>
      <c r="M60" s="162"/>
      <c r="N60" s="162"/>
      <c r="O60" s="508"/>
      <c r="P60" s="2949">
        <f>103954.27</f>
        <v>103954.27</v>
      </c>
      <c r="Q60" s="237"/>
      <c r="R60" s="165" t="s">
        <v>2595</v>
      </c>
      <c r="S60" s="166" t="s">
        <v>2752</v>
      </c>
      <c r="T60" s="166" t="s">
        <v>3151</v>
      </c>
      <c r="U60" s="220">
        <f>[26]ТП2017!$J$14*1000</f>
        <v>103954.26999999999</v>
      </c>
      <c r="V60" s="220" t="b">
        <f>U60=P60</f>
        <v>1</v>
      </c>
      <c r="W60" s="220" t="s">
        <v>2950</v>
      </c>
      <c r="X60" s="76" t="s">
        <v>2519</v>
      </c>
      <c r="Y60" s="174" t="str">
        <f t="shared" ref="Y60" si="92">IF(X60="","",$C$87)</f>
        <v>ВЛ-10 до 15 кВт (не льгота)</v>
      </c>
      <c r="Z60" s="174" t="str">
        <f>IF(X60="","",CONCATENATE(Y60,"-",X60,"; ",$T$89))</f>
        <v>ВЛ-10 до 15 кВт (не льгота)-н.п.; неизолир. сталеалюм. до 50 мм</v>
      </c>
      <c r="AA60" s="134"/>
      <c r="AB60" s="170">
        <f t="shared" ref="AB60" si="93">O60</f>
        <v>0</v>
      </c>
      <c r="AC60" s="171">
        <f t="shared" ref="AC60" si="94">(I60+H60)</f>
        <v>0</v>
      </c>
      <c r="AD60" s="172">
        <f t="shared" ref="AD60" si="95">K60</f>
        <v>0</v>
      </c>
      <c r="AE60" s="152">
        <f t="shared" ref="AE60" si="96">AB60+AC60+AD60</f>
        <v>0</v>
      </c>
      <c r="AF60" s="139" t="s">
        <v>2670</v>
      </c>
      <c r="AG60" s="148">
        <f t="shared" si="85"/>
        <v>4.03</v>
      </c>
      <c r="AI60" s="149">
        <f t="shared" ref="AI60" si="97">IF(ISERROR(AB60/$AG60),"",AB60/$AG60)</f>
        <v>0</v>
      </c>
      <c r="AJ60" s="150">
        <f t="shared" ref="AJ60" si="98">IF(ISERROR(AC60/$AG60),"",AC60/$AG60)</f>
        <v>0</v>
      </c>
      <c r="AK60" s="151">
        <f t="shared" ref="AK60" si="99">IF(ISERROR(AD60/$AG60),"",AD60/$AG60)</f>
        <v>0</v>
      </c>
      <c r="AL60" s="152">
        <f t="shared" ref="AL60" si="100">SUM(AI60,AJ60,AK60)</f>
        <v>0</v>
      </c>
      <c r="AO60" s="209"/>
      <c r="AQ60" s="427">
        <v>3</v>
      </c>
      <c r="AS60" s="82">
        <f>IF(B60="","",IF(P60=SUM(H60,I60,K60,O60),"ИСТИНА",P60-SUM(H60,I60,K60,O60)))</f>
        <v>103954.27</v>
      </c>
      <c r="AT60" s="1105" t="s">
        <v>3661</v>
      </c>
      <c r="AX60" s="82">
        <f t="shared" si="16"/>
        <v>103954.27</v>
      </c>
      <c r="BH60" s="175"/>
    </row>
    <row r="61" spans="1:60" ht="15.75">
      <c r="A61" s="76" t="str">
        <f t="shared" si="90"/>
        <v/>
      </c>
      <c r="B61" s="156" t="str">
        <f>IF(A61="","",SUM($A$57:A61))</f>
        <v/>
      </c>
      <c r="C61" s="447"/>
      <c r="D61" s="158"/>
      <c r="E61" s="159"/>
      <c r="F61" s="448"/>
      <c r="G61" s="197"/>
      <c r="H61" s="449"/>
      <c r="I61" s="449"/>
      <c r="J61" s="449"/>
      <c r="K61" s="449"/>
      <c r="L61" s="449"/>
      <c r="M61" s="449"/>
      <c r="N61" s="449"/>
      <c r="O61" s="449"/>
      <c r="P61" s="450"/>
      <c r="Q61" s="451"/>
      <c r="R61" s="165"/>
      <c r="S61" s="452"/>
      <c r="T61" s="166"/>
      <c r="U61" s="220"/>
      <c r="V61" s="220"/>
      <c r="W61" s="220"/>
      <c r="Y61" s="174"/>
      <c r="Z61" s="174"/>
      <c r="AA61" s="134"/>
      <c r="AB61" s="170"/>
      <c r="AC61" s="171"/>
      <c r="AD61" s="172"/>
      <c r="AE61" s="152"/>
      <c r="AF61" s="139"/>
      <c r="AG61" s="148"/>
      <c r="AH61" s="175"/>
      <c r="AI61" s="149"/>
      <c r="AJ61" s="150"/>
      <c r="AK61" s="151"/>
      <c r="AL61" s="152"/>
      <c r="AQ61" s="427" t="s">
        <v>2567</v>
      </c>
      <c r="AS61" s="82" t="str">
        <f>IF(B61="","",IF(P61=SUM(H61,I61,K61,O61),"ИСТИНА",P61-SUM(H61,I61,K61,O61)))</f>
        <v/>
      </c>
      <c r="AT61" s="1104" t="s">
        <v>2755</v>
      </c>
      <c r="AX61" s="82">
        <f t="shared" si="16"/>
        <v>0</v>
      </c>
      <c r="BH61" s="175"/>
    </row>
    <row r="62" spans="1:60" s="120" customFormat="1" ht="15.75">
      <c r="B62" s="121" t="s">
        <v>2588</v>
      </c>
      <c r="C62" s="142" t="str">
        <f>"Всего по "&amp;T62&amp;" ("&amp;$C$56&amp;"):"</f>
        <v>Всего по  вне Г.Н.П. (ВЛ-10 до 15 кВт (льгота)):</v>
      </c>
      <c r="D62" s="143"/>
      <c r="E62" s="143"/>
      <c r="F62" s="124">
        <f>SUM(F63)</f>
        <v>0.623</v>
      </c>
      <c r="G62" s="124">
        <f t="shared" ref="G62:P62" si="101">SUM(G63)</f>
        <v>32</v>
      </c>
      <c r="H62" s="124">
        <f t="shared" si="101"/>
        <v>0</v>
      </c>
      <c r="I62" s="124">
        <f t="shared" si="101"/>
        <v>0</v>
      </c>
      <c r="J62" s="124">
        <f t="shared" si="101"/>
        <v>0</v>
      </c>
      <c r="K62" s="124">
        <f t="shared" si="101"/>
        <v>233.36069000000001</v>
      </c>
      <c r="L62" s="124">
        <f t="shared" si="101"/>
        <v>0</v>
      </c>
      <c r="M62" s="124">
        <f t="shared" si="101"/>
        <v>0</v>
      </c>
      <c r="N62" s="124">
        <f t="shared" si="101"/>
        <v>0</v>
      </c>
      <c r="O62" s="124">
        <f t="shared" si="101"/>
        <v>310.99197000000004</v>
      </c>
      <c r="P62" s="124">
        <f t="shared" si="101"/>
        <v>544352.65999999992</v>
      </c>
      <c r="Q62" s="127"/>
      <c r="R62" s="127"/>
      <c r="S62" s="127"/>
      <c r="T62" s="127" t="s">
        <v>3344</v>
      </c>
      <c r="U62" s="128"/>
      <c r="V62" s="129"/>
      <c r="W62" s="130"/>
      <c r="X62" s="131"/>
      <c r="Y62" s="132"/>
      <c r="Z62" s="133"/>
      <c r="AA62" s="134"/>
      <c r="AB62" s="135"/>
      <c r="AC62" s="136"/>
      <c r="AD62" s="137"/>
      <c r="AE62" s="192"/>
      <c r="AF62" s="193"/>
      <c r="AG62" s="148" t="str">
        <f t="shared" si="85"/>
        <v>не совпадает</v>
      </c>
      <c r="AH62" s="175">
        <f>IFERROR(VLOOKUP($S62,'[27]3.1.1 -реестр исполненных'!$C$10:$I$201,7,FALSE),"")</f>
        <v>0</v>
      </c>
      <c r="AI62" s="117"/>
      <c r="AJ62" s="118"/>
      <c r="AK62" s="119"/>
      <c r="AL62" s="138"/>
      <c r="AM62" s="81"/>
      <c r="AN62" s="82"/>
      <c r="AO62" s="140"/>
      <c r="AP62" s="140"/>
      <c r="AQ62" s="427"/>
      <c r="AR62" s="83"/>
      <c r="AS62" s="140"/>
      <c r="AT62" s="1104"/>
      <c r="AU62" s="85"/>
      <c r="AV62" s="82"/>
      <c r="AW62" s="82"/>
      <c r="AX62" s="82" t="str">
        <f t="shared" si="16"/>
        <v/>
      </c>
      <c r="AY62" s="82"/>
      <c r="AZ62" s="140"/>
      <c r="BA62" s="140"/>
      <c r="BB62" s="140"/>
      <c r="BC62" s="218"/>
      <c r="BD62" s="140"/>
      <c r="BE62" s="140"/>
      <c r="BF62" s="140"/>
      <c r="BH62" s="175">
        <f>IFERROR(VLOOKUP($S62,'[27]3.1.1 -реестр исполненных'!$C$10:$I$201,7,FALSE),"")</f>
        <v>0</v>
      </c>
    </row>
    <row r="63" spans="1:60" s="94" customFormat="1" ht="31.5">
      <c r="B63" s="121" t="s">
        <v>2589</v>
      </c>
      <c r="C63" s="144" t="str">
        <f>"Всего по "&amp;$T$62&amp;""&amp;T63&amp;" ("&amp;$C$56&amp;"):"</f>
        <v>Всего по  вне Г.Н.П.неизолир. сталеалюм. до 50 мм (ВЛ-10 до 15 кВт (льгота)):</v>
      </c>
      <c r="D63" s="144"/>
      <c r="E63" s="144"/>
      <c r="F63" s="177">
        <f>SUM(F64:F66)</f>
        <v>0.623</v>
      </c>
      <c r="G63" s="177">
        <f t="shared" ref="G63:P63" si="102">SUM(G64:G66)</f>
        <v>32</v>
      </c>
      <c r="H63" s="177">
        <f t="shared" si="102"/>
        <v>0</v>
      </c>
      <c r="I63" s="177">
        <f t="shared" si="102"/>
        <v>0</v>
      </c>
      <c r="J63" s="177">
        <f t="shared" si="102"/>
        <v>0</v>
      </c>
      <c r="K63" s="177">
        <f t="shared" si="102"/>
        <v>233.36069000000001</v>
      </c>
      <c r="L63" s="177">
        <f t="shared" si="102"/>
        <v>0</v>
      </c>
      <c r="M63" s="177">
        <f t="shared" si="102"/>
        <v>0</v>
      </c>
      <c r="N63" s="177">
        <f t="shared" si="102"/>
        <v>0</v>
      </c>
      <c r="O63" s="177">
        <f t="shared" si="102"/>
        <v>310.99197000000004</v>
      </c>
      <c r="P63" s="177">
        <f t="shared" si="102"/>
        <v>544352.65999999992</v>
      </c>
      <c r="Q63" s="145"/>
      <c r="R63" s="145" t="s">
        <v>2564</v>
      </c>
      <c r="S63" s="145"/>
      <c r="T63" s="146" t="s">
        <v>3343</v>
      </c>
      <c r="U63" s="147"/>
      <c r="V63" s="147"/>
      <c r="W63" s="147"/>
      <c r="Y63" s="174" t="str">
        <f t="shared" ref="Y63" si="103">IF(X63="","",$C$56)</f>
        <v/>
      </c>
      <c r="Z63" s="174" t="str">
        <f>IF(X63="","",CONCATENATE(Y63,"-",X63,"; ",#REF!))</f>
        <v/>
      </c>
      <c r="AA63" s="134"/>
      <c r="AB63" s="117"/>
      <c r="AC63" s="118"/>
      <c r="AD63" s="119"/>
      <c r="AE63" s="108"/>
      <c r="AF63" s="139"/>
      <c r="AG63" s="148" t="str">
        <f t="shared" si="85"/>
        <v>не совпадает</v>
      </c>
      <c r="AH63" s="175">
        <f>IFERROR(VLOOKUP($S63,'[27]3.1.1 -реестр исполненных'!$C$10:$I$201,7,FALSE),"")</f>
        <v>0</v>
      </c>
      <c r="AI63" s="149" t="str">
        <f t="shared" ref="AI63:AK71" si="104">IF(ISERROR(AB63/$AG63),"",AB63/$AG63)</f>
        <v/>
      </c>
      <c r="AJ63" s="150" t="str">
        <f t="shared" si="104"/>
        <v/>
      </c>
      <c r="AK63" s="151" t="str">
        <f t="shared" si="104"/>
        <v/>
      </c>
      <c r="AL63" s="152">
        <f t="shared" ref="AL63:AL66" si="105">SUM(AI63,AJ63,AK63)</f>
        <v>0</v>
      </c>
      <c r="AM63" s="81"/>
      <c r="AN63" s="82"/>
      <c r="AO63" s="82"/>
      <c r="AP63" s="82"/>
      <c r="AQ63" s="427"/>
      <c r="AR63" s="83"/>
      <c r="AS63" s="82"/>
      <c r="AT63" s="1104"/>
      <c r="AU63" s="85"/>
      <c r="AV63" s="82"/>
      <c r="AW63" s="82"/>
      <c r="AX63" s="82" t="str">
        <f t="shared" si="16"/>
        <v/>
      </c>
      <c r="AY63" s="82"/>
      <c r="AZ63" s="82"/>
      <c r="BA63" s="82"/>
      <c r="BB63" s="82"/>
      <c r="BC63" s="154" t="e">
        <f>#REF!</f>
        <v>#REF!</v>
      </c>
      <c r="BD63" s="155" t="e">
        <f>BC63*F63*$BD$6</f>
        <v>#REF!</v>
      </c>
      <c r="BE63" s="155" t="e">
        <f>BD63/F63</f>
        <v>#REF!</v>
      </c>
      <c r="BF63" s="82"/>
      <c r="BH63" s="175">
        <f>IFERROR(VLOOKUP($S63,'[27]3.1.1 -реестр исполненных'!$C$10:$I$201,7,FALSE),"")</f>
        <v>0</v>
      </c>
    </row>
    <row r="64" spans="1:60" ht="38.25">
      <c r="A64" s="76">
        <f t="shared" ref="A64:A66" si="106">IF(C64="","",1)</f>
        <v>1</v>
      </c>
      <c r="B64" s="190">
        <f>IF(A64="","",SUM($A$57:A64))</f>
        <v>2</v>
      </c>
      <c r="C64" s="447" t="s">
        <v>2754</v>
      </c>
      <c r="D64" s="158" t="str">
        <f>IF(AF64=0,"",AF64)</f>
        <v>2кв 2017</v>
      </c>
      <c r="E64" s="159">
        <v>10</v>
      </c>
      <c r="F64" s="448">
        <v>7.2999999999999995E-2</v>
      </c>
      <c r="G64" s="197">
        <v>7</v>
      </c>
      <c r="H64" s="449"/>
      <c r="I64" s="449"/>
      <c r="J64" s="449"/>
      <c r="K64" s="449"/>
      <c r="L64" s="449"/>
      <c r="M64" s="449"/>
      <c r="N64" s="449"/>
      <c r="O64" s="449">
        <v>51.398760000000003</v>
      </c>
      <c r="P64" s="450">
        <v>51398.76</v>
      </c>
      <c r="Q64" s="164"/>
      <c r="R64" s="165" t="s">
        <v>2564</v>
      </c>
      <c r="S64" s="452" t="s">
        <v>2753</v>
      </c>
      <c r="T64" s="166" t="s">
        <v>3151</v>
      </c>
      <c r="U64" s="168">
        <f>[26]ТП2017!$J$15*1000</f>
        <v>51398.76</v>
      </c>
      <c r="V64" s="220" t="b">
        <f>U64=P64</f>
        <v>1</v>
      </c>
      <c r="W64" s="220" t="s">
        <v>2950</v>
      </c>
      <c r="X64" s="76" t="s">
        <v>2517</v>
      </c>
      <c r="Y64" s="174" t="str">
        <f>IF(X64="","",$C$9)</f>
        <v>ВЛ-0,4 до 15 кВт (льгота)</v>
      </c>
      <c r="Z64" s="174" t="str">
        <f>IF(X64="","",CONCATENATE(Y64,"-",X64,"; ",$T$63))</f>
        <v>ВЛ-0,4 до 15 кВт (льгота)-за границей н.п.; неизолир. сталеалюм. до 50 мм</v>
      </c>
      <c r="AA64" s="134"/>
      <c r="AB64" s="170">
        <f t="shared" ref="AB64:AB66" si="107">O64</f>
        <v>51.398760000000003</v>
      </c>
      <c r="AC64" s="171">
        <f t="shared" ref="AC64:AC66" si="108">(I64+H64)</f>
        <v>0</v>
      </c>
      <c r="AD64" s="172">
        <f t="shared" ref="AD64:AD66" si="109">K64</f>
        <v>0</v>
      </c>
      <c r="AE64" s="152">
        <f t="shared" ref="AE64:AE66" si="110">AB64+AC64+AD64</f>
        <v>51.398760000000003</v>
      </c>
      <c r="AF64" s="139" t="s">
        <v>2675</v>
      </c>
      <c r="AG64" s="148">
        <f t="shared" si="85"/>
        <v>4.05</v>
      </c>
      <c r="AH64" s="175"/>
      <c r="AI64" s="149">
        <f t="shared" si="104"/>
        <v>12.691051851851853</v>
      </c>
      <c r="AJ64" s="150">
        <f t="shared" si="104"/>
        <v>0</v>
      </c>
      <c r="AK64" s="151">
        <f t="shared" si="104"/>
        <v>0</v>
      </c>
      <c r="AL64" s="152">
        <f t="shared" si="105"/>
        <v>12.691051851851853</v>
      </c>
      <c r="AQ64" s="427" t="s">
        <v>2567</v>
      </c>
      <c r="AS64" s="82">
        <f>IF(B64="","",IF(P64=SUM(H64,I64,K64,O64),"ИСТИНА",P64-SUM(H64,I64,K64,O64)))</f>
        <v>51347.361240000006</v>
      </c>
      <c r="AT64" s="1104" t="s">
        <v>2755</v>
      </c>
      <c r="AV64" s="198"/>
      <c r="AW64" s="199"/>
      <c r="AX64" s="82">
        <f t="shared" si="16"/>
        <v>51398.76</v>
      </c>
      <c r="BH64" s="175" t="str">
        <f>IFERROR(VLOOKUP($S64,'[27]3.1.1 -реестр исполненных'!$C$10:$I$201,7,FALSE),"")</f>
        <v/>
      </c>
    </row>
    <row r="65" spans="1:60" ht="38.25">
      <c r="A65" s="76">
        <f t="shared" si="106"/>
        <v>1</v>
      </c>
      <c r="B65" s="190">
        <f>IF(A65="","",SUM($A$57:A65))</f>
        <v>3</v>
      </c>
      <c r="C65" s="447" t="s">
        <v>2756</v>
      </c>
      <c r="D65" s="158" t="str">
        <f t="shared" ref="D65:D66" si="111">IF(AF65=0,"",AF65)</f>
        <v>2кв 2017</v>
      </c>
      <c r="E65" s="159">
        <v>10</v>
      </c>
      <c r="F65" s="448">
        <v>0.25</v>
      </c>
      <c r="G65" s="197">
        <v>15</v>
      </c>
      <c r="H65" s="449"/>
      <c r="I65" s="449"/>
      <c r="J65" s="449"/>
      <c r="K65" s="449">
        <v>16.01999</v>
      </c>
      <c r="L65" s="449"/>
      <c r="M65" s="449"/>
      <c r="N65" s="449"/>
      <c r="O65" s="449">
        <v>130.57906</v>
      </c>
      <c r="P65" s="163">
        <v>146599.04999999999</v>
      </c>
      <c r="Q65" s="451"/>
      <c r="R65" s="165" t="s">
        <v>2564</v>
      </c>
      <c r="S65" s="452" t="s">
        <v>2757</v>
      </c>
      <c r="T65" s="166" t="s">
        <v>3151</v>
      </c>
      <c r="U65" s="168">
        <f>[26]ТП2017!$J$16*1000</f>
        <v>146599.05000000002</v>
      </c>
      <c r="V65" s="220" t="b">
        <f>U65=P65</f>
        <v>1</v>
      </c>
      <c r="W65" s="220" t="s">
        <v>2950</v>
      </c>
      <c r="X65" s="76" t="s">
        <v>2517</v>
      </c>
      <c r="Y65" s="174" t="str">
        <f>IF(X65="","",$C$9)</f>
        <v>ВЛ-0,4 до 15 кВт (льгота)</v>
      </c>
      <c r="Z65" s="174" t="str">
        <f>IF(X65="","",CONCATENATE(Y65,"-",X65,"; ",$T$63))</f>
        <v>ВЛ-0,4 до 15 кВт (льгота)-за границей н.п.; неизолир. сталеалюм. до 50 мм</v>
      </c>
      <c r="AA65" s="134"/>
      <c r="AB65" s="170">
        <f t="shared" si="107"/>
        <v>130.57906</v>
      </c>
      <c r="AC65" s="171">
        <f t="shared" si="108"/>
        <v>0</v>
      </c>
      <c r="AD65" s="172">
        <f t="shared" si="109"/>
        <v>16.01999</v>
      </c>
      <c r="AE65" s="152">
        <f t="shared" si="110"/>
        <v>146.59905000000001</v>
      </c>
      <c r="AF65" s="139" t="s">
        <v>2675</v>
      </c>
      <c r="AG65" s="148">
        <f t="shared" si="85"/>
        <v>4.05</v>
      </c>
      <c r="AH65" s="175"/>
      <c r="AI65" s="149">
        <f t="shared" si="104"/>
        <v>32.241743209876546</v>
      </c>
      <c r="AJ65" s="150">
        <f t="shared" si="104"/>
        <v>0</v>
      </c>
      <c r="AK65" s="151">
        <f t="shared" si="104"/>
        <v>3.9555530864197532</v>
      </c>
      <c r="AL65" s="152">
        <f t="shared" si="105"/>
        <v>36.197296296296301</v>
      </c>
      <c r="AQ65" s="427">
        <v>9</v>
      </c>
      <c r="AS65" s="82">
        <f>IF(B65="","",IF(P65=SUM(H65,I65,K65,O65),"ИСТИНА",P65-SUM(H65,I65,K65,O65)))</f>
        <v>146452.45095</v>
      </c>
      <c r="AT65" s="1104" t="s">
        <v>2758</v>
      </c>
      <c r="AV65" s="198"/>
      <c r="AW65" s="199"/>
      <c r="AX65" s="82">
        <f t="shared" si="16"/>
        <v>146599.04999999999</v>
      </c>
      <c r="BH65" s="175"/>
    </row>
    <row r="66" spans="1:60" ht="38.25">
      <c r="A66" s="76">
        <f t="shared" si="106"/>
        <v>1</v>
      </c>
      <c r="B66" s="179">
        <f>IF(A66="","",SUM($A$57:A66))</f>
        <v>4</v>
      </c>
      <c r="C66" s="447" t="s">
        <v>2772</v>
      </c>
      <c r="D66" s="511" t="str">
        <f t="shared" si="111"/>
        <v>3кв 2017</v>
      </c>
      <c r="E66" s="512">
        <v>10</v>
      </c>
      <c r="F66" s="221">
        <v>0.3</v>
      </c>
      <c r="G66" s="182">
        <v>10</v>
      </c>
      <c r="H66" s="183"/>
      <c r="I66" s="183"/>
      <c r="J66" s="183"/>
      <c r="K66" s="183">
        <v>217.3407</v>
      </c>
      <c r="L66" s="183"/>
      <c r="M66" s="183"/>
      <c r="N66" s="183"/>
      <c r="O66" s="183">
        <v>129.01415</v>
      </c>
      <c r="P66" s="163">
        <v>346354.85</v>
      </c>
      <c r="Q66" s="185"/>
      <c r="R66" s="186" t="s">
        <v>2564</v>
      </c>
      <c r="S66" s="166" t="s">
        <v>2773</v>
      </c>
      <c r="T66" s="166" t="s">
        <v>3151</v>
      </c>
      <c r="U66" s="220">
        <f>[26]ТП2017!$J$17*1000</f>
        <v>346354.85</v>
      </c>
      <c r="V66" s="220" t="b">
        <f>U66=P66</f>
        <v>1</v>
      </c>
      <c r="W66" s="220" t="s">
        <v>2950</v>
      </c>
      <c r="X66" s="76" t="s">
        <v>2517</v>
      </c>
      <c r="Y66" s="174" t="str">
        <f>IF(X66="","",$C$9)</f>
        <v>ВЛ-0,4 до 15 кВт (льгота)</v>
      </c>
      <c r="Z66" s="174" t="str">
        <f>IF(X66="","",CONCATENATE(Y66,"-",X66,"; ",$T$63))</f>
        <v>ВЛ-0,4 до 15 кВт (льгота)-за границей н.п.; неизолир. сталеалюм. до 50 мм</v>
      </c>
      <c r="AA66" s="134"/>
      <c r="AB66" s="170">
        <f t="shared" si="107"/>
        <v>129.01415</v>
      </c>
      <c r="AC66" s="171">
        <f t="shared" si="108"/>
        <v>0</v>
      </c>
      <c r="AD66" s="172">
        <f t="shared" si="109"/>
        <v>217.3407</v>
      </c>
      <c r="AE66" s="152">
        <f t="shared" si="110"/>
        <v>346.35485</v>
      </c>
      <c r="AF66" s="139" t="s">
        <v>2681</v>
      </c>
      <c r="AG66" s="148">
        <f t="shared" si="85"/>
        <v>4.1500000000000004</v>
      </c>
      <c r="AH66" s="175" t="str">
        <f>IFERROR(VLOOKUP($S66,'[27]3.1.1 -реестр исполненных'!$C$10:$I$201,7,FALSE),"")</f>
        <v/>
      </c>
      <c r="AI66" s="149">
        <f t="shared" si="104"/>
        <v>31.087746987951803</v>
      </c>
      <c r="AJ66" s="150">
        <f t="shared" si="104"/>
        <v>0</v>
      </c>
      <c r="AK66" s="151">
        <f t="shared" si="104"/>
        <v>52.371253012048186</v>
      </c>
      <c r="AL66" s="152">
        <f t="shared" si="105"/>
        <v>83.458999999999989</v>
      </c>
      <c r="AQ66" s="427" t="s">
        <v>2567</v>
      </c>
      <c r="AS66" s="82">
        <f>IF(B66="","",IF(P66=SUM(H66,I66,K66,O66),"ИСТИНА",P66-SUM(H66,I66,K66,O66)))</f>
        <v>346008.49514999997</v>
      </c>
      <c r="AT66" s="1104" t="s">
        <v>2774</v>
      </c>
      <c r="AX66" s="82">
        <f t="shared" si="16"/>
        <v>346354.85</v>
      </c>
      <c r="BH66" s="222" t="str">
        <f>IFERROR(VLOOKUP($S66,'[27]3.1.1 -реестр исполненных'!$C$10:$I$201,7,FALSE),"")</f>
        <v/>
      </c>
    </row>
    <row r="67" spans="1:60" ht="15.75">
      <c r="B67" s="179" t="str">
        <f>IF(A67="","",SUM($A$57:A67))</f>
        <v/>
      </c>
      <c r="C67" s="1447"/>
      <c r="D67" s="1447"/>
      <c r="E67" s="1448"/>
      <c r="F67" s="458"/>
      <c r="G67" s="236"/>
      <c r="H67" s="162"/>
      <c r="I67" s="162"/>
      <c r="J67" s="162"/>
      <c r="K67" s="508"/>
      <c r="L67" s="162"/>
      <c r="M67" s="162"/>
      <c r="N67" s="162"/>
      <c r="O67" s="508"/>
      <c r="P67" s="163"/>
      <c r="Q67" s="237"/>
      <c r="R67" s="165"/>
      <c r="S67" s="166"/>
      <c r="T67" s="166"/>
      <c r="U67" s="220"/>
      <c r="V67" s="220"/>
      <c r="W67" s="220"/>
      <c r="Y67" s="174"/>
      <c r="Z67" s="174"/>
      <c r="AA67" s="134"/>
      <c r="AB67" s="170"/>
      <c r="AC67" s="171"/>
      <c r="AD67" s="172"/>
      <c r="AE67" s="152"/>
      <c r="AF67" s="139"/>
      <c r="AG67" s="148"/>
      <c r="AI67" s="149"/>
      <c r="AJ67" s="150"/>
      <c r="AK67" s="151"/>
      <c r="AL67" s="152"/>
      <c r="AO67" s="209"/>
      <c r="AQ67" s="427"/>
      <c r="AT67" s="1105"/>
      <c r="BH67" s="353"/>
    </row>
    <row r="68" spans="1:60" ht="18.75">
      <c r="B68" s="203">
        <f>MAX(B56:B66)</f>
        <v>4</v>
      </c>
      <c r="C68" s="204" t="str">
        <f>"ИТОГО по "&amp;$C$56&amp;":"</f>
        <v>ИТОГО по ВЛ-10 до 15 кВт (льгота):</v>
      </c>
      <c r="D68" s="204"/>
      <c r="E68" s="204"/>
      <c r="F68" s="205">
        <f>SUM(F62,F58)</f>
        <v>0.73299999999999998</v>
      </c>
      <c r="G68" s="205">
        <f t="shared" ref="G68:P68" si="112">SUM(G62,G58)</f>
        <v>47</v>
      </c>
      <c r="H68" s="205">
        <f t="shared" si="112"/>
        <v>0</v>
      </c>
      <c r="I68" s="205">
        <f t="shared" si="112"/>
        <v>0</v>
      </c>
      <c r="J68" s="205">
        <f t="shared" si="112"/>
        <v>0</v>
      </c>
      <c r="K68" s="205">
        <f t="shared" si="112"/>
        <v>233.36069000000001</v>
      </c>
      <c r="L68" s="205">
        <f t="shared" si="112"/>
        <v>0</v>
      </c>
      <c r="M68" s="205">
        <f t="shared" si="112"/>
        <v>0</v>
      </c>
      <c r="N68" s="205">
        <f t="shared" si="112"/>
        <v>0</v>
      </c>
      <c r="O68" s="205">
        <f t="shared" si="112"/>
        <v>310.99197000000004</v>
      </c>
      <c r="P68" s="205">
        <f t="shared" si="112"/>
        <v>648306.92999999993</v>
      </c>
      <c r="Q68" s="494"/>
      <c r="R68" s="495"/>
      <c r="S68" s="494"/>
      <c r="T68" s="494"/>
      <c r="U68" s="217"/>
      <c r="V68" s="217"/>
      <c r="W68" s="217"/>
      <c r="Y68" s="174" t="str">
        <f t="shared" ref="Y68:Y70" si="113">IF(X68="","",$C$56)</f>
        <v/>
      </c>
      <c r="Z68" s="174" t="str">
        <f>IF(X68="","",CONCATENATE(Y68,"-",X68,"; ",#REF!))</f>
        <v/>
      </c>
      <c r="AA68" s="134"/>
      <c r="AB68" s="117"/>
      <c r="AC68" s="118"/>
      <c r="AD68" s="119"/>
      <c r="AE68" s="108"/>
      <c r="AF68" s="139"/>
      <c r="AG68" s="148" t="str">
        <f t="shared" si="85"/>
        <v>не совпадает</v>
      </c>
      <c r="AI68" s="149" t="str">
        <f t="shared" si="104"/>
        <v/>
      </c>
      <c r="AJ68" s="150" t="str">
        <f t="shared" si="104"/>
        <v/>
      </c>
      <c r="AK68" s="151" t="str">
        <f t="shared" si="104"/>
        <v/>
      </c>
      <c r="AL68" s="152">
        <f t="shared" si="76"/>
        <v>0</v>
      </c>
      <c r="AO68" s="209"/>
      <c r="AQ68" s="427"/>
      <c r="AT68" s="426"/>
      <c r="AX68" s="82" t="str">
        <f t="shared" si="16"/>
        <v/>
      </c>
      <c r="BD68" s="210">
        <f>SUM(BD60:BD61)</f>
        <v>0</v>
      </c>
      <c r="BE68" s="210">
        <f>BD68/F68</f>
        <v>0</v>
      </c>
    </row>
    <row r="69" spans="1:60" s="120" customFormat="1" ht="21">
      <c r="B69" s="223"/>
      <c r="C69" s="224" t="str">
        <f>"ИТОГО ВЛ "&amp;$C$8&amp;":"</f>
        <v>ИТОГО ВЛ до 15 кВт (льгота):</v>
      </c>
      <c r="D69" s="225"/>
      <c r="E69" s="225"/>
      <c r="F69" s="226">
        <f>SUM(F54,F68)</f>
        <v>3.7750000000000008</v>
      </c>
      <c r="G69" s="226">
        <f t="shared" ref="G69:O69" si="114">SUM(G54,G68)</f>
        <v>269.37</v>
      </c>
      <c r="H69" s="226">
        <f t="shared" si="114"/>
        <v>0</v>
      </c>
      <c r="I69" s="226">
        <f t="shared" si="114"/>
        <v>0</v>
      </c>
      <c r="J69" s="226">
        <f t="shared" si="114"/>
        <v>0</v>
      </c>
      <c r="K69" s="226">
        <f t="shared" si="114"/>
        <v>1058.9829400000001</v>
      </c>
      <c r="L69" s="226">
        <f t="shared" si="114"/>
        <v>0</v>
      </c>
      <c r="M69" s="226">
        <f t="shared" si="114"/>
        <v>0</v>
      </c>
      <c r="N69" s="226">
        <f t="shared" si="114"/>
        <v>0</v>
      </c>
      <c r="O69" s="226">
        <f t="shared" si="114"/>
        <v>1846.1336199999998</v>
      </c>
      <c r="P69" s="226">
        <f>SUM(P54,P68)</f>
        <v>3009070.83</v>
      </c>
      <c r="Q69" s="228"/>
      <c r="R69" s="228"/>
      <c r="S69" s="228"/>
      <c r="T69" s="229"/>
      <c r="U69" s="128"/>
      <c r="V69" s="129"/>
      <c r="W69" s="130"/>
      <c r="X69" s="131"/>
      <c r="Y69" s="132" t="str">
        <f t="shared" ref="Y69" si="115">IF(X69="","",$C$42)</f>
        <v/>
      </c>
      <c r="Z69" s="133" t="str">
        <f t="shared" ref="Z69" si="116">IF(X69="","",CONCATENATE(Y69,"-",X69,"; ",$T$55))</f>
        <v/>
      </c>
      <c r="AA69" s="134"/>
      <c r="AB69" s="117"/>
      <c r="AC69" s="118"/>
      <c r="AD69" s="119"/>
      <c r="AE69" s="108"/>
      <c r="AF69" s="193"/>
      <c r="AG69" s="148" t="str">
        <f t="shared" si="85"/>
        <v>не совпадает</v>
      </c>
      <c r="AH69" s="76"/>
      <c r="AI69" s="200" t="str">
        <f t="shared" si="104"/>
        <v/>
      </c>
      <c r="AJ69" s="201" t="str">
        <f t="shared" si="104"/>
        <v/>
      </c>
      <c r="AK69" s="202" t="str">
        <f t="shared" si="104"/>
        <v/>
      </c>
      <c r="AL69" s="230">
        <f t="shared" si="76"/>
        <v>0</v>
      </c>
      <c r="AM69" s="81"/>
      <c r="AN69" s="82"/>
      <c r="AO69" s="140"/>
      <c r="AP69" s="140"/>
      <c r="AQ69" s="427"/>
      <c r="AR69" s="83"/>
      <c r="AS69" s="140"/>
      <c r="AT69" s="426"/>
      <c r="AU69" s="85"/>
      <c r="AV69" s="82"/>
      <c r="AW69" s="82"/>
      <c r="AX69" s="82" t="str">
        <f t="shared" si="16"/>
        <v/>
      </c>
      <c r="AY69" s="82"/>
      <c r="AZ69" s="140"/>
      <c r="BA69" s="140"/>
      <c r="BB69" s="140"/>
      <c r="BC69" s="218"/>
      <c r="BD69" s="140"/>
      <c r="BE69" s="140"/>
      <c r="BF69" s="140"/>
      <c r="BH69" s="76"/>
    </row>
    <row r="70" spans="1:60" ht="18.75">
      <c r="B70" s="103" t="s">
        <v>8</v>
      </c>
      <c r="C70" s="1423" t="s">
        <v>2591</v>
      </c>
      <c r="D70" s="1424"/>
      <c r="E70" s="1424"/>
      <c r="F70" s="1424"/>
      <c r="G70" s="1424"/>
      <c r="H70" s="1424"/>
      <c r="I70" s="1424"/>
      <c r="J70" s="1424"/>
      <c r="K70" s="1424"/>
      <c r="L70" s="1424"/>
      <c r="M70" s="1424"/>
      <c r="N70" s="1424"/>
      <c r="O70" s="1424"/>
      <c r="P70" s="1424"/>
      <c r="Q70" s="1424"/>
      <c r="R70" s="1424"/>
      <c r="S70" s="1424"/>
      <c r="T70" s="1425"/>
      <c r="U70" s="104"/>
      <c r="V70" s="104"/>
      <c r="W70" s="104"/>
      <c r="Y70" s="174" t="str">
        <f t="shared" si="113"/>
        <v/>
      </c>
      <c r="Z70" s="174" t="str">
        <f>IF(X70="","",CONCATENATE(Y70,"-",X70,"; ",#REF!))</f>
        <v/>
      </c>
      <c r="AA70" s="134"/>
      <c r="AB70" s="117"/>
      <c r="AC70" s="118"/>
      <c r="AD70" s="119"/>
      <c r="AE70" s="108"/>
      <c r="AF70" s="139"/>
      <c r="AG70" s="148" t="str">
        <f t="shared" si="85"/>
        <v>не совпадает</v>
      </c>
      <c r="AI70" s="149" t="str">
        <f t="shared" si="104"/>
        <v/>
      </c>
      <c r="AJ70" s="150" t="str">
        <f t="shared" si="104"/>
        <v/>
      </c>
      <c r="AK70" s="151" t="str">
        <f t="shared" si="104"/>
        <v/>
      </c>
      <c r="AL70" s="152">
        <f t="shared" si="76"/>
        <v>0</v>
      </c>
      <c r="AO70" s="209"/>
      <c r="AQ70" s="427"/>
      <c r="AT70" s="426"/>
      <c r="AX70" s="82" t="str">
        <f t="shared" si="16"/>
        <v/>
      </c>
    </row>
    <row r="71" spans="1:60" ht="23.25">
      <c r="A71" s="120"/>
      <c r="B71" s="110" t="s">
        <v>9</v>
      </c>
      <c r="C71" s="453" t="s">
        <v>2592</v>
      </c>
      <c r="D71" s="112"/>
      <c r="E71" s="112"/>
      <c r="F71" s="113">
        <f>SUM(F72,F79)</f>
        <v>0.31000000000000005</v>
      </c>
      <c r="G71" s="113">
        <f t="shared" ref="G71:P71" si="117">SUM(G72,G79)</f>
        <v>33.5</v>
      </c>
      <c r="H71" s="113">
        <f t="shared" si="117"/>
        <v>0</v>
      </c>
      <c r="I71" s="113">
        <f t="shared" si="117"/>
        <v>0</v>
      </c>
      <c r="J71" s="113">
        <f t="shared" si="117"/>
        <v>0</v>
      </c>
      <c r="K71" s="113">
        <f t="shared" si="117"/>
        <v>139.94152</v>
      </c>
      <c r="L71" s="113">
        <f t="shared" si="117"/>
        <v>0</v>
      </c>
      <c r="M71" s="113">
        <f t="shared" si="117"/>
        <v>0</v>
      </c>
      <c r="N71" s="113">
        <f t="shared" si="117"/>
        <v>0</v>
      </c>
      <c r="O71" s="113">
        <f t="shared" si="117"/>
        <v>98.110600000000005</v>
      </c>
      <c r="P71" s="113">
        <f t="shared" si="117"/>
        <v>238052.12</v>
      </c>
      <c r="Q71" s="112"/>
      <c r="R71" s="112"/>
      <c r="S71" s="112"/>
      <c r="T71" s="115"/>
      <c r="U71" s="116"/>
      <c r="V71" s="116"/>
      <c r="W71" s="116"/>
      <c r="Y71" s="174" t="str">
        <f>IF(X71="","",$C$71)</f>
        <v/>
      </c>
      <c r="Z71" s="174" t="str">
        <f>IF(X71="","",CONCATENATE(Y71,"-",X71,"; ",#REF!))</f>
        <v/>
      </c>
      <c r="AA71" s="134"/>
      <c r="AB71" s="117"/>
      <c r="AC71" s="118"/>
      <c r="AD71" s="119"/>
      <c r="AE71" s="108"/>
      <c r="AF71" s="139"/>
      <c r="AG71" s="148" t="str">
        <f t="shared" si="85"/>
        <v>не совпадает</v>
      </c>
      <c r="AI71" s="149" t="str">
        <f t="shared" si="104"/>
        <v/>
      </c>
      <c r="AJ71" s="150" t="str">
        <f t="shared" si="104"/>
        <v/>
      </c>
      <c r="AK71" s="151" t="str">
        <f t="shared" si="104"/>
        <v/>
      </c>
      <c r="AL71" s="152">
        <f t="shared" si="76"/>
        <v>0</v>
      </c>
      <c r="AO71" s="209"/>
      <c r="AQ71" s="427"/>
      <c r="AT71" s="426"/>
      <c r="AX71" s="82" t="str">
        <f t="shared" si="16"/>
        <v/>
      </c>
    </row>
    <row r="72" spans="1:60" s="120" customFormat="1" ht="15.75">
      <c r="B72" s="121" t="s">
        <v>2593</v>
      </c>
      <c r="C72" s="122" t="str">
        <f>"Всего по "&amp;T72&amp;" ("&amp;$C$71&amp;"):"</f>
        <v>Всего по Г.Н.П. (ВЛ-0,4 до 15 кВт (не льгота)):</v>
      </c>
      <c r="D72" s="123"/>
      <c r="E72" s="123"/>
      <c r="F72" s="124">
        <f>SUM(F73)</f>
        <v>0.28500000000000003</v>
      </c>
      <c r="G72" s="124">
        <f t="shared" ref="G72:P72" si="118">SUM(G73)</f>
        <v>32</v>
      </c>
      <c r="H72" s="124">
        <f t="shared" si="118"/>
        <v>0</v>
      </c>
      <c r="I72" s="124">
        <f t="shared" si="118"/>
        <v>0</v>
      </c>
      <c r="J72" s="124">
        <f t="shared" si="118"/>
        <v>0</v>
      </c>
      <c r="K72" s="124">
        <f>SUM(K73)</f>
        <v>139.94152</v>
      </c>
      <c r="L72" s="124">
        <f t="shared" si="118"/>
        <v>0</v>
      </c>
      <c r="M72" s="124">
        <f t="shared" si="118"/>
        <v>0</v>
      </c>
      <c r="N72" s="124">
        <f t="shared" si="118"/>
        <v>0</v>
      </c>
      <c r="O72" s="124">
        <f t="shared" si="118"/>
        <v>84.724720000000005</v>
      </c>
      <c r="P72" s="124">
        <f t="shared" si="118"/>
        <v>224666.23999999999</v>
      </c>
      <c r="Q72" s="127"/>
      <c r="R72" s="127"/>
      <c r="S72" s="127"/>
      <c r="T72" s="127" t="s">
        <v>2956</v>
      </c>
      <c r="U72" s="128"/>
      <c r="V72" s="129"/>
      <c r="W72" s="130"/>
      <c r="X72" s="131"/>
      <c r="Y72" s="132"/>
      <c r="Z72" s="133"/>
      <c r="AA72" s="134"/>
      <c r="AB72" s="135"/>
      <c r="AC72" s="136"/>
      <c r="AD72" s="137"/>
      <c r="AE72" s="192"/>
      <c r="AF72" s="193"/>
      <c r="AG72" s="148" t="str">
        <f t="shared" si="85"/>
        <v>не совпадает</v>
      </c>
      <c r="AH72" s="76"/>
      <c r="AI72" s="117"/>
      <c r="AJ72" s="118"/>
      <c r="AK72" s="119"/>
      <c r="AL72" s="138"/>
      <c r="AM72" s="81"/>
      <c r="AN72" s="82"/>
      <c r="AO72" s="140"/>
      <c r="AP72" s="140"/>
      <c r="AQ72" s="427"/>
      <c r="AR72" s="83"/>
      <c r="AS72" s="140"/>
      <c r="AT72" s="426"/>
      <c r="AU72" s="85"/>
      <c r="AV72" s="82"/>
      <c r="AW72" s="82"/>
      <c r="AX72" s="82" t="str">
        <f t="shared" si="16"/>
        <v/>
      </c>
      <c r="AY72" s="82"/>
      <c r="AZ72" s="140"/>
      <c r="BA72" s="140"/>
      <c r="BB72" s="140"/>
      <c r="BC72" s="218"/>
      <c r="BD72" s="140"/>
      <c r="BE72" s="140"/>
      <c r="BF72" s="140"/>
      <c r="BH72" s="76"/>
    </row>
    <row r="73" spans="1:60" s="120" customFormat="1" ht="31.5">
      <c r="B73" s="121" t="s">
        <v>2594</v>
      </c>
      <c r="C73" s="142" t="str">
        <f>"Всего по "&amp;$T$72&amp;""&amp;T73&amp;" ("&amp;$C$71&amp;"):"</f>
        <v>Всего по Г.Н.П.Изолир. алюм. до 50 мм (ВЛ-0,4 до 15 кВт (не льгота)):</v>
      </c>
      <c r="D73" s="143"/>
      <c r="E73" s="143"/>
      <c r="F73" s="1110">
        <f>SUM(F74:F76)</f>
        <v>0.28500000000000003</v>
      </c>
      <c r="G73" s="1110">
        <f t="shared" ref="G73:P73" si="119">SUM(G74:G76)</f>
        <v>32</v>
      </c>
      <c r="H73" s="1110">
        <f t="shared" si="119"/>
        <v>0</v>
      </c>
      <c r="I73" s="1110">
        <f t="shared" si="119"/>
        <v>0</v>
      </c>
      <c r="J73" s="1110">
        <f t="shared" si="119"/>
        <v>0</v>
      </c>
      <c r="K73" s="1110">
        <f t="shared" si="119"/>
        <v>139.94152</v>
      </c>
      <c r="L73" s="1110">
        <f t="shared" si="119"/>
        <v>0</v>
      </c>
      <c r="M73" s="1110">
        <f t="shared" si="119"/>
        <v>0</v>
      </c>
      <c r="N73" s="1110">
        <f t="shared" si="119"/>
        <v>0</v>
      </c>
      <c r="O73" s="1110">
        <f t="shared" si="119"/>
        <v>84.724720000000005</v>
      </c>
      <c r="P73" s="1110">
        <f t="shared" si="119"/>
        <v>224666.23999999999</v>
      </c>
      <c r="Q73" s="1107"/>
      <c r="R73" s="1107"/>
      <c r="S73" s="1107"/>
      <c r="T73" s="1107" t="s">
        <v>2962</v>
      </c>
      <c r="U73" s="128"/>
      <c r="V73" s="129"/>
      <c r="W73" s="130"/>
      <c r="X73" s="131"/>
      <c r="Y73" s="132"/>
      <c r="Z73" s="133"/>
      <c r="AA73" s="134"/>
      <c r="AB73" s="135"/>
      <c r="AC73" s="136"/>
      <c r="AD73" s="137"/>
      <c r="AE73" s="192"/>
      <c r="AF73" s="193"/>
      <c r="AG73" s="148" t="str">
        <f t="shared" si="85"/>
        <v>не совпадает</v>
      </c>
      <c r="AH73" s="76"/>
      <c r="AI73" s="117"/>
      <c r="AJ73" s="118"/>
      <c r="AK73" s="119"/>
      <c r="AL73" s="138"/>
      <c r="AM73" s="81"/>
      <c r="AN73" s="82"/>
      <c r="AO73" s="140"/>
      <c r="AP73" s="140"/>
      <c r="AQ73" s="427"/>
      <c r="AR73" s="83"/>
      <c r="AS73" s="140"/>
      <c r="AT73" s="426"/>
      <c r="AU73" s="85"/>
      <c r="AV73" s="82"/>
      <c r="AW73" s="82"/>
      <c r="AX73" s="82" t="str">
        <f t="shared" si="16"/>
        <v/>
      </c>
      <c r="AY73" s="82"/>
      <c r="AZ73" s="140"/>
      <c r="BA73" s="140"/>
      <c r="BB73" s="140"/>
      <c r="BC73" s="218"/>
      <c r="BD73" s="140"/>
      <c r="BE73" s="140"/>
      <c r="BF73" s="140"/>
      <c r="BH73" s="76"/>
    </row>
    <row r="74" spans="1:60" ht="38.25">
      <c r="A74" s="76">
        <f t="shared" ref="A74:A76" si="120">IF(C74="","",1)</f>
        <v>1</v>
      </c>
      <c r="B74" s="156">
        <f>IF(A74="","",SUM($A$74:A74))</f>
        <v>1</v>
      </c>
      <c r="C74" s="1442" t="s">
        <v>2779</v>
      </c>
      <c r="D74" s="158" t="str">
        <f t="shared" ref="D74:D76" si="121">IF(AF74=0,"",AF74)</f>
        <v>2кв 2017</v>
      </c>
      <c r="E74" s="159">
        <v>0.4</v>
      </c>
      <c r="F74" s="458">
        <v>2.5000000000000001E-2</v>
      </c>
      <c r="G74" s="1108">
        <v>3</v>
      </c>
      <c r="H74" s="1109"/>
      <c r="I74" s="1109"/>
      <c r="J74" s="1109"/>
      <c r="K74" s="1109"/>
      <c r="L74" s="1109"/>
      <c r="M74" s="1109"/>
      <c r="N74" s="1109"/>
      <c r="O74" s="459">
        <v>12.82959</v>
      </c>
      <c r="P74" s="459">
        <v>12829.59</v>
      </c>
      <c r="Q74" s="461"/>
      <c r="R74" s="445" t="s">
        <v>2595</v>
      </c>
      <c r="S74" s="434" t="s">
        <v>2778</v>
      </c>
      <c r="T74" s="434" t="s">
        <v>2566</v>
      </c>
      <c r="U74" s="220">
        <f>[26]ТП2017!$J$36*1000</f>
        <v>12829.59</v>
      </c>
      <c r="V74" s="220" t="b">
        <f>U74=P74</f>
        <v>1</v>
      </c>
      <c r="W74" s="220" t="s">
        <v>2946</v>
      </c>
      <c r="X74" s="76" t="s">
        <v>2519</v>
      </c>
      <c r="Y74" s="174" t="str">
        <f>IF(X74="","",$C$71)</f>
        <v>ВЛ-0,4 до 15 кВт (не льгота)</v>
      </c>
      <c r="Z74" s="174" t="str">
        <f>IF(X74="","",CONCATENATE(Y74,"-",X74,"; ",$T$73))</f>
        <v>ВЛ-0,4 до 15 кВт (не льгота)-н.п.; Изолир. алюм. до 50 мм</v>
      </c>
      <c r="AA74" s="134"/>
      <c r="AB74" s="170">
        <f t="shared" ref="AB74" si="122">O74</f>
        <v>12.82959</v>
      </c>
      <c r="AC74" s="171">
        <f t="shared" ref="AC74" si="123">(I74+H74)</f>
        <v>0</v>
      </c>
      <c r="AD74" s="172">
        <f t="shared" ref="AD74" si="124">K74</f>
        <v>0</v>
      </c>
      <c r="AE74" s="152">
        <f t="shared" ref="AE74" si="125">AB74+AC74+AD74</f>
        <v>12.82959</v>
      </c>
      <c r="AF74" s="139" t="s">
        <v>2675</v>
      </c>
      <c r="AG74" s="148">
        <f t="shared" si="85"/>
        <v>4.05</v>
      </c>
      <c r="AI74" s="149">
        <f t="shared" ref="AI74:AI76" si="126">IF(ISERROR(AB74/$AG74),"",AB74/$AG74)</f>
        <v>3.1678000000000002</v>
      </c>
      <c r="AJ74" s="150">
        <f t="shared" ref="AJ74:AJ76" si="127">IF(ISERROR(AC74/$AG74),"",AC74/$AG74)</f>
        <v>0</v>
      </c>
      <c r="AK74" s="151">
        <f t="shared" ref="AK74:AK76" si="128">IF(ISERROR(AD74/$AG74),"",AD74/$AG74)</f>
        <v>0</v>
      </c>
      <c r="AL74" s="152">
        <f t="shared" ref="AL74:AL76" si="129">SUM(AI74,AJ74,AK74)</f>
        <v>3.1678000000000002</v>
      </c>
      <c r="AO74" s="209"/>
      <c r="AQ74" s="427">
        <v>5</v>
      </c>
      <c r="AS74" s="455">
        <f t="shared" ref="AS74:AS76" si="130">IF(B74="","",IF(P74=SUM(H74,I74,K74,O74),"ИСТИНА",P74-SUM(H74,I74,K74,O74)))</f>
        <v>12816.760410000001</v>
      </c>
      <c r="AT74" s="454" t="s">
        <v>2781</v>
      </c>
      <c r="AX74" s="82">
        <f t="shared" si="16"/>
        <v>12829.59</v>
      </c>
      <c r="AZ74" s="235"/>
      <c r="BC74" s="154"/>
      <c r="BD74" s="155"/>
      <c r="BE74" s="155"/>
    </row>
    <row r="75" spans="1:60" ht="38.25">
      <c r="A75" s="76">
        <f t="shared" si="120"/>
        <v>1</v>
      </c>
      <c r="B75" s="156">
        <f>IF(A75="","",SUM($A$74:A75))</f>
        <v>2</v>
      </c>
      <c r="C75" s="1442" t="s">
        <v>2784</v>
      </c>
      <c r="D75" s="158" t="str">
        <f t="shared" si="121"/>
        <v>4кв 2017</v>
      </c>
      <c r="E75" s="159">
        <v>0.4</v>
      </c>
      <c r="F75" s="219">
        <v>0.23</v>
      </c>
      <c r="G75" s="197">
        <v>14.5</v>
      </c>
      <c r="H75" s="504"/>
      <c r="I75" s="504"/>
      <c r="J75" s="504"/>
      <c r="K75" s="508">
        <v>69.970759999999999</v>
      </c>
      <c r="L75" s="504"/>
      <c r="M75" s="504"/>
      <c r="N75" s="504"/>
      <c r="O75" s="456">
        <v>56.08961</v>
      </c>
      <c r="P75" s="456">
        <v>126060.37</v>
      </c>
      <c r="Q75" s="684"/>
      <c r="R75" s="165" t="s">
        <v>2595</v>
      </c>
      <c r="S75" s="166" t="s">
        <v>2785</v>
      </c>
      <c r="T75" s="166" t="s">
        <v>2569</v>
      </c>
      <c r="U75" s="220">
        <f>[26]ТП2017!$J$50*1000</f>
        <v>126060.37</v>
      </c>
      <c r="V75" s="220" t="b">
        <f t="shared" ref="V75:V76" si="131">U75=P75</f>
        <v>1</v>
      </c>
      <c r="W75" s="220" t="s">
        <v>2946</v>
      </c>
      <c r="X75" s="76" t="s">
        <v>2519</v>
      </c>
      <c r="Y75" s="174" t="str">
        <f>IF(X75="","",$C$71)</f>
        <v>ВЛ-0,4 до 15 кВт (не льгота)</v>
      </c>
      <c r="Z75" s="174" t="str">
        <f>IF(X75="","",CONCATENATE(Y75,"-",X75,"; ",$T$73))</f>
        <v>ВЛ-0,4 до 15 кВт (не льгота)-н.п.; Изолир. алюм. до 50 мм</v>
      </c>
      <c r="AA75" s="134"/>
      <c r="AB75" s="170">
        <f>O75</f>
        <v>56.08961</v>
      </c>
      <c r="AC75" s="171">
        <f>(I75+H75)</f>
        <v>0</v>
      </c>
      <c r="AD75" s="172">
        <f>K75</f>
        <v>69.970759999999999</v>
      </c>
      <c r="AE75" s="152">
        <f>AB75+AC75+AD75</f>
        <v>126.06037000000001</v>
      </c>
      <c r="AF75" s="139" t="s">
        <v>2697</v>
      </c>
      <c r="AG75" s="148">
        <f t="shared" si="85"/>
        <v>4.2</v>
      </c>
      <c r="AI75" s="149">
        <f t="shared" si="126"/>
        <v>13.354669047619048</v>
      </c>
      <c r="AJ75" s="150">
        <f t="shared" si="127"/>
        <v>0</v>
      </c>
      <c r="AK75" s="151">
        <f t="shared" si="128"/>
        <v>16.659704761904759</v>
      </c>
      <c r="AL75" s="152">
        <f t="shared" si="129"/>
        <v>30.014373809523807</v>
      </c>
      <c r="AO75" s="209"/>
      <c r="AQ75" s="427" t="s">
        <v>2567</v>
      </c>
      <c r="AS75" s="455">
        <f t="shared" si="130"/>
        <v>125934.30962999999</v>
      </c>
      <c r="AT75" s="454" t="s">
        <v>2786</v>
      </c>
      <c r="AX75" s="82">
        <f t="shared" si="16"/>
        <v>126060.37</v>
      </c>
      <c r="AZ75" s="235"/>
      <c r="BC75" s="154"/>
      <c r="BD75" s="155"/>
      <c r="BE75" s="155"/>
    </row>
    <row r="76" spans="1:60" ht="38.25">
      <c r="A76" s="76">
        <f t="shared" si="120"/>
        <v>1</v>
      </c>
      <c r="B76" s="156">
        <f>IF(A76="","",SUM($A$74:A76))</f>
        <v>3</v>
      </c>
      <c r="C76" s="1443" t="s">
        <v>2787</v>
      </c>
      <c r="D76" s="158" t="str">
        <f t="shared" si="121"/>
        <v>4кв 2017</v>
      </c>
      <c r="E76" s="159">
        <v>0.4</v>
      </c>
      <c r="F76" s="458">
        <v>0.03</v>
      </c>
      <c r="G76" s="197">
        <v>14.5</v>
      </c>
      <c r="H76" s="458"/>
      <c r="I76" s="458"/>
      <c r="J76" s="458"/>
      <c r="K76" s="459">
        <v>69.970759999999999</v>
      </c>
      <c r="L76" s="458"/>
      <c r="M76" s="458"/>
      <c r="N76" s="458"/>
      <c r="O76" s="459">
        <v>15.80552</v>
      </c>
      <c r="P76" s="456">
        <v>85776.28</v>
      </c>
      <c r="Q76" s="460"/>
      <c r="R76" s="165" t="s">
        <v>2595</v>
      </c>
      <c r="S76" s="462" t="s">
        <v>2788</v>
      </c>
      <c r="T76" s="166" t="s">
        <v>2569</v>
      </c>
      <c r="U76" s="220">
        <f>[26]ТП2017!$K$54*1000</f>
        <v>85776.28</v>
      </c>
      <c r="V76" s="220" t="b">
        <f t="shared" si="131"/>
        <v>1</v>
      </c>
      <c r="W76" s="220" t="s">
        <v>2946</v>
      </c>
      <c r="X76" s="76" t="s">
        <v>2519</v>
      </c>
      <c r="Y76" s="174" t="str">
        <f t="shared" ref="Y76" si="132">IF(X76="","",$C$71)</f>
        <v>ВЛ-0,4 до 15 кВт (не льгота)</v>
      </c>
      <c r="Z76" s="174" t="str">
        <f>IF(X76="","",CONCATENATE(Y76,"-",X76,"; ",$T$73))</f>
        <v>ВЛ-0,4 до 15 кВт (не льгота)-н.п.; Изолир. алюм. до 50 мм</v>
      </c>
      <c r="AA76" s="134"/>
      <c r="AB76" s="170">
        <f>O76</f>
        <v>15.80552</v>
      </c>
      <c r="AC76" s="171">
        <f>(I76+H76)</f>
        <v>0</v>
      </c>
      <c r="AD76" s="172">
        <f>K76</f>
        <v>69.970759999999999</v>
      </c>
      <c r="AE76" s="152">
        <f>AB76+AC76+AD76</f>
        <v>85.77628</v>
      </c>
      <c r="AF76" s="139" t="s">
        <v>2697</v>
      </c>
      <c r="AG76" s="148">
        <f t="shared" si="85"/>
        <v>4.2</v>
      </c>
      <c r="AI76" s="149">
        <f t="shared" si="126"/>
        <v>3.7632190476190472</v>
      </c>
      <c r="AJ76" s="150">
        <f t="shared" si="127"/>
        <v>0</v>
      </c>
      <c r="AK76" s="151">
        <f t="shared" si="128"/>
        <v>16.659704761904759</v>
      </c>
      <c r="AL76" s="152">
        <f t="shared" si="129"/>
        <v>20.422923809523805</v>
      </c>
      <c r="AO76" s="209"/>
      <c r="AQ76" s="427" t="s">
        <v>2567</v>
      </c>
      <c r="AS76" s="455">
        <f t="shared" si="130"/>
        <v>85690.503719999993</v>
      </c>
      <c r="AT76" s="454" t="s">
        <v>2786</v>
      </c>
      <c r="AX76" s="82">
        <f t="shared" si="16"/>
        <v>85776.28</v>
      </c>
      <c r="AZ76" s="235"/>
      <c r="BC76" s="154"/>
      <c r="BD76" s="155"/>
      <c r="BE76" s="155"/>
    </row>
    <row r="77" spans="1:60" ht="30.75" customHeight="1">
      <c r="B77" s="121" t="s">
        <v>2777</v>
      </c>
      <c r="C77" s="144" t="str">
        <f>"Всего по "&amp;$T$73&amp;" марка "&amp;T77&amp;" ("&amp;$C$71&amp;"):"</f>
        <v>Всего по Изолир. алюм. до 50 мм марка Вне Г.Н.П. (ВЛ-0,4 до 15 кВт (не льгота)):</v>
      </c>
      <c r="D77" s="144"/>
      <c r="E77" s="144"/>
      <c r="F77" s="177">
        <f>SUM(F79)</f>
        <v>2.5000000000000001E-2</v>
      </c>
      <c r="G77" s="177">
        <f t="shared" ref="G77:P77" si="133">SUM(G79)</f>
        <v>1.5</v>
      </c>
      <c r="H77" s="177">
        <f t="shared" si="133"/>
        <v>0</v>
      </c>
      <c r="I77" s="177">
        <f t="shared" si="133"/>
        <v>0</v>
      </c>
      <c r="J77" s="177">
        <f t="shared" si="133"/>
        <v>0</v>
      </c>
      <c r="K77" s="177">
        <f t="shared" si="133"/>
        <v>0</v>
      </c>
      <c r="L77" s="177">
        <f t="shared" si="133"/>
        <v>0</v>
      </c>
      <c r="M77" s="177">
        <f t="shared" si="133"/>
        <v>0</v>
      </c>
      <c r="N77" s="177">
        <f t="shared" si="133"/>
        <v>0</v>
      </c>
      <c r="O77" s="177">
        <f t="shared" si="133"/>
        <v>13.385879999999998</v>
      </c>
      <c r="P77" s="177">
        <f t="shared" si="133"/>
        <v>13385.88</v>
      </c>
      <c r="Q77" s="145"/>
      <c r="R77" s="145"/>
      <c r="S77" s="145"/>
      <c r="T77" s="146" t="str">
        <f>T79</f>
        <v>Вне Г.Н.П.</v>
      </c>
      <c r="U77" s="147"/>
      <c r="V77" s="147"/>
      <c r="W77" s="147"/>
      <c r="Y77" s="174"/>
      <c r="Z77" s="174"/>
      <c r="AA77" s="134"/>
      <c r="AB77" s="170">
        <f t="shared" ref="AB77" si="134">O77</f>
        <v>13.385879999999998</v>
      </c>
      <c r="AC77" s="171">
        <f t="shared" ref="AC77" si="135">(I77+H77)</f>
        <v>0</v>
      </c>
      <c r="AD77" s="172">
        <f t="shared" ref="AD77" si="136">K77</f>
        <v>0</v>
      </c>
      <c r="AE77" s="152">
        <f t="shared" ref="AE77" si="137">AB77+AC77+AD77</f>
        <v>13.385879999999998</v>
      </c>
      <c r="AF77" s="441"/>
      <c r="AG77" s="148" t="str">
        <f t="shared" si="85"/>
        <v>не совпадает</v>
      </c>
      <c r="AI77" s="149" t="str">
        <f t="shared" ref="AI77:AK87" si="138">IF(ISERROR(AB77/$AG77),"",AB77/$AG77)</f>
        <v/>
      </c>
      <c r="AJ77" s="150" t="str">
        <f t="shared" si="138"/>
        <v/>
      </c>
      <c r="AK77" s="151" t="str">
        <f t="shared" si="138"/>
        <v/>
      </c>
      <c r="AL77" s="152">
        <f t="shared" ref="AL77:AL87" si="139">SUM(AI77,AJ77,AK77)</f>
        <v>0</v>
      </c>
      <c r="AO77" s="209"/>
      <c r="AQ77" s="427"/>
      <c r="AS77" s="455"/>
      <c r="AT77" s="454"/>
      <c r="AX77" s="82" t="str">
        <f t="shared" si="16"/>
        <v/>
      </c>
      <c r="AZ77" s="235"/>
      <c r="BC77" s="154"/>
      <c r="BD77" s="155"/>
      <c r="BE77" s="155"/>
    </row>
    <row r="78" spans="1:60" ht="30.75" customHeight="1">
      <c r="B78" s="121"/>
      <c r="C78" s="157"/>
      <c r="D78" s="158"/>
      <c r="E78" s="159"/>
      <c r="F78" s="219"/>
      <c r="G78" s="197"/>
      <c r="H78" s="219"/>
      <c r="I78" s="219"/>
      <c r="J78" s="219"/>
      <c r="K78" s="219"/>
      <c r="L78" s="219"/>
      <c r="M78" s="219"/>
      <c r="N78" s="219"/>
      <c r="O78" s="456"/>
      <c r="P78" s="456"/>
      <c r="Q78" s="165"/>
      <c r="R78" s="165"/>
      <c r="S78" s="166"/>
      <c r="T78" s="166"/>
      <c r="U78" s="220"/>
      <c r="V78" s="220"/>
      <c r="W78" s="220"/>
      <c r="Y78" s="174"/>
      <c r="Z78" s="174"/>
      <c r="AA78" s="134"/>
      <c r="AB78" s="170"/>
      <c r="AC78" s="171"/>
      <c r="AD78" s="172"/>
      <c r="AE78" s="152"/>
      <c r="AF78" s="139"/>
      <c r="AG78" s="148"/>
      <c r="AI78" s="149"/>
      <c r="AJ78" s="150"/>
      <c r="AK78" s="151"/>
      <c r="AL78" s="152"/>
      <c r="AO78" s="209"/>
      <c r="AQ78" s="427"/>
      <c r="AS78" s="455"/>
      <c r="AT78" s="454"/>
      <c r="AX78" s="82" t="str">
        <f t="shared" ref="AX78:AX140" si="140">IF(AT78="","",P78)</f>
        <v/>
      </c>
      <c r="AZ78" s="235"/>
      <c r="BC78" s="154"/>
      <c r="BD78" s="155"/>
      <c r="BE78" s="155"/>
    </row>
    <row r="79" spans="1:60" ht="30.75" customHeight="1">
      <c r="B79" s="121" t="s">
        <v>3160</v>
      </c>
      <c r="C79" s="144" t="str">
        <f>"Всего по "&amp;T79&amp;" ("&amp;$C$71&amp;"):"</f>
        <v>Всего по Вне Г.Н.П. (ВЛ-0,4 до 15 кВт (не льгота)):</v>
      </c>
      <c r="D79" s="144"/>
      <c r="E79" s="144"/>
      <c r="F79" s="124">
        <f>F80</f>
        <v>2.5000000000000001E-2</v>
      </c>
      <c r="G79" s="124">
        <f t="shared" ref="G79:P79" si="141">G80</f>
        <v>1.5</v>
      </c>
      <c r="H79" s="124">
        <f t="shared" si="141"/>
        <v>0</v>
      </c>
      <c r="I79" s="124">
        <f t="shared" si="141"/>
        <v>0</v>
      </c>
      <c r="J79" s="124">
        <f t="shared" si="141"/>
        <v>0</v>
      </c>
      <c r="K79" s="124">
        <f t="shared" si="141"/>
        <v>0</v>
      </c>
      <c r="L79" s="124">
        <f t="shared" si="141"/>
        <v>0</v>
      </c>
      <c r="M79" s="124">
        <f t="shared" si="141"/>
        <v>0</v>
      </c>
      <c r="N79" s="124">
        <f t="shared" si="141"/>
        <v>0</v>
      </c>
      <c r="O79" s="124">
        <f t="shared" si="141"/>
        <v>13.385879999999998</v>
      </c>
      <c r="P79" s="124">
        <f t="shared" si="141"/>
        <v>13385.88</v>
      </c>
      <c r="Q79" s="145"/>
      <c r="R79" s="145"/>
      <c r="S79" s="145"/>
      <c r="T79" s="146" t="s">
        <v>2958</v>
      </c>
      <c r="U79" s="147"/>
      <c r="V79" s="147"/>
      <c r="W79" s="147"/>
      <c r="Y79" s="174"/>
      <c r="Z79" s="174"/>
      <c r="AA79" s="134"/>
      <c r="AB79" s="170"/>
      <c r="AC79" s="171"/>
      <c r="AD79" s="172"/>
      <c r="AE79" s="152"/>
      <c r="AF79" s="139"/>
      <c r="AG79" s="148"/>
      <c r="AI79" s="149"/>
      <c r="AJ79" s="150"/>
      <c r="AK79" s="151"/>
      <c r="AL79" s="152"/>
      <c r="AO79" s="209"/>
      <c r="AQ79" s="427"/>
      <c r="AS79" s="455"/>
      <c r="AT79" s="454"/>
      <c r="AX79" s="82" t="str">
        <f t="shared" si="140"/>
        <v/>
      </c>
      <c r="AZ79" s="235"/>
      <c r="BC79" s="154"/>
      <c r="BD79" s="155"/>
      <c r="BE79" s="155"/>
    </row>
    <row r="80" spans="1:60" ht="31.5">
      <c r="B80" s="121" t="s">
        <v>3161</v>
      </c>
      <c r="C80" s="144" t="str">
        <f>"Всего по "&amp;$T$79&amp;""&amp;T80&amp;" ("&amp;$C$71&amp;"):"</f>
        <v>Всего по Вне Г.Н.П.Изолир. алюм. до 50 мм (ВЛ-0,4 до 15 кВт (не льгота)):</v>
      </c>
      <c r="D80" s="144"/>
      <c r="E80" s="144"/>
      <c r="F80" s="177">
        <f>SUM(F81:F82)</f>
        <v>2.5000000000000001E-2</v>
      </c>
      <c r="G80" s="177">
        <f t="shared" ref="G80:P80" si="142">SUM(G81:G82)</f>
        <v>1.5</v>
      </c>
      <c r="H80" s="177">
        <f t="shared" si="142"/>
        <v>0</v>
      </c>
      <c r="I80" s="177">
        <f t="shared" si="142"/>
        <v>0</v>
      </c>
      <c r="J80" s="177">
        <f t="shared" si="142"/>
        <v>0</v>
      </c>
      <c r="K80" s="177">
        <f t="shared" si="142"/>
        <v>0</v>
      </c>
      <c r="L80" s="177">
        <f t="shared" si="142"/>
        <v>0</v>
      </c>
      <c r="M80" s="177">
        <f t="shared" si="142"/>
        <v>0</v>
      </c>
      <c r="N80" s="177">
        <f t="shared" si="142"/>
        <v>0</v>
      </c>
      <c r="O80" s="177">
        <f t="shared" si="142"/>
        <v>13.385879999999998</v>
      </c>
      <c r="P80" s="177">
        <f t="shared" si="142"/>
        <v>13385.88</v>
      </c>
      <c r="Q80" s="145"/>
      <c r="R80" s="145"/>
      <c r="S80" s="145"/>
      <c r="T80" s="146" t="s">
        <v>2962</v>
      </c>
      <c r="U80" s="147"/>
      <c r="V80" s="147"/>
      <c r="W80" s="147"/>
      <c r="Y80" s="174"/>
      <c r="Z80" s="174"/>
      <c r="AA80" s="134"/>
      <c r="AB80" s="170">
        <f t="shared" ref="AB80" si="143">O80</f>
        <v>13.385879999999998</v>
      </c>
      <c r="AC80" s="171">
        <f t="shared" ref="AC80" si="144">(I80+H80)</f>
        <v>0</v>
      </c>
      <c r="AD80" s="172">
        <f t="shared" ref="AD80" si="145">K80</f>
        <v>0</v>
      </c>
      <c r="AE80" s="152">
        <f t="shared" ref="AE80:AE81" si="146">AB80+AC80+AD80</f>
        <v>13.385879999999998</v>
      </c>
      <c r="AF80" s="441"/>
      <c r="AG80" s="148" t="str">
        <f t="shared" si="85"/>
        <v>не совпадает</v>
      </c>
      <c r="AI80" s="149" t="str">
        <f t="shared" si="138"/>
        <v/>
      </c>
      <c r="AJ80" s="150" t="str">
        <f t="shared" si="138"/>
        <v/>
      </c>
      <c r="AK80" s="151" t="str">
        <f t="shared" si="138"/>
        <v/>
      </c>
      <c r="AL80" s="152">
        <f t="shared" si="139"/>
        <v>0</v>
      </c>
      <c r="AO80" s="209"/>
      <c r="AQ80" s="427"/>
      <c r="AS80" s="455"/>
      <c r="AT80" s="454"/>
      <c r="AX80" s="82" t="str">
        <f t="shared" si="140"/>
        <v/>
      </c>
      <c r="AZ80" s="235"/>
      <c r="BC80" s="154"/>
      <c r="BD80" s="155"/>
      <c r="BE80" s="155"/>
    </row>
    <row r="81" spans="1:60" ht="38.25">
      <c r="A81" s="76">
        <f>IF(C81="","",1)</f>
        <v>1</v>
      </c>
      <c r="B81" s="156">
        <f>IF(A81="","",SUM($A$74:A81))</f>
        <v>4</v>
      </c>
      <c r="C81" s="1442" t="s">
        <v>2775</v>
      </c>
      <c r="D81" s="158" t="str">
        <f t="shared" ref="D81:D82" si="147">IF(AF81=0,"",AF81)</f>
        <v>4кв 2017</v>
      </c>
      <c r="E81" s="159">
        <v>0.4</v>
      </c>
      <c r="F81" s="219">
        <v>2.5000000000000001E-2</v>
      </c>
      <c r="G81" s="197">
        <v>1.5</v>
      </c>
      <c r="H81" s="219"/>
      <c r="I81" s="219"/>
      <c r="J81" s="219"/>
      <c r="K81" s="219"/>
      <c r="L81" s="219"/>
      <c r="M81" s="219"/>
      <c r="N81" s="219"/>
      <c r="O81" s="456">
        <v>13.385879999999998</v>
      </c>
      <c r="P81" s="456">
        <v>13385.88</v>
      </c>
      <c r="Q81" s="165"/>
      <c r="R81" s="165" t="s">
        <v>2595</v>
      </c>
      <c r="S81" s="166" t="s">
        <v>2776</v>
      </c>
      <c r="T81" s="166" t="s">
        <v>2565</v>
      </c>
      <c r="U81" s="220">
        <f>[26]ТП2017!$J$66*1000</f>
        <v>13385.88</v>
      </c>
      <c r="V81" s="220" t="b">
        <f>U81=P81</f>
        <v>1</v>
      </c>
      <c r="W81" s="220" t="s">
        <v>2946</v>
      </c>
      <c r="X81" s="76" t="s">
        <v>2517</v>
      </c>
      <c r="Y81" s="174" t="str">
        <f>IF(X81="","",$C$71)</f>
        <v>ВЛ-0,4 до 15 кВт (не льгота)</v>
      </c>
      <c r="Z81" s="174" t="str">
        <f>IF(X81="","",CONCATENATE(Y81,"-",X81,"; ",$T$80))</f>
        <v>ВЛ-0,4 до 15 кВт (не льгота)-за границей н.п.; Изолир. алюм. до 50 мм</v>
      </c>
      <c r="AA81" s="134"/>
      <c r="AB81" s="170">
        <f>O81</f>
        <v>13.385879999999998</v>
      </c>
      <c r="AC81" s="171">
        <f>(I81+H81)</f>
        <v>0</v>
      </c>
      <c r="AD81" s="172">
        <f>K81</f>
        <v>0</v>
      </c>
      <c r="AE81" s="152">
        <f t="shared" si="146"/>
        <v>13.385879999999998</v>
      </c>
      <c r="AF81" s="139" t="s">
        <v>2697</v>
      </c>
      <c r="AG81" s="148">
        <f t="shared" si="85"/>
        <v>4.2</v>
      </c>
      <c r="AI81" s="149">
        <f t="shared" ref="AI81" si="148">IF(ISERROR(AB81/$AG81),"",AB81/$AG81)</f>
        <v>3.1871142857142853</v>
      </c>
      <c r="AJ81" s="150">
        <f t="shared" ref="AJ81" si="149">IF(ISERROR(AC81/$AG81),"",AC81/$AG81)</f>
        <v>0</v>
      </c>
      <c r="AK81" s="151">
        <f t="shared" ref="AK81" si="150">IF(ISERROR(AD81/$AG81),"",AD81/$AG81)</f>
        <v>0</v>
      </c>
      <c r="AL81" s="152">
        <f t="shared" ref="AL81" si="151">SUM(AI81,AJ81,AK81)</f>
        <v>3.1871142857142853</v>
      </c>
      <c r="AO81" s="209"/>
      <c r="AQ81" s="427" t="s">
        <v>2567</v>
      </c>
      <c r="AS81" s="455">
        <f>IF(B81="","",IF(P81=SUM(H81,I81,K81,O81),"ИСТИНА",P81-SUM(H81,I81,K81,O81)))</f>
        <v>13372.494119999999</v>
      </c>
      <c r="AT81" s="454" t="s">
        <v>2780</v>
      </c>
      <c r="AX81" s="82">
        <f t="shared" si="140"/>
        <v>13385.88</v>
      </c>
      <c r="AZ81" s="235"/>
      <c r="BC81" s="154"/>
      <c r="BD81" s="155"/>
      <c r="BE81" s="155"/>
    </row>
    <row r="82" spans="1:60" ht="30.75" customHeight="1">
      <c r="A82" s="76" t="str">
        <f>IF(C82="","",1)</f>
        <v/>
      </c>
      <c r="B82" s="156" t="str">
        <f>IF(A82="","",SUM($A$74:A82))</f>
        <v/>
      </c>
      <c r="C82" s="180"/>
      <c r="D82" s="158" t="str">
        <f t="shared" si="147"/>
        <v/>
      </c>
      <c r="E82" s="159"/>
      <c r="F82" s="458"/>
      <c r="G82" s="197"/>
      <c r="H82" s="458"/>
      <c r="I82" s="458"/>
      <c r="J82" s="458"/>
      <c r="K82" s="459"/>
      <c r="L82" s="458"/>
      <c r="M82" s="458"/>
      <c r="N82" s="458"/>
      <c r="O82" s="459"/>
      <c r="P82" s="456"/>
      <c r="Q82" s="460"/>
      <c r="R82" s="165"/>
      <c r="S82" s="462"/>
      <c r="T82" s="166"/>
      <c r="U82" s="220"/>
      <c r="V82" s="220"/>
      <c r="W82" s="220"/>
      <c r="Y82" s="174"/>
      <c r="Z82" s="174"/>
      <c r="AA82" s="134"/>
      <c r="AB82" s="170"/>
      <c r="AC82" s="171"/>
      <c r="AD82" s="172"/>
      <c r="AE82" s="152"/>
      <c r="AF82" s="139"/>
      <c r="AG82" s="148"/>
      <c r="AI82" s="149"/>
      <c r="AJ82" s="150"/>
      <c r="AK82" s="151"/>
      <c r="AL82" s="152"/>
      <c r="AO82" s="209"/>
      <c r="AQ82" s="427"/>
      <c r="AS82" s="455"/>
      <c r="AT82" s="454"/>
      <c r="AX82" s="82" t="str">
        <f t="shared" si="140"/>
        <v/>
      </c>
      <c r="AZ82" s="235"/>
      <c r="BC82" s="154"/>
      <c r="BD82" s="155"/>
      <c r="BE82" s="155"/>
    </row>
    <row r="83" spans="1:60" s="94" customFormat="1" ht="31.5">
      <c r="B83" s="121"/>
      <c r="C83" s="144" t="str">
        <f>"Всего по "&amp;$T$89&amp;" марка "&amp;T83&amp;" ("&amp;$C$71&amp;"):"</f>
        <v>Всего по неизолир. сталеалюм. до 50 мм марка АС-50/8 (ВЛ-0,4 до 15 кВт (не льгота)):</v>
      </c>
      <c r="D83" s="144"/>
      <c r="E83" s="144"/>
      <c r="F83" s="177">
        <f t="shared" ref="F83:P83" si="152">SUM(F84:F85)</f>
        <v>0</v>
      </c>
      <c r="G83" s="178">
        <f t="shared" si="152"/>
        <v>0</v>
      </c>
      <c r="H83" s="178">
        <f t="shared" si="152"/>
        <v>0</v>
      </c>
      <c r="I83" s="178">
        <f t="shared" si="152"/>
        <v>0</v>
      </c>
      <c r="J83" s="178">
        <f t="shared" si="152"/>
        <v>0</v>
      </c>
      <c r="K83" s="178">
        <f t="shared" si="152"/>
        <v>0</v>
      </c>
      <c r="L83" s="178">
        <f t="shared" si="152"/>
        <v>0</v>
      </c>
      <c r="M83" s="178">
        <f t="shared" si="152"/>
        <v>0</v>
      </c>
      <c r="N83" s="178">
        <f t="shared" si="152"/>
        <v>0</v>
      </c>
      <c r="O83" s="178">
        <f t="shared" si="152"/>
        <v>0</v>
      </c>
      <c r="P83" s="178">
        <f t="shared" si="152"/>
        <v>0</v>
      </c>
      <c r="Q83" s="145"/>
      <c r="R83" s="145"/>
      <c r="S83" s="145"/>
      <c r="T83" s="146" t="s">
        <v>2612</v>
      </c>
      <c r="U83" s="147"/>
      <c r="V83" s="147"/>
      <c r="W83" s="147"/>
      <c r="Y83" s="174" t="str">
        <f t="shared" ref="Y83:Y85" si="153">IF(X83="","",$C$71)</f>
        <v/>
      </c>
      <c r="Z83" s="174" t="str">
        <f>IF(X83="","",CONCATENATE(Y83,"-",X83,"; ",#REF!))</f>
        <v/>
      </c>
      <c r="AA83" s="134"/>
      <c r="AB83" s="117"/>
      <c r="AC83" s="118"/>
      <c r="AD83" s="119"/>
      <c r="AE83" s="108"/>
      <c r="AF83" s="139"/>
      <c r="AG83" s="148" t="str">
        <f t="shared" si="85"/>
        <v>не совпадает</v>
      </c>
      <c r="AH83" s="76"/>
      <c r="AI83" s="149" t="str">
        <f t="shared" si="138"/>
        <v/>
      </c>
      <c r="AJ83" s="150" t="str">
        <f t="shared" si="138"/>
        <v/>
      </c>
      <c r="AK83" s="151" t="str">
        <f t="shared" si="138"/>
        <v/>
      </c>
      <c r="AL83" s="152">
        <f t="shared" si="139"/>
        <v>0</v>
      </c>
      <c r="AM83" s="81"/>
      <c r="AN83" s="82"/>
      <c r="AO83" s="82"/>
      <c r="AP83" s="82"/>
      <c r="AQ83" s="427"/>
      <c r="AR83" s="83"/>
      <c r="AS83" s="455" t="str">
        <f t="shared" ref="AS83" si="154">IF(B83="","",IF(P83=SUM(H83,I83,K83,O83),"ИСТИНА",P83-SUM(H83,I83,K83,O83)))</f>
        <v/>
      </c>
      <c r="AT83" s="426"/>
      <c r="AU83" s="85"/>
      <c r="AV83" s="82"/>
      <c r="AW83" s="82"/>
      <c r="AX83" s="82" t="str">
        <f t="shared" si="140"/>
        <v/>
      </c>
      <c r="AY83" s="82"/>
      <c r="AZ83" s="82"/>
      <c r="BA83" s="82"/>
      <c r="BB83" s="82"/>
      <c r="BC83" s="154" t="e">
        <f>#REF!</f>
        <v>#REF!</v>
      </c>
      <c r="BD83" s="155" t="e">
        <f>BC83*F83*$BD$6</f>
        <v>#REF!</v>
      </c>
      <c r="BE83" s="155" t="e">
        <f>BD83/F83</f>
        <v>#REF!</v>
      </c>
      <c r="BF83" s="82"/>
      <c r="BH83" s="76"/>
    </row>
    <row r="84" spans="1:60" ht="25.5">
      <c r="A84" s="76" t="str">
        <f t="shared" ref="A84:A85" si="155">IF(C84="","",1)</f>
        <v/>
      </c>
      <c r="B84" s="190" t="str">
        <f>IF(A84="","",SUM($A84:A$89))</f>
        <v/>
      </c>
      <c r="C84" s="180"/>
      <c r="D84" s="158" t="str">
        <f t="shared" ref="D84:D85" si="156">IF(AF84=0,"",AF84)</f>
        <v/>
      </c>
      <c r="E84" s="159">
        <v>0.4</v>
      </c>
      <c r="F84" s="219"/>
      <c r="G84" s="197"/>
      <c r="H84" s="162"/>
      <c r="I84" s="162"/>
      <c r="J84" s="162"/>
      <c r="K84" s="459"/>
      <c r="L84" s="162"/>
      <c r="M84" s="162"/>
      <c r="N84" s="162"/>
      <c r="O84" s="459"/>
      <c r="P84" s="163"/>
      <c r="Q84" s="237"/>
      <c r="R84" s="165" t="s">
        <v>2595</v>
      </c>
      <c r="S84" s="166"/>
      <c r="T84" s="166" t="s">
        <v>2612</v>
      </c>
      <c r="U84" s="220"/>
      <c r="V84" s="220"/>
      <c r="W84" s="220"/>
      <c r="X84" s="76" t="s">
        <v>2517</v>
      </c>
      <c r="Y84" s="174" t="str">
        <f t="shared" si="153"/>
        <v>ВЛ-0,4 до 15 кВт (не льгота)</v>
      </c>
      <c r="Z84" s="174" t="str">
        <f>IF(X84="","",CONCATENATE(Y84,"-",X84,"; ",$T$83))</f>
        <v>ВЛ-0,4 до 15 кВт (не льгота)-за границей н.п.; АС-50/8</v>
      </c>
      <c r="AA84" s="134"/>
      <c r="AB84" s="170">
        <f t="shared" ref="AB84:AB85" si="157">O84</f>
        <v>0</v>
      </c>
      <c r="AC84" s="171">
        <f t="shared" ref="AC84:AC85" si="158">(I84+H84)</f>
        <v>0</v>
      </c>
      <c r="AD84" s="172">
        <f t="shared" ref="AD84:AD85" si="159">K84</f>
        <v>0</v>
      </c>
      <c r="AE84" s="152">
        <f t="shared" ref="AE84:AE85" si="160">AB84+AC84+AD84</f>
        <v>0</v>
      </c>
      <c r="AF84" s="139"/>
      <c r="AG84" s="148" t="str">
        <f t="shared" si="85"/>
        <v>не совпадает</v>
      </c>
      <c r="AI84" s="149" t="str">
        <f t="shared" si="138"/>
        <v/>
      </c>
      <c r="AJ84" s="150" t="str">
        <f t="shared" si="138"/>
        <v/>
      </c>
      <c r="AK84" s="151" t="str">
        <f t="shared" si="138"/>
        <v/>
      </c>
      <c r="AL84" s="152">
        <f t="shared" si="139"/>
        <v>0</v>
      </c>
      <c r="AO84" s="209"/>
      <c r="AQ84" s="427"/>
      <c r="AS84" s="455"/>
      <c r="AT84" s="426"/>
      <c r="AX84" s="82" t="str">
        <f t="shared" si="140"/>
        <v/>
      </c>
    </row>
    <row r="85" spans="1:60" ht="36.75" customHeight="1">
      <c r="A85" s="76" t="str">
        <f t="shared" si="155"/>
        <v/>
      </c>
      <c r="B85" s="191" t="str">
        <f>IF(A85="","",SUM($A85:A$89))</f>
        <v/>
      </c>
      <c r="C85" s="180"/>
      <c r="D85" s="158" t="str">
        <f t="shared" si="156"/>
        <v/>
      </c>
      <c r="E85" s="159">
        <v>0.4</v>
      </c>
      <c r="F85" s="221"/>
      <c r="G85" s="197"/>
      <c r="H85" s="183"/>
      <c r="I85" s="183"/>
      <c r="J85" s="183"/>
      <c r="K85" s="459"/>
      <c r="L85" s="183"/>
      <c r="M85" s="183"/>
      <c r="N85" s="183"/>
      <c r="O85" s="459"/>
      <c r="P85" s="163"/>
      <c r="Q85" s="234"/>
      <c r="R85" s="186" t="s">
        <v>2595</v>
      </c>
      <c r="S85" s="187"/>
      <c r="T85" s="187" t="s">
        <v>2612</v>
      </c>
      <c r="U85" s="220"/>
      <c r="V85" s="220"/>
      <c r="W85" s="220"/>
      <c r="X85" s="76" t="s">
        <v>2517</v>
      </c>
      <c r="Y85" s="174" t="str">
        <f t="shared" si="153"/>
        <v>ВЛ-0,4 до 15 кВт (не льгота)</v>
      </c>
      <c r="Z85" s="174" t="str">
        <f>IF(X85="","",CONCATENATE(Y85,"-",X85,"; ",$T$83))</f>
        <v>ВЛ-0,4 до 15 кВт (не льгота)-за границей н.п.; АС-50/8</v>
      </c>
      <c r="AA85" s="134"/>
      <c r="AB85" s="170">
        <f t="shared" si="157"/>
        <v>0</v>
      </c>
      <c r="AC85" s="171">
        <f t="shared" si="158"/>
        <v>0</v>
      </c>
      <c r="AD85" s="172">
        <f t="shared" si="159"/>
        <v>0</v>
      </c>
      <c r="AE85" s="152">
        <f t="shared" si="160"/>
        <v>0</v>
      </c>
      <c r="AF85" s="139"/>
      <c r="AG85" s="148" t="str">
        <f t="shared" si="85"/>
        <v>не совпадает</v>
      </c>
      <c r="AI85" s="149" t="str">
        <f t="shared" si="138"/>
        <v/>
      </c>
      <c r="AJ85" s="150" t="str">
        <f t="shared" si="138"/>
        <v/>
      </c>
      <c r="AK85" s="151" t="str">
        <f t="shared" si="138"/>
        <v/>
      </c>
      <c r="AL85" s="152">
        <f t="shared" si="139"/>
        <v>0</v>
      </c>
      <c r="AO85" s="209"/>
      <c r="AQ85" s="427"/>
      <c r="AS85" s="455"/>
      <c r="AT85" s="426"/>
      <c r="AX85" s="82" t="str">
        <f t="shared" si="140"/>
        <v/>
      </c>
      <c r="BC85" s="82">
        <v>1</v>
      </c>
    </row>
    <row r="86" spans="1:60" ht="21">
      <c r="B86" s="203">
        <f>MAX(B72:B85)</f>
        <v>4</v>
      </c>
      <c r="C86" s="463" t="str">
        <f>"ИТОГО по "&amp;$C$71&amp;":"</f>
        <v>ИТОГО по ВЛ-0,4 до 15 кВт (не льгота):</v>
      </c>
      <c r="D86" s="204"/>
      <c r="E86" s="204"/>
      <c r="F86" s="205">
        <f>SUM(F71)</f>
        <v>0.31000000000000005</v>
      </c>
      <c r="G86" s="205">
        <f t="shared" ref="G86:O86" si="161">SUM(G71)</f>
        <v>33.5</v>
      </c>
      <c r="H86" s="205">
        <f t="shared" si="161"/>
        <v>0</v>
      </c>
      <c r="I86" s="205">
        <f t="shared" si="161"/>
        <v>0</v>
      </c>
      <c r="J86" s="205">
        <f t="shared" si="161"/>
        <v>0</v>
      </c>
      <c r="K86" s="205">
        <f t="shared" si="161"/>
        <v>139.94152</v>
      </c>
      <c r="L86" s="205">
        <f t="shared" si="161"/>
        <v>0</v>
      </c>
      <c r="M86" s="205">
        <f t="shared" si="161"/>
        <v>0</v>
      </c>
      <c r="N86" s="205">
        <f t="shared" si="161"/>
        <v>0</v>
      </c>
      <c r="O86" s="205">
        <f t="shared" si="161"/>
        <v>98.110600000000005</v>
      </c>
      <c r="P86" s="205">
        <f>SUM(P71)</f>
        <v>238052.12</v>
      </c>
      <c r="Q86" s="494"/>
      <c r="R86" s="495"/>
      <c r="S86" s="494"/>
      <c r="T86" s="494"/>
      <c r="U86" s="217"/>
      <c r="V86" s="217"/>
      <c r="W86" s="217"/>
      <c r="Y86" s="174" t="str">
        <f t="shared" ref="Y86" si="162">IF(X86="","",$C$71)</f>
        <v/>
      </c>
      <c r="Z86" s="174" t="str">
        <f>IF(X86="","",CONCATENATE(Y86,"-",X86,"; ",#REF!))</f>
        <v/>
      </c>
      <c r="AA86" s="134"/>
      <c r="AB86" s="117"/>
      <c r="AC86" s="118"/>
      <c r="AD86" s="119"/>
      <c r="AE86" s="108"/>
      <c r="AF86" s="139"/>
      <c r="AG86" s="148" t="str">
        <f t="shared" si="85"/>
        <v>не совпадает</v>
      </c>
      <c r="AI86" s="149" t="str">
        <f t="shared" si="138"/>
        <v/>
      </c>
      <c r="AJ86" s="150" t="str">
        <f t="shared" si="138"/>
        <v/>
      </c>
      <c r="AK86" s="151" t="str">
        <f t="shared" si="138"/>
        <v/>
      </c>
      <c r="AL86" s="152">
        <f t="shared" si="139"/>
        <v>0</v>
      </c>
      <c r="AQ86" s="427"/>
      <c r="AS86" s="455"/>
      <c r="AT86" s="426"/>
      <c r="AX86" s="82" t="str">
        <f t="shared" si="140"/>
        <v/>
      </c>
    </row>
    <row r="87" spans="1:60" ht="18.75">
      <c r="B87" s="110" t="s">
        <v>10</v>
      </c>
      <c r="C87" s="111" t="s">
        <v>2596</v>
      </c>
      <c r="D87" s="112"/>
      <c r="E87" s="112"/>
      <c r="F87" s="113">
        <f>SUM(F88,F91)</f>
        <v>12.27</v>
      </c>
      <c r="G87" s="113">
        <f t="shared" ref="G87:P87" si="163">SUM(G88,G91)</f>
        <v>32.200000000000003</v>
      </c>
      <c r="H87" s="113">
        <f t="shared" si="163"/>
        <v>0</v>
      </c>
      <c r="I87" s="113">
        <f t="shared" si="163"/>
        <v>0</v>
      </c>
      <c r="J87" s="113">
        <f t="shared" si="163"/>
        <v>0</v>
      </c>
      <c r="K87" s="113">
        <f t="shared" si="163"/>
        <v>1398.8308400000001</v>
      </c>
      <c r="L87" s="113">
        <f t="shared" si="163"/>
        <v>0</v>
      </c>
      <c r="M87" s="113">
        <f t="shared" si="163"/>
        <v>0</v>
      </c>
      <c r="N87" s="113">
        <f t="shared" si="163"/>
        <v>0</v>
      </c>
      <c r="O87" s="113">
        <f t="shared" si="163"/>
        <v>5887.8656300000002</v>
      </c>
      <c r="P87" s="113">
        <f t="shared" si="163"/>
        <v>7286696.4699999997</v>
      </c>
      <c r="Q87" s="112"/>
      <c r="R87" s="112"/>
      <c r="S87" s="112"/>
      <c r="T87" s="115"/>
      <c r="U87" s="116"/>
      <c r="V87" s="116"/>
      <c r="W87" s="116"/>
      <c r="Y87" s="174" t="str">
        <f>IF(X87="","",$C$87)</f>
        <v/>
      </c>
      <c r="Z87" s="174" t="str">
        <f>IF(X87="","",CONCATENATE(Y87,"-",X87,"; ",#REF!))</f>
        <v/>
      </c>
      <c r="AA87" s="134"/>
      <c r="AB87" s="117"/>
      <c r="AC87" s="118"/>
      <c r="AD87" s="119"/>
      <c r="AE87" s="108"/>
      <c r="AF87" s="139"/>
      <c r="AG87" s="148" t="str">
        <f t="shared" si="85"/>
        <v>не совпадает</v>
      </c>
      <c r="AI87" s="149" t="str">
        <f t="shared" si="138"/>
        <v/>
      </c>
      <c r="AJ87" s="150" t="str">
        <f t="shared" si="138"/>
        <v/>
      </c>
      <c r="AK87" s="151" t="str">
        <f t="shared" si="138"/>
        <v/>
      </c>
      <c r="AL87" s="152">
        <f t="shared" si="139"/>
        <v>0</v>
      </c>
      <c r="AO87" s="209"/>
      <c r="AQ87" s="427"/>
      <c r="AS87" s="455"/>
      <c r="AT87" s="426"/>
      <c r="AX87" s="82" t="str">
        <f t="shared" si="140"/>
        <v/>
      </c>
    </row>
    <row r="88" spans="1:60" s="120" customFormat="1" ht="15.75">
      <c r="B88" s="121" t="s">
        <v>2597</v>
      </c>
      <c r="C88" s="122" t="str">
        <f>"Всего по "&amp;T88&amp;" ("&amp;$C$87&amp;"):"</f>
        <v>Всего по Г.Н.П. (ВЛ-10 до 15 кВт (не льгота)):</v>
      </c>
      <c r="D88" s="123"/>
      <c r="E88" s="123"/>
      <c r="F88" s="124">
        <f>SUM(F89)</f>
        <v>0</v>
      </c>
      <c r="G88" s="124">
        <f t="shared" ref="G88:P89" si="164">SUM(G89)</f>
        <v>0</v>
      </c>
      <c r="H88" s="124">
        <f t="shared" si="164"/>
        <v>0</v>
      </c>
      <c r="I88" s="124">
        <f t="shared" si="164"/>
        <v>0</v>
      </c>
      <c r="J88" s="124">
        <f t="shared" si="164"/>
        <v>0</v>
      </c>
      <c r="K88" s="124">
        <f>SUM(K89)</f>
        <v>0</v>
      </c>
      <c r="L88" s="124">
        <f t="shared" si="164"/>
        <v>0</v>
      </c>
      <c r="M88" s="124">
        <f t="shared" si="164"/>
        <v>0</v>
      </c>
      <c r="N88" s="124">
        <f t="shared" si="164"/>
        <v>0</v>
      </c>
      <c r="O88" s="124">
        <f t="shared" si="164"/>
        <v>0</v>
      </c>
      <c r="P88" s="124">
        <f t="shared" si="164"/>
        <v>0</v>
      </c>
      <c r="Q88" s="127"/>
      <c r="R88" s="127"/>
      <c r="S88" s="127"/>
      <c r="T88" s="127" t="s">
        <v>2956</v>
      </c>
      <c r="U88" s="128"/>
      <c r="V88" s="129"/>
      <c r="W88" s="130"/>
      <c r="X88" s="131"/>
      <c r="Y88" s="132"/>
      <c r="Z88" s="133"/>
      <c r="AA88" s="134"/>
      <c r="AB88" s="135"/>
      <c r="AC88" s="136"/>
      <c r="AD88" s="137"/>
      <c r="AE88" s="192"/>
      <c r="AF88" s="193"/>
      <c r="AG88" s="148" t="str">
        <f t="shared" si="85"/>
        <v>не совпадает</v>
      </c>
      <c r="AH88" s="76"/>
      <c r="AI88" s="117"/>
      <c r="AJ88" s="118"/>
      <c r="AK88" s="119"/>
      <c r="AL88" s="138"/>
      <c r="AM88" s="81"/>
      <c r="AN88" s="82"/>
      <c r="AO88" s="140"/>
      <c r="AP88" s="140"/>
      <c r="AQ88" s="427"/>
      <c r="AR88" s="83"/>
      <c r="AS88" s="140"/>
      <c r="AT88" s="426"/>
      <c r="AU88" s="85"/>
      <c r="AV88" s="82"/>
      <c r="AW88" s="82"/>
      <c r="AX88" s="82" t="str">
        <f t="shared" si="140"/>
        <v/>
      </c>
      <c r="AY88" s="82"/>
      <c r="AZ88" s="140"/>
      <c r="BA88" s="140"/>
      <c r="BB88" s="140"/>
      <c r="BC88" s="218"/>
      <c r="BD88" s="140"/>
      <c r="BE88" s="140"/>
      <c r="BF88" s="140"/>
      <c r="BH88" s="76"/>
    </row>
    <row r="89" spans="1:60" s="120" customFormat="1" ht="47.25">
      <c r="B89" s="121" t="s">
        <v>2598</v>
      </c>
      <c r="C89" s="142" t="str">
        <f>"Всего по "&amp;$T$88&amp;""&amp;T89&amp;" ("&amp;$C$87&amp;"):"</f>
        <v>Всего по Г.Н.П.неизолир. сталеалюм. до 50 мм (ВЛ-10 до 15 кВт (не льгота)):</v>
      </c>
      <c r="D89" s="143"/>
      <c r="E89" s="143"/>
      <c r="F89" s="1106">
        <f>SUM(F90)</f>
        <v>0</v>
      </c>
      <c r="G89" s="1106">
        <f t="shared" si="164"/>
        <v>0</v>
      </c>
      <c r="H89" s="1106">
        <f t="shared" si="164"/>
        <v>0</v>
      </c>
      <c r="I89" s="1106">
        <f t="shared" si="164"/>
        <v>0</v>
      </c>
      <c r="J89" s="1106">
        <f t="shared" si="164"/>
        <v>0</v>
      </c>
      <c r="K89" s="1106">
        <f t="shared" si="164"/>
        <v>0</v>
      </c>
      <c r="L89" s="1106">
        <f t="shared" si="164"/>
        <v>0</v>
      </c>
      <c r="M89" s="1106">
        <f t="shared" si="164"/>
        <v>0</v>
      </c>
      <c r="N89" s="1106">
        <f t="shared" si="164"/>
        <v>0</v>
      </c>
      <c r="O89" s="1106">
        <f t="shared" si="164"/>
        <v>0</v>
      </c>
      <c r="P89" s="1106">
        <f t="shared" si="164"/>
        <v>0</v>
      </c>
      <c r="Q89" s="127"/>
      <c r="R89" s="127"/>
      <c r="S89" s="127"/>
      <c r="T89" s="127" t="s">
        <v>3343</v>
      </c>
      <c r="U89" s="128"/>
      <c r="V89" s="129"/>
      <c r="W89" s="130"/>
      <c r="X89" s="131"/>
      <c r="Y89" s="132"/>
      <c r="Z89" s="133"/>
      <c r="AA89" s="134"/>
      <c r="AB89" s="135"/>
      <c r="AC89" s="136"/>
      <c r="AD89" s="137"/>
      <c r="AE89" s="192"/>
      <c r="AF89" s="193"/>
      <c r="AG89" s="148" t="str">
        <f t="shared" si="85"/>
        <v>не совпадает</v>
      </c>
      <c r="AH89" s="76"/>
      <c r="AI89" s="117"/>
      <c r="AJ89" s="118"/>
      <c r="AK89" s="119"/>
      <c r="AL89" s="138"/>
      <c r="AM89" s="81"/>
      <c r="AN89" s="82"/>
      <c r="AO89" s="140"/>
      <c r="AP89" s="140"/>
      <c r="AQ89" s="427"/>
      <c r="AR89" s="83"/>
      <c r="AS89" s="140"/>
      <c r="AT89" s="426"/>
      <c r="AU89" s="85"/>
      <c r="AV89" s="82"/>
      <c r="AW89" s="82"/>
      <c r="AX89" s="82" t="str">
        <f t="shared" si="140"/>
        <v/>
      </c>
      <c r="AY89" s="82"/>
      <c r="AZ89" s="140"/>
      <c r="BA89" s="140"/>
      <c r="BB89" s="140"/>
      <c r="BC89" s="218"/>
      <c r="BD89" s="140"/>
      <c r="BE89" s="140"/>
      <c r="BF89" s="140"/>
      <c r="BH89" s="76"/>
    </row>
    <row r="90" spans="1:60" ht="15.75">
      <c r="A90" s="76" t="str">
        <f t="shared" ref="A90" si="165">IF(C90="","",1)</f>
        <v/>
      </c>
      <c r="B90" s="190" t="str">
        <f>IF(A90="","",SUM($A$90:A90))</f>
        <v/>
      </c>
      <c r="C90" s="180"/>
      <c r="D90" s="158"/>
      <c r="E90" s="159"/>
      <c r="F90" s="458"/>
      <c r="G90" s="236"/>
      <c r="H90" s="162"/>
      <c r="I90" s="162"/>
      <c r="J90" s="162"/>
      <c r="K90" s="508"/>
      <c r="L90" s="162"/>
      <c r="M90" s="162"/>
      <c r="N90" s="162"/>
      <c r="O90" s="508"/>
      <c r="P90" s="163"/>
      <c r="Q90" s="237"/>
      <c r="R90" s="165"/>
      <c r="S90" s="166"/>
      <c r="T90" s="166"/>
      <c r="U90" s="220"/>
      <c r="V90" s="220"/>
      <c r="W90" s="220"/>
      <c r="Y90" s="174"/>
      <c r="Z90" s="174"/>
      <c r="AA90" s="134"/>
      <c r="AB90" s="170"/>
      <c r="AC90" s="171"/>
      <c r="AD90" s="172"/>
      <c r="AE90" s="152"/>
      <c r="AF90" s="139"/>
      <c r="AG90" s="148"/>
      <c r="AI90" s="149"/>
      <c r="AJ90" s="150"/>
      <c r="AK90" s="151"/>
      <c r="AL90" s="152"/>
      <c r="AO90" s="209"/>
      <c r="AQ90" s="427"/>
      <c r="AT90" s="1105"/>
      <c r="AX90" s="82" t="str">
        <f t="shared" si="140"/>
        <v/>
      </c>
    </row>
    <row r="91" spans="1:60" ht="15.75">
      <c r="B91" s="626" t="s">
        <v>3167</v>
      </c>
      <c r="C91" s="122" t="str">
        <f>"Всего по "&amp;T91&amp;" ("&amp;$C$87&amp;"):"</f>
        <v>Всего по Вне Г.Н.П. (ВЛ-10 до 15 кВт (не льгота)):</v>
      </c>
      <c r="D91" s="123" t="str">
        <f t="shared" ref="D91" si="166">IF(AF91=0,"",AF91)</f>
        <v/>
      </c>
      <c r="E91" s="123"/>
      <c r="F91" s="124">
        <f>F92</f>
        <v>12.27</v>
      </c>
      <c r="G91" s="124">
        <f t="shared" ref="G91:P91" si="167">G92</f>
        <v>32.200000000000003</v>
      </c>
      <c r="H91" s="124">
        <f t="shared" si="167"/>
        <v>0</v>
      </c>
      <c r="I91" s="124">
        <f t="shared" si="167"/>
        <v>0</v>
      </c>
      <c r="J91" s="124">
        <f t="shared" si="167"/>
        <v>0</v>
      </c>
      <c r="K91" s="124">
        <f t="shared" si="167"/>
        <v>1398.8308400000001</v>
      </c>
      <c r="L91" s="124">
        <f t="shared" si="167"/>
        <v>0</v>
      </c>
      <c r="M91" s="124">
        <f t="shared" si="167"/>
        <v>0</v>
      </c>
      <c r="N91" s="124">
        <f t="shared" si="167"/>
        <v>0</v>
      </c>
      <c r="O91" s="124">
        <f t="shared" si="167"/>
        <v>5887.8656300000002</v>
      </c>
      <c r="P91" s="124">
        <f t="shared" si="167"/>
        <v>7286696.4699999997</v>
      </c>
      <c r="Q91" s="127"/>
      <c r="R91" s="127"/>
      <c r="S91" s="127"/>
      <c r="T91" s="127" t="s">
        <v>2958</v>
      </c>
      <c r="U91" s="147"/>
      <c r="V91" s="147"/>
      <c r="W91" s="147"/>
      <c r="Y91" s="174"/>
      <c r="Z91" s="174"/>
      <c r="AA91" s="134"/>
      <c r="AB91" s="170"/>
      <c r="AC91" s="171"/>
      <c r="AD91" s="172"/>
      <c r="AE91" s="152"/>
      <c r="AF91" s="139"/>
      <c r="AG91" s="148"/>
      <c r="AI91" s="149"/>
      <c r="AJ91" s="150"/>
      <c r="AK91" s="151"/>
      <c r="AL91" s="152"/>
      <c r="AO91" s="209"/>
      <c r="AQ91" s="427"/>
      <c r="AT91" s="1105"/>
      <c r="BC91" s="82">
        <v>1</v>
      </c>
    </row>
    <row r="92" spans="1:60" s="94" customFormat="1" ht="47.25">
      <c r="B92" s="121" t="s">
        <v>3168</v>
      </c>
      <c r="C92" s="144" t="str">
        <f>"Всего по "&amp;$T$91&amp;""&amp;T92&amp;" ("&amp;$C$87&amp;"):"</f>
        <v>Всего по Вне Г.Н.П.неизолир. сталеалюм. до 50 мм (ВЛ-10 до 15 кВт (не льгота)):</v>
      </c>
      <c r="D92" s="144"/>
      <c r="E92" s="144"/>
      <c r="F92" s="177">
        <f>SUM(F93:F97)</f>
        <v>12.27</v>
      </c>
      <c r="G92" s="177">
        <f t="shared" ref="G92:P92" si="168">SUM(G93:G97)</f>
        <v>32.200000000000003</v>
      </c>
      <c r="H92" s="177">
        <f t="shared" si="168"/>
        <v>0</v>
      </c>
      <c r="I92" s="177">
        <f t="shared" si="168"/>
        <v>0</v>
      </c>
      <c r="J92" s="177">
        <f t="shared" si="168"/>
        <v>0</v>
      </c>
      <c r="K92" s="177">
        <f t="shared" si="168"/>
        <v>1398.8308400000001</v>
      </c>
      <c r="L92" s="177">
        <f t="shared" si="168"/>
        <v>0</v>
      </c>
      <c r="M92" s="177">
        <f t="shared" si="168"/>
        <v>0</v>
      </c>
      <c r="N92" s="177">
        <f t="shared" si="168"/>
        <v>0</v>
      </c>
      <c r="O92" s="177">
        <f t="shared" si="168"/>
        <v>5887.8656300000002</v>
      </c>
      <c r="P92" s="177">
        <f t="shared" si="168"/>
        <v>7286696.4699999997</v>
      </c>
      <c r="Q92" s="145"/>
      <c r="R92" s="145"/>
      <c r="S92" s="145"/>
      <c r="T92" s="127" t="s">
        <v>3343</v>
      </c>
      <c r="U92" s="147"/>
      <c r="V92" s="147"/>
      <c r="W92" s="147"/>
      <c r="Y92" s="174" t="str">
        <f t="shared" ref="Y92:Y100" si="169">IF(X92="","",$C$87)</f>
        <v/>
      </c>
      <c r="Z92" s="174" t="str">
        <f>IF(X92="","",CONCATENATE(Y92,"-",X92,"; ",#REF!))</f>
        <v/>
      </c>
      <c r="AA92" s="134"/>
      <c r="AB92" s="117"/>
      <c r="AC92" s="118"/>
      <c r="AD92" s="119"/>
      <c r="AE92" s="108"/>
      <c r="AF92" s="139"/>
      <c r="AG92" s="148" t="str">
        <f t="shared" si="85"/>
        <v>не совпадает</v>
      </c>
      <c r="AH92" s="76"/>
      <c r="AI92" s="149" t="str">
        <f t="shared" ref="AI92:AK101" si="170">IF(ISERROR(AB92/$AG92),"",AB92/$AG92)</f>
        <v/>
      </c>
      <c r="AJ92" s="150" t="str">
        <f t="shared" si="170"/>
        <v/>
      </c>
      <c r="AK92" s="151" t="str">
        <f t="shared" si="170"/>
        <v/>
      </c>
      <c r="AL92" s="152">
        <f t="shared" si="76"/>
        <v>0</v>
      </c>
      <c r="AM92" s="81"/>
      <c r="AN92" s="82"/>
      <c r="AO92" s="82"/>
      <c r="AP92" s="82"/>
      <c r="AQ92" s="427"/>
      <c r="AR92" s="83"/>
      <c r="AS92" s="82"/>
      <c r="AT92" s="1105"/>
      <c r="AU92" s="85"/>
      <c r="AV92" s="82"/>
      <c r="AW92" s="82"/>
      <c r="AX92" s="82" t="str">
        <f t="shared" si="140"/>
        <v/>
      </c>
      <c r="AY92" s="82"/>
      <c r="AZ92" s="82"/>
      <c r="BA92" s="82"/>
      <c r="BB92" s="82"/>
      <c r="BC92" s="154" t="e">
        <f>#REF!</f>
        <v>#REF!</v>
      </c>
      <c r="BD92" s="155" t="e">
        <f>BC92*F92*$BD$6</f>
        <v>#REF!</v>
      </c>
      <c r="BE92" s="155" t="e">
        <f>BD92/F92</f>
        <v>#REF!</v>
      </c>
      <c r="BF92" s="82"/>
      <c r="BH92" s="76"/>
    </row>
    <row r="93" spans="1:60" s="94" customFormat="1" ht="38.25">
      <c r="A93" s="76">
        <f t="shared" ref="A93:A97" si="171">IF(C93="","",1)</f>
        <v>1</v>
      </c>
      <c r="B93" s="190">
        <f>IF(A93="","",SUM($A$90:A93))</f>
        <v>1</v>
      </c>
      <c r="C93" s="157" t="s">
        <v>2899</v>
      </c>
      <c r="D93" s="158" t="str">
        <f t="shared" ref="D93" si="172">IF(AF93=0,"",AF93)</f>
        <v>3кв 2017</v>
      </c>
      <c r="E93" s="159">
        <v>10</v>
      </c>
      <c r="F93" s="219">
        <v>2.9279999999999999</v>
      </c>
      <c r="G93" s="236">
        <v>6</v>
      </c>
      <c r="H93" s="162"/>
      <c r="I93" s="162"/>
      <c r="J93" s="162"/>
      <c r="K93" s="508">
        <v>349.84724999999997</v>
      </c>
      <c r="L93" s="162"/>
      <c r="M93" s="162"/>
      <c r="N93" s="162"/>
      <c r="O93" s="508">
        <v>1098.48469</v>
      </c>
      <c r="P93" s="450">
        <v>1448331.94</v>
      </c>
      <c r="Q93" s="237"/>
      <c r="R93" s="165" t="s">
        <v>2595</v>
      </c>
      <c r="S93" s="166" t="s">
        <v>2901</v>
      </c>
      <c r="T93" s="166" t="s">
        <v>2580</v>
      </c>
      <c r="U93" s="220">
        <f>[26]ТП2017!$J$31*1000</f>
        <v>1448331.94</v>
      </c>
      <c r="V93" s="220" t="b">
        <f>U93=P93</f>
        <v>1</v>
      </c>
      <c r="W93" s="220" t="s">
        <v>2950</v>
      </c>
      <c r="X93" s="76" t="s">
        <v>2517</v>
      </c>
      <c r="Y93" s="174" t="str">
        <f>IF(X93="","",$C$87)</f>
        <v>ВЛ-10 до 15 кВт (не льгота)</v>
      </c>
      <c r="Z93" s="174" t="str">
        <f>IF(X93="","",CONCATENATE(Y93,"-",X93,"; ",$T$92))</f>
        <v>ВЛ-10 до 15 кВт (не льгота)-за границей н.п.; неизолир. сталеалюм. до 50 мм</v>
      </c>
      <c r="AA93" s="134"/>
      <c r="AB93" s="170">
        <f t="shared" ref="AB93" si="173">O93</f>
        <v>1098.48469</v>
      </c>
      <c r="AC93" s="171">
        <f t="shared" ref="AC93" si="174">(I93+H93)</f>
        <v>0</v>
      </c>
      <c r="AD93" s="172">
        <f t="shared" ref="AD93" si="175">K93</f>
        <v>349.84724999999997</v>
      </c>
      <c r="AE93" s="152">
        <f t="shared" ref="AE93" si="176">AB93+AC93+AD93</f>
        <v>1448.33194</v>
      </c>
      <c r="AF93" s="139" t="s">
        <v>2681</v>
      </c>
      <c r="AG93" s="148">
        <f t="shared" si="85"/>
        <v>4.1500000000000004</v>
      </c>
      <c r="AH93" s="76"/>
      <c r="AI93" s="149">
        <f t="shared" ref="AI93" si="177">IF(ISERROR(AB93/$AG93),"",AB93/$AG93)</f>
        <v>264.69510602409639</v>
      </c>
      <c r="AJ93" s="150">
        <f t="shared" ref="AJ93" si="178">IF(ISERROR(AC93/$AG93),"",AC93/$AG93)</f>
        <v>0</v>
      </c>
      <c r="AK93" s="151">
        <f t="shared" ref="AK93" si="179">IF(ISERROR(AD93/$AG93),"",AD93/$AG93)</f>
        <v>84.300542168674681</v>
      </c>
      <c r="AL93" s="152">
        <f t="shared" ref="AL93" si="180">SUM(AI93,AJ93,AK93)</f>
        <v>348.99564819277106</v>
      </c>
      <c r="AM93" s="81"/>
      <c r="AN93" s="82"/>
      <c r="AO93" s="209"/>
      <c r="AP93" s="82"/>
      <c r="AQ93" s="427">
        <v>29</v>
      </c>
      <c r="AR93" s="83"/>
      <c r="AS93" s="82">
        <f>IF(B93="","",IF(P93=SUM(H93,I93,K93,O93),"ИСТИНА",P93-SUM(H93,I93,K93,O93)))</f>
        <v>1446883.60806</v>
      </c>
      <c r="AT93" s="1105" t="s">
        <v>2900</v>
      </c>
      <c r="AU93" s="85"/>
      <c r="AV93" s="82"/>
      <c r="AW93" s="82"/>
      <c r="AX93" s="82">
        <f t="shared" si="140"/>
        <v>1448331.94</v>
      </c>
      <c r="AY93" s="82"/>
      <c r="AZ93" s="82"/>
      <c r="BA93" s="82"/>
      <c r="BB93" s="82"/>
      <c r="BC93" s="154"/>
      <c r="BD93" s="155"/>
      <c r="BE93" s="155"/>
      <c r="BF93" s="82"/>
      <c r="BH93" s="76"/>
    </row>
    <row r="94" spans="1:60" ht="51">
      <c r="A94" s="76">
        <f t="shared" si="171"/>
        <v>1</v>
      </c>
      <c r="B94" s="190">
        <f>IF(A94="","",SUM($A$90:A94))</f>
        <v>2</v>
      </c>
      <c r="C94" s="499" t="s">
        <v>2889</v>
      </c>
      <c r="D94" s="158" t="str">
        <f t="shared" ref="D94:D97" si="181">IF(AF94=0,"",AF94)</f>
        <v>3кв 2017</v>
      </c>
      <c r="E94" s="159">
        <v>10</v>
      </c>
      <c r="F94" s="219">
        <v>3.7</v>
      </c>
      <c r="G94" s="240">
        <v>3</v>
      </c>
      <c r="H94" s="194"/>
      <c r="I94" s="194"/>
      <c r="J94" s="244"/>
      <c r="K94" s="508">
        <v>323.48599000000002</v>
      </c>
      <c r="L94" s="162"/>
      <c r="M94" s="162"/>
      <c r="N94" s="162"/>
      <c r="O94" s="508">
        <v>2160.1043999999997</v>
      </c>
      <c r="P94" s="163">
        <v>2483590.3899999997</v>
      </c>
      <c r="Q94" s="243"/>
      <c r="R94" s="165" t="s">
        <v>2595</v>
      </c>
      <c r="S94" s="166" t="s">
        <v>2891</v>
      </c>
      <c r="T94" s="166" t="s">
        <v>2612</v>
      </c>
      <c r="U94" s="220">
        <f>([26]ТП2017!$J$18+[26]ТП2017!$J$19+[26]ТП2017!$J$20+[26]ТП2017!$J$21)*1000</f>
        <v>2739192.73</v>
      </c>
      <c r="V94" s="220" t="b">
        <f>U94=P94+P169</f>
        <v>1</v>
      </c>
      <c r="W94" s="220" t="s">
        <v>2950</v>
      </c>
      <c r="X94" s="76" t="s">
        <v>2517</v>
      </c>
      <c r="Y94" s="174" t="str">
        <f t="shared" si="169"/>
        <v>ВЛ-10 до 15 кВт (не льгота)</v>
      </c>
      <c r="Z94" s="174" t="str">
        <f>IF(X94="","",CONCATENATE(Y94,"-",X94,"; ",$T$92))</f>
        <v>ВЛ-10 до 15 кВт (не льгота)-за границей н.п.; неизолир. сталеалюм. до 50 мм</v>
      </c>
      <c r="AA94" s="134"/>
      <c r="AB94" s="170">
        <f t="shared" ref="AB94:AB97" si="182">O94</f>
        <v>2160.1043999999997</v>
      </c>
      <c r="AC94" s="171">
        <f t="shared" ref="AC94:AC97" si="183">(I94+H94)</f>
        <v>0</v>
      </c>
      <c r="AD94" s="172">
        <f t="shared" ref="AD94:AD97" si="184">K94</f>
        <v>323.48599000000002</v>
      </c>
      <c r="AE94" s="152">
        <f t="shared" ref="AE94:AE97" si="185">AB94+AC94+AD94</f>
        <v>2483.5903899999998</v>
      </c>
      <c r="AF94" s="139" t="s">
        <v>2681</v>
      </c>
      <c r="AG94" s="148">
        <f t="shared" si="85"/>
        <v>4.1500000000000004</v>
      </c>
      <c r="AI94" s="149">
        <f t="shared" si="170"/>
        <v>520.50708433734928</v>
      </c>
      <c r="AJ94" s="150">
        <f t="shared" si="170"/>
        <v>0</v>
      </c>
      <c r="AK94" s="151">
        <f t="shared" si="170"/>
        <v>77.9484313253012</v>
      </c>
      <c r="AL94" s="152">
        <f t="shared" si="76"/>
        <v>598.45551566265044</v>
      </c>
      <c r="AO94" s="209"/>
      <c r="AQ94" s="427">
        <v>26</v>
      </c>
      <c r="AS94" s="82">
        <f>IF(B94="","",IF(P94=SUM(H94,I94,K94,O94),"ИСТИНА",P94-SUM(H94,I94,K94,O94)))</f>
        <v>2481106.7996099996</v>
      </c>
      <c r="AT94" s="1105" t="s">
        <v>2888</v>
      </c>
      <c r="AX94" s="82">
        <f t="shared" si="140"/>
        <v>2483590.3899999997</v>
      </c>
      <c r="BA94" s="82" t="s">
        <v>2664</v>
      </c>
    </row>
    <row r="95" spans="1:60" ht="38.25">
      <c r="A95" s="76">
        <f t="shared" si="171"/>
        <v>1</v>
      </c>
      <c r="B95" s="190">
        <f>IF(A95="","",SUM($A$90:A95))</f>
        <v>3</v>
      </c>
      <c r="C95" s="157" t="s">
        <v>2893</v>
      </c>
      <c r="D95" s="158" t="str">
        <f t="shared" si="181"/>
        <v>3кв 2017</v>
      </c>
      <c r="E95" s="159">
        <v>10</v>
      </c>
      <c r="F95" s="504">
        <v>1.8220000000000001</v>
      </c>
      <c r="G95" s="505">
        <v>8.6999999999999993</v>
      </c>
      <c r="H95" s="506"/>
      <c r="I95" s="506"/>
      <c r="J95" s="507"/>
      <c r="K95" s="508">
        <v>265.09520000000003</v>
      </c>
      <c r="L95" s="509"/>
      <c r="M95" s="509"/>
      <c r="N95" s="509"/>
      <c r="O95" s="459">
        <v>740.13706999999999</v>
      </c>
      <c r="P95" s="163">
        <v>1005232.27</v>
      </c>
      <c r="Q95" s="243"/>
      <c r="R95" s="165" t="s">
        <v>2595</v>
      </c>
      <c r="S95" s="166" t="s">
        <v>2894</v>
      </c>
      <c r="T95" s="166" t="s">
        <v>2612</v>
      </c>
      <c r="U95" s="220">
        <f>[26]ТП2017!$K$32*1000</f>
        <v>1005232.27</v>
      </c>
      <c r="V95" s="220" t="b">
        <f>U95=P95</f>
        <v>1</v>
      </c>
      <c r="W95" s="220" t="s">
        <v>2950</v>
      </c>
      <c r="X95" s="76" t="s">
        <v>2517</v>
      </c>
      <c r="Y95" s="174" t="str">
        <f t="shared" si="169"/>
        <v>ВЛ-10 до 15 кВт (не льгота)</v>
      </c>
      <c r="Z95" s="174" t="str">
        <f>IF(X95="","",CONCATENATE(Y95,"-",X95,"; ",$T$92))</f>
        <v>ВЛ-10 до 15 кВт (не льгота)-за границей н.п.; неизолир. сталеалюм. до 50 мм</v>
      </c>
      <c r="AA95" s="134"/>
      <c r="AB95" s="170">
        <f t="shared" si="182"/>
        <v>740.13706999999999</v>
      </c>
      <c r="AC95" s="171">
        <f t="shared" si="183"/>
        <v>0</v>
      </c>
      <c r="AD95" s="172">
        <f t="shared" si="184"/>
        <v>265.09520000000003</v>
      </c>
      <c r="AE95" s="152">
        <f t="shared" si="185"/>
        <v>1005.23227</v>
      </c>
      <c r="AF95" s="139" t="s">
        <v>2681</v>
      </c>
      <c r="AG95" s="148">
        <f t="shared" si="85"/>
        <v>4.1500000000000004</v>
      </c>
      <c r="AI95" s="149">
        <f t="shared" si="170"/>
        <v>178.34628192771083</v>
      </c>
      <c r="AJ95" s="150">
        <f t="shared" si="170"/>
        <v>0</v>
      </c>
      <c r="AK95" s="151">
        <f t="shared" si="170"/>
        <v>63.878361445783135</v>
      </c>
      <c r="AL95" s="152">
        <f t="shared" si="76"/>
        <v>242.22464337349396</v>
      </c>
      <c r="AO95" s="209"/>
      <c r="AQ95" s="427">
        <v>28</v>
      </c>
      <c r="AS95" s="82">
        <f>IF(B95="","",IF(P95=SUM(H95,I95,K95,O95),"ИСТИНА",P95-SUM(H95,I95,K95,O95)))</f>
        <v>1004227.03773</v>
      </c>
      <c r="AT95" s="1105" t="s">
        <v>2895</v>
      </c>
      <c r="AX95" s="82">
        <f t="shared" si="140"/>
        <v>1005232.27</v>
      </c>
    </row>
    <row r="96" spans="1:60" ht="38.25">
      <c r="A96" s="76">
        <f t="shared" si="171"/>
        <v>1</v>
      </c>
      <c r="B96" s="190">
        <f>IF(A96="","",SUM($A$90:A96))</f>
        <v>4</v>
      </c>
      <c r="C96" s="447" t="s">
        <v>2896</v>
      </c>
      <c r="D96" s="511" t="str">
        <f t="shared" si="181"/>
        <v>3кв 2017</v>
      </c>
      <c r="E96" s="512">
        <v>10</v>
      </c>
      <c r="F96" s="448">
        <v>2.62</v>
      </c>
      <c r="G96" s="513" t="s">
        <v>26</v>
      </c>
      <c r="H96" s="449"/>
      <c r="I96" s="449"/>
      <c r="J96" s="449"/>
      <c r="K96" s="514">
        <v>315.96726000000001</v>
      </c>
      <c r="L96" s="449"/>
      <c r="M96" s="449"/>
      <c r="N96" s="449"/>
      <c r="O96" s="514">
        <v>1094.8343300000001</v>
      </c>
      <c r="P96" s="450">
        <v>1410801.59</v>
      </c>
      <c r="Q96" s="243"/>
      <c r="R96" s="165" t="s">
        <v>2595</v>
      </c>
      <c r="S96" s="166" t="s">
        <v>2897</v>
      </c>
      <c r="T96" s="166" t="s">
        <v>2612</v>
      </c>
      <c r="U96" s="220">
        <f>[26]ТП2017!$K$22*1000</f>
        <v>1410801.59</v>
      </c>
      <c r="V96" s="220" t="b">
        <f>U96=P96</f>
        <v>1</v>
      </c>
      <c r="W96" s="220" t="s">
        <v>2950</v>
      </c>
      <c r="X96" s="76" t="s">
        <v>2517</v>
      </c>
      <c r="Y96" s="174" t="str">
        <f>IF(X96="","",$C$87)</f>
        <v>ВЛ-10 до 15 кВт (не льгота)</v>
      </c>
      <c r="Z96" s="174" t="str">
        <f t="shared" ref="Z96" si="186">IF(X96="","",CONCATENATE(Y96,"-",X96,"; ",$T$92))</f>
        <v>ВЛ-10 до 15 кВт (не льгота)-за границей н.п.; неизолир. сталеалюм. до 50 мм</v>
      </c>
      <c r="AA96" s="134"/>
      <c r="AB96" s="170">
        <f t="shared" si="182"/>
        <v>1094.8343300000001</v>
      </c>
      <c r="AC96" s="171">
        <f t="shared" si="183"/>
        <v>0</v>
      </c>
      <c r="AD96" s="172">
        <f t="shared" si="184"/>
        <v>315.96726000000001</v>
      </c>
      <c r="AE96" s="152">
        <f t="shared" si="185"/>
        <v>1410.80159</v>
      </c>
      <c r="AF96" s="139" t="s">
        <v>2681</v>
      </c>
      <c r="AG96" s="148">
        <f t="shared" si="85"/>
        <v>4.1500000000000004</v>
      </c>
      <c r="AI96" s="149">
        <f t="shared" si="170"/>
        <v>263.81550120481927</v>
      </c>
      <c r="AJ96" s="150">
        <f t="shared" si="170"/>
        <v>0</v>
      </c>
      <c r="AK96" s="151">
        <f t="shared" si="170"/>
        <v>76.136689156626502</v>
      </c>
      <c r="AL96" s="152">
        <f t="shared" si="76"/>
        <v>339.95219036144579</v>
      </c>
      <c r="AO96" s="209"/>
      <c r="AQ96" s="427">
        <v>25</v>
      </c>
      <c r="AS96" s="82">
        <f>IF(B96="","",IF(P96=SUM(H96,I96,K96,O96),"ИСТИНА",P96-SUM(H96,I96,K96,O96)))</f>
        <v>1409390.78841</v>
      </c>
      <c r="AT96" s="1105" t="s">
        <v>2898</v>
      </c>
      <c r="AX96" s="82">
        <f t="shared" si="140"/>
        <v>1410801.59</v>
      </c>
      <c r="BC96" s="82">
        <v>1</v>
      </c>
    </row>
    <row r="97" spans="1:60" ht="45">
      <c r="A97" s="76">
        <f t="shared" si="171"/>
        <v>1</v>
      </c>
      <c r="B97" s="515">
        <f>IF(A97="","",SUM($A$90:A97))</f>
        <v>5</v>
      </c>
      <c r="C97" s="520" t="s">
        <v>2906</v>
      </c>
      <c r="D97" s="511" t="str">
        <f t="shared" si="181"/>
        <v>3кв 2017</v>
      </c>
      <c r="E97" s="512">
        <v>10</v>
      </c>
      <c r="F97" s="448">
        <v>1.2</v>
      </c>
      <c r="G97" s="516">
        <v>14.5</v>
      </c>
      <c r="H97" s="449"/>
      <c r="I97" s="449"/>
      <c r="J97" s="449"/>
      <c r="K97" s="514">
        <v>144.43514000000002</v>
      </c>
      <c r="L97" s="449"/>
      <c r="M97" s="449"/>
      <c r="N97" s="449"/>
      <c r="O97" s="514">
        <v>794.30514000000005</v>
      </c>
      <c r="P97" s="450">
        <v>938740.28</v>
      </c>
      <c r="Q97" s="517"/>
      <c r="R97" s="165" t="s">
        <v>2595</v>
      </c>
      <c r="S97" s="166" t="s">
        <v>2901</v>
      </c>
      <c r="T97" s="166" t="s">
        <v>2612</v>
      </c>
      <c r="U97" s="220">
        <f>([26]ТП2017!$J$27+[26]ТП2017!$J$28+[26]ТП2017!$J$29+[26]ТП2017!$J$30)*1000</f>
        <v>1149338</v>
      </c>
      <c r="V97" s="220" t="b">
        <f>U97=P97+P175</f>
        <v>1</v>
      </c>
      <c r="W97" s="220" t="s">
        <v>2950</v>
      </c>
      <c r="X97" s="76" t="s">
        <v>2517</v>
      </c>
      <c r="Y97" s="174" t="str">
        <f>IF(X97="","",$C$87)</f>
        <v>ВЛ-10 до 15 кВт (не льгота)</v>
      </c>
      <c r="Z97" s="174" t="str">
        <f>IF(X97="","",CONCATENATE(Y97,"-",X97,"; ",$T$92))</f>
        <v>ВЛ-10 до 15 кВт (не льгота)-за границей н.п.; неизолир. сталеалюм. до 50 мм</v>
      </c>
      <c r="AA97" s="134"/>
      <c r="AB97" s="170">
        <f t="shared" si="182"/>
        <v>794.30514000000005</v>
      </c>
      <c r="AC97" s="171">
        <f t="shared" si="183"/>
        <v>0</v>
      </c>
      <c r="AD97" s="172">
        <f t="shared" si="184"/>
        <v>144.43514000000002</v>
      </c>
      <c r="AE97" s="152">
        <f t="shared" si="185"/>
        <v>938.7402800000001</v>
      </c>
      <c r="AF97" s="139" t="s">
        <v>2681</v>
      </c>
      <c r="AG97" s="148">
        <f t="shared" si="85"/>
        <v>4.1500000000000004</v>
      </c>
      <c r="AI97" s="149">
        <f t="shared" si="170"/>
        <v>191.39882891566265</v>
      </c>
      <c r="AJ97" s="150">
        <f t="shared" si="170"/>
        <v>0</v>
      </c>
      <c r="AK97" s="151">
        <f t="shared" si="170"/>
        <v>34.803648192771085</v>
      </c>
      <c r="AL97" s="152">
        <f t="shared" si="76"/>
        <v>226.20247710843373</v>
      </c>
      <c r="AO97" s="209"/>
      <c r="AQ97" s="427">
        <v>27</v>
      </c>
      <c r="AS97" s="82">
        <f>IF(B97="","",IF(P97=SUM(H97,I97,K97,O97),"ИСТИНА",P97-SUM(H97,I97,K97,O97)))</f>
        <v>937801.53972</v>
      </c>
      <c r="AT97" s="1104" t="s">
        <v>2786</v>
      </c>
      <c r="AX97" s="82">
        <f t="shared" si="140"/>
        <v>938740.28</v>
      </c>
      <c r="BA97" s="82" t="s">
        <v>2664</v>
      </c>
    </row>
    <row r="98" spans="1:60" ht="18.75">
      <c r="B98" s="203">
        <f>MAX(B87:B97)</f>
        <v>5</v>
      </c>
      <c r="C98" s="204" t="s">
        <v>3345</v>
      </c>
      <c r="D98" s="204"/>
      <c r="E98" s="204"/>
      <c r="F98" s="205">
        <f>SUM(F87)</f>
        <v>12.27</v>
      </c>
      <c r="G98" s="205">
        <f t="shared" ref="G98:P98" si="187">SUM(G87)</f>
        <v>32.200000000000003</v>
      </c>
      <c r="H98" s="205">
        <f t="shared" si="187"/>
        <v>0</v>
      </c>
      <c r="I98" s="205">
        <f t="shared" si="187"/>
        <v>0</v>
      </c>
      <c r="J98" s="205">
        <f t="shared" si="187"/>
        <v>0</v>
      </c>
      <c r="K98" s="205">
        <f t="shared" si="187"/>
        <v>1398.8308400000001</v>
      </c>
      <c r="L98" s="205">
        <f t="shared" si="187"/>
        <v>0</v>
      </c>
      <c r="M98" s="205">
        <f t="shared" si="187"/>
        <v>0</v>
      </c>
      <c r="N98" s="205">
        <f t="shared" si="187"/>
        <v>0</v>
      </c>
      <c r="O98" s="205">
        <f t="shared" si="187"/>
        <v>5887.8656300000002</v>
      </c>
      <c r="P98" s="205">
        <f t="shared" si="187"/>
        <v>7286696.4699999997</v>
      </c>
      <c r="Q98" s="494"/>
      <c r="R98" s="495"/>
      <c r="S98" s="494"/>
      <c r="T98" s="494"/>
      <c r="U98" s="217"/>
      <c r="V98" s="217"/>
      <c r="W98" s="217"/>
      <c r="Y98" s="174" t="str">
        <f t="shared" si="169"/>
        <v/>
      </c>
      <c r="Z98" s="174" t="str">
        <f>IF(X98="","",CONCATENATE(Y98,"-",X98,"; ",#REF!))</f>
        <v/>
      </c>
      <c r="AA98" s="134"/>
      <c r="AB98" s="117"/>
      <c r="AC98" s="118"/>
      <c r="AD98" s="119"/>
      <c r="AE98" s="108"/>
      <c r="AF98" s="139"/>
      <c r="AG98" s="148" t="str">
        <f t="shared" si="85"/>
        <v>не совпадает</v>
      </c>
      <c r="AI98" s="149" t="str">
        <f>IF(ISERROR(AB98/$AG98),"",AB98/$AG98)</f>
        <v/>
      </c>
      <c r="AJ98" s="150" t="str">
        <f t="shared" si="170"/>
        <v/>
      </c>
      <c r="AK98" s="151" t="str">
        <f t="shared" si="170"/>
        <v/>
      </c>
      <c r="AL98" s="152">
        <f t="shared" si="76"/>
        <v>0</v>
      </c>
      <c r="AQ98" s="427"/>
      <c r="AT98" s="1105"/>
      <c r="AX98" s="82" t="str">
        <f t="shared" si="140"/>
        <v/>
      </c>
      <c r="BD98" s="210" t="e">
        <f>SUM(BD74:BD91)</f>
        <v>#REF!</v>
      </c>
      <c r="BE98" s="210" t="e">
        <f>BD98/F98</f>
        <v>#REF!</v>
      </c>
    </row>
    <row r="99" spans="1:60" s="120" customFormat="1" ht="21">
      <c r="B99" s="223"/>
      <c r="C99" s="224" t="s">
        <v>3346</v>
      </c>
      <c r="D99" s="225"/>
      <c r="E99" s="225"/>
      <c r="F99" s="226">
        <f>SUM(F86,F98)</f>
        <v>12.58</v>
      </c>
      <c r="G99" s="226">
        <f t="shared" ref="G99:P99" si="188">SUM(G86,G98)</f>
        <v>65.7</v>
      </c>
      <c r="H99" s="226">
        <f t="shared" si="188"/>
        <v>0</v>
      </c>
      <c r="I99" s="226">
        <f t="shared" si="188"/>
        <v>0</v>
      </c>
      <c r="J99" s="226">
        <f t="shared" si="188"/>
        <v>0</v>
      </c>
      <c r="K99" s="226">
        <f t="shared" si="188"/>
        <v>1538.7723600000002</v>
      </c>
      <c r="L99" s="226">
        <f t="shared" si="188"/>
        <v>0</v>
      </c>
      <c r="M99" s="226">
        <f t="shared" si="188"/>
        <v>0</v>
      </c>
      <c r="N99" s="226">
        <f t="shared" si="188"/>
        <v>0</v>
      </c>
      <c r="O99" s="226">
        <f t="shared" si="188"/>
        <v>5985.9762300000002</v>
      </c>
      <c r="P99" s="226">
        <f t="shared" si="188"/>
        <v>7524748.5899999999</v>
      </c>
      <c r="Q99" s="228"/>
      <c r="R99" s="228"/>
      <c r="S99" s="228">
        <f>F106+F72</f>
        <v>0.65500000000000003</v>
      </c>
      <c r="T99" s="229"/>
      <c r="U99" s="128"/>
      <c r="V99" s="129"/>
      <c r="W99" s="130"/>
      <c r="X99" s="131"/>
      <c r="Y99" s="132" t="str">
        <f t="shared" ref="Y99" si="189">IF(X99="","",$C$42)</f>
        <v/>
      </c>
      <c r="Z99" s="133" t="str">
        <f t="shared" ref="Z99" si="190">IF(X99="","",CONCATENATE(Y99,"-",X99,"; ",$T$55))</f>
        <v/>
      </c>
      <c r="AA99" s="134"/>
      <c r="AB99" s="117"/>
      <c r="AC99" s="118"/>
      <c r="AD99" s="119"/>
      <c r="AE99" s="108"/>
      <c r="AF99" s="193"/>
      <c r="AG99" s="148" t="str">
        <f t="shared" si="85"/>
        <v>не совпадает</v>
      </c>
      <c r="AH99" s="76"/>
      <c r="AI99" s="200" t="str">
        <f>IF(ISERROR(AB99/$AG99),"",AB99/$AG99)</f>
        <v/>
      </c>
      <c r="AJ99" s="201" t="str">
        <f t="shared" si="170"/>
        <v/>
      </c>
      <c r="AK99" s="202" t="str">
        <f t="shared" si="170"/>
        <v/>
      </c>
      <c r="AL99" s="230">
        <f t="shared" si="76"/>
        <v>0</v>
      </c>
      <c r="AM99" s="81"/>
      <c r="AN99" s="82"/>
      <c r="AO99" s="140"/>
      <c r="AP99" s="140"/>
      <c r="AQ99" s="427"/>
      <c r="AR99" s="83"/>
      <c r="AS99" s="140"/>
      <c r="AT99" s="1105"/>
      <c r="AU99" s="85"/>
      <c r="AV99" s="82"/>
      <c r="AW99" s="82"/>
      <c r="AX99" s="82" t="str">
        <f t="shared" si="140"/>
        <v/>
      </c>
      <c r="AY99" s="82"/>
      <c r="AZ99" s="140"/>
      <c r="BA99" s="140"/>
      <c r="BB99" s="140"/>
      <c r="BC99" s="218"/>
      <c r="BD99" s="140"/>
      <c r="BE99" s="140"/>
      <c r="BF99" s="140"/>
      <c r="BH99" s="76"/>
    </row>
    <row r="100" spans="1:60" ht="18.75">
      <c r="B100" s="103" t="s">
        <v>11</v>
      </c>
      <c r="C100" s="1426" t="s">
        <v>2599</v>
      </c>
      <c r="D100" s="1427"/>
      <c r="E100" s="1427"/>
      <c r="F100" s="1427"/>
      <c r="G100" s="1427"/>
      <c r="H100" s="1427"/>
      <c r="I100" s="1427"/>
      <c r="J100" s="1427"/>
      <c r="K100" s="1427"/>
      <c r="L100" s="1427"/>
      <c r="M100" s="1427"/>
      <c r="N100" s="1427"/>
      <c r="O100" s="1427"/>
      <c r="P100" s="1427"/>
      <c r="Q100" s="1427"/>
      <c r="R100" s="1427"/>
      <c r="S100" s="1427"/>
      <c r="T100" s="1427"/>
      <c r="U100" s="239"/>
      <c r="V100" s="239"/>
      <c r="W100" s="239"/>
      <c r="Y100" s="174" t="str">
        <f t="shared" si="169"/>
        <v/>
      </c>
      <c r="Z100" s="174" t="str">
        <f>IF(X100="","",CONCATENATE(Y100,"-",X100,"; ",#REF!))</f>
        <v/>
      </c>
      <c r="AA100" s="134"/>
      <c r="AB100" s="117"/>
      <c r="AC100" s="118"/>
      <c r="AD100" s="119"/>
      <c r="AE100" s="108"/>
      <c r="AF100" s="139"/>
      <c r="AG100" s="148" t="str">
        <f t="shared" si="85"/>
        <v>не совпадает</v>
      </c>
      <c r="AI100" s="149" t="str">
        <f>IF(ISERROR(AB100/$AG100),"",AB100/$AG100)</f>
        <v/>
      </c>
      <c r="AJ100" s="150" t="str">
        <f t="shared" si="170"/>
        <v/>
      </c>
      <c r="AK100" s="151" t="str">
        <f t="shared" si="170"/>
        <v/>
      </c>
      <c r="AL100" s="152">
        <f t="shared" si="76"/>
        <v>0</v>
      </c>
      <c r="AQ100" s="427"/>
      <c r="AT100" s="1105"/>
      <c r="AX100" s="82" t="str">
        <f t="shared" si="140"/>
        <v/>
      </c>
    </row>
    <row r="101" spans="1:60" ht="18.75">
      <c r="B101" s="110" t="s">
        <v>12</v>
      </c>
      <c r="C101" s="111" t="s">
        <v>2600</v>
      </c>
      <c r="D101" s="112"/>
      <c r="E101" s="112"/>
      <c r="F101" s="113">
        <f>SUM(F102)</f>
        <v>0.37</v>
      </c>
      <c r="G101" s="114">
        <f t="shared" ref="G101:P109" si="191">SUM(G102)</f>
        <v>86.97999999999999</v>
      </c>
      <c r="H101" s="114">
        <f t="shared" si="191"/>
        <v>0</v>
      </c>
      <c r="I101" s="114">
        <f t="shared" si="191"/>
        <v>0</v>
      </c>
      <c r="J101" s="114">
        <f t="shared" si="191"/>
        <v>0</v>
      </c>
      <c r="K101" s="114">
        <f t="shared" si="191"/>
        <v>233.04389000000003</v>
      </c>
      <c r="L101" s="114">
        <f t="shared" si="191"/>
        <v>0</v>
      </c>
      <c r="M101" s="114">
        <f t="shared" si="191"/>
        <v>0</v>
      </c>
      <c r="N101" s="114">
        <f t="shared" si="191"/>
        <v>0</v>
      </c>
      <c r="O101" s="114">
        <f t="shared" si="191"/>
        <v>158.34092999999999</v>
      </c>
      <c r="P101" s="114">
        <f>SUM(P102)</f>
        <v>391384.82</v>
      </c>
      <c r="Q101" s="112"/>
      <c r="R101" s="112"/>
      <c r="S101" s="112"/>
      <c r="T101" s="115"/>
      <c r="U101" s="116"/>
      <c r="V101" s="116"/>
      <c r="W101" s="116"/>
      <c r="Y101" s="174" t="str">
        <f>IF(X101="","",$C$101)</f>
        <v/>
      </c>
      <c r="Z101" s="174" t="str">
        <f>IF(X101="","",CONCATENATE(Y101,"-",X101,"; ",#REF!))</f>
        <v/>
      </c>
      <c r="AA101" s="134"/>
      <c r="AB101" s="117"/>
      <c r="AC101" s="118"/>
      <c r="AD101" s="119"/>
      <c r="AE101" s="108"/>
      <c r="AF101" s="139"/>
      <c r="AG101" s="148" t="str">
        <f t="shared" si="85"/>
        <v>не совпадает</v>
      </c>
      <c r="AI101" s="149" t="str">
        <f>IF(ISERROR(AB101/$AG101),"",AB101/$AG101)</f>
        <v/>
      </c>
      <c r="AJ101" s="150" t="str">
        <f t="shared" si="170"/>
        <v/>
      </c>
      <c r="AK101" s="151" t="str">
        <f t="shared" si="170"/>
        <v/>
      </c>
      <c r="AL101" s="152">
        <f t="shared" si="76"/>
        <v>0</v>
      </c>
      <c r="AO101" s="209"/>
      <c r="AQ101" s="427"/>
      <c r="AT101" s="1105"/>
      <c r="AX101" s="82" t="str">
        <f t="shared" si="140"/>
        <v/>
      </c>
    </row>
    <row r="102" spans="1:60" s="120" customFormat="1" ht="15.75">
      <c r="B102" s="121" t="s">
        <v>2601</v>
      </c>
      <c r="C102" s="122" t="str">
        <f>"Всего по "&amp;T102&amp;" ("&amp;$C$101&amp;"):"</f>
        <v>Всего по Г.Н.П. (ВЛ-0,4 от 15 до 150 кВт):</v>
      </c>
      <c r="D102" s="123"/>
      <c r="E102" s="123"/>
      <c r="F102" s="124">
        <f>F105</f>
        <v>0.37</v>
      </c>
      <c r="G102" s="124">
        <f t="shared" ref="G102:O102" si="192">G105</f>
        <v>86.97999999999999</v>
      </c>
      <c r="H102" s="124">
        <f t="shared" si="192"/>
        <v>0</v>
      </c>
      <c r="I102" s="124">
        <f t="shared" si="192"/>
        <v>0</v>
      </c>
      <c r="J102" s="124">
        <f t="shared" si="192"/>
        <v>0</v>
      </c>
      <c r="K102" s="124">
        <f t="shared" si="192"/>
        <v>233.04389000000003</v>
      </c>
      <c r="L102" s="124">
        <f t="shared" si="192"/>
        <v>0</v>
      </c>
      <c r="M102" s="124">
        <f t="shared" si="192"/>
        <v>0</v>
      </c>
      <c r="N102" s="124">
        <f t="shared" si="192"/>
        <v>0</v>
      </c>
      <c r="O102" s="124">
        <f t="shared" si="192"/>
        <v>158.34092999999999</v>
      </c>
      <c r="P102" s="124">
        <f>P105</f>
        <v>391384.82</v>
      </c>
      <c r="Q102" s="127"/>
      <c r="R102" s="127"/>
      <c r="S102" s="127"/>
      <c r="T102" s="127" t="s">
        <v>2956</v>
      </c>
      <c r="U102" s="128"/>
      <c r="V102" s="129"/>
      <c r="W102" s="130"/>
      <c r="X102" s="131"/>
      <c r="Y102" s="132"/>
      <c r="Z102" s="133"/>
      <c r="AA102" s="134"/>
      <c r="AB102" s="135"/>
      <c r="AC102" s="136"/>
      <c r="AD102" s="137"/>
      <c r="AE102" s="192"/>
      <c r="AF102" s="193"/>
      <c r="AG102" s="148" t="str">
        <f t="shared" si="85"/>
        <v>не совпадает</v>
      </c>
      <c r="AH102" s="76"/>
      <c r="AI102" s="117"/>
      <c r="AJ102" s="118"/>
      <c r="AK102" s="119"/>
      <c r="AL102" s="138"/>
      <c r="AM102" s="81"/>
      <c r="AN102" s="82"/>
      <c r="AO102" s="140"/>
      <c r="AP102" s="140"/>
      <c r="AQ102" s="427"/>
      <c r="AR102" s="83"/>
      <c r="AS102" s="140"/>
      <c r="AT102" s="1105"/>
      <c r="AU102" s="85"/>
      <c r="AV102" s="82"/>
      <c r="AW102" s="82"/>
      <c r="AX102" s="82" t="str">
        <f t="shared" si="140"/>
        <v/>
      </c>
      <c r="AY102" s="82"/>
      <c r="AZ102" s="140"/>
      <c r="BA102" s="140"/>
      <c r="BB102" s="140"/>
      <c r="BC102" s="218"/>
      <c r="BD102" s="140"/>
      <c r="BE102" s="140"/>
      <c r="BF102" s="140"/>
      <c r="BH102" s="76"/>
    </row>
    <row r="103" spans="1:60" s="94" customFormat="1" ht="31.5">
      <c r="B103" s="121" t="s">
        <v>2603</v>
      </c>
      <c r="C103" s="144" t="str">
        <f>"Всего по "&amp;T103&amp;" ("&amp;$C$101&amp;"):"</f>
        <v>Всего по Изолир. алюм. до 50 мм (ВЛ-0,4 от 15 до 150 кВт):</v>
      </c>
      <c r="D103" s="144"/>
      <c r="E103" s="144"/>
      <c r="F103" s="177">
        <f>SUM(F104)</f>
        <v>0</v>
      </c>
      <c r="G103" s="177">
        <f t="shared" ref="G103:P103" si="193">SUM(G104)</f>
        <v>0</v>
      </c>
      <c r="H103" s="177">
        <f t="shared" si="193"/>
        <v>0</v>
      </c>
      <c r="I103" s="177">
        <f t="shared" si="193"/>
        <v>0</v>
      </c>
      <c r="J103" s="177">
        <f t="shared" si="193"/>
        <v>0</v>
      </c>
      <c r="K103" s="177">
        <f t="shared" si="193"/>
        <v>0</v>
      </c>
      <c r="L103" s="177">
        <f t="shared" si="193"/>
        <v>0</v>
      </c>
      <c r="M103" s="177">
        <f t="shared" si="193"/>
        <v>0</v>
      </c>
      <c r="N103" s="177">
        <f t="shared" si="193"/>
        <v>0</v>
      </c>
      <c r="O103" s="177">
        <f t="shared" si="193"/>
        <v>0</v>
      </c>
      <c r="P103" s="177">
        <f t="shared" si="193"/>
        <v>0</v>
      </c>
      <c r="Q103" s="145"/>
      <c r="R103" s="145"/>
      <c r="S103" s="145"/>
      <c r="T103" s="146" t="s">
        <v>2962</v>
      </c>
      <c r="U103" s="147"/>
      <c r="V103" s="147"/>
      <c r="W103" s="147"/>
      <c r="Y103" s="174" t="str">
        <f t="shared" ref="Y103" si="194">IF(X103="","",$C$101)</f>
        <v/>
      </c>
      <c r="Z103" s="174" t="str">
        <f>IF(X103="","",CONCATENATE(Y103,"-",X103,"; ",$T$109))</f>
        <v/>
      </c>
      <c r="AA103" s="134"/>
      <c r="AB103" s="117"/>
      <c r="AC103" s="118"/>
      <c r="AD103" s="119"/>
      <c r="AE103" s="108"/>
      <c r="AF103" s="139"/>
      <c r="AG103" s="148" t="str">
        <f t="shared" si="85"/>
        <v>не совпадает</v>
      </c>
      <c r="AH103" s="76"/>
      <c r="AI103" s="149" t="str">
        <f t="shared" ref="AI103:AK103" si="195">IF(ISERROR(AB103/$AG103),"",AB103/$AG103)</f>
        <v/>
      </c>
      <c r="AJ103" s="150" t="str">
        <f t="shared" si="195"/>
        <v/>
      </c>
      <c r="AK103" s="151" t="str">
        <f t="shared" si="195"/>
        <v/>
      </c>
      <c r="AL103" s="152">
        <f t="shared" ref="AL103" si="196">SUM(AI103,AJ103,AK103)</f>
        <v>0</v>
      </c>
      <c r="AM103" s="81"/>
      <c r="AN103" s="82"/>
      <c r="AO103" s="82"/>
      <c r="AP103" s="82"/>
      <c r="AQ103" s="427"/>
      <c r="AR103" s="83"/>
      <c r="AS103" s="82"/>
      <c r="AT103" s="1105"/>
      <c r="AU103" s="85"/>
      <c r="AV103" s="82"/>
      <c r="AW103" s="82"/>
      <c r="AX103" s="82" t="str">
        <f t="shared" si="140"/>
        <v/>
      </c>
      <c r="AY103" s="82"/>
      <c r="AZ103" s="82"/>
      <c r="BA103" s="82"/>
      <c r="BB103" s="82"/>
      <c r="BC103" s="154" t="e">
        <f>#REF!</f>
        <v>#REF!</v>
      </c>
      <c r="BD103" s="155" t="e">
        <f>BC103*F103*$BD$6</f>
        <v>#REF!</v>
      </c>
      <c r="BE103" s="155" t="e">
        <f>BD103/F103</f>
        <v>#REF!</v>
      </c>
      <c r="BF103" s="82"/>
      <c r="BH103" s="76"/>
    </row>
    <row r="104" spans="1:60" ht="15.75">
      <c r="A104" s="76" t="str">
        <f t="shared" ref="A104" si="197">IF(C104="","",1)</f>
        <v/>
      </c>
      <c r="B104" s="191" t="str">
        <f>IF(A104="","",SUM($A$104:A104))</f>
        <v/>
      </c>
      <c r="C104" s="180"/>
      <c r="D104" s="158" t="str">
        <f>IF(AF104=0,"",AF104)</f>
        <v/>
      </c>
      <c r="E104" s="159">
        <v>0.4</v>
      </c>
      <c r="F104" s="221"/>
      <c r="G104" s="238"/>
      <c r="H104" s="233"/>
      <c r="I104" s="233"/>
      <c r="J104" s="233"/>
      <c r="K104" s="233"/>
      <c r="L104" s="233"/>
      <c r="M104" s="233"/>
      <c r="N104" s="233"/>
      <c r="O104" s="233"/>
      <c r="P104" s="184"/>
      <c r="Q104" s="234"/>
      <c r="R104" s="186" t="s">
        <v>2595</v>
      </c>
      <c r="S104" s="187"/>
      <c r="T104" s="187"/>
      <c r="U104" s="220"/>
      <c r="V104" s="220"/>
      <c r="W104" s="220"/>
      <c r="Y104" s="174"/>
      <c r="Z104" s="174"/>
      <c r="AA104" s="134"/>
      <c r="AB104" s="170"/>
      <c r="AC104" s="171"/>
      <c r="AD104" s="172"/>
      <c r="AE104" s="152"/>
      <c r="AF104" s="139"/>
      <c r="AG104" s="148"/>
      <c r="AI104" s="149"/>
      <c r="AJ104" s="150"/>
      <c r="AK104" s="151"/>
      <c r="AL104" s="152"/>
      <c r="AQ104" s="427"/>
      <c r="AT104" s="1105"/>
    </row>
    <row r="105" spans="1:60" s="120" customFormat="1" ht="15.75">
      <c r="B105" s="121" t="s">
        <v>2604</v>
      </c>
      <c r="C105" s="142" t="str">
        <f>"Всего по "&amp;T105&amp;" ("&amp;$C$101&amp;"):"</f>
        <v>Всего по Г.Н.П. (ВЛ-0,4 от 15 до 150 кВт):</v>
      </c>
      <c r="D105" s="143"/>
      <c r="E105" s="143"/>
      <c r="F105" s="231">
        <f>SUM(F106,F109)</f>
        <v>0.37</v>
      </c>
      <c r="G105" s="231">
        <f t="shared" ref="G105:P105" si="198">SUM(G106,G109)</f>
        <v>86.97999999999999</v>
      </c>
      <c r="H105" s="231">
        <f t="shared" si="198"/>
        <v>0</v>
      </c>
      <c r="I105" s="231">
        <f t="shared" si="198"/>
        <v>0</v>
      </c>
      <c r="J105" s="231">
        <f t="shared" si="198"/>
        <v>0</v>
      </c>
      <c r="K105" s="231">
        <f t="shared" si="198"/>
        <v>233.04389000000003</v>
      </c>
      <c r="L105" s="231">
        <f t="shared" si="198"/>
        <v>0</v>
      </c>
      <c r="M105" s="231">
        <f t="shared" si="198"/>
        <v>0</v>
      </c>
      <c r="N105" s="231">
        <f t="shared" si="198"/>
        <v>0</v>
      </c>
      <c r="O105" s="231">
        <f t="shared" si="198"/>
        <v>158.34092999999999</v>
      </c>
      <c r="P105" s="231">
        <f t="shared" si="198"/>
        <v>391384.82</v>
      </c>
      <c r="Q105" s="127"/>
      <c r="R105" s="127"/>
      <c r="S105" s="127"/>
      <c r="T105" s="127" t="s">
        <v>2956</v>
      </c>
      <c r="U105" s="128"/>
      <c r="V105" s="129"/>
      <c r="W105" s="130"/>
      <c r="X105" s="131"/>
      <c r="Y105" s="132"/>
      <c r="Z105" s="133"/>
      <c r="AA105" s="134"/>
      <c r="AB105" s="135"/>
      <c r="AC105" s="136"/>
      <c r="AD105" s="137"/>
      <c r="AE105" s="192"/>
      <c r="AF105" s="193"/>
      <c r="AG105" s="148" t="str">
        <f t="shared" si="85"/>
        <v>не совпадает</v>
      </c>
      <c r="AH105" s="76"/>
      <c r="AI105" s="117"/>
      <c r="AJ105" s="118"/>
      <c r="AK105" s="119"/>
      <c r="AL105" s="138"/>
      <c r="AM105" s="81"/>
      <c r="AN105" s="82"/>
      <c r="AO105" s="140"/>
      <c r="AP105" s="140"/>
      <c r="AQ105" s="427"/>
      <c r="AR105" s="83"/>
      <c r="AS105" s="140"/>
      <c r="AT105" s="1105"/>
      <c r="AU105" s="85"/>
      <c r="AV105" s="82"/>
      <c r="AW105" s="82"/>
      <c r="AX105" s="82" t="str">
        <f t="shared" si="140"/>
        <v/>
      </c>
      <c r="AY105" s="82"/>
      <c r="AZ105" s="140"/>
      <c r="BA105" s="140"/>
      <c r="BB105" s="140"/>
      <c r="BC105" s="218"/>
      <c r="BD105" s="140"/>
      <c r="BE105" s="140"/>
      <c r="BF105" s="140"/>
      <c r="BH105" s="76"/>
    </row>
    <row r="106" spans="1:60" s="94" customFormat="1" ht="31.5">
      <c r="B106" s="121" t="s">
        <v>2605</v>
      </c>
      <c r="C106" s="144" t="str">
        <f>"Всего по "&amp;$T$105&amp;""&amp;T106&amp;" ("&amp;$C$101&amp;"):"</f>
        <v>Всего по Г.Н.П.Изолир. алюм. до 50 мм (ВЛ-0,4 от 15 до 150 кВт):</v>
      </c>
      <c r="D106" s="144"/>
      <c r="E106" s="144"/>
      <c r="F106" s="177">
        <f>SUM(F107:F108)</f>
        <v>0.37</v>
      </c>
      <c r="G106" s="177">
        <f t="shared" ref="G106:P106" si="199">SUM(G107:G108)</f>
        <v>86.97999999999999</v>
      </c>
      <c r="H106" s="177">
        <f t="shared" si="199"/>
        <v>0</v>
      </c>
      <c r="I106" s="177">
        <f t="shared" si="199"/>
        <v>0</v>
      </c>
      <c r="J106" s="177">
        <f t="shared" si="199"/>
        <v>0</v>
      </c>
      <c r="K106" s="177">
        <f t="shared" si="199"/>
        <v>233.04389000000003</v>
      </c>
      <c r="L106" s="177">
        <f t="shared" si="199"/>
        <v>0</v>
      </c>
      <c r="M106" s="177">
        <f t="shared" si="199"/>
        <v>0</v>
      </c>
      <c r="N106" s="177">
        <f t="shared" si="199"/>
        <v>0</v>
      </c>
      <c r="O106" s="177">
        <f t="shared" si="199"/>
        <v>158.34092999999999</v>
      </c>
      <c r="P106" s="177">
        <f t="shared" si="199"/>
        <v>391384.82</v>
      </c>
      <c r="Q106" s="145"/>
      <c r="R106" s="145"/>
      <c r="S106" s="145"/>
      <c r="T106" s="146" t="s">
        <v>2962</v>
      </c>
      <c r="U106" s="147"/>
      <c r="V106" s="147"/>
      <c r="W106" s="147"/>
      <c r="Y106" s="174" t="str">
        <f t="shared" ref="Y106" si="200">IF(X106="","",$C$112)</f>
        <v/>
      </c>
      <c r="Z106" s="174" t="str">
        <f>IF(X106="","",CONCATENATE(Y106,"-",X106,"; ",#REF!))</f>
        <v/>
      </c>
      <c r="AA106" s="134"/>
      <c r="AB106" s="117"/>
      <c r="AC106" s="118"/>
      <c r="AD106" s="119"/>
      <c r="AE106" s="108"/>
      <c r="AF106" s="139"/>
      <c r="AG106" s="148" t="str">
        <f t="shared" si="85"/>
        <v>не совпадает</v>
      </c>
      <c r="AH106" s="76"/>
      <c r="AI106" s="149" t="str">
        <f t="shared" ref="AI106:AK112" si="201">IF(ISERROR(AB106/$AG106),"",AB106/$AG106)</f>
        <v/>
      </c>
      <c r="AJ106" s="150" t="str">
        <f t="shared" si="201"/>
        <v/>
      </c>
      <c r="AK106" s="151" t="str">
        <f t="shared" si="201"/>
        <v/>
      </c>
      <c r="AL106" s="152">
        <f t="shared" ref="AL106:AL108" si="202">SUM(AI106,AJ106,AK106)</f>
        <v>0</v>
      </c>
      <c r="AM106" s="81"/>
      <c r="AN106" s="82"/>
      <c r="AO106" s="82"/>
      <c r="AP106" s="82"/>
      <c r="AQ106" s="427"/>
      <c r="AR106" s="83"/>
      <c r="AS106" s="82"/>
      <c r="AT106" s="1105"/>
      <c r="AU106" s="85"/>
      <c r="AV106" s="82"/>
      <c r="AW106" s="82"/>
      <c r="AX106" s="82" t="str">
        <f t="shared" si="140"/>
        <v/>
      </c>
      <c r="AY106" s="82"/>
      <c r="AZ106" s="82"/>
      <c r="BA106" s="82"/>
      <c r="BB106" s="82"/>
      <c r="BC106" s="154" t="e">
        <f>#REF!</f>
        <v>#REF!</v>
      </c>
      <c r="BD106" s="155" t="e">
        <f>BC106*F106*$BD$6</f>
        <v>#REF!</v>
      </c>
      <c r="BE106" s="155" t="e">
        <f>BD106/F106</f>
        <v>#REF!</v>
      </c>
      <c r="BF106" s="82"/>
      <c r="BH106" s="76"/>
    </row>
    <row r="107" spans="1:60" ht="25.5">
      <c r="A107" s="76">
        <f t="shared" ref="A107" si="203">IF(C107="","",1)</f>
        <v>1</v>
      </c>
      <c r="B107" s="190">
        <f>IF(A107="","",SUM($A$104:A107))</f>
        <v>1</v>
      </c>
      <c r="C107" s="1445" t="s">
        <v>2782</v>
      </c>
      <c r="D107" s="158" t="str">
        <f t="shared" ref="D107:D108" si="204">IF(AF107=0,"",AF107)</f>
        <v>4кв 2017</v>
      </c>
      <c r="E107" s="159">
        <v>0.4</v>
      </c>
      <c r="F107" s="219">
        <v>0.25</v>
      </c>
      <c r="G107" s="238">
        <v>59.98</v>
      </c>
      <c r="H107" s="162"/>
      <c r="I107" s="162"/>
      <c r="J107" s="241"/>
      <c r="K107" s="162">
        <v>146.08259000000001</v>
      </c>
      <c r="L107" s="241"/>
      <c r="M107" s="241"/>
      <c r="N107" s="241"/>
      <c r="O107" s="162">
        <v>62.324069999999999</v>
      </c>
      <c r="P107" s="242">
        <v>208406.66</v>
      </c>
      <c r="Q107" s="243"/>
      <c r="R107" s="186" t="s">
        <v>2595</v>
      </c>
      <c r="S107" s="166" t="s">
        <v>2783</v>
      </c>
      <c r="T107" s="166" t="s">
        <v>3662</v>
      </c>
      <c r="U107" s="220">
        <f>[26]ТП2017!$K$13*1000</f>
        <v>208406.66</v>
      </c>
      <c r="V107" s="220" t="b">
        <f>U107=P107</f>
        <v>1</v>
      </c>
      <c r="W107" s="220" t="s">
        <v>2946</v>
      </c>
      <c r="X107" s="76" t="s">
        <v>2519</v>
      </c>
      <c r="Y107" s="174" t="str">
        <f>IF(X107="","",$C$101)</f>
        <v>ВЛ-0,4 от 15 до 150 кВт</v>
      </c>
      <c r="Z107" s="174" t="str">
        <f>IF(X107="","",CONCATENATE(Y107,"-",X107,"; ",$T$106))</f>
        <v>ВЛ-0,4 от 15 до 150 кВт-н.п.; Изолир. алюм. до 50 мм</v>
      </c>
      <c r="AA107" s="134"/>
      <c r="AB107" s="170">
        <f t="shared" ref="AB107" si="205">O107</f>
        <v>62.324069999999999</v>
      </c>
      <c r="AC107" s="171">
        <f t="shared" ref="AC107" si="206">(I107+H107)</f>
        <v>0</v>
      </c>
      <c r="AD107" s="172">
        <f t="shared" ref="AD107" si="207">K107</f>
        <v>146.08259000000001</v>
      </c>
      <c r="AE107" s="152">
        <f t="shared" ref="AE107" si="208">AB107+AC107+AD107</f>
        <v>208.40666000000002</v>
      </c>
      <c r="AF107" s="139" t="s">
        <v>2697</v>
      </c>
      <c r="AG107" s="148">
        <f t="shared" si="85"/>
        <v>4.2</v>
      </c>
      <c r="AI107" s="149">
        <f t="shared" si="201"/>
        <v>14.839064285714285</v>
      </c>
      <c r="AJ107" s="150">
        <f t="shared" si="201"/>
        <v>0</v>
      </c>
      <c r="AK107" s="151">
        <f t="shared" si="201"/>
        <v>34.781569047619051</v>
      </c>
      <c r="AL107" s="152">
        <f t="shared" ref="AL107" si="209">SUM(AI107,AJ107,AK107)</f>
        <v>49.620633333333338</v>
      </c>
      <c r="AQ107" s="427" t="s">
        <v>2567</v>
      </c>
      <c r="AS107" s="82">
        <f>IF(B107="","",IF(P107=SUM(H107,I107,K107,O107),"ИСТИНА",P107-SUM(H107,I107,K107,O107)))</f>
        <v>208198.25334</v>
      </c>
      <c r="AT107" s="1105" t="s">
        <v>3663</v>
      </c>
      <c r="AX107" s="82">
        <f t="shared" si="140"/>
        <v>208406.66</v>
      </c>
    </row>
    <row r="108" spans="1:60" ht="25.5">
      <c r="A108" s="76">
        <f t="shared" ref="A108" si="210">IF(C108="","",1)</f>
        <v>1</v>
      </c>
      <c r="B108" s="190">
        <f>IF(A108="","",SUM($A$104:A108))</f>
        <v>2</v>
      </c>
      <c r="C108" s="180" t="s">
        <v>2789</v>
      </c>
      <c r="D108" s="158" t="str">
        <f t="shared" si="204"/>
        <v>3кв 2017</v>
      </c>
      <c r="E108" s="159">
        <v>0.4</v>
      </c>
      <c r="F108" s="221">
        <v>0.12</v>
      </c>
      <c r="G108" s="238">
        <v>27</v>
      </c>
      <c r="H108" s="233"/>
      <c r="I108" s="233"/>
      <c r="J108" s="233"/>
      <c r="K108" s="233">
        <v>86.961300000000008</v>
      </c>
      <c r="L108" s="233"/>
      <c r="M108" s="233"/>
      <c r="N108" s="233"/>
      <c r="O108" s="233">
        <v>96.016859999999994</v>
      </c>
      <c r="P108" s="242">
        <v>182978.16</v>
      </c>
      <c r="Q108" s="1111"/>
      <c r="R108" s="186" t="s">
        <v>2595</v>
      </c>
      <c r="S108" s="187" t="s">
        <v>2790</v>
      </c>
      <c r="T108" s="166" t="s">
        <v>2571</v>
      </c>
      <c r="U108" s="220">
        <f>[26]ТП2017!$K$12*1000</f>
        <v>182978.16</v>
      </c>
      <c r="V108" s="220" t="b">
        <f>U108=P108</f>
        <v>1</v>
      </c>
      <c r="W108" s="220" t="s">
        <v>2946</v>
      </c>
      <c r="X108" s="76" t="s">
        <v>2519</v>
      </c>
      <c r="Y108" s="174" t="str">
        <f>IF(X108="","",$C$101)</f>
        <v>ВЛ-0,4 от 15 до 150 кВт</v>
      </c>
      <c r="Z108" s="174" t="str">
        <f t="shared" ref="Z108" si="211">IF(X108="","",CONCATENATE(Y108,"-",X108,"; ",$T$103))</f>
        <v>ВЛ-0,4 от 15 до 150 кВт-н.п.; Изолир. алюм. до 50 мм</v>
      </c>
      <c r="AA108" s="134"/>
      <c r="AB108" s="170">
        <f>O108</f>
        <v>96.016859999999994</v>
      </c>
      <c r="AC108" s="171">
        <f>(I108+H108)</f>
        <v>0</v>
      </c>
      <c r="AD108" s="172">
        <f>K108</f>
        <v>86.961300000000008</v>
      </c>
      <c r="AE108" s="152">
        <f t="shared" ref="AE108" si="212">AB108+AC108+AD108</f>
        <v>182.97816</v>
      </c>
      <c r="AF108" s="139" t="s">
        <v>2681</v>
      </c>
      <c r="AG108" s="148">
        <f t="shared" si="85"/>
        <v>4.1500000000000004</v>
      </c>
      <c r="AI108" s="149">
        <f t="shared" ref="AI108" si="213">IF(ISERROR(AB108/$AG108),"",AB108/$AG108)</f>
        <v>23.136592771084334</v>
      </c>
      <c r="AJ108" s="150">
        <f t="shared" ref="AJ108" si="214">IF(ISERROR(AC108/$AG108),"",AC108/$AG108)</f>
        <v>0</v>
      </c>
      <c r="AK108" s="151">
        <f t="shared" ref="AK108" si="215">IF(ISERROR(AD108/$AG108),"",AD108/$AG108)</f>
        <v>20.954530120481927</v>
      </c>
      <c r="AL108" s="152">
        <f t="shared" si="202"/>
        <v>44.091122891566258</v>
      </c>
      <c r="AQ108" s="427">
        <v>19</v>
      </c>
      <c r="AS108" s="82">
        <f>IF(B108="","",IF(P108=SUM(H108,I108,K108,O108),"ИСТИНА",P108-SUM(H108,I108,K108,O108)))</f>
        <v>182795.18184</v>
      </c>
      <c r="AT108" s="1105" t="s">
        <v>2791</v>
      </c>
      <c r="AX108" s="82">
        <f t="shared" ref="AX108" si="216">IF(AT108="","",P108)</f>
        <v>182978.16</v>
      </c>
    </row>
    <row r="109" spans="1:60" s="94" customFormat="1" ht="15.75">
      <c r="B109" s="121" t="s">
        <v>2607</v>
      </c>
      <c r="C109" s="144" t="str">
        <f>"Всего по "&amp;$T$105&amp;""&amp;T109&amp;" ("&amp;$C$101&amp;"):"</f>
        <v>Всего по Г.Н.П.0 (ВЛ-0,4 от 15 до 150 кВт):</v>
      </c>
      <c r="D109" s="144"/>
      <c r="E109" s="144"/>
      <c r="F109" s="177">
        <f>SUM(F110)</f>
        <v>0</v>
      </c>
      <c r="G109" s="178">
        <f t="shared" si="191"/>
        <v>0</v>
      </c>
      <c r="H109" s="178">
        <f t="shared" si="191"/>
        <v>0</v>
      </c>
      <c r="I109" s="178">
        <f t="shared" si="191"/>
        <v>0</v>
      </c>
      <c r="J109" s="178">
        <f t="shared" si="191"/>
        <v>0</v>
      </c>
      <c r="K109" s="178">
        <f t="shared" si="191"/>
        <v>0</v>
      </c>
      <c r="L109" s="178">
        <f t="shared" si="191"/>
        <v>0</v>
      </c>
      <c r="M109" s="178">
        <f t="shared" si="191"/>
        <v>0</v>
      </c>
      <c r="N109" s="178">
        <f t="shared" si="191"/>
        <v>0</v>
      </c>
      <c r="O109" s="178">
        <f t="shared" si="191"/>
        <v>0</v>
      </c>
      <c r="P109" s="178">
        <f t="shared" si="191"/>
        <v>0</v>
      </c>
      <c r="Q109" s="145"/>
      <c r="R109" s="145"/>
      <c r="S109" s="145"/>
      <c r="T109" s="146">
        <f>T110</f>
        <v>0</v>
      </c>
      <c r="U109" s="147"/>
      <c r="V109" s="147"/>
      <c r="W109" s="147"/>
      <c r="Y109" s="174" t="str">
        <f t="shared" ref="Y109:Y111" si="217">IF(X109="","",$C$101)</f>
        <v/>
      </c>
      <c r="Z109" s="174" t="str">
        <f>IF(X109="","",CONCATENATE(Y109,"-",X109,"; ",$T$109))</f>
        <v/>
      </c>
      <c r="AA109" s="134"/>
      <c r="AB109" s="117"/>
      <c r="AC109" s="118"/>
      <c r="AD109" s="119"/>
      <c r="AE109" s="108"/>
      <c r="AF109" s="139"/>
      <c r="AG109" s="148" t="str">
        <f t="shared" si="85"/>
        <v>не совпадает</v>
      </c>
      <c r="AH109" s="76"/>
      <c r="AI109" s="149" t="str">
        <f t="shared" si="201"/>
        <v/>
      </c>
      <c r="AJ109" s="150" t="str">
        <f t="shared" si="201"/>
        <v/>
      </c>
      <c r="AK109" s="151" t="str">
        <f t="shared" si="201"/>
        <v/>
      </c>
      <c r="AL109" s="152">
        <f t="shared" si="76"/>
        <v>0</v>
      </c>
      <c r="AM109" s="81"/>
      <c r="AN109" s="82"/>
      <c r="AO109" s="82"/>
      <c r="AP109" s="82"/>
      <c r="AQ109" s="427"/>
      <c r="AR109" s="83"/>
      <c r="AS109" s="82"/>
      <c r="AT109" s="1105"/>
      <c r="AU109" s="85"/>
      <c r="AV109" s="82"/>
      <c r="AW109" s="82"/>
      <c r="AX109" s="82" t="str">
        <f t="shared" si="140"/>
        <v/>
      </c>
      <c r="AY109" s="82"/>
      <c r="AZ109" s="82"/>
      <c r="BA109" s="82"/>
      <c r="BB109" s="82"/>
      <c r="BC109" s="154" t="e">
        <f>#REF!</f>
        <v>#REF!</v>
      </c>
      <c r="BD109" s="155" t="e">
        <f>BC109*F109*$BD$6</f>
        <v>#REF!</v>
      </c>
      <c r="BE109" s="155" t="e">
        <f>BD109/F109</f>
        <v>#REF!</v>
      </c>
      <c r="BF109" s="82"/>
      <c r="BH109" s="76"/>
    </row>
    <row r="110" spans="1:60" ht="15.75">
      <c r="A110" s="76" t="str">
        <f t="shared" ref="A110" si="218">IF(C110="","",1)</f>
        <v/>
      </c>
      <c r="B110" s="191" t="str">
        <f>IF(A110="","",SUM($A$104:A110))</f>
        <v/>
      </c>
      <c r="C110" s="180"/>
      <c r="D110" s="158"/>
      <c r="E110" s="159"/>
      <c r="F110" s="221"/>
      <c r="G110" s="238"/>
      <c r="H110" s="233"/>
      <c r="I110" s="233"/>
      <c r="J110" s="233"/>
      <c r="K110" s="233"/>
      <c r="L110" s="233"/>
      <c r="M110" s="233"/>
      <c r="N110" s="233"/>
      <c r="O110" s="233"/>
      <c r="P110" s="242"/>
      <c r="Q110" s="234"/>
      <c r="R110" s="186"/>
      <c r="S110" s="187"/>
      <c r="T110" s="187"/>
      <c r="U110" s="220"/>
      <c r="V110" s="220"/>
      <c r="W110" s="220"/>
      <c r="Y110" s="174"/>
      <c r="Z110" s="174"/>
      <c r="AA110" s="134"/>
      <c r="AB110" s="170"/>
      <c r="AC110" s="171"/>
      <c r="AD110" s="172"/>
      <c r="AE110" s="152"/>
      <c r="AF110" s="139"/>
      <c r="AG110" s="148"/>
      <c r="AI110" s="149"/>
      <c r="AJ110" s="150"/>
      <c r="AK110" s="151"/>
      <c r="AL110" s="152"/>
      <c r="AQ110" s="427"/>
      <c r="AT110" s="1105"/>
      <c r="AX110" s="82" t="str">
        <f t="shared" si="140"/>
        <v/>
      </c>
    </row>
    <row r="111" spans="1:60" ht="18.75">
      <c r="B111" s="203">
        <f>MAX(B101:B110)</f>
        <v>2</v>
      </c>
      <c r="C111" s="204" t="str">
        <f>"ИТОГО по "&amp;$C$101&amp;":"</f>
        <v>ИТОГО по ВЛ-0,4 от 15 до 150 кВт:</v>
      </c>
      <c r="D111" s="204"/>
      <c r="E111" s="204"/>
      <c r="F111" s="205">
        <f>SUM(F101)</f>
        <v>0.37</v>
      </c>
      <c r="G111" s="205">
        <f t="shared" ref="G111:O111" si="219">SUM(G101)</f>
        <v>86.97999999999999</v>
      </c>
      <c r="H111" s="205">
        <f t="shared" si="219"/>
        <v>0</v>
      </c>
      <c r="I111" s="205">
        <f t="shared" si="219"/>
        <v>0</v>
      </c>
      <c r="J111" s="205">
        <f t="shared" si="219"/>
        <v>0</v>
      </c>
      <c r="K111" s="205">
        <f t="shared" si="219"/>
        <v>233.04389000000003</v>
      </c>
      <c r="L111" s="205">
        <f t="shared" si="219"/>
        <v>0</v>
      </c>
      <c r="M111" s="205">
        <f t="shared" si="219"/>
        <v>0</v>
      </c>
      <c r="N111" s="205">
        <f t="shared" si="219"/>
        <v>0</v>
      </c>
      <c r="O111" s="205">
        <f t="shared" si="219"/>
        <v>158.34092999999999</v>
      </c>
      <c r="P111" s="205">
        <f>SUM(P101)</f>
        <v>391384.82</v>
      </c>
      <c r="Q111" s="494"/>
      <c r="R111" s="495"/>
      <c r="S111" s="494"/>
      <c r="T111" s="494"/>
      <c r="U111" s="217"/>
      <c r="V111" s="217"/>
      <c r="W111" s="217"/>
      <c r="Y111" s="174" t="str">
        <f t="shared" si="217"/>
        <v/>
      </c>
      <c r="Z111" s="174" t="str">
        <f t="shared" ref="Z111:Z112" si="220">IF(X111="","",CONCATENATE(Y111,"-",X111,"; ",$T$109))</f>
        <v/>
      </c>
      <c r="AA111" s="134"/>
      <c r="AB111" s="117"/>
      <c r="AC111" s="118"/>
      <c r="AD111" s="119"/>
      <c r="AE111" s="108"/>
      <c r="AF111" s="139"/>
      <c r="AG111" s="148" t="str">
        <f t="shared" si="85"/>
        <v>не совпадает</v>
      </c>
      <c r="AI111" s="149" t="str">
        <f t="shared" si="201"/>
        <v/>
      </c>
      <c r="AJ111" s="150" t="str">
        <f t="shared" si="201"/>
        <v/>
      </c>
      <c r="AK111" s="151" t="str">
        <f t="shared" si="201"/>
        <v/>
      </c>
      <c r="AL111" s="152">
        <f t="shared" si="76"/>
        <v>0</v>
      </c>
      <c r="AQ111" s="427"/>
      <c r="AT111" s="1105"/>
      <c r="AX111" s="82" t="str">
        <f t="shared" si="140"/>
        <v/>
      </c>
    </row>
    <row r="112" spans="1:60" ht="18.75">
      <c r="B112" s="110" t="s">
        <v>13</v>
      </c>
      <c r="C112" s="111" t="s">
        <v>2608</v>
      </c>
      <c r="D112" s="112"/>
      <c r="E112" s="112"/>
      <c r="F112" s="113">
        <f>SUM(F113)</f>
        <v>3.6450000000000005</v>
      </c>
      <c r="G112" s="114">
        <f t="shared" ref="G112:P113" si="221">SUM(G113)</f>
        <v>81</v>
      </c>
      <c r="H112" s="114">
        <f t="shared" si="221"/>
        <v>0</v>
      </c>
      <c r="I112" s="114">
        <f t="shared" si="221"/>
        <v>0</v>
      </c>
      <c r="J112" s="114">
        <f t="shared" si="221"/>
        <v>0</v>
      </c>
      <c r="K112" s="114">
        <f t="shared" si="221"/>
        <v>351.64981</v>
      </c>
      <c r="L112" s="114">
        <f t="shared" si="221"/>
        <v>0</v>
      </c>
      <c r="M112" s="114">
        <f t="shared" si="221"/>
        <v>0</v>
      </c>
      <c r="N112" s="114">
        <f t="shared" si="221"/>
        <v>0</v>
      </c>
      <c r="O112" s="114">
        <f t="shared" si="221"/>
        <v>1931.7206900000001</v>
      </c>
      <c r="P112" s="114">
        <f t="shared" si="221"/>
        <v>2283370.5</v>
      </c>
      <c r="Q112" s="112"/>
      <c r="R112" s="112"/>
      <c r="S112" s="112"/>
      <c r="T112" s="115"/>
      <c r="U112" s="116"/>
      <c r="V112" s="116"/>
      <c r="W112" s="116"/>
      <c r="Y112" s="174" t="str">
        <f>IF(X112="","",$C$112)</f>
        <v/>
      </c>
      <c r="Z112" s="174" t="str">
        <f t="shared" si="220"/>
        <v/>
      </c>
      <c r="AA112" s="134"/>
      <c r="AB112" s="117"/>
      <c r="AC112" s="118"/>
      <c r="AD112" s="119"/>
      <c r="AE112" s="108"/>
      <c r="AF112" s="139"/>
      <c r="AG112" s="148" t="str">
        <f t="shared" si="85"/>
        <v>не совпадает</v>
      </c>
      <c r="AI112" s="149" t="str">
        <f t="shared" si="201"/>
        <v/>
      </c>
      <c r="AJ112" s="150" t="str">
        <f t="shared" si="201"/>
        <v/>
      </c>
      <c r="AK112" s="151" t="str">
        <f t="shared" si="201"/>
        <v/>
      </c>
      <c r="AL112" s="152">
        <f t="shared" si="76"/>
        <v>0</v>
      </c>
      <c r="AQ112" s="427"/>
      <c r="AT112" s="1105"/>
      <c r="AX112" s="82" t="str">
        <f t="shared" si="140"/>
        <v/>
      </c>
    </row>
    <row r="113" spans="1:60" s="120" customFormat="1" ht="15.75">
      <c r="B113" s="121" t="s">
        <v>2609</v>
      </c>
      <c r="C113" s="122" t="str">
        <f>"Всего по "&amp;T113&amp;" ("&amp;$C$112&amp;"):"</f>
        <v>Всего по Вне Г.Н.П. (ВЛ-10 от 15 до 150 кВт):</v>
      </c>
      <c r="D113" s="123"/>
      <c r="E113" s="123"/>
      <c r="F113" s="124">
        <f>SUM(F114)</f>
        <v>3.6450000000000005</v>
      </c>
      <c r="G113" s="124">
        <f t="shared" si="221"/>
        <v>81</v>
      </c>
      <c r="H113" s="124">
        <f t="shared" si="221"/>
        <v>0</v>
      </c>
      <c r="I113" s="124">
        <f t="shared" si="221"/>
        <v>0</v>
      </c>
      <c r="J113" s="124">
        <f t="shared" si="221"/>
        <v>0</v>
      </c>
      <c r="K113" s="124">
        <f>SUM(K114)</f>
        <v>351.64981</v>
      </c>
      <c r="L113" s="124">
        <f t="shared" si="221"/>
        <v>0</v>
      </c>
      <c r="M113" s="124">
        <f t="shared" si="221"/>
        <v>0</v>
      </c>
      <c r="N113" s="124">
        <f t="shared" si="221"/>
        <v>0</v>
      </c>
      <c r="O113" s="124">
        <f t="shared" si="221"/>
        <v>1931.7206900000001</v>
      </c>
      <c r="P113" s="124">
        <f t="shared" si="221"/>
        <v>2283370.5</v>
      </c>
      <c r="Q113" s="127"/>
      <c r="R113" s="127"/>
      <c r="S113" s="127"/>
      <c r="T113" s="127" t="s">
        <v>2958</v>
      </c>
      <c r="U113" s="128"/>
      <c r="V113" s="129"/>
      <c r="W113" s="130"/>
      <c r="X113" s="131"/>
      <c r="Y113" s="132"/>
      <c r="Z113" s="133"/>
      <c r="AA113" s="134"/>
      <c r="AB113" s="135"/>
      <c r="AC113" s="136"/>
      <c r="AD113" s="137"/>
      <c r="AE113" s="192"/>
      <c r="AF113" s="193"/>
      <c r="AG113" s="148" t="str">
        <f t="shared" si="85"/>
        <v>не совпадает</v>
      </c>
      <c r="AH113" s="76"/>
      <c r="AI113" s="117"/>
      <c r="AJ113" s="118"/>
      <c r="AK113" s="119"/>
      <c r="AL113" s="138"/>
      <c r="AM113" s="81"/>
      <c r="AN113" s="82"/>
      <c r="AO113" s="140"/>
      <c r="AP113" s="140"/>
      <c r="AQ113" s="427"/>
      <c r="AR113" s="83"/>
      <c r="AS113" s="140"/>
      <c r="AT113" s="1105"/>
      <c r="AU113" s="85"/>
      <c r="AV113" s="82"/>
      <c r="AW113" s="82"/>
      <c r="AX113" s="82" t="str">
        <f t="shared" si="140"/>
        <v/>
      </c>
      <c r="AY113" s="82"/>
      <c r="AZ113" s="140"/>
      <c r="BA113" s="140"/>
      <c r="BB113" s="140"/>
      <c r="BC113" s="218"/>
      <c r="BD113" s="140"/>
      <c r="BE113" s="140"/>
      <c r="BF113" s="140"/>
      <c r="BH113" s="76"/>
    </row>
    <row r="114" spans="1:60" s="120" customFormat="1" ht="47.25">
      <c r="B114" s="121" t="s">
        <v>2610</v>
      </c>
      <c r="C114" s="142" t="str">
        <f>"Всего по "&amp;$T$113&amp;""&amp;T114&amp;" ("&amp;$C$112&amp;"):"</f>
        <v>Всего по Вне Г.Н.П.неизолир. сталеалюм. до 50 мм (ВЛ-10 от 15 до 150 кВт):</v>
      </c>
      <c r="D114" s="142"/>
      <c r="E114" s="142"/>
      <c r="F114" s="1110">
        <f>SUM(F115:F117)</f>
        <v>3.6450000000000005</v>
      </c>
      <c r="G114" s="1110">
        <f t="shared" ref="G114:P114" si="222">SUM(G115:G117)</f>
        <v>81</v>
      </c>
      <c r="H114" s="1110">
        <f t="shared" si="222"/>
        <v>0</v>
      </c>
      <c r="I114" s="1110">
        <f t="shared" si="222"/>
        <v>0</v>
      </c>
      <c r="J114" s="1110">
        <f t="shared" si="222"/>
        <v>0</v>
      </c>
      <c r="K114" s="1110">
        <f t="shared" si="222"/>
        <v>351.64981</v>
      </c>
      <c r="L114" s="1110">
        <f t="shared" si="222"/>
        <v>0</v>
      </c>
      <c r="M114" s="1110">
        <f t="shared" si="222"/>
        <v>0</v>
      </c>
      <c r="N114" s="1110">
        <f t="shared" si="222"/>
        <v>0</v>
      </c>
      <c r="O114" s="1110">
        <f t="shared" si="222"/>
        <v>1931.7206900000001</v>
      </c>
      <c r="P114" s="1110">
        <f t="shared" si="222"/>
        <v>2283370.5</v>
      </c>
      <c r="Q114" s="1107"/>
      <c r="R114" s="1107"/>
      <c r="S114" s="1107"/>
      <c r="T114" s="1107" t="s">
        <v>3343</v>
      </c>
      <c r="U114" s="128"/>
      <c r="V114" s="129"/>
      <c r="W114" s="130"/>
      <c r="X114" s="131"/>
      <c r="Y114" s="132"/>
      <c r="Z114" s="133"/>
      <c r="AA114" s="134"/>
      <c r="AB114" s="135"/>
      <c r="AC114" s="136"/>
      <c r="AD114" s="137"/>
      <c r="AE114" s="192"/>
      <c r="AF114" s="193"/>
      <c r="AG114" s="148" t="str">
        <f>IF($AF114="1кв 2017",4.03,IF($AF114="2кв 2017",4.05,IF($AF114="3кв 2017",4.15,IF($AF114="4кв 2017",4.2,"не совпадает"))))</f>
        <v>не совпадает</v>
      </c>
      <c r="AH114" s="76"/>
      <c r="AI114" s="117"/>
      <c r="AJ114" s="118"/>
      <c r="AK114" s="119"/>
      <c r="AL114" s="138"/>
      <c r="AM114" s="81"/>
      <c r="AN114" s="82"/>
      <c r="AO114" s="140"/>
      <c r="AP114" s="140"/>
      <c r="AQ114" s="427"/>
      <c r="AR114" s="83"/>
      <c r="AS114" s="140"/>
      <c r="AT114" s="1105"/>
      <c r="AU114" s="85"/>
      <c r="AV114" s="82"/>
      <c r="AW114" s="82"/>
      <c r="AX114" s="82" t="str">
        <f t="shared" si="140"/>
        <v/>
      </c>
      <c r="AY114" s="82"/>
      <c r="AZ114" s="140"/>
      <c r="BA114" s="140"/>
      <c r="BB114" s="140"/>
      <c r="BC114" s="218"/>
      <c r="BD114" s="140"/>
      <c r="BE114" s="140"/>
      <c r="BF114" s="140"/>
      <c r="BH114" s="76"/>
    </row>
    <row r="115" spans="1:60" ht="25.5">
      <c r="A115" s="76">
        <f t="shared" ref="A115:A117" si="223">IF(C115="","",1)</f>
        <v>1</v>
      </c>
      <c r="B115" s="190">
        <f>IF(A115="","",SUM($A$115:A115))</f>
        <v>1</v>
      </c>
      <c r="C115" s="1446" t="s">
        <v>2794</v>
      </c>
      <c r="D115" s="158" t="str">
        <f t="shared" ref="D115:D117" si="224">IF(AF115=0,"",AF115)</f>
        <v>4кв 2017</v>
      </c>
      <c r="E115" s="159">
        <v>10</v>
      </c>
      <c r="F115" s="458">
        <v>0.14499999999999999</v>
      </c>
      <c r="G115" s="1112">
        <v>40</v>
      </c>
      <c r="H115" s="314"/>
      <c r="I115" s="314"/>
      <c r="J115" s="1115"/>
      <c r="K115" s="459">
        <v>86.961299999999994</v>
      </c>
      <c r="L115" s="1115"/>
      <c r="M115" s="1115"/>
      <c r="N115" s="1115"/>
      <c r="O115" s="459">
        <v>171.74520000000001</v>
      </c>
      <c r="P115" s="432">
        <v>258706.5</v>
      </c>
      <c r="Q115" s="1111"/>
      <c r="R115" s="165" t="s">
        <v>2595</v>
      </c>
      <c r="S115" s="434" t="s">
        <v>2795</v>
      </c>
      <c r="T115" s="434" t="s">
        <v>3658</v>
      </c>
      <c r="U115" s="220">
        <f>[26]ТП2017!$K$11*1000</f>
        <v>258706.5</v>
      </c>
      <c r="V115" s="220" t="b">
        <f>U115=P115</f>
        <v>1</v>
      </c>
      <c r="W115" s="220" t="s">
        <v>2950</v>
      </c>
      <c r="X115" s="76" t="s">
        <v>2517</v>
      </c>
      <c r="Y115" s="174" t="str">
        <f>IF(X115="","",$C$112)</f>
        <v>ВЛ-10 от 15 до 150 кВт</v>
      </c>
      <c r="Z115" s="174" t="str">
        <f>IF(X115="","",CONCATENATE(Y115,"-",X115,"; ",T112))</f>
        <v xml:space="preserve">ВЛ-10 от 15 до 150 кВт-за границей н.п.; </v>
      </c>
      <c r="AA115" s="134"/>
      <c r="AB115" s="170">
        <f>O115</f>
        <v>171.74520000000001</v>
      </c>
      <c r="AC115" s="171">
        <f>(I115+H115)</f>
        <v>0</v>
      </c>
      <c r="AD115" s="172">
        <f>K115</f>
        <v>86.961299999999994</v>
      </c>
      <c r="AE115" s="152">
        <f t="shared" ref="AE115" si="225">AB115+AC115+AD115</f>
        <v>258.70650000000001</v>
      </c>
      <c r="AF115" s="139" t="s">
        <v>2697</v>
      </c>
      <c r="AG115" s="148">
        <f t="shared" ref="AG115" si="226">IF($AF115="1кв 2017",4.03,IF($AF115="2кв 2017",4.05,IF($AF115="3кв 2017",4.15,IF($AF115="4кв 2017",4.2,"не совпадает"))))</f>
        <v>4.2</v>
      </c>
      <c r="AI115" s="149">
        <f t="shared" ref="AI115" si="227">IF(ISERROR(AB115/$AG115),"",AB115/$AG115)</f>
        <v>40.891714285714286</v>
      </c>
      <c r="AJ115" s="150">
        <f t="shared" ref="AJ115" si="228">IF(ISERROR(AC115/$AG115),"",AC115/$AG115)</f>
        <v>0</v>
      </c>
      <c r="AK115" s="151">
        <f t="shared" ref="AK115" si="229">IF(ISERROR(AD115/$AG115),"",AD115/$AG115)</f>
        <v>20.705071428571426</v>
      </c>
      <c r="AL115" s="152">
        <f t="shared" ref="AL115" si="230">SUM(AI115,AJ115,AK115)</f>
        <v>61.596785714285716</v>
      </c>
      <c r="AQ115" s="427">
        <v>51</v>
      </c>
      <c r="AS115" s="82">
        <f t="shared" ref="AS115:AS117" si="231">IF(B115="","",IF(P115=SUM(H115,I115,K115,O115),"ИСТИНА",P115-SUM(H115,I115,K115,O115)))</f>
        <v>258447.7935</v>
      </c>
      <c r="AT115" s="1105" t="s">
        <v>3660</v>
      </c>
      <c r="AX115" s="82">
        <f t="shared" si="140"/>
        <v>258706.5</v>
      </c>
    </row>
    <row r="116" spans="1:60" ht="29.25" customHeight="1">
      <c r="A116" s="76">
        <f t="shared" si="223"/>
        <v>1</v>
      </c>
      <c r="B116" s="190">
        <f>IF(A116="","",SUM($A$115:A116))</f>
        <v>2</v>
      </c>
      <c r="C116" s="1446" t="s">
        <v>2792</v>
      </c>
      <c r="D116" s="158" t="str">
        <f t="shared" si="224"/>
        <v>3кв 2017</v>
      </c>
      <c r="E116" s="159">
        <v>10</v>
      </c>
      <c r="F116" s="448">
        <v>1.3</v>
      </c>
      <c r="G116" s="513">
        <v>16</v>
      </c>
      <c r="H116" s="1113"/>
      <c r="I116" s="1113"/>
      <c r="J116" s="1113"/>
      <c r="K116" s="459">
        <v>59.156300000000002</v>
      </c>
      <c r="L116" s="506"/>
      <c r="M116" s="506"/>
      <c r="N116" s="506"/>
      <c r="O116" s="459">
        <v>523.95056</v>
      </c>
      <c r="P116" s="432">
        <v>583106.86</v>
      </c>
      <c r="Q116" s="796"/>
      <c r="R116" s="165" t="s">
        <v>2595</v>
      </c>
      <c r="S116" s="1103" t="s">
        <v>2793</v>
      </c>
      <c r="T116" s="434" t="s">
        <v>3658</v>
      </c>
      <c r="U116" s="521">
        <f>[26]ТП2017!$J$10*1000</f>
        <v>583106.86</v>
      </c>
      <c r="V116" s="220" t="b">
        <f>U116=P116</f>
        <v>1</v>
      </c>
      <c r="W116" s="220" t="s">
        <v>2950</v>
      </c>
      <c r="X116" s="76" t="s">
        <v>2517</v>
      </c>
      <c r="Y116" s="174" t="str">
        <f>IF(X116="","",$C$112)</f>
        <v>ВЛ-10 от 15 до 150 кВт</v>
      </c>
      <c r="Z116" s="174" t="str">
        <f>IF(X116="","",CONCATENATE(Y116,"-",X116,"; ",T113))</f>
        <v>ВЛ-10 от 15 до 150 кВт-за границей н.п.; Вне Г.Н.П.</v>
      </c>
      <c r="AA116" s="134"/>
      <c r="AB116" s="170">
        <f>O116</f>
        <v>523.95056</v>
      </c>
      <c r="AC116" s="171">
        <f>(I116+H116)</f>
        <v>0</v>
      </c>
      <c r="AD116" s="172">
        <f>K116</f>
        <v>59.156300000000002</v>
      </c>
      <c r="AE116" s="152">
        <f t="shared" ref="AE116" si="232">AB116+AC116+AD116</f>
        <v>583.10685999999998</v>
      </c>
      <c r="AF116" s="139" t="s">
        <v>2681</v>
      </c>
      <c r="AG116" s="148">
        <f>IF($AF116="1кв 2017",4.03,IF($AF116="2кв 2017",4.05,IF($AF116="3кв 2017",4.15,IF($AF116="4кв 2017",4.2,"не совпадает"))))</f>
        <v>4.1500000000000004</v>
      </c>
      <c r="AI116" s="149">
        <f t="shared" ref="AI116" si="233">IF(ISERROR(AB116/$AG116),"",AB116/$AG116)</f>
        <v>126.25314698795179</v>
      </c>
      <c r="AJ116" s="150">
        <f t="shared" ref="AJ116" si="234">IF(ISERROR(AC116/$AG116),"",AC116/$AG116)</f>
        <v>0</v>
      </c>
      <c r="AK116" s="151">
        <f t="shared" ref="AK116" si="235">IF(ISERROR(AD116/$AG116),"",AD116/$AG116)</f>
        <v>14.254530120481927</v>
      </c>
      <c r="AL116" s="152">
        <f t="shared" ref="AL116" si="236">SUM(AI116,AJ116,AK116)</f>
        <v>140.50767710843371</v>
      </c>
      <c r="AQ116" s="427">
        <v>24</v>
      </c>
      <c r="AS116" s="82">
        <f t="shared" si="231"/>
        <v>582523.75313999993</v>
      </c>
      <c r="AT116" s="1105" t="s">
        <v>3659</v>
      </c>
      <c r="AX116" s="82">
        <f t="shared" si="140"/>
        <v>583106.86</v>
      </c>
    </row>
    <row r="117" spans="1:60" ht="45">
      <c r="A117" s="76">
        <f t="shared" si="223"/>
        <v>1</v>
      </c>
      <c r="B117" s="190">
        <f>IF(A117="","",SUM($A$115:A117))</f>
        <v>3</v>
      </c>
      <c r="C117" s="1114" t="s">
        <v>2902</v>
      </c>
      <c r="D117" s="158" t="str">
        <f t="shared" si="224"/>
        <v>3кв 2017</v>
      </c>
      <c r="E117" s="159">
        <v>10</v>
      </c>
      <c r="F117" s="221">
        <v>2.2000000000000002</v>
      </c>
      <c r="G117" s="238">
        <v>25</v>
      </c>
      <c r="H117" s="195"/>
      <c r="I117" s="195"/>
      <c r="J117" s="195"/>
      <c r="K117" s="459">
        <v>205.53220999999999</v>
      </c>
      <c r="L117" s="431"/>
      <c r="M117" s="431"/>
      <c r="N117" s="431"/>
      <c r="O117" s="459">
        <v>1236.02493</v>
      </c>
      <c r="P117" s="432">
        <v>1441557.14</v>
      </c>
      <c r="Q117" s="247"/>
      <c r="R117" s="165" t="s">
        <v>2595</v>
      </c>
      <c r="S117" s="166" t="s">
        <v>2903</v>
      </c>
      <c r="T117" s="166" t="s">
        <v>2612</v>
      </c>
      <c r="U117" s="521">
        <f>([26]ТП2017!$J$23+[26]ТП2017!$J$24+[26]ТП2017!$J$25+[26]ТП2017!$J$26)*1000</f>
        <v>1658441.7899999998</v>
      </c>
      <c r="V117" s="220" t="b">
        <f>U117=P117+P174</f>
        <v>1</v>
      </c>
      <c r="W117" s="220" t="s">
        <v>2950</v>
      </c>
      <c r="X117" s="76" t="s">
        <v>2517</v>
      </c>
      <c r="Y117" s="174" t="str">
        <f t="shared" ref="Y117" si="237">IF(X117="","",$C$112)</f>
        <v>ВЛ-10 от 15 до 150 кВт</v>
      </c>
      <c r="Z117" s="174" t="str">
        <f>IF(X117="","",CONCATENATE(Y117,"-",X117,"; ",T114))</f>
        <v>ВЛ-10 от 15 до 150 кВт-за границей н.п.; неизолир. сталеалюм. до 50 мм</v>
      </c>
      <c r="AA117" s="134"/>
      <c r="AB117" s="170">
        <f t="shared" ref="AB117" si="238">O117</f>
        <v>1236.02493</v>
      </c>
      <c r="AC117" s="171">
        <f t="shared" ref="AC117" si="239">(I117+H117)</f>
        <v>0</v>
      </c>
      <c r="AD117" s="172">
        <f t="shared" ref="AD117" si="240">K117</f>
        <v>205.53220999999999</v>
      </c>
      <c r="AE117" s="152">
        <f t="shared" ref="AE117" si="241">AB117+AC117+AD117</f>
        <v>1441.5571400000001</v>
      </c>
      <c r="AF117" s="139" t="s">
        <v>2681</v>
      </c>
      <c r="AG117" s="148">
        <f t="shared" ref="AG117:AG178" si="242">IF($AF117="1кв 2017",4.03,IF($AF117="2кв 2017",4.05,IF($AF117="3кв 2017",4.15,IF($AF117="4кв 2017",4.2,"не совпадает"))))</f>
        <v>4.1500000000000004</v>
      </c>
      <c r="AI117" s="149">
        <f t="shared" ref="AI117" si="243">IF(ISERROR(AB117/$AG117),"",AB117/$AG117)</f>
        <v>297.83733253012048</v>
      </c>
      <c r="AJ117" s="150">
        <f t="shared" ref="AJ117" si="244">IF(ISERROR(AC117/$AG117),"",AC117/$AG117)</f>
        <v>0</v>
      </c>
      <c r="AK117" s="151">
        <f t="shared" ref="AK117" si="245">IF(ISERROR(AD117/$AG117),"",AD117/$AG117)</f>
        <v>49.525833734939752</v>
      </c>
      <c r="AL117" s="152">
        <f t="shared" ref="AL117" si="246">SUM(AI117,AJ117,AK117)</f>
        <v>347.36316626506022</v>
      </c>
      <c r="AQ117" s="427">
        <v>30</v>
      </c>
      <c r="AS117" s="82">
        <f t="shared" si="231"/>
        <v>1440115.58286</v>
      </c>
      <c r="AT117" s="1105" t="s">
        <v>2905</v>
      </c>
      <c r="AX117" s="82">
        <f t="shared" ref="AX117" si="247">IF(AT117="","",P117)</f>
        <v>1441557.14</v>
      </c>
      <c r="BA117" s="82" t="s">
        <v>2664</v>
      </c>
    </row>
    <row r="118" spans="1:60" s="94" customFormat="1" ht="31.5">
      <c r="B118" s="121" t="s">
        <v>2611</v>
      </c>
      <c r="C118" s="144" t="str">
        <f>"Всего по "&amp;$T$114&amp;" марка "&amp;T118&amp;" ("&amp;$C$112&amp;"):"</f>
        <v>Всего по неизолир. сталеалюм. до 50 мм марка АС-50/8 (ВЛ-10 от 15 до 150 кВт):</v>
      </c>
      <c r="D118" s="144"/>
      <c r="E118" s="144"/>
      <c r="F118" s="177">
        <f>SUM(F119:F120)</f>
        <v>0</v>
      </c>
      <c r="G118" s="519">
        <f t="shared" ref="G118:O118" si="248">SUM(G119:G120)</f>
        <v>0</v>
      </c>
      <c r="H118" s="178">
        <f t="shared" si="248"/>
        <v>0</v>
      </c>
      <c r="I118" s="178">
        <f t="shared" si="248"/>
        <v>0</v>
      </c>
      <c r="J118" s="178">
        <f t="shared" si="248"/>
        <v>0</v>
      </c>
      <c r="K118" s="178">
        <f t="shared" si="248"/>
        <v>0</v>
      </c>
      <c r="L118" s="178">
        <f t="shared" si="248"/>
        <v>0</v>
      </c>
      <c r="M118" s="178">
        <f t="shared" si="248"/>
        <v>0</v>
      </c>
      <c r="N118" s="178">
        <f t="shared" si="248"/>
        <v>0</v>
      </c>
      <c r="O118" s="178">
        <f t="shared" si="248"/>
        <v>0</v>
      </c>
      <c r="P118" s="178">
        <f>SUM(P119:P120)</f>
        <v>0</v>
      </c>
      <c r="Q118" s="145"/>
      <c r="R118" s="145"/>
      <c r="S118" s="145"/>
      <c r="T118" s="146" t="str">
        <f>T120</f>
        <v>АС-50/8</v>
      </c>
      <c r="U118" s="147"/>
      <c r="V118" s="147"/>
      <c r="W118" s="147"/>
      <c r="Y118" s="174" t="str">
        <f t="shared" ref="Y118:Y125" si="249">IF(X118="","",$C$112)</f>
        <v/>
      </c>
      <c r="Z118" s="174" t="str">
        <f>IF(X118="","",CONCATENATE(Y118,"-",X118,"; ",$T$118))</f>
        <v/>
      </c>
      <c r="AA118" s="134"/>
      <c r="AB118" s="117"/>
      <c r="AC118" s="118"/>
      <c r="AD118" s="119"/>
      <c r="AE118" s="108"/>
      <c r="AF118" s="139"/>
      <c r="AG118" s="148" t="str">
        <f t="shared" si="242"/>
        <v>не совпадает</v>
      </c>
      <c r="AH118" s="76"/>
      <c r="AI118" s="149" t="str">
        <f t="shared" ref="AI118:AK130" si="250">IF(ISERROR(AB118/$AG118),"",AB118/$AG118)</f>
        <v/>
      </c>
      <c r="AJ118" s="150" t="str">
        <f t="shared" si="250"/>
        <v/>
      </c>
      <c r="AK118" s="151" t="str">
        <f t="shared" si="250"/>
        <v/>
      </c>
      <c r="AL118" s="152">
        <f t="shared" si="76"/>
        <v>0</v>
      </c>
      <c r="AM118" s="81"/>
      <c r="AN118" s="82"/>
      <c r="AO118" s="82"/>
      <c r="AP118" s="82"/>
      <c r="AQ118" s="427"/>
      <c r="AR118" s="83"/>
      <c r="AS118" s="82"/>
      <c r="AT118" s="1105"/>
      <c r="AU118" s="85"/>
      <c r="AV118" s="82"/>
      <c r="AW118" s="82"/>
      <c r="AX118" s="82" t="str">
        <f t="shared" si="140"/>
        <v/>
      </c>
      <c r="AY118" s="82"/>
      <c r="AZ118" s="82"/>
      <c r="BA118" s="82"/>
      <c r="BB118" s="82"/>
      <c r="BC118" s="154" t="e">
        <f>#REF!</f>
        <v>#REF!</v>
      </c>
      <c r="BD118" s="155" t="e">
        <f>BC118*F118*$BD$6</f>
        <v>#REF!</v>
      </c>
      <c r="BE118" s="155" t="e">
        <f>BD118/F118</f>
        <v>#REF!</v>
      </c>
      <c r="BF118" s="82"/>
      <c r="BH118" s="76"/>
    </row>
    <row r="119" spans="1:60" ht="15.75">
      <c r="A119" s="76" t="str">
        <f t="shared" ref="A119:A120" si="251">IF(C119="","",1)</f>
        <v/>
      </c>
      <c r="B119" s="190" t="str">
        <f>IF(A119="","",SUM($A$115:A119))</f>
        <v/>
      </c>
      <c r="C119" s="157"/>
      <c r="D119" s="158"/>
      <c r="E119" s="159"/>
      <c r="F119" s="219"/>
      <c r="G119" s="240"/>
      <c r="H119" s="194"/>
      <c r="I119" s="194"/>
      <c r="J119" s="244"/>
      <c r="K119" s="459"/>
      <c r="L119" s="162"/>
      <c r="M119" s="162"/>
      <c r="N119" s="162"/>
      <c r="O119" s="459"/>
      <c r="P119" s="163"/>
      <c r="Q119" s="243"/>
      <c r="R119" s="165"/>
      <c r="S119" s="166"/>
      <c r="T119" s="166"/>
      <c r="U119" s="220"/>
      <c r="V119" s="220"/>
      <c r="W119" s="220"/>
      <c r="Y119" s="174"/>
      <c r="Z119" s="174"/>
      <c r="AA119" s="134"/>
      <c r="AB119" s="170"/>
      <c r="AC119" s="171"/>
      <c r="AD119" s="172"/>
      <c r="AE119" s="152"/>
      <c r="AF119" s="139"/>
      <c r="AG119" s="148"/>
      <c r="AI119" s="149"/>
      <c r="AJ119" s="150"/>
      <c r="AK119" s="151"/>
      <c r="AL119" s="152"/>
      <c r="AQ119" s="427"/>
      <c r="AT119" s="1105"/>
    </row>
    <row r="120" spans="1:60" ht="25.5">
      <c r="A120" s="76" t="str">
        <f t="shared" si="251"/>
        <v/>
      </c>
      <c r="B120" s="190" t="str">
        <f>IF(A120="","",SUM($A$115:A120))</f>
        <v/>
      </c>
      <c r="C120" s="157"/>
      <c r="D120" s="158" t="str">
        <f t="shared" ref="D120" si="252">IF(AF120=0,"",AF120)</f>
        <v/>
      </c>
      <c r="E120" s="159">
        <v>10</v>
      </c>
      <c r="F120" s="504"/>
      <c r="G120" s="505"/>
      <c r="H120" s="506"/>
      <c r="I120" s="506"/>
      <c r="J120" s="507"/>
      <c r="K120" s="508"/>
      <c r="L120" s="509"/>
      <c r="M120" s="509"/>
      <c r="N120" s="509"/>
      <c r="O120" s="459"/>
      <c r="P120" s="163"/>
      <c r="Q120" s="247"/>
      <c r="R120" s="186" t="s">
        <v>2595</v>
      </c>
      <c r="S120" s="187"/>
      <c r="T120" s="187" t="s">
        <v>2612</v>
      </c>
      <c r="U120" s="220"/>
      <c r="V120" s="220"/>
      <c r="W120" s="220"/>
      <c r="X120" s="76" t="s">
        <v>2517</v>
      </c>
      <c r="Y120" s="174" t="str">
        <f t="shared" si="249"/>
        <v>ВЛ-10 от 15 до 150 кВт</v>
      </c>
      <c r="Z120" s="174" t="str">
        <f t="shared" ref="Z120:Z130" si="253">IF(X120="","",CONCATENATE(Y120,"-",X120,"; ",$T$118))</f>
        <v>ВЛ-10 от 15 до 150 кВт-за границей н.п.; АС-50/8</v>
      </c>
      <c r="AA120" s="134"/>
      <c r="AB120" s="170">
        <f t="shared" ref="AB120" si="254">O120</f>
        <v>0</v>
      </c>
      <c r="AC120" s="171">
        <f t="shared" ref="AC120" si="255">(I120+H120)</f>
        <v>0</v>
      </c>
      <c r="AD120" s="172">
        <f t="shared" ref="AD120" si="256">K120</f>
        <v>0</v>
      </c>
      <c r="AE120" s="152">
        <f t="shared" ref="AE120" si="257">AB120+AC120+AD120</f>
        <v>0</v>
      </c>
      <c r="AF120" s="139"/>
      <c r="AG120" s="148" t="str">
        <f t="shared" si="242"/>
        <v>не совпадает</v>
      </c>
      <c r="AI120" s="149" t="str">
        <f t="shared" si="250"/>
        <v/>
      </c>
      <c r="AJ120" s="150" t="str">
        <f t="shared" si="250"/>
        <v/>
      </c>
      <c r="AK120" s="151" t="str">
        <f t="shared" si="250"/>
        <v/>
      </c>
      <c r="AL120" s="152">
        <f t="shared" si="76"/>
        <v>0</v>
      </c>
      <c r="AQ120" s="427"/>
      <c r="AS120" s="82" t="str">
        <f t="shared" ref="AS120" si="258">IF(B120="","",IF(P120=SUM(H120,I120,K120,O120),"ИСТИНА",P120-SUM(H120,I120,K120,O120)))</f>
        <v/>
      </c>
      <c r="AT120" s="1105"/>
      <c r="AX120" s="82" t="str">
        <f t="shared" si="140"/>
        <v/>
      </c>
    </row>
    <row r="121" spans="1:60" ht="15.75">
      <c r="B121" s="190"/>
      <c r="C121" s="510"/>
      <c r="D121" s="158"/>
      <c r="E121" s="159"/>
      <c r="F121" s="458"/>
      <c r="G121" s="503"/>
      <c r="H121" s="431"/>
      <c r="I121" s="431"/>
      <c r="J121" s="431"/>
      <c r="K121" s="431"/>
      <c r="L121" s="431"/>
      <c r="M121" s="431"/>
      <c r="N121" s="431"/>
      <c r="O121" s="162"/>
      <c r="P121" s="163"/>
      <c r="Q121" s="237"/>
      <c r="R121" s="165"/>
      <c r="S121" s="166"/>
      <c r="T121" s="166"/>
      <c r="U121" s="220"/>
      <c r="V121" s="220"/>
      <c r="W121" s="220"/>
      <c r="Y121" s="174"/>
      <c r="Z121" s="174"/>
      <c r="AA121" s="134"/>
      <c r="AB121" s="437"/>
      <c r="AC121" s="438"/>
      <c r="AD121" s="439"/>
      <c r="AE121" s="440"/>
      <c r="AF121" s="441"/>
      <c r="AG121" s="148" t="str">
        <f t="shared" si="242"/>
        <v>не совпадает</v>
      </c>
      <c r="AI121" s="500"/>
      <c r="AJ121" s="501"/>
      <c r="AK121" s="502"/>
      <c r="AL121" s="440"/>
      <c r="AQ121" s="427"/>
      <c r="AT121" s="1105"/>
      <c r="AX121" s="82" t="str">
        <f t="shared" si="140"/>
        <v/>
      </c>
    </row>
    <row r="122" spans="1:60" ht="15.75">
      <c r="B122" s="190"/>
      <c r="C122" s="428"/>
      <c r="D122" s="158"/>
      <c r="E122" s="159"/>
      <c r="F122" s="219"/>
      <c r="G122" s="236"/>
      <c r="H122" s="162"/>
      <c r="I122" s="162"/>
      <c r="J122" s="162"/>
      <c r="K122" s="162"/>
      <c r="L122" s="162"/>
      <c r="M122" s="162"/>
      <c r="N122" s="162"/>
      <c r="O122" s="162"/>
      <c r="P122" s="163"/>
      <c r="Q122" s="237"/>
      <c r="R122" s="165"/>
      <c r="S122" s="166"/>
      <c r="T122" s="166"/>
      <c r="U122" s="220"/>
      <c r="V122" s="220"/>
      <c r="W122" s="220"/>
      <c r="Y122" s="174"/>
      <c r="Z122" s="174"/>
      <c r="AA122" s="134"/>
      <c r="AB122" s="437"/>
      <c r="AC122" s="438"/>
      <c r="AD122" s="439"/>
      <c r="AE122" s="440"/>
      <c r="AF122" s="441"/>
      <c r="AG122" s="148" t="str">
        <f t="shared" si="242"/>
        <v>не совпадает</v>
      </c>
      <c r="AI122" s="500"/>
      <c r="AJ122" s="501"/>
      <c r="AK122" s="502"/>
      <c r="AL122" s="440"/>
      <c r="AQ122" s="427"/>
      <c r="AT122" s="1105"/>
      <c r="AX122" s="82" t="str">
        <f t="shared" si="140"/>
        <v/>
      </c>
    </row>
    <row r="123" spans="1:60" ht="18.75">
      <c r="B123" s="249">
        <f>MAX(B112:B120)</f>
        <v>3</v>
      </c>
      <c r="C123" s="204" t="str">
        <f>"ИТОГО по "&amp;$C$112&amp;":"</f>
        <v>ИТОГО по ВЛ-10 от 15 до 150 кВт:</v>
      </c>
      <c r="D123" s="204"/>
      <c r="E123" s="204"/>
      <c r="F123" s="205">
        <f>SUM(,F112)</f>
        <v>3.6450000000000005</v>
      </c>
      <c r="G123" s="205">
        <f t="shared" ref="G123:O123" si="259">SUM(,G112)</f>
        <v>81</v>
      </c>
      <c r="H123" s="205">
        <f t="shared" si="259"/>
        <v>0</v>
      </c>
      <c r="I123" s="205">
        <f t="shared" si="259"/>
        <v>0</v>
      </c>
      <c r="J123" s="205">
        <f t="shared" si="259"/>
        <v>0</v>
      </c>
      <c r="K123" s="205">
        <f t="shared" si="259"/>
        <v>351.64981</v>
      </c>
      <c r="L123" s="205">
        <f t="shared" si="259"/>
        <v>0</v>
      </c>
      <c r="M123" s="205">
        <f t="shared" si="259"/>
        <v>0</v>
      </c>
      <c r="N123" s="205">
        <f t="shared" si="259"/>
        <v>0</v>
      </c>
      <c r="O123" s="205">
        <f t="shared" si="259"/>
        <v>1931.7206900000001</v>
      </c>
      <c r="P123" s="205">
        <f>SUM(,P112)</f>
        <v>2283370.5</v>
      </c>
      <c r="Q123" s="494"/>
      <c r="R123" s="495"/>
      <c r="S123" s="494"/>
      <c r="T123" s="494"/>
      <c r="U123" s="217"/>
      <c r="V123" s="217"/>
      <c r="W123" s="217"/>
      <c r="Y123" s="174" t="str">
        <f t="shared" si="249"/>
        <v/>
      </c>
      <c r="Z123" s="174" t="str">
        <f t="shared" si="253"/>
        <v/>
      </c>
      <c r="AA123" s="134"/>
      <c r="AB123" s="117"/>
      <c r="AC123" s="118"/>
      <c r="AD123" s="119"/>
      <c r="AE123" s="108"/>
      <c r="AF123" s="139"/>
      <c r="AG123" s="148" t="str">
        <f t="shared" si="242"/>
        <v>не совпадает</v>
      </c>
      <c r="AI123" s="149" t="str">
        <f t="shared" si="250"/>
        <v/>
      </c>
      <c r="AJ123" s="150" t="str">
        <f t="shared" si="250"/>
        <v/>
      </c>
      <c r="AK123" s="151" t="str">
        <f t="shared" si="250"/>
        <v/>
      </c>
      <c r="AL123" s="152">
        <f t="shared" si="76"/>
        <v>0</v>
      </c>
      <c r="AQ123" s="427"/>
      <c r="AT123" s="1105"/>
      <c r="AX123" s="82" t="str">
        <f t="shared" si="140"/>
        <v/>
      </c>
      <c r="BD123" s="210" t="e">
        <f>SUM(BD109:BD120)</f>
        <v>#REF!</v>
      </c>
      <c r="BE123" s="210" t="e">
        <f>BD123/F123</f>
        <v>#REF!</v>
      </c>
    </row>
    <row r="124" spans="1:60" s="120" customFormat="1" ht="21">
      <c r="B124" s="223"/>
      <c r="C124" s="224" t="str">
        <f>"ИТОГО ВЛ "&amp;$C$100&amp;":"</f>
        <v>ИТОГО ВЛ от 15 до 150 кВт:</v>
      </c>
      <c r="D124" s="225"/>
      <c r="E124" s="225"/>
      <c r="F124" s="226">
        <f>SUM(F111,F123)</f>
        <v>4.0150000000000006</v>
      </c>
      <c r="G124" s="226">
        <f t="shared" ref="G124:O124" si="260">SUM(G111,G123)</f>
        <v>167.98</v>
      </c>
      <c r="H124" s="226">
        <f t="shared" si="260"/>
        <v>0</v>
      </c>
      <c r="I124" s="226">
        <f t="shared" si="260"/>
        <v>0</v>
      </c>
      <c r="J124" s="226">
        <f t="shared" si="260"/>
        <v>0</v>
      </c>
      <c r="K124" s="226">
        <f t="shared" si="260"/>
        <v>584.69370000000004</v>
      </c>
      <c r="L124" s="226">
        <f t="shared" si="260"/>
        <v>0</v>
      </c>
      <c r="M124" s="226">
        <f t="shared" si="260"/>
        <v>0</v>
      </c>
      <c r="N124" s="226">
        <f t="shared" si="260"/>
        <v>0</v>
      </c>
      <c r="O124" s="226">
        <f t="shared" si="260"/>
        <v>2090.0616199999999</v>
      </c>
      <c r="P124" s="226">
        <f>SUM(P111,P123)</f>
        <v>2674755.3199999998</v>
      </c>
      <c r="Q124" s="228"/>
      <c r="R124" s="228"/>
      <c r="S124" s="228"/>
      <c r="T124" s="229"/>
      <c r="U124" s="128"/>
      <c r="V124" s="129"/>
      <c r="W124" s="130"/>
      <c r="X124" s="131"/>
      <c r="Y124" s="132" t="str">
        <f t="shared" ref="Y124" si="261">IF(X124="","",$C$42)</f>
        <v/>
      </c>
      <c r="Z124" s="133" t="str">
        <f t="shared" ref="Z124" si="262">IF(X124="","",CONCATENATE(Y124,"-",X124,"; ",$T$55))</f>
        <v/>
      </c>
      <c r="AA124" s="134"/>
      <c r="AB124" s="117"/>
      <c r="AC124" s="118"/>
      <c r="AD124" s="119"/>
      <c r="AE124" s="108"/>
      <c r="AF124" s="193"/>
      <c r="AG124" s="148" t="str">
        <f t="shared" si="242"/>
        <v>не совпадает</v>
      </c>
      <c r="AH124" s="76"/>
      <c r="AI124" s="200" t="str">
        <f t="shared" si="250"/>
        <v/>
      </c>
      <c r="AJ124" s="201" t="str">
        <f t="shared" si="250"/>
        <v/>
      </c>
      <c r="AK124" s="202" t="str">
        <f t="shared" si="250"/>
        <v/>
      </c>
      <c r="AL124" s="230">
        <f t="shared" si="76"/>
        <v>0</v>
      </c>
      <c r="AM124" s="81"/>
      <c r="AN124" s="82"/>
      <c r="AO124" s="140"/>
      <c r="AP124" s="140"/>
      <c r="AQ124" s="427"/>
      <c r="AR124" s="83"/>
      <c r="AS124" s="140"/>
      <c r="AT124" s="1105"/>
      <c r="AU124" s="85"/>
      <c r="AV124" s="82"/>
      <c r="AW124" s="82"/>
      <c r="AX124" s="82" t="str">
        <f t="shared" si="140"/>
        <v/>
      </c>
      <c r="AY124" s="82"/>
      <c r="AZ124" s="140"/>
      <c r="BA124" s="140"/>
      <c r="BB124" s="140"/>
      <c r="BC124" s="82"/>
      <c r="BD124" s="140"/>
      <c r="BE124" s="140"/>
      <c r="BF124" s="140"/>
      <c r="BH124" s="76"/>
    </row>
    <row r="125" spans="1:60" ht="18.75">
      <c r="B125" s="103" t="s">
        <v>14</v>
      </c>
      <c r="C125" s="1427" t="s">
        <v>2613</v>
      </c>
      <c r="D125" s="1427"/>
      <c r="E125" s="1427"/>
      <c r="F125" s="1427"/>
      <c r="G125" s="1427"/>
      <c r="H125" s="1427"/>
      <c r="I125" s="1427"/>
      <c r="J125" s="1427"/>
      <c r="K125" s="1427"/>
      <c r="L125" s="1427"/>
      <c r="M125" s="1427"/>
      <c r="N125" s="1427"/>
      <c r="O125" s="1427"/>
      <c r="P125" s="1427"/>
      <c r="Q125" s="1427"/>
      <c r="R125" s="1427"/>
      <c r="S125" s="1427"/>
      <c r="T125" s="1427"/>
      <c r="U125" s="239"/>
      <c r="V125" s="239"/>
      <c r="W125" s="239"/>
      <c r="Y125" s="174" t="str">
        <f t="shared" si="249"/>
        <v/>
      </c>
      <c r="Z125" s="174" t="str">
        <f t="shared" si="253"/>
        <v/>
      </c>
      <c r="AA125" s="134"/>
      <c r="AB125" s="117"/>
      <c r="AC125" s="118"/>
      <c r="AD125" s="119"/>
      <c r="AE125" s="108"/>
      <c r="AF125" s="139"/>
      <c r="AG125" s="148" t="str">
        <f t="shared" si="242"/>
        <v>не совпадает</v>
      </c>
      <c r="AI125" s="149" t="str">
        <f t="shared" si="250"/>
        <v/>
      </c>
      <c r="AJ125" s="150" t="str">
        <f t="shared" si="250"/>
        <v/>
      </c>
      <c r="AK125" s="151" t="str">
        <f t="shared" si="250"/>
        <v/>
      </c>
      <c r="AL125" s="152">
        <f t="shared" si="76"/>
        <v>0</v>
      </c>
      <c r="AQ125" s="427"/>
      <c r="AT125" s="1105"/>
      <c r="AX125" s="82" t="str">
        <f t="shared" si="140"/>
        <v/>
      </c>
    </row>
    <row r="126" spans="1:60" ht="18.75">
      <c r="B126" s="110" t="s">
        <v>18</v>
      </c>
      <c r="C126" s="111" t="s">
        <v>2614</v>
      </c>
      <c r="D126" s="112"/>
      <c r="E126" s="112"/>
      <c r="F126" s="113">
        <f>SUM(F127)</f>
        <v>0</v>
      </c>
      <c r="G126" s="114">
        <f t="shared" ref="G126:P127" si="263">SUM(G127)</f>
        <v>0</v>
      </c>
      <c r="H126" s="114">
        <f t="shared" si="263"/>
        <v>0</v>
      </c>
      <c r="I126" s="114">
        <f t="shared" si="263"/>
        <v>0</v>
      </c>
      <c r="J126" s="114">
        <f t="shared" si="263"/>
        <v>0</v>
      </c>
      <c r="K126" s="114">
        <f t="shared" si="263"/>
        <v>0</v>
      </c>
      <c r="L126" s="114">
        <f t="shared" si="263"/>
        <v>0</v>
      </c>
      <c r="M126" s="114">
        <f t="shared" si="263"/>
        <v>0</v>
      </c>
      <c r="N126" s="114">
        <f t="shared" si="263"/>
        <v>0</v>
      </c>
      <c r="O126" s="114">
        <f t="shared" si="263"/>
        <v>0</v>
      </c>
      <c r="P126" s="114">
        <f t="shared" si="263"/>
        <v>0</v>
      </c>
      <c r="Q126" s="112"/>
      <c r="R126" s="112"/>
      <c r="S126" s="112"/>
      <c r="T126" s="115"/>
      <c r="U126" s="116"/>
      <c r="V126" s="116"/>
      <c r="W126" s="116"/>
      <c r="Y126" s="174" t="str">
        <f>IF(X126="","",$C$101)</f>
        <v/>
      </c>
      <c r="Z126" s="174" t="str">
        <f>IF(X126="","",CONCATENATE(Y126,"-",X126,"; ",#REF!))</f>
        <v/>
      </c>
      <c r="AA126" s="134"/>
      <c r="AB126" s="117"/>
      <c r="AC126" s="118"/>
      <c r="AD126" s="119"/>
      <c r="AE126" s="108"/>
      <c r="AF126" s="139"/>
      <c r="AG126" s="148" t="str">
        <f t="shared" si="242"/>
        <v>не совпадает</v>
      </c>
      <c r="AI126" s="149" t="str">
        <f t="shared" si="250"/>
        <v/>
      </c>
      <c r="AJ126" s="150" t="str">
        <f t="shared" si="250"/>
        <v/>
      </c>
      <c r="AK126" s="151" t="str">
        <f t="shared" si="250"/>
        <v/>
      </c>
      <c r="AL126" s="152">
        <f t="shared" si="76"/>
        <v>0</v>
      </c>
      <c r="AO126" s="209"/>
      <c r="AQ126" s="427"/>
      <c r="AT126" s="1105"/>
      <c r="AX126" s="82" t="str">
        <f t="shared" si="140"/>
        <v/>
      </c>
    </row>
    <row r="127" spans="1:60" s="94" customFormat="1" ht="15">
      <c r="B127" s="250"/>
      <c r="C127" s="251" t="str">
        <f>"Всего по марке "&amp;T127&amp;" ("&amp;$C$126&amp;" "&amp;R127&amp;"):"</f>
        <v>Всего по марке 0 (ВЛ-0,4 от 150 до 670 кВт ):</v>
      </c>
      <c r="D127" s="252"/>
      <c r="E127" s="252"/>
      <c r="F127" s="177">
        <f>SUM(F128)</f>
        <v>0</v>
      </c>
      <c r="G127" s="178">
        <f t="shared" si="263"/>
        <v>0</v>
      </c>
      <c r="H127" s="178">
        <f t="shared" si="263"/>
        <v>0</v>
      </c>
      <c r="I127" s="178">
        <f t="shared" si="263"/>
        <v>0</v>
      </c>
      <c r="J127" s="178">
        <f t="shared" si="263"/>
        <v>0</v>
      </c>
      <c r="K127" s="178">
        <f t="shared" si="263"/>
        <v>0</v>
      </c>
      <c r="L127" s="178">
        <f t="shared" si="263"/>
        <v>0</v>
      </c>
      <c r="M127" s="178">
        <f t="shared" si="263"/>
        <v>0</v>
      </c>
      <c r="N127" s="178">
        <f t="shared" si="263"/>
        <v>0</v>
      </c>
      <c r="O127" s="178">
        <f t="shared" si="263"/>
        <v>0</v>
      </c>
      <c r="P127" s="178">
        <f t="shared" si="263"/>
        <v>0</v>
      </c>
      <c r="Q127" s="145"/>
      <c r="R127" s="145"/>
      <c r="S127" s="145"/>
      <c r="T127" s="146">
        <f>T128</f>
        <v>0</v>
      </c>
      <c r="U127" s="147"/>
      <c r="V127" s="147"/>
      <c r="W127" s="147"/>
      <c r="Y127" s="174" t="str">
        <f t="shared" ref="Y127:Y129" si="264">IF(X127="","",$C$101)</f>
        <v/>
      </c>
      <c r="Z127" s="174" t="str">
        <f>IF(X127="","",CONCATENATE(Y127,"-",X127,"; ",$T$109))</f>
        <v/>
      </c>
      <c r="AA127" s="134"/>
      <c r="AB127" s="117"/>
      <c r="AC127" s="118"/>
      <c r="AD127" s="119"/>
      <c r="AE127" s="108"/>
      <c r="AF127" s="139"/>
      <c r="AG127" s="148" t="str">
        <f t="shared" si="242"/>
        <v>не совпадает</v>
      </c>
      <c r="AH127" s="76"/>
      <c r="AI127" s="149" t="str">
        <f t="shared" si="250"/>
        <v/>
      </c>
      <c r="AJ127" s="150" t="str">
        <f t="shared" si="250"/>
        <v/>
      </c>
      <c r="AK127" s="151" t="str">
        <f t="shared" si="250"/>
        <v/>
      </c>
      <c r="AL127" s="152">
        <f t="shared" si="76"/>
        <v>0</v>
      </c>
      <c r="AM127" s="81"/>
      <c r="AN127" s="82"/>
      <c r="AO127" s="82"/>
      <c r="AP127" s="82"/>
      <c r="AQ127" s="427"/>
      <c r="AR127" s="83"/>
      <c r="AS127" s="82"/>
      <c r="AT127" s="1105"/>
      <c r="AU127" s="85"/>
      <c r="AV127" s="82"/>
      <c r="AW127" s="82"/>
      <c r="AX127" s="82" t="str">
        <f t="shared" si="140"/>
        <v/>
      </c>
      <c r="AY127" s="82"/>
      <c r="AZ127" s="82"/>
      <c r="BA127" s="82"/>
      <c r="BB127" s="82"/>
      <c r="BC127" s="154" t="e">
        <f>#REF!</f>
        <v>#REF!</v>
      </c>
      <c r="BD127" s="155" t="e">
        <f>BC127*F127*$BD$6</f>
        <v>#REF!</v>
      </c>
      <c r="BE127" s="155" t="e">
        <f>BD127/F127</f>
        <v>#REF!</v>
      </c>
      <c r="BF127" s="82"/>
      <c r="BH127" s="76"/>
    </row>
    <row r="128" spans="1:60" ht="25.5">
      <c r="B128" s="179"/>
      <c r="C128" s="180"/>
      <c r="D128" s="158" t="str">
        <f>IF(AF128=0,"",AF128)</f>
        <v/>
      </c>
      <c r="E128" s="159">
        <v>0.4</v>
      </c>
      <c r="F128" s="221"/>
      <c r="G128" s="238"/>
      <c r="H128" s="233"/>
      <c r="I128" s="233"/>
      <c r="J128" s="233"/>
      <c r="K128" s="233"/>
      <c r="L128" s="233"/>
      <c r="M128" s="233"/>
      <c r="N128" s="233"/>
      <c r="O128" s="233"/>
      <c r="P128" s="184"/>
      <c r="Q128" s="234"/>
      <c r="R128" s="186"/>
      <c r="S128" s="187"/>
      <c r="T128" s="187"/>
      <c r="U128" s="220"/>
      <c r="V128" s="220"/>
      <c r="W128" s="220"/>
      <c r="X128" s="76" t="s">
        <v>2519</v>
      </c>
      <c r="Y128" s="174" t="str">
        <f t="shared" si="264"/>
        <v>ВЛ-0,4 от 15 до 150 кВт</v>
      </c>
      <c r="Z128" s="174" t="str">
        <f>IF(X128="","",CONCATENATE(Y128,"-",X128,"; ",$T$127))</f>
        <v>ВЛ-0,4 от 15 до 150 кВт-н.п.; 0</v>
      </c>
      <c r="AA128" s="134"/>
      <c r="AB128" s="170">
        <f>O128</f>
        <v>0</v>
      </c>
      <c r="AC128" s="171">
        <f>(I128+H128)</f>
        <v>0</v>
      </c>
      <c r="AD128" s="172">
        <f>K128</f>
        <v>0</v>
      </c>
      <c r="AE128" s="152">
        <f t="shared" ref="AE128" si="265">AB128+AC128+AD128</f>
        <v>0</v>
      </c>
      <c r="AF128" s="139"/>
      <c r="AG128" s="148" t="str">
        <f t="shared" si="242"/>
        <v>не совпадает</v>
      </c>
      <c r="AI128" s="149" t="str">
        <f t="shared" si="250"/>
        <v/>
      </c>
      <c r="AJ128" s="150" t="str">
        <f t="shared" si="250"/>
        <v/>
      </c>
      <c r="AK128" s="151" t="str">
        <f t="shared" si="250"/>
        <v/>
      </c>
      <c r="AL128" s="152">
        <f t="shared" si="76"/>
        <v>0</v>
      </c>
      <c r="AQ128" s="427"/>
      <c r="AS128" s="82" t="str">
        <f>IF(B128="","",IF(P128=SUM(H128,I128,K128,O128),"ИСТИНА",P128-SUM(H128,I128,K128,O128)))</f>
        <v/>
      </c>
      <c r="AT128" s="1105"/>
      <c r="AX128" s="82" t="str">
        <f t="shared" si="140"/>
        <v/>
      </c>
    </row>
    <row r="129" spans="1:60" ht="18.75">
      <c r="B129" s="203">
        <f>MAX(B128)</f>
        <v>0</v>
      </c>
      <c r="C129" s="204" t="str">
        <f>"ИТОГО по "&amp;$C$126&amp;":"</f>
        <v>ИТОГО по ВЛ-0,4 от 150 до 670 кВт:</v>
      </c>
      <c r="D129" s="204"/>
      <c r="E129" s="204"/>
      <c r="F129" s="205">
        <f>SUM(F127)</f>
        <v>0</v>
      </c>
      <c r="G129" s="206">
        <f t="shared" ref="G129:O129" si="266">SUM(G127)</f>
        <v>0</v>
      </c>
      <c r="H129" s="206">
        <f t="shared" si="266"/>
        <v>0</v>
      </c>
      <c r="I129" s="206">
        <f t="shared" si="266"/>
        <v>0</v>
      </c>
      <c r="J129" s="206">
        <f t="shared" si="266"/>
        <v>0</v>
      </c>
      <c r="K129" s="206">
        <f t="shared" si="266"/>
        <v>0</v>
      </c>
      <c r="L129" s="206">
        <f t="shared" si="266"/>
        <v>0</v>
      </c>
      <c r="M129" s="206">
        <f t="shared" si="266"/>
        <v>0</v>
      </c>
      <c r="N129" s="206">
        <f t="shared" si="266"/>
        <v>0</v>
      </c>
      <c r="O129" s="206">
        <f t="shared" si="266"/>
        <v>0</v>
      </c>
      <c r="P129" s="206">
        <f>SUM(P127)</f>
        <v>0</v>
      </c>
      <c r="Q129" s="494"/>
      <c r="R129" s="495"/>
      <c r="S129" s="494"/>
      <c r="T129" s="494"/>
      <c r="U129" s="217"/>
      <c r="V129" s="217"/>
      <c r="W129" s="217"/>
      <c r="Y129" s="174" t="str">
        <f t="shared" si="264"/>
        <v/>
      </c>
      <c r="Z129" s="174" t="str">
        <f t="shared" ref="Z129" si="267">IF(X129="","",CONCATENATE(Y129,"-",X129,"; ",$T$109))</f>
        <v/>
      </c>
      <c r="AA129" s="134"/>
      <c r="AB129" s="117"/>
      <c r="AC129" s="118"/>
      <c r="AD129" s="119"/>
      <c r="AE129" s="108"/>
      <c r="AF129" s="139"/>
      <c r="AG129" s="148" t="str">
        <f t="shared" si="242"/>
        <v>не совпадает</v>
      </c>
      <c r="AI129" s="149" t="str">
        <f t="shared" si="250"/>
        <v/>
      </c>
      <c r="AJ129" s="150" t="str">
        <f t="shared" si="250"/>
        <v/>
      </c>
      <c r="AK129" s="151" t="str">
        <f t="shared" si="250"/>
        <v/>
      </c>
      <c r="AL129" s="152">
        <f t="shared" si="76"/>
        <v>0</v>
      </c>
      <c r="AQ129" s="427"/>
      <c r="AT129" s="1105"/>
      <c r="AX129" s="82" t="str">
        <f t="shared" si="140"/>
        <v/>
      </c>
    </row>
    <row r="130" spans="1:60" ht="18.75">
      <c r="B130" s="110" t="s">
        <v>19</v>
      </c>
      <c r="C130" s="111" t="s">
        <v>2615</v>
      </c>
      <c r="D130" s="112"/>
      <c r="E130" s="112"/>
      <c r="F130" s="113">
        <f>SUM(F131)</f>
        <v>0</v>
      </c>
      <c r="G130" s="114">
        <f t="shared" ref="G130:P133" si="268">SUM(G131)</f>
        <v>0</v>
      </c>
      <c r="H130" s="114">
        <f t="shared" si="268"/>
        <v>0</v>
      </c>
      <c r="I130" s="114">
        <f t="shared" si="268"/>
        <v>0</v>
      </c>
      <c r="J130" s="114">
        <f t="shared" si="268"/>
        <v>0</v>
      </c>
      <c r="K130" s="114">
        <f t="shared" si="268"/>
        <v>0</v>
      </c>
      <c r="L130" s="114">
        <f t="shared" si="268"/>
        <v>0</v>
      </c>
      <c r="M130" s="114">
        <f t="shared" si="268"/>
        <v>0</v>
      </c>
      <c r="N130" s="114">
        <f t="shared" si="268"/>
        <v>0</v>
      </c>
      <c r="O130" s="114">
        <f t="shared" si="268"/>
        <v>0</v>
      </c>
      <c r="P130" s="114">
        <f>SUM(P131)</f>
        <v>0</v>
      </c>
      <c r="Q130" s="112"/>
      <c r="R130" s="112"/>
      <c r="S130" s="112"/>
      <c r="T130" s="115"/>
      <c r="U130" s="116"/>
      <c r="V130" s="116"/>
      <c r="W130" s="116"/>
      <c r="Y130" s="174" t="str">
        <f>IF(X130="","",$C$130)</f>
        <v/>
      </c>
      <c r="Z130" s="174" t="str">
        <f t="shared" si="253"/>
        <v/>
      </c>
      <c r="AA130" s="134"/>
      <c r="AB130" s="117"/>
      <c r="AC130" s="118"/>
      <c r="AD130" s="119"/>
      <c r="AE130" s="108"/>
      <c r="AF130" s="139"/>
      <c r="AG130" s="148" t="str">
        <f t="shared" si="242"/>
        <v>не совпадает</v>
      </c>
      <c r="AI130" s="149" t="str">
        <f t="shared" si="250"/>
        <v/>
      </c>
      <c r="AJ130" s="150" t="str">
        <f t="shared" si="250"/>
        <v/>
      </c>
      <c r="AK130" s="151" t="str">
        <f t="shared" si="250"/>
        <v/>
      </c>
      <c r="AL130" s="152">
        <f t="shared" si="76"/>
        <v>0</v>
      </c>
      <c r="AQ130" s="427"/>
      <c r="AT130" s="1105"/>
      <c r="AX130" s="82" t="str">
        <f t="shared" si="140"/>
        <v/>
      </c>
    </row>
    <row r="131" spans="1:60" s="120" customFormat="1" ht="15.75">
      <c r="B131" s="121" t="s">
        <v>2616</v>
      </c>
      <c r="C131" s="122" t="str">
        <f>"Всего по "&amp;T131&amp;" ("&amp;$C$130&amp;"):"</f>
        <v>Всего по Неизолированный (ВЛ-10 от 150 до 670 кВт):</v>
      </c>
      <c r="D131" s="123"/>
      <c r="E131" s="123"/>
      <c r="F131" s="124">
        <f>SUM(F132)</f>
        <v>0</v>
      </c>
      <c r="G131" s="125">
        <f t="shared" si="268"/>
        <v>0</v>
      </c>
      <c r="H131" s="125">
        <f t="shared" si="268"/>
        <v>0</v>
      </c>
      <c r="I131" s="125">
        <f t="shared" si="268"/>
        <v>0</v>
      </c>
      <c r="J131" s="125">
        <f t="shared" si="268"/>
        <v>0</v>
      </c>
      <c r="K131" s="125">
        <f t="shared" si="268"/>
        <v>0</v>
      </c>
      <c r="L131" s="125">
        <f t="shared" si="268"/>
        <v>0</v>
      </c>
      <c r="M131" s="125">
        <f t="shared" si="268"/>
        <v>0</v>
      </c>
      <c r="N131" s="125">
        <f t="shared" si="268"/>
        <v>0</v>
      </c>
      <c r="O131" s="125">
        <f t="shared" si="268"/>
        <v>0</v>
      </c>
      <c r="P131" s="125">
        <f t="shared" si="268"/>
        <v>0</v>
      </c>
      <c r="Q131" s="127"/>
      <c r="R131" s="127"/>
      <c r="S131" s="127"/>
      <c r="T131" s="127" t="s">
        <v>2577</v>
      </c>
      <c r="U131" s="128"/>
      <c r="V131" s="129"/>
      <c r="W131" s="130"/>
      <c r="X131" s="131"/>
      <c r="Y131" s="132"/>
      <c r="Z131" s="133"/>
      <c r="AA131" s="134"/>
      <c r="AB131" s="135"/>
      <c r="AC131" s="136"/>
      <c r="AD131" s="137"/>
      <c r="AE131" s="192"/>
      <c r="AF131" s="193"/>
      <c r="AG131" s="148" t="str">
        <f t="shared" si="242"/>
        <v>не совпадает</v>
      </c>
      <c r="AH131" s="76"/>
      <c r="AI131" s="117"/>
      <c r="AJ131" s="118"/>
      <c r="AK131" s="119"/>
      <c r="AL131" s="138"/>
      <c r="AM131" s="81"/>
      <c r="AN131" s="82"/>
      <c r="AO131" s="140"/>
      <c r="AP131" s="140"/>
      <c r="AQ131" s="427"/>
      <c r="AR131" s="83"/>
      <c r="AS131" s="140"/>
      <c r="AT131" s="1105"/>
      <c r="AU131" s="85"/>
      <c r="AV131" s="82"/>
      <c r="AW131" s="82"/>
      <c r="AX131" s="82" t="str">
        <f t="shared" si="140"/>
        <v/>
      </c>
      <c r="AY131" s="82"/>
      <c r="AZ131" s="140"/>
      <c r="BA131" s="140"/>
      <c r="BB131" s="140"/>
      <c r="BC131" s="218"/>
      <c r="BD131" s="140"/>
      <c r="BE131" s="140"/>
      <c r="BF131" s="140"/>
      <c r="BH131" s="76"/>
    </row>
    <row r="132" spans="1:60" s="120" customFormat="1" ht="15.75">
      <c r="B132" s="121" t="s">
        <v>2617</v>
      </c>
      <c r="C132" s="142" t="str">
        <f>"Всего по "&amp;T132&amp;" ("&amp;$C$130&amp;"):"</f>
        <v>Всего по Неизол. До 50 мм (ВЛ-10 от 150 до 670 кВт):</v>
      </c>
      <c r="D132" s="143"/>
      <c r="E132" s="143"/>
      <c r="F132" s="231">
        <f>SUM(F133)</f>
        <v>0</v>
      </c>
      <c r="G132" s="232">
        <f t="shared" si="268"/>
        <v>0</v>
      </c>
      <c r="H132" s="232">
        <f t="shared" si="268"/>
        <v>0</v>
      </c>
      <c r="I132" s="232">
        <f t="shared" si="268"/>
        <v>0</v>
      </c>
      <c r="J132" s="232">
        <f t="shared" si="268"/>
        <v>0</v>
      </c>
      <c r="K132" s="232">
        <f t="shared" si="268"/>
        <v>0</v>
      </c>
      <c r="L132" s="232">
        <f t="shared" si="268"/>
        <v>0</v>
      </c>
      <c r="M132" s="232">
        <f t="shared" si="268"/>
        <v>0</v>
      </c>
      <c r="N132" s="232">
        <f t="shared" si="268"/>
        <v>0</v>
      </c>
      <c r="O132" s="232">
        <f t="shared" si="268"/>
        <v>0</v>
      </c>
      <c r="P132" s="232">
        <f>SUM(P133)</f>
        <v>0</v>
      </c>
      <c r="Q132" s="127"/>
      <c r="R132" s="127"/>
      <c r="S132" s="127"/>
      <c r="T132" s="127" t="s">
        <v>3342</v>
      </c>
      <c r="U132" s="128"/>
      <c r="V132" s="129"/>
      <c r="W132" s="130"/>
      <c r="X132" s="131"/>
      <c r="Y132" s="132"/>
      <c r="Z132" s="133"/>
      <c r="AA132" s="134"/>
      <c r="AB132" s="135"/>
      <c r="AC132" s="136"/>
      <c r="AD132" s="137"/>
      <c r="AE132" s="192"/>
      <c r="AF132" s="193"/>
      <c r="AG132" s="148" t="str">
        <f t="shared" si="242"/>
        <v>не совпадает</v>
      </c>
      <c r="AH132" s="76"/>
      <c r="AI132" s="117"/>
      <c r="AJ132" s="118"/>
      <c r="AK132" s="119"/>
      <c r="AL132" s="138"/>
      <c r="AM132" s="81"/>
      <c r="AN132" s="82"/>
      <c r="AO132" s="140"/>
      <c r="AP132" s="140"/>
      <c r="AQ132" s="427"/>
      <c r="AR132" s="83"/>
      <c r="AS132" s="140"/>
      <c r="AT132" s="1105"/>
      <c r="AU132" s="85"/>
      <c r="AV132" s="82"/>
      <c r="AW132" s="82"/>
      <c r="AX132" s="82" t="str">
        <f t="shared" si="140"/>
        <v/>
      </c>
      <c r="AY132" s="82"/>
      <c r="AZ132" s="140"/>
      <c r="BA132" s="140"/>
      <c r="BB132" s="140"/>
      <c r="BC132" s="218"/>
      <c r="BD132" s="140"/>
      <c r="BE132" s="140"/>
      <c r="BF132" s="140"/>
      <c r="BH132" s="76"/>
    </row>
    <row r="133" spans="1:60" s="253" customFormat="1" ht="31.5">
      <c r="B133" s="121" t="s">
        <v>2618</v>
      </c>
      <c r="C133" s="144" t="str">
        <f>"Всего по "&amp;$T$132&amp;" марка "&amp;T133&amp;" ("&amp;$C$130&amp;"):"</f>
        <v>Всего по Неизол. До 50 мм марка АС-50/8 (ВЛ-10 от 150 до 670 кВт):</v>
      </c>
      <c r="D133" s="144"/>
      <c r="E133" s="144"/>
      <c r="F133" s="177">
        <f>SUM(F134)</f>
        <v>0</v>
      </c>
      <c r="G133" s="178">
        <f t="shared" si="268"/>
        <v>0</v>
      </c>
      <c r="H133" s="178">
        <f t="shared" si="268"/>
        <v>0</v>
      </c>
      <c r="I133" s="178">
        <f t="shared" si="268"/>
        <v>0</v>
      </c>
      <c r="J133" s="178">
        <f t="shared" si="268"/>
        <v>0</v>
      </c>
      <c r="K133" s="178">
        <f t="shared" si="268"/>
        <v>0</v>
      </c>
      <c r="L133" s="178">
        <f t="shared" si="268"/>
        <v>0</v>
      </c>
      <c r="M133" s="178">
        <f t="shared" si="268"/>
        <v>0</v>
      </c>
      <c r="N133" s="178">
        <f t="shared" si="268"/>
        <v>0</v>
      </c>
      <c r="O133" s="178">
        <f t="shared" si="268"/>
        <v>0</v>
      </c>
      <c r="P133" s="178">
        <f>SUM(P134)</f>
        <v>0</v>
      </c>
      <c r="Q133" s="254"/>
      <c r="R133" s="254"/>
      <c r="S133" s="254"/>
      <c r="T133" s="255" t="str">
        <f>T118</f>
        <v>АС-50/8</v>
      </c>
      <c r="U133" s="256"/>
      <c r="V133" s="256"/>
      <c r="W133" s="256"/>
      <c r="Y133" s="174" t="str">
        <f t="shared" ref="Y133:Y135" si="269">IF(X133="","",$C$130)</f>
        <v/>
      </c>
      <c r="Z133" s="174" t="str">
        <f>IF(X133="","",CONCATENATE(Y133,"-",X133,"; ",$T$133))</f>
        <v/>
      </c>
      <c r="AA133" s="134"/>
      <c r="AB133" s="117"/>
      <c r="AC133" s="118"/>
      <c r="AD133" s="119"/>
      <c r="AE133" s="108"/>
      <c r="AF133" s="139"/>
      <c r="AG133" s="148" t="str">
        <f t="shared" si="242"/>
        <v>не совпадает</v>
      </c>
      <c r="AH133" s="76"/>
      <c r="AI133" s="149" t="str">
        <f t="shared" ref="AI133:AK164" si="270">IF(ISERROR(AB133/$AG133),"",AB133/$AG133)</f>
        <v/>
      </c>
      <c r="AJ133" s="150" t="str">
        <f t="shared" si="270"/>
        <v/>
      </c>
      <c r="AK133" s="151" t="str">
        <f t="shared" si="270"/>
        <v/>
      </c>
      <c r="AL133" s="152">
        <f t="shared" si="76"/>
        <v>0</v>
      </c>
      <c r="AM133" s="81"/>
      <c r="AN133" s="82"/>
      <c r="AO133" s="257"/>
      <c r="AP133" s="257"/>
      <c r="AQ133" s="427"/>
      <c r="AR133" s="83"/>
      <c r="AS133" s="82"/>
      <c r="AT133" s="1105"/>
      <c r="AU133" s="85"/>
      <c r="AV133" s="82"/>
      <c r="AW133" s="82"/>
      <c r="AX133" s="82" t="str">
        <f t="shared" si="140"/>
        <v/>
      </c>
      <c r="AY133" s="82"/>
      <c r="AZ133" s="257"/>
      <c r="BA133" s="257"/>
      <c r="BB133" s="257"/>
      <c r="BC133" s="258" t="e">
        <f>#REF!</f>
        <v>#REF!</v>
      </c>
      <c r="BD133" s="259" t="e">
        <f>BC133*F133*$BD$6</f>
        <v>#REF!</v>
      </c>
      <c r="BE133" s="259" t="e">
        <f>BD133/F133</f>
        <v>#REF!</v>
      </c>
      <c r="BF133" s="257"/>
      <c r="BH133" s="76"/>
    </row>
    <row r="134" spans="1:60" ht="25.5">
      <c r="A134" s="76" t="str">
        <f t="shared" ref="A134" si="271">IF(C134="","",1)</f>
        <v/>
      </c>
      <c r="B134" s="191" t="str">
        <f>IF(A134="","",SUM($A$134:A134))</f>
        <v/>
      </c>
      <c r="C134" s="180"/>
      <c r="D134" s="158" t="str">
        <f t="shared" ref="D134" si="272">IF(AF134=0,"",AF134)</f>
        <v/>
      </c>
      <c r="E134" s="159">
        <v>10</v>
      </c>
      <c r="F134" s="221"/>
      <c r="G134" s="245"/>
      <c r="H134" s="195"/>
      <c r="I134" s="195"/>
      <c r="J134" s="248"/>
      <c r="K134" s="195"/>
      <c r="L134" s="248"/>
      <c r="M134" s="248"/>
      <c r="N134" s="248"/>
      <c r="O134" s="195"/>
      <c r="P134" s="246"/>
      <c r="Q134" s="247"/>
      <c r="R134" s="186" t="s">
        <v>2595</v>
      </c>
      <c r="S134" s="187"/>
      <c r="T134" s="187" t="s">
        <v>2612</v>
      </c>
      <c r="U134" s="220"/>
      <c r="V134" s="220"/>
      <c r="W134" s="220"/>
      <c r="X134" s="76" t="s">
        <v>2519</v>
      </c>
      <c r="Y134" s="174" t="str">
        <f t="shared" si="269"/>
        <v>ВЛ-10 от 150 до 670 кВт</v>
      </c>
      <c r="Z134" s="174" t="str">
        <f t="shared" ref="Z134:Z135" si="273">IF(X134="","",CONCATENATE(Y134,"-",X134,"; ",$T$133))</f>
        <v>ВЛ-10 от 150 до 670 кВт-н.п.; АС-50/8</v>
      </c>
      <c r="AA134" s="134"/>
      <c r="AB134" s="170">
        <f>O134</f>
        <v>0</v>
      </c>
      <c r="AC134" s="171">
        <f>(I134+H134)</f>
        <v>0</v>
      </c>
      <c r="AD134" s="172">
        <f>K134</f>
        <v>0</v>
      </c>
      <c r="AE134" s="152">
        <f t="shared" ref="AE134" si="274">AB134+AC134+AD134</f>
        <v>0</v>
      </c>
      <c r="AF134" s="139"/>
      <c r="AG134" s="148" t="str">
        <f t="shared" si="242"/>
        <v>не совпадает</v>
      </c>
      <c r="AI134" s="149" t="str">
        <f t="shared" si="270"/>
        <v/>
      </c>
      <c r="AJ134" s="150" t="str">
        <f t="shared" si="270"/>
        <v/>
      </c>
      <c r="AK134" s="151" t="str">
        <f t="shared" si="270"/>
        <v/>
      </c>
      <c r="AL134" s="152">
        <f t="shared" si="76"/>
        <v>0</v>
      </c>
      <c r="AQ134" s="427"/>
      <c r="AS134" s="82" t="str">
        <f>IF(B134="","",IF(P134=SUM(H134,I134,K134,O134),"ИСТИНА",P134-SUM(H134,I134,K134,O134)))</f>
        <v/>
      </c>
      <c r="AT134" s="1105"/>
      <c r="AX134" s="82" t="str">
        <f t="shared" si="140"/>
        <v/>
      </c>
      <c r="BC134" s="154" t="e">
        <f>#REF!</f>
        <v>#REF!</v>
      </c>
      <c r="BD134" s="155" t="e">
        <f>BC134*F134*$BD$6</f>
        <v>#REF!</v>
      </c>
      <c r="BE134" s="155" t="e">
        <f>BD134/F134</f>
        <v>#REF!</v>
      </c>
    </row>
    <row r="135" spans="1:60" ht="18.75">
      <c r="B135" s="203">
        <f>MAX(B134)</f>
        <v>0</v>
      </c>
      <c r="C135" s="204" t="str">
        <f>"ИТОГО по "&amp;$C$130&amp;":"</f>
        <v>ИТОГО по ВЛ-10 от 150 до 670 кВт:</v>
      </c>
      <c r="D135" s="204"/>
      <c r="E135" s="204"/>
      <c r="F135" s="205">
        <f>SUM(F131)</f>
        <v>0</v>
      </c>
      <c r="G135" s="206">
        <f t="shared" ref="G135:P135" si="275">SUM(G131)</f>
        <v>0</v>
      </c>
      <c r="H135" s="206">
        <f t="shared" si="275"/>
        <v>0</v>
      </c>
      <c r="I135" s="206">
        <f t="shared" si="275"/>
        <v>0</v>
      </c>
      <c r="J135" s="206">
        <f t="shared" si="275"/>
        <v>0</v>
      </c>
      <c r="K135" s="206">
        <f t="shared" si="275"/>
        <v>0</v>
      </c>
      <c r="L135" s="206">
        <f t="shared" si="275"/>
        <v>0</v>
      </c>
      <c r="M135" s="206">
        <f t="shared" si="275"/>
        <v>0</v>
      </c>
      <c r="N135" s="206">
        <f t="shared" si="275"/>
        <v>0</v>
      </c>
      <c r="O135" s="206">
        <f t="shared" si="275"/>
        <v>0</v>
      </c>
      <c r="P135" s="206">
        <f t="shared" si="275"/>
        <v>0</v>
      </c>
      <c r="Q135" s="494"/>
      <c r="R135" s="495"/>
      <c r="S135" s="494"/>
      <c r="T135" s="494"/>
      <c r="U135" s="217"/>
      <c r="V135" s="217"/>
      <c r="W135" s="217"/>
      <c r="Y135" s="174" t="str">
        <f t="shared" si="269"/>
        <v/>
      </c>
      <c r="Z135" s="174" t="str">
        <f t="shared" si="273"/>
        <v/>
      </c>
      <c r="AA135" s="134"/>
      <c r="AB135" s="117"/>
      <c r="AC135" s="118"/>
      <c r="AD135" s="119"/>
      <c r="AE135" s="108"/>
      <c r="AF135" s="139"/>
      <c r="AG135" s="148" t="str">
        <f t="shared" si="242"/>
        <v>не совпадает</v>
      </c>
      <c r="AI135" s="149" t="str">
        <f t="shared" si="270"/>
        <v/>
      </c>
      <c r="AJ135" s="150" t="str">
        <f t="shared" si="270"/>
        <v/>
      </c>
      <c r="AK135" s="151" t="str">
        <f t="shared" si="270"/>
        <v/>
      </c>
      <c r="AL135" s="152">
        <f t="shared" si="76"/>
        <v>0</v>
      </c>
      <c r="AQ135" s="427"/>
      <c r="AT135" s="1105"/>
      <c r="AX135" s="82" t="str">
        <f t="shared" si="140"/>
        <v/>
      </c>
      <c r="BD135" s="210" t="e">
        <f>SUM(BD130:BD134)</f>
        <v>#REF!</v>
      </c>
      <c r="BE135" s="210" t="e">
        <f>BD135/F135</f>
        <v>#REF!</v>
      </c>
    </row>
    <row r="136" spans="1:60" s="120" customFormat="1" ht="21">
      <c r="B136" s="223"/>
      <c r="C136" s="224" t="str">
        <f>"ИТОГО ВЛ "&amp;$C$125&amp;":"</f>
        <v>ИТОГО ВЛ от 150 до 670 кВт:</v>
      </c>
      <c r="D136" s="225"/>
      <c r="E136" s="225"/>
      <c r="F136" s="226">
        <f>SUM(F129,F135)</f>
        <v>0</v>
      </c>
      <c r="G136" s="227">
        <f t="shared" ref="G136:P136" si="276">SUM(G129,G135)</f>
        <v>0</v>
      </c>
      <c r="H136" s="227">
        <f t="shared" si="276"/>
        <v>0</v>
      </c>
      <c r="I136" s="227">
        <f t="shared" si="276"/>
        <v>0</v>
      </c>
      <c r="J136" s="227">
        <f t="shared" si="276"/>
        <v>0</v>
      </c>
      <c r="K136" s="227">
        <f t="shared" si="276"/>
        <v>0</v>
      </c>
      <c r="L136" s="227">
        <f t="shared" si="276"/>
        <v>0</v>
      </c>
      <c r="M136" s="227">
        <f t="shared" si="276"/>
        <v>0</v>
      </c>
      <c r="N136" s="227">
        <f t="shared" si="276"/>
        <v>0</v>
      </c>
      <c r="O136" s="227">
        <f t="shared" si="276"/>
        <v>0</v>
      </c>
      <c r="P136" s="227">
        <f t="shared" si="276"/>
        <v>0</v>
      </c>
      <c r="Q136" s="228"/>
      <c r="R136" s="228"/>
      <c r="S136" s="228"/>
      <c r="T136" s="229"/>
      <c r="U136" s="128"/>
      <c r="V136" s="129"/>
      <c r="W136" s="130"/>
      <c r="X136" s="131"/>
      <c r="Y136" s="132" t="str">
        <f t="shared" ref="Y136" si="277">IF(X136="","",$C$42)</f>
        <v/>
      </c>
      <c r="Z136" s="133" t="str">
        <f t="shared" ref="Z136" si="278">IF(X136="","",CONCATENATE(Y136,"-",X136,"; ",$T$55))</f>
        <v/>
      </c>
      <c r="AA136" s="134"/>
      <c r="AB136" s="117"/>
      <c r="AC136" s="118"/>
      <c r="AD136" s="119"/>
      <c r="AE136" s="108"/>
      <c r="AF136" s="193"/>
      <c r="AG136" s="148" t="str">
        <f t="shared" si="242"/>
        <v>не совпадает</v>
      </c>
      <c r="AH136" s="76"/>
      <c r="AI136" s="200" t="str">
        <f t="shared" si="270"/>
        <v/>
      </c>
      <c r="AJ136" s="201" t="str">
        <f t="shared" si="270"/>
        <v/>
      </c>
      <c r="AK136" s="202" t="str">
        <f t="shared" si="270"/>
        <v/>
      </c>
      <c r="AL136" s="230">
        <f t="shared" si="76"/>
        <v>0</v>
      </c>
      <c r="AM136" s="81"/>
      <c r="AN136" s="82"/>
      <c r="AO136" s="140"/>
      <c r="AP136" s="140"/>
      <c r="AQ136" s="427"/>
      <c r="AR136" s="83"/>
      <c r="AS136" s="140"/>
      <c r="AT136" s="1105"/>
      <c r="AU136" s="85"/>
      <c r="AV136" s="82"/>
      <c r="AW136" s="82"/>
      <c r="AX136" s="82" t="str">
        <f t="shared" si="140"/>
        <v/>
      </c>
      <c r="AY136" s="82"/>
      <c r="AZ136" s="140"/>
      <c r="BA136" s="140"/>
      <c r="BB136" s="140"/>
      <c r="BC136" s="218"/>
      <c r="BD136" s="140"/>
      <c r="BE136" s="140"/>
      <c r="BF136" s="140"/>
      <c r="BH136" s="76"/>
    </row>
    <row r="137" spans="1:60" ht="15">
      <c r="F137" s="260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Y137" s="174" t="str">
        <f t="shared" ref="Y137:Y142" si="279">IF(X137="","",$C$125)</f>
        <v/>
      </c>
      <c r="Z137" s="174" t="str">
        <f t="shared" ref="Z137:Z190" si="280">IF(X137="","",CONCATENATE(Y137,"-",X137))</f>
        <v/>
      </c>
      <c r="AA137" s="134"/>
      <c r="AB137" s="117"/>
      <c r="AC137" s="118"/>
      <c r="AD137" s="119"/>
      <c r="AE137" s="108"/>
      <c r="AF137" s="139"/>
      <c r="AG137" s="148" t="str">
        <f t="shared" si="242"/>
        <v>не совпадает</v>
      </c>
      <c r="AI137" s="149" t="str">
        <f t="shared" si="270"/>
        <v/>
      </c>
      <c r="AJ137" s="150" t="str">
        <f t="shared" si="270"/>
        <v/>
      </c>
      <c r="AK137" s="151" t="str">
        <f t="shared" si="270"/>
        <v/>
      </c>
      <c r="AL137" s="152">
        <f t="shared" si="76"/>
        <v>0</v>
      </c>
      <c r="AQ137" s="427"/>
      <c r="AT137" s="1105"/>
      <c r="AX137" s="82" t="str">
        <f t="shared" si="140"/>
        <v/>
      </c>
    </row>
    <row r="138" spans="1:60" ht="15">
      <c r="B138" s="262"/>
      <c r="C138" s="263" t="s">
        <v>2619</v>
      </c>
      <c r="D138" s="263"/>
      <c r="E138" s="263"/>
      <c r="F138" s="264">
        <f>SUM(F9,F56)</f>
        <v>3.7750000000000008</v>
      </c>
      <c r="G138" s="264">
        <f t="shared" ref="G138:P138" si="281">SUM(G9,G56)</f>
        <v>269.37</v>
      </c>
      <c r="H138" s="264">
        <f t="shared" si="281"/>
        <v>0</v>
      </c>
      <c r="I138" s="264">
        <f t="shared" si="281"/>
        <v>0</v>
      </c>
      <c r="J138" s="264">
        <f t="shared" si="281"/>
        <v>0</v>
      </c>
      <c r="K138" s="264">
        <f t="shared" si="281"/>
        <v>1058.9829400000001</v>
      </c>
      <c r="L138" s="264">
        <f t="shared" si="281"/>
        <v>0</v>
      </c>
      <c r="M138" s="264">
        <f t="shared" si="281"/>
        <v>0</v>
      </c>
      <c r="N138" s="264">
        <f t="shared" si="281"/>
        <v>0</v>
      </c>
      <c r="O138" s="264">
        <f t="shared" si="281"/>
        <v>1846.1336199999998</v>
      </c>
      <c r="P138" s="264">
        <f t="shared" si="281"/>
        <v>3009070.83</v>
      </c>
      <c r="Q138" s="265"/>
      <c r="R138" s="266"/>
      <c r="S138" s="267"/>
      <c r="T138" s="268"/>
      <c r="U138" s="269"/>
      <c r="V138" s="269"/>
      <c r="W138" s="269"/>
      <c r="Y138" s="174" t="str">
        <f t="shared" si="279"/>
        <v/>
      </c>
      <c r="Z138" s="174" t="str">
        <f t="shared" si="280"/>
        <v/>
      </c>
      <c r="AA138" s="134"/>
      <c r="AB138" s="117"/>
      <c r="AC138" s="118"/>
      <c r="AD138" s="119"/>
      <c r="AE138" s="108"/>
      <c r="AF138" s="139"/>
      <c r="AG138" s="148" t="str">
        <f t="shared" si="242"/>
        <v>не совпадает</v>
      </c>
      <c r="AI138" s="149" t="str">
        <f t="shared" si="270"/>
        <v/>
      </c>
      <c r="AJ138" s="150" t="str">
        <f t="shared" si="270"/>
        <v/>
      </c>
      <c r="AK138" s="151" t="str">
        <f t="shared" si="270"/>
        <v/>
      </c>
      <c r="AL138" s="152">
        <f t="shared" si="76"/>
        <v>0</v>
      </c>
      <c r="AQ138" s="427"/>
      <c r="AT138" s="1105"/>
      <c r="AX138" s="82" t="str">
        <f t="shared" si="140"/>
        <v/>
      </c>
    </row>
    <row r="139" spans="1:60" ht="15">
      <c r="C139" s="76" t="s">
        <v>2620</v>
      </c>
      <c r="F139" s="270">
        <f>SUM(F9,F71,F101,F126)</f>
        <v>3.7220000000000009</v>
      </c>
      <c r="G139" s="270">
        <f t="shared" ref="G139:P139" si="282">SUM(G9,G71,G101,G126)</f>
        <v>342.85</v>
      </c>
      <c r="H139" s="270">
        <f t="shared" si="282"/>
        <v>0</v>
      </c>
      <c r="I139" s="270">
        <f t="shared" si="282"/>
        <v>0</v>
      </c>
      <c r="J139" s="270">
        <f t="shared" si="282"/>
        <v>0</v>
      </c>
      <c r="K139" s="270">
        <f t="shared" si="282"/>
        <v>1198.6076600000001</v>
      </c>
      <c r="L139" s="270">
        <f t="shared" si="282"/>
        <v>0</v>
      </c>
      <c r="M139" s="270">
        <f t="shared" si="282"/>
        <v>0</v>
      </c>
      <c r="N139" s="270">
        <f t="shared" si="282"/>
        <v>0</v>
      </c>
      <c r="O139" s="270">
        <f t="shared" si="282"/>
        <v>1791.5931799999998</v>
      </c>
      <c r="P139" s="270">
        <f t="shared" si="282"/>
        <v>2990200.84</v>
      </c>
      <c r="Y139" s="174" t="str">
        <f t="shared" si="279"/>
        <v/>
      </c>
      <c r="Z139" s="174" t="str">
        <f t="shared" si="280"/>
        <v/>
      </c>
      <c r="AA139" s="134"/>
      <c r="AB139" s="117"/>
      <c r="AC139" s="118"/>
      <c r="AD139" s="119"/>
      <c r="AE139" s="108"/>
      <c r="AF139" s="139"/>
      <c r="AG139" s="148" t="str">
        <f t="shared" si="242"/>
        <v>не совпадает</v>
      </c>
      <c r="AI139" s="149" t="str">
        <f t="shared" si="270"/>
        <v/>
      </c>
      <c r="AJ139" s="150" t="str">
        <f t="shared" si="270"/>
        <v/>
      </c>
      <c r="AK139" s="151" t="str">
        <f t="shared" si="270"/>
        <v/>
      </c>
      <c r="AL139" s="152">
        <f t="shared" si="76"/>
        <v>0</v>
      </c>
      <c r="AQ139" s="427"/>
      <c r="AT139" s="1105"/>
      <c r="AX139" s="82" t="str">
        <f t="shared" si="140"/>
        <v/>
      </c>
    </row>
    <row r="140" spans="1:60" ht="15">
      <c r="C140" s="76" t="s">
        <v>2621</v>
      </c>
      <c r="F140" s="270">
        <f>SUM(F56,F87,F112,F130)</f>
        <v>16.648</v>
      </c>
      <c r="G140" s="270">
        <f t="shared" ref="G140:P140" si="283">SUM(G56,G87,G112,G130)</f>
        <v>160.19999999999999</v>
      </c>
      <c r="H140" s="270">
        <f t="shared" si="283"/>
        <v>0</v>
      </c>
      <c r="I140" s="270">
        <f t="shared" si="283"/>
        <v>0</v>
      </c>
      <c r="J140" s="270">
        <f t="shared" si="283"/>
        <v>0</v>
      </c>
      <c r="K140" s="270">
        <f t="shared" si="283"/>
        <v>1983.8413399999999</v>
      </c>
      <c r="L140" s="270">
        <f t="shared" si="283"/>
        <v>0</v>
      </c>
      <c r="M140" s="270">
        <f t="shared" si="283"/>
        <v>0</v>
      </c>
      <c r="N140" s="270">
        <f t="shared" si="283"/>
        <v>0</v>
      </c>
      <c r="O140" s="270">
        <f t="shared" si="283"/>
        <v>8130.5782900000004</v>
      </c>
      <c r="P140" s="270">
        <f t="shared" si="283"/>
        <v>10218373.899999999</v>
      </c>
      <c r="Q140" s="2310"/>
      <c r="R140" s="260"/>
      <c r="Y140" s="174" t="str">
        <f t="shared" si="279"/>
        <v/>
      </c>
      <c r="Z140" s="174" t="str">
        <f t="shared" si="280"/>
        <v/>
      </c>
      <c r="AA140" s="134"/>
      <c r="AB140" s="117"/>
      <c r="AC140" s="118"/>
      <c r="AD140" s="119"/>
      <c r="AE140" s="108"/>
      <c r="AF140" s="139"/>
      <c r="AG140" s="148" t="str">
        <f t="shared" si="242"/>
        <v>не совпадает</v>
      </c>
      <c r="AI140" s="149" t="str">
        <f t="shared" si="270"/>
        <v/>
      </c>
      <c r="AJ140" s="150" t="str">
        <f t="shared" si="270"/>
        <v/>
      </c>
      <c r="AK140" s="151" t="str">
        <f t="shared" si="270"/>
        <v/>
      </c>
      <c r="AL140" s="152">
        <f t="shared" si="76"/>
        <v>0</v>
      </c>
      <c r="AQ140" s="427"/>
      <c r="AT140" s="1105"/>
      <c r="AX140" s="82" t="str">
        <f t="shared" si="140"/>
        <v/>
      </c>
    </row>
    <row r="141" spans="1:60" ht="15">
      <c r="F141" s="205">
        <f>SUM(F139,F140)</f>
        <v>20.37</v>
      </c>
      <c r="G141" s="205">
        <f t="shared" ref="G141:P141" si="284">SUM(G139,G140)</f>
        <v>503.05</v>
      </c>
      <c r="H141" s="205">
        <f t="shared" si="284"/>
        <v>0</v>
      </c>
      <c r="I141" s="205">
        <f t="shared" si="284"/>
        <v>0</v>
      </c>
      <c r="J141" s="205">
        <f t="shared" si="284"/>
        <v>0</v>
      </c>
      <c r="K141" s="205">
        <f t="shared" si="284"/>
        <v>3182.4490000000001</v>
      </c>
      <c r="L141" s="205">
        <f t="shared" si="284"/>
        <v>0</v>
      </c>
      <c r="M141" s="205">
        <f t="shared" si="284"/>
        <v>0</v>
      </c>
      <c r="N141" s="205">
        <f t="shared" si="284"/>
        <v>0</v>
      </c>
      <c r="O141" s="205">
        <f t="shared" si="284"/>
        <v>9922.1714700000011</v>
      </c>
      <c r="P141" s="205">
        <f t="shared" si="284"/>
        <v>13208574.739999998</v>
      </c>
      <c r="Q141" s="2311"/>
      <c r="R141" s="2311"/>
      <c r="Y141" s="174" t="str">
        <f t="shared" si="279"/>
        <v/>
      </c>
      <c r="Z141" s="174" t="str">
        <f t="shared" si="280"/>
        <v/>
      </c>
      <c r="AA141" s="134"/>
      <c r="AB141" s="117"/>
      <c r="AC141" s="118"/>
      <c r="AD141" s="119"/>
      <c r="AE141" s="108"/>
      <c r="AF141" s="139"/>
      <c r="AG141" s="148" t="str">
        <f t="shared" si="242"/>
        <v>не совпадает</v>
      </c>
      <c r="AI141" s="149" t="str">
        <f t="shared" si="270"/>
        <v/>
      </c>
      <c r="AJ141" s="150" t="str">
        <f t="shared" si="270"/>
        <v/>
      </c>
      <c r="AK141" s="151" t="str">
        <f t="shared" si="270"/>
        <v/>
      </c>
      <c r="AL141" s="152">
        <f t="shared" si="76"/>
        <v>0</v>
      </c>
      <c r="AQ141" s="427"/>
      <c r="AT141" s="1105"/>
      <c r="AX141" s="82" t="str">
        <f t="shared" ref="AX141:AX190" si="285">IF(AT141="","",P141)</f>
        <v/>
      </c>
    </row>
    <row r="142" spans="1:60" ht="15">
      <c r="C142" s="76" t="s">
        <v>2559</v>
      </c>
      <c r="P142" s="2848">
        <f>P141+P166</f>
        <v>13891659.449999999</v>
      </c>
      <c r="Y142" s="174" t="str">
        <f t="shared" si="279"/>
        <v/>
      </c>
      <c r="Z142" s="174" t="str">
        <f t="shared" si="280"/>
        <v/>
      </c>
      <c r="AA142" s="134"/>
      <c r="AB142" s="117"/>
      <c r="AC142" s="118"/>
      <c r="AD142" s="119"/>
      <c r="AE142" s="108"/>
      <c r="AF142" s="139"/>
      <c r="AG142" s="148" t="str">
        <f t="shared" si="242"/>
        <v>не совпадает</v>
      </c>
      <c r="AI142" s="149" t="str">
        <f t="shared" si="270"/>
        <v/>
      </c>
      <c r="AJ142" s="150" t="str">
        <f t="shared" si="270"/>
        <v/>
      </c>
      <c r="AK142" s="151" t="str">
        <f t="shared" si="270"/>
        <v/>
      </c>
      <c r="AL142" s="152">
        <f t="shared" si="76"/>
        <v>0</v>
      </c>
      <c r="AQ142" s="427"/>
      <c r="AT142" s="1105"/>
      <c r="AX142" s="82" t="str">
        <f t="shared" si="285"/>
        <v/>
      </c>
    </row>
    <row r="143" spans="1:60" ht="25.5">
      <c r="B143" s="273" t="s">
        <v>20</v>
      </c>
      <c r="C143" s="1429" t="s">
        <v>2622</v>
      </c>
      <c r="D143" s="1430"/>
      <c r="E143" s="1430"/>
      <c r="F143" s="1430"/>
      <c r="G143" s="1430"/>
      <c r="H143" s="1430"/>
      <c r="I143" s="1430"/>
      <c r="J143" s="1430"/>
      <c r="K143" s="1430"/>
      <c r="L143" s="1430"/>
      <c r="M143" s="1430"/>
      <c r="N143" s="1430"/>
      <c r="O143" s="1430"/>
      <c r="P143" s="1430"/>
      <c r="Q143" s="1430"/>
      <c r="R143" s="1430"/>
      <c r="S143" s="1430"/>
      <c r="T143" s="1431"/>
      <c r="U143" s="239"/>
      <c r="V143" s="239"/>
      <c r="W143" s="239"/>
      <c r="Y143" s="174" t="str">
        <f>IF(X143="","",$C$143)</f>
        <v/>
      </c>
      <c r="Z143" s="174" t="str">
        <f t="shared" si="280"/>
        <v/>
      </c>
      <c r="AA143" s="134"/>
      <c r="AB143" s="117"/>
      <c r="AC143" s="118"/>
      <c r="AD143" s="119"/>
      <c r="AE143" s="108"/>
      <c r="AF143" s="139"/>
      <c r="AG143" s="148" t="str">
        <f t="shared" si="242"/>
        <v>не совпадает</v>
      </c>
      <c r="AI143" s="149" t="str">
        <f t="shared" si="270"/>
        <v/>
      </c>
      <c r="AJ143" s="150" t="str">
        <f t="shared" si="270"/>
        <v/>
      </c>
      <c r="AK143" s="151" t="str">
        <f t="shared" si="270"/>
        <v/>
      </c>
      <c r="AL143" s="152">
        <f t="shared" si="76"/>
        <v>0</v>
      </c>
      <c r="AR143" s="82"/>
      <c r="AT143" s="1105"/>
      <c r="AX143" s="82" t="str">
        <f t="shared" si="285"/>
        <v/>
      </c>
      <c r="BC143" s="274"/>
      <c r="BD143" s="275" t="e">
        <f>#REF!</f>
        <v>#REF!</v>
      </c>
      <c r="BE143" s="276" t="s">
        <v>2623</v>
      </c>
      <c r="BH143" s="76">
        <f>IFERROR(VLOOKUP($S143,'[27]3.1.1 -реестр исполненных'!$C$10:$I$201,7,FALSE),"")</f>
        <v>0</v>
      </c>
    </row>
    <row r="144" spans="1:60" ht="18.75" customHeight="1">
      <c r="B144" s="277" t="s">
        <v>2624</v>
      </c>
      <c r="C144" s="277" t="s">
        <v>2625</v>
      </c>
      <c r="D144" s="278"/>
      <c r="E144" s="278"/>
      <c r="F144" s="279">
        <f>SUM(F145,F160)</f>
        <v>0</v>
      </c>
      <c r="G144" s="280">
        <f t="shared" ref="G144:O144" si="286">SUM(G145,G160)</f>
        <v>0</v>
      </c>
      <c r="H144" s="280">
        <f t="shared" si="286"/>
        <v>0</v>
      </c>
      <c r="I144" s="280">
        <f t="shared" si="286"/>
        <v>0</v>
      </c>
      <c r="J144" s="280">
        <f t="shared" si="286"/>
        <v>0</v>
      </c>
      <c r="K144" s="280">
        <f t="shared" si="286"/>
        <v>0</v>
      </c>
      <c r="L144" s="280">
        <f t="shared" si="286"/>
        <v>0</v>
      </c>
      <c r="M144" s="280">
        <f t="shared" si="286"/>
        <v>0</v>
      </c>
      <c r="N144" s="280">
        <f t="shared" si="286"/>
        <v>0</v>
      </c>
      <c r="O144" s="280">
        <f t="shared" si="286"/>
        <v>0</v>
      </c>
      <c r="P144" s="280">
        <f>SUM(P145,P160)</f>
        <v>0</v>
      </c>
      <c r="Q144" s="279">
        <f>SUM(Q145,Q160)</f>
        <v>0</v>
      </c>
      <c r="R144" s="278"/>
      <c r="S144" s="278"/>
      <c r="T144" s="281"/>
      <c r="X144" s="128"/>
      <c r="Y144" s="174" t="str">
        <f t="shared" ref="Y144" si="287">IF(X144="","",$C$127)</f>
        <v/>
      </c>
      <c r="Z144" s="174" t="str">
        <f t="shared" si="280"/>
        <v/>
      </c>
      <c r="AA144" s="134"/>
      <c r="AB144" s="117"/>
      <c r="AC144" s="118"/>
      <c r="AD144" s="119"/>
      <c r="AE144" s="108"/>
      <c r="AF144" s="139"/>
      <c r="AG144" s="148" t="str">
        <f t="shared" si="242"/>
        <v>не совпадает</v>
      </c>
      <c r="AI144" s="149" t="str">
        <f t="shared" si="270"/>
        <v/>
      </c>
      <c r="AJ144" s="150" t="str">
        <f t="shared" si="270"/>
        <v/>
      </c>
      <c r="AK144" s="151" t="str">
        <f t="shared" si="270"/>
        <v/>
      </c>
      <c r="AL144" s="152">
        <f t="shared" si="76"/>
        <v>0</v>
      </c>
      <c r="AR144" s="82"/>
      <c r="AT144" s="1105"/>
      <c r="AX144" s="82" t="str">
        <f t="shared" si="285"/>
        <v/>
      </c>
      <c r="BH144" s="76">
        <f>IFERROR(VLOOKUP($S144,'[27]3.1.1 -реестр исполненных'!$C$10:$I$201,7,FALSE),"")</f>
        <v>0</v>
      </c>
    </row>
    <row r="145" spans="1:60" s="120" customFormat="1" ht="18.75">
      <c r="B145" s="282" t="s">
        <v>2626</v>
      </c>
      <c r="C145" s="283" t="str">
        <f>""&amp;T145&amp;" ("&amp;$C$144&amp;")"</f>
        <v>Однотрансф. (Льгота (ТП, КТП, МТП, СТП))</v>
      </c>
      <c r="D145" s="284"/>
      <c r="E145" s="284"/>
      <c r="F145" s="285">
        <f>SUM(F146,F148,F150,F152,F156,F158)</f>
        <v>0</v>
      </c>
      <c r="G145" s="125">
        <f t="shared" ref="G145:Q145" si="288">SUM(G146,G148,G150,G152,G156,G158)</f>
        <v>0</v>
      </c>
      <c r="H145" s="125">
        <f>SUM(H146,H148,H150,H152,H156,H158)</f>
        <v>0</v>
      </c>
      <c r="I145" s="125">
        <f t="shared" si="288"/>
        <v>0</v>
      </c>
      <c r="J145" s="125">
        <f t="shared" si="288"/>
        <v>0</v>
      </c>
      <c r="K145" s="125">
        <f t="shared" si="288"/>
        <v>0</v>
      </c>
      <c r="L145" s="125">
        <f t="shared" si="288"/>
        <v>0</v>
      </c>
      <c r="M145" s="125">
        <f t="shared" si="288"/>
        <v>0</v>
      </c>
      <c r="N145" s="125">
        <f t="shared" si="288"/>
        <v>0</v>
      </c>
      <c r="O145" s="125">
        <f t="shared" si="288"/>
        <v>0</v>
      </c>
      <c r="P145" s="125">
        <f>SUM(P146,P148,P150,P152,P156,P158)</f>
        <v>0</v>
      </c>
      <c r="Q145" s="285">
        <f t="shared" si="288"/>
        <v>0</v>
      </c>
      <c r="R145" s="286"/>
      <c r="S145" s="286"/>
      <c r="T145" s="287" t="s">
        <v>2627</v>
      </c>
      <c r="U145" s="128"/>
      <c r="V145" s="128"/>
      <c r="W145" s="128"/>
      <c r="X145" s="76"/>
      <c r="Y145" s="174" t="str">
        <f>IF(X145="","",$C$203)</f>
        <v/>
      </c>
      <c r="Z145" s="174" t="str">
        <f>IF(X145="","",CONCATENATE(Y145,"-",X145))</f>
        <v/>
      </c>
      <c r="AA145" s="134"/>
      <c r="AB145" s="117"/>
      <c r="AC145" s="118"/>
      <c r="AD145" s="119"/>
      <c r="AE145" s="108"/>
      <c r="AF145" s="193"/>
      <c r="AG145" s="148" t="str">
        <f t="shared" si="242"/>
        <v>не совпадает</v>
      </c>
      <c r="AH145" s="76"/>
      <c r="AI145" s="200" t="str">
        <f t="shared" si="270"/>
        <v/>
      </c>
      <c r="AJ145" s="201" t="str">
        <f t="shared" si="270"/>
        <v/>
      </c>
      <c r="AK145" s="202" t="str">
        <f t="shared" si="270"/>
        <v/>
      </c>
      <c r="AL145" s="230">
        <f>SUM(AI145,AJ145,AK145)</f>
        <v>0</v>
      </c>
      <c r="AM145" s="81"/>
      <c r="AN145" s="82"/>
      <c r="AO145" s="82"/>
      <c r="AP145" s="82"/>
      <c r="AQ145" s="82"/>
      <c r="AR145" s="82"/>
      <c r="AS145" s="140"/>
      <c r="AT145" s="1105"/>
      <c r="AU145" s="85"/>
      <c r="AV145" s="82"/>
      <c r="AW145" s="82"/>
      <c r="AX145" s="82" t="str">
        <f t="shared" si="285"/>
        <v/>
      </c>
      <c r="AY145" s="82"/>
      <c r="AZ145" s="140"/>
      <c r="BA145" s="140"/>
      <c r="BB145" s="140"/>
      <c r="BC145" s="218"/>
      <c r="BD145" s="140"/>
      <c r="BE145" s="140"/>
      <c r="BF145" s="140"/>
      <c r="BH145" s="76">
        <f>IFERROR(VLOOKUP($S145,'[27]3.1.1 -реестр исполненных'!$C$10:$I$201,7,FALSE),"")</f>
        <v>0</v>
      </c>
    </row>
    <row r="146" spans="1:60" s="120" customFormat="1" ht="18.75">
      <c r="B146" s="288" t="s">
        <v>2628</v>
      </c>
      <c r="C146" s="289" t="str">
        <f>"Всего по "&amp;$C$144&amp;" ("&amp;T146&amp;"):"</f>
        <v>Всего по Льгота (ТП, КТП, МТП, СТП) (до 25 кВА):</v>
      </c>
      <c r="D146" s="289"/>
      <c r="E146" s="289"/>
      <c r="F146" s="290">
        <f>SUM(F147)</f>
        <v>0</v>
      </c>
      <c r="G146" s="291">
        <f t="shared" ref="G146:Q146" si="289">SUM(G147)</f>
        <v>0</v>
      </c>
      <c r="H146" s="291">
        <f t="shared" si="289"/>
        <v>0</v>
      </c>
      <c r="I146" s="291">
        <f t="shared" si="289"/>
        <v>0</v>
      </c>
      <c r="J146" s="291">
        <f t="shared" si="289"/>
        <v>0</v>
      </c>
      <c r="K146" s="291">
        <f>SUM(K147)</f>
        <v>0</v>
      </c>
      <c r="L146" s="291">
        <f t="shared" si="289"/>
        <v>0</v>
      </c>
      <c r="M146" s="291">
        <f t="shared" si="289"/>
        <v>0</v>
      </c>
      <c r="N146" s="291">
        <f t="shared" si="289"/>
        <v>0</v>
      </c>
      <c r="O146" s="291">
        <f t="shared" si="289"/>
        <v>0</v>
      </c>
      <c r="P146" s="291">
        <f>SUM(P147)</f>
        <v>0</v>
      </c>
      <c r="Q146" s="290">
        <f t="shared" si="289"/>
        <v>0</v>
      </c>
      <c r="R146" s="292"/>
      <c r="S146" s="292"/>
      <c r="T146" s="293" t="s">
        <v>2629</v>
      </c>
      <c r="U146" s="128"/>
      <c r="V146" s="128"/>
      <c r="W146" s="128"/>
      <c r="X146" s="76"/>
      <c r="Y146" s="174" t="str">
        <f>IF(X146="","",$C$202)</f>
        <v/>
      </c>
      <c r="Z146" s="174" t="str">
        <f>IF(X146="","",CONCATENATE(Y146,"-",X146))</f>
        <v/>
      </c>
      <c r="AA146" s="134"/>
      <c r="AB146" s="117"/>
      <c r="AC146" s="118"/>
      <c r="AD146" s="119"/>
      <c r="AE146" s="108"/>
      <c r="AF146" s="193"/>
      <c r="AG146" s="148" t="str">
        <f t="shared" si="242"/>
        <v>не совпадает</v>
      </c>
      <c r="AH146" s="76"/>
      <c r="AI146" s="200" t="str">
        <f t="shared" si="270"/>
        <v/>
      </c>
      <c r="AJ146" s="201" t="str">
        <f t="shared" si="270"/>
        <v/>
      </c>
      <c r="AK146" s="202" t="str">
        <f t="shared" si="270"/>
        <v/>
      </c>
      <c r="AL146" s="230">
        <f>SUM(AI146,AJ146,AK146)</f>
        <v>0</v>
      </c>
      <c r="AM146" s="81"/>
      <c r="AN146" s="82"/>
      <c r="AO146" s="82"/>
      <c r="AP146" s="82"/>
      <c r="AQ146" s="82"/>
      <c r="AR146" s="82"/>
      <c r="AS146" s="140"/>
      <c r="AT146" s="1105"/>
      <c r="AU146" s="85"/>
      <c r="AV146" s="82"/>
      <c r="AW146" s="82"/>
      <c r="AX146" s="82" t="str">
        <f t="shared" si="285"/>
        <v/>
      </c>
      <c r="AY146" s="82"/>
      <c r="AZ146" s="140"/>
      <c r="BA146" s="140"/>
      <c r="BB146" s="140"/>
      <c r="BC146" s="218"/>
      <c r="BD146" s="140"/>
      <c r="BE146" s="140"/>
      <c r="BF146" s="140"/>
      <c r="BH146" s="76">
        <f>IFERROR(VLOOKUP($S146,'[27]3.1.1 -реестр исполненных'!$C$10:$I$201,7,FALSE),"")</f>
        <v>0</v>
      </c>
    </row>
    <row r="147" spans="1:60" ht="15.75">
      <c r="A147" s="76" t="str">
        <f t="shared" ref="A147" si="290">IF(C147="","",1)</f>
        <v/>
      </c>
      <c r="B147" s="294" t="str">
        <f>IF(A147="","",SUM($A$147:A147))</f>
        <v/>
      </c>
      <c r="C147" s="180"/>
      <c r="D147" s="158" t="str">
        <f t="shared" ref="D147" si="291">IF(AF147=0,"",AF147)</f>
        <v/>
      </c>
      <c r="E147" s="159"/>
      <c r="F147" s="295"/>
      <c r="G147" s="195"/>
      <c r="H147" s="296"/>
      <c r="I147" s="296"/>
      <c r="J147" s="296"/>
      <c r="K147" s="296"/>
      <c r="L147" s="296"/>
      <c r="M147" s="296"/>
      <c r="N147" s="296"/>
      <c r="O147" s="296"/>
      <c r="P147" s="246"/>
      <c r="Q147" s="245"/>
      <c r="R147" s="186"/>
      <c r="S147" s="297"/>
      <c r="T147" s="297"/>
      <c r="V147" s="298"/>
      <c r="W147" s="299" t="str">
        <f>""&amp;V147&amp;" - "&amp;X147&amp;""</f>
        <v xml:space="preserve"> - </v>
      </c>
      <c r="X147" s="300"/>
      <c r="Y147" s="300"/>
      <c r="Z147" s="301" t="str">
        <f>IF(X147="","",CONCATENATE(Y147,": ",W147))</f>
        <v/>
      </c>
      <c r="AA147" s="134"/>
      <c r="AB147" s="170">
        <f>O147</f>
        <v>0</v>
      </c>
      <c r="AC147" s="171">
        <f>(I147+H147)</f>
        <v>0</v>
      </c>
      <c r="AD147" s="172">
        <f>K147</f>
        <v>0</v>
      </c>
      <c r="AE147" s="152">
        <f t="shared" ref="AE147" si="292">AB147+AC147+AD147</f>
        <v>0</v>
      </c>
      <c r="AF147" s="139"/>
      <c r="AG147" s="148" t="str">
        <f t="shared" si="242"/>
        <v>не совпадает</v>
      </c>
      <c r="AI147" s="149" t="str">
        <f t="shared" si="270"/>
        <v/>
      </c>
      <c r="AJ147" s="150" t="str">
        <f t="shared" si="270"/>
        <v/>
      </c>
      <c r="AK147" s="151" t="str">
        <f t="shared" si="270"/>
        <v/>
      </c>
      <c r="AL147" s="152">
        <f t="shared" ref="AL147" si="293">SUM(AI147,AJ147,AK147)</f>
        <v>0</v>
      </c>
      <c r="AR147" s="82"/>
      <c r="AT147" s="1105"/>
      <c r="AX147" s="82" t="str">
        <f t="shared" si="285"/>
        <v/>
      </c>
      <c r="BH147" s="76">
        <f>IFERROR(VLOOKUP($S147,'[27]3.1.1 -реестр исполненных'!$C$10:$I$201,7,FALSE),"")</f>
        <v>0</v>
      </c>
    </row>
    <row r="148" spans="1:60" s="120" customFormat="1" ht="18.75">
      <c r="B148" s="288" t="s">
        <v>2630</v>
      </c>
      <c r="C148" s="289" t="str">
        <f>"Всего по "&amp;$C$144&amp;" ("&amp;T148&amp;"):"</f>
        <v>Всего по Льгота (ТП, КТП, МТП, СТП) (25-100 кВА):</v>
      </c>
      <c r="D148" s="289"/>
      <c r="E148" s="289"/>
      <c r="F148" s="290">
        <f>SUM(F149)</f>
        <v>0</v>
      </c>
      <c r="G148" s="291">
        <f t="shared" ref="G148:L158" si="294">SUM(G149)</f>
        <v>0</v>
      </c>
      <c r="H148" s="291">
        <f t="shared" si="294"/>
        <v>0</v>
      </c>
      <c r="I148" s="291">
        <f t="shared" si="294"/>
        <v>0</v>
      </c>
      <c r="J148" s="291">
        <f t="shared" si="294"/>
        <v>0</v>
      </c>
      <c r="K148" s="291">
        <f t="shared" si="294"/>
        <v>0</v>
      </c>
      <c r="L148" s="291">
        <f t="shared" si="294"/>
        <v>0</v>
      </c>
      <c r="M148" s="291">
        <f>SUM(M149)</f>
        <v>0</v>
      </c>
      <c r="N148" s="291">
        <f t="shared" ref="N148:Q158" si="295">SUM(N149)</f>
        <v>0</v>
      </c>
      <c r="O148" s="291">
        <f t="shared" si="295"/>
        <v>0</v>
      </c>
      <c r="P148" s="291">
        <f t="shared" si="295"/>
        <v>0</v>
      </c>
      <c r="Q148" s="290">
        <f t="shared" si="295"/>
        <v>0</v>
      </c>
      <c r="R148" s="292"/>
      <c r="S148" s="292"/>
      <c r="T148" s="293" t="s">
        <v>2631</v>
      </c>
      <c r="U148" s="128"/>
      <c r="V148" s="128"/>
      <c r="W148" s="128"/>
      <c r="X148" s="76"/>
      <c r="Y148" s="174" t="str">
        <f>IF(X148="","",$C$190)</f>
        <v/>
      </c>
      <c r="Z148" s="174" t="str">
        <f>IF(X148="","",CONCATENATE(Y148,"-",X148))</f>
        <v/>
      </c>
      <c r="AA148" s="134"/>
      <c r="AB148" s="117"/>
      <c r="AC148" s="118"/>
      <c r="AD148" s="119"/>
      <c r="AE148" s="108"/>
      <c r="AF148" s="193"/>
      <c r="AG148" s="148" t="str">
        <f t="shared" si="242"/>
        <v>не совпадает</v>
      </c>
      <c r="AH148" s="76"/>
      <c r="AI148" s="200" t="str">
        <f t="shared" si="270"/>
        <v/>
      </c>
      <c r="AJ148" s="201" t="str">
        <f t="shared" si="270"/>
        <v/>
      </c>
      <c r="AK148" s="202" t="str">
        <f t="shared" si="270"/>
        <v/>
      </c>
      <c r="AL148" s="230">
        <f>SUM(AI148,AJ148,AK148)</f>
        <v>0</v>
      </c>
      <c r="AM148" s="81"/>
      <c r="AN148" s="82"/>
      <c r="AO148" s="82"/>
      <c r="AP148" s="82"/>
      <c r="AQ148" s="82"/>
      <c r="AR148" s="82"/>
      <c r="AS148" s="140"/>
      <c r="AT148" s="1105"/>
      <c r="AU148" s="85"/>
      <c r="AV148" s="82"/>
      <c r="AW148" s="82"/>
      <c r="AX148" s="82" t="str">
        <f t="shared" si="285"/>
        <v/>
      </c>
      <c r="AY148" s="82"/>
      <c r="AZ148" s="140"/>
      <c r="BA148" s="140"/>
      <c r="BB148" s="140"/>
      <c r="BC148" s="218"/>
      <c r="BD148" s="140"/>
      <c r="BE148" s="140"/>
      <c r="BF148" s="140"/>
      <c r="BH148" s="76">
        <f>IFERROR(VLOOKUP($S148,'[27]3.1.1 -реестр исполненных'!$C$10:$I$201,7,FALSE),"")</f>
        <v>0</v>
      </c>
    </row>
    <row r="149" spans="1:60" s="120" customFormat="1" ht="12" customHeight="1">
      <c r="A149" s="120" t="str">
        <f t="shared" ref="A149" si="296">IF(C149="","",1)</f>
        <v/>
      </c>
      <c r="B149" s="294" t="str">
        <f>IF(A149="","",SUM($A$147:A149))</f>
        <v/>
      </c>
      <c r="C149" s="180"/>
      <c r="D149" s="158" t="str">
        <f t="shared" ref="D149" si="297">IF(AF149=0,"",AF149)</f>
        <v/>
      </c>
      <c r="E149" s="159"/>
      <c r="F149" s="295"/>
      <c r="G149" s="195"/>
      <c r="H149" s="296"/>
      <c r="I149" s="296"/>
      <c r="J149" s="296"/>
      <c r="K149" s="296"/>
      <c r="L149" s="296"/>
      <c r="M149" s="296"/>
      <c r="N149" s="296"/>
      <c r="O149" s="296"/>
      <c r="P149" s="246"/>
      <c r="Q149" s="302"/>
      <c r="R149" s="303"/>
      <c r="S149" s="304"/>
      <c r="T149" s="305"/>
      <c r="U149" s="128"/>
      <c r="V149" s="306"/>
      <c r="W149" s="307" t="str">
        <f>""&amp;V149&amp;" - "&amp;X149&amp;""</f>
        <v xml:space="preserve"> - </v>
      </c>
      <c r="X149" s="308"/>
      <c r="Y149" s="309" t="str">
        <f>IF(X149="","",$C$190)</f>
        <v/>
      </c>
      <c r="Z149" s="310" t="str">
        <f>IF(X149="","",CONCATENATE(Y149,": ",W149))</f>
        <v/>
      </c>
      <c r="AA149" s="134"/>
      <c r="AB149" s="170">
        <f>O149</f>
        <v>0</v>
      </c>
      <c r="AC149" s="171">
        <f>(I149+H149)</f>
        <v>0</v>
      </c>
      <c r="AD149" s="172">
        <f>K149</f>
        <v>0</v>
      </c>
      <c r="AE149" s="152">
        <f t="shared" ref="AE149" si="298">AB149+AC149+AD149</f>
        <v>0</v>
      </c>
      <c r="AF149" s="193"/>
      <c r="AG149" s="148" t="str">
        <f t="shared" si="242"/>
        <v>не совпадает</v>
      </c>
      <c r="AH149" s="76"/>
      <c r="AI149" s="200" t="str">
        <f t="shared" si="270"/>
        <v/>
      </c>
      <c r="AJ149" s="201" t="str">
        <f t="shared" si="270"/>
        <v/>
      </c>
      <c r="AK149" s="202" t="str">
        <f t="shared" si="270"/>
        <v/>
      </c>
      <c r="AL149" s="230">
        <f>SUM(AI149,AJ149,AK149)</f>
        <v>0</v>
      </c>
      <c r="AM149" s="81"/>
      <c r="AN149" s="82"/>
      <c r="AO149" s="82"/>
      <c r="AP149" s="82"/>
      <c r="AQ149" s="82"/>
      <c r="AR149" s="82"/>
      <c r="AS149" s="140"/>
      <c r="AT149" s="1105"/>
      <c r="AU149" s="85"/>
      <c r="AV149" s="82"/>
      <c r="AW149" s="82"/>
      <c r="AX149" s="82" t="str">
        <f t="shared" si="285"/>
        <v/>
      </c>
      <c r="AY149" s="82"/>
      <c r="AZ149" s="140"/>
      <c r="BA149" s="140"/>
      <c r="BB149" s="140"/>
      <c r="BC149" s="218"/>
      <c r="BD149" s="140"/>
      <c r="BE149" s="140"/>
      <c r="BF149" s="140"/>
      <c r="BH149" s="76">
        <f>IFERROR(VLOOKUP($S149,'[27]3.1.1 -реестр исполненных'!$C$10:$I$201,7,FALSE),"")</f>
        <v>0</v>
      </c>
    </row>
    <row r="150" spans="1:60" s="120" customFormat="1" ht="18.75" customHeight="1">
      <c r="B150" s="288" t="s">
        <v>2632</v>
      </c>
      <c r="C150" s="289" t="str">
        <f>"Всего по "&amp;$C$144&amp;" ("&amp;T150&amp;"):"</f>
        <v>Всего по Льгота (ТП, КТП, МТП, СТП) (100-250 кВА):</v>
      </c>
      <c r="D150" s="289"/>
      <c r="E150" s="289"/>
      <c r="F150" s="290">
        <f>SUM(F151)</f>
        <v>0</v>
      </c>
      <c r="G150" s="291">
        <f t="shared" si="294"/>
        <v>0</v>
      </c>
      <c r="H150" s="291">
        <f t="shared" si="294"/>
        <v>0</v>
      </c>
      <c r="I150" s="291">
        <f t="shared" si="294"/>
        <v>0</v>
      </c>
      <c r="J150" s="291">
        <f t="shared" si="294"/>
        <v>0</v>
      </c>
      <c r="K150" s="291">
        <f t="shared" si="294"/>
        <v>0</v>
      </c>
      <c r="L150" s="291">
        <f t="shared" si="294"/>
        <v>0</v>
      </c>
      <c r="M150" s="291">
        <f>SUM(M151)</f>
        <v>0</v>
      </c>
      <c r="N150" s="291">
        <f t="shared" si="295"/>
        <v>0</v>
      </c>
      <c r="O150" s="291">
        <f t="shared" si="295"/>
        <v>0</v>
      </c>
      <c r="P150" s="291">
        <f t="shared" si="295"/>
        <v>0</v>
      </c>
      <c r="Q150" s="290">
        <f t="shared" si="295"/>
        <v>0</v>
      </c>
      <c r="R150" s="292"/>
      <c r="S150" s="292"/>
      <c r="T150" s="293" t="s">
        <v>2633</v>
      </c>
      <c r="U150" s="128"/>
      <c r="V150" s="128"/>
      <c r="W150" s="128"/>
      <c r="X150" s="76"/>
      <c r="Y150" s="174" t="str">
        <f>IF(X150="","",$C$190)</f>
        <v/>
      </c>
      <c r="Z150" s="174" t="str">
        <f>IF(X150="","",CONCATENATE(Y150,"-",X150))</f>
        <v/>
      </c>
      <c r="AA150" s="134"/>
      <c r="AB150" s="117"/>
      <c r="AC150" s="118"/>
      <c r="AD150" s="119"/>
      <c r="AE150" s="108"/>
      <c r="AF150" s="193"/>
      <c r="AG150" s="148" t="str">
        <f t="shared" si="242"/>
        <v>не совпадает</v>
      </c>
      <c r="AH150" s="76"/>
      <c r="AI150" s="200" t="str">
        <f t="shared" si="270"/>
        <v/>
      </c>
      <c r="AJ150" s="201" t="str">
        <f t="shared" si="270"/>
        <v/>
      </c>
      <c r="AK150" s="202" t="str">
        <f t="shared" si="270"/>
        <v/>
      </c>
      <c r="AL150" s="230">
        <f>SUM(AI150,AJ150,AK150)</f>
        <v>0</v>
      </c>
      <c r="AM150" s="81"/>
      <c r="AN150" s="82"/>
      <c r="AO150" s="82"/>
      <c r="AP150" s="82"/>
      <c r="AQ150" s="82"/>
      <c r="AR150" s="82"/>
      <c r="AS150" s="140"/>
      <c r="AT150" s="1105"/>
      <c r="AU150" s="85"/>
      <c r="AV150" s="82"/>
      <c r="AW150" s="82"/>
      <c r="AX150" s="82" t="str">
        <f t="shared" si="285"/>
        <v/>
      </c>
      <c r="AY150" s="82"/>
      <c r="AZ150" s="140"/>
      <c r="BA150" s="140"/>
      <c r="BB150" s="140"/>
      <c r="BC150" s="218"/>
      <c r="BD150" s="140"/>
      <c r="BE150" s="140"/>
      <c r="BF150" s="140"/>
      <c r="BH150" s="76">
        <f>IFERROR(VLOOKUP($S150,'[27]3.1.1 -реестр исполненных'!$C$10:$I$201,7,FALSE),"")</f>
        <v>0</v>
      </c>
    </row>
    <row r="151" spans="1:60" s="120" customFormat="1" ht="12" customHeight="1">
      <c r="A151" s="76" t="str">
        <f t="shared" ref="A151" si="299">IF(C151="","",1)</f>
        <v/>
      </c>
      <c r="B151" s="294" t="str">
        <f>IF(A151="","",SUM($A$147:A151))</f>
        <v/>
      </c>
      <c r="C151" s="180"/>
      <c r="D151" s="158" t="str">
        <f t="shared" ref="D151" si="300">IF(AF151=0,"",AF151)</f>
        <v/>
      </c>
      <c r="E151" s="159"/>
      <c r="F151" s="295"/>
      <c r="G151" s="195"/>
      <c r="H151" s="296"/>
      <c r="I151" s="296"/>
      <c r="J151" s="296"/>
      <c r="K151" s="296"/>
      <c r="L151" s="296"/>
      <c r="M151" s="296"/>
      <c r="N151" s="296"/>
      <c r="O151" s="296"/>
      <c r="P151" s="246"/>
      <c r="Q151" s="245"/>
      <c r="R151" s="186"/>
      <c r="S151" s="297"/>
      <c r="T151" s="297"/>
      <c r="U151" s="128"/>
      <c r="V151" s="306"/>
      <c r="W151" s="307" t="str">
        <f>""&amp;V151&amp;" - "&amp;X151&amp;""</f>
        <v xml:space="preserve"> - </v>
      </c>
      <c r="X151" s="308"/>
      <c r="Y151" s="309" t="str">
        <f>IF(X151="","",$C$190)</f>
        <v/>
      </c>
      <c r="Z151" s="310" t="str">
        <f>IF(X151="","",CONCATENATE(Y151,": ",W151))</f>
        <v/>
      </c>
      <c r="AA151" s="134"/>
      <c r="AB151" s="170">
        <f>O151</f>
        <v>0</v>
      </c>
      <c r="AC151" s="171">
        <f>(I151+H151)</f>
        <v>0</v>
      </c>
      <c r="AD151" s="172">
        <f>K151</f>
        <v>0</v>
      </c>
      <c r="AE151" s="152">
        <f t="shared" ref="AE151" si="301">AB151+AC151+AD151</f>
        <v>0</v>
      </c>
      <c r="AF151" s="193"/>
      <c r="AG151" s="148" t="str">
        <f t="shared" si="242"/>
        <v>не совпадает</v>
      </c>
      <c r="AH151" s="76"/>
      <c r="AI151" s="200" t="str">
        <f t="shared" si="270"/>
        <v/>
      </c>
      <c r="AJ151" s="201" t="str">
        <f t="shared" si="270"/>
        <v/>
      </c>
      <c r="AK151" s="202" t="str">
        <f t="shared" si="270"/>
        <v/>
      </c>
      <c r="AL151" s="230">
        <f>SUM(AI151,AJ151,AK151)</f>
        <v>0</v>
      </c>
      <c r="AM151" s="81"/>
      <c r="AN151" s="82"/>
      <c r="AO151" s="82"/>
      <c r="AP151" s="82"/>
      <c r="AQ151" s="82"/>
      <c r="AR151" s="82"/>
      <c r="AS151" s="140"/>
      <c r="AT151" s="1105"/>
      <c r="AU151" s="85"/>
      <c r="AV151" s="82"/>
      <c r="AW151" s="82"/>
      <c r="AX151" s="82" t="str">
        <f t="shared" si="285"/>
        <v/>
      </c>
      <c r="AY151" s="82"/>
      <c r="AZ151" s="140"/>
      <c r="BA151" s="140"/>
      <c r="BB151" s="140"/>
      <c r="BC151" s="218"/>
      <c r="BD151" s="140"/>
      <c r="BE151" s="140"/>
      <c r="BF151" s="140"/>
      <c r="BH151" s="76">
        <f>IFERROR(VLOOKUP($S151,'[27]3.1.1 -реестр исполненных'!$C$10:$I$201,7,FALSE),"")</f>
        <v>0</v>
      </c>
    </row>
    <row r="152" spans="1:60" s="120" customFormat="1" ht="18.75" customHeight="1">
      <c r="B152" s="288" t="s">
        <v>2634</v>
      </c>
      <c r="C152" s="289" t="str">
        <f>"Всего по "&amp;$C$144&amp;" ("&amp;T152&amp;"):"</f>
        <v>Всего по Льгота (ТП, КТП, МТП, СТП) (250-500 кВА):</v>
      </c>
      <c r="D152" s="289"/>
      <c r="E152" s="289"/>
      <c r="F152" s="290">
        <f>SUM(F153:F155)</f>
        <v>0</v>
      </c>
      <c r="G152" s="291">
        <f t="shared" ref="G152:Q152" si="302">SUM(G153:G155)</f>
        <v>0</v>
      </c>
      <c r="H152" s="291">
        <f t="shared" si="302"/>
        <v>0</v>
      </c>
      <c r="I152" s="291">
        <f t="shared" si="302"/>
        <v>0</v>
      </c>
      <c r="J152" s="291">
        <f t="shared" si="302"/>
        <v>0</v>
      </c>
      <c r="K152" s="291">
        <f t="shared" si="302"/>
        <v>0</v>
      </c>
      <c r="L152" s="291">
        <f t="shared" si="302"/>
        <v>0</v>
      </c>
      <c r="M152" s="291">
        <f t="shared" si="302"/>
        <v>0</v>
      </c>
      <c r="N152" s="291">
        <f>SUM(N153:N155)</f>
        <v>0</v>
      </c>
      <c r="O152" s="291">
        <f t="shared" si="302"/>
        <v>0</v>
      </c>
      <c r="P152" s="291">
        <f>SUM(P153:P155)</f>
        <v>0</v>
      </c>
      <c r="Q152" s="290">
        <f t="shared" si="302"/>
        <v>0</v>
      </c>
      <c r="R152" s="292"/>
      <c r="S152" s="292"/>
      <c r="T152" s="293" t="s">
        <v>2635</v>
      </c>
      <c r="U152" s="128"/>
      <c r="V152" s="128"/>
      <c r="W152" s="128"/>
      <c r="X152" s="76"/>
      <c r="Y152" s="174" t="str">
        <f>IF(X152="","",$C$202)</f>
        <v/>
      </c>
      <c r="Z152" s="174" t="str">
        <f>IF(X152="","",CONCATENATE(Y152,"-",X152))</f>
        <v/>
      </c>
      <c r="AA152" s="134"/>
      <c r="AB152" s="117"/>
      <c r="AC152" s="118"/>
      <c r="AD152" s="119"/>
      <c r="AE152" s="108"/>
      <c r="AF152" s="193"/>
      <c r="AG152" s="148" t="str">
        <f t="shared" si="242"/>
        <v>не совпадает</v>
      </c>
      <c r="AH152" s="76"/>
      <c r="AI152" s="200" t="str">
        <f t="shared" si="270"/>
        <v/>
      </c>
      <c r="AJ152" s="201" t="str">
        <f t="shared" si="270"/>
        <v/>
      </c>
      <c r="AK152" s="202" t="str">
        <f t="shared" si="270"/>
        <v/>
      </c>
      <c r="AL152" s="230">
        <f>SUM(AI152,AJ152,AK152)</f>
        <v>0</v>
      </c>
      <c r="AM152" s="81"/>
      <c r="AN152" s="82"/>
      <c r="AO152" s="82"/>
      <c r="AP152" s="82"/>
      <c r="AQ152" s="82"/>
      <c r="AR152" s="82"/>
      <c r="AS152" s="140"/>
      <c r="AT152" s="1105"/>
      <c r="AU152" s="85"/>
      <c r="AV152" s="82"/>
      <c r="AW152" s="82"/>
      <c r="AX152" s="82" t="str">
        <f t="shared" si="285"/>
        <v/>
      </c>
      <c r="AY152" s="82"/>
      <c r="AZ152" s="140"/>
      <c r="BA152" s="140"/>
      <c r="BB152" s="140"/>
      <c r="BC152" s="218"/>
      <c r="BD152" s="140"/>
      <c r="BE152" s="140"/>
      <c r="BF152" s="140"/>
      <c r="BH152" s="76">
        <f>IFERROR(VLOOKUP($S152,'[27]3.1.1 -реестр исполненных'!$C$10:$I$201,7,FALSE),"")</f>
        <v>0</v>
      </c>
    </row>
    <row r="153" spans="1:60" ht="25.5">
      <c r="A153" s="76" t="str">
        <f t="shared" ref="A153:A155" si="303">IF(C153="","",1)</f>
        <v/>
      </c>
      <c r="B153" s="311" t="str">
        <f>IF(A153="","",SUM($A$147:A153))</f>
        <v/>
      </c>
      <c r="C153" s="157"/>
      <c r="D153" s="158" t="str">
        <f t="shared" ref="D153:D155" si="304">IF(AF153=0,"",AF153)</f>
        <v/>
      </c>
      <c r="E153" s="159"/>
      <c r="F153" s="31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3"/>
      <c r="Q153" s="240"/>
      <c r="R153" s="165" t="s">
        <v>2564</v>
      </c>
      <c r="S153" s="313"/>
      <c r="T153" s="313"/>
      <c r="V153" s="300" t="s">
        <v>2636</v>
      </c>
      <c r="W153" s="299" t="str">
        <f t="shared" ref="W153:W154" si="305">""&amp;V153&amp;" - "&amp;X153&amp;""</f>
        <v>КТП 400 кВА - н.п.</v>
      </c>
      <c r="X153" s="300" t="s">
        <v>2519</v>
      </c>
      <c r="Y153" s="300" t="s">
        <v>2637</v>
      </c>
      <c r="Z153" s="301" t="str">
        <f>IF(X153="","",CONCATENATE(Y153,": ",W153))</f>
        <v>до 15 кВт (льгота); 1Т: КТП 400 кВА - н.п.</v>
      </c>
      <c r="AA153" s="134"/>
      <c r="AB153" s="170">
        <f>O153</f>
        <v>0</v>
      </c>
      <c r="AC153" s="171">
        <f>(I153+H153)</f>
        <v>0</v>
      </c>
      <c r="AD153" s="172">
        <f>K153</f>
        <v>0</v>
      </c>
      <c r="AE153" s="152">
        <f t="shared" ref="AE153:AE155" si="306">AB153+AC153+AD153</f>
        <v>0</v>
      </c>
      <c r="AF153" s="139"/>
      <c r="AG153" s="148" t="str">
        <f t="shared" si="242"/>
        <v>не совпадает</v>
      </c>
      <c r="AI153" s="149" t="str">
        <f t="shared" si="270"/>
        <v/>
      </c>
      <c r="AJ153" s="150" t="str">
        <f t="shared" si="270"/>
        <v/>
      </c>
      <c r="AK153" s="151" t="str">
        <f t="shared" si="270"/>
        <v/>
      </c>
      <c r="AL153" s="152">
        <f t="shared" ref="AL153:AL165" si="307">SUM(AI153,AJ153,AK153)</f>
        <v>0</v>
      </c>
      <c r="AR153" s="82"/>
      <c r="AT153" s="1105"/>
      <c r="AU153" s="3303"/>
      <c r="AV153" s="198"/>
      <c r="AW153" s="199"/>
      <c r="AX153" s="82" t="str">
        <f t="shared" si="285"/>
        <v/>
      </c>
      <c r="BA153" s="189"/>
      <c r="BH153" s="76">
        <f>IFERROR(VLOOKUP($S153,'[27]3.1.1 -реестр исполненных'!$C$10:$I$201,7,FALSE),"")</f>
        <v>0</v>
      </c>
    </row>
    <row r="154" spans="1:60" ht="25.5">
      <c r="A154" s="76" t="str">
        <f t="shared" si="303"/>
        <v/>
      </c>
      <c r="B154" s="311" t="str">
        <f>IF(A154="","",SUM($A$147:A154))</f>
        <v/>
      </c>
      <c r="C154" s="157"/>
      <c r="D154" s="158" t="str">
        <f t="shared" si="304"/>
        <v/>
      </c>
      <c r="E154" s="159"/>
      <c r="F154" s="31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3"/>
      <c r="Q154" s="240"/>
      <c r="R154" s="165" t="s">
        <v>2564</v>
      </c>
      <c r="S154" s="313"/>
      <c r="T154" s="313"/>
      <c r="V154" s="315" t="s">
        <v>2636</v>
      </c>
      <c r="W154" s="316" t="str">
        <f t="shared" si="305"/>
        <v>КТП 400 кВА - н.п.</v>
      </c>
      <c r="X154" s="315" t="s">
        <v>2519</v>
      </c>
      <c r="Y154" s="315" t="s">
        <v>2637</v>
      </c>
      <c r="Z154" s="317" t="str">
        <f>IF(X154="","",CONCATENATE(Y154,": ",W154))</f>
        <v>до 15 кВт (льгота); 1Т: КТП 400 кВА - н.п.</v>
      </c>
      <c r="AA154" s="134"/>
      <c r="AB154" s="170">
        <f>O154</f>
        <v>0</v>
      </c>
      <c r="AC154" s="171">
        <f>(I154+H154)</f>
        <v>0</v>
      </c>
      <c r="AD154" s="172">
        <f>K154</f>
        <v>0</v>
      </c>
      <c r="AE154" s="152">
        <f t="shared" si="306"/>
        <v>0</v>
      </c>
      <c r="AF154" s="139"/>
      <c r="AG154" s="148" t="str">
        <f t="shared" si="242"/>
        <v>не совпадает</v>
      </c>
      <c r="AI154" s="149" t="str">
        <f t="shared" si="270"/>
        <v/>
      </c>
      <c r="AJ154" s="150" t="str">
        <f t="shared" si="270"/>
        <v/>
      </c>
      <c r="AK154" s="151" t="str">
        <f t="shared" si="270"/>
        <v/>
      </c>
      <c r="AL154" s="152">
        <f t="shared" si="307"/>
        <v>0</v>
      </c>
      <c r="AR154" s="82"/>
      <c r="AT154" s="1105"/>
      <c r="AU154" s="3303"/>
      <c r="AV154" s="198"/>
      <c r="AW154" s="199"/>
      <c r="AX154" s="82" t="str">
        <f t="shared" si="285"/>
        <v/>
      </c>
      <c r="BA154" s="189"/>
      <c r="BH154" s="76">
        <f>IFERROR(VLOOKUP($S154,'[27]3.1.1 -реестр исполненных'!$C$10:$I$201,7,FALSE),"")</f>
        <v>0</v>
      </c>
    </row>
    <row r="155" spans="1:60" s="120" customFormat="1" ht="12" customHeight="1">
      <c r="A155" s="76" t="str">
        <f t="shared" si="303"/>
        <v/>
      </c>
      <c r="B155" s="294" t="str">
        <f>IF(A155="","",SUM($A$147:A155))</f>
        <v/>
      </c>
      <c r="C155" s="157"/>
      <c r="D155" s="318" t="str">
        <f t="shared" si="304"/>
        <v/>
      </c>
      <c r="E155" s="302"/>
      <c r="F155" s="295"/>
      <c r="G155" s="195"/>
      <c r="H155" s="296"/>
      <c r="I155" s="296"/>
      <c r="J155" s="296"/>
      <c r="K155" s="296"/>
      <c r="L155" s="296"/>
      <c r="M155" s="296"/>
      <c r="N155" s="296"/>
      <c r="O155" s="296"/>
      <c r="P155" s="246"/>
      <c r="Q155" s="245"/>
      <c r="R155" s="186"/>
      <c r="S155" s="297"/>
      <c r="T155" s="297"/>
      <c r="U155" s="128"/>
      <c r="V155" s="306"/>
      <c r="W155" s="307" t="str">
        <f>""&amp;V155&amp;" - "&amp;X155&amp;""</f>
        <v xml:space="preserve"> - </v>
      </c>
      <c r="X155" s="308"/>
      <c r="Y155" s="309" t="str">
        <f>IF(X155="","",$C$190)</f>
        <v/>
      </c>
      <c r="Z155" s="310" t="str">
        <f>IF(X155="","",CONCATENATE(Y155,": ",W155))</f>
        <v/>
      </c>
      <c r="AA155" s="134"/>
      <c r="AB155" s="170">
        <f>O155</f>
        <v>0</v>
      </c>
      <c r="AC155" s="171">
        <f>(I155+H155)</f>
        <v>0</v>
      </c>
      <c r="AD155" s="172">
        <f>K155</f>
        <v>0</v>
      </c>
      <c r="AE155" s="152">
        <f t="shared" si="306"/>
        <v>0</v>
      </c>
      <c r="AF155" s="193"/>
      <c r="AG155" s="148" t="str">
        <f t="shared" si="242"/>
        <v>не совпадает</v>
      </c>
      <c r="AH155" s="76"/>
      <c r="AI155" s="200" t="str">
        <f t="shared" si="270"/>
        <v/>
      </c>
      <c r="AJ155" s="201" t="str">
        <f t="shared" si="270"/>
        <v/>
      </c>
      <c r="AK155" s="202" t="str">
        <f t="shared" si="270"/>
        <v/>
      </c>
      <c r="AL155" s="230">
        <f>SUM(AI155,AJ155,AK155)</f>
        <v>0</v>
      </c>
      <c r="AM155" s="81"/>
      <c r="AN155" s="82"/>
      <c r="AO155" s="82"/>
      <c r="AP155" s="82"/>
      <c r="AQ155" s="82"/>
      <c r="AR155" s="82"/>
      <c r="AS155" s="140"/>
      <c r="AT155" s="1105"/>
      <c r="AU155" s="85"/>
      <c r="AV155" s="82"/>
      <c r="AW155" s="82"/>
      <c r="AX155" s="82" t="str">
        <f t="shared" si="285"/>
        <v/>
      </c>
      <c r="AY155" s="82"/>
      <c r="AZ155" s="140"/>
      <c r="BA155" s="140"/>
      <c r="BB155" s="140"/>
      <c r="BC155" s="218"/>
      <c r="BD155" s="140"/>
      <c r="BE155" s="140"/>
      <c r="BF155" s="140"/>
      <c r="BH155" s="76">
        <f>IFERROR(VLOOKUP($S155,'[27]3.1.1 -реестр исполненных'!$C$10:$I$201,7,FALSE),"")</f>
        <v>0</v>
      </c>
    </row>
    <row r="156" spans="1:60" s="120" customFormat="1" ht="18.75" customHeight="1">
      <c r="B156" s="288" t="s">
        <v>2638</v>
      </c>
      <c r="C156" s="289" t="str">
        <f>"Всего по "&amp;$C$144&amp;" ("&amp;T156&amp;"):"</f>
        <v>Всего по Льгота (ТП, КТП, МТП, СТП) (500-900 кВА):</v>
      </c>
      <c r="D156" s="289"/>
      <c r="E156" s="289"/>
      <c r="F156" s="290">
        <f>SUM(F157)</f>
        <v>0</v>
      </c>
      <c r="G156" s="291">
        <f t="shared" si="294"/>
        <v>0</v>
      </c>
      <c r="H156" s="291">
        <f t="shared" si="294"/>
        <v>0</v>
      </c>
      <c r="I156" s="291">
        <f t="shared" si="294"/>
        <v>0</v>
      </c>
      <c r="J156" s="291">
        <f t="shared" si="294"/>
        <v>0</v>
      </c>
      <c r="K156" s="291">
        <f t="shared" si="294"/>
        <v>0</v>
      </c>
      <c r="L156" s="291">
        <f t="shared" si="294"/>
        <v>0</v>
      </c>
      <c r="M156" s="291">
        <f>SUM(M157)</f>
        <v>0</v>
      </c>
      <c r="N156" s="291">
        <f t="shared" si="295"/>
        <v>0</v>
      </c>
      <c r="O156" s="291">
        <f t="shared" si="295"/>
        <v>0</v>
      </c>
      <c r="P156" s="291">
        <f t="shared" si="295"/>
        <v>0</v>
      </c>
      <c r="Q156" s="290">
        <f t="shared" si="295"/>
        <v>0</v>
      </c>
      <c r="R156" s="292"/>
      <c r="S156" s="292"/>
      <c r="T156" s="293" t="s">
        <v>2639</v>
      </c>
      <c r="U156" s="128"/>
      <c r="V156" s="128"/>
      <c r="W156" s="128"/>
      <c r="X156" s="76"/>
      <c r="Y156" s="174" t="str">
        <f>IF(X156="","",$C$190)</f>
        <v/>
      </c>
      <c r="Z156" s="174" t="str">
        <f>IF(X156="","",CONCATENATE(Y156,"-",X156))</f>
        <v/>
      </c>
      <c r="AA156" s="134"/>
      <c r="AB156" s="117"/>
      <c r="AC156" s="118"/>
      <c r="AD156" s="119"/>
      <c r="AE156" s="108"/>
      <c r="AF156" s="193"/>
      <c r="AG156" s="148" t="str">
        <f t="shared" si="242"/>
        <v>не совпадает</v>
      </c>
      <c r="AH156" s="76"/>
      <c r="AI156" s="200" t="str">
        <f t="shared" si="270"/>
        <v/>
      </c>
      <c r="AJ156" s="201" t="str">
        <f t="shared" si="270"/>
        <v/>
      </c>
      <c r="AK156" s="202" t="str">
        <f t="shared" si="270"/>
        <v/>
      </c>
      <c r="AL156" s="230">
        <f t="shared" si="307"/>
        <v>0</v>
      </c>
      <c r="AM156" s="81"/>
      <c r="AN156" s="82"/>
      <c r="AO156" s="82"/>
      <c r="AP156" s="82"/>
      <c r="AQ156" s="82"/>
      <c r="AR156" s="82"/>
      <c r="AS156" s="140"/>
      <c r="AT156" s="1105"/>
      <c r="AU156" s="85"/>
      <c r="AV156" s="82"/>
      <c r="AW156" s="82"/>
      <c r="AX156" s="82" t="str">
        <f t="shared" si="285"/>
        <v/>
      </c>
      <c r="AY156" s="82"/>
      <c r="AZ156" s="140"/>
      <c r="BA156" s="140"/>
      <c r="BB156" s="140"/>
      <c r="BC156" s="218"/>
      <c r="BD156" s="140"/>
      <c r="BE156" s="140"/>
      <c r="BF156" s="140"/>
      <c r="BH156" s="76">
        <f>IFERROR(VLOOKUP($S156,'[27]3.1.1 -реестр исполненных'!$C$10:$I$201,7,FALSE),"")</f>
        <v>0</v>
      </c>
    </row>
    <row r="157" spans="1:60" s="120" customFormat="1" ht="12" customHeight="1">
      <c r="A157" s="76" t="str">
        <f t="shared" ref="A157" si="308">IF(C157="","",1)</f>
        <v/>
      </c>
      <c r="B157" s="294" t="str">
        <f>IF(A157="","",SUM($A$147:A157))</f>
        <v/>
      </c>
      <c r="C157" s="180"/>
      <c r="D157" s="158" t="str">
        <f t="shared" ref="D157" si="309">IF(AF157=0,"",AF157)</f>
        <v/>
      </c>
      <c r="E157" s="159"/>
      <c r="F157" s="295"/>
      <c r="G157" s="195"/>
      <c r="H157" s="296"/>
      <c r="I157" s="296"/>
      <c r="J157" s="296"/>
      <c r="K157" s="296"/>
      <c r="L157" s="296"/>
      <c r="M157" s="296"/>
      <c r="N157" s="296"/>
      <c r="O157" s="296"/>
      <c r="P157" s="246"/>
      <c r="Q157" s="245"/>
      <c r="R157" s="186"/>
      <c r="S157" s="297"/>
      <c r="T157" s="297"/>
      <c r="U157" s="128"/>
      <c r="V157" s="306"/>
      <c r="W157" s="307" t="str">
        <f>""&amp;V157&amp;" - "&amp;X157&amp;""</f>
        <v xml:space="preserve"> - </v>
      </c>
      <c r="X157" s="308"/>
      <c r="Y157" s="309" t="str">
        <f>IF(X157="","",$C$190)</f>
        <v/>
      </c>
      <c r="Z157" s="310" t="str">
        <f>IF(X157="","",CONCATENATE(Y157,": ",W157))</f>
        <v/>
      </c>
      <c r="AA157" s="134"/>
      <c r="AB157" s="170">
        <f>O157</f>
        <v>0</v>
      </c>
      <c r="AC157" s="171">
        <f>(I157+H157)</f>
        <v>0</v>
      </c>
      <c r="AD157" s="172">
        <f>K157</f>
        <v>0</v>
      </c>
      <c r="AE157" s="152">
        <f t="shared" ref="AE157" si="310">AB157+AC157+AD157</f>
        <v>0</v>
      </c>
      <c r="AF157" s="193"/>
      <c r="AG157" s="148" t="str">
        <f t="shared" si="242"/>
        <v>не совпадает</v>
      </c>
      <c r="AH157" s="76"/>
      <c r="AI157" s="200" t="str">
        <f t="shared" si="270"/>
        <v/>
      </c>
      <c r="AJ157" s="201" t="str">
        <f t="shared" si="270"/>
        <v/>
      </c>
      <c r="AK157" s="202" t="str">
        <f t="shared" si="270"/>
        <v/>
      </c>
      <c r="AL157" s="230">
        <f t="shared" si="307"/>
        <v>0</v>
      </c>
      <c r="AM157" s="81"/>
      <c r="AN157" s="82"/>
      <c r="AO157" s="82"/>
      <c r="AP157" s="82"/>
      <c r="AQ157" s="82"/>
      <c r="AR157" s="82"/>
      <c r="AS157" s="140"/>
      <c r="AT157" s="1105"/>
      <c r="AU157" s="85"/>
      <c r="AV157" s="82"/>
      <c r="AW157" s="82"/>
      <c r="AX157" s="82" t="str">
        <f t="shared" si="285"/>
        <v/>
      </c>
      <c r="AY157" s="82"/>
      <c r="AZ157" s="140"/>
      <c r="BA157" s="140"/>
      <c r="BB157" s="140"/>
      <c r="BC157" s="218"/>
      <c r="BD157" s="140"/>
      <c r="BE157" s="140"/>
      <c r="BF157" s="140"/>
      <c r="BH157" s="76">
        <f>IFERROR(VLOOKUP($S157,'[27]3.1.1 -реестр исполненных'!$C$10:$I$201,7,FALSE),"")</f>
        <v>0</v>
      </c>
    </row>
    <row r="158" spans="1:60" s="120" customFormat="1" ht="18.75" customHeight="1">
      <c r="B158" s="288" t="s">
        <v>2640</v>
      </c>
      <c r="C158" s="289" t="str">
        <f>"Всего по "&amp;$C$144&amp;" ("&amp;T158&amp;"):"</f>
        <v>Всего по Льгота (ТП, КТП, МТП, СТП) (Свыше 1000 кВА):</v>
      </c>
      <c r="D158" s="289"/>
      <c r="E158" s="289"/>
      <c r="F158" s="290">
        <f>SUM(F159)</f>
        <v>0</v>
      </c>
      <c r="G158" s="291">
        <f t="shared" si="294"/>
        <v>0</v>
      </c>
      <c r="H158" s="291">
        <f t="shared" si="294"/>
        <v>0</v>
      </c>
      <c r="I158" s="291">
        <f t="shared" si="294"/>
        <v>0</v>
      </c>
      <c r="J158" s="291">
        <f t="shared" si="294"/>
        <v>0</v>
      </c>
      <c r="K158" s="291">
        <f t="shared" si="294"/>
        <v>0</v>
      </c>
      <c r="L158" s="291">
        <f t="shared" si="294"/>
        <v>0</v>
      </c>
      <c r="M158" s="291">
        <f>SUM(M159)</f>
        <v>0</v>
      </c>
      <c r="N158" s="291">
        <f t="shared" si="295"/>
        <v>0</v>
      </c>
      <c r="O158" s="291">
        <f>SUM(O159)</f>
        <v>0</v>
      </c>
      <c r="P158" s="291">
        <f t="shared" si="295"/>
        <v>0</v>
      </c>
      <c r="Q158" s="290">
        <f t="shared" si="295"/>
        <v>0</v>
      </c>
      <c r="R158" s="292"/>
      <c r="S158" s="292"/>
      <c r="T158" s="293" t="s">
        <v>2641</v>
      </c>
      <c r="U158" s="128"/>
      <c r="V158" s="128"/>
      <c r="W158" s="128"/>
      <c r="X158" s="76"/>
      <c r="Y158" s="174" t="str">
        <f>IF(X158="","",$C$190)</f>
        <v/>
      </c>
      <c r="Z158" s="174" t="str">
        <f>IF(X158="","",CONCATENATE(Y158,"-",X158))</f>
        <v/>
      </c>
      <c r="AA158" s="134"/>
      <c r="AB158" s="117"/>
      <c r="AC158" s="118"/>
      <c r="AD158" s="119"/>
      <c r="AE158" s="108"/>
      <c r="AF158" s="193"/>
      <c r="AG158" s="148" t="str">
        <f t="shared" si="242"/>
        <v>не совпадает</v>
      </c>
      <c r="AH158" s="76"/>
      <c r="AI158" s="200" t="str">
        <f t="shared" si="270"/>
        <v/>
      </c>
      <c r="AJ158" s="201" t="str">
        <f t="shared" si="270"/>
        <v/>
      </c>
      <c r="AK158" s="202" t="str">
        <f t="shared" si="270"/>
        <v/>
      </c>
      <c r="AL158" s="230">
        <f t="shared" si="307"/>
        <v>0</v>
      </c>
      <c r="AM158" s="81"/>
      <c r="AN158" s="82"/>
      <c r="AO158" s="82"/>
      <c r="AP158" s="82"/>
      <c r="AQ158" s="82"/>
      <c r="AR158" s="82"/>
      <c r="AS158" s="140"/>
      <c r="AT158" s="1105"/>
      <c r="AU158" s="85"/>
      <c r="AV158" s="82"/>
      <c r="AW158" s="82"/>
      <c r="AX158" s="82" t="str">
        <f t="shared" si="285"/>
        <v/>
      </c>
      <c r="AY158" s="82"/>
      <c r="AZ158" s="140"/>
      <c r="BA158" s="140"/>
      <c r="BB158" s="140"/>
      <c r="BC158" s="218"/>
      <c r="BD158" s="140"/>
      <c r="BE158" s="140"/>
      <c r="BF158" s="140"/>
      <c r="BH158" s="76">
        <f>IFERROR(VLOOKUP($S158,'[27]3.1.1 -реестр исполненных'!$C$10:$I$201,7,FALSE),"")</f>
        <v>0</v>
      </c>
    </row>
    <row r="159" spans="1:60" s="120" customFormat="1" ht="12" customHeight="1">
      <c r="A159" s="76" t="str">
        <f t="shared" ref="A159" si="311">IF(C159="","",1)</f>
        <v/>
      </c>
      <c r="B159" s="294" t="str">
        <f>IF(A159="","",SUM($A$147:A159))</f>
        <v/>
      </c>
      <c r="C159" s="180"/>
      <c r="D159" s="158" t="str">
        <f t="shared" ref="D159" si="312">IF(AF159=0,"",AF159)</f>
        <v/>
      </c>
      <c r="E159" s="159"/>
      <c r="F159" s="295"/>
      <c r="G159" s="195"/>
      <c r="H159" s="296"/>
      <c r="I159" s="296"/>
      <c r="J159" s="296"/>
      <c r="K159" s="296"/>
      <c r="L159" s="296"/>
      <c r="M159" s="296"/>
      <c r="N159" s="296"/>
      <c r="O159" s="296"/>
      <c r="P159" s="246"/>
      <c r="Q159" s="245"/>
      <c r="R159" s="186"/>
      <c r="S159" s="297"/>
      <c r="T159" s="297"/>
      <c r="U159" s="128"/>
      <c r="V159" s="306"/>
      <c r="W159" s="307" t="str">
        <f>""&amp;V159&amp;" - "&amp;X159&amp;""</f>
        <v xml:space="preserve"> - </v>
      </c>
      <c r="X159" s="308"/>
      <c r="Y159" s="309" t="str">
        <f>IF(X159="","",$C$190)</f>
        <v/>
      </c>
      <c r="Z159" s="310" t="str">
        <f>IF(X159="","",CONCATENATE(Y159,": ",W159))</f>
        <v/>
      </c>
      <c r="AA159" s="134"/>
      <c r="AB159" s="170">
        <f>O159</f>
        <v>0</v>
      </c>
      <c r="AC159" s="171">
        <f>(I159+H159)</f>
        <v>0</v>
      </c>
      <c r="AD159" s="172">
        <f>K159</f>
        <v>0</v>
      </c>
      <c r="AE159" s="152">
        <f t="shared" ref="AE159" si="313">AB159+AC159+AD159</f>
        <v>0</v>
      </c>
      <c r="AF159" s="193"/>
      <c r="AG159" s="148" t="str">
        <f t="shared" si="242"/>
        <v>не совпадает</v>
      </c>
      <c r="AH159" s="76"/>
      <c r="AI159" s="200" t="str">
        <f t="shared" si="270"/>
        <v/>
      </c>
      <c r="AJ159" s="201" t="str">
        <f t="shared" si="270"/>
        <v/>
      </c>
      <c r="AK159" s="202" t="str">
        <f t="shared" si="270"/>
        <v/>
      </c>
      <c r="AL159" s="230">
        <f t="shared" si="307"/>
        <v>0</v>
      </c>
      <c r="AM159" s="81"/>
      <c r="AN159" s="82"/>
      <c r="AO159" s="82"/>
      <c r="AP159" s="82"/>
      <c r="AQ159" s="82"/>
      <c r="AR159" s="82"/>
      <c r="AS159" s="140"/>
      <c r="AT159" s="1105"/>
      <c r="AU159" s="85"/>
      <c r="AV159" s="82"/>
      <c r="AW159" s="82"/>
      <c r="AX159" s="82" t="str">
        <f t="shared" si="285"/>
        <v/>
      </c>
      <c r="AY159" s="82"/>
      <c r="AZ159" s="140"/>
      <c r="BA159" s="140"/>
      <c r="BB159" s="140"/>
      <c r="BC159" s="218"/>
      <c r="BD159" s="140"/>
      <c r="BE159" s="140"/>
      <c r="BF159" s="140"/>
      <c r="BH159" s="76">
        <f>IFERROR(VLOOKUP($S159,'[27]3.1.1 -реестр исполненных'!$C$10:$I$201,7,FALSE),"")</f>
        <v>0</v>
      </c>
    </row>
    <row r="160" spans="1:60" s="120" customFormat="1" ht="18.75">
      <c r="B160" s="282" t="s">
        <v>2642</v>
      </c>
      <c r="C160" s="283" t="str">
        <f>""&amp;T160&amp;" ("&amp;$C$144&amp;")"</f>
        <v>Двухтрансф. (Льгота (ТП, КТП, МТП, СТП))</v>
      </c>
      <c r="D160" s="289"/>
      <c r="E160" s="289"/>
      <c r="F160" s="285">
        <f>SUM(F162)</f>
        <v>0</v>
      </c>
      <c r="G160" s="125">
        <f t="shared" ref="G160" si="314">SUM(G162)</f>
        <v>0</v>
      </c>
      <c r="H160" s="125">
        <f>SUM(H162)</f>
        <v>0</v>
      </c>
      <c r="I160" s="125">
        <f t="shared" ref="I160:M160" si="315">SUM(I162)</f>
        <v>0</v>
      </c>
      <c r="J160" s="125">
        <f t="shared" si="315"/>
        <v>0</v>
      </c>
      <c r="K160" s="125">
        <f t="shared" si="315"/>
        <v>0</v>
      </c>
      <c r="L160" s="125">
        <f t="shared" si="315"/>
        <v>0</v>
      </c>
      <c r="M160" s="125">
        <f t="shared" si="315"/>
        <v>0</v>
      </c>
      <c r="N160" s="125">
        <f>SUM(N162)</f>
        <v>0</v>
      </c>
      <c r="O160" s="125">
        <f t="shared" ref="O160:Q160" si="316">SUM(O162)</f>
        <v>0</v>
      </c>
      <c r="P160" s="125">
        <f t="shared" si="316"/>
        <v>0</v>
      </c>
      <c r="Q160" s="285">
        <f t="shared" si="316"/>
        <v>0</v>
      </c>
      <c r="R160" s="319"/>
      <c r="S160" s="319"/>
      <c r="T160" s="287" t="s">
        <v>2643</v>
      </c>
      <c r="U160" s="128"/>
      <c r="V160" s="128"/>
      <c r="W160" s="128"/>
      <c r="X160" s="76"/>
      <c r="Y160" s="174" t="str">
        <f>IF(X160="","",$C$143)</f>
        <v/>
      </c>
      <c r="Z160" s="174" t="str">
        <f>IF(X160="","",CONCATENATE(Y160,"-",X160))</f>
        <v/>
      </c>
      <c r="AA160" s="134"/>
      <c r="AB160" s="117"/>
      <c r="AC160" s="118"/>
      <c r="AD160" s="119"/>
      <c r="AE160" s="108"/>
      <c r="AF160" s="193"/>
      <c r="AG160" s="148" t="str">
        <f t="shared" si="242"/>
        <v>не совпадает</v>
      </c>
      <c r="AH160" s="76"/>
      <c r="AI160" s="200" t="str">
        <f t="shared" si="270"/>
        <v/>
      </c>
      <c r="AJ160" s="201" t="str">
        <f t="shared" si="270"/>
        <v/>
      </c>
      <c r="AK160" s="202" t="str">
        <f t="shared" si="270"/>
        <v/>
      </c>
      <c r="AL160" s="230">
        <f t="shared" si="307"/>
        <v>0</v>
      </c>
      <c r="AM160" s="81"/>
      <c r="AN160" s="82"/>
      <c r="AO160" s="82"/>
      <c r="AP160" s="82"/>
      <c r="AQ160" s="82"/>
      <c r="AR160" s="82"/>
      <c r="AS160" s="140"/>
      <c r="AT160" s="1105"/>
      <c r="AU160" s="85"/>
      <c r="AV160" s="82"/>
      <c r="AW160" s="82"/>
      <c r="AX160" s="82" t="str">
        <f t="shared" si="285"/>
        <v/>
      </c>
      <c r="AY160" s="82"/>
      <c r="AZ160" s="140"/>
      <c r="BA160" s="140"/>
      <c r="BB160" s="140"/>
      <c r="BC160" s="218"/>
      <c r="BD160" s="140"/>
      <c r="BE160" s="140"/>
      <c r="BF160" s="140"/>
      <c r="BH160" s="76">
        <f>IFERROR(VLOOKUP($S160,'[27]3.1.1 -реестр исполненных'!$C$10:$I$201,7,FALSE),"")</f>
        <v>0</v>
      </c>
    </row>
    <row r="161" spans="1:60" s="120" customFormat="1" ht="18.75">
      <c r="B161" s="288" t="s">
        <v>2628</v>
      </c>
      <c r="C161" s="289" t="str">
        <f>"Всего по "&amp;$C$144&amp;" ("&amp;T161&amp;"):"</f>
        <v>Всего по Льгота (ТП, КТП, МТП, СТП) (до 25 кВА):</v>
      </c>
      <c r="D161" s="289"/>
      <c r="E161" s="289"/>
      <c r="F161" s="290">
        <f>SUM(F162)</f>
        <v>0</v>
      </c>
      <c r="G161" s="291">
        <f t="shared" ref="G161:Q161" si="317">SUM(G162)</f>
        <v>0</v>
      </c>
      <c r="H161" s="291">
        <f t="shared" si="317"/>
        <v>0</v>
      </c>
      <c r="I161" s="291">
        <f t="shared" si="317"/>
        <v>0</v>
      </c>
      <c r="J161" s="291">
        <f t="shared" si="317"/>
        <v>0</v>
      </c>
      <c r="K161" s="291">
        <f>SUM(K162)</f>
        <v>0</v>
      </c>
      <c r="L161" s="291">
        <f t="shared" si="317"/>
        <v>0</v>
      </c>
      <c r="M161" s="291">
        <f t="shared" si="317"/>
        <v>0</v>
      </c>
      <c r="N161" s="291">
        <f t="shared" si="317"/>
        <v>0</v>
      </c>
      <c r="O161" s="291">
        <f t="shared" si="317"/>
        <v>0</v>
      </c>
      <c r="P161" s="291">
        <f>SUM(P162)</f>
        <v>0</v>
      </c>
      <c r="Q161" s="290">
        <f t="shared" si="317"/>
        <v>0</v>
      </c>
      <c r="R161" s="292"/>
      <c r="S161" s="292"/>
      <c r="T161" s="293" t="s">
        <v>2629</v>
      </c>
      <c r="U161" s="128"/>
      <c r="V161" s="128"/>
      <c r="W161" s="128"/>
      <c r="X161" s="76"/>
      <c r="Y161" s="174" t="str">
        <f>IF(X161="","",$C$202)</f>
        <v/>
      </c>
      <c r="Z161" s="174" t="str">
        <f>IF(X161="","",CONCATENATE(Y161,"-",X161))</f>
        <v/>
      </c>
      <c r="AA161" s="134"/>
      <c r="AB161" s="117"/>
      <c r="AC161" s="118"/>
      <c r="AD161" s="119"/>
      <c r="AE161" s="108"/>
      <c r="AF161" s="193"/>
      <c r="AG161" s="148" t="str">
        <f t="shared" si="242"/>
        <v>не совпадает</v>
      </c>
      <c r="AH161" s="76"/>
      <c r="AI161" s="200" t="str">
        <f t="shared" si="270"/>
        <v/>
      </c>
      <c r="AJ161" s="201" t="str">
        <f t="shared" si="270"/>
        <v/>
      </c>
      <c r="AK161" s="202" t="str">
        <f t="shared" si="270"/>
        <v/>
      </c>
      <c r="AL161" s="230">
        <f>SUM(AI161,AJ161,AK161)</f>
        <v>0</v>
      </c>
      <c r="AM161" s="81"/>
      <c r="AN161" s="82"/>
      <c r="AO161" s="82"/>
      <c r="AP161" s="82"/>
      <c r="AQ161" s="82"/>
      <c r="AR161" s="82"/>
      <c r="AS161" s="140"/>
      <c r="AT161" s="1105"/>
      <c r="AU161" s="85"/>
      <c r="AV161" s="82"/>
      <c r="AW161" s="82"/>
      <c r="AX161" s="82" t="str">
        <f t="shared" si="285"/>
        <v/>
      </c>
      <c r="AY161" s="82"/>
      <c r="AZ161" s="140"/>
      <c r="BA161" s="140"/>
      <c r="BB161" s="140"/>
      <c r="BC161" s="218"/>
      <c r="BD161" s="140"/>
      <c r="BE161" s="140"/>
      <c r="BF161" s="140"/>
      <c r="BH161" s="76">
        <f>IFERROR(VLOOKUP($S161,'[27]3.1.1 -реестр исполненных'!$C$10:$I$201,7,FALSE),"")</f>
        <v>0</v>
      </c>
    </row>
    <row r="162" spans="1:60" s="120" customFormat="1" ht="12" customHeight="1">
      <c r="B162" s="294"/>
      <c r="C162" s="180"/>
      <c r="D162" s="158" t="str">
        <f t="shared" ref="D162" si="318">IF(AF162=0,"",AF162)</f>
        <v/>
      </c>
      <c r="E162" s="159"/>
      <c r="F162" s="295"/>
      <c r="G162" s="195"/>
      <c r="H162" s="296"/>
      <c r="I162" s="296"/>
      <c r="J162" s="296"/>
      <c r="K162" s="296"/>
      <c r="L162" s="296"/>
      <c r="M162" s="296"/>
      <c r="N162" s="296"/>
      <c r="O162" s="296"/>
      <c r="P162" s="246"/>
      <c r="Q162" s="302"/>
      <c r="R162" s="303"/>
      <c r="S162" s="304"/>
      <c r="T162" s="305"/>
      <c r="U162" s="128"/>
      <c r="V162" s="306"/>
      <c r="W162" s="307" t="str">
        <f>""&amp;V162&amp;" - "&amp;X162&amp;""</f>
        <v xml:space="preserve"> - </v>
      </c>
      <c r="X162" s="308"/>
      <c r="Y162" s="309" t="str">
        <f>IF(X162="","",$C$143)</f>
        <v/>
      </c>
      <c r="Z162" s="310" t="str">
        <f>IF(X162="","",CONCATENATE(Y162,": ",W162))</f>
        <v/>
      </c>
      <c r="AA162" s="134"/>
      <c r="AB162" s="170">
        <f>O162</f>
        <v>0</v>
      </c>
      <c r="AC162" s="171">
        <f>(I162+H162)</f>
        <v>0</v>
      </c>
      <c r="AD162" s="172">
        <f>K162</f>
        <v>0</v>
      </c>
      <c r="AE162" s="152">
        <f t="shared" ref="AE162" si="319">AB162+AC162+AD162</f>
        <v>0</v>
      </c>
      <c r="AF162" s="193"/>
      <c r="AG162" s="148" t="str">
        <f t="shared" si="242"/>
        <v>не совпадает</v>
      </c>
      <c r="AH162" s="76"/>
      <c r="AI162" s="200" t="str">
        <f t="shared" si="270"/>
        <v/>
      </c>
      <c r="AJ162" s="201" t="str">
        <f t="shared" si="270"/>
        <v/>
      </c>
      <c r="AK162" s="202" t="str">
        <f t="shared" si="270"/>
        <v/>
      </c>
      <c r="AL162" s="230">
        <f t="shared" si="307"/>
        <v>0</v>
      </c>
      <c r="AM162" s="81"/>
      <c r="AN162" s="82"/>
      <c r="AO162" s="82"/>
      <c r="AP162" s="82"/>
      <c r="AQ162" s="82"/>
      <c r="AR162" s="82"/>
      <c r="AS162" s="140"/>
      <c r="AT162" s="1105"/>
      <c r="AU162" s="85"/>
      <c r="AV162" s="82"/>
      <c r="AW162" s="82"/>
      <c r="AX162" s="82" t="str">
        <f t="shared" si="285"/>
        <v/>
      </c>
      <c r="AY162" s="82"/>
      <c r="AZ162" s="140"/>
      <c r="BA162" s="140"/>
      <c r="BB162" s="140"/>
      <c r="BC162" s="218"/>
      <c r="BD162" s="140"/>
      <c r="BE162" s="140"/>
      <c r="BF162" s="140"/>
      <c r="BH162" s="76">
        <f>IFERROR(VLOOKUP($S162,'[27]3.1.1 -реестр исполненных'!$C$10:$I$201,7,FALSE),"")</f>
        <v>0</v>
      </c>
    </row>
    <row r="163" spans="1:60" ht="18.75" customHeight="1">
      <c r="B163" s="277" t="s">
        <v>2644</v>
      </c>
      <c r="C163" s="277" t="s">
        <v>2645</v>
      </c>
      <c r="D163" s="278"/>
      <c r="E163" s="278"/>
      <c r="F163" s="279">
        <f>SUM(F164)</f>
        <v>0</v>
      </c>
      <c r="G163" s="280">
        <f t="shared" ref="G163:H163" si="320">SUM(G164)</f>
        <v>0</v>
      </c>
      <c r="H163" s="280">
        <f t="shared" si="320"/>
        <v>0</v>
      </c>
      <c r="I163" s="280">
        <f>SUM(I164)</f>
        <v>0</v>
      </c>
      <c r="J163" s="280">
        <f t="shared" ref="J163:L163" si="321">SUM(J164)</f>
        <v>0</v>
      </c>
      <c r="K163" s="280">
        <f t="shared" si="321"/>
        <v>0</v>
      </c>
      <c r="L163" s="280">
        <f t="shared" si="321"/>
        <v>0</v>
      </c>
      <c r="M163" s="280">
        <f>SUM(M164)</f>
        <v>0</v>
      </c>
      <c r="N163" s="280">
        <f t="shared" ref="N163:Q163" si="322">SUM(N164)</f>
        <v>0</v>
      </c>
      <c r="O163" s="280">
        <f>SUM(O164)</f>
        <v>0</v>
      </c>
      <c r="P163" s="280">
        <f>SUM(P164)</f>
        <v>0</v>
      </c>
      <c r="Q163" s="279">
        <f t="shared" si="322"/>
        <v>0</v>
      </c>
      <c r="R163" s="278"/>
      <c r="S163" s="278"/>
      <c r="T163" s="281"/>
      <c r="X163" s="128"/>
      <c r="Y163" s="174" t="str">
        <f>IF(X163="","",$C$145)</f>
        <v/>
      </c>
      <c r="Z163" s="174" t="str">
        <f>IF(X163="","",CONCATENATE(Y163,"-",X163))</f>
        <v/>
      </c>
      <c r="AA163" s="134"/>
      <c r="AB163" s="117"/>
      <c r="AC163" s="118"/>
      <c r="AD163" s="119"/>
      <c r="AE163" s="108"/>
      <c r="AF163" s="139"/>
      <c r="AG163" s="148" t="str">
        <f t="shared" si="242"/>
        <v>не совпадает</v>
      </c>
      <c r="AI163" s="149" t="str">
        <f t="shared" si="270"/>
        <v/>
      </c>
      <c r="AJ163" s="150" t="str">
        <f t="shared" si="270"/>
        <v/>
      </c>
      <c r="AK163" s="151" t="str">
        <f t="shared" si="270"/>
        <v/>
      </c>
      <c r="AL163" s="152">
        <f t="shared" si="307"/>
        <v>0</v>
      </c>
      <c r="AR163" s="82"/>
      <c r="AT163" s="1105"/>
      <c r="AX163" s="82" t="str">
        <f t="shared" si="285"/>
        <v/>
      </c>
      <c r="BH163" s="76">
        <f>IFERROR(VLOOKUP($S163,'[27]3.1.1 -реестр исполненных'!$C$10:$I$201,7,FALSE),"")</f>
        <v>0</v>
      </c>
    </row>
    <row r="164" spans="1:60" s="120" customFormat="1" ht="18.75">
      <c r="A164" s="120" t="str">
        <f t="shared" ref="A164" si="323">IF(C164="","",1)</f>
        <v/>
      </c>
      <c r="B164" s="320" t="str">
        <f>IF(A164="","",SUM($A$164:A164))</f>
        <v/>
      </c>
      <c r="C164" s="321"/>
      <c r="D164" s="158" t="str">
        <f t="shared" ref="D164" si="324">IF(AF164=0,"",AF164)</f>
        <v/>
      </c>
      <c r="E164" s="159"/>
      <c r="F164" s="322"/>
      <c r="G164" s="323"/>
      <c r="H164" s="324"/>
      <c r="I164" s="324"/>
      <c r="J164" s="324"/>
      <c r="K164" s="324"/>
      <c r="L164" s="324"/>
      <c r="M164" s="324"/>
      <c r="N164" s="324"/>
      <c r="O164" s="324"/>
      <c r="P164" s="324"/>
      <c r="Q164" s="325"/>
      <c r="R164" s="303"/>
      <c r="S164" s="304"/>
      <c r="T164" s="305"/>
      <c r="U164" s="128"/>
      <c r="V164" s="306"/>
      <c r="W164" s="307" t="str">
        <f>""&amp;V164&amp;" - "&amp;X164&amp;""</f>
        <v xml:space="preserve"> - </v>
      </c>
      <c r="X164" s="308"/>
      <c r="Y164" s="309" t="str">
        <f>IF(X164="","",$C$145)</f>
        <v/>
      </c>
      <c r="Z164" s="310" t="str">
        <f>IF(X164="","",CONCATENATE(Y164,": ",W164))</f>
        <v/>
      </c>
      <c r="AA164" s="134"/>
      <c r="AB164" s="117"/>
      <c r="AC164" s="118"/>
      <c r="AD164" s="119"/>
      <c r="AE164" s="108"/>
      <c r="AF164" s="193"/>
      <c r="AG164" s="148" t="str">
        <f t="shared" si="242"/>
        <v>не совпадает</v>
      </c>
      <c r="AH164" s="76"/>
      <c r="AI164" s="200" t="str">
        <f t="shared" si="270"/>
        <v/>
      </c>
      <c r="AJ164" s="201" t="str">
        <f t="shared" si="270"/>
        <v/>
      </c>
      <c r="AK164" s="202" t="str">
        <f t="shared" si="270"/>
        <v/>
      </c>
      <c r="AL164" s="230">
        <f t="shared" si="307"/>
        <v>0</v>
      </c>
      <c r="AM164" s="81"/>
      <c r="AN164" s="82"/>
      <c r="AO164" s="82"/>
      <c r="AP164" s="82"/>
      <c r="AQ164" s="82"/>
      <c r="AR164" s="82"/>
      <c r="AS164" s="140"/>
      <c r="AT164" s="1105"/>
      <c r="AU164" s="85"/>
      <c r="AV164" s="82"/>
      <c r="AW164" s="82"/>
      <c r="AX164" s="82" t="str">
        <f t="shared" si="285"/>
        <v/>
      </c>
      <c r="AY164" s="82"/>
      <c r="AZ164" s="140"/>
      <c r="BA164" s="140"/>
      <c r="BB164" s="140"/>
      <c r="BC164" s="218"/>
      <c r="BD164" s="140"/>
      <c r="BE164" s="140"/>
      <c r="BF164" s="140"/>
      <c r="BH164" s="76">
        <f>IFERROR(VLOOKUP($S164,'[27]3.1.1 -реестр исполненных'!$C$10:$I$201,7,FALSE),"")</f>
        <v>0</v>
      </c>
    </row>
    <row r="165" spans="1:60" ht="18.75" customHeight="1">
      <c r="B165" s="326">
        <f>MAX(B147,B149,B151,B153:B155,B157,B159,B162,B164)</f>
        <v>0</v>
      </c>
      <c r="C165" s="204" t="str">
        <f>"ИТОГО "&amp;$C$143&amp;" (ЛЬГОТА):"</f>
        <v>ИТОГО Трансф. подстанции до 35 кВ (ЛЬГОТА):</v>
      </c>
      <c r="D165" s="204"/>
      <c r="E165" s="204"/>
      <c r="F165" s="327">
        <f>SUM(F144,F163)</f>
        <v>0</v>
      </c>
      <c r="G165" s="328">
        <f t="shared" ref="G165:O165" si="325">SUM(G144,G163)</f>
        <v>0</v>
      </c>
      <c r="H165" s="328">
        <f t="shared" si="325"/>
        <v>0</v>
      </c>
      <c r="I165" s="328">
        <f t="shared" si="325"/>
        <v>0</v>
      </c>
      <c r="J165" s="328">
        <f t="shared" si="325"/>
        <v>0</v>
      </c>
      <c r="K165" s="328">
        <f t="shared" si="325"/>
        <v>0</v>
      </c>
      <c r="L165" s="328">
        <f t="shared" si="325"/>
        <v>0</v>
      </c>
      <c r="M165" s="328">
        <f t="shared" si="325"/>
        <v>0</v>
      </c>
      <c r="N165" s="328">
        <f t="shared" si="325"/>
        <v>0</v>
      </c>
      <c r="O165" s="328">
        <f t="shared" si="325"/>
        <v>0</v>
      </c>
      <c r="P165" s="328">
        <f>SUM(P144,P163)</f>
        <v>0</v>
      </c>
      <c r="Q165" s="327">
        <f>SUM(Q144,Q163)</f>
        <v>0</v>
      </c>
      <c r="R165" s="495"/>
      <c r="S165" s="329"/>
      <c r="T165" s="329"/>
      <c r="V165" s="330"/>
      <c r="W165" s="331" t="str">
        <f t="shared" ref="W165" si="326">""&amp;V165&amp;" - "&amp;X165&amp;""</f>
        <v xml:space="preserve"> - </v>
      </c>
      <c r="X165" s="332"/>
      <c r="Y165" s="333" t="str">
        <f t="shared" ref="Y165" si="327">IF(X165="","",$C$128)</f>
        <v/>
      </c>
      <c r="Z165" s="333" t="str">
        <f t="shared" ref="Z165" si="328">IF(X165="","",CONCATENATE(Y165,"-",X165))</f>
        <v/>
      </c>
      <c r="AA165" s="134"/>
      <c r="AB165" s="117"/>
      <c r="AC165" s="118"/>
      <c r="AD165" s="119"/>
      <c r="AE165" s="108"/>
      <c r="AF165" s="139"/>
      <c r="AG165" s="148" t="str">
        <f t="shared" si="242"/>
        <v>не совпадает</v>
      </c>
      <c r="AI165" s="149" t="str">
        <f t="shared" ref="AI165:AK190" si="329">IF(ISERROR(AB165/$AG165),"",AB165/$AG165)</f>
        <v/>
      </c>
      <c r="AJ165" s="150" t="str">
        <f t="shared" si="329"/>
        <v/>
      </c>
      <c r="AK165" s="151" t="str">
        <f t="shared" si="329"/>
        <v/>
      </c>
      <c r="AL165" s="152">
        <f t="shared" si="307"/>
        <v>0</v>
      </c>
      <c r="AR165" s="82"/>
      <c r="AT165" s="1105"/>
      <c r="AX165" s="82" t="str">
        <f t="shared" si="285"/>
        <v/>
      </c>
      <c r="BH165" s="76">
        <f>IFERROR(VLOOKUP($S165,'[27]3.1.1 -реестр исполненных'!$C$10:$I$201,7,FALSE),"")</f>
        <v>0</v>
      </c>
    </row>
    <row r="166" spans="1:60" ht="18.75">
      <c r="B166" s="277" t="s">
        <v>2646</v>
      </c>
      <c r="C166" s="277" t="s">
        <v>2647</v>
      </c>
      <c r="D166" s="278"/>
      <c r="E166" s="278"/>
      <c r="F166" s="279">
        <f>SUM(F167,F186)</f>
        <v>0</v>
      </c>
      <c r="G166" s="280">
        <f t="shared" ref="G166:Q166" si="330">SUM(G167,G186)</f>
        <v>42.5</v>
      </c>
      <c r="H166" s="280">
        <f t="shared" si="330"/>
        <v>0</v>
      </c>
      <c r="I166" s="280">
        <f t="shared" si="330"/>
        <v>0</v>
      </c>
      <c r="J166" s="280">
        <f t="shared" si="330"/>
        <v>0</v>
      </c>
      <c r="K166" s="280">
        <f t="shared" si="330"/>
        <v>69.298760000000001</v>
      </c>
      <c r="L166" s="280">
        <f t="shared" si="330"/>
        <v>0</v>
      </c>
      <c r="M166" s="280">
        <f t="shared" si="330"/>
        <v>0</v>
      </c>
      <c r="N166" s="280">
        <f t="shared" si="330"/>
        <v>0</v>
      </c>
      <c r="O166" s="280">
        <f>SUM(O167,O186)</f>
        <v>613.78594999999996</v>
      </c>
      <c r="P166" s="280">
        <f>SUM(P167,P186)</f>
        <v>683084.71</v>
      </c>
      <c r="Q166" s="279">
        <f t="shared" si="330"/>
        <v>3</v>
      </c>
      <c r="R166" s="278"/>
      <c r="S166" s="278"/>
      <c r="T166" s="281"/>
      <c r="U166" s="334"/>
      <c r="V166" s="334"/>
      <c r="W166" s="334"/>
      <c r="Y166" s="174" t="str">
        <f t="shared" ref="Y166" si="331">IF(X166="","",$C$143)</f>
        <v/>
      </c>
      <c r="Z166" s="174" t="str">
        <f t="shared" si="280"/>
        <v/>
      </c>
      <c r="AA166" s="134"/>
      <c r="AB166" s="117"/>
      <c r="AC166" s="118"/>
      <c r="AD166" s="119"/>
      <c r="AE166" s="108"/>
      <c r="AF166" s="139"/>
      <c r="AG166" s="148" t="str">
        <f t="shared" si="242"/>
        <v>не совпадает</v>
      </c>
      <c r="AI166" s="149" t="str">
        <f t="shared" si="329"/>
        <v/>
      </c>
      <c r="AJ166" s="150" t="str">
        <f t="shared" si="329"/>
        <v/>
      </c>
      <c r="AK166" s="151" t="str">
        <f t="shared" si="329"/>
        <v/>
      </c>
      <c r="AL166" s="152">
        <f t="shared" si="76"/>
        <v>0</v>
      </c>
      <c r="AR166" s="82"/>
      <c r="AT166" s="1105"/>
      <c r="AX166" s="82" t="str">
        <f t="shared" si="285"/>
        <v/>
      </c>
    </row>
    <row r="167" spans="1:60" s="120" customFormat="1" ht="18.75">
      <c r="B167" s="282" t="s">
        <v>2648</v>
      </c>
      <c r="C167" s="283" t="str">
        <f>""&amp;T167&amp;" ("&amp;$C$166&amp;")"</f>
        <v>Однотрансф. (Не льгота (ТП, КТП, МТП, СТП))</v>
      </c>
      <c r="D167" s="284"/>
      <c r="E167" s="284"/>
      <c r="F167" s="285">
        <f>SUM(F168,F173,F177,F179,F182,F184)</f>
        <v>0</v>
      </c>
      <c r="G167" s="125">
        <f>SUM(G168,G173,G177,G179,G182,G184)</f>
        <v>42.5</v>
      </c>
      <c r="H167" s="125">
        <f t="shared" ref="H167:Q167" si="332">SUM(H168,H173,H177,H179,H182,H184)</f>
        <v>0</v>
      </c>
      <c r="I167" s="125">
        <f t="shared" si="332"/>
        <v>0</v>
      </c>
      <c r="J167" s="125">
        <f t="shared" si="332"/>
        <v>0</v>
      </c>
      <c r="K167" s="125">
        <f t="shared" si="332"/>
        <v>69.298760000000001</v>
      </c>
      <c r="L167" s="125">
        <f t="shared" si="332"/>
        <v>0</v>
      </c>
      <c r="M167" s="125">
        <f t="shared" si="332"/>
        <v>0</v>
      </c>
      <c r="N167" s="125">
        <f t="shared" si="332"/>
        <v>0</v>
      </c>
      <c r="O167" s="125">
        <f>SUM(O168,O173,O177,O179,O182,O184)</f>
        <v>613.78594999999996</v>
      </c>
      <c r="P167" s="125">
        <f t="shared" si="332"/>
        <v>683084.71</v>
      </c>
      <c r="Q167" s="285">
        <f t="shared" si="332"/>
        <v>3</v>
      </c>
      <c r="R167" s="286"/>
      <c r="S167" s="286"/>
      <c r="T167" s="287" t="s">
        <v>2627</v>
      </c>
      <c r="U167" s="128"/>
      <c r="V167" s="128"/>
      <c r="W167" s="128"/>
      <c r="X167" s="76"/>
      <c r="Y167" s="174" t="str">
        <f>IF(X167="","",$C$203)</f>
        <v/>
      </c>
      <c r="Z167" s="174" t="str">
        <f>IF(X167="","",CONCATENATE(Y167,"-",X167))</f>
        <v/>
      </c>
      <c r="AA167" s="134"/>
      <c r="AB167" s="117"/>
      <c r="AC167" s="118"/>
      <c r="AD167" s="119"/>
      <c r="AE167" s="108"/>
      <c r="AF167" s="193"/>
      <c r="AG167" s="148" t="str">
        <f t="shared" si="242"/>
        <v>не совпадает</v>
      </c>
      <c r="AH167" s="76"/>
      <c r="AI167" s="200" t="str">
        <f t="shared" si="329"/>
        <v/>
      </c>
      <c r="AJ167" s="201" t="str">
        <f t="shared" si="329"/>
        <v/>
      </c>
      <c r="AK167" s="202" t="str">
        <f t="shared" si="329"/>
        <v/>
      </c>
      <c r="AL167" s="230">
        <f>SUM(AI167,AJ167,AK167)</f>
        <v>0</v>
      </c>
      <c r="AM167" s="81"/>
      <c r="AN167" s="82"/>
      <c r="AO167" s="82"/>
      <c r="AP167" s="82"/>
      <c r="AQ167" s="82"/>
      <c r="AR167" s="82"/>
      <c r="AS167" s="140"/>
      <c r="AT167" s="1105"/>
      <c r="AU167" s="85"/>
      <c r="AV167" s="82"/>
      <c r="AW167" s="82"/>
      <c r="AX167" s="82" t="str">
        <f t="shared" si="285"/>
        <v/>
      </c>
      <c r="AY167" s="82"/>
      <c r="AZ167" s="140"/>
      <c r="BA167" s="140"/>
      <c r="BB167" s="140"/>
      <c r="BC167" s="218"/>
      <c r="BD167" s="140"/>
      <c r="BE167" s="140"/>
      <c r="BF167" s="140"/>
      <c r="BH167" s="76"/>
    </row>
    <row r="168" spans="1:60" s="120" customFormat="1" ht="18.75">
      <c r="B168" s="288" t="s">
        <v>2649</v>
      </c>
      <c r="C168" s="289" t="str">
        <f>"Всего по "&amp;$C$166&amp;" ("&amp;T168&amp;"):"</f>
        <v>Всего по Не льгота (ТП, КТП, МТП, СТП) (до 25 кВА):</v>
      </c>
      <c r="D168" s="289"/>
      <c r="E168" s="289"/>
      <c r="F168" s="290">
        <f>SUM(F169:F172)</f>
        <v>0</v>
      </c>
      <c r="G168" s="291">
        <f>SUM(G169:G172)</f>
        <v>3</v>
      </c>
      <c r="H168" s="291">
        <f t="shared" ref="H168:Q168" si="333">SUM(H169:H172)</f>
        <v>0</v>
      </c>
      <c r="I168" s="291">
        <f t="shared" si="333"/>
        <v>0</v>
      </c>
      <c r="J168" s="291">
        <f t="shared" si="333"/>
        <v>0</v>
      </c>
      <c r="K168" s="291">
        <f t="shared" si="333"/>
        <v>33.286910000000006</v>
      </c>
      <c r="L168" s="291">
        <f t="shared" si="333"/>
        <v>0</v>
      </c>
      <c r="M168" s="291">
        <f t="shared" si="333"/>
        <v>0</v>
      </c>
      <c r="N168" s="291">
        <f t="shared" si="333"/>
        <v>0</v>
      </c>
      <c r="O168" s="291">
        <f t="shared" si="333"/>
        <v>222.31542999999999</v>
      </c>
      <c r="P168" s="291">
        <f>SUM(P169:P172)</f>
        <v>255602.34</v>
      </c>
      <c r="Q168" s="290">
        <f t="shared" si="333"/>
        <v>1</v>
      </c>
      <c r="R168" s="292"/>
      <c r="S168" s="292"/>
      <c r="T168" s="293" t="s">
        <v>2629</v>
      </c>
      <c r="U168" s="128"/>
      <c r="V168" s="128"/>
      <c r="W168" s="128"/>
      <c r="X168" s="76"/>
      <c r="Y168" s="174" t="str">
        <f>IF(X168="","",$C$202)</f>
        <v/>
      </c>
      <c r="Z168" s="174" t="str">
        <f>IF(X168="","",CONCATENATE(Y168,"-",X168))</f>
        <v/>
      </c>
      <c r="AA168" s="134"/>
      <c r="AB168" s="117"/>
      <c r="AC168" s="118"/>
      <c r="AD168" s="119"/>
      <c r="AE168" s="108"/>
      <c r="AF168" s="193"/>
      <c r="AG168" s="148" t="str">
        <f t="shared" si="242"/>
        <v>не совпадает</v>
      </c>
      <c r="AH168" s="76"/>
      <c r="AI168" s="200" t="str">
        <f t="shared" si="329"/>
        <v/>
      </c>
      <c r="AJ168" s="201" t="str">
        <f t="shared" si="329"/>
        <v/>
      </c>
      <c r="AK168" s="202" t="str">
        <f t="shared" si="329"/>
        <v/>
      </c>
      <c r="AL168" s="230">
        <f>SUM(AI168,AJ168,AK168)</f>
        <v>0</v>
      </c>
      <c r="AM168" s="81"/>
      <c r="AN168" s="82"/>
      <c r="AO168" s="82"/>
      <c r="AP168" s="82"/>
      <c r="AQ168" s="82"/>
      <c r="AR168" s="82"/>
      <c r="AS168" s="140"/>
      <c r="AT168" s="1105"/>
      <c r="AU168" s="85"/>
      <c r="AV168" s="82"/>
      <c r="AW168" s="82"/>
      <c r="AX168" s="82" t="str">
        <f t="shared" si="285"/>
        <v/>
      </c>
      <c r="AY168" s="82"/>
      <c r="AZ168" s="140"/>
      <c r="BA168" s="140"/>
      <c r="BB168" s="140"/>
      <c r="BC168" s="218"/>
      <c r="BD168" s="140"/>
      <c r="BE168" s="140"/>
      <c r="BF168" s="140"/>
      <c r="BH168" s="76"/>
    </row>
    <row r="169" spans="1:60" ht="60">
      <c r="A169" s="76">
        <f t="shared" ref="A169:A172" si="334">IF(C169="","",1)</f>
        <v>1</v>
      </c>
      <c r="B169" s="288">
        <f>IF(A169="","",SUM($A$169:A169))</f>
        <v>1</v>
      </c>
      <c r="C169" s="498" t="s">
        <v>2890</v>
      </c>
      <c r="D169" s="158" t="str">
        <f t="shared" ref="D169:D172" si="335">IF(AF169=0,"",AF169)</f>
        <v>3кв 2017</v>
      </c>
      <c r="E169" s="159">
        <v>10</v>
      </c>
      <c r="F169" s="219"/>
      <c r="G169" s="240">
        <v>3</v>
      </c>
      <c r="H169" s="162"/>
      <c r="I169" s="162"/>
      <c r="J169" s="162"/>
      <c r="K169" s="194">
        <v>33.286910000000006</v>
      </c>
      <c r="L169" s="162"/>
      <c r="M169" s="162"/>
      <c r="N169" s="162"/>
      <c r="O169" s="194">
        <v>222.31542999999999</v>
      </c>
      <c r="P169" s="2950">
        <f>255602.34</f>
        <v>255602.34</v>
      </c>
      <c r="Q169" s="194">
        <v>1</v>
      </c>
      <c r="R169" s="165" t="s">
        <v>2595</v>
      </c>
      <c r="S169" s="166" t="s">
        <v>2891</v>
      </c>
      <c r="T169" s="243"/>
      <c r="U169" s="335"/>
      <c r="V169" s="311" t="s">
        <v>2650</v>
      </c>
      <c r="W169" s="132" t="str">
        <f>""&amp;V169&amp;" - "&amp;X169&amp;""</f>
        <v>СТП 25 кВА - за границей н.п.</v>
      </c>
      <c r="X169" s="131" t="s">
        <v>2517</v>
      </c>
      <c r="Y169" s="336" t="s">
        <v>2651</v>
      </c>
      <c r="Z169" s="337" t="str">
        <f t="shared" ref="Z169:Z172" si="336">IF(X169="","",CONCATENATE(Y169,": ",W169))</f>
        <v>до 15 кВт (не льгота); 1Т: СТП 25 кВА - за границей н.п.</v>
      </c>
      <c r="AA169" s="134"/>
      <c r="AB169" s="170">
        <f t="shared" ref="AB169:AB172" si="337">O169</f>
        <v>222.31542999999999</v>
      </c>
      <c r="AC169" s="171">
        <f t="shared" ref="AC169:AC172" si="338">(I169+H169)</f>
        <v>0</v>
      </c>
      <c r="AD169" s="172">
        <f t="shared" ref="AD169:AD172" si="339">K169</f>
        <v>33.286910000000006</v>
      </c>
      <c r="AE169" s="152">
        <f>AB169+AC169+AD169</f>
        <v>255.60234</v>
      </c>
      <c r="AF169" s="139" t="s">
        <v>2681</v>
      </c>
      <c r="AG169" s="148">
        <f t="shared" si="242"/>
        <v>4.1500000000000004</v>
      </c>
      <c r="AI169" s="149">
        <f t="shared" si="329"/>
        <v>53.569983132530112</v>
      </c>
      <c r="AJ169" s="150">
        <f t="shared" si="329"/>
        <v>0</v>
      </c>
      <c r="AK169" s="151">
        <f t="shared" si="329"/>
        <v>8.0209421686746989</v>
      </c>
      <c r="AL169" s="152">
        <f t="shared" si="76"/>
        <v>61.590925301204813</v>
      </c>
      <c r="AQ169" s="427">
        <v>26</v>
      </c>
      <c r="AR169" s="82"/>
      <c r="AS169" s="82">
        <f t="shared" ref="AS169:AS172" si="340">IF(B169="","",IF(P169=SUM(H169,I169,K169,O169),"ИСТИНА",P169-SUM(H169,I169,K169,O169)))</f>
        <v>255346.73765999998</v>
      </c>
      <c r="AT169" s="1105" t="s">
        <v>2888</v>
      </c>
      <c r="AU169" s="338"/>
      <c r="AX169" s="82">
        <f t="shared" si="285"/>
        <v>255602.34</v>
      </c>
      <c r="BA169" s="189" t="s">
        <v>2892</v>
      </c>
      <c r="BC169" s="154" t="e">
        <f>#REF!</f>
        <v>#REF!</v>
      </c>
      <c r="BD169" s="155" t="e">
        <f>BC169*G169*$BD$143</f>
        <v>#REF!</v>
      </c>
      <c r="BE169" s="155" t="e">
        <f>BD169/G169</f>
        <v>#REF!</v>
      </c>
    </row>
    <row r="170" spans="1:60" ht="38.25">
      <c r="A170" s="76" t="str">
        <f t="shared" si="334"/>
        <v/>
      </c>
      <c r="B170" s="156" t="str">
        <f>IF(A170="","",SUM($A$169:A170))</f>
        <v/>
      </c>
      <c r="C170" s="157"/>
      <c r="D170" s="158" t="str">
        <f t="shared" si="335"/>
        <v/>
      </c>
      <c r="E170" s="339"/>
      <c r="F170" s="219"/>
      <c r="G170" s="240"/>
      <c r="H170" s="162"/>
      <c r="I170" s="162"/>
      <c r="J170" s="162"/>
      <c r="K170" s="162"/>
      <c r="L170" s="162"/>
      <c r="M170" s="162"/>
      <c r="N170" s="162"/>
      <c r="O170" s="162"/>
      <c r="P170" s="163"/>
      <c r="Q170" s="240"/>
      <c r="R170" s="165" t="s">
        <v>2595</v>
      </c>
      <c r="S170" s="166"/>
      <c r="T170" s="243"/>
      <c r="U170" s="335"/>
      <c r="V170" s="311" t="s">
        <v>2650</v>
      </c>
      <c r="W170" s="132" t="str">
        <f t="shared" ref="W170:W172" si="341">""&amp;V170&amp;" - "&amp;X170&amp;""</f>
        <v>СТП 25 кВА - за границей н.п.</v>
      </c>
      <c r="X170" s="131" t="s">
        <v>2517</v>
      </c>
      <c r="Y170" s="336" t="s">
        <v>2651</v>
      </c>
      <c r="Z170" s="337" t="str">
        <f>IF(X170="","",CONCATENATE(Y170,": ",W170))</f>
        <v>до 15 кВт (не льгота); 1Т: СТП 25 кВА - за границей н.п.</v>
      </c>
      <c r="AA170" s="134"/>
      <c r="AB170" s="170">
        <f t="shared" si="337"/>
        <v>0</v>
      </c>
      <c r="AC170" s="171">
        <f t="shared" si="338"/>
        <v>0</v>
      </c>
      <c r="AD170" s="172">
        <f t="shared" si="339"/>
        <v>0</v>
      </c>
      <c r="AE170" s="152">
        <f t="shared" ref="AE170:AE172" si="342">AB170+AC170+AD170</f>
        <v>0</v>
      </c>
      <c r="AF170" s="139"/>
      <c r="AG170" s="148" t="str">
        <f t="shared" si="242"/>
        <v>не совпадает</v>
      </c>
      <c r="AI170" s="149" t="str">
        <f t="shared" si="329"/>
        <v/>
      </c>
      <c r="AJ170" s="150" t="str">
        <f t="shared" si="329"/>
        <v/>
      </c>
      <c r="AK170" s="151" t="str">
        <f t="shared" si="329"/>
        <v/>
      </c>
      <c r="AL170" s="152">
        <f t="shared" si="76"/>
        <v>0</v>
      </c>
      <c r="AR170" s="82"/>
      <c r="AS170" s="82" t="str">
        <f t="shared" si="340"/>
        <v/>
      </c>
      <c r="AT170" s="1105"/>
      <c r="AX170" s="82" t="str">
        <f t="shared" si="285"/>
        <v/>
      </c>
      <c r="BC170" s="154" t="e">
        <f>#REF!</f>
        <v>#REF!</v>
      </c>
      <c r="BD170" s="155" t="e">
        <f>BC170*G170*$BD$143</f>
        <v>#REF!</v>
      </c>
      <c r="BE170" s="155" t="e">
        <f>BD170/G170</f>
        <v>#REF!</v>
      </c>
    </row>
    <row r="171" spans="1:60" ht="38.25">
      <c r="A171" s="76" t="str">
        <f t="shared" si="334"/>
        <v/>
      </c>
      <c r="B171" s="156" t="str">
        <f>IF(A171="","",SUM($A$169:A171))</f>
        <v/>
      </c>
      <c r="C171" s="157"/>
      <c r="D171" s="158" t="str">
        <f t="shared" si="335"/>
        <v/>
      </c>
      <c r="E171" s="339"/>
      <c r="F171" s="219"/>
      <c r="G171" s="240"/>
      <c r="H171" s="162"/>
      <c r="I171" s="162"/>
      <c r="J171" s="162"/>
      <c r="K171" s="162"/>
      <c r="L171" s="162"/>
      <c r="M171" s="162"/>
      <c r="N171" s="162"/>
      <c r="O171" s="162"/>
      <c r="P171" s="163"/>
      <c r="Q171" s="240"/>
      <c r="R171" s="165" t="s">
        <v>2595</v>
      </c>
      <c r="S171" s="166"/>
      <c r="T171" s="243"/>
      <c r="U171" s="335"/>
      <c r="V171" s="311" t="s">
        <v>2650</v>
      </c>
      <c r="W171" s="132" t="str">
        <f t="shared" si="341"/>
        <v>СТП 25 кВА - за границей н.п.</v>
      </c>
      <c r="X171" s="131" t="s">
        <v>2517</v>
      </c>
      <c r="Y171" s="336" t="s">
        <v>2651</v>
      </c>
      <c r="Z171" s="337" t="str">
        <f t="shared" si="336"/>
        <v>до 15 кВт (не льгота); 1Т: СТП 25 кВА - за границей н.п.</v>
      </c>
      <c r="AA171" s="134"/>
      <c r="AB171" s="170">
        <f t="shared" si="337"/>
        <v>0</v>
      </c>
      <c r="AC171" s="171">
        <f t="shared" si="338"/>
        <v>0</v>
      </c>
      <c r="AD171" s="172">
        <f t="shared" si="339"/>
        <v>0</v>
      </c>
      <c r="AE171" s="152">
        <f t="shared" si="342"/>
        <v>0</v>
      </c>
      <c r="AF171" s="139"/>
      <c r="AG171" s="148" t="str">
        <f t="shared" si="242"/>
        <v>не совпадает</v>
      </c>
      <c r="AI171" s="149" t="str">
        <f t="shared" si="329"/>
        <v/>
      </c>
      <c r="AJ171" s="150" t="str">
        <f t="shared" si="329"/>
        <v/>
      </c>
      <c r="AK171" s="151" t="str">
        <f t="shared" si="329"/>
        <v/>
      </c>
      <c r="AL171" s="152">
        <f t="shared" si="76"/>
        <v>0</v>
      </c>
      <c r="AR171" s="82"/>
      <c r="AS171" s="82" t="str">
        <f t="shared" si="340"/>
        <v/>
      </c>
      <c r="AT171" s="1105"/>
      <c r="AX171" s="82" t="str">
        <f t="shared" si="285"/>
        <v/>
      </c>
      <c r="BC171" s="154" t="e">
        <f>#REF!</f>
        <v>#REF!</v>
      </c>
      <c r="BD171" s="155" t="e">
        <f>BC171*G171*$BD$143</f>
        <v>#REF!</v>
      </c>
      <c r="BE171" s="155" t="e">
        <f>BD171/G171</f>
        <v>#REF!</v>
      </c>
    </row>
    <row r="172" spans="1:60" ht="25.5">
      <c r="A172" s="76" t="str">
        <f t="shared" si="334"/>
        <v/>
      </c>
      <c r="B172" s="179" t="str">
        <f>IF(A172="","",SUM($A$169:A172))</f>
        <v/>
      </c>
      <c r="C172" s="180"/>
      <c r="D172" s="318" t="str">
        <f t="shared" si="335"/>
        <v/>
      </c>
      <c r="E172" s="340"/>
      <c r="F172" s="221"/>
      <c r="G172" s="245"/>
      <c r="H172" s="183"/>
      <c r="I172" s="183"/>
      <c r="J172" s="183"/>
      <c r="K172" s="183"/>
      <c r="L172" s="183"/>
      <c r="M172" s="183"/>
      <c r="N172" s="183"/>
      <c r="O172" s="183"/>
      <c r="P172" s="163"/>
      <c r="Q172" s="245"/>
      <c r="R172" s="186" t="s">
        <v>2595</v>
      </c>
      <c r="S172" s="247"/>
      <c r="T172" s="247"/>
      <c r="U172" s="335"/>
      <c r="V172" s="294" t="s">
        <v>2652</v>
      </c>
      <c r="W172" s="307" t="str">
        <f t="shared" si="341"/>
        <v>ТП 25 кВА - за границей н.п.</v>
      </c>
      <c r="X172" s="308" t="s">
        <v>2517</v>
      </c>
      <c r="Y172" s="309" t="s">
        <v>2653</v>
      </c>
      <c r="Z172" s="310" t="str">
        <f t="shared" si="336"/>
        <v>от 15 до 150 кВт; 1Т: ТП 25 кВА - за границей н.п.</v>
      </c>
      <c r="AA172" s="134"/>
      <c r="AB172" s="170">
        <f t="shared" si="337"/>
        <v>0</v>
      </c>
      <c r="AC172" s="171">
        <f t="shared" si="338"/>
        <v>0</v>
      </c>
      <c r="AD172" s="172">
        <f t="shared" si="339"/>
        <v>0</v>
      </c>
      <c r="AE172" s="152">
        <f t="shared" si="342"/>
        <v>0</v>
      </c>
      <c r="AF172" s="139"/>
      <c r="AG172" s="148" t="str">
        <f t="shared" si="242"/>
        <v>не совпадает</v>
      </c>
      <c r="AI172" s="149" t="str">
        <f t="shared" si="329"/>
        <v/>
      </c>
      <c r="AJ172" s="150" t="str">
        <f t="shared" si="329"/>
        <v/>
      </c>
      <c r="AK172" s="151" t="str">
        <f t="shared" si="329"/>
        <v/>
      </c>
      <c r="AL172" s="152">
        <f t="shared" si="76"/>
        <v>0</v>
      </c>
      <c r="AR172" s="82"/>
      <c r="AS172" s="82" t="str">
        <f t="shared" si="340"/>
        <v/>
      </c>
      <c r="AT172" s="1105"/>
      <c r="AX172" s="82" t="str">
        <f t="shared" si="285"/>
        <v/>
      </c>
      <c r="BC172" s="154" t="e">
        <f>#REF!</f>
        <v>#REF!</v>
      </c>
      <c r="BD172" s="155" t="e">
        <f>BC172*G172*$BD$143</f>
        <v>#REF!</v>
      </c>
      <c r="BE172" s="155" t="e">
        <f>BD172/G172</f>
        <v>#REF!</v>
      </c>
    </row>
    <row r="173" spans="1:60" s="120" customFormat="1" ht="18.75">
      <c r="B173" s="288" t="s">
        <v>2654</v>
      </c>
      <c r="C173" s="289" t="str">
        <f>"Всего по "&amp;$C$166&amp;" ("&amp;T173&amp;"):"</f>
        <v>Всего по Не льгота (ТП, КТП, МТП, СТП) (25-100 кВА):</v>
      </c>
      <c r="D173" s="289"/>
      <c r="E173" s="289"/>
      <c r="F173" s="290">
        <f>SUM(F174:F176)</f>
        <v>0</v>
      </c>
      <c r="G173" s="291">
        <f>SUM(G174:G176)</f>
        <v>39.5</v>
      </c>
      <c r="H173" s="291">
        <f t="shared" ref="H173:Q173" si="343">SUM(H174:H176)</f>
        <v>0</v>
      </c>
      <c r="I173" s="291">
        <f t="shared" si="343"/>
        <v>0</v>
      </c>
      <c r="J173" s="291">
        <f t="shared" si="343"/>
        <v>0</v>
      </c>
      <c r="K173" s="291">
        <f t="shared" si="343"/>
        <v>36.011849999999995</v>
      </c>
      <c r="L173" s="291">
        <f t="shared" si="343"/>
        <v>0</v>
      </c>
      <c r="M173" s="291">
        <f t="shared" si="343"/>
        <v>0</v>
      </c>
      <c r="N173" s="291">
        <f t="shared" si="343"/>
        <v>0</v>
      </c>
      <c r="O173" s="291">
        <f t="shared" si="343"/>
        <v>391.47052000000002</v>
      </c>
      <c r="P173" s="291">
        <f>SUM(P174:P176)</f>
        <v>427482.37</v>
      </c>
      <c r="Q173" s="290">
        <f t="shared" si="343"/>
        <v>2</v>
      </c>
      <c r="R173" s="292"/>
      <c r="S173" s="292"/>
      <c r="T173" s="293" t="s">
        <v>2631</v>
      </c>
      <c r="U173" s="128"/>
      <c r="V173" s="128"/>
      <c r="W173" s="128"/>
      <c r="X173" s="76"/>
      <c r="Y173" s="128" t="str">
        <f>IF(X173="","",$C$190)</f>
        <v/>
      </c>
      <c r="Z173" s="174" t="str">
        <f>IF(X173="","",CONCATENATE(Y173,"-",X173))</f>
        <v/>
      </c>
      <c r="AA173" s="134"/>
      <c r="AB173" s="117"/>
      <c r="AC173" s="118"/>
      <c r="AD173" s="119"/>
      <c r="AE173" s="108"/>
      <c r="AF173" s="193"/>
      <c r="AG173" s="148" t="str">
        <f t="shared" si="242"/>
        <v>не совпадает</v>
      </c>
      <c r="AH173" s="76"/>
      <c r="AI173" s="200" t="str">
        <f t="shared" si="329"/>
        <v/>
      </c>
      <c r="AJ173" s="201" t="str">
        <f t="shared" si="329"/>
        <v/>
      </c>
      <c r="AK173" s="202" t="str">
        <f t="shared" si="329"/>
        <v/>
      </c>
      <c r="AL173" s="230">
        <f t="shared" si="76"/>
        <v>0</v>
      </c>
      <c r="AM173" s="81"/>
      <c r="AN173" s="82"/>
      <c r="AO173" s="82"/>
      <c r="AP173" s="82"/>
      <c r="AQ173" s="82"/>
      <c r="AR173" s="82"/>
      <c r="AS173" s="140"/>
      <c r="AT173" s="1105"/>
      <c r="AU173" s="85"/>
      <c r="AV173" s="82"/>
      <c r="AW173" s="82"/>
      <c r="AX173" s="82" t="str">
        <f t="shared" si="285"/>
        <v/>
      </c>
      <c r="AY173" s="82"/>
      <c r="AZ173" s="140"/>
      <c r="BA173" s="140"/>
      <c r="BB173" s="140"/>
      <c r="BC173" s="218"/>
      <c r="BD173" s="140"/>
      <c r="BE173" s="140"/>
      <c r="BF173" s="140"/>
      <c r="BH173" s="76"/>
    </row>
    <row r="174" spans="1:60" ht="45">
      <c r="A174" s="76">
        <f t="shared" ref="A174:A176" si="344">IF(C174="","",1)</f>
        <v>1</v>
      </c>
      <c r="B174" s="288">
        <f>IF(A174="","",SUM($A$169:A174))</f>
        <v>2</v>
      </c>
      <c r="C174" s="518" t="s">
        <v>2902</v>
      </c>
      <c r="D174" s="158" t="str">
        <f t="shared" ref="D174:D176" si="345">IF(AF174=0,"",AF174)</f>
        <v>3кв 2017</v>
      </c>
      <c r="E174" s="159">
        <v>10</v>
      </c>
      <c r="F174" s="219"/>
      <c r="G174" s="240">
        <v>25</v>
      </c>
      <c r="H174" s="162"/>
      <c r="I174" s="162"/>
      <c r="J174" s="162"/>
      <c r="K174" s="194">
        <v>21.14939</v>
      </c>
      <c r="L174" s="194"/>
      <c r="M174" s="194"/>
      <c r="N174" s="194"/>
      <c r="O174" s="194">
        <v>195.73526000000001</v>
      </c>
      <c r="P174" s="194">
        <v>216884.65000000002</v>
      </c>
      <c r="Q174" s="240">
        <v>1</v>
      </c>
      <c r="R174" s="165" t="s">
        <v>2595</v>
      </c>
      <c r="S174" s="166" t="s">
        <v>2903</v>
      </c>
      <c r="T174" s="243"/>
      <c r="U174" s="335"/>
      <c r="V174" s="311" t="s">
        <v>2655</v>
      </c>
      <c r="W174" s="132" t="str">
        <f>""&amp;V174&amp;" - "&amp;X174&amp;""</f>
        <v>ТП 63 кВА - за границей н.п.</v>
      </c>
      <c r="X174" s="131" t="s">
        <v>2517</v>
      </c>
      <c r="Y174" s="336" t="s">
        <v>2904</v>
      </c>
      <c r="Z174" s="337" t="str">
        <f>IF(X174="","",CONCATENATE(Y174,": ",W174))</f>
        <v>от 15 до 150 кВт (не льгота); 1Т: ТП 63 кВА - за границей н.п.</v>
      </c>
      <c r="AA174" s="134"/>
      <c r="AB174" s="170">
        <f t="shared" ref="AB174:AB175" si="346">O174</f>
        <v>195.73526000000001</v>
      </c>
      <c r="AC174" s="171">
        <f t="shared" ref="AC174:AC175" si="347">(I174+H174)</f>
        <v>0</v>
      </c>
      <c r="AD174" s="172">
        <f t="shared" ref="AD174:AD175" si="348">K174</f>
        <v>21.14939</v>
      </c>
      <c r="AE174" s="152">
        <f t="shared" ref="AE174:AE176" si="349">AB174+AC174+AD174</f>
        <v>216.88465000000002</v>
      </c>
      <c r="AF174" s="139" t="s">
        <v>2681</v>
      </c>
      <c r="AG174" s="148">
        <f t="shared" si="242"/>
        <v>4.1500000000000004</v>
      </c>
      <c r="AI174" s="149">
        <f t="shared" si="329"/>
        <v>47.165122891566263</v>
      </c>
      <c r="AJ174" s="150">
        <f t="shared" si="329"/>
        <v>0</v>
      </c>
      <c r="AK174" s="151">
        <f t="shared" si="329"/>
        <v>5.0962385542168676</v>
      </c>
      <c r="AL174" s="152">
        <f>SUM(AI174,AJ174,AK174)</f>
        <v>52.26136144578313</v>
      </c>
      <c r="AQ174" s="427">
        <v>30</v>
      </c>
      <c r="AR174" s="82"/>
      <c r="AS174" s="82">
        <f t="shared" ref="AS174:AS175" si="350">IF(B174="","",IF(P174=SUM(H174,I174,K174,O174),"ИСТИНА",P174-SUM(H174,I174,K174,O174)))</f>
        <v>216667.76535000003</v>
      </c>
      <c r="AT174" s="1105" t="s">
        <v>2905</v>
      </c>
      <c r="AU174" s="338"/>
      <c r="AX174" s="82">
        <f t="shared" si="285"/>
        <v>216884.65000000002</v>
      </c>
      <c r="BA174" s="189" t="s">
        <v>2892</v>
      </c>
      <c r="BC174" s="154" t="e">
        <f>#REF!</f>
        <v>#REF!</v>
      </c>
      <c r="BD174" s="155" t="e">
        <f>BC174*G174*$BD$143</f>
        <v>#REF!</v>
      </c>
      <c r="BE174" s="155" t="e">
        <f>BD174/G174</f>
        <v>#REF!</v>
      </c>
    </row>
    <row r="175" spans="1:60" ht="45">
      <c r="A175" s="76">
        <f t="shared" si="344"/>
        <v>1</v>
      </c>
      <c r="B175" s="156">
        <f>IF(A175="","",SUM($A$169:A175))</f>
        <v>3</v>
      </c>
      <c r="C175" s="520" t="s">
        <v>2906</v>
      </c>
      <c r="D175" s="158" t="str">
        <f t="shared" si="345"/>
        <v>3кв 2017</v>
      </c>
      <c r="E175" s="159">
        <v>10</v>
      </c>
      <c r="F175" s="219"/>
      <c r="G175" s="240">
        <v>14.5</v>
      </c>
      <c r="H175" s="162"/>
      <c r="I175" s="162"/>
      <c r="J175" s="162"/>
      <c r="K175" s="194">
        <v>14.862459999999999</v>
      </c>
      <c r="L175" s="194"/>
      <c r="M175" s="194"/>
      <c r="N175" s="194"/>
      <c r="O175" s="194">
        <v>195.73526000000001</v>
      </c>
      <c r="P175" s="194">
        <v>210597.72</v>
      </c>
      <c r="Q175" s="240">
        <v>1</v>
      </c>
      <c r="R175" s="165" t="s">
        <v>2595</v>
      </c>
      <c r="S175" s="166" t="s">
        <v>2901</v>
      </c>
      <c r="T175" s="243"/>
      <c r="U175" s="335"/>
      <c r="V175" s="311" t="s">
        <v>2655</v>
      </c>
      <c r="W175" s="132" t="str">
        <f t="shared" ref="W175" si="351">""&amp;V175&amp;" - "&amp;X175&amp;""</f>
        <v>ТП 63 кВА - за границей н.п.</v>
      </c>
      <c r="X175" s="131" t="s">
        <v>2517</v>
      </c>
      <c r="Y175" s="336" t="s">
        <v>2651</v>
      </c>
      <c r="Z175" s="337" t="str">
        <f t="shared" ref="Z175" si="352">IF(X175="","",CONCATENATE(Y175,": ",W175))</f>
        <v>до 15 кВт (не льгота); 1Т: ТП 63 кВА - за границей н.п.</v>
      </c>
      <c r="AA175" s="134"/>
      <c r="AB175" s="170">
        <f t="shared" si="346"/>
        <v>195.73526000000001</v>
      </c>
      <c r="AC175" s="171">
        <f t="shared" si="347"/>
        <v>0</v>
      </c>
      <c r="AD175" s="172">
        <f t="shared" si="348"/>
        <v>14.862459999999999</v>
      </c>
      <c r="AE175" s="152">
        <f t="shared" si="349"/>
        <v>210.59772000000001</v>
      </c>
      <c r="AF175" s="139" t="s">
        <v>2681</v>
      </c>
      <c r="AG175" s="148">
        <f t="shared" si="242"/>
        <v>4.1500000000000004</v>
      </c>
      <c r="AI175" s="149">
        <f t="shared" si="329"/>
        <v>47.165122891566263</v>
      </c>
      <c r="AJ175" s="150">
        <f t="shared" si="329"/>
        <v>0</v>
      </c>
      <c r="AK175" s="151">
        <f t="shared" si="329"/>
        <v>3.581315662650602</v>
      </c>
      <c r="AL175" s="152">
        <f t="shared" ref="AL175" si="353">SUM(AI175,AJ175,AK175)</f>
        <v>50.746438554216866</v>
      </c>
      <c r="AQ175" s="427">
        <v>27</v>
      </c>
      <c r="AR175" s="82"/>
      <c r="AS175" s="82">
        <f t="shared" si="350"/>
        <v>210387.12228000001</v>
      </c>
      <c r="AT175" s="1105" t="s">
        <v>2786</v>
      </c>
      <c r="AX175" s="82">
        <f t="shared" si="285"/>
        <v>210597.72</v>
      </c>
      <c r="BA175" s="189" t="s">
        <v>2892</v>
      </c>
      <c r="BC175" s="154" t="e">
        <f>#REF!</f>
        <v>#REF!</v>
      </c>
      <c r="BD175" s="155" t="e">
        <f>BC175*G175*$BD$143</f>
        <v>#REF!</v>
      </c>
      <c r="BE175" s="155" t="e">
        <f>BD175/G175</f>
        <v>#REF!</v>
      </c>
    </row>
    <row r="176" spans="1:60" s="120" customFormat="1" ht="12" customHeight="1">
      <c r="A176" s="120" t="str">
        <f t="shared" si="344"/>
        <v/>
      </c>
      <c r="B176" s="294" t="str">
        <f>IF(A176="","",SUM($A$169:A176))</f>
        <v/>
      </c>
      <c r="C176" s="180"/>
      <c r="D176" s="318" t="str">
        <f t="shared" si="345"/>
        <v/>
      </c>
      <c r="E176" s="340"/>
      <c r="F176" s="295"/>
      <c r="G176" s="195"/>
      <c r="H176" s="296"/>
      <c r="I176" s="296"/>
      <c r="J176" s="296"/>
      <c r="K176" s="296"/>
      <c r="L176" s="296"/>
      <c r="M176" s="296"/>
      <c r="N176" s="296"/>
      <c r="O176" s="296"/>
      <c r="P176" s="246"/>
      <c r="Q176" s="302"/>
      <c r="R176" s="303"/>
      <c r="S176" s="304"/>
      <c r="T176" s="305"/>
      <c r="U176" s="128"/>
      <c r="V176" s="306"/>
      <c r="W176" s="307" t="str">
        <f>""&amp;V176&amp;" - "&amp;X176&amp;""</f>
        <v xml:space="preserve"> - </v>
      </c>
      <c r="X176" s="308"/>
      <c r="Y176" s="309" t="str">
        <f>IF(X176="","",$C$190)</f>
        <v/>
      </c>
      <c r="Z176" s="310" t="str">
        <f>IF(X176="","",CONCATENATE(Y176,": ",W176))</f>
        <v/>
      </c>
      <c r="AA176" s="134"/>
      <c r="AB176" s="170">
        <f>O176</f>
        <v>0</v>
      </c>
      <c r="AC176" s="171">
        <f>(I176+H176)</f>
        <v>0</v>
      </c>
      <c r="AD176" s="172">
        <f>K176</f>
        <v>0</v>
      </c>
      <c r="AE176" s="152">
        <f t="shared" si="349"/>
        <v>0</v>
      </c>
      <c r="AF176" s="193"/>
      <c r="AG176" s="148" t="str">
        <f t="shared" si="242"/>
        <v>не совпадает</v>
      </c>
      <c r="AH176" s="76"/>
      <c r="AI176" s="200" t="str">
        <f t="shared" si="329"/>
        <v/>
      </c>
      <c r="AJ176" s="201" t="str">
        <f t="shared" si="329"/>
        <v/>
      </c>
      <c r="AK176" s="202" t="str">
        <f t="shared" si="329"/>
        <v/>
      </c>
      <c r="AL176" s="230">
        <f t="shared" si="76"/>
        <v>0</v>
      </c>
      <c r="AM176" s="81"/>
      <c r="AN176" s="82"/>
      <c r="AO176" s="82"/>
      <c r="AP176" s="82"/>
      <c r="AQ176" s="82"/>
      <c r="AR176" s="82"/>
      <c r="AS176" s="140"/>
      <c r="AT176" s="1105"/>
      <c r="AU176" s="85"/>
      <c r="AV176" s="82"/>
      <c r="AW176" s="82"/>
      <c r="AX176" s="82" t="str">
        <f t="shared" si="285"/>
        <v/>
      </c>
      <c r="AY176" s="82"/>
      <c r="AZ176" s="140"/>
      <c r="BA176" s="140"/>
      <c r="BB176" s="140"/>
      <c r="BC176" s="218"/>
      <c r="BD176" s="140"/>
      <c r="BE176" s="140"/>
      <c r="BF176" s="140"/>
      <c r="BH176" s="76"/>
    </row>
    <row r="177" spans="1:60" s="120" customFormat="1" ht="18.75" customHeight="1">
      <c r="B177" s="288" t="s">
        <v>2656</v>
      </c>
      <c r="C177" s="289" t="str">
        <f>"Всего по "&amp;$C$166&amp;" ("&amp;T177&amp;"):"</f>
        <v>Всего по Не льгота (ТП, КТП, МТП, СТП) (100-250 кВА):</v>
      </c>
      <c r="D177" s="289"/>
      <c r="E177" s="289"/>
      <c r="F177" s="290">
        <f>SUM(F178)</f>
        <v>0</v>
      </c>
      <c r="G177" s="291"/>
      <c r="H177" s="291">
        <f t="shared" ref="H177:L177" si="354">SUM(H178)</f>
        <v>0</v>
      </c>
      <c r="I177" s="291">
        <f t="shared" si="354"/>
        <v>0</v>
      </c>
      <c r="J177" s="291">
        <f t="shared" si="354"/>
        <v>0</v>
      </c>
      <c r="K177" s="291">
        <f t="shared" si="354"/>
        <v>0</v>
      </c>
      <c r="L177" s="291">
        <f t="shared" si="354"/>
        <v>0</v>
      </c>
      <c r="M177" s="291">
        <f>SUM(M178)</f>
        <v>0</v>
      </c>
      <c r="N177" s="291">
        <f t="shared" ref="N177:Q177" si="355">SUM(N178)</f>
        <v>0</v>
      </c>
      <c r="O177" s="291">
        <f>SUM(O178)</f>
        <v>0</v>
      </c>
      <c r="P177" s="291">
        <f t="shared" si="355"/>
        <v>0</v>
      </c>
      <c r="Q177" s="290">
        <f t="shared" si="355"/>
        <v>0</v>
      </c>
      <c r="R177" s="292"/>
      <c r="S177" s="292"/>
      <c r="T177" s="293" t="s">
        <v>2633</v>
      </c>
      <c r="U177" s="128"/>
      <c r="V177" s="128"/>
      <c r="W177" s="128"/>
      <c r="X177" s="76"/>
      <c r="Y177" s="128" t="str">
        <f>IF(X177="","",$C$190)</f>
        <v/>
      </c>
      <c r="Z177" s="174" t="str">
        <f>IF(X177="","",CONCATENATE(Y177,"-",X177))</f>
        <v/>
      </c>
      <c r="AA177" s="134"/>
      <c r="AB177" s="117"/>
      <c r="AC177" s="118"/>
      <c r="AD177" s="119"/>
      <c r="AE177" s="108"/>
      <c r="AF177" s="193"/>
      <c r="AG177" s="148" t="str">
        <f t="shared" si="242"/>
        <v>не совпадает</v>
      </c>
      <c r="AH177" s="76"/>
      <c r="AI177" s="200" t="str">
        <f t="shared" si="329"/>
        <v/>
      </c>
      <c r="AJ177" s="201" t="str">
        <f t="shared" si="329"/>
        <v/>
      </c>
      <c r="AK177" s="202" t="str">
        <f t="shared" si="329"/>
        <v/>
      </c>
      <c r="AL177" s="230">
        <f t="shared" si="76"/>
        <v>0</v>
      </c>
      <c r="AM177" s="81"/>
      <c r="AN177" s="82"/>
      <c r="AO177" s="82"/>
      <c r="AP177" s="82"/>
      <c r="AQ177" s="82"/>
      <c r="AR177" s="82"/>
      <c r="AS177" s="140"/>
      <c r="AT177" s="1105"/>
      <c r="AU177" s="85"/>
      <c r="AV177" s="82"/>
      <c r="AW177" s="82"/>
      <c r="AX177" s="82" t="str">
        <f t="shared" si="285"/>
        <v/>
      </c>
      <c r="AY177" s="82"/>
      <c r="AZ177" s="140"/>
      <c r="BA177" s="140"/>
      <c r="BB177" s="140"/>
      <c r="BC177" s="218"/>
      <c r="BD177" s="140"/>
      <c r="BE177" s="140"/>
      <c r="BF177" s="140"/>
      <c r="BH177" s="76"/>
    </row>
    <row r="178" spans="1:60" s="120" customFormat="1" ht="12" customHeight="1">
      <c r="A178" s="120" t="str">
        <f t="shared" ref="A178" si="356">IF(C178="","",1)</f>
        <v/>
      </c>
      <c r="B178" s="294" t="str">
        <f>IF(A178="","",SUM($A$169:A178))</f>
        <v/>
      </c>
      <c r="C178" s="180"/>
      <c r="D178" s="318" t="str">
        <f t="shared" ref="D178" si="357">IF(AF178=0,"",AF178)</f>
        <v/>
      </c>
      <c r="E178" s="340"/>
      <c r="F178" s="295"/>
      <c r="G178" s="195"/>
      <c r="H178" s="296"/>
      <c r="I178" s="296"/>
      <c r="J178" s="296"/>
      <c r="K178" s="296"/>
      <c r="L178" s="296"/>
      <c r="M178" s="296"/>
      <c r="N178" s="296"/>
      <c r="O178" s="296"/>
      <c r="P178" s="246"/>
      <c r="Q178" s="302"/>
      <c r="R178" s="303"/>
      <c r="S178" s="304"/>
      <c r="T178" s="305"/>
      <c r="U178" s="128"/>
      <c r="V178" s="306"/>
      <c r="W178" s="307" t="str">
        <f>""&amp;V178&amp;" - "&amp;X178&amp;""</f>
        <v xml:space="preserve"> - </v>
      </c>
      <c r="X178" s="308"/>
      <c r="Y178" s="309" t="str">
        <f>IF(X178="","",$C$190)</f>
        <v/>
      </c>
      <c r="Z178" s="310" t="str">
        <f>IF(X178="","",CONCATENATE(Y178,": ",W178))</f>
        <v/>
      </c>
      <c r="AA178" s="134"/>
      <c r="AB178" s="170">
        <f>O178</f>
        <v>0</v>
      </c>
      <c r="AC178" s="171">
        <f>(I178+H178)</f>
        <v>0</v>
      </c>
      <c r="AD178" s="172">
        <f>K178</f>
        <v>0</v>
      </c>
      <c r="AE178" s="152">
        <f t="shared" ref="AE178" si="358">AB178+AC178+AD178</f>
        <v>0</v>
      </c>
      <c r="AF178" s="193"/>
      <c r="AG178" s="148" t="str">
        <f t="shared" si="242"/>
        <v>не совпадает</v>
      </c>
      <c r="AH178" s="76"/>
      <c r="AI178" s="200" t="str">
        <f t="shared" si="329"/>
        <v/>
      </c>
      <c r="AJ178" s="201" t="str">
        <f t="shared" si="329"/>
        <v/>
      </c>
      <c r="AK178" s="202" t="str">
        <f t="shared" si="329"/>
        <v/>
      </c>
      <c r="AL178" s="230">
        <f t="shared" si="76"/>
        <v>0</v>
      </c>
      <c r="AM178" s="81"/>
      <c r="AN178" s="82"/>
      <c r="AO178" s="82"/>
      <c r="AP178" s="82"/>
      <c r="AQ178" s="82"/>
      <c r="AR178" s="82"/>
      <c r="AS178" s="140"/>
      <c r="AT178" s="1105"/>
      <c r="AU178" s="85"/>
      <c r="AV178" s="82"/>
      <c r="AW178" s="82"/>
      <c r="AX178" s="82" t="str">
        <f t="shared" si="285"/>
        <v/>
      </c>
      <c r="AY178" s="82"/>
      <c r="AZ178" s="140"/>
      <c r="BA178" s="140"/>
      <c r="BB178" s="140"/>
      <c r="BC178" s="218"/>
      <c r="BD178" s="140"/>
      <c r="BE178" s="140"/>
      <c r="BF178" s="140"/>
      <c r="BH178" s="76"/>
    </row>
    <row r="179" spans="1:60" s="120" customFormat="1" ht="18.75" customHeight="1">
      <c r="B179" s="288" t="s">
        <v>2657</v>
      </c>
      <c r="C179" s="289" t="str">
        <f>"Всего по "&amp;$C$166&amp;" ("&amp;T179&amp;"):"</f>
        <v>Всего по Не льгота (ТП, КТП, МТП, СТП) (250-500 кВА):</v>
      </c>
      <c r="D179" s="289"/>
      <c r="E179" s="289"/>
      <c r="F179" s="290">
        <f>SUM(F180:F181)</f>
        <v>0</v>
      </c>
      <c r="G179" s="291">
        <f t="shared" ref="G179:Q179" si="359">SUM(G180:G181)</f>
        <v>0</v>
      </c>
      <c r="H179" s="291">
        <f t="shared" si="359"/>
        <v>0</v>
      </c>
      <c r="I179" s="291">
        <f t="shared" si="359"/>
        <v>0</v>
      </c>
      <c r="J179" s="291">
        <f t="shared" si="359"/>
        <v>0</v>
      </c>
      <c r="K179" s="291">
        <f t="shared" si="359"/>
        <v>0</v>
      </c>
      <c r="L179" s="291">
        <f t="shared" si="359"/>
        <v>0</v>
      </c>
      <c r="M179" s="291">
        <f t="shared" si="359"/>
        <v>0</v>
      </c>
      <c r="N179" s="291">
        <f t="shared" si="359"/>
        <v>0</v>
      </c>
      <c r="O179" s="291">
        <f t="shared" si="359"/>
        <v>0</v>
      </c>
      <c r="P179" s="291">
        <f t="shared" si="359"/>
        <v>0</v>
      </c>
      <c r="Q179" s="290">
        <f t="shared" si="359"/>
        <v>0</v>
      </c>
      <c r="R179" s="292"/>
      <c r="S179" s="292"/>
      <c r="T179" s="293" t="s">
        <v>2635</v>
      </c>
      <c r="U179" s="128"/>
      <c r="V179" s="128"/>
      <c r="W179" s="128"/>
      <c r="X179" s="76"/>
      <c r="Y179" s="128" t="str">
        <f>IF(X179="","",$C$202)</f>
        <v/>
      </c>
      <c r="Z179" s="174" t="str">
        <f>IF(X179="","",CONCATENATE(Y179,"-",X179))</f>
        <v/>
      </c>
      <c r="AA179" s="134"/>
      <c r="AB179" s="117"/>
      <c r="AC179" s="118"/>
      <c r="AD179" s="119"/>
      <c r="AE179" s="108"/>
      <c r="AF179" s="193"/>
      <c r="AG179" s="148" t="str">
        <f t="shared" ref="AG179:AG190" si="360">IF($AF179="1кв 2017",4.03,IF($AF179="2кв 2017",4.05,IF($AF179="3кв 2017",4.15,IF($AF179="4кв 2017",4.2,"не совпадает"))))</f>
        <v>не совпадает</v>
      </c>
      <c r="AH179" s="76"/>
      <c r="AI179" s="200" t="str">
        <f t="shared" si="329"/>
        <v/>
      </c>
      <c r="AJ179" s="201" t="str">
        <f t="shared" si="329"/>
        <v/>
      </c>
      <c r="AK179" s="202" t="str">
        <f t="shared" si="329"/>
        <v/>
      </c>
      <c r="AL179" s="230">
        <f t="shared" si="76"/>
        <v>0</v>
      </c>
      <c r="AM179" s="81"/>
      <c r="AN179" s="82"/>
      <c r="AO179" s="82"/>
      <c r="AP179" s="82"/>
      <c r="AQ179" s="82"/>
      <c r="AR179" s="82"/>
      <c r="AS179" s="140"/>
      <c r="AT179" s="1105"/>
      <c r="AU179" s="85"/>
      <c r="AV179" s="82"/>
      <c r="AW179" s="82"/>
      <c r="AX179" s="82" t="str">
        <f t="shared" si="285"/>
        <v/>
      </c>
      <c r="AY179" s="82"/>
      <c r="AZ179" s="140"/>
      <c r="BA179" s="140"/>
      <c r="BB179" s="140"/>
      <c r="BC179" s="218"/>
      <c r="BD179" s="140"/>
      <c r="BE179" s="140"/>
      <c r="BF179" s="140"/>
      <c r="BH179" s="76"/>
    </row>
    <row r="180" spans="1:60" ht="25.5">
      <c r="A180" s="76" t="str">
        <f t="shared" ref="A180:A181" si="361">IF(C180="","",1)</f>
        <v/>
      </c>
      <c r="B180" s="156" t="str">
        <f>IF(A180="","",SUM($A$169:A180))</f>
        <v/>
      </c>
      <c r="C180" s="157"/>
      <c r="D180" s="158" t="str">
        <f t="shared" ref="D180:D181" si="362">IF(AF180=0,"",AF180)</f>
        <v/>
      </c>
      <c r="E180" s="339"/>
      <c r="F180" s="219"/>
      <c r="G180" s="240"/>
      <c r="H180" s="162"/>
      <c r="I180" s="162"/>
      <c r="J180" s="241"/>
      <c r="K180" s="162"/>
      <c r="L180" s="241"/>
      <c r="M180" s="241"/>
      <c r="N180" s="241"/>
      <c r="O180" s="162"/>
      <c r="P180" s="242"/>
      <c r="Q180" s="240"/>
      <c r="R180" s="165" t="s">
        <v>2595</v>
      </c>
      <c r="S180" s="166"/>
      <c r="T180" s="243"/>
      <c r="U180" s="335"/>
      <c r="V180" s="341" t="s">
        <v>2636</v>
      </c>
      <c r="W180" s="342" t="str">
        <f>""&amp;V180&amp;" - "&amp;X180&amp;""</f>
        <v>КТП 400 кВА - н.п.</v>
      </c>
      <c r="X180" s="343" t="s">
        <v>2519</v>
      </c>
      <c r="Y180" s="344" t="s">
        <v>2653</v>
      </c>
      <c r="Z180" s="345" t="str">
        <f>IF(X180="","",CONCATENATE(Y180,": ",W180))</f>
        <v>от 15 до 150 кВт; 1Т: КТП 400 кВА - н.п.</v>
      </c>
      <c r="AA180" s="134"/>
      <c r="AB180" s="170">
        <f t="shared" ref="AB180:AB181" si="363">O180</f>
        <v>0</v>
      </c>
      <c r="AC180" s="171">
        <f t="shared" ref="AC180:AC181" si="364">(I180+H180)</f>
        <v>0</v>
      </c>
      <c r="AD180" s="172">
        <f t="shared" ref="AD180:AD181" si="365">K180</f>
        <v>0</v>
      </c>
      <c r="AE180" s="152">
        <f t="shared" ref="AE180:AE181" si="366">AB180+AC180+AD180</f>
        <v>0</v>
      </c>
      <c r="AF180" s="139"/>
      <c r="AG180" s="148" t="str">
        <f t="shared" si="360"/>
        <v>не совпадает</v>
      </c>
      <c r="AI180" s="149" t="str">
        <f t="shared" si="329"/>
        <v/>
      </c>
      <c r="AJ180" s="150" t="str">
        <f t="shared" si="329"/>
        <v/>
      </c>
      <c r="AK180" s="151" t="str">
        <f t="shared" si="329"/>
        <v/>
      </c>
      <c r="AL180" s="152">
        <f t="shared" si="76"/>
        <v>0</v>
      </c>
      <c r="AR180" s="82"/>
      <c r="AS180" s="82" t="str">
        <f>IF(B180="","",IF(P180=SUM(H180,I180,K180,O180),"ИСТИНА",P180-SUM(H180,I180,K180,O180)))</f>
        <v/>
      </c>
      <c r="AT180" s="1105"/>
      <c r="AX180" s="82" t="str">
        <f t="shared" si="285"/>
        <v/>
      </c>
      <c r="BC180" s="154" t="e">
        <f>#REF!</f>
        <v>#REF!</v>
      </c>
      <c r="BD180" s="155" t="e">
        <f>BC180*G180*$BD$143</f>
        <v>#REF!</v>
      </c>
      <c r="BE180" s="155" t="e">
        <f>BD180/G180</f>
        <v>#REF!</v>
      </c>
    </row>
    <row r="181" spans="1:60" ht="25.5">
      <c r="A181" s="76" t="str">
        <f t="shared" si="361"/>
        <v/>
      </c>
      <c r="B181" s="191" t="str">
        <f>IF(A181="","",SUM($A$169:A181))</f>
        <v/>
      </c>
      <c r="C181" s="180"/>
      <c r="D181" s="318" t="str">
        <f t="shared" si="362"/>
        <v/>
      </c>
      <c r="E181" s="340"/>
      <c r="F181" s="221"/>
      <c r="G181" s="245"/>
      <c r="H181" s="183"/>
      <c r="I181" s="183"/>
      <c r="J181" s="346"/>
      <c r="K181" s="183"/>
      <c r="L181" s="346"/>
      <c r="M181" s="346"/>
      <c r="N181" s="346"/>
      <c r="O181" s="183"/>
      <c r="P181" s="246"/>
      <c r="Q181" s="245"/>
      <c r="R181" s="186" t="s">
        <v>2595</v>
      </c>
      <c r="S181" s="187"/>
      <c r="T181" s="247"/>
      <c r="U181" s="335"/>
      <c r="V181" s="311" t="s">
        <v>2636</v>
      </c>
      <c r="W181" s="132" t="str">
        <f>""&amp;V181&amp;" - "&amp;X181&amp;""</f>
        <v>КТП 400 кВА - н.п.</v>
      </c>
      <c r="X181" s="131" t="s">
        <v>2519</v>
      </c>
      <c r="Y181" s="336" t="s">
        <v>2653</v>
      </c>
      <c r="Z181" s="337" t="str">
        <f>IF(X181="","",CONCATENATE(Y181,": ",W181))</f>
        <v>от 15 до 150 кВт; 1Т: КТП 400 кВА - н.п.</v>
      </c>
      <c r="AA181" s="134"/>
      <c r="AB181" s="170">
        <f t="shared" si="363"/>
        <v>0</v>
      </c>
      <c r="AC181" s="171">
        <f t="shared" si="364"/>
        <v>0</v>
      </c>
      <c r="AD181" s="172">
        <f t="shared" si="365"/>
        <v>0</v>
      </c>
      <c r="AE181" s="152">
        <f t="shared" si="366"/>
        <v>0</v>
      </c>
      <c r="AF181" s="139"/>
      <c r="AG181" s="148" t="str">
        <f t="shared" si="360"/>
        <v>не совпадает</v>
      </c>
      <c r="AI181" s="149" t="str">
        <f t="shared" si="329"/>
        <v/>
      </c>
      <c r="AJ181" s="150" t="str">
        <f t="shared" si="329"/>
        <v/>
      </c>
      <c r="AK181" s="151" t="str">
        <f t="shared" si="329"/>
        <v/>
      </c>
      <c r="AL181" s="152">
        <f t="shared" si="76"/>
        <v>0</v>
      </c>
      <c r="AR181" s="82"/>
      <c r="AS181" s="82" t="str">
        <f>IF(B181="","",IF(P181=SUM(H181,I181,K181,O181),"ИСТИНА",P181-SUM(H181,I181,K181,O181)))</f>
        <v/>
      </c>
      <c r="AT181" s="1105"/>
      <c r="AX181" s="82" t="str">
        <f t="shared" si="285"/>
        <v/>
      </c>
      <c r="BC181" s="154" t="e">
        <f>#REF!</f>
        <v>#REF!</v>
      </c>
      <c r="BD181" s="155" t="e">
        <f>BC181*G181*$BD$143</f>
        <v>#REF!</v>
      </c>
      <c r="BE181" s="155" t="e">
        <f>BD181/G181</f>
        <v>#REF!</v>
      </c>
    </row>
    <row r="182" spans="1:60" s="120" customFormat="1" ht="18.75" customHeight="1">
      <c r="B182" s="288" t="s">
        <v>2658</v>
      </c>
      <c r="C182" s="289" t="str">
        <f>"Всего по "&amp;$C$166&amp;" ("&amp;T182&amp;"):"</f>
        <v>Всего по Не льгота (ТП, КТП, МТП, СТП) (500-900 кВА):</v>
      </c>
      <c r="D182" s="289"/>
      <c r="E182" s="289"/>
      <c r="F182" s="290">
        <f>SUM(F183)</f>
        <v>0</v>
      </c>
      <c r="G182" s="291">
        <f t="shared" ref="G182:L184" si="367">SUM(G183)</f>
        <v>0</v>
      </c>
      <c r="H182" s="291">
        <f t="shared" si="367"/>
        <v>0</v>
      </c>
      <c r="I182" s="291">
        <f t="shared" si="367"/>
        <v>0</v>
      </c>
      <c r="J182" s="291">
        <f t="shared" si="367"/>
        <v>0</v>
      </c>
      <c r="K182" s="291">
        <f t="shared" si="367"/>
        <v>0</v>
      </c>
      <c r="L182" s="291">
        <f t="shared" si="367"/>
        <v>0</v>
      </c>
      <c r="M182" s="291">
        <f>SUM(M183)</f>
        <v>0</v>
      </c>
      <c r="N182" s="291">
        <f t="shared" ref="N182:Q184" si="368">SUM(N183)</f>
        <v>0</v>
      </c>
      <c r="O182" s="291">
        <f>SUM(O183)</f>
        <v>0</v>
      </c>
      <c r="P182" s="291">
        <f t="shared" si="368"/>
        <v>0</v>
      </c>
      <c r="Q182" s="290">
        <f t="shared" si="368"/>
        <v>0</v>
      </c>
      <c r="R182" s="292"/>
      <c r="S182" s="292"/>
      <c r="T182" s="293" t="s">
        <v>2639</v>
      </c>
      <c r="U182" s="128"/>
      <c r="V182" s="128"/>
      <c r="W182" s="128"/>
      <c r="X182" s="76"/>
      <c r="Y182" s="128" t="str">
        <f>IF(X182="","",$C$190)</f>
        <v/>
      </c>
      <c r="Z182" s="174" t="str">
        <f>IF(X182="","",CONCATENATE(Y182,"-",X182))</f>
        <v/>
      </c>
      <c r="AA182" s="134"/>
      <c r="AB182" s="117"/>
      <c r="AC182" s="118"/>
      <c r="AD182" s="119"/>
      <c r="AE182" s="108"/>
      <c r="AF182" s="193"/>
      <c r="AG182" s="148" t="str">
        <f t="shared" si="360"/>
        <v>не совпадает</v>
      </c>
      <c r="AH182" s="76"/>
      <c r="AI182" s="200" t="str">
        <f t="shared" si="329"/>
        <v/>
      </c>
      <c r="AJ182" s="201" t="str">
        <f t="shared" si="329"/>
        <v/>
      </c>
      <c r="AK182" s="202" t="str">
        <f t="shared" si="329"/>
        <v/>
      </c>
      <c r="AL182" s="230">
        <f t="shared" si="76"/>
        <v>0</v>
      </c>
      <c r="AM182" s="81"/>
      <c r="AN182" s="82"/>
      <c r="AO182" s="82"/>
      <c r="AP182" s="82"/>
      <c r="AQ182" s="82"/>
      <c r="AR182" s="82"/>
      <c r="AS182" s="140"/>
      <c r="AT182" s="1105"/>
      <c r="AU182" s="85"/>
      <c r="AV182" s="82"/>
      <c r="AW182" s="82"/>
      <c r="AX182" s="82" t="str">
        <f t="shared" si="285"/>
        <v/>
      </c>
      <c r="AY182" s="82"/>
      <c r="AZ182" s="140"/>
      <c r="BA182" s="140"/>
      <c r="BB182" s="140"/>
      <c r="BC182" s="218"/>
      <c r="BD182" s="140"/>
      <c r="BE182" s="140"/>
      <c r="BF182" s="140"/>
      <c r="BH182" s="76"/>
    </row>
    <row r="183" spans="1:60" s="120" customFormat="1" ht="12" customHeight="1">
      <c r="A183" s="120" t="str">
        <f t="shared" ref="A183" si="369">IF(C183="","",1)</f>
        <v/>
      </c>
      <c r="B183" s="294" t="str">
        <f>IF(A183="","",SUM($A$169:A183))</f>
        <v/>
      </c>
      <c r="C183" s="180"/>
      <c r="D183" s="318" t="str">
        <f t="shared" ref="D183" si="370">IF(AF183=0,"",AF183)</f>
        <v/>
      </c>
      <c r="E183" s="340"/>
      <c r="F183" s="295"/>
      <c r="G183" s="195"/>
      <c r="H183" s="296"/>
      <c r="I183" s="296"/>
      <c r="J183" s="296"/>
      <c r="K183" s="296"/>
      <c r="L183" s="296"/>
      <c r="M183" s="296"/>
      <c r="N183" s="296"/>
      <c r="O183" s="296"/>
      <c r="P183" s="246"/>
      <c r="Q183" s="302"/>
      <c r="R183" s="303"/>
      <c r="S183" s="304"/>
      <c r="T183" s="305"/>
      <c r="U183" s="128"/>
      <c r="V183" s="306"/>
      <c r="W183" s="307" t="str">
        <f>""&amp;V183&amp;" - "&amp;X183&amp;""</f>
        <v xml:space="preserve"> - </v>
      </c>
      <c r="X183" s="308"/>
      <c r="Y183" s="309" t="str">
        <f>IF(X183="","",$C$190)</f>
        <v/>
      </c>
      <c r="Z183" s="310" t="str">
        <f>IF(X183="","",CONCATENATE(Y183,": ",W183))</f>
        <v/>
      </c>
      <c r="AA183" s="134"/>
      <c r="AB183" s="170">
        <f>O183</f>
        <v>0</v>
      </c>
      <c r="AC183" s="171">
        <f>(I183+H183)</f>
        <v>0</v>
      </c>
      <c r="AD183" s="172">
        <f>K183</f>
        <v>0</v>
      </c>
      <c r="AE183" s="152">
        <f t="shared" ref="AE183" si="371">AB183+AC183+AD183</f>
        <v>0</v>
      </c>
      <c r="AF183" s="193"/>
      <c r="AG183" s="148" t="str">
        <f t="shared" si="360"/>
        <v>не совпадает</v>
      </c>
      <c r="AH183" s="76"/>
      <c r="AI183" s="200" t="str">
        <f t="shared" si="329"/>
        <v/>
      </c>
      <c r="AJ183" s="201" t="str">
        <f t="shared" si="329"/>
        <v/>
      </c>
      <c r="AK183" s="202" t="str">
        <f t="shared" si="329"/>
        <v/>
      </c>
      <c r="AL183" s="230">
        <f t="shared" si="76"/>
        <v>0</v>
      </c>
      <c r="AM183" s="81"/>
      <c r="AN183" s="82"/>
      <c r="AO183" s="82"/>
      <c r="AP183" s="82"/>
      <c r="AQ183" s="82"/>
      <c r="AR183" s="82"/>
      <c r="AS183" s="140"/>
      <c r="AT183" s="1105"/>
      <c r="AU183" s="85"/>
      <c r="AV183" s="82"/>
      <c r="AW183" s="82"/>
      <c r="AX183" s="82" t="str">
        <f t="shared" si="285"/>
        <v/>
      </c>
      <c r="AY183" s="82"/>
      <c r="AZ183" s="140"/>
      <c r="BA183" s="140"/>
      <c r="BB183" s="140"/>
      <c r="BC183" s="218"/>
      <c r="BD183" s="140"/>
      <c r="BE183" s="140"/>
      <c r="BF183" s="140"/>
      <c r="BH183" s="76"/>
    </row>
    <row r="184" spans="1:60" s="120" customFormat="1" ht="18.75" customHeight="1">
      <c r="B184" s="288" t="s">
        <v>2659</v>
      </c>
      <c r="C184" s="289" t="str">
        <f>"Всего по "&amp;$C$166&amp;" ("&amp;T184&amp;"):"</f>
        <v>Всего по Не льгота (ТП, КТП, МТП, СТП) (Свыше 1000 кВА):</v>
      </c>
      <c r="D184" s="289"/>
      <c r="E184" s="289"/>
      <c r="F184" s="290">
        <f>SUM(F185)</f>
        <v>0</v>
      </c>
      <c r="G184" s="291">
        <f t="shared" si="367"/>
        <v>0</v>
      </c>
      <c r="H184" s="291">
        <f t="shared" si="367"/>
        <v>0</v>
      </c>
      <c r="I184" s="291">
        <f t="shared" si="367"/>
        <v>0</v>
      </c>
      <c r="J184" s="291">
        <f t="shared" si="367"/>
        <v>0</v>
      </c>
      <c r="K184" s="291">
        <f t="shared" si="367"/>
        <v>0</v>
      </c>
      <c r="L184" s="291">
        <f>SUM(L185)</f>
        <v>0</v>
      </c>
      <c r="M184" s="291">
        <f>SUM(M185)</f>
        <v>0</v>
      </c>
      <c r="N184" s="291">
        <f t="shared" si="368"/>
        <v>0</v>
      </c>
      <c r="O184" s="291">
        <f t="shared" si="368"/>
        <v>0</v>
      </c>
      <c r="P184" s="291">
        <f t="shared" si="368"/>
        <v>0</v>
      </c>
      <c r="Q184" s="290">
        <f t="shared" si="368"/>
        <v>0</v>
      </c>
      <c r="R184" s="292"/>
      <c r="S184" s="292"/>
      <c r="T184" s="293" t="s">
        <v>2641</v>
      </c>
      <c r="U184" s="128"/>
      <c r="V184" s="128"/>
      <c r="W184" s="128"/>
      <c r="X184" s="76"/>
      <c r="Y184" s="128" t="str">
        <f>IF(X184="","",$C$190)</f>
        <v/>
      </c>
      <c r="Z184" s="174" t="str">
        <f>IF(X184="","",CONCATENATE(Y184,"-",X184))</f>
        <v/>
      </c>
      <c r="AA184" s="134"/>
      <c r="AB184" s="117"/>
      <c r="AC184" s="118"/>
      <c r="AD184" s="119"/>
      <c r="AE184" s="108"/>
      <c r="AF184" s="193"/>
      <c r="AG184" s="148" t="str">
        <f t="shared" si="360"/>
        <v>не совпадает</v>
      </c>
      <c r="AH184" s="76"/>
      <c r="AI184" s="200" t="str">
        <f t="shared" si="329"/>
        <v/>
      </c>
      <c r="AJ184" s="201" t="str">
        <f>IF(ISERROR(AC184/$AG184),"",AC184/$AG184)</f>
        <v/>
      </c>
      <c r="AK184" s="202" t="str">
        <f t="shared" si="329"/>
        <v/>
      </c>
      <c r="AL184" s="230">
        <f t="shared" si="76"/>
        <v>0</v>
      </c>
      <c r="AM184" s="81"/>
      <c r="AN184" s="82"/>
      <c r="AO184" s="82"/>
      <c r="AP184" s="82"/>
      <c r="AQ184" s="82"/>
      <c r="AR184" s="82"/>
      <c r="AS184" s="140"/>
      <c r="AT184" s="1105"/>
      <c r="AU184" s="85"/>
      <c r="AV184" s="82"/>
      <c r="AW184" s="82"/>
      <c r="AX184" s="82" t="str">
        <f t="shared" si="285"/>
        <v/>
      </c>
      <c r="AY184" s="82"/>
      <c r="AZ184" s="140"/>
      <c r="BA184" s="140"/>
      <c r="BB184" s="140"/>
      <c r="BC184" s="218"/>
      <c r="BD184" s="140"/>
      <c r="BE184" s="140"/>
      <c r="BF184" s="140"/>
      <c r="BH184" s="76"/>
    </row>
    <row r="185" spans="1:60" s="120" customFormat="1" ht="12" customHeight="1">
      <c r="A185" s="120" t="str">
        <f t="shared" ref="A185" si="372">IF(C185="","",1)</f>
        <v/>
      </c>
      <c r="B185" s="294" t="str">
        <f>IF(A185="","",SUM($A$169:A185))</f>
        <v/>
      </c>
      <c r="C185" s="180"/>
      <c r="D185" s="318" t="str">
        <f t="shared" ref="D185" si="373">IF(AF185=0,"",AF185)</f>
        <v/>
      </c>
      <c r="E185" s="340"/>
      <c r="F185" s="295"/>
      <c r="G185" s="195"/>
      <c r="H185" s="296"/>
      <c r="I185" s="296"/>
      <c r="J185" s="296"/>
      <c r="K185" s="296"/>
      <c r="L185" s="296"/>
      <c r="M185" s="296"/>
      <c r="N185" s="296"/>
      <c r="O185" s="296"/>
      <c r="P185" s="246"/>
      <c r="Q185" s="302"/>
      <c r="R185" s="303"/>
      <c r="S185" s="304"/>
      <c r="T185" s="305"/>
      <c r="U185" s="128"/>
      <c r="V185" s="306"/>
      <c r="W185" s="307" t="str">
        <f>""&amp;V185&amp;" - "&amp;X185&amp;""</f>
        <v xml:space="preserve"> - </v>
      </c>
      <c r="X185" s="308"/>
      <c r="Y185" s="309" t="str">
        <f>IF(X185="","",$C$190)</f>
        <v/>
      </c>
      <c r="Z185" s="310" t="str">
        <f>IF(X185="","",CONCATENATE(Y185,": ",W185))</f>
        <v/>
      </c>
      <c r="AA185" s="134"/>
      <c r="AB185" s="170">
        <f>O185</f>
        <v>0</v>
      </c>
      <c r="AC185" s="171">
        <f>(I185+H185)</f>
        <v>0</v>
      </c>
      <c r="AD185" s="172">
        <f>K185</f>
        <v>0</v>
      </c>
      <c r="AE185" s="152">
        <f t="shared" ref="AE185" si="374">AB185+AC185+AD185</f>
        <v>0</v>
      </c>
      <c r="AF185" s="193"/>
      <c r="AG185" s="148" t="str">
        <f t="shared" si="360"/>
        <v>не совпадает</v>
      </c>
      <c r="AH185" s="76"/>
      <c r="AI185" s="200" t="str">
        <f t="shared" si="329"/>
        <v/>
      </c>
      <c r="AJ185" s="201" t="str">
        <f t="shared" si="329"/>
        <v/>
      </c>
      <c r="AK185" s="202" t="str">
        <f t="shared" si="329"/>
        <v/>
      </c>
      <c r="AL185" s="230">
        <f t="shared" si="76"/>
        <v>0</v>
      </c>
      <c r="AM185" s="81"/>
      <c r="AN185" s="82"/>
      <c r="AO185" s="82"/>
      <c r="AP185" s="82"/>
      <c r="AQ185" s="82"/>
      <c r="AR185" s="82"/>
      <c r="AS185" s="140"/>
      <c r="AT185" s="1105"/>
      <c r="AU185" s="85"/>
      <c r="AV185" s="82"/>
      <c r="AW185" s="82"/>
      <c r="AX185" s="82" t="str">
        <f t="shared" si="285"/>
        <v/>
      </c>
      <c r="AY185" s="82"/>
      <c r="AZ185" s="140"/>
      <c r="BA185" s="140"/>
      <c r="BB185" s="140"/>
      <c r="BC185" s="218"/>
      <c r="BD185" s="140"/>
      <c r="BE185" s="140"/>
      <c r="BF185" s="140"/>
      <c r="BH185" s="76"/>
    </row>
    <row r="186" spans="1:60" s="120" customFormat="1" ht="18.75">
      <c r="B186" s="282" t="s">
        <v>2660</v>
      </c>
      <c r="C186" s="283" t="str">
        <f>""&amp;T186&amp;" ("&amp;$C$166&amp;")"</f>
        <v>Двухтрансф. (Не льгота (ТП, КТП, МТП, СТП))</v>
      </c>
      <c r="D186" s="284"/>
      <c r="E186" s="284"/>
      <c r="F186" s="285">
        <f>SUM(F187)</f>
        <v>0</v>
      </c>
      <c r="G186" s="125">
        <f t="shared" ref="G186" si="375">SUM(G187)</f>
        <v>0</v>
      </c>
      <c r="H186" s="125">
        <f>SUM(H187)</f>
        <v>0</v>
      </c>
      <c r="I186" s="125">
        <f t="shared" ref="I186:L186" si="376">SUM(I187)</f>
        <v>0</v>
      </c>
      <c r="J186" s="125">
        <f t="shared" si="376"/>
        <v>0</v>
      </c>
      <c r="K186" s="125">
        <f t="shared" si="376"/>
        <v>0</v>
      </c>
      <c r="L186" s="125">
        <f t="shared" si="376"/>
        <v>0</v>
      </c>
      <c r="M186" s="125">
        <f>SUM(M187)</f>
        <v>0</v>
      </c>
      <c r="N186" s="125">
        <f>SUM(N187)</f>
        <v>0</v>
      </c>
      <c r="O186" s="125">
        <f t="shared" ref="O186:Q186" si="377">SUM(O187)</f>
        <v>0</v>
      </c>
      <c r="P186" s="125">
        <f t="shared" si="377"/>
        <v>0</v>
      </c>
      <c r="Q186" s="285">
        <f t="shared" si="377"/>
        <v>0</v>
      </c>
      <c r="R186" s="319"/>
      <c r="S186" s="319"/>
      <c r="T186" s="287" t="s">
        <v>2643</v>
      </c>
      <c r="U186" s="128"/>
      <c r="V186" s="128"/>
      <c r="W186" s="128"/>
      <c r="X186" s="76"/>
      <c r="Y186" s="128" t="str">
        <f>IF(X186="","",$C$143)</f>
        <v/>
      </c>
      <c r="Z186" s="174" t="str">
        <f>IF(X186="","",CONCATENATE(Y186,"-",X186))</f>
        <v/>
      </c>
      <c r="AA186" s="134"/>
      <c r="AB186" s="117"/>
      <c r="AC186" s="118"/>
      <c r="AD186" s="119"/>
      <c r="AE186" s="108"/>
      <c r="AF186" s="193"/>
      <c r="AG186" s="148" t="str">
        <f t="shared" si="360"/>
        <v>не совпадает</v>
      </c>
      <c r="AH186" s="76"/>
      <c r="AI186" s="200" t="str">
        <f t="shared" si="329"/>
        <v/>
      </c>
      <c r="AJ186" s="201" t="str">
        <f t="shared" si="329"/>
        <v/>
      </c>
      <c r="AK186" s="202" t="str">
        <f t="shared" si="329"/>
        <v/>
      </c>
      <c r="AL186" s="230">
        <f t="shared" si="76"/>
        <v>0</v>
      </c>
      <c r="AM186" s="81"/>
      <c r="AN186" s="82"/>
      <c r="AO186" s="82"/>
      <c r="AP186" s="82"/>
      <c r="AQ186" s="82"/>
      <c r="AR186" s="82"/>
      <c r="AS186" s="140"/>
      <c r="AT186" s="1105"/>
      <c r="AU186" s="85"/>
      <c r="AV186" s="82"/>
      <c r="AW186" s="82"/>
      <c r="AX186" s="82" t="str">
        <f t="shared" si="285"/>
        <v/>
      </c>
      <c r="AY186" s="82"/>
      <c r="AZ186" s="140"/>
      <c r="BA186" s="140"/>
      <c r="BB186" s="140"/>
      <c r="BC186" s="218"/>
      <c r="BD186" s="140"/>
      <c r="BE186" s="140"/>
      <c r="BF186" s="140"/>
      <c r="BH186" s="76"/>
    </row>
    <row r="187" spans="1:60" s="120" customFormat="1" ht="12" customHeight="1">
      <c r="A187" s="120" t="str">
        <f t="shared" ref="A187" si="378">IF(C187="","",1)</f>
        <v/>
      </c>
      <c r="B187" s="341" t="str">
        <f>IF(A187="","",SUM($A$169:A187))</f>
        <v/>
      </c>
      <c r="C187" s="347"/>
      <c r="D187" s="158" t="str">
        <f t="shared" ref="D187" si="379">IF(AF187=0,"",AF187)</f>
        <v/>
      </c>
      <c r="E187" s="348"/>
      <c r="F187" s="349"/>
      <c r="G187" s="350"/>
      <c r="H187" s="351"/>
      <c r="I187" s="351"/>
      <c r="J187" s="351"/>
      <c r="K187" s="351"/>
      <c r="L187" s="351"/>
      <c r="M187" s="351"/>
      <c r="N187" s="351"/>
      <c r="O187" s="351"/>
      <c r="P187" s="352"/>
      <c r="Q187" s="302"/>
      <c r="R187" s="303"/>
      <c r="S187" s="304"/>
      <c r="T187" s="305"/>
      <c r="U187" s="128"/>
      <c r="V187" s="306"/>
      <c r="W187" s="307" t="str">
        <f>""&amp;V187&amp;" - "&amp;X187&amp;""</f>
        <v xml:space="preserve"> - </v>
      </c>
      <c r="X187" s="308"/>
      <c r="Y187" s="309" t="str">
        <f>IF(X187="","",$C$143)</f>
        <v/>
      </c>
      <c r="Z187" s="310" t="str">
        <f>IF(X187="","",CONCATENATE(Y187,": ",W187))</f>
        <v/>
      </c>
      <c r="AA187" s="134"/>
      <c r="AB187" s="170">
        <f>O187</f>
        <v>0</v>
      </c>
      <c r="AC187" s="171">
        <f>(I187+H187)</f>
        <v>0</v>
      </c>
      <c r="AD187" s="172">
        <f>K187</f>
        <v>0</v>
      </c>
      <c r="AE187" s="152">
        <f t="shared" ref="AE187" si="380">AB187+AC187+AD187</f>
        <v>0</v>
      </c>
      <c r="AF187" s="193"/>
      <c r="AG187" s="148" t="str">
        <f t="shared" si="360"/>
        <v>не совпадает</v>
      </c>
      <c r="AH187" s="76"/>
      <c r="AI187" s="200" t="str">
        <f t="shared" si="329"/>
        <v/>
      </c>
      <c r="AJ187" s="201" t="str">
        <f t="shared" si="329"/>
        <v/>
      </c>
      <c r="AK187" s="202" t="str">
        <f t="shared" si="329"/>
        <v/>
      </c>
      <c r="AL187" s="230">
        <f t="shared" si="76"/>
        <v>0</v>
      </c>
      <c r="AM187" s="81"/>
      <c r="AN187" s="82"/>
      <c r="AO187" s="82"/>
      <c r="AP187" s="82"/>
      <c r="AQ187" s="82"/>
      <c r="AR187" s="82"/>
      <c r="AS187" s="140"/>
      <c r="AT187" s="1105"/>
      <c r="AU187" s="85"/>
      <c r="AV187" s="82"/>
      <c r="AW187" s="82"/>
      <c r="AX187" s="82" t="str">
        <f t="shared" si="285"/>
        <v/>
      </c>
      <c r="AY187" s="82"/>
      <c r="AZ187" s="140"/>
      <c r="BA187" s="140"/>
      <c r="BB187" s="140"/>
      <c r="BC187" s="218"/>
      <c r="BD187" s="140"/>
      <c r="BE187" s="140"/>
      <c r="BF187" s="140"/>
      <c r="BH187" s="76"/>
    </row>
    <row r="188" spans="1:60" ht="18.75" customHeight="1">
      <c r="B188" s="277" t="s">
        <v>2661</v>
      </c>
      <c r="C188" s="277" t="s">
        <v>2662</v>
      </c>
      <c r="D188" s="278"/>
      <c r="E188" s="278"/>
      <c r="F188" s="279">
        <f>SUM(F189)</f>
        <v>0</v>
      </c>
      <c r="G188" s="280">
        <f t="shared" ref="G188:H188" si="381">SUM(G189)</f>
        <v>0</v>
      </c>
      <c r="H188" s="280">
        <f t="shared" si="381"/>
        <v>0</v>
      </c>
      <c r="I188" s="280">
        <f>SUM(I189)</f>
        <v>0</v>
      </c>
      <c r="J188" s="280">
        <f t="shared" ref="J188:L188" si="382">SUM(J189)</f>
        <v>0</v>
      </c>
      <c r="K188" s="280">
        <f>SUM(K189)</f>
        <v>0</v>
      </c>
      <c r="L188" s="280">
        <f t="shared" si="382"/>
        <v>0</v>
      </c>
      <c r="M188" s="280">
        <f>SUM(M189)</f>
        <v>0</v>
      </c>
      <c r="N188" s="280">
        <f t="shared" ref="N188:Q188" si="383">SUM(N189)</f>
        <v>0</v>
      </c>
      <c r="O188" s="280">
        <f t="shared" si="383"/>
        <v>0</v>
      </c>
      <c r="P188" s="280">
        <f>SUM(P189)</f>
        <v>0</v>
      </c>
      <c r="Q188" s="279">
        <f t="shared" si="383"/>
        <v>0</v>
      </c>
      <c r="R188" s="278"/>
      <c r="S188" s="278"/>
      <c r="T188" s="281"/>
      <c r="X188" s="128"/>
      <c r="Y188" s="128" t="str">
        <f>IF(X188="","",$C$145)</f>
        <v/>
      </c>
      <c r="Z188" s="174" t="str">
        <f>IF(X188="","",CONCATENATE(Y188,"-",X188))</f>
        <v/>
      </c>
      <c r="AA188" s="134"/>
      <c r="AB188" s="117"/>
      <c r="AC188" s="118"/>
      <c r="AD188" s="119"/>
      <c r="AE188" s="108"/>
      <c r="AF188" s="139"/>
      <c r="AG188" s="148" t="str">
        <f t="shared" si="360"/>
        <v>не совпадает</v>
      </c>
      <c r="AI188" s="149" t="str">
        <f t="shared" si="329"/>
        <v/>
      </c>
      <c r="AJ188" s="150" t="str">
        <f t="shared" si="329"/>
        <v/>
      </c>
      <c r="AK188" s="151" t="str">
        <f t="shared" si="329"/>
        <v/>
      </c>
      <c r="AL188" s="152">
        <f t="shared" si="76"/>
        <v>0</v>
      </c>
      <c r="AR188" s="82"/>
      <c r="AT188" s="1105"/>
      <c r="AX188" s="82" t="str">
        <f t="shared" si="285"/>
        <v/>
      </c>
    </row>
    <row r="189" spans="1:60" s="120" customFormat="1" ht="18.75">
      <c r="A189" s="120" t="str">
        <f t="shared" ref="A189" si="384">IF(C189="","",1)</f>
        <v/>
      </c>
      <c r="B189" s="320" t="str">
        <f>IF(A189="","",SUM($A$189:A189))</f>
        <v/>
      </c>
      <c r="C189" s="321"/>
      <c r="D189" s="158" t="str">
        <f t="shared" ref="D189" si="385">IF(AF189=0,"",AF189)</f>
        <v/>
      </c>
      <c r="E189" s="321"/>
      <c r="F189" s="322"/>
      <c r="G189" s="323"/>
      <c r="H189" s="324"/>
      <c r="I189" s="324"/>
      <c r="J189" s="324"/>
      <c r="K189" s="324"/>
      <c r="L189" s="324"/>
      <c r="M189" s="324"/>
      <c r="N189" s="324"/>
      <c r="O189" s="324"/>
      <c r="P189" s="324"/>
      <c r="Q189" s="325"/>
      <c r="R189" s="303"/>
      <c r="S189" s="304"/>
      <c r="T189" s="305"/>
      <c r="U189" s="128"/>
      <c r="V189" s="306"/>
      <c r="W189" s="307" t="str">
        <f>""&amp;V189&amp;" - "&amp;X189&amp;""</f>
        <v xml:space="preserve"> - </v>
      </c>
      <c r="X189" s="308"/>
      <c r="Y189" s="309" t="str">
        <f>IF(X189="","",$C$145)</f>
        <v/>
      </c>
      <c r="Z189" s="310" t="str">
        <f>IF(X189="","",CONCATENATE(Y189,": ",W189))</f>
        <v/>
      </c>
      <c r="AA189" s="134"/>
      <c r="AB189" s="117"/>
      <c r="AC189" s="118"/>
      <c r="AD189" s="119"/>
      <c r="AE189" s="108"/>
      <c r="AF189" s="193"/>
      <c r="AG189" s="148" t="str">
        <f t="shared" si="360"/>
        <v>не совпадает</v>
      </c>
      <c r="AH189" s="76"/>
      <c r="AI189" s="200" t="str">
        <f t="shared" si="329"/>
        <v/>
      </c>
      <c r="AJ189" s="201" t="str">
        <f t="shared" si="329"/>
        <v/>
      </c>
      <c r="AK189" s="202" t="str">
        <f t="shared" si="329"/>
        <v/>
      </c>
      <c r="AL189" s="230">
        <f t="shared" si="76"/>
        <v>0</v>
      </c>
      <c r="AM189" s="81"/>
      <c r="AN189" s="82"/>
      <c r="AO189" s="82"/>
      <c r="AP189" s="82"/>
      <c r="AQ189" s="82"/>
      <c r="AR189" s="82"/>
      <c r="AS189" s="140"/>
      <c r="AT189" s="1105"/>
      <c r="AU189" s="85"/>
      <c r="AV189" s="82"/>
      <c r="AW189" s="82"/>
      <c r="AX189" s="82" t="str">
        <f t="shared" si="285"/>
        <v/>
      </c>
      <c r="AY189" s="82"/>
      <c r="AZ189" s="140"/>
      <c r="BA189" s="140"/>
      <c r="BB189" s="140"/>
      <c r="BC189" s="218"/>
      <c r="BD189" s="140"/>
      <c r="BE189" s="140"/>
      <c r="BF189" s="140"/>
      <c r="BH189" s="76"/>
    </row>
    <row r="190" spans="1:60" ht="18.75">
      <c r="B190" s="326">
        <f>MAX(B169:B172,B174:B176,B178,B180:B181,B183,B185,B187,B189)</f>
        <v>3</v>
      </c>
      <c r="C190" s="204" t="str">
        <f>"ИТОГО "&amp;$C$143&amp;" (НЕ ЛЬГОТА):"</f>
        <v>ИТОГО Трансф. подстанции до 35 кВ (НЕ ЛЬГОТА):</v>
      </c>
      <c r="D190" s="204"/>
      <c r="E190" s="204"/>
      <c r="F190" s="327">
        <f>SUM(F166,F188)</f>
        <v>0</v>
      </c>
      <c r="G190" s="328">
        <f>SUM(G166,G188)</f>
        <v>42.5</v>
      </c>
      <c r="H190" s="328">
        <f t="shared" ref="H190:Q190" si="386">SUM(H166,H188)</f>
        <v>0</v>
      </c>
      <c r="I190" s="328">
        <f t="shared" si="386"/>
        <v>0</v>
      </c>
      <c r="J190" s="328">
        <f t="shared" si="386"/>
        <v>0</v>
      </c>
      <c r="K190" s="328">
        <f t="shared" si="386"/>
        <v>69.298760000000001</v>
      </c>
      <c r="L190" s="328">
        <f t="shared" si="386"/>
        <v>0</v>
      </c>
      <c r="M190" s="328">
        <f t="shared" si="386"/>
        <v>0</v>
      </c>
      <c r="N190" s="328">
        <f t="shared" si="386"/>
        <v>0</v>
      </c>
      <c r="O190" s="328">
        <f>SUM(O166,O188)</f>
        <v>613.78594999999996</v>
      </c>
      <c r="P190" s="328">
        <f>SUM(P166,P188)</f>
        <v>683084.71</v>
      </c>
      <c r="Q190" s="327">
        <f t="shared" si="386"/>
        <v>3</v>
      </c>
      <c r="R190" s="329"/>
      <c r="S190" s="329"/>
      <c r="T190" s="329"/>
      <c r="U190" s="353"/>
      <c r="V190" s="353"/>
      <c r="W190" s="353"/>
      <c r="Y190" s="128" t="str">
        <f t="shared" ref="Y190" si="387">IF(X190="","",$C$166)</f>
        <v/>
      </c>
      <c r="Z190" s="128" t="str">
        <f t="shared" si="280"/>
        <v/>
      </c>
      <c r="AA190" s="134"/>
      <c r="AB190" s="354"/>
      <c r="AC190" s="355"/>
      <c r="AD190" s="356"/>
      <c r="AE190" s="357"/>
      <c r="AF190" s="358"/>
      <c r="AG190" s="148" t="str">
        <f t="shared" si="360"/>
        <v>не совпадает</v>
      </c>
      <c r="AI190" s="359" t="str">
        <f t="shared" si="329"/>
        <v/>
      </c>
      <c r="AJ190" s="360" t="str">
        <f t="shared" si="329"/>
        <v/>
      </c>
      <c r="AK190" s="361" t="str">
        <f t="shared" si="329"/>
        <v/>
      </c>
      <c r="AL190" s="362">
        <f t="shared" si="76"/>
        <v>0</v>
      </c>
      <c r="AR190" s="82"/>
      <c r="AT190" s="1105"/>
      <c r="AX190" s="82" t="str">
        <f t="shared" si="285"/>
        <v/>
      </c>
    </row>
    <row r="191" spans="1:60">
      <c r="F191" s="260"/>
      <c r="X191" s="76">
        <f>COUNTIF($X$8:$X$190,X171)</f>
        <v>25</v>
      </c>
      <c r="Y191" s="363">
        <f>X191/$X$202</f>
        <v>0.5</v>
      </c>
      <c r="Z191" s="272"/>
      <c r="AR191" s="82"/>
      <c r="AS191" s="85"/>
      <c r="AT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</row>
    <row r="192" spans="1:60">
      <c r="F192" s="260"/>
      <c r="Y192" s="363"/>
      <c r="Z192" s="272"/>
      <c r="AR192" s="82"/>
      <c r="AS192" s="85"/>
      <c r="AT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</row>
    <row r="193" spans="2:58">
      <c r="F193" s="260"/>
      <c r="Y193" s="363"/>
      <c r="Z193" s="272"/>
      <c r="AR193" s="82"/>
      <c r="AS193" s="85"/>
      <c r="AT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</row>
    <row r="194" spans="2:58" ht="18.75">
      <c r="C194" s="1117" t="s">
        <v>3351</v>
      </c>
      <c r="D194" s="1118"/>
      <c r="E194" s="1118"/>
      <c r="F194" s="1118"/>
      <c r="G194" s="1119"/>
      <c r="H194" s="1119"/>
      <c r="I194" s="1118"/>
      <c r="J194" s="1118"/>
      <c r="K194" s="1118"/>
      <c r="L194" s="1117"/>
      <c r="P194" s="272"/>
      <c r="Q194" s="1117" t="s">
        <v>3352</v>
      </c>
      <c r="Y194" s="363"/>
      <c r="Z194" s="272"/>
      <c r="AR194" s="82"/>
      <c r="AS194" s="85"/>
      <c r="AT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</row>
    <row r="195" spans="2:58" ht="15.75">
      <c r="C195" s="1121"/>
      <c r="D195" s="1121"/>
      <c r="E195" s="1121"/>
      <c r="F195" s="1122"/>
      <c r="G195" s="272"/>
      <c r="P195" s="272"/>
      <c r="Y195" s="363"/>
      <c r="Z195" s="272"/>
      <c r="AR195" s="82"/>
      <c r="AS195" s="85"/>
      <c r="AT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</row>
    <row r="196" spans="2:58" ht="15.75">
      <c r="C196" s="1121"/>
      <c r="D196" s="1121"/>
      <c r="E196" s="1121"/>
      <c r="F196" s="1122"/>
      <c r="G196" s="272"/>
      <c r="P196" s="272"/>
      <c r="Y196" s="363"/>
      <c r="Z196" s="272"/>
      <c r="AR196" s="82"/>
      <c r="AS196" s="85"/>
      <c r="AT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</row>
    <row r="197" spans="2:58" ht="18.75">
      <c r="C197" s="2449" t="s">
        <v>3954</v>
      </c>
      <c r="D197" s="2450"/>
      <c r="E197" s="1123"/>
      <c r="F197" s="1124"/>
      <c r="G197" s="272"/>
      <c r="P197" s="272"/>
      <c r="Q197" s="1117" t="s">
        <v>3955</v>
      </c>
      <c r="Y197" s="363"/>
      <c r="Z197" s="272"/>
      <c r="AR197" s="82"/>
      <c r="AS197" s="85"/>
      <c r="AT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</row>
    <row r="198" spans="2:58">
      <c r="F198" s="260"/>
      <c r="Y198" s="363"/>
      <c r="Z198" s="272"/>
      <c r="AR198" s="82"/>
      <c r="AS198" s="85"/>
      <c r="AT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</row>
    <row r="199" spans="2:58">
      <c r="F199" s="260"/>
      <c r="Y199" s="363"/>
      <c r="Z199" s="272"/>
      <c r="AI199" s="364">
        <f>SUM(AI9:AI190)</f>
        <v>2540.3568315169691</v>
      </c>
      <c r="AJ199" s="364">
        <f>SUM(AJ9:AJ190)</f>
        <v>0</v>
      </c>
      <c r="AK199" s="364">
        <f>SUM(AK9:AK190)</f>
        <v>782.01936077203618</v>
      </c>
      <c r="AL199" s="365">
        <f>SUM(AL9:AL190)</f>
        <v>3322.3761922890053</v>
      </c>
      <c r="AR199" s="82"/>
      <c r="AS199" s="85"/>
      <c r="AT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</row>
    <row r="200" spans="2:58">
      <c r="F200" s="260"/>
      <c r="Q200" s="366"/>
      <c r="Y200" s="363"/>
      <c r="Z200" s="272"/>
      <c r="AR200" s="82"/>
      <c r="AS200" s="85"/>
      <c r="AT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</row>
    <row r="201" spans="2:58" ht="15.75">
      <c r="B201" s="367">
        <f>B54</f>
        <v>30</v>
      </c>
      <c r="C201" s="368" t="str">
        <f>"до 15 кВт ВЛ-0,4 льгот - "&amp;B201&amp;" шт."</f>
        <v>до 15 кВт ВЛ-0,4 льгот - 30 шт.</v>
      </c>
      <c r="D201" s="368"/>
      <c r="E201" s="368"/>
      <c r="F201" s="369">
        <f>F54</f>
        <v>3.0420000000000007</v>
      </c>
      <c r="G201" s="369">
        <f t="shared" ref="G201:P201" si="388">G54</f>
        <v>222.37000000000003</v>
      </c>
      <c r="H201" s="369">
        <f t="shared" si="388"/>
        <v>0</v>
      </c>
      <c r="I201" s="369">
        <f t="shared" si="388"/>
        <v>0</v>
      </c>
      <c r="J201" s="369">
        <f t="shared" si="388"/>
        <v>0</v>
      </c>
      <c r="K201" s="369">
        <f t="shared" si="388"/>
        <v>825.62225000000012</v>
      </c>
      <c r="L201" s="369">
        <f t="shared" si="388"/>
        <v>0</v>
      </c>
      <c r="M201" s="369">
        <f t="shared" si="388"/>
        <v>0</v>
      </c>
      <c r="N201" s="369">
        <f t="shared" si="388"/>
        <v>0</v>
      </c>
      <c r="O201" s="369">
        <f t="shared" si="388"/>
        <v>1535.1416499999998</v>
      </c>
      <c r="P201" s="369">
        <f t="shared" si="388"/>
        <v>2360763.9</v>
      </c>
      <c r="Q201" s="371"/>
      <c r="X201" s="76">
        <f>COUNTIF($X$8:$X$190,X170)</f>
        <v>25</v>
      </c>
      <c r="Y201" s="363">
        <f>X201/$X$202</f>
        <v>0.5</v>
      </c>
      <c r="Z201" s="272"/>
      <c r="AI201" s="372">
        <f>SUM(AI11:AI53)</f>
        <v>371.24260490045049</v>
      </c>
      <c r="AJ201" s="373">
        <f>SUM(AJ11:AJ53)</f>
        <v>0</v>
      </c>
      <c r="AK201" s="374">
        <f>SUM(AK11:AK53)</f>
        <v>198.38544202296595</v>
      </c>
      <c r="AL201" s="375">
        <f>SUM(AL11:AL53)</f>
        <v>569.62804692341649</v>
      </c>
      <c r="AM201" s="81" t="e">
        <f>SUM(AL201:AL208)/1000</f>
        <v>#REF!</v>
      </c>
      <c r="AR201" s="82"/>
      <c r="AS201" s="85"/>
      <c r="AT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</row>
    <row r="202" spans="2:58" ht="15.75">
      <c r="B202" s="367">
        <f>B68</f>
        <v>4</v>
      </c>
      <c r="C202" s="368" t="str">
        <f>"до 15 кВт ВЛ-10 льгот - "&amp;B202&amp;" шт."</f>
        <v>до 15 кВт ВЛ-10 льгот - 4 шт.</v>
      </c>
      <c r="D202" s="368"/>
      <c r="E202" s="368"/>
      <c r="F202" s="369">
        <f>F68</f>
        <v>0.73299999999999998</v>
      </c>
      <c r="G202" s="369">
        <f t="shared" ref="G202:P202" si="389">G68</f>
        <v>47</v>
      </c>
      <c r="H202" s="369">
        <f t="shared" si="389"/>
        <v>0</v>
      </c>
      <c r="I202" s="369">
        <f t="shared" si="389"/>
        <v>0</v>
      </c>
      <c r="J202" s="369">
        <f t="shared" si="389"/>
        <v>0</v>
      </c>
      <c r="K202" s="369">
        <f t="shared" si="389"/>
        <v>233.36069000000001</v>
      </c>
      <c r="L202" s="369">
        <f t="shared" si="389"/>
        <v>0</v>
      </c>
      <c r="M202" s="369">
        <f t="shared" si="389"/>
        <v>0</v>
      </c>
      <c r="N202" s="369">
        <f t="shared" si="389"/>
        <v>0</v>
      </c>
      <c r="O202" s="369">
        <f t="shared" si="389"/>
        <v>310.99197000000004</v>
      </c>
      <c r="P202" s="369">
        <f t="shared" si="389"/>
        <v>648306.92999999993</v>
      </c>
      <c r="Q202" s="371"/>
      <c r="X202" s="76">
        <f>X191+X201</f>
        <v>50</v>
      </c>
      <c r="Z202" s="272"/>
      <c r="AI202" s="376">
        <f>SUM(AI60:AI61)</f>
        <v>0</v>
      </c>
      <c r="AJ202" s="377">
        <f>SUM(AJ60:AJ61)</f>
        <v>0</v>
      </c>
      <c r="AK202" s="378">
        <f>SUM(AK60:AK61)</f>
        <v>0</v>
      </c>
      <c r="AL202" s="379">
        <f>SUM(AL60:AL61)</f>
        <v>0</v>
      </c>
      <c r="AR202" s="82"/>
      <c r="AS202" s="85"/>
      <c r="AT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</row>
    <row r="203" spans="2:58" ht="15.75">
      <c r="B203" s="367">
        <f>B86</f>
        <v>4</v>
      </c>
      <c r="C203" s="368" t="str">
        <f>"до 15 кВт ВЛ-0,4 не льгот - "&amp;B203&amp;" шт."</f>
        <v>до 15 кВт ВЛ-0,4 не льгот - 4 шт.</v>
      </c>
      <c r="D203" s="368"/>
      <c r="E203" s="368"/>
      <c r="F203" s="369">
        <f>F86</f>
        <v>0.31000000000000005</v>
      </c>
      <c r="G203" s="369">
        <f t="shared" ref="G203:P203" si="390">G86</f>
        <v>33.5</v>
      </c>
      <c r="H203" s="369">
        <f t="shared" si="390"/>
        <v>0</v>
      </c>
      <c r="I203" s="369">
        <f t="shared" si="390"/>
        <v>0</v>
      </c>
      <c r="J203" s="369">
        <f t="shared" si="390"/>
        <v>0</v>
      </c>
      <c r="K203" s="369">
        <f t="shared" si="390"/>
        <v>139.94152</v>
      </c>
      <c r="L203" s="369">
        <f t="shared" si="390"/>
        <v>0</v>
      </c>
      <c r="M203" s="369">
        <f t="shared" si="390"/>
        <v>0</v>
      </c>
      <c r="N203" s="369">
        <f t="shared" si="390"/>
        <v>0</v>
      </c>
      <c r="O203" s="369">
        <f t="shared" si="390"/>
        <v>98.110600000000005</v>
      </c>
      <c r="P203" s="369">
        <f t="shared" si="390"/>
        <v>238052.12</v>
      </c>
      <c r="Q203" s="371"/>
      <c r="Z203" s="272"/>
      <c r="AI203" s="376" t="e">
        <f>SUM(#REF!)</f>
        <v>#REF!</v>
      </c>
      <c r="AJ203" s="377" t="e">
        <f>SUM(#REF!)</f>
        <v>#REF!</v>
      </c>
      <c r="AK203" s="378" t="e">
        <f>SUM(#REF!)</f>
        <v>#REF!</v>
      </c>
      <c r="AL203" s="379" t="e">
        <f>SUM(#REF!)</f>
        <v>#REF!</v>
      </c>
      <c r="AR203" s="82"/>
      <c r="AS203" s="85"/>
      <c r="AT203" s="380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</row>
    <row r="204" spans="2:58" ht="15.75">
      <c r="B204" s="367">
        <f>B98</f>
        <v>5</v>
      </c>
      <c r="C204" s="368" t="str">
        <f>"до 15 кВт ВЛ-10 не льгот - "&amp;B204&amp;" шт."</f>
        <v>до 15 кВт ВЛ-10 не льгот - 5 шт.</v>
      </c>
      <c r="D204" s="368"/>
      <c r="E204" s="368"/>
      <c r="F204" s="369">
        <f>F98</f>
        <v>12.27</v>
      </c>
      <c r="G204" s="369">
        <f t="shared" ref="G204:P204" si="391">G98</f>
        <v>32.200000000000003</v>
      </c>
      <c r="H204" s="369">
        <f t="shared" si="391"/>
        <v>0</v>
      </c>
      <c r="I204" s="369">
        <f t="shared" si="391"/>
        <v>0</v>
      </c>
      <c r="J204" s="369">
        <f t="shared" si="391"/>
        <v>0</v>
      </c>
      <c r="K204" s="369">
        <f t="shared" si="391"/>
        <v>1398.8308400000001</v>
      </c>
      <c r="L204" s="369">
        <f t="shared" si="391"/>
        <v>0</v>
      </c>
      <c r="M204" s="369">
        <f t="shared" si="391"/>
        <v>0</v>
      </c>
      <c r="N204" s="369">
        <f t="shared" si="391"/>
        <v>0</v>
      </c>
      <c r="O204" s="369">
        <f t="shared" si="391"/>
        <v>5887.8656300000002</v>
      </c>
      <c r="P204" s="369">
        <f t="shared" si="391"/>
        <v>7286696.4699999997</v>
      </c>
      <c r="Q204" s="371"/>
      <c r="Z204" s="272"/>
      <c r="AI204" s="376">
        <f>SUM(AI90:AI91)</f>
        <v>0</v>
      </c>
      <c r="AJ204" s="377">
        <f>SUM(AJ90:AJ91)</f>
        <v>0</v>
      </c>
      <c r="AK204" s="378">
        <f>SUM(AK90:AK91)</f>
        <v>0</v>
      </c>
      <c r="AL204" s="379">
        <f>SUM(AL90:AL91)</f>
        <v>0</v>
      </c>
      <c r="AR204" s="82"/>
      <c r="AS204" s="85"/>
      <c r="AT204" s="380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</row>
    <row r="205" spans="2:58" ht="15.75">
      <c r="B205" s="367">
        <f>B111</f>
        <v>2</v>
      </c>
      <c r="C205" s="368" t="str">
        <f>"от 15 до 150 кВт 0,4 кВ не льгот - "&amp;B205&amp;" шт."</f>
        <v>от 15 до 150 кВт 0,4 кВ не льгот - 2 шт.</v>
      </c>
      <c r="D205" s="368"/>
      <c r="E205" s="368"/>
      <c r="F205" s="369">
        <f>F111</f>
        <v>0.37</v>
      </c>
      <c r="G205" s="369">
        <f t="shared" ref="G205:P205" si="392">G111</f>
        <v>86.97999999999999</v>
      </c>
      <c r="H205" s="369">
        <f t="shared" si="392"/>
        <v>0</v>
      </c>
      <c r="I205" s="369">
        <f t="shared" si="392"/>
        <v>0</v>
      </c>
      <c r="J205" s="369">
        <f t="shared" si="392"/>
        <v>0</v>
      </c>
      <c r="K205" s="369">
        <f t="shared" si="392"/>
        <v>233.04389000000003</v>
      </c>
      <c r="L205" s="369">
        <f t="shared" si="392"/>
        <v>0</v>
      </c>
      <c r="M205" s="369">
        <f t="shared" si="392"/>
        <v>0</v>
      </c>
      <c r="N205" s="369">
        <f t="shared" si="392"/>
        <v>0</v>
      </c>
      <c r="O205" s="369">
        <f t="shared" si="392"/>
        <v>158.34092999999999</v>
      </c>
      <c r="P205" s="369">
        <f t="shared" si="392"/>
        <v>391384.82</v>
      </c>
      <c r="Q205" s="371"/>
      <c r="Z205" s="272"/>
      <c r="AI205" s="376">
        <f>SUM(AI109:AI110)</f>
        <v>0</v>
      </c>
      <c r="AJ205" s="377">
        <f>SUM(AJ109:AJ110)</f>
        <v>0</v>
      </c>
      <c r="AK205" s="378">
        <f>SUM(AK109:AK110)</f>
        <v>0</v>
      </c>
      <c r="AL205" s="379">
        <f>SUM(AL109:AL110)</f>
        <v>0</v>
      </c>
      <c r="AR205" s="82"/>
      <c r="AS205" s="85"/>
      <c r="AT205" s="380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</row>
    <row r="206" spans="2:58" ht="15.75">
      <c r="B206" s="367">
        <f>B123</f>
        <v>3</v>
      </c>
      <c r="C206" s="368" t="str">
        <f>"от 15 до 150 кВт 6-20 кВ не льгот - "&amp;B206&amp;" шт."</f>
        <v>от 15 до 150 кВт 6-20 кВ не льгот - 3 шт.</v>
      </c>
      <c r="D206" s="368"/>
      <c r="E206" s="368"/>
      <c r="F206" s="369">
        <f>F123</f>
        <v>3.6450000000000005</v>
      </c>
      <c r="G206" s="369">
        <f t="shared" ref="G206:P206" si="393">G123</f>
        <v>81</v>
      </c>
      <c r="H206" s="369">
        <f t="shared" si="393"/>
        <v>0</v>
      </c>
      <c r="I206" s="369">
        <f t="shared" si="393"/>
        <v>0</v>
      </c>
      <c r="J206" s="369">
        <f t="shared" si="393"/>
        <v>0</v>
      </c>
      <c r="K206" s="369">
        <f t="shared" si="393"/>
        <v>351.64981</v>
      </c>
      <c r="L206" s="369">
        <f t="shared" si="393"/>
        <v>0</v>
      </c>
      <c r="M206" s="369">
        <f t="shared" si="393"/>
        <v>0</v>
      </c>
      <c r="N206" s="369">
        <f t="shared" si="393"/>
        <v>0</v>
      </c>
      <c r="O206" s="369">
        <f t="shared" si="393"/>
        <v>1931.7206900000001</v>
      </c>
      <c r="P206" s="369">
        <f t="shared" si="393"/>
        <v>2283370.5</v>
      </c>
      <c r="Q206" s="371"/>
      <c r="Z206" s="272"/>
      <c r="AI206" s="376">
        <f>SUM(AI115:AI120)</f>
        <v>464.98219380378657</v>
      </c>
      <c r="AJ206" s="377">
        <f>SUM(AJ115:AJ120)</f>
        <v>0</v>
      </c>
      <c r="AK206" s="378">
        <f>SUM(AK115:AK120)</f>
        <v>84.485435283993098</v>
      </c>
      <c r="AL206" s="379">
        <f>SUM(AL115:AL120)</f>
        <v>549.46762908777964</v>
      </c>
      <c r="AR206" s="82"/>
      <c r="AS206" s="85"/>
      <c r="AT206" s="380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</row>
    <row r="207" spans="2:58" ht="15.75">
      <c r="B207" s="367">
        <f>B129</f>
        <v>0</v>
      </c>
      <c r="C207" s="368" t="str">
        <f>"от 150 до 670 кВт 0,4 кВ - "&amp;B207&amp;" шт."</f>
        <v>от 150 до 670 кВт 0,4 кВ - 0 шт.</v>
      </c>
      <c r="D207" s="368"/>
      <c r="E207" s="368"/>
      <c r="F207" s="369">
        <f>F129</f>
        <v>0</v>
      </c>
      <c r="G207" s="369">
        <f t="shared" ref="G207:P207" si="394">G129</f>
        <v>0</v>
      </c>
      <c r="H207" s="369">
        <f t="shared" si="394"/>
        <v>0</v>
      </c>
      <c r="I207" s="369">
        <f t="shared" si="394"/>
        <v>0</v>
      </c>
      <c r="J207" s="369">
        <f t="shared" si="394"/>
        <v>0</v>
      </c>
      <c r="K207" s="369">
        <f t="shared" si="394"/>
        <v>0</v>
      </c>
      <c r="L207" s="369">
        <f t="shared" si="394"/>
        <v>0</v>
      </c>
      <c r="M207" s="369">
        <f t="shared" si="394"/>
        <v>0</v>
      </c>
      <c r="N207" s="369">
        <f t="shared" si="394"/>
        <v>0</v>
      </c>
      <c r="O207" s="369">
        <f t="shared" si="394"/>
        <v>0</v>
      </c>
      <c r="P207" s="369">
        <f t="shared" si="394"/>
        <v>0</v>
      </c>
      <c r="Q207" s="371"/>
      <c r="Z207" s="272"/>
      <c r="AI207" s="376">
        <f>SUM(AI127:AI128)</f>
        <v>0</v>
      </c>
      <c r="AJ207" s="377">
        <f t="shared" ref="AJ207:AL207" si="395">SUM(AJ127:AJ128)</f>
        <v>0</v>
      </c>
      <c r="AK207" s="378">
        <f t="shared" si="395"/>
        <v>0</v>
      </c>
      <c r="AL207" s="379">
        <f t="shared" si="395"/>
        <v>0</v>
      </c>
      <c r="AR207" s="82"/>
      <c r="AS207" s="85"/>
      <c r="AT207" s="380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</row>
    <row r="208" spans="2:58" ht="15.75">
      <c r="B208" s="367">
        <f>B135</f>
        <v>0</v>
      </c>
      <c r="C208" s="368" t="str">
        <f>"от 150 до 670 кВт 6-20кВ - "&amp;B208&amp;" шт."</f>
        <v>от 150 до 670 кВт 6-20кВ - 0 шт.</v>
      </c>
      <c r="D208" s="368"/>
      <c r="E208" s="368"/>
      <c r="F208" s="369">
        <f>F135</f>
        <v>0</v>
      </c>
      <c r="G208" s="369">
        <f t="shared" ref="G208:P208" si="396">G135</f>
        <v>0</v>
      </c>
      <c r="H208" s="369">
        <f t="shared" si="396"/>
        <v>0</v>
      </c>
      <c r="I208" s="369">
        <f t="shared" si="396"/>
        <v>0</v>
      </c>
      <c r="J208" s="369">
        <f t="shared" si="396"/>
        <v>0</v>
      </c>
      <c r="K208" s="369">
        <f t="shared" si="396"/>
        <v>0</v>
      </c>
      <c r="L208" s="369">
        <f t="shared" si="396"/>
        <v>0</v>
      </c>
      <c r="M208" s="369">
        <f t="shared" si="396"/>
        <v>0</v>
      </c>
      <c r="N208" s="369">
        <f t="shared" si="396"/>
        <v>0</v>
      </c>
      <c r="O208" s="369">
        <f t="shared" si="396"/>
        <v>0</v>
      </c>
      <c r="P208" s="369">
        <f t="shared" si="396"/>
        <v>0</v>
      </c>
      <c r="Q208" s="371"/>
      <c r="Z208" s="272"/>
      <c r="AI208" s="381">
        <f>SUM(AI133:AI134)</f>
        <v>0</v>
      </c>
      <c r="AJ208" s="382">
        <f t="shared" ref="AJ208:AL208" si="397">SUM(AJ133:AJ134)</f>
        <v>0</v>
      </c>
      <c r="AK208" s="383">
        <f t="shared" si="397"/>
        <v>0</v>
      </c>
      <c r="AL208" s="384">
        <f t="shared" si="397"/>
        <v>0</v>
      </c>
      <c r="AR208" s="82"/>
      <c r="AS208" s="85"/>
      <c r="AT208" s="380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</row>
    <row r="209" spans="1:16165" ht="15.75">
      <c r="B209" s="385">
        <f>B165</f>
        <v>0</v>
      </c>
      <c r="C209" s="368" t="str">
        <f>"ТП, КТП, СТП льгот. - "&amp;B209&amp;" шт."</f>
        <v>ТП, КТП, СТП льгот. - 0 шт.</v>
      </c>
      <c r="D209" s="368"/>
      <c r="E209" s="368"/>
      <c r="F209" s="370">
        <f>F165</f>
        <v>0</v>
      </c>
      <c r="G209" s="370">
        <f t="shared" ref="G209:P209" si="398">G165</f>
        <v>0</v>
      </c>
      <c r="H209" s="370">
        <f t="shared" si="398"/>
        <v>0</v>
      </c>
      <c r="I209" s="370">
        <f t="shared" si="398"/>
        <v>0</v>
      </c>
      <c r="J209" s="370">
        <f t="shared" si="398"/>
        <v>0</v>
      </c>
      <c r="K209" s="370">
        <f t="shared" si="398"/>
        <v>0</v>
      </c>
      <c r="L209" s="370">
        <f t="shared" si="398"/>
        <v>0</v>
      </c>
      <c r="M209" s="370">
        <f t="shared" si="398"/>
        <v>0</v>
      </c>
      <c r="N209" s="370">
        <f t="shared" si="398"/>
        <v>0</v>
      </c>
      <c r="O209" s="370">
        <f t="shared" si="398"/>
        <v>0</v>
      </c>
      <c r="P209" s="370">
        <f t="shared" si="398"/>
        <v>0</v>
      </c>
      <c r="Q209" s="386">
        <f>Q165</f>
        <v>0</v>
      </c>
      <c r="Z209" s="272"/>
      <c r="AI209" s="372">
        <f>SUM(AI146:AI164)</f>
        <v>0</v>
      </c>
      <c r="AJ209" s="373">
        <f t="shared" ref="AJ209:AL209" si="399">SUM(AJ146:AJ164)</f>
        <v>0</v>
      </c>
      <c r="AK209" s="374">
        <f t="shared" si="399"/>
        <v>0</v>
      </c>
      <c r="AL209" s="375">
        <f t="shared" si="399"/>
        <v>0</v>
      </c>
      <c r="AR209" s="82"/>
      <c r="AS209" s="85"/>
      <c r="AT209" s="380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</row>
    <row r="210" spans="1:16165" ht="15.75">
      <c r="B210" s="385">
        <f>B190</f>
        <v>3</v>
      </c>
      <c r="C210" s="368" t="str">
        <f>"ТП, КТП, СТП не льгот. - "&amp;B210&amp;" шт."</f>
        <v>ТП, КТП, СТП не льгот. - 3 шт.</v>
      </c>
      <c r="D210" s="368"/>
      <c r="E210" s="368"/>
      <c r="F210" s="370">
        <f>F190</f>
        <v>0</v>
      </c>
      <c r="G210" s="370">
        <f t="shared" ref="G210:P210" si="400">G190</f>
        <v>42.5</v>
      </c>
      <c r="H210" s="370">
        <f t="shared" si="400"/>
        <v>0</v>
      </c>
      <c r="I210" s="370">
        <f t="shared" si="400"/>
        <v>0</v>
      </c>
      <c r="J210" s="370">
        <f t="shared" si="400"/>
        <v>0</v>
      </c>
      <c r="K210" s="370">
        <f t="shared" si="400"/>
        <v>69.298760000000001</v>
      </c>
      <c r="L210" s="370">
        <f t="shared" si="400"/>
        <v>0</v>
      </c>
      <c r="M210" s="370">
        <f t="shared" si="400"/>
        <v>0</v>
      </c>
      <c r="N210" s="370">
        <f t="shared" si="400"/>
        <v>0</v>
      </c>
      <c r="O210" s="370">
        <f t="shared" si="400"/>
        <v>613.78594999999996</v>
      </c>
      <c r="P210" s="370">
        <f t="shared" si="400"/>
        <v>683084.71</v>
      </c>
      <c r="Q210" s="386">
        <f>Q190</f>
        <v>3</v>
      </c>
      <c r="Z210" s="272"/>
      <c r="AI210" s="387">
        <f>SUM(AI168:AI189)</f>
        <v>147.90022891566264</v>
      </c>
      <c r="AJ210" s="388">
        <f t="shared" ref="AJ210:AL210" si="401">SUM(AJ168:AJ189)</f>
        <v>0</v>
      </c>
      <c r="AK210" s="389">
        <f t="shared" si="401"/>
        <v>16.698496385542168</v>
      </c>
      <c r="AL210" s="390">
        <f t="shared" si="401"/>
        <v>164.59872530120481</v>
      </c>
      <c r="AR210" s="82"/>
      <c r="AS210" s="85"/>
      <c r="AT210" s="380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</row>
    <row r="211" spans="1:16165" ht="33">
      <c r="B211" s="391">
        <f>SUM(B201:B210)-SUM(B212:B214)</f>
        <v>48</v>
      </c>
      <c r="C211" s="392" t="str">
        <f>"ВСЕГО - "&amp;B211&amp;" шт. За вычетом физ. объемов (км и кВт) по объединенным Актам"</f>
        <v>ВСЕГО - 48 шт. За вычетом физ. объемов (км и кВт) по объединенным Актам</v>
      </c>
      <c r="D211" s="393"/>
      <c r="E211" s="393"/>
      <c r="F211" s="394">
        <f>SUM(F201:F210)-SUM(F212:F214)</f>
        <v>20.37</v>
      </c>
      <c r="G211" s="395">
        <f>SUM(G201:G210)-SUM(G212:G214)</f>
        <v>503.04999999999995</v>
      </c>
      <c r="H211" s="396">
        <f t="shared" ref="H211:T211" si="402">SUM(H201:H210)</f>
        <v>0</v>
      </c>
      <c r="I211" s="396">
        <f t="shared" si="402"/>
        <v>0</v>
      </c>
      <c r="J211" s="396">
        <f t="shared" si="402"/>
        <v>0</v>
      </c>
      <c r="K211" s="396">
        <f t="shared" si="402"/>
        <v>3251.7477600000002</v>
      </c>
      <c r="L211" s="396">
        <f t="shared" si="402"/>
        <v>0</v>
      </c>
      <c r="M211" s="396">
        <f t="shared" si="402"/>
        <v>0</v>
      </c>
      <c r="N211" s="396">
        <f t="shared" si="402"/>
        <v>0</v>
      </c>
      <c r="O211" s="396">
        <f t="shared" si="402"/>
        <v>10535.957420000001</v>
      </c>
      <c r="P211" s="396">
        <f>SUM(P201:P210)</f>
        <v>13891659.449999999</v>
      </c>
      <c r="Q211" s="397">
        <f t="shared" si="402"/>
        <v>3</v>
      </c>
      <c r="R211" s="396">
        <f t="shared" si="402"/>
        <v>0</v>
      </c>
      <c r="S211" s="396">
        <f t="shared" si="402"/>
        <v>0</v>
      </c>
      <c r="T211" s="396">
        <f t="shared" si="402"/>
        <v>0</v>
      </c>
      <c r="Z211" s="272"/>
      <c r="AI211" s="398" t="e">
        <f>SUM(AI201:AI216)</f>
        <v>#REF!</v>
      </c>
      <c r="AJ211" s="399" t="e">
        <f>SUM(AJ201:AJ216)</f>
        <v>#REF!</v>
      </c>
      <c r="AK211" s="400" t="e">
        <f>SUM(AK201:AK216)</f>
        <v>#REF!</v>
      </c>
      <c r="AL211" s="401" t="e">
        <f>SUM(AL201:AL216)</f>
        <v>#REF!</v>
      </c>
      <c r="AR211" s="82"/>
      <c r="AS211" s="85"/>
      <c r="AT211" s="380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</row>
    <row r="212" spans="1:16165" ht="21">
      <c r="B212" s="402">
        <f>COUNTIF($BA$9:$BA$136,$C212)</f>
        <v>0</v>
      </c>
      <c r="C212" s="403" t="s">
        <v>2663</v>
      </c>
      <c r="D212" s="404"/>
      <c r="E212" s="404"/>
      <c r="F212" s="405"/>
      <c r="G212" s="406">
        <f t="shared" ref="G212:T213" si="403">SUMIF($BA$9:$BA$136,$C212,G$9:G$136)</f>
        <v>0</v>
      </c>
      <c r="H212" s="407">
        <f t="shared" si="403"/>
        <v>0</v>
      </c>
      <c r="I212" s="408">
        <f t="shared" si="403"/>
        <v>0</v>
      </c>
      <c r="J212" s="408">
        <f t="shared" si="403"/>
        <v>0</v>
      </c>
      <c r="K212" s="408">
        <f t="shared" si="403"/>
        <v>0</v>
      </c>
      <c r="L212" s="408">
        <f t="shared" si="403"/>
        <v>0</v>
      </c>
      <c r="M212" s="408">
        <f t="shared" si="403"/>
        <v>0</v>
      </c>
      <c r="N212" s="408">
        <f t="shared" si="403"/>
        <v>0</v>
      </c>
      <c r="O212" s="408">
        <f t="shared" si="403"/>
        <v>0</v>
      </c>
      <c r="P212" s="408">
        <f t="shared" si="403"/>
        <v>0</v>
      </c>
      <c r="Q212" s="409">
        <f t="shared" si="403"/>
        <v>0</v>
      </c>
      <c r="R212" s="410">
        <f t="shared" si="403"/>
        <v>0</v>
      </c>
      <c r="S212" s="410">
        <f t="shared" si="403"/>
        <v>0</v>
      </c>
      <c r="T212" s="406">
        <f t="shared" si="403"/>
        <v>0</v>
      </c>
      <c r="Z212" s="272"/>
      <c r="AI212" s="81" t="e">
        <f t="shared" ref="AI212:AL213" si="404">AI199=AI211</f>
        <v>#REF!</v>
      </c>
      <c r="AJ212" s="81" t="e">
        <f>AJ199=AJ211</f>
        <v>#REF!</v>
      </c>
      <c r="AK212" s="81" t="e">
        <f t="shared" si="404"/>
        <v>#REF!</v>
      </c>
      <c r="AL212" s="81" t="e">
        <f t="shared" si="404"/>
        <v>#REF!</v>
      </c>
      <c r="AR212" s="82"/>
      <c r="AS212" s="85"/>
      <c r="AT212" s="380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</row>
    <row r="213" spans="1:16165" ht="21">
      <c r="B213" s="402">
        <f>COUNTIF($BA$9:$BA$136,$C213)</f>
        <v>3</v>
      </c>
      <c r="C213" s="403" t="s">
        <v>2664</v>
      </c>
      <c r="D213" s="404"/>
      <c r="E213" s="404"/>
      <c r="F213" s="405"/>
      <c r="G213" s="406">
        <f t="shared" si="403"/>
        <v>42.5</v>
      </c>
      <c r="H213" s="407">
        <f t="shared" si="403"/>
        <v>0</v>
      </c>
      <c r="I213" s="408">
        <f t="shared" si="403"/>
        <v>0</v>
      </c>
      <c r="J213" s="408">
        <f t="shared" si="403"/>
        <v>0</v>
      </c>
      <c r="K213" s="408">
        <f t="shared" si="403"/>
        <v>673.45334000000003</v>
      </c>
      <c r="L213" s="408">
        <f t="shared" si="403"/>
        <v>0</v>
      </c>
      <c r="M213" s="408">
        <f t="shared" si="403"/>
        <v>0</v>
      </c>
      <c r="N213" s="408">
        <f t="shared" si="403"/>
        <v>0</v>
      </c>
      <c r="O213" s="408">
        <f t="shared" si="403"/>
        <v>4190.4344700000001</v>
      </c>
      <c r="P213" s="408">
        <f t="shared" si="403"/>
        <v>4863887.8099999996</v>
      </c>
      <c r="Q213" s="409">
        <f t="shared" si="403"/>
        <v>0</v>
      </c>
      <c r="R213" s="410">
        <f t="shared" si="403"/>
        <v>0</v>
      </c>
      <c r="S213" s="410">
        <f t="shared" si="403"/>
        <v>0</v>
      </c>
      <c r="T213" s="406">
        <f t="shared" si="403"/>
        <v>0</v>
      </c>
      <c r="Z213" s="272"/>
      <c r="AI213" s="81" t="e">
        <f t="shared" si="404"/>
        <v>#REF!</v>
      </c>
      <c r="AJ213" s="81" t="e">
        <f t="shared" si="404"/>
        <v>#REF!</v>
      </c>
      <c r="AK213" s="81" t="e">
        <f t="shared" si="404"/>
        <v>#REF!</v>
      </c>
      <c r="AL213" s="81" t="e">
        <f t="shared" si="404"/>
        <v>#REF!</v>
      </c>
      <c r="AR213" s="82"/>
      <c r="AS213" s="85"/>
      <c r="AT213" s="380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</row>
    <row r="214" spans="1:16165" ht="21">
      <c r="B214" s="402">
        <f>COUNTIF($BA$144:$BA$190,$C214)</f>
        <v>0</v>
      </c>
      <c r="C214" s="403" t="s">
        <v>2665</v>
      </c>
      <c r="D214" s="404"/>
      <c r="E214" s="404"/>
      <c r="F214" s="411">
        <f t="shared" ref="F214:T214" si="405">SUMIF($BA$144:$BA$190,$C214,F$144:F$190)</f>
        <v>0</v>
      </c>
      <c r="G214" s="406">
        <f t="shared" si="405"/>
        <v>0</v>
      </c>
      <c r="H214" s="407">
        <f t="shared" si="405"/>
        <v>0</v>
      </c>
      <c r="I214" s="408">
        <f t="shared" si="405"/>
        <v>0</v>
      </c>
      <c r="J214" s="408">
        <f t="shared" si="405"/>
        <v>0</v>
      </c>
      <c r="K214" s="408">
        <f t="shared" si="405"/>
        <v>0</v>
      </c>
      <c r="L214" s="408">
        <f t="shared" si="405"/>
        <v>0</v>
      </c>
      <c r="M214" s="408">
        <f t="shared" si="405"/>
        <v>0</v>
      </c>
      <c r="N214" s="408">
        <f t="shared" si="405"/>
        <v>0</v>
      </c>
      <c r="O214" s="408">
        <f t="shared" si="405"/>
        <v>0</v>
      </c>
      <c r="P214" s="408">
        <f t="shared" si="405"/>
        <v>0</v>
      </c>
      <c r="Q214" s="409">
        <f t="shared" si="405"/>
        <v>0</v>
      </c>
      <c r="R214" s="410">
        <f t="shared" si="405"/>
        <v>0</v>
      </c>
      <c r="S214" s="410">
        <f t="shared" si="405"/>
        <v>0</v>
      </c>
      <c r="T214" s="406">
        <f t="shared" si="405"/>
        <v>0</v>
      </c>
      <c r="Z214" s="272"/>
      <c r="AL214" s="412" t="e">
        <f>P211/AL211</f>
        <v>#REF!</v>
      </c>
      <c r="AR214" s="82"/>
      <c r="AS214" s="85"/>
      <c r="AT214" s="380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</row>
    <row r="215" spans="1:16165">
      <c r="C215" s="76" t="s">
        <v>2666</v>
      </c>
      <c r="D215" s="413"/>
      <c r="E215" s="413"/>
      <c r="F215" s="260"/>
      <c r="P215" s="414"/>
      <c r="Z215" s="272"/>
      <c r="AR215" s="82"/>
      <c r="AS215" s="85"/>
      <c r="AT215" s="380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</row>
    <row r="216" spans="1:16165" ht="31.5">
      <c r="B216" s="415"/>
      <c r="C216" s="416" t="s">
        <v>2667</v>
      </c>
      <c r="D216" s="417"/>
      <c r="E216" s="417"/>
      <c r="F216" s="418">
        <f>SUM(F212:F214)</f>
        <v>0</v>
      </c>
      <c r="G216" s="419">
        <f>SUM(G212:G214)</f>
        <v>42.5</v>
      </c>
      <c r="H216" s="420"/>
      <c r="I216" s="420"/>
      <c r="J216" s="420"/>
      <c r="K216" s="420"/>
      <c r="L216" s="420"/>
      <c r="M216" s="420"/>
      <c r="N216" s="420"/>
      <c r="O216" s="420"/>
      <c r="P216" s="420"/>
      <c r="Q216" s="421"/>
      <c r="Z216" s="272"/>
      <c r="AI216" s="422"/>
      <c r="AJ216" s="422"/>
      <c r="AK216" s="422"/>
      <c r="AL216" s="401"/>
      <c r="AR216" s="82"/>
      <c r="AS216" s="85"/>
      <c r="AT216" s="380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</row>
    <row r="217" spans="1:16165">
      <c r="D217" s="413"/>
      <c r="E217" s="413"/>
      <c r="F217" s="260"/>
      <c r="P217" s="423">
        <f>SUMIF($C$8:$C$190,"ИТОГО",$P$8:$P$190)</f>
        <v>0</v>
      </c>
      <c r="Z217" s="272"/>
      <c r="AR217" s="82"/>
      <c r="AS217" s="85"/>
      <c r="AT217" s="380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</row>
    <row r="218" spans="1:16165">
      <c r="C218" s="424" t="e">
        <f>AJ199-AJ211</f>
        <v>#REF!</v>
      </c>
      <c r="D218" s="425"/>
      <c r="E218" s="425"/>
      <c r="F218" s="260"/>
      <c r="P218" s="272">
        <f>P215-P217</f>
        <v>0</v>
      </c>
      <c r="AR218" s="82"/>
    </row>
    <row r="219" spans="1:16165" s="83" customFormat="1">
      <c r="A219" s="76"/>
      <c r="B219" s="76"/>
      <c r="C219" s="76"/>
      <c r="D219" s="413"/>
      <c r="E219" s="413"/>
      <c r="F219" s="260"/>
      <c r="G219" s="76"/>
      <c r="H219" s="76"/>
      <c r="I219" s="76"/>
      <c r="J219" s="76"/>
      <c r="K219" s="76"/>
      <c r="L219" s="76"/>
      <c r="M219" s="76"/>
      <c r="N219" s="76"/>
      <c r="O219" s="76"/>
      <c r="P219" s="272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81"/>
      <c r="AB219" s="81"/>
      <c r="AC219" s="81"/>
      <c r="AD219" s="81"/>
      <c r="AE219" s="81"/>
      <c r="AF219" s="81"/>
      <c r="AG219" s="81"/>
      <c r="AH219" s="76"/>
      <c r="AI219" s="81"/>
      <c r="AJ219" s="81"/>
      <c r="AK219" s="81"/>
      <c r="AL219" s="81"/>
      <c r="AM219" s="81"/>
      <c r="AN219" s="82"/>
      <c r="AO219" s="82"/>
      <c r="AP219" s="82"/>
      <c r="AQ219" s="82"/>
      <c r="AR219" s="82"/>
      <c r="AS219" s="82"/>
      <c r="AT219" s="84"/>
      <c r="AU219" s="85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76"/>
      <c r="IY219" s="76"/>
      <c r="IZ219" s="76"/>
      <c r="JA219" s="76"/>
      <c r="JB219" s="76"/>
      <c r="JC219" s="76"/>
      <c r="JD219" s="76"/>
      <c r="JE219" s="76"/>
      <c r="JF219" s="76"/>
      <c r="JG219" s="76"/>
      <c r="JH219" s="76"/>
      <c r="JI219" s="76"/>
      <c r="JJ219" s="76"/>
      <c r="JK219" s="76"/>
      <c r="JL219" s="76"/>
      <c r="JM219" s="76"/>
      <c r="JN219" s="76"/>
      <c r="JO219" s="76"/>
      <c r="JP219" s="76"/>
      <c r="JQ219" s="76"/>
      <c r="JR219" s="76"/>
      <c r="JS219" s="76"/>
      <c r="JT219" s="76"/>
      <c r="JU219" s="76"/>
      <c r="JV219" s="76"/>
      <c r="JW219" s="76"/>
      <c r="JX219" s="76"/>
      <c r="JY219" s="76"/>
      <c r="JZ219" s="76"/>
      <c r="KA219" s="76"/>
      <c r="KB219" s="76"/>
      <c r="KC219" s="76"/>
      <c r="KD219" s="76"/>
      <c r="KE219" s="76"/>
      <c r="KF219" s="76"/>
      <c r="KG219" s="76"/>
      <c r="KH219" s="76"/>
      <c r="KI219" s="76"/>
      <c r="KJ219" s="76"/>
      <c r="KK219" s="76"/>
      <c r="KL219" s="76"/>
      <c r="KM219" s="76"/>
      <c r="KN219" s="76"/>
      <c r="KO219" s="76"/>
      <c r="KP219" s="76"/>
      <c r="KQ219" s="76"/>
      <c r="KR219" s="76"/>
      <c r="KS219" s="76"/>
      <c r="KT219" s="76"/>
      <c r="KU219" s="76"/>
      <c r="KV219" s="76"/>
      <c r="KW219" s="76"/>
      <c r="KX219" s="76"/>
      <c r="KY219" s="76"/>
      <c r="KZ219" s="76"/>
      <c r="LA219" s="76"/>
      <c r="LB219" s="76"/>
      <c r="LC219" s="76"/>
      <c r="LD219" s="76"/>
      <c r="LE219" s="76"/>
      <c r="LF219" s="76"/>
      <c r="LG219" s="76"/>
      <c r="LH219" s="76"/>
      <c r="LI219" s="76"/>
      <c r="LJ219" s="76"/>
      <c r="LK219" s="76"/>
      <c r="LL219" s="76"/>
      <c r="LM219" s="76"/>
      <c r="LN219" s="76"/>
      <c r="LO219" s="76"/>
      <c r="LP219" s="76"/>
      <c r="LQ219" s="76"/>
      <c r="LR219" s="76"/>
      <c r="LS219" s="76"/>
      <c r="LT219" s="76"/>
      <c r="LU219" s="76"/>
      <c r="LV219" s="76"/>
      <c r="LW219" s="76"/>
      <c r="LX219" s="76"/>
      <c r="LY219" s="76"/>
      <c r="LZ219" s="76"/>
      <c r="MA219" s="76"/>
      <c r="MB219" s="76"/>
      <c r="MC219" s="76"/>
      <c r="MD219" s="76"/>
      <c r="ME219" s="76"/>
      <c r="MF219" s="76"/>
      <c r="MG219" s="76"/>
      <c r="MH219" s="76"/>
      <c r="MI219" s="76"/>
      <c r="MJ219" s="76"/>
      <c r="MK219" s="76"/>
      <c r="ML219" s="76"/>
      <c r="MM219" s="76"/>
      <c r="MN219" s="76"/>
      <c r="MO219" s="76"/>
      <c r="MP219" s="76"/>
      <c r="MQ219" s="76"/>
      <c r="MR219" s="76"/>
      <c r="MS219" s="76"/>
      <c r="MT219" s="76"/>
      <c r="MU219" s="76"/>
      <c r="MV219" s="76"/>
      <c r="MW219" s="76"/>
      <c r="MX219" s="76"/>
      <c r="MY219" s="76"/>
      <c r="MZ219" s="76"/>
      <c r="NA219" s="76"/>
      <c r="NB219" s="76"/>
      <c r="NC219" s="76"/>
      <c r="ND219" s="76"/>
      <c r="NE219" s="76"/>
      <c r="NF219" s="76"/>
      <c r="NG219" s="76"/>
      <c r="NH219" s="76"/>
      <c r="NI219" s="76"/>
      <c r="NJ219" s="76"/>
      <c r="NK219" s="76"/>
      <c r="NL219" s="76"/>
      <c r="NM219" s="76"/>
      <c r="NN219" s="76"/>
      <c r="NO219" s="76"/>
      <c r="NP219" s="76"/>
      <c r="NQ219" s="76"/>
      <c r="NR219" s="76"/>
      <c r="NS219" s="76"/>
      <c r="NT219" s="76"/>
      <c r="NU219" s="76"/>
      <c r="NV219" s="76"/>
      <c r="NW219" s="76"/>
      <c r="NX219" s="76"/>
      <c r="NY219" s="76"/>
      <c r="NZ219" s="76"/>
      <c r="OA219" s="76"/>
      <c r="OB219" s="76"/>
      <c r="OC219" s="76"/>
      <c r="OD219" s="76"/>
      <c r="OE219" s="76"/>
      <c r="OF219" s="76"/>
      <c r="OG219" s="76"/>
      <c r="OH219" s="76"/>
      <c r="OI219" s="76"/>
      <c r="OJ219" s="76"/>
      <c r="OK219" s="76"/>
      <c r="OL219" s="76"/>
      <c r="OM219" s="76"/>
      <c r="ON219" s="76"/>
      <c r="OO219" s="76"/>
      <c r="OP219" s="76"/>
      <c r="OQ219" s="76"/>
      <c r="OR219" s="76"/>
      <c r="OS219" s="76"/>
      <c r="OT219" s="76"/>
      <c r="OU219" s="76"/>
      <c r="OV219" s="76"/>
      <c r="OW219" s="76"/>
      <c r="OX219" s="76"/>
      <c r="OY219" s="76"/>
      <c r="OZ219" s="76"/>
      <c r="PA219" s="76"/>
      <c r="PB219" s="76"/>
      <c r="PC219" s="76"/>
      <c r="PD219" s="76"/>
      <c r="PE219" s="76"/>
      <c r="PF219" s="76"/>
      <c r="PG219" s="76"/>
      <c r="PH219" s="76"/>
      <c r="PI219" s="76"/>
      <c r="PJ219" s="76"/>
      <c r="PK219" s="76"/>
      <c r="PL219" s="76"/>
      <c r="PM219" s="76"/>
      <c r="PN219" s="76"/>
      <c r="PO219" s="76"/>
      <c r="PP219" s="76"/>
      <c r="PQ219" s="76"/>
      <c r="PR219" s="76"/>
      <c r="PS219" s="76"/>
      <c r="PT219" s="76"/>
      <c r="PU219" s="76"/>
      <c r="PV219" s="76"/>
      <c r="PW219" s="76"/>
      <c r="PX219" s="76"/>
      <c r="PY219" s="76"/>
      <c r="PZ219" s="76"/>
      <c r="QA219" s="76"/>
      <c r="QB219" s="76"/>
      <c r="QC219" s="76"/>
      <c r="QD219" s="76"/>
      <c r="QE219" s="76"/>
      <c r="QF219" s="76"/>
      <c r="QG219" s="76"/>
      <c r="QH219" s="76"/>
      <c r="QI219" s="76"/>
      <c r="QJ219" s="76"/>
      <c r="QK219" s="76"/>
      <c r="QL219" s="76"/>
      <c r="QM219" s="76"/>
      <c r="QN219" s="76"/>
      <c r="QO219" s="76"/>
      <c r="QP219" s="76"/>
      <c r="QQ219" s="76"/>
      <c r="QR219" s="76"/>
      <c r="QS219" s="76"/>
      <c r="QT219" s="76"/>
      <c r="QU219" s="76"/>
      <c r="QV219" s="76"/>
      <c r="QW219" s="76"/>
      <c r="QX219" s="76"/>
      <c r="QY219" s="76"/>
      <c r="QZ219" s="76"/>
      <c r="RA219" s="76"/>
      <c r="RB219" s="76"/>
      <c r="RC219" s="76"/>
      <c r="RD219" s="76"/>
      <c r="RE219" s="76"/>
      <c r="RF219" s="76"/>
      <c r="RG219" s="76"/>
      <c r="RH219" s="76"/>
      <c r="RI219" s="76"/>
      <c r="RJ219" s="76"/>
      <c r="RK219" s="76"/>
      <c r="RL219" s="76"/>
      <c r="RM219" s="76"/>
      <c r="RN219" s="76"/>
      <c r="RO219" s="76"/>
      <c r="RP219" s="76"/>
      <c r="RQ219" s="76"/>
      <c r="RR219" s="76"/>
      <c r="RS219" s="76"/>
      <c r="RT219" s="76"/>
      <c r="RU219" s="76"/>
      <c r="RV219" s="76"/>
      <c r="RW219" s="76"/>
      <c r="RX219" s="76"/>
      <c r="RY219" s="76"/>
      <c r="RZ219" s="76"/>
      <c r="SA219" s="76"/>
      <c r="SB219" s="76"/>
      <c r="SC219" s="76"/>
      <c r="SD219" s="76"/>
      <c r="SE219" s="76"/>
      <c r="SF219" s="76"/>
      <c r="SG219" s="76"/>
      <c r="SH219" s="76"/>
      <c r="SI219" s="76"/>
      <c r="SJ219" s="76"/>
      <c r="SK219" s="76"/>
      <c r="SL219" s="76"/>
      <c r="SM219" s="76"/>
      <c r="SN219" s="76"/>
      <c r="SO219" s="76"/>
      <c r="SP219" s="76"/>
      <c r="SQ219" s="76"/>
      <c r="SR219" s="76"/>
      <c r="SS219" s="76"/>
      <c r="ST219" s="76"/>
      <c r="SU219" s="76"/>
      <c r="SV219" s="76"/>
      <c r="SW219" s="76"/>
      <c r="SX219" s="76"/>
      <c r="SY219" s="76"/>
      <c r="SZ219" s="76"/>
      <c r="TA219" s="76"/>
      <c r="TB219" s="76"/>
      <c r="TC219" s="76"/>
      <c r="TD219" s="76"/>
      <c r="TE219" s="76"/>
      <c r="TF219" s="76"/>
      <c r="TG219" s="76"/>
      <c r="TH219" s="76"/>
      <c r="TI219" s="76"/>
      <c r="TJ219" s="76"/>
      <c r="TK219" s="76"/>
      <c r="TL219" s="76"/>
      <c r="TM219" s="76"/>
      <c r="TN219" s="76"/>
      <c r="TO219" s="76"/>
      <c r="TP219" s="76"/>
      <c r="TQ219" s="76"/>
      <c r="TR219" s="76"/>
      <c r="TS219" s="76"/>
      <c r="TT219" s="76"/>
      <c r="TU219" s="76"/>
      <c r="TV219" s="76"/>
      <c r="TW219" s="76"/>
      <c r="TX219" s="76"/>
      <c r="TY219" s="76"/>
      <c r="TZ219" s="76"/>
      <c r="UA219" s="76"/>
      <c r="UB219" s="76"/>
      <c r="UC219" s="76"/>
      <c r="UD219" s="76"/>
      <c r="UE219" s="76"/>
      <c r="UF219" s="76"/>
      <c r="UG219" s="76"/>
      <c r="UH219" s="76"/>
      <c r="UI219" s="76"/>
      <c r="UJ219" s="76"/>
      <c r="UK219" s="76"/>
      <c r="UL219" s="76"/>
      <c r="UM219" s="76"/>
      <c r="UN219" s="76"/>
      <c r="UO219" s="76"/>
      <c r="UP219" s="76"/>
      <c r="UQ219" s="76"/>
      <c r="UR219" s="76"/>
      <c r="US219" s="76"/>
      <c r="UT219" s="76"/>
      <c r="UU219" s="76"/>
      <c r="UV219" s="76"/>
      <c r="UW219" s="76"/>
      <c r="UX219" s="76"/>
      <c r="UY219" s="76"/>
      <c r="UZ219" s="76"/>
      <c r="VA219" s="76"/>
      <c r="VB219" s="76"/>
      <c r="VC219" s="76"/>
      <c r="VD219" s="76"/>
      <c r="VE219" s="76"/>
      <c r="VF219" s="76"/>
      <c r="VG219" s="76"/>
      <c r="VH219" s="76"/>
      <c r="VI219" s="76"/>
      <c r="VJ219" s="76"/>
      <c r="VK219" s="76"/>
      <c r="VL219" s="76"/>
      <c r="VM219" s="76"/>
      <c r="VN219" s="76"/>
      <c r="VO219" s="76"/>
      <c r="VP219" s="76"/>
      <c r="VQ219" s="76"/>
      <c r="VR219" s="76"/>
      <c r="VS219" s="76"/>
      <c r="VT219" s="76"/>
      <c r="VU219" s="76"/>
      <c r="VV219" s="76"/>
      <c r="VW219" s="76"/>
      <c r="VX219" s="76"/>
      <c r="VY219" s="76"/>
      <c r="VZ219" s="76"/>
      <c r="WA219" s="76"/>
      <c r="WB219" s="76"/>
      <c r="WC219" s="76"/>
      <c r="WD219" s="76"/>
      <c r="WE219" s="76"/>
      <c r="WF219" s="76"/>
      <c r="WG219" s="76"/>
      <c r="WH219" s="76"/>
      <c r="WI219" s="76"/>
      <c r="WJ219" s="76"/>
      <c r="WK219" s="76"/>
      <c r="WL219" s="76"/>
      <c r="WM219" s="76"/>
      <c r="WN219" s="76"/>
      <c r="WO219" s="76"/>
      <c r="WP219" s="76"/>
      <c r="WQ219" s="76"/>
      <c r="WR219" s="76"/>
      <c r="WS219" s="76"/>
      <c r="WT219" s="76"/>
      <c r="WU219" s="76"/>
      <c r="WV219" s="76"/>
      <c r="WW219" s="76"/>
      <c r="WX219" s="76"/>
      <c r="WY219" s="76"/>
      <c r="WZ219" s="76"/>
      <c r="XA219" s="76"/>
      <c r="XB219" s="76"/>
      <c r="XC219" s="76"/>
      <c r="XD219" s="76"/>
      <c r="XE219" s="76"/>
      <c r="XF219" s="76"/>
      <c r="XG219" s="76"/>
      <c r="XH219" s="76"/>
      <c r="XI219" s="76"/>
      <c r="XJ219" s="76"/>
      <c r="XK219" s="76"/>
      <c r="XL219" s="76"/>
      <c r="XM219" s="76"/>
      <c r="XN219" s="76"/>
      <c r="XO219" s="76"/>
      <c r="XP219" s="76"/>
      <c r="XQ219" s="76"/>
      <c r="XR219" s="76"/>
      <c r="XS219" s="76"/>
      <c r="XT219" s="76"/>
      <c r="XU219" s="76"/>
      <c r="XV219" s="76"/>
      <c r="XW219" s="76"/>
      <c r="XX219" s="76"/>
      <c r="XY219" s="76"/>
      <c r="XZ219" s="76"/>
      <c r="YA219" s="76"/>
      <c r="YB219" s="76"/>
      <c r="YC219" s="76"/>
      <c r="YD219" s="76"/>
      <c r="YE219" s="76"/>
      <c r="YF219" s="76"/>
      <c r="YG219" s="76"/>
      <c r="YH219" s="76"/>
      <c r="YI219" s="76"/>
      <c r="YJ219" s="76"/>
      <c r="YK219" s="76"/>
      <c r="YL219" s="76"/>
      <c r="YM219" s="76"/>
      <c r="YN219" s="76"/>
      <c r="YO219" s="76"/>
      <c r="YP219" s="76"/>
      <c r="YQ219" s="76"/>
      <c r="YR219" s="76"/>
      <c r="YS219" s="76"/>
      <c r="YT219" s="76"/>
      <c r="YU219" s="76"/>
      <c r="YV219" s="76"/>
      <c r="YW219" s="76"/>
      <c r="YX219" s="76"/>
      <c r="YY219" s="76"/>
      <c r="YZ219" s="76"/>
      <c r="ZA219" s="76"/>
      <c r="ZB219" s="76"/>
      <c r="ZC219" s="76"/>
      <c r="ZD219" s="76"/>
      <c r="ZE219" s="76"/>
      <c r="ZF219" s="76"/>
      <c r="ZG219" s="76"/>
      <c r="ZH219" s="76"/>
      <c r="ZI219" s="76"/>
      <c r="ZJ219" s="76"/>
      <c r="ZK219" s="76"/>
      <c r="ZL219" s="76"/>
      <c r="ZM219" s="76"/>
      <c r="ZN219" s="76"/>
      <c r="ZO219" s="76"/>
      <c r="ZP219" s="76"/>
      <c r="ZQ219" s="76"/>
      <c r="ZR219" s="76"/>
      <c r="ZS219" s="76"/>
      <c r="ZT219" s="76"/>
      <c r="ZU219" s="76"/>
      <c r="ZV219" s="76"/>
      <c r="ZW219" s="76"/>
      <c r="ZX219" s="76"/>
      <c r="ZY219" s="76"/>
      <c r="ZZ219" s="76"/>
      <c r="AAA219" s="76"/>
      <c r="AAB219" s="76"/>
      <c r="AAC219" s="76"/>
      <c r="AAD219" s="76"/>
      <c r="AAE219" s="76"/>
      <c r="AAF219" s="76"/>
      <c r="AAG219" s="76"/>
      <c r="AAH219" s="76"/>
      <c r="AAI219" s="76"/>
      <c r="AAJ219" s="76"/>
      <c r="AAK219" s="76"/>
      <c r="AAL219" s="76"/>
      <c r="AAM219" s="76"/>
      <c r="AAN219" s="76"/>
      <c r="AAO219" s="76"/>
      <c r="AAP219" s="76"/>
      <c r="AAQ219" s="76"/>
      <c r="AAR219" s="76"/>
      <c r="AAS219" s="76"/>
      <c r="AAT219" s="76"/>
      <c r="AAU219" s="76"/>
      <c r="AAV219" s="76"/>
      <c r="AAW219" s="76"/>
      <c r="AAX219" s="76"/>
      <c r="AAY219" s="76"/>
      <c r="AAZ219" s="76"/>
      <c r="ABA219" s="76"/>
      <c r="ABB219" s="76"/>
      <c r="ABC219" s="76"/>
      <c r="ABD219" s="76"/>
      <c r="ABE219" s="76"/>
      <c r="ABF219" s="76"/>
      <c r="ABG219" s="76"/>
      <c r="ABH219" s="76"/>
      <c r="ABI219" s="76"/>
      <c r="ABJ219" s="76"/>
      <c r="ABK219" s="76"/>
      <c r="ABL219" s="76"/>
      <c r="ABM219" s="76"/>
      <c r="ABN219" s="76"/>
      <c r="ABO219" s="76"/>
      <c r="ABP219" s="76"/>
      <c r="ABQ219" s="76"/>
      <c r="ABR219" s="76"/>
      <c r="ABS219" s="76"/>
      <c r="ABT219" s="76"/>
      <c r="ABU219" s="76"/>
      <c r="ABV219" s="76"/>
      <c r="ABW219" s="76"/>
      <c r="ABX219" s="76"/>
      <c r="ABY219" s="76"/>
      <c r="ABZ219" s="76"/>
      <c r="ACA219" s="76"/>
      <c r="ACB219" s="76"/>
      <c r="ACC219" s="76"/>
      <c r="ACD219" s="76"/>
      <c r="ACE219" s="76"/>
      <c r="ACF219" s="76"/>
      <c r="ACG219" s="76"/>
      <c r="ACH219" s="76"/>
      <c r="ACI219" s="76"/>
      <c r="ACJ219" s="76"/>
      <c r="ACK219" s="76"/>
      <c r="ACL219" s="76"/>
      <c r="ACM219" s="76"/>
      <c r="ACN219" s="76"/>
      <c r="ACO219" s="76"/>
      <c r="ACP219" s="76"/>
      <c r="ACQ219" s="76"/>
      <c r="ACR219" s="76"/>
      <c r="ACS219" s="76"/>
      <c r="ACT219" s="76"/>
      <c r="ACU219" s="76"/>
      <c r="ACV219" s="76"/>
      <c r="ACW219" s="76"/>
      <c r="ACX219" s="76"/>
      <c r="ACY219" s="76"/>
      <c r="ACZ219" s="76"/>
      <c r="ADA219" s="76"/>
      <c r="ADB219" s="76"/>
      <c r="ADC219" s="76"/>
      <c r="ADD219" s="76"/>
      <c r="ADE219" s="76"/>
      <c r="ADF219" s="76"/>
      <c r="ADG219" s="76"/>
      <c r="ADH219" s="76"/>
      <c r="ADI219" s="76"/>
      <c r="ADJ219" s="76"/>
      <c r="ADK219" s="76"/>
      <c r="ADL219" s="76"/>
      <c r="ADM219" s="76"/>
      <c r="ADN219" s="76"/>
      <c r="ADO219" s="76"/>
      <c r="ADP219" s="76"/>
      <c r="ADQ219" s="76"/>
      <c r="ADR219" s="76"/>
      <c r="ADS219" s="76"/>
      <c r="ADT219" s="76"/>
      <c r="ADU219" s="76"/>
      <c r="ADV219" s="76"/>
      <c r="ADW219" s="76"/>
      <c r="ADX219" s="76"/>
      <c r="ADY219" s="76"/>
      <c r="ADZ219" s="76"/>
      <c r="AEA219" s="76"/>
      <c r="AEB219" s="76"/>
      <c r="AEC219" s="76"/>
      <c r="AED219" s="76"/>
      <c r="AEE219" s="76"/>
      <c r="AEF219" s="76"/>
      <c r="AEG219" s="76"/>
      <c r="AEH219" s="76"/>
      <c r="AEI219" s="76"/>
      <c r="AEJ219" s="76"/>
      <c r="AEK219" s="76"/>
      <c r="AEL219" s="76"/>
      <c r="AEM219" s="76"/>
      <c r="AEN219" s="76"/>
      <c r="AEO219" s="76"/>
      <c r="AEP219" s="76"/>
      <c r="AEQ219" s="76"/>
      <c r="AER219" s="76"/>
      <c r="AES219" s="76"/>
      <c r="AET219" s="76"/>
      <c r="AEU219" s="76"/>
      <c r="AEV219" s="76"/>
      <c r="AEW219" s="76"/>
      <c r="AEX219" s="76"/>
      <c r="AEY219" s="76"/>
      <c r="AEZ219" s="76"/>
      <c r="AFA219" s="76"/>
      <c r="AFB219" s="76"/>
      <c r="AFC219" s="76"/>
      <c r="AFD219" s="76"/>
      <c r="AFE219" s="76"/>
      <c r="AFF219" s="76"/>
      <c r="AFG219" s="76"/>
      <c r="AFH219" s="76"/>
      <c r="AFI219" s="76"/>
      <c r="AFJ219" s="76"/>
      <c r="AFK219" s="76"/>
      <c r="AFL219" s="76"/>
      <c r="AFM219" s="76"/>
      <c r="AFN219" s="76"/>
      <c r="AFO219" s="76"/>
      <c r="AFP219" s="76"/>
      <c r="AFQ219" s="76"/>
      <c r="AFR219" s="76"/>
      <c r="AFS219" s="76"/>
      <c r="AFT219" s="76"/>
      <c r="AFU219" s="76"/>
      <c r="AFV219" s="76"/>
      <c r="AFW219" s="76"/>
      <c r="AFX219" s="76"/>
      <c r="AFY219" s="76"/>
      <c r="AFZ219" s="76"/>
      <c r="AGA219" s="76"/>
      <c r="AGB219" s="76"/>
      <c r="AGC219" s="76"/>
      <c r="AGD219" s="76"/>
      <c r="AGE219" s="76"/>
      <c r="AGF219" s="76"/>
      <c r="AGG219" s="76"/>
      <c r="AGH219" s="76"/>
      <c r="AGI219" s="76"/>
      <c r="AGJ219" s="76"/>
      <c r="AGK219" s="76"/>
      <c r="AGL219" s="76"/>
      <c r="AGM219" s="76"/>
      <c r="AGN219" s="76"/>
      <c r="AGO219" s="76"/>
      <c r="AGP219" s="76"/>
      <c r="AGQ219" s="76"/>
      <c r="AGR219" s="76"/>
      <c r="AGS219" s="76"/>
      <c r="AGT219" s="76"/>
      <c r="AGU219" s="76"/>
      <c r="AGV219" s="76"/>
      <c r="AGW219" s="76"/>
      <c r="AGX219" s="76"/>
      <c r="AGY219" s="76"/>
      <c r="AGZ219" s="76"/>
      <c r="AHA219" s="76"/>
      <c r="AHB219" s="76"/>
      <c r="AHC219" s="76"/>
      <c r="AHD219" s="76"/>
      <c r="AHE219" s="76"/>
      <c r="AHF219" s="76"/>
      <c r="AHG219" s="76"/>
      <c r="AHH219" s="76"/>
      <c r="AHI219" s="76"/>
      <c r="AHJ219" s="76"/>
      <c r="AHK219" s="76"/>
      <c r="AHL219" s="76"/>
      <c r="AHM219" s="76"/>
      <c r="AHN219" s="76"/>
      <c r="AHO219" s="76"/>
      <c r="AHP219" s="76"/>
      <c r="AHQ219" s="76"/>
      <c r="AHR219" s="76"/>
      <c r="AHS219" s="76"/>
      <c r="AHT219" s="76"/>
      <c r="AHU219" s="76"/>
      <c r="AHV219" s="76"/>
      <c r="AHW219" s="76"/>
      <c r="AHX219" s="76"/>
      <c r="AHY219" s="76"/>
      <c r="AHZ219" s="76"/>
      <c r="AIA219" s="76"/>
      <c r="AIB219" s="76"/>
      <c r="AIC219" s="76"/>
      <c r="AID219" s="76"/>
      <c r="AIE219" s="76"/>
      <c r="AIF219" s="76"/>
      <c r="AIG219" s="76"/>
      <c r="AIH219" s="76"/>
      <c r="AII219" s="76"/>
      <c r="AIJ219" s="76"/>
      <c r="AIK219" s="76"/>
      <c r="AIL219" s="76"/>
      <c r="AIM219" s="76"/>
      <c r="AIN219" s="76"/>
      <c r="AIO219" s="76"/>
      <c r="AIP219" s="76"/>
      <c r="AIQ219" s="76"/>
      <c r="AIR219" s="76"/>
      <c r="AIS219" s="76"/>
      <c r="AIT219" s="76"/>
      <c r="AIU219" s="76"/>
      <c r="AIV219" s="76"/>
      <c r="AIW219" s="76"/>
      <c r="AIX219" s="76"/>
      <c r="AIY219" s="76"/>
      <c r="AIZ219" s="76"/>
      <c r="AJA219" s="76"/>
      <c r="AJB219" s="76"/>
      <c r="AJC219" s="76"/>
      <c r="AJD219" s="76"/>
      <c r="AJE219" s="76"/>
      <c r="AJF219" s="76"/>
      <c r="AJG219" s="76"/>
      <c r="AJH219" s="76"/>
      <c r="AJI219" s="76"/>
      <c r="AJJ219" s="76"/>
      <c r="AJK219" s="76"/>
      <c r="AJL219" s="76"/>
      <c r="AJM219" s="76"/>
      <c r="AJN219" s="76"/>
      <c r="AJO219" s="76"/>
      <c r="AJP219" s="76"/>
      <c r="AJQ219" s="76"/>
      <c r="AJR219" s="76"/>
      <c r="AJS219" s="76"/>
      <c r="AJT219" s="76"/>
      <c r="AJU219" s="76"/>
      <c r="AJV219" s="76"/>
      <c r="AJW219" s="76"/>
      <c r="AJX219" s="76"/>
      <c r="AJY219" s="76"/>
      <c r="AJZ219" s="76"/>
      <c r="AKA219" s="76"/>
      <c r="AKB219" s="76"/>
      <c r="AKC219" s="76"/>
      <c r="AKD219" s="76"/>
      <c r="AKE219" s="76"/>
      <c r="AKF219" s="76"/>
      <c r="AKG219" s="76"/>
      <c r="AKH219" s="76"/>
      <c r="AKI219" s="76"/>
      <c r="AKJ219" s="76"/>
      <c r="AKK219" s="76"/>
      <c r="AKL219" s="76"/>
      <c r="AKM219" s="76"/>
      <c r="AKN219" s="76"/>
      <c r="AKO219" s="76"/>
      <c r="AKP219" s="76"/>
      <c r="AKQ219" s="76"/>
      <c r="AKR219" s="76"/>
      <c r="AKS219" s="76"/>
      <c r="AKT219" s="76"/>
      <c r="AKU219" s="76"/>
      <c r="AKV219" s="76"/>
      <c r="AKW219" s="76"/>
      <c r="AKX219" s="76"/>
      <c r="AKY219" s="76"/>
      <c r="AKZ219" s="76"/>
      <c r="ALA219" s="76"/>
      <c r="ALB219" s="76"/>
      <c r="ALC219" s="76"/>
      <c r="ALD219" s="76"/>
      <c r="ALE219" s="76"/>
      <c r="ALF219" s="76"/>
      <c r="ALG219" s="76"/>
      <c r="ALH219" s="76"/>
      <c r="ALI219" s="76"/>
      <c r="ALJ219" s="76"/>
      <c r="ALK219" s="76"/>
      <c r="ALL219" s="76"/>
      <c r="ALM219" s="76"/>
      <c r="ALN219" s="76"/>
      <c r="ALO219" s="76"/>
      <c r="ALP219" s="76"/>
      <c r="ALQ219" s="76"/>
      <c r="ALR219" s="76"/>
      <c r="ALS219" s="76"/>
      <c r="ALT219" s="76"/>
      <c r="ALU219" s="76"/>
      <c r="ALV219" s="76"/>
      <c r="ALW219" s="76"/>
      <c r="ALX219" s="76"/>
      <c r="ALY219" s="76"/>
      <c r="ALZ219" s="76"/>
      <c r="AMA219" s="76"/>
      <c r="AMB219" s="76"/>
      <c r="AMC219" s="76"/>
      <c r="AMD219" s="76"/>
      <c r="AME219" s="76"/>
      <c r="AMF219" s="76"/>
      <c r="AMG219" s="76"/>
      <c r="AMH219" s="76"/>
      <c r="AMI219" s="76"/>
      <c r="AMJ219" s="76"/>
      <c r="AMK219" s="76"/>
      <c r="AML219" s="76"/>
      <c r="AMM219" s="76"/>
      <c r="AMN219" s="76"/>
      <c r="AMO219" s="76"/>
      <c r="AMP219" s="76"/>
      <c r="AMQ219" s="76"/>
      <c r="AMR219" s="76"/>
      <c r="AMS219" s="76"/>
      <c r="AMT219" s="76"/>
      <c r="AMU219" s="76"/>
      <c r="AMV219" s="76"/>
      <c r="AMW219" s="76"/>
      <c r="AMX219" s="76"/>
      <c r="AMY219" s="76"/>
      <c r="AMZ219" s="76"/>
      <c r="ANA219" s="76"/>
      <c r="ANB219" s="76"/>
      <c r="ANC219" s="76"/>
      <c r="AND219" s="76"/>
      <c r="ANE219" s="76"/>
      <c r="ANF219" s="76"/>
      <c r="ANG219" s="76"/>
      <c r="ANH219" s="76"/>
      <c r="ANI219" s="76"/>
      <c r="ANJ219" s="76"/>
      <c r="ANK219" s="76"/>
      <c r="ANL219" s="76"/>
      <c r="ANM219" s="76"/>
      <c r="ANN219" s="76"/>
      <c r="ANO219" s="76"/>
      <c r="ANP219" s="76"/>
      <c r="ANQ219" s="76"/>
      <c r="ANR219" s="76"/>
      <c r="ANS219" s="76"/>
      <c r="ANT219" s="76"/>
      <c r="ANU219" s="76"/>
      <c r="ANV219" s="76"/>
      <c r="ANW219" s="76"/>
      <c r="ANX219" s="76"/>
      <c r="ANY219" s="76"/>
      <c r="ANZ219" s="76"/>
      <c r="AOA219" s="76"/>
      <c r="AOB219" s="76"/>
      <c r="AOC219" s="76"/>
      <c r="AOD219" s="76"/>
      <c r="AOE219" s="76"/>
      <c r="AOF219" s="76"/>
      <c r="AOG219" s="76"/>
      <c r="AOH219" s="76"/>
      <c r="AOI219" s="76"/>
      <c r="AOJ219" s="76"/>
      <c r="AOK219" s="76"/>
      <c r="AOL219" s="76"/>
      <c r="AOM219" s="76"/>
      <c r="AON219" s="76"/>
      <c r="AOO219" s="76"/>
      <c r="AOP219" s="76"/>
      <c r="AOQ219" s="76"/>
      <c r="AOR219" s="76"/>
      <c r="AOS219" s="76"/>
      <c r="AOT219" s="76"/>
      <c r="AOU219" s="76"/>
      <c r="AOV219" s="76"/>
      <c r="AOW219" s="76"/>
      <c r="AOX219" s="76"/>
      <c r="AOY219" s="76"/>
      <c r="AOZ219" s="76"/>
      <c r="APA219" s="76"/>
      <c r="APB219" s="76"/>
      <c r="APC219" s="76"/>
      <c r="APD219" s="76"/>
      <c r="APE219" s="76"/>
      <c r="APF219" s="76"/>
      <c r="APG219" s="76"/>
      <c r="APH219" s="76"/>
      <c r="API219" s="76"/>
      <c r="APJ219" s="76"/>
      <c r="APK219" s="76"/>
      <c r="APL219" s="76"/>
      <c r="APM219" s="76"/>
      <c r="APN219" s="76"/>
      <c r="APO219" s="76"/>
      <c r="APP219" s="76"/>
      <c r="APQ219" s="76"/>
      <c r="APR219" s="76"/>
      <c r="APS219" s="76"/>
      <c r="APT219" s="76"/>
      <c r="APU219" s="76"/>
      <c r="APV219" s="76"/>
      <c r="APW219" s="76"/>
      <c r="APX219" s="76"/>
      <c r="APY219" s="76"/>
      <c r="APZ219" s="76"/>
      <c r="AQA219" s="76"/>
      <c r="AQB219" s="76"/>
      <c r="AQC219" s="76"/>
      <c r="AQD219" s="76"/>
      <c r="AQE219" s="76"/>
      <c r="AQF219" s="76"/>
      <c r="AQG219" s="76"/>
      <c r="AQH219" s="76"/>
      <c r="AQI219" s="76"/>
      <c r="AQJ219" s="76"/>
      <c r="AQK219" s="76"/>
      <c r="AQL219" s="76"/>
      <c r="AQM219" s="76"/>
      <c r="AQN219" s="76"/>
      <c r="AQO219" s="76"/>
      <c r="AQP219" s="76"/>
      <c r="AQQ219" s="76"/>
      <c r="AQR219" s="76"/>
      <c r="AQS219" s="76"/>
      <c r="AQT219" s="76"/>
      <c r="AQU219" s="76"/>
      <c r="AQV219" s="76"/>
      <c r="AQW219" s="76"/>
      <c r="AQX219" s="76"/>
      <c r="AQY219" s="76"/>
      <c r="AQZ219" s="76"/>
      <c r="ARA219" s="76"/>
      <c r="ARB219" s="76"/>
      <c r="ARC219" s="76"/>
      <c r="ARD219" s="76"/>
      <c r="ARE219" s="76"/>
      <c r="ARF219" s="76"/>
      <c r="ARG219" s="76"/>
      <c r="ARH219" s="76"/>
      <c r="ARI219" s="76"/>
      <c r="ARJ219" s="76"/>
      <c r="ARK219" s="76"/>
      <c r="ARL219" s="76"/>
      <c r="ARM219" s="76"/>
      <c r="ARN219" s="76"/>
      <c r="ARO219" s="76"/>
      <c r="ARP219" s="76"/>
      <c r="ARQ219" s="76"/>
      <c r="ARR219" s="76"/>
      <c r="ARS219" s="76"/>
      <c r="ART219" s="76"/>
      <c r="ARU219" s="76"/>
      <c r="ARV219" s="76"/>
      <c r="ARW219" s="76"/>
      <c r="ARX219" s="76"/>
      <c r="ARY219" s="76"/>
      <c r="ARZ219" s="76"/>
      <c r="ASA219" s="76"/>
      <c r="ASB219" s="76"/>
      <c r="ASC219" s="76"/>
      <c r="ASD219" s="76"/>
      <c r="ASE219" s="76"/>
      <c r="ASF219" s="76"/>
      <c r="ASG219" s="76"/>
      <c r="ASH219" s="76"/>
      <c r="ASI219" s="76"/>
      <c r="ASJ219" s="76"/>
      <c r="ASK219" s="76"/>
      <c r="ASL219" s="76"/>
      <c r="ASM219" s="76"/>
      <c r="ASN219" s="76"/>
      <c r="ASO219" s="76"/>
      <c r="ASP219" s="76"/>
      <c r="ASQ219" s="76"/>
      <c r="ASR219" s="76"/>
      <c r="ASS219" s="76"/>
      <c r="AST219" s="76"/>
      <c r="ASU219" s="76"/>
      <c r="ASV219" s="76"/>
      <c r="ASW219" s="76"/>
      <c r="ASX219" s="76"/>
      <c r="ASY219" s="76"/>
      <c r="ASZ219" s="76"/>
      <c r="ATA219" s="76"/>
      <c r="ATB219" s="76"/>
      <c r="ATC219" s="76"/>
      <c r="ATD219" s="76"/>
      <c r="ATE219" s="76"/>
      <c r="ATF219" s="76"/>
      <c r="ATG219" s="76"/>
      <c r="ATH219" s="76"/>
      <c r="ATI219" s="76"/>
      <c r="ATJ219" s="76"/>
      <c r="ATK219" s="76"/>
      <c r="ATL219" s="76"/>
      <c r="ATM219" s="76"/>
      <c r="ATN219" s="76"/>
      <c r="ATO219" s="76"/>
      <c r="ATP219" s="76"/>
      <c r="ATQ219" s="76"/>
      <c r="ATR219" s="76"/>
      <c r="ATS219" s="76"/>
      <c r="ATT219" s="76"/>
      <c r="ATU219" s="76"/>
      <c r="ATV219" s="76"/>
      <c r="ATW219" s="76"/>
      <c r="ATX219" s="76"/>
      <c r="ATY219" s="76"/>
      <c r="ATZ219" s="76"/>
      <c r="AUA219" s="76"/>
      <c r="AUB219" s="76"/>
      <c r="AUC219" s="76"/>
      <c r="AUD219" s="76"/>
      <c r="AUE219" s="76"/>
      <c r="AUF219" s="76"/>
      <c r="AUG219" s="76"/>
      <c r="AUH219" s="76"/>
      <c r="AUI219" s="76"/>
      <c r="AUJ219" s="76"/>
      <c r="AUK219" s="76"/>
      <c r="AUL219" s="76"/>
      <c r="AUM219" s="76"/>
      <c r="AUN219" s="76"/>
      <c r="AUO219" s="76"/>
      <c r="AUP219" s="76"/>
      <c r="AUQ219" s="76"/>
      <c r="AUR219" s="76"/>
      <c r="AUS219" s="76"/>
      <c r="AUT219" s="76"/>
      <c r="AUU219" s="76"/>
      <c r="AUV219" s="76"/>
      <c r="AUW219" s="76"/>
      <c r="AUX219" s="76"/>
      <c r="AUY219" s="76"/>
      <c r="AUZ219" s="76"/>
      <c r="AVA219" s="76"/>
      <c r="AVB219" s="76"/>
      <c r="AVC219" s="76"/>
      <c r="AVD219" s="76"/>
      <c r="AVE219" s="76"/>
      <c r="AVF219" s="76"/>
      <c r="AVG219" s="76"/>
      <c r="AVH219" s="76"/>
      <c r="AVI219" s="76"/>
      <c r="AVJ219" s="76"/>
      <c r="AVK219" s="76"/>
      <c r="AVL219" s="76"/>
      <c r="AVM219" s="76"/>
      <c r="AVN219" s="76"/>
      <c r="AVO219" s="76"/>
      <c r="AVP219" s="76"/>
      <c r="AVQ219" s="76"/>
      <c r="AVR219" s="76"/>
      <c r="AVS219" s="76"/>
      <c r="AVT219" s="76"/>
      <c r="AVU219" s="76"/>
      <c r="AVV219" s="76"/>
      <c r="AVW219" s="76"/>
      <c r="AVX219" s="76"/>
      <c r="AVY219" s="76"/>
      <c r="AVZ219" s="76"/>
      <c r="AWA219" s="76"/>
      <c r="AWB219" s="76"/>
      <c r="AWC219" s="76"/>
      <c r="AWD219" s="76"/>
      <c r="AWE219" s="76"/>
      <c r="AWF219" s="76"/>
      <c r="AWG219" s="76"/>
      <c r="AWH219" s="76"/>
      <c r="AWI219" s="76"/>
      <c r="AWJ219" s="76"/>
      <c r="AWK219" s="76"/>
      <c r="AWL219" s="76"/>
      <c r="AWM219" s="76"/>
      <c r="AWN219" s="76"/>
      <c r="AWO219" s="76"/>
      <c r="AWP219" s="76"/>
      <c r="AWQ219" s="76"/>
      <c r="AWR219" s="76"/>
      <c r="AWS219" s="76"/>
      <c r="AWT219" s="76"/>
      <c r="AWU219" s="76"/>
      <c r="AWV219" s="76"/>
      <c r="AWW219" s="76"/>
      <c r="AWX219" s="76"/>
      <c r="AWY219" s="76"/>
      <c r="AWZ219" s="76"/>
      <c r="AXA219" s="76"/>
      <c r="AXB219" s="76"/>
      <c r="AXC219" s="76"/>
      <c r="AXD219" s="76"/>
      <c r="AXE219" s="76"/>
      <c r="AXF219" s="76"/>
      <c r="AXG219" s="76"/>
      <c r="AXH219" s="76"/>
      <c r="AXI219" s="76"/>
      <c r="AXJ219" s="76"/>
      <c r="AXK219" s="76"/>
      <c r="AXL219" s="76"/>
      <c r="AXM219" s="76"/>
      <c r="AXN219" s="76"/>
      <c r="AXO219" s="76"/>
      <c r="AXP219" s="76"/>
      <c r="AXQ219" s="76"/>
      <c r="AXR219" s="76"/>
      <c r="AXS219" s="76"/>
      <c r="AXT219" s="76"/>
      <c r="AXU219" s="76"/>
      <c r="AXV219" s="76"/>
      <c r="AXW219" s="76"/>
      <c r="AXX219" s="76"/>
      <c r="AXY219" s="76"/>
      <c r="AXZ219" s="76"/>
      <c r="AYA219" s="76"/>
      <c r="AYB219" s="76"/>
      <c r="AYC219" s="76"/>
      <c r="AYD219" s="76"/>
      <c r="AYE219" s="76"/>
      <c r="AYF219" s="76"/>
      <c r="AYG219" s="76"/>
      <c r="AYH219" s="76"/>
      <c r="AYI219" s="76"/>
      <c r="AYJ219" s="76"/>
      <c r="AYK219" s="76"/>
      <c r="AYL219" s="76"/>
      <c r="AYM219" s="76"/>
      <c r="AYN219" s="76"/>
      <c r="AYO219" s="76"/>
      <c r="AYP219" s="76"/>
      <c r="AYQ219" s="76"/>
      <c r="AYR219" s="76"/>
      <c r="AYS219" s="76"/>
      <c r="AYT219" s="76"/>
      <c r="AYU219" s="76"/>
      <c r="AYV219" s="76"/>
      <c r="AYW219" s="76"/>
      <c r="AYX219" s="76"/>
      <c r="AYY219" s="76"/>
      <c r="AYZ219" s="76"/>
      <c r="AZA219" s="76"/>
      <c r="AZB219" s="76"/>
      <c r="AZC219" s="76"/>
      <c r="AZD219" s="76"/>
      <c r="AZE219" s="76"/>
      <c r="AZF219" s="76"/>
      <c r="AZG219" s="76"/>
      <c r="AZH219" s="76"/>
      <c r="AZI219" s="76"/>
      <c r="AZJ219" s="76"/>
      <c r="AZK219" s="76"/>
      <c r="AZL219" s="76"/>
      <c r="AZM219" s="76"/>
      <c r="AZN219" s="76"/>
      <c r="AZO219" s="76"/>
      <c r="AZP219" s="76"/>
      <c r="AZQ219" s="76"/>
      <c r="AZR219" s="76"/>
      <c r="AZS219" s="76"/>
      <c r="AZT219" s="76"/>
      <c r="AZU219" s="76"/>
      <c r="AZV219" s="76"/>
      <c r="AZW219" s="76"/>
      <c r="AZX219" s="76"/>
      <c r="AZY219" s="76"/>
      <c r="AZZ219" s="76"/>
      <c r="BAA219" s="76"/>
      <c r="BAB219" s="76"/>
      <c r="BAC219" s="76"/>
      <c r="BAD219" s="76"/>
      <c r="BAE219" s="76"/>
      <c r="BAF219" s="76"/>
      <c r="BAG219" s="76"/>
      <c r="BAH219" s="76"/>
      <c r="BAI219" s="76"/>
      <c r="BAJ219" s="76"/>
      <c r="BAK219" s="76"/>
      <c r="BAL219" s="76"/>
      <c r="BAM219" s="76"/>
      <c r="BAN219" s="76"/>
      <c r="BAO219" s="76"/>
      <c r="BAP219" s="76"/>
      <c r="BAQ219" s="76"/>
      <c r="BAR219" s="76"/>
      <c r="BAS219" s="76"/>
      <c r="BAT219" s="76"/>
      <c r="BAU219" s="76"/>
      <c r="BAV219" s="76"/>
      <c r="BAW219" s="76"/>
      <c r="BAX219" s="76"/>
      <c r="BAY219" s="76"/>
      <c r="BAZ219" s="76"/>
      <c r="BBA219" s="76"/>
      <c r="BBB219" s="76"/>
      <c r="BBC219" s="76"/>
      <c r="BBD219" s="76"/>
      <c r="BBE219" s="76"/>
      <c r="BBF219" s="76"/>
      <c r="BBG219" s="76"/>
      <c r="BBH219" s="76"/>
      <c r="BBI219" s="76"/>
      <c r="BBJ219" s="76"/>
      <c r="BBK219" s="76"/>
      <c r="BBL219" s="76"/>
      <c r="BBM219" s="76"/>
      <c r="BBN219" s="76"/>
      <c r="BBO219" s="76"/>
      <c r="BBP219" s="76"/>
      <c r="BBQ219" s="76"/>
      <c r="BBR219" s="76"/>
      <c r="BBS219" s="76"/>
      <c r="BBT219" s="76"/>
      <c r="BBU219" s="76"/>
      <c r="BBV219" s="76"/>
      <c r="BBW219" s="76"/>
      <c r="BBX219" s="76"/>
      <c r="BBY219" s="76"/>
      <c r="BBZ219" s="76"/>
      <c r="BCA219" s="76"/>
      <c r="BCB219" s="76"/>
      <c r="BCC219" s="76"/>
      <c r="BCD219" s="76"/>
      <c r="BCE219" s="76"/>
      <c r="BCF219" s="76"/>
      <c r="BCG219" s="76"/>
      <c r="BCH219" s="76"/>
      <c r="BCI219" s="76"/>
      <c r="BCJ219" s="76"/>
      <c r="BCK219" s="76"/>
      <c r="BCL219" s="76"/>
      <c r="BCM219" s="76"/>
      <c r="BCN219" s="76"/>
      <c r="BCO219" s="76"/>
      <c r="BCP219" s="76"/>
      <c r="BCQ219" s="76"/>
      <c r="BCR219" s="76"/>
      <c r="BCS219" s="76"/>
      <c r="BCT219" s="76"/>
      <c r="BCU219" s="76"/>
      <c r="BCV219" s="76"/>
      <c r="BCW219" s="76"/>
      <c r="BCX219" s="76"/>
      <c r="BCY219" s="76"/>
      <c r="BCZ219" s="76"/>
      <c r="BDA219" s="76"/>
      <c r="BDB219" s="76"/>
      <c r="BDC219" s="76"/>
      <c r="BDD219" s="76"/>
      <c r="BDE219" s="76"/>
      <c r="BDF219" s="76"/>
      <c r="BDG219" s="76"/>
      <c r="BDH219" s="76"/>
      <c r="BDI219" s="76"/>
      <c r="BDJ219" s="76"/>
      <c r="BDK219" s="76"/>
      <c r="BDL219" s="76"/>
      <c r="BDM219" s="76"/>
      <c r="BDN219" s="76"/>
      <c r="BDO219" s="76"/>
      <c r="BDP219" s="76"/>
      <c r="BDQ219" s="76"/>
      <c r="BDR219" s="76"/>
      <c r="BDS219" s="76"/>
      <c r="BDT219" s="76"/>
      <c r="BDU219" s="76"/>
      <c r="BDV219" s="76"/>
      <c r="BDW219" s="76"/>
      <c r="BDX219" s="76"/>
      <c r="BDY219" s="76"/>
      <c r="BDZ219" s="76"/>
      <c r="BEA219" s="76"/>
      <c r="BEB219" s="76"/>
      <c r="BEC219" s="76"/>
      <c r="BED219" s="76"/>
      <c r="BEE219" s="76"/>
      <c r="BEF219" s="76"/>
      <c r="BEG219" s="76"/>
      <c r="BEH219" s="76"/>
      <c r="BEI219" s="76"/>
      <c r="BEJ219" s="76"/>
      <c r="BEK219" s="76"/>
      <c r="BEL219" s="76"/>
      <c r="BEM219" s="76"/>
      <c r="BEN219" s="76"/>
      <c r="BEO219" s="76"/>
      <c r="BEP219" s="76"/>
      <c r="BEQ219" s="76"/>
      <c r="BER219" s="76"/>
      <c r="BES219" s="76"/>
      <c r="BET219" s="76"/>
      <c r="BEU219" s="76"/>
      <c r="BEV219" s="76"/>
      <c r="BEW219" s="76"/>
      <c r="BEX219" s="76"/>
      <c r="BEY219" s="76"/>
      <c r="BEZ219" s="76"/>
      <c r="BFA219" s="76"/>
      <c r="BFB219" s="76"/>
      <c r="BFC219" s="76"/>
      <c r="BFD219" s="76"/>
      <c r="BFE219" s="76"/>
      <c r="BFF219" s="76"/>
      <c r="BFG219" s="76"/>
      <c r="BFH219" s="76"/>
      <c r="BFI219" s="76"/>
      <c r="BFJ219" s="76"/>
      <c r="BFK219" s="76"/>
      <c r="BFL219" s="76"/>
      <c r="BFM219" s="76"/>
      <c r="BFN219" s="76"/>
      <c r="BFO219" s="76"/>
      <c r="BFP219" s="76"/>
      <c r="BFQ219" s="76"/>
      <c r="BFR219" s="76"/>
      <c r="BFS219" s="76"/>
      <c r="BFT219" s="76"/>
      <c r="BFU219" s="76"/>
      <c r="BFV219" s="76"/>
      <c r="BFW219" s="76"/>
      <c r="BFX219" s="76"/>
      <c r="BFY219" s="76"/>
      <c r="BFZ219" s="76"/>
      <c r="BGA219" s="76"/>
      <c r="BGB219" s="76"/>
      <c r="BGC219" s="76"/>
      <c r="BGD219" s="76"/>
      <c r="BGE219" s="76"/>
      <c r="BGF219" s="76"/>
      <c r="BGG219" s="76"/>
      <c r="BGH219" s="76"/>
      <c r="BGI219" s="76"/>
      <c r="BGJ219" s="76"/>
      <c r="BGK219" s="76"/>
      <c r="BGL219" s="76"/>
      <c r="BGM219" s="76"/>
      <c r="BGN219" s="76"/>
      <c r="BGO219" s="76"/>
      <c r="BGP219" s="76"/>
      <c r="BGQ219" s="76"/>
      <c r="BGR219" s="76"/>
      <c r="BGS219" s="76"/>
      <c r="BGT219" s="76"/>
      <c r="BGU219" s="76"/>
      <c r="BGV219" s="76"/>
      <c r="BGW219" s="76"/>
      <c r="BGX219" s="76"/>
      <c r="BGY219" s="76"/>
      <c r="BGZ219" s="76"/>
      <c r="BHA219" s="76"/>
      <c r="BHB219" s="76"/>
      <c r="BHC219" s="76"/>
      <c r="BHD219" s="76"/>
      <c r="BHE219" s="76"/>
      <c r="BHF219" s="76"/>
      <c r="BHG219" s="76"/>
      <c r="BHH219" s="76"/>
      <c r="BHI219" s="76"/>
      <c r="BHJ219" s="76"/>
      <c r="BHK219" s="76"/>
      <c r="BHL219" s="76"/>
      <c r="BHM219" s="76"/>
      <c r="BHN219" s="76"/>
      <c r="BHO219" s="76"/>
      <c r="BHP219" s="76"/>
      <c r="BHQ219" s="76"/>
      <c r="BHR219" s="76"/>
      <c r="BHS219" s="76"/>
      <c r="BHT219" s="76"/>
      <c r="BHU219" s="76"/>
      <c r="BHV219" s="76"/>
      <c r="BHW219" s="76"/>
      <c r="BHX219" s="76"/>
      <c r="BHY219" s="76"/>
      <c r="BHZ219" s="76"/>
      <c r="BIA219" s="76"/>
      <c r="BIB219" s="76"/>
      <c r="BIC219" s="76"/>
      <c r="BID219" s="76"/>
      <c r="BIE219" s="76"/>
      <c r="BIF219" s="76"/>
      <c r="BIG219" s="76"/>
      <c r="BIH219" s="76"/>
      <c r="BII219" s="76"/>
      <c r="BIJ219" s="76"/>
      <c r="BIK219" s="76"/>
      <c r="BIL219" s="76"/>
      <c r="BIM219" s="76"/>
      <c r="BIN219" s="76"/>
      <c r="BIO219" s="76"/>
      <c r="BIP219" s="76"/>
      <c r="BIQ219" s="76"/>
      <c r="BIR219" s="76"/>
      <c r="BIS219" s="76"/>
      <c r="BIT219" s="76"/>
      <c r="BIU219" s="76"/>
      <c r="BIV219" s="76"/>
      <c r="BIW219" s="76"/>
      <c r="BIX219" s="76"/>
      <c r="BIY219" s="76"/>
      <c r="BIZ219" s="76"/>
      <c r="BJA219" s="76"/>
      <c r="BJB219" s="76"/>
      <c r="BJC219" s="76"/>
      <c r="BJD219" s="76"/>
      <c r="BJE219" s="76"/>
      <c r="BJF219" s="76"/>
      <c r="BJG219" s="76"/>
      <c r="BJH219" s="76"/>
      <c r="BJI219" s="76"/>
      <c r="BJJ219" s="76"/>
      <c r="BJK219" s="76"/>
      <c r="BJL219" s="76"/>
      <c r="BJM219" s="76"/>
      <c r="BJN219" s="76"/>
      <c r="BJO219" s="76"/>
      <c r="BJP219" s="76"/>
      <c r="BJQ219" s="76"/>
      <c r="BJR219" s="76"/>
      <c r="BJS219" s="76"/>
      <c r="BJT219" s="76"/>
      <c r="BJU219" s="76"/>
      <c r="BJV219" s="76"/>
      <c r="BJW219" s="76"/>
      <c r="BJX219" s="76"/>
      <c r="BJY219" s="76"/>
      <c r="BJZ219" s="76"/>
      <c r="BKA219" s="76"/>
      <c r="BKB219" s="76"/>
      <c r="BKC219" s="76"/>
      <c r="BKD219" s="76"/>
      <c r="BKE219" s="76"/>
      <c r="BKF219" s="76"/>
      <c r="BKG219" s="76"/>
      <c r="BKH219" s="76"/>
      <c r="BKI219" s="76"/>
      <c r="BKJ219" s="76"/>
      <c r="BKK219" s="76"/>
      <c r="BKL219" s="76"/>
      <c r="BKM219" s="76"/>
      <c r="BKN219" s="76"/>
      <c r="BKO219" s="76"/>
      <c r="BKP219" s="76"/>
      <c r="BKQ219" s="76"/>
      <c r="BKR219" s="76"/>
      <c r="BKS219" s="76"/>
      <c r="BKT219" s="76"/>
      <c r="BKU219" s="76"/>
      <c r="BKV219" s="76"/>
      <c r="BKW219" s="76"/>
      <c r="BKX219" s="76"/>
      <c r="BKY219" s="76"/>
      <c r="BKZ219" s="76"/>
      <c r="BLA219" s="76"/>
      <c r="BLB219" s="76"/>
      <c r="BLC219" s="76"/>
      <c r="BLD219" s="76"/>
      <c r="BLE219" s="76"/>
      <c r="BLF219" s="76"/>
      <c r="BLG219" s="76"/>
      <c r="BLH219" s="76"/>
      <c r="BLI219" s="76"/>
      <c r="BLJ219" s="76"/>
      <c r="BLK219" s="76"/>
      <c r="BLL219" s="76"/>
      <c r="BLM219" s="76"/>
      <c r="BLN219" s="76"/>
      <c r="BLO219" s="76"/>
      <c r="BLP219" s="76"/>
      <c r="BLQ219" s="76"/>
      <c r="BLR219" s="76"/>
      <c r="BLS219" s="76"/>
      <c r="BLT219" s="76"/>
      <c r="BLU219" s="76"/>
      <c r="BLV219" s="76"/>
      <c r="BLW219" s="76"/>
      <c r="BLX219" s="76"/>
      <c r="BLY219" s="76"/>
      <c r="BLZ219" s="76"/>
      <c r="BMA219" s="76"/>
      <c r="BMB219" s="76"/>
      <c r="BMC219" s="76"/>
      <c r="BMD219" s="76"/>
      <c r="BME219" s="76"/>
      <c r="BMF219" s="76"/>
      <c r="BMG219" s="76"/>
      <c r="BMH219" s="76"/>
      <c r="BMI219" s="76"/>
      <c r="BMJ219" s="76"/>
      <c r="BMK219" s="76"/>
      <c r="BML219" s="76"/>
      <c r="BMM219" s="76"/>
      <c r="BMN219" s="76"/>
      <c r="BMO219" s="76"/>
      <c r="BMP219" s="76"/>
      <c r="BMQ219" s="76"/>
      <c r="BMR219" s="76"/>
      <c r="BMS219" s="76"/>
      <c r="BMT219" s="76"/>
      <c r="BMU219" s="76"/>
      <c r="BMV219" s="76"/>
      <c r="BMW219" s="76"/>
      <c r="BMX219" s="76"/>
      <c r="BMY219" s="76"/>
      <c r="BMZ219" s="76"/>
      <c r="BNA219" s="76"/>
      <c r="BNB219" s="76"/>
      <c r="BNC219" s="76"/>
      <c r="BND219" s="76"/>
      <c r="BNE219" s="76"/>
      <c r="BNF219" s="76"/>
      <c r="BNG219" s="76"/>
      <c r="BNH219" s="76"/>
      <c r="BNI219" s="76"/>
      <c r="BNJ219" s="76"/>
      <c r="BNK219" s="76"/>
      <c r="BNL219" s="76"/>
      <c r="BNM219" s="76"/>
      <c r="BNN219" s="76"/>
      <c r="BNO219" s="76"/>
      <c r="BNP219" s="76"/>
      <c r="BNQ219" s="76"/>
      <c r="BNR219" s="76"/>
      <c r="BNS219" s="76"/>
      <c r="BNT219" s="76"/>
      <c r="BNU219" s="76"/>
      <c r="BNV219" s="76"/>
      <c r="BNW219" s="76"/>
      <c r="BNX219" s="76"/>
      <c r="BNY219" s="76"/>
      <c r="BNZ219" s="76"/>
      <c r="BOA219" s="76"/>
      <c r="BOB219" s="76"/>
      <c r="BOC219" s="76"/>
      <c r="BOD219" s="76"/>
      <c r="BOE219" s="76"/>
      <c r="BOF219" s="76"/>
      <c r="BOG219" s="76"/>
      <c r="BOH219" s="76"/>
      <c r="BOI219" s="76"/>
      <c r="BOJ219" s="76"/>
      <c r="BOK219" s="76"/>
      <c r="BOL219" s="76"/>
      <c r="BOM219" s="76"/>
      <c r="BON219" s="76"/>
      <c r="BOO219" s="76"/>
      <c r="BOP219" s="76"/>
      <c r="BOQ219" s="76"/>
      <c r="BOR219" s="76"/>
      <c r="BOS219" s="76"/>
      <c r="BOT219" s="76"/>
      <c r="BOU219" s="76"/>
      <c r="BOV219" s="76"/>
      <c r="BOW219" s="76"/>
      <c r="BOX219" s="76"/>
      <c r="BOY219" s="76"/>
      <c r="BOZ219" s="76"/>
      <c r="BPA219" s="76"/>
      <c r="BPB219" s="76"/>
      <c r="BPC219" s="76"/>
      <c r="BPD219" s="76"/>
      <c r="BPE219" s="76"/>
      <c r="BPF219" s="76"/>
      <c r="BPG219" s="76"/>
      <c r="BPH219" s="76"/>
      <c r="BPI219" s="76"/>
      <c r="BPJ219" s="76"/>
      <c r="BPK219" s="76"/>
      <c r="BPL219" s="76"/>
      <c r="BPM219" s="76"/>
      <c r="BPN219" s="76"/>
      <c r="BPO219" s="76"/>
      <c r="BPP219" s="76"/>
      <c r="BPQ219" s="76"/>
      <c r="BPR219" s="76"/>
      <c r="BPS219" s="76"/>
      <c r="BPT219" s="76"/>
      <c r="BPU219" s="76"/>
      <c r="BPV219" s="76"/>
      <c r="BPW219" s="76"/>
      <c r="BPX219" s="76"/>
      <c r="BPY219" s="76"/>
      <c r="BPZ219" s="76"/>
      <c r="BQA219" s="76"/>
      <c r="BQB219" s="76"/>
      <c r="BQC219" s="76"/>
      <c r="BQD219" s="76"/>
      <c r="BQE219" s="76"/>
      <c r="BQF219" s="76"/>
      <c r="BQG219" s="76"/>
      <c r="BQH219" s="76"/>
      <c r="BQI219" s="76"/>
      <c r="BQJ219" s="76"/>
      <c r="BQK219" s="76"/>
      <c r="BQL219" s="76"/>
      <c r="BQM219" s="76"/>
      <c r="BQN219" s="76"/>
      <c r="BQO219" s="76"/>
      <c r="BQP219" s="76"/>
      <c r="BQQ219" s="76"/>
      <c r="BQR219" s="76"/>
      <c r="BQS219" s="76"/>
      <c r="BQT219" s="76"/>
      <c r="BQU219" s="76"/>
      <c r="BQV219" s="76"/>
      <c r="BQW219" s="76"/>
      <c r="BQX219" s="76"/>
      <c r="BQY219" s="76"/>
      <c r="BQZ219" s="76"/>
      <c r="BRA219" s="76"/>
      <c r="BRB219" s="76"/>
      <c r="BRC219" s="76"/>
      <c r="BRD219" s="76"/>
      <c r="BRE219" s="76"/>
      <c r="BRF219" s="76"/>
      <c r="BRG219" s="76"/>
      <c r="BRH219" s="76"/>
      <c r="BRI219" s="76"/>
      <c r="BRJ219" s="76"/>
      <c r="BRK219" s="76"/>
      <c r="BRL219" s="76"/>
      <c r="BRM219" s="76"/>
      <c r="BRN219" s="76"/>
      <c r="BRO219" s="76"/>
      <c r="BRP219" s="76"/>
      <c r="BRQ219" s="76"/>
      <c r="BRR219" s="76"/>
      <c r="BRS219" s="76"/>
      <c r="BRT219" s="76"/>
      <c r="BRU219" s="76"/>
      <c r="BRV219" s="76"/>
      <c r="BRW219" s="76"/>
      <c r="BRX219" s="76"/>
      <c r="BRY219" s="76"/>
      <c r="BRZ219" s="76"/>
      <c r="BSA219" s="76"/>
      <c r="BSB219" s="76"/>
      <c r="BSC219" s="76"/>
      <c r="BSD219" s="76"/>
      <c r="BSE219" s="76"/>
      <c r="BSF219" s="76"/>
      <c r="BSG219" s="76"/>
      <c r="BSH219" s="76"/>
      <c r="BSI219" s="76"/>
      <c r="BSJ219" s="76"/>
      <c r="BSK219" s="76"/>
      <c r="BSL219" s="76"/>
      <c r="BSM219" s="76"/>
      <c r="BSN219" s="76"/>
      <c r="BSO219" s="76"/>
      <c r="BSP219" s="76"/>
      <c r="BSQ219" s="76"/>
      <c r="BSR219" s="76"/>
      <c r="BSS219" s="76"/>
      <c r="BST219" s="76"/>
      <c r="BSU219" s="76"/>
      <c r="BSV219" s="76"/>
      <c r="BSW219" s="76"/>
      <c r="BSX219" s="76"/>
      <c r="BSY219" s="76"/>
      <c r="BSZ219" s="76"/>
      <c r="BTA219" s="76"/>
      <c r="BTB219" s="76"/>
      <c r="BTC219" s="76"/>
      <c r="BTD219" s="76"/>
      <c r="BTE219" s="76"/>
      <c r="BTF219" s="76"/>
      <c r="BTG219" s="76"/>
      <c r="BTH219" s="76"/>
      <c r="BTI219" s="76"/>
      <c r="BTJ219" s="76"/>
      <c r="BTK219" s="76"/>
      <c r="BTL219" s="76"/>
      <c r="BTM219" s="76"/>
      <c r="BTN219" s="76"/>
      <c r="BTO219" s="76"/>
      <c r="BTP219" s="76"/>
      <c r="BTQ219" s="76"/>
      <c r="BTR219" s="76"/>
      <c r="BTS219" s="76"/>
      <c r="BTT219" s="76"/>
      <c r="BTU219" s="76"/>
      <c r="BTV219" s="76"/>
      <c r="BTW219" s="76"/>
      <c r="BTX219" s="76"/>
      <c r="BTY219" s="76"/>
      <c r="BTZ219" s="76"/>
      <c r="BUA219" s="76"/>
      <c r="BUB219" s="76"/>
      <c r="BUC219" s="76"/>
      <c r="BUD219" s="76"/>
      <c r="BUE219" s="76"/>
      <c r="BUF219" s="76"/>
      <c r="BUG219" s="76"/>
      <c r="BUH219" s="76"/>
      <c r="BUI219" s="76"/>
      <c r="BUJ219" s="76"/>
      <c r="BUK219" s="76"/>
      <c r="BUL219" s="76"/>
      <c r="BUM219" s="76"/>
      <c r="BUN219" s="76"/>
      <c r="BUO219" s="76"/>
      <c r="BUP219" s="76"/>
      <c r="BUQ219" s="76"/>
      <c r="BUR219" s="76"/>
      <c r="BUS219" s="76"/>
      <c r="BUT219" s="76"/>
      <c r="BUU219" s="76"/>
      <c r="BUV219" s="76"/>
      <c r="BUW219" s="76"/>
      <c r="BUX219" s="76"/>
      <c r="BUY219" s="76"/>
      <c r="BUZ219" s="76"/>
      <c r="BVA219" s="76"/>
      <c r="BVB219" s="76"/>
      <c r="BVC219" s="76"/>
      <c r="BVD219" s="76"/>
      <c r="BVE219" s="76"/>
      <c r="BVF219" s="76"/>
      <c r="BVG219" s="76"/>
      <c r="BVH219" s="76"/>
      <c r="BVI219" s="76"/>
      <c r="BVJ219" s="76"/>
      <c r="BVK219" s="76"/>
      <c r="BVL219" s="76"/>
      <c r="BVM219" s="76"/>
      <c r="BVN219" s="76"/>
      <c r="BVO219" s="76"/>
      <c r="BVP219" s="76"/>
      <c r="BVQ219" s="76"/>
      <c r="BVR219" s="76"/>
      <c r="BVS219" s="76"/>
      <c r="BVT219" s="76"/>
      <c r="BVU219" s="76"/>
      <c r="BVV219" s="76"/>
      <c r="BVW219" s="76"/>
      <c r="BVX219" s="76"/>
      <c r="BVY219" s="76"/>
      <c r="BVZ219" s="76"/>
      <c r="BWA219" s="76"/>
      <c r="BWB219" s="76"/>
      <c r="BWC219" s="76"/>
      <c r="BWD219" s="76"/>
      <c r="BWE219" s="76"/>
      <c r="BWF219" s="76"/>
      <c r="BWG219" s="76"/>
      <c r="BWH219" s="76"/>
      <c r="BWI219" s="76"/>
      <c r="BWJ219" s="76"/>
      <c r="BWK219" s="76"/>
      <c r="BWL219" s="76"/>
      <c r="BWM219" s="76"/>
      <c r="BWN219" s="76"/>
      <c r="BWO219" s="76"/>
      <c r="BWP219" s="76"/>
      <c r="BWQ219" s="76"/>
      <c r="BWR219" s="76"/>
      <c r="BWS219" s="76"/>
      <c r="BWT219" s="76"/>
      <c r="BWU219" s="76"/>
      <c r="BWV219" s="76"/>
      <c r="BWW219" s="76"/>
      <c r="BWX219" s="76"/>
      <c r="BWY219" s="76"/>
      <c r="BWZ219" s="76"/>
      <c r="BXA219" s="76"/>
      <c r="BXB219" s="76"/>
      <c r="BXC219" s="76"/>
      <c r="BXD219" s="76"/>
      <c r="BXE219" s="76"/>
      <c r="BXF219" s="76"/>
      <c r="BXG219" s="76"/>
      <c r="BXH219" s="76"/>
      <c r="BXI219" s="76"/>
      <c r="BXJ219" s="76"/>
      <c r="BXK219" s="76"/>
      <c r="BXL219" s="76"/>
      <c r="BXM219" s="76"/>
      <c r="BXN219" s="76"/>
      <c r="BXO219" s="76"/>
      <c r="BXP219" s="76"/>
      <c r="BXQ219" s="76"/>
      <c r="BXR219" s="76"/>
      <c r="BXS219" s="76"/>
      <c r="BXT219" s="76"/>
      <c r="BXU219" s="76"/>
      <c r="BXV219" s="76"/>
      <c r="BXW219" s="76"/>
      <c r="BXX219" s="76"/>
      <c r="BXY219" s="76"/>
      <c r="BXZ219" s="76"/>
      <c r="BYA219" s="76"/>
      <c r="BYB219" s="76"/>
      <c r="BYC219" s="76"/>
      <c r="BYD219" s="76"/>
      <c r="BYE219" s="76"/>
      <c r="BYF219" s="76"/>
      <c r="BYG219" s="76"/>
      <c r="BYH219" s="76"/>
      <c r="BYI219" s="76"/>
      <c r="BYJ219" s="76"/>
      <c r="BYK219" s="76"/>
      <c r="BYL219" s="76"/>
      <c r="BYM219" s="76"/>
      <c r="BYN219" s="76"/>
      <c r="BYO219" s="76"/>
      <c r="BYP219" s="76"/>
      <c r="BYQ219" s="76"/>
      <c r="BYR219" s="76"/>
      <c r="BYS219" s="76"/>
      <c r="BYT219" s="76"/>
      <c r="BYU219" s="76"/>
      <c r="BYV219" s="76"/>
      <c r="BYW219" s="76"/>
      <c r="BYX219" s="76"/>
      <c r="BYY219" s="76"/>
      <c r="BYZ219" s="76"/>
      <c r="BZA219" s="76"/>
      <c r="BZB219" s="76"/>
      <c r="BZC219" s="76"/>
      <c r="BZD219" s="76"/>
      <c r="BZE219" s="76"/>
      <c r="BZF219" s="76"/>
      <c r="BZG219" s="76"/>
      <c r="BZH219" s="76"/>
      <c r="BZI219" s="76"/>
      <c r="BZJ219" s="76"/>
      <c r="BZK219" s="76"/>
      <c r="BZL219" s="76"/>
      <c r="BZM219" s="76"/>
      <c r="BZN219" s="76"/>
      <c r="BZO219" s="76"/>
      <c r="BZP219" s="76"/>
      <c r="BZQ219" s="76"/>
      <c r="BZR219" s="76"/>
      <c r="BZS219" s="76"/>
      <c r="BZT219" s="76"/>
      <c r="BZU219" s="76"/>
      <c r="BZV219" s="76"/>
      <c r="BZW219" s="76"/>
      <c r="BZX219" s="76"/>
      <c r="BZY219" s="76"/>
      <c r="BZZ219" s="76"/>
      <c r="CAA219" s="76"/>
      <c r="CAB219" s="76"/>
      <c r="CAC219" s="76"/>
      <c r="CAD219" s="76"/>
      <c r="CAE219" s="76"/>
      <c r="CAF219" s="76"/>
      <c r="CAG219" s="76"/>
      <c r="CAH219" s="76"/>
      <c r="CAI219" s="76"/>
      <c r="CAJ219" s="76"/>
      <c r="CAK219" s="76"/>
      <c r="CAL219" s="76"/>
      <c r="CAM219" s="76"/>
      <c r="CAN219" s="76"/>
      <c r="CAO219" s="76"/>
      <c r="CAP219" s="76"/>
      <c r="CAQ219" s="76"/>
      <c r="CAR219" s="76"/>
      <c r="CAS219" s="76"/>
      <c r="CAT219" s="76"/>
      <c r="CAU219" s="76"/>
      <c r="CAV219" s="76"/>
      <c r="CAW219" s="76"/>
      <c r="CAX219" s="76"/>
      <c r="CAY219" s="76"/>
      <c r="CAZ219" s="76"/>
      <c r="CBA219" s="76"/>
      <c r="CBB219" s="76"/>
      <c r="CBC219" s="76"/>
      <c r="CBD219" s="76"/>
      <c r="CBE219" s="76"/>
      <c r="CBF219" s="76"/>
      <c r="CBG219" s="76"/>
      <c r="CBH219" s="76"/>
      <c r="CBI219" s="76"/>
      <c r="CBJ219" s="76"/>
      <c r="CBK219" s="76"/>
      <c r="CBL219" s="76"/>
      <c r="CBM219" s="76"/>
      <c r="CBN219" s="76"/>
      <c r="CBO219" s="76"/>
      <c r="CBP219" s="76"/>
      <c r="CBQ219" s="76"/>
      <c r="CBR219" s="76"/>
      <c r="CBS219" s="76"/>
      <c r="CBT219" s="76"/>
      <c r="CBU219" s="76"/>
      <c r="CBV219" s="76"/>
      <c r="CBW219" s="76"/>
      <c r="CBX219" s="76"/>
      <c r="CBY219" s="76"/>
      <c r="CBZ219" s="76"/>
      <c r="CCA219" s="76"/>
      <c r="CCB219" s="76"/>
      <c r="CCC219" s="76"/>
      <c r="CCD219" s="76"/>
      <c r="CCE219" s="76"/>
      <c r="CCF219" s="76"/>
      <c r="CCG219" s="76"/>
      <c r="CCH219" s="76"/>
      <c r="CCI219" s="76"/>
      <c r="CCJ219" s="76"/>
      <c r="CCK219" s="76"/>
      <c r="CCL219" s="76"/>
      <c r="CCM219" s="76"/>
      <c r="CCN219" s="76"/>
      <c r="CCO219" s="76"/>
      <c r="CCP219" s="76"/>
      <c r="CCQ219" s="76"/>
      <c r="CCR219" s="76"/>
      <c r="CCS219" s="76"/>
      <c r="CCT219" s="76"/>
      <c r="CCU219" s="76"/>
      <c r="CCV219" s="76"/>
      <c r="CCW219" s="76"/>
      <c r="CCX219" s="76"/>
      <c r="CCY219" s="76"/>
      <c r="CCZ219" s="76"/>
      <c r="CDA219" s="76"/>
      <c r="CDB219" s="76"/>
      <c r="CDC219" s="76"/>
      <c r="CDD219" s="76"/>
      <c r="CDE219" s="76"/>
      <c r="CDF219" s="76"/>
      <c r="CDG219" s="76"/>
      <c r="CDH219" s="76"/>
      <c r="CDI219" s="76"/>
      <c r="CDJ219" s="76"/>
      <c r="CDK219" s="76"/>
      <c r="CDL219" s="76"/>
      <c r="CDM219" s="76"/>
      <c r="CDN219" s="76"/>
      <c r="CDO219" s="76"/>
      <c r="CDP219" s="76"/>
      <c r="CDQ219" s="76"/>
      <c r="CDR219" s="76"/>
      <c r="CDS219" s="76"/>
      <c r="CDT219" s="76"/>
      <c r="CDU219" s="76"/>
      <c r="CDV219" s="76"/>
      <c r="CDW219" s="76"/>
      <c r="CDX219" s="76"/>
      <c r="CDY219" s="76"/>
      <c r="CDZ219" s="76"/>
      <c r="CEA219" s="76"/>
      <c r="CEB219" s="76"/>
      <c r="CEC219" s="76"/>
      <c r="CED219" s="76"/>
      <c r="CEE219" s="76"/>
      <c r="CEF219" s="76"/>
      <c r="CEG219" s="76"/>
      <c r="CEH219" s="76"/>
      <c r="CEI219" s="76"/>
      <c r="CEJ219" s="76"/>
      <c r="CEK219" s="76"/>
      <c r="CEL219" s="76"/>
      <c r="CEM219" s="76"/>
      <c r="CEN219" s="76"/>
      <c r="CEO219" s="76"/>
      <c r="CEP219" s="76"/>
      <c r="CEQ219" s="76"/>
      <c r="CER219" s="76"/>
      <c r="CES219" s="76"/>
      <c r="CET219" s="76"/>
      <c r="CEU219" s="76"/>
      <c r="CEV219" s="76"/>
      <c r="CEW219" s="76"/>
      <c r="CEX219" s="76"/>
      <c r="CEY219" s="76"/>
      <c r="CEZ219" s="76"/>
      <c r="CFA219" s="76"/>
      <c r="CFB219" s="76"/>
      <c r="CFC219" s="76"/>
      <c r="CFD219" s="76"/>
      <c r="CFE219" s="76"/>
      <c r="CFF219" s="76"/>
      <c r="CFG219" s="76"/>
      <c r="CFH219" s="76"/>
      <c r="CFI219" s="76"/>
      <c r="CFJ219" s="76"/>
      <c r="CFK219" s="76"/>
      <c r="CFL219" s="76"/>
      <c r="CFM219" s="76"/>
      <c r="CFN219" s="76"/>
      <c r="CFO219" s="76"/>
      <c r="CFP219" s="76"/>
      <c r="CFQ219" s="76"/>
      <c r="CFR219" s="76"/>
      <c r="CFS219" s="76"/>
      <c r="CFT219" s="76"/>
      <c r="CFU219" s="76"/>
      <c r="CFV219" s="76"/>
      <c r="CFW219" s="76"/>
      <c r="CFX219" s="76"/>
      <c r="CFY219" s="76"/>
      <c r="CFZ219" s="76"/>
      <c r="CGA219" s="76"/>
      <c r="CGB219" s="76"/>
      <c r="CGC219" s="76"/>
      <c r="CGD219" s="76"/>
      <c r="CGE219" s="76"/>
      <c r="CGF219" s="76"/>
      <c r="CGG219" s="76"/>
      <c r="CGH219" s="76"/>
      <c r="CGI219" s="76"/>
      <c r="CGJ219" s="76"/>
      <c r="CGK219" s="76"/>
      <c r="CGL219" s="76"/>
      <c r="CGM219" s="76"/>
      <c r="CGN219" s="76"/>
      <c r="CGO219" s="76"/>
      <c r="CGP219" s="76"/>
      <c r="CGQ219" s="76"/>
      <c r="CGR219" s="76"/>
      <c r="CGS219" s="76"/>
      <c r="CGT219" s="76"/>
      <c r="CGU219" s="76"/>
      <c r="CGV219" s="76"/>
      <c r="CGW219" s="76"/>
      <c r="CGX219" s="76"/>
      <c r="CGY219" s="76"/>
      <c r="CGZ219" s="76"/>
      <c r="CHA219" s="76"/>
      <c r="CHB219" s="76"/>
      <c r="CHC219" s="76"/>
      <c r="CHD219" s="76"/>
      <c r="CHE219" s="76"/>
      <c r="CHF219" s="76"/>
      <c r="CHG219" s="76"/>
      <c r="CHH219" s="76"/>
      <c r="CHI219" s="76"/>
      <c r="CHJ219" s="76"/>
      <c r="CHK219" s="76"/>
      <c r="CHL219" s="76"/>
      <c r="CHM219" s="76"/>
      <c r="CHN219" s="76"/>
      <c r="CHO219" s="76"/>
      <c r="CHP219" s="76"/>
      <c r="CHQ219" s="76"/>
      <c r="CHR219" s="76"/>
      <c r="CHS219" s="76"/>
      <c r="CHT219" s="76"/>
      <c r="CHU219" s="76"/>
      <c r="CHV219" s="76"/>
      <c r="CHW219" s="76"/>
      <c r="CHX219" s="76"/>
      <c r="CHY219" s="76"/>
      <c r="CHZ219" s="76"/>
      <c r="CIA219" s="76"/>
      <c r="CIB219" s="76"/>
      <c r="CIC219" s="76"/>
      <c r="CID219" s="76"/>
      <c r="CIE219" s="76"/>
      <c r="CIF219" s="76"/>
      <c r="CIG219" s="76"/>
      <c r="CIH219" s="76"/>
      <c r="CII219" s="76"/>
      <c r="CIJ219" s="76"/>
      <c r="CIK219" s="76"/>
      <c r="CIL219" s="76"/>
      <c r="CIM219" s="76"/>
      <c r="CIN219" s="76"/>
      <c r="CIO219" s="76"/>
      <c r="CIP219" s="76"/>
      <c r="CIQ219" s="76"/>
      <c r="CIR219" s="76"/>
      <c r="CIS219" s="76"/>
      <c r="CIT219" s="76"/>
      <c r="CIU219" s="76"/>
      <c r="CIV219" s="76"/>
      <c r="CIW219" s="76"/>
      <c r="CIX219" s="76"/>
      <c r="CIY219" s="76"/>
      <c r="CIZ219" s="76"/>
      <c r="CJA219" s="76"/>
      <c r="CJB219" s="76"/>
      <c r="CJC219" s="76"/>
      <c r="CJD219" s="76"/>
      <c r="CJE219" s="76"/>
      <c r="CJF219" s="76"/>
      <c r="CJG219" s="76"/>
      <c r="CJH219" s="76"/>
      <c r="CJI219" s="76"/>
      <c r="CJJ219" s="76"/>
      <c r="CJK219" s="76"/>
      <c r="CJL219" s="76"/>
      <c r="CJM219" s="76"/>
      <c r="CJN219" s="76"/>
      <c r="CJO219" s="76"/>
      <c r="CJP219" s="76"/>
      <c r="CJQ219" s="76"/>
      <c r="CJR219" s="76"/>
      <c r="CJS219" s="76"/>
      <c r="CJT219" s="76"/>
      <c r="CJU219" s="76"/>
      <c r="CJV219" s="76"/>
      <c r="CJW219" s="76"/>
      <c r="CJX219" s="76"/>
      <c r="CJY219" s="76"/>
      <c r="CJZ219" s="76"/>
      <c r="CKA219" s="76"/>
      <c r="CKB219" s="76"/>
      <c r="CKC219" s="76"/>
      <c r="CKD219" s="76"/>
      <c r="CKE219" s="76"/>
      <c r="CKF219" s="76"/>
      <c r="CKG219" s="76"/>
      <c r="CKH219" s="76"/>
      <c r="CKI219" s="76"/>
      <c r="CKJ219" s="76"/>
      <c r="CKK219" s="76"/>
      <c r="CKL219" s="76"/>
      <c r="CKM219" s="76"/>
      <c r="CKN219" s="76"/>
      <c r="CKO219" s="76"/>
      <c r="CKP219" s="76"/>
      <c r="CKQ219" s="76"/>
      <c r="CKR219" s="76"/>
      <c r="CKS219" s="76"/>
      <c r="CKT219" s="76"/>
      <c r="CKU219" s="76"/>
      <c r="CKV219" s="76"/>
      <c r="CKW219" s="76"/>
      <c r="CKX219" s="76"/>
      <c r="CKY219" s="76"/>
      <c r="CKZ219" s="76"/>
      <c r="CLA219" s="76"/>
      <c r="CLB219" s="76"/>
      <c r="CLC219" s="76"/>
      <c r="CLD219" s="76"/>
      <c r="CLE219" s="76"/>
      <c r="CLF219" s="76"/>
      <c r="CLG219" s="76"/>
      <c r="CLH219" s="76"/>
      <c r="CLI219" s="76"/>
      <c r="CLJ219" s="76"/>
      <c r="CLK219" s="76"/>
      <c r="CLL219" s="76"/>
      <c r="CLM219" s="76"/>
      <c r="CLN219" s="76"/>
      <c r="CLO219" s="76"/>
      <c r="CLP219" s="76"/>
      <c r="CLQ219" s="76"/>
      <c r="CLR219" s="76"/>
      <c r="CLS219" s="76"/>
      <c r="CLT219" s="76"/>
      <c r="CLU219" s="76"/>
      <c r="CLV219" s="76"/>
      <c r="CLW219" s="76"/>
      <c r="CLX219" s="76"/>
      <c r="CLY219" s="76"/>
      <c r="CLZ219" s="76"/>
      <c r="CMA219" s="76"/>
      <c r="CMB219" s="76"/>
      <c r="CMC219" s="76"/>
      <c r="CMD219" s="76"/>
      <c r="CME219" s="76"/>
      <c r="CMF219" s="76"/>
      <c r="CMG219" s="76"/>
      <c r="CMH219" s="76"/>
      <c r="CMI219" s="76"/>
      <c r="CMJ219" s="76"/>
      <c r="CMK219" s="76"/>
      <c r="CML219" s="76"/>
      <c r="CMM219" s="76"/>
      <c r="CMN219" s="76"/>
      <c r="CMO219" s="76"/>
      <c r="CMP219" s="76"/>
      <c r="CMQ219" s="76"/>
      <c r="CMR219" s="76"/>
      <c r="CMS219" s="76"/>
      <c r="CMT219" s="76"/>
      <c r="CMU219" s="76"/>
      <c r="CMV219" s="76"/>
      <c r="CMW219" s="76"/>
      <c r="CMX219" s="76"/>
      <c r="CMY219" s="76"/>
      <c r="CMZ219" s="76"/>
      <c r="CNA219" s="76"/>
      <c r="CNB219" s="76"/>
      <c r="CNC219" s="76"/>
      <c r="CND219" s="76"/>
      <c r="CNE219" s="76"/>
      <c r="CNF219" s="76"/>
      <c r="CNG219" s="76"/>
      <c r="CNH219" s="76"/>
      <c r="CNI219" s="76"/>
      <c r="CNJ219" s="76"/>
      <c r="CNK219" s="76"/>
      <c r="CNL219" s="76"/>
      <c r="CNM219" s="76"/>
      <c r="CNN219" s="76"/>
      <c r="CNO219" s="76"/>
      <c r="CNP219" s="76"/>
      <c r="CNQ219" s="76"/>
      <c r="CNR219" s="76"/>
      <c r="CNS219" s="76"/>
      <c r="CNT219" s="76"/>
      <c r="CNU219" s="76"/>
      <c r="CNV219" s="76"/>
      <c r="CNW219" s="76"/>
      <c r="CNX219" s="76"/>
      <c r="CNY219" s="76"/>
      <c r="CNZ219" s="76"/>
      <c r="COA219" s="76"/>
      <c r="COB219" s="76"/>
      <c r="COC219" s="76"/>
      <c r="COD219" s="76"/>
      <c r="COE219" s="76"/>
      <c r="COF219" s="76"/>
      <c r="COG219" s="76"/>
      <c r="COH219" s="76"/>
      <c r="COI219" s="76"/>
      <c r="COJ219" s="76"/>
      <c r="COK219" s="76"/>
      <c r="COL219" s="76"/>
      <c r="COM219" s="76"/>
      <c r="CON219" s="76"/>
      <c r="COO219" s="76"/>
      <c r="COP219" s="76"/>
      <c r="COQ219" s="76"/>
      <c r="COR219" s="76"/>
      <c r="COS219" s="76"/>
      <c r="COT219" s="76"/>
      <c r="COU219" s="76"/>
      <c r="COV219" s="76"/>
      <c r="COW219" s="76"/>
      <c r="COX219" s="76"/>
      <c r="COY219" s="76"/>
      <c r="COZ219" s="76"/>
      <c r="CPA219" s="76"/>
      <c r="CPB219" s="76"/>
      <c r="CPC219" s="76"/>
      <c r="CPD219" s="76"/>
      <c r="CPE219" s="76"/>
      <c r="CPF219" s="76"/>
      <c r="CPG219" s="76"/>
      <c r="CPH219" s="76"/>
      <c r="CPI219" s="76"/>
      <c r="CPJ219" s="76"/>
      <c r="CPK219" s="76"/>
      <c r="CPL219" s="76"/>
      <c r="CPM219" s="76"/>
      <c r="CPN219" s="76"/>
      <c r="CPO219" s="76"/>
      <c r="CPP219" s="76"/>
      <c r="CPQ219" s="76"/>
      <c r="CPR219" s="76"/>
      <c r="CPS219" s="76"/>
      <c r="CPT219" s="76"/>
      <c r="CPU219" s="76"/>
      <c r="CPV219" s="76"/>
      <c r="CPW219" s="76"/>
      <c r="CPX219" s="76"/>
      <c r="CPY219" s="76"/>
      <c r="CPZ219" s="76"/>
      <c r="CQA219" s="76"/>
      <c r="CQB219" s="76"/>
      <c r="CQC219" s="76"/>
      <c r="CQD219" s="76"/>
      <c r="CQE219" s="76"/>
      <c r="CQF219" s="76"/>
      <c r="CQG219" s="76"/>
      <c r="CQH219" s="76"/>
      <c r="CQI219" s="76"/>
      <c r="CQJ219" s="76"/>
      <c r="CQK219" s="76"/>
      <c r="CQL219" s="76"/>
      <c r="CQM219" s="76"/>
      <c r="CQN219" s="76"/>
      <c r="CQO219" s="76"/>
      <c r="CQP219" s="76"/>
      <c r="CQQ219" s="76"/>
      <c r="CQR219" s="76"/>
      <c r="CQS219" s="76"/>
      <c r="CQT219" s="76"/>
      <c r="CQU219" s="76"/>
      <c r="CQV219" s="76"/>
      <c r="CQW219" s="76"/>
      <c r="CQX219" s="76"/>
      <c r="CQY219" s="76"/>
      <c r="CQZ219" s="76"/>
      <c r="CRA219" s="76"/>
      <c r="CRB219" s="76"/>
      <c r="CRC219" s="76"/>
      <c r="CRD219" s="76"/>
      <c r="CRE219" s="76"/>
      <c r="CRF219" s="76"/>
      <c r="CRG219" s="76"/>
      <c r="CRH219" s="76"/>
      <c r="CRI219" s="76"/>
      <c r="CRJ219" s="76"/>
      <c r="CRK219" s="76"/>
      <c r="CRL219" s="76"/>
      <c r="CRM219" s="76"/>
      <c r="CRN219" s="76"/>
      <c r="CRO219" s="76"/>
      <c r="CRP219" s="76"/>
      <c r="CRQ219" s="76"/>
      <c r="CRR219" s="76"/>
      <c r="CRS219" s="76"/>
      <c r="CRT219" s="76"/>
      <c r="CRU219" s="76"/>
      <c r="CRV219" s="76"/>
      <c r="CRW219" s="76"/>
      <c r="CRX219" s="76"/>
      <c r="CRY219" s="76"/>
      <c r="CRZ219" s="76"/>
      <c r="CSA219" s="76"/>
      <c r="CSB219" s="76"/>
      <c r="CSC219" s="76"/>
      <c r="CSD219" s="76"/>
      <c r="CSE219" s="76"/>
      <c r="CSF219" s="76"/>
      <c r="CSG219" s="76"/>
      <c r="CSH219" s="76"/>
      <c r="CSI219" s="76"/>
      <c r="CSJ219" s="76"/>
      <c r="CSK219" s="76"/>
      <c r="CSL219" s="76"/>
      <c r="CSM219" s="76"/>
      <c r="CSN219" s="76"/>
      <c r="CSO219" s="76"/>
      <c r="CSP219" s="76"/>
      <c r="CSQ219" s="76"/>
      <c r="CSR219" s="76"/>
      <c r="CSS219" s="76"/>
      <c r="CST219" s="76"/>
      <c r="CSU219" s="76"/>
      <c r="CSV219" s="76"/>
      <c r="CSW219" s="76"/>
      <c r="CSX219" s="76"/>
      <c r="CSY219" s="76"/>
      <c r="CSZ219" s="76"/>
      <c r="CTA219" s="76"/>
      <c r="CTB219" s="76"/>
      <c r="CTC219" s="76"/>
      <c r="CTD219" s="76"/>
      <c r="CTE219" s="76"/>
      <c r="CTF219" s="76"/>
      <c r="CTG219" s="76"/>
      <c r="CTH219" s="76"/>
      <c r="CTI219" s="76"/>
      <c r="CTJ219" s="76"/>
      <c r="CTK219" s="76"/>
      <c r="CTL219" s="76"/>
      <c r="CTM219" s="76"/>
      <c r="CTN219" s="76"/>
      <c r="CTO219" s="76"/>
      <c r="CTP219" s="76"/>
      <c r="CTQ219" s="76"/>
      <c r="CTR219" s="76"/>
      <c r="CTS219" s="76"/>
      <c r="CTT219" s="76"/>
      <c r="CTU219" s="76"/>
      <c r="CTV219" s="76"/>
      <c r="CTW219" s="76"/>
      <c r="CTX219" s="76"/>
      <c r="CTY219" s="76"/>
      <c r="CTZ219" s="76"/>
      <c r="CUA219" s="76"/>
      <c r="CUB219" s="76"/>
      <c r="CUC219" s="76"/>
      <c r="CUD219" s="76"/>
      <c r="CUE219" s="76"/>
      <c r="CUF219" s="76"/>
      <c r="CUG219" s="76"/>
      <c r="CUH219" s="76"/>
      <c r="CUI219" s="76"/>
      <c r="CUJ219" s="76"/>
      <c r="CUK219" s="76"/>
      <c r="CUL219" s="76"/>
      <c r="CUM219" s="76"/>
      <c r="CUN219" s="76"/>
      <c r="CUO219" s="76"/>
      <c r="CUP219" s="76"/>
      <c r="CUQ219" s="76"/>
      <c r="CUR219" s="76"/>
      <c r="CUS219" s="76"/>
      <c r="CUT219" s="76"/>
      <c r="CUU219" s="76"/>
      <c r="CUV219" s="76"/>
      <c r="CUW219" s="76"/>
      <c r="CUX219" s="76"/>
      <c r="CUY219" s="76"/>
      <c r="CUZ219" s="76"/>
      <c r="CVA219" s="76"/>
      <c r="CVB219" s="76"/>
      <c r="CVC219" s="76"/>
      <c r="CVD219" s="76"/>
      <c r="CVE219" s="76"/>
      <c r="CVF219" s="76"/>
      <c r="CVG219" s="76"/>
      <c r="CVH219" s="76"/>
      <c r="CVI219" s="76"/>
      <c r="CVJ219" s="76"/>
      <c r="CVK219" s="76"/>
      <c r="CVL219" s="76"/>
      <c r="CVM219" s="76"/>
      <c r="CVN219" s="76"/>
      <c r="CVO219" s="76"/>
      <c r="CVP219" s="76"/>
      <c r="CVQ219" s="76"/>
      <c r="CVR219" s="76"/>
      <c r="CVS219" s="76"/>
      <c r="CVT219" s="76"/>
      <c r="CVU219" s="76"/>
      <c r="CVV219" s="76"/>
      <c r="CVW219" s="76"/>
      <c r="CVX219" s="76"/>
      <c r="CVY219" s="76"/>
      <c r="CVZ219" s="76"/>
      <c r="CWA219" s="76"/>
      <c r="CWB219" s="76"/>
      <c r="CWC219" s="76"/>
      <c r="CWD219" s="76"/>
      <c r="CWE219" s="76"/>
      <c r="CWF219" s="76"/>
      <c r="CWG219" s="76"/>
      <c r="CWH219" s="76"/>
      <c r="CWI219" s="76"/>
      <c r="CWJ219" s="76"/>
      <c r="CWK219" s="76"/>
      <c r="CWL219" s="76"/>
      <c r="CWM219" s="76"/>
      <c r="CWN219" s="76"/>
      <c r="CWO219" s="76"/>
      <c r="CWP219" s="76"/>
      <c r="CWQ219" s="76"/>
      <c r="CWR219" s="76"/>
      <c r="CWS219" s="76"/>
      <c r="CWT219" s="76"/>
      <c r="CWU219" s="76"/>
      <c r="CWV219" s="76"/>
      <c r="CWW219" s="76"/>
      <c r="CWX219" s="76"/>
      <c r="CWY219" s="76"/>
      <c r="CWZ219" s="76"/>
      <c r="CXA219" s="76"/>
      <c r="CXB219" s="76"/>
      <c r="CXC219" s="76"/>
      <c r="CXD219" s="76"/>
      <c r="CXE219" s="76"/>
      <c r="CXF219" s="76"/>
      <c r="CXG219" s="76"/>
      <c r="CXH219" s="76"/>
      <c r="CXI219" s="76"/>
      <c r="CXJ219" s="76"/>
      <c r="CXK219" s="76"/>
      <c r="CXL219" s="76"/>
      <c r="CXM219" s="76"/>
      <c r="CXN219" s="76"/>
      <c r="CXO219" s="76"/>
      <c r="CXP219" s="76"/>
      <c r="CXQ219" s="76"/>
      <c r="CXR219" s="76"/>
      <c r="CXS219" s="76"/>
      <c r="CXT219" s="76"/>
      <c r="CXU219" s="76"/>
      <c r="CXV219" s="76"/>
      <c r="CXW219" s="76"/>
      <c r="CXX219" s="76"/>
      <c r="CXY219" s="76"/>
      <c r="CXZ219" s="76"/>
      <c r="CYA219" s="76"/>
      <c r="CYB219" s="76"/>
      <c r="CYC219" s="76"/>
      <c r="CYD219" s="76"/>
      <c r="CYE219" s="76"/>
      <c r="CYF219" s="76"/>
      <c r="CYG219" s="76"/>
      <c r="CYH219" s="76"/>
      <c r="CYI219" s="76"/>
      <c r="CYJ219" s="76"/>
      <c r="CYK219" s="76"/>
      <c r="CYL219" s="76"/>
      <c r="CYM219" s="76"/>
      <c r="CYN219" s="76"/>
      <c r="CYO219" s="76"/>
      <c r="CYP219" s="76"/>
      <c r="CYQ219" s="76"/>
      <c r="CYR219" s="76"/>
      <c r="CYS219" s="76"/>
      <c r="CYT219" s="76"/>
      <c r="CYU219" s="76"/>
      <c r="CYV219" s="76"/>
      <c r="CYW219" s="76"/>
      <c r="CYX219" s="76"/>
      <c r="CYY219" s="76"/>
      <c r="CYZ219" s="76"/>
      <c r="CZA219" s="76"/>
      <c r="CZB219" s="76"/>
      <c r="CZC219" s="76"/>
      <c r="CZD219" s="76"/>
      <c r="CZE219" s="76"/>
      <c r="CZF219" s="76"/>
      <c r="CZG219" s="76"/>
      <c r="CZH219" s="76"/>
      <c r="CZI219" s="76"/>
      <c r="CZJ219" s="76"/>
      <c r="CZK219" s="76"/>
      <c r="CZL219" s="76"/>
      <c r="CZM219" s="76"/>
      <c r="CZN219" s="76"/>
      <c r="CZO219" s="76"/>
      <c r="CZP219" s="76"/>
      <c r="CZQ219" s="76"/>
      <c r="CZR219" s="76"/>
      <c r="CZS219" s="76"/>
      <c r="CZT219" s="76"/>
      <c r="CZU219" s="76"/>
      <c r="CZV219" s="76"/>
      <c r="CZW219" s="76"/>
      <c r="CZX219" s="76"/>
      <c r="CZY219" s="76"/>
      <c r="CZZ219" s="76"/>
      <c r="DAA219" s="76"/>
      <c r="DAB219" s="76"/>
      <c r="DAC219" s="76"/>
      <c r="DAD219" s="76"/>
      <c r="DAE219" s="76"/>
      <c r="DAF219" s="76"/>
      <c r="DAG219" s="76"/>
      <c r="DAH219" s="76"/>
      <c r="DAI219" s="76"/>
      <c r="DAJ219" s="76"/>
      <c r="DAK219" s="76"/>
      <c r="DAL219" s="76"/>
      <c r="DAM219" s="76"/>
      <c r="DAN219" s="76"/>
      <c r="DAO219" s="76"/>
      <c r="DAP219" s="76"/>
      <c r="DAQ219" s="76"/>
      <c r="DAR219" s="76"/>
      <c r="DAS219" s="76"/>
      <c r="DAT219" s="76"/>
      <c r="DAU219" s="76"/>
      <c r="DAV219" s="76"/>
      <c r="DAW219" s="76"/>
      <c r="DAX219" s="76"/>
      <c r="DAY219" s="76"/>
      <c r="DAZ219" s="76"/>
      <c r="DBA219" s="76"/>
      <c r="DBB219" s="76"/>
      <c r="DBC219" s="76"/>
      <c r="DBD219" s="76"/>
      <c r="DBE219" s="76"/>
      <c r="DBF219" s="76"/>
      <c r="DBG219" s="76"/>
      <c r="DBH219" s="76"/>
      <c r="DBI219" s="76"/>
      <c r="DBJ219" s="76"/>
      <c r="DBK219" s="76"/>
      <c r="DBL219" s="76"/>
      <c r="DBM219" s="76"/>
      <c r="DBN219" s="76"/>
      <c r="DBO219" s="76"/>
      <c r="DBP219" s="76"/>
      <c r="DBQ219" s="76"/>
      <c r="DBR219" s="76"/>
      <c r="DBS219" s="76"/>
      <c r="DBT219" s="76"/>
      <c r="DBU219" s="76"/>
      <c r="DBV219" s="76"/>
      <c r="DBW219" s="76"/>
      <c r="DBX219" s="76"/>
      <c r="DBY219" s="76"/>
      <c r="DBZ219" s="76"/>
      <c r="DCA219" s="76"/>
      <c r="DCB219" s="76"/>
      <c r="DCC219" s="76"/>
      <c r="DCD219" s="76"/>
      <c r="DCE219" s="76"/>
      <c r="DCF219" s="76"/>
      <c r="DCG219" s="76"/>
      <c r="DCH219" s="76"/>
      <c r="DCI219" s="76"/>
      <c r="DCJ219" s="76"/>
      <c r="DCK219" s="76"/>
      <c r="DCL219" s="76"/>
      <c r="DCM219" s="76"/>
      <c r="DCN219" s="76"/>
      <c r="DCO219" s="76"/>
      <c r="DCP219" s="76"/>
      <c r="DCQ219" s="76"/>
      <c r="DCR219" s="76"/>
      <c r="DCS219" s="76"/>
      <c r="DCT219" s="76"/>
      <c r="DCU219" s="76"/>
      <c r="DCV219" s="76"/>
      <c r="DCW219" s="76"/>
      <c r="DCX219" s="76"/>
      <c r="DCY219" s="76"/>
      <c r="DCZ219" s="76"/>
      <c r="DDA219" s="76"/>
      <c r="DDB219" s="76"/>
      <c r="DDC219" s="76"/>
      <c r="DDD219" s="76"/>
      <c r="DDE219" s="76"/>
      <c r="DDF219" s="76"/>
      <c r="DDG219" s="76"/>
      <c r="DDH219" s="76"/>
      <c r="DDI219" s="76"/>
      <c r="DDJ219" s="76"/>
      <c r="DDK219" s="76"/>
      <c r="DDL219" s="76"/>
      <c r="DDM219" s="76"/>
      <c r="DDN219" s="76"/>
      <c r="DDO219" s="76"/>
      <c r="DDP219" s="76"/>
      <c r="DDQ219" s="76"/>
      <c r="DDR219" s="76"/>
      <c r="DDS219" s="76"/>
      <c r="DDT219" s="76"/>
      <c r="DDU219" s="76"/>
      <c r="DDV219" s="76"/>
      <c r="DDW219" s="76"/>
      <c r="DDX219" s="76"/>
      <c r="DDY219" s="76"/>
      <c r="DDZ219" s="76"/>
      <c r="DEA219" s="76"/>
      <c r="DEB219" s="76"/>
      <c r="DEC219" s="76"/>
      <c r="DED219" s="76"/>
      <c r="DEE219" s="76"/>
      <c r="DEF219" s="76"/>
      <c r="DEG219" s="76"/>
      <c r="DEH219" s="76"/>
      <c r="DEI219" s="76"/>
      <c r="DEJ219" s="76"/>
      <c r="DEK219" s="76"/>
      <c r="DEL219" s="76"/>
      <c r="DEM219" s="76"/>
      <c r="DEN219" s="76"/>
      <c r="DEO219" s="76"/>
      <c r="DEP219" s="76"/>
      <c r="DEQ219" s="76"/>
      <c r="DER219" s="76"/>
      <c r="DES219" s="76"/>
      <c r="DET219" s="76"/>
      <c r="DEU219" s="76"/>
      <c r="DEV219" s="76"/>
      <c r="DEW219" s="76"/>
      <c r="DEX219" s="76"/>
      <c r="DEY219" s="76"/>
      <c r="DEZ219" s="76"/>
      <c r="DFA219" s="76"/>
      <c r="DFB219" s="76"/>
      <c r="DFC219" s="76"/>
      <c r="DFD219" s="76"/>
      <c r="DFE219" s="76"/>
      <c r="DFF219" s="76"/>
      <c r="DFG219" s="76"/>
      <c r="DFH219" s="76"/>
      <c r="DFI219" s="76"/>
      <c r="DFJ219" s="76"/>
      <c r="DFK219" s="76"/>
      <c r="DFL219" s="76"/>
      <c r="DFM219" s="76"/>
      <c r="DFN219" s="76"/>
      <c r="DFO219" s="76"/>
      <c r="DFP219" s="76"/>
      <c r="DFQ219" s="76"/>
      <c r="DFR219" s="76"/>
      <c r="DFS219" s="76"/>
      <c r="DFT219" s="76"/>
      <c r="DFU219" s="76"/>
      <c r="DFV219" s="76"/>
      <c r="DFW219" s="76"/>
      <c r="DFX219" s="76"/>
      <c r="DFY219" s="76"/>
      <c r="DFZ219" s="76"/>
      <c r="DGA219" s="76"/>
      <c r="DGB219" s="76"/>
      <c r="DGC219" s="76"/>
      <c r="DGD219" s="76"/>
      <c r="DGE219" s="76"/>
      <c r="DGF219" s="76"/>
      <c r="DGG219" s="76"/>
      <c r="DGH219" s="76"/>
      <c r="DGI219" s="76"/>
      <c r="DGJ219" s="76"/>
      <c r="DGK219" s="76"/>
      <c r="DGL219" s="76"/>
      <c r="DGM219" s="76"/>
      <c r="DGN219" s="76"/>
      <c r="DGO219" s="76"/>
      <c r="DGP219" s="76"/>
      <c r="DGQ219" s="76"/>
      <c r="DGR219" s="76"/>
      <c r="DGS219" s="76"/>
      <c r="DGT219" s="76"/>
      <c r="DGU219" s="76"/>
      <c r="DGV219" s="76"/>
      <c r="DGW219" s="76"/>
      <c r="DGX219" s="76"/>
      <c r="DGY219" s="76"/>
      <c r="DGZ219" s="76"/>
      <c r="DHA219" s="76"/>
      <c r="DHB219" s="76"/>
      <c r="DHC219" s="76"/>
      <c r="DHD219" s="76"/>
      <c r="DHE219" s="76"/>
      <c r="DHF219" s="76"/>
      <c r="DHG219" s="76"/>
      <c r="DHH219" s="76"/>
      <c r="DHI219" s="76"/>
      <c r="DHJ219" s="76"/>
      <c r="DHK219" s="76"/>
      <c r="DHL219" s="76"/>
      <c r="DHM219" s="76"/>
      <c r="DHN219" s="76"/>
      <c r="DHO219" s="76"/>
      <c r="DHP219" s="76"/>
      <c r="DHQ219" s="76"/>
      <c r="DHR219" s="76"/>
      <c r="DHS219" s="76"/>
      <c r="DHT219" s="76"/>
      <c r="DHU219" s="76"/>
      <c r="DHV219" s="76"/>
      <c r="DHW219" s="76"/>
      <c r="DHX219" s="76"/>
      <c r="DHY219" s="76"/>
      <c r="DHZ219" s="76"/>
      <c r="DIA219" s="76"/>
      <c r="DIB219" s="76"/>
      <c r="DIC219" s="76"/>
      <c r="DID219" s="76"/>
      <c r="DIE219" s="76"/>
      <c r="DIF219" s="76"/>
      <c r="DIG219" s="76"/>
      <c r="DIH219" s="76"/>
      <c r="DII219" s="76"/>
      <c r="DIJ219" s="76"/>
      <c r="DIK219" s="76"/>
      <c r="DIL219" s="76"/>
      <c r="DIM219" s="76"/>
      <c r="DIN219" s="76"/>
      <c r="DIO219" s="76"/>
      <c r="DIP219" s="76"/>
      <c r="DIQ219" s="76"/>
      <c r="DIR219" s="76"/>
      <c r="DIS219" s="76"/>
      <c r="DIT219" s="76"/>
      <c r="DIU219" s="76"/>
      <c r="DIV219" s="76"/>
      <c r="DIW219" s="76"/>
      <c r="DIX219" s="76"/>
      <c r="DIY219" s="76"/>
      <c r="DIZ219" s="76"/>
      <c r="DJA219" s="76"/>
      <c r="DJB219" s="76"/>
      <c r="DJC219" s="76"/>
      <c r="DJD219" s="76"/>
      <c r="DJE219" s="76"/>
      <c r="DJF219" s="76"/>
      <c r="DJG219" s="76"/>
      <c r="DJH219" s="76"/>
      <c r="DJI219" s="76"/>
      <c r="DJJ219" s="76"/>
      <c r="DJK219" s="76"/>
      <c r="DJL219" s="76"/>
      <c r="DJM219" s="76"/>
      <c r="DJN219" s="76"/>
      <c r="DJO219" s="76"/>
      <c r="DJP219" s="76"/>
      <c r="DJQ219" s="76"/>
      <c r="DJR219" s="76"/>
      <c r="DJS219" s="76"/>
      <c r="DJT219" s="76"/>
      <c r="DJU219" s="76"/>
      <c r="DJV219" s="76"/>
      <c r="DJW219" s="76"/>
      <c r="DJX219" s="76"/>
      <c r="DJY219" s="76"/>
      <c r="DJZ219" s="76"/>
      <c r="DKA219" s="76"/>
      <c r="DKB219" s="76"/>
      <c r="DKC219" s="76"/>
      <c r="DKD219" s="76"/>
      <c r="DKE219" s="76"/>
      <c r="DKF219" s="76"/>
      <c r="DKG219" s="76"/>
      <c r="DKH219" s="76"/>
      <c r="DKI219" s="76"/>
      <c r="DKJ219" s="76"/>
      <c r="DKK219" s="76"/>
      <c r="DKL219" s="76"/>
      <c r="DKM219" s="76"/>
      <c r="DKN219" s="76"/>
      <c r="DKO219" s="76"/>
      <c r="DKP219" s="76"/>
      <c r="DKQ219" s="76"/>
      <c r="DKR219" s="76"/>
      <c r="DKS219" s="76"/>
      <c r="DKT219" s="76"/>
      <c r="DKU219" s="76"/>
      <c r="DKV219" s="76"/>
      <c r="DKW219" s="76"/>
      <c r="DKX219" s="76"/>
      <c r="DKY219" s="76"/>
      <c r="DKZ219" s="76"/>
      <c r="DLA219" s="76"/>
      <c r="DLB219" s="76"/>
      <c r="DLC219" s="76"/>
      <c r="DLD219" s="76"/>
      <c r="DLE219" s="76"/>
      <c r="DLF219" s="76"/>
      <c r="DLG219" s="76"/>
      <c r="DLH219" s="76"/>
      <c r="DLI219" s="76"/>
      <c r="DLJ219" s="76"/>
      <c r="DLK219" s="76"/>
      <c r="DLL219" s="76"/>
      <c r="DLM219" s="76"/>
      <c r="DLN219" s="76"/>
      <c r="DLO219" s="76"/>
      <c r="DLP219" s="76"/>
      <c r="DLQ219" s="76"/>
      <c r="DLR219" s="76"/>
      <c r="DLS219" s="76"/>
      <c r="DLT219" s="76"/>
      <c r="DLU219" s="76"/>
      <c r="DLV219" s="76"/>
      <c r="DLW219" s="76"/>
      <c r="DLX219" s="76"/>
      <c r="DLY219" s="76"/>
      <c r="DLZ219" s="76"/>
      <c r="DMA219" s="76"/>
      <c r="DMB219" s="76"/>
      <c r="DMC219" s="76"/>
      <c r="DMD219" s="76"/>
      <c r="DME219" s="76"/>
      <c r="DMF219" s="76"/>
      <c r="DMG219" s="76"/>
      <c r="DMH219" s="76"/>
      <c r="DMI219" s="76"/>
      <c r="DMJ219" s="76"/>
      <c r="DMK219" s="76"/>
      <c r="DML219" s="76"/>
      <c r="DMM219" s="76"/>
      <c r="DMN219" s="76"/>
      <c r="DMO219" s="76"/>
      <c r="DMP219" s="76"/>
      <c r="DMQ219" s="76"/>
      <c r="DMR219" s="76"/>
      <c r="DMS219" s="76"/>
      <c r="DMT219" s="76"/>
      <c r="DMU219" s="76"/>
      <c r="DMV219" s="76"/>
      <c r="DMW219" s="76"/>
      <c r="DMX219" s="76"/>
      <c r="DMY219" s="76"/>
      <c r="DMZ219" s="76"/>
      <c r="DNA219" s="76"/>
      <c r="DNB219" s="76"/>
      <c r="DNC219" s="76"/>
      <c r="DND219" s="76"/>
      <c r="DNE219" s="76"/>
      <c r="DNF219" s="76"/>
      <c r="DNG219" s="76"/>
      <c r="DNH219" s="76"/>
      <c r="DNI219" s="76"/>
      <c r="DNJ219" s="76"/>
      <c r="DNK219" s="76"/>
      <c r="DNL219" s="76"/>
      <c r="DNM219" s="76"/>
      <c r="DNN219" s="76"/>
      <c r="DNO219" s="76"/>
      <c r="DNP219" s="76"/>
      <c r="DNQ219" s="76"/>
      <c r="DNR219" s="76"/>
      <c r="DNS219" s="76"/>
      <c r="DNT219" s="76"/>
      <c r="DNU219" s="76"/>
      <c r="DNV219" s="76"/>
      <c r="DNW219" s="76"/>
      <c r="DNX219" s="76"/>
      <c r="DNY219" s="76"/>
      <c r="DNZ219" s="76"/>
      <c r="DOA219" s="76"/>
      <c r="DOB219" s="76"/>
      <c r="DOC219" s="76"/>
      <c r="DOD219" s="76"/>
      <c r="DOE219" s="76"/>
      <c r="DOF219" s="76"/>
      <c r="DOG219" s="76"/>
      <c r="DOH219" s="76"/>
      <c r="DOI219" s="76"/>
      <c r="DOJ219" s="76"/>
      <c r="DOK219" s="76"/>
      <c r="DOL219" s="76"/>
      <c r="DOM219" s="76"/>
      <c r="DON219" s="76"/>
      <c r="DOO219" s="76"/>
      <c r="DOP219" s="76"/>
      <c r="DOQ219" s="76"/>
      <c r="DOR219" s="76"/>
      <c r="DOS219" s="76"/>
      <c r="DOT219" s="76"/>
      <c r="DOU219" s="76"/>
      <c r="DOV219" s="76"/>
      <c r="DOW219" s="76"/>
      <c r="DOX219" s="76"/>
      <c r="DOY219" s="76"/>
      <c r="DOZ219" s="76"/>
      <c r="DPA219" s="76"/>
      <c r="DPB219" s="76"/>
      <c r="DPC219" s="76"/>
      <c r="DPD219" s="76"/>
      <c r="DPE219" s="76"/>
      <c r="DPF219" s="76"/>
      <c r="DPG219" s="76"/>
      <c r="DPH219" s="76"/>
      <c r="DPI219" s="76"/>
      <c r="DPJ219" s="76"/>
      <c r="DPK219" s="76"/>
      <c r="DPL219" s="76"/>
      <c r="DPM219" s="76"/>
      <c r="DPN219" s="76"/>
      <c r="DPO219" s="76"/>
      <c r="DPP219" s="76"/>
      <c r="DPQ219" s="76"/>
      <c r="DPR219" s="76"/>
      <c r="DPS219" s="76"/>
      <c r="DPT219" s="76"/>
      <c r="DPU219" s="76"/>
      <c r="DPV219" s="76"/>
      <c r="DPW219" s="76"/>
      <c r="DPX219" s="76"/>
      <c r="DPY219" s="76"/>
      <c r="DPZ219" s="76"/>
      <c r="DQA219" s="76"/>
      <c r="DQB219" s="76"/>
      <c r="DQC219" s="76"/>
      <c r="DQD219" s="76"/>
      <c r="DQE219" s="76"/>
      <c r="DQF219" s="76"/>
      <c r="DQG219" s="76"/>
      <c r="DQH219" s="76"/>
      <c r="DQI219" s="76"/>
      <c r="DQJ219" s="76"/>
      <c r="DQK219" s="76"/>
      <c r="DQL219" s="76"/>
      <c r="DQM219" s="76"/>
      <c r="DQN219" s="76"/>
      <c r="DQO219" s="76"/>
      <c r="DQP219" s="76"/>
      <c r="DQQ219" s="76"/>
      <c r="DQR219" s="76"/>
      <c r="DQS219" s="76"/>
      <c r="DQT219" s="76"/>
      <c r="DQU219" s="76"/>
      <c r="DQV219" s="76"/>
      <c r="DQW219" s="76"/>
      <c r="DQX219" s="76"/>
      <c r="DQY219" s="76"/>
      <c r="DQZ219" s="76"/>
      <c r="DRA219" s="76"/>
      <c r="DRB219" s="76"/>
      <c r="DRC219" s="76"/>
      <c r="DRD219" s="76"/>
      <c r="DRE219" s="76"/>
      <c r="DRF219" s="76"/>
      <c r="DRG219" s="76"/>
      <c r="DRH219" s="76"/>
      <c r="DRI219" s="76"/>
      <c r="DRJ219" s="76"/>
      <c r="DRK219" s="76"/>
      <c r="DRL219" s="76"/>
      <c r="DRM219" s="76"/>
      <c r="DRN219" s="76"/>
      <c r="DRO219" s="76"/>
      <c r="DRP219" s="76"/>
      <c r="DRQ219" s="76"/>
      <c r="DRR219" s="76"/>
      <c r="DRS219" s="76"/>
      <c r="DRT219" s="76"/>
      <c r="DRU219" s="76"/>
      <c r="DRV219" s="76"/>
      <c r="DRW219" s="76"/>
      <c r="DRX219" s="76"/>
      <c r="DRY219" s="76"/>
      <c r="DRZ219" s="76"/>
      <c r="DSA219" s="76"/>
      <c r="DSB219" s="76"/>
      <c r="DSC219" s="76"/>
      <c r="DSD219" s="76"/>
      <c r="DSE219" s="76"/>
      <c r="DSF219" s="76"/>
      <c r="DSG219" s="76"/>
      <c r="DSH219" s="76"/>
      <c r="DSI219" s="76"/>
      <c r="DSJ219" s="76"/>
      <c r="DSK219" s="76"/>
      <c r="DSL219" s="76"/>
      <c r="DSM219" s="76"/>
      <c r="DSN219" s="76"/>
      <c r="DSO219" s="76"/>
      <c r="DSP219" s="76"/>
      <c r="DSQ219" s="76"/>
      <c r="DSR219" s="76"/>
      <c r="DSS219" s="76"/>
      <c r="DST219" s="76"/>
      <c r="DSU219" s="76"/>
      <c r="DSV219" s="76"/>
      <c r="DSW219" s="76"/>
      <c r="DSX219" s="76"/>
      <c r="DSY219" s="76"/>
      <c r="DSZ219" s="76"/>
      <c r="DTA219" s="76"/>
      <c r="DTB219" s="76"/>
      <c r="DTC219" s="76"/>
      <c r="DTD219" s="76"/>
      <c r="DTE219" s="76"/>
      <c r="DTF219" s="76"/>
      <c r="DTG219" s="76"/>
      <c r="DTH219" s="76"/>
      <c r="DTI219" s="76"/>
      <c r="DTJ219" s="76"/>
      <c r="DTK219" s="76"/>
      <c r="DTL219" s="76"/>
      <c r="DTM219" s="76"/>
      <c r="DTN219" s="76"/>
      <c r="DTO219" s="76"/>
      <c r="DTP219" s="76"/>
      <c r="DTQ219" s="76"/>
      <c r="DTR219" s="76"/>
      <c r="DTS219" s="76"/>
      <c r="DTT219" s="76"/>
      <c r="DTU219" s="76"/>
      <c r="DTV219" s="76"/>
      <c r="DTW219" s="76"/>
      <c r="DTX219" s="76"/>
      <c r="DTY219" s="76"/>
      <c r="DTZ219" s="76"/>
      <c r="DUA219" s="76"/>
      <c r="DUB219" s="76"/>
      <c r="DUC219" s="76"/>
      <c r="DUD219" s="76"/>
      <c r="DUE219" s="76"/>
      <c r="DUF219" s="76"/>
      <c r="DUG219" s="76"/>
      <c r="DUH219" s="76"/>
      <c r="DUI219" s="76"/>
      <c r="DUJ219" s="76"/>
      <c r="DUK219" s="76"/>
      <c r="DUL219" s="76"/>
      <c r="DUM219" s="76"/>
      <c r="DUN219" s="76"/>
      <c r="DUO219" s="76"/>
      <c r="DUP219" s="76"/>
      <c r="DUQ219" s="76"/>
      <c r="DUR219" s="76"/>
      <c r="DUS219" s="76"/>
      <c r="DUT219" s="76"/>
      <c r="DUU219" s="76"/>
      <c r="DUV219" s="76"/>
      <c r="DUW219" s="76"/>
      <c r="DUX219" s="76"/>
      <c r="DUY219" s="76"/>
      <c r="DUZ219" s="76"/>
      <c r="DVA219" s="76"/>
      <c r="DVB219" s="76"/>
      <c r="DVC219" s="76"/>
      <c r="DVD219" s="76"/>
      <c r="DVE219" s="76"/>
      <c r="DVF219" s="76"/>
      <c r="DVG219" s="76"/>
      <c r="DVH219" s="76"/>
      <c r="DVI219" s="76"/>
      <c r="DVJ219" s="76"/>
      <c r="DVK219" s="76"/>
      <c r="DVL219" s="76"/>
      <c r="DVM219" s="76"/>
      <c r="DVN219" s="76"/>
      <c r="DVO219" s="76"/>
      <c r="DVP219" s="76"/>
      <c r="DVQ219" s="76"/>
      <c r="DVR219" s="76"/>
      <c r="DVS219" s="76"/>
      <c r="DVT219" s="76"/>
      <c r="DVU219" s="76"/>
      <c r="DVV219" s="76"/>
      <c r="DVW219" s="76"/>
      <c r="DVX219" s="76"/>
      <c r="DVY219" s="76"/>
      <c r="DVZ219" s="76"/>
      <c r="DWA219" s="76"/>
      <c r="DWB219" s="76"/>
      <c r="DWC219" s="76"/>
      <c r="DWD219" s="76"/>
      <c r="DWE219" s="76"/>
      <c r="DWF219" s="76"/>
      <c r="DWG219" s="76"/>
      <c r="DWH219" s="76"/>
      <c r="DWI219" s="76"/>
      <c r="DWJ219" s="76"/>
      <c r="DWK219" s="76"/>
      <c r="DWL219" s="76"/>
      <c r="DWM219" s="76"/>
      <c r="DWN219" s="76"/>
      <c r="DWO219" s="76"/>
      <c r="DWP219" s="76"/>
      <c r="DWQ219" s="76"/>
      <c r="DWR219" s="76"/>
      <c r="DWS219" s="76"/>
      <c r="DWT219" s="76"/>
      <c r="DWU219" s="76"/>
      <c r="DWV219" s="76"/>
      <c r="DWW219" s="76"/>
      <c r="DWX219" s="76"/>
      <c r="DWY219" s="76"/>
      <c r="DWZ219" s="76"/>
      <c r="DXA219" s="76"/>
      <c r="DXB219" s="76"/>
      <c r="DXC219" s="76"/>
      <c r="DXD219" s="76"/>
      <c r="DXE219" s="76"/>
      <c r="DXF219" s="76"/>
      <c r="DXG219" s="76"/>
      <c r="DXH219" s="76"/>
      <c r="DXI219" s="76"/>
      <c r="DXJ219" s="76"/>
      <c r="DXK219" s="76"/>
      <c r="DXL219" s="76"/>
      <c r="DXM219" s="76"/>
      <c r="DXN219" s="76"/>
      <c r="DXO219" s="76"/>
      <c r="DXP219" s="76"/>
      <c r="DXQ219" s="76"/>
      <c r="DXR219" s="76"/>
      <c r="DXS219" s="76"/>
      <c r="DXT219" s="76"/>
      <c r="DXU219" s="76"/>
      <c r="DXV219" s="76"/>
      <c r="DXW219" s="76"/>
      <c r="DXX219" s="76"/>
      <c r="DXY219" s="76"/>
      <c r="DXZ219" s="76"/>
      <c r="DYA219" s="76"/>
      <c r="DYB219" s="76"/>
      <c r="DYC219" s="76"/>
      <c r="DYD219" s="76"/>
      <c r="DYE219" s="76"/>
      <c r="DYF219" s="76"/>
      <c r="DYG219" s="76"/>
      <c r="DYH219" s="76"/>
      <c r="DYI219" s="76"/>
      <c r="DYJ219" s="76"/>
      <c r="DYK219" s="76"/>
      <c r="DYL219" s="76"/>
      <c r="DYM219" s="76"/>
      <c r="DYN219" s="76"/>
      <c r="DYO219" s="76"/>
      <c r="DYP219" s="76"/>
      <c r="DYQ219" s="76"/>
      <c r="DYR219" s="76"/>
      <c r="DYS219" s="76"/>
      <c r="DYT219" s="76"/>
      <c r="DYU219" s="76"/>
      <c r="DYV219" s="76"/>
      <c r="DYW219" s="76"/>
      <c r="DYX219" s="76"/>
      <c r="DYY219" s="76"/>
      <c r="DYZ219" s="76"/>
      <c r="DZA219" s="76"/>
      <c r="DZB219" s="76"/>
      <c r="DZC219" s="76"/>
      <c r="DZD219" s="76"/>
      <c r="DZE219" s="76"/>
      <c r="DZF219" s="76"/>
      <c r="DZG219" s="76"/>
      <c r="DZH219" s="76"/>
      <c r="DZI219" s="76"/>
      <c r="DZJ219" s="76"/>
      <c r="DZK219" s="76"/>
      <c r="DZL219" s="76"/>
      <c r="DZM219" s="76"/>
      <c r="DZN219" s="76"/>
      <c r="DZO219" s="76"/>
      <c r="DZP219" s="76"/>
      <c r="DZQ219" s="76"/>
      <c r="DZR219" s="76"/>
      <c r="DZS219" s="76"/>
      <c r="DZT219" s="76"/>
      <c r="DZU219" s="76"/>
      <c r="DZV219" s="76"/>
      <c r="DZW219" s="76"/>
      <c r="DZX219" s="76"/>
      <c r="DZY219" s="76"/>
      <c r="DZZ219" s="76"/>
      <c r="EAA219" s="76"/>
      <c r="EAB219" s="76"/>
      <c r="EAC219" s="76"/>
      <c r="EAD219" s="76"/>
      <c r="EAE219" s="76"/>
      <c r="EAF219" s="76"/>
      <c r="EAG219" s="76"/>
      <c r="EAH219" s="76"/>
      <c r="EAI219" s="76"/>
      <c r="EAJ219" s="76"/>
      <c r="EAK219" s="76"/>
      <c r="EAL219" s="76"/>
      <c r="EAM219" s="76"/>
      <c r="EAN219" s="76"/>
      <c r="EAO219" s="76"/>
      <c r="EAP219" s="76"/>
      <c r="EAQ219" s="76"/>
      <c r="EAR219" s="76"/>
      <c r="EAS219" s="76"/>
      <c r="EAT219" s="76"/>
      <c r="EAU219" s="76"/>
      <c r="EAV219" s="76"/>
      <c r="EAW219" s="76"/>
      <c r="EAX219" s="76"/>
      <c r="EAY219" s="76"/>
      <c r="EAZ219" s="76"/>
      <c r="EBA219" s="76"/>
      <c r="EBB219" s="76"/>
      <c r="EBC219" s="76"/>
      <c r="EBD219" s="76"/>
      <c r="EBE219" s="76"/>
      <c r="EBF219" s="76"/>
      <c r="EBG219" s="76"/>
      <c r="EBH219" s="76"/>
      <c r="EBI219" s="76"/>
      <c r="EBJ219" s="76"/>
      <c r="EBK219" s="76"/>
      <c r="EBL219" s="76"/>
      <c r="EBM219" s="76"/>
      <c r="EBN219" s="76"/>
      <c r="EBO219" s="76"/>
      <c r="EBP219" s="76"/>
      <c r="EBQ219" s="76"/>
      <c r="EBR219" s="76"/>
      <c r="EBS219" s="76"/>
      <c r="EBT219" s="76"/>
      <c r="EBU219" s="76"/>
      <c r="EBV219" s="76"/>
      <c r="EBW219" s="76"/>
      <c r="EBX219" s="76"/>
      <c r="EBY219" s="76"/>
      <c r="EBZ219" s="76"/>
      <c r="ECA219" s="76"/>
      <c r="ECB219" s="76"/>
      <c r="ECC219" s="76"/>
      <c r="ECD219" s="76"/>
      <c r="ECE219" s="76"/>
      <c r="ECF219" s="76"/>
      <c r="ECG219" s="76"/>
      <c r="ECH219" s="76"/>
      <c r="ECI219" s="76"/>
      <c r="ECJ219" s="76"/>
      <c r="ECK219" s="76"/>
      <c r="ECL219" s="76"/>
      <c r="ECM219" s="76"/>
      <c r="ECN219" s="76"/>
      <c r="ECO219" s="76"/>
      <c r="ECP219" s="76"/>
      <c r="ECQ219" s="76"/>
      <c r="ECR219" s="76"/>
      <c r="ECS219" s="76"/>
      <c r="ECT219" s="76"/>
      <c r="ECU219" s="76"/>
      <c r="ECV219" s="76"/>
      <c r="ECW219" s="76"/>
      <c r="ECX219" s="76"/>
      <c r="ECY219" s="76"/>
      <c r="ECZ219" s="76"/>
      <c r="EDA219" s="76"/>
      <c r="EDB219" s="76"/>
      <c r="EDC219" s="76"/>
      <c r="EDD219" s="76"/>
      <c r="EDE219" s="76"/>
      <c r="EDF219" s="76"/>
      <c r="EDG219" s="76"/>
      <c r="EDH219" s="76"/>
      <c r="EDI219" s="76"/>
      <c r="EDJ219" s="76"/>
      <c r="EDK219" s="76"/>
      <c r="EDL219" s="76"/>
      <c r="EDM219" s="76"/>
      <c r="EDN219" s="76"/>
      <c r="EDO219" s="76"/>
      <c r="EDP219" s="76"/>
      <c r="EDQ219" s="76"/>
      <c r="EDR219" s="76"/>
      <c r="EDS219" s="76"/>
      <c r="EDT219" s="76"/>
      <c r="EDU219" s="76"/>
      <c r="EDV219" s="76"/>
      <c r="EDW219" s="76"/>
      <c r="EDX219" s="76"/>
      <c r="EDY219" s="76"/>
      <c r="EDZ219" s="76"/>
      <c r="EEA219" s="76"/>
      <c r="EEB219" s="76"/>
      <c r="EEC219" s="76"/>
      <c r="EED219" s="76"/>
      <c r="EEE219" s="76"/>
      <c r="EEF219" s="76"/>
      <c r="EEG219" s="76"/>
      <c r="EEH219" s="76"/>
      <c r="EEI219" s="76"/>
      <c r="EEJ219" s="76"/>
      <c r="EEK219" s="76"/>
      <c r="EEL219" s="76"/>
      <c r="EEM219" s="76"/>
      <c r="EEN219" s="76"/>
      <c r="EEO219" s="76"/>
      <c r="EEP219" s="76"/>
      <c r="EEQ219" s="76"/>
      <c r="EER219" s="76"/>
      <c r="EES219" s="76"/>
      <c r="EET219" s="76"/>
      <c r="EEU219" s="76"/>
      <c r="EEV219" s="76"/>
      <c r="EEW219" s="76"/>
      <c r="EEX219" s="76"/>
      <c r="EEY219" s="76"/>
      <c r="EEZ219" s="76"/>
      <c r="EFA219" s="76"/>
      <c r="EFB219" s="76"/>
      <c r="EFC219" s="76"/>
      <c r="EFD219" s="76"/>
      <c r="EFE219" s="76"/>
      <c r="EFF219" s="76"/>
      <c r="EFG219" s="76"/>
      <c r="EFH219" s="76"/>
      <c r="EFI219" s="76"/>
      <c r="EFJ219" s="76"/>
      <c r="EFK219" s="76"/>
      <c r="EFL219" s="76"/>
      <c r="EFM219" s="76"/>
      <c r="EFN219" s="76"/>
      <c r="EFO219" s="76"/>
      <c r="EFP219" s="76"/>
      <c r="EFQ219" s="76"/>
      <c r="EFR219" s="76"/>
      <c r="EFS219" s="76"/>
      <c r="EFT219" s="76"/>
      <c r="EFU219" s="76"/>
      <c r="EFV219" s="76"/>
      <c r="EFW219" s="76"/>
      <c r="EFX219" s="76"/>
      <c r="EFY219" s="76"/>
      <c r="EFZ219" s="76"/>
      <c r="EGA219" s="76"/>
      <c r="EGB219" s="76"/>
      <c r="EGC219" s="76"/>
      <c r="EGD219" s="76"/>
      <c r="EGE219" s="76"/>
      <c r="EGF219" s="76"/>
      <c r="EGG219" s="76"/>
      <c r="EGH219" s="76"/>
      <c r="EGI219" s="76"/>
      <c r="EGJ219" s="76"/>
      <c r="EGK219" s="76"/>
      <c r="EGL219" s="76"/>
      <c r="EGM219" s="76"/>
      <c r="EGN219" s="76"/>
      <c r="EGO219" s="76"/>
      <c r="EGP219" s="76"/>
      <c r="EGQ219" s="76"/>
      <c r="EGR219" s="76"/>
      <c r="EGS219" s="76"/>
      <c r="EGT219" s="76"/>
      <c r="EGU219" s="76"/>
      <c r="EGV219" s="76"/>
      <c r="EGW219" s="76"/>
      <c r="EGX219" s="76"/>
      <c r="EGY219" s="76"/>
      <c r="EGZ219" s="76"/>
      <c r="EHA219" s="76"/>
      <c r="EHB219" s="76"/>
      <c r="EHC219" s="76"/>
      <c r="EHD219" s="76"/>
      <c r="EHE219" s="76"/>
      <c r="EHF219" s="76"/>
      <c r="EHG219" s="76"/>
      <c r="EHH219" s="76"/>
      <c r="EHI219" s="76"/>
      <c r="EHJ219" s="76"/>
      <c r="EHK219" s="76"/>
      <c r="EHL219" s="76"/>
      <c r="EHM219" s="76"/>
      <c r="EHN219" s="76"/>
      <c r="EHO219" s="76"/>
      <c r="EHP219" s="76"/>
      <c r="EHQ219" s="76"/>
      <c r="EHR219" s="76"/>
      <c r="EHS219" s="76"/>
      <c r="EHT219" s="76"/>
      <c r="EHU219" s="76"/>
      <c r="EHV219" s="76"/>
      <c r="EHW219" s="76"/>
      <c r="EHX219" s="76"/>
      <c r="EHY219" s="76"/>
      <c r="EHZ219" s="76"/>
      <c r="EIA219" s="76"/>
      <c r="EIB219" s="76"/>
      <c r="EIC219" s="76"/>
      <c r="EID219" s="76"/>
      <c r="EIE219" s="76"/>
      <c r="EIF219" s="76"/>
      <c r="EIG219" s="76"/>
      <c r="EIH219" s="76"/>
      <c r="EII219" s="76"/>
      <c r="EIJ219" s="76"/>
      <c r="EIK219" s="76"/>
      <c r="EIL219" s="76"/>
      <c r="EIM219" s="76"/>
      <c r="EIN219" s="76"/>
      <c r="EIO219" s="76"/>
      <c r="EIP219" s="76"/>
      <c r="EIQ219" s="76"/>
      <c r="EIR219" s="76"/>
      <c r="EIS219" s="76"/>
      <c r="EIT219" s="76"/>
      <c r="EIU219" s="76"/>
      <c r="EIV219" s="76"/>
      <c r="EIW219" s="76"/>
      <c r="EIX219" s="76"/>
      <c r="EIY219" s="76"/>
      <c r="EIZ219" s="76"/>
      <c r="EJA219" s="76"/>
      <c r="EJB219" s="76"/>
      <c r="EJC219" s="76"/>
      <c r="EJD219" s="76"/>
      <c r="EJE219" s="76"/>
      <c r="EJF219" s="76"/>
      <c r="EJG219" s="76"/>
      <c r="EJH219" s="76"/>
      <c r="EJI219" s="76"/>
      <c r="EJJ219" s="76"/>
      <c r="EJK219" s="76"/>
      <c r="EJL219" s="76"/>
      <c r="EJM219" s="76"/>
      <c r="EJN219" s="76"/>
      <c r="EJO219" s="76"/>
      <c r="EJP219" s="76"/>
      <c r="EJQ219" s="76"/>
      <c r="EJR219" s="76"/>
      <c r="EJS219" s="76"/>
      <c r="EJT219" s="76"/>
      <c r="EJU219" s="76"/>
      <c r="EJV219" s="76"/>
      <c r="EJW219" s="76"/>
      <c r="EJX219" s="76"/>
      <c r="EJY219" s="76"/>
      <c r="EJZ219" s="76"/>
      <c r="EKA219" s="76"/>
      <c r="EKB219" s="76"/>
      <c r="EKC219" s="76"/>
      <c r="EKD219" s="76"/>
      <c r="EKE219" s="76"/>
      <c r="EKF219" s="76"/>
      <c r="EKG219" s="76"/>
      <c r="EKH219" s="76"/>
      <c r="EKI219" s="76"/>
      <c r="EKJ219" s="76"/>
      <c r="EKK219" s="76"/>
      <c r="EKL219" s="76"/>
      <c r="EKM219" s="76"/>
      <c r="EKN219" s="76"/>
      <c r="EKO219" s="76"/>
      <c r="EKP219" s="76"/>
      <c r="EKQ219" s="76"/>
      <c r="EKR219" s="76"/>
      <c r="EKS219" s="76"/>
      <c r="EKT219" s="76"/>
      <c r="EKU219" s="76"/>
      <c r="EKV219" s="76"/>
      <c r="EKW219" s="76"/>
      <c r="EKX219" s="76"/>
      <c r="EKY219" s="76"/>
      <c r="EKZ219" s="76"/>
      <c r="ELA219" s="76"/>
      <c r="ELB219" s="76"/>
      <c r="ELC219" s="76"/>
      <c r="ELD219" s="76"/>
      <c r="ELE219" s="76"/>
      <c r="ELF219" s="76"/>
      <c r="ELG219" s="76"/>
      <c r="ELH219" s="76"/>
      <c r="ELI219" s="76"/>
      <c r="ELJ219" s="76"/>
      <c r="ELK219" s="76"/>
      <c r="ELL219" s="76"/>
      <c r="ELM219" s="76"/>
      <c r="ELN219" s="76"/>
      <c r="ELO219" s="76"/>
      <c r="ELP219" s="76"/>
      <c r="ELQ219" s="76"/>
      <c r="ELR219" s="76"/>
      <c r="ELS219" s="76"/>
      <c r="ELT219" s="76"/>
      <c r="ELU219" s="76"/>
      <c r="ELV219" s="76"/>
      <c r="ELW219" s="76"/>
      <c r="ELX219" s="76"/>
      <c r="ELY219" s="76"/>
      <c r="ELZ219" s="76"/>
      <c r="EMA219" s="76"/>
      <c r="EMB219" s="76"/>
      <c r="EMC219" s="76"/>
      <c r="EMD219" s="76"/>
      <c r="EME219" s="76"/>
      <c r="EMF219" s="76"/>
      <c r="EMG219" s="76"/>
      <c r="EMH219" s="76"/>
      <c r="EMI219" s="76"/>
      <c r="EMJ219" s="76"/>
      <c r="EMK219" s="76"/>
      <c r="EML219" s="76"/>
      <c r="EMM219" s="76"/>
      <c r="EMN219" s="76"/>
      <c r="EMO219" s="76"/>
      <c r="EMP219" s="76"/>
      <c r="EMQ219" s="76"/>
      <c r="EMR219" s="76"/>
      <c r="EMS219" s="76"/>
      <c r="EMT219" s="76"/>
      <c r="EMU219" s="76"/>
      <c r="EMV219" s="76"/>
      <c r="EMW219" s="76"/>
      <c r="EMX219" s="76"/>
      <c r="EMY219" s="76"/>
      <c r="EMZ219" s="76"/>
      <c r="ENA219" s="76"/>
      <c r="ENB219" s="76"/>
      <c r="ENC219" s="76"/>
      <c r="END219" s="76"/>
      <c r="ENE219" s="76"/>
      <c r="ENF219" s="76"/>
      <c r="ENG219" s="76"/>
      <c r="ENH219" s="76"/>
      <c r="ENI219" s="76"/>
      <c r="ENJ219" s="76"/>
      <c r="ENK219" s="76"/>
      <c r="ENL219" s="76"/>
      <c r="ENM219" s="76"/>
      <c r="ENN219" s="76"/>
      <c r="ENO219" s="76"/>
      <c r="ENP219" s="76"/>
      <c r="ENQ219" s="76"/>
      <c r="ENR219" s="76"/>
      <c r="ENS219" s="76"/>
      <c r="ENT219" s="76"/>
      <c r="ENU219" s="76"/>
      <c r="ENV219" s="76"/>
      <c r="ENW219" s="76"/>
      <c r="ENX219" s="76"/>
      <c r="ENY219" s="76"/>
      <c r="ENZ219" s="76"/>
      <c r="EOA219" s="76"/>
      <c r="EOB219" s="76"/>
      <c r="EOC219" s="76"/>
      <c r="EOD219" s="76"/>
      <c r="EOE219" s="76"/>
      <c r="EOF219" s="76"/>
      <c r="EOG219" s="76"/>
      <c r="EOH219" s="76"/>
      <c r="EOI219" s="76"/>
      <c r="EOJ219" s="76"/>
      <c r="EOK219" s="76"/>
      <c r="EOL219" s="76"/>
      <c r="EOM219" s="76"/>
      <c r="EON219" s="76"/>
      <c r="EOO219" s="76"/>
      <c r="EOP219" s="76"/>
      <c r="EOQ219" s="76"/>
      <c r="EOR219" s="76"/>
      <c r="EOS219" s="76"/>
      <c r="EOT219" s="76"/>
      <c r="EOU219" s="76"/>
      <c r="EOV219" s="76"/>
      <c r="EOW219" s="76"/>
      <c r="EOX219" s="76"/>
      <c r="EOY219" s="76"/>
      <c r="EOZ219" s="76"/>
      <c r="EPA219" s="76"/>
      <c r="EPB219" s="76"/>
      <c r="EPC219" s="76"/>
      <c r="EPD219" s="76"/>
      <c r="EPE219" s="76"/>
      <c r="EPF219" s="76"/>
      <c r="EPG219" s="76"/>
      <c r="EPH219" s="76"/>
      <c r="EPI219" s="76"/>
      <c r="EPJ219" s="76"/>
      <c r="EPK219" s="76"/>
      <c r="EPL219" s="76"/>
      <c r="EPM219" s="76"/>
      <c r="EPN219" s="76"/>
      <c r="EPO219" s="76"/>
      <c r="EPP219" s="76"/>
      <c r="EPQ219" s="76"/>
      <c r="EPR219" s="76"/>
      <c r="EPS219" s="76"/>
      <c r="EPT219" s="76"/>
      <c r="EPU219" s="76"/>
      <c r="EPV219" s="76"/>
      <c r="EPW219" s="76"/>
      <c r="EPX219" s="76"/>
      <c r="EPY219" s="76"/>
      <c r="EPZ219" s="76"/>
      <c r="EQA219" s="76"/>
      <c r="EQB219" s="76"/>
      <c r="EQC219" s="76"/>
      <c r="EQD219" s="76"/>
      <c r="EQE219" s="76"/>
      <c r="EQF219" s="76"/>
      <c r="EQG219" s="76"/>
      <c r="EQH219" s="76"/>
      <c r="EQI219" s="76"/>
      <c r="EQJ219" s="76"/>
      <c r="EQK219" s="76"/>
      <c r="EQL219" s="76"/>
      <c r="EQM219" s="76"/>
      <c r="EQN219" s="76"/>
      <c r="EQO219" s="76"/>
      <c r="EQP219" s="76"/>
      <c r="EQQ219" s="76"/>
      <c r="EQR219" s="76"/>
      <c r="EQS219" s="76"/>
      <c r="EQT219" s="76"/>
      <c r="EQU219" s="76"/>
      <c r="EQV219" s="76"/>
      <c r="EQW219" s="76"/>
      <c r="EQX219" s="76"/>
      <c r="EQY219" s="76"/>
      <c r="EQZ219" s="76"/>
      <c r="ERA219" s="76"/>
      <c r="ERB219" s="76"/>
      <c r="ERC219" s="76"/>
      <c r="ERD219" s="76"/>
      <c r="ERE219" s="76"/>
      <c r="ERF219" s="76"/>
      <c r="ERG219" s="76"/>
      <c r="ERH219" s="76"/>
      <c r="ERI219" s="76"/>
      <c r="ERJ219" s="76"/>
      <c r="ERK219" s="76"/>
      <c r="ERL219" s="76"/>
      <c r="ERM219" s="76"/>
      <c r="ERN219" s="76"/>
      <c r="ERO219" s="76"/>
      <c r="ERP219" s="76"/>
      <c r="ERQ219" s="76"/>
      <c r="ERR219" s="76"/>
      <c r="ERS219" s="76"/>
      <c r="ERT219" s="76"/>
      <c r="ERU219" s="76"/>
      <c r="ERV219" s="76"/>
      <c r="ERW219" s="76"/>
      <c r="ERX219" s="76"/>
      <c r="ERY219" s="76"/>
      <c r="ERZ219" s="76"/>
      <c r="ESA219" s="76"/>
      <c r="ESB219" s="76"/>
      <c r="ESC219" s="76"/>
      <c r="ESD219" s="76"/>
      <c r="ESE219" s="76"/>
      <c r="ESF219" s="76"/>
      <c r="ESG219" s="76"/>
      <c r="ESH219" s="76"/>
      <c r="ESI219" s="76"/>
      <c r="ESJ219" s="76"/>
      <c r="ESK219" s="76"/>
      <c r="ESL219" s="76"/>
      <c r="ESM219" s="76"/>
      <c r="ESN219" s="76"/>
      <c r="ESO219" s="76"/>
      <c r="ESP219" s="76"/>
      <c r="ESQ219" s="76"/>
      <c r="ESR219" s="76"/>
      <c r="ESS219" s="76"/>
      <c r="EST219" s="76"/>
      <c r="ESU219" s="76"/>
      <c r="ESV219" s="76"/>
      <c r="ESW219" s="76"/>
      <c r="ESX219" s="76"/>
      <c r="ESY219" s="76"/>
      <c r="ESZ219" s="76"/>
      <c r="ETA219" s="76"/>
      <c r="ETB219" s="76"/>
      <c r="ETC219" s="76"/>
      <c r="ETD219" s="76"/>
      <c r="ETE219" s="76"/>
      <c r="ETF219" s="76"/>
      <c r="ETG219" s="76"/>
      <c r="ETH219" s="76"/>
      <c r="ETI219" s="76"/>
      <c r="ETJ219" s="76"/>
      <c r="ETK219" s="76"/>
      <c r="ETL219" s="76"/>
      <c r="ETM219" s="76"/>
      <c r="ETN219" s="76"/>
      <c r="ETO219" s="76"/>
      <c r="ETP219" s="76"/>
      <c r="ETQ219" s="76"/>
      <c r="ETR219" s="76"/>
      <c r="ETS219" s="76"/>
      <c r="ETT219" s="76"/>
      <c r="ETU219" s="76"/>
      <c r="ETV219" s="76"/>
      <c r="ETW219" s="76"/>
      <c r="ETX219" s="76"/>
      <c r="ETY219" s="76"/>
      <c r="ETZ219" s="76"/>
      <c r="EUA219" s="76"/>
      <c r="EUB219" s="76"/>
      <c r="EUC219" s="76"/>
      <c r="EUD219" s="76"/>
      <c r="EUE219" s="76"/>
      <c r="EUF219" s="76"/>
      <c r="EUG219" s="76"/>
      <c r="EUH219" s="76"/>
      <c r="EUI219" s="76"/>
      <c r="EUJ219" s="76"/>
      <c r="EUK219" s="76"/>
      <c r="EUL219" s="76"/>
      <c r="EUM219" s="76"/>
      <c r="EUN219" s="76"/>
      <c r="EUO219" s="76"/>
      <c r="EUP219" s="76"/>
      <c r="EUQ219" s="76"/>
      <c r="EUR219" s="76"/>
      <c r="EUS219" s="76"/>
      <c r="EUT219" s="76"/>
      <c r="EUU219" s="76"/>
      <c r="EUV219" s="76"/>
      <c r="EUW219" s="76"/>
      <c r="EUX219" s="76"/>
      <c r="EUY219" s="76"/>
      <c r="EUZ219" s="76"/>
      <c r="EVA219" s="76"/>
      <c r="EVB219" s="76"/>
      <c r="EVC219" s="76"/>
      <c r="EVD219" s="76"/>
      <c r="EVE219" s="76"/>
      <c r="EVF219" s="76"/>
      <c r="EVG219" s="76"/>
      <c r="EVH219" s="76"/>
      <c r="EVI219" s="76"/>
      <c r="EVJ219" s="76"/>
      <c r="EVK219" s="76"/>
      <c r="EVL219" s="76"/>
      <c r="EVM219" s="76"/>
      <c r="EVN219" s="76"/>
      <c r="EVO219" s="76"/>
      <c r="EVP219" s="76"/>
      <c r="EVQ219" s="76"/>
      <c r="EVR219" s="76"/>
      <c r="EVS219" s="76"/>
      <c r="EVT219" s="76"/>
      <c r="EVU219" s="76"/>
      <c r="EVV219" s="76"/>
      <c r="EVW219" s="76"/>
      <c r="EVX219" s="76"/>
      <c r="EVY219" s="76"/>
      <c r="EVZ219" s="76"/>
      <c r="EWA219" s="76"/>
      <c r="EWB219" s="76"/>
      <c r="EWC219" s="76"/>
      <c r="EWD219" s="76"/>
      <c r="EWE219" s="76"/>
      <c r="EWF219" s="76"/>
      <c r="EWG219" s="76"/>
      <c r="EWH219" s="76"/>
      <c r="EWI219" s="76"/>
      <c r="EWJ219" s="76"/>
      <c r="EWK219" s="76"/>
      <c r="EWL219" s="76"/>
      <c r="EWM219" s="76"/>
      <c r="EWN219" s="76"/>
      <c r="EWO219" s="76"/>
      <c r="EWP219" s="76"/>
      <c r="EWQ219" s="76"/>
      <c r="EWR219" s="76"/>
      <c r="EWS219" s="76"/>
      <c r="EWT219" s="76"/>
      <c r="EWU219" s="76"/>
      <c r="EWV219" s="76"/>
      <c r="EWW219" s="76"/>
      <c r="EWX219" s="76"/>
      <c r="EWY219" s="76"/>
      <c r="EWZ219" s="76"/>
      <c r="EXA219" s="76"/>
      <c r="EXB219" s="76"/>
      <c r="EXC219" s="76"/>
      <c r="EXD219" s="76"/>
      <c r="EXE219" s="76"/>
      <c r="EXF219" s="76"/>
      <c r="EXG219" s="76"/>
      <c r="EXH219" s="76"/>
      <c r="EXI219" s="76"/>
      <c r="EXJ219" s="76"/>
      <c r="EXK219" s="76"/>
      <c r="EXL219" s="76"/>
      <c r="EXM219" s="76"/>
      <c r="EXN219" s="76"/>
      <c r="EXO219" s="76"/>
      <c r="EXP219" s="76"/>
      <c r="EXQ219" s="76"/>
      <c r="EXR219" s="76"/>
      <c r="EXS219" s="76"/>
      <c r="EXT219" s="76"/>
      <c r="EXU219" s="76"/>
      <c r="EXV219" s="76"/>
      <c r="EXW219" s="76"/>
      <c r="EXX219" s="76"/>
      <c r="EXY219" s="76"/>
      <c r="EXZ219" s="76"/>
      <c r="EYA219" s="76"/>
      <c r="EYB219" s="76"/>
      <c r="EYC219" s="76"/>
      <c r="EYD219" s="76"/>
      <c r="EYE219" s="76"/>
      <c r="EYF219" s="76"/>
      <c r="EYG219" s="76"/>
      <c r="EYH219" s="76"/>
      <c r="EYI219" s="76"/>
      <c r="EYJ219" s="76"/>
      <c r="EYK219" s="76"/>
      <c r="EYL219" s="76"/>
      <c r="EYM219" s="76"/>
      <c r="EYN219" s="76"/>
      <c r="EYO219" s="76"/>
      <c r="EYP219" s="76"/>
      <c r="EYQ219" s="76"/>
      <c r="EYR219" s="76"/>
      <c r="EYS219" s="76"/>
      <c r="EYT219" s="76"/>
      <c r="EYU219" s="76"/>
      <c r="EYV219" s="76"/>
      <c r="EYW219" s="76"/>
      <c r="EYX219" s="76"/>
      <c r="EYY219" s="76"/>
      <c r="EYZ219" s="76"/>
      <c r="EZA219" s="76"/>
      <c r="EZB219" s="76"/>
      <c r="EZC219" s="76"/>
      <c r="EZD219" s="76"/>
      <c r="EZE219" s="76"/>
      <c r="EZF219" s="76"/>
      <c r="EZG219" s="76"/>
      <c r="EZH219" s="76"/>
      <c r="EZI219" s="76"/>
      <c r="EZJ219" s="76"/>
      <c r="EZK219" s="76"/>
      <c r="EZL219" s="76"/>
      <c r="EZM219" s="76"/>
      <c r="EZN219" s="76"/>
      <c r="EZO219" s="76"/>
      <c r="EZP219" s="76"/>
      <c r="EZQ219" s="76"/>
      <c r="EZR219" s="76"/>
      <c r="EZS219" s="76"/>
      <c r="EZT219" s="76"/>
      <c r="EZU219" s="76"/>
      <c r="EZV219" s="76"/>
      <c r="EZW219" s="76"/>
      <c r="EZX219" s="76"/>
      <c r="EZY219" s="76"/>
      <c r="EZZ219" s="76"/>
      <c r="FAA219" s="76"/>
      <c r="FAB219" s="76"/>
      <c r="FAC219" s="76"/>
      <c r="FAD219" s="76"/>
      <c r="FAE219" s="76"/>
      <c r="FAF219" s="76"/>
      <c r="FAG219" s="76"/>
      <c r="FAH219" s="76"/>
      <c r="FAI219" s="76"/>
      <c r="FAJ219" s="76"/>
      <c r="FAK219" s="76"/>
      <c r="FAL219" s="76"/>
      <c r="FAM219" s="76"/>
      <c r="FAN219" s="76"/>
      <c r="FAO219" s="76"/>
      <c r="FAP219" s="76"/>
      <c r="FAQ219" s="76"/>
      <c r="FAR219" s="76"/>
      <c r="FAS219" s="76"/>
      <c r="FAT219" s="76"/>
      <c r="FAU219" s="76"/>
      <c r="FAV219" s="76"/>
      <c r="FAW219" s="76"/>
      <c r="FAX219" s="76"/>
      <c r="FAY219" s="76"/>
      <c r="FAZ219" s="76"/>
      <c r="FBA219" s="76"/>
      <c r="FBB219" s="76"/>
      <c r="FBC219" s="76"/>
      <c r="FBD219" s="76"/>
      <c r="FBE219" s="76"/>
      <c r="FBF219" s="76"/>
      <c r="FBG219" s="76"/>
      <c r="FBH219" s="76"/>
      <c r="FBI219" s="76"/>
      <c r="FBJ219" s="76"/>
      <c r="FBK219" s="76"/>
      <c r="FBL219" s="76"/>
      <c r="FBM219" s="76"/>
      <c r="FBN219" s="76"/>
      <c r="FBO219" s="76"/>
      <c r="FBP219" s="76"/>
      <c r="FBQ219" s="76"/>
      <c r="FBR219" s="76"/>
      <c r="FBS219" s="76"/>
      <c r="FBT219" s="76"/>
      <c r="FBU219" s="76"/>
      <c r="FBV219" s="76"/>
      <c r="FBW219" s="76"/>
      <c r="FBX219" s="76"/>
      <c r="FBY219" s="76"/>
      <c r="FBZ219" s="76"/>
      <c r="FCA219" s="76"/>
      <c r="FCB219" s="76"/>
      <c r="FCC219" s="76"/>
      <c r="FCD219" s="76"/>
      <c r="FCE219" s="76"/>
      <c r="FCF219" s="76"/>
      <c r="FCG219" s="76"/>
      <c r="FCH219" s="76"/>
      <c r="FCI219" s="76"/>
      <c r="FCJ219" s="76"/>
      <c r="FCK219" s="76"/>
      <c r="FCL219" s="76"/>
      <c r="FCM219" s="76"/>
      <c r="FCN219" s="76"/>
      <c r="FCO219" s="76"/>
      <c r="FCP219" s="76"/>
      <c r="FCQ219" s="76"/>
      <c r="FCR219" s="76"/>
      <c r="FCS219" s="76"/>
      <c r="FCT219" s="76"/>
      <c r="FCU219" s="76"/>
      <c r="FCV219" s="76"/>
      <c r="FCW219" s="76"/>
      <c r="FCX219" s="76"/>
      <c r="FCY219" s="76"/>
      <c r="FCZ219" s="76"/>
      <c r="FDA219" s="76"/>
      <c r="FDB219" s="76"/>
      <c r="FDC219" s="76"/>
      <c r="FDD219" s="76"/>
      <c r="FDE219" s="76"/>
      <c r="FDF219" s="76"/>
      <c r="FDG219" s="76"/>
      <c r="FDH219" s="76"/>
      <c r="FDI219" s="76"/>
      <c r="FDJ219" s="76"/>
      <c r="FDK219" s="76"/>
      <c r="FDL219" s="76"/>
      <c r="FDM219" s="76"/>
      <c r="FDN219" s="76"/>
      <c r="FDO219" s="76"/>
      <c r="FDP219" s="76"/>
      <c r="FDQ219" s="76"/>
      <c r="FDR219" s="76"/>
      <c r="FDS219" s="76"/>
      <c r="FDT219" s="76"/>
      <c r="FDU219" s="76"/>
      <c r="FDV219" s="76"/>
      <c r="FDW219" s="76"/>
      <c r="FDX219" s="76"/>
      <c r="FDY219" s="76"/>
      <c r="FDZ219" s="76"/>
      <c r="FEA219" s="76"/>
      <c r="FEB219" s="76"/>
      <c r="FEC219" s="76"/>
      <c r="FED219" s="76"/>
      <c r="FEE219" s="76"/>
      <c r="FEF219" s="76"/>
      <c r="FEG219" s="76"/>
      <c r="FEH219" s="76"/>
      <c r="FEI219" s="76"/>
      <c r="FEJ219" s="76"/>
      <c r="FEK219" s="76"/>
      <c r="FEL219" s="76"/>
      <c r="FEM219" s="76"/>
      <c r="FEN219" s="76"/>
      <c r="FEO219" s="76"/>
      <c r="FEP219" s="76"/>
      <c r="FEQ219" s="76"/>
      <c r="FER219" s="76"/>
      <c r="FES219" s="76"/>
      <c r="FET219" s="76"/>
      <c r="FEU219" s="76"/>
      <c r="FEV219" s="76"/>
      <c r="FEW219" s="76"/>
      <c r="FEX219" s="76"/>
      <c r="FEY219" s="76"/>
      <c r="FEZ219" s="76"/>
      <c r="FFA219" s="76"/>
      <c r="FFB219" s="76"/>
      <c r="FFC219" s="76"/>
      <c r="FFD219" s="76"/>
      <c r="FFE219" s="76"/>
      <c r="FFF219" s="76"/>
      <c r="FFG219" s="76"/>
      <c r="FFH219" s="76"/>
      <c r="FFI219" s="76"/>
      <c r="FFJ219" s="76"/>
      <c r="FFK219" s="76"/>
      <c r="FFL219" s="76"/>
      <c r="FFM219" s="76"/>
      <c r="FFN219" s="76"/>
      <c r="FFO219" s="76"/>
      <c r="FFP219" s="76"/>
      <c r="FFQ219" s="76"/>
      <c r="FFR219" s="76"/>
      <c r="FFS219" s="76"/>
      <c r="FFT219" s="76"/>
      <c r="FFU219" s="76"/>
      <c r="FFV219" s="76"/>
      <c r="FFW219" s="76"/>
      <c r="FFX219" s="76"/>
      <c r="FFY219" s="76"/>
      <c r="FFZ219" s="76"/>
      <c r="FGA219" s="76"/>
      <c r="FGB219" s="76"/>
      <c r="FGC219" s="76"/>
      <c r="FGD219" s="76"/>
      <c r="FGE219" s="76"/>
      <c r="FGF219" s="76"/>
      <c r="FGG219" s="76"/>
      <c r="FGH219" s="76"/>
      <c r="FGI219" s="76"/>
      <c r="FGJ219" s="76"/>
      <c r="FGK219" s="76"/>
      <c r="FGL219" s="76"/>
      <c r="FGM219" s="76"/>
      <c r="FGN219" s="76"/>
      <c r="FGO219" s="76"/>
      <c r="FGP219" s="76"/>
      <c r="FGQ219" s="76"/>
      <c r="FGR219" s="76"/>
      <c r="FGS219" s="76"/>
      <c r="FGT219" s="76"/>
      <c r="FGU219" s="76"/>
      <c r="FGV219" s="76"/>
      <c r="FGW219" s="76"/>
      <c r="FGX219" s="76"/>
      <c r="FGY219" s="76"/>
      <c r="FGZ219" s="76"/>
      <c r="FHA219" s="76"/>
      <c r="FHB219" s="76"/>
      <c r="FHC219" s="76"/>
      <c r="FHD219" s="76"/>
      <c r="FHE219" s="76"/>
      <c r="FHF219" s="76"/>
      <c r="FHG219" s="76"/>
      <c r="FHH219" s="76"/>
      <c r="FHI219" s="76"/>
      <c r="FHJ219" s="76"/>
      <c r="FHK219" s="76"/>
      <c r="FHL219" s="76"/>
      <c r="FHM219" s="76"/>
      <c r="FHN219" s="76"/>
      <c r="FHO219" s="76"/>
      <c r="FHP219" s="76"/>
      <c r="FHQ219" s="76"/>
      <c r="FHR219" s="76"/>
      <c r="FHS219" s="76"/>
      <c r="FHT219" s="76"/>
      <c r="FHU219" s="76"/>
      <c r="FHV219" s="76"/>
      <c r="FHW219" s="76"/>
      <c r="FHX219" s="76"/>
      <c r="FHY219" s="76"/>
      <c r="FHZ219" s="76"/>
      <c r="FIA219" s="76"/>
      <c r="FIB219" s="76"/>
      <c r="FIC219" s="76"/>
      <c r="FID219" s="76"/>
      <c r="FIE219" s="76"/>
      <c r="FIF219" s="76"/>
      <c r="FIG219" s="76"/>
      <c r="FIH219" s="76"/>
      <c r="FII219" s="76"/>
      <c r="FIJ219" s="76"/>
      <c r="FIK219" s="76"/>
      <c r="FIL219" s="76"/>
      <c r="FIM219" s="76"/>
      <c r="FIN219" s="76"/>
      <c r="FIO219" s="76"/>
      <c r="FIP219" s="76"/>
      <c r="FIQ219" s="76"/>
      <c r="FIR219" s="76"/>
      <c r="FIS219" s="76"/>
      <c r="FIT219" s="76"/>
      <c r="FIU219" s="76"/>
      <c r="FIV219" s="76"/>
      <c r="FIW219" s="76"/>
      <c r="FIX219" s="76"/>
      <c r="FIY219" s="76"/>
      <c r="FIZ219" s="76"/>
      <c r="FJA219" s="76"/>
      <c r="FJB219" s="76"/>
      <c r="FJC219" s="76"/>
      <c r="FJD219" s="76"/>
      <c r="FJE219" s="76"/>
      <c r="FJF219" s="76"/>
      <c r="FJG219" s="76"/>
      <c r="FJH219" s="76"/>
      <c r="FJI219" s="76"/>
      <c r="FJJ219" s="76"/>
      <c r="FJK219" s="76"/>
      <c r="FJL219" s="76"/>
      <c r="FJM219" s="76"/>
      <c r="FJN219" s="76"/>
      <c r="FJO219" s="76"/>
      <c r="FJP219" s="76"/>
      <c r="FJQ219" s="76"/>
      <c r="FJR219" s="76"/>
      <c r="FJS219" s="76"/>
      <c r="FJT219" s="76"/>
      <c r="FJU219" s="76"/>
      <c r="FJV219" s="76"/>
      <c r="FJW219" s="76"/>
      <c r="FJX219" s="76"/>
      <c r="FJY219" s="76"/>
      <c r="FJZ219" s="76"/>
      <c r="FKA219" s="76"/>
      <c r="FKB219" s="76"/>
      <c r="FKC219" s="76"/>
      <c r="FKD219" s="76"/>
      <c r="FKE219" s="76"/>
      <c r="FKF219" s="76"/>
      <c r="FKG219" s="76"/>
      <c r="FKH219" s="76"/>
      <c r="FKI219" s="76"/>
      <c r="FKJ219" s="76"/>
      <c r="FKK219" s="76"/>
      <c r="FKL219" s="76"/>
      <c r="FKM219" s="76"/>
      <c r="FKN219" s="76"/>
      <c r="FKO219" s="76"/>
      <c r="FKP219" s="76"/>
      <c r="FKQ219" s="76"/>
      <c r="FKR219" s="76"/>
      <c r="FKS219" s="76"/>
      <c r="FKT219" s="76"/>
      <c r="FKU219" s="76"/>
      <c r="FKV219" s="76"/>
      <c r="FKW219" s="76"/>
      <c r="FKX219" s="76"/>
      <c r="FKY219" s="76"/>
      <c r="FKZ219" s="76"/>
      <c r="FLA219" s="76"/>
      <c r="FLB219" s="76"/>
      <c r="FLC219" s="76"/>
      <c r="FLD219" s="76"/>
      <c r="FLE219" s="76"/>
      <c r="FLF219" s="76"/>
      <c r="FLG219" s="76"/>
      <c r="FLH219" s="76"/>
      <c r="FLI219" s="76"/>
      <c r="FLJ219" s="76"/>
      <c r="FLK219" s="76"/>
      <c r="FLL219" s="76"/>
      <c r="FLM219" s="76"/>
      <c r="FLN219" s="76"/>
      <c r="FLO219" s="76"/>
      <c r="FLP219" s="76"/>
      <c r="FLQ219" s="76"/>
      <c r="FLR219" s="76"/>
      <c r="FLS219" s="76"/>
      <c r="FLT219" s="76"/>
      <c r="FLU219" s="76"/>
      <c r="FLV219" s="76"/>
      <c r="FLW219" s="76"/>
      <c r="FLX219" s="76"/>
      <c r="FLY219" s="76"/>
      <c r="FLZ219" s="76"/>
      <c r="FMA219" s="76"/>
      <c r="FMB219" s="76"/>
      <c r="FMC219" s="76"/>
      <c r="FMD219" s="76"/>
      <c r="FME219" s="76"/>
      <c r="FMF219" s="76"/>
      <c r="FMG219" s="76"/>
      <c r="FMH219" s="76"/>
      <c r="FMI219" s="76"/>
      <c r="FMJ219" s="76"/>
      <c r="FMK219" s="76"/>
      <c r="FML219" s="76"/>
      <c r="FMM219" s="76"/>
      <c r="FMN219" s="76"/>
      <c r="FMO219" s="76"/>
      <c r="FMP219" s="76"/>
      <c r="FMQ219" s="76"/>
      <c r="FMR219" s="76"/>
      <c r="FMS219" s="76"/>
      <c r="FMT219" s="76"/>
      <c r="FMU219" s="76"/>
      <c r="FMV219" s="76"/>
      <c r="FMW219" s="76"/>
      <c r="FMX219" s="76"/>
      <c r="FMY219" s="76"/>
      <c r="FMZ219" s="76"/>
      <c r="FNA219" s="76"/>
      <c r="FNB219" s="76"/>
      <c r="FNC219" s="76"/>
      <c r="FND219" s="76"/>
      <c r="FNE219" s="76"/>
      <c r="FNF219" s="76"/>
      <c r="FNG219" s="76"/>
      <c r="FNH219" s="76"/>
      <c r="FNI219" s="76"/>
      <c r="FNJ219" s="76"/>
      <c r="FNK219" s="76"/>
      <c r="FNL219" s="76"/>
      <c r="FNM219" s="76"/>
      <c r="FNN219" s="76"/>
      <c r="FNO219" s="76"/>
      <c r="FNP219" s="76"/>
      <c r="FNQ219" s="76"/>
      <c r="FNR219" s="76"/>
      <c r="FNS219" s="76"/>
      <c r="FNT219" s="76"/>
      <c r="FNU219" s="76"/>
      <c r="FNV219" s="76"/>
      <c r="FNW219" s="76"/>
      <c r="FNX219" s="76"/>
      <c r="FNY219" s="76"/>
      <c r="FNZ219" s="76"/>
      <c r="FOA219" s="76"/>
      <c r="FOB219" s="76"/>
      <c r="FOC219" s="76"/>
      <c r="FOD219" s="76"/>
      <c r="FOE219" s="76"/>
      <c r="FOF219" s="76"/>
      <c r="FOG219" s="76"/>
      <c r="FOH219" s="76"/>
      <c r="FOI219" s="76"/>
      <c r="FOJ219" s="76"/>
      <c r="FOK219" s="76"/>
      <c r="FOL219" s="76"/>
      <c r="FOM219" s="76"/>
      <c r="FON219" s="76"/>
      <c r="FOO219" s="76"/>
      <c r="FOP219" s="76"/>
      <c r="FOQ219" s="76"/>
      <c r="FOR219" s="76"/>
      <c r="FOS219" s="76"/>
      <c r="FOT219" s="76"/>
      <c r="FOU219" s="76"/>
      <c r="FOV219" s="76"/>
      <c r="FOW219" s="76"/>
      <c r="FOX219" s="76"/>
      <c r="FOY219" s="76"/>
      <c r="FOZ219" s="76"/>
      <c r="FPA219" s="76"/>
      <c r="FPB219" s="76"/>
      <c r="FPC219" s="76"/>
      <c r="FPD219" s="76"/>
      <c r="FPE219" s="76"/>
      <c r="FPF219" s="76"/>
      <c r="FPG219" s="76"/>
      <c r="FPH219" s="76"/>
      <c r="FPI219" s="76"/>
      <c r="FPJ219" s="76"/>
      <c r="FPK219" s="76"/>
      <c r="FPL219" s="76"/>
      <c r="FPM219" s="76"/>
      <c r="FPN219" s="76"/>
      <c r="FPO219" s="76"/>
      <c r="FPP219" s="76"/>
      <c r="FPQ219" s="76"/>
      <c r="FPR219" s="76"/>
      <c r="FPS219" s="76"/>
      <c r="FPT219" s="76"/>
      <c r="FPU219" s="76"/>
      <c r="FPV219" s="76"/>
      <c r="FPW219" s="76"/>
      <c r="FPX219" s="76"/>
      <c r="FPY219" s="76"/>
      <c r="FPZ219" s="76"/>
      <c r="FQA219" s="76"/>
      <c r="FQB219" s="76"/>
      <c r="FQC219" s="76"/>
      <c r="FQD219" s="76"/>
      <c r="FQE219" s="76"/>
      <c r="FQF219" s="76"/>
      <c r="FQG219" s="76"/>
      <c r="FQH219" s="76"/>
      <c r="FQI219" s="76"/>
      <c r="FQJ219" s="76"/>
      <c r="FQK219" s="76"/>
      <c r="FQL219" s="76"/>
      <c r="FQM219" s="76"/>
      <c r="FQN219" s="76"/>
      <c r="FQO219" s="76"/>
      <c r="FQP219" s="76"/>
      <c r="FQQ219" s="76"/>
      <c r="FQR219" s="76"/>
      <c r="FQS219" s="76"/>
      <c r="FQT219" s="76"/>
      <c r="FQU219" s="76"/>
      <c r="FQV219" s="76"/>
      <c r="FQW219" s="76"/>
      <c r="FQX219" s="76"/>
      <c r="FQY219" s="76"/>
      <c r="FQZ219" s="76"/>
      <c r="FRA219" s="76"/>
      <c r="FRB219" s="76"/>
      <c r="FRC219" s="76"/>
      <c r="FRD219" s="76"/>
      <c r="FRE219" s="76"/>
      <c r="FRF219" s="76"/>
      <c r="FRG219" s="76"/>
      <c r="FRH219" s="76"/>
      <c r="FRI219" s="76"/>
      <c r="FRJ219" s="76"/>
      <c r="FRK219" s="76"/>
      <c r="FRL219" s="76"/>
      <c r="FRM219" s="76"/>
      <c r="FRN219" s="76"/>
      <c r="FRO219" s="76"/>
      <c r="FRP219" s="76"/>
      <c r="FRQ219" s="76"/>
      <c r="FRR219" s="76"/>
      <c r="FRS219" s="76"/>
      <c r="FRT219" s="76"/>
      <c r="FRU219" s="76"/>
      <c r="FRV219" s="76"/>
      <c r="FRW219" s="76"/>
      <c r="FRX219" s="76"/>
      <c r="FRY219" s="76"/>
      <c r="FRZ219" s="76"/>
      <c r="FSA219" s="76"/>
      <c r="FSB219" s="76"/>
      <c r="FSC219" s="76"/>
      <c r="FSD219" s="76"/>
      <c r="FSE219" s="76"/>
      <c r="FSF219" s="76"/>
      <c r="FSG219" s="76"/>
      <c r="FSH219" s="76"/>
      <c r="FSI219" s="76"/>
      <c r="FSJ219" s="76"/>
      <c r="FSK219" s="76"/>
      <c r="FSL219" s="76"/>
      <c r="FSM219" s="76"/>
      <c r="FSN219" s="76"/>
      <c r="FSO219" s="76"/>
      <c r="FSP219" s="76"/>
      <c r="FSQ219" s="76"/>
      <c r="FSR219" s="76"/>
      <c r="FSS219" s="76"/>
      <c r="FST219" s="76"/>
      <c r="FSU219" s="76"/>
      <c r="FSV219" s="76"/>
      <c r="FSW219" s="76"/>
      <c r="FSX219" s="76"/>
      <c r="FSY219" s="76"/>
      <c r="FSZ219" s="76"/>
      <c r="FTA219" s="76"/>
      <c r="FTB219" s="76"/>
      <c r="FTC219" s="76"/>
      <c r="FTD219" s="76"/>
      <c r="FTE219" s="76"/>
      <c r="FTF219" s="76"/>
      <c r="FTG219" s="76"/>
      <c r="FTH219" s="76"/>
      <c r="FTI219" s="76"/>
      <c r="FTJ219" s="76"/>
      <c r="FTK219" s="76"/>
      <c r="FTL219" s="76"/>
      <c r="FTM219" s="76"/>
      <c r="FTN219" s="76"/>
      <c r="FTO219" s="76"/>
      <c r="FTP219" s="76"/>
      <c r="FTQ219" s="76"/>
      <c r="FTR219" s="76"/>
      <c r="FTS219" s="76"/>
      <c r="FTT219" s="76"/>
      <c r="FTU219" s="76"/>
      <c r="FTV219" s="76"/>
      <c r="FTW219" s="76"/>
      <c r="FTX219" s="76"/>
      <c r="FTY219" s="76"/>
      <c r="FTZ219" s="76"/>
      <c r="FUA219" s="76"/>
      <c r="FUB219" s="76"/>
      <c r="FUC219" s="76"/>
      <c r="FUD219" s="76"/>
      <c r="FUE219" s="76"/>
      <c r="FUF219" s="76"/>
      <c r="FUG219" s="76"/>
      <c r="FUH219" s="76"/>
      <c r="FUI219" s="76"/>
      <c r="FUJ219" s="76"/>
      <c r="FUK219" s="76"/>
      <c r="FUL219" s="76"/>
      <c r="FUM219" s="76"/>
      <c r="FUN219" s="76"/>
      <c r="FUO219" s="76"/>
      <c r="FUP219" s="76"/>
      <c r="FUQ219" s="76"/>
      <c r="FUR219" s="76"/>
      <c r="FUS219" s="76"/>
      <c r="FUT219" s="76"/>
      <c r="FUU219" s="76"/>
      <c r="FUV219" s="76"/>
      <c r="FUW219" s="76"/>
      <c r="FUX219" s="76"/>
      <c r="FUY219" s="76"/>
      <c r="FUZ219" s="76"/>
      <c r="FVA219" s="76"/>
      <c r="FVB219" s="76"/>
      <c r="FVC219" s="76"/>
      <c r="FVD219" s="76"/>
      <c r="FVE219" s="76"/>
      <c r="FVF219" s="76"/>
      <c r="FVG219" s="76"/>
      <c r="FVH219" s="76"/>
      <c r="FVI219" s="76"/>
      <c r="FVJ219" s="76"/>
      <c r="FVK219" s="76"/>
      <c r="FVL219" s="76"/>
      <c r="FVM219" s="76"/>
      <c r="FVN219" s="76"/>
      <c r="FVO219" s="76"/>
      <c r="FVP219" s="76"/>
      <c r="FVQ219" s="76"/>
      <c r="FVR219" s="76"/>
      <c r="FVS219" s="76"/>
      <c r="FVT219" s="76"/>
      <c r="FVU219" s="76"/>
      <c r="FVV219" s="76"/>
      <c r="FVW219" s="76"/>
      <c r="FVX219" s="76"/>
      <c r="FVY219" s="76"/>
      <c r="FVZ219" s="76"/>
      <c r="FWA219" s="76"/>
      <c r="FWB219" s="76"/>
      <c r="FWC219" s="76"/>
      <c r="FWD219" s="76"/>
      <c r="FWE219" s="76"/>
      <c r="FWF219" s="76"/>
      <c r="FWG219" s="76"/>
      <c r="FWH219" s="76"/>
      <c r="FWI219" s="76"/>
      <c r="FWJ219" s="76"/>
      <c r="FWK219" s="76"/>
      <c r="FWL219" s="76"/>
      <c r="FWM219" s="76"/>
      <c r="FWN219" s="76"/>
      <c r="FWO219" s="76"/>
      <c r="FWP219" s="76"/>
      <c r="FWQ219" s="76"/>
      <c r="FWR219" s="76"/>
      <c r="FWS219" s="76"/>
      <c r="FWT219" s="76"/>
      <c r="FWU219" s="76"/>
      <c r="FWV219" s="76"/>
      <c r="FWW219" s="76"/>
      <c r="FWX219" s="76"/>
      <c r="FWY219" s="76"/>
      <c r="FWZ219" s="76"/>
      <c r="FXA219" s="76"/>
      <c r="FXB219" s="76"/>
      <c r="FXC219" s="76"/>
      <c r="FXD219" s="76"/>
      <c r="FXE219" s="76"/>
      <c r="FXF219" s="76"/>
      <c r="FXG219" s="76"/>
      <c r="FXH219" s="76"/>
      <c r="FXI219" s="76"/>
      <c r="FXJ219" s="76"/>
      <c r="FXK219" s="76"/>
      <c r="FXL219" s="76"/>
      <c r="FXM219" s="76"/>
      <c r="FXN219" s="76"/>
      <c r="FXO219" s="76"/>
      <c r="FXP219" s="76"/>
      <c r="FXQ219" s="76"/>
      <c r="FXR219" s="76"/>
      <c r="FXS219" s="76"/>
      <c r="FXT219" s="76"/>
      <c r="FXU219" s="76"/>
      <c r="FXV219" s="76"/>
      <c r="FXW219" s="76"/>
      <c r="FXX219" s="76"/>
      <c r="FXY219" s="76"/>
      <c r="FXZ219" s="76"/>
      <c r="FYA219" s="76"/>
      <c r="FYB219" s="76"/>
      <c r="FYC219" s="76"/>
      <c r="FYD219" s="76"/>
      <c r="FYE219" s="76"/>
      <c r="FYF219" s="76"/>
      <c r="FYG219" s="76"/>
      <c r="FYH219" s="76"/>
      <c r="FYI219" s="76"/>
      <c r="FYJ219" s="76"/>
      <c r="FYK219" s="76"/>
      <c r="FYL219" s="76"/>
      <c r="FYM219" s="76"/>
      <c r="FYN219" s="76"/>
      <c r="FYO219" s="76"/>
      <c r="FYP219" s="76"/>
      <c r="FYQ219" s="76"/>
      <c r="FYR219" s="76"/>
      <c r="FYS219" s="76"/>
      <c r="FYT219" s="76"/>
      <c r="FYU219" s="76"/>
      <c r="FYV219" s="76"/>
      <c r="FYW219" s="76"/>
      <c r="FYX219" s="76"/>
      <c r="FYY219" s="76"/>
      <c r="FYZ219" s="76"/>
      <c r="FZA219" s="76"/>
      <c r="FZB219" s="76"/>
      <c r="FZC219" s="76"/>
      <c r="FZD219" s="76"/>
      <c r="FZE219" s="76"/>
      <c r="FZF219" s="76"/>
      <c r="FZG219" s="76"/>
      <c r="FZH219" s="76"/>
      <c r="FZI219" s="76"/>
      <c r="FZJ219" s="76"/>
      <c r="FZK219" s="76"/>
      <c r="FZL219" s="76"/>
      <c r="FZM219" s="76"/>
      <c r="FZN219" s="76"/>
      <c r="FZO219" s="76"/>
      <c r="FZP219" s="76"/>
      <c r="FZQ219" s="76"/>
      <c r="FZR219" s="76"/>
      <c r="FZS219" s="76"/>
      <c r="FZT219" s="76"/>
      <c r="FZU219" s="76"/>
      <c r="FZV219" s="76"/>
      <c r="FZW219" s="76"/>
      <c r="FZX219" s="76"/>
      <c r="FZY219" s="76"/>
      <c r="FZZ219" s="76"/>
      <c r="GAA219" s="76"/>
      <c r="GAB219" s="76"/>
      <c r="GAC219" s="76"/>
      <c r="GAD219" s="76"/>
      <c r="GAE219" s="76"/>
      <c r="GAF219" s="76"/>
      <c r="GAG219" s="76"/>
      <c r="GAH219" s="76"/>
      <c r="GAI219" s="76"/>
      <c r="GAJ219" s="76"/>
      <c r="GAK219" s="76"/>
      <c r="GAL219" s="76"/>
      <c r="GAM219" s="76"/>
      <c r="GAN219" s="76"/>
      <c r="GAO219" s="76"/>
      <c r="GAP219" s="76"/>
      <c r="GAQ219" s="76"/>
      <c r="GAR219" s="76"/>
      <c r="GAS219" s="76"/>
      <c r="GAT219" s="76"/>
      <c r="GAU219" s="76"/>
      <c r="GAV219" s="76"/>
      <c r="GAW219" s="76"/>
      <c r="GAX219" s="76"/>
      <c r="GAY219" s="76"/>
      <c r="GAZ219" s="76"/>
      <c r="GBA219" s="76"/>
      <c r="GBB219" s="76"/>
      <c r="GBC219" s="76"/>
      <c r="GBD219" s="76"/>
      <c r="GBE219" s="76"/>
      <c r="GBF219" s="76"/>
      <c r="GBG219" s="76"/>
      <c r="GBH219" s="76"/>
      <c r="GBI219" s="76"/>
      <c r="GBJ219" s="76"/>
      <c r="GBK219" s="76"/>
      <c r="GBL219" s="76"/>
      <c r="GBM219" s="76"/>
      <c r="GBN219" s="76"/>
      <c r="GBO219" s="76"/>
      <c r="GBP219" s="76"/>
      <c r="GBQ219" s="76"/>
      <c r="GBR219" s="76"/>
      <c r="GBS219" s="76"/>
      <c r="GBT219" s="76"/>
      <c r="GBU219" s="76"/>
      <c r="GBV219" s="76"/>
      <c r="GBW219" s="76"/>
      <c r="GBX219" s="76"/>
      <c r="GBY219" s="76"/>
      <c r="GBZ219" s="76"/>
      <c r="GCA219" s="76"/>
      <c r="GCB219" s="76"/>
      <c r="GCC219" s="76"/>
      <c r="GCD219" s="76"/>
      <c r="GCE219" s="76"/>
      <c r="GCF219" s="76"/>
      <c r="GCG219" s="76"/>
      <c r="GCH219" s="76"/>
      <c r="GCI219" s="76"/>
      <c r="GCJ219" s="76"/>
      <c r="GCK219" s="76"/>
      <c r="GCL219" s="76"/>
      <c r="GCM219" s="76"/>
      <c r="GCN219" s="76"/>
      <c r="GCO219" s="76"/>
      <c r="GCP219" s="76"/>
      <c r="GCQ219" s="76"/>
      <c r="GCR219" s="76"/>
      <c r="GCS219" s="76"/>
      <c r="GCT219" s="76"/>
      <c r="GCU219" s="76"/>
      <c r="GCV219" s="76"/>
      <c r="GCW219" s="76"/>
      <c r="GCX219" s="76"/>
      <c r="GCY219" s="76"/>
      <c r="GCZ219" s="76"/>
      <c r="GDA219" s="76"/>
      <c r="GDB219" s="76"/>
      <c r="GDC219" s="76"/>
      <c r="GDD219" s="76"/>
      <c r="GDE219" s="76"/>
      <c r="GDF219" s="76"/>
      <c r="GDG219" s="76"/>
      <c r="GDH219" s="76"/>
      <c r="GDI219" s="76"/>
      <c r="GDJ219" s="76"/>
      <c r="GDK219" s="76"/>
      <c r="GDL219" s="76"/>
      <c r="GDM219" s="76"/>
      <c r="GDN219" s="76"/>
      <c r="GDO219" s="76"/>
      <c r="GDP219" s="76"/>
      <c r="GDQ219" s="76"/>
      <c r="GDR219" s="76"/>
      <c r="GDS219" s="76"/>
      <c r="GDT219" s="76"/>
      <c r="GDU219" s="76"/>
      <c r="GDV219" s="76"/>
      <c r="GDW219" s="76"/>
      <c r="GDX219" s="76"/>
      <c r="GDY219" s="76"/>
      <c r="GDZ219" s="76"/>
      <c r="GEA219" s="76"/>
      <c r="GEB219" s="76"/>
      <c r="GEC219" s="76"/>
      <c r="GED219" s="76"/>
      <c r="GEE219" s="76"/>
      <c r="GEF219" s="76"/>
      <c r="GEG219" s="76"/>
      <c r="GEH219" s="76"/>
      <c r="GEI219" s="76"/>
      <c r="GEJ219" s="76"/>
      <c r="GEK219" s="76"/>
      <c r="GEL219" s="76"/>
      <c r="GEM219" s="76"/>
      <c r="GEN219" s="76"/>
      <c r="GEO219" s="76"/>
      <c r="GEP219" s="76"/>
      <c r="GEQ219" s="76"/>
      <c r="GER219" s="76"/>
      <c r="GES219" s="76"/>
      <c r="GET219" s="76"/>
      <c r="GEU219" s="76"/>
      <c r="GEV219" s="76"/>
      <c r="GEW219" s="76"/>
      <c r="GEX219" s="76"/>
      <c r="GEY219" s="76"/>
      <c r="GEZ219" s="76"/>
      <c r="GFA219" s="76"/>
      <c r="GFB219" s="76"/>
      <c r="GFC219" s="76"/>
      <c r="GFD219" s="76"/>
      <c r="GFE219" s="76"/>
      <c r="GFF219" s="76"/>
      <c r="GFG219" s="76"/>
      <c r="GFH219" s="76"/>
      <c r="GFI219" s="76"/>
      <c r="GFJ219" s="76"/>
      <c r="GFK219" s="76"/>
      <c r="GFL219" s="76"/>
      <c r="GFM219" s="76"/>
      <c r="GFN219" s="76"/>
      <c r="GFO219" s="76"/>
      <c r="GFP219" s="76"/>
      <c r="GFQ219" s="76"/>
      <c r="GFR219" s="76"/>
      <c r="GFS219" s="76"/>
      <c r="GFT219" s="76"/>
      <c r="GFU219" s="76"/>
      <c r="GFV219" s="76"/>
      <c r="GFW219" s="76"/>
      <c r="GFX219" s="76"/>
      <c r="GFY219" s="76"/>
      <c r="GFZ219" s="76"/>
      <c r="GGA219" s="76"/>
      <c r="GGB219" s="76"/>
      <c r="GGC219" s="76"/>
      <c r="GGD219" s="76"/>
      <c r="GGE219" s="76"/>
      <c r="GGF219" s="76"/>
      <c r="GGG219" s="76"/>
      <c r="GGH219" s="76"/>
      <c r="GGI219" s="76"/>
      <c r="GGJ219" s="76"/>
      <c r="GGK219" s="76"/>
      <c r="GGL219" s="76"/>
      <c r="GGM219" s="76"/>
      <c r="GGN219" s="76"/>
      <c r="GGO219" s="76"/>
      <c r="GGP219" s="76"/>
      <c r="GGQ219" s="76"/>
      <c r="GGR219" s="76"/>
      <c r="GGS219" s="76"/>
      <c r="GGT219" s="76"/>
      <c r="GGU219" s="76"/>
      <c r="GGV219" s="76"/>
      <c r="GGW219" s="76"/>
      <c r="GGX219" s="76"/>
      <c r="GGY219" s="76"/>
      <c r="GGZ219" s="76"/>
      <c r="GHA219" s="76"/>
      <c r="GHB219" s="76"/>
      <c r="GHC219" s="76"/>
      <c r="GHD219" s="76"/>
      <c r="GHE219" s="76"/>
      <c r="GHF219" s="76"/>
      <c r="GHG219" s="76"/>
      <c r="GHH219" s="76"/>
      <c r="GHI219" s="76"/>
      <c r="GHJ219" s="76"/>
      <c r="GHK219" s="76"/>
      <c r="GHL219" s="76"/>
      <c r="GHM219" s="76"/>
      <c r="GHN219" s="76"/>
      <c r="GHO219" s="76"/>
      <c r="GHP219" s="76"/>
      <c r="GHQ219" s="76"/>
      <c r="GHR219" s="76"/>
      <c r="GHS219" s="76"/>
      <c r="GHT219" s="76"/>
      <c r="GHU219" s="76"/>
      <c r="GHV219" s="76"/>
      <c r="GHW219" s="76"/>
      <c r="GHX219" s="76"/>
      <c r="GHY219" s="76"/>
      <c r="GHZ219" s="76"/>
      <c r="GIA219" s="76"/>
      <c r="GIB219" s="76"/>
      <c r="GIC219" s="76"/>
      <c r="GID219" s="76"/>
      <c r="GIE219" s="76"/>
      <c r="GIF219" s="76"/>
      <c r="GIG219" s="76"/>
      <c r="GIH219" s="76"/>
      <c r="GII219" s="76"/>
      <c r="GIJ219" s="76"/>
      <c r="GIK219" s="76"/>
      <c r="GIL219" s="76"/>
      <c r="GIM219" s="76"/>
      <c r="GIN219" s="76"/>
      <c r="GIO219" s="76"/>
      <c r="GIP219" s="76"/>
      <c r="GIQ219" s="76"/>
      <c r="GIR219" s="76"/>
      <c r="GIS219" s="76"/>
      <c r="GIT219" s="76"/>
      <c r="GIU219" s="76"/>
      <c r="GIV219" s="76"/>
      <c r="GIW219" s="76"/>
      <c r="GIX219" s="76"/>
      <c r="GIY219" s="76"/>
      <c r="GIZ219" s="76"/>
      <c r="GJA219" s="76"/>
      <c r="GJB219" s="76"/>
      <c r="GJC219" s="76"/>
      <c r="GJD219" s="76"/>
      <c r="GJE219" s="76"/>
      <c r="GJF219" s="76"/>
      <c r="GJG219" s="76"/>
      <c r="GJH219" s="76"/>
      <c r="GJI219" s="76"/>
      <c r="GJJ219" s="76"/>
      <c r="GJK219" s="76"/>
      <c r="GJL219" s="76"/>
      <c r="GJM219" s="76"/>
      <c r="GJN219" s="76"/>
      <c r="GJO219" s="76"/>
      <c r="GJP219" s="76"/>
      <c r="GJQ219" s="76"/>
      <c r="GJR219" s="76"/>
      <c r="GJS219" s="76"/>
      <c r="GJT219" s="76"/>
      <c r="GJU219" s="76"/>
      <c r="GJV219" s="76"/>
      <c r="GJW219" s="76"/>
      <c r="GJX219" s="76"/>
      <c r="GJY219" s="76"/>
      <c r="GJZ219" s="76"/>
      <c r="GKA219" s="76"/>
      <c r="GKB219" s="76"/>
      <c r="GKC219" s="76"/>
      <c r="GKD219" s="76"/>
      <c r="GKE219" s="76"/>
      <c r="GKF219" s="76"/>
      <c r="GKG219" s="76"/>
      <c r="GKH219" s="76"/>
      <c r="GKI219" s="76"/>
      <c r="GKJ219" s="76"/>
      <c r="GKK219" s="76"/>
      <c r="GKL219" s="76"/>
      <c r="GKM219" s="76"/>
      <c r="GKN219" s="76"/>
      <c r="GKO219" s="76"/>
      <c r="GKP219" s="76"/>
      <c r="GKQ219" s="76"/>
      <c r="GKR219" s="76"/>
      <c r="GKS219" s="76"/>
      <c r="GKT219" s="76"/>
      <c r="GKU219" s="76"/>
      <c r="GKV219" s="76"/>
      <c r="GKW219" s="76"/>
      <c r="GKX219" s="76"/>
      <c r="GKY219" s="76"/>
      <c r="GKZ219" s="76"/>
      <c r="GLA219" s="76"/>
      <c r="GLB219" s="76"/>
      <c r="GLC219" s="76"/>
      <c r="GLD219" s="76"/>
      <c r="GLE219" s="76"/>
      <c r="GLF219" s="76"/>
      <c r="GLG219" s="76"/>
      <c r="GLH219" s="76"/>
      <c r="GLI219" s="76"/>
      <c r="GLJ219" s="76"/>
      <c r="GLK219" s="76"/>
      <c r="GLL219" s="76"/>
      <c r="GLM219" s="76"/>
      <c r="GLN219" s="76"/>
      <c r="GLO219" s="76"/>
      <c r="GLP219" s="76"/>
      <c r="GLQ219" s="76"/>
      <c r="GLR219" s="76"/>
      <c r="GLS219" s="76"/>
      <c r="GLT219" s="76"/>
      <c r="GLU219" s="76"/>
      <c r="GLV219" s="76"/>
      <c r="GLW219" s="76"/>
      <c r="GLX219" s="76"/>
      <c r="GLY219" s="76"/>
      <c r="GLZ219" s="76"/>
      <c r="GMA219" s="76"/>
      <c r="GMB219" s="76"/>
      <c r="GMC219" s="76"/>
      <c r="GMD219" s="76"/>
      <c r="GME219" s="76"/>
      <c r="GMF219" s="76"/>
      <c r="GMG219" s="76"/>
      <c r="GMH219" s="76"/>
      <c r="GMI219" s="76"/>
      <c r="GMJ219" s="76"/>
      <c r="GMK219" s="76"/>
      <c r="GML219" s="76"/>
      <c r="GMM219" s="76"/>
      <c r="GMN219" s="76"/>
      <c r="GMO219" s="76"/>
      <c r="GMP219" s="76"/>
      <c r="GMQ219" s="76"/>
      <c r="GMR219" s="76"/>
      <c r="GMS219" s="76"/>
      <c r="GMT219" s="76"/>
      <c r="GMU219" s="76"/>
      <c r="GMV219" s="76"/>
      <c r="GMW219" s="76"/>
      <c r="GMX219" s="76"/>
      <c r="GMY219" s="76"/>
      <c r="GMZ219" s="76"/>
      <c r="GNA219" s="76"/>
      <c r="GNB219" s="76"/>
      <c r="GNC219" s="76"/>
      <c r="GND219" s="76"/>
      <c r="GNE219" s="76"/>
      <c r="GNF219" s="76"/>
      <c r="GNG219" s="76"/>
      <c r="GNH219" s="76"/>
      <c r="GNI219" s="76"/>
      <c r="GNJ219" s="76"/>
      <c r="GNK219" s="76"/>
      <c r="GNL219" s="76"/>
      <c r="GNM219" s="76"/>
      <c r="GNN219" s="76"/>
      <c r="GNO219" s="76"/>
      <c r="GNP219" s="76"/>
      <c r="GNQ219" s="76"/>
      <c r="GNR219" s="76"/>
      <c r="GNS219" s="76"/>
      <c r="GNT219" s="76"/>
      <c r="GNU219" s="76"/>
      <c r="GNV219" s="76"/>
      <c r="GNW219" s="76"/>
      <c r="GNX219" s="76"/>
      <c r="GNY219" s="76"/>
      <c r="GNZ219" s="76"/>
      <c r="GOA219" s="76"/>
      <c r="GOB219" s="76"/>
      <c r="GOC219" s="76"/>
      <c r="GOD219" s="76"/>
      <c r="GOE219" s="76"/>
      <c r="GOF219" s="76"/>
      <c r="GOG219" s="76"/>
      <c r="GOH219" s="76"/>
      <c r="GOI219" s="76"/>
      <c r="GOJ219" s="76"/>
      <c r="GOK219" s="76"/>
      <c r="GOL219" s="76"/>
      <c r="GOM219" s="76"/>
      <c r="GON219" s="76"/>
      <c r="GOO219" s="76"/>
      <c r="GOP219" s="76"/>
      <c r="GOQ219" s="76"/>
      <c r="GOR219" s="76"/>
      <c r="GOS219" s="76"/>
      <c r="GOT219" s="76"/>
      <c r="GOU219" s="76"/>
      <c r="GOV219" s="76"/>
      <c r="GOW219" s="76"/>
      <c r="GOX219" s="76"/>
      <c r="GOY219" s="76"/>
      <c r="GOZ219" s="76"/>
      <c r="GPA219" s="76"/>
      <c r="GPB219" s="76"/>
      <c r="GPC219" s="76"/>
      <c r="GPD219" s="76"/>
      <c r="GPE219" s="76"/>
      <c r="GPF219" s="76"/>
      <c r="GPG219" s="76"/>
      <c r="GPH219" s="76"/>
      <c r="GPI219" s="76"/>
      <c r="GPJ219" s="76"/>
      <c r="GPK219" s="76"/>
      <c r="GPL219" s="76"/>
      <c r="GPM219" s="76"/>
      <c r="GPN219" s="76"/>
      <c r="GPO219" s="76"/>
      <c r="GPP219" s="76"/>
      <c r="GPQ219" s="76"/>
      <c r="GPR219" s="76"/>
      <c r="GPS219" s="76"/>
      <c r="GPT219" s="76"/>
      <c r="GPU219" s="76"/>
      <c r="GPV219" s="76"/>
      <c r="GPW219" s="76"/>
      <c r="GPX219" s="76"/>
      <c r="GPY219" s="76"/>
      <c r="GPZ219" s="76"/>
      <c r="GQA219" s="76"/>
      <c r="GQB219" s="76"/>
      <c r="GQC219" s="76"/>
      <c r="GQD219" s="76"/>
      <c r="GQE219" s="76"/>
      <c r="GQF219" s="76"/>
      <c r="GQG219" s="76"/>
      <c r="GQH219" s="76"/>
      <c r="GQI219" s="76"/>
      <c r="GQJ219" s="76"/>
      <c r="GQK219" s="76"/>
      <c r="GQL219" s="76"/>
      <c r="GQM219" s="76"/>
      <c r="GQN219" s="76"/>
      <c r="GQO219" s="76"/>
      <c r="GQP219" s="76"/>
      <c r="GQQ219" s="76"/>
      <c r="GQR219" s="76"/>
      <c r="GQS219" s="76"/>
      <c r="GQT219" s="76"/>
      <c r="GQU219" s="76"/>
      <c r="GQV219" s="76"/>
      <c r="GQW219" s="76"/>
      <c r="GQX219" s="76"/>
      <c r="GQY219" s="76"/>
      <c r="GQZ219" s="76"/>
      <c r="GRA219" s="76"/>
      <c r="GRB219" s="76"/>
      <c r="GRC219" s="76"/>
      <c r="GRD219" s="76"/>
      <c r="GRE219" s="76"/>
      <c r="GRF219" s="76"/>
      <c r="GRG219" s="76"/>
      <c r="GRH219" s="76"/>
      <c r="GRI219" s="76"/>
      <c r="GRJ219" s="76"/>
      <c r="GRK219" s="76"/>
      <c r="GRL219" s="76"/>
      <c r="GRM219" s="76"/>
      <c r="GRN219" s="76"/>
      <c r="GRO219" s="76"/>
      <c r="GRP219" s="76"/>
      <c r="GRQ219" s="76"/>
      <c r="GRR219" s="76"/>
      <c r="GRS219" s="76"/>
      <c r="GRT219" s="76"/>
      <c r="GRU219" s="76"/>
      <c r="GRV219" s="76"/>
      <c r="GRW219" s="76"/>
      <c r="GRX219" s="76"/>
      <c r="GRY219" s="76"/>
      <c r="GRZ219" s="76"/>
      <c r="GSA219" s="76"/>
      <c r="GSB219" s="76"/>
      <c r="GSC219" s="76"/>
      <c r="GSD219" s="76"/>
      <c r="GSE219" s="76"/>
      <c r="GSF219" s="76"/>
      <c r="GSG219" s="76"/>
      <c r="GSH219" s="76"/>
      <c r="GSI219" s="76"/>
      <c r="GSJ219" s="76"/>
      <c r="GSK219" s="76"/>
      <c r="GSL219" s="76"/>
      <c r="GSM219" s="76"/>
      <c r="GSN219" s="76"/>
      <c r="GSO219" s="76"/>
      <c r="GSP219" s="76"/>
      <c r="GSQ219" s="76"/>
      <c r="GSR219" s="76"/>
      <c r="GSS219" s="76"/>
      <c r="GST219" s="76"/>
      <c r="GSU219" s="76"/>
      <c r="GSV219" s="76"/>
      <c r="GSW219" s="76"/>
      <c r="GSX219" s="76"/>
      <c r="GSY219" s="76"/>
      <c r="GSZ219" s="76"/>
      <c r="GTA219" s="76"/>
      <c r="GTB219" s="76"/>
      <c r="GTC219" s="76"/>
      <c r="GTD219" s="76"/>
      <c r="GTE219" s="76"/>
      <c r="GTF219" s="76"/>
      <c r="GTG219" s="76"/>
      <c r="GTH219" s="76"/>
      <c r="GTI219" s="76"/>
      <c r="GTJ219" s="76"/>
      <c r="GTK219" s="76"/>
      <c r="GTL219" s="76"/>
      <c r="GTM219" s="76"/>
      <c r="GTN219" s="76"/>
      <c r="GTO219" s="76"/>
      <c r="GTP219" s="76"/>
      <c r="GTQ219" s="76"/>
      <c r="GTR219" s="76"/>
      <c r="GTS219" s="76"/>
      <c r="GTT219" s="76"/>
      <c r="GTU219" s="76"/>
      <c r="GTV219" s="76"/>
      <c r="GTW219" s="76"/>
      <c r="GTX219" s="76"/>
      <c r="GTY219" s="76"/>
      <c r="GTZ219" s="76"/>
      <c r="GUA219" s="76"/>
      <c r="GUB219" s="76"/>
      <c r="GUC219" s="76"/>
      <c r="GUD219" s="76"/>
      <c r="GUE219" s="76"/>
      <c r="GUF219" s="76"/>
      <c r="GUG219" s="76"/>
      <c r="GUH219" s="76"/>
      <c r="GUI219" s="76"/>
      <c r="GUJ219" s="76"/>
      <c r="GUK219" s="76"/>
      <c r="GUL219" s="76"/>
      <c r="GUM219" s="76"/>
      <c r="GUN219" s="76"/>
      <c r="GUO219" s="76"/>
      <c r="GUP219" s="76"/>
      <c r="GUQ219" s="76"/>
      <c r="GUR219" s="76"/>
      <c r="GUS219" s="76"/>
      <c r="GUT219" s="76"/>
      <c r="GUU219" s="76"/>
      <c r="GUV219" s="76"/>
      <c r="GUW219" s="76"/>
      <c r="GUX219" s="76"/>
      <c r="GUY219" s="76"/>
      <c r="GUZ219" s="76"/>
      <c r="GVA219" s="76"/>
      <c r="GVB219" s="76"/>
      <c r="GVC219" s="76"/>
      <c r="GVD219" s="76"/>
      <c r="GVE219" s="76"/>
      <c r="GVF219" s="76"/>
      <c r="GVG219" s="76"/>
      <c r="GVH219" s="76"/>
      <c r="GVI219" s="76"/>
      <c r="GVJ219" s="76"/>
      <c r="GVK219" s="76"/>
      <c r="GVL219" s="76"/>
      <c r="GVM219" s="76"/>
      <c r="GVN219" s="76"/>
      <c r="GVO219" s="76"/>
      <c r="GVP219" s="76"/>
      <c r="GVQ219" s="76"/>
      <c r="GVR219" s="76"/>
      <c r="GVS219" s="76"/>
      <c r="GVT219" s="76"/>
      <c r="GVU219" s="76"/>
      <c r="GVV219" s="76"/>
      <c r="GVW219" s="76"/>
      <c r="GVX219" s="76"/>
      <c r="GVY219" s="76"/>
      <c r="GVZ219" s="76"/>
      <c r="GWA219" s="76"/>
      <c r="GWB219" s="76"/>
      <c r="GWC219" s="76"/>
      <c r="GWD219" s="76"/>
      <c r="GWE219" s="76"/>
      <c r="GWF219" s="76"/>
      <c r="GWG219" s="76"/>
      <c r="GWH219" s="76"/>
      <c r="GWI219" s="76"/>
      <c r="GWJ219" s="76"/>
      <c r="GWK219" s="76"/>
      <c r="GWL219" s="76"/>
      <c r="GWM219" s="76"/>
      <c r="GWN219" s="76"/>
      <c r="GWO219" s="76"/>
      <c r="GWP219" s="76"/>
      <c r="GWQ219" s="76"/>
      <c r="GWR219" s="76"/>
      <c r="GWS219" s="76"/>
      <c r="GWT219" s="76"/>
      <c r="GWU219" s="76"/>
      <c r="GWV219" s="76"/>
      <c r="GWW219" s="76"/>
      <c r="GWX219" s="76"/>
      <c r="GWY219" s="76"/>
      <c r="GWZ219" s="76"/>
      <c r="GXA219" s="76"/>
      <c r="GXB219" s="76"/>
      <c r="GXC219" s="76"/>
      <c r="GXD219" s="76"/>
      <c r="GXE219" s="76"/>
      <c r="GXF219" s="76"/>
      <c r="GXG219" s="76"/>
      <c r="GXH219" s="76"/>
      <c r="GXI219" s="76"/>
      <c r="GXJ219" s="76"/>
      <c r="GXK219" s="76"/>
      <c r="GXL219" s="76"/>
      <c r="GXM219" s="76"/>
      <c r="GXN219" s="76"/>
      <c r="GXO219" s="76"/>
      <c r="GXP219" s="76"/>
      <c r="GXQ219" s="76"/>
      <c r="GXR219" s="76"/>
      <c r="GXS219" s="76"/>
      <c r="GXT219" s="76"/>
      <c r="GXU219" s="76"/>
      <c r="GXV219" s="76"/>
      <c r="GXW219" s="76"/>
      <c r="GXX219" s="76"/>
      <c r="GXY219" s="76"/>
      <c r="GXZ219" s="76"/>
      <c r="GYA219" s="76"/>
      <c r="GYB219" s="76"/>
      <c r="GYC219" s="76"/>
      <c r="GYD219" s="76"/>
      <c r="GYE219" s="76"/>
      <c r="GYF219" s="76"/>
      <c r="GYG219" s="76"/>
      <c r="GYH219" s="76"/>
      <c r="GYI219" s="76"/>
      <c r="GYJ219" s="76"/>
      <c r="GYK219" s="76"/>
      <c r="GYL219" s="76"/>
      <c r="GYM219" s="76"/>
      <c r="GYN219" s="76"/>
      <c r="GYO219" s="76"/>
      <c r="GYP219" s="76"/>
      <c r="GYQ219" s="76"/>
      <c r="GYR219" s="76"/>
      <c r="GYS219" s="76"/>
      <c r="GYT219" s="76"/>
      <c r="GYU219" s="76"/>
      <c r="GYV219" s="76"/>
      <c r="GYW219" s="76"/>
      <c r="GYX219" s="76"/>
      <c r="GYY219" s="76"/>
      <c r="GYZ219" s="76"/>
      <c r="GZA219" s="76"/>
      <c r="GZB219" s="76"/>
      <c r="GZC219" s="76"/>
      <c r="GZD219" s="76"/>
      <c r="GZE219" s="76"/>
      <c r="GZF219" s="76"/>
      <c r="GZG219" s="76"/>
      <c r="GZH219" s="76"/>
      <c r="GZI219" s="76"/>
      <c r="GZJ219" s="76"/>
      <c r="GZK219" s="76"/>
      <c r="GZL219" s="76"/>
      <c r="GZM219" s="76"/>
      <c r="GZN219" s="76"/>
      <c r="GZO219" s="76"/>
      <c r="GZP219" s="76"/>
      <c r="GZQ219" s="76"/>
      <c r="GZR219" s="76"/>
      <c r="GZS219" s="76"/>
      <c r="GZT219" s="76"/>
      <c r="GZU219" s="76"/>
      <c r="GZV219" s="76"/>
      <c r="GZW219" s="76"/>
      <c r="GZX219" s="76"/>
      <c r="GZY219" s="76"/>
      <c r="GZZ219" s="76"/>
      <c r="HAA219" s="76"/>
      <c r="HAB219" s="76"/>
      <c r="HAC219" s="76"/>
      <c r="HAD219" s="76"/>
      <c r="HAE219" s="76"/>
      <c r="HAF219" s="76"/>
      <c r="HAG219" s="76"/>
      <c r="HAH219" s="76"/>
      <c r="HAI219" s="76"/>
      <c r="HAJ219" s="76"/>
      <c r="HAK219" s="76"/>
      <c r="HAL219" s="76"/>
      <c r="HAM219" s="76"/>
      <c r="HAN219" s="76"/>
      <c r="HAO219" s="76"/>
      <c r="HAP219" s="76"/>
      <c r="HAQ219" s="76"/>
      <c r="HAR219" s="76"/>
      <c r="HAS219" s="76"/>
      <c r="HAT219" s="76"/>
      <c r="HAU219" s="76"/>
      <c r="HAV219" s="76"/>
      <c r="HAW219" s="76"/>
      <c r="HAX219" s="76"/>
      <c r="HAY219" s="76"/>
      <c r="HAZ219" s="76"/>
      <c r="HBA219" s="76"/>
      <c r="HBB219" s="76"/>
      <c r="HBC219" s="76"/>
      <c r="HBD219" s="76"/>
      <c r="HBE219" s="76"/>
      <c r="HBF219" s="76"/>
      <c r="HBG219" s="76"/>
      <c r="HBH219" s="76"/>
      <c r="HBI219" s="76"/>
      <c r="HBJ219" s="76"/>
      <c r="HBK219" s="76"/>
      <c r="HBL219" s="76"/>
      <c r="HBM219" s="76"/>
      <c r="HBN219" s="76"/>
      <c r="HBO219" s="76"/>
      <c r="HBP219" s="76"/>
      <c r="HBQ219" s="76"/>
      <c r="HBR219" s="76"/>
      <c r="HBS219" s="76"/>
      <c r="HBT219" s="76"/>
      <c r="HBU219" s="76"/>
      <c r="HBV219" s="76"/>
      <c r="HBW219" s="76"/>
      <c r="HBX219" s="76"/>
      <c r="HBY219" s="76"/>
      <c r="HBZ219" s="76"/>
      <c r="HCA219" s="76"/>
      <c r="HCB219" s="76"/>
      <c r="HCC219" s="76"/>
      <c r="HCD219" s="76"/>
      <c r="HCE219" s="76"/>
      <c r="HCF219" s="76"/>
      <c r="HCG219" s="76"/>
      <c r="HCH219" s="76"/>
      <c r="HCI219" s="76"/>
      <c r="HCJ219" s="76"/>
      <c r="HCK219" s="76"/>
      <c r="HCL219" s="76"/>
      <c r="HCM219" s="76"/>
      <c r="HCN219" s="76"/>
      <c r="HCO219" s="76"/>
      <c r="HCP219" s="76"/>
      <c r="HCQ219" s="76"/>
      <c r="HCR219" s="76"/>
      <c r="HCS219" s="76"/>
      <c r="HCT219" s="76"/>
      <c r="HCU219" s="76"/>
      <c r="HCV219" s="76"/>
      <c r="HCW219" s="76"/>
      <c r="HCX219" s="76"/>
      <c r="HCY219" s="76"/>
      <c r="HCZ219" s="76"/>
      <c r="HDA219" s="76"/>
      <c r="HDB219" s="76"/>
      <c r="HDC219" s="76"/>
      <c r="HDD219" s="76"/>
      <c r="HDE219" s="76"/>
      <c r="HDF219" s="76"/>
      <c r="HDG219" s="76"/>
      <c r="HDH219" s="76"/>
      <c r="HDI219" s="76"/>
      <c r="HDJ219" s="76"/>
      <c r="HDK219" s="76"/>
      <c r="HDL219" s="76"/>
      <c r="HDM219" s="76"/>
      <c r="HDN219" s="76"/>
      <c r="HDO219" s="76"/>
      <c r="HDP219" s="76"/>
      <c r="HDQ219" s="76"/>
      <c r="HDR219" s="76"/>
      <c r="HDS219" s="76"/>
      <c r="HDT219" s="76"/>
      <c r="HDU219" s="76"/>
      <c r="HDV219" s="76"/>
      <c r="HDW219" s="76"/>
      <c r="HDX219" s="76"/>
      <c r="HDY219" s="76"/>
      <c r="HDZ219" s="76"/>
      <c r="HEA219" s="76"/>
      <c r="HEB219" s="76"/>
      <c r="HEC219" s="76"/>
      <c r="HED219" s="76"/>
      <c r="HEE219" s="76"/>
      <c r="HEF219" s="76"/>
      <c r="HEG219" s="76"/>
      <c r="HEH219" s="76"/>
      <c r="HEI219" s="76"/>
      <c r="HEJ219" s="76"/>
      <c r="HEK219" s="76"/>
      <c r="HEL219" s="76"/>
      <c r="HEM219" s="76"/>
      <c r="HEN219" s="76"/>
      <c r="HEO219" s="76"/>
      <c r="HEP219" s="76"/>
      <c r="HEQ219" s="76"/>
      <c r="HER219" s="76"/>
      <c r="HES219" s="76"/>
      <c r="HET219" s="76"/>
      <c r="HEU219" s="76"/>
      <c r="HEV219" s="76"/>
      <c r="HEW219" s="76"/>
      <c r="HEX219" s="76"/>
      <c r="HEY219" s="76"/>
      <c r="HEZ219" s="76"/>
      <c r="HFA219" s="76"/>
      <c r="HFB219" s="76"/>
      <c r="HFC219" s="76"/>
      <c r="HFD219" s="76"/>
      <c r="HFE219" s="76"/>
      <c r="HFF219" s="76"/>
      <c r="HFG219" s="76"/>
      <c r="HFH219" s="76"/>
      <c r="HFI219" s="76"/>
      <c r="HFJ219" s="76"/>
      <c r="HFK219" s="76"/>
      <c r="HFL219" s="76"/>
      <c r="HFM219" s="76"/>
      <c r="HFN219" s="76"/>
      <c r="HFO219" s="76"/>
      <c r="HFP219" s="76"/>
      <c r="HFQ219" s="76"/>
      <c r="HFR219" s="76"/>
      <c r="HFS219" s="76"/>
      <c r="HFT219" s="76"/>
      <c r="HFU219" s="76"/>
      <c r="HFV219" s="76"/>
      <c r="HFW219" s="76"/>
      <c r="HFX219" s="76"/>
      <c r="HFY219" s="76"/>
      <c r="HFZ219" s="76"/>
      <c r="HGA219" s="76"/>
      <c r="HGB219" s="76"/>
      <c r="HGC219" s="76"/>
      <c r="HGD219" s="76"/>
      <c r="HGE219" s="76"/>
      <c r="HGF219" s="76"/>
      <c r="HGG219" s="76"/>
      <c r="HGH219" s="76"/>
      <c r="HGI219" s="76"/>
      <c r="HGJ219" s="76"/>
      <c r="HGK219" s="76"/>
      <c r="HGL219" s="76"/>
      <c r="HGM219" s="76"/>
      <c r="HGN219" s="76"/>
      <c r="HGO219" s="76"/>
      <c r="HGP219" s="76"/>
      <c r="HGQ219" s="76"/>
      <c r="HGR219" s="76"/>
      <c r="HGS219" s="76"/>
      <c r="HGT219" s="76"/>
      <c r="HGU219" s="76"/>
      <c r="HGV219" s="76"/>
      <c r="HGW219" s="76"/>
      <c r="HGX219" s="76"/>
      <c r="HGY219" s="76"/>
      <c r="HGZ219" s="76"/>
      <c r="HHA219" s="76"/>
      <c r="HHB219" s="76"/>
      <c r="HHC219" s="76"/>
      <c r="HHD219" s="76"/>
      <c r="HHE219" s="76"/>
      <c r="HHF219" s="76"/>
      <c r="HHG219" s="76"/>
      <c r="HHH219" s="76"/>
      <c r="HHI219" s="76"/>
      <c r="HHJ219" s="76"/>
      <c r="HHK219" s="76"/>
      <c r="HHL219" s="76"/>
      <c r="HHM219" s="76"/>
      <c r="HHN219" s="76"/>
      <c r="HHO219" s="76"/>
      <c r="HHP219" s="76"/>
      <c r="HHQ219" s="76"/>
      <c r="HHR219" s="76"/>
      <c r="HHS219" s="76"/>
      <c r="HHT219" s="76"/>
      <c r="HHU219" s="76"/>
      <c r="HHV219" s="76"/>
      <c r="HHW219" s="76"/>
      <c r="HHX219" s="76"/>
      <c r="HHY219" s="76"/>
      <c r="HHZ219" s="76"/>
      <c r="HIA219" s="76"/>
      <c r="HIB219" s="76"/>
      <c r="HIC219" s="76"/>
      <c r="HID219" s="76"/>
      <c r="HIE219" s="76"/>
      <c r="HIF219" s="76"/>
      <c r="HIG219" s="76"/>
      <c r="HIH219" s="76"/>
      <c r="HII219" s="76"/>
      <c r="HIJ219" s="76"/>
      <c r="HIK219" s="76"/>
      <c r="HIL219" s="76"/>
      <c r="HIM219" s="76"/>
      <c r="HIN219" s="76"/>
      <c r="HIO219" s="76"/>
      <c r="HIP219" s="76"/>
      <c r="HIQ219" s="76"/>
      <c r="HIR219" s="76"/>
      <c r="HIS219" s="76"/>
      <c r="HIT219" s="76"/>
      <c r="HIU219" s="76"/>
      <c r="HIV219" s="76"/>
      <c r="HIW219" s="76"/>
      <c r="HIX219" s="76"/>
      <c r="HIY219" s="76"/>
      <c r="HIZ219" s="76"/>
      <c r="HJA219" s="76"/>
      <c r="HJB219" s="76"/>
      <c r="HJC219" s="76"/>
      <c r="HJD219" s="76"/>
      <c r="HJE219" s="76"/>
      <c r="HJF219" s="76"/>
      <c r="HJG219" s="76"/>
      <c r="HJH219" s="76"/>
      <c r="HJI219" s="76"/>
      <c r="HJJ219" s="76"/>
      <c r="HJK219" s="76"/>
      <c r="HJL219" s="76"/>
      <c r="HJM219" s="76"/>
      <c r="HJN219" s="76"/>
      <c r="HJO219" s="76"/>
      <c r="HJP219" s="76"/>
      <c r="HJQ219" s="76"/>
      <c r="HJR219" s="76"/>
      <c r="HJS219" s="76"/>
      <c r="HJT219" s="76"/>
      <c r="HJU219" s="76"/>
      <c r="HJV219" s="76"/>
      <c r="HJW219" s="76"/>
      <c r="HJX219" s="76"/>
      <c r="HJY219" s="76"/>
      <c r="HJZ219" s="76"/>
      <c r="HKA219" s="76"/>
      <c r="HKB219" s="76"/>
      <c r="HKC219" s="76"/>
      <c r="HKD219" s="76"/>
      <c r="HKE219" s="76"/>
      <c r="HKF219" s="76"/>
      <c r="HKG219" s="76"/>
      <c r="HKH219" s="76"/>
      <c r="HKI219" s="76"/>
      <c r="HKJ219" s="76"/>
      <c r="HKK219" s="76"/>
      <c r="HKL219" s="76"/>
      <c r="HKM219" s="76"/>
      <c r="HKN219" s="76"/>
      <c r="HKO219" s="76"/>
      <c r="HKP219" s="76"/>
      <c r="HKQ219" s="76"/>
      <c r="HKR219" s="76"/>
      <c r="HKS219" s="76"/>
      <c r="HKT219" s="76"/>
      <c r="HKU219" s="76"/>
      <c r="HKV219" s="76"/>
      <c r="HKW219" s="76"/>
      <c r="HKX219" s="76"/>
      <c r="HKY219" s="76"/>
      <c r="HKZ219" s="76"/>
      <c r="HLA219" s="76"/>
      <c r="HLB219" s="76"/>
      <c r="HLC219" s="76"/>
      <c r="HLD219" s="76"/>
      <c r="HLE219" s="76"/>
      <c r="HLF219" s="76"/>
      <c r="HLG219" s="76"/>
      <c r="HLH219" s="76"/>
      <c r="HLI219" s="76"/>
      <c r="HLJ219" s="76"/>
      <c r="HLK219" s="76"/>
      <c r="HLL219" s="76"/>
      <c r="HLM219" s="76"/>
      <c r="HLN219" s="76"/>
      <c r="HLO219" s="76"/>
      <c r="HLP219" s="76"/>
      <c r="HLQ219" s="76"/>
      <c r="HLR219" s="76"/>
      <c r="HLS219" s="76"/>
      <c r="HLT219" s="76"/>
      <c r="HLU219" s="76"/>
      <c r="HLV219" s="76"/>
      <c r="HLW219" s="76"/>
      <c r="HLX219" s="76"/>
      <c r="HLY219" s="76"/>
      <c r="HLZ219" s="76"/>
      <c r="HMA219" s="76"/>
      <c r="HMB219" s="76"/>
      <c r="HMC219" s="76"/>
      <c r="HMD219" s="76"/>
      <c r="HME219" s="76"/>
      <c r="HMF219" s="76"/>
      <c r="HMG219" s="76"/>
      <c r="HMH219" s="76"/>
      <c r="HMI219" s="76"/>
      <c r="HMJ219" s="76"/>
      <c r="HMK219" s="76"/>
      <c r="HML219" s="76"/>
      <c r="HMM219" s="76"/>
      <c r="HMN219" s="76"/>
      <c r="HMO219" s="76"/>
      <c r="HMP219" s="76"/>
      <c r="HMQ219" s="76"/>
      <c r="HMR219" s="76"/>
      <c r="HMS219" s="76"/>
      <c r="HMT219" s="76"/>
      <c r="HMU219" s="76"/>
      <c r="HMV219" s="76"/>
      <c r="HMW219" s="76"/>
      <c r="HMX219" s="76"/>
      <c r="HMY219" s="76"/>
      <c r="HMZ219" s="76"/>
      <c r="HNA219" s="76"/>
      <c r="HNB219" s="76"/>
      <c r="HNC219" s="76"/>
      <c r="HND219" s="76"/>
      <c r="HNE219" s="76"/>
      <c r="HNF219" s="76"/>
      <c r="HNG219" s="76"/>
      <c r="HNH219" s="76"/>
      <c r="HNI219" s="76"/>
      <c r="HNJ219" s="76"/>
      <c r="HNK219" s="76"/>
      <c r="HNL219" s="76"/>
      <c r="HNM219" s="76"/>
      <c r="HNN219" s="76"/>
      <c r="HNO219" s="76"/>
      <c r="HNP219" s="76"/>
      <c r="HNQ219" s="76"/>
      <c r="HNR219" s="76"/>
      <c r="HNS219" s="76"/>
      <c r="HNT219" s="76"/>
      <c r="HNU219" s="76"/>
      <c r="HNV219" s="76"/>
      <c r="HNW219" s="76"/>
      <c r="HNX219" s="76"/>
      <c r="HNY219" s="76"/>
      <c r="HNZ219" s="76"/>
      <c r="HOA219" s="76"/>
      <c r="HOB219" s="76"/>
      <c r="HOC219" s="76"/>
      <c r="HOD219" s="76"/>
      <c r="HOE219" s="76"/>
      <c r="HOF219" s="76"/>
      <c r="HOG219" s="76"/>
      <c r="HOH219" s="76"/>
      <c r="HOI219" s="76"/>
      <c r="HOJ219" s="76"/>
      <c r="HOK219" s="76"/>
      <c r="HOL219" s="76"/>
      <c r="HOM219" s="76"/>
      <c r="HON219" s="76"/>
      <c r="HOO219" s="76"/>
      <c r="HOP219" s="76"/>
      <c r="HOQ219" s="76"/>
      <c r="HOR219" s="76"/>
      <c r="HOS219" s="76"/>
      <c r="HOT219" s="76"/>
      <c r="HOU219" s="76"/>
      <c r="HOV219" s="76"/>
      <c r="HOW219" s="76"/>
      <c r="HOX219" s="76"/>
      <c r="HOY219" s="76"/>
      <c r="HOZ219" s="76"/>
      <c r="HPA219" s="76"/>
      <c r="HPB219" s="76"/>
      <c r="HPC219" s="76"/>
      <c r="HPD219" s="76"/>
      <c r="HPE219" s="76"/>
      <c r="HPF219" s="76"/>
      <c r="HPG219" s="76"/>
      <c r="HPH219" s="76"/>
      <c r="HPI219" s="76"/>
      <c r="HPJ219" s="76"/>
      <c r="HPK219" s="76"/>
      <c r="HPL219" s="76"/>
      <c r="HPM219" s="76"/>
      <c r="HPN219" s="76"/>
      <c r="HPO219" s="76"/>
      <c r="HPP219" s="76"/>
      <c r="HPQ219" s="76"/>
      <c r="HPR219" s="76"/>
      <c r="HPS219" s="76"/>
      <c r="HPT219" s="76"/>
      <c r="HPU219" s="76"/>
      <c r="HPV219" s="76"/>
      <c r="HPW219" s="76"/>
      <c r="HPX219" s="76"/>
      <c r="HPY219" s="76"/>
      <c r="HPZ219" s="76"/>
      <c r="HQA219" s="76"/>
      <c r="HQB219" s="76"/>
      <c r="HQC219" s="76"/>
      <c r="HQD219" s="76"/>
      <c r="HQE219" s="76"/>
      <c r="HQF219" s="76"/>
      <c r="HQG219" s="76"/>
      <c r="HQH219" s="76"/>
      <c r="HQI219" s="76"/>
      <c r="HQJ219" s="76"/>
      <c r="HQK219" s="76"/>
      <c r="HQL219" s="76"/>
      <c r="HQM219" s="76"/>
      <c r="HQN219" s="76"/>
      <c r="HQO219" s="76"/>
      <c r="HQP219" s="76"/>
      <c r="HQQ219" s="76"/>
      <c r="HQR219" s="76"/>
      <c r="HQS219" s="76"/>
      <c r="HQT219" s="76"/>
      <c r="HQU219" s="76"/>
      <c r="HQV219" s="76"/>
      <c r="HQW219" s="76"/>
      <c r="HQX219" s="76"/>
      <c r="HQY219" s="76"/>
      <c r="HQZ219" s="76"/>
      <c r="HRA219" s="76"/>
      <c r="HRB219" s="76"/>
      <c r="HRC219" s="76"/>
      <c r="HRD219" s="76"/>
      <c r="HRE219" s="76"/>
      <c r="HRF219" s="76"/>
      <c r="HRG219" s="76"/>
      <c r="HRH219" s="76"/>
      <c r="HRI219" s="76"/>
      <c r="HRJ219" s="76"/>
      <c r="HRK219" s="76"/>
      <c r="HRL219" s="76"/>
      <c r="HRM219" s="76"/>
      <c r="HRN219" s="76"/>
      <c r="HRO219" s="76"/>
      <c r="HRP219" s="76"/>
      <c r="HRQ219" s="76"/>
      <c r="HRR219" s="76"/>
      <c r="HRS219" s="76"/>
      <c r="HRT219" s="76"/>
      <c r="HRU219" s="76"/>
      <c r="HRV219" s="76"/>
      <c r="HRW219" s="76"/>
      <c r="HRX219" s="76"/>
      <c r="HRY219" s="76"/>
      <c r="HRZ219" s="76"/>
      <c r="HSA219" s="76"/>
      <c r="HSB219" s="76"/>
      <c r="HSC219" s="76"/>
      <c r="HSD219" s="76"/>
      <c r="HSE219" s="76"/>
      <c r="HSF219" s="76"/>
      <c r="HSG219" s="76"/>
      <c r="HSH219" s="76"/>
      <c r="HSI219" s="76"/>
      <c r="HSJ219" s="76"/>
      <c r="HSK219" s="76"/>
      <c r="HSL219" s="76"/>
      <c r="HSM219" s="76"/>
      <c r="HSN219" s="76"/>
      <c r="HSO219" s="76"/>
      <c r="HSP219" s="76"/>
      <c r="HSQ219" s="76"/>
      <c r="HSR219" s="76"/>
      <c r="HSS219" s="76"/>
      <c r="HST219" s="76"/>
      <c r="HSU219" s="76"/>
      <c r="HSV219" s="76"/>
      <c r="HSW219" s="76"/>
      <c r="HSX219" s="76"/>
      <c r="HSY219" s="76"/>
      <c r="HSZ219" s="76"/>
      <c r="HTA219" s="76"/>
      <c r="HTB219" s="76"/>
      <c r="HTC219" s="76"/>
      <c r="HTD219" s="76"/>
      <c r="HTE219" s="76"/>
      <c r="HTF219" s="76"/>
      <c r="HTG219" s="76"/>
      <c r="HTH219" s="76"/>
      <c r="HTI219" s="76"/>
      <c r="HTJ219" s="76"/>
      <c r="HTK219" s="76"/>
      <c r="HTL219" s="76"/>
      <c r="HTM219" s="76"/>
      <c r="HTN219" s="76"/>
      <c r="HTO219" s="76"/>
      <c r="HTP219" s="76"/>
      <c r="HTQ219" s="76"/>
      <c r="HTR219" s="76"/>
      <c r="HTS219" s="76"/>
      <c r="HTT219" s="76"/>
      <c r="HTU219" s="76"/>
      <c r="HTV219" s="76"/>
      <c r="HTW219" s="76"/>
      <c r="HTX219" s="76"/>
      <c r="HTY219" s="76"/>
      <c r="HTZ219" s="76"/>
      <c r="HUA219" s="76"/>
      <c r="HUB219" s="76"/>
      <c r="HUC219" s="76"/>
      <c r="HUD219" s="76"/>
      <c r="HUE219" s="76"/>
      <c r="HUF219" s="76"/>
      <c r="HUG219" s="76"/>
      <c r="HUH219" s="76"/>
      <c r="HUI219" s="76"/>
      <c r="HUJ219" s="76"/>
      <c r="HUK219" s="76"/>
      <c r="HUL219" s="76"/>
      <c r="HUM219" s="76"/>
      <c r="HUN219" s="76"/>
      <c r="HUO219" s="76"/>
      <c r="HUP219" s="76"/>
      <c r="HUQ219" s="76"/>
      <c r="HUR219" s="76"/>
      <c r="HUS219" s="76"/>
      <c r="HUT219" s="76"/>
      <c r="HUU219" s="76"/>
      <c r="HUV219" s="76"/>
      <c r="HUW219" s="76"/>
      <c r="HUX219" s="76"/>
      <c r="HUY219" s="76"/>
      <c r="HUZ219" s="76"/>
      <c r="HVA219" s="76"/>
      <c r="HVB219" s="76"/>
      <c r="HVC219" s="76"/>
      <c r="HVD219" s="76"/>
      <c r="HVE219" s="76"/>
      <c r="HVF219" s="76"/>
      <c r="HVG219" s="76"/>
      <c r="HVH219" s="76"/>
      <c r="HVI219" s="76"/>
      <c r="HVJ219" s="76"/>
      <c r="HVK219" s="76"/>
      <c r="HVL219" s="76"/>
      <c r="HVM219" s="76"/>
      <c r="HVN219" s="76"/>
      <c r="HVO219" s="76"/>
      <c r="HVP219" s="76"/>
      <c r="HVQ219" s="76"/>
      <c r="HVR219" s="76"/>
      <c r="HVS219" s="76"/>
      <c r="HVT219" s="76"/>
      <c r="HVU219" s="76"/>
      <c r="HVV219" s="76"/>
      <c r="HVW219" s="76"/>
      <c r="HVX219" s="76"/>
      <c r="HVY219" s="76"/>
      <c r="HVZ219" s="76"/>
      <c r="HWA219" s="76"/>
      <c r="HWB219" s="76"/>
      <c r="HWC219" s="76"/>
      <c r="HWD219" s="76"/>
      <c r="HWE219" s="76"/>
      <c r="HWF219" s="76"/>
      <c r="HWG219" s="76"/>
      <c r="HWH219" s="76"/>
      <c r="HWI219" s="76"/>
      <c r="HWJ219" s="76"/>
      <c r="HWK219" s="76"/>
      <c r="HWL219" s="76"/>
      <c r="HWM219" s="76"/>
      <c r="HWN219" s="76"/>
      <c r="HWO219" s="76"/>
      <c r="HWP219" s="76"/>
      <c r="HWQ219" s="76"/>
      <c r="HWR219" s="76"/>
      <c r="HWS219" s="76"/>
      <c r="HWT219" s="76"/>
      <c r="HWU219" s="76"/>
      <c r="HWV219" s="76"/>
      <c r="HWW219" s="76"/>
      <c r="HWX219" s="76"/>
      <c r="HWY219" s="76"/>
      <c r="HWZ219" s="76"/>
      <c r="HXA219" s="76"/>
      <c r="HXB219" s="76"/>
      <c r="HXC219" s="76"/>
      <c r="HXD219" s="76"/>
      <c r="HXE219" s="76"/>
      <c r="HXF219" s="76"/>
      <c r="HXG219" s="76"/>
      <c r="HXH219" s="76"/>
      <c r="HXI219" s="76"/>
      <c r="HXJ219" s="76"/>
      <c r="HXK219" s="76"/>
      <c r="HXL219" s="76"/>
      <c r="HXM219" s="76"/>
      <c r="HXN219" s="76"/>
      <c r="HXO219" s="76"/>
      <c r="HXP219" s="76"/>
      <c r="HXQ219" s="76"/>
      <c r="HXR219" s="76"/>
      <c r="HXS219" s="76"/>
      <c r="HXT219" s="76"/>
      <c r="HXU219" s="76"/>
      <c r="HXV219" s="76"/>
      <c r="HXW219" s="76"/>
      <c r="HXX219" s="76"/>
      <c r="HXY219" s="76"/>
      <c r="HXZ219" s="76"/>
      <c r="HYA219" s="76"/>
      <c r="HYB219" s="76"/>
      <c r="HYC219" s="76"/>
      <c r="HYD219" s="76"/>
      <c r="HYE219" s="76"/>
      <c r="HYF219" s="76"/>
      <c r="HYG219" s="76"/>
      <c r="HYH219" s="76"/>
      <c r="HYI219" s="76"/>
      <c r="HYJ219" s="76"/>
      <c r="HYK219" s="76"/>
      <c r="HYL219" s="76"/>
      <c r="HYM219" s="76"/>
      <c r="HYN219" s="76"/>
      <c r="HYO219" s="76"/>
      <c r="HYP219" s="76"/>
      <c r="HYQ219" s="76"/>
      <c r="HYR219" s="76"/>
      <c r="HYS219" s="76"/>
      <c r="HYT219" s="76"/>
      <c r="HYU219" s="76"/>
      <c r="HYV219" s="76"/>
      <c r="HYW219" s="76"/>
      <c r="HYX219" s="76"/>
      <c r="HYY219" s="76"/>
      <c r="HYZ219" s="76"/>
      <c r="HZA219" s="76"/>
      <c r="HZB219" s="76"/>
      <c r="HZC219" s="76"/>
      <c r="HZD219" s="76"/>
      <c r="HZE219" s="76"/>
      <c r="HZF219" s="76"/>
      <c r="HZG219" s="76"/>
      <c r="HZH219" s="76"/>
      <c r="HZI219" s="76"/>
      <c r="HZJ219" s="76"/>
      <c r="HZK219" s="76"/>
      <c r="HZL219" s="76"/>
      <c r="HZM219" s="76"/>
      <c r="HZN219" s="76"/>
      <c r="HZO219" s="76"/>
      <c r="HZP219" s="76"/>
      <c r="HZQ219" s="76"/>
      <c r="HZR219" s="76"/>
      <c r="HZS219" s="76"/>
      <c r="HZT219" s="76"/>
      <c r="HZU219" s="76"/>
      <c r="HZV219" s="76"/>
      <c r="HZW219" s="76"/>
      <c r="HZX219" s="76"/>
      <c r="HZY219" s="76"/>
      <c r="HZZ219" s="76"/>
      <c r="IAA219" s="76"/>
      <c r="IAB219" s="76"/>
      <c r="IAC219" s="76"/>
      <c r="IAD219" s="76"/>
      <c r="IAE219" s="76"/>
      <c r="IAF219" s="76"/>
      <c r="IAG219" s="76"/>
      <c r="IAH219" s="76"/>
      <c r="IAI219" s="76"/>
      <c r="IAJ219" s="76"/>
      <c r="IAK219" s="76"/>
      <c r="IAL219" s="76"/>
      <c r="IAM219" s="76"/>
      <c r="IAN219" s="76"/>
      <c r="IAO219" s="76"/>
      <c r="IAP219" s="76"/>
      <c r="IAQ219" s="76"/>
      <c r="IAR219" s="76"/>
      <c r="IAS219" s="76"/>
      <c r="IAT219" s="76"/>
      <c r="IAU219" s="76"/>
      <c r="IAV219" s="76"/>
      <c r="IAW219" s="76"/>
      <c r="IAX219" s="76"/>
      <c r="IAY219" s="76"/>
      <c r="IAZ219" s="76"/>
      <c r="IBA219" s="76"/>
      <c r="IBB219" s="76"/>
      <c r="IBC219" s="76"/>
      <c r="IBD219" s="76"/>
      <c r="IBE219" s="76"/>
      <c r="IBF219" s="76"/>
      <c r="IBG219" s="76"/>
      <c r="IBH219" s="76"/>
      <c r="IBI219" s="76"/>
      <c r="IBJ219" s="76"/>
      <c r="IBK219" s="76"/>
      <c r="IBL219" s="76"/>
      <c r="IBM219" s="76"/>
      <c r="IBN219" s="76"/>
      <c r="IBO219" s="76"/>
      <c r="IBP219" s="76"/>
      <c r="IBQ219" s="76"/>
      <c r="IBR219" s="76"/>
      <c r="IBS219" s="76"/>
      <c r="IBT219" s="76"/>
      <c r="IBU219" s="76"/>
      <c r="IBV219" s="76"/>
      <c r="IBW219" s="76"/>
      <c r="IBX219" s="76"/>
      <c r="IBY219" s="76"/>
      <c r="IBZ219" s="76"/>
      <c r="ICA219" s="76"/>
      <c r="ICB219" s="76"/>
      <c r="ICC219" s="76"/>
      <c r="ICD219" s="76"/>
      <c r="ICE219" s="76"/>
      <c r="ICF219" s="76"/>
      <c r="ICG219" s="76"/>
      <c r="ICH219" s="76"/>
      <c r="ICI219" s="76"/>
      <c r="ICJ219" s="76"/>
      <c r="ICK219" s="76"/>
      <c r="ICL219" s="76"/>
      <c r="ICM219" s="76"/>
      <c r="ICN219" s="76"/>
      <c r="ICO219" s="76"/>
      <c r="ICP219" s="76"/>
      <c r="ICQ219" s="76"/>
      <c r="ICR219" s="76"/>
      <c r="ICS219" s="76"/>
      <c r="ICT219" s="76"/>
      <c r="ICU219" s="76"/>
      <c r="ICV219" s="76"/>
      <c r="ICW219" s="76"/>
      <c r="ICX219" s="76"/>
      <c r="ICY219" s="76"/>
      <c r="ICZ219" s="76"/>
      <c r="IDA219" s="76"/>
      <c r="IDB219" s="76"/>
      <c r="IDC219" s="76"/>
      <c r="IDD219" s="76"/>
      <c r="IDE219" s="76"/>
      <c r="IDF219" s="76"/>
      <c r="IDG219" s="76"/>
      <c r="IDH219" s="76"/>
      <c r="IDI219" s="76"/>
      <c r="IDJ219" s="76"/>
      <c r="IDK219" s="76"/>
      <c r="IDL219" s="76"/>
      <c r="IDM219" s="76"/>
      <c r="IDN219" s="76"/>
      <c r="IDO219" s="76"/>
      <c r="IDP219" s="76"/>
      <c r="IDQ219" s="76"/>
      <c r="IDR219" s="76"/>
      <c r="IDS219" s="76"/>
      <c r="IDT219" s="76"/>
      <c r="IDU219" s="76"/>
      <c r="IDV219" s="76"/>
      <c r="IDW219" s="76"/>
      <c r="IDX219" s="76"/>
      <c r="IDY219" s="76"/>
      <c r="IDZ219" s="76"/>
      <c r="IEA219" s="76"/>
      <c r="IEB219" s="76"/>
      <c r="IEC219" s="76"/>
      <c r="IED219" s="76"/>
      <c r="IEE219" s="76"/>
      <c r="IEF219" s="76"/>
      <c r="IEG219" s="76"/>
      <c r="IEH219" s="76"/>
      <c r="IEI219" s="76"/>
      <c r="IEJ219" s="76"/>
      <c r="IEK219" s="76"/>
      <c r="IEL219" s="76"/>
      <c r="IEM219" s="76"/>
      <c r="IEN219" s="76"/>
      <c r="IEO219" s="76"/>
      <c r="IEP219" s="76"/>
      <c r="IEQ219" s="76"/>
      <c r="IER219" s="76"/>
      <c r="IES219" s="76"/>
      <c r="IET219" s="76"/>
      <c r="IEU219" s="76"/>
      <c r="IEV219" s="76"/>
      <c r="IEW219" s="76"/>
      <c r="IEX219" s="76"/>
      <c r="IEY219" s="76"/>
      <c r="IEZ219" s="76"/>
      <c r="IFA219" s="76"/>
      <c r="IFB219" s="76"/>
      <c r="IFC219" s="76"/>
      <c r="IFD219" s="76"/>
      <c r="IFE219" s="76"/>
      <c r="IFF219" s="76"/>
      <c r="IFG219" s="76"/>
      <c r="IFH219" s="76"/>
      <c r="IFI219" s="76"/>
      <c r="IFJ219" s="76"/>
      <c r="IFK219" s="76"/>
      <c r="IFL219" s="76"/>
      <c r="IFM219" s="76"/>
      <c r="IFN219" s="76"/>
      <c r="IFO219" s="76"/>
      <c r="IFP219" s="76"/>
      <c r="IFQ219" s="76"/>
      <c r="IFR219" s="76"/>
      <c r="IFS219" s="76"/>
      <c r="IFT219" s="76"/>
      <c r="IFU219" s="76"/>
      <c r="IFV219" s="76"/>
      <c r="IFW219" s="76"/>
      <c r="IFX219" s="76"/>
      <c r="IFY219" s="76"/>
      <c r="IFZ219" s="76"/>
      <c r="IGA219" s="76"/>
      <c r="IGB219" s="76"/>
      <c r="IGC219" s="76"/>
      <c r="IGD219" s="76"/>
      <c r="IGE219" s="76"/>
      <c r="IGF219" s="76"/>
      <c r="IGG219" s="76"/>
      <c r="IGH219" s="76"/>
      <c r="IGI219" s="76"/>
      <c r="IGJ219" s="76"/>
      <c r="IGK219" s="76"/>
      <c r="IGL219" s="76"/>
      <c r="IGM219" s="76"/>
      <c r="IGN219" s="76"/>
      <c r="IGO219" s="76"/>
      <c r="IGP219" s="76"/>
      <c r="IGQ219" s="76"/>
      <c r="IGR219" s="76"/>
      <c r="IGS219" s="76"/>
      <c r="IGT219" s="76"/>
      <c r="IGU219" s="76"/>
      <c r="IGV219" s="76"/>
      <c r="IGW219" s="76"/>
      <c r="IGX219" s="76"/>
      <c r="IGY219" s="76"/>
      <c r="IGZ219" s="76"/>
      <c r="IHA219" s="76"/>
      <c r="IHB219" s="76"/>
      <c r="IHC219" s="76"/>
      <c r="IHD219" s="76"/>
      <c r="IHE219" s="76"/>
      <c r="IHF219" s="76"/>
      <c r="IHG219" s="76"/>
      <c r="IHH219" s="76"/>
      <c r="IHI219" s="76"/>
      <c r="IHJ219" s="76"/>
      <c r="IHK219" s="76"/>
      <c r="IHL219" s="76"/>
      <c r="IHM219" s="76"/>
      <c r="IHN219" s="76"/>
      <c r="IHO219" s="76"/>
      <c r="IHP219" s="76"/>
      <c r="IHQ219" s="76"/>
      <c r="IHR219" s="76"/>
      <c r="IHS219" s="76"/>
      <c r="IHT219" s="76"/>
      <c r="IHU219" s="76"/>
      <c r="IHV219" s="76"/>
      <c r="IHW219" s="76"/>
      <c r="IHX219" s="76"/>
      <c r="IHY219" s="76"/>
      <c r="IHZ219" s="76"/>
      <c r="IIA219" s="76"/>
      <c r="IIB219" s="76"/>
      <c r="IIC219" s="76"/>
      <c r="IID219" s="76"/>
      <c r="IIE219" s="76"/>
      <c r="IIF219" s="76"/>
      <c r="IIG219" s="76"/>
      <c r="IIH219" s="76"/>
      <c r="III219" s="76"/>
      <c r="IIJ219" s="76"/>
      <c r="IIK219" s="76"/>
      <c r="IIL219" s="76"/>
      <c r="IIM219" s="76"/>
      <c r="IIN219" s="76"/>
      <c r="IIO219" s="76"/>
      <c r="IIP219" s="76"/>
      <c r="IIQ219" s="76"/>
      <c r="IIR219" s="76"/>
      <c r="IIS219" s="76"/>
      <c r="IIT219" s="76"/>
      <c r="IIU219" s="76"/>
      <c r="IIV219" s="76"/>
      <c r="IIW219" s="76"/>
      <c r="IIX219" s="76"/>
      <c r="IIY219" s="76"/>
      <c r="IIZ219" s="76"/>
      <c r="IJA219" s="76"/>
      <c r="IJB219" s="76"/>
      <c r="IJC219" s="76"/>
      <c r="IJD219" s="76"/>
      <c r="IJE219" s="76"/>
      <c r="IJF219" s="76"/>
      <c r="IJG219" s="76"/>
      <c r="IJH219" s="76"/>
      <c r="IJI219" s="76"/>
      <c r="IJJ219" s="76"/>
      <c r="IJK219" s="76"/>
      <c r="IJL219" s="76"/>
      <c r="IJM219" s="76"/>
      <c r="IJN219" s="76"/>
      <c r="IJO219" s="76"/>
      <c r="IJP219" s="76"/>
      <c r="IJQ219" s="76"/>
      <c r="IJR219" s="76"/>
      <c r="IJS219" s="76"/>
      <c r="IJT219" s="76"/>
      <c r="IJU219" s="76"/>
      <c r="IJV219" s="76"/>
      <c r="IJW219" s="76"/>
      <c r="IJX219" s="76"/>
      <c r="IJY219" s="76"/>
      <c r="IJZ219" s="76"/>
      <c r="IKA219" s="76"/>
      <c r="IKB219" s="76"/>
      <c r="IKC219" s="76"/>
      <c r="IKD219" s="76"/>
      <c r="IKE219" s="76"/>
      <c r="IKF219" s="76"/>
      <c r="IKG219" s="76"/>
      <c r="IKH219" s="76"/>
      <c r="IKI219" s="76"/>
      <c r="IKJ219" s="76"/>
      <c r="IKK219" s="76"/>
      <c r="IKL219" s="76"/>
      <c r="IKM219" s="76"/>
      <c r="IKN219" s="76"/>
      <c r="IKO219" s="76"/>
      <c r="IKP219" s="76"/>
      <c r="IKQ219" s="76"/>
      <c r="IKR219" s="76"/>
      <c r="IKS219" s="76"/>
      <c r="IKT219" s="76"/>
      <c r="IKU219" s="76"/>
      <c r="IKV219" s="76"/>
      <c r="IKW219" s="76"/>
      <c r="IKX219" s="76"/>
      <c r="IKY219" s="76"/>
      <c r="IKZ219" s="76"/>
      <c r="ILA219" s="76"/>
      <c r="ILB219" s="76"/>
      <c r="ILC219" s="76"/>
      <c r="ILD219" s="76"/>
      <c r="ILE219" s="76"/>
      <c r="ILF219" s="76"/>
      <c r="ILG219" s="76"/>
      <c r="ILH219" s="76"/>
      <c r="ILI219" s="76"/>
      <c r="ILJ219" s="76"/>
      <c r="ILK219" s="76"/>
      <c r="ILL219" s="76"/>
      <c r="ILM219" s="76"/>
      <c r="ILN219" s="76"/>
      <c r="ILO219" s="76"/>
      <c r="ILP219" s="76"/>
      <c r="ILQ219" s="76"/>
      <c r="ILR219" s="76"/>
      <c r="ILS219" s="76"/>
      <c r="ILT219" s="76"/>
      <c r="ILU219" s="76"/>
      <c r="ILV219" s="76"/>
      <c r="ILW219" s="76"/>
      <c r="ILX219" s="76"/>
      <c r="ILY219" s="76"/>
      <c r="ILZ219" s="76"/>
      <c r="IMA219" s="76"/>
      <c r="IMB219" s="76"/>
      <c r="IMC219" s="76"/>
      <c r="IMD219" s="76"/>
      <c r="IME219" s="76"/>
      <c r="IMF219" s="76"/>
      <c r="IMG219" s="76"/>
      <c r="IMH219" s="76"/>
      <c r="IMI219" s="76"/>
      <c r="IMJ219" s="76"/>
      <c r="IMK219" s="76"/>
      <c r="IML219" s="76"/>
      <c r="IMM219" s="76"/>
      <c r="IMN219" s="76"/>
      <c r="IMO219" s="76"/>
      <c r="IMP219" s="76"/>
      <c r="IMQ219" s="76"/>
      <c r="IMR219" s="76"/>
      <c r="IMS219" s="76"/>
      <c r="IMT219" s="76"/>
      <c r="IMU219" s="76"/>
      <c r="IMV219" s="76"/>
      <c r="IMW219" s="76"/>
      <c r="IMX219" s="76"/>
      <c r="IMY219" s="76"/>
      <c r="IMZ219" s="76"/>
      <c r="INA219" s="76"/>
      <c r="INB219" s="76"/>
      <c r="INC219" s="76"/>
      <c r="IND219" s="76"/>
      <c r="INE219" s="76"/>
      <c r="INF219" s="76"/>
      <c r="ING219" s="76"/>
      <c r="INH219" s="76"/>
      <c r="INI219" s="76"/>
      <c r="INJ219" s="76"/>
      <c r="INK219" s="76"/>
      <c r="INL219" s="76"/>
      <c r="INM219" s="76"/>
      <c r="INN219" s="76"/>
      <c r="INO219" s="76"/>
      <c r="INP219" s="76"/>
      <c r="INQ219" s="76"/>
      <c r="INR219" s="76"/>
      <c r="INS219" s="76"/>
      <c r="INT219" s="76"/>
      <c r="INU219" s="76"/>
      <c r="INV219" s="76"/>
      <c r="INW219" s="76"/>
      <c r="INX219" s="76"/>
      <c r="INY219" s="76"/>
      <c r="INZ219" s="76"/>
      <c r="IOA219" s="76"/>
      <c r="IOB219" s="76"/>
      <c r="IOC219" s="76"/>
      <c r="IOD219" s="76"/>
      <c r="IOE219" s="76"/>
      <c r="IOF219" s="76"/>
      <c r="IOG219" s="76"/>
      <c r="IOH219" s="76"/>
      <c r="IOI219" s="76"/>
      <c r="IOJ219" s="76"/>
      <c r="IOK219" s="76"/>
      <c r="IOL219" s="76"/>
      <c r="IOM219" s="76"/>
      <c r="ION219" s="76"/>
      <c r="IOO219" s="76"/>
      <c r="IOP219" s="76"/>
      <c r="IOQ219" s="76"/>
      <c r="IOR219" s="76"/>
      <c r="IOS219" s="76"/>
      <c r="IOT219" s="76"/>
      <c r="IOU219" s="76"/>
      <c r="IOV219" s="76"/>
      <c r="IOW219" s="76"/>
      <c r="IOX219" s="76"/>
      <c r="IOY219" s="76"/>
      <c r="IOZ219" s="76"/>
      <c r="IPA219" s="76"/>
      <c r="IPB219" s="76"/>
      <c r="IPC219" s="76"/>
      <c r="IPD219" s="76"/>
      <c r="IPE219" s="76"/>
      <c r="IPF219" s="76"/>
      <c r="IPG219" s="76"/>
      <c r="IPH219" s="76"/>
      <c r="IPI219" s="76"/>
      <c r="IPJ219" s="76"/>
      <c r="IPK219" s="76"/>
      <c r="IPL219" s="76"/>
      <c r="IPM219" s="76"/>
      <c r="IPN219" s="76"/>
      <c r="IPO219" s="76"/>
      <c r="IPP219" s="76"/>
      <c r="IPQ219" s="76"/>
      <c r="IPR219" s="76"/>
      <c r="IPS219" s="76"/>
      <c r="IPT219" s="76"/>
      <c r="IPU219" s="76"/>
      <c r="IPV219" s="76"/>
      <c r="IPW219" s="76"/>
      <c r="IPX219" s="76"/>
      <c r="IPY219" s="76"/>
      <c r="IPZ219" s="76"/>
      <c r="IQA219" s="76"/>
      <c r="IQB219" s="76"/>
      <c r="IQC219" s="76"/>
      <c r="IQD219" s="76"/>
      <c r="IQE219" s="76"/>
      <c r="IQF219" s="76"/>
      <c r="IQG219" s="76"/>
      <c r="IQH219" s="76"/>
      <c r="IQI219" s="76"/>
      <c r="IQJ219" s="76"/>
      <c r="IQK219" s="76"/>
      <c r="IQL219" s="76"/>
      <c r="IQM219" s="76"/>
      <c r="IQN219" s="76"/>
      <c r="IQO219" s="76"/>
      <c r="IQP219" s="76"/>
      <c r="IQQ219" s="76"/>
      <c r="IQR219" s="76"/>
      <c r="IQS219" s="76"/>
      <c r="IQT219" s="76"/>
      <c r="IQU219" s="76"/>
      <c r="IQV219" s="76"/>
      <c r="IQW219" s="76"/>
      <c r="IQX219" s="76"/>
      <c r="IQY219" s="76"/>
      <c r="IQZ219" s="76"/>
      <c r="IRA219" s="76"/>
      <c r="IRB219" s="76"/>
      <c r="IRC219" s="76"/>
      <c r="IRD219" s="76"/>
      <c r="IRE219" s="76"/>
      <c r="IRF219" s="76"/>
      <c r="IRG219" s="76"/>
      <c r="IRH219" s="76"/>
      <c r="IRI219" s="76"/>
      <c r="IRJ219" s="76"/>
      <c r="IRK219" s="76"/>
      <c r="IRL219" s="76"/>
      <c r="IRM219" s="76"/>
      <c r="IRN219" s="76"/>
      <c r="IRO219" s="76"/>
      <c r="IRP219" s="76"/>
      <c r="IRQ219" s="76"/>
      <c r="IRR219" s="76"/>
      <c r="IRS219" s="76"/>
      <c r="IRT219" s="76"/>
      <c r="IRU219" s="76"/>
      <c r="IRV219" s="76"/>
      <c r="IRW219" s="76"/>
      <c r="IRX219" s="76"/>
      <c r="IRY219" s="76"/>
      <c r="IRZ219" s="76"/>
      <c r="ISA219" s="76"/>
      <c r="ISB219" s="76"/>
      <c r="ISC219" s="76"/>
      <c r="ISD219" s="76"/>
      <c r="ISE219" s="76"/>
      <c r="ISF219" s="76"/>
      <c r="ISG219" s="76"/>
      <c r="ISH219" s="76"/>
      <c r="ISI219" s="76"/>
      <c r="ISJ219" s="76"/>
      <c r="ISK219" s="76"/>
      <c r="ISL219" s="76"/>
      <c r="ISM219" s="76"/>
      <c r="ISN219" s="76"/>
      <c r="ISO219" s="76"/>
      <c r="ISP219" s="76"/>
      <c r="ISQ219" s="76"/>
      <c r="ISR219" s="76"/>
      <c r="ISS219" s="76"/>
      <c r="IST219" s="76"/>
      <c r="ISU219" s="76"/>
      <c r="ISV219" s="76"/>
      <c r="ISW219" s="76"/>
      <c r="ISX219" s="76"/>
      <c r="ISY219" s="76"/>
      <c r="ISZ219" s="76"/>
      <c r="ITA219" s="76"/>
      <c r="ITB219" s="76"/>
      <c r="ITC219" s="76"/>
      <c r="ITD219" s="76"/>
      <c r="ITE219" s="76"/>
      <c r="ITF219" s="76"/>
      <c r="ITG219" s="76"/>
      <c r="ITH219" s="76"/>
      <c r="ITI219" s="76"/>
      <c r="ITJ219" s="76"/>
      <c r="ITK219" s="76"/>
      <c r="ITL219" s="76"/>
      <c r="ITM219" s="76"/>
      <c r="ITN219" s="76"/>
      <c r="ITO219" s="76"/>
      <c r="ITP219" s="76"/>
      <c r="ITQ219" s="76"/>
      <c r="ITR219" s="76"/>
      <c r="ITS219" s="76"/>
      <c r="ITT219" s="76"/>
      <c r="ITU219" s="76"/>
      <c r="ITV219" s="76"/>
      <c r="ITW219" s="76"/>
      <c r="ITX219" s="76"/>
      <c r="ITY219" s="76"/>
      <c r="ITZ219" s="76"/>
      <c r="IUA219" s="76"/>
      <c r="IUB219" s="76"/>
      <c r="IUC219" s="76"/>
      <c r="IUD219" s="76"/>
      <c r="IUE219" s="76"/>
      <c r="IUF219" s="76"/>
      <c r="IUG219" s="76"/>
      <c r="IUH219" s="76"/>
      <c r="IUI219" s="76"/>
      <c r="IUJ219" s="76"/>
      <c r="IUK219" s="76"/>
      <c r="IUL219" s="76"/>
      <c r="IUM219" s="76"/>
      <c r="IUN219" s="76"/>
      <c r="IUO219" s="76"/>
      <c r="IUP219" s="76"/>
      <c r="IUQ219" s="76"/>
      <c r="IUR219" s="76"/>
      <c r="IUS219" s="76"/>
      <c r="IUT219" s="76"/>
      <c r="IUU219" s="76"/>
      <c r="IUV219" s="76"/>
      <c r="IUW219" s="76"/>
      <c r="IUX219" s="76"/>
      <c r="IUY219" s="76"/>
      <c r="IUZ219" s="76"/>
      <c r="IVA219" s="76"/>
      <c r="IVB219" s="76"/>
      <c r="IVC219" s="76"/>
      <c r="IVD219" s="76"/>
      <c r="IVE219" s="76"/>
      <c r="IVF219" s="76"/>
      <c r="IVG219" s="76"/>
      <c r="IVH219" s="76"/>
      <c r="IVI219" s="76"/>
      <c r="IVJ219" s="76"/>
      <c r="IVK219" s="76"/>
      <c r="IVL219" s="76"/>
      <c r="IVM219" s="76"/>
      <c r="IVN219" s="76"/>
      <c r="IVO219" s="76"/>
      <c r="IVP219" s="76"/>
      <c r="IVQ219" s="76"/>
      <c r="IVR219" s="76"/>
      <c r="IVS219" s="76"/>
      <c r="IVT219" s="76"/>
      <c r="IVU219" s="76"/>
      <c r="IVV219" s="76"/>
      <c r="IVW219" s="76"/>
      <c r="IVX219" s="76"/>
      <c r="IVY219" s="76"/>
      <c r="IVZ219" s="76"/>
      <c r="IWA219" s="76"/>
      <c r="IWB219" s="76"/>
      <c r="IWC219" s="76"/>
      <c r="IWD219" s="76"/>
      <c r="IWE219" s="76"/>
      <c r="IWF219" s="76"/>
      <c r="IWG219" s="76"/>
      <c r="IWH219" s="76"/>
      <c r="IWI219" s="76"/>
      <c r="IWJ219" s="76"/>
      <c r="IWK219" s="76"/>
      <c r="IWL219" s="76"/>
      <c r="IWM219" s="76"/>
      <c r="IWN219" s="76"/>
      <c r="IWO219" s="76"/>
      <c r="IWP219" s="76"/>
      <c r="IWQ219" s="76"/>
      <c r="IWR219" s="76"/>
      <c r="IWS219" s="76"/>
      <c r="IWT219" s="76"/>
      <c r="IWU219" s="76"/>
      <c r="IWV219" s="76"/>
      <c r="IWW219" s="76"/>
      <c r="IWX219" s="76"/>
      <c r="IWY219" s="76"/>
      <c r="IWZ219" s="76"/>
      <c r="IXA219" s="76"/>
      <c r="IXB219" s="76"/>
      <c r="IXC219" s="76"/>
      <c r="IXD219" s="76"/>
      <c r="IXE219" s="76"/>
      <c r="IXF219" s="76"/>
      <c r="IXG219" s="76"/>
      <c r="IXH219" s="76"/>
      <c r="IXI219" s="76"/>
      <c r="IXJ219" s="76"/>
      <c r="IXK219" s="76"/>
      <c r="IXL219" s="76"/>
      <c r="IXM219" s="76"/>
      <c r="IXN219" s="76"/>
      <c r="IXO219" s="76"/>
      <c r="IXP219" s="76"/>
      <c r="IXQ219" s="76"/>
      <c r="IXR219" s="76"/>
      <c r="IXS219" s="76"/>
      <c r="IXT219" s="76"/>
      <c r="IXU219" s="76"/>
      <c r="IXV219" s="76"/>
      <c r="IXW219" s="76"/>
      <c r="IXX219" s="76"/>
      <c r="IXY219" s="76"/>
      <c r="IXZ219" s="76"/>
      <c r="IYA219" s="76"/>
      <c r="IYB219" s="76"/>
      <c r="IYC219" s="76"/>
      <c r="IYD219" s="76"/>
      <c r="IYE219" s="76"/>
      <c r="IYF219" s="76"/>
      <c r="IYG219" s="76"/>
      <c r="IYH219" s="76"/>
      <c r="IYI219" s="76"/>
      <c r="IYJ219" s="76"/>
      <c r="IYK219" s="76"/>
      <c r="IYL219" s="76"/>
      <c r="IYM219" s="76"/>
      <c r="IYN219" s="76"/>
      <c r="IYO219" s="76"/>
      <c r="IYP219" s="76"/>
      <c r="IYQ219" s="76"/>
      <c r="IYR219" s="76"/>
      <c r="IYS219" s="76"/>
      <c r="IYT219" s="76"/>
      <c r="IYU219" s="76"/>
      <c r="IYV219" s="76"/>
      <c r="IYW219" s="76"/>
      <c r="IYX219" s="76"/>
      <c r="IYY219" s="76"/>
      <c r="IYZ219" s="76"/>
      <c r="IZA219" s="76"/>
      <c r="IZB219" s="76"/>
      <c r="IZC219" s="76"/>
      <c r="IZD219" s="76"/>
      <c r="IZE219" s="76"/>
      <c r="IZF219" s="76"/>
      <c r="IZG219" s="76"/>
      <c r="IZH219" s="76"/>
      <c r="IZI219" s="76"/>
      <c r="IZJ219" s="76"/>
      <c r="IZK219" s="76"/>
      <c r="IZL219" s="76"/>
      <c r="IZM219" s="76"/>
      <c r="IZN219" s="76"/>
      <c r="IZO219" s="76"/>
      <c r="IZP219" s="76"/>
      <c r="IZQ219" s="76"/>
      <c r="IZR219" s="76"/>
      <c r="IZS219" s="76"/>
      <c r="IZT219" s="76"/>
      <c r="IZU219" s="76"/>
      <c r="IZV219" s="76"/>
      <c r="IZW219" s="76"/>
      <c r="IZX219" s="76"/>
      <c r="IZY219" s="76"/>
      <c r="IZZ219" s="76"/>
      <c r="JAA219" s="76"/>
      <c r="JAB219" s="76"/>
      <c r="JAC219" s="76"/>
      <c r="JAD219" s="76"/>
      <c r="JAE219" s="76"/>
      <c r="JAF219" s="76"/>
      <c r="JAG219" s="76"/>
      <c r="JAH219" s="76"/>
      <c r="JAI219" s="76"/>
      <c r="JAJ219" s="76"/>
      <c r="JAK219" s="76"/>
      <c r="JAL219" s="76"/>
      <c r="JAM219" s="76"/>
      <c r="JAN219" s="76"/>
      <c r="JAO219" s="76"/>
      <c r="JAP219" s="76"/>
      <c r="JAQ219" s="76"/>
      <c r="JAR219" s="76"/>
      <c r="JAS219" s="76"/>
      <c r="JAT219" s="76"/>
      <c r="JAU219" s="76"/>
      <c r="JAV219" s="76"/>
      <c r="JAW219" s="76"/>
      <c r="JAX219" s="76"/>
      <c r="JAY219" s="76"/>
      <c r="JAZ219" s="76"/>
      <c r="JBA219" s="76"/>
      <c r="JBB219" s="76"/>
      <c r="JBC219" s="76"/>
      <c r="JBD219" s="76"/>
      <c r="JBE219" s="76"/>
      <c r="JBF219" s="76"/>
      <c r="JBG219" s="76"/>
      <c r="JBH219" s="76"/>
      <c r="JBI219" s="76"/>
      <c r="JBJ219" s="76"/>
      <c r="JBK219" s="76"/>
      <c r="JBL219" s="76"/>
      <c r="JBM219" s="76"/>
      <c r="JBN219" s="76"/>
      <c r="JBO219" s="76"/>
      <c r="JBP219" s="76"/>
      <c r="JBQ219" s="76"/>
      <c r="JBR219" s="76"/>
      <c r="JBS219" s="76"/>
      <c r="JBT219" s="76"/>
      <c r="JBU219" s="76"/>
      <c r="JBV219" s="76"/>
      <c r="JBW219" s="76"/>
      <c r="JBX219" s="76"/>
      <c r="JBY219" s="76"/>
      <c r="JBZ219" s="76"/>
      <c r="JCA219" s="76"/>
      <c r="JCB219" s="76"/>
      <c r="JCC219" s="76"/>
      <c r="JCD219" s="76"/>
      <c r="JCE219" s="76"/>
      <c r="JCF219" s="76"/>
      <c r="JCG219" s="76"/>
      <c r="JCH219" s="76"/>
      <c r="JCI219" s="76"/>
      <c r="JCJ219" s="76"/>
      <c r="JCK219" s="76"/>
      <c r="JCL219" s="76"/>
      <c r="JCM219" s="76"/>
      <c r="JCN219" s="76"/>
      <c r="JCO219" s="76"/>
      <c r="JCP219" s="76"/>
      <c r="JCQ219" s="76"/>
      <c r="JCR219" s="76"/>
      <c r="JCS219" s="76"/>
      <c r="JCT219" s="76"/>
      <c r="JCU219" s="76"/>
      <c r="JCV219" s="76"/>
      <c r="JCW219" s="76"/>
      <c r="JCX219" s="76"/>
      <c r="JCY219" s="76"/>
      <c r="JCZ219" s="76"/>
      <c r="JDA219" s="76"/>
      <c r="JDB219" s="76"/>
      <c r="JDC219" s="76"/>
      <c r="JDD219" s="76"/>
      <c r="JDE219" s="76"/>
      <c r="JDF219" s="76"/>
      <c r="JDG219" s="76"/>
      <c r="JDH219" s="76"/>
      <c r="JDI219" s="76"/>
      <c r="JDJ219" s="76"/>
      <c r="JDK219" s="76"/>
      <c r="JDL219" s="76"/>
      <c r="JDM219" s="76"/>
      <c r="JDN219" s="76"/>
      <c r="JDO219" s="76"/>
      <c r="JDP219" s="76"/>
      <c r="JDQ219" s="76"/>
      <c r="JDR219" s="76"/>
      <c r="JDS219" s="76"/>
      <c r="JDT219" s="76"/>
      <c r="JDU219" s="76"/>
      <c r="JDV219" s="76"/>
      <c r="JDW219" s="76"/>
      <c r="JDX219" s="76"/>
      <c r="JDY219" s="76"/>
      <c r="JDZ219" s="76"/>
      <c r="JEA219" s="76"/>
      <c r="JEB219" s="76"/>
      <c r="JEC219" s="76"/>
      <c r="JED219" s="76"/>
      <c r="JEE219" s="76"/>
      <c r="JEF219" s="76"/>
      <c r="JEG219" s="76"/>
      <c r="JEH219" s="76"/>
      <c r="JEI219" s="76"/>
      <c r="JEJ219" s="76"/>
      <c r="JEK219" s="76"/>
      <c r="JEL219" s="76"/>
      <c r="JEM219" s="76"/>
      <c r="JEN219" s="76"/>
      <c r="JEO219" s="76"/>
      <c r="JEP219" s="76"/>
      <c r="JEQ219" s="76"/>
      <c r="JER219" s="76"/>
      <c r="JES219" s="76"/>
      <c r="JET219" s="76"/>
      <c r="JEU219" s="76"/>
      <c r="JEV219" s="76"/>
      <c r="JEW219" s="76"/>
      <c r="JEX219" s="76"/>
      <c r="JEY219" s="76"/>
      <c r="JEZ219" s="76"/>
      <c r="JFA219" s="76"/>
      <c r="JFB219" s="76"/>
      <c r="JFC219" s="76"/>
      <c r="JFD219" s="76"/>
      <c r="JFE219" s="76"/>
      <c r="JFF219" s="76"/>
      <c r="JFG219" s="76"/>
      <c r="JFH219" s="76"/>
      <c r="JFI219" s="76"/>
      <c r="JFJ219" s="76"/>
      <c r="JFK219" s="76"/>
      <c r="JFL219" s="76"/>
      <c r="JFM219" s="76"/>
      <c r="JFN219" s="76"/>
      <c r="JFO219" s="76"/>
      <c r="JFP219" s="76"/>
      <c r="JFQ219" s="76"/>
      <c r="JFR219" s="76"/>
      <c r="JFS219" s="76"/>
      <c r="JFT219" s="76"/>
      <c r="JFU219" s="76"/>
      <c r="JFV219" s="76"/>
      <c r="JFW219" s="76"/>
      <c r="JFX219" s="76"/>
      <c r="JFY219" s="76"/>
      <c r="JFZ219" s="76"/>
      <c r="JGA219" s="76"/>
      <c r="JGB219" s="76"/>
      <c r="JGC219" s="76"/>
      <c r="JGD219" s="76"/>
      <c r="JGE219" s="76"/>
      <c r="JGF219" s="76"/>
      <c r="JGG219" s="76"/>
      <c r="JGH219" s="76"/>
      <c r="JGI219" s="76"/>
      <c r="JGJ219" s="76"/>
      <c r="JGK219" s="76"/>
      <c r="JGL219" s="76"/>
      <c r="JGM219" s="76"/>
      <c r="JGN219" s="76"/>
      <c r="JGO219" s="76"/>
      <c r="JGP219" s="76"/>
      <c r="JGQ219" s="76"/>
      <c r="JGR219" s="76"/>
      <c r="JGS219" s="76"/>
      <c r="JGT219" s="76"/>
      <c r="JGU219" s="76"/>
      <c r="JGV219" s="76"/>
      <c r="JGW219" s="76"/>
      <c r="JGX219" s="76"/>
      <c r="JGY219" s="76"/>
      <c r="JGZ219" s="76"/>
      <c r="JHA219" s="76"/>
      <c r="JHB219" s="76"/>
      <c r="JHC219" s="76"/>
      <c r="JHD219" s="76"/>
      <c r="JHE219" s="76"/>
      <c r="JHF219" s="76"/>
      <c r="JHG219" s="76"/>
      <c r="JHH219" s="76"/>
      <c r="JHI219" s="76"/>
      <c r="JHJ219" s="76"/>
      <c r="JHK219" s="76"/>
      <c r="JHL219" s="76"/>
      <c r="JHM219" s="76"/>
      <c r="JHN219" s="76"/>
      <c r="JHO219" s="76"/>
      <c r="JHP219" s="76"/>
      <c r="JHQ219" s="76"/>
      <c r="JHR219" s="76"/>
      <c r="JHS219" s="76"/>
      <c r="JHT219" s="76"/>
      <c r="JHU219" s="76"/>
      <c r="JHV219" s="76"/>
      <c r="JHW219" s="76"/>
      <c r="JHX219" s="76"/>
      <c r="JHY219" s="76"/>
      <c r="JHZ219" s="76"/>
      <c r="JIA219" s="76"/>
      <c r="JIB219" s="76"/>
      <c r="JIC219" s="76"/>
      <c r="JID219" s="76"/>
      <c r="JIE219" s="76"/>
      <c r="JIF219" s="76"/>
      <c r="JIG219" s="76"/>
      <c r="JIH219" s="76"/>
      <c r="JII219" s="76"/>
      <c r="JIJ219" s="76"/>
      <c r="JIK219" s="76"/>
      <c r="JIL219" s="76"/>
      <c r="JIM219" s="76"/>
      <c r="JIN219" s="76"/>
      <c r="JIO219" s="76"/>
      <c r="JIP219" s="76"/>
      <c r="JIQ219" s="76"/>
      <c r="JIR219" s="76"/>
      <c r="JIS219" s="76"/>
      <c r="JIT219" s="76"/>
      <c r="JIU219" s="76"/>
      <c r="JIV219" s="76"/>
      <c r="JIW219" s="76"/>
      <c r="JIX219" s="76"/>
      <c r="JIY219" s="76"/>
      <c r="JIZ219" s="76"/>
      <c r="JJA219" s="76"/>
      <c r="JJB219" s="76"/>
      <c r="JJC219" s="76"/>
      <c r="JJD219" s="76"/>
      <c r="JJE219" s="76"/>
      <c r="JJF219" s="76"/>
      <c r="JJG219" s="76"/>
      <c r="JJH219" s="76"/>
      <c r="JJI219" s="76"/>
      <c r="JJJ219" s="76"/>
      <c r="JJK219" s="76"/>
      <c r="JJL219" s="76"/>
      <c r="JJM219" s="76"/>
      <c r="JJN219" s="76"/>
      <c r="JJO219" s="76"/>
      <c r="JJP219" s="76"/>
      <c r="JJQ219" s="76"/>
      <c r="JJR219" s="76"/>
      <c r="JJS219" s="76"/>
      <c r="JJT219" s="76"/>
      <c r="JJU219" s="76"/>
      <c r="JJV219" s="76"/>
      <c r="JJW219" s="76"/>
      <c r="JJX219" s="76"/>
      <c r="JJY219" s="76"/>
      <c r="JJZ219" s="76"/>
      <c r="JKA219" s="76"/>
      <c r="JKB219" s="76"/>
      <c r="JKC219" s="76"/>
      <c r="JKD219" s="76"/>
      <c r="JKE219" s="76"/>
      <c r="JKF219" s="76"/>
      <c r="JKG219" s="76"/>
      <c r="JKH219" s="76"/>
      <c r="JKI219" s="76"/>
      <c r="JKJ219" s="76"/>
      <c r="JKK219" s="76"/>
      <c r="JKL219" s="76"/>
      <c r="JKM219" s="76"/>
      <c r="JKN219" s="76"/>
      <c r="JKO219" s="76"/>
      <c r="JKP219" s="76"/>
      <c r="JKQ219" s="76"/>
      <c r="JKR219" s="76"/>
      <c r="JKS219" s="76"/>
      <c r="JKT219" s="76"/>
      <c r="JKU219" s="76"/>
      <c r="JKV219" s="76"/>
      <c r="JKW219" s="76"/>
      <c r="JKX219" s="76"/>
      <c r="JKY219" s="76"/>
      <c r="JKZ219" s="76"/>
      <c r="JLA219" s="76"/>
      <c r="JLB219" s="76"/>
      <c r="JLC219" s="76"/>
      <c r="JLD219" s="76"/>
      <c r="JLE219" s="76"/>
      <c r="JLF219" s="76"/>
      <c r="JLG219" s="76"/>
      <c r="JLH219" s="76"/>
      <c r="JLI219" s="76"/>
      <c r="JLJ219" s="76"/>
      <c r="JLK219" s="76"/>
      <c r="JLL219" s="76"/>
      <c r="JLM219" s="76"/>
      <c r="JLN219" s="76"/>
      <c r="JLO219" s="76"/>
      <c r="JLP219" s="76"/>
      <c r="JLQ219" s="76"/>
      <c r="JLR219" s="76"/>
      <c r="JLS219" s="76"/>
      <c r="JLT219" s="76"/>
      <c r="JLU219" s="76"/>
      <c r="JLV219" s="76"/>
      <c r="JLW219" s="76"/>
      <c r="JLX219" s="76"/>
      <c r="JLY219" s="76"/>
      <c r="JLZ219" s="76"/>
      <c r="JMA219" s="76"/>
      <c r="JMB219" s="76"/>
      <c r="JMC219" s="76"/>
      <c r="JMD219" s="76"/>
      <c r="JME219" s="76"/>
      <c r="JMF219" s="76"/>
      <c r="JMG219" s="76"/>
      <c r="JMH219" s="76"/>
      <c r="JMI219" s="76"/>
      <c r="JMJ219" s="76"/>
      <c r="JMK219" s="76"/>
      <c r="JML219" s="76"/>
      <c r="JMM219" s="76"/>
      <c r="JMN219" s="76"/>
      <c r="JMO219" s="76"/>
      <c r="JMP219" s="76"/>
      <c r="JMQ219" s="76"/>
      <c r="JMR219" s="76"/>
      <c r="JMS219" s="76"/>
      <c r="JMT219" s="76"/>
      <c r="JMU219" s="76"/>
      <c r="JMV219" s="76"/>
      <c r="JMW219" s="76"/>
      <c r="JMX219" s="76"/>
      <c r="JMY219" s="76"/>
      <c r="JMZ219" s="76"/>
      <c r="JNA219" s="76"/>
      <c r="JNB219" s="76"/>
      <c r="JNC219" s="76"/>
      <c r="JND219" s="76"/>
      <c r="JNE219" s="76"/>
      <c r="JNF219" s="76"/>
      <c r="JNG219" s="76"/>
      <c r="JNH219" s="76"/>
      <c r="JNI219" s="76"/>
      <c r="JNJ219" s="76"/>
      <c r="JNK219" s="76"/>
      <c r="JNL219" s="76"/>
      <c r="JNM219" s="76"/>
      <c r="JNN219" s="76"/>
      <c r="JNO219" s="76"/>
      <c r="JNP219" s="76"/>
      <c r="JNQ219" s="76"/>
      <c r="JNR219" s="76"/>
      <c r="JNS219" s="76"/>
      <c r="JNT219" s="76"/>
      <c r="JNU219" s="76"/>
      <c r="JNV219" s="76"/>
      <c r="JNW219" s="76"/>
      <c r="JNX219" s="76"/>
      <c r="JNY219" s="76"/>
      <c r="JNZ219" s="76"/>
      <c r="JOA219" s="76"/>
      <c r="JOB219" s="76"/>
      <c r="JOC219" s="76"/>
      <c r="JOD219" s="76"/>
      <c r="JOE219" s="76"/>
      <c r="JOF219" s="76"/>
      <c r="JOG219" s="76"/>
      <c r="JOH219" s="76"/>
      <c r="JOI219" s="76"/>
      <c r="JOJ219" s="76"/>
      <c r="JOK219" s="76"/>
      <c r="JOL219" s="76"/>
      <c r="JOM219" s="76"/>
      <c r="JON219" s="76"/>
      <c r="JOO219" s="76"/>
      <c r="JOP219" s="76"/>
      <c r="JOQ219" s="76"/>
      <c r="JOR219" s="76"/>
      <c r="JOS219" s="76"/>
      <c r="JOT219" s="76"/>
      <c r="JOU219" s="76"/>
      <c r="JOV219" s="76"/>
      <c r="JOW219" s="76"/>
      <c r="JOX219" s="76"/>
      <c r="JOY219" s="76"/>
      <c r="JOZ219" s="76"/>
      <c r="JPA219" s="76"/>
      <c r="JPB219" s="76"/>
      <c r="JPC219" s="76"/>
      <c r="JPD219" s="76"/>
      <c r="JPE219" s="76"/>
      <c r="JPF219" s="76"/>
      <c r="JPG219" s="76"/>
      <c r="JPH219" s="76"/>
      <c r="JPI219" s="76"/>
      <c r="JPJ219" s="76"/>
      <c r="JPK219" s="76"/>
      <c r="JPL219" s="76"/>
      <c r="JPM219" s="76"/>
      <c r="JPN219" s="76"/>
      <c r="JPO219" s="76"/>
      <c r="JPP219" s="76"/>
      <c r="JPQ219" s="76"/>
      <c r="JPR219" s="76"/>
      <c r="JPS219" s="76"/>
      <c r="JPT219" s="76"/>
      <c r="JPU219" s="76"/>
      <c r="JPV219" s="76"/>
      <c r="JPW219" s="76"/>
      <c r="JPX219" s="76"/>
      <c r="JPY219" s="76"/>
      <c r="JPZ219" s="76"/>
      <c r="JQA219" s="76"/>
      <c r="JQB219" s="76"/>
      <c r="JQC219" s="76"/>
      <c r="JQD219" s="76"/>
      <c r="JQE219" s="76"/>
      <c r="JQF219" s="76"/>
      <c r="JQG219" s="76"/>
      <c r="JQH219" s="76"/>
      <c r="JQI219" s="76"/>
      <c r="JQJ219" s="76"/>
      <c r="JQK219" s="76"/>
      <c r="JQL219" s="76"/>
      <c r="JQM219" s="76"/>
      <c r="JQN219" s="76"/>
      <c r="JQO219" s="76"/>
      <c r="JQP219" s="76"/>
      <c r="JQQ219" s="76"/>
      <c r="JQR219" s="76"/>
      <c r="JQS219" s="76"/>
      <c r="JQT219" s="76"/>
      <c r="JQU219" s="76"/>
      <c r="JQV219" s="76"/>
      <c r="JQW219" s="76"/>
      <c r="JQX219" s="76"/>
      <c r="JQY219" s="76"/>
      <c r="JQZ219" s="76"/>
      <c r="JRA219" s="76"/>
      <c r="JRB219" s="76"/>
      <c r="JRC219" s="76"/>
      <c r="JRD219" s="76"/>
      <c r="JRE219" s="76"/>
      <c r="JRF219" s="76"/>
      <c r="JRG219" s="76"/>
      <c r="JRH219" s="76"/>
      <c r="JRI219" s="76"/>
      <c r="JRJ219" s="76"/>
      <c r="JRK219" s="76"/>
      <c r="JRL219" s="76"/>
      <c r="JRM219" s="76"/>
      <c r="JRN219" s="76"/>
      <c r="JRO219" s="76"/>
      <c r="JRP219" s="76"/>
      <c r="JRQ219" s="76"/>
      <c r="JRR219" s="76"/>
      <c r="JRS219" s="76"/>
      <c r="JRT219" s="76"/>
      <c r="JRU219" s="76"/>
      <c r="JRV219" s="76"/>
      <c r="JRW219" s="76"/>
      <c r="JRX219" s="76"/>
      <c r="JRY219" s="76"/>
      <c r="JRZ219" s="76"/>
      <c r="JSA219" s="76"/>
      <c r="JSB219" s="76"/>
      <c r="JSC219" s="76"/>
      <c r="JSD219" s="76"/>
      <c r="JSE219" s="76"/>
      <c r="JSF219" s="76"/>
      <c r="JSG219" s="76"/>
      <c r="JSH219" s="76"/>
      <c r="JSI219" s="76"/>
      <c r="JSJ219" s="76"/>
      <c r="JSK219" s="76"/>
      <c r="JSL219" s="76"/>
      <c r="JSM219" s="76"/>
      <c r="JSN219" s="76"/>
      <c r="JSO219" s="76"/>
      <c r="JSP219" s="76"/>
      <c r="JSQ219" s="76"/>
      <c r="JSR219" s="76"/>
      <c r="JSS219" s="76"/>
      <c r="JST219" s="76"/>
      <c r="JSU219" s="76"/>
      <c r="JSV219" s="76"/>
      <c r="JSW219" s="76"/>
      <c r="JSX219" s="76"/>
      <c r="JSY219" s="76"/>
      <c r="JSZ219" s="76"/>
      <c r="JTA219" s="76"/>
      <c r="JTB219" s="76"/>
      <c r="JTC219" s="76"/>
      <c r="JTD219" s="76"/>
      <c r="JTE219" s="76"/>
      <c r="JTF219" s="76"/>
      <c r="JTG219" s="76"/>
      <c r="JTH219" s="76"/>
      <c r="JTI219" s="76"/>
      <c r="JTJ219" s="76"/>
      <c r="JTK219" s="76"/>
      <c r="JTL219" s="76"/>
      <c r="JTM219" s="76"/>
      <c r="JTN219" s="76"/>
      <c r="JTO219" s="76"/>
      <c r="JTP219" s="76"/>
      <c r="JTQ219" s="76"/>
      <c r="JTR219" s="76"/>
      <c r="JTS219" s="76"/>
      <c r="JTT219" s="76"/>
      <c r="JTU219" s="76"/>
      <c r="JTV219" s="76"/>
      <c r="JTW219" s="76"/>
      <c r="JTX219" s="76"/>
      <c r="JTY219" s="76"/>
      <c r="JTZ219" s="76"/>
      <c r="JUA219" s="76"/>
      <c r="JUB219" s="76"/>
      <c r="JUC219" s="76"/>
      <c r="JUD219" s="76"/>
      <c r="JUE219" s="76"/>
      <c r="JUF219" s="76"/>
      <c r="JUG219" s="76"/>
      <c r="JUH219" s="76"/>
      <c r="JUI219" s="76"/>
      <c r="JUJ219" s="76"/>
      <c r="JUK219" s="76"/>
      <c r="JUL219" s="76"/>
      <c r="JUM219" s="76"/>
      <c r="JUN219" s="76"/>
      <c r="JUO219" s="76"/>
      <c r="JUP219" s="76"/>
      <c r="JUQ219" s="76"/>
      <c r="JUR219" s="76"/>
      <c r="JUS219" s="76"/>
      <c r="JUT219" s="76"/>
      <c r="JUU219" s="76"/>
      <c r="JUV219" s="76"/>
      <c r="JUW219" s="76"/>
      <c r="JUX219" s="76"/>
      <c r="JUY219" s="76"/>
      <c r="JUZ219" s="76"/>
      <c r="JVA219" s="76"/>
      <c r="JVB219" s="76"/>
      <c r="JVC219" s="76"/>
      <c r="JVD219" s="76"/>
      <c r="JVE219" s="76"/>
      <c r="JVF219" s="76"/>
      <c r="JVG219" s="76"/>
      <c r="JVH219" s="76"/>
      <c r="JVI219" s="76"/>
      <c r="JVJ219" s="76"/>
      <c r="JVK219" s="76"/>
      <c r="JVL219" s="76"/>
      <c r="JVM219" s="76"/>
      <c r="JVN219" s="76"/>
      <c r="JVO219" s="76"/>
      <c r="JVP219" s="76"/>
      <c r="JVQ219" s="76"/>
      <c r="JVR219" s="76"/>
      <c r="JVS219" s="76"/>
      <c r="JVT219" s="76"/>
      <c r="JVU219" s="76"/>
      <c r="JVV219" s="76"/>
      <c r="JVW219" s="76"/>
      <c r="JVX219" s="76"/>
      <c r="JVY219" s="76"/>
      <c r="JVZ219" s="76"/>
      <c r="JWA219" s="76"/>
      <c r="JWB219" s="76"/>
      <c r="JWC219" s="76"/>
      <c r="JWD219" s="76"/>
      <c r="JWE219" s="76"/>
      <c r="JWF219" s="76"/>
      <c r="JWG219" s="76"/>
      <c r="JWH219" s="76"/>
      <c r="JWI219" s="76"/>
      <c r="JWJ219" s="76"/>
      <c r="JWK219" s="76"/>
      <c r="JWL219" s="76"/>
      <c r="JWM219" s="76"/>
      <c r="JWN219" s="76"/>
      <c r="JWO219" s="76"/>
      <c r="JWP219" s="76"/>
      <c r="JWQ219" s="76"/>
      <c r="JWR219" s="76"/>
      <c r="JWS219" s="76"/>
      <c r="JWT219" s="76"/>
      <c r="JWU219" s="76"/>
      <c r="JWV219" s="76"/>
      <c r="JWW219" s="76"/>
      <c r="JWX219" s="76"/>
      <c r="JWY219" s="76"/>
      <c r="JWZ219" s="76"/>
      <c r="JXA219" s="76"/>
      <c r="JXB219" s="76"/>
      <c r="JXC219" s="76"/>
      <c r="JXD219" s="76"/>
      <c r="JXE219" s="76"/>
      <c r="JXF219" s="76"/>
      <c r="JXG219" s="76"/>
      <c r="JXH219" s="76"/>
      <c r="JXI219" s="76"/>
      <c r="JXJ219" s="76"/>
      <c r="JXK219" s="76"/>
      <c r="JXL219" s="76"/>
      <c r="JXM219" s="76"/>
      <c r="JXN219" s="76"/>
      <c r="JXO219" s="76"/>
      <c r="JXP219" s="76"/>
      <c r="JXQ219" s="76"/>
      <c r="JXR219" s="76"/>
      <c r="JXS219" s="76"/>
      <c r="JXT219" s="76"/>
      <c r="JXU219" s="76"/>
      <c r="JXV219" s="76"/>
      <c r="JXW219" s="76"/>
      <c r="JXX219" s="76"/>
      <c r="JXY219" s="76"/>
      <c r="JXZ219" s="76"/>
      <c r="JYA219" s="76"/>
      <c r="JYB219" s="76"/>
      <c r="JYC219" s="76"/>
      <c r="JYD219" s="76"/>
      <c r="JYE219" s="76"/>
      <c r="JYF219" s="76"/>
      <c r="JYG219" s="76"/>
      <c r="JYH219" s="76"/>
      <c r="JYI219" s="76"/>
      <c r="JYJ219" s="76"/>
      <c r="JYK219" s="76"/>
      <c r="JYL219" s="76"/>
      <c r="JYM219" s="76"/>
      <c r="JYN219" s="76"/>
      <c r="JYO219" s="76"/>
      <c r="JYP219" s="76"/>
      <c r="JYQ219" s="76"/>
      <c r="JYR219" s="76"/>
      <c r="JYS219" s="76"/>
      <c r="JYT219" s="76"/>
      <c r="JYU219" s="76"/>
      <c r="JYV219" s="76"/>
      <c r="JYW219" s="76"/>
      <c r="JYX219" s="76"/>
      <c r="JYY219" s="76"/>
      <c r="JYZ219" s="76"/>
      <c r="JZA219" s="76"/>
      <c r="JZB219" s="76"/>
      <c r="JZC219" s="76"/>
      <c r="JZD219" s="76"/>
      <c r="JZE219" s="76"/>
      <c r="JZF219" s="76"/>
      <c r="JZG219" s="76"/>
      <c r="JZH219" s="76"/>
      <c r="JZI219" s="76"/>
      <c r="JZJ219" s="76"/>
      <c r="JZK219" s="76"/>
      <c r="JZL219" s="76"/>
      <c r="JZM219" s="76"/>
      <c r="JZN219" s="76"/>
      <c r="JZO219" s="76"/>
      <c r="JZP219" s="76"/>
      <c r="JZQ219" s="76"/>
      <c r="JZR219" s="76"/>
      <c r="JZS219" s="76"/>
      <c r="JZT219" s="76"/>
      <c r="JZU219" s="76"/>
      <c r="JZV219" s="76"/>
      <c r="JZW219" s="76"/>
      <c r="JZX219" s="76"/>
      <c r="JZY219" s="76"/>
      <c r="JZZ219" s="76"/>
      <c r="KAA219" s="76"/>
      <c r="KAB219" s="76"/>
      <c r="KAC219" s="76"/>
      <c r="KAD219" s="76"/>
      <c r="KAE219" s="76"/>
      <c r="KAF219" s="76"/>
      <c r="KAG219" s="76"/>
      <c r="KAH219" s="76"/>
      <c r="KAI219" s="76"/>
      <c r="KAJ219" s="76"/>
      <c r="KAK219" s="76"/>
      <c r="KAL219" s="76"/>
      <c r="KAM219" s="76"/>
      <c r="KAN219" s="76"/>
      <c r="KAO219" s="76"/>
      <c r="KAP219" s="76"/>
      <c r="KAQ219" s="76"/>
      <c r="KAR219" s="76"/>
      <c r="KAS219" s="76"/>
      <c r="KAT219" s="76"/>
      <c r="KAU219" s="76"/>
      <c r="KAV219" s="76"/>
      <c r="KAW219" s="76"/>
      <c r="KAX219" s="76"/>
      <c r="KAY219" s="76"/>
      <c r="KAZ219" s="76"/>
      <c r="KBA219" s="76"/>
      <c r="KBB219" s="76"/>
      <c r="KBC219" s="76"/>
      <c r="KBD219" s="76"/>
      <c r="KBE219" s="76"/>
      <c r="KBF219" s="76"/>
      <c r="KBG219" s="76"/>
      <c r="KBH219" s="76"/>
      <c r="KBI219" s="76"/>
      <c r="KBJ219" s="76"/>
      <c r="KBK219" s="76"/>
      <c r="KBL219" s="76"/>
      <c r="KBM219" s="76"/>
      <c r="KBN219" s="76"/>
      <c r="KBO219" s="76"/>
      <c r="KBP219" s="76"/>
      <c r="KBQ219" s="76"/>
      <c r="KBR219" s="76"/>
      <c r="KBS219" s="76"/>
      <c r="KBT219" s="76"/>
      <c r="KBU219" s="76"/>
      <c r="KBV219" s="76"/>
      <c r="KBW219" s="76"/>
      <c r="KBX219" s="76"/>
      <c r="KBY219" s="76"/>
      <c r="KBZ219" s="76"/>
      <c r="KCA219" s="76"/>
      <c r="KCB219" s="76"/>
      <c r="KCC219" s="76"/>
      <c r="KCD219" s="76"/>
      <c r="KCE219" s="76"/>
      <c r="KCF219" s="76"/>
      <c r="KCG219" s="76"/>
      <c r="KCH219" s="76"/>
      <c r="KCI219" s="76"/>
      <c r="KCJ219" s="76"/>
      <c r="KCK219" s="76"/>
      <c r="KCL219" s="76"/>
      <c r="KCM219" s="76"/>
      <c r="KCN219" s="76"/>
      <c r="KCO219" s="76"/>
      <c r="KCP219" s="76"/>
      <c r="KCQ219" s="76"/>
      <c r="KCR219" s="76"/>
      <c r="KCS219" s="76"/>
      <c r="KCT219" s="76"/>
      <c r="KCU219" s="76"/>
      <c r="KCV219" s="76"/>
      <c r="KCW219" s="76"/>
      <c r="KCX219" s="76"/>
      <c r="KCY219" s="76"/>
      <c r="KCZ219" s="76"/>
      <c r="KDA219" s="76"/>
      <c r="KDB219" s="76"/>
      <c r="KDC219" s="76"/>
      <c r="KDD219" s="76"/>
      <c r="KDE219" s="76"/>
      <c r="KDF219" s="76"/>
      <c r="KDG219" s="76"/>
      <c r="KDH219" s="76"/>
      <c r="KDI219" s="76"/>
      <c r="KDJ219" s="76"/>
      <c r="KDK219" s="76"/>
      <c r="KDL219" s="76"/>
      <c r="KDM219" s="76"/>
      <c r="KDN219" s="76"/>
      <c r="KDO219" s="76"/>
      <c r="KDP219" s="76"/>
      <c r="KDQ219" s="76"/>
      <c r="KDR219" s="76"/>
      <c r="KDS219" s="76"/>
      <c r="KDT219" s="76"/>
      <c r="KDU219" s="76"/>
      <c r="KDV219" s="76"/>
      <c r="KDW219" s="76"/>
      <c r="KDX219" s="76"/>
      <c r="KDY219" s="76"/>
      <c r="KDZ219" s="76"/>
      <c r="KEA219" s="76"/>
      <c r="KEB219" s="76"/>
      <c r="KEC219" s="76"/>
      <c r="KED219" s="76"/>
      <c r="KEE219" s="76"/>
      <c r="KEF219" s="76"/>
      <c r="KEG219" s="76"/>
      <c r="KEH219" s="76"/>
      <c r="KEI219" s="76"/>
      <c r="KEJ219" s="76"/>
      <c r="KEK219" s="76"/>
      <c r="KEL219" s="76"/>
      <c r="KEM219" s="76"/>
      <c r="KEN219" s="76"/>
      <c r="KEO219" s="76"/>
      <c r="KEP219" s="76"/>
      <c r="KEQ219" s="76"/>
      <c r="KER219" s="76"/>
      <c r="KES219" s="76"/>
      <c r="KET219" s="76"/>
      <c r="KEU219" s="76"/>
      <c r="KEV219" s="76"/>
      <c r="KEW219" s="76"/>
      <c r="KEX219" s="76"/>
      <c r="KEY219" s="76"/>
      <c r="KEZ219" s="76"/>
      <c r="KFA219" s="76"/>
      <c r="KFB219" s="76"/>
      <c r="KFC219" s="76"/>
      <c r="KFD219" s="76"/>
      <c r="KFE219" s="76"/>
      <c r="KFF219" s="76"/>
      <c r="KFG219" s="76"/>
      <c r="KFH219" s="76"/>
      <c r="KFI219" s="76"/>
      <c r="KFJ219" s="76"/>
      <c r="KFK219" s="76"/>
      <c r="KFL219" s="76"/>
      <c r="KFM219" s="76"/>
      <c r="KFN219" s="76"/>
      <c r="KFO219" s="76"/>
      <c r="KFP219" s="76"/>
      <c r="KFQ219" s="76"/>
      <c r="KFR219" s="76"/>
      <c r="KFS219" s="76"/>
      <c r="KFT219" s="76"/>
      <c r="KFU219" s="76"/>
      <c r="KFV219" s="76"/>
      <c r="KFW219" s="76"/>
      <c r="KFX219" s="76"/>
      <c r="KFY219" s="76"/>
      <c r="KFZ219" s="76"/>
      <c r="KGA219" s="76"/>
      <c r="KGB219" s="76"/>
      <c r="KGC219" s="76"/>
      <c r="KGD219" s="76"/>
      <c r="KGE219" s="76"/>
      <c r="KGF219" s="76"/>
      <c r="KGG219" s="76"/>
      <c r="KGH219" s="76"/>
      <c r="KGI219" s="76"/>
      <c r="KGJ219" s="76"/>
      <c r="KGK219" s="76"/>
      <c r="KGL219" s="76"/>
      <c r="KGM219" s="76"/>
      <c r="KGN219" s="76"/>
      <c r="KGO219" s="76"/>
      <c r="KGP219" s="76"/>
      <c r="KGQ219" s="76"/>
      <c r="KGR219" s="76"/>
      <c r="KGS219" s="76"/>
      <c r="KGT219" s="76"/>
      <c r="KGU219" s="76"/>
      <c r="KGV219" s="76"/>
      <c r="KGW219" s="76"/>
      <c r="KGX219" s="76"/>
      <c r="KGY219" s="76"/>
      <c r="KGZ219" s="76"/>
      <c r="KHA219" s="76"/>
      <c r="KHB219" s="76"/>
      <c r="KHC219" s="76"/>
      <c r="KHD219" s="76"/>
      <c r="KHE219" s="76"/>
      <c r="KHF219" s="76"/>
      <c r="KHG219" s="76"/>
      <c r="KHH219" s="76"/>
      <c r="KHI219" s="76"/>
      <c r="KHJ219" s="76"/>
      <c r="KHK219" s="76"/>
      <c r="KHL219" s="76"/>
      <c r="KHM219" s="76"/>
      <c r="KHN219" s="76"/>
      <c r="KHO219" s="76"/>
      <c r="KHP219" s="76"/>
      <c r="KHQ219" s="76"/>
      <c r="KHR219" s="76"/>
      <c r="KHS219" s="76"/>
      <c r="KHT219" s="76"/>
      <c r="KHU219" s="76"/>
      <c r="KHV219" s="76"/>
      <c r="KHW219" s="76"/>
      <c r="KHX219" s="76"/>
      <c r="KHY219" s="76"/>
      <c r="KHZ219" s="76"/>
      <c r="KIA219" s="76"/>
      <c r="KIB219" s="76"/>
      <c r="KIC219" s="76"/>
      <c r="KID219" s="76"/>
      <c r="KIE219" s="76"/>
      <c r="KIF219" s="76"/>
      <c r="KIG219" s="76"/>
      <c r="KIH219" s="76"/>
      <c r="KII219" s="76"/>
      <c r="KIJ219" s="76"/>
      <c r="KIK219" s="76"/>
      <c r="KIL219" s="76"/>
      <c r="KIM219" s="76"/>
      <c r="KIN219" s="76"/>
      <c r="KIO219" s="76"/>
      <c r="KIP219" s="76"/>
      <c r="KIQ219" s="76"/>
      <c r="KIR219" s="76"/>
      <c r="KIS219" s="76"/>
      <c r="KIT219" s="76"/>
      <c r="KIU219" s="76"/>
      <c r="KIV219" s="76"/>
      <c r="KIW219" s="76"/>
      <c r="KIX219" s="76"/>
      <c r="KIY219" s="76"/>
      <c r="KIZ219" s="76"/>
      <c r="KJA219" s="76"/>
      <c r="KJB219" s="76"/>
      <c r="KJC219" s="76"/>
      <c r="KJD219" s="76"/>
      <c r="KJE219" s="76"/>
      <c r="KJF219" s="76"/>
      <c r="KJG219" s="76"/>
      <c r="KJH219" s="76"/>
      <c r="KJI219" s="76"/>
      <c r="KJJ219" s="76"/>
      <c r="KJK219" s="76"/>
      <c r="KJL219" s="76"/>
      <c r="KJM219" s="76"/>
      <c r="KJN219" s="76"/>
      <c r="KJO219" s="76"/>
      <c r="KJP219" s="76"/>
      <c r="KJQ219" s="76"/>
      <c r="KJR219" s="76"/>
      <c r="KJS219" s="76"/>
      <c r="KJT219" s="76"/>
      <c r="KJU219" s="76"/>
      <c r="KJV219" s="76"/>
      <c r="KJW219" s="76"/>
      <c r="KJX219" s="76"/>
      <c r="KJY219" s="76"/>
      <c r="KJZ219" s="76"/>
      <c r="KKA219" s="76"/>
      <c r="KKB219" s="76"/>
      <c r="KKC219" s="76"/>
      <c r="KKD219" s="76"/>
      <c r="KKE219" s="76"/>
      <c r="KKF219" s="76"/>
      <c r="KKG219" s="76"/>
      <c r="KKH219" s="76"/>
      <c r="KKI219" s="76"/>
      <c r="KKJ219" s="76"/>
      <c r="KKK219" s="76"/>
      <c r="KKL219" s="76"/>
      <c r="KKM219" s="76"/>
      <c r="KKN219" s="76"/>
      <c r="KKO219" s="76"/>
      <c r="KKP219" s="76"/>
      <c r="KKQ219" s="76"/>
      <c r="KKR219" s="76"/>
      <c r="KKS219" s="76"/>
      <c r="KKT219" s="76"/>
      <c r="KKU219" s="76"/>
      <c r="KKV219" s="76"/>
      <c r="KKW219" s="76"/>
      <c r="KKX219" s="76"/>
      <c r="KKY219" s="76"/>
      <c r="KKZ219" s="76"/>
      <c r="KLA219" s="76"/>
      <c r="KLB219" s="76"/>
      <c r="KLC219" s="76"/>
      <c r="KLD219" s="76"/>
      <c r="KLE219" s="76"/>
      <c r="KLF219" s="76"/>
      <c r="KLG219" s="76"/>
      <c r="KLH219" s="76"/>
      <c r="KLI219" s="76"/>
      <c r="KLJ219" s="76"/>
      <c r="KLK219" s="76"/>
      <c r="KLL219" s="76"/>
      <c r="KLM219" s="76"/>
      <c r="KLN219" s="76"/>
      <c r="KLO219" s="76"/>
      <c r="KLP219" s="76"/>
      <c r="KLQ219" s="76"/>
      <c r="KLR219" s="76"/>
      <c r="KLS219" s="76"/>
      <c r="KLT219" s="76"/>
      <c r="KLU219" s="76"/>
      <c r="KLV219" s="76"/>
      <c r="KLW219" s="76"/>
      <c r="KLX219" s="76"/>
      <c r="KLY219" s="76"/>
      <c r="KLZ219" s="76"/>
      <c r="KMA219" s="76"/>
      <c r="KMB219" s="76"/>
      <c r="KMC219" s="76"/>
      <c r="KMD219" s="76"/>
      <c r="KME219" s="76"/>
      <c r="KMF219" s="76"/>
      <c r="KMG219" s="76"/>
      <c r="KMH219" s="76"/>
      <c r="KMI219" s="76"/>
      <c r="KMJ219" s="76"/>
      <c r="KMK219" s="76"/>
      <c r="KML219" s="76"/>
      <c r="KMM219" s="76"/>
      <c r="KMN219" s="76"/>
      <c r="KMO219" s="76"/>
      <c r="KMP219" s="76"/>
      <c r="KMQ219" s="76"/>
      <c r="KMR219" s="76"/>
      <c r="KMS219" s="76"/>
      <c r="KMT219" s="76"/>
      <c r="KMU219" s="76"/>
      <c r="KMV219" s="76"/>
      <c r="KMW219" s="76"/>
      <c r="KMX219" s="76"/>
      <c r="KMY219" s="76"/>
      <c r="KMZ219" s="76"/>
      <c r="KNA219" s="76"/>
      <c r="KNB219" s="76"/>
      <c r="KNC219" s="76"/>
      <c r="KND219" s="76"/>
      <c r="KNE219" s="76"/>
      <c r="KNF219" s="76"/>
      <c r="KNG219" s="76"/>
      <c r="KNH219" s="76"/>
      <c r="KNI219" s="76"/>
      <c r="KNJ219" s="76"/>
      <c r="KNK219" s="76"/>
      <c r="KNL219" s="76"/>
      <c r="KNM219" s="76"/>
      <c r="KNN219" s="76"/>
      <c r="KNO219" s="76"/>
      <c r="KNP219" s="76"/>
      <c r="KNQ219" s="76"/>
      <c r="KNR219" s="76"/>
      <c r="KNS219" s="76"/>
      <c r="KNT219" s="76"/>
      <c r="KNU219" s="76"/>
      <c r="KNV219" s="76"/>
      <c r="KNW219" s="76"/>
      <c r="KNX219" s="76"/>
      <c r="KNY219" s="76"/>
      <c r="KNZ219" s="76"/>
      <c r="KOA219" s="76"/>
      <c r="KOB219" s="76"/>
      <c r="KOC219" s="76"/>
      <c r="KOD219" s="76"/>
      <c r="KOE219" s="76"/>
      <c r="KOF219" s="76"/>
      <c r="KOG219" s="76"/>
      <c r="KOH219" s="76"/>
      <c r="KOI219" s="76"/>
      <c r="KOJ219" s="76"/>
      <c r="KOK219" s="76"/>
      <c r="KOL219" s="76"/>
      <c r="KOM219" s="76"/>
      <c r="KON219" s="76"/>
      <c r="KOO219" s="76"/>
      <c r="KOP219" s="76"/>
      <c r="KOQ219" s="76"/>
      <c r="KOR219" s="76"/>
      <c r="KOS219" s="76"/>
      <c r="KOT219" s="76"/>
      <c r="KOU219" s="76"/>
      <c r="KOV219" s="76"/>
      <c r="KOW219" s="76"/>
      <c r="KOX219" s="76"/>
      <c r="KOY219" s="76"/>
      <c r="KOZ219" s="76"/>
      <c r="KPA219" s="76"/>
      <c r="KPB219" s="76"/>
      <c r="KPC219" s="76"/>
      <c r="KPD219" s="76"/>
      <c r="KPE219" s="76"/>
      <c r="KPF219" s="76"/>
      <c r="KPG219" s="76"/>
      <c r="KPH219" s="76"/>
      <c r="KPI219" s="76"/>
      <c r="KPJ219" s="76"/>
      <c r="KPK219" s="76"/>
      <c r="KPL219" s="76"/>
      <c r="KPM219" s="76"/>
      <c r="KPN219" s="76"/>
      <c r="KPO219" s="76"/>
      <c r="KPP219" s="76"/>
      <c r="KPQ219" s="76"/>
      <c r="KPR219" s="76"/>
      <c r="KPS219" s="76"/>
      <c r="KPT219" s="76"/>
      <c r="KPU219" s="76"/>
      <c r="KPV219" s="76"/>
      <c r="KPW219" s="76"/>
      <c r="KPX219" s="76"/>
      <c r="KPY219" s="76"/>
      <c r="KPZ219" s="76"/>
      <c r="KQA219" s="76"/>
      <c r="KQB219" s="76"/>
      <c r="KQC219" s="76"/>
      <c r="KQD219" s="76"/>
      <c r="KQE219" s="76"/>
      <c r="KQF219" s="76"/>
      <c r="KQG219" s="76"/>
      <c r="KQH219" s="76"/>
      <c r="KQI219" s="76"/>
      <c r="KQJ219" s="76"/>
      <c r="KQK219" s="76"/>
      <c r="KQL219" s="76"/>
      <c r="KQM219" s="76"/>
      <c r="KQN219" s="76"/>
      <c r="KQO219" s="76"/>
      <c r="KQP219" s="76"/>
      <c r="KQQ219" s="76"/>
      <c r="KQR219" s="76"/>
      <c r="KQS219" s="76"/>
      <c r="KQT219" s="76"/>
      <c r="KQU219" s="76"/>
      <c r="KQV219" s="76"/>
      <c r="KQW219" s="76"/>
      <c r="KQX219" s="76"/>
      <c r="KQY219" s="76"/>
      <c r="KQZ219" s="76"/>
      <c r="KRA219" s="76"/>
      <c r="KRB219" s="76"/>
      <c r="KRC219" s="76"/>
      <c r="KRD219" s="76"/>
      <c r="KRE219" s="76"/>
      <c r="KRF219" s="76"/>
      <c r="KRG219" s="76"/>
      <c r="KRH219" s="76"/>
      <c r="KRI219" s="76"/>
      <c r="KRJ219" s="76"/>
      <c r="KRK219" s="76"/>
      <c r="KRL219" s="76"/>
      <c r="KRM219" s="76"/>
      <c r="KRN219" s="76"/>
      <c r="KRO219" s="76"/>
      <c r="KRP219" s="76"/>
      <c r="KRQ219" s="76"/>
      <c r="KRR219" s="76"/>
      <c r="KRS219" s="76"/>
      <c r="KRT219" s="76"/>
      <c r="KRU219" s="76"/>
      <c r="KRV219" s="76"/>
      <c r="KRW219" s="76"/>
      <c r="KRX219" s="76"/>
      <c r="KRY219" s="76"/>
      <c r="KRZ219" s="76"/>
      <c r="KSA219" s="76"/>
      <c r="KSB219" s="76"/>
      <c r="KSC219" s="76"/>
      <c r="KSD219" s="76"/>
      <c r="KSE219" s="76"/>
      <c r="KSF219" s="76"/>
      <c r="KSG219" s="76"/>
      <c r="KSH219" s="76"/>
      <c r="KSI219" s="76"/>
      <c r="KSJ219" s="76"/>
      <c r="KSK219" s="76"/>
      <c r="KSL219" s="76"/>
      <c r="KSM219" s="76"/>
      <c r="KSN219" s="76"/>
      <c r="KSO219" s="76"/>
      <c r="KSP219" s="76"/>
      <c r="KSQ219" s="76"/>
      <c r="KSR219" s="76"/>
      <c r="KSS219" s="76"/>
      <c r="KST219" s="76"/>
      <c r="KSU219" s="76"/>
      <c r="KSV219" s="76"/>
      <c r="KSW219" s="76"/>
      <c r="KSX219" s="76"/>
      <c r="KSY219" s="76"/>
      <c r="KSZ219" s="76"/>
      <c r="KTA219" s="76"/>
      <c r="KTB219" s="76"/>
      <c r="KTC219" s="76"/>
      <c r="KTD219" s="76"/>
      <c r="KTE219" s="76"/>
      <c r="KTF219" s="76"/>
      <c r="KTG219" s="76"/>
      <c r="KTH219" s="76"/>
      <c r="KTI219" s="76"/>
      <c r="KTJ219" s="76"/>
      <c r="KTK219" s="76"/>
      <c r="KTL219" s="76"/>
      <c r="KTM219" s="76"/>
      <c r="KTN219" s="76"/>
      <c r="KTO219" s="76"/>
      <c r="KTP219" s="76"/>
      <c r="KTQ219" s="76"/>
      <c r="KTR219" s="76"/>
      <c r="KTS219" s="76"/>
      <c r="KTT219" s="76"/>
      <c r="KTU219" s="76"/>
      <c r="KTV219" s="76"/>
      <c r="KTW219" s="76"/>
      <c r="KTX219" s="76"/>
      <c r="KTY219" s="76"/>
      <c r="KTZ219" s="76"/>
      <c r="KUA219" s="76"/>
      <c r="KUB219" s="76"/>
      <c r="KUC219" s="76"/>
      <c r="KUD219" s="76"/>
      <c r="KUE219" s="76"/>
      <c r="KUF219" s="76"/>
      <c r="KUG219" s="76"/>
      <c r="KUH219" s="76"/>
      <c r="KUI219" s="76"/>
      <c r="KUJ219" s="76"/>
      <c r="KUK219" s="76"/>
      <c r="KUL219" s="76"/>
      <c r="KUM219" s="76"/>
      <c r="KUN219" s="76"/>
      <c r="KUO219" s="76"/>
      <c r="KUP219" s="76"/>
      <c r="KUQ219" s="76"/>
      <c r="KUR219" s="76"/>
      <c r="KUS219" s="76"/>
      <c r="KUT219" s="76"/>
      <c r="KUU219" s="76"/>
      <c r="KUV219" s="76"/>
      <c r="KUW219" s="76"/>
      <c r="KUX219" s="76"/>
      <c r="KUY219" s="76"/>
      <c r="KUZ219" s="76"/>
      <c r="KVA219" s="76"/>
      <c r="KVB219" s="76"/>
      <c r="KVC219" s="76"/>
      <c r="KVD219" s="76"/>
      <c r="KVE219" s="76"/>
      <c r="KVF219" s="76"/>
      <c r="KVG219" s="76"/>
      <c r="KVH219" s="76"/>
      <c r="KVI219" s="76"/>
      <c r="KVJ219" s="76"/>
      <c r="KVK219" s="76"/>
      <c r="KVL219" s="76"/>
      <c r="KVM219" s="76"/>
      <c r="KVN219" s="76"/>
      <c r="KVO219" s="76"/>
      <c r="KVP219" s="76"/>
      <c r="KVQ219" s="76"/>
      <c r="KVR219" s="76"/>
      <c r="KVS219" s="76"/>
      <c r="KVT219" s="76"/>
      <c r="KVU219" s="76"/>
      <c r="KVV219" s="76"/>
      <c r="KVW219" s="76"/>
      <c r="KVX219" s="76"/>
      <c r="KVY219" s="76"/>
      <c r="KVZ219" s="76"/>
      <c r="KWA219" s="76"/>
      <c r="KWB219" s="76"/>
      <c r="KWC219" s="76"/>
      <c r="KWD219" s="76"/>
      <c r="KWE219" s="76"/>
      <c r="KWF219" s="76"/>
      <c r="KWG219" s="76"/>
      <c r="KWH219" s="76"/>
      <c r="KWI219" s="76"/>
      <c r="KWJ219" s="76"/>
      <c r="KWK219" s="76"/>
      <c r="KWL219" s="76"/>
      <c r="KWM219" s="76"/>
      <c r="KWN219" s="76"/>
      <c r="KWO219" s="76"/>
      <c r="KWP219" s="76"/>
      <c r="KWQ219" s="76"/>
      <c r="KWR219" s="76"/>
      <c r="KWS219" s="76"/>
      <c r="KWT219" s="76"/>
      <c r="KWU219" s="76"/>
      <c r="KWV219" s="76"/>
      <c r="KWW219" s="76"/>
      <c r="KWX219" s="76"/>
      <c r="KWY219" s="76"/>
      <c r="KWZ219" s="76"/>
      <c r="KXA219" s="76"/>
      <c r="KXB219" s="76"/>
      <c r="KXC219" s="76"/>
      <c r="KXD219" s="76"/>
      <c r="KXE219" s="76"/>
      <c r="KXF219" s="76"/>
      <c r="KXG219" s="76"/>
      <c r="KXH219" s="76"/>
      <c r="KXI219" s="76"/>
      <c r="KXJ219" s="76"/>
      <c r="KXK219" s="76"/>
      <c r="KXL219" s="76"/>
      <c r="KXM219" s="76"/>
      <c r="KXN219" s="76"/>
      <c r="KXO219" s="76"/>
      <c r="KXP219" s="76"/>
      <c r="KXQ219" s="76"/>
      <c r="KXR219" s="76"/>
      <c r="KXS219" s="76"/>
      <c r="KXT219" s="76"/>
      <c r="KXU219" s="76"/>
      <c r="KXV219" s="76"/>
      <c r="KXW219" s="76"/>
      <c r="KXX219" s="76"/>
      <c r="KXY219" s="76"/>
      <c r="KXZ219" s="76"/>
      <c r="KYA219" s="76"/>
      <c r="KYB219" s="76"/>
      <c r="KYC219" s="76"/>
      <c r="KYD219" s="76"/>
      <c r="KYE219" s="76"/>
      <c r="KYF219" s="76"/>
      <c r="KYG219" s="76"/>
      <c r="KYH219" s="76"/>
      <c r="KYI219" s="76"/>
      <c r="KYJ219" s="76"/>
      <c r="KYK219" s="76"/>
      <c r="KYL219" s="76"/>
      <c r="KYM219" s="76"/>
      <c r="KYN219" s="76"/>
      <c r="KYO219" s="76"/>
      <c r="KYP219" s="76"/>
      <c r="KYQ219" s="76"/>
      <c r="KYR219" s="76"/>
      <c r="KYS219" s="76"/>
      <c r="KYT219" s="76"/>
      <c r="KYU219" s="76"/>
      <c r="KYV219" s="76"/>
      <c r="KYW219" s="76"/>
      <c r="KYX219" s="76"/>
      <c r="KYY219" s="76"/>
      <c r="KYZ219" s="76"/>
      <c r="KZA219" s="76"/>
      <c r="KZB219" s="76"/>
      <c r="KZC219" s="76"/>
      <c r="KZD219" s="76"/>
      <c r="KZE219" s="76"/>
      <c r="KZF219" s="76"/>
      <c r="KZG219" s="76"/>
      <c r="KZH219" s="76"/>
      <c r="KZI219" s="76"/>
      <c r="KZJ219" s="76"/>
      <c r="KZK219" s="76"/>
      <c r="KZL219" s="76"/>
      <c r="KZM219" s="76"/>
      <c r="KZN219" s="76"/>
      <c r="KZO219" s="76"/>
      <c r="KZP219" s="76"/>
      <c r="KZQ219" s="76"/>
      <c r="KZR219" s="76"/>
      <c r="KZS219" s="76"/>
      <c r="KZT219" s="76"/>
      <c r="KZU219" s="76"/>
      <c r="KZV219" s="76"/>
      <c r="KZW219" s="76"/>
      <c r="KZX219" s="76"/>
      <c r="KZY219" s="76"/>
      <c r="KZZ219" s="76"/>
      <c r="LAA219" s="76"/>
      <c r="LAB219" s="76"/>
      <c r="LAC219" s="76"/>
      <c r="LAD219" s="76"/>
      <c r="LAE219" s="76"/>
      <c r="LAF219" s="76"/>
      <c r="LAG219" s="76"/>
      <c r="LAH219" s="76"/>
      <c r="LAI219" s="76"/>
      <c r="LAJ219" s="76"/>
      <c r="LAK219" s="76"/>
      <c r="LAL219" s="76"/>
      <c r="LAM219" s="76"/>
      <c r="LAN219" s="76"/>
      <c r="LAO219" s="76"/>
      <c r="LAP219" s="76"/>
      <c r="LAQ219" s="76"/>
      <c r="LAR219" s="76"/>
      <c r="LAS219" s="76"/>
      <c r="LAT219" s="76"/>
      <c r="LAU219" s="76"/>
      <c r="LAV219" s="76"/>
      <c r="LAW219" s="76"/>
      <c r="LAX219" s="76"/>
      <c r="LAY219" s="76"/>
      <c r="LAZ219" s="76"/>
      <c r="LBA219" s="76"/>
      <c r="LBB219" s="76"/>
      <c r="LBC219" s="76"/>
      <c r="LBD219" s="76"/>
      <c r="LBE219" s="76"/>
      <c r="LBF219" s="76"/>
      <c r="LBG219" s="76"/>
      <c r="LBH219" s="76"/>
      <c r="LBI219" s="76"/>
      <c r="LBJ219" s="76"/>
      <c r="LBK219" s="76"/>
      <c r="LBL219" s="76"/>
      <c r="LBM219" s="76"/>
      <c r="LBN219" s="76"/>
      <c r="LBO219" s="76"/>
      <c r="LBP219" s="76"/>
      <c r="LBQ219" s="76"/>
      <c r="LBR219" s="76"/>
      <c r="LBS219" s="76"/>
      <c r="LBT219" s="76"/>
      <c r="LBU219" s="76"/>
      <c r="LBV219" s="76"/>
      <c r="LBW219" s="76"/>
      <c r="LBX219" s="76"/>
      <c r="LBY219" s="76"/>
      <c r="LBZ219" s="76"/>
      <c r="LCA219" s="76"/>
      <c r="LCB219" s="76"/>
      <c r="LCC219" s="76"/>
      <c r="LCD219" s="76"/>
      <c r="LCE219" s="76"/>
      <c r="LCF219" s="76"/>
      <c r="LCG219" s="76"/>
      <c r="LCH219" s="76"/>
      <c r="LCI219" s="76"/>
      <c r="LCJ219" s="76"/>
      <c r="LCK219" s="76"/>
      <c r="LCL219" s="76"/>
      <c r="LCM219" s="76"/>
      <c r="LCN219" s="76"/>
      <c r="LCO219" s="76"/>
      <c r="LCP219" s="76"/>
      <c r="LCQ219" s="76"/>
      <c r="LCR219" s="76"/>
      <c r="LCS219" s="76"/>
      <c r="LCT219" s="76"/>
      <c r="LCU219" s="76"/>
      <c r="LCV219" s="76"/>
      <c r="LCW219" s="76"/>
      <c r="LCX219" s="76"/>
      <c r="LCY219" s="76"/>
      <c r="LCZ219" s="76"/>
      <c r="LDA219" s="76"/>
      <c r="LDB219" s="76"/>
      <c r="LDC219" s="76"/>
      <c r="LDD219" s="76"/>
      <c r="LDE219" s="76"/>
      <c r="LDF219" s="76"/>
      <c r="LDG219" s="76"/>
      <c r="LDH219" s="76"/>
      <c r="LDI219" s="76"/>
      <c r="LDJ219" s="76"/>
      <c r="LDK219" s="76"/>
      <c r="LDL219" s="76"/>
      <c r="LDM219" s="76"/>
      <c r="LDN219" s="76"/>
      <c r="LDO219" s="76"/>
      <c r="LDP219" s="76"/>
      <c r="LDQ219" s="76"/>
      <c r="LDR219" s="76"/>
      <c r="LDS219" s="76"/>
      <c r="LDT219" s="76"/>
      <c r="LDU219" s="76"/>
      <c r="LDV219" s="76"/>
      <c r="LDW219" s="76"/>
      <c r="LDX219" s="76"/>
      <c r="LDY219" s="76"/>
      <c r="LDZ219" s="76"/>
      <c r="LEA219" s="76"/>
      <c r="LEB219" s="76"/>
      <c r="LEC219" s="76"/>
      <c r="LED219" s="76"/>
      <c r="LEE219" s="76"/>
      <c r="LEF219" s="76"/>
      <c r="LEG219" s="76"/>
      <c r="LEH219" s="76"/>
      <c r="LEI219" s="76"/>
      <c r="LEJ219" s="76"/>
      <c r="LEK219" s="76"/>
      <c r="LEL219" s="76"/>
      <c r="LEM219" s="76"/>
      <c r="LEN219" s="76"/>
      <c r="LEO219" s="76"/>
      <c r="LEP219" s="76"/>
      <c r="LEQ219" s="76"/>
      <c r="LER219" s="76"/>
      <c r="LES219" s="76"/>
      <c r="LET219" s="76"/>
      <c r="LEU219" s="76"/>
      <c r="LEV219" s="76"/>
      <c r="LEW219" s="76"/>
      <c r="LEX219" s="76"/>
      <c r="LEY219" s="76"/>
      <c r="LEZ219" s="76"/>
      <c r="LFA219" s="76"/>
      <c r="LFB219" s="76"/>
      <c r="LFC219" s="76"/>
      <c r="LFD219" s="76"/>
      <c r="LFE219" s="76"/>
      <c r="LFF219" s="76"/>
      <c r="LFG219" s="76"/>
      <c r="LFH219" s="76"/>
      <c r="LFI219" s="76"/>
      <c r="LFJ219" s="76"/>
      <c r="LFK219" s="76"/>
      <c r="LFL219" s="76"/>
      <c r="LFM219" s="76"/>
      <c r="LFN219" s="76"/>
      <c r="LFO219" s="76"/>
      <c r="LFP219" s="76"/>
      <c r="LFQ219" s="76"/>
      <c r="LFR219" s="76"/>
      <c r="LFS219" s="76"/>
      <c r="LFT219" s="76"/>
      <c r="LFU219" s="76"/>
      <c r="LFV219" s="76"/>
      <c r="LFW219" s="76"/>
      <c r="LFX219" s="76"/>
      <c r="LFY219" s="76"/>
      <c r="LFZ219" s="76"/>
      <c r="LGA219" s="76"/>
      <c r="LGB219" s="76"/>
      <c r="LGC219" s="76"/>
      <c r="LGD219" s="76"/>
      <c r="LGE219" s="76"/>
      <c r="LGF219" s="76"/>
      <c r="LGG219" s="76"/>
      <c r="LGH219" s="76"/>
      <c r="LGI219" s="76"/>
      <c r="LGJ219" s="76"/>
      <c r="LGK219" s="76"/>
      <c r="LGL219" s="76"/>
      <c r="LGM219" s="76"/>
      <c r="LGN219" s="76"/>
      <c r="LGO219" s="76"/>
      <c r="LGP219" s="76"/>
      <c r="LGQ219" s="76"/>
      <c r="LGR219" s="76"/>
      <c r="LGS219" s="76"/>
      <c r="LGT219" s="76"/>
      <c r="LGU219" s="76"/>
      <c r="LGV219" s="76"/>
      <c r="LGW219" s="76"/>
      <c r="LGX219" s="76"/>
      <c r="LGY219" s="76"/>
      <c r="LGZ219" s="76"/>
      <c r="LHA219" s="76"/>
      <c r="LHB219" s="76"/>
      <c r="LHC219" s="76"/>
      <c r="LHD219" s="76"/>
      <c r="LHE219" s="76"/>
      <c r="LHF219" s="76"/>
      <c r="LHG219" s="76"/>
      <c r="LHH219" s="76"/>
      <c r="LHI219" s="76"/>
      <c r="LHJ219" s="76"/>
      <c r="LHK219" s="76"/>
      <c r="LHL219" s="76"/>
      <c r="LHM219" s="76"/>
      <c r="LHN219" s="76"/>
      <c r="LHO219" s="76"/>
      <c r="LHP219" s="76"/>
      <c r="LHQ219" s="76"/>
      <c r="LHR219" s="76"/>
      <c r="LHS219" s="76"/>
      <c r="LHT219" s="76"/>
      <c r="LHU219" s="76"/>
      <c r="LHV219" s="76"/>
      <c r="LHW219" s="76"/>
      <c r="LHX219" s="76"/>
      <c r="LHY219" s="76"/>
      <c r="LHZ219" s="76"/>
      <c r="LIA219" s="76"/>
      <c r="LIB219" s="76"/>
      <c r="LIC219" s="76"/>
      <c r="LID219" s="76"/>
      <c r="LIE219" s="76"/>
      <c r="LIF219" s="76"/>
      <c r="LIG219" s="76"/>
      <c r="LIH219" s="76"/>
      <c r="LII219" s="76"/>
      <c r="LIJ219" s="76"/>
      <c r="LIK219" s="76"/>
      <c r="LIL219" s="76"/>
      <c r="LIM219" s="76"/>
      <c r="LIN219" s="76"/>
      <c r="LIO219" s="76"/>
      <c r="LIP219" s="76"/>
      <c r="LIQ219" s="76"/>
      <c r="LIR219" s="76"/>
      <c r="LIS219" s="76"/>
      <c r="LIT219" s="76"/>
      <c r="LIU219" s="76"/>
      <c r="LIV219" s="76"/>
      <c r="LIW219" s="76"/>
      <c r="LIX219" s="76"/>
      <c r="LIY219" s="76"/>
      <c r="LIZ219" s="76"/>
      <c r="LJA219" s="76"/>
      <c r="LJB219" s="76"/>
      <c r="LJC219" s="76"/>
      <c r="LJD219" s="76"/>
      <c r="LJE219" s="76"/>
      <c r="LJF219" s="76"/>
      <c r="LJG219" s="76"/>
      <c r="LJH219" s="76"/>
      <c r="LJI219" s="76"/>
      <c r="LJJ219" s="76"/>
      <c r="LJK219" s="76"/>
      <c r="LJL219" s="76"/>
      <c r="LJM219" s="76"/>
      <c r="LJN219" s="76"/>
      <c r="LJO219" s="76"/>
      <c r="LJP219" s="76"/>
      <c r="LJQ219" s="76"/>
      <c r="LJR219" s="76"/>
      <c r="LJS219" s="76"/>
      <c r="LJT219" s="76"/>
      <c r="LJU219" s="76"/>
      <c r="LJV219" s="76"/>
      <c r="LJW219" s="76"/>
      <c r="LJX219" s="76"/>
      <c r="LJY219" s="76"/>
      <c r="LJZ219" s="76"/>
      <c r="LKA219" s="76"/>
      <c r="LKB219" s="76"/>
      <c r="LKC219" s="76"/>
      <c r="LKD219" s="76"/>
      <c r="LKE219" s="76"/>
      <c r="LKF219" s="76"/>
      <c r="LKG219" s="76"/>
      <c r="LKH219" s="76"/>
      <c r="LKI219" s="76"/>
      <c r="LKJ219" s="76"/>
      <c r="LKK219" s="76"/>
      <c r="LKL219" s="76"/>
      <c r="LKM219" s="76"/>
      <c r="LKN219" s="76"/>
      <c r="LKO219" s="76"/>
      <c r="LKP219" s="76"/>
      <c r="LKQ219" s="76"/>
      <c r="LKR219" s="76"/>
      <c r="LKS219" s="76"/>
      <c r="LKT219" s="76"/>
      <c r="LKU219" s="76"/>
      <c r="LKV219" s="76"/>
      <c r="LKW219" s="76"/>
      <c r="LKX219" s="76"/>
      <c r="LKY219" s="76"/>
      <c r="LKZ219" s="76"/>
      <c r="LLA219" s="76"/>
      <c r="LLB219" s="76"/>
      <c r="LLC219" s="76"/>
      <c r="LLD219" s="76"/>
      <c r="LLE219" s="76"/>
      <c r="LLF219" s="76"/>
      <c r="LLG219" s="76"/>
      <c r="LLH219" s="76"/>
      <c r="LLI219" s="76"/>
      <c r="LLJ219" s="76"/>
      <c r="LLK219" s="76"/>
      <c r="LLL219" s="76"/>
      <c r="LLM219" s="76"/>
      <c r="LLN219" s="76"/>
      <c r="LLO219" s="76"/>
      <c r="LLP219" s="76"/>
      <c r="LLQ219" s="76"/>
      <c r="LLR219" s="76"/>
      <c r="LLS219" s="76"/>
      <c r="LLT219" s="76"/>
      <c r="LLU219" s="76"/>
      <c r="LLV219" s="76"/>
      <c r="LLW219" s="76"/>
      <c r="LLX219" s="76"/>
      <c r="LLY219" s="76"/>
      <c r="LLZ219" s="76"/>
      <c r="LMA219" s="76"/>
      <c r="LMB219" s="76"/>
      <c r="LMC219" s="76"/>
      <c r="LMD219" s="76"/>
      <c r="LME219" s="76"/>
      <c r="LMF219" s="76"/>
      <c r="LMG219" s="76"/>
      <c r="LMH219" s="76"/>
      <c r="LMI219" s="76"/>
      <c r="LMJ219" s="76"/>
      <c r="LMK219" s="76"/>
      <c r="LML219" s="76"/>
      <c r="LMM219" s="76"/>
      <c r="LMN219" s="76"/>
      <c r="LMO219" s="76"/>
      <c r="LMP219" s="76"/>
      <c r="LMQ219" s="76"/>
      <c r="LMR219" s="76"/>
      <c r="LMS219" s="76"/>
      <c r="LMT219" s="76"/>
      <c r="LMU219" s="76"/>
      <c r="LMV219" s="76"/>
      <c r="LMW219" s="76"/>
      <c r="LMX219" s="76"/>
      <c r="LMY219" s="76"/>
      <c r="LMZ219" s="76"/>
      <c r="LNA219" s="76"/>
      <c r="LNB219" s="76"/>
      <c r="LNC219" s="76"/>
      <c r="LND219" s="76"/>
      <c r="LNE219" s="76"/>
      <c r="LNF219" s="76"/>
      <c r="LNG219" s="76"/>
      <c r="LNH219" s="76"/>
      <c r="LNI219" s="76"/>
      <c r="LNJ219" s="76"/>
      <c r="LNK219" s="76"/>
      <c r="LNL219" s="76"/>
      <c r="LNM219" s="76"/>
      <c r="LNN219" s="76"/>
      <c r="LNO219" s="76"/>
      <c r="LNP219" s="76"/>
      <c r="LNQ219" s="76"/>
      <c r="LNR219" s="76"/>
      <c r="LNS219" s="76"/>
      <c r="LNT219" s="76"/>
      <c r="LNU219" s="76"/>
      <c r="LNV219" s="76"/>
      <c r="LNW219" s="76"/>
      <c r="LNX219" s="76"/>
      <c r="LNY219" s="76"/>
      <c r="LNZ219" s="76"/>
      <c r="LOA219" s="76"/>
      <c r="LOB219" s="76"/>
      <c r="LOC219" s="76"/>
      <c r="LOD219" s="76"/>
      <c r="LOE219" s="76"/>
      <c r="LOF219" s="76"/>
      <c r="LOG219" s="76"/>
      <c r="LOH219" s="76"/>
      <c r="LOI219" s="76"/>
      <c r="LOJ219" s="76"/>
      <c r="LOK219" s="76"/>
      <c r="LOL219" s="76"/>
      <c r="LOM219" s="76"/>
      <c r="LON219" s="76"/>
      <c r="LOO219" s="76"/>
      <c r="LOP219" s="76"/>
      <c r="LOQ219" s="76"/>
      <c r="LOR219" s="76"/>
      <c r="LOS219" s="76"/>
      <c r="LOT219" s="76"/>
      <c r="LOU219" s="76"/>
      <c r="LOV219" s="76"/>
      <c r="LOW219" s="76"/>
      <c r="LOX219" s="76"/>
      <c r="LOY219" s="76"/>
      <c r="LOZ219" s="76"/>
      <c r="LPA219" s="76"/>
      <c r="LPB219" s="76"/>
      <c r="LPC219" s="76"/>
      <c r="LPD219" s="76"/>
      <c r="LPE219" s="76"/>
      <c r="LPF219" s="76"/>
      <c r="LPG219" s="76"/>
      <c r="LPH219" s="76"/>
      <c r="LPI219" s="76"/>
      <c r="LPJ219" s="76"/>
      <c r="LPK219" s="76"/>
      <c r="LPL219" s="76"/>
      <c r="LPM219" s="76"/>
      <c r="LPN219" s="76"/>
      <c r="LPO219" s="76"/>
      <c r="LPP219" s="76"/>
      <c r="LPQ219" s="76"/>
      <c r="LPR219" s="76"/>
      <c r="LPS219" s="76"/>
      <c r="LPT219" s="76"/>
      <c r="LPU219" s="76"/>
      <c r="LPV219" s="76"/>
      <c r="LPW219" s="76"/>
      <c r="LPX219" s="76"/>
      <c r="LPY219" s="76"/>
      <c r="LPZ219" s="76"/>
      <c r="LQA219" s="76"/>
      <c r="LQB219" s="76"/>
      <c r="LQC219" s="76"/>
      <c r="LQD219" s="76"/>
      <c r="LQE219" s="76"/>
      <c r="LQF219" s="76"/>
      <c r="LQG219" s="76"/>
      <c r="LQH219" s="76"/>
      <c r="LQI219" s="76"/>
      <c r="LQJ219" s="76"/>
      <c r="LQK219" s="76"/>
      <c r="LQL219" s="76"/>
      <c r="LQM219" s="76"/>
      <c r="LQN219" s="76"/>
      <c r="LQO219" s="76"/>
      <c r="LQP219" s="76"/>
      <c r="LQQ219" s="76"/>
      <c r="LQR219" s="76"/>
      <c r="LQS219" s="76"/>
      <c r="LQT219" s="76"/>
      <c r="LQU219" s="76"/>
      <c r="LQV219" s="76"/>
      <c r="LQW219" s="76"/>
      <c r="LQX219" s="76"/>
      <c r="LQY219" s="76"/>
      <c r="LQZ219" s="76"/>
      <c r="LRA219" s="76"/>
      <c r="LRB219" s="76"/>
      <c r="LRC219" s="76"/>
      <c r="LRD219" s="76"/>
      <c r="LRE219" s="76"/>
      <c r="LRF219" s="76"/>
      <c r="LRG219" s="76"/>
      <c r="LRH219" s="76"/>
      <c r="LRI219" s="76"/>
      <c r="LRJ219" s="76"/>
      <c r="LRK219" s="76"/>
      <c r="LRL219" s="76"/>
      <c r="LRM219" s="76"/>
      <c r="LRN219" s="76"/>
      <c r="LRO219" s="76"/>
      <c r="LRP219" s="76"/>
      <c r="LRQ219" s="76"/>
      <c r="LRR219" s="76"/>
      <c r="LRS219" s="76"/>
      <c r="LRT219" s="76"/>
      <c r="LRU219" s="76"/>
      <c r="LRV219" s="76"/>
      <c r="LRW219" s="76"/>
      <c r="LRX219" s="76"/>
      <c r="LRY219" s="76"/>
      <c r="LRZ219" s="76"/>
      <c r="LSA219" s="76"/>
      <c r="LSB219" s="76"/>
      <c r="LSC219" s="76"/>
      <c r="LSD219" s="76"/>
      <c r="LSE219" s="76"/>
      <c r="LSF219" s="76"/>
      <c r="LSG219" s="76"/>
      <c r="LSH219" s="76"/>
      <c r="LSI219" s="76"/>
      <c r="LSJ219" s="76"/>
      <c r="LSK219" s="76"/>
      <c r="LSL219" s="76"/>
      <c r="LSM219" s="76"/>
      <c r="LSN219" s="76"/>
      <c r="LSO219" s="76"/>
      <c r="LSP219" s="76"/>
      <c r="LSQ219" s="76"/>
      <c r="LSR219" s="76"/>
      <c r="LSS219" s="76"/>
      <c r="LST219" s="76"/>
      <c r="LSU219" s="76"/>
      <c r="LSV219" s="76"/>
      <c r="LSW219" s="76"/>
      <c r="LSX219" s="76"/>
      <c r="LSY219" s="76"/>
      <c r="LSZ219" s="76"/>
      <c r="LTA219" s="76"/>
      <c r="LTB219" s="76"/>
      <c r="LTC219" s="76"/>
      <c r="LTD219" s="76"/>
      <c r="LTE219" s="76"/>
      <c r="LTF219" s="76"/>
      <c r="LTG219" s="76"/>
      <c r="LTH219" s="76"/>
      <c r="LTI219" s="76"/>
      <c r="LTJ219" s="76"/>
      <c r="LTK219" s="76"/>
      <c r="LTL219" s="76"/>
      <c r="LTM219" s="76"/>
      <c r="LTN219" s="76"/>
      <c r="LTO219" s="76"/>
      <c r="LTP219" s="76"/>
      <c r="LTQ219" s="76"/>
      <c r="LTR219" s="76"/>
      <c r="LTS219" s="76"/>
      <c r="LTT219" s="76"/>
      <c r="LTU219" s="76"/>
      <c r="LTV219" s="76"/>
      <c r="LTW219" s="76"/>
      <c r="LTX219" s="76"/>
      <c r="LTY219" s="76"/>
      <c r="LTZ219" s="76"/>
      <c r="LUA219" s="76"/>
      <c r="LUB219" s="76"/>
      <c r="LUC219" s="76"/>
      <c r="LUD219" s="76"/>
      <c r="LUE219" s="76"/>
      <c r="LUF219" s="76"/>
      <c r="LUG219" s="76"/>
      <c r="LUH219" s="76"/>
      <c r="LUI219" s="76"/>
      <c r="LUJ219" s="76"/>
      <c r="LUK219" s="76"/>
      <c r="LUL219" s="76"/>
      <c r="LUM219" s="76"/>
      <c r="LUN219" s="76"/>
      <c r="LUO219" s="76"/>
      <c r="LUP219" s="76"/>
      <c r="LUQ219" s="76"/>
      <c r="LUR219" s="76"/>
      <c r="LUS219" s="76"/>
      <c r="LUT219" s="76"/>
      <c r="LUU219" s="76"/>
      <c r="LUV219" s="76"/>
      <c r="LUW219" s="76"/>
      <c r="LUX219" s="76"/>
      <c r="LUY219" s="76"/>
      <c r="LUZ219" s="76"/>
      <c r="LVA219" s="76"/>
      <c r="LVB219" s="76"/>
      <c r="LVC219" s="76"/>
      <c r="LVD219" s="76"/>
      <c r="LVE219" s="76"/>
      <c r="LVF219" s="76"/>
      <c r="LVG219" s="76"/>
      <c r="LVH219" s="76"/>
      <c r="LVI219" s="76"/>
      <c r="LVJ219" s="76"/>
      <c r="LVK219" s="76"/>
      <c r="LVL219" s="76"/>
      <c r="LVM219" s="76"/>
      <c r="LVN219" s="76"/>
      <c r="LVO219" s="76"/>
      <c r="LVP219" s="76"/>
      <c r="LVQ219" s="76"/>
      <c r="LVR219" s="76"/>
      <c r="LVS219" s="76"/>
      <c r="LVT219" s="76"/>
      <c r="LVU219" s="76"/>
      <c r="LVV219" s="76"/>
      <c r="LVW219" s="76"/>
      <c r="LVX219" s="76"/>
      <c r="LVY219" s="76"/>
      <c r="LVZ219" s="76"/>
      <c r="LWA219" s="76"/>
      <c r="LWB219" s="76"/>
      <c r="LWC219" s="76"/>
      <c r="LWD219" s="76"/>
      <c r="LWE219" s="76"/>
      <c r="LWF219" s="76"/>
      <c r="LWG219" s="76"/>
      <c r="LWH219" s="76"/>
      <c r="LWI219" s="76"/>
      <c r="LWJ219" s="76"/>
      <c r="LWK219" s="76"/>
      <c r="LWL219" s="76"/>
      <c r="LWM219" s="76"/>
      <c r="LWN219" s="76"/>
      <c r="LWO219" s="76"/>
      <c r="LWP219" s="76"/>
      <c r="LWQ219" s="76"/>
      <c r="LWR219" s="76"/>
      <c r="LWS219" s="76"/>
      <c r="LWT219" s="76"/>
      <c r="LWU219" s="76"/>
      <c r="LWV219" s="76"/>
      <c r="LWW219" s="76"/>
      <c r="LWX219" s="76"/>
      <c r="LWY219" s="76"/>
      <c r="LWZ219" s="76"/>
      <c r="LXA219" s="76"/>
      <c r="LXB219" s="76"/>
      <c r="LXC219" s="76"/>
      <c r="LXD219" s="76"/>
      <c r="LXE219" s="76"/>
      <c r="LXF219" s="76"/>
      <c r="LXG219" s="76"/>
      <c r="LXH219" s="76"/>
      <c r="LXI219" s="76"/>
      <c r="LXJ219" s="76"/>
      <c r="LXK219" s="76"/>
      <c r="LXL219" s="76"/>
      <c r="LXM219" s="76"/>
      <c r="LXN219" s="76"/>
      <c r="LXO219" s="76"/>
      <c r="LXP219" s="76"/>
      <c r="LXQ219" s="76"/>
      <c r="LXR219" s="76"/>
      <c r="LXS219" s="76"/>
      <c r="LXT219" s="76"/>
      <c r="LXU219" s="76"/>
      <c r="LXV219" s="76"/>
      <c r="LXW219" s="76"/>
      <c r="LXX219" s="76"/>
      <c r="LXY219" s="76"/>
      <c r="LXZ219" s="76"/>
      <c r="LYA219" s="76"/>
      <c r="LYB219" s="76"/>
      <c r="LYC219" s="76"/>
      <c r="LYD219" s="76"/>
      <c r="LYE219" s="76"/>
      <c r="LYF219" s="76"/>
      <c r="LYG219" s="76"/>
      <c r="LYH219" s="76"/>
      <c r="LYI219" s="76"/>
      <c r="LYJ219" s="76"/>
      <c r="LYK219" s="76"/>
      <c r="LYL219" s="76"/>
      <c r="LYM219" s="76"/>
      <c r="LYN219" s="76"/>
      <c r="LYO219" s="76"/>
      <c r="LYP219" s="76"/>
      <c r="LYQ219" s="76"/>
      <c r="LYR219" s="76"/>
      <c r="LYS219" s="76"/>
      <c r="LYT219" s="76"/>
      <c r="LYU219" s="76"/>
      <c r="LYV219" s="76"/>
      <c r="LYW219" s="76"/>
      <c r="LYX219" s="76"/>
      <c r="LYY219" s="76"/>
      <c r="LYZ219" s="76"/>
      <c r="LZA219" s="76"/>
      <c r="LZB219" s="76"/>
      <c r="LZC219" s="76"/>
      <c r="LZD219" s="76"/>
      <c r="LZE219" s="76"/>
      <c r="LZF219" s="76"/>
      <c r="LZG219" s="76"/>
      <c r="LZH219" s="76"/>
      <c r="LZI219" s="76"/>
      <c r="LZJ219" s="76"/>
      <c r="LZK219" s="76"/>
      <c r="LZL219" s="76"/>
      <c r="LZM219" s="76"/>
      <c r="LZN219" s="76"/>
      <c r="LZO219" s="76"/>
      <c r="LZP219" s="76"/>
      <c r="LZQ219" s="76"/>
      <c r="LZR219" s="76"/>
      <c r="LZS219" s="76"/>
      <c r="LZT219" s="76"/>
      <c r="LZU219" s="76"/>
      <c r="LZV219" s="76"/>
      <c r="LZW219" s="76"/>
      <c r="LZX219" s="76"/>
      <c r="LZY219" s="76"/>
      <c r="LZZ219" s="76"/>
      <c r="MAA219" s="76"/>
      <c r="MAB219" s="76"/>
      <c r="MAC219" s="76"/>
      <c r="MAD219" s="76"/>
      <c r="MAE219" s="76"/>
      <c r="MAF219" s="76"/>
      <c r="MAG219" s="76"/>
      <c r="MAH219" s="76"/>
      <c r="MAI219" s="76"/>
      <c r="MAJ219" s="76"/>
      <c r="MAK219" s="76"/>
      <c r="MAL219" s="76"/>
      <c r="MAM219" s="76"/>
      <c r="MAN219" s="76"/>
      <c r="MAO219" s="76"/>
      <c r="MAP219" s="76"/>
      <c r="MAQ219" s="76"/>
      <c r="MAR219" s="76"/>
      <c r="MAS219" s="76"/>
      <c r="MAT219" s="76"/>
      <c r="MAU219" s="76"/>
      <c r="MAV219" s="76"/>
      <c r="MAW219" s="76"/>
      <c r="MAX219" s="76"/>
      <c r="MAY219" s="76"/>
      <c r="MAZ219" s="76"/>
      <c r="MBA219" s="76"/>
      <c r="MBB219" s="76"/>
      <c r="MBC219" s="76"/>
      <c r="MBD219" s="76"/>
      <c r="MBE219" s="76"/>
      <c r="MBF219" s="76"/>
      <c r="MBG219" s="76"/>
      <c r="MBH219" s="76"/>
      <c r="MBI219" s="76"/>
      <c r="MBJ219" s="76"/>
      <c r="MBK219" s="76"/>
      <c r="MBL219" s="76"/>
      <c r="MBM219" s="76"/>
      <c r="MBN219" s="76"/>
      <c r="MBO219" s="76"/>
      <c r="MBP219" s="76"/>
      <c r="MBQ219" s="76"/>
      <c r="MBR219" s="76"/>
      <c r="MBS219" s="76"/>
      <c r="MBT219" s="76"/>
      <c r="MBU219" s="76"/>
      <c r="MBV219" s="76"/>
      <c r="MBW219" s="76"/>
      <c r="MBX219" s="76"/>
      <c r="MBY219" s="76"/>
      <c r="MBZ219" s="76"/>
      <c r="MCA219" s="76"/>
      <c r="MCB219" s="76"/>
      <c r="MCC219" s="76"/>
      <c r="MCD219" s="76"/>
      <c r="MCE219" s="76"/>
      <c r="MCF219" s="76"/>
      <c r="MCG219" s="76"/>
      <c r="MCH219" s="76"/>
      <c r="MCI219" s="76"/>
      <c r="MCJ219" s="76"/>
      <c r="MCK219" s="76"/>
      <c r="MCL219" s="76"/>
      <c r="MCM219" s="76"/>
      <c r="MCN219" s="76"/>
      <c r="MCO219" s="76"/>
      <c r="MCP219" s="76"/>
      <c r="MCQ219" s="76"/>
      <c r="MCR219" s="76"/>
      <c r="MCS219" s="76"/>
      <c r="MCT219" s="76"/>
      <c r="MCU219" s="76"/>
      <c r="MCV219" s="76"/>
      <c r="MCW219" s="76"/>
      <c r="MCX219" s="76"/>
      <c r="MCY219" s="76"/>
      <c r="MCZ219" s="76"/>
      <c r="MDA219" s="76"/>
      <c r="MDB219" s="76"/>
      <c r="MDC219" s="76"/>
      <c r="MDD219" s="76"/>
      <c r="MDE219" s="76"/>
      <c r="MDF219" s="76"/>
      <c r="MDG219" s="76"/>
      <c r="MDH219" s="76"/>
      <c r="MDI219" s="76"/>
      <c r="MDJ219" s="76"/>
      <c r="MDK219" s="76"/>
      <c r="MDL219" s="76"/>
      <c r="MDM219" s="76"/>
      <c r="MDN219" s="76"/>
      <c r="MDO219" s="76"/>
      <c r="MDP219" s="76"/>
      <c r="MDQ219" s="76"/>
      <c r="MDR219" s="76"/>
      <c r="MDS219" s="76"/>
      <c r="MDT219" s="76"/>
      <c r="MDU219" s="76"/>
      <c r="MDV219" s="76"/>
      <c r="MDW219" s="76"/>
      <c r="MDX219" s="76"/>
      <c r="MDY219" s="76"/>
      <c r="MDZ219" s="76"/>
      <c r="MEA219" s="76"/>
      <c r="MEB219" s="76"/>
      <c r="MEC219" s="76"/>
      <c r="MED219" s="76"/>
      <c r="MEE219" s="76"/>
      <c r="MEF219" s="76"/>
      <c r="MEG219" s="76"/>
      <c r="MEH219" s="76"/>
      <c r="MEI219" s="76"/>
      <c r="MEJ219" s="76"/>
      <c r="MEK219" s="76"/>
      <c r="MEL219" s="76"/>
      <c r="MEM219" s="76"/>
      <c r="MEN219" s="76"/>
      <c r="MEO219" s="76"/>
      <c r="MEP219" s="76"/>
      <c r="MEQ219" s="76"/>
      <c r="MER219" s="76"/>
      <c r="MES219" s="76"/>
      <c r="MET219" s="76"/>
      <c r="MEU219" s="76"/>
      <c r="MEV219" s="76"/>
      <c r="MEW219" s="76"/>
      <c r="MEX219" s="76"/>
      <c r="MEY219" s="76"/>
      <c r="MEZ219" s="76"/>
      <c r="MFA219" s="76"/>
      <c r="MFB219" s="76"/>
      <c r="MFC219" s="76"/>
      <c r="MFD219" s="76"/>
      <c r="MFE219" s="76"/>
      <c r="MFF219" s="76"/>
      <c r="MFG219" s="76"/>
      <c r="MFH219" s="76"/>
      <c r="MFI219" s="76"/>
      <c r="MFJ219" s="76"/>
      <c r="MFK219" s="76"/>
      <c r="MFL219" s="76"/>
      <c r="MFM219" s="76"/>
      <c r="MFN219" s="76"/>
      <c r="MFO219" s="76"/>
      <c r="MFP219" s="76"/>
      <c r="MFQ219" s="76"/>
      <c r="MFR219" s="76"/>
      <c r="MFS219" s="76"/>
      <c r="MFT219" s="76"/>
      <c r="MFU219" s="76"/>
      <c r="MFV219" s="76"/>
      <c r="MFW219" s="76"/>
      <c r="MFX219" s="76"/>
      <c r="MFY219" s="76"/>
      <c r="MFZ219" s="76"/>
      <c r="MGA219" s="76"/>
      <c r="MGB219" s="76"/>
      <c r="MGC219" s="76"/>
      <c r="MGD219" s="76"/>
      <c r="MGE219" s="76"/>
      <c r="MGF219" s="76"/>
      <c r="MGG219" s="76"/>
      <c r="MGH219" s="76"/>
      <c r="MGI219" s="76"/>
      <c r="MGJ219" s="76"/>
      <c r="MGK219" s="76"/>
      <c r="MGL219" s="76"/>
      <c r="MGM219" s="76"/>
      <c r="MGN219" s="76"/>
      <c r="MGO219" s="76"/>
      <c r="MGP219" s="76"/>
      <c r="MGQ219" s="76"/>
      <c r="MGR219" s="76"/>
      <c r="MGS219" s="76"/>
      <c r="MGT219" s="76"/>
      <c r="MGU219" s="76"/>
      <c r="MGV219" s="76"/>
      <c r="MGW219" s="76"/>
      <c r="MGX219" s="76"/>
      <c r="MGY219" s="76"/>
      <c r="MGZ219" s="76"/>
      <c r="MHA219" s="76"/>
      <c r="MHB219" s="76"/>
      <c r="MHC219" s="76"/>
      <c r="MHD219" s="76"/>
      <c r="MHE219" s="76"/>
      <c r="MHF219" s="76"/>
      <c r="MHG219" s="76"/>
      <c r="MHH219" s="76"/>
      <c r="MHI219" s="76"/>
      <c r="MHJ219" s="76"/>
      <c r="MHK219" s="76"/>
      <c r="MHL219" s="76"/>
      <c r="MHM219" s="76"/>
      <c r="MHN219" s="76"/>
      <c r="MHO219" s="76"/>
      <c r="MHP219" s="76"/>
      <c r="MHQ219" s="76"/>
      <c r="MHR219" s="76"/>
      <c r="MHS219" s="76"/>
      <c r="MHT219" s="76"/>
      <c r="MHU219" s="76"/>
      <c r="MHV219" s="76"/>
      <c r="MHW219" s="76"/>
      <c r="MHX219" s="76"/>
      <c r="MHY219" s="76"/>
      <c r="MHZ219" s="76"/>
      <c r="MIA219" s="76"/>
      <c r="MIB219" s="76"/>
      <c r="MIC219" s="76"/>
      <c r="MID219" s="76"/>
      <c r="MIE219" s="76"/>
      <c r="MIF219" s="76"/>
      <c r="MIG219" s="76"/>
      <c r="MIH219" s="76"/>
      <c r="MII219" s="76"/>
      <c r="MIJ219" s="76"/>
      <c r="MIK219" s="76"/>
      <c r="MIL219" s="76"/>
      <c r="MIM219" s="76"/>
      <c r="MIN219" s="76"/>
      <c r="MIO219" s="76"/>
      <c r="MIP219" s="76"/>
      <c r="MIQ219" s="76"/>
      <c r="MIR219" s="76"/>
      <c r="MIS219" s="76"/>
      <c r="MIT219" s="76"/>
      <c r="MIU219" s="76"/>
      <c r="MIV219" s="76"/>
      <c r="MIW219" s="76"/>
      <c r="MIX219" s="76"/>
      <c r="MIY219" s="76"/>
      <c r="MIZ219" s="76"/>
      <c r="MJA219" s="76"/>
      <c r="MJB219" s="76"/>
      <c r="MJC219" s="76"/>
      <c r="MJD219" s="76"/>
      <c r="MJE219" s="76"/>
      <c r="MJF219" s="76"/>
      <c r="MJG219" s="76"/>
      <c r="MJH219" s="76"/>
      <c r="MJI219" s="76"/>
      <c r="MJJ219" s="76"/>
      <c r="MJK219" s="76"/>
      <c r="MJL219" s="76"/>
      <c r="MJM219" s="76"/>
      <c r="MJN219" s="76"/>
      <c r="MJO219" s="76"/>
      <c r="MJP219" s="76"/>
      <c r="MJQ219" s="76"/>
      <c r="MJR219" s="76"/>
      <c r="MJS219" s="76"/>
      <c r="MJT219" s="76"/>
      <c r="MJU219" s="76"/>
      <c r="MJV219" s="76"/>
      <c r="MJW219" s="76"/>
      <c r="MJX219" s="76"/>
      <c r="MJY219" s="76"/>
      <c r="MJZ219" s="76"/>
      <c r="MKA219" s="76"/>
      <c r="MKB219" s="76"/>
      <c r="MKC219" s="76"/>
      <c r="MKD219" s="76"/>
      <c r="MKE219" s="76"/>
      <c r="MKF219" s="76"/>
      <c r="MKG219" s="76"/>
      <c r="MKH219" s="76"/>
      <c r="MKI219" s="76"/>
      <c r="MKJ219" s="76"/>
      <c r="MKK219" s="76"/>
      <c r="MKL219" s="76"/>
      <c r="MKM219" s="76"/>
      <c r="MKN219" s="76"/>
      <c r="MKO219" s="76"/>
      <c r="MKP219" s="76"/>
      <c r="MKQ219" s="76"/>
      <c r="MKR219" s="76"/>
      <c r="MKS219" s="76"/>
      <c r="MKT219" s="76"/>
      <c r="MKU219" s="76"/>
      <c r="MKV219" s="76"/>
      <c r="MKW219" s="76"/>
      <c r="MKX219" s="76"/>
      <c r="MKY219" s="76"/>
      <c r="MKZ219" s="76"/>
      <c r="MLA219" s="76"/>
      <c r="MLB219" s="76"/>
      <c r="MLC219" s="76"/>
      <c r="MLD219" s="76"/>
      <c r="MLE219" s="76"/>
      <c r="MLF219" s="76"/>
      <c r="MLG219" s="76"/>
      <c r="MLH219" s="76"/>
      <c r="MLI219" s="76"/>
      <c r="MLJ219" s="76"/>
      <c r="MLK219" s="76"/>
      <c r="MLL219" s="76"/>
      <c r="MLM219" s="76"/>
      <c r="MLN219" s="76"/>
      <c r="MLO219" s="76"/>
      <c r="MLP219" s="76"/>
      <c r="MLQ219" s="76"/>
      <c r="MLR219" s="76"/>
      <c r="MLS219" s="76"/>
      <c r="MLT219" s="76"/>
      <c r="MLU219" s="76"/>
      <c r="MLV219" s="76"/>
      <c r="MLW219" s="76"/>
      <c r="MLX219" s="76"/>
      <c r="MLY219" s="76"/>
      <c r="MLZ219" s="76"/>
      <c r="MMA219" s="76"/>
      <c r="MMB219" s="76"/>
      <c r="MMC219" s="76"/>
      <c r="MMD219" s="76"/>
      <c r="MME219" s="76"/>
      <c r="MMF219" s="76"/>
      <c r="MMG219" s="76"/>
      <c r="MMH219" s="76"/>
      <c r="MMI219" s="76"/>
      <c r="MMJ219" s="76"/>
      <c r="MMK219" s="76"/>
      <c r="MML219" s="76"/>
      <c r="MMM219" s="76"/>
      <c r="MMN219" s="76"/>
      <c r="MMO219" s="76"/>
      <c r="MMP219" s="76"/>
      <c r="MMQ219" s="76"/>
      <c r="MMR219" s="76"/>
      <c r="MMS219" s="76"/>
      <c r="MMT219" s="76"/>
      <c r="MMU219" s="76"/>
      <c r="MMV219" s="76"/>
      <c r="MMW219" s="76"/>
      <c r="MMX219" s="76"/>
      <c r="MMY219" s="76"/>
      <c r="MMZ219" s="76"/>
      <c r="MNA219" s="76"/>
      <c r="MNB219" s="76"/>
      <c r="MNC219" s="76"/>
      <c r="MND219" s="76"/>
      <c r="MNE219" s="76"/>
      <c r="MNF219" s="76"/>
      <c r="MNG219" s="76"/>
      <c r="MNH219" s="76"/>
      <c r="MNI219" s="76"/>
      <c r="MNJ219" s="76"/>
      <c r="MNK219" s="76"/>
      <c r="MNL219" s="76"/>
      <c r="MNM219" s="76"/>
      <c r="MNN219" s="76"/>
      <c r="MNO219" s="76"/>
      <c r="MNP219" s="76"/>
      <c r="MNQ219" s="76"/>
      <c r="MNR219" s="76"/>
      <c r="MNS219" s="76"/>
      <c r="MNT219" s="76"/>
      <c r="MNU219" s="76"/>
      <c r="MNV219" s="76"/>
      <c r="MNW219" s="76"/>
      <c r="MNX219" s="76"/>
      <c r="MNY219" s="76"/>
      <c r="MNZ219" s="76"/>
      <c r="MOA219" s="76"/>
      <c r="MOB219" s="76"/>
      <c r="MOC219" s="76"/>
      <c r="MOD219" s="76"/>
      <c r="MOE219" s="76"/>
      <c r="MOF219" s="76"/>
      <c r="MOG219" s="76"/>
      <c r="MOH219" s="76"/>
      <c r="MOI219" s="76"/>
      <c r="MOJ219" s="76"/>
      <c r="MOK219" s="76"/>
      <c r="MOL219" s="76"/>
      <c r="MOM219" s="76"/>
      <c r="MON219" s="76"/>
      <c r="MOO219" s="76"/>
      <c r="MOP219" s="76"/>
      <c r="MOQ219" s="76"/>
      <c r="MOR219" s="76"/>
      <c r="MOS219" s="76"/>
      <c r="MOT219" s="76"/>
      <c r="MOU219" s="76"/>
      <c r="MOV219" s="76"/>
      <c r="MOW219" s="76"/>
      <c r="MOX219" s="76"/>
      <c r="MOY219" s="76"/>
      <c r="MOZ219" s="76"/>
      <c r="MPA219" s="76"/>
      <c r="MPB219" s="76"/>
      <c r="MPC219" s="76"/>
      <c r="MPD219" s="76"/>
      <c r="MPE219" s="76"/>
      <c r="MPF219" s="76"/>
      <c r="MPG219" s="76"/>
      <c r="MPH219" s="76"/>
      <c r="MPI219" s="76"/>
      <c r="MPJ219" s="76"/>
      <c r="MPK219" s="76"/>
      <c r="MPL219" s="76"/>
      <c r="MPM219" s="76"/>
      <c r="MPN219" s="76"/>
      <c r="MPO219" s="76"/>
      <c r="MPP219" s="76"/>
      <c r="MPQ219" s="76"/>
      <c r="MPR219" s="76"/>
      <c r="MPS219" s="76"/>
      <c r="MPT219" s="76"/>
      <c r="MPU219" s="76"/>
      <c r="MPV219" s="76"/>
      <c r="MPW219" s="76"/>
      <c r="MPX219" s="76"/>
      <c r="MPY219" s="76"/>
      <c r="MPZ219" s="76"/>
      <c r="MQA219" s="76"/>
      <c r="MQB219" s="76"/>
      <c r="MQC219" s="76"/>
      <c r="MQD219" s="76"/>
      <c r="MQE219" s="76"/>
      <c r="MQF219" s="76"/>
      <c r="MQG219" s="76"/>
      <c r="MQH219" s="76"/>
      <c r="MQI219" s="76"/>
      <c r="MQJ219" s="76"/>
      <c r="MQK219" s="76"/>
      <c r="MQL219" s="76"/>
      <c r="MQM219" s="76"/>
      <c r="MQN219" s="76"/>
      <c r="MQO219" s="76"/>
      <c r="MQP219" s="76"/>
      <c r="MQQ219" s="76"/>
      <c r="MQR219" s="76"/>
      <c r="MQS219" s="76"/>
      <c r="MQT219" s="76"/>
      <c r="MQU219" s="76"/>
      <c r="MQV219" s="76"/>
      <c r="MQW219" s="76"/>
      <c r="MQX219" s="76"/>
      <c r="MQY219" s="76"/>
      <c r="MQZ219" s="76"/>
      <c r="MRA219" s="76"/>
      <c r="MRB219" s="76"/>
      <c r="MRC219" s="76"/>
      <c r="MRD219" s="76"/>
      <c r="MRE219" s="76"/>
      <c r="MRF219" s="76"/>
      <c r="MRG219" s="76"/>
      <c r="MRH219" s="76"/>
      <c r="MRI219" s="76"/>
      <c r="MRJ219" s="76"/>
      <c r="MRK219" s="76"/>
      <c r="MRL219" s="76"/>
      <c r="MRM219" s="76"/>
      <c r="MRN219" s="76"/>
      <c r="MRO219" s="76"/>
      <c r="MRP219" s="76"/>
      <c r="MRQ219" s="76"/>
      <c r="MRR219" s="76"/>
      <c r="MRS219" s="76"/>
      <c r="MRT219" s="76"/>
      <c r="MRU219" s="76"/>
      <c r="MRV219" s="76"/>
      <c r="MRW219" s="76"/>
      <c r="MRX219" s="76"/>
      <c r="MRY219" s="76"/>
      <c r="MRZ219" s="76"/>
      <c r="MSA219" s="76"/>
      <c r="MSB219" s="76"/>
      <c r="MSC219" s="76"/>
      <c r="MSD219" s="76"/>
      <c r="MSE219" s="76"/>
      <c r="MSF219" s="76"/>
      <c r="MSG219" s="76"/>
      <c r="MSH219" s="76"/>
      <c r="MSI219" s="76"/>
      <c r="MSJ219" s="76"/>
      <c r="MSK219" s="76"/>
      <c r="MSL219" s="76"/>
      <c r="MSM219" s="76"/>
      <c r="MSN219" s="76"/>
      <c r="MSO219" s="76"/>
      <c r="MSP219" s="76"/>
      <c r="MSQ219" s="76"/>
      <c r="MSR219" s="76"/>
      <c r="MSS219" s="76"/>
      <c r="MST219" s="76"/>
      <c r="MSU219" s="76"/>
      <c r="MSV219" s="76"/>
      <c r="MSW219" s="76"/>
      <c r="MSX219" s="76"/>
      <c r="MSY219" s="76"/>
      <c r="MSZ219" s="76"/>
      <c r="MTA219" s="76"/>
      <c r="MTB219" s="76"/>
      <c r="MTC219" s="76"/>
      <c r="MTD219" s="76"/>
      <c r="MTE219" s="76"/>
      <c r="MTF219" s="76"/>
      <c r="MTG219" s="76"/>
      <c r="MTH219" s="76"/>
      <c r="MTI219" s="76"/>
      <c r="MTJ219" s="76"/>
      <c r="MTK219" s="76"/>
      <c r="MTL219" s="76"/>
      <c r="MTM219" s="76"/>
      <c r="MTN219" s="76"/>
      <c r="MTO219" s="76"/>
      <c r="MTP219" s="76"/>
      <c r="MTQ219" s="76"/>
      <c r="MTR219" s="76"/>
      <c r="MTS219" s="76"/>
      <c r="MTT219" s="76"/>
      <c r="MTU219" s="76"/>
      <c r="MTV219" s="76"/>
      <c r="MTW219" s="76"/>
      <c r="MTX219" s="76"/>
      <c r="MTY219" s="76"/>
      <c r="MTZ219" s="76"/>
      <c r="MUA219" s="76"/>
      <c r="MUB219" s="76"/>
      <c r="MUC219" s="76"/>
      <c r="MUD219" s="76"/>
      <c r="MUE219" s="76"/>
      <c r="MUF219" s="76"/>
      <c r="MUG219" s="76"/>
      <c r="MUH219" s="76"/>
      <c r="MUI219" s="76"/>
      <c r="MUJ219" s="76"/>
      <c r="MUK219" s="76"/>
      <c r="MUL219" s="76"/>
      <c r="MUM219" s="76"/>
      <c r="MUN219" s="76"/>
      <c r="MUO219" s="76"/>
      <c r="MUP219" s="76"/>
      <c r="MUQ219" s="76"/>
      <c r="MUR219" s="76"/>
      <c r="MUS219" s="76"/>
      <c r="MUT219" s="76"/>
      <c r="MUU219" s="76"/>
      <c r="MUV219" s="76"/>
      <c r="MUW219" s="76"/>
      <c r="MUX219" s="76"/>
      <c r="MUY219" s="76"/>
      <c r="MUZ219" s="76"/>
      <c r="MVA219" s="76"/>
      <c r="MVB219" s="76"/>
      <c r="MVC219" s="76"/>
      <c r="MVD219" s="76"/>
      <c r="MVE219" s="76"/>
      <c r="MVF219" s="76"/>
      <c r="MVG219" s="76"/>
      <c r="MVH219" s="76"/>
      <c r="MVI219" s="76"/>
      <c r="MVJ219" s="76"/>
      <c r="MVK219" s="76"/>
      <c r="MVL219" s="76"/>
      <c r="MVM219" s="76"/>
      <c r="MVN219" s="76"/>
      <c r="MVO219" s="76"/>
      <c r="MVP219" s="76"/>
      <c r="MVQ219" s="76"/>
      <c r="MVR219" s="76"/>
      <c r="MVS219" s="76"/>
      <c r="MVT219" s="76"/>
      <c r="MVU219" s="76"/>
      <c r="MVV219" s="76"/>
      <c r="MVW219" s="76"/>
      <c r="MVX219" s="76"/>
      <c r="MVY219" s="76"/>
      <c r="MVZ219" s="76"/>
      <c r="MWA219" s="76"/>
      <c r="MWB219" s="76"/>
      <c r="MWC219" s="76"/>
      <c r="MWD219" s="76"/>
      <c r="MWE219" s="76"/>
      <c r="MWF219" s="76"/>
      <c r="MWG219" s="76"/>
      <c r="MWH219" s="76"/>
      <c r="MWI219" s="76"/>
      <c r="MWJ219" s="76"/>
      <c r="MWK219" s="76"/>
      <c r="MWL219" s="76"/>
      <c r="MWM219" s="76"/>
      <c r="MWN219" s="76"/>
      <c r="MWO219" s="76"/>
      <c r="MWP219" s="76"/>
      <c r="MWQ219" s="76"/>
      <c r="MWR219" s="76"/>
      <c r="MWS219" s="76"/>
      <c r="MWT219" s="76"/>
      <c r="MWU219" s="76"/>
      <c r="MWV219" s="76"/>
      <c r="MWW219" s="76"/>
      <c r="MWX219" s="76"/>
      <c r="MWY219" s="76"/>
      <c r="MWZ219" s="76"/>
      <c r="MXA219" s="76"/>
      <c r="MXB219" s="76"/>
      <c r="MXC219" s="76"/>
      <c r="MXD219" s="76"/>
      <c r="MXE219" s="76"/>
      <c r="MXF219" s="76"/>
      <c r="MXG219" s="76"/>
      <c r="MXH219" s="76"/>
      <c r="MXI219" s="76"/>
      <c r="MXJ219" s="76"/>
      <c r="MXK219" s="76"/>
      <c r="MXL219" s="76"/>
      <c r="MXM219" s="76"/>
      <c r="MXN219" s="76"/>
      <c r="MXO219" s="76"/>
      <c r="MXP219" s="76"/>
      <c r="MXQ219" s="76"/>
      <c r="MXR219" s="76"/>
      <c r="MXS219" s="76"/>
      <c r="MXT219" s="76"/>
      <c r="MXU219" s="76"/>
      <c r="MXV219" s="76"/>
      <c r="MXW219" s="76"/>
      <c r="MXX219" s="76"/>
      <c r="MXY219" s="76"/>
      <c r="MXZ219" s="76"/>
      <c r="MYA219" s="76"/>
      <c r="MYB219" s="76"/>
      <c r="MYC219" s="76"/>
      <c r="MYD219" s="76"/>
      <c r="MYE219" s="76"/>
      <c r="MYF219" s="76"/>
      <c r="MYG219" s="76"/>
      <c r="MYH219" s="76"/>
      <c r="MYI219" s="76"/>
      <c r="MYJ219" s="76"/>
      <c r="MYK219" s="76"/>
      <c r="MYL219" s="76"/>
      <c r="MYM219" s="76"/>
      <c r="MYN219" s="76"/>
      <c r="MYO219" s="76"/>
      <c r="MYP219" s="76"/>
      <c r="MYQ219" s="76"/>
      <c r="MYR219" s="76"/>
      <c r="MYS219" s="76"/>
      <c r="MYT219" s="76"/>
      <c r="MYU219" s="76"/>
      <c r="MYV219" s="76"/>
      <c r="MYW219" s="76"/>
      <c r="MYX219" s="76"/>
      <c r="MYY219" s="76"/>
      <c r="MYZ219" s="76"/>
      <c r="MZA219" s="76"/>
      <c r="MZB219" s="76"/>
      <c r="MZC219" s="76"/>
      <c r="MZD219" s="76"/>
      <c r="MZE219" s="76"/>
      <c r="MZF219" s="76"/>
      <c r="MZG219" s="76"/>
      <c r="MZH219" s="76"/>
      <c r="MZI219" s="76"/>
      <c r="MZJ219" s="76"/>
      <c r="MZK219" s="76"/>
      <c r="MZL219" s="76"/>
      <c r="MZM219" s="76"/>
      <c r="MZN219" s="76"/>
      <c r="MZO219" s="76"/>
      <c r="MZP219" s="76"/>
      <c r="MZQ219" s="76"/>
      <c r="MZR219" s="76"/>
      <c r="MZS219" s="76"/>
      <c r="MZT219" s="76"/>
      <c r="MZU219" s="76"/>
      <c r="MZV219" s="76"/>
      <c r="MZW219" s="76"/>
      <c r="MZX219" s="76"/>
      <c r="MZY219" s="76"/>
      <c r="MZZ219" s="76"/>
      <c r="NAA219" s="76"/>
      <c r="NAB219" s="76"/>
      <c r="NAC219" s="76"/>
      <c r="NAD219" s="76"/>
      <c r="NAE219" s="76"/>
      <c r="NAF219" s="76"/>
      <c r="NAG219" s="76"/>
      <c r="NAH219" s="76"/>
      <c r="NAI219" s="76"/>
      <c r="NAJ219" s="76"/>
      <c r="NAK219" s="76"/>
      <c r="NAL219" s="76"/>
      <c r="NAM219" s="76"/>
      <c r="NAN219" s="76"/>
      <c r="NAO219" s="76"/>
      <c r="NAP219" s="76"/>
      <c r="NAQ219" s="76"/>
      <c r="NAR219" s="76"/>
      <c r="NAS219" s="76"/>
      <c r="NAT219" s="76"/>
      <c r="NAU219" s="76"/>
      <c r="NAV219" s="76"/>
      <c r="NAW219" s="76"/>
      <c r="NAX219" s="76"/>
      <c r="NAY219" s="76"/>
      <c r="NAZ219" s="76"/>
      <c r="NBA219" s="76"/>
      <c r="NBB219" s="76"/>
      <c r="NBC219" s="76"/>
      <c r="NBD219" s="76"/>
      <c r="NBE219" s="76"/>
      <c r="NBF219" s="76"/>
      <c r="NBG219" s="76"/>
      <c r="NBH219" s="76"/>
      <c r="NBI219" s="76"/>
      <c r="NBJ219" s="76"/>
      <c r="NBK219" s="76"/>
      <c r="NBL219" s="76"/>
      <c r="NBM219" s="76"/>
      <c r="NBN219" s="76"/>
      <c r="NBO219" s="76"/>
      <c r="NBP219" s="76"/>
      <c r="NBQ219" s="76"/>
      <c r="NBR219" s="76"/>
      <c r="NBS219" s="76"/>
      <c r="NBT219" s="76"/>
      <c r="NBU219" s="76"/>
      <c r="NBV219" s="76"/>
      <c r="NBW219" s="76"/>
      <c r="NBX219" s="76"/>
      <c r="NBY219" s="76"/>
      <c r="NBZ219" s="76"/>
      <c r="NCA219" s="76"/>
      <c r="NCB219" s="76"/>
      <c r="NCC219" s="76"/>
      <c r="NCD219" s="76"/>
      <c r="NCE219" s="76"/>
      <c r="NCF219" s="76"/>
      <c r="NCG219" s="76"/>
      <c r="NCH219" s="76"/>
      <c r="NCI219" s="76"/>
      <c r="NCJ219" s="76"/>
      <c r="NCK219" s="76"/>
      <c r="NCL219" s="76"/>
      <c r="NCM219" s="76"/>
      <c r="NCN219" s="76"/>
      <c r="NCO219" s="76"/>
      <c r="NCP219" s="76"/>
      <c r="NCQ219" s="76"/>
      <c r="NCR219" s="76"/>
      <c r="NCS219" s="76"/>
      <c r="NCT219" s="76"/>
      <c r="NCU219" s="76"/>
      <c r="NCV219" s="76"/>
      <c r="NCW219" s="76"/>
      <c r="NCX219" s="76"/>
      <c r="NCY219" s="76"/>
      <c r="NCZ219" s="76"/>
      <c r="NDA219" s="76"/>
      <c r="NDB219" s="76"/>
      <c r="NDC219" s="76"/>
      <c r="NDD219" s="76"/>
      <c r="NDE219" s="76"/>
      <c r="NDF219" s="76"/>
      <c r="NDG219" s="76"/>
      <c r="NDH219" s="76"/>
      <c r="NDI219" s="76"/>
      <c r="NDJ219" s="76"/>
      <c r="NDK219" s="76"/>
      <c r="NDL219" s="76"/>
      <c r="NDM219" s="76"/>
      <c r="NDN219" s="76"/>
      <c r="NDO219" s="76"/>
      <c r="NDP219" s="76"/>
      <c r="NDQ219" s="76"/>
      <c r="NDR219" s="76"/>
      <c r="NDS219" s="76"/>
      <c r="NDT219" s="76"/>
      <c r="NDU219" s="76"/>
      <c r="NDV219" s="76"/>
      <c r="NDW219" s="76"/>
      <c r="NDX219" s="76"/>
      <c r="NDY219" s="76"/>
      <c r="NDZ219" s="76"/>
      <c r="NEA219" s="76"/>
      <c r="NEB219" s="76"/>
      <c r="NEC219" s="76"/>
      <c r="NED219" s="76"/>
      <c r="NEE219" s="76"/>
      <c r="NEF219" s="76"/>
      <c r="NEG219" s="76"/>
      <c r="NEH219" s="76"/>
      <c r="NEI219" s="76"/>
      <c r="NEJ219" s="76"/>
      <c r="NEK219" s="76"/>
      <c r="NEL219" s="76"/>
      <c r="NEM219" s="76"/>
      <c r="NEN219" s="76"/>
      <c r="NEO219" s="76"/>
      <c r="NEP219" s="76"/>
      <c r="NEQ219" s="76"/>
      <c r="NER219" s="76"/>
      <c r="NES219" s="76"/>
      <c r="NET219" s="76"/>
      <c r="NEU219" s="76"/>
      <c r="NEV219" s="76"/>
      <c r="NEW219" s="76"/>
      <c r="NEX219" s="76"/>
      <c r="NEY219" s="76"/>
      <c r="NEZ219" s="76"/>
      <c r="NFA219" s="76"/>
      <c r="NFB219" s="76"/>
      <c r="NFC219" s="76"/>
      <c r="NFD219" s="76"/>
      <c r="NFE219" s="76"/>
      <c r="NFF219" s="76"/>
      <c r="NFG219" s="76"/>
      <c r="NFH219" s="76"/>
      <c r="NFI219" s="76"/>
      <c r="NFJ219" s="76"/>
      <c r="NFK219" s="76"/>
      <c r="NFL219" s="76"/>
      <c r="NFM219" s="76"/>
      <c r="NFN219" s="76"/>
      <c r="NFO219" s="76"/>
      <c r="NFP219" s="76"/>
      <c r="NFQ219" s="76"/>
      <c r="NFR219" s="76"/>
      <c r="NFS219" s="76"/>
      <c r="NFT219" s="76"/>
      <c r="NFU219" s="76"/>
      <c r="NFV219" s="76"/>
      <c r="NFW219" s="76"/>
      <c r="NFX219" s="76"/>
      <c r="NFY219" s="76"/>
      <c r="NFZ219" s="76"/>
      <c r="NGA219" s="76"/>
      <c r="NGB219" s="76"/>
      <c r="NGC219" s="76"/>
      <c r="NGD219" s="76"/>
      <c r="NGE219" s="76"/>
      <c r="NGF219" s="76"/>
      <c r="NGG219" s="76"/>
      <c r="NGH219" s="76"/>
      <c r="NGI219" s="76"/>
      <c r="NGJ219" s="76"/>
      <c r="NGK219" s="76"/>
      <c r="NGL219" s="76"/>
      <c r="NGM219" s="76"/>
      <c r="NGN219" s="76"/>
      <c r="NGO219" s="76"/>
      <c r="NGP219" s="76"/>
      <c r="NGQ219" s="76"/>
      <c r="NGR219" s="76"/>
      <c r="NGS219" s="76"/>
      <c r="NGT219" s="76"/>
      <c r="NGU219" s="76"/>
      <c r="NGV219" s="76"/>
      <c r="NGW219" s="76"/>
      <c r="NGX219" s="76"/>
      <c r="NGY219" s="76"/>
      <c r="NGZ219" s="76"/>
      <c r="NHA219" s="76"/>
      <c r="NHB219" s="76"/>
      <c r="NHC219" s="76"/>
      <c r="NHD219" s="76"/>
      <c r="NHE219" s="76"/>
      <c r="NHF219" s="76"/>
      <c r="NHG219" s="76"/>
      <c r="NHH219" s="76"/>
      <c r="NHI219" s="76"/>
      <c r="NHJ219" s="76"/>
      <c r="NHK219" s="76"/>
      <c r="NHL219" s="76"/>
      <c r="NHM219" s="76"/>
      <c r="NHN219" s="76"/>
      <c r="NHO219" s="76"/>
      <c r="NHP219" s="76"/>
      <c r="NHQ219" s="76"/>
      <c r="NHR219" s="76"/>
      <c r="NHS219" s="76"/>
      <c r="NHT219" s="76"/>
      <c r="NHU219" s="76"/>
      <c r="NHV219" s="76"/>
      <c r="NHW219" s="76"/>
      <c r="NHX219" s="76"/>
      <c r="NHY219" s="76"/>
      <c r="NHZ219" s="76"/>
      <c r="NIA219" s="76"/>
      <c r="NIB219" s="76"/>
      <c r="NIC219" s="76"/>
      <c r="NID219" s="76"/>
      <c r="NIE219" s="76"/>
      <c r="NIF219" s="76"/>
      <c r="NIG219" s="76"/>
      <c r="NIH219" s="76"/>
      <c r="NII219" s="76"/>
      <c r="NIJ219" s="76"/>
      <c r="NIK219" s="76"/>
      <c r="NIL219" s="76"/>
      <c r="NIM219" s="76"/>
      <c r="NIN219" s="76"/>
      <c r="NIO219" s="76"/>
      <c r="NIP219" s="76"/>
      <c r="NIQ219" s="76"/>
      <c r="NIR219" s="76"/>
      <c r="NIS219" s="76"/>
      <c r="NIT219" s="76"/>
      <c r="NIU219" s="76"/>
      <c r="NIV219" s="76"/>
      <c r="NIW219" s="76"/>
      <c r="NIX219" s="76"/>
      <c r="NIY219" s="76"/>
      <c r="NIZ219" s="76"/>
      <c r="NJA219" s="76"/>
      <c r="NJB219" s="76"/>
      <c r="NJC219" s="76"/>
      <c r="NJD219" s="76"/>
      <c r="NJE219" s="76"/>
      <c r="NJF219" s="76"/>
      <c r="NJG219" s="76"/>
      <c r="NJH219" s="76"/>
      <c r="NJI219" s="76"/>
      <c r="NJJ219" s="76"/>
      <c r="NJK219" s="76"/>
      <c r="NJL219" s="76"/>
      <c r="NJM219" s="76"/>
      <c r="NJN219" s="76"/>
      <c r="NJO219" s="76"/>
      <c r="NJP219" s="76"/>
      <c r="NJQ219" s="76"/>
      <c r="NJR219" s="76"/>
      <c r="NJS219" s="76"/>
      <c r="NJT219" s="76"/>
      <c r="NJU219" s="76"/>
      <c r="NJV219" s="76"/>
      <c r="NJW219" s="76"/>
      <c r="NJX219" s="76"/>
      <c r="NJY219" s="76"/>
      <c r="NJZ219" s="76"/>
      <c r="NKA219" s="76"/>
      <c r="NKB219" s="76"/>
      <c r="NKC219" s="76"/>
      <c r="NKD219" s="76"/>
      <c r="NKE219" s="76"/>
      <c r="NKF219" s="76"/>
      <c r="NKG219" s="76"/>
      <c r="NKH219" s="76"/>
      <c r="NKI219" s="76"/>
      <c r="NKJ219" s="76"/>
      <c r="NKK219" s="76"/>
      <c r="NKL219" s="76"/>
      <c r="NKM219" s="76"/>
      <c r="NKN219" s="76"/>
      <c r="NKO219" s="76"/>
      <c r="NKP219" s="76"/>
      <c r="NKQ219" s="76"/>
      <c r="NKR219" s="76"/>
      <c r="NKS219" s="76"/>
      <c r="NKT219" s="76"/>
      <c r="NKU219" s="76"/>
      <c r="NKV219" s="76"/>
      <c r="NKW219" s="76"/>
      <c r="NKX219" s="76"/>
      <c r="NKY219" s="76"/>
      <c r="NKZ219" s="76"/>
      <c r="NLA219" s="76"/>
      <c r="NLB219" s="76"/>
      <c r="NLC219" s="76"/>
      <c r="NLD219" s="76"/>
      <c r="NLE219" s="76"/>
      <c r="NLF219" s="76"/>
      <c r="NLG219" s="76"/>
      <c r="NLH219" s="76"/>
      <c r="NLI219" s="76"/>
      <c r="NLJ219" s="76"/>
      <c r="NLK219" s="76"/>
      <c r="NLL219" s="76"/>
      <c r="NLM219" s="76"/>
      <c r="NLN219" s="76"/>
      <c r="NLO219" s="76"/>
      <c r="NLP219" s="76"/>
      <c r="NLQ219" s="76"/>
      <c r="NLR219" s="76"/>
      <c r="NLS219" s="76"/>
      <c r="NLT219" s="76"/>
      <c r="NLU219" s="76"/>
      <c r="NLV219" s="76"/>
      <c r="NLW219" s="76"/>
      <c r="NLX219" s="76"/>
      <c r="NLY219" s="76"/>
      <c r="NLZ219" s="76"/>
      <c r="NMA219" s="76"/>
      <c r="NMB219" s="76"/>
      <c r="NMC219" s="76"/>
      <c r="NMD219" s="76"/>
      <c r="NME219" s="76"/>
      <c r="NMF219" s="76"/>
      <c r="NMG219" s="76"/>
      <c r="NMH219" s="76"/>
      <c r="NMI219" s="76"/>
      <c r="NMJ219" s="76"/>
      <c r="NMK219" s="76"/>
      <c r="NML219" s="76"/>
      <c r="NMM219" s="76"/>
      <c r="NMN219" s="76"/>
      <c r="NMO219" s="76"/>
      <c r="NMP219" s="76"/>
      <c r="NMQ219" s="76"/>
      <c r="NMR219" s="76"/>
      <c r="NMS219" s="76"/>
      <c r="NMT219" s="76"/>
      <c r="NMU219" s="76"/>
      <c r="NMV219" s="76"/>
      <c r="NMW219" s="76"/>
      <c r="NMX219" s="76"/>
      <c r="NMY219" s="76"/>
      <c r="NMZ219" s="76"/>
      <c r="NNA219" s="76"/>
      <c r="NNB219" s="76"/>
      <c r="NNC219" s="76"/>
      <c r="NND219" s="76"/>
      <c r="NNE219" s="76"/>
      <c r="NNF219" s="76"/>
      <c r="NNG219" s="76"/>
      <c r="NNH219" s="76"/>
      <c r="NNI219" s="76"/>
      <c r="NNJ219" s="76"/>
      <c r="NNK219" s="76"/>
      <c r="NNL219" s="76"/>
      <c r="NNM219" s="76"/>
      <c r="NNN219" s="76"/>
      <c r="NNO219" s="76"/>
      <c r="NNP219" s="76"/>
      <c r="NNQ219" s="76"/>
      <c r="NNR219" s="76"/>
      <c r="NNS219" s="76"/>
      <c r="NNT219" s="76"/>
      <c r="NNU219" s="76"/>
      <c r="NNV219" s="76"/>
      <c r="NNW219" s="76"/>
      <c r="NNX219" s="76"/>
      <c r="NNY219" s="76"/>
      <c r="NNZ219" s="76"/>
      <c r="NOA219" s="76"/>
      <c r="NOB219" s="76"/>
      <c r="NOC219" s="76"/>
      <c r="NOD219" s="76"/>
      <c r="NOE219" s="76"/>
      <c r="NOF219" s="76"/>
      <c r="NOG219" s="76"/>
      <c r="NOH219" s="76"/>
      <c r="NOI219" s="76"/>
      <c r="NOJ219" s="76"/>
      <c r="NOK219" s="76"/>
      <c r="NOL219" s="76"/>
      <c r="NOM219" s="76"/>
      <c r="NON219" s="76"/>
      <c r="NOO219" s="76"/>
      <c r="NOP219" s="76"/>
      <c r="NOQ219" s="76"/>
      <c r="NOR219" s="76"/>
      <c r="NOS219" s="76"/>
      <c r="NOT219" s="76"/>
      <c r="NOU219" s="76"/>
      <c r="NOV219" s="76"/>
      <c r="NOW219" s="76"/>
      <c r="NOX219" s="76"/>
      <c r="NOY219" s="76"/>
      <c r="NOZ219" s="76"/>
      <c r="NPA219" s="76"/>
      <c r="NPB219" s="76"/>
      <c r="NPC219" s="76"/>
      <c r="NPD219" s="76"/>
      <c r="NPE219" s="76"/>
      <c r="NPF219" s="76"/>
      <c r="NPG219" s="76"/>
      <c r="NPH219" s="76"/>
      <c r="NPI219" s="76"/>
      <c r="NPJ219" s="76"/>
      <c r="NPK219" s="76"/>
      <c r="NPL219" s="76"/>
      <c r="NPM219" s="76"/>
      <c r="NPN219" s="76"/>
      <c r="NPO219" s="76"/>
      <c r="NPP219" s="76"/>
      <c r="NPQ219" s="76"/>
      <c r="NPR219" s="76"/>
      <c r="NPS219" s="76"/>
      <c r="NPT219" s="76"/>
      <c r="NPU219" s="76"/>
      <c r="NPV219" s="76"/>
      <c r="NPW219" s="76"/>
      <c r="NPX219" s="76"/>
      <c r="NPY219" s="76"/>
      <c r="NPZ219" s="76"/>
      <c r="NQA219" s="76"/>
      <c r="NQB219" s="76"/>
      <c r="NQC219" s="76"/>
      <c r="NQD219" s="76"/>
      <c r="NQE219" s="76"/>
      <c r="NQF219" s="76"/>
      <c r="NQG219" s="76"/>
      <c r="NQH219" s="76"/>
      <c r="NQI219" s="76"/>
      <c r="NQJ219" s="76"/>
      <c r="NQK219" s="76"/>
      <c r="NQL219" s="76"/>
      <c r="NQM219" s="76"/>
      <c r="NQN219" s="76"/>
      <c r="NQO219" s="76"/>
      <c r="NQP219" s="76"/>
      <c r="NQQ219" s="76"/>
      <c r="NQR219" s="76"/>
      <c r="NQS219" s="76"/>
      <c r="NQT219" s="76"/>
      <c r="NQU219" s="76"/>
      <c r="NQV219" s="76"/>
      <c r="NQW219" s="76"/>
      <c r="NQX219" s="76"/>
      <c r="NQY219" s="76"/>
      <c r="NQZ219" s="76"/>
      <c r="NRA219" s="76"/>
      <c r="NRB219" s="76"/>
      <c r="NRC219" s="76"/>
      <c r="NRD219" s="76"/>
      <c r="NRE219" s="76"/>
      <c r="NRF219" s="76"/>
      <c r="NRG219" s="76"/>
      <c r="NRH219" s="76"/>
      <c r="NRI219" s="76"/>
      <c r="NRJ219" s="76"/>
      <c r="NRK219" s="76"/>
      <c r="NRL219" s="76"/>
      <c r="NRM219" s="76"/>
      <c r="NRN219" s="76"/>
      <c r="NRO219" s="76"/>
      <c r="NRP219" s="76"/>
      <c r="NRQ219" s="76"/>
      <c r="NRR219" s="76"/>
      <c r="NRS219" s="76"/>
      <c r="NRT219" s="76"/>
      <c r="NRU219" s="76"/>
      <c r="NRV219" s="76"/>
      <c r="NRW219" s="76"/>
      <c r="NRX219" s="76"/>
      <c r="NRY219" s="76"/>
      <c r="NRZ219" s="76"/>
      <c r="NSA219" s="76"/>
      <c r="NSB219" s="76"/>
      <c r="NSC219" s="76"/>
      <c r="NSD219" s="76"/>
      <c r="NSE219" s="76"/>
      <c r="NSF219" s="76"/>
      <c r="NSG219" s="76"/>
      <c r="NSH219" s="76"/>
      <c r="NSI219" s="76"/>
      <c r="NSJ219" s="76"/>
      <c r="NSK219" s="76"/>
      <c r="NSL219" s="76"/>
      <c r="NSM219" s="76"/>
      <c r="NSN219" s="76"/>
      <c r="NSO219" s="76"/>
      <c r="NSP219" s="76"/>
      <c r="NSQ219" s="76"/>
      <c r="NSR219" s="76"/>
      <c r="NSS219" s="76"/>
      <c r="NST219" s="76"/>
      <c r="NSU219" s="76"/>
      <c r="NSV219" s="76"/>
      <c r="NSW219" s="76"/>
      <c r="NSX219" s="76"/>
      <c r="NSY219" s="76"/>
      <c r="NSZ219" s="76"/>
      <c r="NTA219" s="76"/>
      <c r="NTB219" s="76"/>
      <c r="NTC219" s="76"/>
      <c r="NTD219" s="76"/>
      <c r="NTE219" s="76"/>
      <c r="NTF219" s="76"/>
      <c r="NTG219" s="76"/>
      <c r="NTH219" s="76"/>
      <c r="NTI219" s="76"/>
      <c r="NTJ219" s="76"/>
      <c r="NTK219" s="76"/>
      <c r="NTL219" s="76"/>
      <c r="NTM219" s="76"/>
      <c r="NTN219" s="76"/>
      <c r="NTO219" s="76"/>
      <c r="NTP219" s="76"/>
      <c r="NTQ219" s="76"/>
      <c r="NTR219" s="76"/>
      <c r="NTS219" s="76"/>
      <c r="NTT219" s="76"/>
      <c r="NTU219" s="76"/>
      <c r="NTV219" s="76"/>
      <c r="NTW219" s="76"/>
      <c r="NTX219" s="76"/>
      <c r="NTY219" s="76"/>
      <c r="NTZ219" s="76"/>
      <c r="NUA219" s="76"/>
      <c r="NUB219" s="76"/>
      <c r="NUC219" s="76"/>
      <c r="NUD219" s="76"/>
      <c r="NUE219" s="76"/>
      <c r="NUF219" s="76"/>
      <c r="NUG219" s="76"/>
      <c r="NUH219" s="76"/>
      <c r="NUI219" s="76"/>
      <c r="NUJ219" s="76"/>
      <c r="NUK219" s="76"/>
      <c r="NUL219" s="76"/>
      <c r="NUM219" s="76"/>
      <c r="NUN219" s="76"/>
      <c r="NUO219" s="76"/>
      <c r="NUP219" s="76"/>
      <c r="NUQ219" s="76"/>
      <c r="NUR219" s="76"/>
      <c r="NUS219" s="76"/>
      <c r="NUT219" s="76"/>
      <c r="NUU219" s="76"/>
      <c r="NUV219" s="76"/>
      <c r="NUW219" s="76"/>
      <c r="NUX219" s="76"/>
      <c r="NUY219" s="76"/>
      <c r="NUZ219" s="76"/>
      <c r="NVA219" s="76"/>
      <c r="NVB219" s="76"/>
      <c r="NVC219" s="76"/>
      <c r="NVD219" s="76"/>
      <c r="NVE219" s="76"/>
      <c r="NVF219" s="76"/>
      <c r="NVG219" s="76"/>
      <c r="NVH219" s="76"/>
      <c r="NVI219" s="76"/>
      <c r="NVJ219" s="76"/>
      <c r="NVK219" s="76"/>
      <c r="NVL219" s="76"/>
      <c r="NVM219" s="76"/>
      <c r="NVN219" s="76"/>
      <c r="NVO219" s="76"/>
      <c r="NVP219" s="76"/>
      <c r="NVQ219" s="76"/>
      <c r="NVR219" s="76"/>
      <c r="NVS219" s="76"/>
      <c r="NVT219" s="76"/>
      <c r="NVU219" s="76"/>
      <c r="NVV219" s="76"/>
      <c r="NVW219" s="76"/>
      <c r="NVX219" s="76"/>
      <c r="NVY219" s="76"/>
      <c r="NVZ219" s="76"/>
      <c r="NWA219" s="76"/>
      <c r="NWB219" s="76"/>
      <c r="NWC219" s="76"/>
      <c r="NWD219" s="76"/>
      <c r="NWE219" s="76"/>
      <c r="NWF219" s="76"/>
      <c r="NWG219" s="76"/>
      <c r="NWH219" s="76"/>
      <c r="NWI219" s="76"/>
      <c r="NWJ219" s="76"/>
      <c r="NWK219" s="76"/>
      <c r="NWL219" s="76"/>
      <c r="NWM219" s="76"/>
      <c r="NWN219" s="76"/>
      <c r="NWO219" s="76"/>
      <c r="NWP219" s="76"/>
      <c r="NWQ219" s="76"/>
      <c r="NWR219" s="76"/>
      <c r="NWS219" s="76"/>
      <c r="NWT219" s="76"/>
      <c r="NWU219" s="76"/>
      <c r="NWV219" s="76"/>
      <c r="NWW219" s="76"/>
      <c r="NWX219" s="76"/>
      <c r="NWY219" s="76"/>
      <c r="NWZ219" s="76"/>
      <c r="NXA219" s="76"/>
      <c r="NXB219" s="76"/>
      <c r="NXC219" s="76"/>
      <c r="NXD219" s="76"/>
      <c r="NXE219" s="76"/>
      <c r="NXF219" s="76"/>
      <c r="NXG219" s="76"/>
      <c r="NXH219" s="76"/>
      <c r="NXI219" s="76"/>
      <c r="NXJ219" s="76"/>
      <c r="NXK219" s="76"/>
      <c r="NXL219" s="76"/>
      <c r="NXM219" s="76"/>
      <c r="NXN219" s="76"/>
      <c r="NXO219" s="76"/>
      <c r="NXP219" s="76"/>
      <c r="NXQ219" s="76"/>
      <c r="NXR219" s="76"/>
      <c r="NXS219" s="76"/>
      <c r="NXT219" s="76"/>
      <c r="NXU219" s="76"/>
      <c r="NXV219" s="76"/>
      <c r="NXW219" s="76"/>
      <c r="NXX219" s="76"/>
      <c r="NXY219" s="76"/>
      <c r="NXZ219" s="76"/>
      <c r="NYA219" s="76"/>
      <c r="NYB219" s="76"/>
      <c r="NYC219" s="76"/>
      <c r="NYD219" s="76"/>
      <c r="NYE219" s="76"/>
      <c r="NYF219" s="76"/>
      <c r="NYG219" s="76"/>
      <c r="NYH219" s="76"/>
      <c r="NYI219" s="76"/>
      <c r="NYJ219" s="76"/>
      <c r="NYK219" s="76"/>
      <c r="NYL219" s="76"/>
      <c r="NYM219" s="76"/>
      <c r="NYN219" s="76"/>
      <c r="NYO219" s="76"/>
      <c r="NYP219" s="76"/>
      <c r="NYQ219" s="76"/>
      <c r="NYR219" s="76"/>
      <c r="NYS219" s="76"/>
      <c r="NYT219" s="76"/>
      <c r="NYU219" s="76"/>
      <c r="NYV219" s="76"/>
      <c r="NYW219" s="76"/>
      <c r="NYX219" s="76"/>
      <c r="NYY219" s="76"/>
      <c r="NYZ219" s="76"/>
      <c r="NZA219" s="76"/>
      <c r="NZB219" s="76"/>
      <c r="NZC219" s="76"/>
      <c r="NZD219" s="76"/>
      <c r="NZE219" s="76"/>
      <c r="NZF219" s="76"/>
      <c r="NZG219" s="76"/>
      <c r="NZH219" s="76"/>
      <c r="NZI219" s="76"/>
      <c r="NZJ219" s="76"/>
      <c r="NZK219" s="76"/>
      <c r="NZL219" s="76"/>
      <c r="NZM219" s="76"/>
      <c r="NZN219" s="76"/>
      <c r="NZO219" s="76"/>
      <c r="NZP219" s="76"/>
      <c r="NZQ219" s="76"/>
      <c r="NZR219" s="76"/>
      <c r="NZS219" s="76"/>
      <c r="NZT219" s="76"/>
      <c r="NZU219" s="76"/>
      <c r="NZV219" s="76"/>
      <c r="NZW219" s="76"/>
      <c r="NZX219" s="76"/>
      <c r="NZY219" s="76"/>
      <c r="NZZ219" s="76"/>
      <c r="OAA219" s="76"/>
      <c r="OAB219" s="76"/>
      <c r="OAC219" s="76"/>
      <c r="OAD219" s="76"/>
      <c r="OAE219" s="76"/>
      <c r="OAF219" s="76"/>
      <c r="OAG219" s="76"/>
      <c r="OAH219" s="76"/>
      <c r="OAI219" s="76"/>
      <c r="OAJ219" s="76"/>
      <c r="OAK219" s="76"/>
      <c r="OAL219" s="76"/>
      <c r="OAM219" s="76"/>
      <c r="OAN219" s="76"/>
      <c r="OAO219" s="76"/>
      <c r="OAP219" s="76"/>
      <c r="OAQ219" s="76"/>
      <c r="OAR219" s="76"/>
      <c r="OAS219" s="76"/>
      <c r="OAT219" s="76"/>
      <c r="OAU219" s="76"/>
      <c r="OAV219" s="76"/>
      <c r="OAW219" s="76"/>
      <c r="OAX219" s="76"/>
      <c r="OAY219" s="76"/>
      <c r="OAZ219" s="76"/>
      <c r="OBA219" s="76"/>
      <c r="OBB219" s="76"/>
      <c r="OBC219" s="76"/>
      <c r="OBD219" s="76"/>
      <c r="OBE219" s="76"/>
      <c r="OBF219" s="76"/>
      <c r="OBG219" s="76"/>
      <c r="OBH219" s="76"/>
      <c r="OBI219" s="76"/>
      <c r="OBJ219" s="76"/>
      <c r="OBK219" s="76"/>
      <c r="OBL219" s="76"/>
      <c r="OBM219" s="76"/>
      <c r="OBN219" s="76"/>
      <c r="OBO219" s="76"/>
      <c r="OBP219" s="76"/>
      <c r="OBQ219" s="76"/>
      <c r="OBR219" s="76"/>
      <c r="OBS219" s="76"/>
      <c r="OBT219" s="76"/>
      <c r="OBU219" s="76"/>
      <c r="OBV219" s="76"/>
      <c r="OBW219" s="76"/>
      <c r="OBX219" s="76"/>
      <c r="OBY219" s="76"/>
      <c r="OBZ219" s="76"/>
      <c r="OCA219" s="76"/>
      <c r="OCB219" s="76"/>
      <c r="OCC219" s="76"/>
      <c r="OCD219" s="76"/>
      <c r="OCE219" s="76"/>
      <c r="OCF219" s="76"/>
      <c r="OCG219" s="76"/>
      <c r="OCH219" s="76"/>
      <c r="OCI219" s="76"/>
      <c r="OCJ219" s="76"/>
      <c r="OCK219" s="76"/>
      <c r="OCL219" s="76"/>
      <c r="OCM219" s="76"/>
      <c r="OCN219" s="76"/>
      <c r="OCO219" s="76"/>
      <c r="OCP219" s="76"/>
      <c r="OCQ219" s="76"/>
      <c r="OCR219" s="76"/>
      <c r="OCS219" s="76"/>
      <c r="OCT219" s="76"/>
      <c r="OCU219" s="76"/>
      <c r="OCV219" s="76"/>
      <c r="OCW219" s="76"/>
      <c r="OCX219" s="76"/>
      <c r="OCY219" s="76"/>
      <c r="OCZ219" s="76"/>
      <c r="ODA219" s="76"/>
      <c r="ODB219" s="76"/>
      <c r="ODC219" s="76"/>
      <c r="ODD219" s="76"/>
      <c r="ODE219" s="76"/>
      <c r="ODF219" s="76"/>
      <c r="ODG219" s="76"/>
      <c r="ODH219" s="76"/>
      <c r="ODI219" s="76"/>
      <c r="ODJ219" s="76"/>
      <c r="ODK219" s="76"/>
      <c r="ODL219" s="76"/>
      <c r="ODM219" s="76"/>
      <c r="ODN219" s="76"/>
      <c r="ODO219" s="76"/>
      <c r="ODP219" s="76"/>
      <c r="ODQ219" s="76"/>
      <c r="ODR219" s="76"/>
      <c r="ODS219" s="76"/>
      <c r="ODT219" s="76"/>
      <c r="ODU219" s="76"/>
      <c r="ODV219" s="76"/>
      <c r="ODW219" s="76"/>
      <c r="ODX219" s="76"/>
      <c r="ODY219" s="76"/>
      <c r="ODZ219" s="76"/>
      <c r="OEA219" s="76"/>
      <c r="OEB219" s="76"/>
      <c r="OEC219" s="76"/>
      <c r="OED219" s="76"/>
      <c r="OEE219" s="76"/>
      <c r="OEF219" s="76"/>
      <c r="OEG219" s="76"/>
      <c r="OEH219" s="76"/>
      <c r="OEI219" s="76"/>
      <c r="OEJ219" s="76"/>
      <c r="OEK219" s="76"/>
      <c r="OEL219" s="76"/>
      <c r="OEM219" s="76"/>
      <c r="OEN219" s="76"/>
      <c r="OEO219" s="76"/>
      <c r="OEP219" s="76"/>
      <c r="OEQ219" s="76"/>
      <c r="OER219" s="76"/>
      <c r="OES219" s="76"/>
      <c r="OET219" s="76"/>
      <c r="OEU219" s="76"/>
      <c r="OEV219" s="76"/>
      <c r="OEW219" s="76"/>
      <c r="OEX219" s="76"/>
      <c r="OEY219" s="76"/>
      <c r="OEZ219" s="76"/>
      <c r="OFA219" s="76"/>
      <c r="OFB219" s="76"/>
      <c r="OFC219" s="76"/>
      <c r="OFD219" s="76"/>
      <c r="OFE219" s="76"/>
      <c r="OFF219" s="76"/>
      <c r="OFG219" s="76"/>
      <c r="OFH219" s="76"/>
      <c r="OFI219" s="76"/>
      <c r="OFJ219" s="76"/>
      <c r="OFK219" s="76"/>
      <c r="OFL219" s="76"/>
      <c r="OFM219" s="76"/>
      <c r="OFN219" s="76"/>
      <c r="OFO219" s="76"/>
      <c r="OFP219" s="76"/>
      <c r="OFQ219" s="76"/>
      <c r="OFR219" s="76"/>
      <c r="OFS219" s="76"/>
      <c r="OFT219" s="76"/>
      <c r="OFU219" s="76"/>
      <c r="OFV219" s="76"/>
      <c r="OFW219" s="76"/>
      <c r="OFX219" s="76"/>
      <c r="OFY219" s="76"/>
      <c r="OFZ219" s="76"/>
      <c r="OGA219" s="76"/>
      <c r="OGB219" s="76"/>
      <c r="OGC219" s="76"/>
      <c r="OGD219" s="76"/>
      <c r="OGE219" s="76"/>
      <c r="OGF219" s="76"/>
      <c r="OGG219" s="76"/>
      <c r="OGH219" s="76"/>
      <c r="OGI219" s="76"/>
      <c r="OGJ219" s="76"/>
      <c r="OGK219" s="76"/>
      <c r="OGL219" s="76"/>
      <c r="OGM219" s="76"/>
      <c r="OGN219" s="76"/>
      <c r="OGO219" s="76"/>
      <c r="OGP219" s="76"/>
      <c r="OGQ219" s="76"/>
      <c r="OGR219" s="76"/>
      <c r="OGS219" s="76"/>
      <c r="OGT219" s="76"/>
      <c r="OGU219" s="76"/>
      <c r="OGV219" s="76"/>
      <c r="OGW219" s="76"/>
      <c r="OGX219" s="76"/>
      <c r="OGY219" s="76"/>
      <c r="OGZ219" s="76"/>
      <c r="OHA219" s="76"/>
      <c r="OHB219" s="76"/>
      <c r="OHC219" s="76"/>
      <c r="OHD219" s="76"/>
      <c r="OHE219" s="76"/>
      <c r="OHF219" s="76"/>
      <c r="OHG219" s="76"/>
      <c r="OHH219" s="76"/>
      <c r="OHI219" s="76"/>
      <c r="OHJ219" s="76"/>
      <c r="OHK219" s="76"/>
      <c r="OHL219" s="76"/>
      <c r="OHM219" s="76"/>
      <c r="OHN219" s="76"/>
      <c r="OHO219" s="76"/>
      <c r="OHP219" s="76"/>
      <c r="OHQ219" s="76"/>
      <c r="OHR219" s="76"/>
      <c r="OHS219" s="76"/>
      <c r="OHT219" s="76"/>
      <c r="OHU219" s="76"/>
      <c r="OHV219" s="76"/>
      <c r="OHW219" s="76"/>
      <c r="OHX219" s="76"/>
      <c r="OHY219" s="76"/>
      <c r="OHZ219" s="76"/>
      <c r="OIA219" s="76"/>
      <c r="OIB219" s="76"/>
      <c r="OIC219" s="76"/>
      <c r="OID219" s="76"/>
      <c r="OIE219" s="76"/>
      <c r="OIF219" s="76"/>
      <c r="OIG219" s="76"/>
      <c r="OIH219" s="76"/>
      <c r="OII219" s="76"/>
      <c r="OIJ219" s="76"/>
      <c r="OIK219" s="76"/>
      <c r="OIL219" s="76"/>
      <c r="OIM219" s="76"/>
      <c r="OIN219" s="76"/>
      <c r="OIO219" s="76"/>
      <c r="OIP219" s="76"/>
      <c r="OIQ219" s="76"/>
      <c r="OIR219" s="76"/>
      <c r="OIS219" s="76"/>
      <c r="OIT219" s="76"/>
      <c r="OIU219" s="76"/>
      <c r="OIV219" s="76"/>
      <c r="OIW219" s="76"/>
      <c r="OIX219" s="76"/>
      <c r="OIY219" s="76"/>
      <c r="OIZ219" s="76"/>
      <c r="OJA219" s="76"/>
      <c r="OJB219" s="76"/>
      <c r="OJC219" s="76"/>
      <c r="OJD219" s="76"/>
      <c r="OJE219" s="76"/>
      <c r="OJF219" s="76"/>
      <c r="OJG219" s="76"/>
      <c r="OJH219" s="76"/>
      <c r="OJI219" s="76"/>
      <c r="OJJ219" s="76"/>
      <c r="OJK219" s="76"/>
      <c r="OJL219" s="76"/>
      <c r="OJM219" s="76"/>
      <c r="OJN219" s="76"/>
      <c r="OJO219" s="76"/>
      <c r="OJP219" s="76"/>
      <c r="OJQ219" s="76"/>
      <c r="OJR219" s="76"/>
      <c r="OJS219" s="76"/>
      <c r="OJT219" s="76"/>
      <c r="OJU219" s="76"/>
      <c r="OJV219" s="76"/>
      <c r="OJW219" s="76"/>
      <c r="OJX219" s="76"/>
      <c r="OJY219" s="76"/>
      <c r="OJZ219" s="76"/>
      <c r="OKA219" s="76"/>
      <c r="OKB219" s="76"/>
      <c r="OKC219" s="76"/>
      <c r="OKD219" s="76"/>
      <c r="OKE219" s="76"/>
      <c r="OKF219" s="76"/>
      <c r="OKG219" s="76"/>
      <c r="OKH219" s="76"/>
      <c r="OKI219" s="76"/>
      <c r="OKJ219" s="76"/>
      <c r="OKK219" s="76"/>
      <c r="OKL219" s="76"/>
      <c r="OKM219" s="76"/>
      <c r="OKN219" s="76"/>
      <c r="OKO219" s="76"/>
      <c r="OKP219" s="76"/>
      <c r="OKQ219" s="76"/>
      <c r="OKR219" s="76"/>
      <c r="OKS219" s="76"/>
      <c r="OKT219" s="76"/>
      <c r="OKU219" s="76"/>
      <c r="OKV219" s="76"/>
      <c r="OKW219" s="76"/>
      <c r="OKX219" s="76"/>
      <c r="OKY219" s="76"/>
      <c r="OKZ219" s="76"/>
      <c r="OLA219" s="76"/>
      <c r="OLB219" s="76"/>
      <c r="OLC219" s="76"/>
      <c r="OLD219" s="76"/>
      <c r="OLE219" s="76"/>
      <c r="OLF219" s="76"/>
      <c r="OLG219" s="76"/>
      <c r="OLH219" s="76"/>
      <c r="OLI219" s="76"/>
      <c r="OLJ219" s="76"/>
      <c r="OLK219" s="76"/>
      <c r="OLL219" s="76"/>
      <c r="OLM219" s="76"/>
      <c r="OLN219" s="76"/>
      <c r="OLO219" s="76"/>
      <c r="OLP219" s="76"/>
      <c r="OLQ219" s="76"/>
      <c r="OLR219" s="76"/>
      <c r="OLS219" s="76"/>
      <c r="OLT219" s="76"/>
      <c r="OLU219" s="76"/>
      <c r="OLV219" s="76"/>
      <c r="OLW219" s="76"/>
      <c r="OLX219" s="76"/>
      <c r="OLY219" s="76"/>
      <c r="OLZ219" s="76"/>
      <c r="OMA219" s="76"/>
      <c r="OMB219" s="76"/>
      <c r="OMC219" s="76"/>
      <c r="OMD219" s="76"/>
      <c r="OME219" s="76"/>
      <c r="OMF219" s="76"/>
      <c r="OMG219" s="76"/>
      <c r="OMH219" s="76"/>
      <c r="OMI219" s="76"/>
      <c r="OMJ219" s="76"/>
      <c r="OMK219" s="76"/>
      <c r="OML219" s="76"/>
      <c r="OMM219" s="76"/>
      <c r="OMN219" s="76"/>
      <c r="OMO219" s="76"/>
      <c r="OMP219" s="76"/>
      <c r="OMQ219" s="76"/>
      <c r="OMR219" s="76"/>
      <c r="OMS219" s="76"/>
      <c r="OMT219" s="76"/>
      <c r="OMU219" s="76"/>
      <c r="OMV219" s="76"/>
      <c r="OMW219" s="76"/>
      <c r="OMX219" s="76"/>
      <c r="OMY219" s="76"/>
      <c r="OMZ219" s="76"/>
      <c r="ONA219" s="76"/>
      <c r="ONB219" s="76"/>
      <c r="ONC219" s="76"/>
      <c r="OND219" s="76"/>
      <c r="ONE219" s="76"/>
      <c r="ONF219" s="76"/>
      <c r="ONG219" s="76"/>
      <c r="ONH219" s="76"/>
      <c r="ONI219" s="76"/>
      <c r="ONJ219" s="76"/>
      <c r="ONK219" s="76"/>
      <c r="ONL219" s="76"/>
      <c r="ONM219" s="76"/>
      <c r="ONN219" s="76"/>
      <c r="ONO219" s="76"/>
      <c r="ONP219" s="76"/>
      <c r="ONQ219" s="76"/>
      <c r="ONR219" s="76"/>
      <c r="ONS219" s="76"/>
      <c r="ONT219" s="76"/>
      <c r="ONU219" s="76"/>
      <c r="ONV219" s="76"/>
      <c r="ONW219" s="76"/>
      <c r="ONX219" s="76"/>
      <c r="ONY219" s="76"/>
      <c r="ONZ219" s="76"/>
      <c r="OOA219" s="76"/>
      <c r="OOB219" s="76"/>
      <c r="OOC219" s="76"/>
      <c r="OOD219" s="76"/>
      <c r="OOE219" s="76"/>
      <c r="OOF219" s="76"/>
      <c r="OOG219" s="76"/>
      <c r="OOH219" s="76"/>
      <c r="OOI219" s="76"/>
      <c r="OOJ219" s="76"/>
      <c r="OOK219" s="76"/>
      <c r="OOL219" s="76"/>
      <c r="OOM219" s="76"/>
      <c r="OON219" s="76"/>
      <c r="OOO219" s="76"/>
      <c r="OOP219" s="76"/>
      <c r="OOQ219" s="76"/>
      <c r="OOR219" s="76"/>
      <c r="OOS219" s="76"/>
      <c r="OOT219" s="76"/>
      <c r="OOU219" s="76"/>
      <c r="OOV219" s="76"/>
      <c r="OOW219" s="76"/>
      <c r="OOX219" s="76"/>
      <c r="OOY219" s="76"/>
      <c r="OOZ219" s="76"/>
      <c r="OPA219" s="76"/>
      <c r="OPB219" s="76"/>
      <c r="OPC219" s="76"/>
      <c r="OPD219" s="76"/>
      <c r="OPE219" s="76"/>
      <c r="OPF219" s="76"/>
      <c r="OPG219" s="76"/>
      <c r="OPH219" s="76"/>
      <c r="OPI219" s="76"/>
      <c r="OPJ219" s="76"/>
      <c r="OPK219" s="76"/>
      <c r="OPL219" s="76"/>
      <c r="OPM219" s="76"/>
      <c r="OPN219" s="76"/>
      <c r="OPO219" s="76"/>
      <c r="OPP219" s="76"/>
      <c r="OPQ219" s="76"/>
      <c r="OPR219" s="76"/>
      <c r="OPS219" s="76"/>
      <c r="OPT219" s="76"/>
      <c r="OPU219" s="76"/>
      <c r="OPV219" s="76"/>
      <c r="OPW219" s="76"/>
      <c r="OPX219" s="76"/>
      <c r="OPY219" s="76"/>
      <c r="OPZ219" s="76"/>
      <c r="OQA219" s="76"/>
      <c r="OQB219" s="76"/>
      <c r="OQC219" s="76"/>
      <c r="OQD219" s="76"/>
      <c r="OQE219" s="76"/>
      <c r="OQF219" s="76"/>
      <c r="OQG219" s="76"/>
      <c r="OQH219" s="76"/>
      <c r="OQI219" s="76"/>
      <c r="OQJ219" s="76"/>
      <c r="OQK219" s="76"/>
      <c r="OQL219" s="76"/>
      <c r="OQM219" s="76"/>
      <c r="OQN219" s="76"/>
      <c r="OQO219" s="76"/>
      <c r="OQP219" s="76"/>
      <c r="OQQ219" s="76"/>
      <c r="OQR219" s="76"/>
      <c r="OQS219" s="76"/>
      <c r="OQT219" s="76"/>
      <c r="OQU219" s="76"/>
      <c r="OQV219" s="76"/>
      <c r="OQW219" s="76"/>
      <c r="OQX219" s="76"/>
      <c r="OQY219" s="76"/>
      <c r="OQZ219" s="76"/>
      <c r="ORA219" s="76"/>
      <c r="ORB219" s="76"/>
      <c r="ORC219" s="76"/>
      <c r="ORD219" s="76"/>
      <c r="ORE219" s="76"/>
      <c r="ORF219" s="76"/>
      <c r="ORG219" s="76"/>
      <c r="ORH219" s="76"/>
      <c r="ORI219" s="76"/>
      <c r="ORJ219" s="76"/>
      <c r="ORK219" s="76"/>
      <c r="ORL219" s="76"/>
      <c r="ORM219" s="76"/>
      <c r="ORN219" s="76"/>
      <c r="ORO219" s="76"/>
      <c r="ORP219" s="76"/>
      <c r="ORQ219" s="76"/>
      <c r="ORR219" s="76"/>
      <c r="ORS219" s="76"/>
      <c r="ORT219" s="76"/>
      <c r="ORU219" s="76"/>
      <c r="ORV219" s="76"/>
      <c r="ORW219" s="76"/>
      <c r="ORX219" s="76"/>
      <c r="ORY219" s="76"/>
      <c r="ORZ219" s="76"/>
      <c r="OSA219" s="76"/>
      <c r="OSB219" s="76"/>
      <c r="OSC219" s="76"/>
      <c r="OSD219" s="76"/>
      <c r="OSE219" s="76"/>
      <c r="OSF219" s="76"/>
      <c r="OSG219" s="76"/>
      <c r="OSH219" s="76"/>
      <c r="OSI219" s="76"/>
      <c r="OSJ219" s="76"/>
      <c r="OSK219" s="76"/>
      <c r="OSL219" s="76"/>
      <c r="OSM219" s="76"/>
      <c r="OSN219" s="76"/>
      <c r="OSO219" s="76"/>
      <c r="OSP219" s="76"/>
      <c r="OSQ219" s="76"/>
      <c r="OSR219" s="76"/>
      <c r="OSS219" s="76"/>
      <c r="OST219" s="76"/>
      <c r="OSU219" s="76"/>
      <c r="OSV219" s="76"/>
      <c r="OSW219" s="76"/>
      <c r="OSX219" s="76"/>
      <c r="OSY219" s="76"/>
      <c r="OSZ219" s="76"/>
      <c r="OTA219" s="76"/>
      <c r="OTB219" s="76"/>
      <c r="OTC219" s="76"/>
      <c r="OTD219" s="76"/>
      <c r="OTE219" s="76"/>
      <c r="OTF219" s="76"/>
      <c r="OTG219" s="76"/>
      <c r="OTH219" s="76"/>
      <c r="OTI219" s="76"/>
      <c r="OTJ219" s="76"/>
      <c r="OTK219" s="76"/>
      <c r="OTL219" s="76"/>
      <c r="OTM219" s="76"/>
      <c r="OTN219" s="76"/>
      <c r="OTO219" s="76"/>
      <c r="OTP219" s="76"/>
      <c r="OTQ219" s="76"/>
      <c r="OTR219" s="76"/>
      <c r="OTS219" s="76"/>
      <c r="OTT219" s="76"/>
      <c r="OTU219" s="76"/>
      <c r="OTV219" s="76"/>
      <c r="OTW219" s="76"/>
      <c r="OTX219" s="76"/>
      <c r="OTY219" s="76"/>
      <c r="OTZ219" s="76"/>
      <c r="OUA219" s="76"/>
      <c r="OUB219" s="76"/>
      <c r="OUC219" s="76"/>
      <c r="OUD219" s="76"/>
      <c r="OUE219" s="76"/>
      <c r="OUF219" s="76"/>
      <c r="OUG219" s="76"/>
      <c r="OUH219" s="76"/>
      <c r="OUI219" s="76"/>
      <c r="OUJ219" s="76"/>
      <c r="OUK219" s="76"/>
      <c r="OUL219" s="76"/>
      <c r="OUM219" s="76"/>
      <c r="OUN219" s="76"/>
      <c r="OUO219" s="76"/>
      <c r="OUP219" s="76"/>
      <c r="OUQ219" s="76"/>
      <c r="OUR219" s="76"/>
      <c r="OUS219" s="76"/>
      <c r="OUT219" s="76"/>
      <c r="OUU219" s="76"/>
      <c r="OUV219" s="76"/>
      <c r="OUW219" s="76"/>
      <c r="OUX219" s="76"/>
      <c r="OUY219" s="76"/>
      <c r="OUZ219" s="76"/>
      <c r="OVA219" s="76"/>
      <c r="OVB219" s="76"/>
      <c r="OVC219" s="76"/>
      <c r="OVD219" s="76"/>
      <c r="OVE219" s="76"/>
      <c r="OVF219" s="76"/>
      <c r="OVG219" s="76"/>
      <c r="OVH219" s="76"/>
      <c r="OVI219" s="76"/>
      <c r="OVJ219" s="76"/>
      <c r="OVK219" s="76"/>
      <c r="OVL219" s="76"/>
      <c r="OVM219" s="76"/>
      <c r="OVN219" s="76"/>
      <c r="OVO219" s="76"/>
      <c r="OVP219" s="76"/>
      <c r="OVQ219" s="76"/>
      <c r="OVR219" s="76"/>
      <c r="OVS219" s="76"/>
      <c r="OVT219" s="76"/>
      <c r="OVU219" s="76"/>
      <c r="OVV219" s="76"/>
      <c r="OVW219" s="76"/>
      <c r="OVX219" s="76"/>
      <c r="OVY219" s="76"/>
      <c r="OVZ219" s="76"/>
      <c r="OWA219" s="76"/>
      <c r="OWB219" s="76"/>
      <c r="OWC219" s="76"/>
      <c r="OWD219" s="76"/>
      <c r="OWE219" s="76"/>
      <c r="OWF219" s="76"/>
      <c r="OWG219" s="76"/>
      <c r="OWH219" s="76"/>
      <c r="OWI219" s="76"/>
      <c r="OWJ219" s="76"/>
      <c r="OWK219" s="76"/>
      <c r="OWL219" s="76"/>
      <c r="OWM219" s="76"/>
      <c r="OWN219" s="76"/>
      <c r="OWO219" s="76"/>
      <c r="OWP219" s="76"/>
      <c r="OWQ219" s="76"/>
      <c r="OWR219" s="76"/>
      <c r="OWS219" s="76"/>
      <c r="OWT219" s="76"/>
      <c r="OWU219" s="76"/>
      <c r="OWV219" s="76"/>
      <c r="OWW219" s="76"/>
      <c r="OWX219" s="76"/>
      <c r="OWY219" s="76"/>
      <c r="OWZ219" s="76"/>
      <c r="OXA219" s="76"/>
      <c r="OXB219" s="76"/>
      <c r="OXC219" s="76"/>
      <c r="OXD219" s="76"/>
      <c r="OXE219" s="76"/>
      <c r="OXF219" s="76"/>
      <c r="OXG219" s="76"/>
      <c r="OXH219" s="76"/>
      <c r="OXI219" s="76"/>
      <c r="OXJ219" s="76"/>
      <c r="OXK219" s="76"/>
      <c r="OXL219" s="76"/>
      <c r="OXM219" s="76"/>
      <c r="OXN219" s="76"/>
      <c r="OXO219" s="76"/>
      <c r="OXP219" s="76"/>
      <c r="OXQ219" s="76"/>
      <c r="OXR219" s="76"/>
      <c r="OXS219" s="76"/>
      <c r="OXT219" s="76"/>
      <c r="OXU219" s="76"/>
      <c r="OXV219" s="76"/>
      <c r="OXW219" s="76"/>
      <c r="OXX219" s="76"/>
      <c r="OXY219" s="76"/>
      <c r="OXZ219" s="76"/>
      <c r="OYA219" s="76"/>
      <c r="OYB219" s="76"/>
      <c r="OYC219" s="76"/>
      <c r="OYD219" s="76"/>
      <c r="OYE219" s="76"/>
      <c r="OYF219" s="76"/>
      <c r="OYG219" s="76"/>
      <c r="OYH219" s="76"/>
      <c r="OYI219" s="76"/>
      <c r="OYJ219" s="76"/>
      <c r="OYK219" s="76"/>
      <c r="OYL219" s="76"/>
      <c r="OYM219" s="76"/>
      <c r="OYN219" s="76"/>
      <c r="OYO219" s="76"/>
      <c r="OYP219" s="76"/>
      <c r="OYQ219" s="76"/>
      <c r="OYR219" s="76"/>
      <c r="OYS219" s="76"/>
      <c r="OYT219" s="76"/>
      <c r="OYU219" s="76"/>
      <c r="OYV219" s="76"/>
      <c r="OYW219" s="76"/>
      <c r="OYX219" s="76"/>
      <c r="OYY219" s="76"/>
      <c r="OYZ219" s="76"/>
      <c r="OZA219" s="76"/>
      <c r="OZB219" s="76"/>
      <c r="OZC219" s="76"/>
      <c r="OZD219" s="76"/>
      <c r="OZE219" s="76"/>
      <c r="OZF219" s="76"/>
      <c r="OZG219" s="76"/>
      <c r="OZH219" s="76"/>
      <c r="OZI219" s="76"/>
      <c r="OZJ219" s="76"/>
      <c r="OZK219" s="76"/>
      <c r="OZL219" s="76"/>
      <c r="OZM219" s="76"/>
      <c r="OZN219" s="76"/>
      <c r="OZO219" s="76"/>
      <c r="OZP219" s="76"/>
      <c r="OZQ219" s="76"/>
      <c r="OZR219" s="76"/>
      <c r="OZS219" s="76"/>
      <c r="OZT219" s="76"/>
      <c r="OZU219" s="76"/>
      <c r="OZV219" s="76"/>
      <c r="OZW219" s="76"/>
      <c r="OZX219" s="76"/>
      <c r="OZY219" s="76"/>
      <c r="OZZ219" s="76"/>
      <c r="PAA219" s="76"/>
      <c r="PAB219" s="76"/>
      <c r="PAC219" s="76"/>
      <c r="PAD219" s="76"/>
      <c r="PAE219" s="76"/>
      <c r="PAF219" s="76"/>
      <c r="PAG219" s="76"/>
      <c r="PAH219" s="76"/>
      <c r="PAI219" s="76"/>
      <c r="PAJ219" s="76"/>
      <c r="PAK219" s="76"/>
      <c r="PAL219" s="76"/>
      <c r="PAM219" s="76"/>
      <c r="PAN219" s="76"/>
      <c r="PAO219" s="76"/>
      <c r="PAP219" s="76"/>
      <c r="PAQ219" s="76"/>
      <c r="PAR219" s="76"/>
      <c r="PAS219" s="76"/>
      <c r="PAT219" s="76"/>
      <c r="PAU219" s="76"/>
      <c r="PAV219" s="76"/>
      <c r="PAW219" s="76"/>
      <c r="PAX219" s="76"/>
      <c r="PAY219" s="76"/>
      <c r="PAZ219" s="76"/>
      <c r="PBA219" s="76"/>
      <c r="PBB219" s="76"/>
      <c r="PBC219" s="76"/>
      <c r="PBD219" s="76"/>
      <c r="PBE219" s="76"/>
      <c r="PBF219" s="76"/>
      <c r="PBG219" s="76"/>
      <c r="PBH219" s="76"/>
      <c r="PBI219" s="76"/>
      <c r="PBJ219" s="76"/>
      <c r="PBK219" s="76"/>
      <c r="PBL219" s="76"/>
      <c r="PBM219" s="76"/>
      <c r="PBN219" s="76"/>
      <c r="PBO219" s="76"/>
      <c r="PBP219" s="76"/>
      <c r="PBQ219" s="76"/>
      <c r="PBR219" s="76"/>
      <c r="PBS219" s="76"/>
      <c r="PBT219" s="76"/>
      <c r="PBU219" s="76"/>
      <c r="PBV219" s="76"/>
      <c r="PBW219" s="76"/>
      <c r="PBX219" s="76"/>
      <c r="PBY219" s="76"/>
      <c r="PBZ219" s="76"/>
      <c r="PCA219" s="76"/>
      <c r="PCB219" s="76"/>
      <c r="PCC219" s="76"/>
      <c r="PCD219" s="76"/>
      <c r="PCE219" s="76"/>
      <c r="PCF219" s="76"/>
      <c r="PCG219" s="76"/>
      <c r="PCH219" s="76"/>
      <c r="PCI219" s="76"/>
      <c r="PCJ219" s="76"/>
      <c r="PCK219" s="76"/>
      <c r="PCL219" s="76"/>
      <c r="PCM219" s="76"/>
      <c r="PCN219" s="76"/>
      <c r="PCO219" s="76"/>
      <c r="PCP219" s="76"/>
      <c r="PCQ219" s="76"/>
      <c r="PCR219" s="76"/>
      <c r="PCS219" s="76"/>
      <c r="PCT219" s="76"/>
      <c r="PCU219" s="76"/>
      <c r="PCV219" s="76"/>
      <c r="PCW219" s="76"/>
      <c r="PCX219" s="76"/>
      <c r="PCY219" s="76"/>
      <c r="PCZ219" s="76"/>
      <c r="PDA219" s="76"/>
      <c r="PDB219" s="76"/>
      <c r="PDC219" s="76"/>
      <c r="PDD219" s="76"/>
      <c r="PDE219" s="76"/>
      <c r="PDF219" s="76"/>
      <c r="PDG219" s="76"/>
      <c r="PDH219" s="76"/>
      <c r="PDI219" s="76"/>
      <c r="PDJ219" s="76"/>
      <c r="PDK219" s="76"/>
      <c r="PDL219" s="76"/>
      <c r="PDM219" s="76"/>
      <c r="PDN219" s="76"/>
      <c r="PDO219" s="76"/>
      <c r="PDP219" s="76"/>
      <c r="PDQ219" s="76"/>
      <c r="PDR219" s="76"/>
      <c r="PDS219" s="76"/>
      <c r="PDT219" s="76"/>
      <c r="PDU219" s="76"/>
      <c r="PDV219" s="76"/>
      <c r="PDW219" s="76"/>
      <c r="PDX219" s="76"/>
      <c r="PDY219" s="76"/>
      <c r="PDZ219" s="76"/>
      <c r="PEA219" s="76"/>
      <c r="PEB219" s="76"/>
      <c r="PEC219" s="76"/>
      <c r="PED219" s="76"/>
      <c r="PEE219" s="76"/>
      <c r="PEF219" s="76"/>
      <c r="PEG219" s="76"/>
      <c r="PEH219" s="76"/>
      <c r="PEI219" s="76"/>
      <c r="PEJ219" s="76"/>
      <c r="PEK219" s="76"/>
      <c r="PEL219" s="76"/>
      <c r="PEM219" s="76"/>
      <c r="PEN219" s="76"/>
      <c r="PEO219" s="76"/>
      <c r="PEP219" s="76"/>
      <c r="PEQ219" s="76"/>
      <c r="PER219" s="76"/>
      <c r="PES219" s="76"/>
      <c r="PET219" s="76"/>
      <c r="PEU219" s="76"/>
      <c r="PEV219" s="76"/>
      <c r="PEW219" s="76"/>
      <c r="PEX219" s="76"/>
      <c r="PEY219" s="76"/>
      <c r="PEZ219" s="76"/>
      <c r="PFA219" s="76"/>
      <c r="PFB219" s="76"/>
      <c r="PFC219" s="76"/>
      <c r="PFD219" s="76"/>
      <c r="PFE219" s="76"/>
      <c r="PFF219" s="76"/>
      <c r="PFG219" s="76"/>
      <c r="PFH219" s="76"/>
      <c r="PFI219" s="76"/>
      <c r="PFJ219" s="76"/>
      <c r="PFK219" s="76"/>
      <c r="PFL219" s="76"/>
      <c r="PFM219" s="76"/>
      <c r="PFN219" s="76"/>
      <c r="PFO219" s="76"/>
      <c r="PFP219" s="76"/>
      <c r="PFQ219" s="76"/>
      <c r="PFR219" s="76"/>
      <c r="PFS219" s="76"/>
      <c r="PFT219" s="76"/>
      <c r="PFU219" s="76"/>
      <c r="PFV219" s="76"/>
      <c r="PFW219" s="76"/>
      <c r="PFX219" s="76"/>
      <c r="PFY219" s="76"/>
      <c r="PFZ219" s="76"/>
      <c r="PGA219" s="76"/>
      <c r="PGB219" s="76"/>
      <c r="PGC219" s="76"/>
      <c r="PGD219" s="76"/>
      <c r="PGE219" s="76"/>
      <c r="PGF219" s="76"/>
      <c r="PGG219" s="76"/>
      <c r="PGH219" s="76"/>
      <c r="PGI219" s="76"/>
      <c r="PGJ219" s="76"/>
      <c r="PGK219" s="76"/>
      <c r="PGL219" s="76"/>
      <c r="PGM219" s="76"/>
      <c r="PGN219" s="76"/>
      <c r="PGO219" s="76"/>
      <c r="PGP219" s="76"/>
      <c r="PGQ219" s="76"/>
      <c r="PGR219" s="76"/>
      <c r="PGS219" s="76"/>
      <c r="PGT219" s="76"/>
      <c r="PGU219" s="76"/>
      <c r="PGV219" s="76"/>
      <c r="PGW219" s="76"/>
      <c r="PGX219" s="76"/>
      <c r="PGY219" s="76"/>
      <c r="PGZ219" s="76"/>
      <c r="PHA219" s="76"/>
      <c r="PHB219" s="76"/>
      <c r="PHC219" s="76"/>
      <c r="PHD219" s="76"/>
      <c r="PHE219" s="76"/>
      <c r="PHF219" s="76"/>
      <c r="PHG219" s="76"/>
      <c r="PHH219" s="76"/>
      <c r="PHI219" s="76"/>
      <c r="PHJ219" s="76"/>
      <c r="PHK219" s="76"/>
      <c r="PHL219" s="76"/>
      <c r="PHM219" s="76"/>
      <c r="PHN219" s="76"/>
      <c r="PHO219" s="76"/>
      <c r="PHP219" s="76"/>
      <c r="PHQ219" s="76"/>
      <c r="PHR219" s="76"/>
      <c r="PHS219" s="76"/>
      <c r="PHT219" s="76"/>
      <c r="PHU219" s="76"/>
      <c r="PHV219" s="76"/>
      <c r="PHW219" s="76"/>
      <c r="PHX219" s="76"/>
      <c r="PHY219" s="76"/>
      <c r="PHZ219" s="76"/>
      <c r="PIA219" s="76"/>
      <c r="PIB219" s="76"/>
      <c r="PIC219" s="76"/>
      <c r="PID219" s="76"/>
      <c r="PIE219" s="76"/>
      <c r="PIF219" s="76"/>
      <c r="PIG219" s="76"/>
      <c r="PIH219" s="76"/>
      <c r="PII219" s="76"/>
      <c r="PIJ219" s="76"/>
      <c r="PIK219" s="76"/>
      <c r="PIL219" s="76"/>
      <c r="PIM219" s="76"/>
      <c r="PIN219" s="76"/>
      <c r="PIO219" s="76"/>
      <c r="PIP219" s="76"/>
      <c r="PIQ219" s="76"/>
      <c r="PIR219" s="76"/>
      <c r="PIS219" s="76"/>
      <c r="PIT219" s="76"/>
      <c r="PIU219" s="76"/>
      <c r="PIV219" s="76"/>
      <c r="PIW219" s="76"/>
      <c r="PIX219" s="76"/>
      <c r="PIY219" s="76"/>
      <c r="PIZ219" s="76"/>
      <c r="PJA219" s="76"/>
      <c r="PJB219" s="76"/>
      <c r="PJC219" s="76"/>
      <c r="PJD219" s="76"/>
      <c r="PJE219" s="76"/>
      <c r="PJF219" s="76"/>
      <c r="PJG219" s="76"/>
      <c r="PJH219" s="76"/>
      <c r="PJI219" s="76"/>
      <c r="PJJ219" s="76"/>
      <c r="PJK219" s="76"/>
      <c r="PJL219" s="76"/>
      <c r="PJM219" s="76"/>
      <c r="PJN219" s="76"/>
      <c r="PJO219" s="76"/>
      <c r="PJP219" s="76"/>
      <c r="PJQ219" s="76"/>
      <c r="PJR219" s="76"/>
      <c r="PJS219" s="76"/>
      <c r="PJT219" s="76"/>
      <c r="PJU219" s="76"/>
      <c r="PJV219" s="76"/>
      <c r="PJW219" s="76"/>
      <c r="PJX219" s="76"/>
      <c r="PJY219" s="76"/>
      <c r="PJZ219" s="76"/>
      <c r="PKA219" s="76"/>
      <c r="PKB219" s="76"/>
      <c r="PKC219" s="76"/>
      <c r="PKD219" s="76"/>
      <c r="PKE219" s="76"/>
      <c r="PKF219" s="76"/>
      <c r="PKG219" s="76"/>
      <c r="PKH219" s="76"/>
      <c r="PKI219" s="76"/>
      <c r="PKJ219" s="76"/>
      <c r="PKK219" s="76"/>
      <c r="PKL219" s="76"/>
      <c r="PKM219" s="76"/>
      <c r="PKN219" s="76"/>
      <c r="PKO219" s="76"/>
      <c r="PKP219" s="76"/>
      <c r="PKQ219" s="76"/>
      <c r="PKR219" s="76"/>
      <c r="PKS219" s="76"/>
      <c r="PKT219" s="76"/>
      <c r="PKU219" s="76"/>
      <c r="PKV219" s="76"/>
      <c r="PKW219" s="76"/>
      <c r="PKX219" s="76"/>
      <c r="PKY219" s="76"/>
      <c r="PKZ219" s="76"/>
      <c r="PLA219" s="76"/>
      <c r="PLB219" s="76"/>
      <c r="PLC219" s="76"/>
      <c r="PLD219" s="76"/>
      <c r="PLE219" s="76"/>
      <c r="PLF219" s="76"/>
      <c r="PLG219" s="76"/>
      <c r="PLH219" s="76"/>
      <c r="PLI219" s="76"/>
      <c r="PLJ219" s="76"/>
      <c r="PLK219" s="76"/>
      <c r="PLL219" s="76"/>
      <c r="PLM219" s="76"/>
      <c r="PLN219" s="76"/>
      <c r="PLO219" s="76"/>
      <c r="PLP219" s="76"/>
      <c r="PLQ219" s="76"/>
      <c r="PLR219" s="76"/>
      <c r="PLS219" s="76"/>
      <c r="PLT219" s="76"/>
      <c r="PLU219" s="76"/>
      <c r="PLV219" s="76"/>
      <c r="PLW219" s="76"/>
      <c r="PLX219" s="76"/>
      <c r="PLY219" s="76"/>
      <c r="PLZ219" s="76"/>
      <c r="PMA219" s="76"/>
      <c r="PMB219" s="76"/>
      <c r="PMC219" s="76"/>
      <c r="PMD219" s="76"/>
      <c r="PME219" s="76"/>
      <c r="PMF219" s="76"/>
      <c r="PMG219" s="76"/>
      <c r="PMH219" s="76"/>
      <c r="PMI219" s="76"/>
      <c r="PMJ219" s="76"/>
      <c r="PMK219" s="76"/>
      <c r="PML219" s="76"/>
      <c r="PMM219" s="76"/>
      <c r="PMN219" s="76"/>
      <c r="PMO219" s="76"/>
      <c r="PMP219" s="76"/>
      <c r="PMQ219" s="76"/>
      <c r="PMR219" s="76"/>
      <c r="PMS219" s="76"/>
      <c r="PMT219" s="76"/>
      <c r="PMU219" s="76"/>
      <c r="PMV219" s="76"/>
      <c r="PMW219" s="76"/>
      <c r="PMX219" s="76"/>
      <c r="PMY219" s="76"/>
      <c r="PMZ219" s="76"/>
      <c r="PNA219" s="76"/>
      <c r="PNB219" s="76"/>
      <c r="PNC219" s="76"/>
      <c r="PND219" s="76"/>
      <c r="PNE219" s="76"/>
      <c r="PNF219" s="76"/>
      <c r="PNG219" s="76"/>
      <c r="PNH219" s="76"/>
      <c r="PNI219" s="76"/>
      <c r="PNJ219" s="76"/>
      <c r="PNK219" s="76"/>
      <c r="PNL219" s="76"/>
      <c r="PNM219" s="76"/>
      <c r="PNN219" s="76"/>
      <c r="PNO219" s="76"/>
      <c r="PNP219" s="76"/>
      <c r="PNQ219" s="76"/>
      <c r="PNR219" s="76"/>
      <c r="PNS219" s="76"/>
      <c r="PNT219" s="76"/>
      <c r="PNU219" s="76"/>
      <c r="PNV219" s="76"/>
      <c r="PNW219" s="76"/>
      <c r="PNX219" s="76"/>
      <c r="PNY219" s="76"/>
      <c r="PNZ219" s="76"/>
      <c r="POA219" s="76"/>
      <c r="POB219" s="76"/>
      <c r="POC219" s="76"/>
      <c r="POD219" s="76"/>
      <c r="POE219" s="76"/>
      <c r="POF219" s="76"/>
      <c r="POG219" s="76"/>
      <c r="POH219" s="76"/>
      <c r="POI219" s="76"/>
      <c r="POJ219" s="76"/>
      <c r="POK219" s="76"/>
      <c r="POL219" s="76"/>
      <c r="POM219" s="76"/>
      <c r="PON219" s="76"/>
      <c r="POO219" s="76"/>
      <c r="POP219" s="76"/>
      <c r="POQ219" s="76"/>
      <c r="POR219" s="76"/>
      <c r="POS219" s="76"/>
      <c r="POT219" s="76"/>
      <c r="POU219" s="76"/>
      <c r="POV219" s="76"/>
      <c r="POW219" s="76"/>
      <c r="POX219" s="76"/>
      <c r="POY219" s="76"/>
      <c r="POZ219" s="76"/>
      <c r="PPA219" s="76"/>
      <c r="PPB219" s="76"/>
      <c r="PPC219" s="76"/>
      <c r="PPD219" s="76"/>
      <c r="PPE219" s="76"/>
      <c r="PPF219" s="76"/>
      <c r="PPG219" s="76"/>
      <c r="PPH219" s="76"/>
      <c r="PPI219" s="76"/>
      <c r="PPJ219" s="76"/>
      <c r="PPK219" s="76"/>
      <c r="PPL219" s="76"/>
      <c r="PPM219" s="76"/>
      <c r="PPN219" s="76"/>
      <c r="PPO219" s="76"/>
      <c r="PPP219" s="76"/>
      <c r="PPQ219" s="76"/>
      <c r="PPR219" s="76"/>
      <c r="PPS219" s="76"/>
      <c r="PPT219" s="76"/>
      <c r="PPU219" s="76"/>
      <c r="PPV219" s="76"/>
      <c r="PPW219" s="76"/>
      <c r="PPX219" s="76"/>
      <c r="PPY219" s="76"/>
      <c r="PPZ219" s="76"/>
      <c r="PQA219" s="76"/>
      <c r="PQB219" s="76"/>
      <c r="PQC219" s="76"/>
      <c r="PQD219" s="76"/>
      <c r="PQE219" s="76"/>
      <c r="PQF219" s="76"/>
      <c r="PQG219" s="76"/>
      <c r="PQH219" s="76"/>
      <c r="PQI219" s="76"/>
      <c r="PQJ219" s="76"/>
      <c r="PQK219" s="76"/>
      <c r="PQL219" s="76"/>
      <c r="PQM219" s="76"/>
      <c r="PQN219" s="76"/>
      <c r="PQO219" s="76"/>
      <c r="PQP219" s="76"/>
      <c r="PQQ219" s="76"/>
      <c r="PQR219" s="76"/>
      <c r="PQS219" s="76"/>
      <c r="PQT219" s="76"/>
      <c r="PQU219" s="76"/>
      <c r="PQV219" s="76"/>
      <c r="PQW219" s="76"/>
      <c r="PQX219" s="76"/>
      <c r="PQY219" s="76"/>
      <c r="PQZ219" s="76"/>
      <c r="PRA219" s="76"/>
      <c r="PRB219" s="76"/>
      <c r="PRC219" s="76"/>
      <c r="PRD219" s="76"/>
      <c r="PRE219" s="76"/>
      <c r="PRF219" s="76"/>
      <c r="PRG219" s="76"/>
      <c r="PRH219" s="76"/>
      <c r="PRI219" s="76"/>
      <c r="PRJ219" s="76"/>
      <c r="PRK219" s="76"/>
      <c r="PRL219" s="76"/>
      <c r="PRM219" s="76"/>
      <c r="PRN219" s="76"/>
      <c r="PRO219" s="76"/>
      <c r="PRP219" s="76"/>
      <c r="PRQ219" s="76"/>
      <c r="PRR219" s="76"/>
      <c r="PRS219" s="76"/>
      <c r="PRT219" s="76"/>
      <c r="PRU219" s="76"/>
      <c r="PRV219" s="76"/>
      <c r="PRW219" s="76"/>
      <c r="PRX219" s="76"/>
      <c r="PRY219" s="76"/>
      <c r="PRZ219" s="76"/>
      <c r="PSA219" s="76"/>
      <c r="PSB219" s="76"/>
      <c r="PSC219" s="76"/>
      <c r="PSD219" s="76"/>
      <c r="PSE219" s="76"/>
      <c r="PSF219" s="76"/>
      <c r="PSG219" s="76"/>
      <c r="PSH219" s="76"/>
      <c r="PSI219" s="76"/>
      <c r="PSJ219" s="76"/>
      <c r="PSK219" s="76"/>
      <c r="PSL219" s="76"/>
      <c r="PSM219" s="76"/>
      <c r="PSN219" s="76"/>
      <c r="PSO219" s="76"/>
      <c r="PSP219" s="76"/>
      <c r="PSQ219" s="76"/>
      <c r="PSR219" s="76"/>
      <c r="PSS219" s="76"/>
      <c r="PST219" s="76"/>
      <c r="PSU219" s="76"/>
      <c r="PSV219" s="76"/>
      <c r="PSW219" s="76"/>
      <c r="PSX219" s="76"/>
      <c r="PSY219" s="76"/>
      <c r="PSZ219" s="76"/>
      <c r="PTA219" s="76"/>
      <c r="PTB219" s="76"/>
      <c r="PTC219" s="76"/>
      <c r="PTD219" s="76"/>
      <c r="PTE219" s="76"/>
      <c r="PTF219" s="76"/>
      <c r="PTG219" s="76"/>
      <c r="PTH219" s="76"/>
      <c r="PTI219" s="76"/>
      <c r="PTJ219" s="76"/>
      <c r="PTK219" s="76"/>
      <c r="PTL219" s="76"/>
      <c r="PTM219" s="76"/>
      <c r="PTN219" s="76"/>
      <c r="PTO219" s="76"/>
      <c r="PTP219" s="76"/>
      <c r="PTQ219" s="76"/>
      <c r="PTR219" s="76"/>
      <c r="PTS219" s="76"/>
      <c r="PTT219" s="76"/>
      <c r="PTU219" s="76"/>
      <c r="PTV219" s="76"/>
      <c r="PTW219" s="76"/>
      <c r="PTX219" s="76"/>
      <c r="PTY219" s="76"/>
      <c r="PTZ219" s="76"/>
      <c r="PUA219" s="76"/>
      <c r="PUB219" s="76"/>
      <c r="PUC219" s="76"/>
      <c r="PUD219" s="76"/>
      <c r="PUE219" s="76"/>
      <c r="PUF219" s="76"/>
      <c r="PUG219" s="76"/>
      <c r="PUH219" s="76"/>
      <c r="PUI219" s="76"/>
      <c r="PUJ219" s="76"/>
      <c r="PUK219" s="76"/>
      <c r="PUL219" s="76"/>
      <c r="PUM219" s="76"/>
      <c r="PUN219" s="76"/>
      <c r="PUO219" s="76"/>
      <c r="PUP219" s="76"/>
      <c r="PUQ219" s="76"/>
      <c r="PUR219" s="76"/>
      <c r="PUS219" s="76"/>
      <c r="PUT219" s="76"/>
      <c r="PUU219" s="76"/>
      <c r="PUV219" s="76"/>
      <c r="PUW219" s="76"/>
      <c r="PUX219" s="76"/>
      <c r="PUY219" s="76"/>
      <c r="PUZ219" s="76"/>
      <c r="PVA219" s="76"/>
      <c r="PVB219" s="76"/>
      <c r="PVC219" s="76"/>
      <c r="PVD219" s="76"/>
      <c r="PVE219" s="76"/>
      <c r="PVF219" s="76"/>
      <c r="PVG219" s="76"/>
      <c r="PVH219" s="76"/>
      <c r="PVI219" s="76"/>
      <c r="PVJ219" s="76"/>
      <c r="PVK219" s="76"/>
      <c r="PVL219" s="76"/>
      <c r="PVM219" s="76"/>
      <c r="PVN219" s="76"/>
      <c r="PVO219" s="76"/>
      <c r="PVP219" s="76"/>
      <c r="PVQ219" s="76"/>
      <c r="PVR219" s="76"/>
      <c r="PVS219" s="76"/>
      <c r="PVT219" s="76"/>
      <c r="PVU219" s="76"/>
      <c r="PVV219" s="76"/>
      <c r="PVW219" s="76"/>
      <c r="PVX219" s="76"/>
      <c r="PVY219" s="76"/>
      <c r="PVZ219" s="76"/>
      <c r="PWA219" s="76"/>
      <c r="PWB219" s="76"/>
      <c r="PWC219" s="76"/>
      <c r="PWD219" s="76"/>
      <c r="PWE219" s="76"/>
      <c r="PWF219" s="76"/>
      <c r="PWG219" s="76"/>
      <c r="PWH219" s="76"/>
      <c r="PWI219" s="76"/>
      <c r="PWJ219" s="76"/>
      <c r="PWK219" s="76"/>
      <c r="PWL219" s="76"/>
      <c r="PWM219" s="76"/>
      <c r="PWN219" s="76"/>
      <c r="PWO219" s="76"/>
      <c r="PWP219" s="76"/>
      <c r="PWQ219" s="76"/>
      <c r="PWR219" s="76"/>
      <c r="PWS219" s="76"/>
      <c r="PWT219" s="76"/>
      <c r="PWU219" s="76"/>
      <c r="PWV219" s="76"/>
      <c r="PWW219" s="76"/>
      <c r="PWX219" s="76"/>
      <c r="PWY219" s="76"/>
      <c r="PWZ219" s="76"/>
      <c r="PXA219" s="76"/>
      <c r="PXB219" s="76"/>
      <c r="PXC219" s="76"/>
      <c r="PXD219" s="76"/>
      <c r="PXE219" s="76"/>
      <c r="PXF219" s="76"/>
      <c r="PXG219" s="76"/>
      <c r="PXH219" s="76"/>
      <c r="PXI219" s="76"/>
      <c r="PXJ219" s="76"/>
      <c r="PXK219" s="76"/>
      <c r="PXL219" s="76"/>
      <c r="PXM219" s="76"/>
      <c r="PXN219" s="76"/>
      <c r="PXO219" s="76"/>
      <c r="PXP219" s="76"/>
      <c r="PXQ219" s="76"/>
      <c r="PXR219" s="76"/>
      <c r="PXS219" s="76"/>
      <c r="PXT219" s="76"/>
      <c r="PXU219" s="76"/>
      <c r="PXV219" s="76"/>
      <c r="PXW219" s="76"/>
      <c r="PXX219" s="76"/>
      <c r="PXY219" s="76"/>
      <c r="PXZ219" s="76"/>
      <c r="PYA219" s="76"/>
      <c r="PYB219" s="76"/>
      <c r="PYC219" s="76"/>
      <c r="PYD219" s="76"/>
      <c r="PYE219" s="76"/>
      <c r="PYF219" s="76"/>
      <c r="PYG219" s="76"/>
      <c r="PYH219" s="76"/>
      <c r="PYI219" s="76"/>
      <c r="PYJ219" s="76"/>
      <c r="PYK219" s="76"/>
      <c r="PYL219" s="76"/>
      <c r="PYM219" s="76"/>
      <c r="PYN219" s="76"/>
      <c r="PYO219" s="76"/>
      <c r="PYP219" s="76"/>
      <c r="PYQ219" s="76"/>
      <c r="PYR219" s="76"/>
      <c r="PYS219" s="76"/>
      <c r="PYT219" s="76"/>
      <c r="PYU219" s="76"/>
      <c r="PYV219" s="76"/>
      <c r="PYW219" s="76"/>
      <c r="PYX219" s="76"/>
      <c r="PYY219" s="76"/>
      <c r="PYZ219" s="76"/>
      <c r="PZA219" s="76"/>
      <c r="PZB219" s="76"/>
      <c r="PZC219" s="76"/>
      <c r="PZD219" s="76"/>
      <c r="PZE219" s="76"/>
      <c r="PZF219" s="76"/>
      <c r="PZG219" s="76"/>
      <c r="PZH219" s="76"/>
      <c r="PZI219" s="76"/>
      <c r="PZJ219" s="76"/>
      <c r="PZK219" s="76"/>
      <c r="PZL219" s="76"/>
      <c r="PZM219" s="76"/>
      <c r="PZN219" s="76"/>
      <c r="PZO219" s="76"/>
      <c r="PZP219" s="76"/>
      <c r="PZQ219" s="76"/>
      <c r="PZR219" s="76"/>
      <c r="PZS219" s="76"/>
      <c r="PZT219" s="76"/>
      <c r="PZU219" s="76"/>
      <c r="PZV219" s="76"/>
      <c r="PZW219" s="76"/>
      <c r="PZX219" s="76"/>
      <c r="PZY219" s="76"/>
      <c r="PZZ219" s="76"/>
      <c r="QAA219" s="76"/>
      <c r="QAB219" s="76"/>
      <c r="QAC219" s="76"/>
      <c r="QAD219" s="76"/>
      <c r="QAE219" s="76"/>
      <c r="QAF219" s="76"/>
      <c r="QAG219" s="76"/>
      <c r="QAH219" s="76"/>
      <c r="QAI219" s="76"/>
      <c r="QAJ219" s="76"/>
      <c r="QAK219" s="76"/>
      <c r="QAL219" s="76"/>
      <c r="QAM219" s="76"/>
      <c r="QAN219" s="76"/>
      <c r="QAO219" s="76"/>
      <c r="QAP219" s="76"/>
      <c r="QAQ219" s="76"/>
      <c r="QAR219" s="76"/>
      <c r="QAS219" s="76"/>
      <c r="QAT219" s="76"/>
      <c r="QAU219" s="76"/>
      <c r="QAV219" s="76"/>
      <c r="QAW219" s="76"/>
      <c r="QAX219" s="76"/>
      <c r="QAY219" s="76"/>
      <c r="QAZ219" s="76"/>
      <c r="QBA219" s="76"/>
      <c r="QBB219" s="76"/>
      <c r="QBC219" s="76"/>
      <c r="QBD219" s="76"/>
      <c r="QBE219" s="76"/>
      <c r="QBF219" s="76"/>
      <c r="QBG219" s="76"/>
      <c r="QBH219" s="76"/>
      <c r="QBI219" s="76"/>
      <c r="QBJ219" s="76"/>
      <c r="QBK219" s="76"/>
      <c r="QBL219" s="76"/>
      <c r="QBM219" s="76"/>
      <c r="QBN219" s="76"/>
      <c r="QBO219" s="76"/>
      <c r="QBP219" s="76"/>
      <c r="QBQ219" s="76"/>
      <c r="QBR219" s="76"/>
      <c r="QBS219" s="76"/>
      <c r="QBT219" s="76"/>
      <c r="QBU219" s="76"/>
      <c r="QBV219" s="76"/>
      <c r="QBW219" s="76"/>
      <c r="QBX219" s="76"/>
      <c r="QBY219" s="76"/>
      <c r="QBZ219" s="76"/>
      <c r="QCA219" s="76"/>
      <c r="QCB219" s="76"/>
      <c r="QCC219" s="76"/>
      <c r="QCD219" s="76"/>
      <c r="QCE219" s="76"/>
      <c r="QCF219" s="76"/>
      <c r="QCG219" s="76"/>
      <c r="QCH219" s="76"/>
      <c r="QCI219" s="76"/>
      <c r="QCJ219" s="76"/>
      <c r="QCK219" s="76"/>
      <c r="QCL219" s="76"/>
      <c r="QCM219" s="76"/>
      <c r="QCN219" s="76"/>
      <c r="QCO219" s="76"/>
      <c r="QCP219" s="76"/>
      <c r="QCQ219" s="76"/>
      <c r="QCR219" s="76"/>
      <c r="QCS219" s="76"/>
      <c r="QCT219" s="76"/>
      <c r="QCU219" s="76"/>
      <c r="QCV219" s="76"/>
      <c r="QCW219" s="76"/>
      <c r="QCX219" s="76"/>
      <c r="QCY219" s="76"/>
      <c r="QCZ219" s="76"/>
      <c r="QDA219" s="76"/>
      <c r="QDB219" s="76"/>
      <c r="QDC219" s="76"/>
      <c r="QDD219" s="76"/>
      <c r="QDE219" s="76"/>
      <c r="QDF219" s="76"/>
      <c r="QDG219" s="76"/>
      <c r="QDH219" s="76"/>
      <c r="QDI219" s="76"/>
      <c r="QDJ219" s="76"/>
      <c r="QDK219" s="76"/>
      <c r="QDL219" s="76"/>
      <c r="QDM219" s="76"/>
      <c r="QDN219" s="76"/>
      <c r="QDO219" s="76"/>
      <c r="QDP219" s="76"/>
      <c r="QDQ219" s="76"/>
      <c r="QDR219" s="76"/>
      <c r="QDS219" s="76"/>
      <c r="QDT219" s="76"/>
      <c r="QDU219" s="76"/>
      <c r="QDV219" s="76"/>
      <c r="QDW219" s="76"/>
      <c r="QDX219" s="76"/>
      <c r="QDY219" s="76"/>
      <c r="QDZ219" s="76"/>
      <c r="QEA219" s="76"/>
      <c r="QEB219" s="76"/>
      <c r="QEC219" s="76"/>
      <c r="QED219" s="76"/>
      <c r="QEE219" s="76"/>
      <c r="QEF219" s="76"/>
      <c r="QEG219" s="76"/>
      <c r="QEH219" s="76"/>
      <c r="QEI219" s="76"/>
      <c r="QEJ219" s="76"/>
      <c r="QEK219" s="76"/>
      <c r="QEL219" s="76"/>
      <c r="QEM219" s="76"/>
      <c r="QEN219" s="76"/>
      <c r="QEO219" s="76"/>
      <c r="QEP219" s="76"/>
      <c r="QEQ219" s="76"/>
      <c r="QER219" s="76"/>
      <c r="QES219" s="76"/>
      <c r="QET219" s="76"/>
      <c r="QEU219" s="76"/>
      <c r="QEV219" s="76"/>
      <c r="QEW219" s="76"/>
      <c r="QEX219" s="76"/>
      <c r="QEY219" s="76"/>
      <c r="QEZ219" s="76"/>
      <c r="QFA219" s="76"/>
      <c r="QFB219" s="76"/>
      <c r="QFC219" s="76"/>
      <c r="QFD219" s="76"/>
      <c r="QFE219" s="76"/>
      <c r="QFF219" s="76"/>
      <c r="QFG219" s="76"/>
      <c r="QFH219" s="76"/>
      <c r="QFI219" s="76"/>
      <c r="QFJ219" s="76"/>
      <c r="QFK219" s="76"/>
      <c r="QFL219" s="76"/>
      <c r="QFM219" s="76"/>
      <c r="QFN219" s="76"/>
      <c r="QFO219" s="76"/>
      <c r="QFP219" s="76"/>
      <c r="QFQ219" s="76"/>
      <c r="QFR219" s="76"/>
      <c r="QFS219" s="76"/>
      <c r="QFT219" s="76"/>
      <c r="QFU219" s="76"/>
      <c r="QFV219" s="76"/>
      <c r="QFW219" s="76"/>
      <c r="QFX219" s="76"/>
      <c r="QFY219" s="76"/>
      <c r="QFZ219" s="76"/>
      <c r="QGA219" s="76"/>
      <c r="QGB219" s="76"/>
      <c r="QGC219" s="76"/>
      <c r="QGD219" s="76"/>
      <c r="QGE219" s="76"/>
      <c r="QGF219" s="76"/>
      <c r="QGG219" s="76"/>
      <c r="QGH219" s="76"/>
      <c r="QGI219" s="76"/>
      <c r="QGJ219" s="76"/>
      <c r="QGK219" s="76"/>
      <c r="QGL219" s="76"/>
      <c r="QGM219" s="76"/>
      <c r="QGN219" s="76"/>
      <c r="QGO219" s="76"/>
      <c r="QGP219" s="76"/>
      <c r="QGQ219" s="76"/>
      <c r="QGR219" s="76"/>
      <c r="QGS219" s="76"/>
      <c r="QGT219" s="76"/>
      <c r="QGU219" s="76"/>
      <c r="QGV219" s="76"/>
      <c r="QGW219" s="76"/>
      <c r="QGX219" s="76"/>
      <c r="QGY219" s="76"/>
      <c r="QGZ219" s="76"/>
      <c r="QHA219" s="76"/>
      <c r="QHB219" s="76"/>
      <c r="QHC219" s="76"/>
      <c r="QHD219" s="76"/>
      <c r="QHE219" s="76"/>
      <c r="QHF219" s="76"/>
      <c r="QHG219" s="76"/>
      <c r="QHH219" s="76"/>
      <c r="QHI219" s="76"/>
      <c r="QHJ219" s="76"/>
      <c r="QHK219" s="76"/>
      <c r="QHL219" s="76"/>
      <c r="QHM219" s="76"/>
      <c r="QHN219" s="76"/>
      <c r="QHO219" s="76"/>
      <c r="QHP219" s="76"/>
      <c r="QHQ219" s="76"/>
      <c r="QHR219" s="76"/>
      <c r="QHS219" s="76"/>
      <c r="QHT219" s="76"/>
      <c r="QHU219" s="76"/>
      <c r="QHV219" s="76"/>
      <c r="QHW219" s="76"/>
      <c r="QHX219" s="76"/>
      <c r="QHY219" s="76"/>
      <c r="QHZ219" s="76"/>
      <c r="QIA219" s="76"/>
      <c r="QIB219" s="76"/>
      <c r="QIC219" s="76"/>
      <c r="QID219" s="76"/>
      <c r="QIE219" s="76"/>
      <c r="QIF219" s="76"/>
      <c r="QIG219" s="76"/>
      <c r="QIH219" s="76"/>
      <c r="QII219" s="76"/>
      <c r="QIJ219" s="76"/>
      <c r="QIK219" s="76"/>
      <c r="QIL219" s="76"/>
      <c r="QIM219" s="76"/>
      <c r="QIN219" s="76"/>
      <c r="QIO219" s="76"/>
      <c r="QIP219" s="76"/>
      <c r="QIQ219" s="76"/>
      <c r="QIR219" s="76"/>
      <c r="QIS219" s="76"/>
      <c r="QIT219" s="76"/>
      <c r="QIU219" s="76"/>
      <c r="QIV219" s="76"/>
      <c r="QIW219" s="76"/>
      <c r="QIX219" s="76"/>
      <c r="QIY219" s="76"/>
      <c r="QIZ219" s="76"/>
      <c r="QJA219" s="76"/>
      <c r="QJB219" s="76"/>
      <c r="QJC219" s="76"/>
      <c r="QJD219" s="76"/>
      <c r="QJE219" s="76"/>
      <c r="QJF219" s="76"/>
      <c r="QJG219" s="76"/>
      <c r="QJH219" s="76"/>
      <c r="QJI219" s="76"/>
      <c r="QJJ219" s="76"/>
      <c r="QJK219" s="76"/>
      <c r="QJL219" s="76"/>
      <c r="QJM219" s="76"/>
      <c r="QJN219" s="76"/>
      <c r="QJO219" s="76"/>
      <c r="QJP219" s="76"/>
      <c r="QJQ219" s="76"/>
      <c r="QJR219" s="76"/>
      <c r="QJS219" s="76"/>
      <c r="QJT219" s="76"/>
      <c r="QJU219" s="76"/>
      <c r="QJV219" s="76"/>
      <c r="QJW219" s="76"/>
      <c r="QJX219" s="76"/>
      <c r="QJY219" s="76"/>
      <c r="QJZ219" s="76"/>
      <c r="QKA219" s="76"/>
      <c r="QKB219" s="76"/>
      <c r="QKC219" s="76"/>
      <c r="QKD219" s="76"/>
      <c r="QKE219" s="76"/>
      <c r="QKF219" s="76"/>
      <c r="QKG219" s="76"/>
      <c r="QKH219" s="76"/>
      <c r="QKI219" s="76"/>
      <c r="QKJ219" s="76"/>
      <c r="QKK219" s="76"/>
      <c r="QKL219" s="76"/>
      <c r="QKM219" s="76"/>
      <c r="QKN219" s="76"/>
      <c r="QKO219" s="76"/>
      <c r="QKP219" s="76"/>
      <c r="QKQ219" s="76"/>
      <c r="QKR219" s="76"/>
      <c r="QKS219" s="76"/>
      <c r="QKT219" s="76"/>
      <c r="QKU219" s="76"/>
      <c r="QKV219" s="76"/>
      <c r="QKW219" s="76"/>
      <c r="QKX219" s="76"/>
      <c r="QKY219" s="76"/>
      <c r="QKZ219" s="76"/>
      <c r="QLA219" s="76"/>
      <c r="QLB219" s="76"/>
      <c r="QLC219" s="76"/>
      <c r="QLD219" s="76"/>
      <c r="QLE219" s="76"/>
      <c r="QLF219" s="76"/>
      <c r="QLG219" s="76"/>
      <c r="QLH219" s="76"/>
      <c r="QLI219" s="76"/>
      <c r="QLJ219" s="76"/>
      <c r="QLK219" s="76"/>
      <c r="QLL219" s="76"/>
      <c r="QLM219" s="76"/>
      <c r="QLN219" s="76"/>
      <c r="QLO219" s="76"/>
      <c r="QLP219" s="76"/>
      <c r="QLQ219" s="76"/>
      <c r="QLR219" s="76"/>
      <c r="QLS219" s="76"/>
      <c r="QLT219" s="76"/>
      <c r="QLU219" s="76"/>
      <c r="QLV219" s="76"/>
      <c r="QLW219" s="76"/>
      <c r="QLX219" s="76"/>
      <c r="QLY219" s="76"/>
      <c r="QLZ219" s="76"/>
      <c r="QMA219" s="76"/>
      <c r="QMB219" s="76"/>
      <c r="QMC219" s="76"/>
      <c r="QMD219" s="76"/>
      <c r="QME219" s="76"/>
      <c r="QMF219" s="76"/>
      <c r="QMG219" s="76"/>
      <c r="QMH219" s="76"/>
      <c r="QMI219" s="76"/>
      <c r="QMJ219" s="76"/>
      <c r="QMK219" s="76"/>
      <c r="QML219" s="76"/>
      <c r="QMM219" s="76"/>
      <c r="QMN219" s="76"/>
      <c r="QMO219" s="76"/>
      <c r="QMP219" s="76"/>
      <c r="QMQ219" s="76"/>
      <c r="QMR219" s="76"/>
      <c r="QMS219" s="76"/>
      <c r="QMT219" s="76"/>
      <c r="QMU219" s="76"/>
      <c r="QMV219" s="76"/>
      <c r="QMW219" s="76"/>
      <c r="QMX219" s="76"/>
      <c r="QMY219" s="76"/>
      <c r="QMZ219" s="76"/>
      <c r="QNA219" s="76"/>
      <c r="QNB219" s="76"/>
      <c r="QNC219" s="76"/>
      <c r="QND219" s="76"/>
      <c r="QNE219" s="76"/>
      <c r="QNF219" s="76"/>
      <c r="QNG219" s="76"/>
      <c r="QNH219" s="76"/>
      <c r="QNI219" s="76"/>
      <c r="QNJ219" s="76"/>
      <c r="QNK219" s="76"/>
      <c r="QNL219" s="76"/>
      <c r="QNM219" s="76"/>
      <c r="QNN219" s="76"/>
      <c r="QNO219" s="76"/>
      <c r="QNP219" s="76"/>
      <c r="QNQ219" s="76"/>
      <c r="QNR219" s="76"/>
      <c r="QNS219" s="76"/>
      <c r="QNT219" s="76"/>
      <c r="QNU219" s="76"/>
      <c r="QNV219" s="76"/>
      <c r="QNW219" s="76"/>
      <c r="QNX219" s="76"/>
      <c r="QNY219" s="76"/>
      <c r="QNZ219" s="76"/>
      <c r="QOA219" s="76"/>
      <c r="QOB219" s="76"/>
      <c r="QOC219" s="76"/>
      <c r="QOD219" s="76"/>
      <c r="QOE219" s="76"/>
      <c r="QOF219" s="76"/>
      <c r="QOG219" s="76"/>
      <c r="QOH219" s="76"/>
      <c r="QOI219" s="76"/>
      <c r="QOJ219" s="76"/>
      <c r="QOK219" s="76"/>
      <c r="QOL219" s="76"/>
      <c r="QOM219" s="76"/>
      <c r="QON219" s="76"/>
      <c r="QOO219" s="76"/>
      <c r="QOP219" s="76"/>
      <c r="QOQ219" s="76"/>
      <c r="QOR219" s="76"/>
      <c r="QOS219" s="76"/>
      <c r="QOT219" s="76"/>
      <c r="QOU219" s="76"/>
      <c r="QOV219" s="76"/>
      <c r="QOW219" s="76"/>
      <c r="QOX219" s="76"/>
      <c r="QOY219" s="76"/>
      <c r="QOZ219" s="76"/>
      <c r="QPA219" s="76"/>
      <c r="QPB219" s="76"/>
      <c r="QPC219" s="76"/>
      <c r="QPD219" s="76"/>
      <c r="QPE219" s="76"/>
      <c r="QPF219" s="76"/>
      <c r="QPG219" s="76"/>
      <c r="QPH219" s="76"/>
      <c r="QPI219" s="76"/>
      <c r="QPJ219" s="76"/>
      <c r="QPK219" s="76"/>
      <c r="QPL219" s="76"/>
      <c r="QPM219" s="76"/>
      <c r="QPN219" s="76"/>
      <c r="QPO219" s="76"/>
      <c r="QPP219" s="76"/>
      <c r="QPQ219" s="76"/>
      <c r="QPR219" s="76"/>
      <c r="QPS219" s="76"/>
      <c r="QPT219" s="76"/>
      <c r="QPU219" s="76"/>
      <c r="QPV219" s="76"/>
      <c r="QPW219" s="76"/>
      <c r="QPX219" s="76"/>
      <c r="QPY219" s="76"/>
      <c r="QPZ219" s="76"/>
      <c r="QQA219" s="76"/>
      <c r="QQB219" s="76"/>
      <c r="QQC219" s="76"/>
      <c r="QQD219" s="76"/>
      <c r="QQE219" s="76"/>
      <c r="QQF219" s="76"/>
      <c r="QQG219" s="76"/>
      <c r="QQH219" s="76"/>
      <c r="QQI219" s="76"/>
      <c r="QQJ219" s="76"/>
      <c r="QQK219" s="76"/>
      <c r="QQL219" s="76"/>
      <c r="QQM219" s="76"/>
      <c r="QQN219" s="76"/>
      <c r="QQO219" s="76"/>
      <c r="QQP219" s="76"/>
      <c r="QQQ219" s="76"/>
      <c r="QQR219" s="76"/>
      <c r="QQS219" s="76"/>
      <c r="QQT219" s="76"/>
      <c r="QQU219" s="76"/>
      <c r="QQV219" s="76"/>
      <c r="QQW219" s="76"/>
      <c r="QQX219" s="76"/>
      <c r="QQY219" s="76"/>
      <c r="QQZ219" s="76"/>
      <c r="QRA219" s="76"/>
      <c r="QRB219" s="76"/>
      <c r="QRC219" s="76"/>
      <c r="QRD219" s="76"/>
      <c r="QRE219" s="76"/>
      <c r="QRF219" s="76"/>
      <c r="QRG219" s="76"/>
      <c r="QRH219" s="76"/>
      <c r="QRI219" s="76"/>
      <c r="QRJ219" s="76"/>
      <c r="QRK219" s="76"/>
      <c r="QRL219" s="76"/>
      <c r="QRM219" s="76"/>
      <c r="QRN219" s="76"/>
      <c r="QRO219" s="76"/>
      <c r="QRP219" s="76"/>
      <c r="QRQ219" s="76"/>
      <c r="QRR219" s="76"/>
      <c r="QRS219" s="76"/>
      <c r="QRT219" s="76"/>
      <c r="QRU219" s="76"/>
      <c r="QRV219" s="76"/>
      <c r="QRW219" s="76"/>
      <c r="QRX219" s="76"/>
      <c r="QRY219" s="76"/>
      <c r="QRZ219" s="76"/>
      <c r="QSA219" s="76"/>
      <c r="QSB219" s="76"/>
      <c r="QSC219" s="76"/>
      <c r="QSD219" s="76"/>
      <c r="QSE219" s="76"/>
      <c r="QSF219" s="76"/>
      <c r="QSG219" s="76"/>
      <c r="QSH219" s="76"/>
      <c r="QSI219" s="76"/>
      <c r="QSJ219" s="76"/>
      <c r="QSK219" s="76"/>
      <c r="QSL219" s="76"/>
      <c r="QSM219" s="76"/>
      <c r="QSN219" s="76"/>
      <c r="QSO219" s="76"/>
      <c r="QSP219" s="76"/>
      <c r="QSQ219" s="76"/>
      <c r="QSR219" s="76"/>
      <c r="QSS219" s="76"/>
      <c r="QST219" s="76"/>
      <c r="QSU219" s="76"/>
      <c r="QSV219" s="76"/>
      <c r="QSW219" s="76"/>
      <c r="QSX219" s="76"/>
      <c r="QSY219" s="76"/>
      <c r="QSZ219" s="76"/>
      <c r="QTA219" s="76"/>
      <c r="QTB219" s="76"/>
      <c r="QTC219" s="76"/>
      <c r="QTD219" s="76"/>
      <c r="QTE219" s="76"/>
      <c r="QTF219" s="76"/>
      <c r="QTG219" s="76"/>
      <c r="QTH219" s="76"/>
      <c r="QTI219" s="76"/>
      <c r="QTJ219" s="76"/>
      <c r="QTK219" s="76"/>
      <c r="QTL219" s="76"/>
      <c r="QTM219" s="76"/>
      <c r="QTN219" s="76"/>
      <c r="QTO219" s="76"/>
      <c r="QTP219" s="76"/>
      <c r="QTQ219" s="76"/>
      <c r="QTR219" s="76"/>
      <c r="QTS219" s="76"/>
      <c r="QTT219" s="76"/>
      <c r="QTU219" s="76"/>
      <c r="QTV219" s="76"/>
      <c r="QTW219" s="76"/>
      <c r="QTX219" s="76"/>
      <c r="QTY219" s="76"/>
      <c r="QTZ219" s="76"/>
      <c r="QUA219" s="76"/>
      <c r="QUB219" s="76"/>
      <c r="QUC219" s="76"/>
      <c r="QUD219" s="76"/>
      <c r="QUE219" s="76"/>
      <c r="QUF219" s="76"/>
      <c r="QUG219" s="76"/>
      <c r="QUH219" s="76"/>
      <c r="QUI219" s="76"/>
      <c r="QUJ219" s="76"/>
      <c r="QUK219" s="76"/>
      <c r="QUL219" s="76"/>
      <c r="QUM219" s="76"/>
      <c r="QUN219" s="76"/>
      <c r="QUO219" s="76"/>
      <c r="QUP219" s="76"/>
      <c r="QUQ219" s="76"/>
      <c r="QUR219" s="76"/>
      <c r="QUS219" s="76"/>
      <c r="QUT219" s="76"/>
      <c r="QUU219" s="76"/>
      <c r="QUV219" s="76"/>
      <c r="QUW219" s="76"/>
      <c r="QUX219" s="76"/>
      <c r="QUY219" s="76"/>
      <c r="QUZ219" s="76"/>
      <c r="QVA219" s="76"/>
      <c r="QVB219" s="76"/>
      <c r="QVC219" s="76"/>
      <c r="QVD219" s="76"/>
      <c r="QVE219" s="76"/>
      <c r="QVF219" s="76"/>
      <c r="QVG219" s="76"/>
      <c r="QVH219" s="76"/>
      <c r="QVI219" s="76"/>
      <c r="QVJ219" s="76"/>
      <c r="QVK219" s="76"/>
      <c r="QVL219" s="76"/>
      <c r="QVM219" s="76"/>
      <c r="QVN219" s="76"/>
      <c r="QVO219" s="76"/>
      <c r="QVP219" s="76"/>
      <c r="QVQ219" s="76"/>
      <c r="QVR219" s="76"/>
      <c r="QVS219" s="76"/>
      <c r="QVT219" s="76"/>
      <c r="QVU219" s="76"/>
      <c r="QVV219" s="76"/>
      <c r="QVW219" s="76"/>
      <c r="QVX219" s="76"/>
      <c r="QVY219" s="76"/>
      <c r="QVZ219" s="76"/>
      <c r="QWA219" s="76"/>
      <c r="QWB219" s="76"/>
      <c r="QWC219" s="76"/>
      <c r="QWD219" s="76"/>
      <c r="QWE219" s="76"/>
      <c r="QWF219" s="76"/>
      <c r="QWG219" s="76"/>
      <c r="QWH219" s="76"/>
      <c r="QWI219" s="76"/>
      <c r="QWJ219" s="76"/>
      <c r="QWK219" s="76"/>
      <c r="QWL219" s="76"/>
      <c r="QWM219" s="76"/>
      <c r="QWN219" s="76"/>
      <c r="QWO219" s="76"/>
      <c r="QWP219" s="76"/>
      <c r="QWQ219" s="76"/>
      <c r="QWR219" s="76"/>
      <c r="QWS219" s="76"/>
      <c r="QWT219" s="76"/>
      <c r="QWU219" s="76"/>
      <c r="QWV219" s="76"/>
      <c r="QWW219" s="76"/>
      <c r="QWX219" s="76"/>
      <c r="QWY219" s="76"/>
      <c r="QWZ219" s="76"/>
      <c r="QXA219" s="76"/>
      <c r="QXB219" s="76"/>
      <c r="QXC219" s="76"/>
      <c r="QXD219" s="76"/>
      <c r="QXE219" s="76"/>
      <c r="QXF219" s="76"/>
      <c r="QXG219" s="76"/>
      <c r="QXH219" s="76"/>
      <c r="QXI219" s="76"/>
      <c r="QXJ219" s="76"/>
      <c r="QXK219" s="76"/>
      <c r="QXL219" s="76"/>
      <c r="QXM219" s="76"/>
      <c r="QXN219" s="76"/>
      <c r="QXO219" s="76"/>
      <c r="QXP219" s="76"/>
      <c r="QXQ219" s="76"/>
      <c r="QXR219" s="76"/>
      <c r="QXS219" s="76"/>
      <c r="QXT219" s="76"/>
      <c r="QXU219" s="76"/>
      <c r="QXV219" s="76"/>
      <c r="QXW219" s="76"/>
      <c r="QXX219" s="76"/>
      <c r="QXY219" s="76"/>
      <c r="QXZ219" s="76"/>
      <c r="QYA219" s="76"/>
      <c r="QYB219" s="76"/>
      <c r="QYC219" s="76"/>
      <c r="QYD219" s="76"/>
      <c r="QYE219" s="76"/>
      <c r="QYF219" s="76"/>
      <c r="QYG219" s="76"/>
      <c r="QYH219" s="76"/>
      <c r="QYI219" s="76"/>
      <c r="QYJ219" s="76"/>
      <c r="QYK219" s="76"/>
      <c r="QYL219" s="76"/>
      <c r="QYM219" s="76"/>
      <c r="QYN219" s="76"/>
      <c r="QYO219" s="76"/>
      <c r="QYP219" s="76"/>
      <c r="QYQ219" s="76"/>
      <c r="QYR219" s="76"/>
      <c r="QYS219" s="76"/>
      <c r="QYT219" s="76"/>
      <c r="QYU219" s="76"/>
      <c r="QYV219" s="76"/>
      <c r="QYW219" s="76"/>
      <c r="QYX219" s="76"/>
      <c r="QYY219" s="76"/>
      <c r="QYZ219" s="76"/>
      <c r="QZA219" s="76"/>
      <c r="QZB219" s="76"/>
      <c r="QZC219" s="76"/>
      <c r="QZD219" s="76"/>
      <c r="QZE219" s="76"/>
      <c r="QZF219" s="76"/>
      <c r="QZG219" s="76"/>
      <c r="QZH219" s="76"/>
      <c r="QZI219" s="76"/>
      <c r="QZJ219" s="76"/>
      <c r="QZK219" s="76"/>
      <c r="QZL219" s="76"/>
      <c r="QZM219" s="76"/>
      <c r="QZN219" s="76"/>
      <c r="QZO219" s="76"/>
      <c r="QZP219" s="76"/>
      <c r="QZQ219" s="76"/>
      <c r="QZR219" s="76"/>
      <c r="QZS219" s="76"/>
      <c r="QZT219" s="76"/>
      <c r="QZU219" s="76"/>
      <c r="QZV219" s="76"/>
      <c r="QZW219" s="76"/>
      <c r="QZX219" s="76"/>
      <c r="QZY219" s="76"/>
      <c r="QZZ219" s="76"/>
      <c r="RAA219" s="76"/>
      <c r="RAB219" s="76"/>
      <c r="RAC219" s="76"/>
      <c r="RAD219" s="76"/>
      <c r="RAE219" s="76"/>
      <c r="RAF219" s="76"/>
      <c r="RAG219" s="76"/>
      <c r="RAH219" s="76"/>
      <c r="RAI219" s="76"/>
      <c r="RAJ219" s="76"/>
      <c r="RAK219" s="76"/>
      <c r="RAL219" s="76"/>
      <c r="RAM219" s="76"/>
      <c r="RAN219" s="76"/>
      <c r="RAO219" s="76"/>
      <c r="RAP219" s="76"/>
      <c r="RAQ219" s="76"/>
      <c r="RAR219" s="76"/>
      <c r="RAS219" s="76"/>
      <c r="RAT219" s="76"/>
      <c r="RAU219" s="76"/>
      <c r="RAV219" s="76"/>
      <c r="RAW219" s="76"/>
      <c r="RAX219" s="76"/>
      <c r="RAY219" s="76"/>
      <c r="RAZ219" s="76"/>
      <c r="RBA219" s="76"/>
      <c r="RBB219" s="76"/>
      <c r="RBC219" s="76"/>
      <c r="RBD219" s="76"/>
      <c r="RBE219" s="76"/>
      <c r="RBF219" s="76"/>
      <c r="RBG219" s="76"/>
      <c r="RBH219" s="76"/>
      <c r="RBI219" s="76"/>
      <c r="RBJ219" s="76"/>
      <c r="RBK219" s="76"/>
      <c r="RBL219" s="76"/>
      <c r="RBM219" s="76"/>
      <c r="RBN219" s="76"/>
      <c r="RBO219" s="76"/>
      <c r="RBP219" s="76"/>
      <c r="RBQ219" s="76"/>
      <c r="RBR219" s="76"/>
      <c r="RBS219" s="76"/>
      <c r="RBT219" s="76"/>
      <c r="RBU219" s="76"/>
      <c r="RBV219" s="76"/>
      <c r="RBW219" s="76"/>
      <c r="RBX219" s="76"/>
      <c r="RBY219" s="76"/>
      <c r="RBZ219" s="76"/>
      <c r="RCA219" s="76"/>
      <c r="RCB219" s="76"/>
      <c r="RCC219" s="76"/>
      <c r="RCD219" s="76"/>
      <c r="RCE219" s="76"/>
      <c r="RCF219" s="76"/>
      <c r="RCG219" s="76"/>
      <c r="RCH219" s="76"/>
      <c r="RCI219" s="76"/>
      <c r="RCJ219" s="76"/>
      <c r="RCK219" s="76"/>
      <c r="RCL219" s="76"/>
      <c r="RCM219" s="76"/>
      <c r="RCN219" s="76"/>
      <c r="RCO219" s="76"/>
      <c r="RCP219" s="76"/>
      <c r="RCQ219" s="76"/>
      <c r="RCR219" s="76"/>
      <c r="RCS219" s="76"/>
      <c r="RCT219" s="76"/>
      <c r="RCU219" s="76"/>
      <c r="RCV219" s="76"/>
      <c r="RCW219" s="76"/>
      <c r="RCX219" s="76"/>
      <c r="RCY219" s="76"/>
      <c r="RCZ219" s="76"/>
      <c r="RDA219" s="76"/>
      <c r="RDB219" s="76"/>
      <c r="RDC219" s="76"/>
      <c r="RDD219" s="76"/>
      <c r="RDE219" s="76"/>
      <c r="RDF219" s="76"/>
      <c r="RDG219" s="76"/>
      <c r="RDH219" s="76"/>
      <c r="RDI219" s="76"/>
      <c r="RDJ219" s="76"/>
      <c r="RDK219" s="76"/>
      <c r="RDL219" s="76"/>
      <c r="RDM219" s="76"/>
      <c r="RDN219" s="76"/>
      <c r="RDO219" s="76"/>
      <c r="RDP219" s="76"/>
      <c r="RDQ219" s="76"/>
      <c r="RDR219" s="76"/>
      <c r="RDS219" s="76"/>
      <c r="RDT219" s="76"/>
      <c r="RDU219" s="76"/>
      <c r="RDV219" s="76"/>
      <c r="RDW219" s="76"/>
      <c r="RDX219" s="76"/>
      <c r="RDY219" s="76"/>
      <c r="RDZ219" s="76"/>
      <c r="REA219" s="76"/>
      <c r="REB219" s="76"/>
      <c r="REC219" s="76"/>
      <c r="RED219" s="76"/>
      <c r="REE219" s="76"/>
      <c r="REF219" s="76"/>
      <c r="REG219" s="76"/>
      <c r="REH219" s="76"/>
      <c r="REI219" s="76"/>
      <c r="REJ219" s="76"/>
      <c r="REK219" s="76"/>
      <c r="REL219" s="76"/>
      <c r="REM219" s="76"/>
      <c r="REN219" s="76"/>
      <c r="REO219" s="76"/>
      <c r="REP219" s="76"/>
      <c r="REQ219" s="76"/>
      <c r="RER219" s="76"/>
      <c r="RES219" s="76"/>
      <c r="RET219" s="76"/>
      <c r="REU219" s="76"/>
      <c r="REV219" s="76"/>
      <c r="REW219" s="76"/>
      <c r="REX219" s="76"/>
      <c r="REY219" s="76"/>
      <c r="REZ219" s="76"/>
      <c r="RFA219" s="76"/>
      <c r="RFB219" s="76"/>
      <c r="RFC219" s="76"/>
      <c r="RFD219" s="76"/>
      <c r="RFE219" s="76"/>
      <c r="RFF219" s="76"/>
      <c r="RFG219" s="76"/>
      <c r="RFH219" s="76"/>
      <c r="RFI219" s="76"/>
      <c r="RFJ219" s="76"/>
      <c r="RFK219" s="76"/>
      <c r="RFL219" s="76"/>
      <c r="RFM219" s="76"/>
      <c r="RFN219" s="76"/>
      <c r="RFO219" s="76"/>
      <c r="RFP219" s="76"/>
      <c r="RFQ219" s="76"/>
      <c r="RFR219" s="76"/>
      <c r="RFS219" s="76"/>
      <c r="RFT219" s="76"/>
      <c r="RFU219" s="76"/>
      <c r="RFV219" s="76"/>
      <c r="RFW219" s="76"/>
      <c r="RFX219" s="76"/>
      <c r="RFY219" s="76"/>
      <c r="RFZ219" s="76"/>
      <c r="RGA219" s="76"/>
      <c r="RGB219" s="76"/>
      <c r="RGC219" s="76"/>
      <c r="RGD219" s="76"/>
      <c r="RGE219" s="76"/>
      <c r="RGF219" s="76"/>
      <c r="RGG219" s="76"/>
      <c r="RGH219" s="76"/>
      <c r="RGI219" s="76"/>
      <c r="RGJ219" s="76"/>
      <c r="RGK219" s="76"/>
      <c r="RGL219" s="76"/>
      <c r="RGM219" s="76"/>
      <c r="RGN219" s="76"/>
      <c r="RGO219" s="76"/>
      <c r="RGP219" s="76"/>
      <c r="RGQ219" s="76"/>
      <c r="RGR219" s="76"/>
      <c r="RGS219" s="76"/>
      <c r="RGT219" s="76"/>
      <c r="RGU219" s="76"/>
      <c r="RGV219" s="76"/>
      <c r="RGW219" s="76"/>
      <c r="RGX219" s="76"/>
      <c r="RGY219" s="76"/>
      <c r="RGZ219" s="76"/>
      <c r="RHA219" s="76"/>
      <c r="RHB219" s="76"/>
      <c r="RHC219" s="76"/>
      <c r="RHD219" s="76"/>
      <c r="RHE219" s="76"/>
      <c r="RHF219" s="76"/>
      <c r="RHG219" s="76"/>
      <c r="RHH219" s="76"/>
      <c r="RHI219" s="76"/>
      <c r="RHJ219" s="76"/>
      <c r="RHK219" s="76"/>
      <c r="RHL219" s="76"/>
      <c r="RHM219" s="76"/>
      <c r="RHN219" s="76"/>
      <c r="RHO219" s="76"/>
      <c r="RHP219" s="76"/>
      <c r="RHQ219" s="76"/>
      <c r="RHR219" s="76"/>
      <c r="RHS219" s="76"/>
      <c r="RHT219" s="76"/>
      <c r="RHU219" s="76"/>
      <c r="RHV219" s="76"/>
      <c r="RHW219" s="76"/>
      <c r="RHX219" s="76"/>
      <c r="RHY219" s="76"/>
      <c r="RHZ219" s="76"/>
      <c r="RIA219" s="76"/>
      <c r="RIB219" s="76"/>
      <c r="RIC219" s="76"/>
      <c r="RID219" s="76"/>
      <c r="RIE219" s="76"/>
      <c r="RIF219" s="76"/>
      <c r="RIG219" s="76"/>
      <c r="RIH219" s="76"/>
      <c r="RII219" s="76"/>
      <c r="RIJ219" s="76"/>
      <c r="RIK219" s="76"/>
      <c r="RIL219" s="76"/>
      <c r="RIM219" s="76"/>
      <c r="RIN219" s="76"/>
      <c r="RIO219" s="76"/>
      <c r="RIP219" s="76"/>
      <c r="RIQ219" s="76"/>
      <c r="RIR219" s="76"/>
      <c r="RIS219" s="76"/>
      <c r="RIT219" s="76"/>
      <c r="RIU219" s="76"/>
      <c r="RIV219" s="76"/>
      <c r="RIW219" s="76"/>
      <c r="RIX219" s="76"/>
      <c r="RIY219" s="76"/>
      <c r="RIZ219" s="76"/>
      <c r="RJA219" s="76"/>
      <c r="RJB219" s="76"/>
      <c r="RJC219" s="76"/>
      <c r="RJD219" s="76"/>
      <c r="RJE219" s="76"/>
      <c r="RJF219" s="76"/>
      <c r="RJG219" s="76"/>
      <c r="RJH219" s="76"/>
      <c r="RJI219" s="76"/>
      <c r="RJJ219" s="76"/>
      <c r="RJK219" s="76"/>
      <c r="RJL219" s="76"/>
      <c r="RJM219" s="76"/>
      <c r="RJN219" s="76"/>
      <c r="RJO219" s="76"/>
      <c r="RJP219" s="76"/>
      <c r="RJQ219" s="76"/>
      <c r="RJR219" s="76"/>
      <c r="RJS219" s="76"/>
      <c r="RJT219" s="76"/>
      <c r="RJU219" s="76"/>
      <c r="RJV219" s="76"/>
      <c r="RJW219" s="76"/>
      <c r="RJX219" s="76"/>
      <c r="RJY219" s="76"/>
      <c r="RJZ219" s="76"/>
      <c r="RKA219" s="76"/>
      <c r="RKB219" s="76"/>
      <c r="RKC219" s="76"/>
      <c r="RKD219" s="76"/>
      <c r="RKE219" s="76"/>
      <c r="RKF219" s="76"/>
      <c r="RKG219" s="76"/>
      <c r="RKH219" s="76"/>
      <c r="RKI219" s="76"/>
      <c r="RKJ219" s="76"/>
      <c r="RKK219" s="76"/>
      <c r="RKL219" s="76"/>
      <c r="RKM219" s="76"/>
      <c r="RKN219" s="76"/>
      <c r="RKO219" s="76"/>
      <c r="RKP219" s="76"/>
      <c r="RKQ219" s="76"/>
      <c r="RKR219" s="76"/>
      <c r="RKS219" s="76"/>
      <c r="RKT219" s="76"/>
      <c r="RKU219" s="76"/>
      <c r="RKV219" s="76"/>
      <c r="RKW219" s="76"/>
      <c r="RKX219" s="76"/>
      <c r="RKY219" s="76"/>
      <c r="RKZ219" s="76"/>
      <c r="RLA219" s="76"/>
      <c r="RLB219" s="76"/>
      <c r="RLC219" s="76"/>
      <c r="RLD219" s="76"/>
      <c r="RLE219" s="76"/>
      <c r="RLF219" s="76"/>
      <c r="RLG219" s="76"/>
      <c r="RLH219" s="76"/>
      <c r="RLI219" s="76"/>
      <c r="RLJ219" s="76"/>
      <c r="RLK219" s="76"/>
      <c r="RLL219" s="76"/>
      <c r="RLM219" s="76"/>
      <c r="RLN219" s="76"/>
      <c r="RLO219" s="76"/>
      <c r="RLP219" s="76"/>
      <c r="RLQ219" s="76"/>
      <c r="RLR219" s="76"/>
      <c r="RLS219" s="76"/>
      <c r="RLT219" s="76"/>
      <c r="RLU219" s="76"/>
      <c r="RLV219" s="76"/>
      <c r="RLW219" s="76"/>
      <c r="RLX219" s="76"/>
      <c r="RLY219" s="76"/>
      <c r="RLZ219" s="76"/>
      <c r="RMA219" s="76"/>
      <c r="RMB219" s="76"/>
      <c r="RMC219" s="76"/>
      <c r="RMD219" s="76"/>
      <c r="RME219" s="76"/>
      <c r="RMF219" s="76"/>
      <c r="RMG219" s="76"/>
      <c r="RMH219" s="76"/>
      <c r="RMI219" s="76"/>
      <c r="RMJ219" s="76"/>
      <c r="RMK219" s="76"/>
      <c r="RML219" s="76"/>
      <c r="RMM219" s="76"/>
      <c r="RMN219" s="76"/>
      <c r="RMO219" s="76"/>
      <c r="RMP219" s="76"/>
      <c r="RMQ219" s="76"/>
      <c r="RMR219" s="76"/>
      <c r="RMS219" s="76"/>
      <c r="RMT219" s="76"/>
      <c r="RMU219" s="76"/>
      <c r="RMV219" s="76"/>
      <c r="RMW219" s="76"/>
      <c r="RMX219" s="76"/>
      <c r="RMY219" s="76"/>
      <c r="RMZ219" s="76"/>
      <c r="RNA219" s="76"/>
      <c r="RNB219" s="76"/>
      <c r="RNC219" s="76"/>
      <c r="RND219" s="76"/>
      <c r="RNE219" s="76"/>
      <c r="RNF219" s="76"/>
      <c r="RNG219" s="76"/>
      <c r="RNH219" s="76"/>
      <c r="RNI219" s="76"/>
      <c r="RNJ219" s="76"/>
      <c r="RNK219" s="76"/>
      <c r="RNL219" s="76"/>
      <c r="RNM219" s="76"/>
      <c r="RNN219" s="76"/>
      <c r="RNO219" s="76"/>
      <c r="RNP219" s="76"/>
      <c r="RNQ219" s="76"/>
      <c r="RNR219" s="76"/>
      <c r="RNS219" s="76"/>
      <c r="RNT219" s="76"/>
      <c r="RNU219" s="76"/>
      <c r="RNV219" s="76"/>
      <c r="RNW219" s="76"/>
      <c r="RNX219" s="76"/>
      <c r="RNY219" s="76"/>
      <c r="RNZ219" s="76"/>
      <c r="ROA219" s="76"/>
      <c r="ROB219" s="76"/>
      <c r="ROC219" s="76"/>
      <c r="ROD219" s="76"/>
      <c r="ROE219" s="76"/>
      <c r="ROF219" s="76"/>
      <c r="ROG219" s="76"/>
      <c r="ROH219" s="76"/>
      <c r="ROI219" s="76"/>
      <c r="ROJ219" s="76"/>
      <c r="ROK219" s="76"/>
      <c r="ROL219" s="76"/>
      <c r="ROM219" s="76"/>
      <c r="RON219" s="76"/>
      <c r="ROO219" s="76"/>
      <c r="ROP219" s="76"/>
      <c r="ROQ219" s="76"/>
      <c r="ROR219" s="76"/>
      <c r="ROS219" s="76"/>
      <c r="ROT219" s="76"/>
      <c r="ROU219" s="76"/>
      <c r="ROV219" s="76"/>
      <c r="ROW219" s="76"/>
      <c r="ROX219" s="76"/>
      <c r="ROY219" s="76"/>
      <c r="ROZ219" s="76"/>
      <c r="RPA219" s="76"/>
      <c r="RPB219" s="76"/>
      <c r="RPC219" s="76"/>
      <c r="RPD219" s="76"/>
      <c r="RPE219" s="76"/>
      <c r="RPF219" s="76"/>
      <c r="RPG219" s="76"/>
      <c r="RPH219" s="76"/>
      <c r="RPI219" s="76"/>
      <c r="RPJ219" s="76"/>
      <c r="RPK219" s="76"/>
      <c r="RPL219" s="76"/>
      <c r="RPM219" s="76"/>
      <c r="RPN219" s="76"/>
      <c r="RPO219" s="76"/>
      <c r="RPP219" s="76"/>
      <c r="RPQ219" s="76"/>
      <c r="RPR219" s="76"/>
      <c r="RPS219" s="76"/>
      <c r="RPT219" s="76"/>
      <c r="RPU219" s="76"/>
      <c r="RPV219" s="76"/>
      <c r="RPW219" s="76"/>
      <c r="RPX219" s="76"/>
      <c r="RPY219" s="76"/>
      <c r="RPZ219" s="76"/>
      <c r="RQA219" s="76"/>
      <c r="RQB219" s="76"/>
      <c r="RQC219" s="76"/>
      <c r="RQD219" s="76"/>
      <c r="RQE219" s="76"/>
      <c r="RQF219" s="76"/>
      <c r="RQG219" s="76"/>
      <c r="RQH219" s="76"/>
      <c r="RQI219" s="76"/>
      <c r="RQJ219" s="76"/>
      <c r="RQK219" s="76"/>
      <c r="RQL219" s="76"/>
      <c r="RQM219" s="76"/>
      <c r="RQN219" s="76"/>
      <c r="RQO219" s="76"/>
      <c r="RQP219" s="76"/>
      <c r="RQQ219" s="76"/>
      <c r="RQR219" s="76"/>
      <c r="RQS219" s="76"/>
      <c r="RQT219" s="76"/>
      <c r="RQU219" s="76"/>
      <c r="RQV219" s="76"/>
      <c r="RQW219" s="76"/>
      <c r="RQX219" s="76"/>
      <c r="RQY219" s="76"/>
      <c r="RQZ219" s="76"/>
      <c r="RRA219" s="76"/>
      <c r="RRB219" s="76"/>
      <c r="RRC219" s="76"/>
      <c r="RRD219" s="76"/>
      <c r="RRE219" s="76"/>
      <c r="RRF219" s="76"/>
      <c r="RRG219" s="76"/>
      <c r="RRH219" s="76"/>
      <c r="RRI219" s="76"/>
      <c r="RRJ219" s="76"/>
      <c r="RRK219" s="76"/>
      <c r="RRL219" s="76"/>
      <c r="RRM219" s="76"/>
      <c r="RRN219" s="76"/>
      <c r="RRO219" s="76"/>
      <c r="RRP219" s="76"/>
      <c r="RRQ219" s="76"/>
      <c r="RRR219" s="76"/>
      <c r="RRS219" s="76"/>
      <c r="RRT219" s="76"/>
      <c r="RRU219" s="76"/>
      <c r="RRV219" s="76"/>
      <c r="RRW219" s="76"/>
      <c r="RRX219" s="76"/>
      <c r="RRY219" s="76"/>
      <c r="RRZ219" s="76"/>
      <c r="RSA219" s="76"/>
      <c r="RSB219" s="76"/>
      <c r="RSC219" s="76"/>
      <c r="RSD219" s="76"/>
      <c r="RSE219" s="76"/>
      <c r="RSF219" s="76"/>
      <c r="RSG219" s="76"/>
      <c r="RSH219" s="76"/>
      <c r="RSI219" s="76"/>
      <c r="RSJ219" s="76"/>
      <c r="RSK219" s="76"/>
      <c r="RSL219" s="76"/>
      <c r="RSM219" s="76"/>
      <c r="RSN219" s="76"/>
      <c r="RSO219" s="76"/>
      <c r="RSP219" s="76"/>
      <c r="RSQ219" s="76"/>
      <c r="RSR219" s="76"/>
      <c r="RSS219" s="76"/>
      <c r="RST219" s="76"/>
      <c r="RSU219" s="76"/>
      <c r="RSV219" s="76"/>
      <c r="RSW219" s="76"/>
      <c r="RSX219" s="76"/>
      <c r="RSY219" s="76"/>
      <c r="RSZ219" s="76"/>
      <c r="RTA219" s="76"/>
      <c r="RTB219" s="76"/>
      <c r="RTC219" s="76"/>
      <c r="RTD219" s="76"/>
      <c r="RTE219" s="76"/>
      <c r="RTF219" s="76"/>
      <c r="RTG219" s="76"/>
      <c r="RTH219" s="76"/>
      <c r="RTI219" s="76"/>
      <c r="RTJ219" s="76"/>
      <c r="RTK219" s="76"/>
      <c r="RTL219" s="76"/>
      <c r="RTM219" s="76"/>
      <c r="RTN219" s="76"/>
      <c r="RTO219" s="76"/>
      <c r="RTP219" s="76"/>
      <c r="RTQ219" s="76"/>
      <c r="RTR219" s="76"/>
      <c r="RTS219" s="76"/>
      <c r="RTT219" s="76"/>
      <c r="RTU219" s="76"/>
      <c r="RTV219" s="76"/>
      <c r="RTW219" s="76"/>
      <c r="RTX219" s="76"/>
      <c r="RTY219" s="76"/>
      <c r="RTZ219" s="76"/>
      <c r="RUA219" s="76"/>
      <c r="RUB219" s="76"/>
      <c r="RUC219" s="76"/>
      <c r="RUD219" s="76"/>
      <c r="RUE219" s="76"/>
      <c r="RUF219" s="76"/>
      <c r="RUG219" s="76"/>
      <c r="RUH219" s="76"/>
      <c r="RUI219" s="76"/>
      <c r="RUJ219" s="76"/>
      <c r="RUK219" s="76"/>
      <c r="RUL219" s="76"/>
      <c r="RUM219" s="76"/>
      <c r="RUN219" s="76"/>
      <c r="RUO219" s="76"/>
      <c r="RUP219" s="76"/>
      <c r="RUQ219" s="76"/>
      <c r="RUR219" s="76"/>
      <c r="RUS219" s="76"/>
      <c r="RUT219" s="76"/>
      <c r="RUU219" s="76"/>
      <c r="RUV219" s="76"/>
      <c r="RUW219" s="76"/>
      <c r="RUX219" s="76"/>
      <c r="RUY219" s="76"/>
      <c r="RUZ219" s="76"/>
      <c r="RVA219" s="76"/>
      <c r="RVB219" s="76"/>
      <c r="RVC219" s="76"/>
      <c r="RVD219" s="76"/>
      <c r="RVE219" s="76"/>
      <c r="RVF219" s="76"/>
      <c r="RVG219" s="76"/>
      <c r="RVH219" s="76"/>
      <c r="RVI219" s="76"/>
      <c r="RVJ219" s="76"/>
      <c r="RVK219" s="76"/>
      <c r="RVL219" s="76"/>
      <c r="RVM219" s="76"/>
      <c r="RVN219" s="76"/>
      <c r="RVO219" s="76"/>
      <c r="RVP219" s="76"/>
      <c r="RVQ219" s="76"/>
      <c r="RVR219" s="76"/>
      <c r="RVS219" s="76"/>
      <c r="RVT219" s="76"/>
      <c r="RVU219" s="76"/>
      <c r="RVV219" s="76"/>
      <c r="RVW219" s="76"/>
      <c r="RVX219" s="76"/>
      <c r="RVY219" s="76"/>
      <c r="RVZ219" s="76"/>
      <c r="RWA219" s="76"/>
      <c r="RWB219" s="76"/>
      <c r="RWC219" s="76"/>
      <c r="RWD219" s="76"/>
      <c r="RWE219" s="76"/>
      <c r="RWF219" s="76"/>
      <c r="RWG219" s="76"/>
      <c r="RWH219" s="76"/>
      <c r="RWI219" s="76"/>
      <c r="RWJ219" s="76"/>
      <c r="RWK219" s="76"/>
      <c r="RWL219" s="76"/>
      <c r="RWM219" s="76"/>
      <c r="RWN219" s="76"/>
      <c r="RWO219" s="76"/>
      <c r="RWP219" s="76"/>
      <c r="RWQ219" s="76"/>
      <c r="RWR219" s="76"/>
      <c r="RWS219" s="76"/>
      <c r="RWT219" s="76"/>
      <c r="RWU219" s="76"/>
      <c r="RWV219" s="76"/>
      <c r="RWW219" s="76"/>
      <c r="RWX219" s="76"/>
      <c r="RWY219" s="76"/>
      <c r="RWZ219" s="76"/>
      <c r="RXA219" s="76"/>
      <c r="RXB219" s="76"/>
      <c r="RXC219" s="76"/>
      <c r="RXD219" s="76"/>
      <c r="RXE219" s="76"/>
      <c r="RXF219" s="76"/>
      <c r="RXG219" s="76"/>
      <c r="RXH219" s="76"/>
      <c r="RXI219" s="76"/>
      <c r="RXJ219" s="76"/>
      <c r="RXK219" s="76"/>
      <c r="RXL219" s="76"/>
      <c r="RXM219" s="76"/>
      <c r="RXN219" s="76"/>
      <c r="RXO219" s="76"/>
      <c r="RXP219" s="76"/>
      <c r="RXQ219" s="76"/>
      <c r="RXR219" s="76"/>
      <c r="RXS219" s="76"/>
      <c r="RXT219" s="76"/>
      <c r="RXU219" s="76"/>
      <c r="RXV219" s="76"/>
      <c r="RXW219" s="76"/>
      <c r="RXX219" s="76"/>
      <c r="RXY219" s="76"/>
      <c r="RXZ219" s="76"/>
      <c r="RYA219" s="76"/>
      <c r="RYB219" s="76"/>
      <c r="RYC219" s="76"/>
      <c r="RYD219" s="76"/>
      <c r="RYE219" s="76"/>
      <c r="RYF219" s="76"/>
      <c r="RYG219" s="76"/>
      <c r="RYH219" s="76"/>
      <c r="RYI219" s="76"/>
      <c r="RYJ219" s="76"/>
      <c r="RYK219" s="76"/>
      <c r="RYL219" s="76"/>
      <c r="RYM219" s="76"/>
      <c r="RYN219" s="76"/>
      <c r="RYO219" s="76"/>
      <c r="RYP219" s="76"/>
      <c r="RYQ219" s="76"/>
      <c r="RYR219" s="76"/>
      <c r="RYS219" s="76"/>
      <c r="RYT219" s="76"/>
      <c r="RYU219" s="76"/>
      <c r="RYV219" s="76"/>
      <c r="RYW219" s="76"/>
      <c r="RYX219" s="76"/>
      <c r="RYY219" s="76"/>
      <c r="RYZ219" s="76"/>
      <c r="RZA219" s="76"/>
      <c r="RZB219" s="76"/>
      <c r="RZC219" s="76"/>
      <c r="RZD219" s="76"/>
      <c r="RZE219" s="76"/>
      <c r="RZF219" s="76"/>
      <c r="RZG219" s="76"/>
      <c r="RZH219" s="76"/>
      <c r="RZI219" s="76"/>
      <c r="RZJ219" s="76"/>
      <c r="RZK219" s="76"/>
      <c r="RZL219" s="76"/>
      <c r="RZM219" s="76"/>
      <c r="RZN219" s="76"/>
      <c r="RZO219" s="76"/>
      <c r="RZP219" s="76"/>
      <c r="RZQ219" s="76"/>
      <c r="RZR219" s="76"/>
      <c r="RZS219" s="76"/>
      <c r="RZT219" s="76"/>
      <c r="RZU219" s="76"/>
      <c r="RZV219" s="76"/>
      <c r="RZW219" s="76"/>
      <c r="RZX219" s="76"/>
      <c r="RZY219" s="76"/>
      <c r="RZZ219" s="76"/>
      <c r="SAA219" s="76"/>
      <c r="SAB219" s="76"/>
      <c r="SAC219" s="76"/>
      <c r="SAD219" s="76"/>
      <c r="SAE219" s="76"/>
      <c r="SAF219" s="76"/>
      <c r="SAG219" s="76"/>
      <c r="SAH219" s="76"/>
      <c r="SAI219" s="76"/>
      <c r="SAJ219" s="76"/>
      <c r="SAK219" s="76"/>
      <c r="SAL219" s="76"/>
      <c r="SAM219" s="76"/>
      <c r="SAN219" s="76"/>
      <c r="SAO219" s="76"/>
      <c r="SAP219" s="76"/>
      <c r="SAQ219" s="76"/>
      <c r="SAR219" s="76"/>
      <c r="SAS219" s="76"/>
      <c r="SAT219" s="76"/>
      <c r="SAU219" s="76"/>
      <c r="SAV219" s="76"/>
      <c r="SAW219" s="76"/>
      <c r="SAX219" s="76"/>
      <c r="SAY219" s="76"/>
      <c r="SAZ219" s="76"/>
      <c r="SBA219" s="76"/>
      <c r="SBB219" s="76"/>
      <c r="SBC219" s="76"/>
      <c r="SBD219" s="76"/>
      <c r="SBE219" s="76"/>
      <c r="SBF219" s="76"/>
      <c r="SBG219" s="76"/>
      <c r="SBH219" s="76"/>
      <c r="SBI219" s="76"/>
      <c r="SBJ219" s="76"/>
      <c r="SBK219" s="76"/>
      <c r="SBL219" s="76"/>
      <c r="SBM219" s="76"/>
      <c r="SBN219" s="76"/>
      <c r="SBO219" s="76"/>
      <c r="SBP219" s="76"/>
      <c r="SBQ219" s="76"/>
      <c r="SBR219" s="76"/>
      <c r="SBS219" s="76"/>
      <c r="SBT219" s="76"/>
      <c r="SBU219" s="76"/>
      <c r="SBV219" s="76"/>
      <c r="SBW219" s="76"/>
      <c r="SBX219" s="76"/>
      <c r="SBY219" s="76"/>
      <c r="SBZ219" s="76"/>
      <c r="SCA219" s="76"/>
      <c r="SCB219" s="76"/>
      <c r="SCC219" s="76"/>
      <c r="SCD219" s="76"/>
      <c r="SCE219" s="76"/>
      <c r="SCF219" s="76"/>
      <c r="SCG219" s="76"/>
      <c r="SCH219" s="76"/>
      <c r="SCI219" s="76"/>
      <c r="SCJ219" s="76"/>
      <c r="SCK219" s="76"/>
      <c r="SCL219" s="76"/>
      <c r="SCM219" s="76"/>
      <c r="SCN219" s="76"/>
      <c r="SCO219" s="76"/>
      <c r="SCP219" s="76"/>
      <c r="SCQ219" s="76"/>
      <c r="SCR219" s="76"/>
      <c r="SCS219" s="76"/>
      <c r="SCT219" s="76"/>
      <c r="SCU219" s="76"/>
      <c r="SCV219" s="76"/>
      <c r="SCW219" s="76"/>
      <c r="SCX219" s="76"/>
      <c r="SCY219" s="76"/>
      <c r="SCZ219" s="76"/>
      <c r="SDA219" s="76"/>
      <c r="SDB219" s="76"/>
      <c r="SDC219" s="76"/>
      <c r="SDD219" s="76"/>
      <c r="SDE219" s="76"/>
      <c r="SDF219" s="76"/>
      <c r="SDG219" s="76"/>
      <c r="SDH219" s="76"/>
      <c r="SDI219" s="76"/>
      <c r="SDJ219" s="76"/>
      <c r="SDK219" s="76"/>
      <c r="SDL219" s="76"/>
      <c r="SDM219" s="76"/>
      <c r="SDN219" s="76"/>
      <c r="SDO219" s="76"/>
      <c r="SDP219" s="76"/>
      <c r="SDQ219" s="76"/>
      <c r="SDR219" s="76"/>
      <c r="SDS219" s="76"/>
      <c r="SDT219" s="76"/>
      <c r="SDU219" s="76"/>
      <c r="SDV219" s="76"/>
      <c r="SDW219" s="76"/>
      <c r="SDX219" s="76"/>
      <c r="SDY219" s="76"/>
      <c r="SDZ219" s="76"/>
      <c r="SEA219" s="76"/>
      <c r="SEB219" s="76"/>
      <c r="SEC219" s="76"/>
      <c r="SED219" s="76"/>
      <c r="SEE219" s="76"/>
      <c r="SEF219" s="76"/>
      <c r="SEG219" s="76"/>
      <c r="SEH219" s="76"/>
      <c r="SEI219" s="76"/>
      <c r="SEJ219" s="76"/>
      <c r="SEK219" s="76"/>
      <c r="SEL219" s="76"/>
      <c r="SEM219" s="76"/>
      <c r="SEN219" s="76"/>
      <c r="SEO219" s="76"/>
      <c r="SEP219" s="76"/>
      <c r="SEQ219" s="76"/>
      <c r="SER219" s="76"/>
      <c r="SES219" s="76"/>
      <c r="SET219" s="76"/>
      <c r="SEU219" s="76"/>
      <c r="SEV219" s="76"/>
      <c r="SEW219" s="76"/>
      <c r="SEX219" s="76"/>
      <c r="SEY219" s="76"/>
      <c r="SEZ219" s="76"/>
      <c r="SFA219" s="76"/>
      <c r="SFB219" s="76"/>
      <c r="SFC219" s="76"/>
      <c r="SFD219" s="76"/>
      <c r="SFE219" s="76"/>
      <c r="SFF219" s="76"/>
      <c r="SFG219" s="76"/>
      <c r="SFH219" s="76"/>
      <c r="SFI219" s="76"/>
      <c r="SFJ219" s="76"/>
      <c r="SFK219" s="76"/>
      <c r="SFL219" s="76"/>
      <c r="SFM219" s="76"/>
      <c r="SFN219" s="76"/>
      <c r="SFO219" s="76"/>
      <c r="SFP219" s="76"/>
      <c r="SFQ219" s="76"/>
      <c r="SFR219" s="76"/>
      <c r="SFS219" s="76"/>
      <c r="SFT219" s="76"/>
      <c r="SFU219" s="76"/>
      <c r="SFV219" s="76"/>
      <c r="SFW219" s="76"/>
      <c r="SFX219" s="76"/>
      <c r="SFY219" s="76"/>
      <c r="SFZ219" s="76"/>
      <c r="SGA219" s="76"/>
      <c r="SGB219" s="76"/>
      <c r="SGC219" s="76"/>
      <c r="SGD219" s="76"/>
      <c r="SGE219" s="76"/>
      <c r="SGF219" s="76"/>
      <c r="SGG219" s="76"/>
      <c r="SGH219" s="76"/>
      <c r="SGI219" s="76"/>
      <c r="SGJ219" s="76"/>
      <c r="SGK219" s="76"/>
      <c r="SGL219" s="76"/>
      <c r="SGM219" s="76"/>
      <c r="SGN219" s="76"/>
      <c r="SGO219" s="76"/>
      <c r="SGP219" s="76"/>
      <c r="SGQ219" s="76"/>
      <c r="SGR219" s="76"/>
      <c r="SGS219" s="76"/>
      <c r="SGT219" s="76"/>
      <c r="SGU219" s="76"/>
      <c r="SGV219" s="76"/>
      <c r="SGW219" s="76"/>
      <c r="SGX219" s="76"/>
      <c r="SGY219" s="76"/>
      <c r="SGZ219" s="76"/>
      <c r="SHA219" s="76"/>
      <c r="SHB219" s="76"/>
      <c r="SHC219" s="76"/>
      <c r="SHD219" s="76"/>
      <c r="SHE219" s="76"/>
      <c r="SHF219" s="76"/>
      <c r="SHG219" s="76"/>
      <c r="SHH219" s="76"/>
      <c r="SHI219" s="76"/>
      <c r="SHJ219" s="76"/>
      <c r="SHK219" s="76"/>
      <c r="SHL219" s="76"/>
      <c r="SHM219" s="76"/>
      <c r="SHN219" s="76"/>
      <c r="SHO219" s="76"/>
      <c r="SHP219" s="76"/>
      <c r="SHQ219" s="76"/>
      <c r="SHR219" s="76"/>
      <c r="SHS219" s="76"/>
      <c r="SHT219" s="76"/>
      <c r="SHU219" s="76"/>
      <c r="SHV219" s="76"/>
      <c r="SHW219" s="76"/>
      <c r="SHX219" s="76"/>
      <c r="SHY219" s="76"/>
      <c r="SHZ219" s="76"/>
      <c r="SIA219" s="76"/>
      <c r="SIB219" s="76"/>
      <c r="SIC219" s="76"/>
      <c r="SID219" s="76"/>
      <c r="SIE219" s="76"/>
      <c r="SIF219" s="76"/>
      <c r="SIG219" s="76"/>
      <c r="SIH219" s="76"/>
      <c r="SII219" s="76"/>
      <c r="SIJ219" s="76"/>
      <c r="SIK219" s="76"/>
      <c r="SIL219" s="76"/>
      <c r="SIM219" s="76"/>
      <c r="SIN219" s="76"/>
      <c r="SIO219" s="76"/>
      <c r="SIP219" s="76"/>
      <c r="SIQ219" s="76"/>
      <c r="SIR219" s="76"/>
      <c r="SIS219" s="76"/>
      <c r="SIT219" s="76"/>
      <c r="SIU219" s="76"/>
      <c r="SIV219" s="76"/>
      <c r="SIW219" s="76"/>
      <c r="SIX219" s="76"/>
      <c r="SIY219" s="76"/>
      <c r="SIZ219" s="76"/>
      <c r="SJA219" s="76"/>
      <c r="SJB219" s="76"/>
      <c r="SJC219" s="76"/>
      <c r="SJD219" s="76"/>
      <c r="SJE219" s="76"/>
      <c r="SJF219" s="76"/>
      <c r="SJG219" s="76"/>
      <c r="SJH219" s="76"/>
      <c r="SJI219" s="76"/>
      <c r="SJJ219" s="76"/>
      <c r="SJK219" s="76"/>
      <c r="SJL219" s="76"/>
      <c r="SJM219" s="76"/>
      <c r="SJN219" s="76"/>
      <c r="SJO219" s="76"/>
      <c r="SJP219" s="76"/>
      <c r="SJQ219" s="76"/>
      <c r="SJR219" s="76"/>
      <c r="SJS219" s="76"/>
      <c r="SJT219" s="76"/>
      <c r="SJU219" s="76"/>
      <c r="SJV219" s="76"/>
      <c r="SJW219" s="76"/>
      <c r="SJX219" s="76"/>
      <c r="SJY219" s="76"/>
      <c r="SJZ219" s="76"/>
      <c r="SKA219" s="76"/>
      <c r="SKB219" s="76"/>
      <c r="SKC219" s="76"/>
      <c r="SKD219" s="76"/>
      <c r="SKE219" s="76"/>
      <c r="SKF219" s="76"/>
      <c r="SKG219" s="76"/>
      <c r="SKH219" s="76"/>
      <c r="SKI219" s="76"/>
      <c r="SKJ219" s="76"/>
      <c r="SKK219" s="76"/>
      <c r="SKL219" s="76"/>
      <c r="SKM219" s="76"/>
      <c r="SKN219" s="76"/>
      <c r="SKO219" s="76"/>
      <c r="SKP219" s="76"/>
      <c r="SKQ219" s="76"/>
      <c r="SKR219" s="76"/>
      <c r="SKS219" s="76"/>
      <c r="SKT219" s="76"/>
      <c r="SKU219" s="76"/>
      <c r="SKV219" s="76"/>
      <c r="SKW219" s="76"/>
      <c r="SKX219" s="76"/>
      <c r="SKY219" s="76"/>
      <c r="SKZ219" s="76"/>
      <c r="SLA219" s="76"/>
      <c r="SLB219" s="76"/>
      <c r="SLC219" s="76"/>
      <c r="SLD219" s="76"/>
      <c r="SLE219" s="76"/>
      <c r="SLF219" s="76"/>
      <c r="SLG219" s="76"/>
      <c r="SLH219" s="76"/>
      <c r="SLI219" s="76"/>
      <c r="SLJ219" s="76"/>
      <c r="SLK219" s="76"/>
      <c r="SLL219" s="76"/>
      <c r="SLM219" s="76"/>
      <c r="SLN219" s="76"/>
      <c r="SLO219" s="76"/>
      <c r="SLP219" s="76"/>
      <c r="SLQ219" s="76"/>
      <c r="SLR219" s="76"/>
      <c r="SLS219" s="76"/>
      <c r="SLT219" s="76"/>
      <c r="SLU219" s="76"/>
      <c r="SLV219" s="76"/>
      <c r="SLW219" s="76"/>
      <c r="SLX219" s="76"/>
      <c r="SLY219" s="76"/>
      <c r="SLZ219" s="76"/>
      <c r="SMA219" s="76"/>
      <c r="SMB219" s="76"/>
      <c r="SMC219" s="76"/>
      <c r="SMD219" s="76"/>
      <c r="SME219" s="76"/>
      <c r="SMF219" s="76"/>
      <c r="SMG219" s="76"/>
      <c r="SMH219" s="76"/>
      <c r="SMI219" s="76"/>
      <c r="SMJ219" s="76"/>
      <c r="SMK219" s="76"/>
      <c r="SML219" s="76"/>
      <c r="SMM219" s="76"/>
      <c r="SMN219" s="76"/>
      <c r="SMO219" s="76"/>
      <c r="SMP219" s="76"/>
      <c r="SMQ219" s="76"/>
      <c r="SMR219" s="76"/>
      <c r="SMS219" s="76"/>
      <c r="SMT219" s="76"/>
      <c r="SMU219" s="76"/>
      <c r="SMV219" s="76"/>
      <c r="SMW219" s="76"/>
      <c r="SMX219" s="76"/>
      <c r="SMY219" s="76"/>
      <c r="SMZ219" s="76"/>
      <c r="SNA219" s="76"/>
      <c r="SNB219" s="76"/>
      <c r="SNC219" s="76"/>
      <c r="SND219" s="76"/>
      <c r="SNE219" s="76"/>
      <c r="SNF219" s="76"/>
      <c r="SNG219" s="76"/>
      <c r="SNH219" s="76"/>
      <c r="SNI219" s="76"/>
      <c r="SNJ219" s="76"/>
      <c r="SNK219" s="76"/>
      <c r="SNL219" s="76"/>
      <c r="SNM219" s="76"/>
      <c r="SNN219" s="76"/>
      <c r="SNO219" s="76"/>
      <c r="SNP219" s="76"/>
      <c r="SNQ219" s="76"/>
      <c r="SNR219" s="76"/>
      <c r="SNS219" s="76"/>
      <c r="SNT219" s="76"/>
      <c r="SNU219" s="76"/>
      <c r="SNV219" s="76"/>
      <c r="SNW219" s="76"/>
      <c r="SNX219" s="76"/>
      <c r="SNY219" s="76"/>
      <c r="SNZ219" s="76"/>
      <c r="SOA219" s="76"/>
      <c r="SOB219" s="76"/>
      <c r="SOC219" s="76"/>
      <c r="SOD219" s="76"/>
      <c r="SOE219" s="76"/>
      <c r="SOF219" s="76"/>
      <c r="SOG219" s="76"/>
      <c r="SOH219" s="76"/>
      <c r="SOI219" s="76"/>
      <c r="SOJ219" s="76"/>
      <c r="SOK219" s="76"/>
      <c r="SOL219" s="76"/>
      <c r="SOM219" s="76"/>
      <c r="SON219" s="76"/>
      <c r="SOO219" s="76"/>
      <c r="SOP219" s="76"/>
      <c r="SOQ219" s="76"/>
      <c r="SOR219" s="76"/>
      <c r="SOS219" s="76"/>
      <c r="SOT219" s="76"/>
      <c r="SOU219" s="76"/>
      <c r="SOV219" s="76"/>
      <c r="SOW219" s="76"/>
      <c r="SOX219" s="76"/>
      <c r="SOY219" s="76"/>
      <c r="SOZ219" s="76"/>
      <c r="SPA219" s="76"/>
      <c r="SPB219" s="76"/>
      <c r="SPC219" s="76"/>
      <c r="SPD219" s="76"/>
      <c r="SPE219" s="76"/>
      <c r="SPF219" s="76"/>
      <c r="SPG219" s="76"/>
      <c r="SPH219" s="76"/>
      <c r="SPI219" s="76"/>
      <c r="SPJ219" s="76"/>
      <c r="SPK219" s="76"/>
      <c r="SPL219" s="76"/>
      <c r="SPM219" s="76"/>
      <c r="SPN219" s="76"/>
      <c r="SPO219" s="76"/>
      <c r="SPP219" s="76"/>
      <c r="SPQ219" s="76"/>
      <c r="SPR219" s="76"/>
      <c r="SPS219" s="76"/>
      <c r="SPT219" s="76"/>
      <c r="SPU219" s="76"/>
      <c r="SPV219" s="76"/>
      <c r="SPW219" s="76"/>
      <c r="SPX219" s="76"/>
      <c r="SPY219" s="76"/>
      <c r="SPZ219" s="76"/>
      <c r="SQA219" s="76"/>
      <c r="SQB219" s="76"/>
      <c r="SQC219" s="76"/>
      <c r="SQD219" s="76"/>
      <c r="SQE219" s="76"/>
      <c r="SQF219" s="76"/>
      <c r="SQG219" s="76"/>
      <c r="SQH219" s="76"/>
      <c r="SQI219" s="76"/>
      <c r="SQJ219" s="76"/>
      <c r="SQK219" s="76"/>
      <c r="SQL219" s="76"/>
      <c r="SQM219" s="76"/>
      <c r="SQN219" s="76"/>
      <c r="SQO219" s="76"/>
      <c r="SQP219" s="76"/>
      <c r="SQQ219" s="76"/>
      <c r="SQR219" s="76"/>
      <c r="SQS219" s="76"/>
      <c r="SQT219" s="76"/>
      <c r="SQU219" s="76"/>
      <c r="SQV219" s="76"/>
      <c r="SQW219" s="76"/>
      <c r="SQX219" s="76"/>
      <c r="SQY219" s="76"/>
      <c r="SQZ219" s="76"/>
      <c r="SRA219" s="76"/>
      <c r="SRB219" s="76"/>
      <c r="SRC219" s="76"/>
      <c r="SRD219" s="76"/>
      <c r="SRE219" s="76"/>
      <c r="SRF219" s="76"/>
      <c r="SRG219" s="76"/>
      <c r="SRH219" s="76"/>
      <c r="SRI219" s="76"/>
      <c r="SRJ219" s="76"/>
      <c r="SRK219" s="76"/>
      <c r="SRL219" s="76"/>
      <c r="SRM219" s="76"/>
      <c r="SRN219" s="76"/>
      <c r="SRO219" s="76"/>
      <c r="SRP219" s="76"/>
      <c r="SRQ219" s="76"/>
      <c r="SRR219" s="76"/>
      <c r="SRS219" s="76"/>
      <c r="SRT219" s="76"/>
      <c r="SRU219" s="76"/>
      <c r="SRV219" s="76"/>
      <c r="SRW219" s="76"/>
      <c r="SRX219" s="76"/>
      <c r="SRY219" s="76"/>
      <c r="SRZ219" s="76"/>
      <c r="SSA219" s="76"/>
      <c r="SSB219" s="76"/>
      <c r="SSC219" s="76"/>
      <c r="SSD219" s="76"/>
      <c r="SSE219" s="76"/>
      <c r="SSF219" s="76"/>
      <c r="SSG219" s="76"/>
      <c r="SSH219" s="76"/>
      <c r="SSI219" s="76"/>
      <c r="SSJ219" s="76"/>
      <c r="SSK219" s="76"/>
      <c r="SSL219" s="76"/>
      <c r="SSM219" s="76"/>
      <c r="SSN219" s="76"/>
      <c r="SSO219" s="76"/>
      <c r="SSP219" s="76"/>
      <c r="SSQ219" s="76"/>
      <c r="SSR219" s="76"/>
      <c r="SSS219" s="76"/>
      <c r="SST219" s="76"/>
      <c r="SSU219" s="76"/>
      <c r="SSV219" s="76"/>
      <c r="SSW219" s="76"/>
      <c r="SSX219" s="76"/>
      <c r="SSY219" s="76"/>
      <c r="SSZ219" s="76"/>
      <c r="STA219" s="76"/>
      <c r="STB219" s="76"/>
      <c r="STC219" s="76"/>
      <c r="STD219" s="76"/>
      <c r="STE219" s="76"/>
      <c r="STF219" s="76"/>
      <c r="STG219" s="76"/>
      <c r="STH219" s="76"/>
      <c r="STI219" s="76"/>
      <c r="STJ219" s="76"/>
      <c r="STK219" s="76"/>
      <c r="STL219" s="76"/>
      <c r="STM219" s="76"/>
      <c r="STN219" s="76"/>
      <c r="STO219" s="76"/>
      <c r="STP219" s="76"/>
      <c r="STQ219" s="76"/>
      <c r="STR219" s="76"/>
      <c r="STS219" s="76"/>
      <c r="STT219" s="76"/>
      <c r="STU219" s="76"/>
      <c r="STV219" s="76"/>
      <c r="STW219" s="76"/>
      <c r="STX219" s="76"/>
      <c r="STY219" s="76"/>
      <c r="STZ219" s="76"/>
      <c r="SUA219" s="76"/>
      <c r="SUB219" s="76"/>
      <c r="SUC219" s="76"/>
      <c r="SUD219" s="76"/>
      <c r="SUE219" s="76"/>
      <c r="SUF219" s="76"/>
      <c r="SUG219" s="76"/>
      <c r="SUH219" s="76"/>
      <c r="SUI219" s="76"/>
      <c r="SUJ219" s="76"/>
      <c r="SUK219" s="76"/>
      <c r="SUL219" s="76"/>
      <c r="SUM219" s="76"/>
      <c r="SUN219" s="76"/>
      <c r="SUO219" s="76"/>
      <c r="SUP219" s="76"/>
      <c r="SUQ219" s="76"/>
      <c r="SUR219" s="76"/>
      <c r="SUS219" s="76"/>
      <c r="SUT219" s="76"/>
      <c r="SUU219" s="76"/>
      <c r="SUV219" s="76"/>
      <c r="SUW219" s="76"/>
      <c r="SUX219" s="76"/>
      <c r="SUY219" s="76"/>
      <c r="SUZ219" s="76"/>
      <c r="SVA219" s="76"/>
      <c r="SVB219" s="76"/>
      <c r="SVC219" s="76"/>
      <c r="SVD219" s="76"/>
      <c r="SVE219" s="76"/>
      <c r="SVF219" s="76"/>
      <c r="SVG219" s="76"/>
      <c r="SVH219" s="76"/>
      <c r="SVI219" s="76"/>
      <c r="SVJ219" s="76"/>
      <c r="SVK219" s="76"/>
      <c r="SVL219" s="76"/>
      <c r="SVM219" s="76"/>
      <c r="SVN219" s="76"/>
      <c r="SVO219" s="76"/>
      <c r="SVP219" s="76"/>
      <c r="SVQ219" s="76"/>
      <c r="SVR219" s="76"/>
      <c r="SVS219" s="76"/>
      <c r="SVT219" s="76"/>
      <c r="SVU219" s="76"/>
      <c r="SVV219" s="76"/>
      <c r="SVW219" s="76"/>
      <c r="SVX219" s="76"/>
      <c r="SVY219" s="76"/>
      <c r="SVZ219" s="76"/>
      <c r="SWA219" s="76"/>
      <c r="SWB219" s="76"/>
      <c r="SWC219" s="76"/>
      <c r="SWD219" s="76"/>
      <c r="SWE219" s="76"/>
      <c r="SWF219" s="76"/>
      <c r="SWG219" s="76"/>
      <c r="SWH219" s="76"/>
      <c r="SWI219" s="76"/>
      <c r="SWJ219" s="76"/>
      <c r="SWK219" s="76"/>
      <c r="SWL219" s="76"/>
      <c r="SWM219" s="76"/>
      <c r="SWN219" s="76"/>
      <c r="SWO219" s="76"/>
      <c r="SWP219" s="76"/>
      <c r="SWQ219" s="76"/>
      <c r="SWR219" s="76"/>
      <c r="SWS219" s="76"/>
      <c r="SWT219" s="76"/>
      <c r="SWU219" s="76"/>
      <c r="SWV219" s="76"/>
      <c r="SWW219" s="76"/>
      <c r="SWX219" s="76"/>
      <c r="SWY219" s="76"/>
      <c r="SWZ219" s="76"/>
      <c r="SXA219" s="76"/>
      <c r="SXB219" s="76"/>
      <c r="SXC219" s="76"/>
      <c r="SXD219" s="76"/>
      <c r="SXE219" s="76"/>
      <c r="SXF219" s="76"/>
      <c r="SXG219" s="76"/>
      <c r="SXH219" s="76"/>
      <c r="SXI219" s="76"/>
      <c r="SXJ219" s="76"/>
      <c r="SXK219" s="76"/>
      <c r="SXL219" s="76"/>
      <c r="SXM219" s="76"/>
      <c r="SXN219" s="76"/>
      <c r="SXO219" s="76"/>
      <c r="SXP219" s="76"/>
      <c r="SXQ219" s="76"/>
      <c r="SXR219" s="76"/>
      <c r="SXS219" s="76"/>
      <c r="SXT219" s="76"/>
      <c r="SXU219" s="76"/>
      <c r="SXV219" s="76"/>
      <c r="SXW219" s="76"/>
      <c r="SXX219" s="76"/>
      <c r="SXY219" s="76"/>
      <c r="SXZ219" s="76"/>
      <c r="SYA219" s="76"/>
      <c r="SYB219" s="76"/>
      <c r="SYC219" s="76"/>
      <c r="SYD219" s="76"/>
      <c r="SYE219" s="76"/>
      <c r="SYF219" s="76"/>
      <c r="SYG219" s="76"/>
      <c r="SYH219" s="76"/>
      <c r="SYI219" s="76"/>
      <c r="SYJ219" s="76"/>
      <c r="SYK219" s="76"/>
      <c r="SYL219" s="76"/>
      <c r="SYM219" s="76"/>
      <c r="SYN219" s="76"/>
      <c r="SYO219" s="76"/>
      <c r="SYP219" s="76"/>
      <c r="SYQ219" s="76"/>
      <c r="SYR219" s="76"/>
      <c r="SYS219" s="76"/>
      <c r="SYT219" s="76"/>
      <c r="SYU219" s="76"/>
      <c r="SYV219" s="76"/>
      <c r="SYW219" s="76"/>
      <c r="SYX219" s="76"/>
      <c r="SYY219" s="76"/>
      <c r="SYZ219" s="76"/>
      <c r="SZA219" s="76"/>
      <c r="SZB219" s="76"/>
      <c r="SZC219" s="76"/>
      <c r="SZD219" s="76"/>
      <c r="SZE219" s="76"/>
      <c r="SZF219" s="76"/>
      <c r="SZG219" s="76"/>
      <c r="SZH219" s="76"/>
      <c r="SZI219" s="76"/>
      <c r="SZJ219" s="76"/>
      <c r="SZK219" s="76"/>
      <c r="SZL219" s="76"/>
      <c r="SZM219" s="76"/>
      <c r="SZN219" s="76"/>
      <c r="SZO219" s="76"/>
      <c r="SZP219" s="76"/>
      <c r="SZQ219" s="76"/>
      <c r="SZR219" s="76"/>
      <c r="SZS219" s="76"/>
      <c r="SZT219" s="76"/>
      <c r="SZU219" s="76"/>
      <c r="SZV219" s="76"/>
      <c r="SZW219" s="76"/>
      <c r="SZX219" s="76"/>
      <c r="SZY219" s="76"/>
      <c r="SZZ219" s="76"/>
      <c r="TAA219" s="76"/>
      <c r="TAB219" s="76"/>
      <c r="TAC219" s="76"/>
      <c r="TAD219" s="76"/>
      <c r="TAE219" s="76"/>
      <c r="TAF219" s="76"/>
      <c r="TAG219" s="76"/>
      <c r="TAH219" s="76"/>
      <c r="TAI219" s="76"/>
      <c r="TAJ219" s="76"/>
      <c r="TAK219" s="76"/>
      <c r="TAL219" s="76"/>
      <c r="TAM219" s="76"/>
      <c r="TAN219" s="76"/>
      <c r="TAO219" s="76"/>
      <c r="TAP219" s="76"/>
      <c r="TAQ219" s="76"/>
      <c r="TAR219" s="76"/>
      <c r="TAS219" s="76"/>
      <c r="TAT219" s="76"/>
      <c r="TAU219" s="76"/>
      <c r="TAV219" s="76"/>
      <c r="TAW219" s="76"/>
      <c r="TAX219" s="76"/>
      <c r="TAY219" s="76"/>
      <c r="TAZ219" s="76"/>
      <c r="TBA219" s="76"/>
      <c r="TBB219" s="76"/>
      <c r="TBC219" s="76"/>
      <c r="TBD219" s="76"/>
      <c r="TBE219" s="76"/>
      <c r="TBF219" s="76"/>
      <c r="TBG219" s="76"/>
      <c r="TBH219" s="76"/>
      <c r="TBI219" s="76"/>
      <c r="TBJ219" s="76"/>
      <c r="TBK219" s="76"/>
      <c r="TBL219" s="76"/>
      <c r="TBM219" s="76"/>
      <c r="TBN219" s="76"/>
      <c r="TBO219" s="76"/>
      <c r="TBP219" s="76"/>
      <c r="TBQ219" s="76"/>
      <c r="TBR219" s="76"/>
      <c r="TBS219" s="76"/>
      <c r="TBT219" s="76"/>
      <c r="TBU219" s="76"/>
      <c r="TBV219" s="76"/>
      <c r="TBW219" s="76"/>
      <c r="TBX219" s="76"/>
      <c r="TBY219" s="76"/>
      <c r="TBZ219" s="76"/>
      <c r="TCA219" s="76"/>
      <c r="TCB219" s="76"/>
      <c r="TCC219" s="76"/>
      <c r="TCD219" s="76"/>
      <c r="TCE219" s="76"/>
      <c r="TCF219" s="76"/>
      <c r="TCG219" s="76"/>
      <c r="TCH219" s="76"/>
      <c r="TCI219" s="76"/>
      <c r="TCJ219" s="76"/>
      <c r="TCK219" s="76"/>
      <c r="TCL219" s="76"/>
      <c r="TCM219" s="76"/>
      <c r="TCN219" s="76"/>
      <c r="TCO219" s="76"/>
      <c r="TCP219" s="76"/>
      <c r="TCQ219" s="76"/>
      <c r="TCR219" s="76"/>
      <c r="TCS219" s="76"/>
      <c r="TCT219" s="76"/>
      <c r="TCU219" s="76"/>
      <c r="TCV219" s="76"/>
      <c r="TCW219" s="76"/>
      <c r="TCX219" s="76"/>
      <c r="TCY219" s="76"/>
      <c r="TCZ219" s="76"/>
      <c r="TDA219" s="76"/>
      <c r="TDB219" s="76"/>
      <c r="TDC219" s="76"/>
      <c r="TDD219" s="76"/>
      <c r="TDE219" s="76"/>
      <c r="TDF219" s="76"/>
      <c r="TDG219" s="76"/>
      <c r="TDH219" s="76"/>
      <c r="TDI219" s="76"/>
      <c r="TDJ219" s="76"/>
      <c r="TDK219" s="76"/>
      <c r="TDL219" s="76"/>
      <c r="TDM219" s="76"/>
      <c r="TDN219" s="76"/>
      <c r="TDO219" s="76"/>
      <c r="TDP219" s="76"/>
      <c r="TDQ219" s="76"/>
      <c r="TDR219" s="76"/>
      <c r="TDS219" s="76"/>
      <c r="TDT219" s="76"/>
      <c r="TDU219" s="76"/>
      <c r="TDV219" s="76"/>
      <c r="TDW219" s="76"/>
      <c r="TDX219" s="76"/>
      <c r="TDY219" s="76"/>
      <c r="TDZ219" s="76"/>
      <c r="TEA219" s="76"/>
      <c r="TEB219" s="76"/>
      <c r="TEC219" s="76"/>
      <c r="TED219" s="76"/>
      <c r="TEE219" s="76"/>
      <c r="TEF219" s="76"/>
      <c r="TEG219" s="76"/>
      <c r="TEH219" s="76"/>
      <c r="TEI219" s="76"/>
      <c r="TEJ219" s="76"/>
      <c r="TEK219" s="76"/>
      <c r="TEL219" s="76"/>
      <c r="TEM219" s="76"/>
      <c r="TEN219" s="76"/>
      <c r="TEO219" s="76"/>
      <c r="TEP219" s="76"/>
      <c r="TEQ219" s="76"/>
      <c r="TER219" s="76"/>
      <c r="TES219" s="76"/>
      <c r="TET219" s="76"/>
      <c r="TEU219" s="76"/>
      <c r="TEV219" s="76"/>
      <c r="TEW219" s="76"/>
      <c r="TEX219" s="76"/>
      <c r="TEY219" s="76"/>
      <c r="TEZ219" s="76"/>
      <c r="TFA219" s="76"/>
      <c r="TFB219" s="76"/>
      <c r="TFC219" s="76"/>
      <c r="TFD219" s="76"/>
      <c r="TFE219" s="76"/>
      <c r="TFF219" s="76"/>
      <c r="TFG219" s="76"/>
      <c r="TFH219" s="76"/>
      <c r="TFI219" s="76"/>
      <c r="TFJ219" s="76"/>
      <c r="TFK219" s="76"/>
      <c r="TFL219" s="76"/>
      <c r="TFM219" s="76"/>
      <c r="TFN219" s="76"/>
      <c r="TFO219" s="76"/>
      <c r="TFP219" s="76"/>
      <c r="TFQ219" s="76"/>
      <c r="TFR219" s="76"/>
      <c r="TFS219" s="76"/>
      <c r="TFT219" s="76"/>
      <c r="TFU219" s="76"/>
      <c r="TFV219" s="76"/>
      <c r="TFW219" s="76"/>
      <c r="TFX219" s="76"/>
      <c r="TFY219" s="76"/>
      <c r="TFZ219" s="76"/>
      <c r="TGA219" s="76"/>
      <c r="TGB219" s="76"/>
      <c r="TGC219" s="76"/>
      <c r="TGD219" s="76"/>
      <c r="TGE219" s="76"/>
      <c r="TGF219" s="76"/>
      <c r="TGG219" s="76"/>
      <c r="TGH219" s="76"/>
      <c r="TGI219" s="76"/>
      <c r="TGJ219" s="76"/>
      <c r="TGK219" s="76"/>
      <c r="TGL219" s="76"/>
      <c r="TGM219" s="76"/>
      <c r="TGN219" s="76"/>
      <c r="TGO219" s="76"/>
      <c r="TGP219" s="76"/>
      <c r="TGQ219" s="76"/>
      <c r="TGR219" s="76"/>
      <c r="TGS219" s="76"/>
      <c r="TGT219" s="76"/>
      <c r="TGU219" s="76"/>
      <c r="TGV219" s="76"/>
      <c r="TGW219" s="76"/>
      <c r="TGX219" s="76"/>
      <c r="TGY219" s="76"/>
      <c r="TGZ219" s="76"/>
      <c r="THA219" s="76"/>
      <c r="THB219" s="76"/>
      <c r="THC219" s="76"/>
      <c r="THD219" s="76"/>
      <c r="THE219" s="76"/>
      <c r="THF219" s="76"/>
      <c r="THG219" s="76"/>
      <c r="THH219" s="76"/>
      <c r="THI219" s="76"/>
      <c r="THJ219" s="76"/>
      <c r="THK219" s="76"/>
      <c r="THL219" s="76"/>
      <c r="THM219" s="76"/>
      <c r="THN219" s="76"/>
      <c r="THO219" s="76"/>
      <c r="THP219" s="76"/>
      <c r="THQ219" s="76"/>
      <c r="THR219" s="76"/>
      <c r="THS219" s="76"/>
      <c r="THT219" s="76"/>
      <c r="THU219" s="76"/>
      <c r="THV219" s="76"/>
      <c r="THW219" s="76"/>
      <c r="THX219" s="76"/>
      <c r="THY219" s="76"/>
      <c r="THZ219" s="76"/>
      <c r="TIA219" s="76"/>
      <c r="TIB219" s="76"/>
      <c r="TIC219" s="76"/>
      <c r="TID219" s="76"/>
      <c r="TIE219" s="76"/>
      <c r="TIF219" s="76"/>
      <c r="TIG219" s="76"/>
      <c r="TIH219" s="76"/>
      <c r="TII219" s="76"/>
      <c r="TIJ219" s="76"/>
      <c r="TIK219" s="76"/>
      <c r="TIL219" s="76"/>
      <c r="TIM219" s="76"/>
      <c r="TIN219" s="76"/>
      <c r="TIO219" s="76"/>
      <c r="TIP219" s="76"/>
      <c r="TIQ219" s="76"/>
      <c r="TIR219" s="76"/>
      <c r="TIS219" s="76"/>
      <c r="TIT219" s="76"/>
      <c r="TIU219" s="76"/>
      <c r="TIV219" s="76"/>
      <c r="TIW219" s="76"/>
      <c r="TIX219" s="76"/>
      <c r="TIY219" s="76"/>
      <c r="TIZ219" s="76"/>
      <c r="TJA219" s="76"/>
      <c r="TJB219" s="76"/>
      <c r="TJC219" s="76"/>
      <c r="TJD219" s="76"/>
      <c r="TJE219" s="76"/>
      <c r="TJF219" s="76"/>
      <c r="TJG219" s="76"/>
      <c r="TJH219" s="76"/>
      <c r="TJI219" s="76"/>
      <c r="TJJ219" s="76"/>
      <c r="TJK219" s="76"/>
      <c r="TJL219" s="76"/>
      <c r="TJM219" s="76"/>
      <c r="TJN219" s="76"/>
      <c r="TJO219" s="76"/>
      <c r="TJP219" s="76"/>
      <c r="TJQ219" s="76"/>
      <c r="TJR219" s="76"/>
      <c r="TJS219" s="76"/>
      <c r="TJT219" s="76"/>
      <c r="TJU219" s="76"/>
      <c r="TJV219" s="76"/>
      <c r="TJW219" s="76"/>
      <c r="TJX219" s="76"/>
      <c r="TJY219" s="76"/>
      <c r="TJZ219" s="76"/>
      <c r="TKA219" s="76"/>
      <c r="TKB219" s="76"/>
      <c r="TKC219" s="76"/>
      <c r="TKD219" s="76"/>
      <c r="TKE219" s="76"/>
      <c r="TKF219" s="76"/>
      <c r="TKG219" s="76"/>
      <c r="TKH219" s="76"/>
      <c r="TKI219" s="76"/>
      <c r="TKJ219" s="76"/>
      <c r="TKK219" s="76"/>
      <c r="TKL219" s="76"/>
      <c r="TKM219" s="76"/>
      <c r="TKN219" s="76"/>
      <c r="TKO219" s="76"/>
      <c r="TKP219" s="76"/>
      <c r="TKQ219" s="76"/>
      <c r="TKR219" s="76"/>
      <c r="TKS219" s="76"/>
      <c r="TKT219" s="76"/>
      <c r="TKU219" s="76"/>
      <c r="TKV219" s="76"/>
      <c r="TKW219" s="76"/>
      <c r="TKX219" s="76"/>
      <c r="TKY219" s="76"/>
      <c r="TKZ219" s="76"/>
      <c r="TLA219" s="76"/>
      <c r="TLB219" s="76"/>
      <c r="TLC219" s="76"/>
      <c r="TLD219" s="76"/>
      <c r="TLE219" s="76"/>
      <c r="TLF219" s="76"/>
      <c r="TLG219" s="76"/>
      <c r="TLH219" s="76"/>
      <c r="TLI219" s="76"/>
      <c r="TLJ219" s="76"/>
      <c r="TLK219" s="76"/>
      <c r="TLL219" s="76"/>
      <c r="TLM219" s="76"/>
      <c r="TLN219" s="76"/>
      <c r="TLO219" s="76"/>
      <c r="TLP219" s="76"/>
      <c r="TLQ219" s="76"/>
      <c r="TLR219" s="76"/>
      <c r="TLS219" s="76"/>
      <c r="TLT219" s="76"/>
      <c r="TLU219" s="76"/>
      <c r="TLV219" s="76"/>
      <c r="TLW219" s="76"/>
      <c r="TLX219" s="76"/>
      <c r="TLY219" s="76"/>
      <c r="TLZ219" s="76"/>
      <c r="TMA219" s="76"/>
      <c r="TMB219" s="76"/>
      <c r="TMC219" s="76"/>
      <c r="TMD219" s="76"/>
      <c r="TME219" s="76"/>
      <c r="TMF219" s="76"/>
      <c r="TMG219" s="76"/>
      <c r="TMH219" s="76"/>
      <c r="TMI219" s="76"/>
      <c r="TMJ219" s="76"/>
      <c r="TMK219" s="76"/>
      <c r="TML219" s="76"/>
      <c r="TMM219" s="76"/>
      <c r="TMN219" s="76"/>
      <c r="TMO219" s="76"/>
      <c r="TMP219" s="76"/>
      <c r="TMQ219" s="76"/>
      <c r="TMR219" s="76"/>
      <c r="TMS219" s="76"/>
      <c r="TMT219" s="76"/>
      <c r="TMU219" s="76"/>
      <c r="TMV219" s="76"/>
      <c r="TMW219" s="76"/>
      <c r="TMX219" s="76"/>
      <c r="TMY219" s="76"/>
      <c r="TMZ219" s="76"/>
      <c r="TNA219" s="76"/>
      <c r="TNB219" s="76"/>
      <c r="TNC219" s="76"/>
      <c r="TND219" s="76"/>
      <c r="TNE219" s="76"/>
      <c r="TNF219" s="76"/>
      <c r="TNG219" s="76"/>
      <c r="TNH219" s="76"/>
      <c r="TNI219" s="76"/>
      <c r="TNJ219" s="76"/>
      <c r="TNK219" s="76"/>
      <c r="TNL219" s="76"/>
      <c r="TNM219" s="76"/>
      <c r="TNN219" s="76"/>
      <c r="TNO219" s="76"/>
      <c r="TNP219" s="76"/>
      <c r="TNQ219" s="76"/>
      <c r="TNR219" s="76"/>
      <c r="TNS219" s="76"/>
      <c r="TNT219" s="76"/>
      <c r="TNU219" s="76"/>
      <c r="TNV219" s="76"/>
      <c r="TNW219" s="76"/>
      <c r="TNX219" s="76"/>
      <c r="TNY219" s="76"/>
      <c r="TNZ219" s="76"/>
      <c r="TOA219" s="76"/>
      <c r="TOB219" s="76"/>
      <c r="TOC219" s="76"/>
      <c r="TOD219" s="76"/>
      <c r="TOE219" s="76"/>
      <c r="TOF219" s="76"/>
      <c r="TOG219" s="76"/>
      <c r="TOH219" s="76"/>
      <c r="TOI219" s="76"/>
      <c r="TOJ219" s="76"/>
      <c r="TOK219" s="76"/>
      <c r="TOL219" s="76"/>
      <c r="TOM219" s="76"/>
      <c r="TON219" s="76"/>
      <c r="TOO219" s="76"/>
      <c r="TOP219" s="76"/>
      <c r="TOQ219" s="76"/>
      <c r="TOR219" s="76"/>
      <c r="TOS219" s="76"/>
      <c r="TOT219" s="76"/>
      <c r="TOU219" s="76"/>
      <c r="TOV219" s="76"/>
      <c r="TOW219" s="76"/>
      <c r="TOX219" s="76"/>
      <c r="TOY219" s="76"/>
      <c r="TOZ219" s="76"/>
      <c r="TPA219" s="76"/>
      <c r="TPB219" s="76"/>
      <c r="TPC219" s="76"/>
      <c r="TPD219" s="76"/>
      <c r="TPE219" s="76"/>
      <c r="TPF219" s="76"/>
      <c r="TPG219" s="76"/>
      <c r="TPH219" s="76"/>
      <c r="TPI219" s="76"/>
      <c r="TPJ219" s="76"/>
      <c r="TPK219" s="76"/>
      <c r="TPL219" s="76"/>
      <c r="TPM219" s="76"/>
      <c r="TPN219" s="76"/>
      <c r="TPO219" s="76"/>
      <c r="TPP219" s="76"/>
      <c r="TPQ219" s="76"/>
      <c r="TPR219" s="76"/>
      <c r="TPS219" s="76"/>
      <c r="TPT219" s="76"/>
      <c r="TPU219" s="76"/>
      <c r="TPV219" s="76"/>
      <c r="TPW219" s="76"/>
      <c r="TPX219" s="76"/>
      <c r="TPY219" s="76"/>
      <c r="TPZ219" s="76"/>
      <c r="TQA219" s="76"/>
      <c r="TQB219" s="76"/>
      <c r="TQC219" s="76"/>
      <c r="TQD219" s="76"/>
      <c r="TQE219" s="76"/>
      <c r="TQF219" s="76"/>
      <c r="TQG219" s="76"/>
      <c r="TQH219" s="76"/>
      <c r="TQI219" s="76"/>
      <c r="TQJ219" s="76"/>
      <c r="TQK219" s="76"/>
      <c r="TQL219" s="76"/>
      <c r="TQM219" s="76"/>
      <c r="TQN219" s="76"/>
      <c r="TQO219" s="76"/>
      <c r="TQP219" s="76"/>
      <c r="TQQ219" s="76"/>
      <c r="TQR219" s="76"/>
      <c r="TQS219" s="76"/>
      <c r="TQT219" s="76"/>
      <c r="TQU219" s="76"/>
      <c r="TQV219" s="76"/>
      <c r="TQW219" s="76"/>
      <c r="TQX219" s="76"/>
      <c r="TQY219" s="76"/>
      <c r="TQZ219" s="76"/>
      <c r="TRA219" s="76"/>
      <c r="TRB219" s="76"/>
      <c r="TRC219" s="76"/>
      <c r="TRD219" s="76"/>
      <c r="TRE219" s="76"/>
      <c r="TRF219" s="76"/>
      <c r="TRG219" s="76"/>
      <c r="TRH219" s="76"/>
      <c r="TRI219" s="76"/>
      <c r="TRJ219" s="76"/>
      <c r="TRK219" s="76"/>
      <c r="TRL219" s="76"/>
      <c r="TRM219" s="76"/>
      <c r="TRN219" s="76"/>
      <c r="TRO219" s="76"/>
      <c r="TRP219" s="76"/>
      <c r="TRQ219" s="76"/>
      <c r="TRR219" s="76"/>
      <c r="TRS219" s="76"/>
      <c r="TRT219" s="76"/>
      <c r="TRU219" s="76"/>
      <c r="TRV219" s="76"/>
      <c r="TRW219" s="76"/>
      <c r="TRX219" s="76"/>
      <c r="TRY219" s="76"/>
      <c r="TRZ219" s="76"/>
      <c r="TSA219" s="76"/>
      <c r="TSB219" s="76"/>
      <c r="TSC219" s="76"/>
      <c r="TSD219" s="76"/>
      <c r="TSE219" s="76"/>
      <c r="TSF219" s="76"/>
      <c r="TSG219" s="76"/>
      <c r="TSH219" s="76"/>
      <c r="TSI219" s="76"/>
      <c r="TSJ219" s="76"/>
      <c r="TSK219" s="76"/>
      <c r="TSL219" s="76"/>
      <c r="TSM219" s="76"/>
      <c r="TSN219" s="76"/>
      <c r="TSO219" s="76"/>
      <c r="TSP219" s="76"/>
      <c r="TSQ219" s="76"/>
      <c r="TSR219" s="76"/>
      <c r="TSS219" s="76"/>
      <c r="TST219" s="76"/>
      <c r="TSU219" s="76"/>
      <c r="TSV219" s="76"/>
      <c r="TSW219" s="76"/>
      <c r="TSX219" s="76"/>
      <c r="TSY219" s="76"/>
      <c r="TSZ219" s="76"/>
      <c r="TTA219" s="76"/>
      <c r="TTB219" s="76"/>
      <c r="TTC219" s="76"/>
      <c r="TTD219" s="76"/>
      <c r="TTE219" s="76"/>
      <c r="TTF219" s="76"/>
      <c r="TTG219" s="76"/>
      <c r="TTH219" s="76"/>
      <c r="TTI219" s="76"/>
      <c r="TTJ219" s="76"/>
      <c r="TTK219" s="76"/>
      <c r="TTL219" s="76"/>
      <c r="TTM219" s="76"/>
      <c r="TTN219" s="76"/>
      <c r="TTO219" s="76"/>
      <c r="TTP219" s="76"/>
      <c r="TTQ219" s="76"/>
      <c r="TTR219" s="76"/>
      <c r="TTS219" s="76"/>
      <c r="TTT219" s="76"/>
      <c r="TTU219" s="76"/>
      <c r="TTV219" s="76"/>
      <c r="TTW219" s="76"/>
      <c r="TTX219" s="76"/>
      <c r="TTY219" s="76"/>
      <c r="TTZ219" s="76"/>
      <c r="TUA219" s="76"/>
      <c r="TUB219" s="76"/>
      <c r="TUC219" s="76"/>
      <c r="TUD219" s="76"/>
      <c r="TUE219" s="76"/>
      <c r="TUF219" s="76"/>
      <c r="TUG219" s="76"/>
      <c r="TUH219" s="76"/>
      <c r="TUI219" s="76"/>
      <c r="TUJ219" s="76"/>
      <c r="TUK219" s="76"/>
      <c r="TUL219" s="76"/>
      <c r="TUM219" s="76"/>
      <c r="TUN219" s="76"/>
      <c r="TUO219" s="76"/>
      <c r="TUP219" s="76"/>
      <c r="TUQ219" s="76"/>
      <c r="TUR219" s="76"/>
      <c r="TUS219" s="76"/>
      <c r="TUT219" s="76"/>
      <c r="TUU219" s="76"/>
      <c r="TUV219" s="76"/>
      <c r="TUW219" s="76"/>
      <c r="TUX219" s="76"/>
      <c r="TUY219" s="76"/>
      <c r="TUZ219" s="76"/>
      <c r="TVA219" s="76"/>
      <c r="TVB219" s="76"/>
      <c r="TVC219" s="76"/>
      <c r="TVD219" s="76"/>
      <c r="TVE219" s="76"/>
      <c r="TVF219" s="76"/>
      <c r="TVG219" s="76"/>
      <c r="TVH219" s="76"/>
      <c r="TVI219" s="76"/>
      <c r="TVJ219" s="76"/>
      <c r="TVK219" s="76"/>
      <c r="TVL219" s="76"/>
      <c r="TVM219" s="76"/>
      <c r="TVN219" s="76"/>
      <c r="TVO219" s="76"/>
      <c r="TVP219" s="76"/>
      <c r="TVQ219" s="76"/>
      <c r="TVR219" s="76"/>
      <c r="TVS219" s="76"/>
      <c r="TVT219" s="76"/>
      <c r="TVU219" s="76"/>
      <c r="TVV219" s="76"/>
      <c r="TVW219" s="76"/>
      <c r="TVX219" s="76"/>
      <c r="TVY219" s="76"/>
      <c r="TVZ219" s="76"/>
      <c r="TWA219" s="76"/>
      <c r="TWB219" s="76"/>
      <c r="TWC219" s="76"/>
      <c r="TWD219" s="76"/>
      <c r="TWE219" s="76"/>
      <c r="TWF219" s="76"/>
      <c r="TWG219" s="76"/>
      <c r="TWH219" s="76"/>
      <c r="TWI219" s="76"/>
      <c r="TWJ219" s="76"/>
      <c r="TWK219" s="76"/>
      <c r="TWL219" s="76"/>
      <c r="TWM219" s="76"/>
      <c r="TWN219" s="76"/>
      <c r="TWO219" s="76"/>
      <c r="TWP219" s="76"/>
      <c r="TWQ219" s="76"/>
      <c r="TWR219" s="76"/>
      <c r="TWS219" s="76"/>
      <c r="TWT219" s="76"/>
      <c r="TWU219" s="76"/>
      <c r="TWV219" s="76"/>
      <c r="TWW219" s="76"/>
      <c r="TWX219" s="76"/>
      <c r="TWY219" s="76"/>
      <c r="TWZ219" s="76"/>
      <c r="TXA219" s="76"/>
      <c r="TXB219" s="76"/>
      <c r="TXC219" s="76"/>
      <c r="TXD219" s="76"/>
      <c r="TXE219" s="76"/>
      <c r="TXF219" s="76"/>
      <c r="TXG219" s="76"/>
      <c r="TXH219" s="76"/>
      <c r="TXI219" s="76"/>
      <c r="TXJ219" s="76"/>
      <c r="TXK219" s="76"/>
      <c r="TXL219" s="76"/>
      <c r="TXM219" s="76"/>
      <c r="TXN219" s="76"/>
      <c r="TXO219" s="76"/>
      <c r="TXP219" s="76"/>
      <c r="TXQ219" s="76"/>
      <c r="TXR219" s="76"/>
      <c r="TXS219" s="76"/>
      <c r="TXT219" s="76"/>
      <c r="TXU219" s="76"/>
      <c r="TXV219" s="76"/>
      <c r="TXW219" s="76"/>
      <c r="TXX219" s="76"/>
      <c r="TXY219" s="76"/>
      <c r="TXZ219" s="76"/>
      <c r="TYA219" s="76"/>
      <c r="TYB219" s="76"/>
      <c r="TYC219" s="76"/>
      <c r="TYD219" s="76"/>
      <c r="TYE219" s="76"/>
      <c r="TYF219" s="76"/>
      <c r="TYG219" s="76"/>
      <c r="TYH219" s="76"/>
      <c r="TYI219" s="76"/>
      <c r="TYJ219" s="76"/>
      <c r="TYK219" s="76"/>
      <c r="TYL219" s="76"/>
      <c r="TYM219" s="76"/>
      <c r="TYN219" s="76"/>
      <c r="TYO219" s="76"/>
      <c r="TYP219" s="76"/>
      <c r="TYQ219" s="76"/>
      <c r="TYR219" s="76"/>
      <c r="TYS219" s="76"/>
      <c r="TYT219" s="76"/>
      <c r="TYU219" s="76"/>
      <c r="TYV219" s="76"/>
      <c r="TYW219" s="76"/>
      <c r="TYX219" s="76"/>
      <c r="TYY219" s="76"/>
      <c r="TYZ219" s="76"/>
      <c r="TZA219" s="76"/>
      <c r="TZB219" s="76"/>
      <c r="TZC219" s="76"/>
      <c r="TZD219" s="76"/>
      <c r="TZE219" s="76"/>
      <c r="TZF219" s="76"/>
      <c r="TZG219" s="76"/>
      <c r="TZH219" s="76"/>
      <c r="TZI219" s="76"/>
      <c r="TZJ219" s="76"/>
      <c r="TZK219" s="76"/>
      <c r="TZL219" s="76"/>
      <c r="TZM219" s="76"/>
      <c r="TZN219" s="76"/>
      <c r="TZO219" s="76"/>
      <c r="TZP219" s="76"/>
      <c r="TZQ219" s="76"/>
      <c r="TZR219" s="76"/>
      <c r="TZS219" s="76"/>
      <c r="TZT219" s="76"/>
      <c r="TZU219" s="76"/>
      <c r="TZV219" s="76"/>
      <c r="TZW219" s="76"/>
      <c r="TZX219" s="76"/>
      <c r="TZY219" s="76"/>
      <c r="TZZ219" s="76"/>
      <c r="UAA219" s="76"/>
      <c r="UAB219" s="76"/>
      <c r="UAC219" s="76"/>
      <c r="UAD219" s="76"/>
      <c r="UAE219" s="76"/>
      <c r="UAF219" s="76"/>
      <c r="UAG219" s="76"/>
      <c r="UAH219" s="76"/>
      <c r="UAI219" s="76"/>
      <c r="UAJ219" s="76"/>
      <c r="UAK219" s="76"/>
      <c r="UAL219" s="76"/>
      <c r="UAM219" s="76"/>
      <c r="UAN219" s="76"/>
      <c r="UAO219" s="76"/>
      <c r="UAP219" s="76"/>
      <c r="UAQ219" s="76"/>
      <c r="UAR219" s="76"/>
      <c r="UAS219" s="76"/>
      <c r="UAT219" s="76"/>
      <c r="UAU219" s="76"/>
      <c r="UAV219" s="76"/>
      <c r="UAW219" s="76"/>
      <c r="UAX219" s="76"/>
      <c r="UAY219" s="76"/>
      <c r="UAZ219" s="76"/>
      <c r="UBA219" s="76"/>
      <c r="UBB219" s="76"/>
      <c r="UBC219" s="76"/>
      <c r="UBD219" s="76"/>
      <c r="UBE219" s="76"/>
      <c r="UBF219" s="76"/>
      <c r="UBG219" s="76"/>
      <c r="UBH219" s="76"/>
      <c r="UBI219" s="76"/>
      <c r="UBJ219" s="76"/>
      <c r="UBK219" s="76"/>
      <c r="UBL219" s="76"/>
      <c r="UBM219" s="76"/>
      <c r="UBN219" s="76"/>
      <c r="UBO219" s="76"/>
      <c r="UBP219" s="76"/>
      <c r="UBQ219" s="76"/>
      <c r="UBR219" s="76"/>
      <c r="UBS219" s="76"/>
      <c r="UBT219" s="76"/>
      <c r="UBU219" s="76"/>
      <c r="UBV219" s="76"/>
      <c r="UBW219" s="76"/>
      <c r="UBX219" s="76"/>
      <c r="UBY219" s="76"/>
      <c r="UBZ219" s="76"/>
      <c r="UCA219" s="76"/>
      <c r="UCB219" s="76"/>
      <c r="UCC219" s="76"/>
      <c r="UCD219" s="76"/>
      <c r="UCE219" s="76"/>
      <c r="UCF219" s="76"/>
      <c r="UCG219" s="76"/>
      <c r="UCH219" s="76"/>
      <c r="UCI219" s="76"/>
      <c r="UCJ219" s="76"/>
      <c r="UCK219" s="76"/>
      <c r="UCL219" s="76"/>
      <c r="UCM219" s="76"/>
      <c r="UCN219" s="76"/>
      <c r="UCO219" s="76"/>
      <c r="UCP219" s="76"/>
      <c r="UCQ219" s="76"/>
      <c r="UCR219" s="76"/>
      <c r="UCS219" s="76"/>
      <c r="UCT219" s="76"/>
      <c r="UCU219" s="76"/>
      <c r="UCV219" s="76"/>
      <c r="UCW219" s="76"/>
      <c r="UCX219" s="76"/>
      <c r="UCY219" s="76"/>
      <c r="UCZ219" s="76"/>
      <c r="UDA219" s="76"/>
      <c r="UDB219" s="76"/>
      <c r="UDC219" s="76"/>
      <c r="UDD219" s="76"/>
      <c r="UDE219" s="76"/>
      <c r="UDF219" s="76"/>
      <c r="UDG219" s="76"/>
      <c r="UDH219" s="76"/>
      <c r="UDI219" s="76"/>
      <c r="UDJ219" s="76"/>
      <c r="UDK219" s="76"/>
      <c r="UDL219" s="76"/>
      <c r="UDM219" s="76"/>
      <c r="UDN219" s="76"/>
      <c r="UDO219" s="76"/>
      <c r="UDP219" s="76"/>
      <c r="UDQ219" s="76"/>
      <c r="UDR219" s="76"/>
      <c r="UDS219" s="76"/>
      <c r="UDT219" s="76"/>
      <c r="UDU219" s="76"/>
      <c r="UDV219" s="76"/>
      <c r="UDW219" s="76"/>
      <c r="UDX219" s="76"/>
      <c r="UDY219" s="76"/>
      <c r="UDZ219" s="76"/>
      <c r="UEA219" s="76"/>
      <c r="UEB219" s="76"/>
      <c r="UEC219" s="76"/>
      <c r="UED219" s="76"/>
      <c r="UEE219" s="76"/>
      <c r="UEF219" s="76"/>
      <c r="UEG219" s="76"/>
      <c r="UEH219" s="76"/>
      <c r="UEI219" s="76"/>
      <c r="UEJ219" s="76"/>
      <c r="UEK219" s="76"/>
      <c r="UEL219" s="76"/>
      <c r="UEM219" s="76"/>
      <c r="UEN219" s="76"/>
      <c r="UEO219" s="76"/>
      <c r="UEP219" s="76"/>
      <c r="UEQ219" s="76"/>
      <c r="UER219" s="76"/>
      <c r="UES219" s="76"/>
      <c r="UET219" s="76"/>
      <c r="UEU219" s="76"/>
      <c r="UEV219" s="76"/>
      <c r="UEW219" s="76"/>
      <c r="UEX219" s="76"/>
      <c r="UEY219" s="76"/>
      <c r="UEZ219" s="76"/>
      <c r="UFA219" s="76"/>
      <c r="UFB219" s="76"/>
      <c r="UFC219" s="76"/>
      <c r="UFD219" s="76"/>
      <c r="UFE219" s="76"/>
      <c r="UFF219" s="76"/>
      <c r="UFG219" s="76"/>
      <c r="UFH219" s="76"/>
      <c r="UFI219" s="76"/>
      <c r="UFJ219" s="76"/>
      <c r="UFK219" s="76"/>
      <c r="UFL219" s="76"/>
      <c r="UFM219" s="76"/>
      <c r="UFN219" s="76"/>
      <c r="UFO219" s="76"/>
      <c r="UFP219" s="76"/>
      <c r="UFQ219" s="76"/>
      <c r="UFR219" s="76"/>
      <c r="UFS219" s="76"/>
      <c r="UFT219" s="76"/>
      <c r="UFU219" s="76"/>
      <c r="UFV219" s="76"/>
      <c r="UFW219" s="76"/>
      <c r="UFX219" s="76"/>
      <c r="UFY219" s="76"/>
      <c r="UFZ219" s="76"/>
      <c r="UGA219" s="76"/>
      <c r="UGB219" s="76"/>
      <c r="UGC219" s="76"/>
      <c r="UGD219" s="76"/>
      <c r="UGE219" s="76"/>
      <c r="UGF219" s="76"/>
      <c r="UGG219" s="76"/>
      <c r="UGH219" s="76"/>
      <c r="UGI219" s="76"/>
      <c r="UGJ219" s="76"/>
      <c r="UGK219" s="76"/>
      <c r="UGL219" s="76"/>
      <c r="UGM219" s="76"/>
      <c r="UGN219" s="76"/>
      <c r="UGO219" s="76"/>
      <c r="UGP219" s="76"/>
      <c r="UGQ219" s="76"/>
      <c r="UGR219" s="76"/>
      <c r="UGS219" s="76"/>
      <c r="UGT219" s="76"/>
      <c r="UGU219" s="76"/>
      <c r="UGV219" s="76"/>
      <c r="UGW219" s="76"/>
      <c r="UGX219" s="76"/>
      <c r="UGY219" s="76"/>
      <c r="UGZ219" s="76"/>
      <c r="UHA219" s="76"/>
      <c r="UHB219" s="76"/>
      <c r="UHC219" s="76"/>
      <c r="UHD219" s="76"/>
      <c r="UHE219" s="76"/>
      <c r="UHF219" s="76"/>
      <c r="UHG219" s="76"/>
      <c r="UHH219" s="76"/>
      <c r="UHI219" s="76"/>
      <c r="UHJ219" s="76"/>
      <c r="UHK219" s="76"/>
      <c r="UHL219" s="76"/>
      <c r="UHM219" s="76"/>
      <c r="UHN219" s="76"/>
      <c r="UHO219" s="76"/>
      <c r="UHP219" s="76"/>
      <c r="UHQ219" s="76"/>
      <c r="UHR219" s="76"/>
      <c r="UHS219" s="76"/>
      <c r="UHT219" s="76"/>
      <c r="UHU219" s="76"/>
      <c r="UHV219" s="76"/>
      <c r="UHW219" s="76"/>
      <c r="UHX219" s="76"/>
      <c r="UHY219" s="76"/>
      <c r="UHZ219" s="76"/>
      <c r="UIA219" s="76"/>
      <c r="UIB219" s="76"/>
      <c r="UIC219" s="76"/>
      <c r="UID219" s="76"/>
      <c r="UIE219" s="76"/>
      <c r="UIF219" s="76"/>
      <c r="UIG219" s="76"/>
      <c r="UIH219" s="76"/>
      <c r="UII219" s="76"/>
      <c r="UIJ219" s="76"/>
      <c r="UIK219" s="76"/>
      <c r="UIL219" s="76"/>
      <c r="UIM219" s="76"/>
      <c r="UIN219" s="76"/>
      <c r="UIO219" s="76"/>
      <c r="UIP219" s="76"/>
      <c r="UIQ219" s="76"/>
      <c r="UIR219" s="76"/>
      <c r="UIS219" s="76"/>
      <c r="UIT219" s="76"/>
      <c r="UIU219" s="76"/>
      <c r="UIV219" s="76"/>
      <c r="UIW219" s="76"/>
      <c r="UIX219" s="76"/>
      <c r="UIY219" s="76"/>
      <c r="UIZ219" s="76"/>
      <c r="UJA219" s="76"/>
      <c r="UJB219" s="76"/>
      <c r="UJC219" s="76"/>
      <c r="UJD219" s="76"/>
      <c r="UJE219" s="76"/>
      <c r="UJF219" s="76"/>
      <c r="UJG219" s="76"/>
      <c r="UJH219" s="76"/>
      <c r="UJI219" s="76"/>
      <c r="UJJ219" s="76"/>
      <c r="UJK219" s="76"/>
      <c r="UJL219" s="76"/>
      <c r="UJM219" s="76"/>
      <c r="UJN219" s="76"/>
      <c r="UJO219" s="76"/>
      <c r="UJP219" s="76"/>
      <c r="UJQ219" s="76"/>
      <c r="UJR219" s="76"/>
      <c r="UJS219" s="76"/>
      <c r="UJT219" s="76"/>
      <c r="UJU219" s="76"/>
      <c r="UJV219" s="76"/>
      <c r="UJW219" s="76"/>
      <c r="UJX219" s="76"/>
      <c r="UJY219" s="76"/>
      <c r="UJZ219" s="76"/>
      <c r="UKA219" s="76"/>
      <c r="UKB219" s="76"/>
      <c r="UKC219" s="76"/>
      <c r="UKD219" s="76"/>
      <c r="UKE219" s="76"/>
      <c r="UKF219" s="76"/>
      <c r="UKG219" s="76"/>
      <c r="UKH219" s="76"/>
      <c r="UKI219" s="76"/>
      <c r="UKJ219" s="76"/>
      <c r="UKK219" s="76"/>
      <c r="UKL219" s="76"/>
      <c r="UKM219" s="76"/>
      <c r="UKN219" s="76"/>
      <c r="UKO219" s="76"/>
      <c r="UKP219" s="76"/>
      <c r="UKQ219" s="76"/>
      <c r="UKR219" s="76"/>
      <c r="UKS219" s="76"/>
      <c r="UKT219" s="76"/>
      <c r="UKU219" s="76"/>
      <c r="UKV219" s="76"/>
      <c r="UKW219" s="76"/>
      <c r="UKX219" s="76"/>
      <c r="UKY219" s="76"/>
      <c r="UKZ219" s="76"/>
      <c r="ULA219" s="76"/>
      <c r="ULB219" s="76"/>
      <c r="ULC219" s="76"/>
      <c r="ULD219" s="76"/>
      <c r="ULE219" s="76"/>
      <c r="ULF219" s="76"/>
      <c r="ULG219" s="76"/>
      <c r="ULH219" s="76"/>
      <c r="ULI219" s="76"/>
      <c r="ULJ219" s="76"/>
      <c r="ULK219" s="76"/>
      <c r="ULL219" s="76"/>
      <c r="ULM219" s="76"/>
      <c r="ULN219" s="76"/>
      <c r="ULO219" s="76"/>
      <c r="ULP219" s="76"/>
      <c r="ULQ219" s="76"/>
      <c r="ULR219" s="76"/>
      <c r="ULS219" s="76"/>
      <c r="ULT219" s="76"/>
      <c r="ULU219" s="76"/>
      <c r="ULV219" s="76"/>
      <c r="ULW219" s="76"/>
      <c r="ULX219" s="76"/>
      <c r="ULY219" s="76"/>
      <c r="ULZ219" s="76"/>
      <c r="UMA219" s="76"/>
      <c r="UMB219" s="76"/>
      <c r="UMC219" s="76"/>
      <c r="UMD219" s="76"/>
      <c r="UME219" s="76"/>
      <c r="UMF219" s="76"/>
      <c r="UMG219" s="76"/>
      <c r="UMH219" s="76"/>
      <c r="UMI219" s="76"/>
      <c r="UMJ219" s="76"/>
      <c r="UMK219" s="76"/>
      <c r="UML219" s="76"/>
      <c r="UMM219" s="76"/>
      <c r="UMN219" s="76"/>
      <c r="UMO219" s="76"/>
      <c r="UMP219" s="76"/>
      <c r="UMQ219" s="76"/>
      <c r="UMR219" s="76"/>
      <c r="UMS219" s="76"/>
      <c r="UMT219" s="76"/>
      <c r="UMU219" s="76"/>
      <c r="UMV219" s="76"/>
      <c r="UMW219" s="76"/>
      <c r="UMX219" s="76"/>
      <c r="UMY219" s="76"/>
      <c r="UMZ219" s="76"/>
      <c r="UNA219" s="76"/>
      <c r="UNB219" s="76"/>
      <c r="UNC219" s="76"/>
      <c r="UND219" s="76"/>
      <c r="UNE219" s="76"/>
      <c r="UNF219" s="76"/>
      <c r="UNG219" s="76"/>
      <c r="UNH219" s="76"/>
      <c r="UNI219" s="76"/>
      <c r="UNJ219" s="76"/>
      <c r="UNK219" s="76"/>
      <c r="UNL219" s="76"/>
      <c r="UNM219" s="76"/>
      <c r="UNN219" s="76"/>
      <c r="UNO219" s="76"/>
      <c r="UNP219" s="76"/>
      <c r="UNQ219" s="76"/>
      <c r="UNR219" s="76"/>
      <c r="UNS219" s="76"/>
      <c r="UNT219" s="76"/>
      <c r="UNU219" s="76"/>
      <c r="UNV219" s="76"/>
      <c r="UNW219" s="76"/>
      <c r="UNX219" s="76"/>
      <c r="UNY219" s="76"/>
      <c r="UNZ219" s="76"/>
      <c r="UOA219" s="76"/>
      <c r="UOB219" s="76"/>
      <c r="UOC219" s="76"/>
      <c r="UOD219" s="76"/>
      <c r="UOE219" s="76"/>
      <c r="UOF219" s="76"/>
      <c r="UOG219" s="76"/>
      <c r="UOH219" s="76"/>
      <c r="UOI219" s="76"/>
      <c r="UOJ219" s="76"/>
      <c r="UOK219" s="76"/>
      <c r="UOL219" s="76"/>
      <c r="UOM219" s="76"/>
      <c r="UON219" s="76"/>
      <c r="UOO219" s="76"/>
      <c r="UOP219" s="76"/>
      <c r="UOQ219" s="76"/>
      <c r="UOR219" s="76"/>
      <c r="UOS219" s="76"/>
      <c r="UOT219" s="76"/>
      <c r="UOU219" s="76"/>
      <c r="UOV219" s="76"/>
      <c r="UOW219" s="76"/>
      <c r="UOX219" s="76"/>
      <c r="UOY219" s="76"/>
      <c r="UOZ219" s="76"/>
      <c r="UPA219" s="76"/>
      <c r="UPB219" s="76"/>
      <c r="UPC219" s="76"/>
      <c r="UPD219" s="76"/>
      <c r="UPE219" s="76"/>
      <c r="UPF219" s="76"/>
      <c r="UPG219" s="76"/>
      <c r="UPH219" s="76"/>
      <c r="UPI219" s="76"/>
      <c r="UPJ219" s="76"/>
      <c r="UPK219" s="76"/>
      <c r="UPL219" s="76"/>
      <c r="UPM219" s="76"/>
      <c r="UPN219" s="76"/>
      <c r="UPO219" s="76"/>
      <c r="UPP219" s="76"/>
      <c r="UPQ219" s="76"/>
      <c r="UPR219" s="76"/>
      <c r="UPS219" s="76"/>
      <c r="UPT219" s="76"/>
      <c r="UPU219" s="76"/>
      <c r="UPV219" s="76"/>
      <c r="UPW219" s="76"/>
      <c r="UPX219" s="76"/>
      <c r="UPY219" s="76"/>
      <c r="UPZ219" s="76"/>
      <c r="UQA219" s="76"/>
      <c r="UQB219" s="76"/>
      <c r="UQC219" s="76"/>
      <c r="UQD219" s="76"/>
      <c r="UQE219" s="76"/>
      <c r="UQF219" s="76"/>
      <c r="UQG219" s="76"/>
      <c r="UQH219" s="76"/>
      <c r="UQI219" s="76"/>
      <c r="UQJ219" s="76"/>
      <c r="UQK219" s="76"/>
      <c r="UQL219" s="76"/>
      <c r="UQM219" s="76"/>
      <c r="UQN219" s="76"/>
      <c r="UQO219" s="76"/>
      <c r="UQP219" s="76"/>
      <c r="UQQ219" s="76"/>
      <c r="UQR219" s="76"/>
      <c r="UQS219" s="76"/>
      <c r="UQT219" s="76"/>
      <c r="UQU219" s="76"/>
      <c r="UQV219" s="76"/>
      <c r="UQW219" s="76"/>
      <c r="UQX219" s="76"/>
      <c r="UQY219" s="76"/>
      <c r="UQZ219" s="76"/>
      <c r="URA219" s="76"/>
      <c r="URB219" s="76"/>
      <c r="URC219" s="76"/>
      <c r="URD219" s="76"/>
      <c r="URE219" s="76"/>
      <c r="URF219" s="76"/>
      <c r="URG219" s="76"/>
      <c r="URH219" s="76"/>
      <c r="URI219" s="76"/>
      <c r="URJ219" s="76"/>
      <c r="URK219" s="76"/>
      <c r="URL219" s="76"/>
      <c r="URM219" s="76"/>
      <c r="URN219" s="76"/>
      <c r="URO219" s="76"/>
      <c r="URP219" s="76"/>
      <c r="URQ219" s="76"/>
      <c r="URR219" s="76"/>
      <c r="URS219" s="76"/>
      <c r="URT219" s="76"/>
      <c r="URU219" s="76"/>
      <c r="URV219" s="76"/>
      <c r="URW219" s="76"/>
      <c r="URX219" s="76"/>
      <c r="URY219" s="76"/>
      <c r="URZ219" s="76"/>
      <c r="USA219" s="76"/>
      <c r="USB219" s="76"/>
      <c r="USC219" s="76"/>
      <c r="USD219" s="76"/>
      <c r="USE219" s="76"/>
      <c r="USF219" s="76"/>
      <c r="USG219" s="76"/>
      <c r="USH219" s="76"/>
      <c r="USI219" s="76"/>
      <c r="USJ219" s="76"/>
      <c r="USK219" s="76"/>
      <c r="USL219" s="76"/>
      <c r="USM219" s="76"/>
      <c r="USN219" s="76"/>
      <c r="USO219" s="76"/>
      <c r="USP219" s="76"/>
      <c r="USQ219" s="76"/>
      <c r="USR219" s="76"/>
      <c r="USS219" s="76"/>
      <c r="UST219" s="76"/>
      <c r="USU219" s="76"/>
      <c r="USV219" s="76"/>
      <c r="USW219" s="76"/>
      <c r="USX219" s="76"/>
      <c r="USY219" s="76"/>
      <c r="USZ219" s="76"/>
      <c r="UTA219" s="76"/>
      <c r="UTB219" s="76"/>
      <c r="UTC219" s="76"/>
      <c r="UTD219" s="76"/>
      <c r="UTE219" s="76"/>
      <c r="UTF219" s="76"/>
      <c r="UTG219" s="76"/>
      <c r="UTH219" s="76"/>
      <c r="UTI219" s="76"/>
      <c r="UTJ219" s="76"/>
      <c r="UTK219" s="76"/>
      <c r="UTL219" s="76"/>
      <c r="UTM219" s="76"/>
      <c r="UTN219" s="76"/>
      <c r="UTO219" s="76"/>
      <c r="UTP219" s="76"/>
      <c r="UTQ219" s="76"/>
      <c r="UTR219" s="76"/>
      <c r="UTS219" s="76"/>
      <c r="UTT219" s="76"/>
      <c r="UTU219" s="76"/>
      <c r="UTV219" s="76"/>
      <c r="UTW219" s="76"/>
      <c r="UTX219" s="76"/>
      <c r="UTY219" s="76"/>
      <c r="UTZ219" s="76"/>
      <c r="UUA219" s="76"/>
      <c r="UUB219" s="76"/>
      <c r="UUC219" s="76"/>
      <c r="UUD219" s="76"/>
      <c r="UUE219" s="76"/>
      <c r="UUF219" s="76"/>
      <c r="UUG219" s="76"/>
      <c r="UUH219" s="76"/>
      <c r="UUI219" s="76"/>
      <c r="UUJ219" s="76"/>
      <c r="UUK219" s="76"/>
      <c r="UUL219" s="76"/>
      <c r="UUM219" s="76"/>
      <c r="UUN219" s="76"/>
      <c r="UUO219" s="76"/>
      <c r="UUP219" s="76"/>
      <c r="UUQ219" s="76"/>
      <c r="UUR219" s="76"/>
      <c r="UUS219" s="76"/>
      <c r="UUT219" s="76"/>
      <c r="UUU219" s="76"/>
      <c r="UUV219" s="76"/>
      <c r="UUW219" s="76"/>
      <c r="UUX219" s="76"/>
      <c r="UUY219" s="76"/>
      <c r="UUZ219" s="76"/>
      <c r="UVA219" s="76"/>
      <c r="UVB219" s="76"/>
      <c r="UVC219" s="76"/>
      <c r="UVD219" s="76"/>
      <c r="UVE219" s="76"/>
      <c r="UVF219" s="76"/>
      <c r="UVG219" s="76"/>
      <c r="UVH219" s="76"/>
      <c r="UVI219" s="76"/>
      <c r="UVJ219" s="76"/>
      <c r="UVK219" s="76"/>
      <c r="UVL219" s="76"/>
      <c r="UVM219" s="76"/>
      <c r="UVN219" s="76"/>
      <c r="UVO219" s="76"/>
      <c r="UVP219" s="76"/>
      <c r="UVQ219" s="76"/>
      <c r="UVR219" s="76"/>
      <c r="UVS219" s="76"/>
      <c r="UVT219" s="76"/>
      <c r="UVU219" s="76"/>
      <c r="UVV219" s="76"/>
      <c r="UVW219" s="76"/>
      <c r="UVX219" s="76"/>
      <c r="UVY219" s="76"/>
      <c r="UVZ219" s="76"/>
      <c r="UWA219" s="76"/>
      <c r="UWB219" s="76"/>
      <c r="UWC219" s="76"/>
      <c r="UWD219" s="76"/>
      <c r="UWE219" s="76"/>
      <c r="UWF219" s="76"/>
      <c r="UWG219" s="76"/>
      <c r="UWH219" s="76"/>
      <c r="UWI219" s="76"/>
      <c r="UWJ219" s="76"/>
      <c r="UWK219" s="76"/>
      <c r="UWL219" s="76"/>
      <c r="UWM219" s="76"/>
      <c r="UWN219" s="76"/>
      <c r="UWO219" s="76"/>
      <c r="UWP219" s="76"/>
      <c r="UWQ219" s="76"/>
      <c r="UWR219" s="76"/>
      <c r="UWS219" s="76"/>
      <c r="UWT219" s="76"/>
      <c r="UWU219" s="76"/>
      <c r="UWV219" s="76"/>
      <c r="UWW219" s="76"/>
      <c r="UWX219" s="76"/>
      <c r="UWY219" s="76"/>
      <c r="UWZ219" s="76"/>
      <c r="UXA219" s="76"/>
      <c r="UXB219" s="76"/>
      <c r="UXC219" s="76"/>
      <c r="UXD219" s="76"/>
      <c r="UXE219" s="76"/>
      <c r="UXF219" s="76"/>
      <c r="UXG219" s="76"/>
      <c r="UXH219" s="76"/>
      <c r="UXI219" s="76"/>
      <c r="UXJ219" s="76"/>
      <c r="UXK219" s="76"/>
      <c r="UXL219" s="76"/>
      <c r="UXM219" s="76"/>
      <c r="UXN219" s="76"/>
      <c r="UXO219" s="76"/>
      <c r="UXP219" s="76"/>
      <c r="UXQ219" s="76"/>
      <c r="UXR219" s="76"/>
      <c r="UXS219" s="76"/>
      <c r="UXT219" s="76"/>
      <c r="UXU219" s="76"/>
      <c r="UXV219" s="76"/>
      <c r="UXW219" s="76"/>
      <c r="UXX219" s="76"/>
      <c r="UXY219" s="76"/>
      <c r="UXZ219" s="76"/>
      <c r="UYA219" s="76"/>
      <c r="UYB219" s="76"/>
      <c r="UYC219" s="76"/>
      <c r="UYD219" s="76"/>
      <c r="UYE219" s="76"/>
      <c r="UYF219" s="76"/>
      <c r="UYG219" s="76"/>
      <c r="UYH219" s="76"/>
      <c r="UYI219" s="76"/>
      <c r="UYJ219" s="76"/>
      <c r="UYK219" s="76"/>
      <c r="UYL219" s="76"/>
      <c r="UYM219" s="76"/>
      <c r="UYN219" s="76"/>
      <c r="UYO219" s="76"/>
      <c r="UYP219" s="76"/>
      <c r="UYQ219" s="76"/>
      <c r="UYR219" s="76"/>
      <c r="UYS219" s="76"/>
      <c r="UYT219" s="76"/>
      <c r="UYU219" s="76"/>
      <c r="UYV219" s="76"/>
      <c r="UYW219" s="76"/>
      <c r="UYX219" s="76"/>
      <c r="UYY219" s="76"/>
      <c r="UYZ219" s="76"/>
      <c r="UZA219" s="76"/>
      <c r="UZB219" s="76"/>
      <c r="UZC219" s="76"/>
      <c r="UZD219" s="76"/>
      <c r="UZE219" s="76"/>
      <c r="UZF219" s="76"/>
      <c r="UZG219" s="76"/>
      <c r="UZH219" s="76"/>
      <c r="UZI219" s="76"/>
      <c r="UZJ219" s="76"/>
      <c r="UZK219" s="76"/>
      <c r="UZL219" s="76"/>
      <c r="UZM219" s="76"/>
      <c r="UZN219" s="76"/>
      <c r="UZO219" s="76"/>
      <c r="UZP219" s="76"/>
      <c r="UZQ219" s="76"/>
      <c r="UZR219" s="76"/>
      <c r="UZS219" s="76"/>
      <c r="UZT219" s="76"/>
      <c r="UZU219" s="76"/>
      <c r="UZV219" s="76"/>
      <c r="UZW219" s="76"/>
      <c r="UZX219" s="76"/>
      <c r="UZY219" s="76"/>
      <c r="UZZ219" s="76"/>
      <c r="VAA219" s="76"/>
      <c r="VAB219" s="76"/>
      <c r="VAC219" s="76"/>
      <c r="VAD219" s="76"/>
      <c r="VAE219" s="76"/>
      <c r="VAF219" s="76"/>
      <c r="VAG219" s="76"/>
      <c r="VAH219" s="76"/>
      <c r="VAI219" s="76"/>
      <c r="VAJ219" s="76"/>
      <c r="VAK219" s="76"/>
      <c r="VAL219" s="76"/>
      <c r="VAM219" s="76"/>
      <c r="VAN219" s="76"/>
      <c r="VAO219" s="76"/>
      <c r="VAP219" s="76"/>
      <c r="VAQ219" s="76"/>
      <c r="VAR219" s="76"/>
      <c r="VAS219" s="76"/>
      <c r="VAT219" s="76"/>
      <c r="VAU219" s="76"/>
      <c r="VAV219" s="76"/>
      <c r="VAW219" s="76"/>
      <c r="VAX219" s="76"/>
      <c r="VAY219" s="76"/>
      <c r="VAZ219" s="76"/>
      <c r="VBA219" s="76"/>
      <c r="VBB219" s="76"/>
      <c r="VBC219" s="76"/>
      <c r="VBD219" s="76"/>
      <c r="VBE219" s="76"/>
      <c r="VBF219" s="76"/>
      <c r="VBG219" s="76"/>
      <c r="VBH219" s="76"/>
      <c r="VBI219" s="76"/>
      <c r="VBJ219" s="76"/>
      <c r="VBK219" s="76"/>
      <c r="VBL219" s="76"/>
      <c r="VBM219" s="76"/>
      <c r="VBN219" s="76"/>
      <c r="VBO219" s="76"/>
      <c r="VBP219" s="76"/>
      <c r="VBQ219" s="76"/>
      <c r="VBR219" s="76"/>
      <c r="VBS219" s="76"/>
      <c r="VBT219" s="76"/>
      <c r="VBU219" s="76"/>
      <c r="VBV219" s="76"/>
      <c r="VBW219" s="76"/>
      <c r="VBX219" s="76"/>
      <c r="VBY219" s="76"/>
      <c r="VBZ219" s="76"/>
      <c r="VCA219" s="76"/>
      <c r="VCB219" s="76"/>
      <c r="VCC219" s="76"/>
      <c r="VCD219" s="76"/>
      <c r="VCE219" s="76"/>
      <c r="VCF219" s="76"/>
      <c r="VCG219" s="76"/>
      <c r="VCH219" s="76"/>
      <c r="VCI219" s="76"/>
      <c r="VCJ219" s="76"/>
      <c r="VCK219" s="76"/>
      <c r="VCL219" s="76"/>
      <c r="VCM219" s="76"/>
      <c r="VCN219" s="76"/>
      <c r="VCO219" s="76"/>
      <c r="VCP219" s="76"/>
      <c r="VCQ219" s="76"/>
      <c r="VCR219" s="76"/>
      <c r="VCS219" s="76"/>
      <c r="VCT219" s="76"/>
      <c r="VCU219" s="76"/>
      <c r="VCV219" s="76"/>
      <c r="VCW219" s="76"/>
      <c r="VCX219" s="76"/>
      <c r="VCY219" s="76"/>
      <c r="VCZ219" s="76"/>
      <c r="VDA219" s="76"/>
      <c r="VDB219" s="76"/>
      <c r="VDC219" s="76"/>
      <c r="VDD219" s="76"/>
      <c r="VDE219" s="76"/>
      <c r="VDF219" s="76"/>
      <c r="VDG219" s="76"/>
      <c r="VDH219" s="76"/>
      <c r="VDI219" s="76"/>
      <c r="VDJ219" s="76"/>
      <c r="VDK219" s="76"/>
      <c r="VDL219" s="76"/>
      <c r="VDM219" s="76"/>
      <c r="VDN219" s="76"/>
      <c r="VDO219" s="76"/>
      <c r="VDP219" s="76"/>
      <c r="VDQ219" s="76"/>
      <c r="VDR219" s="76"/>
      <c r="VDS219" s="76"/>
      <c r="VDT219" s="76"/>
      <c r="VDU219" s="76"/>
      <c r="VDV219" s="76"/>
      <c r="VDW219" s="76"/>
      <c r="VDX219" s="76"/>
      <c r="VDY219" s="76"/>
      <c r="VDZ219" s="76"/>
      <c r="VEA219" s="76"/>
      <c r="VEB219" s="76"/>
      <c r="VEC219" s="76"/>
      <c r="VED219" s="76"/>
      <c r="VEE219" s="76"/>
      <c r="VEF219" s="76"/>
      <c r="VEG219" s="76"/>
      <c r="VEH219" s="76"/>
      <c r="VEI219" s="76"/>
      <c r="VEJ219" s="76"/>
      <c r="VEK219" s="76"/>
      <c r="VEL219" s="76"/>
      <c r="VEM219" s="76"/>
      <c r="VEN219" s="76"/>
      <c r="VEO219" s="76"/>
      <c r="VEP219" s="76"/>
      <c r="VEQ219" s="76"/>
      <c r="VER219" s="76"/>
      <c r="VES219" s="76"/>
      <c r="VET219" s="76"/>
      <c r="VEU219" s="76"/>
      <c r="VEV219" s="76"/>
      <c r="VEW219" s="76"/>
      <c r="VEX219" s="76"/>
      <c r="VEY219" s="76"/>
      <c r="VEZ219" s="76"/>
      <c r="VFA219" s="76"/>
      <c r="VFB219" s="76"/>
      <c r="VFC219" s="76"/>
      <c r="VFD219" s="76"/>
      <c r="VFE219" s="76"/>
      <c r="VFF219" s="76"/>
      <c r="VFG219" s="76"/>
      <c r="VFH219" s="76"/>
      <c r="VFI219" s="76"/>
      <c r="VFJ219" s="76"/>
      <c r="VFK219" s="76"/>
      <c r="VFL219" s="76"/>
      <c r="VFM219" s="76"/>
      <c r="VFN219" s="76"/>
      <c r="VFO219" s="76"/>
      <c r="VFP219" s="76"/>
      <c r="VFQ219" s="76"/>
      <c r="VFR219" s="76"/>
      <c r="VFS219" s="76"/>
      <c r="VFT219" s="76"/>
      <c r="VFU219" s="76"/>
      <c r="VFV219" s="76"/>
      <c r="VFW219" s="76"/>
      <c r="VFX219" s="76"/>
      <c r="VFY219" s="76"/>
      <c r="VFZ219" s="76"/>
      <c r="VGA219" s="76"/>
      <c r="VGB219" s="76"/>
      <c r="VGC219" s="76"/>
      <c r="VGD219" s="76"/>
      <c r="VGE219" s="76"/>
      <c r="VGF219" s="76"/>
      <c r="VGG219" s="76"/>
      <c r="VGH219" s="76"/>
      <c r="VGI219" s="76"/>
      <c r="VGJ219" s="76"/>
      <c r="VGK219" s="76"/>
      <c r="VGL219" s="76"/>
      <c r="VGM219" s="76"/>
      <c r="VGN219" s="76"/>
      <c r="VGO219" s="76"/>
      <c r="VGP219" s="76"/>
      <c r="VGQ219" s="76"/>
      <c r="VGR219" s="76"/>
      <c r="VGS219" s="76"/>
      <c r="VGT219" s="76"/>
      <c r="VGU219" s="76"/>
      <c r="VGV219" s="76"/>
      <c r="VGW219" s="76"/>
      <c r="VGX219" s="76"/>
      <c r="VGY219" s="76"/>
      <c r="VGZ219" s="76"/>
      <c r="VHA219" s="76"/>
      <c r="VHB219" s="76"/>
      <c r="VHC219" s="76"/>
      <c r="VHD219" s="76"/>
      <c r="VHE219" s="76"/>
      <c r="VHF219" s="76"/>
      <c r="VHG219" s="76"/>
      <c r="VHH219" s="76"/>
      <c r="VHI219" s="76"/>
      <c r="VHJ219" s="76"/>
      <c r="VHK219" s="76"/>
      <c r="VHL219" s="76"/>
      <c r="VHM219" s="76"/>
      <c r="VHN219" s="76"/>
      <c r="VHO219" s="76"/>
      <c r="VHP219" s="76"/>
      <c r="VHQ219" s="76"/>
      <c r="VHR219" s="76"/>
      <c r="VHS219" s="76"/>
      <c r="VHT219" s="76"/>
      <c r="VHU219" s="76"/>
      <c r="VHV219" s="76"/>
      <c r="VHW219" s="76"/>
      <c r="VHX219" s="76"/>
      <c r="VHY219" s="76"/>
      <c r="VHZ219" s="76"/>
      <c r="VIA219" s="76"/>
      <c r="VIB219" s="76"/>
      <c r="VIC219" s="76"/>
      <c r="VID219" s="76"/>
      <c r="VIE219" s="76"/>
      <c r="VIF219" s="76"/>
      <c r="VIG219" s="76"/>
      <c r="VIH219" s="76"/>
      <c r="VII219" s="76"/>
      <c r="VIJ219" s="76"/>
      <c r="VIK219" s="76"/>
      <c r="VIL219" s="76"/>
      <c r="VIM219" s="76"/>
      <c r="VIN219" s="76"/>
      <c r="VIO219" s="76"/>
      <c r="VIP219" s="76"/>
      <c r="VIQ219" s="76"/>
      <c r="VIR219" s="76"/>
      <c r="VIS219" s="76"/>
      <c r="VIT219" s="76"/>
      <c r="VIU219" s="76"/>
      <c r="VIV219" s="76"/>
      <c r="VIW219" s="76"/>
      <c r="VIX219" s="76"/>
      <c r="VIY219" s="76"/>
      <c r="VIZ219" s="76"/>
      <c r="VJA219" s="76"/>
      <c r="VJB219" s="76"/>
      <c r="VJC219" s="76"/>
      <c r="VJD219" s="76"/>
      <c r="VJE219" s="76"/>
      <c r="VJF219" s="76"/>
      <c r="VJG219" s="76"/>
      <c r="VJH219" s="76"/>
      <c r="VJI219" s="76"/>
      <c r="VJJ219" s="76"/>
      <c r="VJK219" s="76"/>
      <c r="VJL219" s="76"/>
      <c r="VJM219" s="76"/>
      <c r="VJN219" s="76"/>
      <c r="VJO219" s="76"/>
      <c r="VJP219" s="76"/>
      <c r="VJQ219" s="76"/>
      <c r="VJR219" s="76"/>
      <c r="VJS219" s="76"/>
      <c r="VJT219" s="76"/>
      <c r="VJU219" s="76"/>
      <c r="VJV219" s="76"/>
      <c r="VJW219" s="76"/>
      <c r="VJX219" s="76"/>
      <c r="VJY219" s="76"/>
      <c r="VJZ219" s="76"/>
      <c r="VKA219" s="76"/>
      <c r="VKB219" s="76"/>
      <c r="VKC219" s="76"/>
      <c r="VKD219" s="76"/>
      <c r="VKE219" s="76"/>
      <c r="VKF219" s="76"/>
      <c r="VKG219" s="76"/>
      <c r="VKH219" s="76"/>
      <c r="VKI219" s="76"/>
      <c r="VKJ219" s="76"/>
      <c r="VKK219" s="76"/>
      <c r="VKL219" s="76"/>
      <c r="VKM219" s="76"/>
      <c r="VKN219" s="76"/>
      <c r="VKO219" s="76"/>
      <c r="VKP219" s="76"/>
      <c r="VKQ219" s="76"/>
      <c r="VKR219" s="76"/>
      <c r="VKS219" s="76"/>
      <c r="VKT219" s="76"/>
      <c r="VKU219" s="76"/>
      <c r="VKV219" s="76"/>
      <c r="VKW219" s="76"/>
      <c r="VKX219" s="76"/>
      <c r="VKY219" s="76"/>
      <c r="VKZ219" s="76"/>
      <c r="VLA219" s="76"/>
      <c r="VLB219" s="76"/>
      <c r="VLC219" s="76"/>
      <c r="VLD219" s="76"/>
      <c r="VLE219" s="76"/>
      <c r="VLF219" s="76"/>
      <c r="VLG219" s="76"/>
      <c r="VLH219" s="76"/>
      <c r="VLI219" s="76"/>
      <c r="VLJ219" s="76"/>
      <c r="VLK219" s="76"/>
      <c r="VLL219" s="76"/>
      <c r="VLM219" s="76"/>
      <c r="VLN219" s="76"/>
      <c r="VLO219" s="76"/>
      <c r="VLP219" s="76"/>
      <c r="VLQ219" s="76"/>
      <c r="VLR219" s="76"/>
      <c r="VLS219" s="76"/>
      <c r="VLT219" s="76"/>
      <c r="VLU219" s="76"/>
      <c r="VLV219" s="76"/>
      <c r="VLW219" s="76"/>
      <c r="VLX219" s="76"/>
      <c r="VLY219" s="76"/>
      <c r="VLZ219" s="76"/>
      <c r="VMA219" s="76"/>
      <c r="VMB219" s="76"/>
      <c r="VMC219" s="76"/>
      <c r="VMD219" s="76"/>
      <c r="VME219" s="76"/>
      <c r="VMF219" s="76"/>
      <c r="VMG219" s="76"/>
      <c r="VMH219" s="76"/>
      <c r="VMI219" s="76"/>
      <c r="VMJ219" s="76"/>
      <c r="VMK219" s="76"/>
      <c r="VML219" s="76"/>
      <c r="VMM219" s="76"/>
      <c r="VMN219" s="76"/>
      <c r="VMO219" s="76"/>
      <c r="VMP219" s="76"/>
      <c r="VMQ219" s="76"/>
      <c r="VMR219" s="76"/>
      <c r="VMS219" s="76"/>
      <c r="VMT219" s="76"/>
      <c r="VMU219" s="76"/>
      <c r="VMV219" s="76"/>
      <c r="VMW219" s="76"/>
      <c r="VMX219" s="76"/>
      <c r="VMY219" s="76"/>
      <c r="VMZ219" s="76"/>
      <c r="VNA219" s="76"/>
      <c r="VNB219" s="76"/>
      <c r="VNC219" s="76"/>
      <c r="VND219" s="76"/>
      <c r="VNE219" s="76"/>
      <c r="VNF219" s="76"/>
      <c r="VNG219" s="76"/>
      <c r="VNH219" s="76"/>
      <c r="VNI219" s="76"/>
      <c r="VNJ219" s="76"/>
      <c r="VNK219" s="76"/>
      <c r="VNL219" s="76"/>
      <c r="VNM219" s="76"/>
      <c r="VNN219" s="76"/>
      <c r="VNO219" s="76"/>
      <c r="VNP219" s="76"/>
      <c r="VNQ219" s="76"/>
      <c r="VNR219" s="76"/>
      <c r="VNS219" s="76"/>
      <c r="VNT219" s="76"/>
      <c r="VNU219" s="76"/>
      <c r="VNV219" s="76"/>
      <c r="VNW219" s="76"/>
      <c r="VNX219" s="76"/>
      <c r="VNY219" s="76"/>
      <c r="VNZ219" s="76"/>
      <c r="VOA219" s="76"/>
      <c r="VOB219" s="76"/>
      <c r="VOC219" s="76"/>
      <c r="VOD219" s="76"/>
      <c r="VOE219" s="76"/>
      <c r="VOF219" s="76"/>
      <c r="VOG219" s="76"/>
      <c r="VOH219" s="76"/>
      <c r="VOI219" s="76"/>
      <c r="VOJ219" s="76"/>
      <c r="VOK219" s="76"/>
      <c r="VOL219" s="76"/>
      <c r="VOM219" s="76"/>
      <c r="VON219" s="76"/>
      <c r="VOO219" s="76"/>
      <c r="VOP219" s="76"/>
      <c r="VOQ219" s="76"/>
      <c r="VOR219" s="76"/>
      <c r="VOS219" s="76"/>
      <c r="VOT219" s="76"/>
      <c r="VOU219" s="76"/>
      <c r="VOV219" s="76"/>
      <c r="VOW219" s="76"/>
      <c r="VOX219" s="76"/>
      <c r="VOY219" s="76"/>
      <c r="VOZ219" s="76"/>
      <c r="VPA219" s="76"/>
      <c r="VPB219" s="76"/>
      <c r="VPC219" s="76"/>
      <c r="VPD219" s="76"/>
      <c r="VPE219" s="76"/>
      <c r="VPF219" s="76"/>
      <c r="VPG219" s="76"/>
      <c r="VPH219" s="76"/>
      <c r="VPI219" s="76"/>
      <c r="VPJ219" s="76"/>
      <c r="VPK219" s="76"/>
      <c r="VPL219" s="76"/>
      <c r="VPM219" s="76"/>
      <c r="VPN219" s="76"/>
      <c r="VPO219" s="76"/>
      <c r="VPP219" s="76"/>
      <c r="VPQ219" s="76"/>
      <c r="VPR219" s="76"/>
      <c r="VPS219" s="76"/>
      <c r="VPT219" s="76"/>
      <c r="VPU219" s="76"/>
      <c r="VPV219" s="76"/>
      <c r="VPW219" s="76"/>
      <c r="VPX219" s="76"/>
      <c r="VPY219" s="76"/>
      <c r="VPZ219" s="76"/>
      <c r="VQA219" s="76"/>
      <c r="VQB219" s="76"/>
      <c r="VQC219" s="76"/>
      <c r="VQD219" s="76"/>
      <c r="VQE219" s="76"/>
      <c r="VQF219" s="76"/>
      <c r="VQG219" s="76"/>
      <c r="VQH219" s="76"/>
      <c r="VQI219" s="76"/>
      <c r="VQJ219" s="76"/>
      <c r="VQK219" s="76"/>
      <c r="VQL219" s="76"/>
      <c r="VQM219" s="76"/>
      <c r="VQN219" s="76"/>
      <c r="VQO219" s="76"/>
      <c r="VQP219" s="76"/>
      <c r="VQQ219" s="76"/>
      <c r="VQR219" s="76"/>
      <c r="VQS219" s="76"/>
      <c r="VQT219" s="76"/>
      <c r="VQU219" s="76"/>
      <c r="VQV219" s="76"/>
      <c r="VQW219" s="76"/>
      <c r="VQX219" s="76"/>
      <c r="VQY219" s="76"/>
      <c r="VQZ219" s="76"/>
      <c r="VRA219" s="76"/>
      <c r="VRB219" s="76"/>
      <c r="VRC219" s="76"/>
      <c r="VRD219" s="76"/>
      <c r="VRE219" s="76"/>
      <c r="VRF219" s="76"/>
      <c r="VRG219" s="76"/>
      <c r="VRH219" s="76"/>
      <c r="VRI219" s="76"/>
      <c r="VRJ219" s="76"/>
      <c r="VRK219" s="76"/>
      <c r="VRL219" s="76"/>
      <c r="VRM219" s="76"/>
      <c r="VRN219" s="76"/>
      <c r="VRO219" s="76"/>
      <c r="VRP219" s="76"/>
      <c r="VRQ219" s="76"/>
      <c r="VRR219" s="76"/>
      <c r="VRS219" s="76"/>
      <c r="VRT219" s="76"/>
      <c r="VRU219" s="76"/>
      <c r="VRV219" s="76"/>
      <c r="VRW219" s="76"/>
      <c r="VRX219" s="76"/>
      <c r="VRY219" s="76"/>
      <c r="VRZ219" s="76"/>
      <c r="VSA219" s="76"/>
      <c r="VSB219" s="76"/>
      <c r="VSC219" s="76"/>
      <c r="VSD219" s="76"/>
      <c r="VSE219" s="76"/>
      <c r="VSF219" s="76"/>
      <c r="VSG219" s="76"/>
      <c r="VSH219" s="76"/>
      <c r="VSI219" s="76"/>
      <c r="VSJ219" s="76"/>
      <c r="VSK219" s="76"/>
      <c r="VSL219" s="76"/>
      <c r="VSM219" s="76"/>
      <c r="VSN219" s="76"/>
      <c r="VSO219" s="76"/>
      <c r="VSP219" s="76"/>
      <c r="VSQ219" s="76"/>
      <c r="VSR219" s="76"/>
      <c r="VSS219" s="76"/>
      <c r="VST219" s="76"/>
      <c r="VSU219" s="76"/>
      <c r="VSV219" s="76"/>
      <c r="VSW219" s="76"/>
      <c r="VSX219" s="76"/>
      <c r="VSY219" s="76"/>
      <c r="VSZ219" s="76"/>
      <c r="VTA219" s="76"/>
      <c r="VTB219" s="76"/>
      <c r="VTC219" s="76"/>
      <c r="VTD219" s="76"/>
      <c r="VTE219" s="76"/>
      <c r="VTF219" s="76"/>
      <c r="VTG219" s="76"/>
      <c r="VTH219" s="76"/>
      <c r="VTI219" s="76"/>
      <c r="VTJ219" s="76"/>
      <c r="VTK219" s="76"/>
      <c r="VTL219" s="76"/>
      <c r="VTM219" s="76"/>
      <c r="VTN219" s="76"/>
      <c r="VTO219" s="76"/>
      <c r="VTP219" s="76"/>
      <c r="VTQ219" s="76"/>
      <c r="VTR219" s="76"/>
      <c r="VTS219" s="76"/>
      <c r="VTT219" s="76"/>
      <c r="VTU219" s="76"/>
      <c r="VTV219" s="76"/>
      <c r="VTW219" s="76"/>
      <c r="VTX219" s="76"/>
      <c r="VTY219" s="76"/>
      <c r="VTZ219" s="76"/>
      <c r="VUA219" s="76"/>
      <c r="VUB219" s="76"/>
      <c r="VUC219" s="76"/>
      <c r="VUD219" s="76"/>
      <c r="VUE219" s="76"/>
      <c r="VUF219" s="76"/>
      <c r="VUG219" s="76"/>
      <c r="VUH219" s="76"/>
      <c r="VUI219" s="76"/>
      <c r="VUJ219" s="76"/>
      <c r="VUK219" s="76"/>
      <c r="VUL219" s="76"/>
      <c r="VUM219" s="76"/>
      <c r="VUN219" s="76"/>
      <c r="VUO219" s="76"/>
      <c r="VUP219" s="76"/>
      <c r="VUQ219" s="76"/>
      <c r="VUR219" s="76"/>
      <c r="VUS219" s="76"/>
      <c r="VUT219" s="76"/>
      <c r="VUU219" s="76"/>
      <c r="VUV219" s="76"/>
      <c r="VUW219" s="76"/>
      <c r="VUX219" s="76"/>
      <c r="VUY219" s="76"/>
      <c r="VUZ219" s="76"/>
      <c r="VVA219" s="76"/>
      <c r="VVB219" s="76"/>
      <c r="VVC219" s="76"/>
      <c r="VVD219" s="76"/>
      <c r="VVE219" s="76"/>
      <c r="VVF219" s="76"/>
      <c r="VVG219" s="76"/>
      <c r="VVH219" s="76"/>
      <c r="VVI219" s="76"/>
      <c r="VVJ219" s="76"/>
      <c r="VVK219" s="76"/>
      <c r="VVL219" s="76"/>
      <c r="VVM219" s="76"/>
      <c r="VVN219" s="76"/>
      <c r="VVO219" s="76"/>
      <c r="VVP219" s="76"/>
      <c r="VVQ219" s="76"/>
      <c r="VVR219" s="76"/>
      <c r="VVS219" s="76"/>
      <c r="VVT219" s="76"/>
      <c r="VVU219" s="76"/>
      <c r="VVV219" s="76"/>
      <c r="VVW219" s="76"/>
      <c r="VVX219" s="76"/>
      <c r="VVY219" s="76"/>
      <c r="VVZ219" s="76"/>
      <c r="VWA219" s="76"/>
      <c r="VWB219" s="76"/>
      <c r="VWC219" s="76"/>
      <c r="VWD219" s="76"/>
      <c r="VWE219" s="76"/>
      <c r="VWF219" s="76"/>
      <c r="VWG219" s="76"/>
      <c r="VWH219" s="76"/>
      <c r="VWI219" s="76"/>
      <c r="VWJ219" s="76"/>
      <c r="VWK219" s="76"/>
      <c r="VWL219" s="76"/>
      <c r="VWM219" s="76"/>
      <c r="VWN219" s="76"/>
      <c r="VWO219" s="76"/>
      <c r="VWP219" s="76"/>
      <c r="VWQ219" s="76"/>
      <c r="VWR219" s="76"/>
      <c r="VWS219" s="76"/>
      <c r="VWT219" s="76"/>
      <c r="VWU219" s="76"/>
      <c r="VWV219" s="76"/>
      <c r="VWW219" s="76"/>
      <c r="VWX219" s="76"/>
      <c r="VWY219" s="76"/>
      <c r="VWZ219" s="76"/>
      <c r="VXA219" s="76"/>
      <c r="VXB219" s="76"/>
      <c r="VXC219" s="76"/>
      <c r="VXD219" s="76"/>
      <c r="VXE219" s="76"/>
      <c r="VXF219" s="76"/>
      <c r="VXG219" s="76"/>
      <c r="VXH219" s="76"/>
      <c r="VXI219" s="76"/>
      <c r="VXJ219" s="76"/>
      <c r="VXK219" s="76"/>
      <c r="VXL219" s="76"/>
      <c r="VXM219" s="76"/>
      <c r="VXN219" s="76"/>
      <c r="VXO219" s="76"/>
      <c r="VXP219" s="76"/>
      <c r="VXQ219" s="76"/>
      <c r="VXR219" s="76"/>
      <c r="VXS219" s="76"/>
      <c r="VXT219" s="76"/>
      <c r="VXU219" s="76"/>
      <c r="VXV219" s="76"/>
      <c r="VXW219" s="76"/>
      <c r="VXX219" s="76"/>
      <c r="VXY219" s="76"/>
      <c r="VXZ219" s="76"/>
      <c r="VYA219" s="76"/>
      <c r="VYB219" s="76"/>
      <c r="VYC219" s="76"/>
      <c r="VYD219" s="76"/>
      <c r="VYE219" s="76"/>
      <c r="VYF219" s="76"/>
      <c r="VYG219" s="76"/>
      <c r="VYH219" s="76"/>
      <c r="VYI219" s="76"/>
      <c r="VYJ219" s="76"/>
      <c r="VYK219" s="76"/>
      <c r="VYL219" s="76"/>
      <c r="VYM219" s="76"/>
      <c r="VYN219" s="76"/>
      <c r="VYO219" s="76"/>
      <c r="VYP219" s="76"/>
      <c r="VYQ219" s="76"/>
      <c r="VYR219" s="76"/>
      <c r="VYS219" s="76"/>
      <c r="VYT219" s="76"/>
      <c r="VYU219" s="76"/>
      <c r="VYV219" s="76"/>
      <c r="VYW219" s="76"/>
      <c r="VYX219" s="76"/>
      <c r="VYY219" s="76"/>
      <c r="VYZ219" s="76"/>
      <c r="VZA219" s="76"/>
      <c r="VZB219" s="76"/>
      <c r="VZC219" s="76"/>
      <c r="VZD219" s="76"/>
      <c r="VZE219" s="76"/>
      <c r="VZF219" s="76"/>
      <c r="VZG219" s="76"/>
      <c r="VZH219" s="76"/>
      <c r="VZI219" s="76"/>
      <c r="VZJ219" s="76"/>
      <c r="VZK219" s="76"/>
      <c r="VZL219" s="76"/>
      <c r="VZM219" s="76"/>
      <c r="VZN219" s="76"/>
      <c r="VZO219" s="76"/>
      <c r="VZP219" s="76"/>
      <c r="VZQ219" s="76"/>
      <c r="VZR219" s="76"/>
      <c r="VZS219" s="76"/>
      <c r="VZT219" s="76"/>
      <c r="VZU219" s="76"/>
      <c r="VZV219" s="76"/>
      <c r="VZW219" s="76"/>
      <c r="VZX219" s="76"/>
      <c r="VZY219" s="76"/>
      <c r="VZZ219" s="76"/>
      <c r="WAA219" s="76"/>
      <c r="WAB219" s="76"/>
      <c r="WAC219" s="76"/>
      <c r="WAD219" s="76"/>
      <c r="WAE219" s="76"/>
      <c r="WAF219" s="76"/>
      <c r="WAG219" s="76"/>
      <c r="WAH219" s="76"/>
      <c r="WAI219" s="76"/>
      <c r="WAJ219" s="76"/>
      <c r="WAK219" s="76"/>
      <c r="WAL219" s="76"/>
      <c r="WAM219" s="76"/>
      <c r="WAN219" s="76"/>
      <c r="WAO219" s="76"/>
      <c r="WAP219" s="76"/>
      <c r="WAQ219" s="76"/>
      <c r="WAR219" s="76"/>
      <c r="WAS219" s="76"/>
      <c r="WAT219" s="76"/>
      <c r="WAU219" s="76"/>
      <c r="WAV219" s="76"/>
      <c r="WAW219" s="76"/>
      <c r="WAX219" s="76"/>
      <c r="WAY219" s="76"/>
      <c r="WAZ219" s="76"/>
      <c r="WBA219" s="76"/>
      <c r="WBB219" s="76"/>
      <c r="WBC219" s="76"/>
      <c r="WBD219" s="76"/>
      <c r="WBE219" s="76"/>
      <c r="WBF219" s="76"/>
      <c r="WBG219" s="76"/>
      <c r="WBH219" s="76"/>
      <c r="WBI219" s="76"/>
      <c r="WBJ219" s="76"/>
      <c r="WBK219" s="76"/>
      <c r="WBL219" s="76"/>
      <c r="WBM219" s="76"/>
      <c r="WBN219" s="76"/>
      <c r="WBO219" s="76"/>
      <c r="WBP219" s="76"/>
      <c r="WBQ219" s="76"/>
      <c r="WBR219" s="76"/>
      <c r="WBS219" s="76"/>
      <c r="WBT219" s="76"/>
      <c r="WBU219" s="76"/>
      <c r="WBV219" s="76"/>
      <c r="WBW219" s="76"/>
      <c r="WBX219" s="76"/>
      <c r="WBY219" s="76"/>
      <c r="WBZ219" s="76"/>
      <c r="WCA219" s="76"/>
      <c r="WCB219" s="76"/>
      <c r="WCC219" s="76"/>
      <c r="WCD219" s="76"/>
      <c r="WCE219" s="76"/>
      <c r="WCF219" s="76"/>
      <c r="WCG219" s="76"/>
      <c r="WCH219" s="76"/>
      <c r="WCI219" s="76"/>
      <c r="WCJ219" s="76"/>
      <c r="WCK219" s="76"/>
      <c r="WCL219" s="76"/>
      <c r="WCM219" s="76"/>
      <c r="WCN219" s="76"/>
      <c r="WCO219" s="76"/>
      <c r="WCP219" s="76"/>
      <c r="WCQ219" s="76"/>
      <c r="WCR219" s="76"/>
      <c r="WCS219" s="76"/>
      <c r="WCT219" s="76"/>
      <c r="WCU219" s="76"/>
      <c r="WCV219" s="76"/>
      <c r="WCW219" s="76"/>
      <c r="WCX219" s="76"/>
      <c r="WCY219" s="76"/>
      <c r="WCZ219" s="76"/>
      <c r="WDA219" s="76"/>
      <c r="WDB219" s="76"/>
      <c r="WDC219" s="76"/>
      <c r="WDD219" s="76"/>
      <c r="WDE219" s="76"/>
      <c r="WDF219" s="76"/>
      <c r="WDG219" s="76"/>
      <c r="WDH219" s="76"/>
      <c r="WDI219" s="76"/>
      <c r="WDJ219" s="76"/>
      <c r="WDK219" s="76"/>
      <c r="WDL219" s="76"/>
      <c r="WDM219" s="76"/>
      <c r="WDN219" s="76"/>
      <c r="WDO219" s="76"/>
      <c r="WDP219" s="76"/>
      <c r="WDQ219" s="76"/>
      <c r="WDR219" s="76"/>
      <c r="WDS219" s="76"/>
      <c r="WDT219" s="76"/>
      <c r="WDU219" s="76"/>
      <c r="WDV219" s="76"/>
      <c r="WDW219" s="76"/>
      <c r="WDX219" s="76"/>
      <c r="WDY219" s="76"/>
      <c r="WDZ219" s="76"/>
      <c r="WEA219" s="76"/>
      <c r="WEB219" s="76"/>
      <c r="WEC219" s="76"/>
      <c r="WED219" s="76"/>
      <c r="WEE219" s="76"/>
      <c r="WEF219" s="76"/>
      <c r="WEG219" s="76"/>
      <c r="WEH219" s="76"/>
      <c r="WEI219" s="76"/>
      <c r="WEJ219" s="76"/>
      <c r="WEK219" s="76"/>
      <c r="WEL219" s="76"/>
      <c r="WEM219" s="76"/>
      <c r="WEN219" s="76"/>
      <c r="WEO219" s="76"/>
      <c r="WEP219" s="76"/>
      <c r="WEQ219" s="76"/>
      <c r="WER219" s="76"/>
      <c r="WES219" s="76"/>
      <c r="WET219" s="76"/>
      <c r="WEU219" s="76"/>
      <c r="WEV219" s="76"/>
      <c r="WEW219" s="76"/>
      <c r="WEX219" s="76"/>
      <c r="WEY219" s="76"/>
      <c r="WEZ219" s="76"/>
      <c r="WFA219" s="76"/>
      <c r="WFB219" s="76"/>
      <c r="WFC219" s="76"/>
      <c r="WFD219" s="76"/>
      <c r="WFE219" s="76"/>
      <c r="WFF219" s="76"/>
      <c r="WFG219" s="76"/>
      <c r="WFH219" s="76"/>
      <c r="WFI219" s="76"/>
      <c r="WFJ219" s="76"/>
      <c r="WFK219" s="76"/>
      <c r="WFL219" s="76"/>
      <c r="WFM219" s="76"/>
      <c r="WFN219" s="76"/>
      <c r="WFO219" s="76"/>
      <c r="WFP219" s="76"/>
      <c r="WFQ219" s="76"/>
      <c r="WFR219" s="76"/>
      <c r="WFS219" s="76"/>
      <c r="WFT219" s="76"/>
      <c r="WFU219" s="76"/>
      <c r="WFV219" s="76"/>
      <c r="WFW219" s="76"/>
      <c r="WFX219" s="76"/>
      <c r="WFY219" s="76"/>
      <c r="WFZ219" s="76"/>
      <c r="WGA219" s="76"/>
      <c r="WGB219" s="76"/>
      <c r="WGC219" s="76"/>
      <c r="WGD219" s="76"/>
      <c r="WGE219" s="76"/>
      <c r="WGF219" s="76"/>
      <c r="WGG219" s="76"/>
      <c r="WGH219" s="76"/>
      <c r="WGI219" s="76"/>
      <c r="WGJ219" s="76"/>
      <c r="WGK219" s="76"/>
      <c r="WGL219" s="76"/>
      <c r="WGM219" s="76"/>
      <c r="WGN219" s="76"/>
      <c r="WGO219" s="76"/>
      <c r="WGP219" s="76"/>
      <c r="WGQ219" s="76"/>
      <c r="WGR219" s="76"/>
      <c r="WGS219" s="76"/>
      <c r="WGT219" s="76"/>
      <c r="WGU219" s="76"/>
      <c r="WGV219" s="76"/>
      <c r="WGW219" s="76"/>
      <c r="WGX219" s="76"/>
      <c r="WGY219" s="76"/>
      <c r="WGZ219" s="76"/>
      <c r="WHA219" s="76"/>
      <c r="WHB219" s="76"/>
      <c r="WHC219" s="76"/>
      <c r="WHD219" s="76"/>
      <c r="WHE219" s="76"/>
      <c r="WHF219" s="76"/>
      <c r="WHG219" s="76"/>
      <c r="WHH219" s="76"/>
      <c r="WHI219" s="76"/>
      <c r="WHJ219" s="76"/>
      <c r="WHK219" s="76"/>
      <c r="WHL219" s="76"/>
      <c r="WHM219" s="76"/>
      <c r="WHN219" s="76"/>
      <c r="WHO219" s="76"/>
      <c r="WHP219" s="76"/>
      <c r="WHQ219" s="76"/>
      <c r="WHR219" s="76"/>
      <c r="WHS219" s="76"/>
      <c r="WHT219" s="76"/>
      <c r="WHU219" s="76"/>
      <c r="WHV219" s="76"/>
      <c r="WHW219" s="76"/>
      <c r="WHX219" s="76"/>
      <c r="WHY219" s="76"/>
      <c r="WHZ219" s="76"/>
      <c r="WIA219" s="76"/>
      <c r="WIB219" s="76"/>
      <c r="WIC219" s="76"/>
      <c r="WID219" s="76"/>
      <c r="WIE219" s="76"/>
      <c r="WIF219" s="76"/>
      <c r="WIG219" s="76"/>
      <c r="WIH219" s="76"/>
      <c r="WII219" s="76"/>
      <c r="WIJ219" s="76"/>
      <c r="WIK219" s="76"/>
      <c r="WIL219" s="76"/>
      <c r="WIM219" s="76"/>
      <c r="WIN219" s="76"/>
      <c r="WIO219" s="76"/>
      <c r="WIP219" s="76"/>
      <c r="WIQ219" s="76"/>
      <c r="WIR219" s="76"/>
      <c r="WIS219" s="76"/>
      <c r="WIT219" s="76"/>
      <c r="WIU219" s="76"/>
      <c r="WIV219" s="76"/>
      <c r="WIW219" s="76"/>
      <c r="WIX219" s="76"/>
      <c r="WIY219" s="76"/>
      <c r="WIZ219" s="76"/>
      <c r="WJA219" s="76"/>
      <c r="WJB219" s="76"/>
      <c r="WJC219" s="76"/>
      <c r="WJD219" s="76"/>
      <c r="WJE219" s="76"/>
      <c r="WJF219" s="76"/>
      <c r="WJG219" s="76"/>
      <c r="WJH219" s="76"/>
      <c r="WJI219" s="76"/>
      <c r="WJJ219" s="76"/>
      <c r="WJK219" s="76"/>
      <c r="WJL219" s="76"/>
      <c r="WJM219" s="76"/>
      <c r="WJN219" s="76"/>
      <c r="WJO219" s="76"/>
      <c r="WJP219" s="76"/>
      <c r="WJQ219" s="76"/>
      <c r="WJR219" s="76"/>
      <c r="WJS219" s="76"/>
      <c r="WJT219" s="76"/>
      <c r="WJU219" s="76"/>
      <c r="WJV219" s="76"/>
      <c r="WJW219" s="76"/>
      <c r="WJX219" s="76"/>
      <c r="WJY219" s="76"/>
      <c r="WJZ219" s="76"/>
      <c r="WKA219" s="76"/>
      <c r="WKB219" s="76"/>
      <c r="WKC219" s="76"/>
      <c r="WKD219" s="76"/>
      <c r="WKE219" s="76"/>
      <c r="WKF219" s="76"/>
      <c r="WKG219" s="76"/>
      <c r="WKH219" s="76"/>
      <c r="WKI219" s="76"/>
      <c r="WKJ219" s="76"/>
      <c r="WKK219" s="76"/>
      <c r="WKL219" s="76"/>
      <c r="WKM219" s="76"/>
      <c r="WKN219" s="76"/>
      <c r="WKO219" s="76"/>
      <c r="WKP219" s="76"/>
      <c r="WKQ219" s="76"/>
      <c r="WKR219" s="76"/>
      <c r="WKS219" s="76"/>
      <c r="WKT219" s="76"/>
      <c r="WKU219" s="76"/>
      <c r="WKV219" s="76"/>
      <c r="WKW219" s="76"/>
      <c r="WKX219" s="76"/>
      <c r="WKY219" s="76"/>
      <c r="WKZ219" s="76"/>
      <c r="WLA219" s="76"/>
      <c r="WLB219" s="76"/>
      <c r="WLC219" s="76"/>
      <c r="WLD219" s="76"/>
      <c r="WLE219" s="76"/>
      <c r="WLF219" s="76"/>
      <c r="WLG219" s="76"/>
      <c r="WLH219" s="76"/>
      <c r="WLI219" s="76"/>
      <c r="WLJ219" s="76"/>
      <c r="WLK219" s="76"/>
      <c r="WLL219" s="76"/>
      <c r="WLM219" s="76"/>
      <c r="WLN219" s="76"/>
      <c r="WLO219" s="76"/>
      <c r="WLP219" s="76"/>
      <c r="WLQ219" s="76"/>
      <c r="WLR219" s="76"/>
      <c r="WLS219" s="76"/>
      <c r="WLT219" s="76"/>
      <c r="WLU219" s="76"/>
      <c r="WLV219" s="76"/>
      <c r="WLW219" s="76"/>
      <c r="WLX219" s="76"/>
      <c r="WLY219" s="76"/>
      <c r="WLZ219" s="76"/>
      <c r="WMA219" s="76"/>
      <c r="WMB219" s="76"/>
      <c r="WMC219" s="76"/>
      <c r="WMD219" s="76"/>
      <c r="WME219" s="76"/>
      <c r="WMF219" s="76"/>
      <c r="WMG219" s="76"/>
      <c r="WMH219" s="76"/>
      <c r="WMI219" s="76"/>
      <c r="WMJ219" s="76"/>
      <c r="WMK219" s="76"/>
      <c r="WML219" s="76"/>
      <c r="WMM219" s="76"/>
      <c r="WMN219" s="76"/>
      <c r="WMO219" s="76"/>
      <c r="WMP219" s="76"/>
      <c r="WMQ219" s="76"/>
      <c r="WMR219" s="76"/>
      <c r="WMS219" s="76"/>
      <c r="WMT219" s="76"/>
      <c r="WMU219" s="76"/>
      <c r="WMV219" s="76"/>
      <c r="WMW219" s="76"/>
      <c r="WMX219" s="76"/>
      <c r="WMY219" s="76"/>
      <c r="WMZ219" s="76"/>
      <c r="WNA219" s="76"/>
      <c r="WNB219" s="76"/>
      <c r="WNC219" s="76"/>
      <c r="WND219" s="76"/>
      <c r="WNE219" s="76"/>
      <c r="WNF219" s="76"/>
      <c r="WNG219" s="76"/>
      <c r="WNH219" s="76"/>
      <c r="WNI219" s="76"/>
      <c r="WNJ219" s="76"/>
      <c r="WNK219" s="76"/>
      <c r="WNL219" s="76"/>
      <c r="WNM219" s="76"/>
      <c r="WNN219" s="76"/>
      <c r="WNO219" s="76"/>
      <c r="WNP219" s="76"/>
      <c r="WNQ219" s="76"/>
      <c r="WNR219" s="76"/>
      <c r="WNS219" s="76"/>
      <c r="WNT219" s="76"/>
      <c r="WNU219" s="76"/>
      <c r="WNV219" s="76"/>
      <c r="WNW219" s="76"/>
      <c r="WNX219" s="76"/>
      <c r="WNY219" s="76"/>
      <c r="WNZ219" s="76"/>
      <c r="WOA219" s="76"/>
      <c r="WOB219" s="76"/>
      <c r="WOC219" s="76"/>
      <c r="WOD219" s="76"/>
      <c r="WOE219" s="76"/>
      <c r="WOF219" s="76"/>
      <c r="WOG219" s="76"/>
      <c r="WOH219" s="76"/>
      <c r="WOI219" s="76"/>
      <c r="WOJ219" s="76"/>
      <c r="WOK219" s="76"/>
      <c r="WOL219" s="76"/>
      <c r="WOM219" s="76"/>
      <c r="WON219" s="76"/>
      <c r="WOO219" s="76"/>
      <c r="WOP219" s="76"/>
      <c r="WOQ219" s="76"/>
      <c r="WOR219" s="76"/>
      <c r="WOS219" s="76"/>
      <c r="WOT219" s="76"/>
      <c r="WOU219" s="76"/>
      <c r="WOV219" s="76"/>
      <c r="WOW219" s="76"/>
      <c r="WOX219" s="76"/>
      <c r="WOY219" s="76"/>
      <c r="WOZ219" s="76"/>
      <c r="WPA219" s="76"/>
      <c r="WPB219" s="76"/>
      <c r="WPC219" s="76"/>
      <c r="WPD219" s="76"/>
      <c r="WPE219" s="76"/>
      <c r="WPF219" s="76"/>
      <c r="WPG219" s="76"/>
      <c r="WPH219" s="76"/>
      <c r="WPI219" s="76"/>
      <c r="WPJ219" s="76"/>
      <c r="WPK219" s="76"/>
      <c r="WPL219" s="76"/>
      <c r="WPM219" s="76"/>
      <c r="WPN219" s="76"/>
      <c r="WPO219" s="76"/>
      <c r="WPP219" s="76"/>
      <c r="WPQ219" s="76"/>
      <c r="WPR219" s="76"/>
      <c r="WPS219" s="76"/>
      <c r="WPT219" s="76"/>
      <c r="WPU219" s="76"/>
      <c r="WPV219" s="76"/>
      <c r="WPW219" s="76"/>
      <c r="WPX219" s="76"/>
      <c r="WPY219" s="76"/>
      <c r="WPZ219" s="76"/>
      <c r="WQA219" s="76"/>
      <c r="WQB219" s="76"/>
      <c r="WQC219" s="76"/>
      <c r="WQD219" s="76"/>
      <c r="WQE219" s="76"/>
      <c r="WQF219" s="76"/>
      <c r="WQG219" s="76"/>
      <c r="WQH219" s="76"/>
      <c r="WQI219" s="76"/>
      <c r="WQJ219" s="76"/>
      <c r="WQK219" s="76"/>
      <c r="WQL219" s="76"/>
      <c r="WQM219" s="76"/>
      <c r="WQN219" s="76"/>
      <c r="WQO219" s="76"/>
      <c r="WQP219" s="76"/>
      <c r="WQQ219" s="76"/>
      <c r="WQR219" s="76"/>
      <c r="WQS219" s="76"/>
      <c r="WQT219" s="76"/>
      <c r="WQU219" s="76"/>
      <c r="WQV219" s="76"/>
      <c r="WQW219" s="76"/>
      <c r="WQX219" s="76"/>
      <c r="WQY219" s="76"/>
      <c r="WQZ219" s="76"/>
      <c r="WRA219" s="76"/>
      <c r="WRB219" s="76"/>
      <c r="WRC219" s="76"/>
      <c r="WRD219" s="76"/>
      <c r="WRE219" s="76"/>
      <c r="WRF219" s="76"/>
      <c r="WRG219" s="76"/>
      <c r="WRH219" s="76"/>
      <c r="WRI219" s="76"/>
      <c r="WRJ219" s="76"/>
      <c r="WRK219" s="76"/>
      <c r="WRL219" s="76"/>
      <c r="WRM219" s="76"/>
      <c r="WRN219" s="76"/>
      <c r="WRO219" s="76"/>
      <c r="WRP219" s="76"/>
      <c r="WRQ219" s="76"/>
      <c r="WRR219" s="76"/>
      <c r="WRS219" s="76"/>
      <c r="WRT219" s="76"/>
      <c r="WRU219" s="76"/>
      <c r="WRV219" s="76"/>
      <c r="WRW219" s="76"/>
      <c r="WRX219" s="76"/>
      <c r="WRY219" s="76"/>
      <c r="WRZ219" s="76"/>
      <c r="WSA219" s="76"/>
      <c r="WSB219" s="76"/>
      <c r="WSC219" s="76"/>
      <c r="WSD219" s="76"/>
      <c r="WSE219" s="76"/>
      <c r="WSF219" s="76"/>
      <c r="WSG219" s="76"/>
      <c r="WSH219" s="76"/>
      <c r="WSI219" s="76"/>
      <c r="WSJ219" s="76"/>
      <c r="WSK219" s="76"/>
      <c r="WSL219" s="76"/>
      <c r="WSM219" s="76"/>
      <c r="WSN219" s="76"/>
      <c r="WSO219" s="76"/>
      <c r="WSP219" s="76"/>
      <c r="WSQ219" s="76"/>
      <c r="WSR219" s="76"/>
      <c r="WSS219" s="76"/>
      <c r="WST219" s="76"/>
      <c r="WSU219" s="76"/>
      <c r="WSV219" s="76"/>
      <c r="WSW219" s="76"/>
      <c r="WSX219" s="76"/>
      <c r="WSY219" s="76"/>
      <c r="WSZ219" s="76"/>
      <c r="WTA219" s="76"/>
      <c r="WTB219" s="76"/>
      <c r="WTC219" s="76"/>
      <c r="WTD219" s="76"/>
      <c r="WTE219" s="76"/>
      <c r="WTF219" s="76"/>
      <c r="WTG219" s="76"/>
      <c r="WTH219" s="76"/>
      <c r="WTI219" s="76"/>
      <c r="WTJ219" s="76"/>
      <c r="WTK219" s="76"/>
      <c r="WTL219" s="76"/>
      <c r="WTM219" s="76"/>
      <c r="WTN219" s="76"/>
      <c r="WTO219" s="76"/>
      <c r="WTP219" s="76"/>
      <c r="WTQ219" s="76"/>
      <c r="WTR219" s="76"/>
      <c r="WTS219" s="76"/>
      <c r="WTT219" s="76"/>
      <c r="WTU219" s="76"/>
      <c r="WTV219" s="76"/>
      <c r="WTW219" s="76"/>
      <c r="WTX219" s="76"/>
      <c r="WTY219" s="76"/>
      <c r="WTZ219" s="76"/>
      <c r="WUA219" s="76"/>
      <c r="WUB219" s="76"/>
      <c r="WUC219" s="76"/>
      <c r="WUD219" s="76"/>
      <c r="WUE219" s="76"/>
      <c r="WUF219" s="76"/>
      <c r="WUG219" s="76"/>
      <c r="WUH219" s="76"/>
      <c r="WUI219" s="76"/>
      <c r="WUJ219" s="76"/>
      <c r="WUK219" s="76"/>
      <c r="WUL219" s="76"/>
      <c r="WUM219" s="76"/>
      <c r="WUN219" s="76"/>
      <c r="WUO219" s="76"/>
      <c r="WUP219" s="76"/>
      <c r="WUQ219" s="76"/>
      <c r="WUR219" s="76"/>
      <c r="WUS219" s="76"/>
      <c r="WUT219" s="76"/>
      <c r="WUU219" s="76"/>
      <c r="WUV219" s="76"/>
      <c r="WUW219" s="76"/>
      <c r="WUX219" s="76"/>
      <c r="WUY219" s="76"/>
      <c r="WUZ219" s="76"/>
      <c r="WVA219" s="76"/>
      <c r="WVB219" s="76"/>
      <c r="WVC219" s="76"/>
      <c r="WVD219" s="76"/>
      <c r="WVE219" s="76"/>
      <c r="WVF219" s="76"/>
      <c r="WVG219" s="76"/>
      <c r="WVH219" s="76"/>
      <c r="WVI219" s="76"/>
      <c r="WVJ219" s="76"/>
      <c r="WVK219" s="76"/>
      <c r="WVL219" s="76"/>
      <c r="WVM219" s="76"/>
      <c r="WVN219" s="76"/>
      <c r="WVO219" s="76"/>
      <c r="WVP219" s="76"/>
      <c r="WVQ219" s="76"/>
      <c r="WVR219" s="76"/>
      <c r="WVS219" s="76"/>
      <c r="WVT219" s="76"/>
      <c r="WVU219" s="76"/>
      <c r="WVV219" s="76"/>
      <c r="WVW219" s="76"/>
      <c r="WVX219" s="76"/>
      <c r="WVY219" s="76"/>
      <c r="WVZ219" s="76"/>
      <c r="WWA219" s="76"/>
      <c r="WWB219" s="76"/>
      <c r="WWC219" s="76"/>
      <c r="WWD219" s="76"/>
      <c r="WWE219" s="76"/>
      <c r="WWF219" s="76"/>
      <c r="WWG219" s="76"/>
      <c r="WWH219" s="76"/>
      <c r="WWI219" s="76"/>
      <c r="WWJ219" s="76"/>
      <c r="WWK219" s="76"/>
      <c r="WWL219" s="76"/>
      <c r="WWM219" s="76"/>
      <c r="WWN219" s="76"/>
      <c r="WWO219" s="76"/>
      <c r="WWP219" s="76"/>
      <c r="WWQ219" s="76"/>
      <c r="WWR219" s="76"/>
      <c r="WWS219" s="76"/>
    </row>
    <row r="220" spans="1:16165" s="83" customFormat="1">
      <c r="A220" s="76"/>
      <c r="B220" s="76"/>
      <c r="C220" s="76"/>
      <c r="D220" s="413"/>
      <c r="E220" s="413"/>
      <c r="F220" s="260"/>
      <c r="G220" s="76"/>
      <c r="H220" s="76"/>
      <c r="I220" s="76"/>
      <c r="J220" s="76"/>
      <c r="K220" s="76"/>
      <c r="L220" s="76"/>
      <c r="M220" s="76"/>
      <c r="N220" s="76"/>
      <c r="O220" s="76"/>
      <c r="P220" s="272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81"/>
      <c r="AB220" s="81"/>
      <c r="AC220" s="81"/>
      <c r="AD220" s="81"/>
      <c r="AE220" s="81"/>
      <c r="AF220" s="81"/>
      <c r="AG220" s="81"/>
      <c r="AH220" s="76"/>
      <c r="AI220" s="81"/>
      <c r="AJ220" s="81"/>
      <c r="AK220" s="81"/>
      <c r="AL220" s="81"/>
      <c r="AM220" s="81"/>
      <c r="AN220" s="82"/>
      <c r="AO220" s="82"/>
      <c r="AP220" s="82"/>
      <c r="AQ220" s="82"/>
      <c r="AR220" s="82"/>
      <c r="AS220" s="82"/>
      <c r="AT220" s="84"/>
      <c r="AU220" s="85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76"/>
      <c r="IY220" s="76"/>
      <c r="IZ220" s="76"/>
      <c r="JA220" s="76"/>
      <c r="JB220" s="76"/>
      <c r="JC220" s="76"/>
      <c r="JD220" s="76"/>
      <c r="JE220" s="76"/>
      <c r="JF220" s="76"/>
      <c r="JG220" s="76"/>
      <c r="JH220" s="76"/>
      <c r="JI220" s="76"/>
      <c r="JJ220" s="76"/>
      <c r="JK220" s="76"/>
      <c r="JL220" s="76"/>
      <c r="JM220" s="76"/>
      <c r="JN220" s="76"/>
      <c r="JO220" s="76"/>
      <c r="JP220" s="76"/>
      <c r="JQ220" s="76"/>
      <c r="JR220" s="76"/>
      <c r="JS220" s="76"/>
      <c r="JT220" s="76"/>
      <c r="JU220" s="76"/>
      <c r="JV220" s="76"/>
      <c r="JW220" s="76"/>
      <c r="JX220" s="76"/>
      <c r="JY220" s="76"/>
      <c r="JZ220" s="76"/>
      <c r="KA220" s="76"/>
      <c r="KB220" s="76"/>
      <c r="KC220" s="76"/>
      <c r="KD220" s="76"/>
      <c r="KE220" s="76"/>
      <c r="KF220" s="76"/>
      <c r="KG220" s="76"/>
      <c r="KH220" s="76"/>
      <c r="KI220" s="76"/>
      <c r="KJ220" s="76"/>
      <c r="KK220" s="76"/>
      <c r="KL220" s="76"/>
      <c r="KM220" s="76"/>
      <c r="KN220" s="76"/>
      <c r="KO220" s="76"/>
      <c r="KP220" s="76"/>
      <c r="KQ220" s="76"/>
      <c r="KR220" s="76"/>
      <c r="KS220" s="76"/>
      <c r="KT220" s="76"/>
      <c r="KU220" s="76"/>
      <c r="KV220" s="76"/>
      <c r="KW220" s="76"/>
      <c r="KX220" s="76"/>
      <c r="KY220" s="76"/>
      <c r="KZ220" s="76"/>
      <c r="LA220" s="76"/>
      <c r="LB220" s="76"/>
      <c r="LC220" s="76"/>
      <c r="LD220" s="76"/>
      <c r="LE220" s="76"/>
      <c r="LF220" s="76"/>
      <c r="LG220" s="76"/>
      <c r="LH220" s="76"/>
      <c r="LI220" s="76"/>
      <c r="LJ220" s="76"/>
      <c r="LK220" s="76"/>
      <c r="LL220" s="76"/>
      <c r="LM220" s="76"/>
      <c r="LN220" s="76"/>
      <c r="LO220" s="76"/>
      <c r="LP220" s="76"/>
      <c r="LQ220" s="76"/>
      <c r="LR220" s="76"/>
      <c r="LS220" s="76"/>
      <c r="LT220" s="76"/>
      <c r="LU220" s="76"/>
      <c r="LV220" s="76"/>
      <c r="LW220" s="76"/>
      <c r="LX220" s="76"/>
      <c r="LY220" s="76"/>
      <c r="LZ220" s="76"/>
      <c r="MA220" s="76"/>
      <c r="MB220" s="76"/>
      <c r="MC220" s="76"/>
      <c r="MD220" s="76"/>
      <c r="ME220" s="76"/>
      <c r="MF220" s="76"/>
      <c r="MG220" s="76"/>
      <c r="MH220" s="76"/>
      <c r="MI220" s="76"/>
      <c r="MJ220" s="76"/>
      <c r="MK220" s="76"/>
      <c r="ML220" s="76"/>
      <c r="MM220" s="76"/>
      <c r="MN220" s="76"/>
      <c r="MO220" s="76"/>
      <c r="MP220" s="76"/>
      <c r="MQ220" s="76"/>
      <c r="MR220" s="76"/>
      <c r="MS220" s="76"/>
      <c r="MT220" s="76"/>
      <c r="MU220" s="76"/>
      <c r="MV220" s="76"/>
      <c r="MW220" s="76"/>
      <c r="MX220" s="76"/>
      <c r="MY220" s="76"/>
      <c r="MZ220" s="76"/>
      <c r="NA220" s="76"/>
      <c r="NB220" s="76"/>
      <c r="NC220" s="76"/>
      <c r="ND220" s="76"/>
      <c r="NE220" s="76"/>
      <c r="NF220" s="76"/>
      <c r="NG220" s="76"/>
      <c r="NH220" s="76"/>
      <c r="NI220" s="76"/>
      <c r="NJ220" s="76"/>
      <c r="NK220" s="76"/>
      <c r="NL220" s="76"/>
      <c r="NM220" s="76"/>
      <c r="NN220" s="76"/>
      <c r="NO220" s="76"/>
      <c r="NP220" s="76"/>
      <c r="NQ220" s="76"/>
      <c r="NR220" s="76"/>
      <c r="NS220" s="76"/>
      <c r="NT220" s="76"/>
      <c r="NU220" s="76"/>
      <c r="NV220" s="76"/>
      <c r="NW220" s="76"/>
      <c r="NX220" s="76"/>
      <c r="NY220" s="76"/>
      <c r="NZ220" s="76"/>
      <c r="OA220" s="76"/>
      <c r="OB220" s="76"/>
      <c r="OC220" s="76"/>
      <c r="OD220" s="76"/>
      <c r="OE220" s="76"/>
      <c r="OF220" s="76"/>
      <c r="OG220" s="76"/>
      <c r="OH220" s="76"/>
      <c r="OI220" s="76"/>
      <c r="OJ220" s="76"/>
      <c r="OK220" s="76"/>
      <c r="OL220" s="76"/>
      <c r="OM220" s="76"/>
      <c r="ON220" s="76"/>
      <c r="OO220" s="76"/>
      <c r="OP220" s="76"/>
      <c r="OQ220" s="76"/>
      <c r="OR220" s="76"/>
      <c r="OS220" s="76"/>
      <c r="OT220" s="76"/>
      <c r="OU220" s="76"/>
      <c r="OV220" s="76"/>
      <c r="OW220" s="76"/>
      <c r="OX220" s="76"/>
      <c r="OY220" s="76"/>
      <c r="OZ220" s="76"/>
      <c r="PA220" s="76"/>
      <c r="PB220" s="76"/>
      <c r="PC220" s="76"/>
      <c r="PD220" s="76"/>
      <c r="PE220" s="76"/>
      <c r="PF220" s="76"/>
      <c r="PG220" s="76"/>
      <c r="PH220" s="76"/>
      <c r="PI220" s="76"/>
      <c r="PJ220" s="76"/>
      <c r="PK220" s="76"/>
      <c r="PL220" s="76"/>
      <c r="PM220" s="76"/>
      <c r="PN220" s="76"/>
      <c r="PO220" s="76"/>
      <c r="PP220" s="76"/>
      <c r="PQ220" s="76"/>
      <c r="PR220" s="76"/>
      <c r="PS220" s="76"/>
      <c r="PT220" s="76"/>
      <c r="PU220" s="76"/>
      <c r="PV220" s="76"/>
      <c r="PW220" s="76"/>
      <c r="PX220" s="76"/>
      <c r="PY220" s="76"/>
      <c r="PZ220" s="76"/>
      <c r="QA220" s="76"/>
      <c r="QB220" s="76"/>
      <c r="QC220" s="76"/>
      <c r="QD220" s="76"/>
      <c r="QE220" s="76"/>
      <c r="QF220" s="76"/>
      <c r="QG220" s="76"/>
      <c r="QH220" s="76"/>
      <c r="QI220" s="76"/>
      <c r="QJ220" s="76"/>
      <c r="QK220" s="76"/>
      <c r="QL220" s="76"/>
      <c r="QM220" s="76"/>
      <c r="QN220" s="76"/>
      <c r="QO220" s="76"/>
      <c r="QP220" s="76"/>
      <c r="QQ220" s="76"/>
      <c r="QR220" s="76"/>
      <c r="QS220" s="76"/>
      <c r="QT220" s="76"/>
      <c r="QU220" s="76"/>
      <c r="QV220" s="76"/>
      <c r="QW220" s="76"/>
      <c r="QX220" s="76"/>
      <c r="QY220" s="76"/>
      <c r="QZ220" s="76"/>
      <c r="RA220" s="76"/>
      <c r="RB220" s="76"/>
      <c r="RC220" s="76"/>
      <c r="RD220" s="76"/>
      <c r="RE220" s="76"/>
      <c r="RF220" s="76"/>
      <c r="RG220" s="76"/>
      <c r="RH220" s="76"/>
      <c r="RI220" s="76"/>
      <c r="RJ220" s="76"/>
      <c r="RK220" s="76"/>
      <c r="RL220" s="76"/>
      <c r="RM220" s="76"/>
      <c r="RN220" s="76"/>
      <c r="RO220" s="76"/>
      <c r="RP220" s="76"/>
      <c r="RQ220" s="76"/>
      <c r="RR220" s="76"/>
      <c r="RS220" s="76"/>
      <c r="RT220" s="76"/>
      <c r="RU220" s="76"/>
      <c r="RV220" s="76"/>
      <c r="RW220" s="76"/>
      <c r="RX220" s="76"/>
      <c r="RY220" s="76"/>
      <c r="RZ220" s="76"/>
      <c r="SA220" s="76"/>
      <c r="SB220" s="76"/>
      <c r="SC220" s="76"/>
      <c r="SD220" s="76"/>
      <c r="SE220" s="76"/>
      <c r="SF220" s="76"/>
      <c r="SG220" s="76"/>
      <c r="SH220" s="76"/>
      <c r="SI220" s="76"/>
      <c r="SJ220" s="76"/>
      <c r="SK220" s="76"/>
      <c r="SL220" s="76"/>
      <c r="SM220" s="76"/>
      <c r="SN220" s="76"/>
      <c r="SO220" s="76"/>
      <c r="SP220" s="76"/>
      <c r="SQ220" s="76"/>
      <c r="SR220" s="76"/>
      <c r="SS220" s="76"/>
      <c r="ST220" s="76"/>
      <c r="SU220" s="76"/>
      <c r="SV220" s="76"/>
      <c r="SW220" s="76"/>
      <c r="SX220" s="76"/>
      <c r="SY220" s="76"/>
      <c r="SZ220" s="76"/>
      <c r="TA220" s="76"/>
      <c r="TB220" s="76"/>
      <c r="TC220" s="76"/>
      <c r="TD220" s="76"/>
      <c r="TE220" s="76"/>
      <c r="TF220" s="76"/>
      <c r="TG220" s="76"/>
      <c r="TH220" s="76"/>
      <c r="TI220" s="76"/>
      <c r="TJ220" s="76"/>
      <c r="TK220" s="76"/>
      <c r="TL220" s="76"/>
      <c r="TM220" s="76"/>
      <c r="TN220" s="76"/>
      <c r="TO220" s="76"/>
      <c r="TP220" s="76"/>
      <c r="TQ220" s="76"/>
      <c r="TR220" s="76"/>
      <c r="TS220" s="76"/>
      <c r="TT220" s="76"/>
      <c r="TU220" s="76"/>
      <c r="TV220" s="76"/>
      <c r="TW220" s="76"/>
      <c r="TX220" s="76"/>
      <c r="TY220" s="76"/>
      <c r="TZ220" s="76"/>
      <c r="UA220" s="76"/>
      <c r="UB220" s="76"/>
      <c r="UC220" s="76"/>
      <c r="UD220" s="76"/>
      <c r="UE220" s="76"/>
      <c r="UF220" s="76"/>
      <c r="UG220" s="76"/>
      <c r="UH220" s="76"/>
      <c r="UI220" s="76"/>
      <c r="UJ220" s="76"/>
      <c r="UK220" s="76"/>
      <c r="UL220" s="76"/>
      <c r="UM220" s="76"/>
      <c r="UN220" s="76"/>
      <c r="UO220" s="76"/>
      <c r="UP220" s="76"/>
      <c r="UQ220" s="76"/>
      <c r="UR220" s="76"/>
      <c r="US220" s="76"/>
      <c r="UT220" s="76"/>
      <c r="UU220" s="76"/>
      <c r="UV220" s="76"/>
      <c r="UW220" s="76"/>
      <c r="UX220" s="76"/>
      <c r="UY220" s="76"/>
      <c r="UZ220" s="76"/>
      <c r="VA220" s="76"/>
      <c r="VB220" s="76"/>
      <c r="VC220" s="76"/>
      <c r="VD220" s="76"/>
      <c r="VE220" s="76"/>
      <c r="VF220" s="76"/>
      <c r="VG220" s="76"/>
      <c r="VH220" s="76"/>
      <c r="VI220" s="76"/>
      <c r="VJ220" s="76"/>
      <c r="VK220" s="76"/>
      <c r="VL220" s="76"/>
      <c r="VM220" s="76"/>
      <c r="VN220" s="76"/>
      <c r="VO220" s="76"/>
      <c r="VP220" s="76"/>
      <c r="VQ220" s="76"/>
      <c r="VR220" s="76"/>
      <c r="VS220" s="76"/>
      <c r="VT220" s="76"/>
      <c r="VU220" s="76"/>
      <c r="VV220" s="76"/>
      <c r="VW220" s="76"/>
      <c r="VX220" s="76"/>
      <c r="VY220" s="76"/>
      <c r="VZ220" s="76"/>
      <c r="WA220" s="76"/>
      <c r="WB220" s="76"/>
      <c r="WC220" s="76"/>
      <c r="WD220" s="76"/>
      <c r="WE220" s="76"/>
      <c r="WF220" s="76"/>
      <c r="WG220" s="76"/>
      <c r="WH220" s="76"/>
      <c r="WI220" s="76"/>
      <c r="WJ220" s="76"/>
      <c r="WK220" s="76"/>
      <c r="WL220" s="76"/>
      <c r="WM220" s="76"/>
      <c r="WN220" s="76"/>
      <c r="WO220" s="76"/>
      <c r="WP220" s="76"/>
      <c r="WQ220" s="76"/>
      <c r="WR220" s="76"/>
      <c r="WS220" s="76"/>
      <c r="WT220" s="76"/>
      <c r="WU220" s="76"/>
      <c r="WV220" s="76"/>
      <c r="WW220" s="76"/>
      <c r="WX220" s="76"/>
      <c r="WY220" s="76"/>
      <c r="WZ220" s="76"/>
      <c r="XA220" s="76"/>
      <c r="XB220" s="76"/>
      <c r="XC220" s="76"/>
      <c r="XD220" s="76"/>
      <c r="XE220" s="76"/>
      <c r="XF220" s="76"/>
      <c r="XG220" s="76"/>
      <c r="XH220" s="76"/>
      <c r="XI220" s="76"/>
      <c r="XJ220" s="76"/>
      <c r="XK220" s="76"/>
      <c r="XL220" s="76"/>
      <c r="XM220" s="76"/>
      <c r="XN220" s="76"/>
      <c r="XO220" s="76"/>
      <c r="XP220" s="76"/>
      <c r="XQ220" s="76"/>
      <c r="XR220" s="76"/>
      <c r="XS220" s="76"/>
      <c r="XT220" s="76"/>
      <c r="XU220" s="76"/>
      <c r="XV220" s="76"/>
      <c r="XW220" s="76"/>
      <c r="XX220" s="76"/>
      <c r="XY220" s="76"/>
      <c r="XZ220" s="76"/>
      <c r="YA220" s="76"/>
      <c r="YB220" s="76"/>
      <c r="YC220" s="76"/>
      <c r="YD220" s="76"/>
      <c r="YE220" s="76"/>
      <c r="YF220" s="76"/>
      <c r="YG220" s="76"/>
      <c r="YH220" s="76"/>
      <c r="YI220" s="76"/>
      <c r="YJ220" s="76"/>
      <c r="YK220" s="76"/>
      <c r="YL220" s="76"/>
      <c r="YM220" s="76"/>
      <c r="YN220" s="76"/>
      <c r="YO220" s="76"/>
      <c r="YP220" s="76"/>
      <c r="YQ220" s="76"/>
      <c r="YR220" s="76"/>
      <c r="YS220" s="76"/>
      <c r="YT220" s="76"/>
      <c r="YU220" s="76"/>
      <c r="YV220" s="76"/>
      <c r="YW220" s="76"/>
      <c r="YX220" s="76"/>
      <c r="YY220" s="76"/>
      <c r="YZ220" s="76"/>
      <c r="ZA220" s="76"/>
      <c r="ZB220" s="76"/>
      <c r="ZC220" s="76"/>
      <c r="ZD220" s="76"/>
      <c r="ZE220" s="76"/>
      <c r="ZF220" s="76"/>
      <c r="ZG220" s="76"/>
      <c r="ZH220" s="76"/>
      <c r="ZI220" s="76"/>
      <c r="ZJ220" s="76"/>
      <c r="ZK220" s="76"/>
      <c r="ZL220" s="76"/>
      <c r="ZM220" s="76"/>
      <c r="ZN220" s="76"/>
      <c r="ZO220" s="76"/>
      <c r="ZP220" s="76"/>
      <c r="ZQ220" s="76"/>
      <c r="ZR220" s="76"/>
      <c r="ZS220" s="76"/>
      <c r="ZT220" s="76"/>
      <c r="ZU220" s="76"/>
      <c r="ZV220" s="76"/>
      <c r="ZW220" s="76"/>
      <c r="ZX220" s="76"/>
      <c r="ZY220" s="76"/>
      <c r="ZZ220" s="76"/>
      <c r="AAA220" s="76"/>
      <c r="AAB220" s="76"/>
      <c r="AAC220" s="76"/>
      <c r="AAD220" s="76"/>
      <c r="AAE220" s="76"/>
      <c r="AAF220" s="76"/>
      <c r="AAG220" s="76"/>
      <c r="AAH220" s="76"/>
      <c r="AAI220" s="76"/>
      <c r="AAJ220" s="76"/>
      <c r="AAK220" s="76"/>
      <c r="AAL220" s="76"/>
      <c r="AAM220" s="76"/>
      <c r="AAN220" s="76"/>
      <c r="AAO220" s="76"/>
      <c r="AAP220" s="76"/>
      <c r="AAQ220" s="76"/>
      <c r="AAR220" s="76"/>
      <c r="AAS220" s="76"/>
      <c r="AAT220" s="76"/>
      <c r="AAU220" s="76"/>
      <c r="AAV220" s="76"/>
      <c r="AAW220" s="76"/>
      <c r="AAX220" s="76"/>
      <c r="AAY220" s="76"/>
      <c r="AAZ220" s="76"/>
      <c r="ABA220" s="76"/>
      <c r="ABB220" s="76"/>
      <c r="ABC220" s="76"/>
      <c r="ABD220" s="76"/>
      <c r="ABE220" s="76"/>
      <c r="ABF220" s="76"/>
      <c r="ABG220" s="76"/>
      <c r="ABH220" s="76"/>
      <c r="ABI220" s="76"/>
      <c r="ABJ220" s="76"/>
      <c r="ABK220" s="76"/>
      <c r="ABL220" s="76"/>
      <c r="ABM220" s="76"/>
      <c r="ABN220" s="76"/>
      <c r="ABO220" s="76"/>
      <c r="ABP220" s="76"/>
      <c r="ABQ220" s="76"/>
      <c r="ABR220" s="76"/>
      <c r="ABS220" s="76"/>
      <c r="ABT220" s="76"/>
      <c r="ABU220" s="76"/>
      <c r="ABV220" s="76"/>
      <c r="ABW220" s="76"/>
      <c r="ABX220" s="76"/>
      <c r="ABY220" s="76"/>
      <c r="ABZ220" s="76"/>
      <c r="ACA220" s="76"/>
      <c r="ACB220" s="76"/>
      <c r="ACC220" s="76"/>
      <c r="ACD220" s="76"/>
      <c r="ACE220" s="76"/>
      <c r="ACF220" s="76"/>
      <c r="ACG220" s="76"/>
      <c r="ACH220" s="76"/>
      <c r="ACI220" s="76"/>
      <c r="ACJ220" s="76"/>
      <c r="ACK220" s="76"/>
      <c r="ACL220" s="76"/>
      <c r="ACM220" s="76"/>
      <c r="ACN220" s="76"/>
      <c r="ACO220" s="76"/>
      <c r="ACP220" s="76"/>
      <c r="ACQ220" s="76"/>
      <c r="ACR220" s="76"/>
      <c r="ACS220" s="76"/>
      <c r="ACT220" s="76"/>
      <c r="ACU220" s="76"/>
      <c r="ACV220" s="76"/>
      <c r="ACW220" s="76"/>
      <c r="ACX220" s="76"/>
      <c r="ACY220" s="76"/>
      <c r="ACZ220" s="76"/>
      <c r="ADA220" s="76"/>
      <c r="ADB220" s="76"/>
      <c r="ADC220" s="76"/>
      <c r="ADD220" s="76"/>
      <c r="ADE220" s="76"/>
      <c r="ADF220" s="76"/>
      <c r="ADG220" s="76"/>
      <c r="ADH220" s="76"/>
      <c r="ADI220" s="76"/>
      <c r="ADJ220" s="76"/>
      <c r="ADK220" s="76"/>
      <c r="ADL220" s="76"/>
      <c r="ADM220" s="76"/>
      <c r="ADN220" s="76"/>
      <c r="ADO220" s="76"/>
      <c r="ADP220" s="76"/>
      <c r="ADQ220" s="76"/>
      <c r="ADR220" s="76"/>
      <c r="ADS220" s="76"/>
      <c r="ADT220" s="76"/>
      <c r="ADU220" s="76"/>
      <c r="ADV220" s="76"/>
      <c r="ADW220" s="76"/>
      <c r="ADX220" s="76"/>
      <c r="ADY220" s="76"/>
      <c r="ADZ220" s="76"/>
      <c r="AEA220" s="76"/>
      <c r="AEB220" s="76"/>
      <c r="AEC220" s="76"/>
      <c r="AED220" s="76"/>
      <c r="AEE220" s="76"/>
      <c r="AEF220" s="76"/>
      <c r="AEG220" s="76"/>
      <c r="AEH220" s="76"/>
      <c r="AEI220" s="76"/>
      <c r="AEJ220" s="76"/>
      <c r="AEK220" s="76"/>
      <c r="AEL220" s="76"/>
      <c r="AEM220" s="76"/>
      <c r="AEN220" s="76"/>
      <c r="AEO220" s="76"/>
      <c r="AEP220" s="76"/>
      <c r="AEQ220" s="76"/>
      <c r="AER220" s="76"/>
      <c r="AES220" s="76"/>
      <c r="AET220" s="76"/>
      <c r="AEU220" s="76"/>
      <c r="AEV220" s="76"/>
      <c r="AEW220" s="76"/>
      <c r="AEX220" s="76"/>
      <c r="AEY220" s="76"/>
      <c r="AEZ220" s="76"/>
      <c r="AFA220" s="76"/>
      <c r="AFB220" s="76"/>
      <c r="AFC220" s="76"/>
      <c r="AFD220" s="76"/>
      <c r="AFE220" s="76"/>
      <c r="AFF220" s="76"/>
      <c r="AFG220" s="76"/>
      <c r="AFH220" s="76"/>
      <c r="AFI220" s="76"/>
      <c r="AFJ220" s="76"/>
      <c r="AFK220" s="76"/>
      <c r="AFL220" s="76"/>
      <c r="AFM220" s="76"/>
      <c r="AFN220" s="76"/>
      <c r="AFO220" s="76"/>
      <c r="AFP220" s="76"/>
      <c r="AFQ220" s="76"/>
      <c r="AFR220" s="76"/>
      <c r="AFS220" s="76"/>
      <c r="AFT220" s="76"/>
      <c r="AFU220" s="76"/>
      <c r="AFV220" s="76"/>
      <c r="AFW220" s="76"/>
      <c r="AFX220" s="76"/>
      <c r="AFY220" s="76"/>
      <c r="AFZ220" s="76"/>
      <c r="AGA220" s="76"/>
      <c r="AGB220" s="76"/>
      <c r="AGC220" s="76"/>
      <c r="AGD220" s="76"/>
      <c r="AGE220" s="76"/>
      <c r="AGF220" s="76"/>
      <c r="AGG220" s="76"/>
      <c r="AGH220" s="76"/>
      <c r="AGI220" s="76"/>
      <c r="AGJ220" s="76"/>
      <c r="AGK220" s="76"/>
      <c r="AGL220" s="76"/>
      <c r="AGM220" s="76"/>
      <c r="AGN220" s="76"/>
      <c r="AGO220" s="76"/>
      <c r="AGP220" s="76"/>
      <c r="AGQ220" s="76"/>
      <c r="AGR220" s="76"/>
      <c r="AGS220" s="76"/>
      <c r="AGT220" s="76"/>
      <c r="AGU220" s="76"/>
      <c r="AGV220" s="76"/>
      <c r="AGW220" s="76"/>
      <c r="AGX220" s="76"/>
      <c r="AGY220" s="76"/>
      <c r="AGZ220" s="76"/>
      <c r="AHA220" s="76"/>
      <c r="AHB220" s="76"/>
      <c r="AHC220" s="76"/>
      <c r="AHD220" s="76"/>
      <c r="AHE220" s="76"/>
      <c r="AHF220" s="76"/>
      <c r="AHG220" s="76"/>
      <c r="AHH220" s="76"/>
      <c r="AHI220" s="76"/>
      <c r="AHJ220" s="76"/>
      <c r="AHK220" s="76"/>
      <c r="AHL220" s="76"/>
      <c r="AHM220" s="76"/>
      <c r="AHN220" s="76"/>
      <c r="AHO220" s="76"/>
      <c r="AHP220" s="76"/>
      <c r="AHQ220" s="76"/>
      <c r="AHR220" s="76"/>
      <c r="AHS220" s="76"/>
      <c r="AHT220" s="76"/>
      <c r="AHU220" s="76"/>
      <c r="AHV220" s="76"/>
      <c r="AHW220" s="76"/>
      <c r="AHX220" s="76"/>
      <c r="AHY220" s="76"/>
      <c r="AHZ220" s="76"/>
      <c r="AIA220" s="76"/>
      <c r="AIB220" s="76"/>
      <c r="AIC220" s="76"/>
      <c r="AID220" s="76"/>
      <c r="AIE220" s="76"/>
      <c r="AIF220" s="76"/>
      <c r="AIG220" s="76"/>
      <c r="AIH220" s="76"/>
      <c r="AII220" s="76"/>
      <c r="AIJ220" s="76"/>
      <c r="AIK220" s="76"/>
      <c r="AIL220" s="76"/>
      <c r="AIM220" s="76"/>
      <c r="AIN220" s="76"/>
      <c r="AIO220" s="76"/>
      <c r="AIP220" s="76"/>
      <c r="AIQ220" s="76"/>
      <c r="AIR220" s="76"/>
      <c r="AIS220" s="76"/>
      <c r="AIT220" s="76"/>
      <c r="AIU220" s="76"/>
      <c r="AIV220" s="76"/>
      <c r="AIW220" s="76"/>
      <c r="AIX220" s="76"/>
      <c r="AIY220" s="76"/>
      <c r="AIZ220" s="76"/>
      <c r="AJA220" s="76"/>
      <c r="AJB220" s="76"/>
      <c r="AJC220" s="76"/>
      <c r="AJD220" s="76"/>
      <c r="AJE220" s="76"/>
      <c r="AJF220" s="76"/>
      <c r="AJG220" s="76"/>
      <c r="AJH220" s="76"/>
      <c r="AJI220" s="76"/>
      <c r="AJJ220" s="76"/>
      <c r="AJK220" s="76"/>
      <c r="AJL220" s="76"/>
      <c r="AJM220" s="76"/>
      <c r="AJN220" s="76"/>
      <c r="AJO220" s="76"/>
      <c r="AJP220" s="76"/>
      <c r="AJQ220" s="76"/>
      <c r="AJR220" s="76"/>
      <c r="AJS220" s="76"/>
      <c r="AJT220" s="76"/>
      <c r="AJU220" s="76"/>
      <c r="AJV220" s="76"/>
      <c r="AJW220" s="76"/>
      <c r="AJX220" s="76"/>
      <c r="AJY220" s="76"/>
      <c r="AJZ220" s="76"/>
      <c r="AKA220" s="76"/>
      <c r="AKB220" s="76"/>
      <c r="AKC220" s="76"/>
      <c r="AKD220" s="76"/>
      <c r="AKE220" s="76"/>
      <c r="AKF220" s="76"/>
      <c r="AKG220" s="76"/>
      <c r="AKH220" s="76"/>
      <c r="AKI220" s="76"/>
      <c r="AKJ220" s="76"/>
      <c r="AKK220" s="76"/>
      <c r="AKL220" s="76"/>
      <c r="AKM220" s="76"/>
      <c r="AKN220" s="76"/>
      <c r="AKO220" s="76"/>
      <c r="AKP220" s="76"/>
      <c r="AKQ220" s="76"/>
      <c r="AKR220" s="76"/>
      <c r="AKS220" s="76"/>
      <c r="AKT220" s="76"/>
      <c r="AKU220" s="76"/>
      <c r="AKV220" s="76"/>
      <c r="AKW220" s="76"/>
      <c r="AKX220" s="76"/>
      <c r="AKY220" s="76"/>
      <c r="AKZ220" s="76"/>
      <c r="ALA220" s="76"/>
      <c r="ALB220" s="76"/>
      <c r="ALC220" s="76"/>
      <c r="ALD220" s="76"/>
      <c r="ALE220" s="76"/>
      <c r="ALF220" s="76"/>
      <c r="ALG220" s="76"/>
      <c r="ALH220" s="76"/>
      <c r="ALI220" s="76"/>
      <c r="ALJ220" s="76"/>
      <c r="ALK220" s="76"/>
      <c r="ALL220" s="76"/>
      <c r="ALM220" s="76"/>
      <c r="ALN220" s="76"/>
      <c r="ALO220" s="76"/>
      <c r="ALP220" s="76"/>
      <c r="ALQ220" s="76"/>
      <c r="ALR220" s="76"/>
      <c r="ALS220" s="76"/>
      <c r="ALT220" s="76"/>
      <c r="ALU220" s="76"/>
      <c r="ALV220" s="76"/>
      <c r="ALW220" s="76"/>
      <c r="ALX220" s="76"/>
      <c r="ALY220" s="76"/>
      <c r="ALZ220" s="76"/>
      <c r="AMA220" s="76"/>
      <c r="AMB220" s="76"/>
      <c r="AMC220" s="76"/>
      <c r="AMD220" s="76"/>
      <c r="AME220" s="76"/>
      <c r="AMF220" s="76"/>
      <c r="AMG220" s="76"/>
      <c r="AMH220" s="76"/>
      <c r="AMI220" s="76"/>
      <c r="AMJ220" s="76"/>
      <c r="AMK220" s="76"/>
      <c r="AML220" s="76"/>
      <c r="AMM220" s="76"/>
      <c r="AMN220" s="76"/>
      <c r="AMO220" s="76"/>
      <c r="AMP220" s="76"/>
      <c r="AMQ220" s="76"/>
      <c r="AMR220" s="76"/>
      <c r="AMS220" s="76"/>
      <c r="AMT220" s="76"/>
      <c r="AMU220" s="76"/>
      <c r="AMV220" s="76"/>
      <c r="AMW220" s="76"/>
      <c r="AMX220" s="76"/>
      <c r="AMY220" s="76"/>
      <c r="AMZ220" s="76"/>
      <c r="ANA220" s="76"/>
      <c r="ANB220" s="76"/>
      <c r="ANC220" s="76"/>
      <c r="AND220" s="76"/>
      <c r="ANE220" s="76"/>
      <c r="ANF220" s="76"/>
      <c r="ANG220" s="76"/>
      <c r="ANH220" s="76"/>
      <c r="ANI220" s="76"/>
      <c r="ANJ220" s="76"/>
      <c r="ANK220" s="76"/>
      <c r="ANL220" s="76"/>
      <c r="ANM220" s="76"/>
      <c r="ANN220" s="76"/>
      <c r="ANO220" s="76"/>
      <c r="ANP220" s="76"/>
      <c r="ANQ220" s="76"/>
      <c r="ANR220" s="76"/>
      <c r="ANS220" s="76"/>
      <c r="ANT220" s="76"/>
      <c r="ANU220" s="76"/>
      <c r="ANV220" s="76"/>
      <c r="ANW220" s="76"/>
      <c r="ANX220" s="76"/>
      <c r="ANY220" s="76"/>
      <c r="ANZ220" s="76"/>
      <c r="AOA220" s="76"/>
      <c r="AOB220" s="76"/>
      <c r="AOC220" s="76"/>
      <c r="AOD220" s="76"/>
      <c r="AOE220" s="76"/>
      <c r="AOF220" s="76"/>
      <c r="AOG220" s="76"/>
      <c r="AOH220" s="76"/>
      <c r="AOI220" s="76"/>
      <c r="AOJ220" s="76"/>
      <c r="AOK220" s="76"/>
      <c r="AOL220" s="76"/>
      <c r="AOM220" s="76"/>
      <c r="AON220" s="76"/>
      <c r="AOO220" s="76"/>
      <c r="AOP220" s="76"/>
      <c r="AOQ220" s="76"/>
      <c r="AOR220" s="76"/>
      <c r="AOS220" s="76"/>
      <c r="AOT220" s="76"/>
      <c r="AOU220" s="76"/>
      <c r="AOV220" s="76"/>
      <c r="AOW220" s="76"/>
      <c r="AOX220" s="76"/>
      <c r="AOY220" s="76"/>
      <c r="AOZ220" s="76"/>
      <c r="APA220" s="76"/>
      <c r="APB220" s="76"/>
      <c r="APC220" s="76"/>
      <c r="APD220" s="76"/>
      <c r="APE220" s="76"/>
      <c r="APF220" s="76"/>
      <c r="APG220" s="76"/>
      <c r="APH220" s="76"/>
      <c r="API220" s="76"/>
      <c r="APJ220" s="76"/>
      <c r="APK220" s="76"/>
      <c r="APL220" s="76"/>
      <c r="APM220" s="76"/>
      <c r="APN220" s="76"/>
      <c r="APO220" s="76"/>
      <c r="APP220" s="76"/>
      <c r="APQ220" s="76"/>
      <c r="APR220" s="76"/>
      <c r="APS220" s="76"/>
      <c r="APT220" s="76"/>
      <c r="APU220" s="76"/>
      <c r="APV220" s="76"/>
      <c r="APW220" s="76"/>
      <c r="APX220" s="76"/>
      <c r="APY220" s="76"/>
      <c r="APZ220" s="76"/>
      <c r="AQA220" s="76"/>
      <c r="AQB220" s="76"/>
      <c r="AQC220" s="76"/>
      <c r="AQD220" s="76"/>
      <c r="AQE220" s="76"/>
      <c r="AQF220" s="76"/>
      <c r="AQG220" s="76"/>
      <c r="AQH220" s="76"/>
      <c r="AQI220" s="76"/>
      <c r="AQJ220" s="76"/>
      <c r="AQK220" s="76"/>
      <c r="AQL220" s="76"/>
      <c r="AQM220" s="76"/>
      <c r="AQN220" s="76"/>
      <c r="AQO220" s="76"/>
      <c r="AQP220" s="76"/>
      <c r="AQQ220" s="76"/>
      <c r="AQR220" s="76"/>
      <c r="AQS220" s="76"/>
      <c r="AQT220" s="76"/>
      <c r="AQU220" s="76"/>
      <c r="AQV220" s="76"/>
      <c r="AQW220" s="76"/>
      <c r="AQX220" s="76"/>
      <c r="AQY220" s="76"/>
      <c r="AQZ220" s="76"/>
      <c r="ARA220" s="76"/>
      <c r="ARB220" s="76"/>
      <c r="ARC220" s="76"/>
      <c r="ARD220" s="76"/>
      <c r="ARE220" s="76"/>
      <c r="ARF220" s="76"/>
      <c r="ARG220" s="76"/>
      <c r="ARH220" s="76"/>
      <c r="ARI220" s="76"/>
      <c r="ARJ220" s="76"/>
      <c r="ARK220" s="76"/>
      <c r="ARL220" s="76"/>
      <c r="ARM220" s="76"/>
      <c r="ARN220" s="76"/>
      <c r="ARO220" s="76"/>
      <c r="ARP220" s="76"/>
      <c r="ARQ220" s="76"/>
      <c r="ARR220" s="76"/>
      <c r="ARS220" s="76"/>
      <c r="ART220" s="76"/>
      <c r="ARU220" s="76"/>
      <c r="ARV220" s="76"/>
      <c r="ARW220" s="76"/>
      <c r="ARX220" s="76"/>
      <c r="ARY220" s="76"/>
      <c r="ARZ220" s="76"/>
      <c r="ASA220" s="76"/>
      <c r="ASB220" s="76"/>
      <c r="ASC220" s="76"/>
      <c r="ASD220" s="76"/>
      <c r="ASE220" s="76"/>
      <c r="ASF220" s="76"/>
      <c r="ASG220" s="76"/>
      <c r="ASH220" s="76"/>
      <c r="ASI220" s="76"/>
      <c r="ASJ220" s="76"/>
      <c r="ASK220" s="76"/>
      <c r="ASL220" s="76"/>
      <c r="ASM220" s="76"/>
      <c r="ASN220" s="76"/>
      <c r="ASO220" s="76"/>
      <c r="ASP220" s="76"/>
      <c r="ASQ220" s="76"/>
      <c r="ASR220" s="76"/>
      <c r="ASS220" s="76"/>
      <c r="AST220" s="76"/>
      <c r="ASU220" s="76"/>
      <c r="ASV220" s="76"/>
      <c r="ASW220" s="76"/>
      <c r="ASX220" s="76"/>
      <c r="ASY220" s="76"/>
      <c r="ASZ220" s="76"/>
      <c r="ATA220" s="76"/>
      <c r="ATB220" s="76"/>
      <c r="ATC220" s="76"/>
      <c r="ATD220" s="76"/>
      <c r="ATE220" s="76"/>
      <c r="ATF220" s="76"/>
      <c r="ATG220" s="76"/>
      <c r="ATH220" s="76"/>
      <c r="ATI220" s="76"/>
      <c r="ATJ220" s="76"/>
      <c r="ATK220" s="76"/>
      <c r="ATL220" s="76"/>
      <c r="ATM220" s="76"/>
      <c r="ATN220" s="76"/>
      <c r="ATO220" s="76"/>
      <c r="ATP220" s="76"/>
      <c r="ATQ220" s="76"/>
      <c r="ATR220" s="76"/>
      <c r="ATS220" s="76"/>
      <c r="ATT220" s="76"/>
      <c r="ATU220" s="76"/>
      <c r="ATV220" s="76"/>
      <c r="ATW220" s="76"/>
      <c r="ATX220" s="76"/>
      <c r="ATY220" s="76"/>
      <c r="ATZ220" s="76"/>
      <c r="AUA220" s="76"/>
      <c r="AUB220" s="76"/>
      <c r="AUC220" s="76"/>
      <c r="AUD220" s="76"/>
      <c r="AUE220" s="76"/>
      <c r="AUF220" s="76"/>
      <c r="AUG220" s="76"/>
      <c r="AUH220" s="76"/>
      <c r="AUI220" s="76"/>
      <c r="AUJ220" s="76"/>
      <c r="AUK220" s="76"/>
      <c r="AUL220" s="76"/>
      <c r="AUM220" s="76"/>
      <c r="AUN220" s="76"/>
      <c r="AUO220" s="76"/>
      <c r="AUP220" s="76"/>
      <c r="AUQ220" s="76"/>
      <c r="AUR220" s="76"/>
      <c r="AUS220" s="76"/>
      <c r="AUT220" s="76"/>
      <c r="AUU220" s="76"/>
      <c r="AUV220" s="76"/>
      <c r="AUW220" s="76"/>
      <c r="AUX220" s="76"/>
      <c r="AUY220" s="76"/>
      <c r="AUZ220" s="76"/>
      <c r="AVA220" s="76"/>
      <c r="AVB220" s="76"/>
      <c r="AVC220" s="76"/>
      <c r="AVD220" s="76"/>
      <c r="AVE220" s="76"/>
      <c r="AVF220" s="76"/>
      <c r="AVG220" s="76"/>
      <c r="AVH220" s="76"/>
      <c r="AVI220" s="76"/>
      <c r="AVJ220" s="76"/>
      <c r="AVK220" s="76"/>
      <c r="AVL220" s="76"/>
      <c r="AVM220" s="76"/>
      <c r="AVN220" s="76"/>
      <c r="AVO220" s="76"/>
      <c r="AVP220" s="76"/>
      <c r="AVQ220" s="76"/>
      <c r="AVR220" s="76"/>
      <c r="AVS220" s="76"/>
      <c r="AVT220" s="76"/>
      <c r="AVU220" s="76"/>
      <c r="AVV220" s="76"/>
      <c r="AVW220" s="76"/>
      <c r="AVX220" s="76"/>
      <c r="AVY220" s="76"/>
      <c r="AVZ220" s="76"/>
      <c r="AWA220" s="76"/>
      <c r="AWB220" s="76"/>
      <c r="AWC220" s="76"/>
      <c r="AWD220" s="76"/>
      <c r="AWE220" s="76"/>
      <c r="AWF220" s="76"/>
      <c r="AWG220" s="76"/>
      <c r="AWH220" s="76"/>
      <c r="AWI220" s="76"/>
      <c r="AWJ220" s="76"/>
      <c r="AWK220" s="76"/>
      <c r="AWL220" s="76"/>
      <c r="AWM220" s="76"/>
      <c r="AWN220" s="76"/>
      <c r="AWO220" s="76"/>
      <c r="AWP220" s="76"/>
      <c r="AWQ220" s="76"/>
      <c r="AWR220" s="76"/>
      <c r="AWS220" s="76"/>
      <c r="AWT220" s="76"/>
      <c r="AWU220" s="76"/>
      <c r="AWV220" s="76"/>
      <c r="AWW220" s="76"/>
      <c r="AWX220" s="76"/>
      <c r="AWY220" s="76"/>
      <c r="AWZ220" s="76"/>
      <c r="AXA220" s="76"/>
      <c r="AXB220" s="76"/>
      <c r="AXC220" s="76"/>
      <c r="AXD220" s="76"/>
      <c r="AXE220" s="76"/>
      <c r="AXF220" s="76"/>
      <c r="AXG220" s="76"/>
      <c r="AXH220" s="76"/>
      <c r="AXI220" s="76"/>
      <c r="AXJ220" s="76"/>
      <c r="AXK220" s="76"/>
      <c r="AXL220" s="76"/>
      <c r="AXM220" s="76"/>
      <c r="AXN220" s="76"/>
      <c r="AXO220" s="76"/>
      <c r="AXP220" s="76"/>
      <c r="AXQ220" s="76"/>
      <c r="AXR220" s="76"/>
      <c r="AXS220" s="76"/>
      <c r="AXT220" s="76"/>
      <c r="AXU220" s="76"/>
      <c r="AXV220" s="76"/>
      <c r="AXW220" s="76"/>
      <c r="AXX220" s="76"/>
      <c r="AXY220" s="76"/>
      <c r="AXZ220" s="76"/>
      <c r="AYA220" s="76"/>
      <c r="AYB220" s="76"/>
      <c r="AYC220" s="76"/>
      <c r="AYD220" s="76"/>
      <c r="AYE220" s="76"/>
      <c r="AYF220" s="76"/>
      <c r="AYG220" s="76"/>
      <c r="AYH220" s="76"/>
      <c r="AYI220" s="76"/>
      <c r="AYJ220" s="76"/>
      <c r="AYK220" s="76"/>
      <c r="AYL220" s="76"/>
      <c r="AYM220" s="76"/>
      <c r="AYN220" s="76"/>
      <c r="AYO220" s="76"/>
      <c r="AYP220" s="76"/>
      <c r="AYQ220" s="76"/>
      <c r="AYR220" s="76"/>
      <c r="AYS220" s="76"/>
      <c r="AYT220" s="76"/>
      <c r="AYU220" s="76"/>
      <c r="AYV220" s="76"/>
      <c r="AYW220" s="76"/>
      <c r="AYX220" s="76"/>
      <c r="AYY220" s="76"/>
      <c r="AYZ220" s="76"/>
      <c r="AZA220" s="76"/>
      <c r="AZB220" s="76"/>
      <c r="AZC220" s="76"/>
      <c r="AZD220" s="76"/>
      <c r="AZE220" s="76"/>
      <c r="AZF220" s="76"/>
      <c r="AZG220" s="76"/>
      <c r="AZH220" s="76"/>
      <c r="AZI220" s="76"/>
      <c r="AZJ220" s="76"/>
      <c r="AZK220" s="76"/>
      <c r="AZL220" s="76"/>
      <c r="AZM220" s="76"/>
      <c r="AZN220" s="76"/>
      <c r="AZO220" s="76"/>
      <c r="AZP220" s="76"/>
      <c r="AZQ220" s="76"/>
      <c r="AZR220" s="76"/>
      <c r="AZS220" s="76"/>
      <c r="AZT220" s="76"/>
      <c r="AZU220" s="76"/>
      <c r="AZV220" s="76"/>
      <c r="AZW220" s="76"/>
      <c r="AZX220" s="76"/>
      <c r="AZY220" s="76"/>
      <c r="AZZ220" s="76"/>
      <c r="BAA220" s="76"/>
      <c r="BAB220" s="76"/>
      <c r="BAC220" s="76"/>
      <c r="BAD220" s="76"/>
      <c r="BAE220" s="76"/>
      <c r="BAF220" s="76"/>
      <c r="BAG220" s="76"/>
      <c r="BAH220" s="76"/>
      <c r="BAI220" s="76"/>
      <c r="BAJ220" s="76"/>
      <c r="BAK220" s="76"/>
      <c r="BAL220" s="76"/>
      <c r="BAM220" s="76"/>
      <c r="BAN220" s="76"/>
      <c r="BAO220" s="76"/>
      <c r="BAP220" s="76"/>
      <c r="BAQ220" s="76"/>
      <c r="BAR220" s="76"/>
      <c r="BAS220" s="76"/>
      <c r="BAT220" s="76"/>
      <c r="BAU220" s="76"/>
      <c r="BAV220" s="76"/>
      <c r="BAW220" s="76"/>
      <c r="BAX220" s="76"/>
      <c r="BAY220" s="76"/>
      <c r="BAZ220" s="76"/>
      <c r="BBA220" s="76"/>
      <c r="BBB220" s="76"/>
      <c r="BBC220" s="76"/>
      <c r="BBD220" s="76"/>
      <c r="BBE220" s="76"/>
      <c r="BBF220" s="76"/>
      <c r="BBG220" s="76"/>
      <c r="BBH220" s="76"/>
      <c r="BBI220" s="76"/>
      <c r="BBJ220" s="76"/>
      <c r="BBK220" s="76"/>
      <c r="BBL220" s="76"/>
      <c r="BBM220" s="76"/>
      <c r="BBN220" s="76"/>
      <c r="BBO220" s="76"/>
      <c r="BBP220" s="76"/>
      <c r="BBQ220" s="76"/>
      <c r="BBR220" s="76"/>
      <c r="BBS220" s="76"/>
      <c r="BBT220" s="76"/>
      <c r="BBU220" s="76"/>
      <c r="BBV220" s="76"/>
      <c r="BBW220" s="76"/>
      <c r="BBX220" s="76"/>
      <c r="BBY220" s="76"/>
      <c r="BBZ220" s="76"/>
      <c r="BCA220" s="76"/>
      <c r="BCB220" s="76"/>
      <c r="BCC220" s="76"/>
      <c r="BCD220" s="76"/>
      <c r="BCE220" s="76"/>
      <c r="BCF220" s="76"/>
      <c r="BCG220" s="76"/>
      <c r="BCH220" s="76"/>
      <c r="BCI220" s="76"/>
      <c r="BCJ220" s="76"/>
      <c r="BCK220" s="76"/>
      <c r="BCL220" s="76"/>
      <c r="BCM220" s="76"/>
      <c r="BCN220" s="76"/>
      <c r="BCO220" s="76"/>
      <c r="BCP220" s="76"/>
      <c r="BCQ220" s="76"/>
      <c r="BCR220" s="76"/>
      <c r="BCS220" s="76"/>
      <c r="BCT220" s="76"/>
      <c r="BCU220" s="76"/>
      <c r="BCV220" s="76"/>
      <c r="BCW220" s="76"/>
      <c r="BCX220" s="76"/>
      <c r="BCY220" s="76"/>
      <c r="BCZ220" s="76"/>
      <c r="BDA220" s="76"/>
      <c r="BDB220" s="76"/>
      <c r="BDC220" s="76"/>
      <c r="BDD220" s="76"/>
      <c r="BDE220" s="76"/>
      <c r="BDF220" s="76"/>
      <c r="BDG220" s="76"/>
      <c r="BDH220" s="76"/>
      <c r="BDI220" s="76"/>
      <c r="BDJ220" s="76"/>
      <c r="BDK220" s="76"/>
      <c r="BDL220" s="76"/>
      <c r="BDM220" s="76"/>
      <c r="BDN220" s="76"/>
      <c r="BDO220" s="76"/>
      <c r="BDP220" s="76"/>
      <c r="BDQ220" s="76"/>
      <c r="BDR220" s="76"/>
      <c r="BDS220" s="76"/>
      <c r="BDT220" s="76"/>
      <c r="BDU220" s="76"/>
      <c r="BDV220" s="76"/>
      <c r="BDW220" s="76"/>
      <c r="BDX220" s="76"/>
      <c r="BDY220" s="76"/>
      <c r="BDZ220" s="76"/>
      <c r="BEA220" s="76"/>
      <c r="BEB220" s="76"/>
      <c r="BEC220" s="76"/>
      <c r="BED220" s="76"/>
      <c r="BEE220" s="76"/>
      <c r="BEF220" s="76"/>
      <c r="BEG220" s="76"/>
      <c r="BEH220" s="76"/>
      <c r="BEI220" s="76"/>
      <c r="BEJ220" s="76"/>
      <c r="BEK220" s="76"/>
      <c r="BEL220" s="76"/>
      <c r="BEM220" s="76"/>
      <c r="BEN220" s="76"/>
      <c r="BEO220" s="76"/>
      <c r="BEP220" s="76"/>
      <c r="BEQ220" s="76"/>
      <c r="BER220" s="76"/>
      <c r="BES220" s="76"/>
      <c r="BET220" s="76"/>
      <c r="BEU220" s="76"/>
      <c r="BEV220" s="76"/>
      <c r="BEW220" s="76"/>
      <c r="BEX220" s="76"/>
      <c r="BEY220" s="76"/>
      <c r="BEZ220" s="76"/>
      <c r="BFA220" s="76"/>
      <c r="BFB220" s="76"/>
      <c r="BFC220" s="76"/>
      <c r="BFD220" s="76"/>
      <c r="BFE220" s="76"/>
      <c r="BFF220" s="76"/>
      <c r="BFG220" s="76"/>
      <c r="BFH220" s="76"/>
      <c r="BFI220" s="76"/>
      <c r="BFJ220" s="76"/>
      <c r="BFK220" s="76"/>
      <c r="BFL220" s="76"/>
      <c r="BFM220" s="76"/>
      <c r="BFN220" s="76"/>
      <c r="BFO220" s="76"/>
      <c r="BFP220" s="76"/>
      <c r="BFQ220" s="76"/>
      <c r="BFR220" s="76"/>
      <c r="BFS220" s="76"/>
      <c r="BFT220" s="76"/>
      <c r="BFU220" s="76"/>
      <c r="BFV220" s="76"/>
      <c r="BFW220" s="76"/>
      <c r="BFX220" s="76"/>
      <c r="BFY220" s="76"/>
      <c r="BFZ220" s="76"/>
      <c r="BGA220" s="76"/>
      <c r="BGB220" s="76"/>
      <c r="BGC220" s="76"/>
      <c r="BGD220" s="76"/>
      <c r="BGE220" s="76"/>
      <c r="BGF220" s="76"/>
      <c r="BGG220" s="76"/>
      <c r="BGH220" s="76"/>
      <c r="BGI220" s="76"/>
      <c r="BGJ220" s="76"/>
      <c r="BGK220" s="76"/>
      <c r="BGL220" s="76"/>
      <c r="BGM220" s="76"/>
      <c r="BGN220" s="76"/>
      <c r="BGO220" s="76"/>
      <c r="BGP220" s="76"/>
      <c r="BGQ220" s="76"/>
      <c r="BGR220" s="76"/>
      <c r="BGS220" s="76"/>
      <c r="BGT220" s="76"/>
      <c r="BGU220" s="76"/>
      <c r="BGV220" s="76"/>
      <c r="BGW220" s="76"/>
      <c r="BGX220" s="76"/>
      <c r="BGY220" s="76"/>
      <c r="BGZ220" s="76"/>
      <c r="BHA220" s="76"/>
      <c r="BHB220" s="76"/>
      <c r="BHC220" s="76"/>
      <c r="BHD220" s="76"/>
      <c r="BHE220" s="76"/>
      <c r="BHF220" s="76"/>
      <c r="BHG220" s="76"/>
      <c r="BHH220" s="76"/>
      <c r="BHI220" s="76"/>
      <c r="BHJ220" s="76"/>
      <c r="BHK220" s="76"/>
      <c r="BHL220" s="76"/>
      <c r="BHM220" s="76"/>
      <c r="BHN220" s="76"/>
      <c r="BHO220" s="76"/>
      <c r="BHP220" s="76"/>
      <c r="BHQ220" s="76"/>
      <c r="BHR220" s="76"/>
      <c r="BHS220" s="76"/>
      <c r="BHT220" s="76"/>
      <c r="BHU220" s="76"/>
      <c r="BHV220" s="76"/>
      <c r="BHW220" s="76"/>
      <c r="BHX220" s="76"/>
      <c r="BHY220" s="76"/>
      <c r="BHZ220" s="76"/>
      <c r="BIA220" s="76"/>
      <c r="BIB220" s="76"/>
      <c r="BIC220" s="76"/>
      <c r="BID220" s="76"/>
      <c r="BIE220" s="76"/>
      <c r="BIF220" s="76"/>
      <c r="BIG220" s="76"/>
      <c r="BIH220" s="76"/>
      <c r="BII220" s="76"/>
      <c r="BIJ220" s="76"/>
      <c r="BIK220" s="76"/>
      <c r="BIL220" s="76"/>
      <c r="BIM220" s="76"/>
      <c r="BIN220" s="76"/>
      <c r="BIO220" s="76"/>
      <c r="BIP220" s="76"/>
      <c r="BIQ220" s="76"/>
      <c r="BIR220" s="76"/>
      <c r="BIS220" s="76"/>
      <c r="BIT220" s="76"/>
      <c r="BIU220" s="76"/>
      <c r="BIV220" s="76"/>
      <c r="BIW220" s="76"/>
      <c r="BIX220" s="76"/>
      <c r="BIY220" s="76"/>
      <c r="BIZ220" s="76"/>
      <c r="BJA220" s="76"/>
      <c r="BJB220" s="76"/>
      <c r="BJC220" s="76"/>
      <c r="BJD220" s="76"/>
      <c r="BJE220" s="76"/>
      <c r="BJF220" s="76"/>
      <c r="BJG220" s="76"/>
      <c r="BJH220" s="76"/>
      <c r="BJI220" s="76"/>
      <c r="BJJ220" s="76"/>
      <c r="BJK220" s="76"/>
      <c r="BJL220" s="76"/>
      <c r="BJM220" s="76"/>
      <c r="BJN220" s="76"/>
      <c r="BJO220" s="76"/>
      <c r="BJP220" s="76"/>
      <c r="BJQ220" s="76"/>
      <c r="BJR220" s="76"/>
      <c r="BJS220" s="76"/>
      <c r="BJT220" s="76"/>
      <c r="BJU220" s="76"/>
      <c r="BJV220" s="76"/>
      <c r="BJW220" s="76"/>
      <c r="BJX220" s="76"/>
      <c r="BJY220" s="76"/>
      <c r="BJZ220" s="76"/>
      <c r="BKA220" s="76"/>
      <c r="BKB220" s="76"/>
      <c r="BKC220" s="76"/>
      <c r="BKD220" s="76"/>
      <c r="BKE220" s="76"/>
      <c r="BKF220" s="76"/>
      <c r="BKG220" s="76"/>
      <c r="BKH220" s="76"/>
      <c r="BKI220" s="76"/>
      <c r="BKJ220" s="76"/>
      <c r="BKK220" s="76"/>
      <c r="BKL220" s="76"/>
      <c r="BKM220" s="76"/>
      <c r="BKN220" s="76"/>
      <c r="BKO220" s="76"/>
      <c r="BKP220" s="76"/>
      <c r="BKQ220" s="76"/>
      <c r="BKR220" s="76"/>
      <c r="BKS220" s="76"/>
      <c r="BKT220" s="76"/>
      <c r="BKU220" s="76"/>
      <c r="BKV220" s="76"/>
      <c r="BKW220" s="76"/>
      <c r="BKX220" s="76"/>
      <c r="BKY220" s="76"/>
      <c r="BKZ220" s="76"/>
      <c r="BLA220" s="76"/>
      <c r="BLB220" s="76"/>
      <c r="BLC220" s="76"/>
      <c r="BLD220" s="76"/>
      <c r="BLE220" s="76"/>
      <c r="BLF220" s="76"/>
      <c r="BLG220" s="76"/>
      <c r="BLH220" s="76"/>
      <c r="BLI220" s="76"/>
      <c r="BLJ220" s="76"/>
      <c r="BLK220" s="76"/>
      <c r="BLL220" s="76"/>
      <c r="BLM220" s="76"/>
      <c r="BLN220" s="76"/>
      <c r="BLO220" s="76"/>
      <c r="BLP220" s="76"/>
      <c r="BLQ220" s="76"/>
      <c r="BLR220" s="76"/>
      <c r="BLS220" s="76"/>
      <c r="BLT220" s="76"/>
      <c r="BLU220" s="76"/>
      <c r="BLV220" s="76"/>
      <c r="BLW220" s="76"/>
      <c r="BLX220" s="76"/>
      <c r="BLY220" s="76"/>
      <c r="BLZ220" s="76"/>
      <c r="BMA220" s="76"/>
      <c r="BMB220" s="76"/>
      <c r="BMC220" s="76"/>
      <c r="BMD220" s="76"/>
      <c r="BME220" s="76"/>
      <c r="BMF220" s="76"/>
      <c r="BMG220" s="76"/>
      <c r="BMH220" s="76"/>
      <c r="BMI220" s="76"/>
      <c r="BMJ220" s="76"/>
      <c r="BMK220" s="76"/>
      <c r="BML220" s="76"/>
      <c r="BMM220" s="76"/>
      <c r="BMN220" s="76"/>
      <c r="BMO220" s="76"/>
      <c r="BMP220" s="76"/>
      <c r="BMQ220" s="76"/>
      <c r="BMR220" s="76"/>
      <c r="BMS220" s="76"/>
      <c r="BMT220" s="76"/>
      <c r="BMU220" s="76"/>
      <c r="BMV220" s="76"/>
      <c r="BMW220" s="76"/>
      <c r="BMX220" s="76"/>
      <c r="BMY220" s="76"/>
      <c r="BMZ220" s="76"/>
      <c r="BNA220" s="76"/>
      <c r="BNB220" s="76"/>
      <c r="BNC220" s="76"/>
      <c r="BND220" s="76"/>
      <c r="BNE220" s="76"/>
      <c r="BNF220" s="76"/>
      <c r="BNG220" s="76"/>
      <c r="BNH220" s="76"/>
      <c r="BNI220" s="76"/>
      <c r="BNJ220" s="76"/>
      <c r="BNK220" s="76"/>
      <c r="BNL220" s="76"/>
      <c r="BNM220" s="76"/>
      <c r="BNN220" s="76"/>
      <c r="BNO220" s="76"/>
      <c r="BNP220" s="76"/>
      <c r="BNQ220" s="76"/>
      <c r="BNR220" s="76"/>
      <c r="BNS220" s="76"/>
      <c r="BNT220" s="76"/>
      <c r="BNU220" s="76"/>
      <c r="BNV220" s="76"/>
      <c r="BNW220" s="76"/>
      <c r="BNX220" s="76"/>
      <c r="BNY220" s="76"/>
      <c r="BNZ220" s="76"/>
      <c r="BOA220" s="76"/>
      <c r="BOB220" s="76"/>
      <c r="BOC220" s="76"/>
      <c r="BOD220" s="76"/>
      <c r="BOE220" s="76"/>
      <c r="BOF220" s="76"/>
      <c r="BOG220" s="76"/>
      <c r="BOH220" s="76"/>
      <c r="BOI220" s="76"/>
      <c r="BOJ220" s="76"/>
      <c r="BOK220" s="76"/>
      <c r="BOL220" s="76"/>
      <c r="BOM220" s="76"/>
      <c r="BON220" s="76"/>
      <c r="BOO220" s="76"/>
      <c r="BOP220" s="76"/>
      <c r="BOQ220" s="76"/>
      <c r="BOR220" s="76"/>
      <c r="BOS220" s="76"/>
      <c r="BOT220" s="76"/>
      <c r="BOU220" s="76"/>
      <c r="BOV220" s="76"/>
      <c r="BOW220" s="76"/>
      <c r="BOX220" s="76"/>
      <c r="BOY220" s="76"/>
      <c r="BOZ220" s="76"/>
      <c r="BPA220" s="76"/>
      <c r="BPB220" s="76"/>
      <c r="BPC220" s="76"/>
      <c r="BPD220" s="76"/>
      <c r="BPE220" s="76"/>
      <c r="BPF220" s="76"/>
      <c r="BPG220" s="76"/>
      <c r="BPH220" s="76"/>
      <c r="BPI220" s="76"/>
      <c r="BPJ220" s="76"/>
      <c r="BPK220" s="76"/>
      <c r="BPL220" s="76"/>
      <c r="BPM220" s="76"/>
      <c r="BPN220" s="76"/>
      <c r="BPO220" s="76"/>
      <c r="BPP220" s="76"/>
      <c r="BPQ220" s="76"/>
      <c r="BPR220" s="76"/>
      <c r="BPS220" s="76"/>
      <c r="BPT220" s="76"/>
      <c r="BPU220" s="76"/>
      <c r="BPV220" s="76"/>
      <c r="BPW220" s="76"/>
      <c r="BPX220" s="76"/>
      <c r="BPY220" s="76"/>
      <c r="BPZ220" s="76"/>
      <c r="BQA220" s="76"/>
      <c r="BQB220" s="76"/>
      <c r="BQC220" s="76"/>
      <c r="BQD220" s="76"/>
      <c r="BQE220" s="76"/>
      <c r="BQF220" s="76"/>
      <c r="BQG220" s="76"/>
      <c r="BQH220" s="76"/>
      <c r="BQI220" s="76"/>
      <c r="BQJ220" s="76"/>
      <c r="BQK220" s="76"/>
      <c r="BQL220" s="76"/>
      <c r="BQM220" s="76"/>
      <c r="BQN220" s="76"/>
      <c r="BQO220" s="76"/>
      <c r="BQP220" s="76"/>
      <c r="BQQ220" s="76"/>
      <c r="BQR220" s="76"/>
      <c r="BQS220" s="76"/>
      <c r="BQT220" s="76"/>
      <c r="BQU220" s="76"/>
      <c r="BQV220" s="76"/>
      <c r="BQW220" s="76"/>
      <c r="BQX220" s="76"/>
      <c r="BQY220" s="76"/>
      <c r="BQZ220" s="76"/>
      <c r="BRA220" s="76"/>
      <c r="BRB220" s="76"/>
      <c r="BRC220" s="76"/>
      <c r="BRD220" s="76"/>
      <c r="BRE220" s="76"/>
      <c r="BRF220" s="76"/>
      <c r="BRG220" s="76"/>
      <c r="BRH220" s="76"/>
      <c r="BRI220" s="76"/>
      <c r="BRJ220" s="76"/>
      <c r="BRK220" s="76"/>
      <c r="BRL220" s="76"/>
      <c r="BRM220" s="76"/>
      <c r="BRN220" s="76"/>
      <c r="BRO220" s="76"/>
      <c r="BRP220" s="76"/>
      <c r="BRQ220" s="76"/>
      <c r="BRR220" s="76"/>
      <c r="BRS220" s="76"/>
      <c r="BRT220" s="76"/>
      <c r="BRU220" s="76"/>
      <c r="BRV220" s="76"/>
      <c r="BRW220" s="76"/>
      <c r="BRX220" s="76"/>
      <c r="BRY220" s="76"/>
      <c r="BRZ220" s="76"/>
      <c r="BSA220" s="76"/>
      <c r="BSB220" s="76"/>
      <c r="BSC220" s="76"/>
      <c r="BSD220" s="76"/>
      <c r="BSE220" s="76"/>
      <c r="BSF220" s="76"/>
      <c r="BSG220" s="76"/>
      <c r="BSH220" s="76"/>
      <c r="BSI220" s="76"/>
      <c r="BSJ220" s="76"/>
      <c r="BSK220" s="76"/>
      <c r="BSL220" s="76"/>
      <c r="BSM220" s="76"/>
      <c r="BSN220" s="76"/>
      <c r="BSO220" s="76"/>
      <c r="BSP220" s="76"/>
      <c r="BSQ220" s="76"/>
      <c r="BSR220" s="76"/>
      <c r="BSS220" s="76"/>
      <c r="BST220" s="76"/>
      <c r="BSU220" s="76"/>
      <c r="BSV220" s="76"/>
      <c r="BSW220" s="76"/>
      <c r="BSX220" s="76"/>
      <c r="BSY220" s="76"/>
      <c r="BSZ220" s="76"/>
      <c r="BTA220" s="76"/>
      <c r="BTB220" s="76"/>
      <c r="BTC220" s="76"/>
      <c r="BTD220" s="76"/>
      <c r="BTE220" s="76"/>
      <c r="BTF220" s="76"/>
      <c r="BTG220" s="76"/>
      <c r="BTH220" s="76"/>
      <c r="BTI220" s="76"/>
      <c r="BTJ220" s="76"/>
      <c r="BTK220" s="76"/>
      <c r="BTL220" s="76"/>
      <c r="BTM220" s="76"/>
      <c r="BTN220" s="76"/>
      <c r="BTO220" s="76"/>
      <c r="BTP220" s="76"/>
      <c r="BTQ220" s="76"/>
      <c r="BTR220" s="76"/>
      <c r="BTS220" s="76"/>
      <c r="BTT220" s="76"/>
      <c r="BTU220" s="76"/>
      <c r="BTV220" s="76"/>
      <c r="BTW220" s="76"/>
      <c r="BTX220" s="76"/>
      <c r="BTY220" s="76"/>
      <c r="BTZ220" s="76"/>
      <c r="BUA220" s="76"/>
      <c r="BUB220" s="76"/>
      <c r="BUC220" s="76"/>
      <c r="BUD220" s="76"/>
      <c r="BUE220" s="76"/>
      <c r="BUF220" s="76"/>
      <c r="BUG220" s="76"/>
      <c r="BUH220" s="76"/>
      <c r="BUI220" s="76"/>
      <c r="BUJ220" s="76"/>
      <c r="BUK220" s="76"/>
      <c r="BUL220" s="76"/>
      <c r="BUM220" s="76"/>
      <c r="BUN220" s="76"/>
      <c r="BUO220" s="76"/>
      <c r="BUP220" s="76"/>
      <c r="BUQ220" s="76"/>
      <c r="BUR220" s="76"/>
      <c r="BUS220" s="76"/>
      <c r="BUT220" s="76"/>
      <c r="BUU220" s="76"/>
      <c r="BUV220" s="76"/>
      <c r="BUW220" s="76"/>
      <c r="BUX220" s="76"/>
      <c r="BUY220" s="76"/>
      <c r="BUZ220" s="76"/>
      <c r="BVA220" s="76"/>
      <c r="BVB220" s="76"/>
      <c r="BVC220" s="76"/>
      <c r="BVD220" s="76"/>
      <c r="BVE220" s="76"/>
      <c r="BVF220" s="76"/>
      <c r="BVG220" s="76"/>
      <c r="BVH220" s="76"/>
      <c r="BVI220" s="76"/>
      <c r="BVJ220" s="76"/>
      <c r="BVK220" s="76"/>
      <c r="BVL220" s="76"/>
      <c r="BVM220" s="76"/>
      <c r="BVN220" s="76"/>
      <c r="BVO220" s="76"/>
      <c r="BVP220" s="76"/>
      <c r="BVQ220" s="76"/>
      <c r="BVR220" s="76"/>
      <c r="BVS220" s="76"/>
      <c r="BVT220" s="76"/>
      <c r="BVU220" s="76"/>
      <c r="BVV220" s="76"/>
      <c r="BVW220" s="76"/>
      <c r="BVX220" s="76"/>
      <c r="BVY220" s="76"/>
      <c r="BVZ220" s="76"/>
      <c r="BWA220" s="76"/>
      <c r="BWB220" s="76"/>
      <c r="BWC220" s="76"/>
      <c r="BWD220" s="76"/>
      <c r="BWE220" s="76"/>
      <c r="BWF220" s="76"/>
      <c r="BWG220" s="76"/>
      <c r="BWH220" s="76"/>
      <c r="BWI220" s="76"/>
      <c r="BWJ220" s="76"/>
      <c r="BWK220" s="76"/>
      <c r="BWL220" s="76"/>
      <c r="BWM220" s="76"/>
      <c r="BWN220" s="76"/>
      <c r="BWO220" s="76"/>
      <c r="BWP220" s="76"/>
      <c r="BWQ220" s="76"/>
      <c r="BWR220" s="76"/>
      <c r="BWS220" s="76"/>
      <c r="BWT220" s="76"/>
      <c r="BWU220" s="76"/>
      <c r="BWV220" s="76"/>
      <c r="BWW220" s="76"/>
      <c r="BWX220" s="76"/>
      <c r="BWY220" s="76"/>
      <c r="BWZ220" s="76"/>
      <c r="BXA220" s="76"/>
      <c r="BXB220" s="76"/>
      <c r="BXC220" s="76"/>
      <c r="BXD220" s="76"/>
      <c r="BXE220" s="76"/>
      <c r="BXF220" s="76"/>
      <c r="BXG220" s="76"/>
      <c r="BXH220" s="76"/>
      <c r="BXI220" s="76"/>
      <c r="BXJ220" s="76"/>
      <c r="BXK220" s="76"/>
      <c r="BXL220" s="76"/>
      <c r="BXM220" s="76"/>
      <c r="BXN220" s="76"/>
      <c r="BXO220" s="76"/>
      <c r="BXP220" s="76"/>
      <c r="BXQ220" s="76"/>
      <c r="BXR220" s="76"/>
      <c r="BXS220" s="76"/>
      <c r="BXT220" s="76"/>
      <c r="BXU220" s="76"/>
      <c r="BXV220" s="76"/>
      <c r="BXW220" s="76"/>
      <c r="BXX220" s="76"/>
      <c r="BXY220" s="76"/>
      <c r="BXZ220" s="76"/>
      <c r="BYA220" s="76"/>
      <c r="BYB220" s="76"/>
      <c r="BYC220" s="76"/>
      <c r="BYD220" s="76"/>
      <c r="BYE220" s="76"/>
      <c r="BYF220" s="76"/>
      <c r="BYG220" s="76"/>
      <c r="BYH220" s="76"/>
      <c r="BYI220" s="76"/>
      <c r="BYJ220" s="76"/>
      <c r="BYK220" s="76"/>
      <c r="BYL220" s="76"/>
      <c r="BYM220" s="76"/>
      <c r="BYN220" s="76"/>
      <c r="BYO220" s="76"/>
      <c r="BYP220" s="76"/>
      <c r="BYQ220" s="76"/>
      <c r="BYR220" s="76"/>
      <c r="BYS220" s="76"/>
      <c r="BYT220" s="76"/>
      <c r="BYU220" s="76"/>
      <c r="BYV220" s="76"/>
      <c r="BYW220" s="76"/>
      <c r="BYX220" s="76"/>
      <c r="BYY220" s="76"/>
      <c r="BYZ220" s="76"/>
      <c r="BZA220" s="76"/>
      <c r="BZB220" s="76"/>
      <c r="BZC220" s="76"/>
      <c r="BZD220" s="76"/>
      <c r="BZE220" s="76"/>
      <c r="BZF220" s="76"/>
      <c r="BZG220" s="76"/>
      <c r="BZH220" s="76"/>
      <c r="BZI220" s="76"/>
      <c r="BZJ220" s="76"/>
      <c r="BZK220" s="76"/>
      <c r="BZL220" s="76"/>
      <c r="BZM220" s="76"/>
      <c r="BZN220" s="76"/>
      <c r="BZO220" s="76"/>
      <c r="BZP220" s="76"/>
      <c r="BZQ220" s="76"/>
      <c r="BZR220" s="76"/>
      <c r="BZS220" s="76"/>
      <c r="BZT220" s="76"/>
      <c r="BZU220" s="76"/>
      <c r="BZV220" s="76"/>
      <c r="BZW220" s="76"/>
      <c r="BZX220" s="76"/>
      <c r="BZY220" s="76"/>
      <c r="BZZ220" s="76"/>
      <c r="CAA220" s="76"/>
      <c r="CAB220" s="76"/>
      <c r="CAC220" s="76"/>
      <c r="CAD220" s="76"/>
      <c r="CAE220" s="76"/>
      <c r="CAF220" s="76"/>
      <c r="CAG220" s="76"/>
      <c r="CAH220" s="76"/>
      <c r="CAI220" s="76"/>
      <c r="CAJ220" s="76"/>
      <c r="CAK220" s="76"/>
      <c r="CAL220" s="76"/>
      <c r="CAM220" s="76"/>
      <c r="CAN220" s="76"/>
      <c r="CAO220" s="76"/>
      <c r="CAP220" s="76"/>
      <c r="CAQ220" s="76"/>
      <c r="CAR220" s="76"/>
      <c r="CAS220" s="76"/>
      <c r="CAT220" s="76"/>
      <c r="CAU220" s="76"/>
      <c r="CAV220" s="76"/>
      <c r="CAW220" s="76"/>
      <c r="CAX220" s="76"/>
      <c r="CAY220" s="76"/>
      <c r="CAZ220" s="76"/>
      <c r="CBA220" s="76"/>
      <c r="CBB220" s="76"/>
      <c r="CBC220" s="76"/>
      <c r="CBD220" s="76"/>
      <c r="CBE220" s="76"/>
      <c r="CBF220" s="76"/>
      <c r="CBG220" s="76"/>
      <c r="CBH220" s="76"/>
      <c r="CBI220" s="76"/>
      <c r="CBJ220" s="76"/>
      <c r="CBK220" s="76"/>
      <c r="CBL220" s="76"/>
      <c r="CBM220" s="76"/>
      <c r="CBN220" s="76"/>
      <c r="CBO220" s="76"/>
      <c r="CBP220" s="76"/>
      <c r="CBQ220" s="76"/>
      <c r="CBR220" s="76"/>
      <c r="CBS220" s="76"/>
      <c r="CBT220" s="76"/>
      <c r="CBU220" s="76"/>
      <c r="CBV220" s="76"/>
      <c r="CBW220" s="76"/>
      <c r="CBX220" s="76"/>
      <c r="CBY220" s="76"/>
      <c r="CBZ220" s="76"/>
      <c r="CCA220" s="76"/>
      <c r="CCB220" s="76"/>
      <c r="CCC220" s="76"/>
      <c r="CCD220" s="76"/>
      <c r="CCE220" s="76"/>
      <c r="CCF220" s="76"/>
      <c r="CCG220" s="76"/>
      <c r="CCH220" s="76"/>
      <c r="CCI220" s="76"/>
      <c r="CCJ220" s="76"/>
      <c r="CCK220" s="76"/>
      <c r="CCL220" s="76"/>
      <c r="CCM220" s="76"/>
      <c r="CCN220" s="76"/>
      <c r="CCO220" s="76"/>
      <c r="CCP220" s="76"/>
      <c r="CCQ220" s="76"/>
      <c r="CCR220" s="76"/>
      <c r="CCS220" s="76"/>
      <c r="CCT220" s="76"/>
      <c r="CCU220" s="76"/>
      <c r="CCV220" s="76"/>
      <c r="CCW220" s="76"/>
      <c r="CCX220" s="76"/>
      <c r="CCY220" s="76"/>
      <c r="CCZ220" s="76"/>
      <c r="CDA220" s="76"/>
      <c r="CDB220" s="76"/>
      <c r="CDC220" s="76"/>
      <c r="CDD220" s="76"/>
      <c r="CDE220" s="76"/>
      <c r="CDF220" s="76"/>
      <c r="CDG220" s="76"/>
      <c r="CDH220" s="76"/>
      <c r="CDI220" s="76"/>
      <c r="CDJ220" s="76"/>
      <c r="CDK220" s="76"/>
      <c r="CDL220" s="76"/>
      <c r="CDM220" s="76"/>
      <c r="CDN220" s="76"/>
      <c r="CDO220" s="76"/>
      <c r="CDP220" s="76"/>
      <c r="CDQ220" s="76"/>
      <c r="CDR220" s="76"/>
      <c r="CDS220" s="76"/>
      <c r="CDT220" s="76"/>
      <c r="CDU220" s="76"/>
      <c r="CDV220" s="76"/>
      <c r="CDW220" s="76"/>
      <c r="CDX220" s="76"/>
      <c r="CDY220" s="76"/>
      <c r="CDZ220" s="76"/>
      <c r="CEA220" s="76"/>
      <c r="CEB220" s="76"/>
      <c r="CEC220" s="76"/>
      <c r="CED220" s="76"/>
      <c r="CEE220" s="76"/>
      <c r="CEF220" s="76"/>
      <c r="CEG220" s="76"/>
      <c r="CEH220" s="76"/>
      <c r="CEI220" s="76"/>
      <c r="CEJ220" s="76"/>
      <c r="CEK220" s="76"/>
      <c r="CEL220" s="76"/>
      <c r="CEM220" s="76"/>
      <c r="CEN220" s="76"/>
      <c r="CEO220" s="76"/>
      <c r="CEP220" s="76"/>
      <c r="CEQ220" s="76"/>
      <c r="CER220" s="76"/>
      <c r="CES220" s="76"/>
      <c r="CET220" s="76"/>
      <c r="CEU220" s="76"/>
      <c r="CEV220" s="76"/>
      <c r="CEW220" s="76"/>
      <c r="CEX220" s="76"/>
      <c r="CEY220" s="76"/>
      <c r="CEZ220" s="76"/>
      <c r="CFA220" s="76"/>
      <c r="CFB220" s="76"/>
      <c r="CFC220" s="76"/>
      <c r="CFD220" s="76"/>
      <c r="CFE220" s="76"/>
      <c r="CFF220" s="76"/>
      <c r="CFG220" s="76"/>
      <c r="CFH220" s="76"/>
      <c r="CFI220" s="76"/>
      <c r="CFJ220" s="76"/>
      <c r="CFK220" s="76"/>
      <c r="CFL220" s="76"/>
      <c r="CFM220" s="76"/>
      <c r="CFN220" s="76"/>
      <c r="CFO220" s="76"/>
      <c r="CFP220" s="76"/>
      <c r="CFQ220" s="76"/>
      <c r="CFR220" s="76"/>
      <c r="CFS220" s="76"/>
      <c r="CFT220" s="76"/>
      <c r="CFU220" s="76"/>
      <c r="CFV220" s="76"/>
      <c r="CFW220" s="76"/>
      <c r="CFX220" s="76"/>
      <c r="CFY220" s="76"/>
      <c r="CFZ220" s="76"/>
      <c r="CGA220" s="76"/>
      <c r="CGB220" s="76"/>
      <c r="CGC220" s="76"/>
      <c r="CGD220" s="76"/>
      <c r="CGE220" s="76"/>
      <c r="CGF220" s="76"/>
      <c r="CGG220" s="76"/>
      <c r="CGH220" s="76"/>
      <c r="CGI220" s="76"/>
      <c r="CGJ220" s="76"/>
      <c r="CGK220" s="76"/>
      <c r="CGL220" s="76"/>
      <c r="CGM220" s="76"/>
      <c r="CGN220" s="76"/>
      <c r="CGO220" s="76"/>
      <c r="CGP220" s="76"/>
      <c r="CGQ220" s="76"/>
      <c r="CGR220" s="76"/>
      <c r="CGS220" s="76"/>
      <c r="CGT220" s="76"/>
      <c r="CGU220" s="76"/>
      <c r="CGV220" s="76"/>
      <c r="CGW220" s="76"/>
      <c r="CGX220" s="76"/>
      <c r="CGY220" s="76"/>
      <c r="CGZ220" s="76"/>
      <c r="CHA220" s="76"/>
      <c r="CHB220" s="76"/>
      <c r="CHC220" s="76"/>
      <c r="CHD220" s="76"/>
      <c r="CHE220" s="76"/>
      <c r="CHF220" s="76"/>
      <c r="CHG220" s="76"/>
      <c r="CHH220" s="76"/>
      <c r="CHI220" s="76"/>
      <c r="CHJ220" s="76"/>
      <c r="CHK220" s="76"/>
      <c r="CHL220" s="76"/>
      <c r="CHM220" s="76"/>
      <c r="CHN220" s="76"/>
      <c r="CHO220" s="76"/>
      <c r="CHP220" s="76"/>
      <c r="CHQ220" s="76"/>
      <c r="CHR220" s="76"/>
      <c r="CHS220" s="76"/>
      <c r="CHT220" s="76"/>
      <c r="CHU220" s="76"/>
      <c r="CHV220" s="76"/>
      <c r="CHW220" s="76"/>
      <c r="CHX220" s="76"/>
      <c r="CHY220" s="76"/>
      <c r="CHZ220" s="76"/>
      <c r="CIA220" s="76"/>
      <c r="CIB220" s="76"/>
      <c r="CIC220" s="76"/>
      <c r="CID220" s="76"/>
      <c r="CIE220" s="76"/>
      <c r="CIF220" s="76"/>
      <c r="CIG220" s="76"/>
      <c r="CIH220" s="76"/>
      <c r="CII220" s="76"/>
      <c r="CIJ220" s="76"/>
      <c r="CIK220" s="76"/>
      <c r="CIL220" s="76"/>
      <c r="CIM220" s="76"/>
      <c r="CIN220" s="76"/>
      <c r="CIO220" s="76"/>
      <c r="CIP220" s="76"/>
      <c r="CIQ220" s="76"/>
      <c r="CIR220" s="76"/>
      <c r="CIS220" s="76"/>
      <c r="CIT220" s="76"/>
      <c r="CIU220" s="76"/>
      <c r="CIV220" s="76"/>
      <c r="CIW220" s="76"/>
      <c r="CIX220" s="76"/>
      <c r="CIY220" s="76"/>
      <c r="CIZ220" s="76"/>
      <c r="CJA220" s="76"/>
      <c r="CJB220" s="76"/>
      <c r="CJC220" s="76"/>
      <c r="CJD220" s="76"/>
      <c r="CJE220" s="76"/>
      <c r="CJF220" s="76"/>
      <c r="CJG220" s="76"/>
      <c r="CJH220" s="76"/>
      <c r="CJI220" s="76"/>
      <c r="CJJ220" s="76"/>
      <c r="CJK220" s="76"/>
      <c r="CJL220" s="76"/>
      <c r="CJM220" s="76"/>
      <c r="CJN220" s="76"/>
      <c r="CJO220" s="76"/>
      <c r="CJP220" s="76"/>
      <c r="CJQ220" s="76"/>
      <c r="CJR220" s="76"/>
      <c r="CJS220" s="76"/>
      <c r="CJT220" s="76"/>
      <c r="CJU220" s="76"/>
      <c r="CJV220" s="76"/>
      <c r="CJW220" s="76"/>
      <c r="CJX220" s="76"/>
      <c r="CJY220" s="76"/>
      <c r="CJZ220" s="76"/>
      <c r="CKA220" s="76"/>
      <c r="CKB220" s="76"/>
      <c r="CKC220" s="76"/>
      <c r="CKD220" s="76"/>
      <c r="CKE220" s="76"/>
      <c r="CKF220" s="76"/>
      <c r="CKG220" s="76"/>
      <c r="CKH220" s="76"/>
      <c r="CKI220" s="76"/>
      <c r="CKJ220" s="76"/>
      <c r="CKK220" s="76"/>
      <c r="CKL220" s="76"/>
      <c r="CKM220" s="76"/>
      <c r="CKN220" s="76"/>
      <c r="CKO220" s="76"/>
      <c r="CKP220" s="76"/>
      <c r="CKQ220" s="76"/>
      <c r="CKR220" s="76"/>
      <c r="CKS220" s="76"/>
      <c r="CKT220" s="76"/>
      <c r="CKU220" s="76"/>
      <c r="CKV220" s="76"/>
      <c r="CKW220" s="76"/>
      <c r="CKX220" s="76"/>
      <c r="CKY220" s="76"/>
      <c r="CKZ220" s="76"/>
      <c r="CLA220" s="76"/>
      <c r="CLB220" s="76"/>
      <c r="CLC220" s="76"/>
      <c r="CLD220" s="76"/>
      <c r="CLE220" s="76"/>
      <c r="CLF220" s="76"/>
      <c r="CLG220" s="76"/>
      <c r="CLH220" s="76"/>
      <c r="CLI220" s="76"/>
      <c r="CLJ220" s="76"/>
      <c r="CLK220" s="76"/>
      <c r="CLL220" s="76"/>
      <c r="CLM220" s="76"/>
      <c r="CLN220" s="76"/>
      <c r="CLO220" s="76"/>
      <c r="CLP220" s="76"/>
      <c r="CLQ220" s="76"/>
      <c r="CLR220" s="76"/>
      <c r="CLS220" s="76"/>
      <c r="CLT220" s="76"/>
      <c r="CLU220" s="76"/>
      <c r="CLV220" s="76"/>
      <c r="CLW220" s="76"/>
      <c r="CLX220" s="76"/>
      <c r="CLY220" s="76"/>
      <c r="CLZ220" s="76"/>
      <c r="CMA220" s="76"/>
      <c r="CMB220" s="76"/>
      <c r="CMC220" s="76"/>
      <c r="CMD220" s="76"/>
      <c r="CME220" s="76"/>
      <c r="CMF220" s="76"/>
      <c r="CMG220" s="76"/>
      <c r="CMH220" s="76"/>
      <c r="CMI220" s="76"/>
      <c r="CMJ220" s="76"/>
      <c r="CMK220" s="76"/>
      <c r="CML220" s="76"/>
      <c r="CMM220" s="76"/>
      <c r="CMN220" s="76"/>
      <c r="CMO220" s="76"/>
      <c r="CMP220" s="76"/>
      <c r="CMQ220" s="76"/>
      <c r="CMR220" s="76"/>
      <c r="CMS220" s="76"/>
      <c r="CMT220" s="76"/>
      <c r="CMU220" s="76"/>
      <c r="CMV220" s="76"/>
      <c r="CMW220" s="76"/>
      <c r="CMX220" s="76"/>
      <c r="CMY220" s="76"/>
      <c r="CMZ220" s="76"/>
      <c r="CNA220" s="76"/>
      <c r="CNB220" s="76"/>
      <c r="CNC220" s="76"/>
      <c r="CND220" s="76"/>
      <c r="CNE220" s="76"/>
      <c r="CNF220" s="76"/>
      <c r="CNG220" s="76"/>
      <c r="CNH220" s="76"/>
      <c r="CNI220" s="76"/>
      <c r="CNJ220" s="76"/>
      <c r="CNK220" s="76"/>
      <c r="CNL220" s="76"/>
      <c r="CNM220" s="76"/>
      <c r="CNN220" s="76"/>
      <c r="CNO220" s="76"/>
      <c r="CNP220" s="76"/>
      <c r="CNQ220" s="76"/>
      <c r="CNR220" s="76"/>
      <c r="CNS220" s="76"/>
      <c r="CNT220" s="76"/>
      <c r="CNU220" s="76"/>
      <c r="CNV220" s="76"/>
      <c r="CNW220" s="76"/>
      <c r="CNX220" s="76"/>
      <c r="CNY220" s="76"/>
      <c r="CNZ220" s="76"/>
      <c r="COA220" s="76"/>
      <c r="COB220" s="76"/>
      <c r="COC220" s="76"/>
      <c r="COD220" s="76"/>
      <c r="COE220" s="76"/>
      <c r="COF220" s="76"/>
      <c r="COG220" s="76"/>
      <c r="COH220" s="76"/>
      <c r="COI220" s="76"/>
      <c r="COJ220" s="76"/>
      <c r="COK220" s="76"/>
      <c r="COL220" s="76"/>
      <c r="COM220" s="76"/>
      <c r="CON220" s="76"/>
      <c r="COO220" s="76"/>
      <c r="COP220" s="76"/>
      <c r="COQ220" s="76"/>
      <c r="COR220" s="76"/>
      <c r="COS220" s="76"/>
      <c r="COT220" s="76"/>
      <c r="COU220" s="76"/>
      <c r="COV220" s="76"/>
      <c r="COW220" s="76"/>
      <c r="COX220" s="76"/>
      <c r="COY220" s="76"/>
      <c r="COZ220" s="76"/>
      <c r="CPA220" s="76"/>
      <c r="CPB220" s="76"/>
      <c r="CPC220" s="76"/>
      <c r="CPD220" s="76"/>
      <c r="CPE220" s="76"/>
      <c r="CPF220" s="76"/>
      <c r="CPG220" s="76"/>
      <c r="CPH220" s="76"/>
      <c r="CPI220" s="76"/>
      <c r="CPJ220" s="76"/>
      <c r="CPK220" s="76"/>
      <c r="CPL220" s="76"/>
      <c r="CPM220" s="76"/>
      <c r="CPN220" s="76"/>
      <c r="CPO220" s="76"/>
      <c r="CPP220" s="76"/>
      <c r="CPQ220" s="76"/>
      <c r="CPR220" s="76"/>
      <c r="CPS220" s="76"/>
      <c r="CPT220" s="76"/>
      <c r="CPU220" s="76"/>
      <c r="CPV220" s="76"/>
      <c r="CPW220" s="76"/>
      <c r="CPX220" s="76"/>
      <c r="CPY220" s="76"/>
      <c r="CPZ220" s="76"/>
      <c r="CQA220" s="76"/>
      <c r="CQB220" s="76"/>
      <c r="CQC220" s="76"/>
      <c r="CQD220" s="76"/>
      <c r="CQE220" s="76"/>
      <c r="CQF220" s="76"/>
      <c r="CQG220" s="76"/>
      <c r="CQH220" s="76"/>
      <c r="CQI220" s="76"/>
      <c r="CQJ220" s="76"/>
      <c r="CQK220" s="76"/>
      <c r="CQL220" s="76"/>
      <c r="CQM220" s="76"/>
      <c r="CQN220" s="76"/>
      <c r="CQO220" s="76"/>
      <c r="CQP220" s="76"/>
      <c r="CQQ220" s="76"/>
      <c r="CQR220" s="76"/>
      <c r="CQS220" s="76"/>
      <c r="CQT220" s="76"/>
      <c r="CQU220" s="76"/>
      <c r="CQV220" s="76"/>
      <c r="CQW220" s="76"/>
      <c r="CQX220" s="76"/>
      <c r="CQY220" s="76"/>
      <c r="CQZ220" s="76"/>
      <c r="CRA220" s="76"/>
      <c r="CRB220" s="76"/>
      <c r="CRC220" s="76"/>
      <c r="CRD220" s="76"/>
      <c r="CRE220" s="76"/>
      <c r="CRF220" s="76"/>
      <c r="CRG220" s="76"/>
      <c r="CRH220" s="76"/>
      <c r="CRI220" s="76"/>
      <c r="CRJ220" s="76"/>
      <c r="CRK220" s="76"/>
      <c r="CRL220" s="76"/>
      <c r="CRM220" s="76"/>
      <c r="CRN220" s="76"/>
      <c r="CRO220" s="76"/>
      <c r="CRP220" s="76"/>
      <c r="CRQ220" s="76"/>
      <c r="CRR220" s="76"/>
      <c r="CRS220" s="76"/>
      <c r="CRT220" s="76"/>
      <c r="CRU220" s="76"/>
      <c r="CRV220" s="76"/>
      <c r="CRW220" s="76"/>
      <c r="CRX220" s="76"/>
      <c r="CRY220" s="76"/>
      <c r="CRZ220" s="76"/>
      <c r="CSA220" s="76"/>
      <c r="CSB220" s="76"/>
      <c r="CSC220" s="76"/>
      <c r="CSD220" s="76"/>
      <c r="CSE220" s="76"/>
      <c r="CSF220" s="76"/>
      <c r="CSG220" s="76"/>
      <c r="CSH220" s="76"/>
      <c r="CSI220" s="76"/>
      <c r="CSJ220" s="76"/>
      <c r="CSK220" s="76"/>
      <c r="CSL220" s="76"/>
      <c r="CSM220" s="76"/>
      <c r="CSN220" s="76"/>
      <c r="CSO220" s="76"/>
      <c r="CSP220" s="76"/>
      <c r="CSQ220" s="76"/>
      <c r="CSR220" s="76"/>
      <c r="CSS220" s="76"/>
      <c r="CST220" s="76"/>
      <c r="CSU220" s="76"/>
      <c r="CSV220" s="76"/>
      <c r="CSW220" s="76"/>
      <c r="CSX220" s="76"/>
      <c r="CSY220" s="76"/>
      <c r="CSZ220" s="76"/>
      <c r="CTA220" s="76"/>
      <c r="CTB220" s="76"/>
      <c r="CTC220" s="76"/>
      <c r="CTD220" s="76"/>
      <c r="CTE220" s="76"/>
      <c r="CTF220" s="76"/>
      <c r="CTG220" s="76"/>
      <c r="CTH220" s="76"/>
      <c r="CTI220" s="76"/>
      <c r="CTJ220" s="76"/>
      <c r="CTK220" s="76"/>
      <c r="CTL220" s="76"/>
      <c r="CTM220" s="76"/>
      <c r="CTN220" s="76"/>
      <c r="CTO220" s="76"/>
      <c r="CTP220" s="76"/>
      <c r="CTQ220" s="76"/>
      <c r="CTR220" s="76"/>
      <c r="CTS220" s="76"/>
      <c r="CTT220" s="76"/>
      <c r="CTU220" s="76"/>
      <c r="CTV220" s="76"/>
      <c r="CTW220" s="76"/>
      <c r="CTX220" s="76"/>
      <c r="CTY220" s="76"/>
      <c r="CTZ220" s="76"/>
      <c r="CUA220" s="76"/>
      <c r="CUB220" s="76"/>
      <c r="CUC220" s="76"/>
      <c r="CUD220" s="76"/>
      <c r="CUE220" s="76"/>
      <c r="CUF220" s="76"/>
      <c r="CUG220" s="76"/>
      <c r="CUH220" s="76"/>
      <c r="CUI220" s="76"/>
      <c r="CUJ220" s="76"/>
      <c r="CUK220" s="76"/>
      <c r="CUL220" s="76"/>
      <c r="CUM220" s="76"/>
      <c r="CUN220" s="76"/>
      <c r="CUO220" s="76"/>
      <c r="CUP220" s="76"/>
      <c r="CUQ220" s="76"/>
      <c r="CUR220" s="76"/>
      <c r="CUS220" s="76"/>
      <c r="CUT220" s="76"/>
      <c r="CUU220" s="76"/>
      <c r="CUV220" s="76"/>
      <c r="CUW220" s="76"/>
      <c r="CUX220" s="76"/>
      <c r="CUY220" s="76"/>
      <c r="CUZ220" s="76"/>
      <c r="CVA220" s="76"/>
      <c r="CVB220" s="76"/>
      <c r="CVC220" s="76"/>
      <c r="CVD220" s="76"/>
      <c r="CVE220" s="76"/>
      <c r="CVF220" s="76"/>
      <c r="CVG220" s="76"/>
      <c r="CVH220" s="76"/>
      <c r="CVI220" s="76"/>
      <c r="CVJ220" s="76"/>
      <c r="CVK220" s="76"/>
      <c r="CVL220" s="76"/>
      <c r="CVM220" s="76"/>
      <c r="CVN220" s="76"/>
      <c r="CVO220" s="76"/>
      <c r="CVP220" s="76"/>
      <c r="CVQ220" s="76"/>
      <c r="CVR220" s="76"/>
      <c r="CVS220" s="76"/>
      <c r="CVT220" s="76"/>
      <c r="CVU220" s="76"/>
      <c r="CVV220" s="76"/>
      <c r="CVW220" s="76"/>
      <c r="CVX220" s="76"/>
      <c r="CVY220" s="76"/>
      <c r="CVZ220" s="76"/>
      <c r="CWA220" s="76"/>
      <c r="CWB220" s="76"/>
      <c r="CWC220" s="76"/>
      <c r="CWD220" s="76"/>
      <c r="CWE220" s="76"/>
      <c r="CWF220" s="76"/>
      <c r="CWG220" s="76"/>
      <c r="CWH220" s="76"/>
      <c r="CWI220" s="76"/>
      <c r="CWJ220" s="76"/>
      <c r="CWK220" s="76"/>
      <c r="CWL220" s="76"/>
      <c r="CWM220" s="76"/>
      <c r="CWN220" s="76"/>
      <c r="CWO220" s="76"/>
      <c r="CWP220" s="76"/>
      <c r="CWQ220" s="76"/>
      <c r="CWR220" s="76"/>
      <c r="CWS220" s="76"/>
      <c r="CWT220" s="76"/>
      <c r="CWU220" s="76"/>
      <c r="CWV220" s="76"/>
      <c r="CWW220" s="76"/>
      <c r="CWX220" s="76"/>
      <c r="CWY220" s="76"/>
      <c r="CWZ220" s="76"/>
      <c r="CXA220" s="76"/>
      <c r="CXB220" s="76"/>
      <c r="CXC220" s="76"/>
      <c r="CXD220" s="76"/>
      <c r="CXE220" s="76"/>
      <c r="CXF220" s="76"/>
      <c r="CXG220" s="76"/>
      <c r="CXH220" s="76"/>
      <c r="CXI220" s="76"/>
      <c r="CXJ220" s="76"/>
      <c r="CXK220" s="76"/>
      <c r="CXL220" s="76"/>
      <c r="CXM220" s="76"/>
      <c r="CXN220" s="76"/>
      <c r="CXO220" s="76"/>
      <c r="CXP220" s="76"/>
      <c r="CXQ220" s="76"/>
      <c r="CXR220" s="76"/>
      <c r="CXS220" s="76"/>
      <c r="CXT220" s="76"/>
      <c r="CXU220" s="76"/>
      <c r="CXV220" s="76"/>
      <c r="CXW220" s="76"/>
      <c r="CXX220" s="76"/>
      <c r="CXY220" s="76"/>
      <c r="CXZ220" s="76"/>
      <c r="CYA220" s="76"/>
      <c r="CYB220" s="76"/>
      <c r="CYC220" s="76"/>
      <c r="CYD220" s="76"/>
      <c r="CYE220" s="76"/>
      <c r="CYF220" s="76"/>
      <c r="CYG220" s="76"/>
      <c r="CYH220" s="76"/>
      <c r="CYI220" s="76"/>
      <c r="CYJ220" s="76"/>
      <c r="CYK220" s="76"/>
      <c r="CYL220" s="76"/>
      <c r="CYM220" s="76"/>
      <c r="CYN220" s="76"/>
      <c r="CYO220" s="76"/>
      <c r="CYP220" s="76"/>
      <c r="CYQ220" s="76"/>
      <c r="CYR220" s="76"/>
      <c r="CYS220" s="76"/>
      <c r="CYT220" s="76"/>
      <c r="CYU220" s="76"/>
      <c r="CYV220" s="76"/>
      <c r="CYW220" s="76"/>
      <c r="CYX220" s="76"/>
      <c r="CYY220" s="76"/>
      <c r="CYZ220" s="76"/>
      <c r="CZA220" s="76"/>
      <c r="CZB220" s="76"/>
      <c r="CZC220" s="76"/>
      <c r="CZD220" s="76"/>
      <c r="CZE220" s="76"/>
      <c r="CZF220" s="76"/>
      <c r="CZG220" s="76"/>
      <c r="CZH220" s="76"/>
      <c r="CZI220" s="76"/>
      <c r="CZJ220" s="76"/>
      <c r="CZK220" s="76"/>
      <c r="CZL220" s="76"/>
      <c r="CZM220" s="76"/>
      <c r="CZN220" s="76"/>
      <c r="CZO220" s="76"/>
      <c r="CZP220" s="76"/>
      <c r="CZQ220" s="76"/>
      <c r="CZR220" s="76"/>
      <c r="CZS220" s="76"/>
      <c r="CZT220" s="76"/>
      <c r="CZU220" s="76"/>
      <c r="CZV220" s="76"/>
      <c r="CZW220" s="76"/>
      <c r="CZX220" s="76"/>
      <c r="CZY220" s="76"/>
      <c r="CZZ220" s="76"/>
      <c r="DAA220" s="76"/>
      <c r="DAB220" s="76"/>
      <c r="DAC220" s="76"/>
      <c r="DAD220" s="76"/>
      <c r="DAE220" s="76"/>
      <c r="DAF220" s="76"/>
      <c r="DAG220" s="76"/>
      <c r="DAH220" s="76"/>
      <c r="DAI220" s="76"/>
      <c r="DAJ220" s="76"/>
      <c r="DAK220" s="76"/>
      <c r="DAL220" s="76"/>
      <c r="DAM220" s="76"/>
      <c r="DAN220" s="76"/>
      <c r="DAO220" s="76"/>
      <c r="DAP220" s="76"/>
      <c r="DAQ220" s="76"/>
      <c r="DAR220" s="76"/>
      <c r="DAS220" s="76"/>
      <c r="DAT220" s="76"/>
      <c r="DAU220" s="76"/>
      <c r="DAV220" s="76"/>
      <c r="DAW220" s="76"/>
      <c r="DAX220" s="76"/>
      <c r="DAY220" s="76"/>
      <c r="DAZ220" s="76"/>
      <c r="DBA220" s="76"/>
      <c r="DBB220" s="76"/>
      <c r="DBC220" s="76"/>
      <c r="DBD220" s="76"/>
      <c r="DBE220" s="76"/>
      <c r="DBF220" s="76"/>
      <c r="DBG220" s="76"/>
      <c r="DBH220" s="76"/>
      <c r="DBI220" s="76"/>
      <c r="DBJ220" s="76"/>
      <c r="DBK220" s="76"/>
      <c r="DBL220" s="76"/>
      <c r="DBM220" s="76"/>
      <c r="DBN220" s="76"/>
      <c r="DBO220" s="76"/>
      <c r="DBP220" s="76"/>
      <c r="DBQ220" s="76"/>
      <c r="DBR220" s="76"/>
      <c r="DBS220" s="76"/>
      <c r="DBT220" s="76"/>
      <c r="DBU220" s="76"/>
      <c r="DBV220" s="76"/>
      <c r="DBW220" s="76"/>
      <c r="DBX220" s="76"/>
      <c r="DBY220" s="76"/>
      <c r="DBZ220" s="76"/>
      <c r="DCA220" s="76"/>
      <c r="DCB220" s="76"/>
      <c r="DCC220" s="76"/>
      <c r="DCD220" s="76"/>
      <c r="DCE220" s="76"/>
      <c r="DCF220" s="76"/>
      <c r="DCG220" s="76"/>
      <c r="DCH220" s="76"/>
      <c r="DCI220" s="76"/>
      <c r="DCJ220" s="76"/>
      <c r="DCK220" s="76"/>
      <c r="DCL220" s="76"/>
      <c r="DCM220" s="76"/>
      <c r="DCN220" s="76"/>
      <c r="DCO220" s="76"/>
      <c r="DCP220" s="76"/>
      <c r="DCQ220" s="76"/>
      <c r="DCR220" s="76"/>
      <c r="DCS220" s="76"/>
      <c r="DCT220" s="76"/>
      <c r="DCU220" s="76"/>
      <c r="DCV220" s="76"/>
      <c r="DCW220" s="76"/>
      <c r="DCX220" s="76"/>
      <c r="DCY220" s="76"/>
      <c r="DCZ220" s="76"/>
      <c r="DDA220" s="76"/>
      <c r="DDB220" s="76"/>
      <c r="DDC220" s="76"/>
      <c r="DDD220" s="76"/>
      <c r="DDE220" s="76"/>
      <c r="DDF220" s="76"/>
      <c r="DDG220" s="76"/>
      <c r="DDH220" s="76"/>
      <c r="DDI220" s="76"/>
      <c r="DDJ220" s="76"/>
      <c r="DDK220" s="76"/>
      <c r="DDL220" s="76"/>
      <c r="DDM220" s="76"/>
      <c r="DDN220" s="76"/>
      <c r="DDO220" s="76"/>
      <c r="DDP220" s="76"/>
      <c r="DDQ220" s="76"/>
      <c r="DDR220" s="76"/>
      <c r="DDS220" s="76"/>
      <c r="DDT220" s="76"/>
      <c r="DDU220" s="76"/>
      <c r="DDV220" s="76"/>
      <c r="DDW220" s="76"/>
      <c r="DDX220" s="76"/>
      <c r="DDY220" s="76"/>
      <c r="DDZ220" s="76"/>
      <c r="DEA220" s="76"/>
      <c r="DEB220" s="76"/>
      <c r="DEC220" s="76"/>
      <c r="DED220" s="76"/>
      <c r="DEE220" s="76"/>
      <c r="DEF220" s="76"/>
      <c r="DEG220" s="76"/>
      <c r="DEH220" s="76"/>
      <c r="DEI220" s="76"/>
      <c r="DEJ220" s="76"/>
      <c r="DEK220" s="76"/>
      <c r="DEL220" s="76"/>
      <c r="DEM220" s="76"/>
      <c r="DEN220" s="76"/>
      <c r="DEO220" s="76"/>
      <c r="DEP220" s="76"/>
      <c r="DEQ220" s="76"/>
      <c r="DER220" s="76"/>
      <c r="DES220" s="76"/>
      <c r="DET220" s="76"/>
      <c r="DEU220" s="76"/>
      <c r="DEV220" s="76"/>
      <c r="DEW220" s="76"/>
      <c r="DEX220" s="76"/>
      <c r="DEY220" s="76"/>
      <c r="DEZ220" s="76"/>
      <c r="DFA220" s="76"/>
      <c r="DFB220" s="76"/>
      <c r="DFC220" s="76"/>
      <c r="DFD220" s="76"/>
      <c r="DFE220" s="76"/>
      <c r="DFF220" s="76"/>
      <c r="DFG220" s="76"/>
      <c r="DFH220" s="76"/>
      <c r="DFI220" s="76"/>
      <c r="DFJ220" s="76"/>
      <c r="DFK220" s="76"/>
      <c r="DFL220" s="76"/>
      <c r="DFM220" s="76"/>
      <c r="DFN220" s="76"/>
      <c r="DFO220" s="76"/>
      <c r="DFP220" s="76"/>
      <c r="DFQ220" s="76"/>
      <c r="DFR220" s="76"/>
      <c r="DFS220" s="76"/>
      <c r="DFT220" s="76"/>
      <c r="DFU220" s="76"/>
      <c r="DFV220" s="76"/>
      <c r="DFW220" s="76"/>
      <c r="DFX220" s="76"/>
      <c r="DFY220" s="76"/>
      <c r="DFZ220" s="76"/>
      <c r="DGA220" s="76"/>
      <c r="DGB220" s="76"/>
      <c r="DGC220" s="76"/>
      <c r="DGD220" s="76"/>
      <c r="DGE220" s="76"/>
      <c r="DGF220" s="76"/>
      <c r="DGG220" s="76"/>
      <c r="DGH220" s="76"/>
      <c r="DGI220" s="76"/>
      <c r="DGJ220" s="76"/>
      <c r="DGK220" s="76"/>
      <c r="DGL220" s="76"/>
      <c r="DGM220" s="76"/>
      <c r="DGN220" s="76"/>
      <c r="DGO220" s="76"/>
      <c r="DGP220" s="76"/>
      <c r="DGQ220" s="76"/>
      <c r="DGR220" s="76"/>
      <c r="DGS220" s="76"/>
      <c r="DGT220" s="76"/>
      <c r="DGU220" s="76"/>
      <c r="DGV220" s="76"/>
      <c r="DGW220" s="76"/>
      <c r="DGX220" s="76"/>
      <c r="DGY220" s="76"/>
      <c r="DGZ220" s="76"/>
      <c r="DHA220" s="76"/>
      <c r="DHB220" s="76"/>
      <c r="DHC220" s="76"/>
      <c r="DHD220" s="76"/>
      <c r="DHE220" s="76"/>
      <c r="DHF220" s="76"/>
      <c r="DHG220" s="76"/>
      <c r="DHH220" s="76"/>
      <c r="DHI220" s="76"/>
      <c r="DHJ220" s="76"/>
      <c r="DHK220" s="76"/>
      <c r="DHL220" s="76"/>
      <c r="DHM220" s="76"/>
      <c r="DHN220" s="76"/>
      <c r="DHO220" s="76"/>
      <c r="DHP220" s="76"/>
      <c r="DHQ220" s="76"/>
      <c r="DHR220" s="76"/>
      <c r="DHS220" s="76"/>
      <c r="DHT220" s="76"/>
      <c r="DHU220" s="76"/>
      <c r="DHV220" s="76"/>
      <c r="DHW220" s="76"/>
      <c r="DHX220" s="76"/>
      <c r="DHY220" s="76"/>
      <c r="DHZ220" s="76"/>
      <c r="DIA220" s="76"/>
      <c r="DIB220" s="76"/>
      <c r="DIC220" s="76"/>
      <c r="DID220" s="76"/>
      <c r="DIE220" s="76"/>
      <c r="DIF220" s="76"/>
      <c r="DIG220" s="76"/>
      <c r="DIH220" s="76"/>
      <c r="DII220" s="76"/>
      <c r="DIJ220" s="76"/>
      <c r="DIK220" s="76"/>
      <c r="DIL220" s="76"/>
      <c r="DIM220" s="76"/>
      <c r="DIN220" s="76"/>
      <c r="DIO220" s="76"/>
      <c r="DIP220" s="76"/>
      <c r="DIQ220" s="76"/>
      <c r="DIR220" s="76"/>
      <c r="DIS220" s="76"/>
      <c r="DIT220" s="76"/>
      <c r="DIU220" s="76"/>
      <c r="DIV220" s="76"/>
      <c r="DIW220" s="76"/>
      <c r="DIX220" s="76"/>
      <c r="DIY220" s="76"/>
      <c r="DIZ220" s="76"/>
      <c r="DJA220" s="76"/>
      <c r="DJB220" s="76"/>
      <c r="DJC220" s="76"/>
      <c r="DJD220" s="76"/>
      <c r="DJE220" s="76"/>
      <c r="DJF220" s="76"/>
      <c r="DJG220" s="76"/>
      <c r="DJH220" s="76"/>
      <c r="DJI220" s="76"/>
      <c r="DJJ220" s="76"/>
      <c r="DJK220" s="76"/>
      <c r="DJL220" s="76"/>
      <c r="DJM220" s="76"/>
      <c r="DJN220" s="76"/>
      <c r="DJO220" s="76"/>
      <c r="DJP220" s="76"/>
      <c r="DJQ220" s="76"/>
      <c r="DJR220" s="76"/>
      <c r="DJS220" s="76"/>
      <c r="DJT220" s="76"/>
      <c r="DJU220" s="76"/>
      <c r="DJV220" s="76"/>
      <c r="DJW220" s="76"/>
      <c r="DJX220" s="76"/>
      <c r="DJY220" s="76"/>
      <c r="DJZ220" s="76"/>
      <c r="DKA220" s="76"/>
      <c r="DKB220" s="76"/>
      <c r="DKC220" s="76"/>
      <c r="DKD220" s="76"/>
      <c r="DKE220" s="76"/>
      <c r="DKF220" s="76"/>
      <c r="DKG220" s="76"/>
      <c r="DKH220" s="76"/>
      <c r="DKI220" s="76"/>
      <c r="DKJ220" s="76"/>
      <c r="DKK220" s="76"/>
      <c r="DKL220" s="76"/>
      <c r="DKM220" s="76"/>
      <c r="DKN220" s="76"/>
      <c r="DKO220" s="76"/>
      <c r="DKP220" s="76"/>
      <c r="DKQ220" s="76"/>
      <c r="DKR220" s="76"/>
      <c r="DKS220" s="76"/>
      <c r="DKT220" s="76"/>
      <c r="DKU220" s="76"/>
      <c r="DKV220" s="76"/>
      <c r="DKW220" s="76"/>
      <c r="DKX220" s="76"/>
      <c r="DKY220" s="76"/>
      <c r="DKZ220" s="76"/>
      <c r="DLA220" s="76"/>
      <c r="DLB220" s="76"/>
      <c r="DLC220" s="76"/>
      <c r="DLD220" s="76"/>
      <c r="DLE220" s="76"/>
      <c r="DLF220" s="76"/>
      <c r="DLG220" s="76"/>
      <c r="DLH220" s="76"/>
      <c r="DLI220" s="76"/>
      <c r="DLJ220" s="76"/>
      <c r="DLK220" s="76"/>
      <c r="DLL220" s="76"/>
      <c r="DLM220" s="76"/>
      <c r="DLN220" s="76"/>
      <c r="DLO220" s="76"/>
      <c r="DLP220" s="76"/>
      <c r="DLQ220" s="76"/>
      <c r="DLR220" s="76"/>
      <c r="DLS220" s="76"/>
      <c r="DLT220" s="76"/>
      <c r="DLU220" s="76"/>
      <c r="DLV220" s="76"/>
      <c r="DLW220" s="76"/>
      <c r="DLX220" s="76"/>
      <c r="DLY220" s="76"/>
      <c r="DLZ220" s="76"/>
      <c r="DMA220" s="76"/>
      <c r="DMB220" s="76"/>
      <c r="DMC220" s="76"/>
      <c r="DMD220" s="76"/>
      <c r="DME220" s="76"/>
      <c r="DMF220" s="76"/>
      <c r="DMG220" s="76"/>
      <c r="DMH220" s="76"/>
      <c r="DMI220" s="76"/>
      <c r="DMJ220" s="76"/>
      <c r="DMK220" s="76"/>
      <c r="DML220" s="76"/>
      <c r="DMM220" s="76"/>
      <c r="DMN220" s="76"/>
      <c r="DMO220" s="76"/>
      <c r="DMP220" s="76"/>
      <c r="DMQ220" s="76"/>
      <c r="DMR220" s="76"/>
      <c r="DMS220" s="76"/>
      <c r="DMT220" s="76"/>
      <c r="DMU220" s="76"/>
      <c r="DMV220" s="76"/>
      <c r="DMW220" s="76"/>
      <c r="DMX220" s="76"/>
      <c r="DMY220" s="76"/>
      <c r="DMZ220" s="76"/>
      <c r="DNA220" s="76"/>
      <c r="DNB220" s="76"/>
      <c r="DNC220" s="76"/>
      <c r="DND220" s="76"/>
      <c r="DNE220" s="76"/>
      <c r="DNF220" s="76"/>
      <c r="DNG220" s="76"/>
      <c r="DNH220" s="76"/>
      <c r="DNI220" s="76"/>
      <c r="DNJ220" s="76"/>
      <c r="DNK220" s="76"/>
      <c r="DNL220" s="76"/>
      <c r="DNM220" s="76"/>
      <c r="DNN220" s="76"/>
      <c r="DNO220" s="76"/>
      <c r="DNP220" s="76"/>
      <c r="DNQ220" s="76"/>
      <c r="DNR220" s="76"/>
      <c r="DNS220" s="76"/>
      <c r="DNT220" s="76"/>
      <c r="DNU220" s="76"/>
      <c r="DNV220" s="76"/>
      <c r="DNW220" s="76"/>
      <c r="DNX220" s="76"/>
      <c r="DNY220" s="76"/>
      <c r="DNZ220" s="76"/>
      <c r="DOA220" s="76"/>
      <c r="DOB220" s="76"/>
      <c r="DOC220" s="76"/>
      <c r="DOD220" s="76"/>
      <c r="DOE220" s="76"/>
      <c r="DOF220" s="76"/>
      <c r="DOG220" s="76"/>
      <c r="DOH220" s="76"/>
      <c r="DOI220" s="76"/>
      <c r="DOJ220" s="76"/>
      <c r="DOK220" s="76"/>
      <c r="DOL220" s="76"/>
      <c r="DOM220" s="76"/>
      <c r="DON220" s="76"/>
      <c r="DOO220" s="76"/>
      <c r="DOP220" s="76"/>
      <c r="DOQ220" s="76"/>
      <c r="DOR220" s="76"/>
      <c r="DOS220" s="76"/>
      <c r="DOT220" s="76"/>
      <c r="DOU220" s="76"/>
      <c r="DOV220" s="76"/>
      <c r="DOW220" s="76"/>
      <c r="DOX220" s="76"/>
      <c r="DOY220" s="76"/>
      <c r="DOZ220" s="76"/>
      <c r="DPA220" s="76"/>
      <c r="DPB220" s="76"/>
      <c r="DPC220" s="76"/>
      <c r="DPD220" s="76"/>
      <c r="DPE220" s="76"/>
      <c r="DPF220" s="76"/>
      <c r="DPG220" s="76"/>
      <c r="DPH220" s="76"/>
      <c r="DPI220" s="76"/>
      <c r="DPJ220" s="76"/>
      <c r="DPK220" s="76"/>
      <c r="DPL220" s="76"/>
      <c r="DPM220" s="76"/>
      <c r="DPN220" s="76"/>
      <c r="DPO220" s="76"/>
      <c r="DPP220" s="76"/>
      <c r="DPQ220" s="76"/>
      <c r="DPR220" s="76"/>
      <c r="DPS220" s="76"/>
      <c r="DPT220" s="76"/>
      <c r="DPU220" s="76"/>
      <c r="DPV220" s="76"/>
      <c r="DPW220" s="76"/>
      <c r="DPX220" s="76"/>
      <c r="DPY220" s="76"/>
      <c r="DPZ220" s="76"/>
      <c r="DQA220" s="76"/>
      <c r="DQB220" s="76"/>
      <c r="DQC220" s="76"/>
      <c r="DQD220" s="76"/>
      <c r="DQE220" s="76"/>
      <c r="DQF220" s="76"/>
      <c r="DQG220" s="76"/>
      <c r="DQH220" s="76"/>
      <c r="DQI220" s="76"/>
      <c r="DQJ220" s="76"/>
      <c r="DQK220" s="76"/>
      <c r="DQL220" s="76"/>
      <c r="DQM220" s="76"/>
      <c r="DQN220" s="76"/>
      <c r="DQO220" s="76"/>
      <c r="DQP220" s="76"/>
      <c r="DQQ220" s="76"/>
      <c r="DQR220" s="76"/>
      <c r="DQS220" s="76"/>
      <c r="DQT220" s="76"/>
      <c r="DQU220" s="76"/>
      <c r="DQV220" s="76"/>
      <c r="DQW220" s="76"/>
      <c r="DQX220" s="76"/>
      <c r="DQY220" s="76"/>
      <c r="DQZ220" s="76"/>
      <c r="DRA220" s="76"/>
      <c r="DRB220" s="76"/>
      <c r="DRC220" s="76"/>
      <c r="DRD220" s="76"/>
      <c r="DRE220" s="76"/>
      <c r="DRF220" s="76"/>
      <c r="DRG220" s="76"/>
      <c r="DRH220" s="76"/>
      <c r="DRI220" s="76"/>
      <c r="DRJ220" s="76"/>
      <c r="DRK220" s="76"/>
      <c r="DRL220" s="76"/>
      <c r="DRM220" s="76"/>
      <c r="DRN220" s="76"/>
      <c r="DRO220" s="76"/>
      <c r="DRP220" s="76"/>
      <c r="DRQ220" s="76"/>
      <c r="DRR220" s="76"/>
      <c r="DRS220" s="76"/>
      <c r="DRT220" s="76"/>
      <c r="DRU220" s="76"/>
      <c r="DRV220" s="76"/>
      <c r="DRW220" s="76"/>
      <c r="DRX220" s="76"/>
      <c r="DRY220" s="76"/>
      <c r="DRZ220" s="76"/>
      <c r="DSA220" s="76"/>
      <c r="DSB220" s="76"/>
      <c r="DSC220" s="76"/>
      <c r="DSD220" s="76"/>
      <c r="DSE220" s="76"/>
      <c r="DSF220" s="76"/>
      <c r="DSG220" s="76"/>
      <c r="DSH220" s="76"/>
      <c r="DSI220" s="76"/>
      <c r="DSJ220" s="76"/>
      <c r="DSK220" s="76"/>
      <c r="DSL220" s="76"/>
      <c r="DSM220" s="76"/>
      <c r="DSN220" s="76"/>
      <c r="DSO220" s="76"/>
      <c r="DSP220" s="76"/>
      <c r="DSQ220" s="76"/>
      <c r="DSR220" s="76"/>
      <c r="DSS220" s="76"/>
      <c r="DST220" s="76"/>
      <c r="DSU220" s="76"/>
      <c r="DSV220" s="76"/>
      <c r="DSW220" s="76"/>
      <c r="DSX220" s="76"/>
      <c r="DSY220" s="76"/>
      <c r="DSZ220" s="76"/>
      <c r="DTA220" s="76"/>
      <c r="DTB220" s="76"/>
      <c r="DTC220" s="76"/>
      <c r="DTD220" s="76"/>
      <c r="DTE220" s="76"/>
      <c r="DTF220" s="76"/>
      <c r="DTG220" s="76"/>
      <c r="DTH220" s="76"/>
      <c r="DTI220" s="76"/>
      <c r="DTJ220" s="76"/>
      <c r="DTK220" s="76"/>
      <c r="DTL220" s="76"/>
      <c r="DTM220" s="76"/>
      <c r="DTN220" s="76"/>
      <c r="DTO220" s="76"/>
      <c r="DTP220" s="76"/>
      <c r="DTQ220" s="76"/>
      <c r="DTR220" s="76"/>
      <c r="DTS220" s="76"/>
      <c r="DTT220" s="76"/>
      <c r="DTU220" s="76"/>
      <c r="DTV220" s="76"/>
      <c r="DTW220" s="76"/>
      <c r="DTX220" s="76"/>
      <c r="DTY220" s="76"/>
      <c r="DTZ220" s="76"/>
      <c r="DUA220" s="76"/>
      <c r="DUB220" s="76"/>
      <c r="DUC220" s="76"/>
      <c r="DUD220" s="76"/>
      <c r="DUE220" s="76"/>
      <c r="DUF220" s="76"/>
      <c r="DUG220" s="76"/>
      <c r="DUH220" s="76"/>
      <c r="DUI220" s="76"/>
      <c r="DUJ220" s="76"/>
      <c r="DUK220" s="76"/>
      <c r="DUL220" s="76"/>
      <c r="DUM220" s="76"/>
      <c r="DUN220" s="76"/>
      <c r="DUO220" s="76"/>
      <c r="DUP220" s="76"/>
      <c r="DUQ220" s="76"/>
      <c r="DUR220" s="76"/>
      <c r="DUS220" s="76"/>
      <c r="DUT220" s="76"/>
      <c r="DUU220" s="76"/>
      <c r="DUV220" s="76"/>
      <c r="DUW220" s="76"/>
      <c r="DUX220" s="76"/>
      <c r="DUY220" s="76"/>
      <c r="DUZ220" s="76"/>
      <c r="DVA220" s="76"/>
      <c r="DVB220" s="76"/>
      <c r="DVC220" s="76"/>
      <c r="DVD220" s="76"/>
      <c r="DVE220" s="76"/>
      <c r="DVF220" s="76"/>
      <c r="DVG220" s="76"/>
      <c r="DVH220" s="76"/>
      <c r="DVI220" s="76"/>
      <c r="DVJ220" s="76"/>
      <c r="DVK220" s="76"/>
      <c r="DVL220" s="76"/>
      <c r="DVM220" s="76"/>
      <c r="DVN220" s="76"/>
      <c r="DVO220" s="76"/>
      <c r="DVP220" s="76"/>
      <c r="DVQ220" s="76"/>
      <c r="DVR220" s="76"/>
      <c r="DVS220" s="76"/>
      <c r="DVT220" s="76"/>
      <c r="DVU220" s="76"/>
      <c r="DVV220" s="76"/>
      <c r="DVW220" s="76"/>
      <c r="DVX220" s="76"/>
      <c r="DVY220" s="76"/>
      <c r="DVZ220" s="76"/>
      <c r="DWA220" s="76"/>
      <c r="DWB220" s="76"/>
      <c r="DWC220" s="76"/>
      <c r="DWD220" s="76"/>
      <c r="DWE220" s="76"/>
      <c r="DWF220" s="76"/>
      <c r="DWG220" s="76"/>
      <c r="DWH220" s="76"/>
      <c r="DWI220" s="76"/>
      <c r="DWJ220" s="76"/>
      <c r="DWK220" s="76"/>
      <c r="DWL220" s="76"/>
      <c r="DWM220" s="76"/>
      <c r="DWN220" s="76"/>
      <c r="DWO220" s="76"/>
      <c r="DWP220" s="76"/>
      <c r="DWQ220" s="76"/>
      <c r="DWR220" s="76"/>
      <c r="DWS220" s="76"/>
      <c r="DWT220" s="76"/>
      <c r="DWU220" s="76"/>
      <c r="DWV220" s="76"/>
      <c r="DWW220" s="76"/>
      <c r="DWX220" s="76"/>
      <c r="DWY220" s="76"/>
      <c r="DWZ220" s="76"/>
      <c r="DXA220" s="76"/>
      <c r="DXB220" s="76"/>
      <c r="DXC220" s="76"/>
      <c r="DXD220" s="76"/>
      <c r="DXE220" s="76"/>
      <c r="DXF220" s="76"/>
      <c r="DXG220" s="76"/>
      <c r="DXH220" s="76"/>
      <c r="DXI220" s="76"/>
      <c r="DXJ220" s="76"/>
      <c r="DXK220" s="76"/>
      <c r="DXL220" s="76"/>
      <c r="DXM220" s="76"/>
      <c r="DXN220" s="76"/>
      <c r="DXO220" s="76"/>
      <c r="DXP220" s="76"/>
      <c r="DXQ220" s="76"/>
      <c r="DXR220" s="76"/>
      <c r="DXS220" s="76"/>
      <c r="DXT220" s="76"/>
      <c r="DXU220" s="76"/>
      <c r="DXV220" s="76"/>
      <c r="DXW220" s="76"/>
      <c r="DXX220" s="76"/>
      <c r="DXY220" s="76"/>
      <c r="DXZ220" s="76"/>
      <c r="DYA220" s="76"/>
      <c r="DYB220" s="76"/>
      <c r="DYC220" s="76"/>
      <c r="DYD220" s="76"/>
      <c r="DYE220" s="76"/>
      <c r="DYF220" s="76"/>
      <c r="DYG220" s="76"/>
      <c r="DYH220" s="76"/>
      <c r="DYI220" s="76"/>
      <c r="DYJ220" s="76"/>
      <c r="DYK220" s="76"/>
      <c r="DYL220" s="76"/>
      <c r="DYM220" s="76"/>
      <c r="DYN220" s="76"/>
      <c r="DYO220" s="76"/>
      <c r="DYP220" s="76"/>
      <c r="DYQ220" s="76"/>
      <c r="DYR220" s="76"/>
      <c r="DYS220" s="76"/>
      <c r="DYT220" s="76"/>
      <c r="DYU220" s="76"/>
      <c r="DYV220" s="76"/>
      <c r="DYW220" s="76"/>
      <c r="DYX220" s="76"/>
      <c r="DYY220" s="76"/>
      <c r="DYZ220" s="76"/>
      <c r="DZA220" s="76"/>
      <c r="DZB220" s="76"/>
      <c r="DZC220" s="76"/>
      <c r="DZD220" s="76"/>
      <c r="DZE220" s="76"/>
      <c r="DZF220" s="76"/>
      <c r="DZG220" s="76"/>
      <c r="DZH220" s="76"/>
      <c r="DZI220" s="76"/>
      <c r="DZJ220" s="76"/>
      <c r="DZK220" s="76"/>
      <c r="DZL220" s="76"/>
      <c r="DZM220" s="76"/>
      <c r="DZN220" s="76"/>
      <c r="DZO220" s="76"/>
      <c r="DZP220" s="76"/>
      <c r="DZQ220" s="76"/>
      <c r="DZR220" s="76"/>
      <c r="DZS220" s="76"/>
      <c r="DZT220" s="76"/>
      <c r="DZU220" s="76"/>
      <c r="DZV220" s="76"/>
      <c r="DZW220" s="76"/>
      <c r="DZX220" s="76"/>
      <c r="DZY220" s="76"/>
      <c r="DZZ220" s="76"/>
      <c r="EAA220" s="76"/>
      <c r="EAB220" s="76"/>
      <c r="EAC220" s="76"/>
      <c r="EAD220" s="76"/>
      <c r="EAE220" s="76"/>
      <c r="EAF220" s="76"/>
      <c r="EAG220" s="76"/>
      <c r="EAH220" s="76"/>
      <c r="EAI220" s="76"/>
      <c r="EAJ220" s="76"/>
      <c r="EAK220" s="76"/>
      <c r="EAL220" s="76"/>
      <c r="EAM220" s="76"/>
      <c r="EAN220" s="76"/>
      <c r="EAO220" s="76"/>
      <c r="EAP220" s="76"/>
      <c r="EAQ220" s="76"/>
      <c r="EAR220" s="76"/>
      <c r="EAS220" s="76"/>
      <c r="EAT220" s="76"/>
      <c r="EAU220" s="76"/>
      <c r="EAV220" s="76"/>
      <c r="EAW220" s="76"/>
      <c r="EAX220" s="76"/>
      <c r="EAY220" s="76"/>
      <c r="EAZ220" s="76"/>
      <c r="EBA220" s="76"/>
      <c r="EBB220" s="76"/>
      <c r="EBC220" s="76"/>
      <c r="EBD220" s="76"/>
      <c r="EBE220" s="76"/>
      <c r="EBF220" s="76"/>
      <c r="EBG220" s="76"/>
      <c r="EBH220" s="76"/>
      <c r="EBI220" s="76"/>
      <c r="EBJ220" s="76"/>
      <c r="EBK220" s="76"/>
      <c r="EBL220" s="76"/>
      <c r="EBM220" s="76"/>
      <c r="EBN220" s="76"/>
      <c r="EBO220" s="76"/>
      <c r="EBP220" s="76"/>
      <c r="EBQ220" s="76"/>
      <c r="EBR220" s="76"/>
      <c r="EBS220" s="76"/>
      <c r="EBT220" s="76"/>
      <c r="EBU220" s="76"/>
      <c r="EBV220" s="76"/>
      <c r="EBW220" s="76"/>
      <c r="EBX220" s="76"/>
      <c r="EBY220" s="76"/>
      <c r="EBZ220" s="76"/>
      <c r="ECA220" s="76"/>
      <c r="ECB220" s="76"/>
      <c r="ECC220" s="76"/>
      <c r="ECD220" s="76"/>
      <c r="ECE220" s="76"/>
      <c r="ECF220" s="76"/>
      <c r="ECG220" s="76"/>
      <c r="ECH220" s="76"/>
      <c r="ECI220" s="76"/>
      <c r="ECJ220" s="76"/>
      <c r="ECK220" s="76"/>
      <c r="ECL220" s="76"/>
      <c r="ECM220" s="76"/>
      <c r="ECN220" s="76"/>
      <c r="ECO220" s="76"/>
      <c r="ECP220" s="76"/>
      <c r="ECQ220" s="76"/>
      <c r="ECR220" s="76"/>
      <c r="ECS220" s="76"/>
      <c r="ECT220" s="76"/>
      <c r="ECU220" s="76"/>
      <c r="ECV220" s="76"/>
      <c r="ECW220" s="76"/>
      <c r="ECX220" s="76"/>
      <c r="ECY220" s="76"/>
      <c r="ECZ220" s="76"/>
      <c r="EDA220" s="76"/>
      <c r="EDB220" s="76"/>
      <c r="EDC220" s="76"/>
      <c r="EDD220" s="76"/>
      <c r="EDE220" s="76"/>
      <c r="EDF220" s="76"/>
      <c r="EDG220" s="76"/>
      <c r="EDH220" s="76"/>
      <c r="EDI220" s="76"/>
      <c r="EDJ220" s="76"/>
      <c r="EDK220" s="76"/>
      <c r="EDL220" s="76"/>
      <c r="EDM220" s="76"/>
      <c r="EDN220" s="76"/>
      <c r="EDO220" s="76"/>
      <c r="EDP220" s="76"/>
      <c r="EDQ220" s="76"/>
      <c r="EDR220" s="76"/>
      <c r="EDS220" s="76"/>
      <c r="EDT220" s="76"/>
      <c r="EDU220" s="76"/>
      <c r="EDV220" s="76"/>
      <c r="EDW220" s="76"/>
      <c r="EDX220" s="76"/>
      <c r="EDY220" s="76"/>
      <c r="EDZ220" s="76"/>
      <c r="EEA220" s="76"/>
      <c r="EEB220" s="76"/>
      <c r="EEC220" s="76"/>
      <c r="EED220" s="76"/>
      <c r="EEE220" s="76"/>
      <c r="EEF220" s="76"/>
      <c r="EEG220" s="76"/>
      <c r="EEH220" s="76"/>
      <c r="EEI220" s="76"/>
      <c r="EEJ220" s="76"/>
      <c r="EEK220" s="76"/>
      <c r="EEL220" s="76"/>
      <c r="EEM220" s="76"/>
      <c r="EEN220" s="76"/>
      <c r="EEO220" s="76"/>
      <c r="EEP220" s="76"/>
      <c r="EEQ220" s="76"/>
      <c r="EER220" s="76"/>
      <c r="EES220" s="76"/>
      <c r="EET220" s="76"/>
      <c r="EEU220" s="76"/>
      <c r="EEV220" s="76"/>
      <c r="EEW220" s="76"/>
      <c r="EEX220" s="76"/>
      <c r="EEY220" s="76"/>
      <c r="EEZ220" s="76"/>
      <c r="EFA220" s="76"/>
      <c r="EFB220" s="76"/>
      <c r="EFC220" s="76"/>
      <c r="EFD220" s="76"/>
      <c r="EFE220" s="76"/>
      <c r="EFF220" s="76"/>
      <c r="EFG220" s="76"/>
      <c r="EFH220" s="76"/>
      <c r="EFI220" s="76"/>
      <c r="EFJ220" s="76"/>
      <c r="EFK220" s="76"/>
      <c r="EFL220" s="76"/>
      <c r="EFM220" s="76"/>
      <c r="EFN220" s="76"/>
      <c r="EFO220" s="76"/>
      <c r="EFP220" s="76"/>
      <c r="EFQ220" s="76"/>
      <c r="EFR220" s="76"/>
      <c r="EFS220" s="76"/>
      <c r="EFT220" s="76"/>
      <c r="EFU220" s="76"/>
      <c r="EFV220" s="76"/>
      <c r="EFW220" s="76"/>
      <c r="EFX220" s="76"/>
      <c r="EFY220" s="76"/>
      <c r="EFZ220" s="76"/>
      <c r="EGA220" s="76"/>
      <c r="EGB220" s="76"/>
      <c r="EGC220" s="76"/>
      <c r="EGD220" s="76"/>
      <c r="EGE220" s="76"/>
      <c r="EGF220" s="76"/>
      <c r="EGG220" s="76"/>
      <c r="EGH220" s="76"/>
      <c r="EGI220" s="76"/>
      <c r="EGJ220" s="76"/>
      <c r="EGK220" s="76"/>
      <c r="EGL220" s="76"/>
      <c r="EGM220" s="76"/>
      <c r="EGN220" s="76"/>
      <c r="EGO220" s="76"/>
      <c r="EGP220" s="76"/>
      <c r="EGQ220" s="76"/>
      <c r="EGR220" s="76"/>
      <c r="EGS220" s="76"/>
      <c r="EGT220" s="76"/>
      <c r="EGU220" s="76"/>
      <c r="EGV220" s="76"/>
      <c r="EGW220" s="76"/>
      <c r="EGX220" s="76"/>
      <c r="EGY220" s="76"/>
      <c r="EGZ220" s="76"/>
      <c r="EHA220" s="76"/>
      <c r="EHB220" s="76"/>
      <c r="EHC220" s="76"/>
      <c r="EHD220" s="76"/>
      <c r="EHE220" s="76"/>
      <c r="EHF220" s="76"/>
      <c r="EHG220" s="76"/>
      <c r="EHH220" s="76"/>
      <c r="EHI220" s="76"/>
      <c r="EHJ220" s="76"/>
      <c r="EHK220" s="76"/>
      <c r="EHL220" s="76"/>
      <c r="EHM220" s="76"/>
      <c r="EHN220" s="76"/>
      <c r="EHO220" s="76"/>
      <c r="EHP220" s="76"/>
      <c r="EHQ220" s="76"/>
      <c r="EHR220" s="76"/>
      <c r="EHS220" s="76"/>
      <c r="EHT220" s="76"/>
      <c r="EHU220" s="76"/>
      <c r="EHV220" s="76"/>
      <c r="EHW220" s="76"/>
      <c r="EHX220" s="76"/>
      <c r="EHY220" s="76"/>
      <c r="EHZ220" s="76"/>
      <c r="EIA220" s="76"/>
      <c r="EIB220" s="76"/>
      <c r="EIC220" s="76"/>
      <c r="EID220" s="76"/>
      <c r="EIE220" s="76"/>
      <c r="EIF220" s="76"/>
      <c r="EIG220" s="76"/>
      <c r="EIH220" s="76"/>
      <c r="EII220" s="76"/>
      <c r="EIJ220" s="76"/>
      <c r="EIK220" s="76"/>
      <c r="EIL220" s="76"/>
      <c r="EIM220" s="76"/>
      <c r="EIN220" s="76"/>
      <c r="EIO220" s="76"/>
      <c r="EIP220" s="76"/>
      <c r="EIQ220" s="76"/>
      <c r="EIR220" s="76"/>
      <c r="EIS220" s="76"/>
      <c r="EIT220" s="76"/>
      <c r="EIU220" s="76"/>
      <c r="EIV220" s="76"/>
      <c r="EIW220" s="76"/>
      <c r="EIX220" s="76"/>
      <c r="EIY220" s="76"/>
      <c r="EIZ220" s="76"/>
      <c r="EJA220" s="76"/>
      <c r="EJB220" s="76"/>
      <c r="EJC220" s="76"/>
      <c r="EJD220" s="76"/>
      <c r="EJE220" s="76"/>
      <c r="EJF220" s="76"/>
      <c r="EJG220" s="76"/>
      <c r="EJH220" s="76"/>
      <c r="EJI220" s="76"/>
      <c r="EJJ220" s="76"/>
      <c r="EJK220" s="76"/>
      <c r="EJL220" s="76"/>
      <c r="EJM220" s="76"/>
      <c r="EJN220" s="76"/>
      <c r="EJO220" s="76"/>
      <c r="EJP220" s="76"/>
      <c r="EJQ220" s="76"/>
      <c r="EJR220" s="76"/>
      <c r="EJS220" s="76"/>
      <c r="EJT220" s="76"/>
      <c r="EJU220" s="76"/>
      <c r="EJV220" s="76"/>
      <c r="EJW220" s="76"/>
      <c r="EJX220" s="76"/>
      <c r="EJY220" s="76"/>
      <c r="EJZ220" s="76"/>
      <c r="EKA220" s="76"/>
      <c r="EKB220" s="76"/>
      <c r="EKC220" s="76"/>
      <c r="EKD220" s="76"/>
      <c r="EKE220" s="76"/>
      <c r="EKF220" s="76"/>
      <c r="EKG220" s="76"/>
      <c r="EKH220" s="76"/>
      <c r="EKI220" s="76"/>
      <c r="EKJ220" s="76"/>
      <c r="EKK220" s="76"/>
      <c r="EKL220" s="76"/>
      <c r="EKM220" s="76"/>
      <c r="EKN220" s="76"/>
      <c r="EKO220" s="76"/>
      <c r="EKP220" s="76"/>
      <c r="EKQ220" s="76"/>
      <c r="EKR220" s="76"/>
      <c r="EKS220" s="76"/>
      <c r="EKT220" s="76"/>
      <c r="EKU220" s="76"/>
      <c r="EKV220" s="76"/>
      <c r="EKW220" s="76"/>
      <c r="EKX220" s="76"/>
      <c r="EKY220" s="76"/>
      <c r="EKZ220" s="76"/>
      <c r="ELA220" s="76"/>
      <c r="ELB220" s="76"/>
      <c r="ELC220" s="76"/>
      <c r="ELD220" s="76"/>
      <c r="ELE220" s="76"/>
      <c r="ELF220" s="76"/>
      <c r="ELG220" s="76"/>
      <c r="ELH220" s="76"/>
      <c r="ELI220" s="76"/>
      <c r="ELJ220" s="76"/>
      <c r="ELK220" s="76"/>
      <c r="ELL220" s="76"/>
      <c r="ELM220" s="76"/>
      <c r="ELN220" s="76"/>
      <c r="ELO220" s="76"/>
      <c r="ELP220" s="76"/>
      <c r="ELQ220" s="76"/>
      <c r="ELR220" s="76"/>
      <c r="ELS220" s="76"/>
      <c r="ELT220" s="76"/>
      <c r="ELU220" s="76"/>
      <c r="ELV220" s="76"/>
      <c r="ELW220" s="76"/>
      <c r="ELX220" s="76"/>
      <c r="ELY220" s="76"/>
      <c r="ELZ220" s="76"/>
      <c r="EMA220" s="76"/>
      <c r="EMB220" s="76"/>
      <c r="EMC220" s="76"/>
      <c r="EMD220" s="76"/>
      <c r="EME220" s="76"/>
      <c r="EMF220" s="76"/>
      <c r="EMG220" s="76"/>
      <c r="EMH220" s="76"/>
      <c r="EMI220" s="76"/>
      <c r="EMJ220" s="76"/>
      <c r="EMK220" s="76"/>
      <c r="EML220" s="76"/>
      <c r="EMM220" s="76"/>
      <c r="EMN220" s="76"/>
      <c r="EMO220" s="76"/>
      <c r="EMP220" s="76"/>
      <c r="EMQ220" s="76"/>
      <c r="EMR220" s="76"/>
      <c r="EMS220" s="76"/>
      <c r="EMT220" s="76"/>
      <c r="EMU220" s="76"/>
      <c r="EMV220" s="76"/>
      <c r="EMW220" s="76"/>
      <c r="EMX220" s="76"/>
      <c r="EMY220" s="76"/>
      <c r="EMZ220" s="76"/>
      <c r="ENA220" s="76"/>
      <c r="ENB220" s="76"/>
      <c r="ENC220" s="76"/>
      <c r="END220" s="76"/>
      <c r="ENE220" s="76"/>
      <c r="ENF220" s="76"/>
      <c r="ENG220" s="76"/>
      <c r="ENH220" s="76"/>
      <c r="ENI220" s="76"/>
      <c r="ENJ220" s="76"/>
      <c r="ENK220" s="76"/>
      <c r="ENL220" s="76"/>
      <c r="ENM220" s="76"/>
      <c r="ENN220" s="76"/>
      <c r="ENO220" s="76"/>
      <c r="ENP220" s="76"/>
      <c r="ENQ220" s="76"/>
      <c r="ENR220" s="76"/>
      <c r="ENS220" s="76"/>
      <c r="ENT220" s="76"/>
      <c r="ENU220" s="76"/>
      <c r="ENV220" s="76"/>
      <c r="ENW220" s="76"/>
      <c r="ENX220" s="76"/>
      <c r="ENY220" s="76"/>
      <c r="ENZ220" s="76"/>
      <c r="EOA220" s="76"/>
      <c r="EOB220" s="76"/>
      <c r="EOC220" s="76"/>
      <c r="EOD220" s="76"/>
      <c r="EOE220" s="76"/>
      <c r="EOF220" s="76"/>
      <c r="EOG220" s="76"/>
      <c r="EOH220" s="76"/>
      <c r="EOI220" s="76"/>
      <c r="EOJ220" s="76"/>
      <c r="EOK220" s="76"/>
      <c r="EOL220" s="76"/>
      <c r="EOM220" s="76"/>
      <c r="EON220" s="76"/>
      <c r="EOO220" s="76"/>
      <c r="EOP220" s="76"/>
      <c r="EOQ220" s="76"/>
      <c r="EOR220" s="76"/>
      <c r="EOS220" s="76"/>
      <c r="EOT220" s="76"/>
      <c r="EOU220" s="76"/>
      <c r="EOV220" s="76"/>
      <c r="EOW220" s="76"/>
      <c r="EOX220" s="76"/>
      <c r="EOY220" s="76"/>
      <c r="EOZ220" s="76"/>
      <c r="EPA220" s="76"/>
      <c r="EPB220" s="76"/>
      <c r="EPC220" s="76"/>
      <c r="EPD220" s="76"/>
      <c r="EPE220" s="76"/>
      <c r="EPF220" s="76"/>
      <c r="EPG220" s="76"/>
      <c r="EPH220" s="76"/>
      <c r="EPI220" s="76"/>
      <c r="EPJ220" s="76"/>
      <c r="EPK220" s="76"/>
      <c r="EPL220" s="76"/>
      <c r="EPM220" s="76"/>
      <c r="EPN220" s="76"/>
      <c r="EPO220" s="76"/>
      <c r="EPP220" s="76"/>
      <c r="EPQ220" s="76"/>
      <c r="EPR220" s="76"/>
      <c r="EPS220" s="76"/>
      <c r="EPT220" s="76"/>
      <c r="EPU220" s="76"/>
      <c r="EPV220" s="76"/>
      <c r="EPW220" s="76"/>
      <c r="EPX220" s="76"/>
      <c r="EPY220" s="76"/>
      <c r="EPZ220" s="76"/>
      <c r="EQA220" s="76"/>
      <c r="EQB220" s="76"/>
      <c r="EQC220" s="76"/>
      <c r="EQD220" s="76"/>
      <c r="EQE220" s="76"/>
      <c r="EQF220" s="76"/>
      <c r="EQG220" s="76"/>
      <c r="EQH220" s="76"/>
      <c r="EQI220" s="76"/>
      <c r="EQJ220" s="76"/>
      <c r="EQK220" s="76"/>
      <c r="EQL220" s="76"/>
      <c r="EQM220" s="76"/>
      <c r="EQN220" s="76"/>
      <c r="EQO220" s="76"/>
      <c r="EQP220" s="76"/>
      <c r="EQQ220" s="76"/>
      <c r="EQR220" s="76"/>
      <c r="EQS220" s="76"/>
      <c r="EQT220" s="76"/>
      <c r="EQU220" s="76"/>
      <c r="EQV220" s="76"/>
      <c r="EQW220" s="76"/>
      <c r="EQX220" s="76"/>
      <c r="EQY220" s="76"/>
      <c r="EQZ220" s="76"/>
      <c r="ERA220" s="76"/>
      <c r="ERB220" s="76"/>
      <c r="ERC220" s="76"/>
      <c r="ERD220" s="76"/>
      <c r="ERE220" s="76"/>
      <c r="ERF220" s="76"/>
      <c r="ERG220" s="76"/>
      <c r="ERH220" s="76"/>
      <c r="ERI220" s="76"/>
      <c r="ERJ220" s="76"/>
      <c r="ERK220" s="76"/>
      <c r="ERL220" s="76"/>
      <c r="ERM220" s="76"/>
      <c r="ERN220" s="76"/>
      <c r="ERO220" s="76"/>
      <c r="ERP220" s="76"/>
      <c r="ERQ220" s="76"/>
      <c r="ERR220" s="76"/>
      <c r="ERS220" s="76"/>
      <c r="ERT220" s="76"/>
      <c r="ERU220" s="76"/>
      <c r="ERV220" s="76"/>
      <c r="ERW220" s="76"/>
      <c r="ERX220" s="76"/>
      <c r="ERY220" s="76"/>
      <c r="ERZ220" s="76"/>
      <c r="ESA220" s="76"/>
      <c r="ESB220" s="76"/>
      <c r="ESC220" s="76"/>
      <c r="ESD220" s="76"/>
      <c r="ESE220" s="76"/>
      <c r="ESF220" s="76"/>
      <c r="ESG220" s="76"/>
      <c r="ESH220" s="76"/>
      <c r="ESI220" s="76"/>
      <c r="ESJ220" s="76"/>
      <c r="ESK220" s="76"/>
      <c r="ESL220" s="76"/>
      <c r="ESM220" s="76"/>
      <c r="ESN220" s="76"/>
      <c r="ESO220" s="76"/>
      <c r="ESP220" s="76"/>
      <c r="ESQ220" s="76"/>
      <c r="ESR220" s="76"/>
      <c r="ESS220" s="76"/>
      <c r="EST220" s="76"/>
      <c r="ESU220" s="76"/>
      <c r="ESV220" s="76"/>
      <c r="ESW220" s="76"/>
      <c r="ESX220" s="76"/>
      <c r="ESY220" s="76"/>
      <c r="ESZ220" s="76"/>
      <c r="ETA220" s="76"/>
      <c r="ETB220" s="76"/>
      <c r="ETC220" s="76"/>
      <c r="ETD220" s="76"/>
      <c r="ETE220" s="76"/>
      <c r="ETF220" s="76"/>
      <c r="ETG220" s="76"/>
      <c r="ETH220" s="76"/>
      <c r="ETI220" s="76"/>
      <c r="ETJ220" s="76"/>
      <c r="ETK220" s="76"/>
      <c r="ETL220" s="76"/>
      <c r="ETM220" s="76"/>
      <c r="ETN220" s="76"/>
      <c r="ETO220" s="76"/>
      <c r="ETP220" s="76"/>
      <c r="ETQ220" s="76"/>
      <c r="ETR220" s="76"/>
      <c r="ETS220" s="76"/>
      <c r="ETT220" s="76"/>
      <c r="ETU220" s="76"/>
      <c r="ETV220" s="76"/>
      <c r="ETW220" s="76"/>
      <c r="ETX220" s="76"/>
      <c r="ETY220" s="76"/>
      <c r="ETZ220" s="76"/>
      <c r="EUA220" s="76"/>
      <c r="EUB220" s="76"/>
      <c r="EUC220" s="76"/>
      <c r="EUD220" s="76"/>
      <c r="EUE220" s="76"/>
      <c r="EUF220" s="76"/>
      <c r="EUG220" s="76"/>
      <c r="EUH220" s="76"/>
      <c r="EUI220" s="76"/>
      <c r="EUJ220" s="76"/>
      <c r="EUK220" s="76"/>
      <c r="EUL220" s="76"/>
      <c r="EUM220" s="76"/>
      <c r="EUN220" s="76"/>
      <c r="EUO220" s="76"/>
      <c r="EUP220" s="76"/>
      <c r="EUQ220" s="76"/>
      <c r="EUR220" s="76"/>
      <c r="EUS220" s="76"/>
      <c r="EUT220" s="76"/>
      <c r="EUU220" s="76"/>
      <c r="EUV220" s="76"/>
      <c r="EUW220" s="76"/>
      <c r="EUX220" s="76"/>
      <c r="EUY220" s="76"/>
      <c r="EUZ220" s="76"/>
      <c r="EVA220" s="76"/>
      <c r="EVB220" s="76"/>
      <c r="EVC220" s="76"/>
      <c r="EVD220" s="76"/>
      <c r="EVE220" s="76"/>
      <c r="EVF220" s="76"/>
      <c r="EVG220" s="76"/>
      <c r="EVH220" s="76"/>
      <c r="EVI220" s="76"/>
      <c r="EVJ220" s="76"/>
      <c r="EVK220" s="76"/>
      <c r="EVL220" s="76"/>
      <c r="EVM220" s="76"/>
      <c r="EVN220" s="76"/>
      <c r="EVO220" s="76"/>
      <c r="EVP220" s="76"/>
      <c r="EVQ220" s="76"/>
      <c r="EVR220" s="76"/>
      <c r="EVS220" s="76"/>
      <c r="EVT220" s="76"/>
      <c r="EVU220" s="76"/>
      <c r="EVV220" s="76"/>
      <c r="EVW220" s="76"/>
      <c r="EVX220" s="76"/>
      <c r="EVY220" s="76"/>
      <c r="EVZ220" s="76"/>
      <c r="EWA220" s="76"/>
      <c r="EWB220" s="76"/>
      <c r="EWC220" s="76"/>
      <c r="EWD220" s="76"/>
      <c r="EWE220" s="76"/>
      <c r="EWF220" s="76"/>
      <c r="EWG220" s="76"/>
      <c r="EWH220" s="76"/>
      <c r="EWI220" s="76"/>
      <c r="EWJ220" s="76"/>
      <c r="EWK220" s="76"/>
      <c r="EWL220" s="76"/>
      <c r="EWM220" s="76"/>
      <c r="EWN220" s="76"/>
      <c r="EWO220" s="76"/>
      <c r="EWP220" s="76"/>
      <c r="EWQ220" s="76"/>
      <c r="EWR220" s="76"/>
      <c r="EWS220" s="76"/>
      <c r="EWT220" s="76"/>
      <c r="EWU220" s="76"/>
      <c r="EWV220" s="76"/>
      <c r="EWW220" s="76"/>
      <c r="EWX220" s="76"/>
      <c r="EWY220" s="76"/>
      <c r="EWZ220" s="76"/>
      <c r="EXA220" s="76"/>
      <c r="EXB220" s="76"/>
      <c r="EXC220" s="76"/>
      <c r="EXD220" s="76"/>
      <c r="EXE220" s="76"/>
      <c r="EXF220" s="76"/>
      <c r="EXG220" s="76"/>
      <c r="EXH220" s="76"/>
      <c r="EXI220" s="76"/>
      <c r="EXJ220" s="76"/>
      <c r="EXK220" s="76"/>
      <c r="EXL220" s="76"/>
      <c r="EXM220" s="76"/>
      <c r="EXN220" s="76"/>
      <c r="EXO220" s="76"/>
      <c r="EXP220" s="76"/>
      <c r="EXQ220" s="76"/>
      <c r="EXR220" s="76"/>
      <c r="EXS220" s="76"/>
      <c r="EXT220" s="76"/>
      <c r="EXU220" s="76"/>
      <c r="EXV220" s="76"/>
      <c r="EXW220" s="76"/>
      <c r="EXX220" s="76"/>
      <c r="EXY220" s="76"/>
      <c r="EXZ220" s="76"/>
      <c r="EYA220" s="76"/>
      <c r="EYB220" s="76"/>
      <c r="EYC220" s="76"/>
      <c r="EYD220" s="76"/>
      <c r="EYE220" s="76"/>
      <c r="EYF220" s="76"/>
      <c r="EYG220" s="76"/>
      <c r="EYH220" s="76"/>
      <c r="EYI220" s="76"/>
      <c r="EYJ220" s="76"/>
      <c r="EYK220" s="76"/>
      <c r="EYL220" s="76"/>
      <c r="EYM220" s="76"/>
      <c r="EYN220" s="76"/>
      <c r="EYO220" s="76"/>
      <c r="EYP220" s="76"/>
      <c r="EYQ220" s="76"/>
      <c r="EYR220" s="76"/>
      <c r="EYS220" s="76"/>
      <c r="EYT220" s="76"/>
      <c r="EYU220" s="76"/>
      <c r="EYV220" s="76"/>
      <c r="EYW220" s="76"/>
      <c r="EYX220" s="76"/>
      <c r="EYY220" s="76"/>
      <c r="EYZ220" s="76"/>
      <c r="EZA220" s="76"/>
      <c r="EZB220" s="76"/>
      <c r="EZC220" s="76"/>
      <c r="EZD220" s="76"/>
      <c r="EZE220" s="76"/>
      <c r="EZF220" s="76"/>
      <c r="EZG220" s="76"/>
      <c r="EZH220" s="76"/>
      <c r="EZI220" s="76"/>
      <c r="EZJ220" s="76"/>
      <c r="EZK220" s="76"/>
      <c r="EZL220" s="76"/>
      <c r="EZM220" s="76"/>
      <c r="EZN220" s="76"/>
      <c r="EZO220" s="76"/>
      <c r="EZP220" s="76"/>
      <c r="EZQ220" s="76"/>
      <c r="EZR220" s="76"/>
      <c r="EZS220" s="76"/>
      <c r="EZT220" s="76"/>
      <c r="EZU220" s="76"/>
      <c r="EZV220" s="76"/>
      <c r="EZW220" s="76"/>
      <c r="EZX220" s="76"/>
      <c r="EZY220" s="76"/>
      <c r="EZZ220" s="76"/>
      <c r="FAA220" s="76"/>
      <c r="FAB220" s="76"/>
      <c r="FAC220" s="76"/>
      <c r="FAD220" s="76"/>
      <c r="FAE220" s="76"/>
      <c r="FAF220" s="76"/>
      <c r="FAG220" s="76"/>
      <c r="FAH220" s="76"/>
      <c r="FAI220" s="76"/>
      <c r="FAJ220" s="76"/>
      <c r="FAK220" s="76"/>
      <c r="FAL220" s="76"/>
      <c r="FAM220" s="76"/>
      <c r="FAN220" s="76"/>
      <c r="FAO220" s="76"/>
      <c r="FAP220" s="76"/>
      <c r="FAQ220" s="76"/>
      <c r="FAR220" s="76"/>
      <c r="FAS220" s="76"/>
      <c r="FAT220" s="76"/>
      <c r="FAU220" s="76"/>
      <c r="FAV220" s="76"/>
      <c r="FAW220" s="76"/>
      <c r="FAX220" s="76"/>
      <c r="FAY220" s="76"/>
      <c r="FAZ220" s="76"/>
      <c r="FBA220" s="76"/>
      <c r="FBB220" s="76"/>
      <c r="FBC220" s="76"/>
      <c r="FBD220" s="76"/>
      <c r="FBE220" s="76"/>
      <c r="FBF220" s="76"/>
      <c r="FBG220" s="76"/>
      <c r="FBH220" s="76"/>
      <c r="FBI220" s="76"/>
      <c r="FBJ220" s="76"/>
      <c r="FBK220" s="76"/>
      <c r="FBL220" s="76"/>
      <c r="FBM220" s="76"/>
      <c r="FBN220" s="76"/>
      <c r="FBO220" s="76"/>
      <c r="FBP220" s="76"/>
      <c r="FBQ220" s="76"/>
      <c r="FBR220" s="76"/>
      <c r="FBS220" s="76"/>
      <c r="FBT220" s="76"/>
      <c r="FBU220" s="76"/>
      <c r="FBV220" s="76"/>
      <c r="FBW220" s="76"/>
      <c r="FBX220" s="76"/>
      <c r="FBY220" s="76"/>
      <c r="FBZ220" s="76"/>
      <c r="FCA220" s="76"/>
      <c r="FCB220" s="76"/>
      <c r="FCC220" s="76"/>
      <c r="FCD220" s="76"/>
      <c r="FCE220" s="76"/>
      <c r="FCF220" s="76"/>
      <c r="FCG220" s="76"/>
      <c r="FCH220" s="76"/>
      <c r="FCI220" s="76"/>
      <c r="FCJ220" s="76"/>
      <c r="FCK220" s="76"/>
      <c r="FCL220" s="76"/>
      <c r="FCM220" s="76"/>
      <c r="FCN220" s="76"/>
      <c r="FCO220" s="76"/>
      <c r="FCP220" s="76"/>
      <c r="FCQ220" s="76"/>
      <c r="FCR220" s="76"/>
      <c r="FCS220" s="76"/>
      <c r="FCT220" s="76"/>
      <c r="FCU220" s="76"/>
      <c r="FCV220" s="76"/>
      <c r="FCW220" s="76"/>
      <c r="FCX220" s="76"/>
      <c r="FCY220" s="76"/>
      <c r="FCZ220" s="76"/>
      <c r="FDA220" s="76"/>
      <c r="FDB220" s="76"/>
      <c r="FDC220" s="76"/>
      <c r="FDD220" s="76"/>
      <c r="FDE220" s="76"/>
      <c r="FDF220" s="76"/>
      <c r="FDG220" s="76"/>
      <c r="FDH220" s="76"/>
      <c r="FDI220" s="76"/>
      <c r="FDJ220" s="76"/>
      <c r="FDK220" s="76"/>
      <c r="FDL220" s="76"/>
      <c r="FDM220" s="76"/>
      <c r="FDN220" s="76"/>
      <c r="FDO220" s="76"/>
      <c r="FDP220" s="76"/>
      <c r="FDQ220" s="76"/>
      <c r="FDR220" s="76"/>
      <c r="FDS220" s="76"/>
      <c r="FDT220" s="76"/>
      <c r="FDU220" s="76"/>
      <c r="FDV220" s="76"/>
      <c r="FDW220" s="76"/>
      <c r="FDX220" s="76"/>
      <c r="FDY220" s="76"/>
      <c r="FDZ220" s="76"/>
      <c r="FEA220" s="76"/>
      <c r="FEB220" s="76"/>
      <c r="FEC220" s="76"/>
      <c r="FED220" s="76"/>
      <c r="FEE220" s="76"/>
      <c r="FEF220" s="76"/>
      <c r="FEG220" s="76"/>
      <c r="FEH220" s="76"/>
      <c r="FEI220" s="76"/>
      <c r="FEJ220" s="76"/>
      <c r="FEK220" s="76"/>
      <c r="FEL220" s="76"/>
      <c r="FEM220" s="76"/>
      <c r="FEN220" s="76"/>
      <c r="FEO220" s="76"/>
      <c r="FEP220" s="76"/>
      <c r="FEQ220" s="76"/>
      <c r="FER220" s="76"/>
      <c r="FES220" s="76"/>
      <c r="FET220" s="76"/>
      <c r="FEU220" s="76"/>
      <c r="FEV220" s="76"/>
      <c r="FEW220" s="76"/>
      <c r="FEX220" s="76"/>
      <c r="FEY220" s="76"/>
      <c r="FEZ220" s="76"/>
      <c r="FFA220" s="76"/>
      <c r="FFB220" s="76"/>
      <c r="FFC220" s="76"/>
      <c r="FFD220" s="76"/>
      <c r="FFE220" s="76"/>
      <c r="FFF220" s="76"/>
      <c r="FFG220" s="76"/>
      <c r="FFH220" s="76"/>
      <c r="FFI220" s="76"/>
      <c r="FFJ220" s="76"/>
      <c r="FFK220" s="76"/>
      <c r="FFL220" s="76"/>
      <c r="FFM220" s="76"/>
      <c r="FFN220" s="76"/>
      <c r="FFO220" s="76"/>
      <c r="FFP220" s="76"/>
      <c r="FFQ220" s="76"/>
      <c r="FFR220" s="76"/>
      <c r="FFS220" s="76"/>
      <c r="FFT220" s="76"/>
      <c r="FFU220" s="76"/>
      <c r="FFV220" s="76"/>
      <c r="FFW220" s="76"/>
      <c r="FFX220" s="76"/>
      <c r="FFY220" s="76"/>
      <c r="FFZ220" s="76"/>
      <c r="FGA220" s="76"/>
      <c r="FGB220" s="76"/>
      <c r="FGC220" s="76"/>
      <c r="FGD220" s="76"/>
      <c r="FGE220" s="76"/>
      <c r="FGF220" s="76"/>
      <c r="FGG220" s="76"/>
      <c r="FGH220" s="76"/>
      <c r="FGI220" s="76"/>
      <c r="FGJ220" s="76"/>
      <c r="FGK220" s="76"/>
      <c r="FGL220" s="76"/>
      <c r="FGM220" s="76"/>
      <c r="FGN220" s="76"/>
      <c r="FGO220" s="76"/>
      <c r="FGP220" s="76"/>
      <c r="FGQ220" s="76"/>
      <c r="FGR220" s="76"/>
      <c r="FGS220" s="76"/>
      <c r="FGT220" s="76"/>
      <c r="FGU220" s="76"/>
      <c r="FGV220" s="76"/>
      <c r="FGW220" s="76"/>
      <c r="FGX220" s="76"/>
      <c r="FGY220" s="76"/>
      <c r="FGZ220" s="76"/>
      <c r="FHA220" s="76"/>
      <c r="FHB220" s="76"/>
      <c r="FHC220" s="76"/>
      <c r="FHD220" s="76"/>
      <c r="FHE220" s="76"/>
      <c r="FHF220" s="76"/>
      <c r="FHG220" s="76"/>
      <c r="FHH220" s="76"/>
      <c r="FHI220" s="76"/>
      <c r="FHJ220" s="76"/>
      <c r="FHK220" s="76"/>
      <c r="FHL220" s="76"/>
      <c r="FHM220" s="76"/>
      <c r="FHN220" s="76"/>
      <c r="FHO220" s="76"/>
      <c r="FHP220" s="76"/>
      <c r="FHQ220" s="76"/>
      <c r="FHR220" s="76"/>
      <c r="FHS220" s="76"/>
      <c r="FHT220" s="76"/>
      <c r="FHU220" s="76"/>
      <c r="FHV220" s="76"/>
      <c r="FHW220" s="76"/>
      <c r="FHX220" s="76"/>
      <c r="FHY220" s="76"/>
      <c r="FHZ220" s="76"/>
      <c r="FIA220" s="76"/>
      <c r="FIB220" s="76"/>
      <c r="FIC220" s="76"/>
      <c r="FID220" s="76"/>
      <c r="FIE220" s="76"/>
      <c r="FIF220" s="76"/>
      <c r="FIG220" s="76"/>
      <c r="FIH220" s="76"/>
      <c r="FII220" s="76"/>
      <c r="FIJ220" s="76"/>
      <c r="FIK220" s="76"/>
      <c r="FIL220" s="76"/>
      <c r="FIM220" s="76"/>
      <c r="FIN220" s="76"/>
      <c r="FIO220" s="76"/>
      <c r="FIP220" s="76"/>
      <c r="FIQ220" s="76"/>
      <c r="FIR220" s="76"/>
      <c r="FIS220" s="76"/>
      <c r="FIT220" s="76"/>
      <c r="FIU220" s="76"/>
      <c r="FIV220" s="76"/>
      <c r="FIW220" s="76"/>
      <c r="FIX220" s="76"/>
      <c r="FIY220" s="76"/>
      <c r="FIZ220" s="76"/>
      <c r="FJA220" s="76"/>
      <c r="FJB220" s="76"/>
      <c r="FJC220" s="76"/>
      <c r="FJD220" s="76"/>
      <c r="FJE220" s="76"/>
      <c r="FJF220" s="76"/>
      <c r="FJG220" s="76"/>
      <c r="FJH220" s="76"/>
      <c r="FJI220" s="76"/>
      <c r="FJJ220" s="76"/>
      <c r="FJK220" s="76"/>
      <c r="FJL220" s="76"/>
      <c r="FJM220" s="76"/>
      <c r="FJN220" s="76"/>
      <c r="FJO220" s="76"/>
      <c r="FJP220" s="76"/>
      <c r="FJQ220" s="76"/>
      <c r="FJR220" s="76"/>
      <c r="FJS220" s="76"/>
      <c r="FJT220" s="76"/>
      <c r="FJU220" s="76"/>
      <c r="FJV220" s="76"/>
      <c r="FJW220" s="76"/>
      <c r="FJX220" s="76"/>
      <c r="FJY220" s="76"/>
      <c r="FJZ220" s="76"/>
      <c r="FKA220" s="76"/>
      <c r="FKB220" s="76"/>
      <c r="FKC220" s="76"/>
      <c r="FKD220" s="76"/>
      <c r="FKE220" s="76"/>
      <c r="FKF220" s="76"/>
      <c r="FKG220" s="76"/>
      <c r="FKH220" s="76"/>
      <c r="FKI220" s="76"/>
      <c r="FKJ220" s="76"/>
      <c r="FKK220" s="76"/>
      <c r="FKL220" s="76"/>
      <c r="FKM220" s="76"/>
      <c r="FKN220" s="76"/>
      <c r="FKO220" s="76"/>
      <c r="FKP220" s="76"/>
      <c r="FKQ220" s="76"/>
      <c r="FKR220" s="76"/>
      <c r="FKS220" s="76"/>
      <c r="FKT220" s="76"/>
      <c r="FKU220" s="76"/>
      <c r="FKV220" s="76"/>
      <c r="FKW220" s="76"/>
      <c r="FKX220" s="76"/>
      <c r="FKY220" s="76"/>
      <c r="FKZ220" s="76"/>
      <c r="FLA220" s="76"/>
      <c r="FLB220" s="76"/>
      <c r="FLC220" s="76"/>
      <c r="FLD220" s="76"/>
      <c r="FLE220" s="76"/>
      <c r="FLF220" s="76"/>
      <c r="FLG220" s="76"/>
      <c r="FLH220" s="76"/>
      <c r="FLI220" s="76"/>
      <c r="FLJ220" s="76"/>
      <c r="FLK220" s="76"/>
      <c r="FLL220" s="76"/>
      <c r="FLM220" s="76"/>
      <c r="FLN220" s="76"/>
      <c r="FLO220" s="76"/>
      <c r="FLP220" s="76"/>
      <c r="FLQ220" s="76"/>
      <c r="FLR220" s="76"/>
      <c r="FLS220" s="76"/>
      <c r="FLT220" s="76"/>
      <c r="FLU220" s="76"/>
      <c r="FLV220" s="76"/>
      <c r="FLW220" s="76"/>
      <c r="FLX220" s="76"/>
      <c r="FLY220" s="76"/>
      <c r="FLZ220" s="76"/>
      <c r="FMA220" s="76"/>
      <c r="FMB220" s="76"/>
      <c r="FMC220" s="76"/>
      <c r="FMD220" s="76"/>
      <c r="FME220" s="76"/>
      <c r="FMF220" s="76"/>
      <c r="FMG220" s="76"/>
      <c r="FMH220" s="76"/>
      <c r="FMI220" s="76"/>
      <c r="FMJ220" s="76"/>
      <c r="FMK220" s="76"/>
      <c r="FML220" s="76"/>
      <c r="FMM220" s="76"/>
      <c r="FMN220" s="76"/>
      <c r="FMO220" s="76"/>
      <c r="FMP220" s="76"/>
      <c r="FMQ220" s="76"/>
      <c r="FMR220" s="76"/>
      <c r="FMS220" s="76"/>
      <c r="FMT220" s="76"/>
      <c r="FMU220" s="76"/>
      <c r="FMV220" s="76"/>
      <c r="FMW220" s="76"/>
      <c r="FMX220" s="76"/>
      <c r="FMY220" s="76"/>
      <c r="FMZ220" s="76"/>
      <c r="FNA220" s="76"/>
      <c r="FNB220" s="76"/>
      <c r="FNC220" s="76"/>
      <c r="FND220" s="76"/>
      <c r="FNE220" s="76"/>
      <c r="FNF220" s="76"/>
      <c r="FNG220" s="76"/>
      <c r="FNH220" s="76"/>
      <c r="FNI220" s="76"/>
      <c r="FNJ220" s="76"/>
      <c r="FNK220" s="76"/>
      <c r="FNL220" s="76"/>
      <c r="FNM220" s="76"/>
      <c r="FNN220" s="76"/>
      <c r="FNO220" s="76"/>
      <c r="FNP220" s="76"/>
      <c r="FNQ220" s="76"/>
      <c r="FNR220" s="76"/>
      <c r="FNS220" s="76"/>
      <c r="FNT220" s="76"/>
      <c r="FNU220" s="76"/>
      <c r="FNV220" s="76"/>
      <c r="FNW220" s="76"/>
      <c r="FNX220" s="76"/>
      <c r="FNY220" s="76"/>
      <c r="FNZ220" s="76"/>
      <c r="FOA220" s="76"/>
      <c r="FOB220" s="76"/>
      <c r="FOC220" s="76"/>
      <c r="FOD220" s="76"/>
      <c r="FOE220" s="76"/>
      <c r="FOF220" s="76"/>
      <c r="FOG220" s="76"/>
      <c r="FOH220" s="76"/>
      <c r="FOI220" s="76"/>
      <c r="FOJ220" s="76"/>
      <c r="FOK220" s="76"/>
      <c r="FOL220" s="76"/>
      <c r="FOM220" s="76"/>
      <c r="FON220" s="76"/>
      <c r="FOO220" s="76"/>
      <c r="FOP220" s="76"/>
      <c r="FOQ220" s="76"/>
      <c r="FOR220" s="76"/>
      <c r="FOS220" s="76"/>
      <c r="FOT220" s="76"/>
      <c r="FOU220" s="76"/>
      <c r="FOV220" s="76"/>
      <c r="FOW220" s="76"/>
      <c r="FOX220" s="76"/>
      <c r="FOY220" s="76"/>
      <c r="FOZ220" s="76"/>
      <c r="FPA220" s="76"/>
      <c r="FPB220" s="76"/>
      <c r="FPC220" s="76"/>
      <c r="FPD220" s="76"/>
      <c r="FPE220" s="76"/>
      <c r="FPF220" s="76"/>
      <c r="FPG220" s="76"/>
      <c r="FPH220" s="76"/>
      <c r="FPI220" s="76"/>
      <c r="FPJ220" s="76"/>
      <c r="FPK220" s="76"/>
      <c r="FPL220" s="76"/>
      <c r="FPM220" s="76"/>
      <c r="FPN220" s="76"/>
      <c r="FPO220" s="76"/>
      <c r="FPP220" s="76"/>
      <c r="FPQ220" s="76"/>
      <c r="FPR220" s="76"/>
      <c r="FPS220" s="76"/>
      <c r="FPT220" s="76"/>
      <c r="FPU220" s="76"/>
      <c r="FPV220" s="76"/>
      <c r="FPW220" s="76"/>
      <c r="FPX220" s="76"/>
      <c r="FPY220" s="76"/>
      <c r="FPZ220" s="76"/>
      <c r="FQA220" s="76"/>
      <c r="FQB220" s="76"/>
      <c r="FQC220" s="76"/>
      <c r="FQD220" s="76"/>
      <c r="FQE220" s="76"/>
      <c r="FQF220" s="76"/>
      <c r="FQG220" s="76"/>
      <c r="FQH220" s="76"/>
      <c r="FQI220" s="76"/>
      <c r="FQJ220" s="76"/>
      <c r="FQK220" s="76"/>
      <c r="FQL220" s="76"/>
      <c r="FQM220" s="76"/>
      <c r="FQN220" s="76"/>
      <c r="FQO220" s="76"/>
      <c r="FQP220" s="76"/>
      <c r="FQQ220" s="76"/>
      <c r="FQR220" s="76"/>
      <c r="FQS220" s="76"/>
      <c r="FQT220" s="76"/>
      <c r="FQU220" s="76"/>
      <c r="FQV220" s="76"/>
      <c r="FQW220" s="76"/>
      <c r="FQX220" s="76"/>
      <c r="FQY220" s="76"/>
      <c r="FQZ220" s="76"/>
      <c r="FRA220" s="76"/>
      <c r="FRB220" s="76"/>
      <c r="FRC220" s="76"/>
      <c r="FRD220" s="76"/>
      <c r="FRE220" s="76"/>
      <c r="FRF220" s="76"/>
      <c r="FRG220" s="76"/>
      <c r="FRH220" s="76"/>
      <c r="FRI220" s="76"/>
      <c r="FRJ220" s="76"/>
      <c r="FRK220" s="76"/>
      <c r="FRL220" s="76"/>
      <c r="FRM220" s="76"/>
      <c r="FRN220" s="76"/>
      <c r="FRO220" s="76"/>
      <c r="FRP220" s="76"/>
      <c r="FRQ220" s="76"/>
      <c r="FRR220" s="76"/>
      <c r="FRS220" s="76"/>
      <c r="FRT220" s="76"/>
      <c r="FRU220" s="76"/>
      <c r="FRV220" s="76"/>
      <c r="FRW220" s="76"/>
      <c r="FRX220" s="76"/>
      <c r="FRY220" s="76"/>
      <c r="FRZ220" s="76"/>
      <c r="FSA220" s="76"/>
      <c r="FSB220" s="76"/>
      <c r="FSC220" s="76"/>
      <c r="FSD220" s="76"/>
      <c r="FSE220" s="76"/>
      <c r="FSF220" s="76"/>
      <c r="FSG220" s="76"/>
      <c r="FSH220" s="76"/>
      <c r="FSI220" s="76"/>
      <c r="FSJ220" s="76"/>
      <c r="FSK220" s="76"/>
      <c r="FSL220" s="76"/>
      <c r="FSM220" s="76"/>
      <c r="FSN220" s="76"/>
      <c r="FSO220" s="76"/>
      <c r="FSP220" s="76"/>
      <c r="FSQ220" s="76"/>
      <c r="FSR220" s="76"/>
      <c r="FSS220" s="76"/>
      <c r="FST220" s="76"/>
      <c r="FSU220" s="76"/>
      <c r="FSV220" s="76"/>
      <c r="FSW220" s="76"/>
      <c r="FSX220" s="76"/>
      <c r="FSY220" s="76"/>
      <c r="FSZ220" s="76"/>
      <c r="FTA220" s="76"/>
      <c r="FTB220" s="76"/>
      <c r="FTC220" s="76"/>
      <c r="FTD220" s="76"/>
      <c r="FTE220" s="76"/>
      <c r="FTF220" s="76"/>
      <c r="FTG220" s="76"/>
      <c r="FTH220" s="76"/>
      <c r="FTI220" s="76"/>
      <c r="FTJ220" s="76"/>
      <c r="FTK220" s="76"/>
      <c r="FTL220" s="76"/>
      <c r="FTM220" s="76"/>
      <c r="FTN220" s="76"/>
      <c r="FTO220" s="76"/>
      <c r="FTP220" s="76"/>
      <c r="FTQ220" s="76"/>
      <c r="FTR220" s="76"/>
      <c r="FTS220" s="76"/>
      <c r="FTT220" s="76"/>
      <c r="FTU220" s="76"/>
      <c r="FTV220" s="76"/>
      <c r="FTW220" s="76"/>
      <c r="FTX220" s="76"/>
      <c r="FTY220" s="76"/>
      <c r="FTZ220" s="76"/>
      <c r="FUA220" s="76"/>
      <c r="FUB220" s="76"/>
      <c r="FUC220" s="76"/>
      <c r="FUD220" s="76"/>
      <c r="FUE220" s="76"/>
      <c r="FUF220" s="76"/>
      <c r="FUG220" s="76"/>
      <c r="FUH220" s="76"/>
      <c r="FUI220" s="76"/>
      <c r="FUJ220" s="76"/>
      <c r="FUK220" s="76"/>
      <c r="FUL220" s="76"/>
      <c r="FUM220" s="76"/>
      <c r="FUN220" s="76"/>
      <c r="FUO220" s="76"/>
      <c r="FUP220" s="76"/>
      <c r="FUQ220" s="76"/>
      <c r="FUR220" s="76"/>
      <c r="FUS220" s="76"/>
      <c r="FUT220" s="76"/>
      <c r="FUU220" s="76"/>
      <c r="FUV220" s="76"/>
      <c r="FUW220" s="76"/>
      <c r="FUX220" s="76"/>
      <c r="FUY220" s="76"/>
      <c r="FUZ220" s="76"/>
      <c r="FVA220" s="76"/>
      <c r="FVB220" s="76"/>
      <c r="FVC220" s="76"/>
      <c r="FVD220" s="76"/>
      <c r="FVE220" s="76"/>
      <c r="FVF220" s="76"/>
      <c r="FVG220" s="76"/>
      <c r="FVH220" s="76"/>
      <c r="FVI220" s="76"/>
      <c r="FVJ220" s="76"/>
      <c r="FVK220" s="76"/>
      <c r="FVL220" s="76"/>
      <c r="FVM220" s="76"/>
      <c r="FVN220" s="76"/>
      <c r="FVO220" s="76"/>
      <c r="FVP220" s="76"/>
      <c r="FVQ220" s="76"/>
      <c r="FVR220" s="76"/>
      <c r="FVS220" s="76"/>
      <c r="FVT220" s="76"/>
      <c r="FVU220" s="76"/>
      <c r="FVV220" s="76"/>
      <c r="FVW220" s="76"/>
      <c r="FVX220" s="76"/>
      <c r="FVY220" s="76"/>
      <c r="FVZ220" s="76"/>
      <c r="FWA220" s="76"/>
      <c r="FWB220" s="76"/>
      <c r="FWC220" s="76"/>
      <c r="FWD220" s="76"/>
      <c r="FWE220" s="76"/>
      <c r="FWF220" s="76"/>
      <c r="FWG220" s="76"/>
      <c r="FWH220" s="76"/>
      <c r="FWI220" s="76"/>
      <c r="FWJ220" s="76"/>
      <c r="FWK220" s="76"/>
      <c r="FWL220" s="76"/>
      <c r="FWM220" s="76"/>
      <c r="FWN220" s="76"/>
      <c r="FWO220" s="76"/>
      <c r="FWP220" s="76"/>
      <c r="FWQ220" s="76"/>
      <c r="FWR220" s="76"/>
      <c r="FWS220" s="76"/>
      <c r="FWT220" s="76"/>
      <c r="FWU220" s="76"/>
      <c r="FWV220" s="76"/>
      <c r="FWW220" s="76"/>
      <c r="FWX220" s="76"/>
      <c r="FWY220" s="76"/>
      <c r="FWZ220" s="76"/>
      <c r="FXA220" s="76"/>
      <c r="FXB220" s="76"/>
      <c r="FXC220" s="76"/>
      <c r="FXD220" s="76"/>
      <c r="FXE220" s="76"/>
      <c r="FXF220" s="76"/>
      <c r="FXG220" s="76"/>
      <c r="FXH220" s="76"/>
      <c r="FXI220" s="76"/>
      <c r="FXJ220" s="76"/>
      <c r="FXK220" s="76"/>
      <c r="FXL220" s="76"/>
      <c r="FXM220" s="76"/>
      <c r="FXN220" s="76"/>
      <c r="FXO220" s="76"/>
      <c r="FXP220" s="76"/>
      <c r="FXQ220" s="76"/>
      <c r="FXR220" s="76"/>
      <c r="FXS220" s="76"/>
      <c r="FXT220" s="76"/>
      <c r="FXU220" s="76"/>
      <c r="FXV220" s="76"/>
      <c r="FXW220" s="76"/>
      <c r="FXX220" s="76"/>
      <c r="FXY220" s="76"/>
      <c r="FXZ220" s="76"/>
      <c r="FYA220" s="76"/>
      <c r="FYB220" s="76"/>
      <c r="FYC220" s="76"/>
      <c r="FYD220" s="76"/>
      <c r="FYE220" s="76"/>
      <c r="FYF220" s="76"/>
      <c r="FYG220" s="76"/>
      <c r="FYH220" s="76"/>
      <c r="FYI220" s="76"/>
      <c r="FYJ220" s="76"/>
      <c r="FYK220" s="76"/>
      <c r="FYL220" s="76"/>
      <c r="FYM220" s="76"/>
      <c r="FYN220" s="76"/>
      <c r="FYO220" s="76"/>
      <c r="FYP220" s="76"/>
      <c r="FYQ220" s="76"/>
      <c r="FYR220" s="76"/>
      <c r="FYS220" s="76"/>
      <c r="FYT220" s="76"/>
      <c r="FYU220" s="76"/>
      <c r="FYV220" s="76"/>
      <c r="FYW220" s="76"/>
      <c r="FYX220" s="76"/>
      <c r="FYY220" s="76"/>
      <c r="FYZ220" s="76"/>
      <c r="FZA220" s="76"/>
      <c r="FZB220" s="76"/>
      <c r="FZC220" s="76"/>
      <c r="FZD220" s="76"/>
      <c r="FZE220" s="76"/>
      <c r="FZF220" s="76"/>
      <c r="FZG220" s="76"/>
      <c r="FZH220" s="76"/>
      <c r="FZI220" s="76"/>
      <c r="FZJ220" s="76"/>
      <c r="FZK220" s="76"/>
      <c r="FZL220" s="76"/>
      <c r="FZM220" s="76"/>
      <c r="FZN220" s="76"/>
      <c r="FZO220" s="76"/>
      <c r="FZP220" s="76"/>
      <c r="FZQ220" s="76"/>
      <c r="FZR220" s="76"/>
      <c r="FZS220" s="76"/>
      <c r="FZT220" s="76"/>
      <c r="FZU220" s="76"/>
      <c r="FZV220" s="76"/>
      <c r="FZW220" s="76"/>
      <c r="FZX220" s="76"/>
      <c r="FZY220" s="76"/>
      <c r="FZZ220" s="76"/>
      <c r="GAA220" s="76"/>
      <c r="GAB220" s="76"/>
      <c r="GAC220" s="76"/>
      <c r="GAD220" s="76"/>
      <c r="GAE220" s="76"/>
      <c r="GAF220" s="76"/>
      <c r="GAG220" s="76"/>
      <c r="GAH220" s="76"/>
      <c r="GAI220" s="76"/>
      <c r="GAJ220" s="76"/>
      <c r="GAK220" s="76"/>
      <c r="GAL220" s="76"/>
      <c r="GAM220" s="76"/>
      <c r="GAN220" s="76"/>
      <c r="GAO220" s="76"/>
      <c r="GAP220" s="76"/>
      <c r="GAQ220" s="76"/>
      <c r="GAR220" s="76"/>
      <c r="GAS220" s="76"/>
      <c r="GAT220" s="76"/>
      <c r="GAU220" s="76"/>
      <c r="GAV220" s="76"/>
      <c r="GAW220" s="76"/>
      <c r="GAX220" s="76"/>
      <c r="GAY220" s="76"/>
      <c r="GAZ220" s="76"/>
      <c r="GBA220" s="76"/>
      <c r="GBB220" s="76"/>
      <c r="GBC220" s="76"/>
      <c r="GBD220" s="76"/>
      <c r="GBE220" s="76"/>
      <c r="GBF220" s="76"/>
      <c r="GBG220" s="76"/>
      <c r="GBH220" s="76"/>
      <c r="GBI220" s="76"/>
      <c r="GBJ220" s="76"/>
      <c r="GBK220" s="76"/>
      <c r="GBL220" s="76"/>
      <c r="GBM220" s="76"/>
      <c r="GBN220" s="76"/>
      <c r="GBO220" s="76"/>
      <c r="GBP220" s="76"/>
      <c r="GBQ220" s="76"/>
      <c r="GBR220" s="76"/>
      <c r="GBS220" s="76"/>
      <c r="GBT220" s="76"/>
      <c r="GBU220" s="76"/>
      <c r="GBV220" s="76"/>
      <c r="GBW220" s="76"/>
      <c r="GBX220" s="76"/>
      <c r="GBY220" s="76"/>
      <c r="GBZ220" s="76"/>
      <c r="GCA220" s="76"/>
      <c r="GCB220" s="76"/>
      <c r="GCC220" s="76"/>
      <c r="GCD220" s="76"/>
      <c r="GCE220" s="76"/>
      <c r="GCF220" s="76"/>
      <c r="GCG220" s="76"/>
      <c r="GCH220" s="76"/>
      <c r="GCI220" s="76"/>
      <c r="GCJ220" s="76"/>
      <c r="GCK220" s="76"/>
      <c r="GCL220" s="76"/>
      <c r="GCM220" s="76"/>
      <c r="GCN220" s="76"/>
      <c r="GCO220" s="76"/>
      <c r="GCP220" s="76"/>
      <c r="GCQ220" s="76"/>
      <c r="GCR220" s="76"/>
      <c r="GCS220" s="76"/>
      <c r="GCT220" s="76"/>
      <c r="GCU220" s="76"/>
      <c r="GCV220" s="76"/>
      <c r="GCW220" s="76"/>
      <c r="GCX220" s="76"/>
      <c r="GCY220" s="76"/>
      <c r="GCZ220" s="76"/>
      <c r="GDA220" s="76"/>
      <c r="GDB220" s="76"/>
      <c r="GDC220" s="76"/>
      <c r="GDD220" s="76"/>
      <c r="GDE220" s="76"/>
      <c r="GDF220" s="76"/>
      <c r="GDG220" s="76"/>
      <c r="GDH220" s="76"/>
      <c r="GDI220" s="76"/>
      <c r="GDJ220" s="76"/>
      <c r="GDK220" s="76"/>
      <c r="GDL220" s="76"/>
      <c r="GDM220" s="76"/>
      <c r="GDN220" s="76"/>
      <c r="GDO220" s="76"/>
      <c r="GDP220" s="76"/>
      <c r="GDQ220" s="76"/>
      <c r="GDR220" s="76"/>
      <c r="GDS220" s="76"/>
      <c r="GDT220" s="76"/>
      <c r="GDU220" s="76"/>
      <c r="GDV220" s="76"/>
      <c r="GDW220" s="76"/>
      <c r="GDX220" s="76"/>
      <c r="GDY220" s="76"/>
      <c r="GDZ220" s="76"/>
      <c r="GEA220" s="76"/>
      <c r="GEB220" s="76"/>
      <c r="GEC220" s="76"/>
      <c r="GED220" s="76"/>
      <c r="GEE220" s="76"/>
      <c r="GEF220" s="76"/>
      <c r="GEG220" s="76"/>
      <c r="GEH220" s="76"/>
      <c r="GEI220" s="76"/>
      <c r="GEJ220" s="76"/>
      <c r="GEK220" s="76"/>
      <c r="GEL220" s="76"/>
      <c r="GEM220" s="76"/>
      <c r="GEN220" s="76"/>
      <c r="GEO220" s="76"/>
      <c r="GEP220" s="76"/>
      <c r="GEQ220" s="76"/>
      <c r="GER220" s="76"/>
      <c r="GES220" s="76"/>
      <c r="GET220" s="76"/>
      <c r="GEU220" s="76"/>
      <c r="GEV220" s="76"/>
      <c r="GEW220" s="76"/>
      <c r="GEX220" s="76"/>
      <c r="GEY220" s="76"/>
      <c r="GEZ220" s="76"/>
      <c r="GFA220" s="76"/>
      <c r="GFB220" s="76"/>
      <c r="GFC220" s="76"/>
      <c r="GFD220" s="76"/>
      <c r="GFE220" s="76"/>
      <c r="GFF220" s="76"/>
      <c r="GFG220" s="76"/>
      <c r="GFH220" s="76"/>
      <c r="GFI220" s="76"/>
      <c r="GFJ220" s="76"/>
      <c r="GFK220" s="76"/>
      <c r="GFL220" s="76"/>
      <c r="GFM220" s="76"/>
      <c r="GFN220" s="76"/>
      <c r="GFO220" s="76"/>
      <c r="GFP220" s="76"/>
      <c r="GFQ220" s="76"/>
      <c r="GFR220" s="76"/>
      <c r="GFS220" s="76"/>
      <c r="GFT220" s="76"/>
      <c r="GFU220" s="76"/>
      <c r="GFV220" s="76"/>
      <c r="GFW220" s="76"/>
      <c r="GFX220" s="76"/>
      <c r="GFY220" s="76"/>
      <c r="GFZ220" s="76"/>
      <c r="GGA220" s="76"/>
      <c r="GGB220" s="76"/>
      <c r="GGC220" s="76"/>
      <c r="GGD220" s="76"/>
      <c r="GGE220" s="76"/>
      <c r="GGF220" s="76"/>
      <c r="GGG220" s="76"/>
      <c r="GGH220" s="76"/>
      <c r="GGI220" s="76"/>
      <c r="GGJ220" s="76"/>
      <c r="GGK220" s="76"/>
      <c r="GGL220" s="76"/>
      <c r="GGM220" s="76"/>
      <c r="GGN220" s="76"/>
      <c r="GGO220" s="76"/>
      <c r="GGP220" s="76"/>
      <c r="GGQ220" s="76"/>
      <c r="GGR220" s="76"/>
      <c r="GGS220" s="76"/>
      <c r="GGT220" s="76"/>
      <c r="GGU220" s="76"/>
      <c r="GGV220" s="76"/>
      <c r="GGW220" s="76"/>
      <c r="GGX220" s="76"/>
      <c r="GGY220" s="76"/>
      <c r="GGZ220" s="76"/>
      <c r="GHA220" s="76"/>
      <c r="GHB220" s="76"/>
      <c r="GHC220" s="76"/>
      <c r="GHD220" s="76"/>
      <c r="GHE220" s="76"/>
      <c r="GHF220" s="76"/>
      <c r="GHG220" s="76"/>
      <c r="GHH220" s="76"/>
      <c r="GHI220" s="76"/>
      <c r="GHJ220" s="76"/>
      <c r="GHK220" s="76"/>
      <c r="GHL220" s="76"/>
      <c r="GHM220" s="76"/>
      <c r="GHN220" s="76"/>
      <c r="GHO220" s="76"/>
      <c r="GHP220" s="76"/>
      <c r="GHQ220" s="76"/>
      <c r="GHR220" s="76"/>
      <c r="GHS220" s="76"/>
      <c r="GHT220" s="76"/>
      <c r="GHU220" s="76"/>
      <c r="GHV220" s="76"/>
      <c r="GHW220" s="76"/>
      <c r="GHX220" s="76"/>
      <c r="GHY220" s="76"/>
      <c r="GHZ220" s="76"/>
      <c r="GIA220" s="76"/>
      <c r="GIB220" s="76"/>
      <c r="GIC220" s="76"/>
      <c r="GID220" s="76"/>
      <c r="GIE220" s="76"/>
      <c r="GIF220" s="76"/>
      <c r="GIG220" s="76"/>
      <c r="GIH220" s="76"/>
      <c r="GII220" s="76"/>
      <c r="GIJ220" s="76"/>
      <c r="GIK220" s="76"/>
      <c r="GIL220" s="76"/>
      <c r="GIM220" s="76"/>
      <c r="GIN220" s="76"/>
      <c r="GIO220" s="76"/>
      <c r="GIP220" s="76"/>
      <c r="GIQ220" s="76"/>
      <c r="GIR220" s="76"/>
      <c r="GIS220" s="76"/>
      <c r="GIT220" s="76"/>
      <c r="GIU220" s="76"/>
      <c r="GIV220" s="76"/>
      <c r="GIW220" s="76"/>
      <c r="GIX220" s="76"/>
      <c r="GIY220" s="76"/>
      <c r="GIZ220" s="76"/>
      <c r="GJA220" s="76"/>
      <c r="GJB220" s="76"/>
      <c r="GJC220" s="76"/>
      <c r="GJD220" s="76"/>
      <c r="GJE220" s="76"/>
      <c r="GJF220" s="76"/>
      <c r="GJG220" s="76"/>
      <c r="GJH220" s="76"/>
      <c r="GJI220" s="76"/>
      <c r="GJJ220" s="76"/>
      <c r="GJK220" s="76"/>
      <c r="GJL220" s="76"/>
      <c r="GJM220" s="76"/>
      <c r="GJN220" s="76"/>
      <c r="GJO220" s="76"/>
      <c r="GJP220" s="76"/>
      <c r="GJQ220" s="76"/>
      <c r="GJR220" s="76"/>
      <c r="GJS220" s="76"/>
      <c r="GJT220" s="76"/>
      <c r="GJU220" s="76"/>
      <c r="GJV220" s="76"/>
      <c r="GJW220" s="76"/>
      <c r="GJX220" s="76"/>
      <c r="GJY220" s="76"/>
      <c r="GJZ220" s="76"/>
      <c r="GKA220" s="76"/>
      <c r="GKB220" s="76"/>
      <c r="GKC220" s="76"/>
      <c r="GKD220" s="76"/>
      <c r="GKE220" s="76"/>
      <c r="GKF220" s="76"/>
      <c r="GKG220" s="76"/>
      <c r="GKH220" s="76"/>
      <c r="GKI220" s="76"/>
      <c r="GKJ220" s="76"/>
      <c r="GKK220" s="76"/>
      <c r="GKL220" s="76"/>
      <c r="GKM220" s="76"/>
      <c r="GKN220" s="76"/>
      <c r="GKO220" s="76"/>
      <c r="GKP220" s="76"/>
      <c r="GKQ220" s="76"/>
      <c r="GKR220" s="76"/>
      <c r="GKS220" s="76"/>
      <c r="GKT220" s="76"/>
      <c r="GKU220" s="76"/>
      <c r="GKV220" s="76"/>
      <c r="GKW220" s="76"/>
      <c r="GKX220" s="76"/>
      <c r="GKY220" s="76"/>
      <c r="GKZ220" s="76"/>
      <c r="GLA220" s="76"/>
      <c r="GLB220" s="76"/>
      <c r="GLC220" s="76"/>
      <c r="GLD220" s="76"/>
      <c r="GLE220" s="76"/>
      <c r="GLF220" s="76"/>
      <c r="GLG220" s="76"/>
      <c r="GLH220" s="76"/>
      <c r="GLI220" s="76"/>
      <c r="GLJ220" s="76"/>
      <c r="GLK220" s="76"/>
      <c r="GLL220" s="76"/>
      <c r="GLM220" s="76"/>
      <c r="GLN220" s="76"/>
      <c r="GLO220" s="76"/>
      <c r="GLP220" s="76"/>
      <c r="GLQ220" s="76"/>
      <c r="GLR220" s="76"/>
      <c r="GLS220" s="76"/>
      <c r="GLT220" s="76"/>
      <c r="GLU220" s="76"/>
      <c r="GLV220" s="76"/>
      <c r="GLW220" s="76"/>
      <c r="GLX220" s="76"/>
      <c r="GLY220" s="76"/>
      <c r="GLZ220" s="76"/>
      <c r="GMA220" s="76"/>
      <c r="GMB220" s="76"/>
      <c r="GMC220" s="76"/>
      <c r="GMD220" s="76"/>
      <c r="GME220" s="76"/>
      <c r="GMF220" s="76"/>
      <c r="GMG220" s="76"/>
      <c r="GMH220" s="76"/>
      <c r="GMI220" s="76"/>
      <c r="GMJ220" s="76"/>
      <c r="GMK220" s="76"/>
      <c r="GML220" s="76"/>
      <c r="GMM220" s="76"/>
      <c r="GMN220" s="76"/>
      <c r="GMO220" s="76"/>
      <c r="GMP220" s="76"/>
      <c r="GMQ220" s="76"/>
      <c r="GMR220" s="76"/>
      <c r="GMS220" s="76"/>
      <c r="GMT220" s="76"/>
      <c r="GMU220" s="76"/>
      <c r="GMV220" s="76"/>
      <c r="GMW220" s="76"/>
      <c r="GMX220" s="76"/>
      <c r="GMY220" s="76"/>
      <c r="GMZ220" s="76"/>
      <c r="GNA220" s="76"/>
      <c r="GNB220" s="76"/>
      <c r="GNC220" s="76"/>
      <c r="GND220" s="76"/>
      <c r="GNE220" s="76"/>
      <c r="GNF220" s="76"/>
      <c r="GNG220" s="76"/>
      <c r="GNH220" s="76"/>
      <c r="GNI220" s="76"/>
      <c r="GNJ220" s="76"/>
      <c r="GNK220" s="76"/>
      <c r="GNL220" s="76"/>
      <c r="GNM220" s="76"/>
      <c r="GNN220" s="76"/>
      <c r="GNO220" s="76"/>
      <c r="GNP220" s="76"/>
      <c r="GNQ220" s="76"/>
      <c r="GNR220" s="76"/>
      <c r="GNS220" s="76"/>
      <c r="GNT220" s="76"/>
      <c r="GNU220" s="76"/>
      <c r="GNV220" s="76"/>
      <c r="GNW220" s="76"/>
      <c r="GNX220" s="76"/>
      <c r="GNY220" s="76"/>
      <c r="GNZ220" s="76"/>
      <c r="GOA220" s="76"/>
      <c r="GOB220" s="76"/>
      <c r="GOC220" s="76"/>
      <c r="GOD220" s="76"/>
      <c r="GOE220" s="76"/>
      <c r="GOF220" s="76"/>
      <c r="GOG220" s="76"/>
      <c r="GOH220" s="76"/>
      <c r="GOI220" s="76"/>
      <c r="GOJ220" s="76"/>
      <c r="GOK220" s="76"/>
      <c r="GOL220" s="76"/>
      <c r="GOM220" s="76"/>
      <c r="GON220" s="76"/>
      <c r="GOO220" s="76"/>
      <c r="GOP220" s="76"/>
      <c r="GOQ220" s="76"/>
      <c r="GOR220" s="76"/>
      <c r="GOS220" s="76"/>
      <c r="GOT220" s="76"/>
      <c r="GOU220" s="76"/>
      <c r="GOV220" s="76"/>
      <c r="GOW220" s="76"/>
      <c r="GOX220" s="76"/>
      <c r="GOY220" s="76"/>
      <c r="GOZ220" s="76"/>
      <c r="GPA220" s="76"/>
      <c r="GPB220" s="76"/>
      <c r="GPC220" s="76"/>
      <c r="GPD220" s="76"/>
      <c r="GPE220" s="76"/>
      <c r="GPF220" s="76"/>
      <c r="GPG220" s="76"/>
      <c r="GPH220" s="76"/>
      <c r="GPI220" s="76"/>
      <c r="GPJ220" s="76"/>
      <c r="GPK220" s="76"/>
      <c r="GPL220" s="76"/>
      <c r="GPM220" s="76"/>
      <c r="GPN220" s="76"/>
      <c r="GPO220" s="76"/>
      <c r="GPP220" s="76"/>
      <c r="GPQ220" s="76"/>
      <c r="GPR220" s="76"/>
      <c r="GPS220" s="76"/>
      <c r="GPT220" s="76"/>
      <c r="GPU220" s="76"/>
      <c r="GPV220" s="76"/>
      <c r="GPW220" s="76"/>
      <c r="GPX220" s="76"/>
      <c r="GPY220" s="76"/>
      <c r="GPZ220" s="76"/>
      <c r="GQA220" s="76"/>
      <c r="GQB220" s="76"/>
      <c r="GQC220" s="76"/>
      <c r="GQD220" s="76"/>
      <c r="GQE220" s="76"/>
      <c r="GQF220" s="76"/>
      <c r="GQG220" s="76"/>
      <c r="GQH220" s="76"/>
      <c r="GQI220" s="76"/>
      <c r="GQJ220" s="76"/>
      <c r="GQK220" s="76"/>
      <c r="GQL220" s="76"/>
      <c r="GQM220" s="76"/>
      <c r="GQN220" s="76"/>
      <c r="GQO220" s="76"/>
      <c r="GQP220" s="76"/>
      <c r="GQQ220" s="76"/>
      <c r="GQR220" s="76"/>
      <c r="GQS220" s="76"/>
      <c r="GQT220" s="76"/>
      <c r="GQU220" s="76"/>
      <c r="GQV220" s="76"/>
      <c r="GQW220" s="76"/>
      <c r="GQX220" s="76"/>
      <c r="GQY220" s="76"/>
      <c r="GQZ220" s="76"/>
      <c r="GRA220" s="76"/>
      <c r="GRB220" s="76"/>
      <c r="GRC220" s="76"/>
      <c r="GRD220" s="76"/>
      <c r="GRE220" s="76"/>
      <c r="GRF220" s="76"/>
      <c r="GRG220" s="76"/>
      <c r="GRH220" s="76"/>
      <c r="GRI220" s="76"/>
      <c r="GRJ220" s="76"/>
      <c r="GRK220" s="76"/>
      <c r="GRL220" s="76"/>
      <c r="GRM220" s="76"/>
      <c r="GRN220" s="76"/>
      <c r="GRO220" s="76"/>
      <c r="GRP220" s="76"/>
      <c r="GRQ220" s="76"/>
      <c r="GRR220" s="76"/>
      <c r="GRS220" s="76"/>
      <c r="GRT220" s="76"/>
      <c r="GRU220" s="76"/>
      <c r="GRV220" s="76"/>
      <c r="GRW220" s="76"/>
      <c r="GRX220" s="76"/>
      <c r="GRY220" s="76"/>
      <c r="GRZ220" s="76"/>
      <c r="GSA220" s="76"/>
      <c r="GSB220" s="76"/>
      <c r="GSC220" s="76"/>
      <c r="GSD220" s="76"/>
      <c r="GSE220" s="76"/>
      <c r="GSF220" s="76"/>
      <c r="GSG220" s="76"/>
      <c r="GSH220" s="76"/>
      <c r="GSI220" s="76"/>
      <c r="GSJ220" s="76"/>
      <c r="GSK220" s="76"/>
      <c r="GSL220" s="76"/>
      <c r="GSM220" s="76"/>
      <c r="GSN220" s="76"/>
      <c r="GSO220" s="76"/>
      <c r="GSP220" s="76"/>
      <c r="GSQ220" s="76"/>
      <c r="GSR220" s="76"/>
      <c r="GSS220" s="76"/>
      <c r="GST220" s="76"/>
      <c r="GSU220" s="76"/>
      <c r="GSV220" s="76"/>
      <c r="GSW220" s="76"/>
      <c r="GSX220" s="76"/>
      <c r="GSY220" s="76"/>
      <c r="GSZ220" s="76"/>
      <c r="GTA220" s="76"/>
      <c r="GTB220" s="76"/>
      <c r="GTC220" s="76"/>
      <c r="GTD220" s="76"/>
      <c r="GTE220" s="76"/>
      <c r="GTF220" s="76"/>
      <c r="GTG220" s="76"/>
      <c r="GTH220" s="76"/>
      <c r="GTI220" s="76"/>
      <c r="GTJ220" s="76"/>
      <c r="GTK220" s="76"/>
      <c r="GTL220" s="76"/>
      <c r="GTM220" s="76"/>
      <c r="GTN220" s="76"/>
      <c r="GTO220" s="76"/>
      <c r="GTP220" s="76"/>
      <c r="GTQ220" s="76"/>
      <c r="GTR220" s="76"/>
      <c r="GTS220" s="76"/>
      <c r="GTT220" s="76"/>
      <c r="GTU220" s="76"/>
      <c r="GTV220" s="76"/>
      <c r="GTW220" s="76"/>
      <c r="GTX220" s="76"/>
      <c r="GTY220" s="76"/>
      <c r="GTZ220" s="76"/>
      <c r="GUA220" s="76"/>
      <c r="GUB220" s="76"/>
      <c r="GUC220" s="76"/>
      <c r="GUD220" s="76"/>
      <c r="GUE220" s="76"/>
      <c r="GUF220" s="76"/>
      <c r="GUG220" s="76"/>
      <c r="GUH220" s="76"/>
      <c r="GUI220" s="76"/>
      <c r="GUJ220" s="76"/>
      <c r="GUK220" s="76"/>
      <c r="GUL220" s="76"/>
      <c r="GUM220" s="76"/>
      <c r="GUN220" s="76"/>
      <c r="GUO220" s="76"/>
      <c r="GUP220" s="76"/>
      <c r="GUQ220" s="76"/>
      <c r="GUR220" s="76"/>
      <c r="GUS220" s="76"/>
      <c r="GUT220" s="76"/>
      <c r="GUU220" s="76"/>
      <c r="GUV220" s="76"/>
      <c r="GUW220" s="76"/>
      <c r="GUX220" s="76"/>
      <c r="GUY220" s="76"/>
      <c r="GUZ220" s="76"/>
      <c r="GVA220" s="76"/>
      <c r="GVB220" s="76"/>
      <c r="GVC220" s="76"/>
      <c r="GVD220" s="76"/>
      <c r="GVE220" s="76"/>
      <c r="GVF220" s="76"/>
      <c r="GVG220" s="76"/>
      <c r="GVH220" s="76"/>
      <c r="GVI220" s="76"/>
      <c r="GVJ220" s="76"/>
      <c r="GVK220" s="76"/>
      <c r="GVL220" s="76"/>
      <c r="GVM220" s="76"/>
      <c r="GVN220" s="76"/>
      <c r="GVO220" s="76"/>
      <c r="GVP220" s="76"/>
      <c r="GVQ220" s="76"/>
      <c r="GVR220" s="76"/>
      <c r="GVS220" s="76"/>
      <c r="GVT220" s="76"/>
      <c r="GVU220" s="76"/>
      <c r="GVV220" s="76"/>
      <c r="GVW220" s="76"/>
      <c r="GVX220" s="76"/>
      <c r="GVY220" s="76"/>
      <c r="GVZ220" s="76"/>
      <c r="GWA220" s="76"/>
      <c r="GWB220" s="76"/>
      <c r="GWC220" s="76"/>
      <c r="GWD220" s="76"/>
      <c r="GWE220" s="76"/>
      <c r="GWF220" s="76"/>
      <c r="GWG220" s="76"/>
      <c r="GWH220" s="76"/>
      <c r="GWI220" s="76"/>
      <c r="GWJ220" s="76"/>
      <c r="GWK220" s="76"/>
      <c r="GWL220" s="76"/>
      <c r="GWM220" s="76"/>
      <c r="GWN220" s="76"/>
      <c r="GWO220" s="76"/>
      <c r="GWP220" s="76"/>
      <c r="GWQ220" s="76"/>
      <c r="GWR220" s="76"/>
      <c r="GWS220" s="76"/>
      <c r="GWT220" s="76"/>
      <c r="GWU220" s="76"/>
      <c r="GWV220" s="76"/>
      <c r="GWW220" s="76"/>
      <c r="GWX220" s="76"/>
      <c r="GWY220" s="76"/>
      <c r="GWZ220" s="76"/>
      <c r="GXA220" s="76"/>
      <c r="GXB220" s="76"/>
      <c r="GXC220" s="76"/>
      <c r="GXD220" s="76"/>
      <c r="GXE220" s="76"/>
      <c r="GXF220" s="76"/>
      <c r="GXG220" s="76"/>
      <c r="GXH220" s="76"/>
      <c r="GXI220" s="76"/>
      <c r="GXJ220" s="76"/>
      <c r="GXK220" s="76"/>
      <c r="GXL220" s="76"/>
      <c r="GXM220" s="76"/>
      <c r="GXN220" s="76"/>
      <c r="GXO220" s="76"/>
      <c r="GXP220" s="76"/>
      <c r="GXQ220" s="76"/>
      <c r="GXR220" s="76"/>
      <c r="GXS220" s="76"/>
      <c r="GXT220" s="76"/>
      <c r="GXU220" s="76"/>
      <c r="GXV220" s="76"/>
      <c r="GXW220" s="76"/>
      <c r="GXX220" s="76"/>
      <c r="GXY220" s="76"/>
      <c r="GXZ220" s="76"/>
      <c r="GYA220" s="76"/>
      <c r="GYB220" s="76"/>
      <c r="GYC220" s="76"/>
      <c r="GYD220" s="76"/>
      <c r="GYE220" s="76"/>
      <c r="GYF220" s="76"/>
      <c r="GYG220" s="76"/>
      <c r="GYH220" s="76"/>
      <c r="GYI220" s="76"/>
      <c r="GYJ220" s="76"/>
      <c r="GYK220" s="76"/>
      <c r="GYL220" s="76"/>
      <c r="GYM220" s="76"/>
      <c r="GYN220" s="76"/>
      <c r="GYO220" s="76"/>
      <c r="GYP220" s="76"/>
      <c r="GYQ220" s="76"/>
      <c r="GYR220" s="76"/>
      <c r="GYS220" s="76"/>
      <c r="GYT220" s="76"/>
      <c r="GYU220" s="76"/>
      <c r="GYV220" s="76"/>
      <c r="GYW220" s="76"/>
      <c r="GYX220" s="76"/>
      <c r="GYY220" s="76"/>
      <c r="GYZ220" s="76"/>
      <c r="GZA220" s="76"/>
      <c r="GZB220" s="76"/>
      <c r="GZC220" s="76"/>
      <c r="GZD220" s="76"/>
      <c r="GZE220" s="76"/>
      <c r="GZF220" s="76"/>
      <c r="GZG220" s="76"/>
      <c r="GZH220" s="76"/>
      <c r="GZI220" s="76"/>
      <c r="GZJ220" s="76"/>
      <c r="GZK220" s="76"/>
      <c r="GZL220" s="76"/>
      <c r="GZM220" s="76"/>
      <c r="GZN220" s="76"/>
      <c r="GZO220" s="76"/>
      <c r="GZP220" s="76"/>
      <c r="GZQ220" s="76"/>
      <c r="GZR220" s="76"/>
      <c r="GZS220" s="76"/>
      <c r="GZT220" s="76"/>
      <c r="GZU220" s="76"/>
      <c r="GZV220" s="76"/>
      <c r="GZW220" s="76"/>
      <c r="GZX220" s="76"/>
      <c r="GZY220" s="76"/>
      <c r="GZZ220" s="76"/>
      <c r="HAA220" s="76"/>
      <c r="HAB220" s="76"/>
      <c r="HAC220" s="76"/>
      <c r="HAD220" s="76"/>
      <c r="HAE220" s="76"/>
      <c r="HAF220" s="76"/>
      <c r="HAG220" s="76"/>
      <c r="HAH220" s="76"/>
      <c r="HAI220" s="76"/>
      <c r="HAJ220" s="76"/>
      <c r="HAK220" s="76"/>
      <c r="HAL220" s="76"/>
      <c r="HAM220" s="76"/>
      <c r="HAN220" s="76"/>
      <c r="HAO220" s="76"/>
      <c r="HAP220" s="76"/>
      <c r="HAQ220" s="76"/>
      <c r="HAR220" s="76"/>
      <c r="HAS220" s="76"/>
      <c r="HAT220" s="76"/>
      <c r="HAU220" s="76"/>
      <c r="HAV220" s="76"/>
      <c r="HAW220" s="76"/>
      <c r="HAX220" s="76"/>
      <c r="HAY220" s="76"/>
      <c r="HAZ220" s="76"/>
      <c r="HBA220" s="76"/>
      <c r="HBB220" s="76"/>
      <c r="HBC220" s="76"/>
      <c r="HBD220" s="76"/>
      <c r="HBE220" s="76"/>
      <c r="HBF220" s="76"/>
      <c r="HBG220" s="76"/>
      <c r="HBH220" s="76"/>
      <c r="HBI220" s="76"/>
      <c r="HBJ220" s="76"/>
      <c r="HBK220" s="76"/>
      <c r="HBL220" s="76"/>
      <c r="HBM220" s="76"/>
      <c r="HBN220" s="76"/>
      <c r="HBO220" s="76"/>
      <c r="HBP220" s="76"/>
      <c r="HBQ220" s="76"/>
      <c r="HBR220" s="76"/>
      <c r="HBS220" s="76"/>
      <c r="HBT220" s="76"/>
      <c r="HBU220" s="76"/>
      <c r="HBV220" s="76"/>
      <c r="HBW220" s="76"/>
      <c r="HBX220" s="76"/>
      <c r="HBY220" s="76"/>
      <c r="HBZ220" s="76"/>
      <c r="HCA220" s="76"/>
      <c r="HCB220" s="76"/>
      <c r="HCC220" s="76"/>
      <c r="HCD220" s="76"/>
      <c r="HCE220" s="76"/>
      <c r="HCF220" s="76"/>
      <c r="HCG220" s="76"/>
      <c r="HCH220" s="76"/>
      <c r="HCI220" s="76"/>
      <c r="HCJ220" s="76"/>
      <c r="HCK220" s="76"/>
      <c r="HCL220" s="76"/>
      <c r="HCM220" s="76"/>
      <c r="HCN220" s="76"/>
      <c r="HCO220" s="76"/>
      <c r="HCP220" s="76"/>
      <c r="HCQ220" s="76"/>
      <c r="HCR220" s="76"/>
      <c r="HCS220" s="76"/>
      <c r="HCT220" s="76"/>
      <c r="HCU220" s="76"/>
      <c r="HCV220" s="76"/>
      <c r="HCW220" s="76"/>
      <c r="HCX220" s="76"/>
      <c r="HCY220" s="76"/>
      <c r="HCZ220" s="76"/>
      <c r="HDA220" s="76"/>
      <c r="HDB220" s="76"/>
      <c r="HDC220" s="76"/>
      <c r="HDD220" s="76"/>
      <c r="HDE220" s="76"/>
      <c r="HDF220" s="76"/>
      <c r="HDG220" s="76"/>
      <c r="HDH220" s="76"/>
      <c r="HDI220" s="76"/>
      <c r="HDJ220" s="76"/>
      <c r="HDK220" s="76"/>
      <c r="HDL220" s="76"/>
      <c r="HDM220" s="76"/>
      <c r="HDN220" s="76"/>
      <c r="HDO220" s="76"/>
      <c r="HDP220" s="76"/>
      <c r="HDQ220" s="76"/>
      <c r="HDR220" s="76"/>
      <c r="HDS220" s="76"/>
      <c r="HDT220" s="76"/>
      <c r="HDU220" s="76"/>
      <c r="HDV220" s="76"/>
      <c r="HDW220" s="76"/>
      <c r="HDX220" s="76"/>
      <c r="HDY220" s="76"/>
      <c r="HDZ220" s="76"/>
      <c r="HEA220" s="76"/>
      <c r="HEB220" s="76"/>
      <c r="HEC220" s="76"/>
      <c r="HED220" s="76"/>
      <c r="HEE220" s="76"/>
      <c r="HEF220" s="76"/>
      <c r="HEG220" s="76"/>
      <c r="HEH220" s="76"/>
      <c r="HEI220" s="76"/>
      <c r="HEJ220" s="76"/>
      <c r="HEK220" s="76"/>
      <c r="HEL220" s="76"/>
      <c r="HEM220" s="76"/>
      <c r="HEN220" s="76"/>
      <c r="HEO220" s="76"/>
      <c r="HEP220" s="76"/>
      <c r="HEQ220" s="76"/>
      <c r="HER220" s="76"/>
      <c r="HES220" s="76"/>
      <c r="HET220" s="76"/>
      <c r="HEU220" s="76"/>
      <c r="HEV220" s="76"/>
      <c r="HEW220" s="76"/>
      <c r="HEX220" s="76"/>
      <c r="HEY220" s="76"/>
      <c r="HEZ220" s="76"/>
      <c r="HFA220" s="76"/>
      <c r="HFB220" s="76"/>
      <c r="HFC220" s="76"/>
      <c r="HFD220" s="76"/>
      <c r="HFE220" s="76"/>
      <c r="HFF220" s="76"/>
      <c r="HFG220" s="76"/>
      <c r="HFH220" s="76"/>
      <c r="HFI220" s="76"/>
      <c r="HFJ220" s="76"/>
      <c r="HFK220" s="76"/>
      <c r="HFL220" s="76"/>
      <c r="HFM220" s="76"/>
      <c r="HFN220" s="76"/>
      <c r="HFO220" s="76"/>
      <c r="HFP220" s="76"/>
      <c r="HFQ220" s="76"/>
      <c r="HFR220" s="76"/>
      <c r="HFS220" s="76"/>
      <c r="HFT220" s="76"/>
      <c r="HFU220" s="76"/>
      <c r="HFV220" s="76"/>
      <c r="HFW220" s="76"/>
      <c r="HFX220" s="76"/>
      <c r="HFY220" s="76"/>
      <c r="HFZ220" s="76"/>
      <c r="HGA220" s="76"/>
      <c r="HGB220" s="76"/>
      <c r="HGC220" s="76"/>
      <c r="HGD220" s="76"/>
      <c r="HGE220" s="76"/>
      <c r="HGF220" s="76"/>
      <c r="HGG220" s="76"/>
      <c r="HGH220" s="76"/>
      <c r="HGI220" s="76"/>
      <c r="HGJ220" s="76"/>
      <c r="HGK220" s="76"/>
      <c r="HGL220" s="76"/>
      <c r="HGM220" s="76"/>
      <c r="HGN220" s="76"/>
      <c r="HGO220" s="76"/>
      <c r="HGP220" s="76"/>
      <c r="HGQ220" s="76"/>
      <c r="HGR220" s="76"/>
      <c r="HGS220" s="76"/>
      <c r="HGT220" s="76"/>
      <c r="HGU220" s="76"/>
      <c r="HGV220" s="76"/>
      <c r="HGW220" s="76"/>
      <c r="HGX220" s="76"/>
      <c r="HGY220" s="76"/>
      <c r="HGZ220" s="76"/>
      <c r="HHA220" s="76"/>
      <c r="HHB220" s="76"/>
      <c r="HHC220" s="76"/>
      <c r="HHD220" s="76"/>
      <c r="HHE220" s="76"/>
      <c r="HHF220" s="76"/>
      <c r="HHG220" s="76"/>
      <c r="HHH220" s="76"/>
      <c r="HHI220" s="76"/>
      <c r="HHJ220" s="76"/>
      <c r="HHK220" s="76"/>
      <c r="HHL220" s="76"/>
      <c r="HHM220" s="76"/>
      <c r="HHN220" s="76"/>
      <c r="HHO220" s="76"/>
      <c r="HHP220" s="76"/>
      <c r="HHQ220" s="76"/>
      <c r="HHR220" s="76"/>
      <c r="HHS220" s="76"/>
      <c r="HHT220" s="76"/>
      <c r="HHU220" s="76"/>
      <c r="HHV220" s="76"/>
      <c r="HHW220" s="76"/>
      <c r="HHX220" s="76"/>
      <c r="HHY220" s="76"/>
      <c r="HHZ220" s="76"/>
      <c r="HIA220" s="76"/>
      <c r="HIB220" s="76"/>
      <c r="HIC220" s="76"/>
      <c r="HID220" s="76"/>
      <c r="HIE220" s="76"/>
      <c r="HIF220" s="76"/>
      <c r="HIG220" s="76"/>
      <c r="HIH220" s="76"/>
      <c r="HII220" s="76"/>
      <c r="HIJ220" s="76"/>
      <c r="HIK220" s="76"/>
      <c r="HIL220" s="76"/>
      <c r="HIM220" s="76"/>
      <c r="HIN220" s="76"/>
      <c r="HIO220" s="76"/>
      <c r="HIP220" s="76"/>
      <c r="HIQ220" s="76"/>
      <c r="HIR220" s="76"/>
      <c r="HIS220" s="76"/>
      <c r="HIT220" s="76"/>
      <c r="HIU220" s="76"/>
      <c r="HIV220" s="76"/>
      <c r="HIW220" s="76"/>
      <c r="HIX220" s="76"/>
      <c r="HIY220" s="76"/>
      <c r="HIZ220" s="76"/>
      <c r="HJA220" s="76"/>
      <c r="HJB220" s="76"/>
      <c r="HJC220" s="76"/>
      <c r="HJD220" s="76"/>
      <c r="HJE220" s="76"/>
      <c r="HJF220" s="76"/>
      <c r="HJG220" s="76"/>
      <c r="HJH220" s="76"/>
      <c r="HJI220" s="76"/>
      <c r="HJJ220" s="76"/>
      <c r="HJK220" s="76"/>
      <c r="HJL220" s="76"/>
      <c r="HJM220" s="76"/>
      <c r="HJN220" s="76"/>
      <c r="HJO220" s="76"/>
      <c r="HJP220" s="76"/>
      <c r="HJQ220" s="76"/>
      <c r="HJR220" s="76"/>
      <c r="HJS220" s="76"/>
      <c r="HJT220" s="76"/>
      <c r="HJU220" s="76"/>
      <c r="HJV220" s="76"/>
      <c r="HJW220" s="76"/>
      <c r="HJX220" s="76"/>
      <c r="HJY220" s="76"/>
      <c r="HJZ220" s="76"/>
      <c r="HKA220" s="76"/>
      <c r="HKB220" s="76"/>
      <c r="HKC220" s="76"/>
      <c r="HKD220" s="76"/>
      <c r="HKE220" s="76"/>
      <c r="HKF220" s="76"/>
      <c r="HKG220" s="76"/>
      <c r="HKH220" s="76"/>
      <c r="HKI220" s="76"/>
      <c r="HKJ220" s="76"/>
      <c r="HKK220" s="76"/>
      <c r="HKL220" s="76"/>
      <c r="HKM220" s="76"/>
      <c r="HKN220" s="76"/>
      <c r="HKO220" s="76"/>
      <c r="HKP220" s="76"/>
      <c r="HKQ220" s="76"/>
      <c r="HKR220" s="76"/>
      <c r="HKS220" s="76"/>
      <c r="HKT220" s="76"/>
      <c r="HKU220" s="76"/>
      <c r="HKV220" s="76"/>
      <c r="HKW220" s="76"/>
      <c r="HKX220" s="76"/>
      <c r="HKY220" s="76"/>
      <c r="HKZ220" s="76"/>
      <c r="HLA220" s="76"/>
      <c r="HLB220" s="76"/>
      <c r="HLC220" s="76"/>
      <c r="HLD220" s="76"/>
      <c r="HLE220" s="76"/>
      <c r="HLF220" s="76"/>
      <c r="HLG220" s="76"/>
      <c r="HLH220" s="76"/>
      <c r="HLI220" s="76"/>
      <c r="HLJ220" s="76"/>
      <c r="HLK220" s="76"/>
      <c r="HLL220" s="76"/>
      <c r="HLM220" s="76"/>
      <c r="HLN220" s="76"/>
      <c r="HLO220" s="76"/>
      <c r="HLP220" s="76"/>
      <c r="HLQ220" s="76"/>
      <c r="HLR220" s="76"/>
      <c r="HLS220" s="76"/>
      <c r="HLT220" s="76"/>
      <c r="HLU220" s="76"/>
      <c r="HLV220" s="76"/>
      <c r="HLW220" s="76"/>
      <c r="HLX220" s="76"/>
      <c r="HLY220" s="76"/>
      <c r="HLZ220" s="76"/>
      <c r="HMA220" s="76"/>
      <c r="HMB220" s="76"/>
      <c r="HMC220" s="76"/>
      <c r="HMD220" s="76"/>
      <c r="HME220" s="76"/>
      <c r="HMF220" s="76"/>
      <c r="HMG220" s="76"/>
      <c r="HMH220" s="76"/>
      <c r="HMI220" s="76"/>
      <c r="HMJ220" s="76"/>
      <c r="HMK220" s="76"/>
      <c r="HML220" s="76"/>
      <c r="HMM220" s="76"/>
      <c r="HMN220" s="76"/>
      <c r="HMO220" s="76"/>
      <c r="HMP220" s="76"/>
      <c r="HMQ220" s="76"/>
      <c r="HMR220" s="76"/>
      <c r="HMS220" s="76"/>
      <c r="HMT220" s="76"/>
      <c r="HMU220" s="76"/>
      <c r="HMV220" s="76"/>
      <c r="HMW220" s="76"/>
      <c r="HMX220" s="76"/>
      <c r="HMY220" s="76"/>
      <c r="HMZ220" s="76"/>
      <c r="HNA220" s="76"/>
      <c r="HNB220" s="76"/>
      <c r="HNC220" s="76"/>
      <c r="HND220" s="76"/>
      <c r="HNE220" s="76"/>
      <c r="HNF220" s="76"/>
      <c r="HNG220" s="76"/>
      <c r="HNH220" s="76"/>
      <c r="HNI220" s="76"/>
      <c r="HNJ220" s="76"/>
      <c r="HNK220" s="76"/>
      <c r="HNL220" s="76"/>
      <c r="HNM220" s="76"/>
      <c r="HNN220" s="76"/>
      <c r="HNO220" s="76"/>
      <c r="HNP220" s="76"/>
      <c r="HNQ220" s="76"/>
      <c r="HNR220" s="76"/>
      <c r="HNS220" s="76"/>
      <c r="HNT220" s="76"/>
      <c r="HNU220" s="76"/>
      <c r="HNV220" s="76"/>
      <c r="HNW220" s="76"/>
      <c r="HNX220" s="76"/>
      <c r="HNY220" s="76"/>
      <c r="HNZ220" s="76"/>
      <c r="HOA220" s="76"/>
      <c r="HOB220" s="76"/>
      <c r="HOC220" s="76"/>
      <c r="HOD220" s="76"/>
      <c r="HOE220" s="76"/>
      <c r="HOF220" s="76"/>
      <c r="HOG220" s="76"/>
      <c r="HOH220" s="76"/>
      <c r="HOI220" s="76"/>
      <c r="HOJ220" s="76"/>
      <c r="HOK220" s="76"/>
      <c r="HOL220" s="76"/>
      <c r="HOM220" s="76"/>
      <c r="HON220" s="76"/>
      <c r="HOO220" s="76"/>
      <c r="HOP220" s="76"/>
      <c r="HOQ220" s="76"/>
      <c r="HOR220" s="76"/>
      <c r="HOS220" s="76"/>
      <c r="HOT220" s="76"/>
      <c r="HOU220" s="76"/>
      <c r="HOV220" s="76"/>
      <c r="HOW220" s="76"/>
      <c r="HOX220" s="76"/>
      <c r="HOY220" s="76"/>
      <c r="HOZ220" s="76"/>
      <c r="HPA220" s="76"/>
      <c r="HPB220" s="76"/>
      <c r="HPC220" s="76"/>
      <c r="HPD220" s="76"/>
      <c r="HPE220" s="76"/>
      <c r="HPF220" s="76"/>
      <c r="HPG220" s="76"/>
      <c r="HPH220" s="76"/>
      <c r="HPI220" s="76"/>
      <c r="HPJ220" s="76"/>
      <c r="HPK220" s="76"/>
      <c r="HPL220" s="76"/>
      <c r="HPM220" s="76"/>
      <c r="HPN220" s="76"/>
      <c r="HPO220" s="76"/>
      <c r="HPP220" s="76"/>
      <c r="HPQ220" s="76"/>
      <c r="HPR220" s="76"/>
      <c r="HPS220" s="76"/>
      <c r="HPT220" s="76"/>
      <c r="HPU220" s="76"/>
      <c r="HPV220" s="76"/>
      <c r="HPW220" s="76"/>
      <c r="HPX220" s="76"/>
      <c r="HPY220" s="76"/>
      <c r="HPZ220" s="76"/>
      <c r="HQA220" s="76"/>
      <c r="HQB220" s="76"/>
      <c r="HQC220" s="76"/>
      <c r="HQD220" s="76"/>
      <c r="HQE220" s="76"/>
      <c r="HQF220" s="76"/>
      <c r="HQG220" s="76"/>
      <c r="HQH220" s="76"/>
      <c r="HQI220" s="76"/>
      <c r="HQJ220" s="76"/>
      <c r="HQK220" s="76"/>
      <c r="HQL220" s="76"/>
      <c r="HQM220" s="76"/>
      <c r="HQN220" s="76"/>
      <c r="HQO220" s="76"/>
      <c r="HQP220" s="76"/>
      <c r="HQQ220" s="76"/>
      <c r="HQR220" s="76"/>
      <c r="HQS220" s="76"/>
      <c r="HQT220" s="76"/>
      <c r="HQU220" s="76"/>
      <c r="HQV220" s="76"/>
      <c r="HQW220" s="76"/>
      <c r="HQX220" s="76"/>
      <c r="HQY220" s="76"/>
      <c r="HQZ220" s="76"/>
      <c r="HRA220" s="76"/>
      <c r="HRB220" s="76"/>
      <c r="HRC220" s="76"/>
      <c r="HRD220" s="76"/>
      <c r="HRE220" s="76"/>
      <c r="HRF220" s="76"/>
      <c r="HRG220" s="76"/>
      <c r="HRH220" s="76"/>
      <c r="HRI220" s="76"/>
      <c r="HRJ220" s="76"/>
      <c r="HRK220" s="76"/>
      <c r="HRL220" s="76"/>
      <c r="HRM220" s="76"/>
      <c r="HRN220" s="76"/>
      <c r="HRO220" s="76"/>
      <c r="HRP220" s="76"/>
      <c r="HRQ220" s="76"/>
      <c r="HRR220" s="76"/>
      <c r="HRS220" s="76"/>
      <c r="HRT220" s="76"/>
      <c r="HRU220" s="76"/>
      <c r="HRV220" s="76"/>
      <c r="HRW220" s="76"/>
      <c r="HRX220" s="76"/>
      <c r="HRY220" s="76"/>
      <c r="HRZ220" s="76"/>
      <c r="HSA220" s="76"/>
      <c r="HSB220" s="76"/>
      <c r="HSC220" s="76"/>
      <c r="HSD220" s="76"/>
      <c r="HSE220" s="76"/>
      <c r="HSF220" s="76"/>
      <c r="HSG220" s="76"/>
      <c r="HSH220" s="76"/>
      <c r="HSI220" s="76"/>
      <c r="HSJ220" s="76"/>
      <c r="HSK220" s="76"/>
      <c r="HSL220" s="76"/>
      <c r="HSM220" s="76"/>
      <c r="HSN220" s="76"/>
      <c r="HSO220" s="76"/>
      <c r="HSP220" s="76"/>
      <c r="HSQ220" s="76"/>
      <c r="HSR220" s="76"/>
      <c r="HSS220" s="76"/>
      <c r="HST220" s="76"/>
      <c r="HSU220" s="76"/>
      <c r="HSV220" s="76"/>
      <c r="HSW220" s="76"/>
      <c r="HSX220" s="76"/>
      <c r="HSY220" s="76"/>
      <c r="HSZ220" s="76"/>
      <c r="HTA220" s="76"/>
      <c r="HTB220" s="76"/>
      <c r="HTC220" s="76"/>
      <c r="HTD220" s="76"/>
      <c r="HTE220" s="76"/>
      <c r="HTF220" s="76"/>
      <c r="HTG220" s="76"/>
      <c r="HTH220" s="76"/>
      <c r="HTI220" s="76"/>
      <c r="HTJ220" s="76"/>
      <c r="HTK220" s="76"/>
      <c r="HTL220" s="76"/>
      <c r="HTM220" s="76"/>
      <c r="HTN220" s="76"/>
      <c r="HTO220" s="76"/>
      <c r="HTP220" s="76"/>
      <c r="HTQ220" s="76"/>
      <c r="HTR220" s="76"/>
      <c r="HTS220" s="76"/>
      <c r="HTT220" s="76"/>
      <c r="HTU220" s="76"/>
      <c r="HTV220" s="76"/>
      <c r="HTW220" s="76"/>
      <c r="HTX220" s="76"/>
      <c r="HTY220" s="76"/>
      <c r="HTZ220" s="76"/>
      <c r="HUA220" s="76"/>
      <c r="HUB220" s="76"/>
      <c r="HUC220" s="76"/>
      <c r="HUD220" s="76"/>
      <c r="HUE220" s="76"/>
      <c r="HUF220" s="76"/>
      <c r="HUG220" s="76"/>
      <c r="HUH220" s="76"/>
      <c r="HUI220" s="76"/>
      <c r="HUJ220" s="76"/>
      <c r="HUK220" s="76"/>
      <c r="HUL220" s="76"/>
      <c r="HUM220" s="76"/>
      <c r="HUN220" s="76"/>
      <c r="HUO220" s="76"/>
      <c r="HUP220" s="76"/>
      <c r="HUQ220" s="76"/>
      <c r="HUR220" s="76"/>
      <c r="HUS220" s="76"/>
      <c r="HUT220" s="76"/>
      <c r="HUU220" s="76"/>
      <c r="HUV220" s="76"/>
      <c r="HUW220" s="76"/>
      <c r="HUX220" s="76"/>
      <c r="HUY220" s="76"/>
      <c r="HUZ220" s="76"/>
      <c r="HVA220" s="76"/>
      <c r="HVB220" s="76"/>
      <c r="HVC220" s="76"/>
      <c r="HVD220" s="76"/>
      <c r="HVE220" s="76"/>
      <c r="HVF220" s="76"/>
      <c r="HVG220" s="76"/>
      <c r="HVH220" s="76"/>
      <c r="HVI220" s="76"/>
      <c r="HVJ220" s="76"/>
      <c r="HVK220" s="76"/>
      <c r="HVL220" s="76"/>
      <c r="HVM220" s="76"/>
      <c r="HVN220" s="76"/>
      <c r="HVO220" s="76"/>
      <c r="HVP220" s="76"/>
      <c r="HVQ220" s="76"/>
      <c r="HVR220" s="76"/>
      <c r="HVS220" s="76"/>
      <c r="HVT220" s="76"/>
      <c r="HVU220" s="76"/>
      <c r="HVV220" s="76"/>
      <c r="HVW220" s="76"/>
      <c r="HVX220" s="76"/>
      <c r="HVY220" s="76"/>
      <c r="HVZ220" s="76"/>
      <c r="HWA220" s="76"/>
      <c r="HWB220" s="76"/>
      <c r="HWC220" s="76"/>
      <c r="HWD220" s="76"/>
      <c r="HWE220" s="76"/>
      <c r="HWF220" s="76"/>
      <c r="HWG220" s="76"/>
      <c r="HWH220" s="76"/>
      <c r="HWI220" s="76"/>
      <c r="HWJ220" s="76"/>
      <c r="HWK220" s="76"/>
      <c r="HWL220" s="76"/>
      <c r="HWM220" s="76"/>
      <c r="HWN220" s="76"/>
      <c r="HWO220" s="76"/>
      <c r="HWP220" s="76"/>
      <c r="HWQ220" s="76"/>
      <c r="HWR220" s="76"/>
      <c r="HWS220" s="76"/>
      <c r="HWT220" s="76"/>
      <c r="HWU220" s="76"/>
      <c r="HWV220" s="76"/>
      <c r="HWW220" s="76"/>
      <c r="HWX220" s="76"/>
      <c r="HWY220" s="76"/>
      <c r="HWZ220" s="76"/>
      <c r="HXA220" s="76"/>
      <c r="HXB220" s="76"/>
      <c r="HXC220" s="76"/>
      <c r="HXD220" s="76"/>
      <c r="HXE220" s="76"/>
      <c r="HXF220" s="76"/>
      <c r="HXG220" s="76"/>
      <c r="HXH220" s="76"/>
      <c r="HXI220" s="76"/>
      <c r="HXJ220" s="76"/>
      <c r="HXK220" s="76"/>
      <c r="HXL220" s="76"/>
      <c r="HXM220" s="76"/>
      <c r="HXN220" s="76"/>
      <c r="HXO220" s="76"/>
      <c r="HXP220" s="76"/>
      <c r="HXQ220" s="76"/>
      <c r="HXR220" s="76"/>
      <c r="HXS220" s="76"/>
      <c r="HXT220" s="76"/>
      <c r="HXU220" s="76"/>
      <c r="HXV220" s="76"/>
      <c r="HXW220" s="76"/>
      <c r="HXX220" s="76"/>
      <c r="HXY220" s="76"/>
      <c r="HXZ220" s="76"/>
      <c r="HYA220" s="76"/>
      <c r="HYB220" s="76"/>
      <c r="HYC220" s="76"/>
      <c r="HYD220" s="76"/>
      <c r="HYE220" s="76"/>
      <c r="HYF220" s="76"/>
      <c r="HYG220" s="76"/>
      <c r="HYH220" s="76"/>
      <c r="HYI220" s="76"/>
      <c r="HYJ220" s="76"/>
      <c r="HYK220" s="76"/>
      <c r="HYL220" s="76"/>
      <c r="HYM220" s="76"/>
      <c r="HYN220" s="76"/>
      <c r="HYO220" s="76"/>
      <c r="HYP220" s="76"/>
      <c r="HYQ220" s="76"/>
      <c r="HYR220" s="76"/>
      <c r="HYS220" s="76"/>
      <c r="HYT220" s="76"/>
      <c r="HYU220" s="76"/>
      <c r="HYV220" s="76"/>
      <c r="HYW220" s="76"/>
      <c r="HYX220" s="76"/>
      <c r="HYY220" s="76"/>
      <c r="HYZ220" s="76"/>
      <c r="HZA220" s="76"/>
      <c r="HZB220" s="76"/>
      <c r="HZC220" s="76"/>
      <c r="HZD220" s="76"/>
      <c r="HZE220" s="76"/>
      <c r="HZF220" s="76"/>
      <c r="HZG220" s="76"/>
      <c r="HZH220" s="76"/>
      <c r="HZI220" s="76"/>
      <c r="HZJ220" s="76"/>
      <c r="HZK220" s="76"/>
      <c r="HZL220" s="76"/>
      <c r="HZM220" s="76"/>
      <c r="HZN220" s="76"/>
      <c r="HZO220" s="76"/>
      <c r="HZP220" s="76"/>
      <c r="HZQ220" s="76"/>
      <c r="HZR220" s="76"/>
      <c r="HZS220" s="76"/>
      <c r="HZT220" s="76"/>
      <c r="HZU220" s="76"/>
      <c r="HZV220" s="76"/>
      <c r="HZW220" s="76"/>
      <c r="HZX220" s="76"/>
      <c r="HZY220" s="76"/>
      <c r="HZZ220" s="76"/>
      <c r="IAA220" s="76"/>
      <c r="IAB220" s="76"/>
      <c r="IAC220" s="76"/>
      <c r="IAD220" s="76"/>
      <c r="IAE220" s="76"/>
      <c r="IAF220" s="76"/>
      <c r="IAG220" s="76"/>
      <c r="IAH220" s="76"/>
      <c r="IAI220" s="76"/>
      <c r="IAJ220" s="76"/>
      <c r="IAK220" s="76"/>
      <c r="IAL220" s="76"/>
      <c r="IAM220" s="76"/>
      <c r="IAN220" s="76"/>
      <c r="IAO220" s="76"/>
      <c r="IAP220" s="76"/>
      <c r="IAQ220" s="76"/>
      <c r="IAR220" s="76"/>
      <c r="IAS220" s="76"/>
      <c r="IAT220" s="76"/>
      <c r="IAU220" s="76"/>
      <c r="IAV220" s="76"/>
      <c r="IAW220" s="76"/>
      <c r="IAX220" s="76"/>
      <c r="IAY220" s="76"/>
      <c r="IAZ220" s="76"/>
      <c r="IBA220" s="76"/>
      <c r="IBB220" s="76"/>
      <c r="IBC220" s="76"/>
      <c r="IBD220" s="76"/>
      <c r="IBE220" s="76"/>
      <c r="IBF220" s="76"/>
      <c r="IBG220" s="76"/>
      <c r="IBH220" s="76"/>
      <c r="IBI220" s="76"/>
      <c r="IBJ220" s="76"/>
      <c r="IBK220" s="76"/>
      <c r="IBL220" s="76"/>
      <c r="IBM220" s="76"/>
      <c r="IBN220" s="76"/>
      <c r="IBO220" s="76"/>
      <c r="IBP220" s="76"/>
      <c r="IBQ220" s="76"/>
      <c r="IBR220" s="76"/>
      <c r="IBS220" s="76"/>
      <c r="IBT220" s="76"/>
      <c r="IBU220" s="76"/>
      <c r="IBV220" s="76"/>
      <c r="IBW220" s="76"/>
      <c r="IBX220" s="76"/>
      <c r="IBY220" s="76"/>
      <c r="IBZ220" s="76"/>
      <c r="ICA220" s="76"/>
      <c r="ICB220" s="76"/>
      <c r="ICC220" s="76"/>
      <c r="ICD220" s="76"/>
      <c r="ICE220" s="76"/>
      <c r="ICF220" s="76"/>
      <c r="ICG220" s="76"/>
      <c r="ICH220" s="76"/>
      <c r="ICI220" s="76"/>
      <c r="ICJ220" s="76"/>
      <c r="ICK220" s="76"/>
      <c r="ICL220" s="76"/>
      <c r="ICM220" s="76"/>
      <c r="ICN220" s="76"/>
      <c r="ICO220" s="76"/>
      <c r="ICP220" s="76"/>
      <c r="ICQ220" s="76"/>
      <c r="ICR220" s="76"/>
      <c r="ICS220" s="76"/>
      <c r="ICT220" s="76"/>
      <c r="ICU220" s="76"/>
      <c r="ICV220" s="76"/>
      <c r="ICW220" s="76"/>
      <c r="ICX220" s="76"/>
      <c r="ICY220" s="76"/>
      <c r="ICZ220" s="76"/>
      <c r="IDA220" s="76"/>
      <c r="IDB220" s="76"/>
      <c r="IDC220" s="76"/>
      <c r="IDD220" s="76"/>
      <c r="IDE220" s="76"/>
      <c r="IDF220" s="76"/>
      <c r="IDG220" s="76"/>
      <c r="IDH220" s="76"/>
      <c r="IDI220" s="76"/>
      <c r="IDJ220" s="76"/>
      <c r="IDK220" s="76"/>
      <c r="IDL220" s="76"/>
      <c r="IDM220" s="76"/>
      <c r="IDN220" s="76"/>
      <c r="IDO220" s="76"/>
      <c r="IDP220" s="76"/>
      <c r="IDQ220" s="76"/>
      <c r="IDR220" s="76"/>
      <c r="IDS220" s="76"/>
      <c r="IDT220" s="76"/>
      <c r="IDU220" s="76"/>
      <c r="IDV220" s="76"/>
      <c r="IDW220" s="76"/>
      <c r="IDX220" s="76"/>
      <c r="IDY220" s="76"/>
      <c r="IDZ220" s="76"/>
      <c r="IEA220" s="76"/>
      <c r="IEB220" s="76"/>
      <c r="IEC220" s="76"/>
      <c r="IED220" s="76"/>
      <c r="IEE220" s="76"/>
      <c r="IEF220" s="76"/>
      <c r="IEG220" s="76"/>
      <c r="IEH220" s="76"/>
      <c r="IEI220" s="76"/>
      <c r="IEJ220" s="76"/>
      <c r="IEK220" s="76"/>
      <c r="IEL220" s="76"/>
      <c r="IEM220" s="76"/>
      <c r="IEN220" s="76"/>
      <c r="IEO220" s="76"/>
      <c r="IEP220" s="76"/>
      <c r="IEQ220" s="76"/>
      <c r="IER220" s="76"/>
      <c r="IES220" s="76"/>
      <c r="IET220" s="76"/>
      <c r="IEU220" s="76"/>
      <c r="IEV220" s="76"/>
      <c r="IEW220" s="76"/>
      <c r="IEX220" s="76"/>
      <c r="IEY220" s="76"/>
      <c r="IEZ220" s="76"/>
      <c r="IFA220" s="76"/>
      <c r="IFB220" s="76"/>
      <c r="IFC220" s="76"/>
      <c r="IFD220" s="76"/>
      <c r="IFE220" s="76"/>
      <c r="IFF220" s="76"/>
      <c r="IFG220" s="76"/>
      <c r="IFH220" s="76"/>
      <c r="IFI220" s="76"/>
      <c r="IFJ220" s="76"/>
      <c r="IFK220" s="76"/>
      <c r="IFL220" s="76"/>
      <c r="IFM220" s="76"/>
      <c r="IFN220" s="76"/>
      <c r="IFO220" s="76"/>
      <c r="IFP220" s="76"/>
      <c r="IFQ220" s="76"/>
      <c r="IFR220" s="76"/>
      <c r="IFS220" s="76"/>
      <c r="IFT220" s="76"/>
      <c r="IFU220" s="76"/>
      <c r="IFV220" s="76"/>
      <c r="IFW220" s="76"/>
      <c r="IFX220" s="76"/>
      <c r="IFY220" s="76"/>
      <c r="IFZ220" s="76"/>
      <c r="IGA220" s="76"/>
      <c r="IGB220" s="76"/>
      <c r="IGC220" s="76"/>
      <c r="IGD220" s="76"/>
      <c r="IGE220" s="76"/>
      <c r="IGF220" s="76"/>
      <c r="IGG220" s="76"/>
      <c r="IGH220" s="76"/>
      <c r="IGI220" s="76"/>
      <c r="IGJ220" s="76"/>
      <c r="IGK220" s="76"/>
      <c r="IGL220" s="76"/>
      <c r="IGM220" s="76"/>
      <c r="IGN220" s="76"/>
      <c r="IGO220" s="76"/>
      <c r="IGP220" s="76"/>
      <c r="IGQ220" s="76"/>
      <c r="IGR220" s="76"/>
      <c r="IGS220" s="76"/>
      <c r="IGT220" s="76"/>
      <c r="IGU220" s="76"/>
      <c r="IGV220" s="76"/>
      <c r="IGW220" s="76"/>
      <c r="IGX220" s="76"/>
      <c r="IGY220" s="76"/>
      <c r="IGZ220" s="76"/>
      <c r="IHA220" s="76"/>
      <c r="IHB220" s="76"/>
      <c r="IHC220" s="76"/>
      <c r="IHD220" s="76"/>
      <c r="IHE220" s="76"/>
      <c r="IHF220" s="76"/>
      <c r="IHG220" s="76"/>
      <c r="IHH220" s="76"/>
      <c r="IHI220" s="76"/>
      <c r="IHJ220" s="76"/>
      <c r="IHK220" s="76"/>
      <c r="IHL220" s="76"/>
      <c r="IHM220" s="76"/>
      <c r="IHN220" s="76"/>
      <c r="IHO220" s="76"/>
      <c r="IHP220" s="76"/>
      <c r="IHQ220" s="76"/>
      <c r="IHR220" s="76"/>
      <c r="IHS220" s="76"/>
      <c r="IHT220" s="76"/>
      <c r="IHU220" s="76"/>
      <c r="IHV220" s="76"/>
      <c r="IHW220" s="76"/>
      <c r="IHX220" s="76"/>
      <c r="IHY220" s="76"/>
      <c r="IHZ220" s="76"/>
      <c r="IIA220" s="76"/>
      <c r="IIB220" s="76"/>
      <c r="IIC220" s="76"/>
      <c r="IID220" s="76"/>
      <c r="IIE220" s="76"/>
      <c r="IIF220" s="76"/>
      <c r="IIG220" s="76"/>
      <c r="IIH220" s="76"/>
      <c r="III220" s="76"/>
      <c r="IIJ220" s="76"/>
      <c r="IIK220" s="76"/>
      <c r="IIL220" s="76"/>
      <c r="IIM220" s="76"/>
      <c r="IIN220" s="76"/>
      <c r="IIO220" s="76"/>
      <c r="IIP220" s="76"/>
      <c r="IIQ220" s="76"/>
      <c r="IIR220" s="76"/>
      <c r="IIS220" s="76"/>
      <c r="IIT220" s="76"/>
      <c r="IIU220" s="76"/>
      <c r="IIV220" s="76"/>
      <c r="IIW220" s="76"/>
      <c r="IIX220" s="76"/>
      <c r="IIY220" s="76"/>
      <c r="IIZ220" s="76"/>
      <c r="IJA220" s="76"/>
      <c r="IJB220" s="76"/>
      <c r="IJC220" s="76"/>
      <c r="IJD220" s="76"/>
      <c r="IJE220" s="76"/>
      <c r="IJF220" s="76"/>
      <c r="IJG220" s="76"/>
      <c r="IJH220" s="76"/>
      <c r="IJI220" s="76"/>
      <c r="IJJ220" s="76"/>
      <c r="IJK220" s="76"/>
      <c r="IJL220" s="76"/>
      <c r="IJM220" s="76"/>
      <c r="IJN220" s="76"/>
      <c r="IJO220" s="76"/>
      <c r="IJP220" s="76"/>
      <c r="IJQ220" s="76"/>
      <c r="IJR220" s="76"/>
      <c r="IJS220" s="76"/>
      <c r="IJT220" s="76"/>
      <c r="IJU220" s="76"/>
      <c r="IJV220" s="76"/>
      <c r="IJW220" s="76"/>
      <c r="IJX220" s="76"/>
      <c r="IJY220" s="76"/>
      <c r="IJZ220" s="76"/>
      <c r="IKA220" s="76"/>
      <c r="IKB220" s="76"/>
      <c r="IKC220" s="76"/>
      <c r="IKD220" s="76"/>
      <c r="IKE220" s="76"/>
      <c r="IKF220" s="76"/>
      <c r="IKG220" s="76"/>
      <c r="IKH220" s="76"/>
      <c r="IKI220" s="76"/>
      <c r="IKJ220" s="76"/>
      <c r="IKK220" s="76"/>
      <c r="IKL220" s="76"/>
      <c r="IKM220" s="76"/>
      <c r="IKN220" s="76"/>
      <c r="IKO220" s="76"/>
      <c r="IKP220" s="76"/>
      <c r="IKQ220" s="76"/>
      <c r="IKR220" s="76"/>
      <c r="IKS220" s="76"/>
      <c r="IKT220" s="76"/>
      <c r="IKU220" s="76"/>
      <c r="IKV220" s="76"/>
      <c r="IKW220" s="76"/>
      <c r="IKX220" s="76"/>
      <c r="IKY220" s="76"/>
      <c r="IKZ220" s="76"/>
      <c r="ILA220" s="76"/>
      <c r="ILB220" s="76"/>
      <c r="ILC220" s="76"/>
      <c r="ILD220" s="76"/>
      <c r="ILE220" s="76"/>
      <c r="ILF220" s="76"/>
      <c r="ILG220" s="76"/>
      <c r="ILH220" s="76"/>
      <c r="ILI220" s="76"/>
      <c r="ILJ220" s="76"/>
      <c r="ILK220" s="76"/>
      <c r="ILL220" s="76"/>
      <c r="ILM220" s="76"/>
      <c r="ILN220" s="76"/>
      <c r="ILO220" s="76"/>
      <c r="ILP220" s="76"/>
      <c r="ILQ220" s="76"/>
      <c r="ILR220" s="76"/>
      <c r="ILS220" s="76"/>
      <c r="ILT220" s="76"/>
      <c r="ILU220" s="76"/>
      <c r="ILV220" s="76"/>
      <c r="ILW220" s="76"/>
      <c r="ILX220" s="76"/>
      <c r="ILY220" s="76"/>
      <c r="ILZ220" s="76"/>
      <c r="IMA220" s="76"/>
      <c r="IMB220" s="76"/>
      <c r="IMC220" s="76"/>
      <c r="IMD220" s="76"/>
      <c r="IME220" s="76"/>
      <c r="IMF220" s="76"/>
      <c r="IMG220" s="76"/>
      <c r="IMH220" s="76"/>
      <c r="IMI220" s="76"/>
      <c r="IMJ220" s="76"/>
      <c r="IMK220" s="76"/>
      <c r="IML220" s="76"/>
      <c r="IMM220" s="76"/>
      <c r="IMN220" s="76"/>
      <c r="IMO220" s="76"/>
      <c r="IMP220" s="76"/>
      <c r="IMQ220" s="76"/>
      <c r="IMR220" s="76"/>
      <c r="IMS220" s="76"/>
      <c r="IMT220" s="76"/>
      <c r="IMU220" s="76"/>
      <c r="IMV220" s="76"/>
      <c r="IMW220" s="76"/>
      <c r="IMX220" s="76"/>
      <c r="IMY220" s="76"/>
      <c r="IMZ220" s="76"/>
      <c r="INA220" s="76"/>
      <c r="INB220" s="76"/>
      <c r="INC220" s="76"/>
      <c r="IND220" s="76"/>
      <c r="INE220" s="76"/>
      <c r="INF220" s="76"/>
      <c r="ING220" s="76"/>
      <c r="INH220" s="76"/>
      <c r="INI220" s="76"/>
      <c r="INJ220" s="76"/>
      <c r="INK220" s="76"/>
      <c r="INL220" s="76"/>
      <c r="INM220" s="76"/>
      <c r="INN220" s="76"/>
      <c r="INO220" s="76"/>
      <c r="INP220" s="76"/>
      <c r="INQ220" s="76"/>
      <c r="INR220" s="76"/>
      <c r="INS220" s="76"/>
      <c r="INT220" s="76"/>
      <c r="INU220" s="76"/>
      <c r="INV220" s="76"/>
      <c r="INW220" s="76"/>
      <c r="INX220" s="76"/>
      <c r="INY220" s="76"/>
      <c r="INZ220" s="76"/>
      <c r="IOA220" s="76"/>
      <c r="IOB220" s="76"/>
      <c r="IOC220" s="76"/>
      <c r="IOD220" s="76"/>
      <c r="IOE220" s="76"/>
      <c r="IOF220" s="76"/>
      <c r="IOG220" s="76"/>
      <c r="IOH220" s="76"/>
      <c r="IOI220" s="76"/>
      <c r="IOJ220" s="76"/>
      <c r="IOK220" s="76"/>
      <c r="IOL220" s="76"/>
      <c r="IOM220" s="76"/>
      <c r="ION220" s="76"/>
      <c r="IOO220" s="76"/>
      <c r="IOP220" s="76"/>
      <c r="IOQ220" s="76"/>
      <c r="IOR220" s="76"/>
      <c r="IOS220" s="76"/>
      <c r="IOT220" s="76"/>
      <c r="IOU220" s="76"/>
      <c r="IOV220" s="76"/>
      <c r="IOW220" s="76"/>
      <c r="IOX220" s="76"/>
      <c r="IOY220" s="76"/>
      <c r="IOZ220" s="76"/>
      <c r="IPA220" s="76"/>
      <c r="IPB220" s="76"/>
      <c r="IPC220" s="76"/>
      <c r="IPD220" s="76"/>
      <c r="IPE220" s="76"/>
      <c r="IPF220" s="76"/>
      <c r="IPG220" s="76"/>
      <c r="IPH220" s="76"/>
      <c r="IPI220" s="76"/>
      <c r="IPJ220" s="76"/>
      <c r="IPK220" s="76"/>
      <c r="IPL220" s="76"/>
      <c r="IPM220" s="76"/>
      <c r="IPN220" s="76"/>
      <c r="IPO220" s="76"/>
      <c r="IPP220" s="76"/>
      <c r="IPQ220" s="76"/>
      <c r="IPR220" s="76"/>
      <c r="IPS220" s="76"/>
      <c r="IPT220" s="76"/>
      <c r="IPU220" s="76"/>
      <c r="IPV220" s="76"/>
      <c r="IPW220" s="76"/>
      <c r="IPX220" s="76"/>
      <c r="IPY220" s="76"/>
      <c r="IPZ220" s="76"/>
      <c r="IQA220" s="76"/>
      <c r="IQB220" s="76"/>
      <c r="IQC220" s="76"/>
      <c r="IQD220" s="76"/>
      <c r="IQE220" s="76"/>
      <c r="IQF220" s="76"/>
      <c r="IQG220" s="76"/>
      <c r="IQH220" s="76"/>
      <c r="IQI220" s="76"/>
      <c r="IQJ220" s="76"/>
      <c r="IQK220" s="76"/>
      <c r="IQL220" s="76"/>
      <c r="IQM220" s="76"/>
      <c r="IQN220" s="76"/>
      <c r="IQO220" s="76"/>
      <c r="IQP220" s="76"/>
      <c r="IQQ220" s="76"/>
      <c r="IQR220" s="76"/>
      <c r="IQS220" s="76"/>
      <c r="IQT220" s="76"/>
      <c r="IQU220" s="76"/>
      <c r="IQV220" s="76"/>
      <c r="IQW220" s="76"/>
      <c r="IQX220" s="76"/>
      <c r="IQY220" s="76"/>
      <c r="IQZ220" s="76"/>
      <c r="IRA220" s="76"/>
      <c r="IRB220" s="76"/>
      <c r="IRC220" s="76"/>
      <c r="IRD220" s="76"/>
      <c r="IRE220" s="76"/>
      <c r="IRF220" s="76"/>
      <c r="IRG220" s="76"/>
      <c r="IRH220" s="76"/>
      <c r="IRI220" s="76"/>
      <c r="IRJ220" s="76"/>
      <c r="IRK220" s="76"/>
      <c r="IRL220" s="76"/>
      <c r="IRM220" s="76"/>
      <c r="IRN220" s="76"/>
      <c r="IRO220" s="76"/>
      <c r="IRP220" s="76"/>
      <c r="IRQ220" s="76"/>
      <c r="IRR220" s="76"/>
      <c r="IRS220" s="76"/>
      <c r="IRT220" s="76"/>
      <c r="IRU220" s="76"/>
      <c r="IRV220" s="76"/>
      <c r="IRW220" s="76"/>
      <c r="IRX220" s="76"/>
      <c r="IRY220" s="76"/>
      <c r="IRZ220" s="76"/>
      <c r="ISA220" s="76"/>
      <c r="ISB220" s="76"/>
      <c r="ISC220" s="76"/>
      <c r="ISD220" s="76"/>
      <c r="ISE220" s="76"/>
      <c r="ISF220" s="76"/>
      <c r="ISG220" s="76"/>
      <c r="ISH220" s="76"/>
      <c r="ISI220" s="76"/>
      <c r="ISJ220" s="76"/>
      <c r="ISK220" s="76"/>
      <c r="ISL220" s="76"/>
      <c r="ISM220" s="76"/>
      <c r="ISN220" s="76"/>
      <c r="ISO220" s="76"/>
      <c r="ISP220" s="76"/>
      <c r="ISQ220" s="76"/>
      <c r="ISR220" s="76"/>
      <c r="ISS220" s="76"/>
      <c r="IST220" s="76"/>
      <c r="ISU220" s="76"/>
      <c r="ISV220" s="76"/>
      <c r="ISW220" s="76"/>
      <c r="ISX220" s="76"/>
      <c r="ISY220" s="76"/>
      <c r="ISZ220" s="76"/>
      <c r="ITA220" s="76"/>
      <c r="ITB220" s="76"/>
      <c r="ITC220" s="76"/>
      <c r="ITD220" s="76"/>
      <c r="ITE220" s="76"/>
      <c r="ITF220" s="76"/>
      <c r="ITG220" s="76"/>
      <c r="ITH220" s="76"/>
      <c r="ITI220" s="76"/>
      <c r="ITJ220" s="76"/>
      <c r="ITK220" s="76"/>
      <c r="ITL220" s="76"/>
      <c r="ITM220" s="76"/>
      <c r="ITN220" s="76"/>
      <c r="ITO220" s="76"/>
      <c r="ITP220" s="76"/>
      <c r="ITQ220" s="76"/>
      <c r="ITR220" s="76"/>
      <c r="ITS220" s="76"/>
      <c r="ITT220" s="76"/>
      <c r="ITU220" s="76"/>
      <c r="ITV220" s="76"/>
      <c r="ITW220" s="76"/>
      <c r="ITX220" s="76"/>
      <c r="ITY220" s="76"/>
      <c r="ITZ220" s="76"/>
      <c r="IUA220" s="76"/>
      <c r="IUB220" s="76"/>
      <c r="IUC220" s="76"/>
      <c r="IUD220" s="76"/>
      <c r="IUE220" s="76"/>
      <c r="IUF220" s="76"/>
      <c r="IUG220" s="76"/>
      <c r="IUH220" s="76"/>
      <c r="IUI220" s="76"/>
      <c r="IUJ220" s="76"/>
      <c r="IUK220" s="76"/>
      <c r="IUL220" s="76"/>
      <c r="IUM220" s="76"/>
      <c r="IUN220" s="76"/>
      <c r="IUO220" s="76"/>
      <c r="IUP220" s="76"/>
      <c r="IUQ220" s="76"/>
      <c r="IUR220" s="76"/>
      <c r="IUS220" s="76"/>
      <c r="IUT220" s="76"/>
      <c r="IUU220" s="76"/>
      <c r="IUV220" s="76"/>
      <c r="IUW220" s="76"/>
      <c r="IUX220" s="76"/>
      <c r="IUY220" s="76"/>
      <c r="IUZ220" s="76"/>
      <c r="IVA220" s="76"/>
      <c r="IVB220" s="76"/>
      <c r="IVC220" s="76"/>
      <c r="IVD220" s="76"/>
      <c r="IVE220" s="76"/>
      <c r="IVF220" s="76"/>
      <c r="IVG220" s="76"/>
      <c r="IVH220" s="76"/>
      <c r="IVI220" s="76"/>
      <c r="IVJ220" s="76"/>
      <c r="IVK220" s="76"/>
      <c r="IVL220" s="76"/>
      <c r="IVM220" s="76"/>
      <c r="IVN220" s="76"/>
      <c r="IVO220" s="76"/>
      <c r="IVP220" s="76"/>
      <c r="IVQ220" s="76"/>
      <c r="IVR220" s="76"/>
      <c r="IVS220" s="76"/>
      <c r="IVT220" s="76"/>
      <c r="IVU220" s="76"/>
      <c r="IVV220" s="76"/>
      <c r="IVW220" s="76"/>
      <c r="IVX220" s="76"/>
      <c r="IVY220" s="76"/>
      <c r="IVZ220" s="76"/>
      <c r="IWA220" s="76"/>
      <c r="IWB220" s="76"/>
      <c r="IWC220" s="76"/>
      <c r="IWD220" s="76"/>
      <c r="IWE220" s="76"/>
      <c r="IWF220" s="76"/>
      <c r="IWG220" s="76"/>
      <c r="IWH220" s="76"/>
      <c r="IWI220" s="76"/>
      <c r="IWJ220" s="76"/>
      <c r="IWK220" s="76"/>
      <c r="IWL220" s="76"/>
      <c r="IWM220" s="76"/>
      <c r="IWN220" s="76"/>
      <c r="IWO220" s="76"/>
      <c r="IWP220" s="76"/>
      <c r="IWQ220" s="76"/>
      <c r="IWR220" s="76"/>
      <c r="IWS220" s="76"/>
      <c r="IWT220" s="76"/>
      <c r="IWU220" s="76"/>
      <c r="IWV220" s="76"/>
      <c r="IWW220" s="76"/>
      <c r="IWX220" s="76"/>
      <c r="IWY220" s="76"/>
      <c r="IWZ220" s="76"/>
      <c r="IXA220" s="76"/>
      <c r="IXB220" s="76"/>
      <c r="IXC220" s="76"/>
      <c r="IXD220" s="76"/>
      <c r="IXE220" s="76"/>
      <c r="IXF220" s="76"/>
      <c r="IXG220" s="76"/>
      <c r="IXH220" s="76"/>
      <c r="IXI220" s="76"/>
      <c r="IXJ220" s="76"/>
      <c r="IXK220" s="76"/>
      <c r="IXL220" s="76"/>
      <c r="IXM220" s="76"/>
      <c r="IXN220" s="76"/>
      <c r="IXO220" s="76"/>
      <c r="IXP220" s="76"/>
      <c r="IXQ220" s="76"/>
      <c r="IXR220" s="76"/>
      <c r="IXS220" s="76"/>
      <c r="IXT220" s="76"/>
      <c r="IXU220" s="76"/>
      <c r="IXV220" s="76"/>
      <c r="IXW220" s="76"/>
      <c r="IXX220" s="76"/>
      <c r="IXY220" s="76"/>
      <c r="IXZ220" s="76"/>
      <c r="IYA220" s="76"/>
      <c r="IYB220" s="76"/>
      <c r="IYC220" s="76"/>
      <c r="IYD220" s="76"/>
      <c r="IYE220" s="76"/>
      <c r="IYF220" s="76"/>
      <c r="IYG220" s="76"/>
      <c r="IYH220" s="76"/>
      <c r="IYI220" s="76"/>
      <c r="IYJ220" s="76"/>
      <c r="IYK220" s="76"/>
      <c r="IYL220" s="76"/>
      <c r="IYM220" s="76"/>
      <c r="IYN220" s="76"/>
      <c r="IYO220" s="76"/>
      <c r="IYP220" s="76"/>
      <c r="IYQ220" s="76"/>
      <c r="IYR220" s="76"/>
      <c r="IYS220" s="76"/>
      <c r="IYT220" s="76"/>
      <c r="IYU220" s="76"/>
      <c r="IYV220" s="76"/>
      <c r="IYW220" s="76"/>
      <c r="IYX220" s="76"/>
      <c r="IYY220" s="76"/>
      <c r="IYZ220" s="76"/>
      <c r="IZA220" s="76"/>
      <c r="IZB220" s="76"/>
      <c r="IZC220" s="76"/>
      <c r="IZD220" s="76"/>
      <c r="IZE220" s="76"/>
      <c r="IZF220" s="76"/>
      <c r="IZG220" s="76"/>
      <c r="IZH220" s="76"/>
      <c r="IZI220" s="76"/>
      <c r="IZJ220" s="76"/>
      <c r="IZK220" s="76"/>
      <c r="IZL220" s="76"/>
      <c r="IZM220" s="76"/>
      <c r="IZN220" s="76"/>
      <c r="IZO220" s="76"/>
      <c r="IZP220" s="76"/>
      <c r="IZQ220" s="76"/>
      <c r="IZR220" s="76"/>
      <c r="IZS220" s="76"/>
      <c r="IZT220" s="76"/>
      <c r="IZU220" s="76"/>
      <c r="IZV220" s="76"/>
      <c r="IZW220" s="76"/>
      <c r="IZX220" s="76"/>
      <c r="IZY220" s="76"/>
      <c r="IZZ220" s="76"/>
      <c r="JAA220" s="76"/>
      <c r="JAB220" s="76"/>
      <c r="JAC220" s="76"/>
      <c r="JAD220" s="76"/>
      <c r="JAE220" s="76"/>
      <c r="JAF220" s="76"/>
      <c r="JAG220" s="76"/>
      <c r="JAH220" s="76"/>
      <c r="JAI220" s="76"/>
      <c r="JAJ220" s="76"/>
      <c r="JAK220" s="76"/>
      <c r="JAL220" s="76"/>
      <c r="JAM220" s="76"/>
      <c r="JAN220" s="76"/>
      <c r="JAO220" s="76"/>
      <c r="JAP220" s="76"/>
      <c r="JAQ220" s="76"/>
      <c r="JAR220" s="76"/>
      <c r="JAS220" s="76"/>
      <c r="JAT220" s="76"/>
      <c r="JAU220" s="76"/>
      <c r="JAV220" s="76"/>
      <c r="JAW220" s="76"/>
      <c r="JAX220" s="76"/>
      <c r="JAY220" s="76"/>
      <c r="JAZ220" s="76"/>
      <c r="JBA220" s="76"/>
      <c r="JBB220" s="76"/>
      <c r="JBC220" s="76"/>
      <c r="JBD220" s="76"/>
      <c r="JBE220" s="76"/>
      <c r="JBF220" s="76"/>
      <c r="JBG220" s="76"/>
      <c r="JBH220" s="76"/>
      <c r="JBI220" s="76"/>
      <c r="JBJ220" s="76"/>
      <c r="JBK220" s="76"/>
      <c r="JBL220" s="76"/>
      <c r="JBM220" s="76"/>
      <c r="JBN220" s="76"/>
      <c r="JBO220" s="76"/>
      <c r="JBP220" s="76"/>
      <c r="JBQ220" s="76"/>
      <c r="JBR220" s="76"/>
      <c r="JBS220" s="76"/>
      <c r="JBT220" s="76"/>
      <c r="JBU220" s="76"/>
      <c r="JBV220" s="76"/>
      <c r="JBW220" s="76"/>
      <c r="JBX220" s="76"/>
      <c r="JBY220" s="76"/>
      <c r="JBZ220" s="76"/>
      <c r="JCA220" s="76"/>
      <c r="JCB220" s="76"/>
      <c r="JCC220" s="76"/>
      <c r="JCD220" s="76"/>
      <c r="JCE220" s="76"/>
      <c r="JCF220" s="76"/>
      <c r="JCG220" s="76"/>
      <c r="JCH220" s="76"/>
      <c r="JCI220" s="76"/>
      <c r="JCJ220" s="76"/>
      <c r="JCK220" s="76"/>
      <c r="JCL220" s="76"/>
      <c r="JCM220" s="76"/>
      <c r="JCN220" s="76"/>
      <c r="JCO220" s="76"/>
      <c r="JCP220" s="76"/>
      <c r="JCQ220" s="76"/>
      <c r="JCR220" s="76"/>
      <c r="JCS220" s="76"/>
      <c r="JCT220" s="76"/>
      <c r="JCU220" s="76"/>
      <c r="JCV220" s="76"/>
      <c r="JCW220" s="76"/>
      <c r="JCX220" s="76"/>
      <c r="JCY220" s="76"/>
      <c r="JCZ220" s="76"/>
      <c r="JDA220" s="76"/>
      <c r="JDB220" s="76"/>
      <c r="JDC220" s="76"/>
      <c r="JDD220" s="76"/>
      <c r="JDE220" s="76"/>
      <c r="JDF220" s="76"/>
      <c r="JDG220" s="76"/>
      <c r="JDH220" s="76"/>
      <c r="JDI220" s="76"/>
      <c r="JDJ220" s="76"/>
      <c r="JDK220" s="76"/>
      <c r="JDL220" s="76"/>
      <c r="JDM220" s="76"/>
      <c r="JDN220" s="76"/>
      <c r="JDO220" s="76"/>
      <c r="JDP220" s="76"/>
      <c r="JDQ220" s="76"/>
      <c r="JDR220" s="76"/>
      <c r="JDS220" s="76"/>
      <c r="JDT220" s="76"/>
      <c r="JDU220" s="76"/>
      <c r="JDV220" s="76"/>
      <c r="JDW220" s="76"/>
      <c r="JDX220" s="76"/>
      <c r="JDY220" s="76"/>
      <c r="JDZ220" s="76"/>
      <c r="JEA220" s="76"/>
      <c r="JEB220" s="76"/>
      <c r="JEC220" s="76"/>
      <c r="JED220" s="76"/>
      <c r="JEE220" s="76"/>
      <c r="JEF220" s="76"/>
      <c r="JEG220" s="76"/>
      <c r="JEH220" s="76"/>
      <c r="JEI220" s="76"/>
      <c r="JEJ220" s="76"/>
      <c r="JEK220" s="76"/>
      <c r="JEL220" s="76"/>
      <c r="JEM220" s="76"/>
      <c r="JEN220" s="76"/>
      <c r="JEO220" s="76"/>
      <c r="JEP220" s="76"/>
      <c r="JEQ220" s="76"/>
      <c r="JER220" s="76"/>
      <c r="JES220" s="76"/>
      <c r="JET220" s="76"/>
      <c r="JEU220" s="76"/>
      <c r="JEV220" s="76"/>
      <c r="JEW220" s="76"/>
      <c r="JEX220" s="76"/>
      <c r="JEY220" s="76"/>
      <c r="JEZ220" s="76"/>
      <c r="JFA220" s="76"/>
      <c r="JFB220" s="76"/>
      <c r="JFC220" s="76"/>
      <c r="JFD220" s="76"/>
      <c r="JFE220" s="76"/>
      <c r="JFF220" s="76"/>
      <c r="JFG220" s="76"/>
      <c r="JFH220" s="76"/>
      <c r="JFI220" s="76"/>
      <c r="JFJ220" s="76"/>
      <c r="JFK220" s="76"/>
      <c r="JFL220" s="76"/>
      <c r="JFM220" s="76"/>
      <c r="JFN220" s="76"/>
      <c r="JFO220" s="76"/>
      <c r="JFP220" s="76"/>
      <c r="JFQ220" s="76"/>
      <c r="JFR220" s="76"/>
      <c r="JFS220" s="76"/>
      <c r="JFT220" s="76"/>
      <c r="JFU220" s="76"/>
      <c r="JFV220" s="76"/>
      <c r="JFW220" s="76"/>
      <c r="JFX220" s="76"/>
      <c r="JFY220" s="76"/>
      <c r="JFZ220" s="76"/>
      <c r="JGA220" s="76"/>
      <c r="JGB220" s="76"/>
      <c r="JGC220" s="76"/>
      <c r="JGD220" s="76"/>
      <c r="JGE220" s="76"/>
      <c r="JGF220" s="76"/>
      <c r="JGG220" s="76"/>
      <c r="JGH220" s="76"/>
      <c r="JGI220" s="76"/>
      <c r="JGJ220" s="76"/>
      <c r="JGK220" s="76"/>
      <c r="JGL220" s="76"/>
      <c r="JGM220" s="76"/>
      <c r="JGN220" s="76"/>
      <c r="JGO220" s="76"/>
      <c r="JGP220" s="76"/>
      <c r="JGQ220" s="76"/>
      <c r="JGR220" s="76"/>
      <c r="JGS220" s="76"/>
      <c r="JGT220" s="76"/>
      <c r="JGU220" s="76"/>
      <c r="JGV220" s="76"/>
      <c r="JGW220" s="76"/>
      <c r="JGX220" s="76"/>
      <c r="JGY220" s="76"/>
      <c r="JGZ220" s="76"/>
      <c r="JHA220" s="76"/>
      <c r="JHB220" s="76"/>
      <c r="JHC220" s="76"/>
      <c r="JHD220" s="76"/>
      <c r="JHE220" s="76"/>
      <c r="JHF220" s="76"/>
      <c r="JHG220" s="76"/>
      <c r="JHH220" s="76"/>
      <c r="JHI220" s="76"/>
      <c r="JHJ220" s="76"/>
      <c r="JHK220" s="76"/>
      <c r="JHL220" s="76"/>
      <c r="JHM220" s="76"/>
      <c r="JHN220" s="76"/>
      <c r="JHO220" s="76"/>
      <c r="JHP220" s="76"/>
      <c r="JHQ220" s="76"/>
      <c r="JHR220" s="76"/>
      <c r="JHS220" s="76"/>
      <c r="JHT220" s="76"/>
      <c r="JHU220" s="76"/>
      <c r="JHV220" s="76"/>
      <c r="JHW220" s="76"/>
      <c r="JHX220" s="76"/>
      <c r="JHY220" s="76"/>
      <c r="JHZ220" s="76"/>
      <c r="JIA220" s="76"/>
      <c r="JIB220" s="76"/>
      <c r="JIC220" s="76"/>
      <c r="JID220" s="76"/>
      <c r="JIE220" s="76"/>
      <c r="JIF220" s="76"/>
      <c r="JIG220" s="76"/>
      <c r="JIH220" s="76"/>
      <c r="JII220" s="76"/>
      <c r="JIJ220" s="76"/>
      <c r="JIK220" s="76"/>
      <c r="JIL220" s="76"/>
      <c r="JIM220" s="76"/>
      <c r="JIN220" s="76"/>
      <c r="JIO220" s="76"/>
      <c r="JIP220" s="76"/>
      <c r="JIQ220" s="76"/>
      <c r="JIR220" s="76"/>
      <c r="JIS220" s="76"/>
      <c r="JIT220" s="76"/>
      <c r="JIU220" s="76"/>
      <c r="JIV220" s="76"/>
      <c r="JIW220" s="76"/>
      <c r="JIX220" s="76"/>
      <c r="JIY220" s="76"/>
      <c r="JIZ220" s="76"/>
      <c r="JJA220" s="76"/>
      <c r="JJB220" s="76"/>
      <c r="JJC220" s="76"/>
      <c r="JJD220" s="76"/>
      <c r="JJE220" s="76"/>
      <c r="JJF220" s="76"/>
      <c r="JJG220" s="76"/>
      <c r="JJH220" s="76"/>
      <c r="JJI220" s="76"/>
      <c r="JJJ220" s="76"/>
      <c r="JJK220" s="76"/>
      <c r="JJL220" s="76"/>
      <c r="JJM220" s="76"/>
      <c r="JJN220" s="76"/>
      <c r="JJO220" s="76"/>
      <c r="JJP220" s="76"/>
      <c r="JJQ220" s="76"/>
      <c r="JJR220" s="76"/>
      <c r="JJS220" s="76"/>
      <c r="JJT220" s="76"/>
      <c r="JJU220" s="76"/>
      <c r="JJV220" s="76"/>
      <c r="JJW220" s="76"/>
      <c r="JJX220" s="76"/>
      <c r="JJY220" s="76"/>
      <c r="JJZ220" s="76"/>
      <c r="JKA220" s="76"/>
      <c r="JKB220" s="76"/>
      <c r="JKC220" s="76"/>
      <c r="JKD220" s="76"/>
      <c r="JKE220" s="76"/>
      <c r="JKF220" s="76"/>
      <c r="JKG220" s="76"/>
      <c r="JKH220" s="76"/>
      <c r="JKI220" s="76"/>
      <c r="JKJ220" s="76"/>
      <c r="JKK220" s="76"/>
      <c r="JKL220" s="76"/>
      <c r="JKM220" s="76"/>
      <c r="JKN220" s="76"/>
      <c r="JKO220" s="76"/>
      <c r="JKP220" s="76"/>
      <c r="JKQ220" s="76"/>
      <c r="JKR220" s="76"/>
      <c r="JKS220" s="76"/>
      <c r="JKT220" s="76"/>
      <c r="JKU220" s="76"/>
      <c r="JKV220" s="76"/>
      <c r="JKW220" s="76"/>
      <c r="JKX220" s="76"/>
      <c r="JKY220" s="76"/>
      <c r="JKZ220" s="76"/>
      <c r="JLA220" s="76"/>
      <c r="JLB220" s="76"/>
      <c r="JLC220" s="76"/>
      <c r="JLD220" s="76"/>
      <c r="JLE220" s="76"/>
      <c r="JLF220" s="76"/>
      <c r="JLG220" s="76"/>
      <c r="JLH220" s="76"/>
      <c r="JLI220" s="76"/>
      <c r="JLJ220" s="76"/>
      <c r="JLK220" s="76"/>
      <c r="JLL220" s="76"/>
      <c r="JLM220" s="76"/>
      <c r="JLN220" s="76"/>
      <c r="JLO220" s="76"/>
      <c r="JLP220" s="76"/>
      <c r="JLQ220" s="76"/>
      <c r="JLR220" s="76"/>
      <c r="JLS220" s="76"/>
      <c r="JLT220" s="76"/>
      <c r="JLU220" s="76"/>
      <c r="JLV220" s="76"/>
      <c r="JLW220" s="76"/>
      <c r="JLX220" s="76"/>
      <c r="JLY220" s="76"/>
      <c r="JLZ220" s="76"/>
      <c r="JMA220" s="76"/>
      <c r="JMB220" s="76"/>
      <c r="JMC220" s="76"/>
      <c r="JMD220" s="76"/>
      <c r="JME220" s="76"/>
      <c r="JMF220" s="76"/>
      <c r="JMG220" s="76"/>
      <c r="JMH220" s="76"/>
      <c r="JMI220" s="76"/>
      <c r="JMJ220" s="76"/>
      <c r="JMK220" s="76"/>
      <c r="JML220" s="76"/>
      <c r="JMM220" s="76"/>
      <c r="JMN220" s="76"/>
      <c r="JMO220" s="76"/>
      <c r="JMP220" s="76"/>
      <c r="JMQ220" s="76"/>
      <c r="JMR220" s="76"/>
      <c r="JMS220" s="76"/>
      <c r="JMT220" s="76"/>
      <c r="JMU220" s="76"/>
      <c r="JMV220" s="76"/>
      <c r="JMW220" s="76"/>
      <c r="JMX220" s="76"/>
      <c r="JMY220" s="76"/>
      <c r="JMZ220" s="76"/>
      <c r="JNA220" s="76"/>
      <c r="JNB220" s="76"/>
      <c r="JNC220" s="76"/>
      <c r="JND220" s="76"/>
      <c r="JNE220" s="76"/>
      <c r="JNF220" s="76"/>
      <c r="JNG220" s="76"/>
      <c r="JNH220" s="76"/>
      <c r="JNI220" s="76"/>
      <c r="JNJ220" s="76"/>
      <c r="JNK220" s="76"/>
      <c r="JNL220" s="76"/>
      <c r="JNM220" s="76"/>
      <c r="JNN220" s="76"/>
      <c r="JNO220" s="76"/>
      <c r="JNP220" s="76"/>
      <c r="JNQ220" s="76"/>
      <c r="JNR220" s="76"/>
      <c r="JNS220" s="76"/>
      <c r="JNT220" s="76"/>
      <c r="JNU220" s="76"/>
      <c r="JNV220" s="76"/>
      <c r="JNW220" s="76"/>
      <c r="JNX220" s="76"/>
      <c r="JNY220" s="76"/>
      <c r="JNZ220" s="76"/>
      <c r="JOA220" s="76"/>
      <c r="JOB220" s="76"/>
      <c r="JOC220" s="76"/>
      <c r="JOD220" s="76"/>
      <c r="JOE220" s="76"/>
      <c r="JOF220" s="76"/>
      <c r="JOG220" s="76"/>
      <c r="JOH220" s="76"/>
      <c r="JOI220" s="76"/>
      <c r="JOJ220" s="76"/>
      <c r="JOK220" s="76"/>
      <c r="JOL220" s="76"/>
      <c r="JOM220" s="76"/>
      <c r="JON220" s="76"/>
      <c r="JOO220" s="76"/>
      <c r="JOP220" s="76"/>
      <c r="JOQ220" s="76"/>
      <c r="JOR220" s="76"/>
      <c r="JOS220" s="76"/>
      <c r="JOT220" s="76"/>
      <c r="JOU220" s="76"/>
      <c r="JOV220" s="76"/>
      <c r="JOW220" s="76"/>
      <c r="JOX220" s="76"/>
      <c r="JOY220" s="76"/>
      <c r="JOZ220" s="76"/>
      <c r="JPA220" s="76"/>
      <c r="JPB220" s="76"/>
      <c r="JPC220" s="76"/>
      <c r="JPD220" s="76"/>
      <c r="JPE220" s="76"/>
      <c r="JPF220" s="76"/>
      <c r="JPG220" s="76"/>
      <c r="JPH220" s="76"/>
      <c r="JPI220" s="76"/>
      <c r="JPJ220" s="76"/>
      <c r="JPK220" s="76"/>
      <c r="JPL220" s="76"/>
      <c r="JPM220" s="76"/>
      <c r="JPN220" s="76"/>
      <c r="JPO220" s="76"/>
      <c r="JPP220" s="76"/>
      <c r="JPQ220" s="76"/>
      <c r="JPR220" s="76"/>
      <c r="JPS220" s="76"/>
      <c r="JPT220" s="76"/>
      <c r="JPU220" s="76"/>
      <c r="JPV220" s="76"/>
      <c r="JPW220" s="76"/>
      <c r="JPX220" s="76"/>
      <c r="JPY220" s="76"/>
      <c r="JPZ220" s="76"/>
      <c r="JQA220" s="76"/>
      <c r="JQB220" s="76"/>
      <c r="JQC220" s="76"/>
      <c r="JQD220" s="76"/>
      <c r="JQE220" s="76"/>
      <c r="JQF220" s="76"/>
      <c r="JQG220" s="76"/>
      <c r="JQH220" s="76"/>
      <c r="JQI220" s="76"/>
      <c r="JQJ220" s="76"/>
      <c r="JQK220" s="76"/>
      <c r="JQL220" s="76"/>
      <c r="JQM220" s="76"/>
      <c r="JQN220" s="76"/>
      <c r="JQO220" s="76"/>
      <c r="JQP220" s="76"/>
      <c r="JQQ220" s="76"/>
      <c r="JQR220" s="76"/>
      <c r="JQS220" s="76"/>
      <c r="JQT220" s="76"/>
      <c r="JQU220" s="76"/>
      <c r="JQV220" s="76"/>
      <c r="JQW220" s="76"/>
      <c r="JQX220" s="76"/>
      <c r="JQY220" s="76"/>
      <c r="JQZ220" s="76"/>
      <c r="JRA220" s="76"/>
      <c r="JRB220" s="76"/>
      <c r="JRC220" s="76"/>
      <c r="JRD220" s="76"/>
      <c r="JRE220" s="76"/>
      <c r="JRF220" s="76"/>
      <c r="JRG220" s="76"/>
      <c r="JRH220" s="76"/>
      <c r="JRI220" s="76"/>
      <c r="JRJ220" s="76"/>
      <c r="JRK220" s="76"/>
      <c r="JRL220" s="76"/>
      <c r="JRM220" s="76"/>
      <c r="JRN220" s="76"/>
      <c r="JRO220" s="76"/>
      <c r="JRP220" s="76"/>
      <c r="JRQ220" s="76"/>
      <c r="JRR220" s="76"/>
      <c r="JRS220" s="76"/>
      <c r="JRT220" s="76"/>
      <c r="JRU220" s="76"/>
      <c r="JRV220" s="76"/>
      <c r="JRW220" s="76"/>
      <c r="JRX220" s="76"/>
      <c r="JRY220" s="76"/>
      <c r="JRZ220" s="76"/>
      <c r="JSA220" s="76"/>
      <c r="JSB220" s="76"/>
      <c r="JSC220" s="76"/>
      <c r="JSD220" s="76"/>
      <c r="JSE220" s="76"/>
      <c r="JSF220" s="76"/>
      <c r="JSG220" s="76"/>
      <c r="JSH220" s="76"/>
      <c r="JSI220" s="76"/>
      <c r="JSJ220" s="76"/>
      <c r="JSK220" s="76"/>
      <c r="JSL220" s="76"/>
      <c r="JSM220" s="76"/>
      <c r="JSN220" s="76"/>
      <c r="JSO220" s="76"/>
      <c r="JSP220" s="76"/>
      <c r="JSQ220" s="76"/>
      <c r="JSR220" s="76"/>
      <c r="JSS220" s="76"/>
      <c r="JST220" s="76"/>
      <c r="JSU220" s="76"/>
      <c r="JSV220" s="76"/>
      <c r="JSW220" s="76"/>
      <c r="JSX220" s="76"/>
      <c r="JSY220" s="76"/>
      <c r="JSZ220" s="76"/>
      <c r="JTA220" s="76"/>
      <c r="JTB220" s="76"/>
      <c r="JTC220" s="76"/>
      <c r="JTD220" s="76"/>
      <c r="JTE220" s="76"/>
      <c r="JTF220" s="76"/>
      <c r="JTG220" s="76"/>
      <c r="JTH220" s="76"/>
      <c r="JTI220" s="76"/>
      <c r="JTJ220" s="76"/>
      <c r="JTK220" s="76"/>
      <c r="JTL220" s="76"/>
      <c r="JTM220" s="76"/>
      <c r="JTN220" s="76"/>
      <c r="JTO220" s="76"/>
      <c r="JTP220" s="76"/>
      <c r="JTQ220" s="76"/>
      <c r="JTR220" s="76"/>
      <c r="JTS220" s="76"/>
      <c r="JTT220" s="76"/>
      <c r="JTU220" s="76"/>
      <c r="JTV220" s="76"/>
      <c r="JTW220" s="76"/>
      <c r="JTX220" s="76"/>
      <c r="JTY220" s="76"/>
      <c r="JTZ220" s="76"/>
      <c r="JUA220" s="76"/>
      <c r="JUB220" s="76"/>
      <c r="JUC220" s="76"/>
      <c r="JUD220" s="76"/>
      <c r="JUE220" s="76"/>
      <c r="JUF220" s="76"/>
      <c r="JUG220" s="76"/>
      <c r="JUH220" s="76"/>
      <c r="JUI220" s="76"/>
      <c r="JUJ220" s="76"/>
      <c r="JUK220" s="76"/>
      <c r="JUL220" s="76"/>
      <c r="JUM220" s="76"/>
      <c r="JUN220" s="76"/>
      <c r="JUO220" s="76"/>
      <c r="JUP220" s="76"/>
      <c r="JUQ220" s="76"/>
      <c r="JUR220" s="76"/>
      <c r="JUS220" s="76"/>
      <c r="JUT220" s="76"/>
      <c r="JUU220" s="76"/>
      <c r="JUV220" s="76"/>
      <c r="JUW220" s="76"/>
      <c r="JUX220" s="76"/>
      <c r="JUY220" s="76"/>
      <c r="JUZ220" s="76"/>
      <c r="JVA220" s="76"/>
      <c r="JVB220" s="76"/>
      <c r="JVC220" s="76"/>
      <c r="JVD220" s="76"/>
      <c r="JVE220" s="76"/>
      <c r="JVF220" s="76"/>
      <c r="JVG220" s="76"/>
      <c r="JVH220" s="76"/>
      <c r="JVI220" s="76"/>
      <c r="JVJ220" s="76"/>
      <c r="JVK220" s="76"/>
      <c r="JVL220" s="76"/>
      <c r="JVM220" s="76"/>
      <c r="JVN220" s="76"/>
      <c r="JVO220" s="76"/>
      <c r="JVP220" s="76"/>
      <c r="JVQ220" s="76"/>
      <c r="JVR220" s="76"/>
      <c r="JVS220" s="76"/>
      <c r="JVT220" s="76"/>
      <c r="JVU220" s="76"/>
      <c r="JVV220" s="76"/>
      <c r="JVW220" s="76"/>
      <c r="JVX220" s="76"/>
      <c r="JVY220" s="76"/>
      <c r="JVZ220" s="76"/>
      <c r="JWA220" s="76"/>
      <c r="JWB220" s="76"/>
      <c r="JWC220" s="76"/>
      <c r="JWD220" s="76"/>
      <c r="JWE220" s="76"/>
      <c r="JWF220" s="76"/>
      <c r="JWG220" s="76"/>
      <c r="JWH220" s="76"/>
      <c r="JWI220" s="76"/>
      <c r="JWJ220" s="76"/>
      <c r="JWK220" s="76"/>
      <c r="JWL220" s="76"/>
      <c r="JWM220" s="76"/>
      <c r="JWN220" s="76"/>
      <c r="JWO220" s="76"/>
      <c r="JWP220" s="76"/>
      <c r="JWQ220" s="76"/>
      <c r="JWR220" s="76"/>
      <c r="JWS220" s="76"/>
      <c r="JWT220" s="76"/>
      <c r="JWU220" s="76"/>
      <c r="JWV220" s="76"/>
      <c r="JWW220" s="76"/>
      <c r="JWX220" s="76"/>
      <c r="JWY220" s="76"/>
      <c r="JWZ220" s="76"/>
      <c r="JXA220" s="76"/>
      <c r="JXB220" s="76"/>
      <c r="JXC220" s="76"/>
      <c r="JXD220" s="76"/>
      <c r="JXE220" s="76"/>
      <c r="JXF220" s="76"/>
      <c r="JXG220" s="76"/>
      <c r="JXH220" s="76"/>
      <c r="JXI220" s="76"/>
      <c r="JXJ220" s="76"/>
      <c r="JXK220" s="76"/>
      <c r="JXL220" s="76"/>
      <c r="JXM220" s="76"/>
      <c r="JXN220" s="76"/>
      <c r="JXO220" s="76"/>
      <c r="JXP220" s="76"/>
      <c r="JXQ220" s="76"/>
      <c r="JXR220" s="76"/>
      <c r="JXS220" s="76"/>
      <c r="JXT220" s="76"/>
      <c r="JXU220" s="76"/>
      <c r="JXV220" s="76"/>
      <c r="JXW220" s="76"/>
      <c r="JXX220" s="76"/>
      <c r="JXY220" s="76"/>
      <c r="JXZ220" s="76"/>
      <c r="JYA220" s="76"/>
      <c r="JYB220" s="76"/>
      <c r="JYC220" s="76"/>
      <c r="JYD220" s="76"/>
      <c r="JYE220" s="76"/>
      <c r="JYF220" s="76"/>
      <c r="JYG220" s="76"/>
      <c r="JYH220" s="76"/>
      <c r="JYI220" s="76"/>
      <c r="JYJ220" s="76"/>
      <c r="JYK220" s="76"/>
      <c r="JYL220" s="76"/>
      <c r="JYM220" s="76"/>
      <c r="JYN220" s="76"/>
      <c r="JYO220" s="76"/>
      <c r="JYP220" s="76"/>
      <c r="JYQ220" s="76"/>
      <c r="JYR220" s="76"/>
      <c r="JYS220" s="76"/>
      <c r="JYT220" s="76"/>
      <c r="JYU220" s="76"/>
      <c r="JYV220" s="76"/>
      <c r="JYW220" s="76"/>
      <c r="JYX220" s="76"/>
      <c r="JYY220" s="76"/>
      <c r="JYZ220" s="76"/>
      <c r="JZA220" s="76"/>
      <c r="JZB220" s="76"/>
      <c r="JZC220" s="76"/>
      <c r="JZD220" s="76"/>
      <c r="JZE220" s="76"/>
      <c r="JZF220" s="76"/>
      <c r="JZG220" s="76"/>
      <c r="JZH220" s="76"/>
      <c r="JZI220" s="76"/>
      <c r="JZJ220" s="76"/>
      <c r="JZK220" s="76"/>
      <c r="JZL220" s="76"/>
      <c r="JZM220" s="76"/>
      <c r="JZN220" s="76"/>
      <c r="JZO220" s="76"/>
      <c r="JZP220" s="76"/>
      <c r="JZQ220" s="76"/>
      <c r="JZR220" s="76"/>
      <c r="JZS220" s="76"/>
      <c r="JZT220" s="76"/>
      <c r="JZU220" s="76"/>
      <c r="JZV220" s="76"/>
      <c r="JZW220" s="76"/>
      <c r="JZX220" s="76"/>
      <c r="JZY220" s="76"/>
      <c r="JZZ220" s="76"/>
      <c r="KAA220" s="76"/>
      <c r="KAB220" s="76"/>
      <c r="KAC220" s="76"/>
      <c r="KAD220" s="76"/>
      <c r="KAE220" s="76"/>
      <c r="KAF220" s="76"/>
      <c r="KAG220" s="76"/>
      <c r="KAH220" s="76"/>
      <c r="KAI220" s="76"/>
      <c r="KAJ220" s="76"/>
      <c r="KAK220" s="76"/>
      <c r="KAL220" s="76"/>
      <c r="KAM220" s="76"/>
      <c r="KAN220" s="76"/>
      <c r="KAO220" s="76"/>
      <c r="KAP220" s="76"/>
      <c r="KAQ220" s="76"/>
      <c r="KAR220" s="76"/>
      <c r="KAS220" s="76"/>
      <c r="KAT220" s="76"/>
      <c r="KAU220" s="76"/>
      <c r="KAV220" s="76"/>
      <c r="KAW220" s="76"/>
      <c r="KAX220" s="76"/>
      <c r="KAY220" s="76"/>
      <c r="KAZ220" s="76"/>
      <c r="KBA220" s="76"/>
      <c r="KBB220" s="76"/>
      <c r="KBC220" s="76"/>
      <c r="KBD220" s="76"/>
      <c r="KBE220" s="76"/>
      <c r="KBF220" s="76"/>
      <c r="KBG220" s="76"/>
      <c r="KBH220" s="76"/>
      <c r="KBI220" s="76"/>
      <c r="KBJ220" s="76"/>
      <c r="KBK220" s="76"/>
      <c r="KBL220" s="76"/>
      <c r="KBM220" s="76"/>
      <c r="KBN220" s="76"/>
      <c r="KBO220" s="76"/>
      <c r="KBP220" s="76"/>
      <c r="KBQ220" s="76"/>
      <c r="KBR220" s="76"/>
      <c r="KBS220" s="76"/>
      <c r="KBT220" s="76"/>
      <c r="KBU220" s="76"/>
      <c r="KBV220" s="76"/>
      <c r="KBW220" s="76"/>
      <c r="KBX220" s="76"/>
      <c r="KBY220" s="76"/>
      <c r="KBZ220" s="76"/>
      <c r="KCA220" s="76"/>
      <c r="KCB220" s="76"/>
      <c r="KCC220" s="76"/>
      <c r="KCD220" s="76"/>
      <c r="KCE220" s="76"/>
      <c r="KCF220" s="76"/>
      <c r="KCG220" s="76"/>
      <c r="KCH220" s="76"/>
      <c r="KCI220" s="76"/>
      <c r="KCJ220" s="76"/>
      <c r="KCK220" s="76"/>
      <c r="KCL220" s="76"/>
      <c r="KCM220" s="76"/>
      <c r="KCN220" s="76"/>
      <c r="KCO220" s="76"/>
      <c r="KCP220" s="76"/>
      <c r="KCQ220" s="76"/>
      <c r="KCR220" s="76"/>
      <c r="KCS220" s="76"/>
      <c r="KCT220" s="76"/>
      <c r="KCU220" s="76"/>
      <c r="KCV220" s="76"/>
      <c r="KCW220" s="76"/>
      <c r="KCX220" s="76"/>
      <c r="KCY220" s="76"/>
      <c r="KCZ220" s="76"/>
      <c r="KDA220" s="76"/>
      <c r="KDB220" s="76"/>
      <c r="KDC220" s="76"/>
      <c r="KDD220" s="76"/>
      <c r="KDE220" s="76"/>
      <c r="KDF220" s="76"/>
      <c r="KDG220" s="76"/>
      <c r="KDH220" s="76"/>
      <c r="KDI220" s="76"/>
      <c r="KDJ220" s="76"/>
      <c r="KDK220" s="76"/>
      <c r="KDL220" s="76"/>
      <c r="KDM220" s="76"/>
      <c r="KDN220" s="76"/>
      <c r="KDO220" s="76"/>
      <c r="KDP220" s="76"/>
      <c r="KDQ220" s="76"/>
      <c r="KDR220" s="76"/>
      <c r="KDS220" s="76"/>
      <c r="KDT220" s="76"/>
      <c r="KDU220" s="76"/>
      <c r="KDV220" s="76"/>
      <c r="KDW220" s="76"/>
      <c r="KDX220" s="76"/>
      <c r="KDY220" s="76"/>
      <c r="KDZ220" s="76"/>
      <c r="KEA220" s="76"/>
      <c r="KEB220" s="76"/>
      <c r="KEC220" s="76"/>
      <c r="KED220" s="76"/>
      <c r="KEE220" s="76"/>
      <c r="KEF220" s="76"/>
      <c r="KEG220" s="76"/>
      <c r="KEH220" s="76"/>
      <c r="KEI220" s="76"/>
      <c r="KEJ220" s="76"/>
      <c r="KEK220" s="76"/>
      <c r="KEL220" s="76"/>
      <c r="KEM220" s="76"/>
      <c r="KEN220" s="76"/>
      <c r="KEO220" s="76"/>
      <c r="KEP220" s="76"/>
      <c r="KEQ220" s="76"/>
      <c r="KER220" s="76"/>
      <c r="KES220" s="76"/>
      <c r="KET220" s="76"/>
      <c r="KEU220" s="76"/>
      <c r="KEV220" s="76"/>
      <c r="KEW220" s="76"/>
      <c r="KEX220" s="76"/>
      <c r="KEY220" s="76"/>
      <c r="KEZ220" s="76"/>
      <c r="KFA220" s="76"/>
      <c r="KFB220" s="76"/>
      <c r="KFC220" s="76"/>
      <c r="KFD220" s="76"/>
      <c r="KFE220" s="76"/>
      <c r="KFF220" s="76"/>
      <c r="KFG220" s="76"/>
      <c r="KFH220" s="76"/>
      <c r="KFI220" s="76"/>
      <c r="KFJ220" s="76"/>
      <c r="KFK220" s="76"/>
      <c r="KFL220" s="76"/>
      <c r="KFM220" s="76"/>
      <c r="KFN220" s="76"/>
      <c r="KFO220" s="76"/>
      <c r="KFP220" s="76"/>
      <c r="KFQ220" s="76"/>
      <c r="KFR220" s="76"/>
      <c r="KFS220" s="76"/>
      <c r="KFT220" s="76"/>
      <c r="KFU220" s="76"/>
      <c r="KFV220" s="76"/>
      <c r="KFW220" s="76"/>
      <c r="KFX220" s="76"/>
      <c r="KFY220" s="76"/>
      <c r="KFZ220" s="76"/>
      <c r="KGA220" s="76"/>
      <c r="KGB220" s="76"/>
      <c r="KGC220" s="76"/>
      <c r="KGD220" s="76"/>
      <c r="KGE220" s="76"/>
      <c r="KGF220" s="76"/>
      <c r="KGG220" s="76"/>
      <c r="KGH220" s="76"/>
      <c r="KGI220" s="76"/>
      <c r="KGJ220" s="76"/>
      <c r="KGK220" s="76"/>
      <c r="KGL220" s="76"/>
      <c r="KGM220" s="76"/>
      <c r="KGN220" s="76"/>
      <c r="KGO220" s="76"/>
      <c r="KGP220" s="76"/>
      <c r="KGQ220" s="76"/>
      <c r="KGR220" s="76"/>
      <c r="KGS220" s="76"/>
      <c r="KGT220" s="76"/>
      <c r="KGU220" s="76"/>
      <c r="KGV220" s="76"/>
      <c r="KGW220" s="76"/>
      <c r="KGX220" s="76"/>
      <c r="KGY220" s="76"/>
      <c r="KGZ220" s="76"/>
      <c r="KHA220" s="76"/>
      <c r="KHB220" s="76"/>
      <c r="KHC220" s="76"/>
      <c r="KHD220" s="76"/>
      <c r="KHE220" s="76"/>
      <c r="KHF220" s="76"/>
      <c r="KHG220" s="76"/>
      <c r="KHH220" s="76"/>
      <c r="KHI220" s="76"/>
      <c r="KHJ220" s="76"/>
      <c r="KHK220" s="76"/>
      <c r="KHL220" s="76"/>
      <c r="KHM220" s="76"/>
      <c r="KHN220" s="76"/>
      <c r="KHO220" s="76"/>
      <c r="KHP220" s="76"/>
      <c r="KHQ220" s="76"/>
      <c r="KHR220" s="76"/>
      <c r="KHS220" s="76"/>
      <c r="KHT220" s="76"/>
      <c r="KHU220" s="76"/>
      <c r="KHV220" s="76"/>
      <c r="KHW220" s="76"/>
      <c r="KHX220" s="76"/>
      <c r="KHY220" s="76"/>
      <c r="KHZ220" s="76"/>
      <c r="KIA220" s="76"/>
      <c r="KIB220" s="76"/>
      <c r="KIC220" s="76"/>
      <c r="KID220" s="76"/>
      <c r="KIE220" s="76"/>
      <c r="KIF220" s="76"/>
      <c r="KIG220" s="76"/>
      <c r="KIH220" s="76"/>
      <c r="KII220" s="76"/>
      <c r="KIJ220" s="76"/>
      <c r="KIK220" s="76"/>
      <c r="KIL220" s="76"/>
      <c r="KIM220" s="76"/>
      <c r="KIN220" s="76"/>
      <c r="KIO220" s="76"/>
      <c r="KIP220" s="76"/>
      <c r="KIQ220" s="76"/>
      <c r="KIR220" s="76"/>
      <c r="KIS220" s="76"/>
      <c r="KIT220" s="76"/>
      <c r="KIU220" s="76"/>
      <c r="KIV220" s="76"/>
      <c r="KIW220" s="76"/>
      <c r="KIX220" s="76"/>
      <c r="KIY220" s="76"/>
      <c r="KIZ220" s="76"/>
      <c r="KJA220" s="76"/>
      <c r="KJB220" s="76"/>
      <c r="KJC220" s="76"/>
      <c r="KJD220" s="76"/>
      <c r="KJE220" s="76"/>
      <c r="KJF220" s="76"/>
      <c r="KJG220" s="76"/>
      <c r="KJH220" s="76"/>
      <c r="KJI220" s="76"/>
      <c r="KJJ220" s="76"/>
      <c r="KJK220" s="76"/>
      <c r="KJL220" s="76"/>
      <c r="KJM220" s="76"/>
      <c r="KJN220" s="76"/>
      <c r="KJO220" s="76"/>
      <c r="KJP220" s="76"/>
      <c r="KJQ220" s="76"/>
      <c r="KJR220" s="76"/>
      <c r="KJS220" s="76"/>
      <c r="KJT220" s="76"/>
      <c r="KJU220" s="76"/>
      <c r="KJV220" s="76"/>
      <c r="KJW220" s="76"/>
      <c r="KJX220" s="76"/>
      <c r="KJY220" s="76"/>
      <c r="KJZ220" s="76"/>
      <c r="KKA220" s="76"/>
      <c r="KKB220" s="76"/>
      <c r="KKC220" s="76"/>
      <c r="KKD220" s="76"/>
      <c r="KKE220" s="76"/>
      <c r="KKF220" s="76"/>
      <c r="KKG220" s="76"/>
      <c r="KKH220" s="76"/>
      <c r="KKI220" s="76"/>
      <c r="KKJ220" s="76"/>
      <c r="KKK220" s="76"/>
      <c r="KKL220" s="76"/>
      <c r="KKM220" s="76"/>
      <c r="KKN220" s="76"/>
      <c r="KKO220" s="76"/>
      <c r="KKP220" s="76"/>
      <c r="KKQ220" s="76"/>
      <c r="KKR220" s="76"/>
      <c r="KKS220" s="76"/>
      <c r="KKT220" s="76"/>
      <c r="KKU220" s="76"/>
      <c r="KKV220" s="76"/>
      <c r="KKW220" s="76"/>
      <c r="KKX220" s="76"/>
      <c r="KKY220" s="76"/>
      <c r="KKZ220" s="76"/>
      <c r="KLA220" s="76"/>
      <c r="KLB220" s="76"/>
      <c r="KLC220" s="76"/>
      <c r="KLD220" s="76"/>
      <c r="KLE220" s="76"/>
      <c r="KLF220" s="76"/>
      <c r="KLG220" s="76"/>
      <c r="KLH220" s="76"/>
      <c r="KLI220" s="76"/>
      <c r="KLJ220" s="76"/>
      <c r="KLK220" s="76"/>
      <c r="KLL220" s="76"/>
      <c r="KLM220" s="76"/>
      <c r="KLN220" s="76"/>
      <c r="KLO220" s="76"/>
      <c r="KLP220" s="76"/>
      <c r="KLQ220" s="76"/>
      <c r="KLR220" s="76"/>
      <c r="KLS220" s="76"/>
      <c r="KLT220" s="76"/>
      <c r="KLU220" s="76"/>
      <c r="KLV220" s="76"/>
      <c r="KLW220" s="76"/>
      <c r="KLX220" s="76"/>
      <c r="KLY220" s="76"/>
      <c r="KLZ220" s="76"/>
      <c r="KMA220" s="76"/>
      <c r="KMB220" s="76"/>
      <c r="KMC220" s="76"/>
      <c r="KMD220" s="76"/>
      <c r="KME220" s="76"/>
      <c r="KMF220" s="76"/>
      <c r="KMG220" s="76"/>
      <c r="KMH220" s="76"/>
      <c r="KMI220" s="76"/>
      <c r="KMJ220" s="76"/>
      <c r="KMK220" s="76"/>
      <c r="KML220" s="76"/>
      <c r="KMM220" s="76"/>
      <c r="KMN220" s="76"/>
      <c r="KMO220" s="76"/>
      <c r="KMP220" s="76"/>
      <c r="KMQ220" s="76"/>
      <c r="KMR220" s="76"/>
      <c r="KMS220" s="76"/>
      <c r="KMT220" s="76"/>
      <c r="KMU220" s="76"/>
      <c r="KMV220" s="76"/>
      <c r="KMW220" s="76"/>
      <c r="KMX220" s="76"/>
      <c r="KMY220" s="76"/>
      <c r="KMZ220" s="76"/>
      <c r="KNA220" s="76"/>
      <c r="KNB220" s="76"/>
      <c r="KNC220" s="76"/>
      <c r="KND220" s="76"/>
      <c r="KNE220" s="76"/>
      <c r="KNF220" s="76"/>
      <c r="KNG220" s="76"/>
      <c r="KNH220" s="76"/>
      <c r="KNI220" s="76"/>
      <c r="KNJ220" s="76"/>
      <c r="KNK220" s="76"/>
      <c r="KNL220" s="76"/>
      <c r="KNM220" s="76"/>
      <c r="KNN220" s="76"/>
      <c r="KNO220" s="76"/>
      <c r="KNP220" s="76"/>
      <c r="KNQ220" s="76"/>
      <c r="KNR220" s="76"/>
      <c r="KNS220" s="76"/>
      <c r="KNT220" s="76"/>
      <c r="KNU220" s="76"/>
      <c r="KNV220" s="76"/>
      <c r="KNW220" s="76"/>
      <c r="KNX220" s="76"/>
      <c r="KNY220" s="76"/>
      <c r="KNZ220" s="76"/>
      <c r="KOA220" s="76"/>
      <c r="KOB220" s="76"/>
      <c r="KOC220" s="76"/>
      <c r="KOD220" s="76"/>
      <c r="KOE220" s="76"/>
      <c r="KOF220" s="76"/>
      <c r="KOG220" s="76"/>
      <c r="KOH220" s="76"/>
      <c r="KOI220" s="76"/>
      <c r="KOJ220" s="76"/>
      <c r="KOK220" s="76"/>
      <c r="KOL220" s="76"/>
      <c r="KOM220" s="76"/>
      <c r="KON220" s="76"/>
      <c r="KOO220" s="76"/>
      <c r="KOP220" s="76"/>
      <c r="KOQ220" s="76"/>
      <c r="KOR220" s="76"/>
      <c r="KOS220" s="76"/>
      <c r="KOT220" s="76"/>
      <c r="KOU220" s="76"/>
      <c r="KOV220" s="76"/>
      <c r="KOW220" s="76"/>
      <c r="KOX220" s="76"/>
      <c r="KOY220" s="76"/>
      <c r="KOZ220" s="76"/>
      <c r="KPA220" s="76"/>
      <c r="KPB220" s="76"/>
      <c r="KPC220" s="76"/>
      <c r="KPD220" s="76"/>
      <c r="KPE220" s="76"/>
      <c r="KPF220" s="76"/>
      <c r="KPG220" s="76"/>
      <c r="KPH220" s="76"/>
      <c r="KPI220" s="76"/>
      <c r="KPJ220" s="76"/>
      <c r="KPK220" s="76"/>
      <c r="KPL220" s="76"/>
      <c r="KPM220" s="76"/>
      <c r="KPN220" s="76"/>
      <c r="KPO220" s="76"/>
      <c r="KPP220" s="76"/>
      <c r="KPQ220" s="76"/>
      <c r="KPR220" s="76"/>
      <c r="KPS220" s="76"/>
      <c r="KPT220" s="76"/>
      <c r="KPU220" s="76"/>
      <c r="KPV220" s="76"/>
      <c r="KPW220" s="76"/>
      <c r="KPX220" s="76"/>
      <c r="KPY220" s="76"/>
      <c r="KPZ220" s="76"/>
      <c r="KQA220" s="76"/>
      <c r="KQB220" s="76"/>
      <c r="KQC220" s="76"/>
      <c r="KQD220" s="76"/>
      <c r="KQE220" s="76"/>
      <c r="KQF220" s="76"/>
      <c r="KQG220" s="76"/>
      <c r="KQH220" s="76"/>
      <c r="KQI220" s="76"/>
      <c r="KQJ220" s="76"/>
      <c r="KQK220" s="76"/>
      <c r="KQL220" s="76"/>
      <c r="KQM220" s="76"/>
      <c r="KQN220" s="76"/>
      <c r="KQO220" s="76"/>
      <c r="KQP220" s="76"/>
      <c r="KQQ220" s="76"/>
      <c r="KQR220" s="76"/>
      <c r="KQS220" s="76"/>
      <c r="KQT220" s="76"/>
      <c r="KQU220" s="76"/>
      <c r="KQV220" s="76"/>
      <c r="KQW220" s="76"/>
      <c r="KQX220" s="76"/>
      <c r="KQY220" s="76"/>
      <c r="KQZ220" s="76"/>
      <c r="KRA220" s="76"/>
      <c r="KRB220" s="76"/>
      <c r="KRC220" s="76"/>
      <c r="KRD220" s="76"/>
      <c r="KRE220" s="76"/>
      <c r="KRF220" s="76"/>
      <c r="KRG220" s="76"/>
      <c r="KRH220" s="76"/>
      <c r="KRI220" s="76"/>
      <c r="KRJ220" s="76"/>
      <c r="KRK220" s="76"/>
      <c r="KRL220" s="76"/>
      <c r="KRM220" s="76"/>
      <c r="KRN220" s="76"/>
      <c r="KRO220" s="76"/>
      <c r="KRP220" s="76"/>
      <c r="KRQ220" s="76"/>
      <c r="KRR220" s="76"/>
      <c r="KRS220" s="76"/>
      <c r="KRT220" s="76"/>
      <c r="KRU220" s="76"/>
      <c r="KRV220" s="76"/>
      <c r="KRW220" s="76"/>
      <c r="KRX220" s="76"/>
      <c r="KRY220" s="76"/>
      <c r="KRZ220" s="76"/>
      <c r="KSA220" s="76"/>
      <c r="KSB220" s="76"/>
      <c r="KSC220" s="76"/>
      <c r="KSD220" s="76"/>
      <c r="KSE220" s="76"/>
      <c r="KSF220" s="76"/>
      <c r="KSG220" s="76"/>
      <c r="KSH220" s="76"/>
      <c r="KSI220" s="76"/>
      <c r="KSJ220" s="76"/>
      <c r="KSK220" s="76"/>
      <c r="KSL220" s="76"/>
      <c r="KSM220" s="76"/>
      <c r="KSN220" s="76"/>
      <c r="KSO220" s="76"/>
      <c r="KSP220" s="76"/>
      <c r="KSQ220" s="76"/>
      <c r="KSR220" s="76"/>
      <c r="KSS220" s="76"/>
      <c r="KST220" s="76"/>
      <c r="KSU220" s="76"/>
      <c r="KSV220" s="76"/>
      <c r="KSW220" s="76"/>
      <c r="KSX220" s="76"/>
      <c r="KSY220" s="76"/>
      <c r="KSZ220" s="76"/>
      <c r="KTA220" s="76"/>
      <c r="KTB220" s="76"/>
      <c r="KTC220" s="76"/>
      <c r="KTD220" s="76"/>
      <c r="KTE220" s="76"/>
      <c r="KTF220" s="76"/>
      <c r="KTG220" s="76"/>
      <c r="KTH220" s="76"/>
      <c r="KTI220" s="76"/>
      <c r="KTJ220" s="76"/>
      <c r="KTK220" s="76"/>
      <c r="KTL220" s="76"/>
      <c r="KTM220" s="76"/>
      <c r="KTN220" s="76"/>
      <c r="KTO220" s="76"/>
      <c r="KTP220" s="76"/>
      <c r="KTQ220" s="76"/>
      <c r="KTR220" s="76"/>
      <c r="KTS220" s="76"/>
      <c r="KTT220" s="76"/>
      <c r="KTU220" s="76"/>
      <c r="KTV220" s="76"/>
      <c r="KTW220" s="76"/>
      <c r="KTX220" s="76"/>
      <c r="KTY220" s="76"/>
      <c r="KTZ220" s="76"/>
      <c r="KUA220" s="76"/>
      <c r="KUB220" s="76"/>
      <c r="KUC220" s="76"/>
      <c r="KUD220" s="76"/>
      <c r="KUE220" s="76"/>
      <c r="KUF220" s="76"/>
      <c r="KUG220" s="76"/>
      <c r="KUH220" s="76"/>
      <c r="KUI220" s="76"/>
      <c r="KUJ220" s="76"/>
      <c r="KUK220" s="76"/>
      <c r="KUL220" s="76"/>
      <c r="KUM220" s="76"/>
      <c r="KUN220" s="76"/>
      <c r="KUO220" s="76"/>
      <c r="KUP220" s="76"/>
      <c r="KUQ220" s="76"/>
      <c r="KUR220" s="76"/>
      <c r="KUS220" s="76"/>
      <c r="KUT220" s="76"/>
      <c r="KUU220" s="76"/>
      <c r="KUV220" s="76"/>
      <c r="KUW220" s="76"/>
      <c r="KUX220" s="76"/>
      <c r="KUY220" s="76"/>
      <c r="KUZ220" s="76"/>
      <c r="KVA220" s="76"/>
      <c r="KVB220" s="76"/>
      <c r="KVC220" s="76"/>
      <c r="KVD220" s="76"/>
      <c r="KVE220" s="76"/>
      <c r="KVF220" s="76"/>
      <c r="KVG220" s="76"/>
      <c r="KVH220" s="76"/>
      <c r="KVI220" s="76"/>
      <c r="KVJ220" s="76"/>
      <c r="KVK220" s="76"/>
      <c r="KVL220" s="76"/>
      <c r="KVM220" s="76"/>
      <c r="KVN220" s="76"/>
      <c r="KVO220" s="76"/>
      <c r="KVP220" s="76"/>
      <c r="KVQ220" s="76"/>
      <c r="KVR220" s="76"/>
      <c r="KVS220" s="76"/>
      <c r="KVT220" s="76"/>
      <c r="KVU220" s="76"/>
      <c r="KVV220" s="76"/>
      <c r="KVW220" s="76"/>
      <c r="KVX220" s="76"/>
      <c r="KVY220" s="76"/>
      <c r="KVZ220" s="76"/>
      <c r="KWA220" s="76"/>
      <c r="KWB220" s="76"/>
      <c r="KWC220" s="76"/>
      <c r="KWD220" s="76"/>
      <c r="KWE220" s="76"/>
      <c r="KWF220" s="76"/>
      <c r="KWG220" s="76"/>
      <c r="KWH220" s="76"/>
      <c r="KWI220" s="76"/>
      <c r="KWJ220" s="76"/>
      <c r="KWK220" s="76"/>
      <c r="KWL220" s="76"/>
      <c r="KWM220" s="76"/>
      <c r="KWN220" s="76"/>
      <c r="KWO220" s="76"/>
      <c r="KWP220" s="76"/>
      <c r="KWQ220" s="76"/>
      <c r="KWR220" s="76"/>
      <c r="KWS220" s="76"/>
      <c r="KWT220" s="76"/>
      <c r="KWU220" s="76"/>
      <c r="KWV220" s="76"/>
      <c r="KWW220" s="76"/>
      <c r="KWX220" s="76"/>
      <c r="KWY220" s="76"/>
      <c r="KWZ220" s="76"/>
      <c r="KXA220" s="76"/>
      <c r="KXB220" s="76"/>
      <c r="KXC220" s="76"/>
      <c r="KXD220" s="76"/>
      <c r="KXE220" s="76"/>
      <c r="KXF220" s="76"/>
      <c r="KXG220" s="76"/>
      <c r="KXH220" s="76"/>
      <c r="KXI220" s="76"/>
      <c r="KXJ220" s="76"/>
      <c r="KXK220" s="76"/>
      <c r="KXL220" s="76"/>
      <c r="KXM220" s="76"/>
      <c r="KXN220" s="76"/>
      <c r="KXO220" s="76"/>
      <c r="KXP220" s="76"/>
      <c r="KXQ220" s="76"/>
      <c r="KXR220" s="76"/>
      <c r="KXS220" s="76"/>
      <c r="KXT220" s="76"/>
      <c r="KXU220" s="76"/>
      <c r="KXV220" s="76"/>
      <c r="KXW220" s="76"/>
      <c r="KXX220" s="76"/>
      <c r="KXY220" s="76"/>
      <c r="KXZ220" s="76"/>
      <c r="KYA220" s="76"/>
      <c r="KYB220" s="76"/>
      <c r="KYC220" s="76"/>
      <c r="KYD220" s="76"/>
      <c r="KYE220" s="76"/>
      <c r="KYF220" s="76"/>
      <c r="KYG220" s="76"/>
      <c r="KYH220" s="76"/>
      <c r="KYI220" s="76"/>
      <c r="KYJ220" s="76"/>
      <c r="KYK220" s="76"/>
      <c r="KYL220" s="76"/>
      <c r="KYM220" s="76"/>
      <c r="KYN220" s="76"/>
      <c r="KYO220" s="76"/>
      <c r="KYP220" s="76"/>
      <c r="KYQ220" s="76"/>
      <c r="KYR220" s="76"/>
      <c r="KYS220" s="76"/>
      <c r="KYT220" s="76"/>
      <c r="KYU220" s="76"/>
      <c r="KYV220" s="76"/>
      <c r="KYW220" s="76"/>
      <c r="KYX220" s="76"/>
      <c r="KYY220" s="76"/>
      <c r="KYZ220" s="76"/>
      <c r="KZA220" s="76"/>
      <c r="KZB220" s="76"/>
      <c r="KZC220" s="76"/>
      <c r="KZD220" s="76"/>
      <c r="KZE220" s="76"/>
      <c r="KZF220" s="76"/>
      <c r="KZG220" s="76"/>
      <c r="KZH220" s="76"/>
      <c r="KZI220" s="76"/>
      <c r="KZJ220" s="76"/>
      <c r="KZK220" s="76"/>
      <c r="KZL220" s="76"/>
      <c r="KZM220" s="76"/>
      <c r="KZN220" s="76"/>
      <c r="KZO220" s="76"/>
      <c r="KZP220" s="76"/>
      <c r="KZQ220" s="76"/>
      <c r="KZR220" s="76"/>
      <c r="KZS220" s="76"/>
      <c r="KZT220" s="76"/>
      <c r="KZU220" s="76"/>
      <c r="KZV220" s="76"/>
      <c r="KZW220" s="76"/>
      <c r="KZX220" s="76"/>
      <c r="KZY220" s="76"/>
      <c r="KZZ220" s="76"/>
      <c r="LAA220" s="76"/>
      <c r="LAB220" s="76"/>
      <c r="LAC220" s="76"/>
      <c r="LAD220" s="76"/>
      <c r="LAE220" s="76"/>
      <c r="LAF220" s="76"/>
      <c r="LAG220" s="76"/>
      <c r="LAH220" s="76"/>
      <c r="LAI220" s="76"/>
      <c r="LAJ220" s="76"/>
      <c r="LAK220" s="76"/>
      <c r="LAL220" s="76"/>
      <c r="LAM220" s="76"/>
      <c r="LAN220" s="76"/>
      <c r="LAO220" s="76"/>
      <c r="LAP220" s="76"/>
      <c r="LAQ220" s="76"/>
      <c r="LAR220" s="76"/>
      <c r="LAS220" s="76"/>
      <c r="LAT220" s="76"/>
      <c r="LAU220" s="76"/>
      <c r="LAV220" s="76"/>
      <c r="LAW220" s="76"/>
      <c r="LAX220" s="76"/>
      <c r="LAY220" s="76"/>
      <c r="LAZ220" s="76"/>
      <c r="LBA220" s="76"/>
      <c r="LBB220" s="76"/>
      <c r="LBC220" s="76"/>
      <c r="LBD220" s="76"/>
      <c r="LBE220" s="76"/>
      <c r="LBF220" s="76"/>
      <c r="LBG220" s="76"/>
      <c r="LBH220" s="76"/>
      <c r="LBI220" s="76"/>
      <c r="LBJ220" s="76"/>
      <c r="LBK220" s="76"/>
      <c r="LBL220" s="76"/>
      <c r="LBM220" s="76"/>
      <c r="LBN220" s="76"/>
      <c r="LBO220" s="76"/>
      <c r="LBP220" s="76"/>
      <c r="LBQ220" s="76"/>
      <c r="LBR220" s="76"/>
      <c r="LBS220" s="76"/>
      <c r="LBT220" s="76"/>
      <c r="LBU220" s="76"/>
      <c r="LBV220" s="76"/>
      <c r="LBW220" s="76"/>
      <c r="LBX220" s="76"/>
      <c r="LBY220" s="76"/>
      <c r="LBZ220" s="76"/>
      <c r="LCA220" s="76"/>
      <c r="LCB220" s="76"/>
      <c r="LCC220" s="76"/>
      <c r="LCD220" s="76"/>
      <c r="LCE220" s="76"/>
      <c r="LCF220" s="76"/>
      <c r="LCG220" s="76"/>
      <c r="LCH220" s="76"/>
      <c r="LCI220" s="76"/>
      <c r="LCJ220" s="76"/>
      <c r="LCK220" s="76"/>
      <c r="LCL220" s="76"/>
      <c r="LCM220" s="76"/>
      <c r="LCN220" s="76"/>
      <c r="LCO220" s="76"/>
      <c r="LCP220" s="76"/>
      <c r="LCQ220" s="76"/>
      <c r="LCR220" s="76"/>
      <c r="LCS220" s="76"/>
      <c r="LCT220" s="76"/>
      <c r="LCU220" s="76"/>
      <c r="LCV220" s="76"/>
      <c r="LCW220" s="76"/>
      <c r="LCX220" s="76"/>
      <c r="LCY220" s="76"/>
      <c r="LCZ220" s="76"/>
      <c r="LDA220" s="76"/>
      <c r="LDB220" s="76"/>
      <c r="LDC220" s="76"/>
      <c r="LDD220" s="76"/>
      <c r="LDE220" s="76"/>
      <c r="LDF220" s="76"/>
      <c r="LDG220" s="76"/>
      <c r="LDH220" s="76"/>
      <c r="LDI220" s="76"/>
      <c r="LDJ220" s="76"/>
      <c r="LDK220" s="76"/>
      <c r="LDL220" s="76"/>
      <c r="LDM220" s="76"/>
      <c r="LDN220" s="76"/>
      <c r="LDO220" s="76"/>
      <c r="LDP220" s="76"/>
      <c r="LDQ220" s="76"/>
      <c r="LDR220" s="76"/>
      <c r="LDS220" s="76"/>
      <c r="LDT220" s="76"/>
      <c r="LDU220" s="76"/>
      <c r="LDV220" s="76"/>
      <c r="LDW220" s="76"/>
      <c r="LDX220" s="76"/>
      <c r="LDY220" s="76"/>
      <c r="LDZ220" s="76"/>
      <c r="LEA220" s="76"/>
      <c r="LEB220" s="76"/>
      <c r="LEC220" s="76"/>
      <c r="LED220" s="76"/>
      <c r="LEE220" s="76"/>
      <c r="LEF220" s="76"/>
      <c r="LEG220" s="76"/>
      <c r="LEH220" s="76"/>
      <c r="LEI220" s="76"/>
      <c r="LEJ220" s="76"/>
      <c r="LEK220" s="76"/>
      <c r="LEL220" s="76"/>
      <c r="LEM220" s="76"/>
      <c r="LEN220" s="76"/>
      <c r="LEO220" s="76"/>
      <c r="LEP220" s="76"/>
      <c r="LEQ220" s="76"/>
      <c r="LER220" s="76"/>
      <c r="LES220" s="76"/>
      <c r="LET220" s="76"/>
      <c r="LEU220" s="76"/>
      <c r="LEV220" s="76"/>
      <c r="LEW220" s="76"/>
      <c r="LEX220" s="76"/>
      <c r="LEY220" s="76"/>
      <c r="LEZ220" s="76"/>
      <c r="LFA220" s="76"/>
      <c r="LFB220" s="76"/>
      <c r="LFC220" s="76"/>
      <c r="LFD220" s="76"/>
      <c r="LFE220" s="76"/>
      <c r="LFF220" s="76"/>
      <c r="LFG220" s="76"/>
      <c r="LFH220" s="76"/>
      <c r="LFI220" s="76"/>
      <c r="LFJ220" s="76"/>
      <c r="LFK220" s="76"/>
      <c r="LFL220" s="76"/>
      <c r="LFM220" s="76"/>
      <c r="LFN220" s="76"/>
      <c r="LFO220" s="76"/>
      <c r="LFP220" s="76"/>
      <c r="LFQ220" s="76"/>
      <c r="LFR220" s="76"/>
      <c r="LFS220" s="76"/>
      <c r="LFT220" s="76"/>
      <c r="LFU220" s="76"/>
      <c r="LFV220" s="76"/>
      <c r="LFW220" s="76"/>
      <c r="LFX220" s="76"/>
      <c r="LFY220" s="76"/>
      <c r="LFZ220" s="76"/>
      <c r="LGA220" s="76"/>
      <c r="LGB220" s="76"/>
      <c r="LGC220" s="76"/>
      <c r="LGD220" s="76"/>
      <c r="LGE220" s="76"/>
      <c r="LGF220" s="76"/>
      <c r="LGG220" s="76"/>
      <c r="LGH220" s="76"/>
      <c r="LGI220" s="76"/>
      <c r="LGJ220" s="76"/>
      <c r="LGK220" s="76"/>
      <c r="LGL220" s="76"/>
      <c r="LGM220" s="76"/>
      <c r="LGN220" s="76"/>
      <c r="LGO220" s="76"/>
      <c r="LGP220" s="76"/>
      <c r="LGQ220" s="76"/>
      <c r="LGR220" s="76"/>
      <c r="LGS220" s="76"/>
      <c r="LGT220" s="76"/>
      <c r="LGU220" s="76"/>
      <c r="LGV220" s="76"/>
      <c r="LGW220" s="76"/>
      <c r="LGX220" s="76"/>
      <c r="LGY220" s="76"/>
      <c r="LGZ220" s="76"/>
      <c r="LHA220" s="76"/>
      <c r="LHB220" s="76"/>
      <c r="LHC220" s="76"/>
      <c r="LHD220" s="76"/>
      <c r="LHE220" s="76"/>
      <c r="LHF220" s="76"/>
      <c r="LHG220" s="76"/>
      <c r="LHH220" s="76"/>
      <c r="LHI220" s="76"/>
      <c r="LHJ220" s="76"/>
      <c r="LHK220" s="76"/>
      <c r="LHL220" s="76"/>
      <c r="LHM220" s="76"/>
      <c r="LHN220" s="76"/>
      <c r="LHO220" s="76"/>
      <c r="LHP220" s="76"/>
      <c r="LHQ220" s="76"/>
      <c r="LHR220" s="76"/>
      <c r="LHS220" s="76"/>
      <c r="LHT220" s="76"/>
      <c r="LHU220" s="76"/>
      <c r="LHV220" s="76"/>
      <c r="LHW220" s="76"/>
      <c r="LHX220" s="76"/>
      <c r="LHY220" s="76"/>
      <c r="LHZ220" s="76"/>
      <c r="LIA220" s="76"/>
      <c r="LIB220" s="76"/>
      <c r="LIC220" s="76"/>
      <c r="LID220" s="76"/>
      <c r="LIE220" s="76"/>
      <c r="LIF220" s="76"/>
      <c r="LIG220" s="76"/>
      <c r="LIH220" s="76"/>
      <c r="LII220" s="76"/>
      <c r="LIJ220" s="76"/>
      <c r="LIK220" s="76"/>
      <c r="LIL220" s="76"/>
      <c r="LIM220" s="76"/>
      <c r="LIN220" s="76"/>
      <c r="LIO220" s="76"/>
      <c r="LIP220" s="76"/>
      <c r="LIQ220" s="76"/>
      <c r="LIR220" s="76"/>
      <c r="LIS220" s="76"/>
      <c r="LIT220" s="76"/>
      <c r="LIU220" s="76"/>
      <c r="LIV220" s="76"/>
      <c r="LIW220" s="76"/>
      <c r="LIX220" s="76"/>
      <c r="LIY220" s="76"/>
      <c r="LIZ220" s="76"/>
      <c r="LJA220" s="76"/>
      <c r="LJB220" s="76"/>
      <c r="LJC220" s="76"/>
      <c r="LJD220" s="76"/>
      <c r="LJE220" s="76"/>
      <c r="LJF220" s="76"/>
      <c r="LJG220" s="76"/>
      <c r="LJH220" s="76"/>
      <c r="LJI220" s="76"/>
      <c r="LJJ220" s="76"/>
      <c r="LJK220" s="76"/>
      <c r="LJL220" s="76"/>
      <c r="LJM220" s="76"/>
      <c r="LJN220" s="76"/>
      <c r="LJO220" s="76"/>
      <c r="LJP220" s="76"/>
      <c r="LJQ220" s="76"/>
      <c r="LJR220" s="76"/>
      <c r="LJS220" s="76"/>
      <c r="LJT220" s="76"/>
      <c r="LJU220" s="76"/>
      <c r="LJV220" s="76"/>
      <c r="LJW220" s="76"/>
      <c r="LJX220" s="76"/>
      <c r="LJY220" s="76"/>
      <c r="LJZ220" s="76"/>
      <c r="LKA220" s="76"/>
      <c r="LKB220" s="76"/>
      <c r="LKC220" s="76"/>
      <c r="LKD220" s="76"/>
      <c r="LKE220" s="76"/>
      <c r="LKF220" s="76"/>
      <c r="LKG220" s="76"/>
      <c r="LKH220" s="76"/>
      <c r="LKI220" s="76"/>
      <c r="LKJ220" s="76"/>
      <c r="LKK220" s="76"/>
      <c r="LKL220" s="76"/>
      <c r="LKM220" s="76"/>
      <c r="LKN220" s="76"/>
      <c r="LKO220" s="76"/>
      <c r="LKP220" s="76"/>
      <c r="LKQ220" s="76"/>
      <c r="LKR220" s="76"/>
      <c r="LKS220" s="76"/>
      <c r="LKT220" s="76"/>
      <c r="LKU220" s="76"/>
      <c r="LKV220" s="76"/>
      <c r="LKW220" s="76"/>
      <c r="LKX220" s="76"/>
      <c r="LKY220" s="76"/>
      <c r="LKZ220" s="76"/>
      <c r="LLA220" s="76"/>
      <c r="LLB220" s="76"/>
      <c r="LLC220" s="76"/>
      <c r="LLD220" s="76"/>
      <c r="LLE220" s="76"/>
      <c r="LLF220" s="76"/>
      <c r="LLG220" s="76"/>
      <c r="LLH220" s="76"/>
      <c r="LLI220" s="76"/>
      <c r="LLJ220" s="76"/>
      <c r="LLK220" s="76"/>
      <c r="LLL220" s="76"/>
      <c r="LLM220" s="76"/>
      <c r="LLN220" s="76"/>
      <c r="LLO220" s="76"/>
      <c r="LLP220" s="76"/>
      <c r="LLQ220" s="76"/>
      <c r="LLR220" s="76"/>
      <c r="LLS220" s="76"/>
      <c r="LLT220" s="76"/>
      <c r="LLU220" s="76"/>
      <c r="LLV220" s="76"/>
      <c r="LLW220" s="76"/>
      <c r="LLX220" s="76"/>
      <c r="LLY220" s="76"/>
      <c r="LLZ220" s="76"/>
      <c r="LMA220" s="76"/>
      <c r="LMB220" s="76"/>
      <c r="LMC220" s="76"/>
      <c r="LMD220" s="76"/>
      <c r="LME220" s="76"/>
      <c r="LMF220" s="76"/>
      <c r="LMG220" s="76"/>
      <c r="LMH220" s="76"/>
      <c r="LMI220" s="76"/>
      <c r="LMJ220" s="76"/>
      <c r="LMK220" s="76"/>
      <c r="LML220" s="76"/>
      <c r="LMM220" s="76"/>
      <c r="LMN220" s="76"/>
      <c r="LMO220" s="76"/>
      <c r="LMP220" s="76"/>
      <c r="LMQ220" s="76"/>
      <c r="LMR220" s="76"/>
      <c r="LMS220" s="76"/>
      <c r="LMT220" s="76"/>
      <c r="LMU220" s="76"/>
      <c r="LMV220" s="76"/>
      <c r="LMW220" s="76"/>
      <c r="LMX220" s="76"/>
      <c r="LMY220" s="76"/>
      <c r="LMZ220" s="76"/>
      <c r="LNA220" s="76"/>
      <c r="LNB220" s="76"/>
      <c r="LNC220" s="76"/>
      <c r="LND220" s="76"/>
      <c r="LNE220" s="76"/>
      <c r="LNF220" s="76"/>
      <c r="LNG220" s="76"/>
      <c r="LNH220" s="76"/>
      <c r="LNI220" s="76"/>
      <c r="LNJ220" s="76"/>
      <c r="LNK220" s="76"/>
      <c r="LNL220" s="76"/>
      <c r="LNM220" s="76"/>
      <c r="LNN220" s="76"/>
      <c r="LNO220" s="76"/>
      <c r="LNP220" s="76"/>
      <c r="LNQ220" s="76"/>
      <c r="LNR220" s="76"/>
      <c r="LNS220" s="76"/>
      <c r="LNT220" s="76"/>
      <c r="LNU220" s="76"/>
      <c r="LNV220" s="76"/>
      <c r="LNW220" s="76"/>
      <c r="LNX220" s="76"/>
      <c r="LNY220" s="76"/>
      <c r="LNZ220" s="76"/>
      <c r="LOA220" s="76"/>
      <c r="LOB220" s="76"/>
      <c r="LOC220" s="76"/>
      <c r="LOD220" s="76"/>
      <c r="LOE220" s="76"/>
      <c r="LOF220" s="76"/>
      <c r="LOG220" s="76"/>
      <c r="LOH220" s="76"/>
      <c r="LOI220" s="76"/>
      <c r="LOJ220" s="76"/>
      <c r="LOK220" s="76"/>
      <c r="LOL220" s="76"/>
      <c r="LOM220" s="76"/>
      <c r="LON220" s="76"/>
      <c r="LOO220" s="76"/>
      <c r="LOP220" s="76"/>
      <c r="LOQ220" s="76"/>
      <c r="LOR220" s="76"/>
      <c r="LOS220" s="76"/>
      <c r="LOT220" s="76"/>
      <c r="LOU220" s="76"/>
      <c r="LOV220" s="76"/>
      <c r="LOW220" s="76"/>
      <c r="LOX220" s="76"/>
      <c r="LOY220" s="76"/>
      <c r="LOZ220" s="76"/>
      <c r="LPA220" s="76"/>
      <c r="LPB220" s="76"/>
      <c r="LPC220" s="76"/>
      <c r="LPD220" s="76"/>
      <c r="LPE220" s="76"/>
      <c r="LPF220" s="76"/>
      <c r="LPG220" s="76"/>
      <c r="LPH220" s="76"/>
      <c r="LPI220" s="76"/>
      <c r="LPJ220" s="76"/>
      <c r="LPK220" s="76"/>
      <c r="LPL220" s="76"/>
      <c r="LPM220" s="76"/>
      <c r="LPN220" s="76"/>
      <c r="LPO220" s="76"/>
      <c r="LPP220" s="76"/>
      <c r="LPQ220" s="76"/>
      <c r="LPR220" s="76"/>
      <c r="LPS220" s="76"/>
      <c r="LPT220" s="76"/>
      <c r="LPU220" s="76"/>
      <c r="LPV220" s="76"/>
      <c r="LPW220" s="76"/>
      <c r="LPX220" s="76"/>
      <c r="LPY220" s="76"/>
      <c r="LPZ220" s="76"/>
      <c r="LQA220" s="76"/>
      <c r="LQB220" s="76"/>
      <c r="LQC220" s="76"/>
      <c r="LQD220" s="76"/>
      <c r="LQE220" s="76"/>
      <c r="LQF220" s="76"/>
      <c r="LQG220" s="76"/>
      <c r="LQH220" s="76"/>
      <c r="LQI220" s="76"/>
      <c r="LQJ220" s="76"/>
      <c r="LQK220" s="76"/>
      <c r="LQL220" s="76"/>
      <c r="LQM220" s="76"/>
      <c r="LQN220" s="76"/>
      <c r="LQO220" s="76"/>
      <c r="LQP220" s="76"/>
      <c r="LQQ220" s="76"/>
      <c r="LQR220" s="76"/>
      <c r="LQS220" s="76"/>
      <c r="LQT220" s="76"/>
      <c r="LQU220" s="76"/>
      <c r="LQV220" s="76"/>
      <c r="LQW220" s="76"/>
      <c r="LQX220" s="76"/>
      <c r="LQY220" s="76"/>
      <c r="LQZ220" s="76"/>
      <c r="LRA220" s="76"/>
      <c r="LRB220" s="76"/>
      <c r="LRC220" s="76"/>
      <c r="LRD220" s="76"/>
      <c r="LRE220" s="76"/>
      <c r="LRF220" s="76"/>
      <c r="LRG220" s="76"/>
      <c r="LRH220" s="76"/>
      <c r="LRI220" s="76"/>
      <c r="LRJ220" s="76"/>
      <c r="LRK220" s="76"/>
      <c r="LRL220" s="76"/>
      <c r="LRM220" s="76"/>
      <c r="LRN220" s="76"/>
      <c r="LRO220" s="76"/>
      <c r="LRP220" s="76"/>
      <c r="LRQ220" s="76"/>
      <c r="LRR220" s="76"/>
      <c r="LRS220" s="76"/>
      <c r="LRT220" s="76"/>
      <c r="LRU220" s="76"/>
      <c r="LRV220" s="76"/>
      <c r="LRW220" s="76"/>
      <c r="LRX220" s="76"/>
      <c r="LRY220" s="76"/>
      <c r="LRZ220" s="76"/>
      <c r="LSA220" s="76"/>
      <c r="LSB220" s="76"/>
      <c r="LSC220" s="76"/>
      <c r="LSD220" s="76"/>
      <c r="LSE220" s="76"/>
      <c r="LSF220" s="76"/>
      <c r="LSG220" s="76"/>
      <c r="LSH220" s="76"/>
      <c r="LSI220" s="76"/>
      <c r="LSJ220" s="76"/>
      <c r="LSK220" s="76"/>
      <c r="LSL220" s="76"/>
      <c r="LSM220" s="76"/>
      <c r="LSN220" s="76"/>
      <c r="LSO220" s="76"/>
      <c r="LSP220" s="76"/>
      <c r="LSQ220" s="76"/>
      <c r="LSR220" s="76"/>
      <c r="LSS220" s="76"/>
      <c r="LST220" s="76"/>
      <c r="LSU220" s="76"/>
      <c r="LSV220" s="76"/>
      <c r="LSW220" s="76"/>
      <c r="LSX220" s="76"/>
      <c r="LSY220" s="76"/>
      <c r="LSZ220" s="76"/>
      <c r="LTA220" s="76"/>
      <c r="LTB220" s="76"/>
      <c r="LTC220" s="76"/>
      <c r="LTD220" s="76"/>
      <c r="LTE220" s="76"/>
      <c r="LTF220" s="76"/>
      <c r="LTG220" s="76"/>
      <c r="LTH220" s="76"/>
      <c r="LTI220" s="76"/>
      <c r="LTJ220" s="76"/>
      <c r="LTK220" s="76"/>
      <c r="LTL220" s="76"/>
      <c r="LTM220" s="76"/>
      <c r="LTN220" s="76"/>
      <c r="LTO220" s="76"/>
      <c r="LTP220" s="76"/>
      <c r="LTQ220" s="76"/>
      <c r="LTR220" s="76"/>
      <c r="LTS220" s="76"/>
      <c r="LTT220" s="76"/>
      <c r="LTU220" s="76"/>
      <c r="LTV220" s="76"/>
      <c r="LTW220" s="76"/>
      <c r="LTX220" s="76"/>
      <c r="LTY220" s="76"/>
      <c r="LTZ220" s="76"/>
      <c r="LUA220" s="76"/>
      <c r="LUB220" s="76"/>
      <c r="LUC220" s="76"/>
      <c r="LUD220" s="76"/>
      <c r="LUE220" s="76"/>
      <c r="LUF220" s="76"/>
      <c r="LUG220" s="76"/>
      <c r="LUH220" s="76"/>
      <c r="LUI220" s="76"/>
      <c r="LUJ220" s="76"/>
      <c r="LUK220" s="76"/>
      <c r="LUL220" s="76"/>
      <c r="LUM220" s="76"/>
      <c r="LUN220" s="76"/>
      <c r="LUO220" s="76"/>
      <c r="LUP220" s="76"/>
      <c r="LUQ220" s="76"/>
      <c r="LUR220" s="76"/>
      <c r="LUS220" s="76"/>
      <c r="LUT220" s="76"/>
      <c r="LUU220" s="76"/>
      <c r="LUV220" s="76"/>
      <c r="LUW220" s="76"/>
      <c r="LUX220" s="76"/>
      <c r="LUY220" s="76"/>
      <c r="LUZ220" s="76"/>
      <c r="LVA220" s="76"/>
      <c r="LVB220" s="76"/>
      <c r="LVC220" s="76"/>
      <c r="LVD220" s="76"/>
      <c r="LVE220" s="76"/>
      <c r="LVF220" s="76"/>
      <c r="LVG220" s="76"/>
      <c r="LVH220" s="76"/>
      <c r="LVI220" s="76"/>
      <c r="LVJ220" s="76"/>
      <c r="LVK220" s="76"/>
      <c r="LVL220" s="76"/>
      <c r="LVM220" s="76"/>
      <c r="LVN220" s="76"/>
      <c r="LVO220" s="76"/>
      <c r="LVP220" s="76"/>
      <c r="LVQ220" s="76"/>
      <c r="LVR220" s="76"/>
      <c r="LVS220" s="76"/>
      <c r="LVT220" s="76"/>
      <c r="LVU220" s="76"/>
      <c r="LVV220" s="76"/>
      <c r="LVW220" s="76"/>
      <c r="LVX220" s="76"/>
      <c r="LVY220" s="76"/>
      <c r="LVZ220" s="76"/>
      <c r="LWA220" s="76"/>
      <c r="LWB220" s="76"/>
      <c r="LWC220" s="76"/>
      <c r="LWD220" s="76"/>
      <c r="LWE220" s="76"/>
      <c r="LWF220" s="76"/>
      <c r="LWG220" s="76"/>
      <c r="LWH220" s="76"/>
      <c r="LWI220" s="76"/>
      <c r="LWJ220" s="76"/>
      <c r="LWK220" s="76"/>
      <c r="LWL220" s="76"/>
      <c r="LWM220" s="76"/>
      <c r="LWN220" s="76"/>
      <c r="LWO220" s="76"/>
      <c r="LWP220" s="76"/>
      <c r="LWQ220" s="76"/>
      <c r="LWR220" s="76"/>
      <c r="LWS220" s="76"/>
      <c r="LWT220" s="76"/>
      <c r="LWU220" s="76"/>
      <c r="LWV220" s="76"/>
      <c r="LWW220" s="76"/>
      <c r="LWX220" s="76"/>
      <c r="LWY220" s="76"/>
      <c r="LWZ220" s="76"/>
      <c r="LXA220" s="76"/>
      <c r="LXB220" s="76"/>
      <c r="LXC220" s="76"/>
      <c r="LXD220" s="76"/>
      <c r="LXE220" s="76"/>
      <c r="LXF220" s="76"/>
      <c r="LXG220" s="76"/>
      <c r="LXH220" s="76"/>
      <c r="LXI220" s="76"/>
      <c r="LXJ220" s="76"/>
      <c r="LXK220" s="76"/>
      <c r="LXL220" s="76"/>
      <c r="LXM220" s="76"/>
      <c r="LXN220" s="76"/>
      <c r="LXO220" s="76"/>
      <c r="LXP220" s="76"/>
      <c r="LXQ220" s="76"/>
      <c r="LXR220" s="76"/>
      <c r="LXS220" s="76"/>
      <c r="LXT220" s="76"/>
      <c r="LXU220" s="76"/>
      <c r="LXV220" s="76"/>
      <c r="LXW220" s="76"/>
      <c r="LXX220" s="76"/>
      <c r="LXY220" s="76"/>
      <c r="LXZ220" s="76"/>
      <c r="LYA220" s="76"/>
      <c r="LYB220" s="76"/>
      <c r="LYC220" s="76"/>
      <c r="LYD220" s="76"/>
      <c r="LYE220" s="76"/>
      <c r="LYF220" s="76"/>
      <c r="LYG220" s="76"/>
      <c r="LYH220" s="76"/>
      <c r="LYI220" s="76"/>
      <c r="LYJ220" s="76"/>
      <c r="LYK220" s="76"/>
      <c r="LYL220" s="76"/>
      <c r="LYM220" s="76"/>
      <c r="LYN220" s="76"/>
      <c r="LYO220" s="76"/>
      <c r="LYP220" s="76"/>
      <c r="LYQ220" s="76"/>
      <c r="LYR220" s="76"/>
      <c r="LYS220" s="76"/>
      <c r="LYT220" s="76"/>
      <c r="LYU220" s="76"/>
      <c r="LYV220" s="76"/>
      <c r="LYW220" s="76"/>
      <c r="LYX220" s="76"/>
      <c r="LYY220" s="76"/>
      <c r="LYZ220" s="76"/>
      <c r="LZA220" s="76"/>
      <c r="LZB220" s="76"/>
      <c r="LZC220" s="76"/>
      <c r="LZD220" s="76"/>
      <c r="LZE220" s="76"/>
      <c r="LZF220" s="76"/>
      <c r="LZG220" s="76"/>
      <c r="LZH220" s="76"/>
      <c r="LZI220" s="76"/>
      <c r="LZJ220" s="76"/>
      <c r="LZK220" s="76"/>
      <c r="LZL220" s="76"/>
      <c r="LZM220" s="76"/>
      <c r="LZN220" s="76"/>
      <c r="LZO220" s="76"/>
      <c r="LZP220" s="76"/>
      <c r="LZQ220" s="76"/>
      <c r="LZR220" s="76"/>
      <c r="LZS220" s="76"/>
      <c r="LZT220" s="76"/>
      <c r="LZU220" s="76"/>
      <c r="LZV220" s="76"/>
      <c r="LZW220" s="76"/>
      <c r="LZX220" s="76"/>
      <c r="LZY220" s="76"/>
      <c r="LZZ220" s="76"/>
      <c r="MAA220" s="76"/>
      <c r="MAB220" s="76"/>
      <c r="MAC220" s="76"/>
      <c r="MAD220" s="76"/>
      <c r="MAE220" s="76"/>
      <c r="MAF220" s="76"/>
      <c r="MAG220" s="76"/>
      <c r="MAH220" s="76"/>
      <c r="MAI220" s="76"/>
      <c r="MAJ220" s="76"/>
      <c r="MAK220" s="76"/>
      <c r="MAL220" s="76"/>
      <c r="MAM220" s="76"/>
      <c r="MAN220" s="76"/>
      <c r="MAO220" s="76"/>
      <c r="MAP220" s="76"/>
      <c r="MAQ220" s="76"/>
      <c r="MAR220" s="76"/>
      <c r="MAS220" s="76"/>
      <c r="MAT220" s="76"/>
      <c r="MAU220" s="76"/>
      <c r="MAV220" s="76"/>
      <c r="MAW220" s="76"/>
      <c r="MAX220" s="76"/>
      <c r="MAY220" s="76"/>
      <c r="MAZ220" s="76"/>
      <c r="MBA220" s="76"/>
      <c r="MBB220" s="76"/>
      <c r="MBC220" s="76"/>
      <c r="MBD220" s="76"/>
      <c r="MBE220" s="76"/>
      <c r="MBF220" s="76"/>
      <c r="MBG220" s="76"/>
      <c r="MBH220" s="76"/>
      <c r="MBI220" s="76"/>
      <c r="MBJ220" s="76"/>
      <c r="MBK220" s="76"/>
      <c r="MBL220" s="76"/>
      <c r="MBM220" s="76"/>
      <c r="MBN220" s="76"/>
      <c r="MBO220" s="76"/>
      <c r="MBP220" s="76"/>
      <c r="MBQ220" s="76"/>
      <c r="MBR220" s="76"/>
      <c r="MBS220" s="76"/>
      <c r="MBT220" s="76"/>
      <c r="MBU220" s="76"/>
      <c r="MBV220" s="76"/>
      <c r="MBW220" s="76"/>
      <c r="MBX220" s="76"/>
      <c r="MBY220" s="76"/>
      <c r="MBZ220" s="76"/>
      <c r="MCA220" s="76"/>
      <c r="MCB220" s="76"/>
      <c r="MCC220" s="76"/>
      <c r="MCD220" s="76"/>
      <c r="MCE220" s="76"/>
      <c r="MCF220" s="76"/>
      <c r="MCG220" s="76"/>
      <c r="MCH220" s="76"/>
      <c r="MCI220" s="76"/>
      <c r="MCJ220" s="76"/>
      <c r="MCK220" s="76"/>
      <c r="MCL220" s="76"/>
      <c r="MCM220" s="76"/>
      <c r="MCN220" s="76"/>
      <c r="MCO220" s="76"/>
      <c r="MCP220" s="76"/>
      <c r="MCQ220" s="76"/>
      <c r="MCR220" s="76"/>
      <c r="MCS220" s="76"/>
      <c r="MCT220" s="76"/>
      <c r="MCU220" s="76"/>
      <c r="MCV220" s="76"/>
      <c r="MCW220" s="76"/>
      <c r="MCX220" s="76"/>
      <c r="MCY220" s="76"/>
      <c r="MCZ220" s="76"/>
      <c r="MDA220" s="76"/>
      <c r="MDB220" s="76"/>
      <c r="MDC220" s="76"/>
      <c r="MDD220" s="76"/>
      <c r="MDE220" s="76"/>
      <c r="MDF220" s="76"/>
      <c r="MDG220" s="76"/>
      <c r="MDH220" s="76"/>
      <c r="MDI220" s="76"/>
      <c r="MDJ220" s="76"/>
      <c r="MDK220" s="76"/>
      <c r="MDL220" s="76"/>
      <c r="MDM220" s="76"/>
      <c r="MDN220" s="76"/>
      <c r="MDO220" s="76"/>
      <c r="MDP220" s="76"/>
      <c r="MDQ220" s="76"/>
      <c r="MDR220" s="76"/>
      <c r="MDS220" s="76"/>
      <c r="MDT220" s="76"/>
      <c r="MDU220" s="76"/>
      <c r="MDV220" s="76"/>
      <c r="MDW220" s="76"/>
      <c r="MDX220" s="76"/>
      <c r="MDY220" s="76"/>
      <c r="MDZ220" s="76"/>
      <c r="MEA220" s="76"/>
      <c r="MEB220" s="76"/>
      <c r="MEC220" s="76"/>
      <c r="MED220" s="76"/>
      <c r="MEE220" s="76"/>
      <c r="MEF220" s="76"/>
      <c r="MEG220" s="76"/>
      <c r="MEH220" s="76"/>
      <c r="MEI220" s="76"/>
      <c r="MEJ220" s="76"/>
      <c r="MEK220" s="76"/>
      <c r="MEL220" s="76"/>
      <c r="MEM220" s="76"/>
      <c r="MEN220" s="76"/>
      <c r="MEO220" s="76"/>
      <c r="MEP220" s="76"/>
      <c r="MEQ220" s="76"/>
      <c r="MER220" s="76"/>
      <c r="MES220" s="76"/>
      <c r="MET220" s="76"/>
      <c r="MEU220" s="76"/>
      <c r="MEV220" s="76"/>
      <c r="MEW220" s="76"/>
      <c r="MEX220" s="76"/>
      <c r="MEY220" s="76"/>
      <c r="MEZ220" s="76"/>
      <c r="MFA220" s="76"/>
      <c r="MFB220" s="76"/>
      <c r="MFC220" s="76"/>
      <c r="MFD220" s="76"/>
      <c r="MFE220" s="76"/>
      <c r="MFF220" s="76"/>
      <c r="MFG220" s="76"/>
      <c r="MFH220" s="76"/>
      <c r="MFI220" s="76"/>
      <c r="MFJ220" s="76"/>
      <c r="MFK220" s="76"/>
      <c r="MFL220" s="76"/>
      <c r="MFM220" s="76"/>
      <c r="MFN220" s="76"/>
      <c r="MFO220" s="76"/>
      <c r="MFP220" s="76"/>
      <c r="MFQ220" s="76"/>
      <c r="MFR220" s="76"/>
      <c r="MFS220" s="76"/>
      <c r="MFT220" s="76"/>
      <c r="MFU220" s="76"/>
      <c r="MFV220" s="76"/>
      <c r="MFW220" s="76"/>
      <c r="MFX220" s="76"/>
      <c r="MFY220" s="76"/>
      <c r="MFZ220" s="76"/>
      <c r="MGA220" s="76"/>
      <c r="MGB220" s="76"/>
      <c r="MGC220" s="76"/>
      <c r="MGD220" s="76"/>
      <c r="MGE220" s="76"/>
      <c r="MGF220" s="76"/>
      <c r="MGG220" s="76"/>
      <c r="MGH220" s="76"/>
      <c r="MGI220" s="76"/>
      <c r="MGJ220" s="76"/>
      <c r="MGK220" s="76"/>
      <c r="MGL220" s="76"/>
      <c r="MGM220" s="76"/>
      <c r="MGN220" s="76"/>
      <c r="MGO220" s="76"/>
      <c r="MGP220" s="76"/>
      <c r="MGQ220" s="76"/>
      <c r="MGR220" s="76"/>
      <c r="MGS220" s="76"/>
      <c r="MGT220" s="76"/>
      <c r="MGU220" s="76"/>
      <c r="MGV220" s="76"/>
      <c r="MGW220" s="76"/>
      <c r="MGX220" s="76"/>
      <c r="MGY220" s="76"/>
      <c r="MGZ220" s="76"/>
      <c r="MHA220" s="76"/>
      <c r="MHB220" s="76"/>
      <c r="MHC220" s="76"/>
      <c r="MHD220" s="76"/>
      <c r="MHE220" s="76"/>
      <c r="MHF220" s="76"/>
      <c r="MHG220" s="76"/>
      <c r="MHH220" s="76"/>
      <c r="MHI220" s="76"/>
      <c r="MHJ220" s="76"/>
      <c r="MHK220" s="76"/>
      <c r="MHL220" s="76"/>
      <c r="MHM220" s="76"/>
      <c r="MHN220" s="76"/>
      <c r="MHO220" s="76"/>
      <c r="MHP220" s="76"/>
      <c r="MHQ220" s="76"/>
      <c r="MHR220" s="76"/>
      <c r="MHS220" s="76"/>
      <c r="MHT220" s="76"/>
      <c r="MHU220" s="76"/>
      <c r="MHV220" s="76"/>
      <c r="MHW220" s="76"/>
      <c r="MHX220" s="76"/>
      <c r="MHY220" s="76"/>
      <c r="MHZ220" s="76"/>
      <c r="MIA220" s="76"/>
      <c r="MIB220" s="76"/>
      <c r="MIC220" s="76"/>
      <c r="MID220" s="76"/>
      <c r="MIE220" s="76"/>
      <c r="MIF220" s="76"/>
      <c r="MIG220" s="76"/>
      <c r="MIH220" s="76"/>
      <c r="MII220" s="76"/>
      <c r="MIJ220" s="76"/>
      <c r="MIK220" s="76"/>
      <c r="MIL220" s="76"/>
      <c r="MIM220" s="76"/>
      <c r="MIN220" s="76"/>
      <c r="MIO220" s="76"/>
      <c r="MIP220" s="76"/>
      <c r="MIQ220" s="76"/>
      <c r="MIR220" s="76"/>
      <c r="MIS220" s="76"/>
      <c r="MIT220" s="76"/>
      <c r="MIU220" s="76"/>
      <c r="MIV220" s="76"/>
      <c r="MIW220" s="76"/>
      <c r="MIX220" s="76"/>
      <c r="MIY220" s="76"/>
      <c r="MIZ220" s="76"/>
      <c r="MJA220" s="76"/>
      <c r="MJB220" s="76"/>
      <c r="MJC220" s="76"/>
      <c r="MJD220" s="76"/>
      <c r="MJE220" s="76"/>
      <c r="MJF220" s="76"/>
      <c r="MJG220" s="76"/>
      <c r="MJH220" s="76"/>
      <c r="MJI220" s="76"/>
      <c r="MJJ220" s="76"/>
      <c r="MJK220" s="76"/>
      <c r="MJL220" s="76"/>
      <c r="MJM220" s="76"/>
      <c r="MJN220" s="76"/>
      <c r="MJO220" s="76"/>
      <c r="MJP220" s="76"/>
      <c r="MJQ220" s="76"/>
      <c r="MJR220" s="76"/>
      <c r="MJS220" s="76"/>
      <c r="MJT220" s="76"/>
      <c r="MJU220" s="76"/>
      <c r="MJV220" s="76"/>
      <c r="MJW220" s="76"/>
      <c r="MJX220" s="76"/>
      <c r="MJY220" s="76"/>
      <c r="MJZ220" s="76"/>
      <c r="MKA220" s="76"/>
      <c r="MKB220" s="76"/>
      <c r="MKC220" s="76"/>
      <c r="MKD220" s="76"/>
      <c r="MKE220" s="76"/>
      <c r="MKF220" s="76"/>
      <c r="MKG220" s="76"/>
      <c r="MKH220" s="76"/>
      <c r="MKI220" s="76"/>
      <c r="MKJ220" s="76"/>
      <c r="MKK220" s="76"/>
      <c r="MKL220" s="76"/>
      <c r="MKM220" s="76"/>
      <c r="MKN220" s="76"/>
      <c r="MKO220" s="76"/>
      <c r="MKP220" s="76"/>
      <c r="MKQ220" s="76"/>
      <c r="MKR220" s="76"/>
      <c r="MKS220" s="76"/>
      <c r="MKT220" s="76"/>
      <c r="MKU220" s="76"/>
      <c r="MKV220" s="76"/>
      <c r="MKW220" s="76"/>
      <c r="MKX220" s="76"/>
      <c r="MKY220" s="76"/>
      <c r="MKZ220" s="76"/>
      <c r="MLA220" s="76"/>
      <c r="MLB220" s="76"/>
      <c r="MLC220" s="76"/>
      <c r="MLD220" s="76"/>
      <c r="MLE220" s="76"/>
      <c r="MLF220" s="76"/>
      <c r="MLG220" s="76"/>
      <c r="MLH220" s="76"/>
      <c r="MLI220" s="76"/>
      <c r="MLJ220" s="76"/>
      <c r="MLK220" s="76"/>
      <c r="MLL220" s="76"/>
      <c r="MLM220" s="76"/>
      <c r="MLN220" s="76"/>
      <c r="MLO220" s="76"/>
      <c r="MLP220" s="76"/>
      <c r="MLQ220" s="76"/>
      <c r="MLR220" s="76"/>
      <c r="MLS220" s="76"/>
      <c r="MLT220" s="76"/>
      <c r="MLU220" s="76"/>
      <c r="MLV220" s="76"/>
      <c r="MLW220" s="76"/>
      <c r="MLX220" s="76"/>
      <c r="MLY220" s="76"/>
      <c r="MLZ220" s="76"/>
      <c r="MMA220" s="76"/>
      <c r="MMB220" s="76"/>
      <c r="MMC220" s="76"/>
      <c r="MMD220" s="76"/>
      <c r="MME220" s="76"/>
      <c r="MMF220" s="76"/>
      <c r="MMG220" s="76"/>
      <c r="MMH220" s="76"/>
      <c r="MMI220" s="76"/>
      <c r="MMJ220" s="76"/>
      <c r="MMK220" s="76"/>
      <c r="MML220" s="76"/>
      <c r="MMM220" s="76"/>
      <c r="MMN220" s="76"/>
      <c r="MMO220" s="76"/>
      <c r="MMP220" s="76"/>
      <c r="MMQ220" s="76"/>
      <c r="MMR220" s="76"/>
      <c r="MMS220" s="76"/>
      <c r="MMT220" s="76"/>
      <c r="MMU220" s="76"/>
      <c r="MMV220" s="76"/>
      <c r="MMW220" s="76"/>
      <c r="MMX220" s="76"/>
      <c r="MMY220" s="76"/>
      <c r="MMZ220" s="76"/>
      <c r="MNA220" s="76"/>
      <c r="MNB220" s="76"/>
      <c r="MNC220" s="76"/>
      <c r="MND220" s="76"/>
      <c r="MNE220" s="76"/>
      <c r="MNF220" s="76"/>
      <c r="MNG220" s="76"/>
      <c r="MNH220" s="76"/>
      <c r="MNI220" s="76"/>
      <c r="MNJ220" s="76"/>
      <c r="MNK220" s="76"/>
      <c r="MNL220" s="76"/>
      <c r="MNM220" s="76"/>
      <c r="MNN220" s="76"/>
      <c r="MNO220" s="76"/>
      <c r="MNP220" s="76"/>
      <c r="MNQ220" s="76"/>
      <c r="MNR220" s="76"/>
      <c r="MNS220" s="76"/>
      <c r="MNT220" s="76"/>
      <c r="MNU220" s="76"/>
      <c r="MNV220" s="76"/>
      <c r="MNW220" s="76"/>
      <c r="MNX220" s="76"/>
      <c r="MNY220" s="76"/>
      <c r="MNZ220" s="76"/>
      <c r="MOA220" s="76"/>
      <c r="MOB220" s="76"/>
      <c r="MOC220" s="76"/>
      <c r="MOD220" s="76"/>
      <c r="MOE220" s="76"/>
      <c r="MOF220" s="76"/>
      <c r="MOG220" s="76"/>
      <c r="MOH220" s="76"/>
      <c r="MOI220" s="76"/>
      <c r="MOJ220" s="76"/>
      <c r="MOK220" s="76"/>
      <c r="MOL220" s="76"/>
      <c r="MOM220" s="76"/>
      <c r="MON220" s="76"/>
      <c r="MOO220" s="76"/>
      <c r="MOP220" s="76"/>
      <c r="MOQ220" s="76"/>
      <c r="MOR220" s="76"/>
      <c r="MOS220" s="76"/>
      <c r="MOT220" s="76"/>
      <c r="MOU220" s="76"/>
      <c r="MOV220" s="76"/>
      <c r="MOW220" s="76"/>
      <c r="MOX220" s="76"/>
      <c r="MOY220" s="76"/>
      <c r="MOZ220" s="76"/>
      <c r="MPA220" s="76"/>
      <c r="MPB220" s="76"/>
      <c r="MPC220" s="76"/>
      <c r="MPD220" s="76"/>
      <c r="MPE220" s="76"/>
      <c r="MPF220" s="76"/>
      <c r="MPG220" s="76"/>
      <c r="MPH220" s="76"/>
      <c r="MPI220" s="76"/>
      <c r="MPJ220" s="76"/>
      <c r="MPK220" s="76"/>
      <c r="MPL220" s="76"/>
      <c r="MPM220" s="76"/>
      <c r="MPN220" s="76"/>
      <c r="MPO220" s="76"/>
      <c r="MPP220" s="76"/>
      <c r="MPQ220" s="76"/>
      <c r="MPR220" s="76"/>
      <c r="MPS220" s="76"/>
      <c r="MPT220" s="76"/>
      <c r="MPU220" s="76"/>
      <c r="MPV220" s="76"/>
      <c r="MPW220" s="76"/>
      <c r="MPX220" s="76"/>
      <c r="MPY220" s="76"/>
      <c r="MPZ220" s="76"/>
      <c r="MQA220" s="76"/>
      <c r="MQB220" s="76"/>
      <c r="MQC220" s="76"/>
      <c r="MQD220" s="76"/>
      <c r="MQE220" s="76"/>
      <c r="MQF220" s="76"/>
      <c r="MQG220" s="76"/>
      <c r="MQH220" s="76"/>
      <c r="MQI220" s="76"/>
      <c r="MQJ220" s="76"/>
      <c r="MQK220" s="76"/>
      <c r="MQL220" s="76"/>
      <c r="MQM220" s="76"/>
      <c r="MQN220" s="76"/>
      <c r="MQO220" s="76"/>
      <c r="MQP220" s="76"/>
      <c r="MQQ220" s="76"/>
      <c r="MQR220" s="76"/>
      <c r="MQS220" s="76"/>
      <c r="MQT220" s="76"/>
      <c r="MQU220" s="76"/>
      <c r="MQV220" s="76"/>
      <c r="MQW220" s="76"/>
      <c r="MQX220" s="76"/>
      <c r="MQY220" s="76"/>
      <c r="MQZ220" s="76"/>
      <c r="MRA220" s="76"/>
      <c r="MRB220" s="76"/>
      <c r="MRC220" s="76"/>
      <c r="MRD220" s="76"/>
      <c r="MRE220" s="76"/>
      <c r="MRF220" s="76"/>
      <c r="MRG220" s="76"/>
      <c r="MRH220" s="76"/>
      <c r="MRI220" s="76"/>
      <c r="MRJ220" s="76"/>
      <c r="MRK220" s="76"/>
      <c r="MRL220" s="76"/>
      <c r="MRM220" s="76"/>
      <c r="MRN220" s="76"/>
      <c r="MRO220" s="76"/>
      <c r="MRP220" s="76"/>
      <c r="MRQ220" s="76"/>
      <c r="MRR220" s="76"/>
      <c r="MRS220" s="76"/>
      <c r="MRT220" s="76"/>
      <c r="MRU220" s="76"/>
      <c r="MRV220" s="76"/>
      <c r="MRW220" s="76"/>
      <c r="MRX220" s="76"/>
      <c r="MRY220" s="76"/>
      <c r="MRZ220" s="76"/>
      <c r="MSA220" s="76"/>
      <c r="MSB220" s="76"/>
      <c r="MSC220" s="76"/>
      <c r="MSD220" s="76"/>
      <c r="MSE220" s="76"/>
      <c r="MSF220" s="76"/>
      <c r="MSG220" s="76"/>
      <c r="MSH220" s="76"/>
      <c r="MSI220" s="76"/>
      <c r="MSJ220" s="76"/>
      <c r="MSK220" s="76"/>
      <c r="MSL220" s="76"/>
      <c r="MSM220" s="76"/>
      <c r="MSN220" s="76"/>
      <c r="MSO220" s="76"/>
      <c r="MSP220" s="76"/>
      <c r="MSQ220" s="76"/>
      <c r="MSR220" s="76"/>
      <c r="MSS220" s="76"/>
      <c r="MST220" s="76"/>
      <c r="MSU220" s="76"/>
      <c r="MSV220" s="76"/>
      <c r="MSW220" s="76"/>
      <c r="MSX220" s="76"/>
      <c r="MSY220" s="76"/>
      <c r="MSZ220" s="76"/>
      <c r="MTA220" s="76"/>
      <c r="MTB220" s="76"/>
      <c r="MTC220" s="76"/>
      <c r="MTD220" s="76"/>
      <c r="MTE220" s="76"/>
      <c r="MTF220" s="76"/>
      <c r="MTG220" s="76"/>
      <c r="MTH220" s="76"/>
      <c r="MTI220" s="76"/>
      <c r="MTJ220" s="76"/>
      <c r="MTK220" s="76"/>
      <c r="MTL220" s="76"/>
      <c r="MTM220" s="76"/>
      <c r="MTN220" s="76"/>
      <c r="MTO220" s="76"/>
      <c r="MTP220" s="76"/>
      <c r="MTQ220" s="76"/>
      <c r="MTR220" s="76"/>
      <c r="MTS220" s="76"/>
      <c r="MTT220" s="76"/>
      <c r="MTU220" s="76"/>
      <c r="MTV220" s="76"/>
      <c r="MTW220" s="76"/>
      <c r="MTX220" s="76"/>
      <c r="MTY220" s="76"/>
      <c r="MTZ220" s="76"/>
      <c r="MUA220" s="76"/>
      <c r="MUB220" s="76"/>
      <c r="MUC220" s="76"/>
      <c r="MUD220" s="76"/>
      <c r="MUE220" s="76"/>
      <c r="MUF220" s="76"/>
      <c r="MUG220" s="76"/>
      <c r="MUH220" s="76"/>
      <c r="MUI220" s="76"/>
      <c r="MUJ220" s="76"/>
      <c r="MUK220" s="76"/>
      <c r="MUL220" s="76"/>
      <c r="MUM220" s="76"/>
      <c r="MUN220" s="76"/>
      <c r="MUO220" s="76"/>
      <c r="MUP220" s="76"/>
      <c r="MUQ220" s="76"/>
      <c r="MUR220" s="76"/>
      <c r="MUS220" s="76"/>
      <c r="MUT220" s="76"/>
      <c r="MUU220" s="76"/>
      <c r="MUV220" s="76"/>
      <c r="MUW220" s="76"/>
      <c r="MUX220" s="76"/>
      <c r="MUY220" s="76"/>
      <c r="MUZ220" s="76"/>
      <c r="MVA220" s="76"/>
      <c r="MVB220" s="76"/>
      <c r="MVC220" s="76"/>
      <c r="MVD220" s="76"/>
      <c r="MVE220" s="76"/>
      <c r="MVF220" s="76"/>
      <c r="MVG220" s="76"/>
      <c r="MVH220" s="76"/>
      <c r="MVI220" s="76"/>
      <c r="MVJ220" s="76"/>
      <c r="MVK220" s="76"/>
      <c r="MVL220" s="76"/>
      <c r="MVM220" s="76"/>
      <c r="MVN220" s="76"/>
      <c r="MVO220" s="76"/>
      <c r="MVP220" s="76"/>
      <c r="MVQ220" s="76"/>
      <c r="MVR220" s="76"/>
      <c r="MVS220" s="76"/>
      <c r="MVT220" s="76"/>
      <c r="MVU220" s="76"/>
      <c r="MVV220" s="76"/>
      <c r="MVW220" s="76"/>
      <c r="MVX220" s="76"/>
      <c r="MVY220" s="76"/>
      <c r="MVZ220" s="76"/>
      <c r="MWA220" s="76"/>
      <c r="MWB220" s="76"/>
      <c r="MWC220" s="76"/>
      <c r="MWD220" s="76"/>
      <c r="MWE220" s="76"/>
      <c r="MWF220" s="76"/>
      <c r="MWG220" s="76"/>
      <c r="MWH220" s="76"/>
      <c r="MWI220" s="76"/>
      <c r="MWJ220" s="76"/>
      <c r="MWK220" s="76"/>
      <c r="MWL220" s="76"/>
      <c r="MWM220" s="76"/>
      <c r="MWN220" s="76"/>
      <c r="MWO220" s="76"/>
      <c r="MWP220" s="76"/>
      <c r="MWQ220" s="76"/>
      <c r="MWR220" s="76"/>
      <c r="MWS220" s="76"/>
      <c r="MWT220" s="76"/>
      <c r="MWU220" s="76"/>
      <c r="MWV220" s="76"/>
      <c r="MWW220" s="76"/>
      <c r="MWX220" s="76"/>
      <c r="MWY220" s="76"/>
      <c r="MWZ220" s="76"/>
      <c r="MXA220" s="76"/>
      <c r="MXB220" s="76"/>
      <c r="MXC220" s="76"/>
      <c r="MXD220" s="76"/>
      <c r="MXE220" s="76"/>
      <c r="MXF220" s="76"/>
      <c r="MXG220" s="76"/>
      <c r="MXH220" s="76"/>
      <c r="MXI220" s="76"/>
      <c r="MXJ220" s="76"/>
      <c r="MXK220" s="76"/>
      <c r="MXL220" s="76"/>
      <c r="MXM220" s="76"/>
      <c r="MXN220" s="76"/>
      <c r="MXO220" s="76"/>
      <c r="MXP220" s="76"/>
      <c r="MXQ220" s="76"/>
      <c r="MXR220" s="76"/>
      <c r="MXS220" s="76"/>
      <c r="MXT220" s="76"/>
      <c r="MXU220" s="76"/>
      <c r="MXV220" s="76"/>
      <c r="MXW220" s="76"/>
      <c r="MXX220" s="76"/>
      <c r="MXY220" s="76"/>
      <c r="MXZ220" s="76"/>
      <c r="MYA220" s="76"/>
      <c r="MYB220" s="76"/>
      <c r="MYC220" s="76"/>
      <c r="MYD220" s="76"/>
      <c r="MYE220" s="76"/>
      <c r="MYF220" s="76"/>
      <c r="MYG220" s="76"/>
      <c r="MYH220" s="76"/>
      <c r="MYI220" s="76"/>
      <c r="MYJ220" s="76"/>
      <c r="MYK220" s="76"/>
      <c r="MYL220" s="76"/>
      <c r="MYM220" s="76"/>
      <c r="MYN220" s="76"/>
      <c r="MYO220" s="76"/>
      <c r="MYP220" s="76"/>
      <c r="MYQ220" s="76"/>
      <c r="MYR220" s="76"/>
      <c r="MYS220" s="76"/>
      <c r="MYT220" s="76"/>
      <c r="MYU220" s="76"/>
      <c r="MYV220" s="76"/>
      <c r="MYW220" s="76"/>
      <c r="MYX220" s="76"/>
      <c r="MYY220" s="76"/>
      <c r="MYZ220" s="76"/>
      <c r="MZA220" s="76"/>
      <c r="MZB220" s="76"/>
      <c r="MZC220" s="76"/>
      <c r="MZD220" s="76"/>
      <c r="MZE220" s="76"/>
      <c r="MZF220" s="76"/>
      <c r="MZG220" s="76"/>
      <c r="MZH220" s="76"/>
      <c r="MZI220" s="76"/>
      <c r="MZJ220" s="76"/>
      <c r="MZK220" s="76"/>
      <c r="MZL220" s="76"/>
      <c r="MZM220" s="76"/>
      <c r="MZN220" s="76"/>
      <c r="MZO220" s="76"/>
      <c r="MZP220" s="76"/>
      <c r="MZQ220" s="76"/>
      <c r="MZR220" s="76"/>
      <c r="MZS220" s="76"/>
      <c r="MZT220" s="76"/>
      <c r="MZU220" s="76"/>
      <c r="MZV220" s="76"/>
      <c r="MZW220" s="76"/>
      <c r="MZX220" s="76"/>
      <c r="MZY220" s="76"/>
      <c r="MZZ220" s="76"/>
      <c r="NAA220" s="76"/>
      <c r="NAB220" s="76"/>
      <c r="NAC220" s="76"/>
      <c r="NAD220" s="76"/>
      <c r="NAE220" s="76"/>
      <c r="NAF220" s="76"/>
      <c r="NAG220" s="76"/>
      <c r="NAH220" s="76"/>
      <c r="NAI220" s="76"/>
      <c r="NAJ220" s="76"/>
      <c r="NAK220" s="76"/>
      <c r="NAL220" s="76"/>
      <c r="NAM220" s="76"/>
      <c r="NAN220" s="76"/>
      <c r="NAO220" s="76"/>
      <c r="NAP220" s="76"/>
      <c r="NAQ220" s="76"/>
      <c r="NAR220" s="76"/>
      <c r="NAS220" s="76"/>
      <c r="NAT220" s="76"/>
      <c r="NAU220" s="76"/>
      <c r="NAV220" s="76"/>
      <c r="NAW220" s="76"/>
      <c r="NAX220" s="76"/>
      <c r="NAY220" s="76"/>
      <c r="NAZ220" s="76"/>
      <c r="NBA220" s="76"/>
      <c r="NBB220" s="76"/>
      <c r="NBC220" s="76"/>
      <c r="NBD220" s="76"/>
      <c r="NBE220" s="76"/>
      <c r="NBF220" s="76"/>
      <c r="NBG220" s="76"/>
      <c r="NBH220" s="76"/>
      <c r="NBI220" s="76"/>
      <c r="NBJ220" s="76"/>
      <c r="NBK220" s="76"/>
      <c r="NBL220" s="76"/>
      <c r="NBM220" s="76"/>
      <c r="NBN220" s="76"/>
      <c r="NBO220" s="76"/>
      <c r="NBP220" s="76"/>
      <c r="NBQ220" s="76"/>
      <c r="NBR220" s="76"/>
      <c r="NBS220" s="76"/>
      <c r="NBT220" s="76"/>
      <c r="NBU220" s="76"/>
      <c r="NBV220" s="76"/>
      <c r="NBW220" s="76"/>
      <c r="NBX220" s="76"/>
      <c r="NBY220" s="76"/>
      <c r="NBZ220" s="76"/>
      <c r="NCA220" s="76"/>
      <c r="NCB220" s="76"/>
      <c r="NCC220" s="76"/>
      <c r="NCD220" s="76"/>
      <c r="NCE220" s="76"/>
      <c r="NCF220" s="76"/>
      <c r="NCG220" s="76"/>
      <c r="NCH220" s="76"/>
      <c r="NCI220" s="76"/>
      <c r="NCJ220" s="76"/>
      <c r="NCK220" s="76"/>
      <c r="NCL220" s="76"/>
      <c r="NCM220" s="76"/>
      <c r="NCN220" s="76"/>
      <c r="NCO220" s="76"/>
      <c r="NCP220" s="76"/>
      <c r="NCQ220" s="76"/>
      <c r="NCR220" s="76"/>
      <c r="NCS220" s="76"/>
      <c r="NCT220" s="76"/>
      <c r="NCU220" s="76"/>
      <c r="NCV220" s="76"/>
      <c r="NCW220" s="76"/>
      <c r="NCX220" s="76"/>
      <c r="NCY220" s="76"/>
      <c r="NCZ220" s="76"/>
      <c r="NDA220" s="76"/>
      <c r="NDB220" s="76"/>
      <c r="NDC220" s="76"/>
      <c r="NDD220" s="76"/>
      <c r="NDE220" s="76"/>
      <c r="NDF220" s="76"/>
      <c r="NDG220" s="76"/>
      <c r="NDH220" s="76"/>
      <c r="NDI220" s="76"/>
      <c r="NDJ220" s="76"/>
      <c r="NDK220" s="76"/>
      <c r="NDL220" s="76"/>
      <c r="NDM220" s="76"/>
      <c r="NDN220" s="76"/>
      <c r="NDO220" s="76"/>
      <c r="NDP220" s="76"/>
      <c r="NDQ220" s="76"/>
      <c r="NDR220" s="76"/>
      <c r="NDS220" s="76"/>
      <c r="NDT220" s="76"/>
      <c r="NDU220" s="76"/>
      <c r="NDV220" s="76"/>
      <c r="NDW220" s="76"/>
      <c r="NDX220" s="76"/>
      <c r="NDY220" s="76"/>
      <c r="NDZ220" s="76"/>
      <c r="NEA220" s="76"/>
      <c r="NEB220" s="76"/>
      <c r="NEC220" s="76"/>
      <c r="NED220" s="76"/>
      <c r="NEE220" s="76"/>
      <c r="NEF220" s="76"/>
      <c r="NEG220" s="76"/>
      <c r="NEH220" s="76"/>
      <c r="NEI220" s="76"/>
      <c r="NEJ220" s="76"/>
      <c r="NEK220" s="76"/>
      <c r="NEL220" s="76"/>
      <c r="NEM220" s="76"/>
      <c r="NEN220" s="76"/>
      <c r="NEO220" s="76"/>
      <c r="NEP220" s="76"/>
      <c r="NEQ220" s="76"/>
      <c r="NER220" s="76"/>
      <c r="NES220" s="76"/>
      <c r="NET220" s="76"/>
      <c r="NEU220" s="76"/>
      <c r="NEV220" s="76"/>
      <c r="NEW220" s="76"/>
      <c r="NEX220" s="76"/>
      <c r="NEY220" s="76"/>
      <c r="NEZ220" s="76"/>
      <c r="NFA220" s="76"/>
      <c r="NFB220" s="76"/>
      <c r="NFC220" s="76"/>
      <c r="NFD220" s="76"/>
      <c r="NFE220" s="76"/>
      <c r="NFF220" s="76"/>
      <c r="NFG220" s="76"/>
      <c r="NFH220" s="76"/>
      <c r="NFI220" s="76"/>
      <c r="NFJ220" s="76"/>
      <c r="NFK220" s="76"/>
      <c r="NFL220" s="76"/>
      <c r="NFM220" s="76"/>
      <c r="NFN220" s="76"/>
      <c r="NFO220" s="76"/>
      <c r="NFP220" s="76"/>
      <c r="NFQ220" s="76"/>
      <c r="NFR220" s="76"/>
      <c r="NFS220" s="76"/>
      <c r="NFT220" s="76"/>
      <c r="NFU220" s="76"/>
      <c r="NFV220" s="76"/>
      <c r="NFW220" s="76"/>
      <c r="NFX220" s="76"/>
      <c r="NFY220" s="76"/>
      <c r="NFZ220" s="76"/>
      <c r="NGA220" s="76"/>
      <c r="NGB220" s="76"/>
      <c r="NGC220" s="76"/>
      <c r="NGD220" s="76"/>
      <c r="NGE220" s="76"/>
      <c r="NGF220" s="76"/>
      <c r="NGG220" s="76"/>
      <c r="NGH220" s="76"/>
      <c r="NGI220" s="76"/>
      <c r="NGJ220" s="76"/>
      <c r="NGK220" s="76"/>
      <c r="NGL220" s="76"/>
      <c r="NGM220" s="76"/>
      <c r="NGN220" s="76"/>
      <c r="NGO220" s="76"/>
      <c r="NGP220" s="76"/>
      <c r="NGQ220" s="76"/>
      <c r="NGR220" s="76"/>
      <c r="NGS220" s="76"/>
      <c r="NGT220" s="76"/>
      <c r="NGU220" s="76"/>
      <c r="NGV220" s="76"/>
      <c r="NGW220" s="76"/>
      <c r="NGX220" s="76"/>
      <c r="NGY220" s="76"/>
      <c r="NGZ220" s="76"/>
      <c r="NHA220" s="76"/>
      <c r="NHB220" s="76"/>
      <c r="NHC220" s="76"/>
      <c r="NHD220" s="76"/>
      <c r="NHE220" s="76"/>
      <c r="NHF220" s="76"/>
      <c r="NHG220" s="76"/>
      <c r="NHH220" s="76"/>
      <c r="NHI220" s="76"/>
      <c r="NHJ220" s="76"/>
      <c r="NHK220" s="76"/>
      <c r="NHL220" s="76"/>
      <c r="NHM220" s="76"/>
      <c r="NHN220" s="76"/>
      <c r="NHO220" s="76"/>
      <c r="NHP220" s="76"/>
      <c r="NHQ220" s="76"/>
      <c r="NHR220" s="76"/>
      <c r="NHS220" s="76"/>
      <c r="NHT220" s="76"/>
      <c r="NHU220" s="76"/>
      <c r="NHV220" s="76"/>
      <c r="NHW220" s="76"/>
      <c r="NHX220" s="76"/>
      <c r="NHY220" s="76"/>
      <c r="NHZ220" s="76"/>
      <c r="NIA220" s="76"/>
      <c r="NIB220" s="76"/>
      <c r="NIC220" s="76"/>
      <c r="NID220" s="76"/>
      <c r="NIE220" s="76"/>
      <c r="NIF220" s="76"/>
      <c r="NIG220" s="76"/>
      <c r="NIH220" s="76"/>
      <c r="NII220" s="76"/>
      <c r="NIJ220" s="76"/>
      <c r="NIK220" s="76"/>
      <c r="NIL220" s="76"/>
      <c r="NIM220" s="76"/>
      <c r="NIN220" s="76"/>
      <c r="NIO220" s="76"/>
      <c r="NIP220" s="76"/>
      <c r="NIQ220" s="76"/>
      <c r="NIR220" s="76"/>
      <c r="NIS220" s="76"/>
      <c r="NIT220" s="76"/>
      <c r="NIU220" s="76"/>
      <c r="NIV220" s="76"/>
      <c r="NIW220" s="76"/>
      <c r="NIX220" s="76"/>
      <c r="NIY220" s="76"/>
      <c r="NIZ220" s="76"/>
      <c r="NJA220" s="76"/>
      <c r="NJB220" s="76"/>
      <c r="NJC220" s="76"/>
      <c r="NJD220" s="76"/>
      <c r="NJE220" s="76"/>
      <c r="NJF220" s="76"/>
      <c r="NJG220" s="76"/>
      <c r="NJH220" s="76"/>
      <c r="NJI220" s="76"/>
      <c r="NJJ220" s="76"/>
      <c r="NJK220" s="76"/>
      <c r="NJL220" s="76"/>
      <c r="NJM220" s="76"/>
      <c r="NJN220" s="76"/>
      <c r="NJO220" s="76"/>
      <c r="NJP220" s="76"/>
      <c r="NJQ220" s="76"/>
      <c r="NJR220" s="76"/>
      <c r="NJS220" s="76"/>
      <c r="NJT220" s="76"/>
      <c r="NJU220" s="76"/>
      <c r="NJV220" s="76"/>
      <c r="NJW220" s="76"/>
      <c r="NJX220" s="76"/>
      <c r="NJY220" s="76"/>
      <c r="NJZ220" s="76"/>
      <c r="NKA220" s="76"/>
      <c r="NKB220" s="76"/>
      <c r="NKC220" s="76"/>
      <c r="NKD220" s="76"/>
      <c r="NKE220" s="76"/>
      <c r="NKF220" s="76"/>
      <c r="NKG220" s="76"/>
      <c r="NKH220" s="76"/>
      <c r="NKI220" s="76"/>
      <c r="NKJ220" s="76"/>
      <c r="NKK220" s="76"/>
      <c r="NKL220" s="76"/>
      <c r="NKM220" s="76"/>
      <c r="NKN220" s="76"/>
      <c r="NKO220" s="76"/>
      <c r="NKP220" s="76"/>
      <c r="NKQ220" s="76"/>
      <c r="NKR220" s="76"/>
      <c r="NKS220" s="76"/>
      <c r="NKT220" s="76"/>
      <c r="NKU220" s="76"/>
      <c r="NKV220" s="76"/>
      <c r="NKW220" s="76"/>
      <c r="NKX220" s="76"/>
      <c r="NKY220" s="76"/>
      <c r="NKZ220" s="76"/>
      <c r="NLA220" s="76"/>
      <c r="NLB220" s="76"/>
      <c r="NLC220" s="76"/>
      <c r="NLD220" s="76"/>
      <c r="NLE220" s="76"/>
      <c r="NLF220" s="76"/>
      <c r="NLG220" s="76"/>
      <c r="NLH220" s="76"/>
      <c r="NLI220" s="76"/>
      <c r="NLJ220" s="76"/>
      <c r="NLK220" s="76"/>
      <c r="NLL220" s="76"/>
      <c r="NLM220" s="76"/>
      <c r="NLN220" s="76"/>
      <c r="NLO220" s="76"/>
      <c r="NLP220" s="76"/>
      <c r="NLQ220" s="76"/>
      <c r="NLR220" s="76"/>
      <c r="NLS220" s="76"/>
      <c r="NLT220" s="76"/>
      <c r="NLU220" s="76"/>
      <c r="NLV220" s="76"/>
      <c r="NLW220" s="76"/>
      <c r="NLX220" s="76"/>
      <c r="NLY220" s="76"/>
      <c r="NLZ220" s="76"/>
      <c r="NMA220" s="76"/>
      <c r="NMB220" s="76"/>
      <c r="NMC220" s="76"/>
      <c r="NMD220" s="76"/>
      <c r="NME220" s="76"/>
      <c r="NMF220" s="76"/>
      <c r="NMG220" s="76"/>
      <c r="NMH220" s="76"/>
      <c r="NMI220" s="76"/>
      <c r="NMJ220" s="76"/>
      <c r="NMK220" s="76"/>
      <c r="NML220" s="76"/>
      <c r="NMM220" s="76"/>
      <c r="NMN220" s="76"/>
      <c r="NMO220" s="76"/>
      <c r="NMP220" s="76"/>
      <c r="NMQ220" s="76"/>
      <c r="NMR220" s="76"/>
      <c r="NMS220" s="76"/>
      <c r="NMT220" s="76"/>
      <c r="NMU220" s="76"/>
      <c r="NMV220" s="76"/>
      <c r="NMW220" s="76"/>
      <c r="NMX220" s="76"/>
      <c r="NMY220" s="76"/>
      <c r="NMZ220" s="76"/>
      <c r="NNA220" s="76"/>
      <c r="NNB220" s="76"/>
      <c r="NNC220" s="76"/>
      <c r="NND220" s="76"/>
      <c r="NNE220" s="76"/>
      <c r="NNF220" s="76"/>
      <c r="NNG220" s="76"/>
      <c r="NNH220" s="76"/>
      <c r="NNI220" s="76"/>
      <c r="NNJ220" s="76"/>
      <c r="NNK220" s="76"/>
      <c r="NNL220" s="76"/>
      <c r="NNM220" s="76"/>
      <c r="NNN220" s="76"/>
      <c r="NNO220" s="76"/>
      <c r="NNP220" s="76"/>
      <c r="NNQ220" s="76"/>
      <c r="NNR220" s="76"/>
      <c r="NNS220" s="76"/>
      <c r="NNT220" s="76"/>
      <c r="NNU220" s="76"/>
      <c r="NNV220" s="76"/>
      <c r="NNW220" s="76"/>
      <c r="NNX220" s="76"/>
      <c r="NNY220" s="76"/>
      <c r="NNZ220" s="76"/>
      <c r="NOA220" s="76"/>
      <c r="NOB220" s="76"/>
      <c r="NOC220" s="76"/>
      <c r="NOD220" s="76"/>
      <c r="NOE220" s="76"/>
      <c r="NOF220" s="76"/>
      <c r="NOG220" s="76"/>
      <c r="NOH220" s="76"/>
      <c r="NOI220" s="76"/>
      <c r="NOJ220" s="76"/>
      <c r="NOK220" s="76"/>
      <c r="NOL220" s="76"/>
      <c r="NOM220" s="76"/>
      <c r="NON220" s="76"/>
      <c r="NOO220" s="76"/>
      <c r="NOP220" s="76"/>
      <c r="NOQ220" s="76"/>
      <c r="NOR220" s="76"/>
      <c r="NOS220" s="76"/>
      <c r="NOT220" s="76"/>
      <c r="NOU220" s="76"/>
      <c r="NOV220" s="76"/>
      <c r="NOW220" s="76"/>
      <c r="NOX220" s="76"/>
      <c r="NOY220" s="76"/>
      <c r="NOZ220" s="76"/>
      <c r="NPA220" s="76"/>
      <c r="NPB220" s="76"/>
      <c r="NPC220" s="76"/>
      <c r="NPD220" s="76"/>
      <c r="NPE220" s="76"/>
      <c r="NPF220" s="76"/>
      <c r="NPG220" s="76"/>
      <c r="NPH220" s="76"/>
      <c r="NPI220" s="76"/>
      <c r="NPJ220" s="76"/>
      <c r="NPK220" s="76"/>
      <c r="NPL220" s="76"/>
      <c r="NPM220" s="76"/>
      <c r="NPN220" s="76"/>
      <c r="NPO220" s="76"/>
      <c r="NPP220" s="76"/>
      <c r="NPQ220" s="76"/>
      <c r="NPR220" s="76"/>
      <c r="NPS220" s="76"/>
      <c r="NPT220" s="76"/>
      <c r="NPU220" s="76"/>
      <c r="NPV220" s="76"/>
      <c r="NPW220" s="76"/>
      <c r="NPX220" s="76"/>
      <c r="NPY220" s="76"/>
      <c r="NPZ220" s="76"/>
      <c r="NQA220" s="76"/>
      <c r="NQB220" s="76"/>
      <c r="NQC220" s="76"/>
      <c r="NQD220" s="76"/>
      <c r="NQE220" s="76"/>
      <c r="NQF220" s="76"/>
      <c r="NQG220" s="76"/>
      <c r="NQH220" s="76"/>
      <c r="NQI220" s="76"/>
      <c r="NQJ220" s="76"/>
      <c r="NQK220" s="76"/>
      <c r="NQL220" s="76"/>
      <c r="NQM220" s="76"/>
      <c r="NQN220" s="76"/>
      <c r="NQO220" s="76"/>
      <c r="NQP220" s="76"/>
      <c r="NQQ220" s="76"/>
      <c r="NQR220" s="76"/>
      <c r="NQS220" s="76"/>
      <c r="NQT220" s="76"/>
      <c r="NQU220" s="76"/>
      <c r="NQV220" s="76"/>
      <c r="NQW220" s="76"/>
      <c r="NQX220" s="76"/>
      <c r="NQY220" s="76"/>
      <c r="NQZ220" s="76"/>
      <c r="NRA220" s="76"/>
      <c r="NRB220" s="76"/>
      <c r="NRC220" s="76"/>
      <c r="NRD220" s="76"/>
      <c r="NRE220" s="76"/>
      <c r="NRF220" s="76"/>
      <c r="NRG220" s="76"/>
      <c r="NRH220" s="76"/>
      <c r="NRI220" s="76"/>
      <c r="NRJ220" s="76"/>
      <c r="NRK220" s="76"/>
      <c r="NRL220" s="76"/>
      <c r="NRM220" s="76"/>
      <c r="NRN220" s="76"/>
      <c r="NRO220" s="76"/>
      <c r="NRP220" s="76"/>
      <c r="NRQ220" s="76"/>
      <c r="NRR220" s="76"/>
      <c r="NRS220" s="76"/>
      <c r="NRT220" s="76"/>
      <c r="NRU220" s="76"/>
      <c r="NRV220" s="76"/>
      <c r="NRW220" s="76"/>
      <c r="NRX220" s="76"/>
      <c r="NRY220" s="76"/>
      <c r="NRZ220" s="76"/>
      <c r="NSA220" s="76"/>
      <c r="NSB220" s="76"/>
      <c r="NSC220" s="76"/>
      <c r="NSD220" s="76"/>
      <c r="NSE220" s="76"/>
      <c r="NSF220" s="76"/>
      <c r="NSG220" s="76"/>
      <c r="NSH220" s="76"/>
      <c r="NSI220" s="76"/>
      <c r="NSJ220" s="76"/>
      <c r="NSK220" s="76"/>
      <c r="NSL220" s="76"/>
      <c r="NSM220" s="76"/>
      <c r="NSN220" s="76"/>
      <c r="NSO220" s="76"/>
      <c r="NSP220" s="76"/>
      <c r="NSQ220" s="76"/>
      <c r="NSR220" s="76"/>
      <c r="NSS220" s="76"/>
      <c r="NST220" s="76"/>
      <c r="NSU220" s="76"/>
      <c r="NSV220" s="76"/>
      <c r="NSW220" s="76"/>
      <c r="NSX220" s="76"/>
      <c r="NSY220" s="76"/>
      <c r="NSZ220" s="76"/>
      <c r="NTA220" s="76"/>
      <c r="NTB220" s="76"/>
      <c r="NTC220" s="76"/>
      <c r="NTD220" s="76"/>
      <c r="NTE220" s="76"/>
      <c r="NTF220" s="76"/>
      <c r="NTG220" s="76"/>
      <c r="NTH220" s="76"/>
      <c r="NTI220" s="76"/>
      <c r="NTJ220" s="76"/>
      <c r="NTK220" s="76"/>
      <c r="NTL220" s="76"/>
      <c r="NTM220" s="76"/>
      <c r="NTN220" s="76"/>
      <c r="NTO220" s="76"/>
      <c r="NTP220" s="76"/>
      <c r="NTQ220" s="76"/>
      <c r="NTR220" s="76"/>
      <c r="NTS220" s="76"/>
      <c r="NTT220" s="76"/>
      <c r="NTU220" s="76"/>
      <c r="NTV220" s="76"/>
      <c r="NTW220" s="76"/>
      <c r="NTX220" s="76"/>
      <c r="NTY220" s="76"/>
      <c r="NTZ220" s="76"/>
      <c r="NUA220" s="76"/>
      <c r="NUB220" s="76"/>
      <c r="NUC220" s="76"/>
      <c r="NUD220" s="76"/>
      <c r="NUE220" s="76"/>
      <c r="NUF220" s="76"/>
      <c r="NUG220" s="76"/>
      <c r="NUH220" s="76"/>
      <c r="NUI220" s="76"/>
      <c r="NUJ220" s="76"/>
      <c r="NUK220" s="76"/>
      <c r="NUL220" s="76"/>
      <c r="NUM220" s="76"/>
      <c r="NUN220" s="76"/>
      <c r="NUO220" s="76"/>
      <c r="NUP220" s="76"/>
      <c r="NUQ220" s="76"/>
      <c r="NUR220" s="76"/>
      <c r="NUS220" s="76"/>
      <c r="NUT220" s="76"/>
      <c r="NUU220" s="76"/>
      <c r="NUV220" s="76"/>
      <c r="NUW220" s="76"/>
      <c r="NUX220" s="76"/>
      <c r="NUY220" s="76"/>
      <c r="NUZ220" s="76"/>
      <c r="NVA220" s="76"/>
      <c r="NVB220" s="76"/>
      <c r="NVC220" s="76"/>
      <c r="NVD220" s="76"/>
      <c r="NVE220" s="76"/>
      <c r="NVF220" s="76"/>
      <c r="NVG220" s="76"/>
      <c r="NVH220" s="76"/>
      <c r="NVI220" s="76"/>
      <c r="NVJ220" s="76"/>
      <c r="NVK220" s="76"/>
      <c r="NVL220" s="76"/>
      <c r="NVM220" s="76"/>
      <c r="NVN220" s="76"/>
      <c r="NVO220" s="76"/>
      <c r="NVP220" s="76"/>
      <c r="NVQ220" s="76"/>
      <c r="NVR220" s="76"/>
      <c r="NVS220" s="76"/>
      <c r="NVT220" s="76"/>
      <c r="NVU220" s="76"/>
      <c r="NVV220" s="76"/>
      <c r="NVW220" s="76"/>
      <c r="NVX220" s="76"/>
      <c r="NVY220" s="76"/>
      <c r="NVZ220" s="76"/>
      <c r="NWA220" s="76"/>
      <c r="NWB220" s="76"/>
      <c r="NWC220" s="76"/>
      <c r="NWD220" s="76"/>
      <c r="NWE220" s="76"/>
      <c r="NWF220" s="76"/>
      <c r="NWG220" s="76"/>
      <c r="NWH220" s="76"/>
      <c r="NWI220" s="76"/>
      <c r="NWJ220" s="76"/>
      <c r="NWK220" s="76"/>
      <c r="NWL220" s="76"/>
      <c r="NWM220" s="76"/>
      <c r="NWN220" s="76"/>
      <c r="NWO220" s="76"/>
      <c r="NWP220" s="76"/>
      <c r="NWQ220" s="76"/>
      <c r="NWR220" s="76"/>
      <c r="NWS220" s="76"/>
      <c r="NWT220" s="76"/>
      <c r="NWU220" s="76"/>
      <c r="NWV220" s="76"/>
      <c r="NWW220" s="76"/>
      <c r="NWX220" s="76"/>
      <c r="NWY220" s="76"/>
      <c r="NWZ220" s="76"/>
      <c r="NXA220" s="76"/>
      <c r="NXB220" s="76"/>
      <c r="NXC220" s="76"/>
      <c r="NXD220" s="76"/>
      <c r="NXE220" s="76"/>
      <c r="NXF220" s="76"/>
      <c r="NXG220" s="76"/>
      <c r="NXH220" s="76"/>
      <c r="NXI220" s="76"/>
      <c r="NXJ220" s="76"/>
      <c r="NXK220" s="76"/>
      <c r="NXL220" s="76"/>
      <c r="NXM220" s="76"/>
      <c r="NXN220" s="76"/>
      <c r="NXO220" s="76"/>
      <c r="NXP220" s="76"/>
      <c r="NXQ220" s="76"/>
      <c r="NXR220" s="76"/>
      <c r="NXS220" s="76"/>
      <c r="NXT220" s="76"/>
      <c r="NXU220" s="76"/>
      <c r="NXV220" s="76"/>
      <c r="NXW220" s="76"/>
      <c r="NXX220" s="76"/>
      <c r="NXY220" s="76"/>
      <c r="NXZ220" s="76"/>
      <c r="NYA220" s="76"/>
      <c r="NYB220" s="76"/>
      <c r="NYC220" s="76"/>
      <c r="NYD220" s="76"/>
      <c r="NYE220" s="76"/>
      <c r="NYF220" s="76"/>
      <c r="NYG220" s="76"/>
      <c r="NYH220" s="76"/>
      <c r="NYI220" s="76"/>
      <c r="NYJ220" s="76"/>
      <c r="NYK220" s="76"/>
      <c r="NYL220" s="76"/>
      <c r="NYM220" s="76"/>
      <c r="NYN220" s="76"/>
      <c r="NYO220" s="76"/>
      <c r="NYP220" s="76"/>
      <c r="NYQ220" s="76"/>
      <c r="NYR220" s="76"/>
      <c r="NYS220" s="76"/>
      <c r="NYT220" s="76"/>
      <c r="NYU220" s="76"/>
      <c r="NYV220" s="76"/>
      <c r="NYW220" s="76"/>
      <c r="NYX220" s="76"/>
      <c r="NYY220" s="76"/>
      <c r="NYZ220" s="76"/>
      <c r="NZA220" s="76"/>
      <c r="NZB220" s="76"/>
      <c r="NZC220" s="76"/>
      <c r="NZD220" s="76"/>
      <c r="NZE220" s="76"/>
      <c r="NZF220" s="76"/>
      <c r="NZG220" s="76"/>
      <c r="NZH220" s="76"/>
      <c r="NZI220" s="76"/>
      <c r="NZJ220" s="76"/>
      <c r="NZK220" s="76"/>
      <c r="NZL220" s="76"/>
      <c r="NZM220" s="76"/>
      <c r="NZN220" s="76"/>
      <c r="NZO220" s="76"/>
      <c r="NZP220" s="76"/>
      <c r="NZQ220" s="76"/>
      <c r="NZR220" s="76"/>
      <c r="NZS220" s="76"/>
      <c r="NZT220" s="76"/>
      <c r="NZU220" s="76"/>
      <c r="NZV220" s="76"/>
      <c r="NZW220" s="76"/>
      <c r="NZX220" s="76"/>
      <c r="NZY220" s="76"/>
      <c r="NZZ220" s="76"/>
      <c r="OAA220" s="76"/>
      <c r="OAB220" s="76"/>
      <c r="OAC220" s="76"/>
      <c r="OAD220" s="76"/>
      <c r="OAE220" s="76"/>
      <c r="OAF220" s="76"/>
      <c r="OAG220" s="76"/>
      <c r="OAH220" s="76"/>
      <c r="OAI220" s="76"/>
      <c r="OAJ220" s="76"/>
      <c r="OAK220" s="76"/>
      <c r="OAL220" s="76"/>
      <c r="OAM220" s="76"/>
      <c r="OAN220" s="76"/>
      <c r="OAO220" s="76"/>
      <c r="OAP220" s="76"/>
      <c r="OAQ220" s="76"/>
      <c r="OAR220" s="76"/>
      <c r="OAS220" s="76"/>
      <c r="OAT220" s="76"/>
      <c r="OAU220" s="76"/>
      <c r="OAV220" s="76"/>
      <c r="OAW220" s="76"/>
      <c r="OAX220" s="76"/>
      <c r="OAY220" s="76"/>
      <c r="OAZ220" s="76"/>
      <c r="OBA220" s="76"/>
      <c r="OBB220" s="76"/>
      <c r="OBC220" s="76"/>
      <c r="OBD220" s="76"/>
      <c r="OBE220" s="76"/>
      <c r="OBF220" s="76"/>
      <c r="OBG220" s="76"/>
      <c r="OBH220" s="76"/>
      <c r="OBI220" s="76"/>
      <c r="OBJ220" s="76"/>
      <c r="OBK220" s="76"/>
      <c r="OBL220" s="76"/>
      <c r="OBM220" s="76"/>
      <c r="OBN220" s="76"/>
      <c r="OBO220" s="76"/>
      <c r="OBP220" s="76"/>
      <c r="OBQ220" s="76"/>
      <c r="OBR220" s="76"/>
      <c r="OBS220" s="76"/>
      <c r="OBT220" s="76"/>
      <c r="OBU220" s="76"/>
      <c r="OBV220" s="76"/>
      <c r="OBW220" s="76"/>
      <c r="OBX220" s="76"/>
      <c r="OBY220" s="76"/>
      <c r="OBZ220" s="76"/>
      <c r="OCA220" s="76"/>
      <c r="OCB220" s="76"/>
      <c r="OCC220" s="76"/>
      <c r="OCD220" s="76"/>
      <c r="OCE220" s="76"/>
      <c r="OCF220" s="76"/>
      <c r="OCG220" s="76"/>
      <c r="OCH220" s="76"/>
      <c r="OCI220" s="76"/>
      <c r="OCJ220" s="76"/>
      <c r="OCK220" s="76"/>
      <c r="OCL220" s="76"/>
      <c r="OCM220" s="76"/>
      <c r="OCN220" s="76"/>
      <c r="OCO220" s="76"/>
      <c r="OCP220" s="76"/>
      <c r="OCQ220" s="76"/>
      <c r="OCR220" s="76"/>
      <c r="OCS220" s="76"/>
      <c r="OCT220" s="76"/>
      <c r="OCU220" s="76"/>
      <c r="OCV220" s="76"/>
      <c r="OCW220" s="76"/>
      <c r="OCX220" s="76"/>
      <c r="OCY220" s="76"/>
      <c r="OCZ220" s="76"/>
      <c r="ODA220" s="76"/>
      <c r="ODB220" s="76"/>
      <c r="ODC220" s="76"/>
      <c r="ODD220" s="76"/>
      <c r="ODE220" s="76"/>
      <c r="ODF220" s="76"/>
      <c r="ODG220" s="76"/>
      <c r="ODH220" s="76"/>
      <c r="ODI220" s="76"/>
      <c r="ODJ220" s="76"/>
      <c r="ODK220" s="76"/>
      <c r="ODL220" s="76"/>
      <c r="ODM220" s="76"/>
      <c r="ODN220" s="76"/>
      <c r="ODO220" s="76"/>
      <c r="ODP220" s="76"/>
      <c r="ODQ220" s="76"/>
      <c r="ODR220" s="76"/>
      <c r="ODS220" s="76"/>
      <c r="ODT220" s="76"/>
      <c r="ODU220" s="76"/>
      <c r="ODV220" s="76"/>
      <c r="ODW220" s="76"/>
      <c r="ODX220" s="76"/>
      <c r="ODY220" s="76"/>
      <c r="ODZ220" s="76"/>
      <c r="OEA220" s="76"/>
      <c r="OEB220" s="76"/>
      <c r="OEC220" s="76"/>
      <c r="OED220" s="76"/>
      <c r="OEE220" s="76"/>
      <c r="OEF220" s="76"/>
      <c r="OEG220" s="76"/>
      <c r="OEH220" s="76"/>
      <c r="OEI220" s="76"/>
      <c r="OEJ220" s="76"/>
      <c r="OEK220" s="76"/>
      <c r="OEL220" s="76"/>
      <c r="OEM220" s="76"/>
      <c r="OEN220" s="76"/>
      <c r="OEO220" s="76"/>
      <c r="OEP220" s="76"/>
      <c r="OEQ220" s="76"/>
      <c r="OER220" s="76"/>
      <c r="OES220" s="76"/>
      <c r="OET220" s="76"/>
      <c r="OEU220" s="76"/>
      <c r="OEV220" s="76"/>
      <c r="OEW220" s="76"/>
      <c r="OEX220" s="76"/>
      <c r="OEY220" s="76"/>
      <c r="OEZ220" s="76"/>
      <c r="OFA220" s="76"/>
      <c r="OFB220" s="76"/>
      <c r="OFC220" s="76"/>
      <c r="OFD220" s="76"/>
      <c r="OFE220" s="76"/>
      <c r="OFF220" s="76"/>
      <c r="OFG220" s="76"/>
      <c r="OFH220" s="76"/>
      <c r="OFI220" s="76"/>
      <c r="OFJ220" s="76"/>
      <c r="OFK220" s="76"/>
      <c r="OFL220" s="76"/>
      <c r="OFM220" s="76"/>
      <c r="OFN220" s="76"/>
      <c r="OFO220" s="76"/>
      <c r="OFP220" s="76"/>
      <c r="OFQ220" s="76"/>
      <c r="OFR220" s="76"/>
      <c r="OFS220" s="76"/>
      <c r="OFT220" s="76"/>
      <c r="OFU220" s="76"/>
      <c r="OFV220" s="76"/>
      <c r="OFW220" s="76"/>
      <c r="OFX220" s="76"/>
      <c r="OFY220" s="76"/>
      <c r="OFZ220" s="76"/>
      <c r="OGA220" s="76"/>
      <c r="OGB220" s="76"/>
      <c r="OGC220" s="76"/>
      <c r="OGD220" s="76"/>
      <c r="OGE220" s="76"/>
      <c r="OGF220" s="76"/>
      <c r="OGG220" s="76"/>
      <c r="OGH220" s="76"/>
      <c r="OGI220" s="76"/>
      <c r="OGJ220" s="76"/>
      <c r="OGK220" s="76"/>
      <c r="OGL220" s="76"/>
      <c r="OGM220" s="76"/>
      <c r="OGN220" s="76"/>
      <c r="OGO220" s="76"/>
      <c r="OGP220" s="76"/>
      <c r="OGQ220" s="76"/>
      <c r="OGR220" s="76"/>
      <c r="OGS220" s="76"/>
      <c r="OGT220" s="76"/>
      <c r="OGU220" s="76"/>
      <c r="OGV220" s="76"/>
      <c r="OGW220" s="76"/>
      <c r="OGX220" s="76"/>
      <c r="OGY220" s="76"/>
      <c r="OGZ220" s="76"/>
      <c r="OHA220" s="76"/>
      <c r="OHB220" s="76"/>
      <c r="OHC220" s="76"/>
      <c r="OHD220" s="76"/>
      <c r="OHE220" s="76"/>
      <c r="OHF220" s="76"/>
      <c r="OHG220" s="76"/>
      <c r="OHH220" s="76"/>
      <c r="OHI220" s="76"/>
      <c r="OHJ220" s="76"/>
      <c r="OHK220" s="76"/>
      <c r="OHL220" s="76"/>
      <c r="OHM220" s="76"/>
      <c r="OHN220" s="76"/>
      <c r="OHO220" s="76"/>
      <c r="OHP220" s="76"/>
      <c r="OHQ220" s="76"/>
      <c r="OHR220" s="76"/>
      <c r="OHS220" s="76"/>
      <c r="OHT220" s="76"/>
      <c r="OHU220" s="76"/>
      <c r="OHV220" s="76"/>
      <c r="OHW220" s="76"/>
      <c r="OHX220" s="76"/>
      <c r="OHY220" s="76"/>
      <c r="OHZ220" s="76"/>
      <c r="OIA220" s="76"/>
      <c r="OIB220" s="76"/>
      <c r="OIC220" s="76"/>
      <c r="OID220" s="76"/>
      <c r="OIE220" s="76"/>
      <c r="OIF220" s="76"/>
      <c r="OIG220" s="76"/>
      <c r="OIH220" s="76"/>
      <c r="OII220" s="76"/>
      <c r="OIJ220" s="76"/>
      <c r="OIK220" s="76"/>
      <c r="OIL220" s="76"/>
      <c r="OIM220" s="76"/>
      <c r="OIN220" s="76"/>
      <c r="OIO220" s="76"/>
      <c r="OIP220" s="76"/>
      <c r="OIQ220" s="76"/>
      <c r="OIR220" s="76"/>
      <c r="OIS220" s="76"/>
      <c r="OIT220" s="76"/>
      <c r="OIU220" s="76"/>
      <c r="OIV220" s="76"/>
      <c r="OIW220" s="76"/>
      <c r="OIX220" s="76"/>
      <c r="OIY220" s="76"/>
      <c r="OIZ220" s="76"/>
      <c r="OJA220" s="76"/>
      <c r="OJB220" s="76"/>
      <c r="OJC220" s="76"/>
      <c r="OJD220" s="76"/>
      <c r="OJE220" s="76"/>
      <c r="OJF220" s="76"/>
      <c r="OJG220" s="76"/>
      <c r="OJH220" s="76"/>
      <c r="OJI220" s="76"/>
      <c r="OJJ220" s="76"/>
      <c r="OJK220" s="76"/>
      <c r="OJL220" s="76"/>
      <c r="OJM220" s="76"/>
      <c r="OJN220" s="76"/>
      <c r="OJO220" s="76"/>
      <c r="OJP220" s="76"/>
      <c r="OJQ220" s="76"/>
      <c r="OJR220" s="76"/>
      <c r="OJS220" s="76"/>
      <c r="OJT220" s="76"/>
      <c r="OJU220" s="76"/>
      <c r="OJV220" s="76"/>
      <c r="OJW220" s="76"/>
      <c r="OJX220" s="76"/>
      <c r="OJY220" s="76"/>
      <c r="OJZ220" s="76"/>
      <c r="OKA220" s="76"/>
      <c r="OKB220" s="76"/>
      <c r="OKC220" s="76"/>
      <c r="OKD220" s="76"/>
      <c r="OKE220" s="76"/>
      <c r="OKF220" s="76"/>
      <c r="OKG220" s="76"/>
      <c r="OKH220" s="76"/>
      <c r="OKI220" s="76"/>
      <c r="OKJ220" s="76"/>
      <c r="OKK220" s="76"/>
      <c r="OKL220" s="76"/>
      <c r="OKM220" s="76"/>
      <c r="OKN220" s="76"/>
      <c r="OKO220" s="76"/>
      <c r="OKP220" s="76"/>
      <c r="OKQ220" s="76"/>
      <c r="OKR220" s="76"/>
      <c r="OKS220" s="76"/>
      <c r="OKT220" s="76"/>
      <c r="OKU220" s="76"/>
      <c r="OKV220" s="76"/>
      <c r="OKW220" s="76"/>
      <c r="OKX220" s="76"/>
      <c r="OKY220" s="76"/>
      <c r="OKZ220" s="76"/>
      <c r="OLA220" s="76"/>
      <c r="OLB220" s="76"/>
      <c r="OLC220" s="76"/>
      <c r="OLD220" s="76"/>
      <c r="OLE220" s="76"/>
      <c r="OLF220" s="76"/>
      <c r="OLG220" s="76"/>
      <c r="OLH220" s="76"/>
      <c r="OLI220" s="76"/>
      <c r="OLJ220" s="76"/>
      <c r="OLK220" s="76"/>
      <c r="OLL220" s="76"/>
      <c r="OLM220" s="76"/>
      <c r="OLN220" s="76"/>
      <c r="OLO220" s="76"/>
      <c r="OLP220" s="76"/>
      <c r="OLQ220" s="76"/>
      <c r="OLR220" s="76"/>
      <c r="OLS220" s="76"/>
      <c r="OLT220" s="76"/>
      <c r="OLU220" s="76"/>
      <c r="OLV220" s="76"/>
      <c r="OLW220" s="76"/>
      <c r="OLX220" s="76"/>
      <c r="OLY220" s="76"/>
      <c r="OLZ220" s="76"/>
      <c r="OMA220" s="76"/>
      <c r="OMB220" s="76"/>
      <c r="OMC220" s="76"/>
      <c r="OMD220" s="76"/>
      <c r="OME220" s="76"/>
      <c r="OMF220" s="76"/>
      <c r="OMG220" s="76"/>
      <c r="OMH220" s="76"/>
      <c r="OMI220" s="76"/>
      <c r="OMJ220" s="76"/>
      <c r="OMK220" s="76"/>
      <c r="OML220" s="76"/>
      <c r="OMM220" s="76"/>
      <c r="OMN220" s="76"/>
      <c r="OMO220" s="76"/>
      <c r="OMP220" s="76"/>
      <c r="OMQ220" s="76"/>
      <c r="OMR220" s="76"/>
      <c r="OMS220" s="76"/>
      <c r="OMT220" s="76"/>
      <c r="OMU220" s="76"/>
      <c r="OMV220" s="76"/>
      <c r="OMW220" s="76"/>
      <c r="OMX220" s="76"/>
      <c r="OMY220" s="76"/>
      <c r="OMZ220" s="76"/>
      <c r="ONA220" s="76"/>
      <c r="ONB220" s="76"/>
      <c r="ONC220" s="76"/>
      <c r="OND220" s="76"/>
      <c r="ONE220" s="76"/>
      <c r="ONF220" s="76"/>
      <c r="ONG220" s="76"/>
      <c r="ONH220" s="76"/>
      <c r="ONI220" s="76"/>
      <c r="ONJ220" s="76"/>
      <c r="ONK220" s="76"/>
      <c r="ONL220" s="76"/>
      <c r="ONM220" s="76"/>
      <c r="ONN220" s="76"/>
      <c r="ONO220" s="76"/>
      <c r="ONP220" s="76"/>
      <c r="ONQ220" s="76"/>
      <c r="ONR220" s="76"/>
      <c r="ONS220" s="76"/>
      <c r="ONT220" s="76"/>
      <c r="ONU220" s="76"/>
      <c r="ONV220" s="76"/>
      <c r="ONW220" s="76"/>
      <c r="ONX220" s="76"/>
      <c r="ONY220" s="76"/>
      <c r="ONZ220" s="76"/>
      <c r="OOA220" s="76"/>
      <c r="OOB220" s="76"/>
      <c r="OOC220" s="76"/>
      <c r="OOD220" s="76"/>
      <c r="OOE220" s="76"/>
      <c r="OOF220" s="76"/>
      <c r="OOG220" s="76"/>
      <c r="OOH220" s="76"/>
      <c r="OOI220" s="76"/>
      <c r="OOJ220" s="76"/>
      <c r="OOK220" s="76"/>
      <c r="OOL220" s="76"/>
      <c r="OOM220" s="76"/>
      <c r="OON220" s="76"/>
      <c r="OOO220" s="76"/>
      <c r="OOP220" s="76"/>
      <c r="OOQ220" s="76"/>
      <c r="OOR220" s="76"/>
      <c r="OOS220" s="76"/>
      <c r="OOT220" s="76"/>
      <c r="OOU220" s="76"/>
      <c r="OOV220" s="76"/>
      <c r="OOW220" s="76"/>
      <c r="OOX220" s="76"/>
      <c r="OOY220" s="76"/>
      <c r="OOZ220" s="76"/>
      <c r="OPA220" s="76"/>
      <c r="OPB220" s="76"/>
      <c r="OPC220" s="76"/>
      <c r="OPD220" s="76"/>
      <c r="OPE220" s="76"/>
      <c r="OPF220" s="76"/>
      <c r="OPG220" s="76"/>
      <c r="OPH220" s="76"/>
      <c r="OPI220" s="76"/>
      <c r="OPJ220" s="76"/>
      <c r="OPK220" s="76"/>
      <c r="OPL220" s="76"/>
      <c r="OPM220" s="76"/>
      <c r="OPN220" s="76"/>
      <c r="OPO220" s="76"/>
      <c r="OPP220" s="76"/>
      <c r="OPQ220" s="76"/>
      <c r="OPR220" s="76"/>
      <c r="OPS220" s="76"/>
      <c r="OPT220" s="76"/>
      <c r="OPU220" s="76"/>
      <c r="OPV220" s="76"/>
      <c r="OPW220" s="76"/>
      <c r="OPX220" s="76"/>
      <c r="OPY220" s="76"/>
      <c r="OPZ220" s="76"/>
      <c r="OQA220" s="76"/>
      <c r="OQB220" s="76"/>
      <c r="OQC220" s="76"/>
      <c r="OQD220" s="76"/>
      <c r="OQE220" s="76"/>
      <c r="OQF220" s="76"/>
      <c r="OQG220" s="76"/>
      <c r="OQH220" s="76"/>
      <c r="OQI220" s="76"/>
      <c r="OQJ220" s="76"/>
      <c r="OQK220" s="76"/>
      <c r="OQL220" s="76"/>
      <c r="OQM220" s="76"/>
      <c r="OQN220" s="76"/>
      <c r="OQO220" s="76"/>
      <c r="OQP220" s="76"/>
      <c r="OQQ220" s="76"/>
      <c r="OQR220" s="76"/>
      <c r="OQS220" s="76"/>
      <c r="OQT220" s="76"/>
      <c r="OQU220" s="76"/>
      <c r="OQV220" s="76"/>
      <c r="OQW220" s="76"/>
      <c r="OQX220" s="76"/>
      <c r="OQY220" s="76"/>
      <c r="OQZ220" s="76"/>
      <c r="ORA220" s="76"/>
      <c r="ORB220" s="76"/>
      <c r="ORC220" s="76"/>
      <c r="ORD220" s="76"/>
      <c r="ORE220" s="76"/>
      <c r="ORF220" s="76"/>
      <c r="ORG220" s="76"/>
      <c r="ORH220" s="76"/>
      <c r="ORI220" s="76"/>
      <c r="ORJ220" s="76"/>
      <c r="ORK220" s="76"/>
      <c r="ORL220" s="76"/>
      <c r="ORM220" s="76"/>
      <c r="ORN220" s="76"/>
      <c r="ORO220" s="76"/>
      <c r="ORP220" s="76"/>
      <c r="ORQ220" s="76"/>
      <c r="ORR220" s="76"/>
      <c r="ORS220" s="76"/>
      <c r="ORT220" s="76"/>
      <c r="ORU220" s="76"/>
      <c r="ORV220" s="76"/>
      <c r="ORW220" s="76"/>
      <c r="ORX220" s="76"/>
      <c r="ORY220" s="76"/>
      <c r="ORZ220" s="76"/>
      <c r="OSA220" s="76"/>
      <c r="OSB220" s="76"/>
      <c r="OSC220" s="76"/>
      <c r="OSD220" s="76"/>
      <c r="OSE220" s="76"/>
      <c r="OSF220" s="76"/>
      <c r="OSG220" s="76"/>
      <c r="OSH220" s="76"/>
      <c r="OSI220" s="76"/>
      <c r="OSJ220" s="76"/>
      <c r="OSK220" s="76"/>
      <c r="OSL220" s="76"/>
      <c r="OSM220" s="76"/>
      <c r="OSN220" s="76"/>
      <c r="OSO220" s="76"/>
      <c r="OSP220" s="76"/>
      <c r="OSQ220" s="76"/>
      <c r="OSR220" s="76"/>
      <c r="OSS220" s="76"/>
      <c r="OST220" s="76"/>
      <c r="OSU220" s="76"/>
      <c r="OSV220" s="76"/>
      <c r="OSW220" s="76"/>
      <c r="OSX220" s="76"/>
      <c r="OSY220" s="76"/>
      <c r="OSZ220" s="76"/>
      <c r="OTA220" s="76"/>
      <c r="OTB220" s="76"/>
      <c r="OTC220" s="76"/>
      <c r="OTD220" s="76"/>
      <c r="OTE220" s="76"/>
      <c r="OTF220" s="76"/>
      <c r="OTG220" s="76"/>
      <c r="OTH220" s="76"/>
      <c r="OTI220" s="76"/>
      <c r="OTJ220" s="76"/>
      <c r="OTK220" s="76"/>
      <c r="OTL220" s="76"/>
      <c r="OTM220" s="76"/>
      <c r="OTN220" s="76"/>
      <c r="OTO220" s="76"/>
      <c r="OTP220" s="76"/>
      <c r="OTQ220" s="76"/>
      <c r="OTR220" s="76"/>
      <c r="OTS220" s="76"/>
      <c r="OTT220" s="76"/>
      <c r="OTU220" s="76"/>
      <c r="OTV220" s="76"/>
      <c r="OTW220" s="76"/>
      <c r="OTX220" s="76"/>
      <c r="OTY220" s="76"/>
      <c r="OTZ220" s="76"/>
      <c r="OUA220" s="76"/>
      <c r="OUB220" s="76"/>
      <c r="OUC220" s="76"/>
      <c r="OUD220" s="76"/>
      <c r="OUE220" s="76"/>
      <c r="OUF220" s="76"/>
      <c r="OUG220" s="76"/>
      <c r="OUH220" s="76"/>
      <c r="OUI220" s="76"/>
      <c r="OUJ220" s="76"/>
      <c r="OUK220" s="76"/>
      <c r="OUL220" s="76"/>
      <c r="OUM220" s="76"/>
      <c r="OUN220" s="76"/>
      <c r="OUO220" s="76"/>
      <c r="OUP220" s="76"/>
      <c r="OUQ220" s="76"/>
      <c r="OUR220" s="76"/>
      <c r="OUS220" s="76"/>
      <c r="OUT220" s="76"/>
      <c r="OUU220" s="76"/>
      <c r="OUV220" s="76"/>
      <c r="OUW220" s="76"/>
      <c r="OUX220" s="76"/>
      <c r="OUY220" s="76"/>
      <c r="OUZ220" s="76"/>
      <c r="OVA220" s="76"/>
      <c r="OVB220" s="76"/>
      <c r="OVC220" s="76"/>
      <c r="OVD220" s="76"/>
      <c r="OVE220" s="76"/>
      <c r="OVF220" s="76"/>
      <c r="OVG220" s="76"/>
      <c r="OVH220" s="76"/>
      <c r="OVI220" s="76"/>
      <c r="OVJ220" s="76"/>
      <c r="OVK220" s="76"/>
      <c r="OVL220" s="76"/>
      <c r="OVM220" s="76"/>
      <c r="OVN220" s="76"/>
      <c r="OVO220" s="76"/>
      <c r="OVP220" s="76"/>
      <c r="OVQ220" s="76"/>
      <c r="OVR220" s="76"/>
      <c r="OVS220" s="76"/>
      <c r="OVT220" s="76"/>
      <c r="OVU220" s="76"/>
      <c r="OVV220" s="76"/>
      <c r="OVW220" s="76"/>
      <c r="OVX220" s="76"/>
      <c r="OVY220" s="76"/>
      <c r="OVZ220" s="76"/>
      <c r="OWA220" s="76"/>
      <c r="OWB220" s="76"/>
      <c r="OWC220" s="76"/>
      <c r="OWD220" s="76"/>
      <c r="OWE220" s="76"/>
      <c r="OWF220" s="76"/>
      <c r="OWG220" s="76"/>
      <c r="OWH220" s="76"/>
      <c r="OWI220" s="76"/>
      <c r="OWJ220" s="76"/>
      <c r="OWK220" s="76"/>
      <c r="OWL220" s="76"/>
      <c r="OWM220" s="76"/>
      <c r="OWN220" s="76"/>
      <c r="OWO220" s="76"/>
      <c r="OWP220" s="76"/>
      <c r="OWQ220" s="76"/>
      <c r="OWR220" s="76"/>
      <c r="OWS220" s="76"/>
      <c r="OWT220" s="76"/>
      <c r="OWU220" s="76"/>
      <c r="OWV220" s="76"/>
      <c r="OWW220" s="76"/>
      <c r="OWX220" s="76"/>
      <c r="OWY220" s="76"/>
      <c r="OWZ220" s="76"/>
      <c r="OXA220" s="76"/>
      <c r="OXB220" s="76"/>
      <c r="OXC220" s="76"/>
      <c r="OXD220" s="76"/>
      <c r="OXE220" s="76"/>
      <c r="OXF220" s="76"/>
      <c r="OXG220" s="76"/>
      <c r="OXH220" s="76"/>
      <c r="OXI220" s="76"/>
      <c r="OXJ220" s="76"/>
      <c r="OXK220" s="76"/>
      <c r="OXL220" s="76"/>
      <c r="OXM220" s="76"/>
      <c r="OXN220" s="76"/>
      <c r="OXO220" s="76"/>
      <c r="OXP220" s="76"/>
      <c r="OXQ220" s="76"/>
      <c r="OXR220" s="76"/>
      <c r="OXS220" s="76"/>
      <c r="OXT220" s="76"/>
      <c r="OXU220" s="76"/>
      <c r="OXV220" s="76"/>
      <c r="OXW220" s="76"/>
      <c r="OXX220" s="76"/>
      <c r="OXY220" s="76"/>
      <c r="OXZ220" s="76"/>
      <c r="OYA220" s="76"/>
      <c r="OYB220" s="76"/>
      <c r="OYC220" s="76"/>
      <c r="OYD220" s="76"/>
      <c r="OYE220" s="76"/>
      <c r="OYF220" s="76"/>
      <c r="OYG220" s="76"/>
      <c r="OYH220" s="76"/>
      <c r="OYI220" s="76"/>
      <c r="OYJ220" s="76"/>
      <c r="OYK220" s="76"/>
      <c r="OYL220" s="76"/>
      <c r="OYM220" s="76"/>
      <c r="OYN220" s="76"/>
      <c r="OYO220" s="76"/>
      <c r="OYP220" s="76"/>
      <c r="OYQ220" s="76"/>
      <c r="OYR220" s="76"/>
      <c r="OYS220" s="76"/>
      <c r="OYT220" s="76"/>
      <c r="OYU220" s="76"/>
      <c r="OYV220" s="76"/>
      <c r="OYW220" s="76"/>
      <c r="OYX220" s="76"/>
      <c r="OYY220" s="76"/>
      <c r="OYZ220" s="76"/>
      <c r="OZA220" s="76"/>
      <c r="OZB220" s="76"/>
      <c r="OZC220" s="76"/>
      <c r="OZD220" s="76"/>
      <c r="OZE220" s="76"/>
      <c r="OZF220" s="76"/>
      <c r="OZG220" s="76"/>
      <c r="OZH220" s="76"/>
      <c r="OZI220" s="76"/>
      <c r="OZJ220" s="76"/>
      <c r="OZK220" s="76"/>
      <c r="OZL220" s="76"/>
      <c r="OZM220" s="76"/>
      <c r="OZN220" s="76"/>
      <c r="OZO220" s="76"/>
      <c r="OZP220" s="76"/>
      <c r="OZQ220" s="76"/>
      <c r="OZR220" s="76"/>
      <c r="OZS220" s="76"/>
      <c r="OZT220" s="76"/>
      <c r="OZU220" s="76"/>
      <c r="OZV220" s="76"/>
      <c r="OZW220" s="76"/>
      <c r="OZX220" s="76"/>
      <c r="OZY220" s="76"/>
      <c r="OZZ220" s="76"/>
      <c r="PAA220" s="76"/>
      <c r="PAB220" s="76"/>
      <c r="PAC220" s="76"/>
      <c r="PAD220" s="76"/>
      <c r="PAE220" s="76"/>
      <c r="PAF220" s="76"/>
      <c r="PAG220" s="76"/>
      <c r="PAH220" s="76"/>
      <c r="PAI220" s="76"/>
      <c r="PAJ220" s="76"/>
      <c r="PAK220" s="76"/>
      <c r="PAL220" s="76"/>
      <c r="PAM220" s="76"/>
      <c r="PAN220" s="76"/>
      <c r="PAO220" s="76"/>
      <c r="PAP220" s="76"/>
      <c r="PAQ220" s="76"/>
      <c r="PAR220" s="76"/>
      <c r="PAS220" s="76"/>
      <c r="PAT220" s="76"/>
      <c r="PAU220" s="76"/>
      <c r="PAV220" s="76"/>
      <c r="PAW220" s="76"/>
      <c r="PAX220" s="76"/>
      <c r="PAY220" s="76"/>
      <c r="PAZ220" s="76"/>
      <c r="PBA220" s="76"/>
      <c r="PBB220" s="76"/>
      <c r="PBC220" s="76"/>
      <c r="PBD220" s="76"/>
      <c r="PBE220" s="76"/>
      <c r="PBF220" s="76"/>
      <c r="PBG220" s="76"/>
      <c r="PBH220" s="76"/>
      <c r="PBI220" s="76"/>
      <c r="PBJ220" s="76"/>
      <c r="PBK220" s="76"/>
      <c r="PBL220" s="76"/>
      <c r="PBM220" s="76"/>
      <c r="PBN220" s="76"/>
      <c r="PBO220" s="76"/>
      <c r="PBP220" s="76"/>
      <c r="PBQ220" s="76"/>
      <c r="PBR220" s="76"/>
      <c r="PBS220" s="76"/>
      <c r="PBT220" s="76"/>
      <c r="PBU220" s="76"/>
      <c r="PBV220" s="76"/>
      <c r="PBW220" s="76"/>
      <c r="PBX220" s="76"/>
      <c r="PBY220" s="76"/>
      <c r="PBZ220" s="76"/>
      <c r="PCA220" s="76"/>
      <c r="PCB220" s="76"/>
      <c r="PCC220" s="76"/>
      <c r="PCD220" s="76"/>
      <c r="PCE220" s="76"/>
      <c r="PCF220" s="76"/>
      <c r="PCG220" s="76"/>
      <c r="PCH220" s="76"/>
      <c r="PCI220" s="76"/>
      <c r="PCJ220" s="76"/>
      <c r="PCK220" s="76"/>
      <c r="PCL220" s="76"/>
      <c r="PCM220" s="76"/>
      <c r="PCN220" s="76"/>
      <c r="PCO220" s="76"/>
      <c r="PCP220" s="76"/>
      <c r="PCQ220" s="76"/>
      <c r="PCR220" s="76"/>
      <c r="PCS220" s="76"/>
      <c r="PCT220" s="76"/>
      <c r="PCU220" s="76"/>
      <c r="PCV220" s="76"/>
      <c r="PCW220" s="76"/>
      <c r="PCX220" s="76"/>
      <c r="PCY220" s="76"/>
      <c r="PCZ220" s="76"/>
      <c r="PDA220" s="76"/>
      <c r="PDB220" s="76"/>
      <c r="PDC220" s="76"/>
      <c r="PDD220" s="76"/>
      <c r="PDE220" s="76"/>
      <c r="PDF220" s="76"/>
      <c r="PDG220" s="76"/>
      <c r="PDH220" s="76"/>
      <c r="PDI220" s="76"/>
      <c r="PDJ220" s="76"/>
      <c r="PDK220" s="76"/>
      <c r="PDL220" s="76"/>
      <c r="PDM220" s="76"/>
      <c r="PDN220" s="76"/>
      <c r="PDO220" s="76"/>
      <c r="PDP220" s="76"/>
      <c r="PDQ220" s="76"/>
      <c r="PDR220" s="76"/>
      <c r="PDS220" s="76"/>
      <c r="PDT220" s="76"/>
      <c r="PDU220" s="76"/>
      <c r="PDV220" s="76"/>
      <c r="PDW220" s="76"/>
      <c r="PDX220" s="76"/>
      <c r="PDY220" s="76"/>
      <c r="PDZ220" s="76"/>
      <c r="PEA220" s="76"/>
      <c r="PEB220" s="76"/>
      <c r="PEC220" s="76"/>
      <c r="PED220" s="76"/>
      <c r="PEE220" s="76"/>
      <c r="PEF220" s="76"/>
      <c r="PEG220" s="76"/>
      <c r="PEH220" s="76"/>
      <c r="PEI220" s="76"/>
      <c r="PEJ220" s="76"/>
      <c r="PEK220" s="76"/>
      <c r="PEL220" s="76"/>
      <c r="PEM220" s="76"/>
      <c r="PEN220" s="76"/>
      <c r="PEO220" s="76"/>
      <c r="PEP220" s="76"/>
      <c r="PEQ220" s="76"/>
      <c r="PER220" s="76"/>
      <c r="PES220" s="76"/>
      <c r="PET220" s="76"/>
      <c r="PEU220" s="76"/>
      <c r="PEV220" s="76"/>
      <c r="PEW220" s="76"/>
      <c r="PEX220" s="76"/>
      <c r="PEY220" s="76"/>
      <c r="PEZ220" s="76"/>
      <c r="PFA220" s="76"/>
      <c r="PFB220" s="76"/>
      <c r="PFC220" s="76"/>
      <c r="PFD220" s="76"/>
      <c r="PFE220" s="76"/>
      <c r="PFF220" s="76"/>
      <c r="PFG220" s="76"/>
      <c r="PFH220" s="76"/>
      <c r="PFI220" s="76"/>
      <c r="PFJ220" s="76"/>
      <c r="PFK220" s="76"/>
      <c r="PFL220" s="76"/>
      <c r="PFM220" s="76"/>
      <c r="PFN220" s="76"/>
      <c r="PFO220" s="76"/>
      <c r="PFP220" s="76"/>
      <c r="PFQ220" s="76"/>
      <c r="PFR220" s="76"/>
      <c r="PFS220" s="76"/>
      <c r="PFT220" s="76"/>
      <c r="PFU220" s="76"/>
      <c r="PFV220" s="76"/>
      <c r="PFW220" s="76"/>
      <c r="PFX220" s="76"/>
      <c r="PFY220" s="76"/>
      <c r="PFZ220" s="76"/>
      <c r="PGA220" s="76"/>
      <c r="PGB220" s="76"/>
      <c r="PGC220" s="76"/>
      <c r="PGD220" s="76"/>
      <c r="PGE220" s="76"/>
      <c r="PGF220" s="76"/>
      <c r="PGG220" s="76"/>
      <c r="PGH220" s="76"/>
      <c r="PGI220" s="76"/>
      <c r="PGJ220" s="76"/>
      <c r="PGK220" s="76"/>
      <c r="PGL220" s="76"/>
      <c r="PGM220" s="76"/>
      <c r="PGN220" s="76"/>
      <c r="PGO220" s="76"/>
      <c r="PGP220" s="76"/>
      <c r="PGQ220" s="76"/>
      <c r="PGR220" s="76"/>
      <c r="PGS220" s="76"/>
      <c r="PGT220" s="76"/>
      <c r="PGU220" s="76"/>
      <c r="PGV220" s="76"/>
      <c r="PGW220" s="76"/>
      <c r="PGX220" s="76"/>
      <c r="PGY220" s="76"/>
      <c r="PGZ220" s="76"/>
      <c r="PHA220" s="76"/>
      <c r="PHB220" s="76"/>
      <c r="PHC220" s="76"/>
      <c r="PHD220" s="76"/>
      <c r="PHE220" s="76"/>
      <c r="PHF220" s="76"/>
      <c r="PHG220" s="76"/>
      <c r="PHH220" s="76"/>
      <c r="PHI220" s="76"/>
      <c r="PHJ220" s="76"/>
      <c r="PHK220" s="76"/>
      <c r="PHL220" s="76"/>
      <c r="PHM220" s="76"/>
      <c r="PHN220" s="76"/>
      <c r="PHO220" s="76"/>
      <c r="PHP220" s="76"/>
      <c r="PHQ220" s="76"/>
      <c r="PHR220" s="76"/>
      <c r="PHS220" s="76"/>
      <c r="PHT220" s="76"/>
      <c r="PHU220" s="76"/>
      <c r="PHV220" s="76"/>
      <c r="PHW220" s="76"/>
      <c r="PHX220" s="76"/>
      <c r="PHY220" s="76"/>
      <c r="PHZ220" s="76"/>
      <c r="PIA220" s="76"/>
      <c r="PIB220" s="76"/>
      <c r="PIC220" s="76"/>
      <c r="PID220" s="76"/>
      <c r="PIE220" s="76"/>
      <c r="PIF220" s="76"/>
      <c r="PIG220" s="76"/>
      <c r="PIH220" s="76"/>
      <c r="PII220" s="76"/>
      <c r="PIJ220" s="76"/>
      <c r="PIK220" s="76"/>
      <c r="PIL220" s="76"/>
      <c r="PIM220" s="76"/>
      <c r="PIN220" s="76"/>
      <c r="PIO220" s="76"/>
      <c r="PIP220" s="76"/>
      <c r="PIQ220" s="76"/>
      <c r="PIR220" s="76"/>
      <c r="PIS220" s="76"/>
      <c r="PIT220" s="76"/>
      <c r="PIU220" s="76"/>
      <c r="PIV220" s="76"/>
      <c r="PIW220" s="76"/>
      <c r="PIX220" s="76"/>
      <c r="PIY220" s="76"/>
      <c r="PIZ220" s="76"/>
      <c r="PJA220" s="76"/>
      <c r="PJB220" s="76"/>
      <c r="PJC220" s="76"/>
      <c r="PJD220" s="76"/>
      <c r="PJE220" s="76"/>
      <c r="PJF220" s="76"/>
      <c r="PJG220" s="76"/>
      <c r="PJH220" s="76"/>
      <c r="PJI220" s="76"/>
      <c r="PJJ220" s="76"/>
      <c r="PJK220" s="76"/>
      <c r="PJL220" s="76"/>
      <c r="PJM220" s="76"/>
      <c r="PJN220" s="76"/>
      <c r="PJO220" s="76"/>
      <c r="PJP220" s="76"/>
      <c r="PJQ220" s="76"/>
      <c r="PJR220" s="76"/>
      <c r="PJS220" s="76"/>
      <c r="PJT220" s="76"/>
      <c r="PJU220" s="76"/>
      <c r="PJV220" s="76"/>
      <c r="PJW220" s="76"/>
      <c r="PJX220" s="76"/>
      <c r="PJY220" s="76"/>
      <c r="PJZ220" s="76"/>
      <c r="PKA220" s="76"/>
      <c r="PKB220" s="76"/>
      <c r="PKC220" s="76"/>
      <c r="PKD220" s="76"/>
      <c r="PKE220" s="76"/>
      <c r="PKF220" s="76"/>
      <c r="PKG220" s="76"/>
      <c r="PKH220" s="76"/>
      <c r="PKI220" s="76"/>
      <c r="PKJ220" s="76"/>
      <c r="PKK220" s="76"/>
      <c r="PKL220" s="76"/>
      <c r="PKM220" s="76"/>
      <c r="PKN220" s="76"/>
      <c r="PKO220" s="76"/>
      <c r="PKP220" s="76"/>
      <c r="PKQ220" s="76"/>
      <c r="PKR220" s="76"/>
      <c r="PKS220" s="76"/>
      <c r="PKT220" s="76"/>
      <c r="PKU220" s="76"/>
      <c r="PKV220" s="76"/>
      <c r="PKW220" s="76"/>
      <c r="PKX220" s="76"/>
      <c r="PKY220" s="76"/>
      <c r="PKZ220" s="76"/>
      <c r="PLA220" s="76"/>
      <c r="PLB220" s="76"/>
      <c r="PLC220" s="76"/>
      <c r="PLD220" s="76"/>
      <c r="PLE220" s="76"/>
      <c r="PLF220" s="76"/>
      <c r="PLG220" s="76"/>
      <c r="PLH220" s="76"/>
      <c r="PLI220" s="76"/>
      <c r="PLJ220" s="76"/>
      <c r="PLK220" s="76"/>
      <c r="PLL220" s="76"/>
      <c r="PLM220" s="76"/>
      <c r="PLN220" s="76"/>
      <c r="PLO220" s="76"/>
      <c r="PLP220" s="76"/>
      <c r="PLQ220" s="76"/>
      <c r="PLR220" s="76"/>
      <c r="PLS220" s="76"/>
      <c r="PLT220" s="76"/>
      <c r="PLU220" s="76"/>
      <c r="PLV220" s="76"/>
      <c r="PLW220" s="76"/>
      <c r="PLX220" s="76"/>
      <c r="PLY220" s="76"/>
      <c r="PLZ220" s="76"/>
      <c r="PMA220" s="76"/>
      <c r="PMB220" s="76"/>
      <c r="PMC220" s="76"/>
      <c r="PMD220" s="76"/>
      <c r="PME220" s="76"/>
      <c r="PMF220" s="76"/>
      <c r="PMG220" s="76"/>
      <c r="PMH220" s="76"/>
      <c r="PMI220" s="76"/>
      <c r="PMJ220" s="76"/>
      <c r="PMK220" s="76"/>
      <c r="PML220" s="76"/>
      <c r="PMM220" s="76"/>
      <c r="PMN220" s="76"/>
      <c r="PMO220" s="76"/>
      <c r="PMP220" s="76"/>
      <c r="PMQ220" s="76"/>
      <c r="PMR220" s="76"/>
      <c r="PMS220" s="76"/>
      <c r="PMT220" s="76"/>
      <c r="PMU220" s="76"/>
      <c r="PMV220" s="76"/>
      <c r="PMW220" s="76"/>
      <c r="PMX220" s="76"/>
      <c r="PMY220" s="76"/>
      <c r="PMZ220" s="76"/>
      <c r="PNA220" s="76"/>
      <c r="PNB220" s="76"/>
      <c r="PNC220" s="76"/>
      <c r="PND220" s="76"/>
      <c r="PNE220" s="76"/>
      <c r="PNF220" s="76"/>
      <c r="PNG220" s="76"/>
      <c r="PNH220" s="76"/>
      <c r="PNI220" s="76"/>
      <c r="PNJ220" s="76"/>
      <c r="PNK220" s="76"/>
      <c r="PNL220" s="76"/>
      <c r="PNM220" s="76"/>
      <c r="PNN220" s="76"/>
      <c r="PNO220" s="76"/>
      <c r="PNP220" s="76"/>
      <c r="PNQ220" s="76"/>
      <c r="PNR220" s="76"/>
      <c r="PNS220" s="76"/>
      <c r="PNT220" s="76"/>
      <c r="PNU220" s="76"/>
      <c r="PNV220" s="76"/>
      <c r="PNW220" s="76"/>
      <c r="PNX220" s="76"/>
      <c r="PNY220" s="76"/>
      <c r="PNZ220" s="76"/>
      <c r="POA220" s="76"/>
      <c r="POB220" s="76"/>
      <c r="POC220" s="76"/>
      <c r="POD220" s="76"/>
      <c r="POE220" s="76"/>
      <c r="POF220" s="76"/>
      <c r="POG220" s="76"/>
      <c r="POH220" s="76"/>
      <c r="POI220" s="76"/>
      <c r="POJ220" s="76"/>
      <c r="POK220" s="76"/>
      <c r="POL220" s="76"/>
      <c r="POM220" s="76"/>
      <c r="PON220" s="76"/>
      <c r="POO220" s="76"/>
      <c r="POP220" s="76"/>
      <c r="POQ220" s="76"/>
      <c r="POR220" s="76"/>
      <c r="POS220" s="76"/>
      <c r="POT220" s="76"/>
      <c r="POU220" s="76"/>
      <c r="POV220" s="76"/>
      <c r="POW220" s="76"/>
      <c r="POX220" s="76"/>
      <c r="POY220" s="76"/>
      <c r="POZ220" s="76"/>
      <c r="PPA220" s="76"/>
      <c r="PPB220" s="76"/>
      <c r="PPC220" s="76"/>
      <c r="PPD220" s="76"/>
      <c r="PPE220" s="76"/>
      <c r="PPF220" s="76"/>
      <c r="PPG220" s="76"/>
      <c r="PPH220" s="76"/>
      <c r="PPI220" s="76"/>
      <c r="PPJ220" s="76"/>
      <c r="PPK220" s="76"/>
      <c r="PPL220" s="76"/>
      <c r="PPM220" s="76"/>
      <c r="PPN220" s="76"/>
      <c r="PPO220" s="76"/>
      <c r="PPP220" s="76"/>
      <c r="PPQ220" s="76"/>
      <c r="PPR220" s="76"/>
      <c r="PPS220" s="76"/>
      <c r="PPT220" s="76"/>
      <c r="PPU220" s="76"/>
      <c r="PPV220" s="76"/>
      <c r="PPW220" s="76"/>
      <c r="PPX220" s="76"/>
      <c r="PPY220" s="76"/>
      <c r="PPZ220" s="76"/>
      <c r="PQA220" s="76"/>
      <c r="PQB220" s="76"/>
      <c r="PQC220" s="76"/>
      <c r="PQD220" s="76"/>
      <c r="PQE220" s="76"/>
      <c r="PQF220" s="76"/>
      <c r="PQG220" s="76"/>
      <c r="PQH220" s="76"/>
      <c r="PQI220" s="76"/>
      <c r="PQJ220" s="76"/>
      <c r="PQK220" s="76"/>
      <c r="PQL220" s="76"/>
      <c r="PQM220" s="76"/>
      <c r="PQN220" s="76"/>
      <c r="PQO220" s="76"/>
      <c r="PQP220" s="76"/>
      <c r="PQQ220" s="76"/>
      <c r="PQR220" s="76"/>
      <c r="PQS220" s="76"/>
      <c r="PQT220" s="76"/>
      <c r="PQU220" s="76"/>
      <c r="PQV220" s="76"/>
      <c r="PQW220" s="76"/>
      <c r="PQX220" s="76"/>
      <c r="PQY220" s="76"/>
      <c r="PQZ220" s="76"/>
      <c r="PRA220" s="76"/>
      <c r="PRB220" s="76"/>
      <c r="PRC220" s="76"/>
      <c r="PRD220" s="76"/>
      <c r="PRE220" s="76"/>
      <c r="PRF220" s="76"/>
      <c r="PRG220" s="76"/>
      <c r="PRH220" s="76"/>
      <c r="PRI220" s="76"/>
      <c r="PRJ220" s="76"/>
      <c r="PRK220" s="76"/>
      <c r="PRL220" s="76"/>
      <c r="PRM220" s="76"/>
      <c r="PRN220" s="76"/>
      <c r="PRO220" s="76"/>
      <c r="PRP220" s="76"/>
      <c r="PRQ220" s="76"/>
      <c r="PRR220" s="76"/>
      <c r="PRS220" s="76"/>
      <c r="PRT220" s="76"/>
      <c r="PRU220" s="76"/>
      <c r="PRV220" s="76"/>
      <c r="PRW220" s="76"/>
      <c r="PRX220" s="76"/>
      <c r="PRY220" s="76"/>
      <c r="PRZ220" s="76"/>
      <c r="PSA220" s="76"/>
      <c r="PSB220" s="76"/>
      <c r="PSC220" s="76"/>
      <c r="PSD220" s="76"/>
      <c r="PSE220" s="76"/>
      <c r="PSF220" s="76"/>
      <c r="PSG220" s="76"/>
      <c r="PSH220" s="76"/>
      <c r="PSI220" s="76"/>
      <c r="PSJ220" s="76"/>
      <c r="PSK220" s="76"/>
      <c r="PSL220" s="76"/>
      <c r="PSM220" s="76"/>
      <c r="PSN220" s="76"/>
      <c r="PSO220" s="76"/>
      <c r="PSP220" s="76"/>
      <c r="PSQ220" s="76"/>
      <c r="PSR220" s="76"/>
      <c r="PSS220" s="76"/>
      <c r="PST220" s="76"/>
      <c r="PSU220" s="76"/>
      <c r="PSV220" s="76"/>
      <c r="PSW220" s="76"/>
      <c r="PSX220" s="76"/>
      <c r="PSY220" s="76"/>
      <c r="PSZ220" s="76"/>
      <c r="PTA220" s="76"/>
      <c r="PTB220" s="76"/>
      <c r="PTC220" s="76"/>
      <c r="PTD220" s="76"/>
      <c r="PTE220" s="76"/>
      <c r="PTF220" s="76"/>
      <c r="PTG220" s="76"/>
      <c r="PTH220" s="76"/>
      <c r="PTI220" s="76"/>
      <c r="PTJ220" s="76"/>
      <c r="PTK220" s="76"/>
      <c r="PTL220" s="76"/>
      <c r="PTM220" s="76"/>
      <c r="PTN220" s="76"/>
      <c r="PTO220" s="76"/>
      <c r="PTP220" s="76"/>
      <c r="PTQ220" s="76"/>
      <c r="PTR220" s="76"/>
      <c r="PTS220" s="76"/>
      <c r="PTT220" s="76"/>
      <c r="PTU220" s="76"/>
      <c r="PTV220" s="76"/>
      <c r="PTW220" s="76"/>
      <c r="PTX220" s="76"/>
      <c r="PTY220" s="76"/>
      <c r="PTZ220" s="76"/>
      <c r="PUA220" s="76"/>
      <c r="PUB220" s="76"/>
      <c r="PUC220" s="76"/>
      <c r="PUD220" s="76"/>
      <c r="PUE220" s="76"/>
      <c r="PUF220" s="76"/>
      <c r="PUG220" s="76"/>
      <c r="PUH220" s="76"/>
      <c r="PUI220" s="76"/>
      <c r="PUJ220" s="76"/>
      <c r="PUK220" s="76"/>
      <c r="PUL220" s="76"/>
      <c r="PUM220" s="76"/>
      <c r="PUN220" s="76"/>
      <c r="PUO220" s="76"/>
      <c r="PUP220" s="76"/>
      <c r="PUQ220" s="76"/>
      <c r="PUR220" s="76"/>
      <c r="PUS220" s="76"/>
      <c r="PUT220" s="76"/>
      <c r="PUU220" s="76"/>
      <c r="PUV220" s="76"/>
      <c r="PUW220" s="76"/>
      <c r="PUX220" s="76"/>
      <c r="PUY220" s="76"/>
      <c r="PUZ220" s="76"/>
      <c r="PVA220" s="76"/>
      <c r="PVB220" s="76"/>
      <c r="PVC220" s="76"/>
      <c r="PVD220" s="76"/>
      <c r="PVE220" s="76"/>
      <c r="PVF220" s="76"/>
      <c r="PVG220" s="76"/>
      <c r="PVH220" s="76"/>
      <c r="PVI220" s="76"/>
      <c r="PVJ220" s="76"/>
      <c r="PVK220" s="76"/>
      <c r="PVL220" s="76"/>
      <c r="PVM220" s="76"/>
      <c r="PVN220" s="76"/>
      <c r="PVO220" s="76"/>
      <c r="PVP220" s="76"/>
      <c r="PVQ220" s="76"/>
      <c r="PVR220" s="76"/>
      <c r="PVS220" s="76"/>
      <c r="PVT220" s="76"/>
      <c r="PVU220" s="76"/>
      <c r="PVV220" s="76"/>
      <c r="PVW220" s="76"/>
      <c r="PVX220" s="76"/>
      <c r="PVY220" s="76"/>
      <c r="PVZ220" s="76"/>
      <c r="PWA220" s="76"/>
      <c r="PWB220" s="76"/>
      <c r="PWC220" s="76"/>
      <c r="PWD220" s="76"/>
      <c r="PWE220" s="76"/>
      <c r="PWF220" s="76"/>
      <c r="PWG220" s="76"/>
      <c r="PWH220" s="76"/>
      <c r="PWI220" s="76"/>
      <c r="PWJ220" s="76"/>
      <c r="PWK220" s="76"/>
      <c r="PWL220" s="76"/>
      <c r="PWM220" s="76"/>
      <c r="PWN220" s="76"/>
      <c r="PWO220" s="76"/>
      <c r="PWP220" s="76"/>
      <c r="PWQ220" s="76"/>
      <c r="PWR220" s="76"/>
      <c r="PWS220" s="76"/>
      <c r="PWT220" s="76"/>
      <c r="PWU220" s="76"/>
      <c r="PWV220" s="76"/>
      <c r="PWW220" s="76"/>
      <c r="PWX220" s="76"/>
      <c r="PWY220" s="76"/>
      <c r="PWZ220" s="76"/>
      <c r="PXA220" s="76"/>
      <c r="PXB220" s="76"/>
      <c r="PXC220" s="76"/>
      <c r="PXD220" s="76"/>
      <c r="PXE220" s="76"/>
      <c r="PXF220" s="76"/>
      <c r="PXG220" s="76"/>
      <c r="PXH220" s="76"/>
      <c r="PXI220" s="76"/>
      <c r="PXJ220" s="76"/>
      <c r="PXK220" s="76"/>
      <c r="PXL220" s="76"/>
      <c r="PXM220" s="76"/>
      <c r="PXN220" s="76"/>
      <c r="PXO220" s="76"/>
      <c r="PXP220" s="76"/>
      <c r="PXQ220" s="76"/>
      <c r="PXR220" s="76"/>
      <c r="PXS220" s="76"/>
      <c r="PXT220" s="76"/>
      <c r="PXU220" s="76"/>
      <c r="PXV220" s="76"/>
      <c r="PXW220" s="76"/>
      <c r="PXX220" s="76"/>
      <c r="PXY220" s="76"/>
      <c r="PXZ220" s="76"/>
      <c r="PYA220" s="76"/>
      <c r="PYB220" s="76"/>
      <c r="PYC220" s="76"/>
      <c r="PYD220" s="76"/>
      <c r="PYE220" s="76"/>
      <c r="PYF220" s="76"/>
      <c r="PYG220" s="76"/>
      <c r="PYH220" s="76"/>
      <c r="PYI220" s="76"/>
      <c r="PYJ220" s="76"/>
      <c r="PYK220" s="76"/>
      <c r="PYL220" s="76"/>
      <c r="PYM220" s="76"/>
      <c r="PYN220" s="76"/>
      <c r="PYO220" s="76"/>
      <c r="PYP220" s="76"/>
      <c r="PYQ220" s="76"/>
      <c r="PYR220" s="76"/>
      <c r="PYS220" s="76"/>
      <c r="PYT220" s="76"/>
      <c r="PYU220" s="76"/>
      <c r="PYV220" s="76"/>
      <c r="PYW220" s="76"/>
      <c r="PYX220" s="76"/>
      <c r="PYY220" s="76"/>
      <c r="PYZ220" s="76"/>
      <c r="PZA220" s="76"/>
      <c r="PZB220" s="76"/>
      <c r="PZC220" s="76"/>
      <c r="PZD220" s="76"/>
      <c r="PZE220" s="76"/>
      <c r="PZF220" s="76"/>
      <c r="PZG220" s="76"/>
      <c r="PZH220" s="76"/>
      <c r="PZI220" s="76"/>
      <c r="PZJ220" s="76"/>
      <c r="PZK220" s="76"/>
      <c r="PZL220" s="76"/>
      <c r="PZM220" s="76"/>
      <c r="PZN220" s="76"/>
      <c r="PZO220" s="76"/>
      <c r="PZP220" s="76"/>
      <c r="PZQ220" s="76"/>
      <c r="PZR220" s="76"/>
      <c r="PZS220" s="76"/>
      <c r="PZT220" s="76"/>
      <c r="PZU220" s="76"/>
      <c r="PZV220" s="76"/>
      <c r="PZW220" s="76"/>
      <c r="PZX220" s="76"/>
      <c r="PZY220" s="76"/>
      <c r="PZZ220" s="76"/>
      <c r="QAA220" s="76"/>
      <c r="QAB220" s="76"/>
      <c r="QAC220" s="76"/>
      <c r="QAD220" s="76"/>
      <c r="QAE220" s="76"/>
      <c r="QAF220" s="76"/>
      <c r="QAG220" s="76"/>
      <c r="QAH220" s="76"/>
      <c r="QAI220" s="76"/>
      <c r="QAJ220" s="76"/>
      <c r="QAK220" s="76"/>
      <c r="QAL220" s="76"/>
      <c r="QAM220" s="76"/>
      <c r="QAN220" s="76"/>
      <c r="QAO220" s="76"/>
      <c r="QAP220" s="76"/>
      <c r="QAQ220" s="76"/>
      <c r="QAR220" s="76"/>
      <c r="QAS220" s="76"/>
      <c r="QAT220" s="76"/>
      <c r="QAU220" s="76"/>
      <c r="QAV220" s="76"/>
      <c r="QAW220" s="76"/>
      <c r="QAX220" s="76"/>
      <c r="QAY220" s="76"/>
      <c r="QAZ220" s="76"/>
      <c r="QBA220" s="76"/>
      <c r="QBB220" s="76"/>
      <c r="QBC220" s="76"/>
      <c r="QBD220" s="76"/>
      <c r="QBE220" s="76"/>
      <c r="QBF220" s="76"/>
      <c r="QBG220" s="76"/>
      <c r="QBH220" s="76"/>
      <c r="QBI220" s="76"/>
      <c r="QBJ220" s="76"/>
      <c r="QBK220" s="76"/>
      <c r="QBL220" s="76"/>
      <c r="QBM220" s="76"/>
      <c r="QBN220" s="76"/>
      <c r="QBO220" s="76"/>
      <c r="QBP220" s="76"/>
      <c r="QBQ220" s="76"/>
      <c r="QBR220" s="76"/>
      <c r="QBS220" s="76"/>
      <c r="QBT220" s="76"/>
      <c r="QBU220" s="76"/>
      <c r="QBV220" s="76"/>
      <c r="QBW220" s="76"/>
      <c r="QBX220" s="76"/>
      <c r="QBY220" s="76"/>
      <c r="QBZ220" s="76"/>
      <c r="QCA220" s="76"/>
      <c r="QCB220" s="76"/>
      <c r="QCC220" s="76"/>
      <c r="QCD220" s="76"/>
      <c r="QCE220" s="76"/>
      <c r="QCF220" s="76"/>
      <c r="QCG220" s="76"/>
      <c r="QCH220" s="76"/>
      <c r="QCI220" s="76"/>
      <c r="QCJ220" s="76"/>
      <c r="QCK220" s="76"/>
      <c r="QCL220" s="76"/>
      <c r="QCM220" s="76"/>
      <c r="QCN220" s="76"/>
      <c r="QCO220" s="76"/>
      <c r="QCP220" s="76"/>
      <c r="QCQ220" s="76"/>
      <c r="QCR220" s="76"/>
      <c r="QCS220" s="76"/>
      <c r="QCT220" s="76"/>
      <c r="QCU220" s="76"/>
      <c r="QCV220" s="76"/>
      <c r="QCW220" s="76"/>
      <c r="QCX220" s="76"/>
      <c r="QCY220" s="76"/>
      <c r="QCZ220" s="76"/>
      <c r="QDA220" s="76"/>
      <c r="QDB220" s="76"/>
      <c r="QDC220" s="76"/>
      <c r="QDD220" s="76"/>
      <c r="QDE220" s="76"/>
      <c r="QDF220" s="76"/>
      <c r="QDG220" s="76"/>
      <c r="QDH220" s="76"/>
      <c r="QDI220" s="76"/>
      <c r="QDJ220" s="76"/>
      <c r="QDK220" s="76"/>
      <c r="QDL220" s="76"/>
      <c r="QDM220" s="76"/>
      <c r="QDN220" s="76"/>
      <c r="QDO220" s="76"/>
      <c r="QDP220" s="76"/>
      <c r="QDQ220" s="76"/>
      <c r="QDR220" s="76"/>
      <c r="QDS220" s="76"/>
      <c r="QDT220" s="76"/>
      <c r="QDU220" s="76"/>
      <c r="QDV220" s="76"/>
      <c r="QDW220" s="76"/>
      <c r="QDX220" s="76"/>
      <c r="QDY220" s="76"/>
      <c r="QDZ220" s="76"/>
      <c r="QEA220" s="76"/>
      <c r="QEB220" s="76"/>
      <c r="QEC220" s="76"/>
      <c r="QED220" s="76"/>
      <c r="QEE220" s="76"/>
      <c r="QEF220" s="76"/>
      <c r="QEG220" s="76"/>
      <c r="QEH220" s="76"/>
      <c r="QEI220" s="76"/>
      <c r="QEJ220" s="76"/>
      <c r="QEK220" s="76"/>
      <c r="QEL220" s="76"/>
      <c r="QEM220" s="76"/>
      <c r="QEN220" s="76"/>
      <c r="QEO220" s="76"/>
      <c r="QEP220" s="76"/>
      <c r="QEQ220" s="76"/>
      <c r="QER220" s="76"/>
      <c r="QES220" s="76"/>
      <c r="QET220" s="76"/>
      <c r="QEU220" s="76"/>
      <c r="QEV220" s="76"/>
      <c r="QEW220" s="76"/>
      <c r="QEX220" s="76"/>
      <c r="QEY220" s="76"/>
      <c r="QEZ220" s="76"/>
      <c r="QFA220" s="76"/>
      <c r="QFB220" s="76"/>
      <c r="QFC220" s="76"/>
      <c r="QFD220" s="76"/>
      <c r="QFE220" s="76"/>
      <c r="QFF220" s="76"/>
      <c r="QFG220" s="76"/>
      <c r="QFH220" s="76"/>
      <c r="QFI220" s="76"/>
      <c r="QFJ220" s="76"/>
      <c r="QFK220" s="76"/>
      <c r="QFL220" s="76"/>
      <c r="QFM220" s="76"/>
      <c r="QFN220" s="76"/>
      <c r="QFO220" s="76"/>
      <c r="QFP220" s="76"/>
      <c r="QFQ220" s="76"/>
      <c r="QFR220" s="76"/>
      <c r="QFS220" s="76"/>
      <c r="QFT220" s="76"/>
      <c r="QFU220" s="76"/>
      <c r="QFV220" s="76"/>
      <c r="QFW220" s="76"/>
      <c r="QFX220" s="76"/>
      <c r="QFY220" s="76"/>
      <c r="QFZ220" s="76"/>
      <c r="QGA220" s="76"/>
      <c r="QGB220" s="76"/>
      <c r="QGC220" s="76"/>
      <c r="QGD220" s="76"/>
      <c r="QGE220" s="76"/>
      <c r="QGF220" s="76"/>
      <c r="QGG220" s="76"/>
      <c r="QGH220" s="76"/>
      <c r="QGI220" s="76"/>
      <c r="QGJ220" s="76"/>
      <c r="QGK220" s="76"/>
      <c r="QGL220" s="76"/>
      <c r="QGM220" s="76"/>
      <c r="QGN220" s="76"/>
      <c r="QGO220" s="76"/>
      <c r="QGP220" s="76"/>
      <c r="QGQ220" s="76"/>
      <c r="QGR220" s="76"/>
      <c r="QGS220" s="76"/>
      <c r="QGT220" s="76"/>
      <c r="QGU220" s="76"/>
      <c r="QGV220" s="76"/>
      <c r="QGW220" s="76"/>
      <c r="QGX220" s="76"/>
      <c r="QGY220" s="76"/>
      <c r="QGZ220" s="76"/>
      <c r="QHA220" s="76"/>
      <c r="QHB220" s="76"/>
      <c r="QHC220" s="76"/>
      <c r="QHD220" s="76"/>
      <c r="QHE220" s="76"/>
      <c r="QHF220" s="76"/>
      <c r="QHG220" s="76"/>
      <c r="QHH220" s="76"/>
      <c r="QHI220" s="76"/>
      <c r="QHJ220" s="76"/>
      <c r="QHK220" s="76"/>
      <c r="QHL220" s="76"/>
      <c r="QHM220" s="76"/>
      <c r="QHN220" s="76"/>
      <c r="QHO220" s="76"/>
      <c r="QHP220" s="76"/>
      <c r="QHQ220" s="76"/>
      <c r="QHR220" s="76"/>
      <c r="QHS220" s="76"/>
      <c r="QHT220" s="76"/>
      <c r="QHU220" s="76"/>
      <c r="QHV220" s="76"/>
      <c r="QHW220" s="76"/>
      <c r="QHX220" s="76"/>
      <c r="QHY220" s="76"/>
      <c r="QHZ220" s="76"/>
      <c r="QIA220" s="76"/>
      <c r="QIB220" s="76"/>
      <c r="QIC220" s="76"/>
      <c r="QID220" s="76"/>
      <c r="QIE220" s="76"/>
      <c r="QIF220" s="76"/>
      <c r="QIG220" s="76"/>
      <c r="QIH220" s="76"/>
      <c r="QII220" s="76"/>
      <c r="QIJ220" s="76"/>
      <c r="QIK220" s="76"/>
      <c r="QIL220" s="76"/>
      <c r="QIM220" s="76"/>
      <c r="QIN220" s="76"/>
      <c r="QIO220" s="76"/>
      <c r="QIP220" s="76"/>
      <c r="QIQ220" s="76"/>
      <c r="QIR220" s="76"/>
      <c r="QIS220" s="76"/>
      <c r="QIT220" s="76"/>
      <c r="QIU220" s="76"/>
      <c r="QIV220" s="76"/>
      <c r="QIW220" s="76"/>
      <c r="QIX220" s="76"/>
      <c r="QIY220" s="76"/>
      <c r="QIZ220" s="76"/>
      <c r="QJA220" s="76"/>
      <c r="QJB220" s="76"/>
      <c r="QJC220" s="76"/>
      <c r="QJD220" s="76"/>
      <c r="QJE220" s="76"/>
      <c r="QJF220" s="76"/>
      <c r="QJG220" s="76"/>
      <c r="QJH220" s="76"/>
      <c r="QJI220" s="76"/>
      <c r="QJJ220" s="76"/>
      <c r="QJK220" s="76"/>
      <c r="QJL220" s="76"/>
      <c r="QJM220" s="76"/>
      <c r="QJN220" s="76"/>
      <c r="QJO220" s="76"/>
      <c r="QJP220" s="76"/>
      <c r="QJQ220" s="76"/>
      <c r="QJR220" s="76"/>
      <c r="QJS220" s="76"/>
      <c r="QJT220" s="76"/>
      <c r="QJU220" s="76"/>
      <c r="QJV220" s="76"/>
      <c r="QJW220" s="76"/>
      <c r="QJX220" s="76"/>
      <c r="QJY220" s="76"/>
      <c r="QJZ220" s="76"/>
      <c r="QKA220" s="76"/>
      <c r="QKB220" s="76"/>
      <c r="QKC220" s="76"/>
      <c r="QKD220" s="76"/>
      <c r="QKE220" s="76"/>
      <c r="QKF220" s="76"/>
      <c r="QKG220" s="76"/>
      <c r="QKH220" s="76"/>
      <c r="QKI220" s="76"/>
      <c r="QKJ220" s="76"/>
      <c r="QKK220" s="76"/>
      <c r="QKL220" s="76"/>
      <c r="QKM220" s="76"/>
      <c r="QKN220" s="76"/>
      <c r="QKO220" s="76"/>
      <c r="QKP220" s="76"/>
      <c r="QKQ220" s="76"/>
      <c r="QKR220" s="76"/>
      <c r="QKS220" s="76"/>
      <c r="QKT220" s="76"/>
      <c r="QKU220" s="76"/>
      <c r="QKV220" s="76"/>
      <c r="QKW220" s="76"/>
      <c r="QKX220" s="76"/>
      <c r="QKY220" s="76"/>
      <c r="QKZ220" s="76"/>
      <c r="QLA220" s="76"/>
      <c r="QLB220" s="76"/>
      <c r="QLC220" s="76"/>
      <c r="QLD220" s="76"/>
      <c r="QLE220" s="76"/>
      <c r="QLF220" s="76"/>
      <c r="QLG220" s="76"/>
      <c r="QLH220" s="76"/>
      <c r="QLI220" s="76"/>
      <c r="QLJ220" s="76"/>
      <c r="QLK220" s="76"/>
      <c r="QLL220" s="76"/>
      <c r="QLM220" s="76"/>
      <c r="QLN220" s="76"/>
      <c r="QLO220" s="76"/>
      <c r="QLP220" s="76"/>
      <c r="QLQ220" s="76"/>
      <c r="QLR220" s="76"/>
      <c r="QLS220" s="76"/>
      <c r="QLT220" s="76"/>
      <c r="QLU220" s="76"/>
      <c r="QLV220" s="76"/>
      <c r="QLW220" s="76"/>
      <c r="QLX220" s="76"/>
      <c r="QLY220" s="76"/>
      <c r="QLZ220" s="76"/>
      <c r="QMA220" s="76"/>
      <c r="QMB220" s="76"/>
      <c r="QMC220" s="76"/>
      <c r="QMD220" s="76"/>
      <c r="QME220" s="76"/>
      <c r="QMF220" s="76"/>
      <c r="QMG220" s="76"/>
      <c r="QMH220" s="76"/>
      <c r="QMI220" s="76"/>
      <c r="QMJ220" s="76"/>
      <c r="QMK220" s="76"/>
      <c r="QML220" s="76"/>
      <c r="QMM220" s="76"/>
      <c r="QMN220" s="76"/>
      <c r="QMO220" s="76"/>
      <c r="QMP220" s="76"/>
      <c r="QMQ220" s="76"/>
      <c r="QMR220" s="76"/>
      <c r="QMS220" s="76"/>
      <c r="QMT220" s="76"/>
      <c r="QMU220" s="76"/>
      <c r="QMV220" s="76"/>
      <c r="QMW220" s="76"/>
      <c r="QMX220" s="76"/>
      <c r="QMY220" s="76"/>
      <c r="QMZ220" s="76"/>
      <c r="QNA220" s="76"/>
      <c r="QNB220" s="76"/>
      <c r="QNC220" s="76"/>
      <c r="QND220" s="76"/>
      <c r="QNE220" s="76"/>
      <c r="QNF220" s="76"/>
      <c r="QNG220" s="76"/>
      <c r="QNH220" s="76"/>
      <c r="QNI220" s="76"/>
      <c r="QNJ220" s="76"/>
      <c r="QNK220" s="76"/>
      <c r="QNL220" s="76"/>
      <c r="QNM220" s="76"/>
      <c r="QNN220" s="76"/>
      <c r="QNO220" s="76"/>
      <c r="QNP220" s="76"/>
      <c r="QNQ220" s="76"/>
      <c r="QNR220" s="76"/>
      <c r="QNS220" s="76"/>
      <c r="QNT220" s="76"/>
      <c r="QNU220" s="76"/>
      <c r="QNV220" s="76"/>
      <c r="QNW220" s="76"/>
      <c r="QNX220" s="76"/>
      <c r="QNY220" s="76"/>
      <c r="QNZ220" s="76"/>
      <c r="QOA220" s="76"/>
      <c r="QOB220" s="76"/>
      <c r="QOC220" s="76"/>
      <c r="QOD220" s="76"/>
      <c r="QOE220" s="76"/>
      <c r="QOF220" s="76"/>
      <c r="QOG220" s="76"/>
      <c r="QOH220" s="76"/>
      <c r="QOI220" s="76"/>
      <c r="QOJ220" s="76"/>
      <c r="QOK220" s="76"/>
      <c r="QOL220" s="76"/>
      <c r="QOM220" s="76"/>
      <c r="QON220" s="76"/>
      <c r="QOO220" s="76"/>
      <c r="QOP220" s="76"/>
      <c r="QOQ220" s="76"/>
      <c r="QOR220" s="76"/>
      <c r="QOS220" s="76"/>
      <c r="QOT220" s="76"/>
      <c r="QOU220" s="76"/>
      <c r="QOV220" s="76"/>
      <c r="QOW220" s="76"/>
      <c r="QOX220" s="76"/>
      <c r="QOY220" s="76"/>
      <c r="QOZ220" s="76"/>
      <c r="QPA220" s="76"/>
      <c r="QPB220" s="76"/>
      <c r="QPC220" s="76"/>
      <c r="QPD220" s="76"/>
      <c r="QPE220" s="76"/>
      <c r="QPF220" s="76"/>
      <c r="QPG220" s="76"/>
      <c r="QPH220" s="76"/>
      <c r="QPI220" s="76"/>
      <c r="QPJ220" s="76"/>
      <c r="QPK220" s="76"/>
      <c r="QPL220" s="76"/>
      <c r="QPM220" s="76"/>
      <c r="QPN220" s="76"/>
      <c r="QPO220" s="76"/>
      <c r="QPP220" s="76"/>
      <c r="QPQ220" s="76"/>
      <c r="QPR220" s="76"/>
      <c r="QPS220" s="76"/>
      <c r="QPT220" s="76"/>
      <c r="QPU220" s="76"/>
      <c r="QPV220" s="76"/>
      <c r="QPW220" s="76"/>
      <c r="QPX220" s="76"/>
      <c r="QPY220" s="76"/>
      <c r="QPZ220" s="76"/>
      <c r="QQA220" s="76"/>
      <c r="QQB220" s="76"/>
      <c r="QQC220" s="76"/>
      <c r="QQD220" s="76"/>
      <c r="QQE220" s="76"/>
      <c r="QQF220" s="76"/>
      <c r="QQG220" s="76"/>
      <c r="QQH220" s="76"/>
      <c r="QQI220" s="76"/>
      <c r="QQJ220" s="76"/>
      <c r="QQK220" s="76"/>
      <c r="QQL220" s="76"/>
      <c r="QQM220" s="76"/>
      <c r="QQN220" s="76"/>
      <c r="QQO220" s="76"/>
      <c r="QQP220" s="76"/>
      <c r="QQQ220" s="76"/>
      <c r="QQR220" s="76"/>
      <c r="QQS220" s="76"/>
      <c r="QQT220" s="76"/>
      <c r="QQU220" s="76"/>
      <c r="QQV220" s="76"/>
      <c r="QQW220" s="76"/>
      <c r="QQX220" s="76"/>
      <c r="QQY220" s="76"/>
      <c r="QQZ220" s="76"/>
      <c r="QRA220" s="76"/>
      <c r="QRB220" s="76"/>
      <c r="QRC220" s="76"/>
      <c r="QRD220" s="76"/>
      <c r="QRE220" s="76"/>
      <c r="QRF220" s="76"/>
      <c r="QRG220" s="76"/>
      <c r="QRH220" s="76"/>
      <c r="QRI220" s="76"/>
      <c r="QRJ220" s="76"/>
      <c r="QRK220" s="76"/>
      <c r="QRL220" s="76"/>
      <c r="QRM220" s="76"/>
      <c r="QRN220" s="76"/>
      <c r="QRO220" s="76"/>
      <c r="QRP220" s="76"/>
      <c r="QRQ220" s="76"/>
      <c r="QRR220" s="76"/>
      <c r="QRS220" s="76"/>
      <c r="QRT220" s="76"/>
      <c r="QRU220" s="76"/>
      <c r="QRV220" s="76"/>
      <c r="QRW220" s="76"/>
      <c r="QRX220" s="76"/>
      <c r="QRY220" s="76"/>
      <c r="QRZ220" s="76"/>
      <c r="QSA220" s="76"/>
      <c r="QSB220" s="76"/>
      <c r="QSC220" s="76"/>
      <c r="QSD220" s="76"/>
      <c r="QSE220" s="76"/>
      <c r="QSF220" s="76"/>
      <c r="QSG220" s="76"/>
      <c r="QSH220" s="76"/>
      <c r="QSI220" s="76"/>
      <c r="QSJ220" s="76"/>
      <c r="QSK220" s="76"/>
      <c r="QSL220" s="76"/>
      <c r="QSM220" s="76"/>
      <c r="QSN220" s="76"/>
      <c r="QSO220" s="76"/>
      <c r="QSP220" s="76"/>
      <c r="QSQ220" s="76"/>
      <c r="QSR220" s="76"/>
      <c r="QSS220" s="76"/>
      <c r="QST220" s="76"/>
      <c r="QSU220" s="76"/>
      <c r="QSV220" s="76"/>
      <c r="QSW220" s="76"/>
      <c r="QSX220" s="76"/>
      <c r="QSY220" s="76"/>
      <c r="QSZ220" s="76"/>
      <c r="QTA220" s="76"/>
      <c r="QTB220" s="76"/>
      <c r="QTC220" s="76"/>
      <c r="QTD220" s="76"/>
      <c r="QTE220" s="76"/>
      <c r="QTF220" s="76"/>
      <c r="QTG220" s="76"/>
      <c r="QTH220" s="76"/>
      <c r="QTI220" s="76"/>
      <c r="QTJ220" s="76"/>
      <c r="QTK220" s="76"/>
      <c r="QTL220" s="76"/>
      <c r="QTM220" s="76"/>
      <c r="QTN220" s="76"/>
      <c r="QTO220" s="76"/>
      <c r="QTP220" s="76"/>
      <c r="QTQ220" s="76"/>
      <c r="QTR220" s="76"/>
      <c r="QTS220" s="76"/>
      <c r="QTT220" s="76"/>
      <c r="QTU220" s="76"/>
      <c r="QTV220" s="76"/>
      <c r="QTW220" s="76"/>
      <c r="QTX220" s="76"/>
      <c r="QTY220" s="76"/>
      <c r="QTZ220" s="76"/>
      <c r="QUA220" s="76"/>
      <c r="QUB220" s="76"/>
      <c r="QUC220" s="76"/>
      <c r="QUD220" s="76"/>
      <c r="QUE220" s="76"/>
      <c r="QUF220" s="76"/>
      <c r="QUG220" s="76"/>
      <c r="QUH220" s="76"/>
      <c r="QUI220" s="76"/>
      <c r="QUJ220" s="76"/>
      <c r="QUK220" s="76"/>
      <c r="QUL220" s="76"/>
      <c r="QUM220" s="76"/>
      <c r="QUN220" s="76"/>
      <c r="QUO220" s="76"/>
      <c r="QUP220" s="76"/>
      <c r="QUQ220" s="76"/>
      <c r="QUR220" s="76"/>
      <c r="QUS220" s="76"/>
      <c r="QUT220" s="76"/>
      <c r="QUU220" s="76"/>
      <c r="QUV220" s="76"/>
      <c r="QUW220" s="76"/>
      <c r="QUX220" s="76"/>
      <c r="QUY220" s="76"/>
      <c r="QUZ220" s="76"/>
      <c r="QVA220" s="76"/>
      <c r="QVB220" s="76"/>
      <c r="QVC220" s="76"/>
      <c r="QVD220" s="76"/>
      <c r="QVE220" s="76"/>
      <c r="QVF220" s="76"/>
      <c r="QVG220" s="76"/>
      <c r="QVH220" s="76"/>
      <c r="QVI220" s="76"/>
      <c r="QVJ220" s="76"/>
      <c r="QVK220" s="76"/>
      <c r="QVL220" s="76"/>
      <c r="QVM220" s="76"/>
      <c r="QVN220" s="76"/>
      <c r="QVO220" s="76"/>
      <c r="QVP220" s="76"/>
      <c r="QVQ220" s="76"/>
      <c r="QVR220" s="76"/>
      <c r="QVS220" s="76"/>
      <c r="QVT220" s="76"/>
      <c r="QVU220" s="76"/>
      <c r="QVV220" s="76"/>
      <c r="QVW220" s="76"/>
      <c r="QVX220" s="76"/>
      <c r="QVY220" s="76"/>
      <c r="QVZ220" s="76"/>
      <c r="QWA220" s="76"/>
      <c r="QWB220" s="76"/>
      <c r="QWC220" s="76"/>
      <c r="QWD220" s="76"/>
      <c r="QWE220" s="76"/>
      <c r="QWF220" s="76"/>
      <c r="QWG220" s="76"/>
      <c r="QWH220" s="76"/>
      <c r="QWI220" s="76"/>
      <c r="QWJ220" s="76"/>
      <c r="QWK220" s="76"/>
      <c r="QWL220" s="76"/>
      <c r="QWM220" s="76"/>
      <c r="QWN220" s="76"/>
      <c r="QWO220" s="76"/>
      <c r="QWP220" s="76"/>
      <c r="QWQ220" s="76"/>
      <c r="QWR220" s="76"/>
      <c r="QWS220" s="76"/>
      <c r="QWT220" s="76"/>
      <c r="QWU220" s="76"/>
      <c r="QWV220" s="76"/>
      <c r="QWW220" s="76"/>
      <c r="QWX220" s="76"/>
      <c r="QWY220" s="76"/>
      <c r="QWZ220" s="76"/>
      <c r="QXA220" s="76"/>
      <c r="QXB220" s="76"/>
      <c r="QXC220" s="76"/>
      <c r="QXD220" s="76"/>
      <c r="QXE220" s="76"/>
      <c r="QXF220" s="76"/>
      <c r="QXG220" s="76"/>
      <c r="QXH220" s="76"/>
      <c r="QXI220" s="76"/>
      <c r="QXJ220" s="76"/>
      <c r="QXK220" s="76"/>
      <c r="QXL220" s="76"/>
      <c r="QXM220" s="76"/>
      <c r="QXN220" s="76"/>
      <c r="QXO220" s="76"/>
      <c r="QXP220" s="76"/>
      <c r="QXQ220" s="76"/>
      <c r="QXR220" s="76"/>
      <c r="QXS220" s="76"/>
      <c r="QXT220" s="76"/>
      <c r="QXU220" s="76"/>
      <c r="QXV220" s="76"/>
      <c r="QXW220" s="76"/>
      <c r="QXX220" s="76"/>
      <c r="QXY220" s="76"/>
      <c r="QXZ220" s="76"/>
      <c r="QYA220" s="76"/>
      <c r="QYB220" s="76"/>
      <c r="QYC220" s="76"/>
      <c r="QYD220" s="76"/>
      <c r="QYE220" s="76"/>
      <c r="QYF220" s="76"/>
      <c r="QYG220" s="76"/>
      <c r="QYH220" s="76"/>
      <c r="QYI220" s="76"/>
      <c r="QYJ220" s="76"/>
      <c r="QYK220" s="76"/>
      <c r="QYL220" s="76"/>
      <c r="QYM220" s="76"/>
      <c r="QYN220" s="76"/>
      <c r="QYO220" s="76"/>
      <c r="QYP220" s="76"/>
      <c r="QYQ220" s="76"/>
      <c r="QYR220" s="76"/>
      <c r="QYS220" s="76"/>
      <c r="QYT220" s="76"/>
      <c r="QYU220" s="76"/>
      <c r="QYV220" s="76"/>
      <c r="QYW220" s="76"/>
      <c r="QYX220" s="76"/>
      <c r="QYY220" s="76"/>
      <c r="QYZ220" s="76"/>
      <c r="QZA220" s="76"/>
      <c r="QZB220" s="76"/>
      <c r="QZC220" s="76"/>
      <c r="QZD220" s="76"/>
      <c r="QZE220" s="76"/>
      <c r="QZF220" s="76"/>
      <c r="QZG220" s="76"/>
      <c r="QZH220" s="76"/>
      <c r="QZI220" s="76"/>
      <c r="QZJ220" s="76"/>
      <c r="QZK220" s="76"/>
      <c r="QZL220" s="76"/>
      <c r="QZM220" s="76"/>
      <c r="QZN220" s="76"/>
      <c r="QZO220" s="76"/>
      <c r="QZP220" s="76"/>
      <c r="QZQ220" s="76"/>
      <c r="QZR220" s="76"/>
      <c r="QZS220" s="76"/>
      <c r="QZT220" s="76"/>
      <c r="QZU220" s="76"/>
      <c r="QZV220" s="76"/>
      <c r="QZW220" s="76"/>
      <c r="QZX220" s="76"/>
      <c r="QZY220" s="76"/>
      <c r="QZZ220" s="76"/>
      <c r="RAA220" s="76"/>
      <c r="RAB220" s="76"/>
      <c r="RAC220" s="76"/>
      <c r="RAD220" s="76"/>
      <c r="RAE220" s="76"/>
      <c r="RAF220" s="76"/>
      <c r="RAG220" s="76"/>
      <c r="RAH220" s="76"/>
      <c r="RAI220" s="76"/>
      <c r="RAJ220" s="76"/>
      <c r="RAK220" s="76"/>
      <c r="RAL220" s="76"/>
      <c r="RAM220" s="76"/>
      <c r="RAN220" s="76"/>
      <c r="RAO220" s="76"/>
      <c r="RAP220" s="76"/>
      <c r="RAQ220" s="76"/>
      <c r="RAR220" s="76"/>
      <c r="RAS220" s="76"/>
      <c r="RAT220" s="76"/>
      <c r="RAU220" s="76"/>
      <c r="RAV220" s="76"/>
      <c r="RAW220" s="76"/>
      <c r="RAX220" s="76"/>
      <c r="RAY220" s="76"/>
      <c r="RAZ220" s="76"/>
      <c r="RBA220" s="76"/>
      <c r="RBB220" s="76"/>
      <c r="RBC220" s="76"/>
      <c r="RBD220" s="76"/>
      <c r="RBE220" s="76"/>
      <c r="RBF220" s="76"/>
      <c r="RBG220" s="76"/>
      <c r="RBH220" s="76"/>
      <c r="RBI220" s="76"/>
      <c r="RBJ220" s="76"/>
      <c r="RBK220" s="76"/>
      <c r="RBL220" s="76"/>
      <c r="RBM220" s="76"/>
      <c r="RBN220" s="76"/>
      <c r="RBO220" s="76"/>
      <c r="RBP220" s="76"/>
      <c r="RBQ220" s="76"/>
      <c r="RBR220" s="76"/>
      <c r="RBS220" s="76"/>
      <c r="RBT220" s="76"/>
      <c r="RBU220" s="76"/>
      <c r="RBV220" s="76"/>
      <c r="RBW220" s="76"/>
      <c r="RBX220" s="76"/>
      <c r="RBY220" s="76"/>
      <c r="RBZ220" s="76"/>
      <c r="RCA220" s="76"/>
      <c r="RCB220" s="76"/>
      <c r="RCC220" s="76"/>
      <c r="RCD220" s="76"/>
      <c r="RCE220" s="76"/>
      <c r="RCF220" s="76"/>
      <c r="RCG220" s="76"/>
      <c r="RCH220" s="76"/>
      <c r="RCI220" s="76"/>
      <c r="RCJ220" s="76"/>
      <c r="RCK220" s="76"/>
      <c r="RCL220" s="76"/>
      <c r="RCM220" s="76"/>
      <c r="RCN220" s="76"/>
      <c r="RCO220" s="76"/>
      <c r="RCP220" s="76"/>
      <c r="RCQ220" s="76"/>
      <c r="RCR220" s="76"/>
      <c r="RCS220" s="76"/>
      <c r="RCT220" s="76"/>
      <c r="RCU220" s="76"/>
      <c r="RCV220" s="76"/>
      <c r="RCW220" s="76"/>
      <c r="RCX220" s="76"/>
      <c r="RCY220" s="76"/>
      <c r="RCZ220" s="76"/>
      <c r="RDA220" s="76"/>
      <c r="RDB220" s="76"/>
      <c r="RDC220" s="76"/>
      <c r="RDD220" s="76"/>
      <c r="RDE220" s="76"/>
      <c r="RDF220" s="76"/>
      <c r="RDG220" s="76"/>
      <c r="RDH220" s="76"/>
      <c r="RDI220" s="76"/>
      <c r="RDJ220" s="76"/>
      <c r="RDK220" s="76"/>
      <c r="RDL220" s="76"/>
      <c r="RDM220" s="76"/>
      <c r="RDN220" s="76"/>
      <c r="RDO220" s="76"/>
      <c r="RDP220" s="76"/>
      <c r="RDQ220" s="76"/>
      <c r="RDR220" s="76"/>
      <c r="RDS220" s="76"/>
      <c r="RDT220" s="76"/>
      <c r="RDU220" s="76"/>
      <c r="RDV220" s="76"/>
      <c r="RDW220" s="76"/>
      <c r="RDX220" s="76"/>
      <c r="RDY220" s="76"/>
      <c r="RDZ220" s="76"/>
      <c r="REA220" s="76"/>
      <c r="REB220" s="76"/>
      <c r="REC220" s="76"/>
      <c r="RED220" s="76"/>
      <c r="REE220" s="76"/>
      <c r="REF220" s="76"/>
      <c r="REG220" s="76"/>
      <c r="REH220" s="76"/>
      <c r="REI220" s="76"/>
      <c r="REJ220" s="76"/>
      <c r="REK220" s="76"/>
      <c r="REL220" s="76"/>
      <c r="REM220" s="76"/>
      <c r="REN220" s="76"/>
      <c r="REO220" s="76"/>
      <c r="REP220" s="76"/>
      <c r="REQ220" s="76"/>
      <c r="RER220" s="76"/>
      <c r="RES220" s="76"/>
      <c r="RET220" s="76"/>
      <c r="REU220" s="76"/>
      <c r="REV220" s="76"/>
      <c r="REW220" s="76"/>
      <c r="REX220" s="76"/>
      <c r="REY220" s="76"/>
      <c r="REZ220" s="76"/>
      <c r="RFA220" s="76"/>
      <c r="RFB220" s="76"/>
      <c r="RFC220" s="76"/>
      <c r="RFD220" s="76"/>
      <c r="RFE220" s="76"/>
      <c r="RFF220" s="76"/>
      <c r="RFG220" s="76"/>
      <c r="RFH220" s="76"/>
      <c r="RFI220" s="76"/>
      <c r="RFJ220" s="76"/>
      <c r="RFK220" s="76"/>
      <c r="RFL220" s="76"/>
      <c r="RFM220" s="76"/>
      <c r="RFN220" s="76"/>
      <c r="RFO220" s="76"/>
      <c r="RFP220" s="76"/>
      <c r="RFQ220" s="76"/>
      <c r="RFR220" s="76"/>
      <c r="RFS220" s="76"/>
      <c r="RFT220" s="76"/>
      <c r="RFU220" s="76"/>
      <c r="RFV220" s="76"/>
      <c r="RFW220" s="76"/>
      <c r="RFX220" s="76"/>
      <c r="RFY220" s="76"/>
      <c r="RFZ220" s="76"/>
      <c r="RGA220" s="76"/>
      <c r="RGB220" s="76"/>
      <c r="RGC220" s="76"/>
      <c r="RGD220" s="76"/>
      <c r="RGE220" s="76"/>
      <c r="RGF220" s="76"/>
      <c r="RGG220" s="76"/>
      <c r="RGH220" s="76"/>
      <c r="RGI220" s="76"/>
      <c r="RGJ220" s="76"/>
      <c r="RGK220" s="76"/>
      <c r="RGL220" s="76"/>
      <c r="RGM220" s="76"/>
      <c r="RGN220" s="76"/>
      <c r="RGO220" s="76"/>
      <c r="RGP220" s="76"/>
      <c r="RGQ220" s="76"/>
      <c r="RGR220" s="76"/>
      <c r="RGS220" s="76"/>
      <c r="RGT220" s="76"/>
      <c r="RGU220" s="76"/>
      <c r="RGV220" s="76"/>
      <c r="RGW220" s="76"/>
      <c r="RGX220" s="76"/>
      <c r="RGY220" s="76"/>
      <c r="RGZ220" s="76"/>
      <c r="RHA220" s="76"/>
      <c r="RHB220" s="76"/>
      <c r="RHC220" s="76"/>
      <c r="RHD220" s="76"/>
      <c r="RHE220" s="76"/>
      <c r="RHF220" s="76"/>
      <c r="RHG220" s="76"/>
      <c r="RHH220" s="76"/>
      <c r="RHI220" s="76"/>
      <c r="RHJ220" s="76"/>
      <c r="RHK220" s="76"/>
      <c r="RHL220" s="76"/>
      <c r="RHM220" s="76"/>
      <c r="RHN220" s="76"/>
      <c r="RHO220" s="76"/>
      <c r="RHP220" s="76"/>
      <c r="RHQ220" s="76"/>
      <c r="RHR220" s="76"/>
      <c r="RHS220" s="76"/>
      <c r="RHT220" s="76"/>
      <c r="RHU220" s="76"/>
      <c r="RHV220" s="76"/>
      <c r="RHW220" s="76"/>
      <c r="RHX220" s="76"/>
      <c r="RHY220" s="76"/>
      <c r="RHZ220" s="76"/>
      <c r="RIA220" s="76"/>
      <c r="RIB220" s="76"/>
      <c r="RIC220" s="76"/>
      <c r="RID220" s="76"/>
      <c r="RIE220" s="76"/>
      <c r="RIF220" s="76"/>
      <c r="RIG220" s="76"/>
      <c r="RIH220" s="76"/>
      <c r="RII220" s="76"/>
      <c r="RIJ220" s="76"/>
      <c r="RIK220" s="76"/>
      <c r="RIL220" s="76"/>
      <c r="RIM220" s="76"/>
      <c r="RIN220" s="76"/>
      <c r="RIO220" s="76"/>
      <c r="RIP220" s="76"/>
      <c r="RIQ220" s="76"/>
      <c r="RIR220" s="76"/>
      <c r="RIS220" s="76"/>
      <c r="RIT220" s="76"/>
      <c r="RIU220" s="76"/>
      <c r="RIV220" s="76"/>
      <c r="RIW220" s="76"/>
      <c r="RIX220" s="76"/>
      <c r="RIY220" s="76"/>
      <c r="RIZ220" s="76"/>
      <c r="RJA220" s="76"/>
      <c r="RJB220" s="76"/>
      <c r="RJC220" s="76"/>
      <c r="RJD220" s="76"/>
      <c r="RJE220" s="76"/>
      <c r="RJF220" s="76"/>
      <c r="RJG220" s="76"/>
      <c r="RJH220" s="76"/>
      <c r="RJI220" s="76"/>
      <c r="RJJ220" s="76"/>
      <c r="RJK220" s="76"/>
      <c r="RJL220" s="76"/>
      <c r="RJM220" s="76"/>
      <c r="RJN220" s="76"/>
      <c r="RJO220" s="76"/>
      <c r="RJP220" s="76"/>
      <c r="RJQ220" s="76"/>
      <c r="RJR220" s="76"/>
      <c r="RJS220" s="76"/>
      <c r="RJT220" s="76"/>
      <c r="RJU220" s="76"/>
      <c r="RJV220" s="76"/>
      <c r="RJW220" s="76"/>
      <c r="RJX220" s="76"/>
      <c r="RJY220" s="76"/>
      <c r="RJZ220" s="76"/>
      <c r="RKA220" s="76"/>
      <c r="RKB220" s="76"/>
      <c r="RKC220" s="76"/>
      <c r="RKD220" s="76"/>
      <c r="RKE220" s="76"/>
      <c r="RKF220" s="76"/>
      <c r="RKG220" s="76"/>
      <c r="RKH220" s="76"/>
      <c r="RKI220" s="76"/>
      <c r="RKJ220" s="76"/>
      <c r="RKK220" s="76"/>
      <c r="RKL220" s="76"/>
      <c r="RKM220" s="76"/>
      <c r="RKN220" s="76"/>
      <c r="RKO220" s="76"/>
      <c r="RKP220" s="76"/>
      <c r="RKQ220" s="76"/>
      <c r="RKR220" s="76"/>
      <c r="RKS220" s="76"/>
      <c r="RKT220" s="76"/>
      <c r="RKU220" s="76"/>
      <c r="RKV220" s="76"/>
      <c r="RKW220" s="76"/>
      <c r="RKX220" s="76"/>
      <c r="RKY220" s="76"/>
      <c r="RKZ220" s="76"/>
      <c r="RLA220" s="76"/>
      <c r="RLB220" s="76"/>
      <c r="RLC220" s="76"/>
      <c r="RLD220" s="76"/>
      <c r="RLE220" s="76"/>
      <c r="RLF220" s="76"/>
      <c r="RLG220" s="76"/>
      <c r="RLH220" s="76"/>
      <c r="RLI220" s="76"/>
      <c r="RLJ220" s="76"/>
      <c r="RLK220" s="76"/>
      <c r="RLL220" s="76"/>
      <c r="RLM220" s="76"/>
      <c r="RLN220" s="76"/>
      <c r="RLO220" s="76"/>
      <c r="RLP220" s="76"/>
      <c r="RLQ220" s="76"/>
      <c r="RLR220" s="76"/>
      <c r="RLS220" s="76"/>
      <c r="RLT220" s="76"/>
      <c r="RLU220" s="76"/>
      <c r="RLV220" s="76"/>
      <c r="RLW220" s="76"/>
      <c r="RLX220" s="76"/>
      <c r="RLY220" s="76"/>
      <c r="RLZ220" s="76"/>
      <c r="RMA220" s="76"/>
      <c r="RMB220" s="76"/>
      <c r="RMC220" s="76"/>
      <c r="RMD220" s="76"/>
      <c r="RME220" s="76"/>
      <c r="RMF220" s="76"/>
      <c r="RMG220" s="76"/>
      <c r="RMH220" s="76"/>
      <c r="RMI220" s="76"/>
      <c r="RMJ220" s="76"/>
      <c r="RMK220" s="76"/>
      <c r="RML220" s="76"/>
      <c r="RMM220" s="76"/>
      <c r="RMN220" s="76"/>
      <c r="RMO220" s="76"/>
      <c r="RMP220" s="76"/>
      <c r="RMQ220" s="76"/>
      <c r="RMR220" s="76"/>
      <c r="RMS220" s="76"/>
      <c r="RMT220" s="76"/>
      <c r="RMU220" s="76"/>
      <c r="RMV220" s="76"/>
      <c r="RMW220" s="76"/>
      <c r="RMX220" s="76"/>
      <c r="RMY220" s="76"/>
      <c r="RMZ220" s="76"/>
      <c r="RNA220" s="76"/>
      <c r="RNB220" s="76"/>
      <c r="RNC220" s="76"/>
      <c r="RND220" s="76"/>
      <c r="RNE220" s="76"/>
      <c r="RNF220" s="76"/>
      <c r="RNG220" s="76"/>
      <c r="RNH220" s="76"/>
      <c r="RNI220" s="76"/>
      <c r="RNJ220" s="76"/>
      <c r="RNK220" s="76"/>
      <c r="RNL220" s="76"/>
      <c r="RNM220" s="76"/>
      <c r="RNN220" s="76"/>
      <c r="RNO220" s="76"/>
      <c r="RNP220" s="76"/>
      <c r="RNQ220" s="76"/>
      <c r="RNR220" s="76"/>
      <c r="RNS220" s="76"/>
      <c r="RNT220" s="76"/>
      <c r="RNU220" s="76"/>
      <c r="RNV220" s="76"/>
      <c r="RNW220" s="76"/>
      <c r="RNX220" s="76"/>
      <c r="RNY220" s="76"/>
      <c r="RNZ220" s="76"/>
      <c r="ROA220" s="76"/>
      <c r="ROB220" s="76"/>
      <c r="ROC220" s="76"/>
      <c r="ROD220" s="76"/>
      <c r="ROE220" s="76"/>
      <c r="ROF220" s="76"/>
      <c r="ROG220" s="76"/>
      <c r="ROH220" s="76"/>
      <c r="ROI220" s="76"/>
      <c r="ROJ220" s="76"/>
      <c r="ROK220" s="76"/>
      <c r="ROL220" s="76"/>
      <c r="ROM220" s="76"/>
      <c r="RON220" s="76"/>
      <c r="ROO220" s="76"/>
      <c r="ROP220" s="76"/>
      <c r="ROQ220" s="76"/>
      <c r="ROR220" s="76"/>
      <c r="ROS220" s="76"/>
      <c r="ROT220" s="76"/>
      <c r="ROU220" s="76"/>
      <c r="ROV220" s="76"/>
      <c r="ROW220" s="76"/>
      <c r="ROX220" s="76"/>
      <c r="ROY220" s="76"/>
      <c r="ROZ220" s="76"/>
      <c r="RPA220" s="76"/>
      <c r="RPB220" s="76"/>
      <c r="RPC220" s="76"/>
      <c r="RPD220" s="76"/>
      <c r="RPE220" s="76"/>
      <c r="RPF220" s="76"/>
      <c r="RPG220" s="76"/>
      <c r="RPH220" s="76"/>
      <c r="RPI220" s="76"/>
      <c r="RPJ220" s="76"/>
      <c r="RPK220" s="76"/>
      <c r="RPL220" s="76"/>
      <c r="RPM220" s="76"/>
      <c r="RPN220" s="76"/>
      <c r="RPO220" s="76"/>
      <c r="RPP220" s="76"/>
      <c r="RPQ220" s="76"/>
      <c r="RPR220" s="76"/>
      <c r="RPS220" s="76"/>
      <c r="RPT220" s="76"/>
      <c r="RPU220" s="76"/>
      <c r="RPV220" s="76"/>
      <c r="RPW220" s="76"/>
      <c r="RPX220" s="76"/>
      <c r="RPY220" s="76"/>
      <c r="RPZ220" s="76"/>
      <c r="RQA220" s="76"/>
      <c r="RQB220" s="76"/>
      <c r="RQC220" s="76"/>
      <c r="RQD220" s="76"/>
      <c r="RQE220" s="76"/>
      <c r="RQF220" s="76"/>
      <c r="RQG220" s="76"/>
      <c r="RQH220" s="76"/>
      <c r="RQI220" s="76"/>
      <c r="RQJ220" s="76"/>
      <c r="RQK220" s="76"/>
      <c r="RQL220" s="76"/>
      <c r="RQM220" s="76"/>
      <c r="RQN220" s="76"/>
      <c r="RQO220" s="76"/>
      <c r="RQP220" s="76"/>
      <c r="RQQ220" s="76"/>
      <c r="RQR220" s="76"/>
      <c r="RQS220" s="76"/>
      <c r="RQT220" s="76"/>
      <c r="RQU220" s="76"/>
      <c r="RQV220" s="76"/>
      <c r="RQW220" s="76"/>
      <c r="RQX220" s="76"/>
      <c r="RQY220" s="76"/>
      <c r="RQZ220" s="76"/>
      <c r="RRA220" s="76"/>
      <c r="RRB220" s="76"/>
      <c r="RRC220" s="76"/>
      <c r="RRD220" s="76"/>
      <c r="RRE220" s="76"/>
      <c r="RRF220" s="76"/>
      <c r="RRG220" s="76"/>
      <c r="RRH220" s="76"/>
      <c r="RRI220" s="76"/>
      <c r="RRJ220" s="76"/>
      <c r="RRK220" s="76"/>
      <c r="RRL220" s="76"/>
      <c r="RRM220" s="76"/>
      <c r="RRN220" s="76"/>
      <c r="RRO220" s="76"/>
      <c r="RRP220" s="76"/>
      <c r="RRQ220" s="76"/>
      <c r="RRR220" s="76"/>
      <c r="RRS220" s="76"/>
      <c r="RRT220" s="76"/>
      <c r="RRU220" s="76"/>
      <c r="RRV220" s="76"/>
      <c r="RRW220" s="76"/>
      <c r="RRX220" s="76"/>
      <c r="RRY220" s="76"/>
      <c r="RRZ220" s="76"/>
      <c r="RSA220" s="76"/>
      <c r="RSB220" s="76"/>
      <c r="RSC220" s="76"/>
      <c r="RSD220" s="76"/>
      <c r="RSE220" s="76"/>
      <c r="RSF220" s="76"/>
      <c r="RSG220" s="76"/>
      <c r="RSH220" s="76"/>
      <c r="RSI220" s="76"/>
      <c r="RSJ220" s="76"/>
      <c r="RSK220" s="76"/>
      <c r="RSL220" s="76"/>
      <c r="RSM220" s="76"/>
      <c r="RSN220" s="76"/>
      <c r="RSO220" s="76"/>
      <c r="RSP220" s="76"/>
      <c r="RSQ220" s="76"/>
      <c r="RSR220" s="76"/>
      <c r="RSS220" s="76"/>
      <c r="RST220" s="76"/>
      <c r="RSU220" s="76"/>
      <c r="RSV220" s="76"/>
      <c r="RSW220" s="76"/>
      <c r="RSX220" s="76"/>
      <c r="RSY220" s="76"/>
      <c r="RSZ220" s="76"/>
      <c r="RTA220" s="76"/>
      <c r="RTB220" s="76"/>
      <c r="RTC220" s="76"/>
      <c r="RTD220" s="76"/>
      <c r="RTE220" s="76"/>
      <c r="RTF220" s="76"/>
      <c r="RTG220" s="76"/>
      <c r="RTH220" s="76"/>
      <c r="RTI220" s="76"/>
      <c r="RTJ220" s="76"/>
      <c r="RTK220" s="76"/>
      <c r="RTL220" s="76"/>
      <c r="RTM220" s="76"/>
      <c r="RTN220" s="76"/>
      <c r="RTO220" s="76"/>
      <c r="RTP220" s="76"/>
      <c r="RTQ220" s="76"/>
      <c r="RTR220" s="76"/>
      <c r="RTS220" s="76"/>
      <c r="RTT220" s="76"/>
      <c r="RTU220" s="76"/>
      <c r="RTV220" s="76"/>
      <c r="RTW220" s="76"/>
      <c r="RTX220" s="76"/>
      <c r="RTY220" s="76"/>
      <c r="RTZ220" s="76"/>
      <c r="RUA220" s="76"/>
      <c r="RUB220" s="76"/>
      <c r="RUC220" s="76"/>
      <c r="RUD220" s="76"/>
      <c r="RUE220" s="76"/>
      <c r="RUF220" s="76"/>
      <c r="RUG220" s="76"/>
      <c r="RUH220" s="76"/>
      <c r="RUI220" s="76"/>
      <c r="RUJ220" s="76"/>
      <c r="RUK220" s="76"/>
      <c r="RUL220" s="76"/>
      <c r="RUM220" s="76"/>
      <c r="RUN220" s="76"/>
      <c r="RUO220" s="76"/>
      <c r="RUP220" s="76"/>
      <c r="RUQ220" s="76"/>
      <c r="RUR220" s="76"/>
      <c r="RUS220" s="76"/>
      <c r="RUT220" s="76"/>
      <c r="RUU220" s="76"/>
      <c r="RUV220" s="76"/>
      <c r="RUW220" s="76"/>
      <c r="RUX220" s="76"/>
      <c r="RUY220" s="76"/>
      <c r="RUZ220" s="76"/>
      <c r="RVA220" s="76"/>
      <c r="RVB220" s="76"/>
      <c r="RVC220" s="76"/>
      <c r="RVD220" s="76"/>
      <c r="RVE220" s="76"/>
      <c r="RVF220" s="76"/>
      <c r="RVG220" s="76"/>
      <c r="RVH220" s="76"/>
      <c r="RVI220" s="76"/>
      <c r="RVJ220" s="76"/>
      <c r="RVK220" s="76"/>
      <c r="RVL220" s="76"/>
      <c r="RVM220" s="76"/>
      <c r="RVN220" s="76"/>
      <c r="RVO220" s="76"/>
      <c r="RVP220" s="76"/>
      <c r="RVQ220" s="76"/>
      <c r="RVR220" s="76"/>
      <c r="RVS220" s="76"/>
      <c r="RVT220" s="76"/>
      <c r="RVU220" s="76"/>
      <c r="RVV220" s="76"/>
      <c r="RVW220" s="76"/>
      <c r="RVX220" s="76"/>
      <c r="RVY220" s="76"/>
      <c r="RVZ220" s="76"/>
      <c r="RWA220" s="76"/>
      <c r="RWB220" s="76"/>
      <c r="RWC220" s="76"/>
      <c r="RWD220" s="76"/>
      <c r="RWE220" s="76"/>
      <c r="RWF220" s="76"/>
      <c r="RWG220" s="76"/>
      <c r="RWH220" s="76"/>
      <c r="RWI220" s="76"/>
      <c r="RWJ220" s="76"/>
      <c r="RWK220" s="76"/>
      <c r="RWL220" s="76"/>
      <c r="RWM220" s="76"/>
      <c r="RWN220" s="76"/>
      <c r="RWO220" s="76"/>
      <c r="RWP220" s="76"/>
      <c r="RWQ220" s="76"/>
      <c r="RWR220" s="76"/>
      <c r="RWS220" s="76"/>
      <c r="RWT220" s="76"/>
      <c r="RWU220" s="76"/>
      <c r="RWV220" s="76"/>
      <c r="RWW220" s="76"/>
      <c r="RWX220" s="76"/>
      <c r="RWY220" s="76"/>
      <c r="RWZ220" s="76"/>
      <c r="RXA220" s="76"/>
      <c r="RXB220" s="76"/>
      <c r="RXC220" s="76"/>
      <c r="RXD220" s="76"/>
      <c r="RXE220" s="76"/>
      <c r="RXF220" s="76"/>
      <c r="RXG220" s="76"/>
      <c r="RXH220" s="76"/>
      <c r="RXI220" s="76"/>
      <c r="RXJ220" s="76"/>
      <c r="RXK220" s="76"/>
      <c r="RXL220" s="76"/>
      <c r="RXM220" s="76"/>
      <c r="RXN220" s="76"/>
      <c r="RXO220" s="76"/>
      <c r="RXP220" s="76"/>
      <c r="RXQ220" s="76"/>
      <c r="RXR220" s="76"/>
      <c r="RXS220" s="76"/>
      <c r="RXT220" s="76"/>
      <c r="RXU220" s="76"/>
      <c r="RXV220" s="76"/>
      <c r="RXW220" s="76"/>
      <c r="RXX220" s="76"/>
      <c r="RXY220" s="76"/>
      <c r="RXZ220" s="76"/>
      <c r="RYA220" s="76"/>
      <c r="RYB220" s="76"/>
      <c r="RYC220" s="76"/>
      <c r="RYD220" s="76"/>
      <c r="RYE220" s="76"/>
      <c r="RYF220" s="76"/>
      <c r="RYG220" s="76"/>
      <c r="RYH220" s="76"/>
      <c r="RYI220" s="76"/>
      <c r="RYJ220" s="76"/>
      <c r="RYK220" s="76"/>
      <c r="RYL220" s="76"/>
      <c r="RYM220" s="76"/>
      <c r="RYN220" s="76"/>
      <c r="RYO220" s="76"/>
      <c r="RYP220" s="76"/>
      <c r="RYQ220" s="76"/>
      <c r="RYR220" s="76"/>
      <c r="RYS220" s="76"/>
      <c r="RYT220" s="76"/>
      <c r="RYU220" s="76"/>
      <c r="RYV220" s="76"/>
      <c r="RYW220" s="76"/>
      <c r="RYX220" s="76"/>
      <c r="RYY220" s="76"/>
      <c r="RYZ220" s="76"/>
      <c r="RZA220" s="76"/>
      <c r="RZB220" s="76"/>
      <c r="RZC220" s="76"/>
      <c r="RZD220" s="76"/>
      <c r="RZE220" s="76"/>
      <c r="RZF220" s="76"/>
      <c r="RZG220" s="76"/>
      <c r="RZH220" s="76"/>
      <c r="RZI220" s="76"/>
      <c r="RZJ220" s="76"/>
      <c r="RZK220" s="76"/>
      <c r="RZL220" s="76"/>
      <c r="RZM220" s="76"/>
      <c r="RZN220" s="76"/>
      <c r="RZO220" s="76"/>
      <c r="RZP220" s="76"/>
      <c r="RZQ220" s="76"/>
      <c r="RZR220" s="76"/>
      <c r="RZS220" s="76"/>
      <c r="RZT220" s="76"/>
      <c r="RZU220" s="76"/>
      <c r="RZV220" s="76"/>
      <c r="RZW220" s="76"/>
      <c r="RZX220" s="76"/>
      <c r="RZY220" s="76"/>
      <c r="RZZ220" s="76"/>
      <c r="SAA220" s="76"/>
      <c r="SAB220" s="76"/>
      <c r="SAC220" s="76"/>
      <c r="SAD220" s="76"/>
      <c r="SAE220" s="76"/>
      <c r="SAF220" s="76"/>
      <c r="SAG220" s="76"/>
      <c r="SAH220" s="76"/>
      <c r="SAI220" s="76"/>
      <c r="SAJ220" s="76"/>
      <c r="SAK220" s="76"/>
      <c r="SAL220" s="76"/>
      <c r="SAM220" s="76"/>
      <c r="SAN220" s="76"/>
      <c r="SAO220" s="76"/>
      <c r="SAP220" s="76"/>
      <c r="SAQ220" s="76"/>
      <c r="SAR220" s="76"/>
      <c r="SAS220" s="76"/>
      <c r="SAT220" s="76"/>
      <c r="SAU220" s="76"/>
      <c r="SAV220" s="76"/>
      <c r="SAW220" s="76"/>
      <c r="SAX220" s="76"/>
      <c r="SAY220" s="76"/>
      <c r="SAZ220" s="76"/>
      <c r="SBA220" s="76"/>
      <c r="SBB220" s="76"/>
      <c r="SBC220" s="76"/>
      <c r="SBD220" s="76"/>
      <c r="SBE220" s="76"/>
      <c r="SBF220" s="76"/>
      <c r="SBG220" s="76"/>
      <c r="SBH220" s="76"/>
      <c r="SBI220" s="76"/>
      <c r="SBJ220" s="76"/>
      <c r="SBK220" s="76"/>
      <c r="SBL220" s="76"/>
      <c r="SBM220" s="76"/>
      <c r="SBN220" s="76"/>
      <c r="SBO220" s="76"/>
      <c r="SBP220" s="76"/>
      <c r="SBQ220" s="76"/>
      <c r="SBR220" s="76"/>
      <c r="SBS220" s="76"/>
      <c r="SBT220" s="76"/>
      <c r="SBU220" s="76"/>
      <c r="SBV220" s="76"/>
      <c r="SBW220" s="76"/>
      <c r="SBX220" s="76"/>
      <c r="SBY220" s="76"/>
      <c r="SBZ220" s="76"/>
      <c r="SCA220" s="76"/>
      <c r="SCB220" s="76"/>
      <c r="SCC220" s="76"/>
      <c r="SCD220" s="76"/>
      <c r="SCE220" s="76"/>
      <c r="SCF220" s="76"/>
      <c r="SCG220" s="76"/>
      <c r="SCH220" s="76"/>
      <c r="SCI220" s="76"/>
      <c r="SCJ220" s="76"/>
      <c r="SCK220" s="76"/>
      <c r="SCL220" s="76"/>
      <c r="SCM220" s="76"/>
      <c r="SCN220" s="76"/>
      <c r="SCO220" s="76"/>
      <c r="SCP220" s="76"/>
      <c r="SCQ220" s="76"/>
      <c r="SCR220" s="76"/>
      <c r="SCS220" s="76"/>
      <c r="SCT220" s="76"/>
      <c r="SCU220" s="76"/>
      <c r="SCV220" s="76"/>
      <c r="SCW220" s="76"/>
      <c r="SCX220" s="76"/>
      <c r="SCY220" s="76"/>
      <c r="SCZ220" s="76"/>
      <c r="SDA220" s="76"/>
      <c r="SDB220" s="76"/>
      <c r="SDC220" s="76"/>
      <c r="SDD220" s="76"/>
      <c r="SDE220" s="76"/>
      <c r="SDF220" s="76"/>
      <c r="SDG220" s="76"/>
      <c r="SDH220" s="76"/>
      <c r="SDI220" s="76"/>
      <c r="SDJ220" s="76"/>
      <c r="SDK220" s="76"/>
      <c r="SDL220" s="76"/>
      <c r="SDM220" s="76"/>
      <c r="SDN220" s="76"/>
      <c r="SDO220" s="76"/>
      <c r="SDP220" s="76"/>
      <c r="SDQ220" s="76"/>
      <c r="SDR220" s="76"/>
      <c r="SDS220" s="76"/>
      <c r="SDT220" s="76"/>
      <c r="SDU220" s="76"/>
      <c r="SDV220" s="76"/>
      <c r="SDW220" s="76"/>
      <c r="SDX220" s="76"/>
      <c r="SDY220" s="76"/>
      <c r="SDZ220" s="76"/>
      <c r="SEA220" s="76"/>
      <c r="SEB220" s="76"/>
      <c r="SEC220" s="76"/>
      <c r="SED220" s="76"/>
      <c r="SEE220" s="76"/>
      <c r="SEF220" s="76"/>
      <c r="SEG220" s="76"/>
      <c r="SEH220" s="76"/>
      <c r="SEI220" s="76"/>
      <c r="SEJ220" s="76"/>
      <c r="SEK220" s="76"/>
      <c r="SEL220" s="76"/>
      <c r="SEM220" s="76"/>
      <c r="SEN220" s="76"/>
      <c r="SEO220" s="76"/>
      <c r="SEP220" s="76"/>
      <c r="SEQ220" s="76"/>
      <c r="SER220" s="76"/>
      <c r="SES220" s="76"/>
      <c r="SET220" s="76"/>
      <c r="SEU220" s="76"/>
      <c r="SEV220" s="76"/>
      <c r="SEW220" s="76"/>
      <c r="SEX220" s="76"/>
      <c r="SEY220" s="76"/>
      <c r="SEZ220" s="76"/>
      <c r="SFA220" s="76"/>
      <c r="SFB220" s="76"/>
      <c r="SFC220" s="76"/>
      <c r="SFD220" s="76"/>
      <c r="SFE220" s="76"/>
      <c r="SFF220" s="76"/>
      <c r="SFG220" s="76"/>
      <c r="SFH220" s="76"/>
      <c r="SFI220" s="76"/>
      <c r="SFJ220" s="76"/>
      <c r="SFK220" s="76"/>
      <c r="SFL220" s="76"/>
      <c r="SFM220" s="76"/>
      <c r="SFN220" s="76"/>
      <c r="SFO220" s="76"/>
      <c r="SFP220" s="76"/>
      <c r="SFQ220" s="76"/>
      <c r="SFR220" s="76"/>
      <c r="SFS220" s="76"/>
      <c r="SFT220" s="76"/>
      <c r="SFU220" s="76"/>
      <c r="SFV220" s="76"/>
      <c r="SFW220" s="76"/>
      <c r="SFX220" s="76"/>
      <c r="SFY220" s="76"/>
      <c r="SFZ220" s="76"/>
      <c r="SGA220" s="76"/>
      <c r="SGB220" s="76"/>
      <c r="SGC220" s="76"/>
      <c r="SGD220" s="76"/>
      <c r="SGE220" s="76"/>
      <c r="SGF220" s="76"/>
      <c r="SGG220" s="76"/>
      <c r="SGH220" s="76"/>
      <c r="SGI220" s="76"/>
      <c r="SGJ220" s="76"/>
      <c r="SGK220" s="76"/>
      <c r="SGL220" s="76"/>
      <c r="SGM220" s="76"/>
      <c r="SGN220" s="76"/>
      <c r="SGO220" s="76"/>
      <c r="SGP220" s="76"/>
      <c r="SGQ220" s="76"/>
      <c r="SGR220" s="76"/>
      <c r="SGS220" s="76"/>
      <c r="SGT220" s="76"/>
      <c r="SGU220" s="76"/>
      <c r="SGV220" s="76"/>
      <c r="SGW220" s="76"/>
      <c r="SGX220" s="76"/>
      <c r="SGY220" s="76"/>
      <c r="SGZ220" s="76"/>
      <c r="SHA220" s="76"/>
      <c r="SHB220" s="76"/>
      <c r="SHC220" s="76"/>
      <c r="SHD220" s="76"/>
      <c r="SHE220" s="76"/>
      <c r="SHF220" s="76"/>
      <c r="SHG220" s="76"/>
      <c r="SHH220" s="76"/>
      <c r="SHI220" s="76"/>
      <c r="SHJ220" s="76"/>
      <c r="SHK220" s="76"/>
      <c r="SHL220" s="76"/>
      <c r="SHM220" s="76"/>
      <c r="SHN220" s="76"/>
      <c r="SHO220" s="76"/>
      <c r="SHP220" s="76"/>
      <c r="SHQ220" s="76"/>
      <c r="SHR220" s="76"/>
      <c r="SHS220" s="76"/>
      <c r="SHT220" s="76"/>
      <c r="SHU220" s="76"/>
      <c r="SHV220" s="76"/>
      <c r="SHW220" s="76"/>
      <c r="SHX220" s="76"/>
      <c r="SHY220" s="76"/>
      <c r="SHZ220" s="76"/>
      <c r="SIA220" s="76"/>
      <c r="SIB220" s="76"/>
      <c r="SIC220" s="76"/>
      <c r="SID220" s="76"/>
      <c r="SIE220" s="76"/>
      <c r="SIF220" s="76"/>
      <c r="SIG220" s="76"/>
      <c r="SIH220" s="76"/>
      <c r="SII220" s="76"/>
      <c r="SIJ220" s="76"/>
      <c r="SIK220" s="76"/>
      <c r="SIL220" s="76"/>
      <c r="SIM220" s="76"/>
      <c r="SIN220" s="76"/>
      <c r="SIO220" s="76"/>
      <c r="SIP220" s="76"/>
      <c r="SIQ220" s="76"/>
      <c r="SIR220" s="76"/>
      <c r="SIS220" s="76"/>
      <c r="SIT220" s="76"/>
      <c r="SIU220" s="76"/>
      <c r="SIV220" s="76"/>
      <c r="SIW220" s="76"/>
      <c r="SIX220" s="76"/>
      <c r="SIY220" s="76"/>
      <c r="SIZ220" s="76"/>
      <c r="SJA220" s="76"/>
      <c r="SJB220" s="76"/>
      <c r="SJC220" s="76"/>
      <c r="SJD220" s="76"/>
      <c r="SJE220" s="76"/>
      <c r="SJF220" s="76"/>
      <c r="SJG220" s="76"/>
      <c r="SJH220" s="76"/>
      <c r="SJI220" s="76"/>
      <c r="SJJ220" s="76"/>
      <c r="SJK220" s="76"/>
      <c r="SJL220" s="76"/>
      <c r="SJM220" s="76"/>
      <c r="SJN220" s="76"/>
      <c r="SJO220" s="76"/>
      <c r="SJP220" s="76"/>
      <c r="SJQ220" s="76"/>
      <c r="SJR220" s="76"/>
      <c r="SJS220" s="76"/>
      <c r="SJT220" s="76"/>
      <c r="SJU220" s="76"/>
      <c r="SJV220" s="76"/>
      <c r="SJW220" s="76"/>
      <c r="SJX220" s="76"/>
      <c r="SJY220" s="76"/>
      <c r="SJZ220" s="76"/>
      <c r="SKA220" s="76"/>
      <c r="SKB220" s="76"/>
      <c r="SKC220" s="76"/>
      <c r="SKD220" s="76"/>
      <c r="SKE220" s="76"/>
      <c r="SKF220" s="76"/>
      <c r="SKG220" s="76"/>
      <c r="SKH220" s="76"/>
      <c r="SKI220" s="76"/>
      <c r="SKJ220" s="76"/>
      <c r="SKK220" s="76"/>
      <c r="SKL220" s="76"/>
      <c r="SKM220" s="76"/>
      <c r="SKN220" s="76"/>
      <c r="SKO220" s="76"/>
      <c r="SKP220" s="76"/>
      <c r="SKQ220" s="76"/>
      <c r="SKR220" s="76"/>
      <c r="SKS220" s="76"/>
      <c r="SKT220" s="76"/>
      <c r="SKU220" s="76"/>
      <c r="SKV220" s="76"/>
      <c r="SKW220" s="76"/>
      <c r="SKX220" s="76"/>
      <c r="SKY220" s="76"/>
      <c r="SKZ220" s="76"/>
      <c r="SLA220" s="76"/>
      <c r="SLB220" s="76"/>
      <c r="SLC220" s="76"/>
      <c r="SLD220" s="76"/>
      <c r="SLE220" s="76"/>
      <c r="SLF220" s="76"/>
      <c r="SLG220" s="76"/>
      <c r="SLH220" s="76"/>
      <c r="SLI220" s="76"/>
      <c r="SLJ220" s="76"/>
      <c r="SLK220" s="76"/>
      <c r="SLL220" s="76"/>
      <c r="SLM220" s="76"/>
      <c r="SLN220" s="76"/>
      <c r="SLO220" s="76"/>
      <c r="SLP220" s="76"/>
      <c r="SLQ220" s="76"/>
      <c r="SLR220" s="76"/>
      <c r="SLS220" s="76"/>
      <c r="SLT220" s="76"/>
      <c r="SLU220" s="76"/>
      <c r="SLV220" s="76"/>
      <c r="SLW220" s="76"/>
      <c r="SLX220" s="76"/>
      <c r="SLY220" s="76"/>
      <c r="SLZ220" s="76"/>
      <c r="SMA220" s="76"/>
      <c r="SMB220" s="76"/>
      <c r="SMC220" s="76"/>
      <c r="SMD220" s="76"/>
      <c r="SME220" s="76"/>
      <c r="SMF220" s="76"/>
      <c r="SMG220" s="76"/>
      <c r="SMH220" s="76"/>
      <c r="SMI220" s="76"/>
      <c r="SMJ220" s="76"/>
      <c r="SMK220" s="76"/>
      <c r="SML220" s="76"/>
      <c r="SMM220" s="76"/>
      <c r="SMN220" s="76"/>
      <c r="SMO220" s="76"/>
      <c r="SMP220" s="76"/>
      <c r="SMQ220" s="76"/>
      <c r="SMR220" s="76"/>
      <c r="SMS220" s="76"/>
      <c r="SMT220" s="76"/>
      <c r="SMU220" s="76"/>
      <c r="SMV220" s="76"/>
      <c r="SMW220" s="76"/>
      <c r="SMX220" s="76"/>
      <c r="SMY220" s="76"/>
      <c r="SMZ220" s="76"/>
      <c r="SNA220" s="76"/>
      <c r="SNB220" s="76"/>
      <c r="SNC220" s="76"/>
      <c r="SND220" s="76"/>
      <c r="SNE220" s="76"/>
      <c r="SNF220" s="76"/>
      <c r="SNG220" s="76"/>
      <c r="SNH220" s="76"/>
      <c r="SNI220" s="76"/>
      <c r="SNJ220" s="76"/>
      <c r="SNK220" s="76"/>
      <c r="SNL220" s="76"/>
      <c r="SNM220" s="76"/>
      <c r="SNN220" s="76"/>
      <c r="SNO220" s="76"/>
      <c r="SNP220" s="76"/>
      <c r="SNQ220" s="76"/>
      <c r="SNR220" s="76"/>
      <c r="SNS220" s="76"/>
      <c r="SNT220" s="76"/>
      <c r="SNU220" s="76"/>
      <c r="SNV220" s="76"/>
      <c r="SNW220" s="76"/>
      <c r="SNX220" s="76"/>
      <c r="SNY220" s="76"/>
      <c r="SNZ220" s="76"/>
      <c r="SOA220" s="76"/>
      <c r="SOB220" s="76"/>
      <c r="SOC220" s="76"/>
      <c r="SOD220" s="76"/>
      <c r="SOE220" s="76"/>
      <c r="SOF220" s="76"/>
      <c r="SOG220" s="76"/>
      <c r="SOH220" s="76"/>
      <c r="SOI220" s="76"/>
      <c r="SOJ220" s="76"/>
      <c r="SOK220" s="76"/>
      <c r="SOL220" s="76"/>
      <c r="SOM220" s="76"/>
      <c r="SON220" s="76"/>
      <c r="SOO220" s="76"/>
      <c r="SOP220" s="76"/>
      <c r="SOQ220" s="76"/>
      <c r="SOR220" s="76"/>
      <c r="SOS220" s="76"/>
      <c r="SOT220" s="76"/>
      <c r="SOU220" s="76"/>
      <c r="SOV220" s="76"/>
      <c r="SOW220" s="76"/>
      <c r="SOX220" s="76"/>
      <c r="SOY220" s="76"/>
      <c r="SOZ220" s="76"/>
      <c r="SPA220" s="76"/>
      <c r="SPB220" s="76"/>
      <c r="SPC220" s="76"/>
      <c r="SPD220" s="76"/>
      <c r="SPE220" s="76"/>
      <c r="SPF220" s="76"/>
      <c r="SPG220" s="76"/>
      <c r="SPH220" s="76"/>
      <c r="SPI220" s="76"/>
      <c r="SPJ220" s="76"/>
      <c r="SPK220" s="76"/>
      <c r="SPL220" s="76"/>
      <c r="SPM220" s="76"/>
      <c r="SPN220" s="76"/>
      <c r="SPO220" s="76"/>
      <c r="SPP220" s="76"/>
      <c r="SPQ220" s="76"/>
      <c r="SPR220" s="76"/>
      <c r="SPS220" s="76"/>
      <c r="SPT220" s="76"/>
      <c r="SPU220" s="76"/>
      <c r="SPV220" s="76"/>
      <c r="SPW220" s="76"/>
      <c r="SPX220" s="76"/>
      <c r="SPY220" s="76"/>
      <c r="SPZ220" s="76"/>
      <c r="SQA220" s="76"/>
      <c r="SQB220" s="76"/>
      <c r="SQC220" s="76"/>
      <c r="SQD220" s="76"/>
      <c r="SQE220" s="76"/>
      <c r="SQF220" s="76"/>
      <c r="SQG220" s="76"/>
      <c r="SQH220" s="76"/>
      <c r="SQI220" s="76"/>
      <c r="SQJ220" s="76"/>
      <c r="SQK220" s="76"/>
      <c r="SQL220" s="76"/>
      <c r="SQM220" s="76"/>
      <c r="SQN220" s="76"/>
      <c r="SQO220" s="76"/>
      <c r="SQP220" s="76"/>
      <c r="SQQ220" s="76"/>
      <c r="SQR220" s="76"/>
      <c r="SQS220" s="76"/>
      <c r="SQT220" s="76"/>
      <c r="SQU220" s="76"/>
      <c r="SQV220" s="76"/>
      <c r="SQW220" s="76"/>
      <c r="SQX220" s="76"/>
      <c r="SQY220" s="76"/>
      <c r="SQZ220" s="76"/>
      <c r="SRA220" s="76"/>
      <c r="SRB220" s="76"/>
      <c r="SRC220" s="76"/>
      <c r="SRD220" s="76"/>
      <c r="SRE220" s="76"/>
      <c r="SRF220" s="76"/>
      <c r="SRG220" s="76"/>
      <c r="SRH220" s="76"/>
      <c r="SRI220" s="76"/>
      <c r="SRJ220" s="76"/>
      <c r="SRK220" s="76"/>
      <c r="SRL220" s="76"/>
      <c r="SRM220" s="76"/>
      <c r="SRN220" s="76"/>
      <c r="SRO220" s="76"/>
      <c r="SRP220" s="76"/>
      <c r="SRQ220" s="76"/>
      <c r="SRR220" s="76"/>
      <c r="SRS220" s="76"/>
      <c r="SRT220" s="76"/>
      <c r="SRU220" s="76"/>
      <c r="SRV220" s="76"/>
      <c r="SRW220" s="76"/>
      <c r="SRX220" s="76"/>
      <c r="SRY220" s="76"/>
      <c r="SRZ220" s="76"/>
      <c r="SSA220" s="76"/>
      <c r="SSB220" s="76"/>
      <c r="SSC220" s="76"/>
      <c r="SSD220" s="76"/>
      <c r="SSE220" s="76"/>
      <c r="SSF220" s="76"/>
      <c r="SSG220" s="76"/>
      <c r="SSH220" s="76"/>
      <c r="SSI220" s="76"/>
      <c r="SSJ220" s="76"/>
      <c r="SSK220" s="76"/>
      <c r="SSL220" s="76"/>
      <c r="SSM220" s="76"/>
      <c r="SSN220" s="76"/>
      <c r="SSO220" s="76"/>
      <c r="SSP220" s="76"/>
      <c r="SSQ220" s="76"/>
      <c r="SSR220" s="76"/>
      <c r="SSS220" s="76"/>
      <c r="SST220" s="76"/>
      <c r="SSU220" s="76"/>
      <c r="SSV220" s="76"/>
      <c r="SSW220" s="76"/>
      <c r="SSX220" s="76"/>
      <c r="SSY220" s="76"/>
      <c r="SSZ220" s="76"/>
      <c r="STA220" s="76"/>
      <c r="STB220" s="76"/>
      <c r="STC220" s="76"/>
      <c r="STD220" s="76"/>
      <c r="STE220" s="76"/>
      <c r="STF220" s="76"/>
      <c r="STG220" s="76"/>
      <c r="STH220" s="76"/>
      <c r="STI220" s="76"/>
      <c r="STJ220" s="76"/>
      <c r="STK220" s="76"/>
      <c r="STL220" s="76"/>
      <c r="STM220" s="76"/>
      <c r="STN220" s="76"/>
      <c r="STO220" s="76"/>
      <c r="STP220" s="76"/>
      <c r="STQ220" s="76"/>
      <c r="STR220" s="76"/>
      <c r="STS220" s="76"/>
      <c r="STT220" s="76"/>
      <c r="STU220" s="76"/>
      <c r="STV220" s="76"/>
      <c r="STW220" s="76"/>
      <c r="STX220" s="76"/>
      <c r="STY220" s="76"/>
      <c r="STZ220" s="76"/>
      <c r="SUA220" s="76"/>
      <c r="SUB220" s="76"/>
      <c r="SUC220" s="76"/>
      <c r="SUD220" s="76"/>
      <c r="SUE220" s="76"/>
      <c r="SUF220" s="76"/>
      <c r="SUG220" s="76"/>
      <c r="SUH220" s="76"/>
      <c r="SUI220" s="76"/>
      <c r="SUJ220" s="76"/>
      <c r="SUK220" s="76"/>
      <c r="SUL220" s="76"/>
      <c r="SUM220" s="76"/>
      <c r="SUN220" s="76"/>
      <c r="SUO220" s="76"/>
      <c r="SUP220" s="76"/>
      <c r="SUQ220" s="76"/>
      <c r="SUR220" s="76"/>
      <c r="SUS220" s="76"/>
      <c r="SUT220" s="76"/>
      <c r="SUU220" s="76"/>
      <c r="SUV220" s="76"/>
      <c r="SUW220" s="76"/>
      <c r="SUX220" s="76"/>
      <c r="SUY220" s="76"/>
      <c r="SUZ220" s="76"/>
      <c r="SVA220" s="76"/>
      <c r="SVB220" s="76"/>
      <c r="SVC220" s="76"/>
      <c r="SVD220" s="76"/>
      <c r="SVE220" s="76"/>
      <c r="SVF220" s="76"/>
      <c r="SVG220" s="76"/>
      <c r="SVH220" s="76"/>
      <c r="SVI220" s="76"/>
      <c r="SVJ220" s="76"/>
      <c r="SVK220" s="76"/>
      <c r="SVL220" s="76"/>
      <c r="SVM220" s="76"/>
      <c r="SVN220" s="76"/>
      <c r="SVO220" s="76"/>
      <c r="SVP220" s="76"/>
      <c r="SVQ220" s="76"/>
      <c r="SVR220" s="76"/>
      <c r="SVS220" s="76"/>
      <c r="SVT220" s="76"/>
      <c r="SVU220" s="76"/>
      <c r="SVV220" s="76"/>
      <c r="SVW220" s="76"/>
      <c r="SVX220" s="76"/>
      <c r="SVY220" s="76"/>
      <c r="SVZ220" s="76"/>
      <c r="SWA220" s="76"/>
      <c r="SWB220" s="76"/>
      <c r="SWC220" s="76"/>
      <c r="SWD220" s="76"/>
      <c r="SWE220" s="76"/>
      <c r="SWF220" s="76"/>
      <c r="SWG220" s="76"/>
      <c r="SWH220" s="76"/>
      <c r="SWI220" s="76"/>
      <c r="SWJ220" s="76"/>
      <c r="SWK220" s="76"/>
      <c r="SWL220" s="76"/>
      <c r="SWM220" s="76"/>
      <c r="SWN220" s="76"/>
      <c r="SWO220" s="76"/>
      <c r="SWP220" s="76"/>
      <c r="SWQ220" s="76"/>
      <c r="SWR220" s="76"/>
      <c r="SWS220" s="76"/>
      <c r="SWT220" s="76"/>
      <c r="SWU220" s="76"/>
      <c r="SWV220" s="76"/>
      <c r="SWW220" s="76"/>
      <c r="SWX220" s="76"/>
      <c r="SWY220" s="76"/>
      <c r="SWZ220" s="76"/>
      <c r="SXA220" s="76"/>
      <c r="SXB220" s="76"/>
      <c r="SXC220" s="76"/>
      <c r="SXD220" s="76"/>
      <c r="SXE220" s="76"/>
      <c r="SXF220" s="76"/>
      <c r="SXG220" s="76"/>
      <c r="SXH220" s="76"/>
      <c r="SXI220" s="76"/>
      <c r="SXJ220" s="76"/>
      <c r="SXK220" s="76"/>
      <c r="SXL220" s="76"/>
      <c r="SXM220" s="76"/>
      <c r="SXN220" s="76"/>
      <c r="SXO220" s="76"/>
      <c r="SXP220" s="76"/>
      <c r="SXQ220" s="76"/>
      <c r="SXR220" s="76"/>
      <c r="SXS220" s="76"/>
      <c r="SXT220" s="76"/>
      <c r="SXU220" s="76"/>
      <c r="SXV220" s="76"/>
      <c r="SXW220" s="76"/>
      <c r="SXX220" s="76"/>
      <c r="SXY220" s="76"/>
      <c r="SXZ220" s="76"/>
      <c r="SYA220" s="76"/>
      <c r="SYB220" s="76"/>
      <c r="SYC220" s="76"/>
      <c r="SYD220" s="76"/>
      <c r="SYE220" s="76"/>
      <c r="SYF220" s="76"/>
      <c r="SYG220" s="76"/>
      <c r="SYH220" s="76"/>
      <c r="SYI220" s="76"/>
      <c r="SYJ220" s="76"/>
      <c r="SYK220" s="76"/>
      <c r="SYL220" s="76"/>
      <c r="SYM220" s="76"/>
      <c r="SYN220" s="76"/>
      <c r="SYO220" s="76"/>
      <c r="SYP220" s="76"/>
      <c r="SYQ220" s="76"/>
      <c r="SYR220" s="76"/>
      <c r="SYS220" s="76"/>
      <c r="SYT220" s="76"/>
      <c r="SYU220" s="76"/>
      <c r="SYV220" s="76"/>
      <c r="SYW220" s="76"/>
      <c r="SYX220" s="76"/>
      <c r="SYY220" s="76"/>
      <c r="SYZ220" s="76"/>
      <c r="SZA220" s="76"/>
      <c r="SZB220" s="76"/>
      <c r="SZC220" s="76"/>
      <c r="SZD220" s="76"/>
      <c r="SZE220" s="76"/>
      <c r="SZF220" s="76"/>
      <c r="SZG220" s="76"/>
      <c r="SZH220" s="76"/>
      <c r="SZI220" s="76"/>
      <c r="SZJ220" s="76"/>
      <c r="SZK220" s="76"/>
      <c r="SZL220" s="76"/>
      <c r="SZM220" s="76"/>
      <c r="SZN220" s="76"/>
      <c r="SZO220" s="76"/>
      <c r="SZP220" s="76"/>
      <c r="SZQ220" s="76"/>
      <c r="SZR220" s="76"/>
      <c r="SZS220" s="76"/>
      <c r="SZT220" s="76"/>
      <c r="SZU220" s="76"/>
      <c r="SZV220" s="76"/>
      <c r="SZW220" s="76"/>
      <c r="SZX220" s="76"/>
      <c r="SZY220" s="76"/>
      <c r="SZZ220" s="76"/>
      <c r="TAA220" s="76"/>
      <c r="TAB220" s="76"/>
      <c r="TAC220" s="76"/>
      <c r="TAD220" s="76"/>
      <c r="TAE220" s="76"/>
      <c r="TAF220" s="76"/>
      <c r="TAG220" s="76"/>
      <c r="TAH220" s="76"/>
      <c r="TAI220" s="76"/>
      <c r="TAJ220" s="76"/>
      <c r="TAK220" s="76"/>
      <c r="TAL220" s="76"/>
      <c r="TAM220" s="76"/>
      <c r="TAN220" s="76"/>
      <c r="TAO220" s="76"/>
      <c r="TAP220" s="76"/>
      <c r="TAQ220" s="76"/>
      <c r="TAR220" s="76"/>
      <c r="TAS220" s="76"/>
      <c r="TAT220" s="76"/>
      <c r="TAU220" s="76"/>
      <c r="TAV220" s="76"/>
      <c r="TAW220" s="76"/>
      <c r="TAX220" s="76"/>
      <c r="TAY220" s="76"/>
      <c r="TAZ220" s="76"/>
      <c r="TBA220" s="76"/>
      <c r="TBB220" s="76"/>
      <c r="TBC220" s="76"/>
      <c r="TBD220" s="76"/>
      <c r="TBE220" s="76"/>
      <c r="TBF220" s="76"/>
      <c r="TBG220" s="76"/>
      <c r="TBH220" s="76"/>
      <c r="TBI220" s="76"/>
      <c r="TBJ220" s="76"/>
      <c r="TBK220" s="76"/>
      <c r="TBL220" s="76"/>
      <c r="TBM220" s="76"/>
      <c r="TBN220" s="76"/>
      <c r="TBO220" s="76"/>
      <c r="TBP220" s="76"/>
      <c r="TBQ220" s="76"/>
      <c r="TBR220" s="76"/>
      <c r="TBS220" s="76"/>
      <c r="TBT220" s="76"/>
      <c r="TBU220" s="76"/>
      <c r="TBV220" s="76"/>
      <c r="TBW220" s="76"/>
      <c r="TBX220" s="76"/>
      <c r="TBY220" s="76"/>
      <c r="TBZ220" s="76"/>
      <c r="TCA220" s="76"/>
      <c r="TCB220" s="76"/>
      <c r="TCC220" s="76"/>
      <c r="TCD220" s="76"/>
      <c r="TCE220" s="76"/>
      <c r="TCF220" s="76"/>
      <c r="TCG220" s="76"/>
      <c r="TCH220" s="76"/>
      <c r="TCI220" s="76"/>
      <c r="TCJ220" s="76"/>
      <c r="TCK220" s="76"/>
      <c r="TCL220" s="76"/>
      <c r="TCM220" s="76"/>
      <c r="TCN220" s="76"/>
      <c r="TCO220" s="76"/>
      <c r="TCP220" s="76"/>
      <c r="TCQ220" s="76"/>
      <c r="TCR220" s="76"/>
      <c r="TCS220" s="76"/>
      <c r="TCT220" s="76"/>
      <c r="TCU220" s="76"/>
      <c r="TCV220" s="76"/>
      <c r="TCW220" s="76"/>
      <c r="TCX220" s="76"/>
      <c r="TCY220" s="76"/>
      <c r="TCZ220" s="76"/>
      <c r="TDA220" s="76"/>
      <c r="TDB220" s="76"/>
      <c r="TDC220" s="76"/>
      <c r="TDD220" s="76"/>
      <c r="TDE220" s="76"/>
      <c r="TDF220" s="76"/>
      <c r="TDG220" s="76"/>
      <c r="TDH220" s="76"/>
      <c r="TDI220" s="76"/>
      <c r="TDJ220" s="76"/>
      <c r="TDK220" s="76"/>
      <c r="TDL220" s="76"/>
      <c r="TDM220" s="76"/>
      <c r="TDN220" s="76"/>
      <c r="TDO220" s="76"/>
      <c r="TDP220" s="76"/>
      <c r="TDQ220" s="76"/>
      <c r="TDR220" s="76"/>
      <c r="TDS220" s="76"/>
      <c r="TDT220" s="76"/>
      <c r="TDU220" s="76"/>
      <c r="TDV220" s="76"/>
      <c r="TDW220" s="76"/>
      <c r="TDX220" s="76"/>
      <c r="TDY220" s="76"/>
      <c r="TDZ220" s="76"/>
      <c r="TEA220" s="76"/>
      <c r="TEB220" s="76"/>
      <c r="TEC220" s="76"/>
      <c r="TED220" s="76"/>
      <c r="TEE220" s="76"/>
      <c r="TEF220" s="76"/>
      <c r="TEG220" s="76"/>
      <c r="TEH220" s="76"/>
      <c r="TEI220" s="76"/>
      <c r="TEJ220" s="76"/>
      <c r="TEK220" s="76"/>
      <c r="TEL220" s="76"/>
      <c r="TEM220" s="76"/>
      <c r="TEN220" s="76"/>
      <c r="TEO220" s="76"/>
      <c r="TEP220" s="76"/>
      <c r="TEQ220" s="76"/>
      <c r="TER220" s="76"/>
      <c r="TES220" s="76"/>
      <c r="TET220" s="76"/>
      <c r="TEU220" s="76"/>
      <c r="TEV220" s="76"/>
      <c r="TEW220" s="76"/>
      <c r="TEX220" s="76"/>
      <c r="TEY220" s="76"/>
      <c r="TEZ220" s="76"/>
      <c r="TFA220" s="76"/>
      <c r="TFB220" s="76"/>
      <c r="TFC220" s="76"/>
      <c r="TFD220" s="76"/>
      <c r="TFE220" s="76"/>
      <c r="TFF220" s="76"/>
      <c r="TFG220" s="76"/>
      <c r="TFH220" s="76"/>
      <c r="TFI220" s="76"/>
      <c r="TFJ220" s="76"/>
      <c r="TFK220" s="76"/>
      <c r="TFL220" s="76"/>
      <c r="TFM220" s="76"/>
      <c r="TFN220" s="76"/>
      <c r="TFO220" s="76"/>
      <c r="TFP220" s="76"/>
      <c r="TFQ220" s="76"/>
      <c r="TFR220" s="76"/>
      <c r="TFS220" s="76"/>
      <c r="TFT220" s="76"/>
      <c r="TFU220" s="76"/>
      <c r="TFV220" s="76"/>
      <c r="TFW220" s="76"/>
      <c r="TFX220" s="76"/>
      <c r="TFY220" s="76"/>
      <c r="TFZ220" s="76"/>
      <c r="TGA220" s="76"/>
      <c r="TGB220" s="76"/>
      <c r="TGC220" s="76"/>
      <c r="TGD220" s="76"/>
      <c r="TGE220" s="76"/>
      <c r="TGF220" s="76"/>
      <c r="TGG220" s="76"/>
      <c r="TGH220" s="76"/>
      <c r="TGI220" s="76"/>
      <c r="TGJ220" s="76"/>
      <c r="TGK220" s="76"/>
      <c r="TGL220" s="76"/>
      <c r="TGM220" s="76"/>
      <c r="TGN220" s="76"/>
      <c r="TGO220" s="76"/>
      <c r="TGP220" s="76"/>
      <c r="TGQ220" s="76"/>
      <c r="TGR220" s="76"/>
      <c r="TGS220" s="76"/>
      <c r="TGT220" s="76"/>
      <c r="TGU220" s="76"/>
      <c r="TGV220" s="76"/>
      <c r="TGW220" s="76"/>
      <c r="TGX220" s="76"/>
      <c r="TGY220" s="76"/>
      <c r="TGZ220" s="76"/>
      <c r="THA220" s="76"/>
      <c r="THB220" s="76"/>
      <c r="THC220" s="76"/>
      <c r="THD220" s="76"/>
      <c r="THE220" s="76"/>
      <c r="THF220" s="76"/>
      <c r="THG220" s="76"/>
      <c r="THH220" s="76"/>
      <c r="THI220" s="76"/>
      <c r="THJ220" s="76"/>
      <c r="THK220" s="76"/>
      <c r="THL220" s="76"/>
      <c r="THM220" s="76"/>
      <c r="THN220" s="76"/>
      <c r="THO220" s="76"/>
      <c r="THP220" s="76"/>
      <c r="THQ220" s="76"/>
      <c r="THR220" s="76"/>
      <c r="THS220" s="76"/>
      <c r="THT220" s="76"/>
      <c r="THU220" s="76"/>
      <c r="THV220" s="76"/>
      <c r="THW220" s="76"/>
      <c r="THX220" s="76"/>
      <c r="THY220" s="76"/>
      <c r="THZ220" s="76"/>
      <c r="TIA220" s="76"/>
      <c r="TIB220" s="76"/>
      <c r="TIC220" s="76"/>
      <c r="TID220" s="76"/>
      <c r="TIE220" s="76"/>
      <c r="TIF220" s="76"/>
      <c r="TIG220" s="76"/>
      <c r="TIH220" s="76"/>
      <c r="TII220" s="76"/>
      <c r="TIJ220" s="76"/>
      <c r="TIK220" s="76"/>
      <c r="TIL220" s="76"/>
      <c r="TIM220" s="76"/>
      <c r="TIN220" s="76"/>
      <c r="TIO220" s="76"/>
      <c r="TIP220" s="76"/>
      <c r="TIQ220" s="76"/>
      <c r="TIR220" s="76"/>
      <c r="TIS220" s="76"/>
      <c r="TIT220" s="76"/>
      <c r="TIU220" s="76"/>
      <c r="TIV220" s="76"/>
      <c r="TIW220" s="76"/>
      <c r="TIX220" s="76"/>
      <c r="TIY220" s="76"/>
      <c r="TIZ220" s="76"/>
      <c r="TJA220" s="76"/>
      <c r="TJB220" s="76"/>
      <c r="TJC220" s="76"/>
      <c r="TJD220" s="76"/>
      <c r="TJE220" s="76"/>
      <c r="TJF220" s="76"/>
      <c r="TJG220" s="76"/>
      <c r="TJH220" s="76"/>
      <c r="TJI220" s="76"/>
      <c r="TJJ220" s="76"/>
      <c r="TJK220" s="76"/>
      <c r="TJL220" s="76"/>
      <c r="TJM220" s="76"/>
      <c r="TJN220" s="76"/>
      <c r="TJO220" s="76"/>
      <c r="TJP220" s="76"/>
      <c r="TJQ220" s="76"/>
      <c r="TJR220" s="76"/>
      <c r="TJS220" s="76"/>
      <c r="TJT220" s="76"/>
      <c r="TJU220" s="76"/>
      <c r="TJV220" s="76"/>
      <c r="TJW220" s="76"/>
      <c r="TJX220" s="76"/>
      <c r="TJY220" s="76"/>
      <c r="TJZ220" s="76"/>
      <c r="TKA220" s="76"/>
      <c r="TKB220" s="76"/>
      <c r="TKC220" s="76"/>
      <c r="TKD220" s="76"/>
      <c r="TKE220" s="76"/>
      <c r="TKF220" s="76"/>
      <c r="TKG220" s="76"/>
      <c r="TKH220" s="76"/>
      <c r="TKI220" s="76"/>
      <c r="TKJ220" s="76"/>
      <c r="TKK220" s="76"/>
      <c r="TKL220" s="76"/>
      <c r="TKM220" s="76"/>
      <c r="TKN220" s="76"/>
      <c r="TKO220" s="76"/>
      <c r="TKP220" s="76"/>
      <c r="TKQ220" s="76"/>
      <c r="TKR220" s="76"/>
      <c r="TKS220" s="76"/>
      <c r="TKT220" s="76"/>
      <c r="TKU220" s="76"/>
      <c r="TKV220" s="76"/>
      <c r="TKW220" s="76"/>
      <c r="TKX220" s="76"/>
      <c r="TKY220" s="76"/>
      <c r="TKZ220" s="76"/>
      <c r="TLA220" s="76"/>
      <c r="TLB220" s="76"/>
      <c r="TLC220" s="76"/>
      <c r="TLD220" s="76"/>
      <c r="TLE220" s="76"/>
      <c r="TLF220" s="76"/>
      <c r="TLG220" s="76"/>
      <c r="TLH220" s="76"/>
      <c r="TLI220" s="76"/>
      <c r="TLJ220" s="76"/>
      <c r="TLK220" s="76"/>
      <c r="TLL220" s="76"/>
      <c r="TLM220" s="76"/>
      <c r="TLN220" s="76"/>
      <c r="TLO220" s="76"/>
      <c r="TLP220" s="76"/>
      <c r="TLQ220" s="76"/>
      <c r="TLR220" s="76"/>
      <c r="TLS220" s="76"/>
      <c r="TLT220" s="76"/>
      <c r="TLU220" s="76"/>
      <c r="TLV220" s="76"/>
      <c r="TLW220" s="76"/>
      <c r="TLX220" s="76"/>
      <c r="TLY220" s="76"/>
      <c r="TLZ220" s="76"/>
      <c r="TMA220" s="76"/>
      <c r="TMB220" s="76"/>
      <c r="TMC220" s="76"/>
      <c r="TMD220" s="76"/>
      <c r="TME220" s="76"/>
      <c r="TMF220" s="76"/>
      <c r="TMG220" s="76"/>
      <c r="TMH220" s="76"/>
      <c r="TMI220" s="76"/>
      <c r="TMJ220" s="76"/>
      <c r="TMK220" s="76"/>
      <c r="TML220" s="76"/>
      <c r="TMM220" s="76"/>
      <c r="TMN220" s="76"/>
      <c r="TMO220" s="76"/>
      <c r="TMP220" s="76"/>
      <c r="TMQ220" s="76"/>
      <c r="TMR220" s="76"/>
      <c r="TMS220" s="76"/>
      <c r="TMT220" s="76"/>
      <c r="TMU220" s="76"/>
      <c r="TMV220" s="76"/>
      <c r="TMW220" s="76"/>
      <c r="TMX220" s="76"/>
      <c r="TMY220" s="76"/>
      <c r="TMZ220" s="76"/>
      <c r="TNA220" s="76"/>
      <c r="TNB220" s="76"/>
      <c r="TNC220" s="76"/>
      <c r="TND220" s="76"/>
      <c r="TNE220" s="76"/>
      <c r="TNF220" s="76"/>
      <c r="TNG220" s="76"/>
      <c r="TNH220" s="76"/>
      <c r="TNI220" s="76"/>
      <c r="TNJ220" s="76"/>
      <c r="TNK220" s="76"/>
      <c r="TNL220" s="76"/>
      <c r="TNM220" s="76"/>
      <c r="TNN220" s="76"/>
      <c r="TNO220" s="76"/>
      <c r="TNP220" s="76"/>
      <c r="TNQ220" s="76"/>
      <c r="TNR220" s="76"/>
      <c r="TNS220" s="76"/>
      <c r="TNT220" s="76"/>
      <c r="TNU220" s="76"/>
      <c r="TNV220" s="76"/>
      <c r="TNW220" s="76"/>
      <c r="TNX220" s="76"/>
      <c r="TNY220" s="76"/>
      <c r="TNZ220" s="76"/>
      <c r="TOA220" s="76"/>
      <c r="TOB220" s="76"/>
      <c r="TOC220" s="76"/>
      <c r="TOD220" s="76"/>
      <c r="TOE220" s="76"/>
      <c r="TOF220" s="76"/>
      <c r="TOG220" s="76"/>
      <c r="TOH220" s="76"/>
      <c r="TOI220" s="76"/>
      <c r="TOJ220" s="76"/>
      <c r="TOK220" s="76"/>
      <c r="TOL220" s="76"/>
      <c r="TOM220" s="76"/>
      <c r="TON220" s="76"/>
      <c r="TOO220" s="76"/>
      <c r="TOP220" s="76"/>
      <c r="TOQ220" s="76"/>
      <c r="TOR220" s="76"/>
      <c r="TOS220" s="76"/>
      <c r="TOT220" s="76"/>
      <c r="TOU220" s="76"/>
      <c r="TOV220" s="76"/>
      <c r="TOW220" s="76"/>
      <c r="TOX220" s="76"/>
      <c r="TOY220" s="76"/>
      <c r="TOZ220" s="76"/>
      <c r="TPA220" s="76"/>
      <c r="TPB220" s="76"/>
      <c r="TPC220" s="76"/>
      <c r="TPD220" s="76"/>
      <c r="TPE220" s="76"/>
      <c r="TPF220" s="76"/>
      <c r="TPG220" s="76"/>
      <c r="TPH220" s="76"/>
      <c r="TPI220" s="76"/>
      <c r="TPJ220" s="76"/>
      <c r="TPK220" s="76"/>
      <c r="TPL220" s="76"/>
      <c r="TPM220" s="76"/>
      <c r="TPN220" s="76"/>
      <c r="TPO220" s="76"/>
      <c r="TPP220" s="76"/>
      <c r="TPQ220" s="76"/>
      <c r="TPR220" s="76"/>
      <c r="TPS220" s="76"/>
      <c r="TPT220" s="76"/>
      <c r="TPU220" s="76"/>
      <c r="TPV220" s="76"/>
      <c r="TPW220" s="76"/>
      <c r="TPX220" s="76"/>
      <c r="TPY220" s="76"/>
      <c r="TPZ220" s="76"/>
      <c r="TQA220" s="76"/>
      <c r="TQB220" s="76"/>
      <c r="TQC220" s="76"/>
      <c r="TQD220" s="76"/>
      <c r="TQE220" s="76"/>
      <c r="TQF220" s="76"/>
      <c r="TQG220" s="76"/>
      <c r="TQH220" s="76"/>
      <c r="TQI220" s="76"/>
      <c r="TQJ220" s="76"/>
      <c r="TQK220" s="76"/>
      <c r="TQL220" s="76"/>
      <c r="TQM220" s="76"/>
      <c r="TQN220" s="76"/>
      <c r="TQO220" s="76"/>
      <c r="TQP220" s="76"/>
      <c r="TQQ220" s="76"/>
      <c r="TQR220" s="76"/>
      <c r="TQS220" s="76"/>
      <c r="TQT220" s="76"/>
      <c r="TQU220" s="76"/>
      <c r="TQV220" s="76"/>
      <c r="TQW220" s="76"/>
      <c r="TQX220" s="76"/>
      <c r="TQY220" s="76"/>
      <c r="TQZ220" s="76"/>
      <c r="TRA220" s="76"/>
      <c r="TRB220" s="76"/>
      <c r="TRC220" s="76"/>
      <c r="TRD220" s="76"/>
      <c r="TRE220" s="76"/>
      <c r="TRF220" s="76"/>
      <c r="TRG220" s="76"/>
      <c r="TRH220" s="76"/>
      <c r="TRI220" s="76"/>
      <c r="TRJ220" s="76"/>
      <c r="TRK220" s="76"/>
      <c r="TRL220" s="76"/>
      <c r="TRM220" s="76"/>
      <c r="TRN220" s="76"/>
      <c r="TRO220" s="76"/>
      <c r="TRP220" s="76"/>
      <c r="TRQ220" s="76"/>
      <c r="TRR220" s="76"/>
      <c r="TRS220" s="76"/>
      <c r="TRT220" s="76"/>
      <c r="TRU220" s="76"/>
      <c r="TRV220" s="76"/>
      <c r="TRW220" s="76"/>
      <c r="TRX220" s="76"/>
      <c r="TRY220" s="76"/>
      <c r="TRZ220" s="76"/>
      <c r="TSA220" s="76"/>
      <c r="TSB220" s="76"/>
      <c r="TSC220" s="76"/>
      <c r="TSD220" s="76"/>
      <c r="TSE220" s="76"/>
      <c r="TSF220" s="76"/>
      <c r="TSG220" s="76"/>
      <c r="TSH220" s="76"/>
      <c r="TSI220" s="76"/>
      <c r="TSJ220" s="76"/>
      <c r="TSK220" s="76"/>
      <c r="TSL220" s="76"/>
      <c r="TSM220" s="76"/>
      <c r="TSN220" s="76"/>
      <c r="TSO220" s="76"/>
      <c r="TSP220" s="76"/>
      <c r="TSQ220" s="76"/>
      <c r="TSR220" s="76"/>
      <c r="TSS220" s="76"/>
      <c r="TST220" s="76"/>
      <c r="TSU220" s="76"/>
      <c r="TSV220" s="76"/>
      <c r="TSW220" s="76"/>
      <c r="TSX220" s="76"/>
      <c r="TSY220" s="76"/>
      <c r="TSZ220" s="76"/>
      <c r="TTA220" s="76"/>
      <c r="TTB220" s="76"/>
      <c r="TTC220" s="76"/>
      <c r="TTD220" s="76"/>
      <c r="TTE220" s="76"/>
      <c r="TTF220" s="76"/>
      <c r="TTG220" s="76"/>
      <c r="TTH220" s="76"/>
      <c r="TTI220" s="76"/>
      <c r="TTJ220" s="76"/>
      <c r="TTK220" s="76"/>
      <c r="TTL220" s="76"/>
      <c r="TTM220" s="76"/>
      <c r="TTN220" s="76"/>
      <c r="TTO220" s="76"/>
      <c r="TTP220" s="76"/>
      <c r="TTQ220" s="76"/>
      <c r="TTR220" s="76"/>
      <c r="TTS220" s="76"/>
      <c r="TTT220" s="76"/>
      <c r="TTU220" s="76"/>
      <c r="TTV220" s="76"/>
      <c r="TTW220" s="76"/>
      <c r="TTX220" s="76"/>
      <c r="TTY220" s="76"/>
      <c r="TTZ220" s="76"/>
      <c r="TUA220" s="76"/>
      <c r="TUB220" s="76"/>
      <c r="TUC220" s="76"/>
      <c r="TUD220" s="76"/>
      <c r="TUE220" s="76"/>
      <c r="TUF220" s="76"/>
      <c r="TUG220" s="76"/>
      <c r="TUH220" s="76"/>
      <c r="TUI220" s="76"/>
      <c r="TUJ220" s="76"/>
      <c r="TUK220" s="76"/>
      <c r="TUL220" s="76"/>
      <c r="TUM220" s="76"/>
      <c r="TUN220" s="76"/>
      <c r="TUO220" s="76"/>
      <c r="TUP220" s="76"/>
      <c r="TUQ220" s="76"/>
      <c r="TUR220" s="76"/>
      <c r="TUS220" s="76"/>
      <c r="TUT220" s="76"/>
      <c r="TUU220" s="76"/>
      <c r="TUV220" s="76"/>
      <c r="TUW220" s="76"/>
      <c r="TUX220" s="76"/>
      <c r="TUY220" s="76"/>
      <c r="TUZ220" s="76"/>
      <c r="TVA220" s="76"/>
      <c r="TVB220" s="76"/>
      <c r="TVC220" s="76"/>
      <c r="TVD220" s="76"/>
      <c r="TVE220" s="76"/>
      <c r="TVF220" s="76"/>
      <c r="TVG220" s="76"/>
      <c r="TVH220" s="76"/>
      <c r="TVI220" s="76"/>
      <c r="TVJ220" s="76"/>
      <c r="TVK220" s="76"/>
      <c r="TVL220" s="76"/>
      <c r="TVM220" s="76"/>
      <c r="TVN220" s="76"/>
      <c r="TVO220" s="76"/>
      <c r="TVP220" s="76"/>
      <c r="TVQ220" s="76"/>
      <c r="TVR220" s="76"/>
      <c r="TVS220" s="76"/>
      <c r="TVT220" s="76"/>
      <c r="TVU220" s="76"/>
      <c r="TVV220" s="76"/>
      <c r="TVW220" s="76"/>
      <c r="TVX220" s="76"/>
      <c r="TVY220" s="76"/>
      <c r="TVZ220" s="76"/>
      <c r="TWA220" s="76"/>
      <c r="TWB220" s="76"/>
      <c r="TWC220" s="76"/>
      <c r="TWD220" s="76"/>
      <c r="TWE220" s="76"/>
      <c r="TWF220" s="76"/>
      <c r="TWG220" s="76"/>
      <c r="TWH220" s="76"/>
      <c r="TWI220" s="76"/>
      <c r="TWJ220" s="76"/>
      <c r="TWK220" s="76"/>
      <c r="TWL220" s="76"/>
      <c r="TWM220" s="76"/>
      <c r="TWN220" s="76"/>
      <c r="TWO220" s="76"/>
      <c r="TWP220" s="76"/>
      <c r="TWQ220" s="76"/>
      <c r="TWR220" s="76"/>
      <c r="TWS220" s="76"/>
      <c r="TWT220" s="76"/>
      <c r="TWU220" s="76"/>
      <c r="TWV220" s="76"/>
      <c r="TWW220" s="76"/>
      <c r="TWX220" s="76"/>
      <c r="TWY220" s="76"/>
      <c r="TWZ220" s="76"/>
      <c r="TXA220" s="76"/>
      <c r="TXB220" s="76"/>
      <c r="TXC220" s="76"/>
      <c r="TXD220" s="76"/>
      <c r="TXE220" s="76"/>
      <c r="TXF220" s="76"/>
      <c r="TXG220" s="76"/>
      <c r="TXH220" s="76"/>
      <c r="TXI220" s="76"/>
      <c r="TXJ220" s="76"/>
      <c r="TXK220" s="76"/>
      <c r="TXL220" s="76"/>
      <c r="TXM220" s="76"/>
      <c r="TXN220" s="76"/>
      <c r="TXO220" s="76"/>
      <c r="TXP220" s="76"/>
      <c r="TXQ220" s="76"/>
      <c r="TXR220" s="76"/>
      <c r="TXS220" s="76"/>
      <c r="TXT220" s="76"/>
      <c r="TXU220" s="76"/>
      <c r="TXV220" s="76"/>
      <c r="TXW220" s="76"/>
      <c r="TXX220" s="76"/>
      <c r="TXY220" s="76"/>
      <c r="TXZ220" s="76"/>
      <c r="TYA220" s="76"/>
      <c r="TYB220" s="76"/>
      <c r="TYC220" s="76"/>
      <c r="TYD220" s="76"/>
      <c r="TYE220" s="76"/>
      <c r="TYF220" s="76"/>
      <c r="TYG220" s="76"/>
      <c r="TYH220" s="76"/>
      <c r="TYI220" s="76"/>
      <c r="TYJ220" s="76"/>
      <c r="TYK220" s="76"/>
      <c r="TYL220" s="76"/>
      <c r="TYM220" s="76"/>
      <c r="TYN220" s="76"/>
      <c r="TYO220" s="76"/>
      <c r="TYP220" s="76"/>
      <c r="TYQ220" s="76"/>
      <c r="TYR220" s="76"/>
      <c r="TYS220" s="76"/>
      <c r="TYT220" s="76"/>
      <c r="TYU220" s="76"/>
      <c r="TYV220" s="76"/>
      <c r="TYW220" s="76"/>
      <c r="TYX220" s="76"/>
      <c r="TYY220" s="76"/>
      <c r="TYZ220" s="76"/>
      <c r="TZA220" s="76"/>
      <c r="TZB220" s="76"/>
      <c r="TZC220" s="76"/>
      <c r="TZD220" s="76"/>
      <c r="TZE220" s="76"/>
      <c r="TZF220" s="76"/>
      <c r="TZG220" s="76"/>
      <c r="TZH220" s="76"/>
      <c r="TZI220" s="76"/>
      <c r="TZJ220" s="76"/>
      <c r="TZK220" s="76"/>
      <c r="TZL220" s="76"/>
      <c r="TZM220" s="76"/>
      <c r="TZN220" s="76"/>
      <c r="TZO220" s="76"/>
      <c r="TZP220" s="76"/>
      <c r="TZQ220" s="76"/>
      <c r="TZR220" s="76"/>
      <c r="TZS220" s="76"/>
      <c r="TZT220" s="76"/>
      <c r="TZU220" s="76"/>
      <c r="TZV220" s="76"/>
      <c r="TZW220" s="76"/>
      <c r="TZX220" s="76"/>
      <c r="TZY220" s="76"/>
      <c r="TZZ220" s="76"/>
      <c r="UAA220" s="76"/>
      <c r="UAB220" s="76"/>
      <c r="UAC220" s="76"/>
      <c r="UAD220" s="76"/>
      <c r="UAE220" s="76"/>
      <c r="UAF220" s="76"/>
      <c r="UAG220" s="76"/>
      <c r="UAH220" s="76"/>
      <c r="UAI220" s="76"/>
      <c r="UAJ220" s="76"/>
      <c r="UAK220" s="76"/>
      <c r="UAL220" s="76"/>
      <c r="UAM220" s="76"/>
      <c r="UAN220" s="76"/>
      <c r="UAO220" s="76"/>
      <c r="UAP220" s="76"/>
      <c r="UAQ220" s="76"/>
      <c r="UAR220" s="76"/>
      <c r="UAS220" s="76"/>
      <c r="UAT220" s="76"/>
      <c r="UAU220" s="76"/>
      <c r="UAV220" s="76"/>
      <c r="UAW220" s="76"/>
      <c r="UAX220" s="76"/>
      <c r="UAY220" s="76"/>
      <c r="UAZ220" s="76"/>
      <c r="UBA220" s="76"/>
      <c r="UBB220" s="76"/>
      <c r="UBC220" s="76"/>
      <c r="UBD220" s="76"/>
      <c r="UBE220" s="76"/>
      <c r="UBF220" s="76"/>
      <c r="UBG220" s="76"/>
      <c r="UBH220" s="76"/>
      <c r="UBI220" s="76"/>
      <c r="UBJ220" s="76"/>
      <c r="UBK220" s="76"/>
      <c r="UBL220" s="76"/>
      <c r="UBM220" s="76"/>
      <c r="UBN220" s="76"/>
      <c r="UBO220" s="76"/>
      <c r="UBP220" s="76"/>
      <c r="UBQ220" s="76"/>
      <c r="UBR220" s="76"/>
      <c r="UBS220" s="76"/>
      <c r="UBT220" s="76"/>
      <c r="UBU220" s="76"/>
      <c r="UBV220" s="76"/>
      <c r="UBW220" s="76"/>
      <c r="UBX220" s="76"/>
      <c r="UBY220" s="76"/>
      <c r="UBZ220" s="76"/>
      <c r="UCA220" s="76"/>
      <c r="UCB220" s="76"/>
      <c r="UCC220" s="76"/>
      <c r="UCD220" s="76"/>
      <c r="UCE220" s="76"/>
      <c r="UCF220" s="76"/>
      <c r="UCG220" s="76"/>
      <c r="UCH220" s="76"/>
      <c r="UCI220" s="76"/>
      <c r="UCJ220" s="76"/>
      <c r="UCK220" s="76"/>
      <c r="UCL220" s="76"/>
      <c r="UCM220" s="76"/>
      <c r="UCN220" s="76"/>
      <c r="UCO220" s="76"/>
      <c r="UCP220" s="76"/>
      <c r="UCQ220" s="76"/>
      <c r="UCR220" s="76"/>
      <c r="UCS220" s="76"/>
      <c r="UCT220" s="76"/>
      <c r="UCU220" s="76"/>
      <c r="UCV220" s="76"/>
      <c r="UCW220" s="76"/>
      <c r="UCX220" s="76"/>
      <c r="UCY220" s="76"/>
      <c r="UCZ220" s="76"/>
      <c r="UDA220" s="76"/>
      <c r="UDB220" s="76"/>
      <c r="UDC220" s="76"/>
      <c r="UDD220" s="76"/>
      <c r="UDE220" s="76"/>
      <c r="UDF220" s="76"/>
      <c r="UDG220" s="76"/>
      <c r="UDH220" s="76"/>
      <c r="UDI220" s="76"/>
      <c r="UDJ220" s="76"/>
      <c r="UDK220" s="76"/>
      <c r="UDL220" s="76"/>
      <c r="UDM220" s="76"/>
      <c r="UDN220" s="76"/>
      <c r="UDO220" s="76"/>
      <c r="UDP220" s="76"/>
      <c r="UDQ220" s="76"/>
      <c r="UDR220" s="76"/>
      <c r="UDS220" s="76"/>
      <c r="UDT220" s="76"/>
      <c r="UDU220" s="76"/>
      <c r="UDV220" s="76"/>
      <c r="UDW220" s="76"/>
      <c r="UDX220" s="76"/>
      <c r="UDY220" s="76"/>
      <c r="UDZ220" s="76"/>
      <c r="UEA220" s="76"/>
      <c r="UEB220" s="76"/>
      <c r="UEC220" s="76"/>
      <c r="UED220" s="76"/>
      <c r="UEE220" s="76"/>
      <c r="UEF220" s="76"/>
      <c r="UEG220" s="76"/>
      <c r="UEH220" s="76"/>
      <c r="UEI220" s="76"/>
      <c r="UEJ220" s="76"/>
      <c r="UEK220" s="76"/>
      <c r="UEL220" s="76"/>
      <c r="UEM220" s="76"/>
      <c r="UEN220" s="76"/>
      <c r="UEO220" s="76"/>
      <c r="UEP220" s="76"/>
      <c r="UEQ220" s="76"/>
      <c r="UER220" s="76"/>
      <c r="UES220" s="76"/>
      <c r="UET220" s="76"/>
      <c r="UEU220" s="76"/>
      <c r="UEV220" s="76"/>
      <c r="UEW220" s="76"/>
      <c r="UEX220" s="76"/>
      <c r="UEY220" s="76"/>
      <c r="UEZ220" s="76"/>
      <c r="UFA220" s="76"/>
      <c r="UFB220" s="76"/>
      <c r="UFC220" s="76"/>
      <c r="UFD220" s="76"/>
      <c r="UFE220" s="76"/>
      <c r="UFF220" s="76"/>
      <c r="UFG220" s="76"/>
      <c r="UFH220" s="76"/>
      <c r="UFI220" s="76"/>
      <c r="UFJ220" s="76"/>
      <c r="UFK220" s="76"/>
      <c r="UFL220" s="76"/>
      <c r="UFM220" s="76"/>
      <c r="UFN220" s="76"/>
      <c r="UFO220" s="76"/>
      <c r="UFP220" s="76"/>
      <c r="UFQ220" s="76"/>
      <c r="UFR220" s="76"/>
      <c r="UFS220" s="76"/>
      <c r="UFT220" s="76"/>
      <c r="UFU220" s="76"/>
      <c r="UFV220" s="76"/>
      <c r="UFW220" s="76"/>
      <c r="UFX220" s="76"/>
      <c r="UFY220" s="76"/>
      <c r="UFZ220" s="76"/>
      <c r="UGA220" s="76"/>
      <c r="UGB220" s="76"/>
      <c r="UGC220" s="76"/>
      <c r="UGD220" s="76"/>
      <c r="UGE220" s="76"/>
      <c r="UGF220" s="76"/>
      <c r="UGG220" s="76"/>
      <c r="UGH220" s="76"/>
      <c r="UGI220" s="76"/>
      <c r="UGJ220" s="76"/>
      <c r="UGK220" s="76"/>
      <c r="UGL220" s="76"/>
      <c r="UGM220" s="76"/>
      <c r="UGN220" s="76"/>
      <c r="UGO220" s="76"/>
      <c r="UGP220" s="76"/>
      <c r="UGQ220" s="76"/>
      <c r="UGR220" s="76"/>
      <c r="UGS220" s="76"/>
      <c r="UGT220" s="76"/>
      <c r="UGU220" s="76"/>
      <c r="UGV220" s="76"/>
      <c r="UGW220" s="76"/>
      <c r="UGX220" s="76"/>
      <c r="UGY220" s="76"/>
      <c r="UGZ220" s="76"/>
      <c r="UHA220" s="76"/>
      <c r="UHB220" s="76"/>
      <c r="UHC220" s="76"/>
      <c r="UHD220" s="76"/>
      <c r="UHE220" s="76"/>
      <c r="UHF220" s="76"/>
      <c r="UHG220" s="76"/>
      <c r="UHH220" s="76"/>
      <c r="UHI220" s="76"/>
      <c r="UHJ220" s="76"/>
      <c r="UHK220" s="76"/>
      <c r="UHL220" s="76"/>
      <c r="UHM220" s="76"/>
      <c r="UHN220" s="76"/>
      <c r="UHO220" s="76"/>
      <c r="UHP220" s="76"/>
      <c r="UHQ220" s="76"/>
      <c r="UHR220" s="76"/>
      <c r="UHS220" s="76"/>
      <c r="UHT220" s="76"/>
      <c r="UHU220" s="76"/>
      <c r="UHV220" s="76"/>
      <c r="UHW220" s="76"/>
      <c r="UHX220" s="76"/>
      <c r="UHY220" s="76"/>
      <c r="UHZ220" s="76"/>
      <c r="UIA220" s="76"/>
      <c r="UIB220" s="76"/>
      <c r="UIC220" s="76"/>
      <c r="UID220" s="76"/>
      <c r="UIE220" s="76"/>
      <c r="UIF220" s="76"/>
      <c r="UIG220" s="76"/>
      <c r="UIH220" s="76"/>
      <c r="UII220" s="76"/>
      <c r="UIJ220" s="76"/>
      <c r="UIK220" s="76"/>
      <c r="UIL220" s="76"/>
      <c r="UIM220" s="76"/>
      <c r="UIN220" s="76"/>
      <c r="UIO220" s="76"/>
      <c r="UIP220" s="76"/>
      <c r="UIQ220" s="76"/>
      <c r="UIR220" s="76"/>
      <c r="UIS220" s="76"/>
      <c r="UIT220" s="76"/>
      <c r="UIU220" s="76"/>
      <c r="UIV220" s="76"/>
      <c r="UIW220" s="76"/>
      <c r="UIX220" s="76"/>
      <c r="UIY220" s="76"/>
      <c r="UIZ220" s="76"/>
      <c r="UJA220" s="76"/>
      <c r="UJB220" s="76"/>
      <c r="UJC220" s="76"/>
      <c r="UJD220" s="76"/>
      <c r="UJE220" s="76"/>
      <c r="UJF220" s="76"/>
      <c r="UJG220" s="76"/>
      <c r="UJH220" s="76"/>
      <c r="UJI220" s="76"/>
      <c r="UJJ220" s="76"/>
      <c r="UJK220" s="76"/>
      <c r="UJL220" s="76"/>
      <c r="UJM220" s="76"/>
      <c r="UJN220" s="76"/>
      <c r="UJO220" s="76"/>
      <c r="UJP220" s="76"/>
      <c r="UJQ220" s="76"/>
      <c r="UJR220" s="76"/>
      <c r="UJS220" s="76"/>
      <c r="UJT220" s="76"/>
      <c r="UJU220" s="76"/>
      <c r="UJV220" s="76"/>
      <c r="UJW220" s="76"/>
      <c r="UJX220" s="76"/>
      <c r="UJY220" s="76"/>
      <c r="UJZ220" s="76"/>
      <c r="UKA220" s="76"/>
      <c r="UKB220" s="76"/>
      <c r="UKC220" s="76"/>
      <c r="UKD220" s="76"/>
      <c r="UKE220" s="76"/>
      <c r="UKF220" s="76"/>
      <c r="UKG220" s="76"/>
      <c r="UKH220" s="76"/>
      <c r="UKI220" s="76"/>
      <c r="UKJ220" s="76"/>
      <c r="UKK220" s="76"/>
      <c r="UKL220" s="76"/>
      <c r="UKM220" s="76"/>
      <c r="UKN220" s="76"/>
      <c r="UKO220" s="76"/>
      <c r="UKP220" s="76"/>
      <c r="UKQ220" s="76"/>
      <c r="UKR220" s="76"/>
      <c r="UKS220" s="76"/>
      <c r="UKT220" s="76"/>
      <c r="UKU220" s="76"/>
      <c r="UKV220" s="76"/>
      <c r="UKW220" s="76"/>
      <c r="UKX220" s="76"/>
      <c r="UKY220" s="76"/>
      <c r="UKZ220" s="76"/>
      <c r="ULA220" s="76"/>
      <c r="ULB220" s="76"/>
      <c r="ULC220" s="76"/>
      <c r="ULD220" s="76"/>
      <c r="ULE220" s="76"/>
      <c r="ULF220" s="76"/>
      <c r="ULG220" s="76"/>
      <c r="ULH220" s="76"/>
      <c r="ULI220" s="76"/>
      <c r="ULJ220" s="76"/>
      <c r="ULK220" s="76"/>
      <c r="ULL220" s="76"/>
      <c r="ULM220" s="76"/>
      <c r="ULN220" s="76"/>
      <c r="ULO220" s="76"/>
      <c r="ULP220" s="76"/>
      <c r="ULQ220" s="76"/>
      <c r="ULR220" s="76"/>
      <c r="ULS220" s="76"/>
      <c r="ULT220" s="76"/>
      <c r="ULU220" s="76"/>
      <c r="ULV220" s="76"/>
      <c r="ULW220" s="76"/>
      <c r="ULX220" s="76"/>
      <c r="ULY220" s="76"/>
      <c r="ULZ220" s="76"/>
      <c r="UMA220" s="76"/>
      <c r="UMB220" s="76"/>
      <c r="UMC220" s="76"/>
      <c r="UMD220" s="76"/>
      <c r="UME220" s="76"/>
      <c r="UMF220" s="76"/>
      <c r="UMG220" s="76"/>
      <c r="UMH220" s="76"/>
      <c r="UMI220" s="76"/>
      <c r="UMJ220" s="76"/>
      <c r="UMK220" s="76"/>
      <c r="UML220" s="76"/>
      <c r="UMM220" s="76"/>
      <c r="UMN220" s="76"/>
      <c r="UMO220" s="76"/>
      <c r="UMP220" s="76"/>
      <c r="UMQ220" s="76"/>
      <c r="UMR220" s="76"/>
      <c r="UMS220" s="76"/>
      <c r="UMT220" s="76"/>
      <c r="UMU220" s="76"/>
      <c r="UMV220" s="76"/>
      <c r="UMW220" s="76"/>
      <c r="UMX220" s="76"/>
      <c r="UMY220" s="76"/>
      <c r="UMZ220" s="76"/>
      <c r="UNA220" s="76"/>
      <c r="UNB220" s="76"/>
      <c r="UNC220" s="76"/>
      <c r="UND220" s="76"/>
      <c r="UNE220" s="76"/>
      <c r="UNF220" s="76"/>
      <c r="UNG220" s="76"/>
      <c r="UNH220" s="76"/>
      <c r="UNI220" s="76"/>
      <c r="UNJ220" s="76"/>
      <c r="UNK220" s="76"/>
      <c r="UNL220" s="76"/>
      <c r="UNM220" s="76"/>
      <c r="UNN220" s="76"/>
      <c r="UNO220" s="76"/>
      <c r="UNP220" s="76"/>
      <c r="UNQ220" s="76"/>
      <c r="UNR220" s="76"/>
      <c r="UNS220" s="76"/>
      <c r="UNT220" s="76"/>
      <c r="UNU220" s="76"/>
      <c r="UNV220" s="76"/>
      <c r="UNW220" s="76"/>
      <c r="UNX220" s="76"/>
      <c r="UNY220" s="76"/>
      <c r="UNZ220" s="76"/>
      <c r="UOA220" s="76"/>
      <c r="UOB220" s="76"/>
      <c r="UOC220" s="76"/>
      <c r="UOD220" s="76"/>
      <c r="UOE220" s="76"/>
      <c r="UOF220" s="76"/>
      <c r="UOG220" s="76"/>
      <c r="UOH220" s="76"/>
      <c r="UOI220" s="76"/>
      <c r="UOJ220" s="76"/>
      <c r="UOK220" s="76"/>
      <c r="UOL220" s="76"/>
      <c r="UOM220" s="76"/>
      <c r="UON220" s="76"/>
      <c r="UOO220" s="76"/>
      <c r="UOP220" s="76"/>
      <c r="UOQ220" s="76"/>
      <c r="UOR220" s="76"/>
      <c r="UOS220" s="76"/>
      <c r="UOT220" s="76"/>
      <c r="UOU220" s="76"/>
      <c r="UOV220" s="76"/>
      <c r="UOW220" s="76"/>
      <c r="UOX220" s="76"/>
      <c r="UOY220" s="76"/>
      <c r="UOZ220" s="76"/>
      <c r="UPA220" s="76"/>
      <c r="UPB220" s="76"/>
      <c r="UPC220" s="76"/>
      <c r="UPD220" s="76"/>
      <c r="UPE220" s="76"/>
      <c r="UPF220" s="76"/>
      <c r="UPG220" s="76"/>
      <c r="UPH220" s="76"/>
      <c r="UPI220" s="76"/>
      <c r="UPJ220" s="76"/>
      <c r="UPK220" s="76"/>
      <c r="UPL220" s="76"/>
      <c r="UPM220" s="76"/>
      <c r="UPN220" s="76"/>
      <c r="UPO220" s="76"/>
      <c r="UPP220" s="76"/>
      <c r="UPQ220" s="76"/>
      <c r="UPR220" s="76"/>
      <c r="UPS220" s="76"/>
      <c r="UPT220" s="76"/>
      <c r="UPU220" s="76"/>
      <c r="UPV220" s="76"/>
      <c r="UPW220" s="76"/>
      <c r="UPX220" s="76"/>
      <c r="UPY220" s="76"/>
      <c r="UPZ220" s="76"/>
      <c r="UQA220" s="76"/>
      <c r="UQB220" s="76"/>
      <c r="UQC220" s="76"/>
      <c r="UQD220" s="76"/>
      <c r="UQE220" s="76"/>
      <c r="UQF220" s="76"/>
      <c r="UQG220" s="76"/>
      <c r="UQH220" s="76"/>
      <c r="UQI220" s="76"/>
      <c r="UQJ220" s="76"/>
      <c r="UQK220" s="76"/>
      <c r="UQL220" s="76"/>
      <c r="UQM220" s="76"/>
      <c r="UQN220" s="76"/>
      <c r="UQO220" s="76"/>
      <c r="UQP220" s="76"/>
      <c r="UQQ220" s="76"/>
      <c r="UQR220" s="76"/>
      <c r="UQS220" s="76"/>
      <c r="UQT220" s="76"/>
      <c r="UQU220" s="76"/>
      <c r="UQV220" s="76"/>
      <c r="UQW220" s="76"/>
      <c r="UQX220" s="76"/>
      <c r="UQY220" s="76"/>
      <c r="UQZ220" s="76"/>
      <c r="URA220" s="76"/>
      <c r="URB220" s="76"/>
      <c r="URC220" s="76"/>
      <c r="URD220" s="76"/>
      <c r="URE220" s="76"/>
      <c r="URF220" s="76"/>
      <c r="URG220" s="76"/>
      <c r="URH220" s="76"/>
      <c r="URI220" s="76"/>
      <c r="URJ220" s="76"/>
      <c r="URK220" s="76"/>
      <c r="URL220" s="76"/>
      <c r="URM220" s="76"/>
      <c r="URN220" s="76"/>
      <c r="URO220" s="76"/>
      <c r="URP220" s="76"/>
      <c r="URQ220" s="76"/>
      <c r="URR220" s="76"/>
      <c r="URS220" s="76"/>
      <c r="URT220" s="76"/>
      <c r="URU220" s="76"/>
      <c r="URV220" s="76"/>
      <c r="URW220" s="76"/>
      <c r="URX220" s="76"/>
      <c r="URY220" s="76"/>
      <c r="URZ220" s="76"/>
      <c r="USA220" s="76"/>
      <c r="USB220" s="76"/>
      <c r="USC220" s="76"/>
      <c r="USD220" s="76"/>
      <c r="USE220" s="76"/>
      <c r="USF220" s="76"/>
      <c r="USG220" s="76"/>
      <c r="USH220" s="76"/>
      <c r="USI220" s="76"/>
      <c r="USJ220" s="76"/>
      <c r="USK220" s="76"/>
      <c r="USL220" s="76"/>
      <c r="USM220" s="76"/>
      <c r="USN220" s="76"/>
      <c r="USO220" s="76"/>
      <c r="USP220" s="76"/>
      <c r="USQ220" s="76"/>
      <c r="USR220" s="76"/>
      <c r="USS220" s="76"/>
      <c r="UST220" s="76"/>
      <c r="USU220" s="76"/>
      <c r="USV220" s="76"/>
      <c r="USW220" s="76"/>
      <c r="USX220" s="76"/>
      <c r="USY220" s="76"/>
      <c r="USZ220" s="76"/>
      <c r="UTA220" s="76"/>
      <c r="UTB220" s="76"/>
      <c r="UTC220" s="76"/>
      <c r="UTD220" s="76"/>
      <c r="UTE220" s="76"/>
      <c r="UTF220" s="76"/>
      <c r="UTG220" s="76"/>
      <c r="UTH220" s="76"/>
      <c r="UTI220" s="76"/>
      <c r="UTJ220" s="76"/>
      <c r="UTK220" s="76"/>
      <c r="UTL220" s="76"/>
      <c r="UTM220" s="76"/>
      <c r="UTN220" s="76"/>
      <c r="UTO220" s="76"/>
      <c r="UTP220" s="76"/>
      <c r="UTQ220" s="76"/>
      <c r="UTR220" s="76"/>
      <c r="UTS220" s="76"/>
      <c r="UTT220" s="76"/>
      <c r="UTU220" s="76"/>
      <c r="UTV220" s="76"/>
      <c r="UTW220" s="76"/>
      <c r="UTX220" s="76"/>
      <c r="UTY220" s="76"/>
      <c r="UTZ220" s="76"/>
      <c r="UUA220" s="76"/>
      <c r="UUB220" s="76"/>
      <c r="UUC220" s="76"/>
      <c r="UUD220" s="76"/>
      <c r="UUE220" s="76"/>
      <c r="UUF220" s="76"/>
      <c r="UUG220" s="76"/>
      <c r="UUH220" s="76"/>
      <c r="UUI220" s="76"/>
      <c r="UUJ220" s="76"/>
      <c r="UUK220" s="76"/>
      <c r="UUL220" s="76"/>
      <c r="UUM220" s="76"/>
      <c r="UUN220" s="76"/>
      <c r="UUO220" s="76"/>
      <c r="UUP220" s="76"/>
      <c r="UUQ220" s="76"/>
      <c r="UUR220" s="76"/>
      <c r="UUS220" s="76"/>
      <c r="UUT220" s="76"/>
      <c r="UUU220" s="76"/>
      <c r="UUV220" s="76"/>
      <c r="UUW220" s="76"/>
      <c r="UUX220" s="76"/>
      <c r="UUY220" s="76"/>
      <c r="UUZ220" s="76"/>
      <c r="UVA220" s="76"/>
      <c r="UVB220" s="76"/>
      <c r="UVC220" s="76"/>
      <c r="UVD220" s="76"/>
      <c r="UVE220" s="76"/>
      <c r="UVF220" s="76"/>
      <c r="UVG220" s="76"/>
      <c r="UVH220" s="76"/>
      <c r="UVI220" s="76"/>
      <c r="UVJ220" s="76"/>
      <c r="UVK220" s="76"/>
      <c r="UVL220" s="76"/>
      <c r="UVM220" s="76"/>
      <c r="UVN220" s="76"/>
      <c r="UVO220" s="76"/>
      <c r="UVP220" s="76"/>
      <c r="UVQ220" s="76"/>
      <c r="UVR220" s="76"/>
      <c r="UVS220" s="76"/>
      <c r="UVT220" s="76"/>
      <c r="UVU220" s="76"/>
      <c r="UVV220" s="76"/>
      <c r="UVW220" s="76"/>
      <c r="UVX220" s="76"/>
      <c r="UVY220" s="76"/>
      <c r="UVZ220" s="76"/>
      <c r="UWA220" s="76"/>
      <c r="UWB220" s="76"/>
      <c r="UWC220" s="76"/>
      <c r="UWD220" s="76"/>
      <c r="UWE220" s="76"/>
      <c r="UWF220" s="76"/>
      <c r="UWG220" s="76"/>
      <c r="UWH220" s="76"/>
      <c r="UWI220" s="76"/>
      <c r="UWJ220" s="76"/>
      <c r="UWK220" s="76"/>
      <c r="UWL220" s="76"/>
      <c r="UWM220" s="76"/>
      <c r="UWN220" s="76"/>
      <c r="UWO220" s="76"/>
      <c r="UWP220" s="76"/>
      <c r="UWQ220" s="76"/>
      <c r="UWR220" s="76"/>
      <c r="UWS220" s="76"/>
      <c r="UWT220" s="76"/>
      <c r="UWU220" s="76"/>
      <c r="UWV220" s="76"/>
      <c r="UWW220" s="76"/>
      <c r="UWX220" s="76"/>
      <c r="UWY220" s="76"/>
      <c r="UWZ220" s="76"/>
      <c r="UXA220" s="76"/>
      <c r="UXB220" s="76"/>
      <c r="UXC220" s="76"/>
      <c r="UXD220" s="76"/>
      <c r="UXE220" s="76"/>
      <c r="UXF220" s="76"/>
      <c r="UXG220" s="76"/>
      <c r="UXH220" s="76"/>
      <c r="UXI220" s="76"/>
      <c r="UXJ220" s="76"/>
      <c r="UXK220" s="76"/>
      <c r="UXL220" s="76"/>
      <c r="UXM220" s="76"/>
      <c r="UXN220" s="76"/>
      <c r="UXO220" s="76"/>
      <c r="UXP220" s="76"/>
      <c r="UXQ220" s="76"/>
      <c r="UXR220" s="76"/>
      <c r="UXS220" s="76"/>
      <c r="UXT220" s="76"/>
      <c r="UXU220" s="76"/>
      <c r="UXV220" s="76"/>
      <c r="UXW220" s="76"/>
      <c r="UXX220" s="76"/>
      <c r="UXY220" s="76"/>
      <c r="UXZ220" s="76"/>
      <c r="UYA220" s="76"/>
      <c r="UYB220" s="76"/>
      <c r="UYC220" s="76"/>
      <c r="UYD220" s="76"/>
      <c r="UYE220" s="76"/>
      <c r="UYF220" s="76"/>
      <c r="UYG220" s="76"/>
      <c r="UYH220" s="76"/>
      <c r="UYI220" s="76"/>
      <c r="UYJ220" s="76"/>
      <c r="UYK220" s="76"/>
      <c r="UYL220" s="76"/>
      <c r="UYM220" s="76"/>
      <c r="UYN220" s="76"/>
      <c r="UYO220" s="76"/>
      <c r="UYP220" s="76"/>
      <c r="UYQ220" s="76"/>
      <c r="UYR220" s="76"/>
      <c r="UYS220" s="76"/>
      <c r="UYT220" s="76"/>
      <c r="UYU220" s="76"/>
      <c r="UYV220" s="76"/>
      <c r="UYW220" s="76"/>
      <c r="UYX220" s="76"/>
      <c r="UYY220" s="76"/>
      <c r="UYZ220" s="76"/>
      <c r="UZA220" s="76"/>
      <c r="UZB220" s="76"/>
      <c r="UZC220" s="76"/>
      <c r="UZD220" s="76"/>
      <c r="UZE220" s="76"/>
      <c r="UZF220" s="76"/>
      <c r="UZG220" s="76"/>
      <c r="UZH220" s="76"/>
      <c r="UZI220" s="76"/>
      <c r="UZJ220" s="76"/>
      <c r="UZK220" s="76"/>
      <c r="UZL220" s="76"/>
      <c r="UZM220" s="76"/>
      <c r="UZN220" s="76"/>
      <c r="UZO220" s="76"/>
      <c r="UZP220" s="76"/>
      <c r="UZQ220" s="76"/>
      <c r="UZR220" s="76"/>
      <c r="UZS220" s="76"/>
      <c r="UZT220" s="76"/>
      <c r="UZU220" s="76"/>
      <c r="UZV220" s="76"/>
      <c r="UZW220" s="76"/>
      <c r="UZX220" s="76"/>
      <c r="UZY220" s="76"/>
      <c r="UZZ220" s="76"/>
      <c r="VAA220" s="76"/>
      <c r="VAB220" s="76"/>
      <c r="VAC220" s="76"/>
      <c r="VAD220" s="76"/>
      <c r="VAE220" s="76"/>
      <c r="VAF220" s="76"/>
      <c r="VAG220" s="76"/>
      <c r="VAH220" s="76"/>
      <c r="VAI220" s="76"/>
      <c r="VAJ220" s="76"/>
      <c r="VAK220" s="76"/>
      <c r="VAL220" s="76"/>
      <c r="VAM220" s="76"/>
      <c r="VAN220" s="76"/>
      <c r="VAO220" s="76"/>
      <c r="VAP220" s="76"/>
      <c r="VAQ220" s="76"/>
      <c r="VAR220" s="76"/>
      <c r="VAS220" s="76"/>
      <c r="VAT220" s="76"/>
      <c r="VAU220" s="76"/>
      <c r="VAV220" s="76"/>
      <c r="VAW220" s="76"/>
      <c r="VAX220" s="76"/>
      <c r="VAY220" s="76"/>
      <c r="VAZ220" s="76"/>
      <c r="VBA220" s="76"/>
      <c r="VBB220" s="76"/>
      <c r="VBC220" s="76"/>
      <c r="VBD220" s="76"/>
      <c r="VBE220" s="76"/>
      <c r="VBF220" s="76"/>
      <c r="VBG220" s="76"/>
      <c r="VBH220" s="76"/>
      <c r="VBI220" s="76"/>
      <c r="VBJ220" s="76"/>
      <c r="VBK220" s="76"/>
      <c r="VBL220" s="76"/>
      <c r="VBM220" s="76"/>
      <c r="VBN220" s="76"/>
      <c r="VBO220" s="76"/>
      <c r="VBP220" s="76"/>
      <c r="VBQ220" s="76"/>
      <c r="VBR220" s="76"/>
      <c r="VBS220" s="76"/>
      <c r="VBT220" s="76"/>
      <c r="VBU220" s="76"/>
      <c r="VBV220" s="76"/>
      <c r="VBW220" s="76"/>
      <c r="VBX220" s="76"/>
      <c r="VBY220" s="76"/>
      <c r="VBZ220" s="76"/>
      <c r="VCA220" s="76"/>
      <c r="VCB220" s="76"/>
      <c r="VCC220" s="76"/>
      <c r="VCD220" s="76"/>
      <c r="VCE220" s="76"/>
      <c r="VCF220" s="76"/>
      <c r="VCG220" s="76"/>
      <c r="VCH220" s="76"/>
      <c r="VCI220" s="76"/>
      <c r="VCJ220" s="76"/>
      <c r="VCK220" s="76"/>
      <c r="VCL220" s="76"/>
      <c r="VCM220" s="76"/>
      <c r="VCN220" s="76"/>
      <c r="VCO220" s="76"/>
      <c r="VCP220" s="76"/>
      <c r="VCQ220" s="76"/>
      <c r="VCR220" s="76"/>
      <c r="VCS220" s="76"/>
      <c r="VCT220" s="76"/>
      <c r="VCU220" s="76"/>
      <c r="VCV220" s="76"/>
      <c r="VCW220" s="76"/>
      <c r="VCX220" s="76"/>
      <c r="VCY220" s="76"/>
      <c r="VCZ220" s="76"/>
      <c r="VDA220" s="76"/>
      <c r="VDB220" s="76"/>
      <c r="VDC220" s="76"/>
      <c r="VDD220" s="76"/>
      <c r="VDE220" s="76"/>
      <c r="VDF220" s="76"/>
      <c r="VDG220" s="76"/>
      <c r="VDH220" s="76"/>
      <c r="VDI220" s="76"/>
      <c r="VDJ220" s="76"/>
      <c r="VDK220" s="76"/>
      <c r="VDL220" s="76"/>
      <c r="VDM220" s="76"/>
      <c r="VDN220" s="76"/>
      <c r="VDO220" s="76"/>
      <c r="VDP220" s="76"/>
      <c r="VDQ220" s="76"/>
      <c r="VDR220" s="76"/>
      <c r="VDS220" s="76"/>
      <c r="VDT220" s="76"/>
      <c r="VDU220" s="76"/>
      <c r="VDV220" s="76"/>
      <c r="VDW220" s="76"/>
      <c r="VDX220" s="76"/>
      <c r="VDY220" s="76"/>
      <c r="VDZ220" s="76"/>
      <c r="VEA220" s="76"/>
      <c r="VEB220" s="76"/>
      <c r="VEC220" s="76"/>
      <c r="VED220" s="76"/>
      <c r="VEE220" s="76"/>
      <c r="VEF220" s="76"/>
      <c r="VEG220" s="76"/>
      <c r="VEH220" s="76"/>
      <c r="VEI220" s="76"/>
      <c r="VEJ220" s="76"/>
      <c r="VEK220" s="76"/>
      <c r="VEL220" s="76"/>
      <c r="VEM220" s="76"/>
      <c r="VEN220" s="76"/>
      <c r="VEO220" s="76"/>
      <c r="VEP220" s="76"/>
      <c r="VEQ220" s="76"/>
      <c r="VER220" s="76"/>
      <c r="VES220" s="76"/>
      <c r="VET220" s="76"/>
      <c r="VEU220" s="76"/>
      <c r="VEV220" s="76"/>
      <c r="VEW220" s="76"/>
      <c r="VEX220" s="76"/>
      <c r="VEY220" s="76"/>
      <c r="VEZ220" s="76"/>
      <c r="VFA220" s="76"/>
      <c r="VFB220" s="76"/>
      <c r="VFC220" s="76"/>
      <c r="VFD220" s="76"/>
      <c r="VFE220" s="76"/>
      <c r="VFF220" s="76"/>
      <c r="VFG220" s="76"/>
      <c r="VFH220" s="76"/>
      <c r="VFI220" s="76"/>
      <c r="VFJ220" s="76"/>
      <c r="VFK220" s="76"/>
      <c r="VFL220" s="76"/>
      <c r="VFM220" s="76"/>
      <c r="VFN220" s="76"/>
      <c r="VFO220" s="76"/>
      <c r="VFP220" s="76"/>
      <c r="VFQ220" s="76"/>
      <c r="VFR220" s="76"/>
      <c r="VFS220" s="76"/>
      <c r="VFT220" s="76"/>
      <c r="VFU220" s="76"/>
      <c r="VFV220" s="76"/>
      <c r="VFW220" s="76"/>
      <c r="VFX220" s="76"/>
      <c r="VFY220" s="76"/>
      <c r="VFZ220" s="76"/>
      <c r="VGA220" s="76"/>
      <c r="VGB220" s="76"/>
      <c r="VGC220" s="76"/>
      <c r="VGD220" s="76"/>
      <c r="VGE220" s="76"/>
      <c r="VGF220" s="76"/>
      <c r="VGG220" s="76"/>
      <c r="VGH220" s="76"/>
      <c r="VGI220" s="76"/>
      <c r="VGJ220" s="76"/>
      <c r="VGK220" s="76"/>
      <c r="VGL220" s="76"/>
      <c r="VGM220" s="76"/>
      <c r="VGN220" s="76"/>
      <c r="VGO220" s="76"/>
      <c r="VGP220" s="76"/>
      <c r="VGQ220" s="76"/>
      <c r="VGR220" s="76"/>
      <c r="VGS220" s="76"/>
      <c r="VGT220" s="76"/>
      <c r="VGU220" s="76"/>
      <c r="VGV220" s="76"/>
      <c r="VGW220" s="76"/>
      <c r="VGX220" s="76"/>
      <c r="VGY220" s="76"/>
      <c r="VGZ220" s="76"/>
      <c r="VHA220" s="76"/>
      <c r="VHB220" s="76"/>
      <c r="VHC220" s="76"/>
      <c r="VHD220" s="76"/>
      <c r="VHE220" s="76"/>
      <c r="VHF220" s="76"/>
      <c r="VHG220" s="76"/>
      <c r="VHH220" s="76"/>
      <c r="VHI220" s="76"/>
      <c r="VHJ220" s="76"/>
      <c r="VHK220" s="76"/>
      <c r="VHL220" s="76"/>
      <c r="VHM220" s="76"/>
      <c r="VHN220" s="76"/>
      <c r="VHO220" s="76"/>
      <c r="VHP220" s="76"/>
      <c r="VHQ220" s="76"/>
      <c r="VHR220" s="76"/>
      <c r="VHS220" s="76"/>
      <c r="VHT220" s="76"/>
      <c r="VHU220" s="76"/>
      <c r="VHV220" s="76"/>
      <c r="VHW220" s="76"/>
      <c r="VHX220" s="76"/>
      <c r="VHY220" s="76"/>
      <c r="VHZ220" s="76"/>
      <c r="VIA220" s="76"/>
      <c r="VIB220" s="76"/>
      <c r="VIC220" s="76"/>
      <c r="VID220" s="76"/>
      <c r="VIE220" s="76"/>
      <c r="VIF220" s="76"/>
      <c r="VIG220" s="76"/>
      <c r="VIH220" s="76"/>
      <c r="VII220" s="76"/>
      <c r="VIJ220" s="76"/>
      <c r="VIK220" s="76"/>
      <c r="VIL220" s="76"/>
      <c r="VIM220" s="76"/>
      <c r="VIN220" s="76"/>
      <c r="VIO220" s="76"/>
      <c r="VIP220" s="76"/>
      <c r="VIQ220" s="76"/>
      <c r="VIR220" s="76"/>
      <c r="VIS220" s="76"/>
      <c r="VIT220" s="76"/>
      <c r="VIU220" s="76"/>
      <c r="VIV220" s="76"/>
      <c r="VIW220" s="76"/>
      <c r="VIX220" s="76"/>
      <c r="VIY220" s="76"/>
      <c r="VIZ220" s="76"/>
      <c r="VJA220" s="76"/>
      <c r="VJB220" s="76"/>
      <c r="VJC220" s="76"/>
      <c r="VJD220" s="76"/>
      <c r="VJE220" s="76"/>
      <c r="VJF220" s="76"/>
      <c r="VJG220" s="76"/>
      <c r="VJH220" s="76"/>
      <c r="VJI220" s="76"/>
      <c r="VJJ220" s="76"/>
      <c r="VJK220" s="76"/>
      <c r="VJL220" s="76"/>
      <c r="VJM220" s="76"/>
      <c r="VJN220" s="76"/>
      <c r="VJO220" s="76"/>
      <c r="VJP220" s="76"/>
      <c r="VJQ220" s="76"/>
      <c r="VJR220" s="76"/>
      <c r="VJS220" s="76"/>
      <c r="VJT220" s="76"/>
      <c r="VJU220" s="76"/>
      <c r="VJV220" s="76"/>
      <c r="VJW220" s="76"/>
      <c r="VJX220" s="76"/>
      <c r="VJY220" s="76"/>
      <c r="VJZ220" s="76"/>
      <c r="VKA220" s="76"/>
      <c r="VKB220" s="76"/>
      <c r="VKC220" s="76"/>
      <c r="VKD220" s="76"/>
      <c r="VKE220" s="76"/>
      <c r="VKF220" s="76"/>
      <c r="VKG220" s="76"/>
      <c r="VKH220" s="76"/>
      <c r="VKI220" s="76"/>
      <c r="VKJ220" s="76"/>
      <c r="VKK220" s="76"/>
      <c r="VKL220" s="76"/>
      <c r="VKM220" s="76"/>
      <c r="VKN220" s="76"/>
      <c r="VKO220" s="76"/>
      <c r="VKP220" s="76"/>
      <c r="VKQ220" s="76"/>
      <c r="VKR220" s="76"/>
      <c r="VKS220" s="76"/>
      <c r="VKT220" s="76"/>
      <c r="VKU220" s="76"/>
      <c r="VKV220" s="76"/>
      <c r="VKW220" s="76"/>
      <c r="VKX220" s="76"/>
      <c r="VKY220" s="76"/>
      <c r="VKZ220" s="76"/>
      <c r="VLA220" s="76"/>
      <c r="VLB220" s="76"/>
      <c r="VLC220" s="76"/>
      <c r="VLD220" s="76"/>
      <c r="VLE220" s="76"/>
      <c r="VLF220" s="76"/>
      <c r="VLG220" s="76"/>
      <c r="VLH220" s="76"/>
      <c r="VLI220" s="76"/>
      <c r="VLJ220" s="76"/>
      <c r="VLK220" s="76"/>
      <c r="VLL220" s="76"/>
      <c r="VLM220" s="76"/>
      <c r="VLN220" s="76"/>
      <c r="VLO220" s="76"/>
      <c r="VLP220" s="76"/>
      <c r="VLQ220" s="76"/>
      <c r="VLR220" s="76"/>
      <c r="VLS220" s="76"/>
      <c r="VLT220" s="76"/>
      <c r="VLU220" s="76"/>
      <c r="VLV220" s="76"/>
      <c r="VLW220" s="76"/>
      <c r="VLX220" s="76"/>
      <c r="VLY220" s="76"/>
      <c r="VLZ220" s="76"/>
      <c r="VMA220" s="76"/>
      <c r="VMB220" s="76"/>
      <c r="VMC220" s="76"/>
      <c r="VMD220" s="76"/>
      <c r="VME220" s="76"/>
      <c r="VMF220" s="76"/>
      <c r="VMG220" s="76"/>
      <c r="VMH220" s="76"/>
      <c r="VMI220" s="76"/>
      <c r="VMJ220" s="76"/>
      <c r="VMK220" s="76"/>
      <c r="VML220" s="76"/>
      <c r="VMM220" s="76"/>
      <c r="VMN220" s="76"/>
      <c r="VMO220" s="76"/>
      <c r="VMP220" s="76"/>
      <c r="VMQ220" s="76"/>
      <c r="VMR220" s="76"/>
      <c r="VMS220" s="76"/>
      <c r="VMT220" s="76"/>
      <c r="VMU220" s="76"/>
      <c r="VMV220" s="76"/>
      <c r="VMW220" s="76"/>
      <c r="VMX220" s="76"/>
      <c r="VMY220" s="76"/>
      <c r="VMZ220" s="76"/>
      <c r="VNA220" s="76"/>
      <c r="VNB220" s="76"/>
      <c r="VNC220" s="76"/>
      <c r="VND220" s="76"/>
      <c r="VNE220" s="76"/>
      <c r="VNF220" s="76"/>
      <c r="VNG220" s="76"/>
      <c r="VNH220" s="76"/>
      <c r="VNI220" s="76"/>
      <c r="VNJ220" s="76"/>
      <c r="VNK220" s="76"/>
      <c r="VNL220" s="76"/>
      <c r="VNM220" s="76"/>
      <c r="VNN220" s="76"/>
      <c r="VNO220" s="76"/>
      <c r="VNP220" s="76"/>
      <c r="VNQ220" s="76"/>
      <c r="VNR220" s="76"/>
      <c r="VNS220" s="76"/>
      <c r="VNT220" s="76"/>
      <c r="VNU220" s="76"/>
      <c r="VNV220" s="76"/>
      <c r="VNW220" s="76"/>
      <c r="VNX220" s="76"/>
      <c r="VNY220" s="76"/>
      <c r="VNZ220" s="76"/>
      <c r="VOA220" s="76"/>
      <c r="VOB220" s="76"/>
      <c r="VOC220" s="76"/>
      <c r="VOD220" s="76"/>
      <c r="VOE220" s="76"/>
      <c r="VOF220" s="76"/>
      <c r="VOG220" s="76"/>
      <c r="VOH220" s="76"/>
      <c r="VOI220" s="76"/>
      <c r="VOJ220" s="76"/>
      <c r="VOK220" s="76"/>
      <c r="VOL220" s="76"/>
      <c r="VOM220" s="76"/>
      <c r="VON220" s="76"/>
      <c r="VOO220" s="76"/>
      <c r="VOP220" s="76"/>
      <c r="VOQ220" s="76"/>
      <c r="VOR220" s="76"/>
      <c r="VOS220" s="76"/>
      <c r="VOT220" s="76"/>
      <c r="VOU220" s="76"/>
      <c r="VOV220" s="76"/>
      <c r="VOW220" s="76"/>
      <c r="VOX220" s="76"/>
      <c r="VOY220" s="76"/>
      <c r="VOZ220" s="76"/>
      <c r="VPA220" s="76"/>
      <c r="VPB220" s="76"/>
      <c r="VPC220" s="76"/>
      <c r="VPD220" s="76"/>
      <c r="VPE220" s="76"/>
      <c r="VPF220" s="76"/>
      <c r="VPG220" s="76"/>
      <c r="VPH220" s="76"/>
      <c r="VPI220" s="76"/>
      <c r="VPJ220" s="76"/>
      <c r="VPK220" s="76"/>
      <c r="VPL220" s="76"/>
      <c r="VPM220" s="76"/>
      <c r="VPN220" s="76"/>
      <c r="VPO220" s="76"/>
      <c r="VPP220" s="76"/>
      <c r="VPQ220" s="76"/>
      <c r="VPR220" s="76"/>
      <c r="VPS220" s="76"/>
      <c r="VPT220" s="76"/>
      <c r="VPU220" s="76"/>
      <c r="VPV220" s="76"/>
      <c r="VPW220" s="76"/>
      <c r="VPX220" s="76"/>
      <c r="VPY220" s="76"/>
      <c r="VPZ220" s="76"/>
      <c r="VQA220" s="76"/>
      <c r="VQB220" s="76"/>
      <c r="VQC220" s="76"/>
      <c r="VQD220" s="76"/>
      <c r="VQE220" s="76"/>
      <c r="VQF220" s="76"/>
      <c r="VQG220" s="76"/>
      <c r="VQH220" s="76"/>
      <c r="VQI220" s="76"/>
      <c r="VQJ220" s="76"/>
      <c r="VQK220" s="76"/>
      <c r="VQL220" s="76"/>
      <c r="VQM220" s="76"/>
      <c r="VQN220" s="76"/>
      <c r="VQO220" s="76"/>
      <c r="VQP220" s="76"/>
      <c r="VQQ220" s="76"/>
      <c r="VQR220" s="76"/>
      <c r="VQS220" s="76"/>
      <c r="VQT220" s="76"/>
      <c r="VQU220" s="76"/>
      <c r="VQV220" s="76"/>
      <c r="VQW220" s="76"/>
      <c r="VQX220" s="76"/>
      <c r="VQY220" s="76"/>
      <c r="VQZ220" s="76"/>
      <c r="VRA220" s="76"/>
      <c r="VRB220" s="76"/>
      <c r="VRC220" s="76"/>
      <c r="VRD220" s="76"/>
      <c r="VRE220" s="76"/>
      <c r="VRF220" s="76"/>
      <c r="VRG220" s="76"/>
      <c r="VRH220" s="76"/>
      <c r="VRI220" s="76"/>
      <c r="VRJ220" s="76"/>
      <c r="VRK220" s="76"/>
      <c r="VRL220" s="76"/>
      <c r="VRM220" s="76"/>
      <c r="VRN220" s="76"/>
      <c r="VRO220" s="76"/>
      <c r="VRP220" s="76"/>
      <c r="VRQ220" s="76"/>
      <c r="VRR220" s="76"/>
      <c r="VRS220" s="76"/>
      <c r="VRT220" s="76"/>
      <c r="VRU220" s="76"/>
      <c r="VRV220" s="76"/>
      <c r="VRW220" s="76"/>
      <c r="VRX220" s="76"/>
      <c r="VRY220" s="76"/>
      <c r="VRZ220" s="76"/>
      <c r="VSA220" s="76"/>
      <c r="VSB220" s="76"/>
      <c r="VSC220" s="76"/>
      <c r="VSD220" s="76"/>
      <c r="VSE220" s="76"/>
      <c r="VSF220" s="76"/>
      <c r="VSG220" s="76"/>
      <c r="VSH220" s="76"/>
      <c r="VSI220" s="76"/>
      <c r="VSJ220" s="76"/>
      <c r="VSK220" s="76"/>
      <c r="VSL220" s="76"/>
      <c r="VSM220" s="76"/>
      <c r="VSN220" s="76"/>
      <c r="VSO220" s="76"/>
      <c r="VSP220" s="76"/>
      <c r="VSQ220" s="76"/>
      <c r="VSR220" s="76"/>
      <c r="VSS220" s="76"/>
      <c r="VST220" s="76"/>
      <c r="VSU220" s="76"/>
      <c r="VSV220" s="76"/>
      <c r="VSW220" s="76"/>
      <c r="VSX220" s="76"/>
      <c r="VSY220" s="76"/>
      <c r="VSZ220" s="76"/>
      <c r="VTA220" s="76"/>
      <c r="VTB220" s="76"/>
      <c r="VTC220" s="76"/>
      <c r="VTD220" s="76"/>
      <c r="VTE220" s="76"/>
      <c r="VTF220" s="76"/>
      <c r="VTG220" s="76"/>
      <c r="VTH220" s="76"/>
      <c r="VTI220" s="76"/>
      <c r="VTJ220" s="76"/>
      <c r="VTK220" s="76"/>
      <c r="VTL220" s="76"/>
      <c r="VTM220" s="76"/>
      <c r="VTN220" s="76"/>
      <c r="VTO220" s="76"/>
      <c r="VTP220" s="76"/>
      <c r="VTQ220" s="76"/>
      <c r="VTR220" s="76"/>
      <c r="VTS220" s="76"/>
      <c r="VTT220" s="76"/>
      <c r="VTU220" s="76"/>
      <c r="VTV220" s="76"/>
      <c r="VTW220" s="76"/>
      <c r="VTX220" s="76"/>
      <c r="VTY220" s="76"/>
      <c r="VTZ220" s="76"/>
      <c r="VUA220" s="76"/>
      <c r="VUB220" s="76"/>
      <c r="VUC220" s="76"/>
      <c r="VUD220" s="76"/>
      <c r="VUE220" s="76"/>
      <c r="VUF220" s="76"/>
      <c r="VUG220" s="76"/>
      <c r="VUH220" s="76"/>
      <c r="VUI220" s="76"/>
      <c r="VUJ220" s="76"/>
      <c r="VUK220" s="76"/>
      <c r="VUL220" s="76"/>
      <c r="VUM220" s="76"/>
      <c r="VUN220" s="76"/>
      <c r="VUO220" s="76"/>
      <c r="VUP220" s="76"/>
      <c r="VUQ220" s="76"/>
      <c r="VUR220" s="76"/>
      <c r="VUS220" s="76"/>
      <c r="VUT220" s="76"/>
      <c r="VUU220" s="76"/>
      <c r="VUV220" s="76"/>
      <c r="VUW220" s="76"/>
      <c r="VUX220" s="76"/>
      <c r="VUY220" s="76"/>
      <c r="VUZ220" s="76"/>
      <c r="VVA220" s="76"/>
      <c r="VVB220" s="76"/>
      <c r="VVC220" s="76"/>
      <c r="VVD220" s="76"/>
      <c r="VVE220" s="76"/>
      <c r="VVF220" s="76"/>
      <c r="VVG220" s="76"/>
      <c r="VVH220" s="76"/>
      <c r="VVI220" s="76"/>
      <c r="VVJ220" s="76"/>
      <c r="VVK220" s="76"/>
      <c r="VVL220" s="76"/>
      <c r="VVM220" s="76"/>
      <c r="VVN220" s="76"/>
      <c r="VVO220" s="76"/>
      <c r="VVP220" s="76"/>
      <c r="VVQ220" s="76"/>
      <c r="VVR220" s="76"/>
      <c r="VVS220" s="76"/>
      <c r="VVT220" s="76"/>
      <c r="VVU220" s="76"/>
      <c r="VVV220" s="76"/>
      <c r="VVW220" s="76"/>
      <c r="VVX220" s="76"/>
      <c r="VVY220" s="76"/>
      <c r="VVZ220" s="76"/>
      <c r="VWA220" s="76"/>
      <c r="VWB220" s="76"/>
      <c r="VWC220" s="76"/>
      <c r="VWD220" s="76"/>
      <c r="VWE220" s="76"/>
      <c r="VWF220" s="76"/>
      <c r="VWG220" s="76"/>
      <c r="VWH220" s="76"/>
      <c r="VWI220" s="76"/>
      <c r="VWJ220" s="76"/>
      <c r="VWK220" s="76"/>
      <c r="VWL220" s="76"/>
      <c r="VWM220" s="76"/>
      <c r="VWN220" s="76"/>
      <c r="VWO220" s="76"/>
      <c r="VWP220" s="76"/>
      <c r="VWQ220" s="76"/>
      <c r="VWR220" s="76"/>
      <c r="VWS220" s="76"/>
      <c r="VWT220" s="76"/>
      <c r="VWU220" s="76"/>
      <c r="VWV220" s="76"/>
      <c r="VWW220" s="76"/>
      <c r="VWX220" s="76"/>
      <c r="VWY220" s="76"/>
      <c r="VWZ220" s="76"/>
      <c r="VXA220" s="76"/>
      <c r="VXB220" s="76"/>
      <c r="VXC220" s="76"/>
      <c r="VXD220" s="76"/>
      <c r="VXE220" s="76"/>
      <c r="VXF220" s="76"/>
      <c r="VXG220" s="76"/>
      <c r="VXH220" s="76"/>
      <c r="VXI220" s="76"/>
      <c r="VXJ220" s="76"/>
      <c r="VXK220" s="76"/>
      <c r="VXL220" s="76"/>
      <c r="VXM220" s="76"/>
      <c r="VXN220" s="76"/>
      <c r="VXO220" s="76"/>
      <c r="VXP220" s="76"/>
      <c r="VXQ220" s="76"/>
      <c r="VXR220" s="76"/>
      <c r="VXS220" s="76"/>
      <c r="VXT220" s="76"/>
      <c r="VXU220" s="76"/>
      <c r="VXV220" s="76"/>
      <c r="VXW220" s="76"/>
      <c r="VXX220" s="76"/>
      <c r="VXY220" s="76"/>
      <c r="VXZ220" s="76"/>
      <c r="VYA220" s="76"/>
      <c r="VYB220" s="76"/>
      <c r="VYC220" s="76"/>
      <c r="VYD220" s="76"/>
      <c r="VYE220" s="76"/>
      <c r="VYF220" s="76"/>
      <c r="VYG220" s="76"/>
      <c r="VYH220" s="76"/>
      <c r="VYI220" s="76"/>
      <c r="VYJ220" s="76"/>
      <c r="VYK220" s="76"/>
      <c r="VYL220" s="76"/>
      <c r="VYM220" s="76"/>
      <c r="VYN220" s="76"/>
      <c r="VYO220" s="76"/>
      <c r="VYP220" s="76"/>
      <c r="VYQ220" s="76"/>
      <c r="VYR220" s="76"/>
      <c r="VYS220" s="76"/>
      <c r="VYT220" s="76"/>
      <c r="VYU220" s="76"/>
      <c r="VYV220" s="76"/>
      <c r="VYW220" s="76"/>
      <c r="VYX220" s="76"/>
      <c r="VYY220" s="76"/>
      <c r="VYZ220" s="76"/>
      <c r="VZA220" s="76"/>
      <c r="VZB220" s="76"/>
      <c r="VZC220" s="76"/>
      <c r="VZD220" s="76"/>
      <c r="VZE220" s="76"/>
      <c r="VZF220" s="76"/>
      <c r="VZG220" s="76"/>
      <c r="VZH220" s="76"/>
      <c r="VZI220" s="76"/>
      <c r="VZJ220" s="76"/>
      <c r="VZK220" s="76"/>
      <c r="VZL220" s="76"/>
      <c r="VZM220" s="76"/>
      <c r="VZN220" s="76"/>
      <c r="VZO220" s="76"/>
      <c r="VZP220" s="76"/>
      <c r="VZQ220" s="76"/>
      <c r="VZR220" s="76"/>
      <c r="VZS220" s="76"/>
      <c r="VZT220" s="76"/>
      <c r="VZU220" s="76"/>
      <c r="VZV220" s="76"/>
      <c r="VZW220" s="76"/>
      <c r="VZX220" s="76"/>
      <c r="VZY220" s="76"/>
      <c r="VZZ220" s="76"/>
      <c r="WAA220" s="76"/>
      <c r="WAB220" s="76"/>
      <c r="WAC220" s="76"/>
      <c r="WAD220" s="76"/>
      <c r="WAE220" s="76"/>
      <c r="WAF220" s="76"/>
      <c r="WAG220" s="76"/>
      <c r="WAH220" s="76"/>
      <c r="WAI220" s="76"/>
      <c r="WAJ220" s="76"/>
      <c r="WAK220" s="76"/>
      <c r="WAL220" s="76"/>
      <c r="WAM220" s="76"/>
      <c r="WAN220" s="76"/>
      <c r="WAO220" s="76"/>
      <c r="WAP220" s="76"/>
      <c r="WAQ220" s="76"/>
      <c r="WAR220" s="76"/>
      <c r="WAS220" s="76"/>
      <c r="WAT220" s="76"/>
      <c r="WAU220" s="76"/>
      <c r="WAV220" s="76"/>
      <c r="WAW220" s="76"/>
      <c r="WAX220" s="76"/>
      <c r="WAY220" s="76"/>
      <c r="WAZ220" s="76"/>
      <c r="WBA220" s="76"/>
      <c r="WBB220" s="76"/>
      <c r="WBC220" s="76"/>
      <c r="WBD220" s="76"/>
      <c r="WBE220" s="76"/>
      <c r="WBF220" s="76"/>
      <c r="WBG220" s="76"/>
      <c r="WBH220" s="76"/>
      <c r="WBI220" s="76"/>
      <c r="WBJ220" s="76"/>
      <c r="WBK220" s="76"/>
      <c r="WBL220" s="76"/>
      <c r="WBM220" s="76"/>
      <c r="WBN220" s="76"/>
      <c r="WBO220" s="76"/>
      <c r="WBP220" s="76"/>
      <c r="WBQ220" s="76"/>
      <c r="WBR220" s="76"/>
      <c r="WBS220" s="76"/>
      <c r="WBT220" s="76"/>
      <c r="WBU220" s="76"/>
      <c r="WBV220" s="76"/>
      <c r="WBW220" s="76"/>
      <c r="WBX220" s="76"/>
      <c r="WBY220" s="76"/>
      <c r="WBZ220" s="76"/>
      <c r="WCA220" s="76"/>
      <c r="WCB220" s="76"/>
      <c r="WCC220" s="76"/>
      <c r="WCD220" s="76"/>
      <c r="WCE220" s="76"/>
      <c r="WCF220" s="76"/>
      <c r="WCG220" s="76"/>
      <c r="WCH220" s="76"/>
      <c r="WCI220" s="76"/>
      <c r="WCJ220" s="76"/>
      <c r="WCK220" s="76"/>
      <c r="WCL220" s="76"/>
      <c r="WCM220" s="76"/>
      <c r="WCN220" s="76"/>
      <c r="WCO220" s="76"/>
      <c r="WCP220" s="76"/>
      <c r="WCQ220" s="76"/>
      <c r="WCR220" s="76"/>
      <c r="WCS220" s="76"/>
      <c r="WCT220" s="76"/>
      <c r="WCU220" s="76"/>
      <c r="WCV220" s="76"/>
      <c r="WCW220" s="76"/>
      <c r="WCX220" s="76"/>
      <c r="WCY220" s="76"/>
      <c r="WCZ220" s="76"/>
      <c r="WDA220" s="76"/>
      <c r="WDB220" s="76"/>
      <c r="WDC220" s="76"/>
      <c r="WDD220" s="76"/>
      <c r="WDE220" s="76"/>
      <c r="WDF220" s="76"/>
      <c r="WDG220" s="76"/>
      <c r="WDH220" s="76"/>
      <c r="WDI220" s="76"/>
      <c r="WDJ220" s="76"/>
      <c r="WDK220" s="76"/>
      <c r="WDL220" s="76"/>
      <c r="WDM220" s="76"/>
      <c r="WDN220" s="76"/>
      <c r="WDO220" s="76"/>
      <c r="WDP220" s="76"/>
      <c r="WDQ220" s="76"/>
      <c r="WDR220" s="76"/>
      <c r="WDS220" s="76"/>
      <c r="WDT220" s="76"/>
      <c r="WDU220" s="76"/>
      <c r="WDV220" s="76"/>
      <c r="WDW220" s="76"/>
      <c r="WDX220" s="76"/>
      <c r="WDY220" s="76"/>
      <c r="WDZ220" s="76"/>
      <c r="WEA220" s="76"/>
      <c r="WEB220" s="76"/>
      <c r="WEC220" s="76"/>
      <c r="WED220" s="76"/>
      <c r="WEE220" s="76"/>
      <c r="WEF220" s="76"/>
      <c r="WEG220" s="76"/>
      <c r="WEH220" s="76"/>
      <c r="WEI220" s="76"/>
      <c r="WEJ220" s="76"/>
      <c r="WEK220" s="76"/>
      <c r="WEL220" s="76"/>
      <c r="WEM220" s="76"/>
      <c r="WEN220" s="76"/>
      <c r="WEO220" s="76"/>
      <c r="WEP220" s="76"/>
      <c r="WEQ220" s="76"/>
      <c r="WER220" s="76"/>
      <c r="WES220" s="76"/>
      <c r="WET220" s="76"/>
      <c r="WEU220" s="76"/>
      <c r="WEV220" s="76"/>
      <c r="WEW220" s="76"/>
      <c r="WEX220" s="76"/>
      <c r="WEY220" s="76"/>
      <c r="WEZ220" s="76"/>
      <c r="WFA220" s="76"/>
      <c r="WFB220" s="76"/>
      <c r="WFC220" s="76"/>
      <c r="WFD220" s="76"/>
      <c r="WFE220" s="76"/>
      <c r="WFF220" s="76"/>
      <c r="WFG220" s="76"/>
      <c r="WFH220" s="76"/>
      <c r="WFI220" s="76"/>
      <c r="WFJ220" s="76"/>
      <c r="WFK220" s="76"/>
      <c r="WFL220" s="76"/>
      <c r="WFM220" s="76"/>
      <c r="WFN220" s="76"/>
      <c r="WFO220" s="76"/>
      <c r="WFP220" s="76"/>
      <c r="WFQ220" s="76"/>
      <c r="WFR220" s="76"/>
      <c r="WFS220" s="76"/>
      <c r="WFT220" s="76"/>
      <c r="WFU220" s="76"/>
      <c r="WFV220" s="76"/>
      <c r="WFW220" s="76"/>
      <c r="WFX220" s="76"/>
      <c r="WFY220" s="76"/>
      <c r="WFZ220" s="76"/>
      <c r="WGA220" s="76"/>
      <c r="WGB220" s="76"/>
      <c r="WGC220" s="76"/>
      <c r="WGD220" s="76"/>
      <c r="WGE220" s="76"/>
      <c r="WGF220" s="76"/>
      <c r="WGG220" s="76"/>
      <c r="WGH220" s="76"/>
      <c r="WGI220" s="76"/>
      <c r="WGJ220" s="76"/>
      <c r="WGK220" s="76"/>
      <c r="WGL220" s="76"/>
      <c r="WGM220" s="76"/>
      <c r="WGN220" s="76"/>
      <c r="WGO220" s="76"/>
      <c r="WGP220" s="76"/>
      <c r="WGQ220" s="76"/>
      <c r="WGR220" s="76"/>
      <c r="WGS220" s="76"/>
      <c r="WGT220" s="76"/>
      <c r="WGU220" s="76"/>
      <c r="WGV220" s="76"/>
      <c r="WGW220" s="76"/>
      <c r="WGX220" s="76"/>
      <c r="WGY220" s="76"/>
      <c r="WGZ220" s="76"/>
      <c r="WHA220" s="76"/>
      <c r="WHB220" s="76"/>
      <c r="WHC220" s="76"/>
      <c r="WHD220" s="76"/>
      <c r="WHE220" s="76"/>
      <c r="WHF220" s="76"/>
      <c r="WHG220" s="76"/>
      <c r="WHH220" s="76"/>
      <c r="WHI220" s="76"/>
      <c r="WHJ220" s="76"/>
      <c r="WHK220" s="76"/>
      <c r="WHL220" s="76"/>
      <c r="WHM220" s="76"/>
      <c r="WHN220" s="76"/>
      <c r="WHO220" s="76"/>
      <c r="WHP220" s="76"/>
      <c r="WHQ220" s="76"/>
      <c r="WHR220" s="76"/>
      <c r="WHS220" s="76"/>
      <c r="WHT220" s="76"/>
      <c r="WHU220" s="76"/>
      <c r="WHV220" s="76"/>
      <c r="WHW220" s="76"/>
      <c r="WHX220" s="76"/>
      <c r="WHY220" s="76"/>
      <c r="WHZ220" s="76"/>
      <c r="WIA220" s="76"/>
      <c r="WIB220" s="76"/>
      <c r="WIC220" s="76"/>
      <c r="WID220" s="76"/>
      <c r="WIE220" s="76"/>
      <c r="WIF220" s="76"/>
      <c r="WIG220" s="76"/>
      <c r="WIH220" s="76"/>
      <c r="WII220" s="76"/>
      <c r="WIJ220" s="76"/>
      <c r="WIK220" s="76"/>
      <c r="WIL220" s="76"/>
      <c r="WIM220" s="76"/>
      <c r="WIN220" s="76"/>
      <c r="WIO220" s="76"/>
      <c r="WIP220" s="76"/>
      <c r="WIQ220" s="76"/>
      <c r="WIR220" s="76"/>
      <c r="WIS220" s="76"/>
      <c r="WIT220" s="76"/>
      <c r="WIU220" s="76"/>
      <c r="WIV220" s="76"/>
      <c r="WIW220" s="76"/>
      <c r="WIX220" s="76"/>
      <c r="WIY220" s="76"/>
      <c r="WIZ220" s="76"/>
      <c r="WJA220" s="76"/>
      <c r="WJB220" s="76"/>
      <c r="WJC220" s="76"/>
      <c r="WJD220" s="76"/>
      <c r="WJE220" s="76"/>
      <c r="WJF220" s="76"/>
      <c r="WJG220" s="76"/>
      <c r="WJH220" s="76"/>
      <c r="WJI220" s="76"/>
      <c r="WJJ220" s="76"/>
      <c r="WJK220" s="76"/>
      <c r="WJL220" s="76"/>
      <c r="WJM220" s="76"/>
      <c r="WJN220" s="76"/>
      <c r="WJO220" s="76"/>
      <c r="WJP220" s="76"/>
      <c r="WJQ220" s="76"/>
      <c r="WJR220" s="76"/>
      <c r="WJS220" s="76"/>
      <c r="WJT220" s="76"/>
      <c r="WJU220" s="76"/>
      <c r="WJV220" s="76"/>
      <c r="WJW220" s="76"/>
      <c r="WJX220" s="76"/>
      <c r="WJY220" s="76"/>
      <c r="WJZ220" s="76"/>
      <c r="WKA220" s="76"/>
      <c r="WKB220" s="76"/>
      <c r="WKC220" s="76"/>
      <c r="WKD220" s="76"/>
      <c r="WKE220" s="76"/>
      <c r="WKF220" s="76"/>
      <c r="WKG220" s="76"/>
      <c r="WKH220" s="76"/>
      <c r="WKI220" s="76"/>
      <c r="WKJ220" s="76"/>
      <c r="WKK220" s="76"/>
      <c r="WKL220" s="76"/>
      <c r="WKM220" s="76"/>
      <c r="WKN220" s="76"/>
      <c r="WKO220" s="76"/>
      <c r="WKP220" s="76"/>
      <c r="WKQ220" s="76"/>
      <c r="WKR220" s="76"/>
      <c r="WKS220" s="76"/>
      <c r="WKT220" s="76"/>
      <c r="WKU220" s="76"/>
      <c r="WKV220" s="76"/>
      <c r="WKW220" s="76"/>
      <c r="WKX220" s="76"/>
      <c r="WKY220" s="76"/>
      <c r="WKZ220" s="76"/>
      <c r="WLA220" s="76"/>
      <c r="WLB220" s="76"/>
      <c r="WLC220" s="76"/>
      <c r="WLD220" s="76"/>
      <c r="WLE220" s="76"/>
      <c r="WLF220" s="76"/>
      <c r="WLG220" s="76"/>
      <c r="WLH220" s="76"/>
      <c r="WLI220" s="76"/>
      <c r="WLJ220" s="76"/>
      <c r="WLK220" s="76"/>
      <c r="WLL220" s="76"/>
      <c r="WLM220" s="76"/>
      <c r="WLN220" s="76"/>
      <c r="WLO220" s="76"/>
      <c r="WLP220" s="76"/>
      <c r="WLQ220" s="76"/>
      <c r="WLR220" s="76"/>
      <c r="WLS220" s="76"/>
      <c r="WLT220" s="76"/>
      <c r="WLU220" s="76"/>
      <c r="WLV220" s="76"/>
      <c r="WLW220" s="76"/>
      <c r="WLX220" s="76"/>
      <c r="WLY220" s="76"/>
      <c r="WLZ220" s="76"/>
      <c r="WMA220" s="76"/>
      <c r="WMB220" s="76"/>
      <c r="WMC220" s="76"/>
      <c r="WMD220" s="76"/>
      <c r="WME220" s="76"/>
      <c r="WMF220" s="76"/>
      <c r="WMG220" s="76"/>
      <c r="WMH220" s="76"/>
      <c r="WMI220" s="76"/>
      <c r="WMJ220" s="76"/>
      <c r="WMK220" s="76"/>
      <c r="WML220" s="76"/>
      <c r="WMM220" s="76"/>
      <c r="WMN220" s="76"/>
      <c r="WMO220" s="76"/>
      <c r="WMP220" s="76"/>
      <c r="WMQ220" s="76"/>
      <c r="WMR220" s="76"/>
      <c r="WMS220" s="76"/>
      <c r="WMT220" s="76"/>
      <c r="WMU220" s="76"/>
      <c r="WMV220" s="76"/>
      <c r="WMW220" s="76"/>
      <c r="WMX220" s="76"/>
      <c r="WMY220" s="76"/>
      <c r="WMZ220" s="76"/>
      <c r="WNA220" s="76"/>
      <c r="WNB220" s="76"/>
      <c r="WNC220" s="76"/>
      <c r="WND220" s="76"/>
      <c r="WNE220" s="76"/>
      <c r="WNF220" s="76"/>
      <c r="WNG220" s="76"/>
      <c r="WNH220" s="76"/>
      <c r="WNI220" s="76"/>
      <c r="WNJ220" s="76"/>
      <c r="WNK220" s="76"/>
      <c r="WNL220" s="76"/>
      <c r="WNM220" s="76"/>
      <c r="WNN220" s="76"/>
      <c r="WNO220" s="76"/>
      <c r="WNP220" s="76"/>
      <c r="WNQ220" s="76"/>
      <c r="WNR220" s="76"/>
      <c r="WNS220" s="76"/>
      <c r="WNT220" s="76"/>
      <c r="WNU220" s="76"/>
      <c r="WNV220" s="76"/>
      <c r="WNW220" s="76"/>
      <c r="WNX220" s="76"/>
      <c r="WNY220" s="76"/>
      <c r="WNZ220" s="76"/>
      <c r="WOA220" s="76"/>
      <c r="WOB220" s="76"/>
      <c r="WOC220" s="76"/>
      <c r="WOD220" s="76"/>
      <c r="WOE220" s="76"/>
      <c r="WOF220" s="76"/>
      <c r="WOG220" s="76"/>
      <c r="WOH220" s="76"/>
      <c r="WOI220" s="76"/>
      <c r="WOJ220" s="76"/>
      <c r="WOK220" s="76"/>
      <c r="WOL220" s="76"/>
      <c r="WOM220" s="76"/>
      <c r="WON220" s="76"/>
      <c r="WOO220" s="76"/>
      <c r="WOP220" s="76"/>
      <c r="WOQ220" s="76"/>
      <c r="WOR220" s="76"/>
      <c r="WOS220" s="76"/>
      <c r="WOT220" s="76"/>
      <c r="WOU220" s="76"/>
      <c r="WOV220" s="76"/>
      <c r="WOW220" s="76"/>
      <c r="WOX220" s="76"/>
      <c r="WOY220" s="76"/>
      <c r="WOZ220" s="76"/>
      <c r="WPA220" s="76"/>
      <c r="WPB220" s="76"/>
      <c r="WPC220" s="76"/>
      <c r="WPD220" s="76"/>
      <c r="WPE220" s="76"/>
      <c r="WPF220" s="76"/>
      <c r="WPG220" s="76"/>
      <c r="WPH220" s="76"/>
      <c r="WPI220" s="76"/>
      <c r="WPJ220" s="76"/>
      <c r="WPK220" s="76"/>
      <c r="WPL220" s="76"/>
      <c r="WPM220" s="76"/>
      <c r="WPN220" s="76"/>
      <c r="WPO220" s="76"/>
      <c r="WPP220" s="76"/>
      <c r="WPQ220" s="76"/>
      <c r="WPR220" s="76"/>
      <c r="WPS220" s="76"/>
      <c r="WPT220" s="76"/>
      <c r="WPU220" s="76"/>
      <c r="WPV220" s="76"/>
      <c r="WPW220" s="76"/>
      <c r="WPX220" s="76"/>
      <c r="WPY220" s="76"/>
      <c r="WPZ220" s="76"/>
      <c r="WQA220" s="76"/>
      <c r="WQB220" s="76"/>
      <c r="WQC220" s="76"/>
      <c r="WQD220" s="76"/>
      <c r="WQE220" s="76"/>
      <c r="WQF220" s="76"/>
      <c r="WQG220" s="76"/>
      <c r="WQH220" s="76"/>
      <c r="WQI220" s="76"/>
      <c r="WQJ220" s="76"/>
      <c r="WQK220" s="76"/>
      <c r="WQL220" s="76"/>
      <c r="WQM220" s="76"/>
      <c r="WQN220" s="76"/>
      <c r="WQO220" s="76"/>
      <c r="WQP220" s="76"/>
      <c r="WQQ220" s="76"/>
      <c r="WQR220" s="76"/>
      <c r="WQS220" s="76"/>
      <c r="WQT220" s="76"/>
      <c r="WQU220" s="76"/>
      <c r="WQV220" s="76"/>
      <c r="WQW220" s="76"/>
      <c r="WQX220" s="76"/>
      <c r="WQY220" s="76"/>
      <c r="WQZ220" s="76"/>
      <c r="WRA220" s="76"/>
      <c r="WRB220" s="76"/>
      <c r="WRC220" s="76"/>
      <c r="WRD220" s="76"/>
      <c r="WRE220" s="76"/>
      <c r="WRF220" s="76"/>
      <c r="WRG220" s="76"/>
      <c r="WRH220" s="76"/>
      <c r="WRI220" s="76"/>
      <c r="WRJ220" s="76"/>
      <c r="WRK220" s="76"/>
      <c r="WRL220" s="76"/>
      <c r="WRM220" s="76"/>
      <c r="WRN220" s="76"/>
      <c r="WRO220" s="76"/>
      <c r="WRP220" s="76"/>
      <c r="WRQ220" s="76"/>
      <c r="WRR220" s="76"/>
      <c r="WRS220" s="76"/>
      <c r="WRT220" s="76"/>
      <c r="WRU220" s="76"/>
      <c r="WRV220" s="76"/>
      <c r="WRW220" s="76"/>
      <c r="WRX220" s="76"/>
      <c r="WRY220" s="76"/>
      <c r="WRZ220" s="76"/>
      <c r="WSA220" s="76"/>
      <c r="WSB220" s="76"/>
      <c r="WSC220" s="76"/>
      <c r="WSD220" s="76"/>
      <c r="WSE220" s="76"/>
      <c r="WSF220" s="76"/>
      <c r="WSG220" s="76"/>
      <c r="WSH220" s="76"/>
      <c r="WSI220" s="76"/>
      <c r="WSJ220" s="76"/>
      <c r="WSK220" s="76"/>
      <c r="WSL220" s="76"/>
      <c r="WSM220" s="76"/>
      <c r="WSN220" s="76"/>
      <c r="WSO220" s="76"/>
      <c r="WSP220" s="76"/>
      <c r="WSQ220" s="76"/>
      <c r="WSR220" s="76"/>
      <c r="WSS220" s="76"/>
      <c r="WST220" s="76"/>
      <c r="WSU220" s="76"/>
      <c r="WSV220" s="76"/>
      <c r="WSW220" s="76"/>
      <c r="WSX220" s="76"/>
      <c r="WSY220" s="76"/>
      <c r="WSZ220" s="76"/>
      <c r="WTA220" s="76"/>
      <c r="WTB220" s="76"/>
      <c r="WTC220" s="76"/>
      <c r="WTD220" s="76"/>
      <c r="WTE220" s="76"/>
      <c r="WTF220" s="76"/>
      <c r="WTG220" s="76"/>
      <c r="WTH220" s="76"/>
      <c r="WTI220" s="76"/>
      <c r="WTJ220" s="76"/>
      <c r="WTK220" s="76"/>
      <c r="WTL220" s="76"/>
      <c r="WTM220" s="76"/>
      <c r="WTN220" s="76"/>
      <c r="WTO220" s="76"/>
      <c r="WTP220" s="76"/>
      <c r="WTQ220" s="76"/>
      <c r="WTR220" s="76"/>
      <c r="WTS220" s="76"/>
      <c r="WTT220" s="76"/>
      <c r="WTU220" s="76"/>
      <c r="WTV220" s="76"/>
      <c r="WTW220" s="76"/>
      <c r="WTX220" s="76"/>
      <c r="WTY220" s="76"/>
      <c r="WTZ220" s="76"/>
      <c r="WUA220" s="76"/>
      <c r="WUB220" s="76"/>
      <c r="WUC220" s="76"/>
      <c r="WUD220" s="76"/>
      <c r="WUE220" s="76"/>
      <c r="WUF220" s="76"/>
      <c r="WUG220" s="76"/>
      <c r="WUH220" s="76"/>
      <c r="WUI220" s="76"/>
      <c r="WUJ220" s="76"/>
      <c r="WUK220" s="76"/>
      <c r="WUL220" s="76"/>
      <c r="WUM220" s="76"/>
      <c r="WUN220" s="76"/>
      <c r="WUO220" s="76"/>
      <c r="WUP220" s="76"/>
      <c r="WUQ220" s="76"/>
      <c r="WUR220" s="76"/>
      <c r="WUS220" s="76"/>
      <c r="WUT220" s="76"/>
      <c r="WUU220" s="76"/>
      <c r="WUV220" s="76"/>
      <c r="WUW220" s="76"/>
      <c r="WUX220" s="76"/>
      <c r="WUY220" s="76"/>
      <c r="WUZ220" s="76"/>
      <c r="WVA220" s="76"/>
      <c r="WVB220" s="76"/>
      <c r="WVC220" s="76"/>
      <c r="WVD220" s="76"/>
      <c r="WVE220" s="76"/>
      <c r="WVF220" s="76"/>
      <c r="WVG220" s="76"/>
      <c r="WVH220" s="76"/>
      <c r="WVI220" s="76"/>
      <c r="WVJ220" s="76"/>
      <c r="WVK220" s="76"/>
      <c r="WVL220" s="76"/>
      <c r="WVM220" s="76"/>
      <c r="WVN220" s="76"/>
      <c r="WVO220" s="76"/>
      <c r="WVP220" s="76"/>
      <c r="WVQ220" s="76"/>
      <c r="WVR220" s="76"/>
      <c r="WVS220" s="76"/>
      <c r="WVT220" s="76"/>
      <c r="WVU220" s="76"/>
      <c r="WVV220" s="76"/>
      <c r="WVW220" s="76"/>
      <c r="WVX220" s="76"/>
      <c r="WVY220" s="76"/>
      <c r="WVZ220" s="76"/>
      <c r="WWA220" s="76"/>
      <c r="WWB220" s="76"/>
      <c r="WWC220" s="76"/>
      <c r="WWD220" s="76"/>
      <c r="WWE220" s="76"/>
      <c r="WWF220" s="76"/>
      <c r="WWG220" s="76"/>
      <c r="WWH220" s="76"/>
      <c r="WWI220" s="76"/>
      <c r="WWJ220" s="76"/>
      <c r="WWK220" s="76"/>
      <c r="WWL220" s="76"/>
      <c r="WWM220" s="76"/>
      <c r="WWN220" s="76"/>
      <c r="WWO220" s="76"/>
      <c r="WWP220" s="76"/>
      <c r="WWQ220" s="76"/>
      <c r="WWR220" s="76"/>
      <c r="WWS220" s="76"/>
    </row>
    <row r="221" spans="1:16165" s="83" customFormat="1">
      <c r="A221" s="76"/>
      <c r="B221" s="76"/>
      <c r="C221" s="76"/>
      <c r="D221" s="76"/>
      <c r="E221" s="76"/>
      <c r="F221" s="260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81"/>
      <c r="AB221" s="81"/>
      <c r="AC221" s="81"/>
      <c r="AD221" s="81"/>
      <c r="AE221" s="81"/>
      <c r="AF221" s="81"/>
      <c r="AG221" s="81"/>
      <c r="AH221" s="76"/>
      <c r="AI221" s="81"/>
      <c r="AJ221" s="81"/>
      <c r="AK221" s="81"/>
      <c r="AL221" s="81"/>
      <c r="AM221" s="81"/>
      <c r="AN221" s="82"/>
      <c r="AO221" s="82"/>
      <c r="AP221" s="82"/>
      <c r="AQ221" s="82"/>
      <c r="AR221" s="82"/>
      <c r="AS221" s="82"/>
      <c r="AT221" s="84"/>
      <c r="AU221" s="85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  <c r="CK221" s="76"/>
      <c r="CL221" s="76"/>
      <c r="CM221" s="76"/>
      <c r="CN221" s="76"/>
      <c r="CO221" s="76"/>
      <c r="CP221" s="76"/>
      <c r="CQ221" s="76"/>
      <c r="CR221" s="76"/>
      <c r="CS221" s="76"/>
      <c r="CT221" s="76"/>
      <c r="CU221" s="76"/>
      <c r="CV221" s="76"/>
      <c r="CW221" s="76"/>
      <c r="CX221" s="76"/>
      <c r="CY221" s="76"/>
      <c r="CZ221" s="76"/>
      <c r="DA221" s="76"/>
      <c r="DB221" s="76"/>
      <c r="DC221" s="76"/>
      <c r="DD221" s="76"/>
      <c r="DE221" s="76"/>
      <c r="DF221" s="76"/>
      <c r="DG221" s="76"/>
      <c r="DH221" s="76"/>
      <c r="DI221" s="76"/>
      <c r="DJ221" s="76"/>
      <c r="DK221" s="76"/>
      <c r="DL221" s="76"/>
      <c r="DM221" s="76"/>
      <c r="DN221" s="76"/>
      <c r="DO221" s="76"/>
      <c r="DP221" s="76"/>
      <c r="DQ221" s="76"/>
      <c r="DR221" s="76"/>
      <c r="DS221" s="76"/>
      <c r="DT221" s="76"/>
      <c r="DU221" s="76"/>
      <c r="DV221" s="76"/>
      <c r="DW221" s="76"/>
      <c r="DX221" s="76"/>
      <c r="DY221" s="76"/>
      <c r="DZ221" s="76"/>
      <c r="EA221" s="76"/>
      <c r="EB221" s="76"/>
      <c r="EC221" s="76"/>
      <c r="ED221" s="76"/>
      <c r="EE221" s="76"/>
      <c r="EF221" s="76"/>
      <c r="EG221" s="76"/>
      <c r="EH221" s="76"/>
      <c r="EI221" s="76"/>
      <c r="EJ221" s="76"/>
      <c r="EK221" s="76"/>
      <c r="EL221" s="76"/>
      <c r="EM221" s="76"/>
      <c r="EN221" s="76"/>
      <c r="EO221" s="76"/>
      <c r="EP221" s="76"/>
      <c r="EQ221" s="76"/>
      <c r="ER221" s="76"/>
      <c r="ES221" s="76"/>
      <c r="ET221" s="76"/>
      <c r="EU221" s="76"/>
      <c r="EV221" s="76"/>
      <c r="EW221" s="76"/>
      <c r="EX221" s="76"/>
      <c r="EY221" s="76"/>
      <c r="EZ221" s="76"/>
      <c r="FA221" s="76"/>
      <c r="FB221" s="76"/>
      <c r="FC221" s="76"/>
      <c r="FD221" s="76"/>
      <c r="FE221" s="76"/>
      <c r="FF221" s="76"/>
      <c r="FG221" s="76"/>
      <c r="FH221" s="76"/>
      <c r="FI221" s="76"/>
      <c r="FJ221" s="76"/>
      <c r="FK221" s="76"/>
      <c r="FL221" s="76"/>
      <c r="FM221" s="76"/>
      <c r="FN221" s="76"/>
      <c r="FO221" s="76"/>
      <c r="FP221" s="76"/>
      <c r="FQ221" s="76"/>
      <c r="FR221" s="76"/>
      <c r="FS221" s="76"/>
      <c r="FT221" s="76"/>
      <c r="FU221" s="76"/>
      <c r="FV221" s="76"/>
      <c r="FW221" s="76"/>
      <c r="FX221" s="76"/>
      <c r="FY221" s="76"/>
      <c r="FZ221" s="76"/>
      <c r="GA221" s="76"/>
      <c r="GB221" s="76"/>
      <c r="GC221" s="76"/>
      <c r="GD221" s="76"/>
      <c r="GE221" s="76"/>
      <c r="GF221" s="76"/>
      <c r="GG221" s="76"/>
      <c r="GH221" s="76"/>
      <c r="GI221" s="76"/>
      <c r="GJ221" s="76"/>
      <c r="GK221" s="76"/>
      <c r="GL221" s="76"/>
      <c r="GM221" s="76"/>
      <c r="GN221" s="76"/>
      <c r="GO221" s="76"/>
      <c r="GP221" s="76"/>
      <c r="GQ221" s="76"/>
      <c r="GR221" s="76"/>
      <c r="GS221" s="76"/>
      <c r="GT221" s="76"/>
      <c r="GU221" s="76"/>
      <c r="GV221" s="76"/>
      <c r="GW221" s="76"/>
      <c r="GX221" s="76"/>
      <c r="GY221" s="76"/>
      <c r="GZ221" s="76"/>
      <c r="HA221" s="76"/>
      <c r="HB221" s="76"/>
      <c r="HC221" s="76"/>
      <c r="HD221" s="76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76"/>
      <c r="IX221" s="76"/>
      <c r="IY221" s="76"/>
      <c r="IZ221" s="76"/>
      <c r="JA221" s="76"/>
      <c r="JB221" s="76"/>
      <c r="JC221" s="76"/>
      <c r="JD221" s="76"/>
      <c r="JE221" s="76"/>
      <c r="JF221" s="76"/>
      <c r="JG221" s="76"/>
      <c r="JH221" s="76"/>
      <c r="JI221" s="76"/>
      <c r="JJ221" s="76"/>
      <c r="JK221" s="76"/>
      <c r="JL221" s="76"/>
      <c r="JM221" s="76"/>
      <c r="JN221" s="76"/>
      <c r="JO221" s="76"/>
      <c r="JP221" s="76"/>
      <c r="JQ221" s="76"/>
      <c r="JR221" s="76"/>
      <c r="JS221" s="76"/>
      <c r="JT221" s="76"/>
      <c r="JU221" s="76"/>
      <c r="JV221" s="76"/>
      <c r="JW221" s="76"/>
      <c r="JX221" s="76"/>
      <c r="JY221" s="76"/>
      <c r="JZ221" s="76"/>
      <c r="KA221" s="76"/>
      <c r="KB221" s="76"/>
      <c r="KC221" s="76"/>
      <c r="KD221" s="76"/>
      <c r="KE221" s="76"/>
      <c r="KF221" s="76"/>
      <c r="KG221" s="76"/>
      <c r="KH221" s="76"/>
      <c r="KI221" s="76"/>
      <c r="KJ221" s="76"/>
      <c r="KK221" s="76"/>
      <c r="KL221" s="76"/>
      <c r="KM221" s="76"/>
      <c r="KN221" s="76"/>
      <c r="KO221" s="76"/>
      <c r="KP221" s="76"/>
      <c r="KQ221" s="76"/>
      <c r="KR221" s="76"/>
      <c r="KS221" s="76"/>
      <c r="KT221" s="76"/>
      <c r="KU221" s="76"/>
      <c r="KV221" s="76"/>
      <c r="KW221" s="76"/>
      <c r="KX221" s="76"/>
      <c r="KY221" s="76"/>
      <c r="KZ221" s="76"/>
      <c r="LA221" s="76"/>
      <c r="LB221" s="76"/>
      <c r="LC221" s="76"/>
      <c r="LD221" s="76"/>
      <c r="LE221" s="76"/>
      <c r="LF221" s="76"/>
      <c r="LG221" s="76"/>
      <c r="LH221" s="76"/>
      <c r="LI221" s="76"/>
      <c r="LJ221" s="76"/>
      <c r="LK221" s="76"/>
      <c r="LL221" s="76"/>
      <c r="LM221" s="76"/>
      <c r="LN221" s="76"/>
      <c r="LO221" s="76"/>
      <c r="LP221" s="76"/>
      <c r="LQ221" s="76"/>
      <c r="LR221" s="76"/>
      <c r="LS221" s="76"/>
      <c r="LT221" s="76"/>
      <c r="LU221" s="76"/>
      <c r="LV221" s="76"/>
      <c r="LW221" s="76"/>
      <c r="LX221" s="76"/>
      <c r="LY221" s="76"/>
      <c r="LZ221" s="76"/>
      <c r="MA221" s="76"/>
      <c r="MB221" s="76"/>
      <c r="MC221" s="76"/>
      <c r="MD221" s="76"/>
      <c r="ME221" s="76"/>
      <c r="MF221" s="76"/>
      <c r="MG221" s="76"/>
      <c r="MH221" s="76"/>
      <c r="MI221" s="76"/>
      <c r="MJ221" s="76"/>
      <c r="MK221" s="76"/>
      <c r="ML221" s="76"/>
      <c r="MM221" s="76"/>
      <c r="MN221" s="76"/>
      <c r="MO221" s="76"/>
      <c r="MP221" s="76"/>
      <c r="MQ221" s="76"/>
      <c r="MR221" s="76"/>
      <c r="MS221" s="76"/>
      <c r="MT221" s="76"/>
      <c r="MU221" s="76"/>
      <c r="MV221" s="76"/>
      <c r="MW221" s="76"/>
      <c r="MX221" s="76"/>
      <c r="MY221" s="76"/>
      <c r="MZ221" s="76"/>
      <c r="NA221" s="76"/>
      <c r="NB221" s="76"/>
      <c r="NC221" s="76"/>
      <c r="ND221" s="76"/>
      <c r="NE221" s="76"/>
      <c r="NF221" s="76"/>
      <c r="NG221" s="76"/>
      <c r="NH221" s="76"/>
      <c r="NI221" s="76"/>
      <c r="NJ221" s="76"/>
      <c r="NK221" s="76"/>
      <c r="NL221" s="76"/>
      <c r="NM221" s="76"/>
      <c r="NN221" s="76"/>
      <c r="NO221" s="76"/>
      <c r="NP221" s="76"/>
      <c r="NQ221" s="76"/>
      <c r="NR221" s="76"/>
      <c r="NS221" s="76"/>
      <c r="NT221" s="76"/>
      <c r="NU221" s="76"/>
      <c r="NV221" s="76"/>
      <c r="NW221" s="76"/>
      <c r="NX221" s="76"/>
      <c r="NY221" s="76"/>
      <c r="NZ221" s="76"/>
      <c r="OA221" s="76"/>
      <c r="OB221" s="76"/>
      <c r="OC221" s="76"/>
      <c r="OD221" s="76"/>
      <c r="OE221" s="76"/>
      <c r="OF221" s="76"/>
      <c r="OG221" s="76"/>
      <c r="OH221" s="76"/>
      <c r="OI221" s="76"/>
      <c r="OJ221" s="76"/>
      <c r="OK221" s="76"/>
      <c r="OL221" s="76"/>
      <c r="OM221" s="76"/>
      <c r="ON221" s="76"/>
      <c r="OO221" s="76"/>
      <c r="OP221" s="76"/>
      <c r="OQ221" s="76"/>
      <c r="OR221" s="76"/>
      <c r="OS221" s="76"/>
      <c r="OT221" s="76"/>
      <c r="OU221" s="76"/>
      <c r="OV221" s="76"/>
      <c r="OW221" s="76"/>
      <c r="OX221" s="76"/>
      <c r="OY221" s="76"/>
      <c r="OZ221" s="76"/>
      <c r="PA221" s="76"/>
      <c r="PB221" s="76"/>
      <c r="PC221" s="76"/>
      <c r="PD221" s="76"/>
      <c r="PE221" s="76"/>
      <c r="PF221" s="76"/>
      <c r="PG221" s="76"/>
      <c r="PH221" s="76"/>
      <c r="PI221" s="76"/>
      <c r="PJ221" s="76"/>
      <c r="PK221" s="76"/>
      <c r="PL221" s="76"/>
      <c r="PM221" s="76"/>
      <c r="PN221" s="76"/>
      <c r="PO221" s="76"/>
      <c r="PP221" s="76"/>
      <c r="PQ221" s="76"/>
      <c r="PR221" s="76"/>
      <c r="PS221" s="76"/>
      <c r="PT221" s="76"/>
      <c r="PU221" s="76"/>
      <c r="PV221" s="76"/>
      <c r="PW221" s="76"/>
      <c r="PX221" s="76"/>
      <c r="PY221" s="76"/>
      <c r="PZ221" s="76"/>
      <c r="QA221" s="76"/>
      <c r="QB221" s="76"/>
      <c r="QC221" s="76"/>
      <c r="QD221" s="76"/>
      <c r="QE221" s="76"/>
      <c r="QF221" s="76"/>
      <c r="QG221" s="76"/>
      <c r="QH221" s="76"/>
      <c r="QI221" s="76"/>
      <c r="QJ221" s="76"/>
      <c r="QK221" s="76"/>
      <c r="QL221" s="76"/>
      <c r="QM221" s="76"/>
      <c r="QN221" s="76"/>
      <c r="QO221" s="76"/>
      <c r="QP221" s="76"/>
      <c r="QQ221" s="76"/>
      <c r="QR221" s="76"/>
      <c r="QS221" s="76"/>
      <c r="QT221" s="76"/>
      <c r="QU221" s="76"/>
      <c r="QV221" s="76"/>
      <c r="QW221" s="76"/>
      <c r="QX221" s="76"/>
      <c r="QY221" s="76"/>
      <c r="QZ221" s="76"/>
      <c r="RA221" s="76"/>
      <c r="RB221" s="76"/>
      <c r="RC221" s="76"/>
      <c r="RD221" s="76"/>
      <c r="RE221" s="76"/>
      <c r="RF221" s="76"/>
      <c r="RG221" s="76"/>
      <c r="RH221" s="76"/>
      <c r="RI221" s="76"/>
      <c r="RJ221" s="76"/>
      <c r="RK221" s="76"/>
      <c r="RL221" s="76"/>
      <c r="RM221" s="76"/>
      <c r="RN221" s="76"/>
      <c r="RO221" s="76"/>
      <c r="RP221" s="76"/>
      <c r="RQ221" s="76"/>
      <c r="RR221" s="76"/>
      <c r="RS221" s="76"/>
      <c r="RT221" s="76"/>
      <c r="RU221" s="76"/>
      <c r="RV221" s="76"/>
      <c r="RW221" s="76"/>
      <c r="RX221" s="76"/>
      <c r="RY221" s="76"/>
      <c r="RZ221" s="76"/>
      <c r="SA221" s="76"/>
      <c r="SB221" s="76"/>
      <c r="SC221" s="76"/>
      <c r="SD221" s="76"/>
      <c r="SE221" s="76"/>
      <c r="SF221" s="76"/>
      <c r="SG221" s="76"/>
      <c r="SH221" s="76"/>
      <c r="SI221" s="76"/>
      <c r="SJ221" s="76"/>
      <c r="SK221" s="76"/>
      <c r="SL221" s="76"/>
      <c r="SM221" s="76"/>
      <c r="SN221" s="76"/>
      <c r="SO221" s="76"/>
      <c r="SP221" s="76"/>
      <c r="SQ221" s="76"/>
      <c r="SR221" s="76"/>
      <c r="SS221" s="76"/>
      <c r="ST221" s="76"/>
      <c r="SU221" s="76"/>
      <c r="SV221" s="76"/>
      <c r="SW221" s="76"/>
      <c r="SX221" s="76"/>
      <c r="SY221" s="76"/>
      <c r="SZ221" s="76"/>
      <c r="TA221" s="76"/>
      <c r="TB221" s="76"/>
      <c r="TC221" s="76"/>
      <c r="TD221" s="76"/>
      <c r="TE221" s="76"/>
      <c r="TF221" s="76"/>
      <c r="TG221" s="76"/>
      <c r="TH221" s="76"/>
      <c r="TI221" s="76"/>
      <c r="TJ221" s="76"/>
      <c r="TK221" s="76"/>
      <c r="TL221" s="76"/>
      <c r="TM221" s="76"/>
      <c r="TN221" s="76"/>
      <c r="TO221" s="76"/>
      <c r="TP221" s="76"/>
      <c r="TQ221" s="76"/>
      <c r="TR221" s="76"/>
      <c r="TS221" s="76"/>
      <c r="TT221" s="76"/>
      <c r="TU221" s="76"/>
      <c r="TV221" s="76"/>
      <c r="TW221" s="76"/>
      <c r="TX221" s="76"/>
      <c r="TY221" s="76"/>
      <c r="TZ221" s="76"/>
      <c r="UA221" s="76"/>
      <c r="UB221" s="76"/>
      <c r="UC221" s="76"/>
      <c r="UD221" s="76"/>
      <c r="UE221" s="76"/>
      <c r="UF221" s="76"/>
      <c r="UG221" s="76"/>
      <c r="UH221" s="76"/>
      <c r="UI221" s="76"/>
      <c r="UJ221" s="76"/>
      <c r="UK221" s="76"/>
      <c r="UL221" s="76"/>
      <c r="UM221" s="76"/>
      <c r="UN221" s="76"/>
      <c r="UO221" s="76"/>
      <c r="UP221" s="76"/>
      <c r="UQ221" s="76"/>
      <c r="UR221" s="76"/>
      <c r="US221" s="76"/>
      <c r="UT221" s="76"/>
      <c r="UU221" s="76"/>
      <c r="UV221" s="76"/>
      <c r="UW221" s="76"/>
      <c r="UX221" s="76"/>
      <c r="UY221" s="76"/>
      <c r="UZ221" s="76"/>
      <c r="VA221" s="76"/>
      <c r="VB221" s="76"/>
      <c r="VC221" s="76"/>
      <c r="VD221" s="76"/>
      <c r="VE221" s="76"/>
      <c r="VF221" s="76"/>
      <c r="VG221" s="76"/>
      <c r="VH221" s="76"/>
      <c r="VI221" s="76"/>
      <c r="VJ221" s="76"/>
      <c r="VK221" s="76"/>
      <c r="VL221" s="76"/>
      <c r="VM221" s="76"/>
      <c r="VN221" s="76"/>
      <c r="VO221" s="76"/>
      <c r="VP221" s="76"/>
      <c r="VQ221" s="76"/>
      <c r="VR221" s="76"/>
      <c r="VS221" s="76"/>
      <c r="VT221" s="76"/>
      <c r="VU221" s="76"/>
      <c r="VV221" s="76"/>
      <c r="VW221" s="76"/>
      <c r="VX221" s="76"/>
      <c r="VY221" s="76"/>
      <c r="VZ221" s="76"/>
      <c r="WA221" s="76"/>
      <c r="WB221" s="76"/>
      <c r="WC221" s="76"/>
      <c r="WD221" s="76"/>
      <c r="WE221" s="76"/>
      <c r="WF221" s="76"/>
      <c r="WG221" s="76"/>
      <c r="WH221" s="76"/>
      <c r="WI221" s="76"/>
      <c r="WJ221" s="76"/>
      <c r="WK221" s="76"/>
      <c r="WL221" s="76"/>
      <c r="WM221" s="76"/>
      <c r="WN221" s="76"/>
      <c r="WO221" s="76"/>
      <c r="WP221" s="76"/>
      <c r="WQ221" s="76"/>
      <c r="WR221" s="76"/>
      <c r="WS221" s="76"/>
      <c r="WT221" s="76"/>
      <c r="WU221" s="76"/>
      <c r="WV221" s="76"/>
      <c r="WW221" s="76"/>
      <c r="WX221" s="76"/>
      <c r="WY221" s="76"/>
      <c r="WZ221" s="76"/>
      <c r="XA221" s="76"/>
      <c r="XB221" s="76"/>
      <c r="XC221" s="76"/>
      <c r="XD221" s="76"/>
      <c r="XE221" s="76"/>
      <c r="XF221" s="76"/>
      <c r="XG221" s="76"/>
      <c r="XH221" s="76"/>
      <c r="XI221" s="76"/>
      <c r="XJ221" s="76"/>
      <c r="XK221" s="76"/>
      <c r="XL221" s="76"/>
      <c r="XM221" s="76"/>
      <c r="XN221" s="76"/>
      <c r="XO221" s="76"/>
      <c r="XP221" s="76"/>
      <c r="XQ221" s="76"/>
      <c r="XR221" s="76"/>
      <c r="XS221" s="76"/>
      <c r="XT221" s="76"/>
      <c r="XU221" s="76"/>
      <c r="XV221" s="76"/>
      <c r="XW221" s="76"/>
      <c r="XX221" s="76"/>
      <c r="XY221" s="76"/>
      <c r="XZ221" s="76"/>
      <c r="YA221" s="76"/>
      <c r="YB221" s="76"/>
      <c r="YC221" s="76"/>
      <c r="YD221" s="76"/>
      <c r="YE221" s="76"/>
      <c r="YF221" s="76"/>
      <c r="YG221" s="76"/>
      <c r="YH221" s="76"/>
      <c r="YI221" s="76"/>
      <c r="YJ221" s="76"/>
      <c r="YK221" s="76"/>
      <c r="YL221" s="76"/>
      <c r="YM221" s="76"/>
      <c r="YN221" s="76"/>
      <c r="YO221" s="76"/>
      <c r="YP221" s="76"/>
      <c r="YQ221" s="76"/>
      <c r="YR221" s="76"/>
      <c r="YS221" s="76"/>
      <c r="YT221" s="76"/>
      <c r="YU221" s="76"/>
      <c r="YV221" s="76"/>
      <c r="YW221" s="76"/>
      <c r="YX221" s="76"/>
      <c r="YY221" s="76"/>
      <c r="YZ221" s="76"/>
      <c r="ZA221" s="76"/>
      <c r="ZB221" s="76"/>
      <c r="ZC221" s="76"/>
      <c r="ZD221" s="76"/>
      <c r="ZE221" s="76"/>
      <c r="ZF221" s="76"/>
      <c r="ZG221" s="76"/>
      <c r="ZH221" s="76"/>
      <c r="ZI221" s="76"/>
      <c r="ZJ221" s="76"/>
      <c r="ZK221" s="76"/>
      <c r="ZL221" s="76"/>
      <c r="ZM221" s="76"/>
      <c r="ZN221" s="76"/>
      <c r="ZO221" s="76"/>
      <c r="ZP221" s="76"/>
      <c r="ZQ221" s="76"/>
      <c r="ZR221" s="76"/>
      <c r="ZS221" s="76"/>
      <c r="ZT221" s="76"/>
      <c r="ZU221" s="76"/>
      <c r="ZV221" s="76"/>
      <c r="ZW221" s="76"/>
      <c r="ZX221" s="76"/>
      <c r="ZY221" s="76"/>
      <c r="ZZ221" s="76"/>
      <c r="AAA221" s="76"/>
      <c r="AAB221" s="76"/>
      <c r="AAC221" s="76"/>
      <c r="AAD221" s="76"/>
      <c r="AAE221" s="76"/>
      <c r="AAF221" s="76"/>
      <c r="AAG221" s="76"/>
      <c r="AAH221" s="76"/>
      <c r="AAI221" s="76"/>
      <c r="AAJ221" s="76"/>
      <c r="AAK221" s="76"/>
      <c r="AAL221" s="76"/>
      <c r="AAM221" s="76"/>
      <c r="AAN221" s="76"/>
      <c r="AAO221" s="76"/>
      <c r="AAP221" s="76"/>
      <c r="AAQ221" s="76"/>
      <c r="AAR221" s="76"/>
      <c r="AAS221" s="76"/>
      <c r="AAT221" s="76"/>
      <c r="AAU221" s="76"/>
      <c r="AAV221" s="76"/>
      <c r="AAW221" s="76"/>
      <c r="AAX221" s="76"/>
      <c r="AAY221" s="76"/>
      <c r="AAZ221" s="76"/>
      <c r="ABA221" s="76"/>
      <c r="ABB221" s="76"/>
      <c r="ABC221" s="76"/>
      <c r="ABD221" s="76"/>
      <c r="ABE221" s="76"/>
      <c r="ABF221" s="76"/>
      <c r="ABG221" s="76"/>
      <c r="ABH221" s="76"/>
      <c r="ABI221" s="76"/>
      <c r="ABJ221" s="76"/>
      <c r="ABK221" s="76"/>
      <c r="ABL221" s="76"/>
      <c r="ABM221" s="76"/>
      <c r="ABN221" s="76"/>
      <c r="ABO221" s="76"/>
      <c r="ABP221" s="76"/>
      <c r="ABQ221" s="76"/>
      <c r="ABR221" s="76"/>
      <c r="ABS221" s="76"/>
      <c r="ABT221" s="76"/>
      <c r="ABU221" s="76"/>
      <c r="ABV221" s="76"/>
      <c r="ABW221" s="76"/>
      <c r="ABX221" s="76"/>
      <c r="ABY221" s="76"/>
      <c r="ABZ221" s="76"/>
      <c r="ACA221" s="76"/>
      <c r="ACB221" s="76"/>
      <c r="ACC221" s="76"/>
      <c r="ACD221" s="76"/>
      <c r="ACE221" s="76"/>
      <c r="ACF221" s="76"/>
      <c r="ACG221" s="76"/>
      <c r="ACH221" s="76"/>
      <c r="ACI221" s="76"/>
      <c r="ACJ221" s="76"/>
      <c r="ACK221" s="76"/>
      <c r="ACL221" s="76"/>
      <c r="ACM221" s="76"/>
      <c r="ACN221" s="76"/>
      <c r="ACO221" s="76"/>
      <c r="ACP221" s="76"/>
      <c r="ACQ221" s="76"/>
      <c r="ACR221" s="76"/>
      <c r="ACS221" s="76"/>
      <c r="ACT221" s="76"/>
      <c r="ACU221" s="76"/>
      <c r="ACV221" s="76"/>
      <c r="ACW221" s="76"/>
      <c r="ACX221" s="76"/>
      <c r="ACY221" s="76"/>
      <c r="ACZ221" s="76"/>
      <c r="ADA221" s="76"/>
      <c r="ADB221" s="76"/>
      <c r="ADC221" s="76"/>
      <c r="ADD221" s="76"/>
      <c r="ADE221" s="76"/>
      <c r="ADF221" s="76"/>
      <c r="ADG221" s="76"/>
      <c r="ADH221" s="76"/>
      <c r="ADI221" s="76"/>
      <c r="ADJ221" s="76"/>
      <c r="ADK221" s="76"/>
      <c r="ADL221" s="76"/>
      <c r="ADM221" s="76"/>
      <c r="ADN221" s="76"/>
      <c r="ADO221" s="76"/>
      <c r="ADP221" s="76"/>
      <c r="ADQ221" s="76"/>
      <c r="ADR221" s="76"/>
      <c r="ADS221" s="76"/>
      <c r="ADT221" s="76"/>
      <c r="ADU221" s="76"/>
      <c r="ADV221" s="76"/>
      <c r="ADW221" s="76"/>
      <c r="ADX221" s="76"/>
      <c r="ADY221" s="76"/>
      <c r="ADZ221" s="76"/>
      <c r="AEA221" s="76"/>
      <c r="AEB221" s="76"/>
      <c r="AEC221" s="76"/>
      <c r="AED221" s="76"/>
      <c r="AEE221" s="76"/>
      <c r="AEF221" s="76"/>
      <c r="AEG221" s="76"/>
      <c r="AEH221" s="76"/>
      <c r="AEI221" s="76"/>
      <c r="AEJ221" s="76"/>
      <c r="AEK221" s="76"/>
      <c r="AEL221" s="76"/>
      <c r="AEM221" s="76"/>
      <c r="AEN221" s="76"/>
      <c r="AEO221" s="76"/>
      <c r="AEP221" s="76"/>
      <c r="AEQ221" s="76"/>
      <c r="AER221" s="76"/>
      <c r="AES221" s="76"/>
      <c r="AET221" s="76"/>
      <c r="AEU221" s="76"/>
      <c r="AEV221" s="76"/>
      <c r="AEW221" s="76"/>
      <c r="AEX221" s="76"/>
      <c r="AEY221" s="76"/>
      <c r="AEZ221" s="76"/>
      <c r="AFA221" s="76"/>
      <c r="AFB221" s="76"/>
      <c r="AFC221" s="76"/>
      <c r="AFD221" s="76"/>
      <c r="AFE221" s="76"/>
      <c r="AFF221" s="76"/>
      <c r="AFG221" s="76"/>
      <c r="AFH221" s="76"/>
      <c r="AFI221" s="76"/>
      <c r="AFJ221" s="76"/>
      <c r="AFK221" s="76"/>
      <c r="AFL221" s="76"/>
      <c r="AFM221" s="76"/>
      <c r="AFN221" s="76"/>
      <c r="AFO221" s="76"/>
      <c r="AFP221" s="76"/>
      <c r="AFQ221" s="76"/>
      <c r="AFR221" s="76"/>
      <c r="AFS221" s="76"/>
      <c r="AFT221" s="76"/>
      <c r="AFU221" s="76"/>
      <c r="AFV221" s="76"/>
      <c r="AFW221" s="76"/>
      <c r="AFX221" s="76"/>
      <c r="AFY221" s="76"/>
      <c r="AFZ221" s="76"/>
      <c r="AGA221" s="76"/>
      <c r="AGB221" s="76"/>
      <c r="AGC221" s="76"/>
      <c r="AGD221" s="76"/>
      <c r="AGE221" s="76"/>
      <c r="AGF221" s="76"/>
      <c r="AGG221" s="76"/>
      <c r="AGH221" s="76"/>
      <c r="AGI221" s="76"/>
      <c r="AGJ221" s="76"/>
      <c r="AGK221" s="76"/>
      <c r="AGL221" s="76"/>
      <c r="AGM221" s="76"/>
      <c r="AGN221" s="76"/>
      <c r="AGO221" s="76"/>
      <c r="AGP221" s="76"/>
      <c r="AGQ221" s="76"/>
      <c r="AGR221" s="76"/>
      <c r="AGS221" s="76"/>
      <c r="AGT221" s="76"/>
      <c r="AGU221" s="76"/>
      <c r="AGV221" s="76"/>
      <c r="AGW221" s="76"/>
      <c r="AGX221" s="76"/>
      <c r="AGY221" s="76"/>
      <c r="AGZ221" s="76"/>
      <c r="AHA221" s="76"/>
      <c r="AHB221" s="76"/>
      <c r="AHC221" s="76"/>
      <c r="AHD221" s="76"/>
      <c r="AHE221" s="76"/>
      <c r="AHF221" s="76"/>
      <c r="AHG221" s="76"/>
      <c r="AHH221" s="76"/>
      <c r="AHI221" s="76"/>
      <c r="AHJ221" s="76"/>
      <c r="AHK221" s="76"/>
      <c r="AHL221" s="76"/>
      <c r="AHM221" s="76"/>
      <c r="AHN221" s="76"/>
      <c r="AHO221" s="76"/>
      <c r="AHP221" s="76"/>
      <c r="AHQ221" s="76"/>
      <c r="AHR221" s="76"/>
      <c r="AHS221" s="76"/>
      <c r="AHT221" s="76"/>
      <c r="AHU221" s="76"/>
      <c r="AHV221" s="76"/>
      <c r="AHW221" s="76"/>
      <c r="AHX221" s="76"/>
      <c r="AHY221" s="76"/>
      <c r="AHZ221" s="76"/>
      <c r="AIA221" s="76"/>
      <c r="AIB221" s="76"/>
      <c r="AIC221" s="76"/>
      <c r="AID221" s="76"/>
      <c r="AIE221" s="76"/>
      <c r="AIF221" s="76"/>
      <c r="AIG221" s="76"/>
      <c r="AIH221" s="76"/>
      <c r="AII221" s="76"/>
      <c r="AIJ221" s="76"/>
      <c r="AIK221" s="76"/>
      <c r="AIL221" s="76"/>
      <c r="AIM221" s="76"/>
      <c r="AIN221" s="76"/>
      <c r="AIO221" s="76"/>
      <c r="AIP221" s="76"/>
      <c r="AIQ221" s="76"/>
      <c r="AIR221" s="76"/>
      <c r="AIS221" s="76"/>
      <c r="AIT221" s="76"/>
      <c r="AIU221" s="76"/>
      <c r="AIV221" s="76"/>
      <c r="AIW221" s="76"/>
      <c r="AIX221" s="76"/>
      <c r="AIY221" s="76"/>
      <c r="AIZ221" s="76"/>
      <c r="AJA221" s="76"/>
      <c r="AJB221" s="76"/>
      <c r="AJC221" s="76"/>
      <c r="AJD221" s="76"/>
      <c r="AJE221" s="76"/>
      <c r="AJF221" s="76"/>
      <c r="AJG221" s="76"/>
      <c r="AJH221" s="76"/>
      <c r="AJI221" s="76"/>
      <c r="AJJ221" s="76"/>
      <c r="AJK221" s="76"/>
      <c r="AJL221" s="76"/>
      <c r="AJM221" s="76"/>
      <c r="AJN221" s="76"/>
      <c r="AJO221" s="76"/>
      <c r="AJP221" s="76"/>
      <c r="AJQ221" s="76"/>
      <c r="AJR221" s="76"/>
      <c r="AJS221" s="76"/>
      <c r="AJT221" s="76"/>
      <c r="AJU221" s="76"/>
      <c r="AJV221" s="76"/>
      <c r="AJW221" s="76"/>
      <c r="AJX221" s="76"/>
      <c r="AJY221" s="76"/>
      <c r="AJZ221" s="76"/>
      <c r="AKA221" s="76"/>
      <c r="AKB221" s="76"/>
      <c r="AKC221" s="76"/>
      <c r="AKD221" s="76"/>
      <c r="AKE221" s="76"/>
      <c r="AKF221" s="76"/>
      <c r="AKG221" s="76"/>
      <c r="AKH221" s="76"/>
      <c r="AKI221" s="76"/>
      <c r="AKJ221" s="76"/>
      <c r="AKK221" s="76"/>
      <c r="AKL221" s="76"/>
      <c r="AKM221" s="76"/>
      <c r="AKN221" s="76"/>
      <c r="AKO221" s="76"/>
      <c r="AKP221" s="76"/>
      <c r="AKQ221" s="76"/>
      <c r="AKR221" s="76"/>
      <c r="AKS221" s="76"/>
      <c r="AKT221" s="76"/>
      <c r="AKU221" s="76"/>
      <c r="AKV221" s="76"/>
      <c r="AKW221" s="76"/>
      <c r="AKX221" s="76"/>
      <c r="AKY221" s="76"/>
      <c r="AKZ221" s="76"/>
      <c r="ALA221" s="76"/>
      <c r="ALB221" s="76"/>
      <c r="ALC221" s="76"/>
      <c r="ALD221" s="76"/>
      <c r="ALE221" s="76"/>
      <c r="ALF221" s="76"/>
      <c r="ALG221" s="76"/>
      <c r="ALH221" s="76"/>
      <c r="ALI221" s="76"/>
      <c r="ALJ221" s="76"/>
      <c r="ALK221" s="76"/>
      <c r="ALL221" s="76"/>
      <c r="ALM221" s="76"/>
      <c r="ALN221" s="76"/>
      <c r="ALO221" s="76"/>
      <c r="ALP221" s="76"/>
      <c r="ALQ221" s="76"/>
      <c r="ALR221" s="76"/>
      <c r="ALS221" s="76"/>
      <c r="ALT221" s="76"/>
      <c r="ALU221" s="76"/>
      <c r="ALV221" s="76"/>
      <c r="ALW221" s="76"/>
      <c r="ALX221" s="76"/>
      <c r="ALY221" s="76"/>
      <c r="ALZ221" s="76"/>
      <c r="AMA221" s="76"/>
      <c r="AMB221" s="76"/>
      <c r="AMC221" s="76"/>
      <c r="AMD221" s="76"/>
      <c r="AME221" s="76"/>
      <c r="AMF221" s="76"/>
      <c r="AMG221" s="76"/>
      <c r="AMH221" s="76"/>
      <c r="AMI221" s="76"/>
      <c r="AMJ221" s="76"/>
      <c r="AMK221" s="76"/>
      <c r="AML221" s="76"/>
      <c r="AMM221" s="76"/>
      <c r="AMN221" s="76"/>
      <c r="AMO221" s="76"/>
      <c r="AMP221" s="76"/>
      <c r="AMQ221" s="76"/>
      <c r="AMR221" s="76"/>
      <c r="AMS221" s="76"/>
      <c r="AMT221" s="76"/>
      <c r="AMU221" s="76"/>
      <c r="AMV221" s="76"/>
      <c r="AMW221" s="76"/>
      <c r="AMX221" s="76"/>
      <c r="AMY221" s="76"/>
      <c r="AMZ221" s="76"/>
      <c r="ANA221" s="76"/>
      <c r="ANB221" s="76"/>
      <c r="ANC221" s="76"/>
      <c r="AND221" s="76"/>
      <c r="ANE221" s="76"/>
      <c r="ANF221" s="76"/>
      <c r="ANG221" s="76"/>
      <c r="ANH221" s="76"/>
      <c r="ANI221" s="76"/>
      <c r="ANJ221" s="76"/>
      <c r="ANK221" s="76"/>
      <c r="ANL221" s="76"/>
      <c r="ANM221" s="76"/>
      <c r="ANN221" s="76"/>
      <c r="ANO221" s="76"/>
      <c r="ANP221" s="76"/>
      <c r="ANQ221" s="76"/>
      <c r="ANR221" s="76"/>
      <c r="ANS221" s="76"/>
      <c r="ANT221" s="76"/>
      <c r="ANU221" s="76"/>
      <c r="ANV221" s="76"/>
      <c r="ANW221" s="76"/>
      <c r="ANX221" s="76"/>
      <c r="ANY221" s="76"/>
      <c r="ANZ221" s="76"/>
      <c r="AOA221" s="76"/>
      <c r="AOB221" s="76"/>
      <c r="AOC221" s="76"/>
      <c r="AOD221" s="76"/>
      <c r="AOE221" s="76"/>
      <c r="AOF221" s="76"/>
      <c r="AOG221" s="76"/>
      <c r="AOH221" s="76"/>
      <c r="AOI221" s="76"/>
      <c r="AOJ221" s="76"/>
      <c r="AOK221" s="76"/>
      <c r="AOL221" s="76"/>
      <c r="AOM221" s="76"/>
      <c r="AON221" s="76"/>
      <c r="AOO221" s="76"/>
      <c r="AOP221" s="76"/>
      <c r="AOQ221" s="76"/>
      <c r="AOR221" s="76"/>
      <c r="AOS221" s="76"/>
      <c r="AOT221" s="76"/>
      <c r="AOU221" s="76"/>
      <c r="AOV221" s="76"/>
      <c r="AOW221" s="76"/>
      <c r="AOX221" s="76"/>
      <c r="AOY221" s="76"/>
      <c r="AOZ221" s="76"/>
      <c r="APA221" s="76"/>
      <c r="APB221" s="76"/>
      <c r="APC221" s="76"/>
      <c r="APD221" s="76"/>
      <c r="APE221" s="76"/>
      <c r="APF221" s="76"/>
      <c r="APG221" s="76"/>
      <c r="APH221" s="76"/>
      <c r="API221" s="76"/>
      <c r="APJ221" s="76"/>
      <c r="APK221" s="76"/>
      <c r="APL221" s="76"/>
      <c r="APM221" s="76"/>
      <c r="APN221" s="76"/>
      <c r="APO221" s="76"/>
      <c r="APP221" s="76"/>
      <c r="APQ221" s="76"/>
      <c r="APR221" s="76"/>
      <c r="APS221" s="76"/>
      <c r="APT221" s="76"/>
      <c r="APU221" s="76"/>
      <c r="APV221" s="76"/>
      <c r="APW221" s="76"/>
      <c r="APX221" s="76"/>
      <c r="APY221" s="76"/>
      <c r="APZ221" s="76"/>
      <c r="AQA221" s="76"/>
      <c r="AQB221" s="76"/>
      <c r="AQC221" s="76"/>
      <c r="AQD221" s="76"/>
      <c r="AQE221" s="76"/>
      <c r="AQF221" s="76"/>
      <c r="AQG221" s="76"/>
      <c r="AQH221" s="76"/>
      <c r="AQI221" s="76"/>
      <c r="AQJ221" s="76"/>
      <c r="AQK221" s="76"/>
      <c r="AQL221" s="76"/>
      <c r="AQM221" s="76"/>
      <c r="AQN221" s="76"/>
      <c r="AQO221" s="76"/>
      <c r="AQP221" s="76"/>
      <c r="AQQ221" s="76"/>
      <c r="AQR221" s="76"/>
      <c r="AQS221" s="76"/>
      <c r="AQT221" s="76"/>
      <c r="AQU221" s="76"/>
      <c r="AQV221" s="76"/>
      <c r="AQW221" s="76"/>
      <c r="AQX221" s="76"/>
      <c r="AQY221" s="76"/>
      <c r="AQZ221" s="76"/>
      <c r="ARA221" s="76"/>
      <c r="ARB221" s="76"/>
      <c r="ARC221" s="76"/>
      <c r="ARD221" s="76"/>
      <c r="ARE221" s="76"/>
      <c r="ARF221" s="76"/>
      <c r="ARG221" s="76"/>
      <c r="ARH221" s="76"/>
      <c r="ARI221" s="76"/>
      <c r="ARJ221" s="76"/>
      <c r="ARK221" s="76"/>
      <c r="ARL221" s="76"/>
      <c r="ARM221" s="76"/>
      <c r="ARN221" s="76"/>
      <c r="ARO221" s="76"/>
      <c r="ARP221" s="76"/>
      <c r="ARQ221" s="76"/>
      <c r="ARR221" s="76"/>
      <c r="ARS221" s="76"/>
      <c r="ART221" s="76"/>
      <c r="ARU221" s="76"/>
      <c r="ARV221" s="76"/>
      <c r="ARW221" s="76"/>
      <c r="ARX221" s="76"/>
      <c r="ARY221" s="76"/>
      <c r="ARZ221" s="76"/>
      <c r="ASA221" s="76"/>
      <c r="ASB221" s="76"/>
      <c r="ASC221" s="76"/>
      <c r="ASD221" s="76"/>
      <c r="ASE221" s="76"/>
      <c r="ASF221" s="76"/>
      <c r="ASG221" s="76"/>
      <c r="ASH221" s="76"/>
      <c r="ASI221" s="76"/>
      <c r="ASJ221" s="76"/>
      <c r="ASK221" s="76"/>
      <c r="ASL221" s="76"/>
      <c r="ASM221" s="76"/>
      <c r="ASN221" s="76"/>
      <c r="ASO221" s="76"/>
      <c r="ASP221" s="76"/>
      <c r="ASQ221" s="76"/>
      <c r="ASR221" s="76"/>
      <c r="ASS221" s="76"/>
      <c r="AST221" s="76"/>
      <c r="ASU221" s="76"/>
      <c r="ASV221" s="76"/>
      <c r="ASW221" s="76"/>
      <c r="ASX221" s="76"/>
      <c r="ASY221" s="76"/>
      <c r="ASZ221" s="76"/>
      <c r="ATA221" s="76"/>
      <c r="ATB221" s="76"/>
      <c r="ATC221" s="76"/>
      <c r="ATD221" s="76"/>
      <c r="ATE221" s="76"/>
      <c r="ATF221" s="76"/>
      <c r="ATG221" s="76"/>
      <c r="ATH221" s="76"/>
      <c r="ATI221" s="76"/>
      <c r="ATJ221" s="76"/>
      <c r="ATK221" s="76"/>
      <c r="ATL221" s="76"/>
      <c r="ATM221" s="76"/>
      <c r="ATN221" s="76"/>
      <c r="ATO221" s="76"/>
      <c r="ATP221" s="76"/>
      <c r="ATQ221" s="76"/>
      <c r="ATR221" s="76"/>
      <c r="ATS221" s="76"/>
      <c r="ATT221" s="76"/>
      <c r="ATU221" s="76"/>
      <c r="ATV221" s="76"/>
      <c r="ATW221" s="76"/>
      <c r="ATX221" s="76"/>
      <c r="ATY221" s="76"/>
      <c r="ATZ221" s="76"/>
      <c r="AUA221" s="76"/>
      <c r="AUB221" s="76"/>
      <c r="AUC221" s="76"/>
      <c r="AUD221" s="76"/>
      <c r="AUE221" s="76"/>
      <c r="AUF221" s="76"/>
      <c r="AUG221" s="76"/>
      <c r="AUH221" s="76"/>
      <c r="AUI221" s="76"/>
      <c r="AUJ221" s="76"/>
      <c r="AUK221" s="76"/>
      <c r="AUL221" s="76"/>
      <c r="AUM221" s="76"/>
      <c r="AUN221" s="76"/>
      <c r="AUO221" s="76"/>
      <c r="AUP221" s="76"/>
      <c r="AUQ221" s="76"/>
      <c r="AUR221" s="76"/>
      <c r="AUS221" s="76"/>
      <c r="AUT221" s="76"/>
      <c r="AUU221" s="76"/>
      <c r="AUV221" s="76"/>
      <c r="AUW221" s="76"/>
      <c r="AUX221" s="76"/>
      <c r="AUY221" s="76"/>
      <c r="AUZ221" s="76"/>
      <c r="AVA221" s="76"/>
      <c r="AVB221" s="76"/>
      <c r="AVC221" s="76"/>
      <c r="AVD221" s="76"/>
      <c r="AVE221" s="76"/>
      <c r="AVF221" s="76"/>
      <c r="AVG221" s="76"/>
      <c r="AVH221" s="76"/>
      <c r="AVI221" s="76"/>
      <c r="AVJ221" s="76"/>
      <c r="AVK221" s="76"/>
      <c r="AVL221" s="76"/>
      <c r="AVM221" s="76"/>
      <c r="AVN221" s="76"/>
      <c r="AVO221" s="76"/>
      <c r="AVP221" s="76"/>
      <c r="AVQ221" s="76"/>
      <c r="AVR221" s="76"/>
      <c r="AVS221" s="76"/>
      <c r="AVT221" s="76"/>
      <c r="AVU221" s="76"/>
      <c r="AVV221" s="76"/>
      <c r="AVW221" s="76"/>
      <c r="AVX221" s="76"/>
      <c r="AVY221" s="76"/>
      <c r="AVZ221" s="76"/>
      <c r="AWA221" s="76"/>
      <c r="AWB221" s="76"/>
      <c r="AWC221" s="76"/>
      <c r="AWD221" s="76"/>
      <c r="AWE221" s="76"/>
      <c r="AWF221" s="76"/>
      <c r="AWG221" s="76"/>
      <c r="AWH221" s="76"/>
      <c r="AWI221" s="76"/>
      <c r="AWJ221" s="76"/>
      <c r="AWK221" s="76"/>
      <c r="AWL221" s="76"/>
      <c r="AWM221" s="76"/>
      <c r="AWN221" s="76"/>
      <c r="AWO221" s="76"/>
      <c r="AWP221" s="76"/>
      <c r="AWQ221" s="76"/>
      <c r="AWR221" s="76"/>
      <c r="AWS221" s="76"/>
      <c r="AWT221" s="76"/>
      <c r="AWU221" s="76"/>
      <c r="AWV221" s="76"/>
      <c r="AWW221" s="76"/>
      <c r="AWX221" s="76"/>
      <c r="AWY221" s="76"/>
      <c r="AWZ221" s="76"/>
      <c r="AXA221" s="76"/>
      <c r="AXB221" s="76"/>
      <c r="AXC221" s="76"/>
      <c r="AXD221" s="76"/>
      <c r="AXE221" s="76"/>
      <c r="AXF221" s="76"/>
      <c r="AXG221" s="76"/>
      <c r="AXH221" s="76"/>
      <c r="AXI221" s="76"/>
      <c r="AXJ221" s="76"/>
      <c r="AXK221" s="76"/>
      <c r="AXL221" s="76"/>
      <c r="AXM221" s="76"/>
      <c r="AXN221" s="76"/>
      <c r="AXO221" s="76"/>
      <c r="AXP221" s="76"/>
      <c r="AXQ221" s="76"/>
      <c r="AXR221" s="76"/>
      <c r="AXS221" s="76"/>
      <c r="AXT221" s="76"/>
      <c r="AXU221" s="76"/>
      <c r="AXV221" s="76"/>
      <c r="AXW221" s="76"/>
      <c r="AXX221" s="76"/>
      <c r="AXY221" s="76"/>
      <c r="AXZ221" s="76"/>
      <c r="AYA221" s="76"/>
      <c r="AYB221" s="76"/>
      <c r="AYC221" s="76"/>
      <c r="AYD221" s="76"/>
      <c r="AYE221" s="76"/>
      <c r="AYF221" s="76"/>
      <c r="AYG221" s="76"/>
      <c r="AYH221" s="76"/>
      <c r="AYI221" s="76"/>
      <c r="AYJ221" s="76"/>
      <c r="AYK221" s="76"/>
      <c r="AYL221" s="76"/>
      <c r="AYM221" s="76"/>
      <c r="AYN221" s="76"/>
      <c r="AYO221" s="76"/>
      <c r="AYP221" s="76"/>
      <c r="AYQ221" s="76"/>
      <c r="AYR221" s="76"/>
      <c r="AYS221" s="76"/>
      <c r="AYT221" s="76"/>
      <c r="AYU221" s="76"/>
      <c r="AYV221" s="76"/>
      <c r="AYW221" s="76"/>
      <c r="AYX221" s="76"/>
      <c r="AYY221" s="76"/>
      <c r="AYZ221" s="76"/>
      <c r="AZA221" s="76"/>
      <c r="AZB221" s="76"/>
      <c r="AZC221" s="76"/>
      <c r="AZD221" s="76"/>
      <c r="AZE221" s="76"/>
      <c r="AZF221" s="76"/>
      <c r="AZG221" s="76"/>
      <c r="AZH221" s="76"/>
      <c r="AZI221" s="76"/>
      <c r="AZJ221" s="76"/>
      <c r="AZK221" s="76"/>
      <c r="AZL221" s="76"/>
      <c r="AZM221" s="76"/>
      <c r="AZN221" s="76"/>
      <c r="AZO221" s="76"/>
      <c r="AZP221" s="76"/>
      <c r="AZQ221" s="76"/>
      <c r="AZR221" s="76"/>
      <c r="AZS221" s="76"/>
      <c r="AZT221" s="76"/>
      <c r="AZU221" s="76"/>
      <c r="AZV221" s="76"/>
      <c r="AZW221" s="76"/>
      <c r="AZX221" s="76"/>
      <c r="AZY221" s="76"/>
      <c r="AZZ221" s="76"/>
      <c r="BAA221" s="76"/>
      <c r="BAB221" s="76"/>
      <c r="BAC221" s="76"/>
      <c r="BAD221" s="76"/>
      <c r="BAE221" s="76"/>
      <c r="BAF221" s="76"/>
      <c r="BAG221" s="76"/>
      <c r="BAH221" s="76"/>
      <c r="BAI221" s="76"/>
      <c r="BAJ221" s="76"/>
      <c r="BAK221" s="76"/>
      <c r="BAL221" s="76"/>
      <c r="BAM221" s="76"/>
      <c r="BAN221" s="76"/>
      <c r="BAO221" s="76"/>
      <c r="BAP221" s="76"/>
      <c r="BAQ221" s="76"/>
      <c r="BAR221" s="76"/>
      <c r="BAS221" s="76"/>
      <c r="BAT221" s="76"/>
      <c r="BAU221" s="76"/>
      <c r="BAV221" s="76"/>
      <c r="BAW221" s="76"/>
      <c r="BAX221" s="76"/>
      <c r="BAY221" s="76"/>
      <c r="BAZ221" s="76"/>
      <c r="BBA221" s="76"/>
      <c r="BBB221" s="76"/>
      <c r="BBC221" s="76"/>
      <c r="BBD221" s="76"/>
      <c r="BBE221" s="76"/>
      <c r="BBF221" s="76"/>
      <c r="BBG221" s="76"/>
      <c r="BBH221" s="76"/>
      <c r="BBI221" s="76"/>
      <c r="BBJ221" s="76"/>
      <c r="BBK221" s="76"/>
      <c r="BBL221" s="76"/>
      <c r="BBM221" s="76"/>
      <c r="BBN221" s="76"/>
      <c r="BBO221" s="76"/>
      <c r="BBP221" s="76"/>
      <c r="BBQ221" s="76"/>
      <c r="BBR221" s="76"/>
      <c r="BBS221" s="76"/>
      <c r="BBT221" s="76"/>
      <c r="BBU221" s="76"/>
      <c r="BBV221" s="76"/>
      <c r="BBW221" s="76"/>
      <c r="BBX221" s="76"/>
      <c r="BBY221" s="76"/>
      <c r="BBZ221" s="76"/>
      <c r="BCA221" s="76"/>
      <c r="BCB221" s="76"/>
      <c r="BCC221" s="76"/>
      <c r="BCD221" s="76"/>
      <c r="BCE221" s="76"/>
      <c r="BCF221" s="76"/>
      <c r="BCG221" s="76"/>
      <c r="BCH221" s="76"/>
      <c r="BCI221" s="76"/>
      <c r="BCJ221" s="76"/>
      <c r="BCK221" s="76"/>
      <c r="BCL221" s="76"/>
      <c r="BCM221" s="76"/>
      <c r="BCN221" s="76"/>
      <c r="BCO221" s="76"/>
      <c r="BCP221" s="76"/>
      <c r="BCQ221" s="76"/>
      <c r="BCR221" s="76"/>
      <c r="BCS221" s="76"/>
      <c r="BCT221" s="76"/>
      <c r="BCU221" s="76"/>
      <c r="BCV221" s="76"/>
      <c r="BCW221" s="76"/>
      <c r="BCX221" s="76"/>
      <c r="BCY221" s="76"/>
      <c r="BCZ221" s="76"/>
      <c r="BDA221" s="76"/>
      <c r="BDB221" s="76"/>
      <c r="BDC221" s="76"/>
      <c r="BDD221" s="76"/>
      <c r="BDE221" s="76"/>
      <c r="BDF221" s="76"/>
      <c r="BDG221" s="76"/>
      <c r="BDH221" s="76"/>
      <c r="BDI221" s="76"/>
      <c r="BDJ221" s="76"/>
      <c r="BDK221" s="76"/>
      <c r="BDL221" s="76"/>
      <c r="BDM221" s="76"/>
      <c r="BDN221" s="76"/>
      <c r="BDO221" s="76"/>
      <c r="BDP221" s="76"/>
      <c r="BDQ221" s="76"/>
      <c r="BDR221" s="76"/>
      <c r="BDS221" s="76"/>
      <c r="BDT221" s="76"/>
      <c r="BDU221" s="76"/>
      <c r="BDV221" s="76"/>
      <c r="BDW221" s="76"/>
      <c r="BDX221" s="76"/>
      <c r="BDY221" s="76"/>
      <c r="BDZ221" s="76"/>
      <c r="BEA221" s="76"/>
      <c r="BEB221" s="76"/>
      <c r="BEC221" s="76"/>
      <c r="BED221" s="76"/>
      <c r="BEE221" s="76"/>
      <c r="BEF221" s="76"/>
      <c r="BEG221" s="76"/>
      <c r="BEH221" s="76"/>
      <c r="BEI221" s="76"/>
      <c r="BEJ221" s="76"/>
      <c r="BEK221" s="76"/>
      <c r="BEL221" s="76"/>
      <c r="BEM221" s="76"/>
      <c r="BEN221" s="76"/>
      <c r="BEO221" s="76"/>
      <c r="BEP221" s="76"/>
      <c r="BEQ221" s="76"/>
      <c r="BER221" s="76"/>
      <c r="BES221" s="76"/>
      <c r="BET221" s="76"/>
      <c r="BEU221" s="76"/>
      <c r="BEV221" s="76"/>
      <c r="BEW221" s="76"/>
      <c r="BEX221" s="76"/>
      <c r="BEY221" s="76"/>
      <c r="BEZ221" s="76"/>
      <c r="BFA221" s="76"/>
      <c r="BFB221" s="76"/>
      <c r="BFC221" s="76"/>
      <c r="BFD221" s="76"/>
      <c r="BFE221" s="76"/>
      <c r="BFF221" s="76"/>
      <c r="BFG221" s="76"/>
      <c r="BFH221" s="76"/>
      <c r="BFI221" s="76"/>
      <c r="BFJ221" s="76"/>
      <c r="BFK221" s="76"/>
      <c r="BFL221" s="76"/>
      <c r="BFM221" s="76"/>
      <c r="BFN221" s="76"/>
      <c r="BFO221" s="76"/>
      <c r="BFP221" s="76"/>
      <c r="BFQ221" s="76"/>
      <c r="BFR221" s="76"/>
      <c r="BFS221" s="76"/>
      <c r="BFT221" s="76"/>
      <c r="BFU221" s="76"/>
      <c r="BFV221" s="76"/>
      <c r="BFW221" s="76"/>
      <c r="BFX221" s="76"/>
      <c r="BFY221" s="76"/>
      <c r="BFZ221" s="76"/>
      <c r="BGA221" s="76"/>
      <c r="BGB221" s="76"/>
      <c r="BGC221" s="76"/>
      <c r="BGD221" s="76"/>
      <c r="BGE221" s="76"/>
      <c r="BGF221" s="76"/>
      <c r="BGG221" s="76"/>
      <c r="BGH221" s="76"/>
      <c r="BGI221" s="76"/>
      <c r="BGJ221" s="76"/>
      <c r="BGK221" s="76"/>
      <c r="BGL221" s="76"/>
      <c r="BGM221" s="76"/>
      <c r="BGN221" s="76"/>
      <c r="BGO221" s="76"/>
      <c r="BGP221" s="76"/>
      <c r="BGQ221" s="76"/>
      <c r="BGR221" s="76"/>
      <c r="BGS221" s="76"/>
      <c r="BGT221" s="76"/>
      <c r="BGU221" s="76"/>
      <c r="BGV221" s="76"/>
      <c r="BGW221" s="76"/>
      <c r="BGX221" s="76"/>
      <c r="BGY221" s="76"/>
      <c r="BGZ221" s="76"/>
      <c r="BHA221" s="76"/>
      <c r="BHB221" s="76"/>
      <c r="BHC221" s="76"/>
      <c r="BHD221" s="76"/>
      <c r="BHE221" s="76"/>
      <c r="BHF221" s="76"/>
      <c r="BHG221" s="76"/>
      <c r="BHH221" s="76"/>
      <c r="BHI221" s="76"/>
      <c r="BHJ221" s="76"/>
      <c r="BHK221" s="76"/>
      <c r="BHL221" s="76"/>
      <c r="BHM221" s="76"/>
      <c r="BHN221" s="76"/>
      <c r="BHO221" s="76"/>
      <c r="BHP221" s="76"/>
      <c r="BHQ221" s="76"/>
      <c r="BHR221" s="76"/>
      <c r="BHS221" s="76"/>
      <c r="BHT221" s="76"/>
      <c r="BHU221" s="76"/>
      <c r="BHV221" s="76"/>
      <c r="BHW221" s="76"/>
      <c r="BHX221" s="76"/>
      <c r="BHY221" s="76"/>
      <c r="BHZ221" s="76"/>
      <c r="BIA221" s="76"/>
      <c r="BIB221" s="76"/>
      <c r="BIC221" s="76"/>
      <c r="BID221" s="76"/>
      <c r="BIE221" s="76"/>
      <c r="BIF221" s="76"/>
      <c r="BIG221" s="76"/>
      <c r="BIH221" s="76"/>
      <c r="BII221" s="76"/>
      <c r="BIJ221" s="76"/>
      <c r="BIK221" s="76"/>
      <c r="BIL221" s="76"/>
      <c r="BIM221" s="76"/>
      <c r="BIN221" s="76"/>
      <c r="BIO221" s="76"/>
      <c r="BIP221" s="76"/>
      <c r="BIQ221" s="76"/>
      <c r="BIR221" s="76"/>
      <c r="BIS221" s="76"/>
      <c r="BIT221" s="76"/>
      <c r="BIU221" s="76"/>
      <c r="BIV221" s="76"/>
      <c r="BIW221" s="76"/>
      <c r="BIX221" s="76"/>
      <c r="BIY221" s="76"/>
      <c r="BIZ221" s="76"/>
      <c r="BJA221" s="76"/>
      <c r="BJB221" s="76"/>
      <c r="BJC221" s="76"/>
      <c r="BJD221" s="76"/>
      <c r="BJE221" s="76"/>
      <c r="BJF221" s="76"/>
      <c r="BJG221" s="76"/>
      <c r="BJH221" s="76"/>
      <c r="BJI221" s="76"/>
      <c r="BJJ221" s="76"/>
      <c r="BJK221" s="76"/>
      <c r="BJL221" s="76"/>
      <c r="BJM221" s="76"/>
      <c r="BJN221" s="76"/>
      <c r="BJO221" s="76"/>
      <c r="BJP221" s="76"/>
      <c r="BJQ221" s="76"/>
      <c r="BJR221" s="76"/>
      <c r="BJS221" s="76"/>
      <c r="BJT221" s="76"/>
      <c r="BJU221" s="76"/>
      <c r="BJV221" s="76"/>
      <c r="BJW221" s="76"/>
      <c r="BJX221" s="76"/>
      <c r="BJY221" s="76"/>
      <c r="BJZ221" s="76"/>
      <c r="BKA221" s="76"/>
      <c r="BKB221" s="76"/>
      <c r="BKC221" s="76"/>
      <c r="BKD221" s="76"/>
      <c r="BKE221" s="76"/>
      <c r="BKF221" s="76"/>
      <c r="BKG221" s="76"/>
      <c r="BKH221" s="76"/>
      <c r="BKI221" s="76"/>
      <c r="BKJ221" s="76"/>
      <c r="BKK221" s="76"/>
      <c r="BKL221" s="76"/>
      <c r="BKM221" s="76"/>
      <c r="BKN221" s="76"/>
      <c r="BKO221" s="76"/>
      <c r="BKP221" s="76"/>
      <c r="BKQ221" s="76"/>
      <c r="BKR221" s="76"/>
      <c r="BKS221" s="76"/>
      <c r="BKT221" s="76"/>
      <c r="BKU221" s="76"/>
      <c r="BKV221" s="76"/>
      <c r="BKW221" s="76"/>
      <c r="BKX221" s="76"/>
      <c r="BKY221" s="76"/>
      <c r="BKZ221" s="76"/>
      <c r="BLA221" s="76"/>
      <c r="BLB221" s="76"/>
      <c r="BLC221" s="76"/>
      <c r="BLD221" s="76"/>
      <c r="BLE221" s="76"/>
      <c r="BLF221" s="76"/>
      <c r="BLG221" s="76"/>
      <c r="BLH221" s="76"/>
      <c r="BLI221" s="76"/>
      <c r="BLJ221" s="76"/>
      <c r="BLK221" s="76"/>
      <c r="BLL221" s="76"/>
      <c r="BLM221" s="76"/>
      <c r="BLN221" s="76"/>
      <c r="BLO221" s="76"/>
      <c r="BLP221" s="76"/>
      <c r="BLQ221" s="76"/>
      <c r="BLR221" s="76"/>
      <c r="BLS221" s="76"/>
      <c r="BLT221" s="76"/>
      <c r="BLU221" s="76"/>
      <c r="BLV221" s="76"/>
      <c r="BLW221" s="76"/>
      <c r="BLX221" s="76"/>
      <c r="BLY221" s="76"/>
      <c r="BLZ221" s="76"/>
      <c r="BMA221" s="76"/>
      <c r="BMB221" s="76"/>
      <c r="BMC221" s="76"/>
      <c r="BMD221" s="76"/>
      <c r="BME221" s="76"/>
      <c r="BMF221" s="76"/>
      <c r="BMG221" s="76"/>
      <c r="BMH221" s="76"/>
      <c r="BMI221" s="76"/>
      <c r="BMJ221" s="76"/>
      <c r="BMK221" s="76"/>
      <c r="BML221" s="76"/>
      <c r="BMM221" s="76"/>
      <c r="BMN221" s="76"/>
      <c r="BMO221" s="76"/>
      <c r="BMP221" s="76"/>
      <c r="BMQ221" s="76"/>
      <c r="BMR221" s="76"/>
      <c r="BMS221" s="76"/>
      <c r="BMT221" s="76"/>
      <c r="BMU221" s="76"/>
      <c r="BMV221" s="76"/>
      <c r="BMW221" s="76"/>
      <c r="BMX221" s="76"/>
      <c r="BMY221" s="76"/>
      <c r="BMZ221" s="76"/>
      <c r="BNA221" s="76"/>
      <c r="BNB221" s="76"/>
      <c r="BNC221" s="76"/>
      <c r="BND221" s="76"/>
      <c r="BNE221" s="76"/>
      <c r="BNF221" s="76"/>
      <c r="BNG221" s="76"/>
      <c r="BNH221" s="76"/>
      <c r="BNI221" s="76"/>
      <c r="BNJ221" s="76"/>
      <c r="BNK221" s="76"/>
      <c r="BNL221" s="76"/>
      <c r="BNM221" s="76"/>
      <c r="BNN221" s="76"/>
      <c r="BNO221" s="76"/>
      <c r="BNP221" s="76"/>
      <c r="BNQ221" s="76"/>
      <c r="BNR221" s="76"/>
      <c r="BNS221" s="76"/>
      <c r="BNT221" s="76"/>
      <c r="BNU221" s="76"/>
      <c r="BNV221" s="76"/>
      <c r="BNW221" s="76"/>
      <c r="BNX221" s="76"/>
      <c r="BNY221" s="76"/>
      <c r="BNZ221" s="76"/>
      <c r="BOA221" s="76"/>
      <c r="BOB221" s="76"/>
      <c r="BOC221" s="76"/>
      <c r="BOD221" s="76"/>
      <c r="BOE221" s="76"/>
      <c r="BOF221" s="76"/>
      <c r="BOG221" s="76"/>
      <c r="BOH221" s="76"/>
      <c r="BOI221" s="76"/>
      <c r="BOJ221" s="76"/>
      <c r="BOK221" s="76"/>
      <c r="BOL221" s="76"/>
      <c r="BOM221" s="76"/>
      <c r="BON221" s="76"/>
      <c r="BOO221" s="76"/>
      <c r="BOP221" s="76"/>
      <c r="BOQ221" s="76"/>
      <c r="BOR221" s="76"/>
      <c r="BOS221" s="76"/>
      <c r="BOT221" s="76"/>
      <c r="BOU221" s="76"/>
      <c r="BOV221" s="76"/>
      <c r="BOW221" s="76"/>
      <c r="BOX221" s="76"/>
      <c r="BOY221" s="76"/>
      <c r="BOZ221" s="76"/>
      <c r="BPA221" s="76"/>
      <c r="BPB221" s="76"/>
      <c r="BPC221" s="76"/>
      <c r="BPD221" s="76"/>
      <c r="BPE221" s="76"/>
      <c r="BPF221" s="76"/>
      <c r="BPG221" s="76"/>
      <c r="BPH221" s="76"/>
      <c r="BPI221" s="76"/>
      <c r="BPJ221" s="76"/>
      <c r="BPK221" s="76"/>
      <c r="BPL221" s="76"/>
      <c r="BPM221" s="76"/>
      <c r="BPN221" s="76"/>
      <c r="BPO221" s="76"/>
      <c r="BPP221" s="76"/>
      <c r="BPQ221" s="76"/>
      <c r="BPR221" s="76"/>
      <c r="BPS221" s="76"/>
      <c r="BPT221" s="76"/>
      <c r="BPU221" s="76"/>
      <c r="BPV221" s="76"/>
      <c r="BPW221" s="76"/>
      <c r="BPX221" s="76"/>
      <c r="BPY221" s="76"/>
      <c r="BPZ221" s="76"/>
      <c r="BQA221" s="76"/>
      <c r="BQB221" s="76"/>
      <c r="BQC221" s="76"/>
      <c r="BQD221" s="76"/>
      <c r="BQE221" s="76"/>
      <c r="BQF221" s="76"/>
      <c r="BQG221" s="76"/>
      <c r="BQH221" s="76"/>
      <c r="BQI221" s="76"/>
      <c r="BQJ221" s="76"/>
      <c r="BQK221" s="76"/>
      <c r="BQL221" s="76"/>
      <c r="BQM221" s="76"/>
      <c r="BQN221" s="76"/>
      <c r="BQO221" s="76"/>
      <c r="BQP221" s="76"/>
      <c r="BQQ221" s="76"/>
      <c r="BQR221" s="76"/>
      <c r="BQS221" s="76"/>
      <c r="BQT221" s="76"/>
      <c r="BQU221" s="76"/>
      <c r="BQV221" s="76"/>
      <c r="BQW221" s="76"/>
      <c r="BQX221" s="76"/>
      <c r="BQY221" s="76"/>
      <c r="BQZ221" s="76"/>
      <c r="BRA221" s="76"/>
      <c r="BRB221" s="76"/>
      <c r="BRC221" s="76"/>
      <c r="BRD221" s="76"/>
      <c r="BRE221" s="76"/>
      <c r="BRF221" s="76"/>
      <c r="BRG221" s="76"/>
      <c r="BRH221" s="76"/>
      <c r="BRI221" s="76"/>
      <c r="BRJ221" s="76"/>
      <c r="BRK221" s="76"/>
      <c r="BRL221" s="76"/>
      <c r="BRM221" s="76"/>
      <c r="BRN221" s="76"/>
      <c r="BRO221" s="76"/>
      <c r="BRP221" s="76"/>
      <c r="BRQ221" s="76"/>
      <c r="BRR221" s="76"/>
      <c r="BRS221" s="76"/>
      <c r="BRT221" s="76"/>
      <c r="BRU221" s="76"/>
      <c r="BRV221" s="76"/>
      <c r="BRW221" s="76"/>
      <c r="BRX221" s="76"/>
      <c r="BRY221" s="76"/>
      <c r="BRZ221" s="76"/>
      <c r="BSA221" s="76"/>
      <c r="BSB221" s="76"/>
      <c r="BSC221" s="76"/>
      <c r="BSD221" s="76"/>
      <c r="BSE221" s="76"/>
      <c r="BSF221" s="76"/>
      <c r="BSG221" s="76"/>
      <c r="BSH221" s="76"/>
      <c r="BSI221" s="76"/>
      <c r="BSJ221" s="76"/>
      <c r="BSK221" s="76"/>
      <c r="BSL221" s="76"/>
      <c r="BSM221" s="76"/>
      <c r="BSN221" s="76"/>
      <c r="BSO221" s="76"/>
      <c r="BSP221" s="76"/>
      <c r="BSQ221" s="76"/>
      <c r="BSR221" s="76"/>
      <c r="BSS221" s="76"/>
      <c r="BST221" s="76"/>
      <c r="BSU221" s="76"/>
      <c r="BSV221" s="76"/>
      <c r="BSW221" s="76"/>
      <c r="BSX221" s="76"/>
      <c r="BSY221" s="76"/>
      <c r="BSZ221" s="76"/>
      <c r="BTA221" s="76"/>
      <c r="BTB221" s="76"/>
      <c r="BTC221" s="76"/>
      <c r="BTD221" s="76"/>
      <c r="BTE221" s="76"/>
      <c r="BTF221" s="76"/>
      <c r="BTG221" s="76"/>
      <c r="BTH221" s="76"/>
      <c r="BTI221" s="76"/>
      <c r="BTJ221" s="76"/>
      <c r="BTK221" s="76"/>
      <c r="BTL221" s="76"/>
      <c r="BTM221" s="76"/>
      <c r="BTN221" s="76"/>
      <c r="BTO221" s="76"/>
      <c r="BTP221" s="76"/>
      <c r="BTQ221" s="76"/>
      <c r="BTR221" s="76"/>
      <c r="BTS221" s="76"/>
      <c r="BTT221" s="76"/>
      <c r="BTU221" s="76"/>
      <c r="BTV221" s="76"/>
      <c r="BTW221" s="76"/>
      <c r="BTX221" s="76"/>
      <c r="BTY221" s="76"/>
      <c r="BTZ221" s="76"/>
      <c r="BUA221" s="76"/>
      <c r="BUB221" s="76"/>
      <c r="BUC221" s="76"/>
      <c r="BUD221" s="76"/>
      <c r="BUE221" s="76"/>
      <c r="BUF221" s="76"/>
      <c r="BUG221" s="76"/>
      <c r="BUH221" s="76"/>
      <c r="BUI221" s="76"/>
      <c r="BUJ221" s="76"/>
      <c r="BUK221" s="76"/>
      <c r="BUL221" s="76"/>
      <c r="BUM221" s="76"/>
      <c r="BUN221" s="76"/>
      <c r="BUO221" s="76"/>
      <c r="BUP221" s="76"/>
      <c r="BUQ221" s="76"/>
      <c r="BUR221" s="76"/>
      <c r="BUS221" s="76"/>
      <c r="BUT221" s="76"/>
      <c r="BUU221" s="76"/>
      <c r="BUV221" s="76"/>
      <c r="BUW221" s="76"/>
      <c r="BUX221" s="76"/>
      <c r="BUY221" s="76"/>
      <c r="BUZ221" s="76"/>
      <c r="BVA221" s="76"/>
      <c r="BVB221" s="76"/>
      <c r="BVC221" s="76"/>
      <c r="BVD221" s="76"/>
      <c r="BVE221" s="76"/>
      <c r="BVF221" s="76"/>
      <c r="BVG221" s="76"/>
      <c r="BVH221" s="76"/>
      <c r="BVI221" s="76"/>
      <c r="BVJ221" s="76"/>
      <c r="BVK221" s="76"/>
      <c r="BVL221" s="76"/>
      <c r="BVM221" s="76"/>
      <c r="BVN221" s="76"/>
      <c r="BVO221" s="76"/>
      <c r="BVP221" s="76"/>
      <c r="BVQ221" s="76"/>
      <c r="BVR221" s="76"/>
      <c r="BVS221" s="76"/>
      <c r="BVT221" s="76"/>
      <c r="BVU221" s="76"/>
      <c r="BVV221" s="76"/>
      <c r="BVW221" s="76"/>
      <c r="BVX221" s="76"/>
      <c r="BVY221" s="76"/>
      <c r="BVZ221" s="76"/>
      <c r="BWA221" s="76"/>
      <c r="BWB221" s="76"/>
      <c r="BWC221" s="76"/>
      <c r="BWD221" s="76"/>
      <c r="BWE221" s="76"/>
      <c r="BWF221" s="76"/>
      <c r="BWG221" s="76"/>
      <c r="BWH221" s="76"/>
      <c r="BWI221" s="76"/>
      <c r="BWJ221" s="76"/>
      <c r="BWK221" s="76"/>
      <c r="BWL221" s="76"/>
      <c r="BWM221" s="76"/>
      <c r="BWN221" s="76"/>
      <c r="BWO221" s="76"/>
      <c r="BWP221" s="76"/>
      <c r="BWQ221" s="76"/>
      <c r="BWR221" s="76"/>
      <c r="BWS221" s="76"/>
      <c r="BWT221" s="76"/>
      <c r="BWU221" s="76"/>
      <c r="BWV221" s="76"/>
      <c r="BWW221" s="76"/>
      <c r="BWX221" s="76"/>
      <c r="BWY221" s="76"/>
      <c r="BWZ221" s="76"/>
      <c r="BXA221" s="76"/>
      <c r="BXB221" s="76"/>
      <c r="BXC221" s="76"/>
      <c r="BXD221" s="76"/>
      <c r="BXE221" s="76"/>
      <c r="BXF221" s="76"/>
      <c r="BXG221" s="76"/>
      <c r="BXH221" s="76"/>
      <c r="BXI221" s="76"/>
      <c r="BXJ221" s="76"/>
      <c r="BXK221" s="76"/>
      <c r="BXL221" s="76"/>
      <c r="BXM221" s="76"/>
      <c r="BXN221" s="76"/>
      <c r="BXO221" s="76"/>
      <c r="BXP221" s="76"/>
      <c r="BXQ221" s="76"/>
      <c r="BXR221" s="76"/>
      <c r="BXS221" s="76"/>
      <c r="BXT221" s="76"/>
      <c r="BXU221" s="76"/>
      <c r="BXV221" s="76"/>
      <c r="BXW221" s="76"/>
      <c r="BXX221" s="76"/>
      <c r="BXY221" s="76"/>
      <c r="BXZ221" s="76"/>
      <c r="BYA221" s="76"/>
      <c r="BYB221" s="76"/>
      <c r="BYC221" s="76"/>
      <c r="BYD221" s="76"/>
      <c r="BYE221" s="76"/>
      <c r="BYF221" s="76"/>
      <c r="BYG221" s="76"/>
      <c r="BYH221" s="76"/>
      <c r="BYI221" s="76"/>
      <c r="BYJ221" s="76"/>
      <c r="BYK221" s="76"/>
      <c r="BYL221" s="76"/>
      <c r="BYM221" s="76"/>
      <c r="BYN221" s="76"/>
      <c r="BYO221" s="76"/>
      <c r="BYP221" s="76"/>
      <c r="BYQ221" s="76"/>
      <c r="BYR221" s="76"/>
      <c r="BYS221" s="76"/>
      <c r="BYT221" s="76"/>
      <c r="BYU221" s="76"/>
      <c r="BYV221" s="76"/>
      <c r="BYW221" s="76"/>
      <c r="BYX221" s="76"/>
      <c r="BYY221" s="76"/>
      <c r="BYZ221" s="76"/>
      <c r="BZA221" s="76"/>
      <c r="BZB221" s="76"/>
      <c r="BZC221" s="76"/>
      <c r="BZD221" s="76"/>
      <c r="BZE221" s="76"/>
      <c r="BZF221" s="76"/>
      <c r="BZG221" s="76"/>
      <c r="BZH221" s="76"/>
      <c r="BZI221" s="76"/>
      <c r="BZJ221" s="76"/>
      <c r="BZK221" s="76"/>
      <c r="BZL221" s="76"/>
      <c r="BZM221" s="76"/>
      <c r="BZN221" s="76"/>
      <c r="BZO221" s="76"/>
      <c r="BZP221" s="76"/>
      <c r="BZQ221" s="76"/>
      <c r="BZR221" s="76"/>
      <c r="BZS221" s="76"/>
      <c r="BZT221" s="76"/>
      <c r="BZU221" s="76"/>
      <c r="BZV221" s="76"/>
      <c r="BZW221" s="76"/>
      <c r="BZX221" s="76"/>
      <c r="BZY221" s="76"/>
      <c r="BZZ221" s="76"/>
      <c r="CAA221" s="76"/>
      <c r="CAB221" s="76"/>
      <c r="CAC221" s="76"/>
      <c r="CAD221" s="76"/>
      <c r="CAE221" s="76"/>
      <c r="CAF221" s="76"/>
      <c r="CAG221" s="76"/>
      <c r="CAH221" s="76"/>
      <c r="CAI221" s="76"/>
      <c r="CAJ221" s="76"/>
      <c r="CAK221" s="76"/>
      <c r="CAL221" s="76"/>
      <c r="CAM221" s="76"/>
      <c r="CAN221" s="76"/>
      <c r="CAO221" s="76"/>
      <c r="CAP221" s="76"/>
      <c r="CAQ221" s="76"/>
      <c r="CAR221" s="76"/>
      <c r="CAS221" s="76"/>
      <c r="CAT221" s="76"/>
      <c r="CAU221" s="76"/>
      <c r="CAV221" s="76"/>
      <c r="CAW221" s="76"/>
      <c r="CAX221" s="76"/>
      <c r="CAY221" s="76"/>
      <c r="CAZ221" s="76"/>
      <c r="CBA221" s="76"/>
      <c r="CBB221" s="76"/>
      <c r="CBC221" s="76"/>
      <c r="CBD221" s="76"/>
      <c r="CBE221" s="76"/>
      <c r="CBF221" s="76"/>
      <c r="CBG221" s="76"/>
      <c r="CBH221" s="76"/>
      <c r="CBI221" s="76"/>
      <c r="CBJ221" s="76"/>
      <c r="CBK221" s="76"/>
      <c r="CBL221" s="76"/>
      <c r="CBM221" s="76"/>
      <c r="CBN221" s="76"/>
      <c r="CBO221" s="76"/>
      <c r="CBP221" s="76"/>
      <c r="CBQ221" s="76"/>
      <c r="CBR221" s="76"/>
      <c r="CBS221" s="76"/>
      <c r="CBT221" s="76"/>
      <c r="CBU221" s="76"/>
      <c r="CBV221" s="76"/>
      <c r="CBW221" s="76"/>
      <c r="CBX221" s="76"/>
      <c r="CBY221" s="76"/>
      <c r="CBZ221" s="76"/>
      <c r="CCA221" s="76"/>
      <c r="CCB221" s="76"/>
      <c r="CCC221" s="76"/>
      <c r="CCD221" s="76"/>
      <c r="CCE221" s="76"/>
      <c r="CCF221" s="76"/>
      <c r="CCG221" s="76"/>
      <c r="CCH221" s="76"/>
      <c r="CCI221" s="76"/>
      <c r="CCJ221" s="76"/>
      <c r="CCK221" s="76"/>
      <c r="CCL221" s="76"/>
      <c r="CCM221" s="76"/>
      <c r="CCN221" s="76"/>
      <c r="CCO221" s="76"/>
      <c r="CCP221" s="76"/>
      <c r="CCQ221" s="76"/>
      <c r="CCR221" s="76"/>
      <c r="CCS221" s="76"/>
      <c r="CCT221" s="76"/>
      <c r="CCU221" s="76"/>
      <c r="CCV221" s="76"/>
      <c r="CCW221" s="76"/>
      <c r="CCX221" s="76"/>
      <c r="CCY221" s="76"/>
      <c r="CCZ221" s="76"/>
      <c r="CDA221" s="76"/>
      <c r="CDB221" s="76"/>
      <c r="CDC221" s="76"/>
      <c r="CDD221" s="76"/>
      <c r="CDE221" s="76"/>
      <c r="CDF221" s="76"/>
      <c r="CDG221" s="76"/>
      <c r="CDH221" s="76"/>
      <c r="CDI221" s="76"/>
      <c r="CDJ221" s="76"/>
      <c r="CDK221" s="76"/>
      <c r="CDL221" s="76"/>
      <c r="CDM221" s="76"/>
      <c r="CDN221" s="76"/>
      <c r="CDO221" s="76"/>
      <c r="CDP221" s="76"/>
      <c r="CDQ221" s="76"/>
      <c r="CDR221" s="76"/>
      <c r="CDS221" s="76"/>
      <c r="CDT221" s="76"/>
      <c r="CDU221" s="76"/>
      <c r="CDV221" s="76"/>
      <c r="CDW221" s="76"/>
      <c r="CDX221" s="76"/>
      <c r="CDY221" s="76"/>
      <c r="CDZ221" s="76"/>
      <c r="CEA221" s="76"/>
      <c r="CEB221" s="76"/>
      <c r="CEC221" s="76"/>
      <c r="CED221" s="76"/>
      <c r="CEE221" s="76"/>
      <c r="CEF221" s="76"/>
      <c r="CEG221" s="76"/>
      <c r="CEH221" s="76"/>
      <c r="CEI221" s="76"/>
      <c r="CEJ221" s="76"/>
      <c r="CEK221" s="76"/>
      <c r="CEL221" s="76"/>
      <c r="CEM221" s="76"/>
      <c r="CEN221" s="76"/>
      <c r="CEO221" s="76"/>
      <c r="CEP221" s="76"/>
      <c r="CEQ221" s="76"/>
      <c r="CER221" s="76"/>
      <c r="CES221" s="76"/>
      <c r="CET221" s="76"/>
      <c r="CEU221" s="76"/>
      <c r="CEV221" s="76"/>
      <c r="CEW221" s="76"/>
      <c r="CEX221" s="76"/>
      <c r="CEY221" s="76"/>
      <c r="CEZ221" s="76"/>
      <c r="CFA221" s="76"/>
      <c r="CFB221" s="76"/>
      <c r="CFC221" s="76"/>
      <c r="CFD221" s="76"/>
      <c r="CFE221" s="76"/>
      <c r="CFF221" s="76"/>
      <c r="CFG221" s="76"/>
      <c r="CFH221" s="76"/>
      <c r="CFI221" s="76"/>
      <c r="CFJ221" s="76"/>
      <c r="CFK221" s="76"/>
      <c r="CFL221" s="76"/>
      <c r="CFM221" s="76"/>
      <c r="CFN221" s="76"/>
      <c r="CFO221" s="76"/>
      <c r="CFP221" s="76"/>
      <c r="CFQ221" s="76"/>
      <c r="CFR221" s="76"/>
      <c r="CFS221" s="76"/>
      <c r="CFT221" s="76"/>
      <c r="CFU221" s="76"/>
      <c r="CFV221" s="76"/>
      <c r="CFW221" s="76"/>
      <c r="CFX221" s="76"/>
      <c r="CFY221" s="76"/>
      <c r="CFZ221" s="76"/>
      <c r="CGA221" s="76"/>
      <c r="CGB221" s="76"/>
      <c r="CGC221" s="76"/>
      <c r="CGD221" s="76"/>
      <c r="CGE221" s="76"/>
      <c r="CGF221" s="76"/>
      <c r="CGG221" s="76"/>
      <c r="CGH221" s="76"/>
      <c r="CGI221" s="76"/>
      <c r="CGJ221" s="76"/>
      <c r="CGK221" s="76"/>
      <c r="CGL221" s="76"/>
      <c r="CGM221" s="76"/>
      <c r="CGN221" s="76"/>
      <c r="CGO221" s="76"/>
      <c r="CGP221" s="76"/>
      <c r="CGQ221" s="76"/>
      <c r="CGR221" s="76"/>
      <c r="CGS221" s="76"/>
      <c r="CGT221" s="76"/>
      <c r="CGU221" s="76"/>
      <c r="CGV221" s="76"/>
      <c r="CGW221" s="76"/>
      <c r="CGX221" s="76"/>
      <c r="CGY221" s="76"/>
      <c r="CGZ221" s="76"/>
      <c r="CHA221" s="76"/>
      <c r="CHB221" s="76"/>
      <c r="CHC221" s="76"/>
      <c r="CHD221" s="76"/>
      <c r="CHE221" s="76"/>
      <c r="CHF221" s="76"/>
      <c r="CHG221" s="76"/>
      <c r="CHH221" s="76"/>
      <c r="CHI221" s="76"/>
      <c r="CHJ221" s="76"/>
      <c r="CHK221" s="76"/>
      <c r="CHL221" s="76"/>
      <c r="CHM221" s="76"/>
      <c r="CHN221" s="76"/>
      <c r="CHO221" s="76"/>
      <c r="CHP221" s="76"/>
      <c r="CHQ221" s="76"/>
      <c r="CHR221" s="76"/>
      <c r="CHS221" s="76"/>
      <c r="CHT221" s="76"/>
      <c r="CHU221" s="76"/>
      <c r="CHV221" s="76"/>
      <c r="CHW221" s="76"/>
      <c r="CHX221" s="76"/>
      <c r="CHY221" s="76"/>
      <c r="CHZ221" s="76"/>
      <c r="CIA221" s="76"/>
      <c r="CIB221" s="76"/>
      <c r="CIC221" s="76"/>
      <c r="CID221" s="76"/>
      <c r="CIE221" s="76"/>
      <c r="CIF221" s="76"/>
      <c r="CIG221" s="76"/>
      <c r="CIH221" s="76"/>
      <c r="CII221" s="76"/>
      <c r="CIJ221" s="76"/>
      <c r="CIK221" s="76"/>
      <c r="CIL221" s="76"/>
      <c r="CIM221" s="76"/>
      <c r="CIN221" s="76"/>
      <c r="CIO221" s="76"/>
      <c r="CIP221" s="76"/>
      <c r="CIQ221" s="76"/>
      <c r="CIR221" s="76"/>
      <c r="CIS221" s="76"/>
      <c r="CIT221" s="76"/>
      <c r="CIU221" s="76"/>
      <c r="CIV221" s="76"/>
      <c r="CIW221" s="76"/>
      <c r="CIX221" s="76"/>
      <c r="CIY221" s="76"/>
      <c r="CIZ221" s="76"/>
      <c r="CJA221" s="76"/>
      <c r="CJB221" s="76"/>
      <c r="CJC221" s="76"/>
      <c r="CJD221" s="76"/>
      <c r="CJE221" s="76"/>
      <c r="CJF221" s="76"/>
      <c r="CJG221" s="76"/>
      <c r="CJH221" s="76"/>
      <c r="CJI221" s="76"/>
      <c r="CJJ221" s="76"/>
      <c r="CJK221" s="76"/>
      <c r="CJL221" s="76"/>
      <c r="CJM221" s="76"/>
      <c r="CJN221" s="76"/>
      <c r="CJO221" s="76"/>
      <c r="CJP221" s="76"/>
      <c r="CJQ221" s="76"/>
      <c r="CJR221" s="76"/>
      <c r="CJS221" s="76"/>
      <c r="CJT221" s="76"/>
      <c r="CJU221" s="76"/>
      <c r="CJV221" s="76"/>
      <c r="CJW221" s="76"/>
      <c r="CJX221" s="76"/>
      <c r="CJY221" s="76"/>
      <c r="CJZ221" s="76"/>
      <c r="CKA221" s="76"/>
      <c r="CKB221" s="76"/>
      <c r="CKC221" s="76"/>
      <c r="CKD221" s="76"/>
      <c r="CKE221" s="76"/>
      <c r="CKF221" s="76"/>
      <c r="CKG221" s="76"/>
      <c r="CKH221" s="76"/>
      <c r="CKI221" s="76"/>
      <c r="CKJ221" s="76"/>
      <c r="CKK221" s="76"/>
      <c r="CKL221" s="76"/>
      <c r="CKM221" s="76"/>
      <c r="CKN221" s="76"/>
      <c r="CKO221" s="76"/>
      <c r="CKP221" s="76"/>
      <c r="CKQ221" s="76"/>
      <c r="CKR221" s="76"/>
      <c r="CKS221" s="76"/>
      <c r="CKT221" s="76"/>
      <c r="CKU221" s="76"/>
      <c r="CKV221" s="76"/>
      <c r="CKW221" s="76"/>
      <c r="CKX221" s="76"/>
      <c r="CKY221" s="76"/>
      <c r="CKZ221" s="76"/>
      <c r="CLA221" s="76"/>
      <c r="CLB221" s="76"/>
      <c r="CLC221" s="76"/>
      <c r="CLD221" s="76"/>
      <c r="CLE221" s="76"/>
      <c r="CLF221" s="76"/>
      <c r="CLG221" s="76"/>
      <c r="CLH221" s="76"/>
      <c r="CLI221" s="76"/>
      <c r="CLJ221" s="76"/>
      <c r="CLK221" s="76"/>
      <c r="CLL221" s="76"/>
      <c r="CLM221" s="76"/>
      <c r="CLN221" s="76"/>
      <c r="CLO221" s="76"/>
      <c r="CLP221" s="76"/>
      <c r="CLQ221" s="76"/>
      <c r="CLR221" s="76"/>
      <c r="CLS221" s="76"/>
      <c r="CLT221" s="76"/>
      <c r="CLU221" s="76"/>
      <c r="CLV221" s="76"/>
      <c r="CLW221" s="76"/>
      <c r="CLX221" s="76"/>
      <c r="CLY221" s="76"/>
      <c r="CLZ221" s="76"/>
      <c r="CMA221" s="76"/>
      <c r="CMB221" s="76"/>
      <c r="CMC221" s="76"/>
      <c r="CMD221" s="76"/>
      <c r="CME221" s="76"/>
      <c r="CMF221" s="76"/>
      <c r="CMG221" s="76"/>
      <c r="CMH221" s="76"/>
      <c r="CMI221" s="76"/>
      <c r="CMJ221" s="76"/>
      <c r="CMK221" s="76"/>
      <c r="CML221" s="76"/>
      <c r="CMM221" s="76"/>
      <c r="CMN221" s="76"/>
      <c r="CMO221" s="76"/>
      <c r="CMP221" s="76"/>
      <c r="CMQ221" s="76"/>
      <c r="CMR221" s="76"/>
      <c r="CMS221" s="76"/>
      <c r="CMT221" s="76"/>
      <c r="CMU221" s="76"/>
      <c r="CMV221" s="76"/>
      <c r="CMW221" s="76"/>
      <c r="CMX221" s="76"/>
      <c r="CMY221" s="76"/>
      <c r="CMZ221" s="76"/>
      <c r="CNA221" s="76"/>
      <c r="CNB221" s="76"/>
      <c r="CNC221" s="76"/>
      <c r="CND221" s="76"/>
      <c r="CNE221" s="76"/>
      <c r="CNF221" s="76"/>
      <c r="CNG221" s="76"/>
      <c r="CNH221" s="76"/>
      <c r="CNI221" s="76"/>
      <c r="CNJ221" s="76"/>
      <c r="CNK221" s="76"/>
      <c r="CNL221" s="76"/>
      <c r="CNM221" s="76"/>
      <c r="CNN221" s="76"/>
      <c r="CNO221" s="76"/>
      <c r="CNP221" s="76"/>
      <c r="CNQ221" s="76"/>
      <c r="CNR221" s="76"/>
      <c r="CNS221" s="76"/>
      <c r="CNT221" s="76"/>
      <c r="CNU221" s="76"/>
      <c r="CNV221" s="76"/>
      <c r="CNW221" s="76"/>
      <c r="CNX221" s="76"/>
      <c r="CNY221" s="76"/>
      <c r="CNZ221" s="76"/>
      <c r="COA221" s="76"/>
      <c r="COB221" s="76"/>
      <c r="COC221" s="76"/>
      <c r="COD221" s="76"/>
      <c r="COE221" s="76"/>
      <c r="COF221" s="76"/>
      <c r="COG221" s="76"/>
      <c r="COH221" s="76"/>
      <c r="COI221" s="76"/>
      <c r="COJ221" s="76"/>
      <c r="COK221" s="76"/>
      <c r="COL221" s="76"/>
      <c r="COM221" s="76"/>
      <c r="CON221" s="76"/>
      <c r="COO221" s="76"/>
      <c r="COP221" s="76"/>
      <c r="COQ221" s="76"/>
      <c r="COR221" s="76"/>
      <c r="COS221" s="76"/>
      <c r="COT221" s="76"/>
      <c r="COU221" s="76"/>
      <c r="COV221" s="76"/>
      <c r="COW221" s="76"/>
      <c r="COX221" s="76"/>
      <c r="COY221" s="76"/>
      <c r="COZ221" s="76"/>
      <c r="CPA221" s="76"/>
      <c r="CPB221" s="76"/>
      <c r="CPC221" s="76"/>
      <c r="CPD221" s="76"/>
      <c r="CPE221" s="76"/>
      <c r="CPF221" s="76"/>
      <c r="CPG221" s="76"/>
      <c r="CPH221" s="76"/>
      <c r="CPI221" s="76"/>
      <c r="CPJ221" s="76"/>
      <c r="CPK221" s="76"/>
      <c r="CPL221" s="76"/>
      <c r="CPM221" s="76"/>
      <c r="CPN221" s="76"/>
      <c r="CPO221" s="76"/>
      <c r="CPP221" s="76"/>
      <c r="CPQ221" s="76"/>
      <c r="CPR221" s="76"/>
      <c r="CPS221" s="76"/>
      <c r="CPT221" s="76"/>
      <c r="CPU221" s="76"/>
      <c r="CPV221" s="76"/>
      <c r="CPW221" s="76"/>
      <c r="CPX221" s="76"/>
      <c r="CPY221" s="76"/>
      <c r="CPZ221" s="76"/>
      <c r="CQA221" s="76"/>
      <c r="CQB221" s="76"/>
      <c r="CQC221" s="76"/>
      <c r="CQD221" s="76"/>
      <c r="CQE221" s="76"/>
      <c r="CQF221" s="76"/>
      <c r="CQG221" s="76"/>
      <c r="CQH221" s="76"/>
      <c r="CQI221" s="76"/>
      <c r="CQJ221" s="76"/>
      <c r="CQK221" s="76"/>
      <c r="CQL221" s="76"/>
      <c r="CQM221" s="76"/>
      <c r="CQN221" s="76"/>
      <c r="CQO221" s="76"/>
      <c r="CQP221" s="76"/>
      <c r="CQQ221" s="76"/>
      <c r="CQR221" s="76"/>
      <c r="CQS221" s="76"/>
      <c r="CQT221" s="76"/>
      <c r="CQU221" s="76"/>
      <c r="CQV221" s="76"/>
      <c r="CQW221" s="76"/>
      <c r="CQX221" s="76"/>
      <c r="CQY221" s="76"/>
      <c r="CQZ221" s="76"/>
      <c r="CRA221" s="76"/>
      <c r="CRB221" s="76"/>
      <c r="CRC221" s="76"/>
      <c r="CRD221" s="76"/>
      <c r="CRE221" s="76"/>
      <c r="CRF221" s="76"/>
      <c r="CRG221" s="76"/>
      <c r="CRH221" s="76"/>
      <c r="CRI221" s="76"/>
      <c r="CRJ221" s="76"/>
      <c r="CRK221" s="76"/>
      <c r="CRL221" s="76"/>
      <c r="CRM221" s="76"/>
      <c r="CRN221" s="76"/>
      <c r="CRO221" s="76"/>
      <c r="CRP221" s="76"/>
      <c r="CRQ221" s="76"/>
      <c r="CRR221" s="76"/>
      <c r="CRS221" s="76"/>
      <c r="CRT221" s="76"/>
      <c r="CRU221" s="76"/>
      <c r="CRV221" s="76"/>
      <c r="CRW221" s="76"/>
      <c r="CRX221" s="76"/>
      <c r="CRY221" s="76"/>
      <c r="CRZ221" s="76"/>
      <c r="CSA221" s="76"/>
      <c r="CSB221" s="76"/>
      <c r="CSC221" s="76"/>
      <c r="CSD221" s="76"/>
      <c r="CSE221" s="76"/>
      <c r="CSF221" s="76"/>
      <c r="CSG221" s="76"/>
      <c r="CSH221" s="76"/>
      <c r="CSI221" s="76"/>
      <c r="CSJ221" s="76"/>
      <c r="CSK221" s="76"/>
      <c r="CSL221" s="76"/>
      <c r="CSM221" s="76"/>
      <c r="CSN221" s="76"/>
      <c r="CSO221" s="76"/>
      <c r="CSP221" s="76"/>
      <c r="CSQ221" s="76"/>
      <c r="CSR221" s="76"/>
      <c r="CSS221" s="76"/>
      <c r="CST221" s="76"/>
      <c r="CSU221" s="76"/>
      <c r="CSV221" s="76"/>
      <c r="CSW221" s="76"/>
      <c r="CSX221" s="76"/>
      <c r="CSY221" s="76"/>
      <c r="CSZ221" s="76"/>
      <c r="CTA221" s="76"/>
      <c r="CTB221" s="76"/>
      <c r="CTC221" s="76"/>
      <c r="CTD221" s="76"/>
      <c r="CTE221" s="76"/>
      <c r="CTF221" s="76"/>
      <c r="CTG221" s="76"/>
      <c r="CTH221" s="76"/>
      <c r="CTI221" s="76"/>
      <c r="CTJ221" s="76"/>
      <c r="CTK221" s="76"/>
      <c r="CTL221" s="76"/>
      <c r="CTM221" s="76"/>
      <c r="CTN221" s="76"/>
      <c r="CTO221" s="76"/>
      <c r="CTP221" s="76"/>
      <c r="CTQ221" s="76"/>
      <c r="CTR221" s="76"/>
      <c r="CTS221" s="76"/>
      <c r="CTT221" s="76"/>
      <c r="CTU221" s="76"/>
      <c r="CTV221" s="76"/>
      <c r="CTW221" s="76"/>
      <c r="CTX221" s="76"/>
      <c r="CTY221" s="76"/>
      <c r="CTZ221" s="76"/>
      <c r="CUA221" s="76"/>
      <c r="CUB221" s="76"/>
      <c r="CUC221" s="76"/>
      <c r="CUD221" s="76"/>
      <c r="CUE221" s="76"/>
      <c r="CUF221" s="76"/>
      <c r="CUG221" s="76"/>
      <c r="CUH221" s="76"/>
      <c r="CUI221" s="76"/>
      <c r="CUJ221" s="76"/>
      <c r="CUK221" s="76"/>
      <c r="CUL221" s="76"/>
      <c r="CUM221" s="76"/>
      <c r="CUN221" s="76"/>
      <c r="CUO221" s="76"/>
      <c r="CUP221" s="76"/>
      <c r="CUQ221" s="76"/>
      <c r="CUR221" s="76"/>
      <c r="CUS221" s="76"/>
      <c r="CUT221" s="76"/>
      <c r="CUU221" s="76"/>
      <c r="CUV221" s="76"/>
      <c r="CUW221" s="76"/>
      <c r="CUX221" s="76"/>
      <c r="CUY221" s="76"/>
      <c r="CUZ221" s="76"/>
      <c r="CVA221" s="76"/>
      <c r="CVB221" s="76"/>
      <c r="CVC221" s="76"/>
      <c r="CVD221" s="76"/>
      <c r="CVE221" s="76"/>
      <c r="CVF221" s="76"/>
      <c r="CVG221" s="76"/>
      <c r="CVH221" s="76"/>
      <c r="CVI221" s="76"/>
      <c r="CVJ221" s="76"/>
      <c r="CVK221" s="76"/>
      <c r="CVL221" s="76"/>
      <c r="CVM221" s="76"/>
      <c r="CVN221" s="76"/>
      <c r="CVO221" s="76"/>
      <c r="CVP221" s="76"/>
      <c r="CVQ221" s="76"/>
      <c r="CVR221" s="76"/>
      <c r="CVS221" s="76"/>
      <c r="CVT221" s="76"/>
      <c r="CVU221" s="76"/>
      <c r="CVV221" s="76"/>
      <c r="CVW221" s="76"/>
      <c r="CVX221" s="76"/>
      <c r="CVY221" s="76"/>
      <c r="CVZ221" s="76"/>
      <c r="CWA221" s="76"/>
      <c r="CWB221" s="76"/>
      <c r="CWC221" s="76"/>
      <c r="CWD221" s="76"/>
      <c r="CWE221" s="76"/>
      <c r="CWF221" s="76"/>
      <c r="CWG221" s="76"/>
      <c r="CWH221" s="76"/>
      <c r="CWI221" s="76"/>
      <c r="CWJ221" s="76"/>
      <c r="CWK221" s="76"/>
      <c r="CWL221" s="76"/>
      <c r="CWM221" s="76"/>
      <c r="CWN221" s="76"/>
      <c r="CWO221" s="76"/>
      <c r="CWP221" s="76"/>
      <c r="CWQ221" s="76"/>
      <c r="CWR221" s="76"/>
      <c r="CWS221" s="76"/>
      <c r="CWT221" s="76"/>
      <c r="CWU221" s="76"/>
      <c r="CWV221" s="76"/>
      <c r="CWW221" s="76"/>
      <c r="CWX221" s="76"/>
      <c r="CWY221" s="76"/>
      <c r="CWZ221" s="76"/>
      <c r="CXA221" s="76"/>
      <c r="CXB221" s="76"/>
      <c r="CXC221" s="76"/>
      <c r="CXD221" s="76"/>
      <c r="CXE221" s="76"/>
      <c r="CXF221" s="76"/>
      <c r="CXG221" s="76"/>
      <c r="CXH221" s="76"/>
      <c r="CXI221" s="76"/>
      <c r="CXJ221" s="76"/>
      <c r="CXK221" s="76"/>
      <c r="CXL221" s="76"/>
      <c r="CXM221" s="76"/>
      <c r="CXN221" s="76"/>
      <c r="CXO221" s="76"/>
      <c r="CXP221" s="76"/>
      <c r="CXQ221" s="76"/>
      <c r="CXR221" s="76"/>
      <c r="CXS221" s="76"/>
      <c r="CXT221" s="76"/>
      <c r="CXU221" s="76"/>
      <c r="CXV221" s="76"/>
      <c r="CXW221" s="76"/>
      <c r="CXX221" s="76"/>
      <c r="CXY221" s="76"/>
      <c r="CXZ221" s="76"/>
      <c r="CYA221" s="76"/>
      <c r="CYB221" s="76"/>
      <c r="CYC221" s="76"/>
      <c r="CYD221" s="76"/>
      <c r="CYE221" s="76"/>
      <c r="CYF221" s="76"/>
      <c r="CYG221" s="76"/>
      <c r="CYH221" s="76"/>
      <c r="CYI221" s="76"/>
      <c r="CYJ221" s="76"/>
      <c r="CYK221" s="76"/>
      <c r="CYL221" s="76"/>
      <c r="CYM221" s="76"/>
      <c r="CYN221" s="76"/>
      <c r="CYO221" s="76"/>
      <c r="CYP221" s="76"/>
      <c r="CYQ221" s="76"/>
      <c r="CYR221" s="76"/>
      <c r="CYS221" s="76"/>
      <c r="CYT221" s="76"/>
      <c r="CYU221" s="76"/>
      <c r="CYV221" s="76"/>
      <c r="CYW221" s="76"/>
      <c r="CYX221" s="76"/>
      <c r="CYY221" s="76"/>
      <c r="CYZ221" s="76"/>
      <c r="CZA221" s="76"/>
      <c r="CZB221" s="76"/>
      <c r="CZC221" s="76"/>
      <c r="CZD221" s="76"/>
      <c r="CZE221" s="76"/>
      <c r="CZF221" s="76"/>
      <c r="CZG221" s="76"/>
      <c r="CZH221" s="76"/>
      <c r="CZI221" s="76"/>
      <c r="CZJ221" s="76"/>
      <c r="CZK221" s="76"/>
      <c r="CZL221" s="76"/>
      <c r="CZM221" s="76"/>
      <c r="CZN221" s="76"/>
      <c r="CZO221" s="76"/>
      <c r="CZP221" s="76"/>
      <c r="CZQ221" s="76"/>
      <c r="CZR221" s="76"/>
      <c r="CZS221" s="76"/>
      <c r="CZT221" s="76"/>
      <c r="CZU221" s="76"/>
      <c r="CZV221" s="76"/>
      <c r="CZW221" s="76"/>
      <c r="CZX221" s="76"/>
      <c r="CZY221" s="76"/>
      <c r="CZZ221" s="76"/>
      <c r="DAA221" s="76"/>
      <c r="DAB221" s="76"/>
      <c r="DAC221" s="76"/>
      <c r="DAD221" s="76"/>
      <c r="DAE221" s="76"/>
      <c r="DAF221" s="76"/>
      <c r="DAG221" s="76"/>
      <c r="DAH221" s="76"/>
      <c r="DAI221" s="76"/>
      <c r="DAJ221" s="76"/>
      <c r="DAK221" s="76"/>
      <c r="DAL221" s="76"/>
      <c r="DAM221" s="76"/>
      <c r="DAN221" s="76"/>
      <c r="DAO221" s="76"/>
      <c r="DAP221" s="76"/>
      <c r="DAQ221" s="76"/>
      <c r="DAR221" s="76"/>
      <c r="DAS221" s="76"/>
      <c r="DAT221" s="76"/>
      <c r="DAU221" s="76"/>
      <c r="DAV221" s="76"/>
      <c r="DAW221" s="76"/>
      <c r="DAX221" s="76"/>
      <c r="DAY221" s="76"/>
      <c r="DAZ221" s="76"/>
      <c r="DBA221" s="76"/>
      <c r="DBB221" s="76"/>
      <c r="DBC221" s="76"/>
      <c r="DBD221" s="76"/>
      <c r="DBE221" s="76"/>
      <c r="DBF221" s="76"/>
      <c r="DBG221" s="76"/>
      <c r="DBH221" s="76"/>
      <c r="DBI221" s="76"/>
      <c r="DBJ221" s="76"/>
      <c r="DBK221" s="76"/>
      <c r="DBL221" s="76"/>
      <c r="DBM221" s="76"/>
      <c r="DBN221" s="76"/>
      <c r="DBO221" s="76"/>
      <c r="DBP221" s="76"/>
      <c r="DBQ221" s="76"/>
      <c r="DBR221" s="76"/>
      <c r="DBS221" s="76"/>
      <c r="DBT221" s="76"/>
      <c r="DBU221" s="76"/>
      <c r="DBV221" s="76"/>
      <c r="DBW221" s="76"/>
      <c r="DBX221" s="76"/>
      <c r="DBY221" s="76"/>
      <c r="DBZ221" s="76"/>
      <c r="DCA221" s="76"/>
      <c r="DCB221" s="76"/>
      <c r="DCC221" s="76"/>
      <c r="DCD221" s="76"/>
      <c r="DCE221" s="76"/>
      <c r="DCF221" s="76"/>
      <c r="DCG221" s="76"/>
      <c r="DCH221" s="76"/>
      <c r="DCI221" s="76"/>
      <c r="DCJ221" s="76"/>
      <c r="DCK221" s="76"/>
      <c r="DCL221" s="76"/>
      <c r="DCM221" s="76"/>
      <c r="DCN221" s="76"/>
      <c r="DCO221" s="76"/>
      <c r="DCP221" s="76"/>
      <c r="DCQ221" s="76"/>
      <c r="DCR221" s="76"/>
      <c r="DCS221" s="76"/>
      <c r="DCT221" s="76"/>
      <c r="DCU221" s="76"/>
      <c r="DCV221" s="76"/>
      <c r="DCW221" s="76"/>
      <c r="DCX221" s="76"/>
      <c r="DCY221" s="76"/>
      <c r="DCZ221" s="76"/>
      <c r="DDA221" s="76"/>
      <c r="DDB221" s="76"/>
      <c r="DDC221" s="76"/>
      <c r="DDD221" s="76"/>
      <c r="DDE221" s="76"/>
      <c r="DDF221" s="76"/>
      <c r="DDG221" s="76"/>
      <c r="DDH221" s="76"/>
      <c r="DDI221" s="76"/>
      <c r="DDJ221" s="76"/>
      <c r="DDK221" s="76"/>
      <c r="DDL221" s="76"/>
      <c r="DDM221" s="76"/>
      <c r="DDN221" s="76"/>
      <c r="DDO221" s="76"/>
      <c r="DDP221" s="76"/>
      <c r="DDQ221" s="76"/>
      <c r="DDR221" s="76"/>
      <c r="DDS221" s="76"/>
      <c r="DDT221" s="76"/>
      <c r="DDU221" s="76"/>
      <c r="DDV221" s="76"/>
      <c r="DDW221" s="76"/>
      <c r="DDX221" s="76"/>
      <c r="DDY221" s="76"/>
      <c r="DDZ221" s="76"/>
      <c r="DEA221" s="76"/>
      <c r="DEB221" s="76"/>
      <c r="DEC221" s="76"/>
      <c r="DED221" s="76"/>
      <c r="DEE221" s="76"/>
      <c r="DEF221" s="76"/>
      <c r="DEG221" s="76"/>
      <c r="DEH221" s="76"/>
      <c r="DEI221" s="76"/>
      <c r="DEJ221" s="76"/>
      <c r="DEK221" s="76"/>
      <c r="DEL221" s="76"/>
      <c r="DEM221" s="76"/>
      <c r="DEN221" s="76"/>
      <c r="DEO221" s="76"/>
      <c r="DEP221" s="76"/>
      <c r="DEQ221" s="76"/>
      <c r="DER221" s="76"/>
      <c r="DES221" s="76"/>
      <c r="DET221" s="76"/>
      <c r="DEU221" s="76"/>
      <c r="DEV221" s="76"/>
      <c r="DEW221" s="76"/>
      <c r="DEX221" s="76"/>
      <c r="DEY221" s="76"/>
      <c r="DEZ221" s="76"/>
      <c r="DFA221" s="76"/>
      <c r="DFB221" s="76"/>
      <c r="DFC221" s="76"/>
      <c r="DFD221" s="76"/>
      <c r="DFE221" s="76"/>
      <c r="DFF221" s="76"/>
      <c r="DFG221" s="76"/>
      <c r="DFH221" s="76"/>
      <c r="DFI221" s="76"/>
      <c r="DFJ221" s="76"/>
      <c r="DFK221" s="76"/>
      <c r="DFL221" s="76"/>
      <c r="DFM221" s="76"/>
      <c r="DFN221" s="76"/>
      <c r="DFO221" s="76"/>
      <c r="DFP221" s="76"/>
      <c r="DFQ221" s="76"/>
      <c r="DFR221" s="76"/>
      <c r="DFS221" s="76"/>
      <c r="DFT221" s="76"/>
      <c r="DFU221" s="76"/>
      <c r="DFV221" s="76"/>
      <c r="DFW221" s="76"/>
      <c r="DFX221" s="76"/>
      <c r="DFY221" s="76"/>
      <c r="DFZ221" s="76"/>
      <c r="DGA221" s="76"/>
      <c r="DGB221" s="76"/>
      <c r="DGC221" s="76"/>
      <c r="DGD221" s="76"/>
      <c r="DGE221" s="76"/>
      <c r="DGF221" s="76"/>
      <c r="DGG221" s="76"/>
      <c r="DGH221" s="76"/>
      <c r="DGI221" s="76"/>
      <c r="DGJ221" s="76"/>
      <c r="DGK221" s="76"/>
      <c r="DGL221" s="76"/>
      <c r="DGM221" s="76"/>
      <c r="DGN221" s="76"/>
      <c r="DGO221" s="76"/>
      <c r="DGP221" s="76"/>
      <c r="DGQ221" s="76"/>
      <c r="DGR221" s="76"/>
      <c r="DGS221" s="76"/>
      <c r="DGT221" s="76"/>
      <c r="DGU221" s="76"/>
      <c r="DGV221" s="76"/>
      <c r="DGW221" s="76"/>
      <c r="DGX221" s="76"/>
      <c r="DGY221" s="76"/>
      <c r="DGZ221" s="76"/>
      <c r="DHA221" s="76"/>
      <c r="DHB221" s="76"/>
      <c r="DHC221" s="76"/>
      <c r="DHD221" s="76"/>
      <c r="DHE221" s="76"/>
      <c r="DHF221" s="76"/>
      <c r="DHG221" s="76"/>
      <c r="DHH221" s="76"/>
      <c r="DHI221" s="76"/>
      <c r="DHJ221" s="76"/>
      <c r="DHK221" s="76"/>
      <c r="DHL221" s="76"/>
      <c r="DHM221" s="76"/>
      <c r="DHN221" s="76"/>
      <c r="DHO221" s="76"/>
      <c r="DHP221" s="76"/>
      <c r="DHQ221" s="76"/>
      <c r="DHR221" s="76"/>
      <c r="DHS221" s="76"/>
      <c r="DHT221" s="76"/>
      <c r="DHU221" s="76"/>
      <c r="DHV221" s="76"/>
      <c r="DHW221" s="76"/>
      <c r="DHX221" s="76"/>
      <c r="DHY221" s="76"/>
      <c r="DHZ221" s="76"/>
      <c r="DIA221" s="76"/>
      <c r="DIB221" s="76"/>
      <c r="DIC221" s="76"/>
      <c r="DID221" s="76"/>
      <c r="DIE221" s="76"/>
      <c r="DIF221" s="76"/>
      <c r="DIG221" s="76"/>
      <c r="DIH221" s="76"/>
      <c r="DII221" s="76"/>
      <c r="DIJ221" s="76"/>
      <c r="DIK221" s="76"/>
      <c r="DIL221" s="76"/>
      <c r="DIM221" s="76"/>
      <c r="DIN221" s="76"/>
      <c r="DIO221" s="76"/>
      <c r="DIP221" s="76"/>
      <c r="DIQ221" s="76"/>
      <c r="DIR221" s="76"/>
      <c r="DIS221" s="76"/>
      <c r="DIT221" s="76"/>
      <c r="DIU221" s="76"/>
      <c r="DIV221" s="76"/>
      <c r="DIW221" s="76"/>
      <c r="DIX221" s="76"/>
      <c r="DIY221" s="76"/>
      <c r="DIZ221" s="76"/>
      <c r="DJA221" s="76"/>
      <c r="DJB221" s="76"/>
      <c r="DJC221" s="76"/>
      <c r="DJD221" s="76"/>
      <c r="DJE221" s="76"/>
      <c r="DJF221" s="76"/>
      <c r="DJG221" s="76"/>
      <c r="DJH221" s="76"/>
      <c r="DJI221" s="76"/>
      <c r="DJJ221" s="76"/>
      <c r="DJK221" s="76"/>
      <c r="DJL221" s="76"/>
      <c r="DJM221" s="76"/>
      <c r="DJN221" s="76"/>
      <c r="DJO221" s="76"/>
      <c r="DJP221" s="76"/>
      <c r="DJQ221" s="76"/>
      <c r="DJR221" s="76"/>
      <c r="DJS221" s="76"/>
      <c r="DJT221" s="76"/>
      <c r="DJU221" s="76"/>
      <c r="DJV221" s="76"/>
      <c r="DJW221" s="76"/>
      <c r="DJX221" s="76"/>
      <c r="DJY221" s="76"/>
      <c r="DJZ221" s="76"/>
      <c r="DKA221" s="76"/>
      <c r="DKB221" s="76"/>
      <c r="DKC221" s="76"/>
      <c r="DKD221" s="76"/>
      <c r="DKE221" s="76"/>
      <c r="DKF221" s="76"/>
      <c r="DKG221" s="76"/>
      <c r="DKH221" s="76"/>
      <c r="DKI221" s="76"/>
      <c r="DKJ221" s="76"/>
      <c r="DKK221" s="76"/>
      <c r="DKL221" s="76"/>
      <c r="DKM221" s="76"/>
      <c r="DKN221" s="76"/>
      <c r="DKO221" s="76"/>
      <c r="DKP221" s="76"/>
      <c r="DKQ221" s="76"/>
      <c r="DKR221" s="76"/>
      <c r="DKS221" s="76"/>
      <c r="DKT221" s="76"/>
      <c r="DKU221" s="76"/>
      <c r="DKV221" s="76"/>
      <c r="DKW221" s="76"/>
      <c r="DKX221" s="76"/>
      <c r="DKY221" s="76"/>
      <c r="DKZ221" s="76"/>
      <c r="DLA221" s="76"/>
      <c r="DLB221" s="76"/>
      <c r="DLC221" s="76"/>
      <c r="DLD221" s="76"/>
      <c r="DLE221" s="76"/>
      <c r="DLF221" s="76"/>
      <c r="DLG221" s="76"/>
      <c r="DLH221" s="76"/>
      <c r="DLI221" s="76"/>
      <c r="DLJ221" s="76"/>
      <c r="DLK221" s="76"/>
      <c r="DLL221" s="76"/>
      <c r="DLM221" s="76"/>
      <c r="DLN221" s="76"/>
      <c r="DLO221" s="76"/>
      <c r="DLP221" s="76"/>
      <c r="DLQ221" s="76"/>
      <c r="DLR221" s="76"/>
      <c r="DLS221" s="76"/>
      <c r="DLT221" s="76"/>
      <c r="DLU221" s="76"/>
      <c r="DLV221" s="76"/>
      <c r="DLW221" s="76"/>
      <c r="DLX221" s="76"/>
      <c r="DLY221" s="76"/>
      <c r="DLZ221" s="76"/>
      <c r="DMA221" s="76"/>
      <c r="DMB221" s="76"/>
      <c r="DMC221" s="76"/>
      <c r="DMD221" s="76"/>
      <c r="DME221" s="76"/>
      <c r="DMF221" s="76"/>
      <c r="DMG221" s="76"/>
      <c r="DMH221" s="76"/>
      <c r="DMI221" s="76"/>
      <c r="DMJ221" s="76"/>
      <c r="DMK221" s="76"/>
      <c r="DML221" s="76"/>
      <c r="DMM221" s="76"/>
      <c r="DMN221" s="76"/>
      <c r="DMO221" s="76"/>
      <c r="DMP221" s="76"/>
      <c r="DMQ221" s="76"/>
      <c r="DMR221" s="76"/>
      <c r="DMS221" s="76"/>
      <c r="DMT221" s="76"/>
      <c r="DMU221" s="76"/>
      <c r="DMV221" s="76"/>
      <c r="DMW221" s="76"/>
      <c r="DMX221" s="76"/>
      <c r="DMY221" s="76"/>
      <c r="DMZ221" s="76"/>
      <c r="DNA221" s="76"/>
      <c r="DNB221" s="76"/>
      <c r="DNC221" s="76"/>
      <c r="DND221" s="76"/>
      <c r="DNE221" s="76"/>
      <c r="DNF221" s="76"/>
      <c r="DNG221" s="76"/>
      <c r="DNH221" s="76"/>
      <c r="DNI221" s="76"/>
      <c r="DNJ221" s="76"/>
      <c r="DNK221" s="76"/>
      <c r="DNL221" s="76"/>
      <c r="DNM221" s="76"/>
      <c r="DNN221" s="76"/>
      <c r="DNO221" s="76"/>
      <c r="DNP221" s="76"/>
      <c r="DNQ221" s="76"/>
      <c r="DNR221" s="76"/>
      <c r="DNS221" s="76"/>
      <c r="DNT221" s="76"/>
      <c r="DNU221" s="76"/>
      <c r="DNV221" s="76"/>
      <c r="DNW221" s="76"/>
      <c r="DNX221" s="76"/>
      <c r="DNY221" s="76"/>
      <c r="DNZ221" s="76"/>
      <c r="DOA221" s="76"/>
      <c r="DOB221" s="76"/>
      <c r="DOC221" s="76"/>
      <c r="DOD221" s="76"/>
      <c r="DOE221" s="76"/>
      <c r="DOF221" s="76"/>
      <c r="DOG221" s="76"/>
      <c r="DOH221" s="76"/>
      <c r="DOI221" s="76"/>
      <c r="DOJ221" s="76"/>
      <c r="DOK221" s="76"/>
      <c r="DOL221" s="76"/>
      <c r="DOM221" s="76"/>
      <c r="DON221" s="76"/>
      <c r="DOO221" s="76"/>
      <c r="DOP221" s="76"/>
      <c r="DOQ221" s="76"/>
      <c r="DOR221" s="76"/>
      <c r="DOS221" s="76"/>
      <c r="DOT221" s="76"/>
      <c r="DOU221" s="76"/>
      <c r="DOV221" s="76"/>
      <c r="DOW221" s="76"/>
      <c r="DOX221" s="76"/>
      <c r="DOY221" s="76"/>
      <c r="DOZ221" s="76"/>
      <c r="DPA221" s="76"/>
      <c r="DPB221" s="76"/>
      <c r="DPC221" s="76"/>
      <c r="DPD221" s="76"/>
      <c r="DPE221" s="76"/>
      <c r="DPF221" s="76"/>
      <c r="DPG221" s="76"/>
      <c r="DPH221" s="76"/>
      <c r="DPI221" s="76"/>
      <c r="DPJ221" s="76"/>
      <c r="DPK221" s="76"/>
      <c r="DPL221" s="76"/>
      <c r="DPM221" s="76"/>
      <c r="DPN221" s="76"/>
      <c r="DPO221" s="76"/>
      <c r="DPP221" s="76"/>
      <c r="DPQ221" s="76"/>
      <c r="DPR221" s="76"/>
      <c r="DPS221" s="76"/>
      <c r="DPT221" s="76"/>
      <c r="DPU221" s="76"/>
      <c r="DPV221" s="76"/>
      <c r="DPW221" s="76"/>
      <c r="DPX221" s="76"/>
      <c r="DPY221" s="76"/>
      <c r="DPZ221" s="76"/>
      <c r="DQA221" s="76"/>
      <c r="DQB221" s="76"/>
      <c r="DQC221" s="76"/>
      <c r="DQD221" s="76"/>
      <c r="DQE221" s="76"/>
      <c r="DQF221" s="76"/>
      <c r="DQG221" s="76"/>
      <c r="DQH221" s="76"/>
      <c r="DQI221" s="76"/>
      <c r="DQJ221" s="76"/>
      <c r="DQK221" s="76"/>
      <c r="DQL221" s="76"/>
      <c r="DQM221" s="76"/>
      <c r="DQN221" s="76"/>
      <c r="DQO221" s="76"/>
      <c r="DQP221" s="76"/>
      <c r="DQQ221" s="76"/>
      <c r="DQR221" s="76"/>
      <c r="DQS221" s="76"/>
      <c r="DQT221" s="76"/>
      <c r="DQU221" s="76"/>
      <c r="DQV221" s="76"/>
      <c r="DQW221" s="76"/>
      <c r="DQX221" s="76"/>
      <c r="DQY221" s="76"/>
      <c r="DQZ221" s="76"/>
      <c r="DRA221" s="76"/>
      <c r="DRB221" s="76"/>
      <c r="DRC221" s="76"/>
      <c r="DRD221" s="76"/>
      <c r="DRE221" s="76"/>
      <c r="DRF221" s="76"/>
      <c r="DRG221" s="76"/>
      <c r="DRH221" s="76"/>
      <c r="DRI221" s="76"/>
      <c r="DRJ221" s="76"/>
      <c r="DRK221" s="76"/>
      <c r="DRL221" s="76"/>
      <c r="DRM221" s="76"/>
      <c r="DRN221" s="76"/>
      <c r="DRO221" s="76"/>
      <c r="DRP221" s="76"/>
      <c r="DRQ221" s="76"/>
      <c r="DRR221" s="76"/>
      <c r="DRS221" s="76"/>
      <c r="DRT221" s="76"/>
      <c r="DRU221" s="76"/>
      <c r="DRV221" s="76"/>
      <c r="DRW221" s="76"/>
      <c r="DRX221" s="76"/>
      <c r="DRY221" s="76"/>
      <c r="DRZ221" s="76"/>
      <c r="DSA221" s="76"/>
      <c r="DSB221" s="76"/>
      <c r="DSC221" s="76"/>
      <c r="DSD221" s="76"/>
      <c r="DSE221" s="76"/>
      <c r="DSF221" s="76"/>
      <c r="DSG221" s="76"/>
      <c r="DSH221" s="76"/>
      <c r="DSI221" s="76"/>
      <c r="DSJ221" s="76"/>
      <c r="DSK221" s="76"/>
      <c r="DSL221" s="76"/>
      <c r="DSM221" s="76"/>
      <c r="DSN221" s="76"/>
      <c r="DSO221" s="76"/>
      <c r="DSP221" s="76"/>
      <c r="DSQ221" s="76"/>
      <c r="DSR221" s="76"/>
      <c r="DSS221" s="76"/>
      <c r="DST221" s="76"/>
      <c r="DSU221" s="76"/>
      <c r="DSV221" s="76"/>
      <c r="DSW221" s="76"/>
      <c r="DSX221" s="76"/>
      <c r="DSY221" s="76"/>
      <c r="DSZ221" s="76"/>
      <c r="DTA221" s="76"/>
      <c r="DTB221" s="76"/>
      <c r="DTC221" s="76"/>
      <c r="DTD221" s="76"/>
      <c r="DTE221" s="76"/>
      <c r="DTF221" s="76"/>
      <c r="DTG221" s="76"/>
      <c r="DTH221" s="76"/>
      <c r="DTI221" s="76"/>
      <c r="DTJ221" s="76"/>
      <c r="DTK221" s="76"/>
      <c r="DTL221" s="76"/>
      <c r="DTM221" s="76"/>
      <c r="DTN221" s="76"/>
      <c r="DTO221" s="76"/>
      <c r="DTP221" s="76"/>
      <c r="DTQ221" s="76"/>
      <c r="DTR221" s="76"/>
      <c r="DTS221" s="76"/>
      <c r="DTT221" s="76"/>
      <c r="DTU221" s="76"/>
      <c r="DTV221" s="76"/>
      <c r="DTW221" s="76"/>
      <c r="DTX221" s="76"/>
      <c r="DTY221" s="76"/>
      <c r="DTZ221" s="76"/>
      <c r="DUA221" s="76"/>
      <c r="DUB221" s="76"/>
      <c r="DUC221" s="76"/>
      <c r="DUD221" s="76"/>
      <c r="DUE221" s="76"/>
      <c r="DUF221" s="76"/>
      <c r="DUG221" s="76"/>
      <c r="DUH221" s="76"/>
      <c r="DUI221" s="76"/>
      <c r="DUJ221" s="76"/>
      <c r="DUK221" s="76"/>
      <c r="DUL221" s="76"/>
      <c r="DUM221" s="76"/>
      <c r="DUN221" s="76"/>
      <c r="DUO221" s="76"/>
      <c r="DUP221" s="76"/>
      <c r="DUQ221" s="76"/>
      <c r="DUR221" s="76"/>
      <c r="DUS221" s="76"/>
      <c r="DUT221" s="76"/>
      <c r="DUU221" s="76"/>
      <c r="DUV221" s="76"/>
      <c r="DUW221" s="76"/>
      <c r="DUX221" s="76"/>
      <c r="DUY221" s="76"/>
      <c r="DUZ221" s="76"/>
      <c r="DVA221" s="76"/>
      <c r="DVB221" s="76"/>
      <c r="DVC221" s="76"/>
      <c r="DVD221" s="76"/>
      <c r="DVE221" s="76"/>
      <c r="DVF221" s="76"/>
      <c r="DVG221" s="76"/>
      <c r="DVH221" s="76"/>
      <c r="DVI221" s="76"/>
      <c r="DVJ221" s="76"/>
      <c r="DVK221" s="76"/>
      <c r="DVL221" s="76"/>
      <c r="DVM221" s="76"/>
      <c r="DVN221" s="76"/>
      <c r="DVO221" s="76"/>
      <c r="DVP221" s="76"/>
      <c r="DVQ221" s="76"/>
      <c r="DVR221" s="76"/>
      <c r="DVS221" s="76"/>
      <c r="DVT221" s="76"/>
      <c r="DVU221" s="76"/>
      <c r="DVV221" s="76"/>
      <c r="DVW221" s="76"/>
      <c r="DVX221" s="76"/>
      <c r="DVY221" s="76"/>
      <c r="DVZ221" s="76"/>
      <c r="DWA221" s="76"/>
      <c r="DWB221" s="76"/>
      <c r="DWC221" s="76"/>
      <c r="DWD221" s="76"/>
      <c r="DWE221" s="76"/>
      <c r="DWF221" s="76"/>
      <c r="DWG221" s="76"/>
      <c r="DWH221" s="76"/>
      <c r="DWI221" s="76"/>
      <c r="DWJ221" s="76"/>
      <c r="DWK221" s="76"/>
      <c r="DWL221" s="76"/>
      <c r="DWM221" s="76"/>
      <c r="DWN221" s="76"/>
      <c r="DWO221" s="76"/>
      <c r="DWP221" s="76"/>
      <c r="DWQ221" s="76"/>
      <c r="DWR221" s="76"/>
      <c r="DWS221" s="76"/>
      <c r="DWT221" s="76"/>
      <c r="DWU221" s="76"/>
      <c r="DWV221" s="76"/>
      <c r="DWW221" s="76"/>
      <c r="DWX221" s="76"/>
      <c r="DWY221" s="76"/>
      <c r="DWZ221" s="76"/>
      <c r="DXA221" s="76"/>
      <c r="DXB221" s="76"/>
      <c r="DXC221" s="76"/>
      <c r="DXD221" s="76"/>
      <c r="DXE221" s="76"/>
      <c r="DXF221" s="76"/>
      <c r="DXG221" s="76"/>
      <c r="DXH221" s="76"/>
      <c r="DXI221" s="76"/>
      <c r="DXJ221" s="76"/>
      <c r="DXK221" s="76"/>
      <c r="DXL221" s="76"/>
      <c r="DXM221" s="76"/>
      <c r="DXN221" s="76"/>
      <c r="DXO221" s="76"/>
      <c r="DXP221" s="76"/>
      <c r="DXQ221" s="76"/>
      <c r="DXR221" s="76"/>
      <c r="DXS221" s="76"/>
      <c r="DXT221" s="76"/>
      <c r="DXU221" s="76"/>
      <c r="DXV221" s="76"/>
      <c r="DXW221" s="76"/>
      <c r="DXX221" s="76"/>
      <c r="DXY221" s="76"/>
      <c r="DXZ221" s="76"/>
      <c r="DYA221" s="76"/>
      <c r="DYB221" s="76"/>
      <c r="DYC221" s="76"/>
      <c r="DYD221" s="76"/>
      <c r="DYE221" s="76"/>
      <c r="DYF221" s="76"/>
      <c r="DYG221" s="76"/>
      <c r="DYH221" s="76"/>
      <c r="DYI221" s="76"/>
      <c r="DYJ221" s="76"/>
      <c r="DYK221" s="76"/>
      <c r="DYL221" s="76"/>
      <c r="DYM221" s="76"/>
      <c r="DYN221" s="76"/>
      <c r="DYO221" s="76"/>
      <c r="DYP221" s="76"/>
      <c r="DYQ221" s="76"/>
      <c r="DYR221" s="76"/>
      <c r="DYS221" s="76"/>
      <c r="DYT221" s="76"/>
      <c r="DYU221" s="76"/>
      <c r="DYV221" s="76"/>
      <c r="DYW221" s="76"/>
      <c r="DYX221" s="76"/>
      <c r="DYY221" s="76"/>
      <c r="DYZ221" s="76"/>
      <c r="DZA221" s="76"/>
      <c r="DZB221" s="76"/>
      <c r="DZC221" s="76"/>
      <c r="DZD221" s="76"/>
      <c r="DZE221" s="76"/>
      <c r="DZF221" s="76"/>
      <c r="DZG221" s="76"/>
      <c r="DZH221" s="76"/>
      <c r="DZI221" s="76"/>
      <c r="DZJ221" s="76"/>
      <c r="DZK221" s="76"/>
      <c r="DZL221" s="76"/>
      <c r="DZM221" s="76"/>
      <c r="DZN221" s="76"/>
      <c r="DZO221" s="76"/>
      <c r="DZP221" s="76"/>
      <c r="DZQ221" s="76"/>
      <c r="DZR221" s="76"/>
      <c r="DZS221" s="76"/>
      <c r="DZT221" s="76"/>
      <c r="DZU221" s="76"/>
      <c r="DZV221" s="76"/>
      <c r="DZW221" s="76"/>
      <c r="DZX221" s="76"/>
      <c r="DZY221" s="76"/>
      <c r="DZZ221" s="76"/>
      <c r="EAA221" s="76"/>
      <c r="EAB221" s="76"/>
      <c r="EAC221" s="76"/>
      <c r="EAD221" s="76"/>
      <c r="EAE221" s="76"/>
      <c r="EAF221" s="76"/>
      <c r="EAG221" s="76"/>
      <c r="EAH221" s="76"/>
      <c r="EAI221" s="76"/>
      <c r="EAJ221" s="76"/>
      <c r="EAK221" s="76"/>
      <c r="EAL221" s="76"/>
      <c r="EAM221" s="76"/>
      <c r="EAN221" s="76"/>
      <c r="EAO221" s="76"/>
      <c r="EAP221" s="76"/>
      <c r="EAQ221" s="76"/>
      <c r="EAR221" s="76"/>
      <c r="EAS221" s="76"/>
      <c r="EAT221" s="76"/>
      <c r="EAU221" s="76"/>
      <c r="EAV221" s="76"/>
      <c r="EAW221" s="76"/>
      <c r="EAX221" s="76"/>
      <c r="EAY221" s="76"/>
      <c r="EAZ221" s="76"/>
      <c r="EBA221" s="76"/>
      <c r="EBB221" s="76"/>
      <c r="EBC221" s="76"/>
      <c r="EBD221" s="76"/>
      <c r="EBE221" s="76"/>
      <c r="EBF221" s="76"/>
      <c r="EBG221" s="76"/>
      <c r="EBH221" s="76"/>
      <c r="EBI221" s="76"/>
      <c r="EBJ221" s="76"/>
      <c r="EBK221" s="76"/>
      <c r="EBL221" s="76"/>
      <c r="EBM221" s="76"/>
      <c r="EBN221" s="76"/>
      <c r="EBO221" s="76"/>
      <c r="EBP221" s="76"/>
      <c r="EBQ221" s="76"/>
      <c r="EBR221" s="76"/>
      <c r="EBS221" s="76"/>
      <c r="EBT221" s="76"/>
      <c r="EBU221" s="76"/>
      <c r="EBV221" s="76"/>
      <c r="EBW221" s="76"/>
      <c r="EBX221" s="76"/>
      <c r="EBY221" s="76"/>
      <c r="EBZ221" s="76"/>
      <c r="ECA221" s="76"/>
      <c r="ECB221" s="76"/>
      <c r="ECC221" s="76"/>
      <c r="ECD221" s="76"/>
      <c r="ECE221" s="76"/>
      <c r="ECF221" s="76"/>
      <c r="ECG221" s="76"/>
      <c r="ECH221" s="76"/>
      <c r="ECI221" s="76"/>
      <c r="ECJ221" s="76"/>
      <c r="ECK221" s="76"/>
      <c r="ECL221" s="76"/>
      <c r="ECM221" s="76"/>
      <c r="ECN221" s="76"/>
      <c r="ECO221" s="76"/>
      <c r="ECP221" s="76"/>
      <c r="ECQ221" s="76"/>
      <c r="ECR221" s="76"/>
      <c r="ECS221" s="76"/>
      <c r="ECT221" s="76"/>
      <c r="ECU221" s="76"/>
      <c r="ECV221" s="76"/>
      <c r="ECW221" s="76"/>
      <c r="ECX221" s="76"/>
      <c r="ECY221" s="76"/>
      <c r="ECZ221" s="76"/>
      <c r="EDA221" s="76"/>
      <c r="EDB221" s="76"/>
      <c r="EDC221" s="76"/>
      <c r="EDD221" s="76"/>
      <c r="EDE221" s="76"/>
      <c r="EDF221" s="76"/>
      <c r="EDG221" s="76"/>
      <c r="EDH221" s="76"/>
      <c r="EDI221" s="76"/>
      <c r="EDJ221" s="76"/>
      <c r="EDK221" s="76"/>
      <c r="EDL221" s="76"/>
      <c r="EDM221" s="76"/>
      <c r="EDN221" s="76"/>
      <c r="EDO221" s="76"/>
      <c r="EDP221" s="76"/>
      <c r="EDQ221" s="76"/>
      <c r="EDR221" s="76"/>
      <c r="EDS221" s="76"/>
      <c r="EDT221" s="76"/>
      <c r="EDU221" s="76"/>
      <c r="EDV221" s="76"/>
      <c r="EDW221" s="76"/>
      <c r="EDX221" s="76"/>
      <c r="EDY221" s="76"/>
      <c r="EDZ221" s="76"/>
      <c r="EEA221" s="76"/>
      <c r="EEB221" s="76"/>
      <c r="EEC221" s="76"/>
      <c r="EED221" s="76"/>
      <c r="EEE221" s="76"/>
      <c r="EEF221" s="76"/>
      <c r="EEG221" s="76"/>
      <c r="EEH221" s="76"/>
      <c r="EEI221" s="76"/>
      <c r="EEJ221" s="76"/>
      <c r="EEK221" s="76"/>
      <c r="EEL221" s="76"/>
      <c r="EEM221" s="76"/>
      <c r="EEN221" s="76"/>
      <c r="EEO221" s="76"/>
      <c r="EEP221" s="76"/>
      <c r="EEQ221" s="76"/>
      <c r="EER221" s="76"/>
      <c r="EES221" s="76"/>
      <c r="EET221" s="76"/>
      <c r="EEU221" s="76"/>
      <c r="EEV221" s="76"/>
      <c r="EEW221" s="76"/>
      <c r="EEX221" s="76"/>
      <c r="EEY221" s="76"/>
      <c r="EEZ221" s="76"/>
      <c r="EFA221" s="76"/>
      <c r="EFB221" s="76"/>
      <c r="EFC221" s="76"/>
      <c r="EFD221" s="76"/>
      <c r="EFE221" s="76"/>
      <c r="EFF221" s="76"/>
      <c r="EFG221" s="76"/>
      <c r="EFH221" s="76"/>
      <c r="EFI221" s="76"/>
      <c r="EFJ221" s="76"/>
      <c r="EFK221" s="76"/>
      <c r="EFL221" s="76"/>
      <c r="EFM221" s="76"/>
      <c r="EFN221" s="76"/>
      <c r="EFO221" s="76"/>
      <c r="EFP221" s="76"/>
      <c r="EFQ221" s="76"/>
      <c r="EFR221" s="76"/>
      <c r="EFS221" s="76"/>
      <c r="EFT221" s="76"/>
      <c r="EFU221" s="76"/>
      <c r="EFV221" s="76"/>
      <c r="EFW221" s="76"/>
      <c r="EFX221" s="76"/>
      <c r="EFY221" s="76"/>
      <c r="EFZ221" s="76"/>
      <c r="EGA221" s="76"/>
      <c r="EGB221" s="76"/>
      <c r="EGC221" s="76"/>
      <c r="EGD221" s="76"/>
      <c r="EGE221" s="76"/>
      <c r="EGF221" s="76"/>
      <c r="EGG221" s="76"/>
      <c r="EGH221" s="76"/>
      <c r="EGI221" s="76"/>
      <c r="EGJ221" s="76"/>
      <c r="EGK221" s="76"/>
      <c r="EGL221" s="76"/>
      <c r="EGM221" s="76"/>
      <c r="EGN221" s="76"/>
      <c r="EGO221" s="76"/>
      <c r="EGP221" s="76"/>
      <c r="EGQ221" s="76"/>
      <c r="EGR221" s="76"/>
      <c r="EGS221" s="76"/>
      <c r="EGT221" s="76"/>
      <c r="EGU221" s="76"/>
      <c r="EGV221" s="76"/>
      <c r="EGW221" s="76"/>
      <c r="EGX221" s="76"/>
      <c r="EGY221" s="76"/>
      <c r="EGZ221" s="76"/>
      <c r="EHA221" s="76"/>
      <c r="EHB221" s="76"/>
      <c r="EHC221" s="76"/>
      <c r="EHD221" s="76"/>
      <c r="EHE221" s="76"/>
      <c r="EHF221" s="76"/>
      <c r="EHG221" s="76"/>
      <c r="EHH221" s="76"/>
      <c r="EHI221" s="76"/>
      <c r="EHJ221" s="76"/>
      <c r="EHK221" s="76"/>
      <c r="EHL221" s="76"/>
      <c r="EHM221" s="76"/>
      <c r="EHN221" s="76"/>
      <c r="EHO221" s="76"/>
      <c r="EHP221" s="76"/>
      <c r="EHQ221" s="76"/>
      <c r="EHR221" s="76"/>
      <c r="EHS221" s="76"/>
      <c r="EHT221" s="76"/>
      <c r="EHU221" s="76"/>
      <c r="EHV221" s="76"/>
      <c r="EHW221" s="76"/>
      <c r="EHX221" s="76"/>
      <c r="EHY221" s="76"/>
      <c r="EHZ221" s="76"/>
      <c r="EIA221" s="76"/>
      <c r="EIB221" s="76"/>
      <c r="EIC221" s="76"/>
      <c r="EID221" s="76"/>
      <c r="EIE221" s="76"/>
      <c r="EIF221" s="76"/>
      <c r="EIG221" s="76"/>
      <c r="EIH221" s="76"/>
      <c r="EII221" s="76"/>
      <c r="EIJ221" s="76"/>
      <c r="EIK221" s="76"/>
      <c r="EIL221" s="76"/>
      <c r="EIM221" s="76"/>
      <c r="EIN221" s="76"/>
      <c r="EIO221" s="76"/>
      <c r="EIP221" s="76"/>
      <c r="EIQ221" s="76"/>
      <c r="EIR221" s="76"/>
      <c r="EIS221" s="76"/>
      <c r="EIT221" s="76"/>
      <c r="EIU221" s="76"/>
      <c r="EIV221" s="76"/>
      <c r="EIW221" s="76"/>
      <c r="EIX221" s="76"/>
      <c r="EIY221" s="76"/>
      <c r="EIZ221" s="76"/>
      <c r="EJA221" s="76"/>
      <c r="EJB221" s="76"/>
      <c r="EJC221" s="76"/>
      <c r="EJD221" s="76"/>
      <c r="EJE221" s="76"/>
      <c r="EJF221" s="76"/>
      <c r="EJG221" s="76"/>
      <c r="EJH221" s="76"/>
      <c r="EJI221" s="76"/>
      <c r="EJJ221" s="76"/>
      <c r="EJK221" s="76"/>
      <c r="EJL221" s="76"/>
      <c r="EJM221" s="76"/>
      <c r="EJN221" s="76"/>
      <c r="EJO221" s="76"/>
      <c r="EJP221" s="76"/>
      <c r="EJQ221" s="76"/>
      <c r="EJR221" s="76"/>
      <c r="EJS221" s="76"/>
      <c r="EJT221" s="76"/>
      <c r="EJU221" s="76"/>
      <c r="EJV221" s="76"/>
      <c r="EJW221" s="76"/>
      <c r="EJX221" s="76"/>
      <c r="EJY221" s="76"/>
      <c r="EJZ221" s="76"/>
      <c r="EKA221" s="76"/>
      <c r="EKB221" s="76"/>
      <c r="EKC221" s="76"/>
      <c r="EKD221" s="76"/>
      <c r="EKE221" s="76"/>
      <c r="EKF221" s="76"/>
      <c r="EKG221" s="76"/>
      <c r="EKH221" s="76"/>
      <c r="EKI221" s="76"/>
      <c r="EKJ221" s="76"/>
      <c r="EKK221" s="76"/>
      <c r="EKL221" s="76"/>
      <c r="EKM221" s="76"/>
      <c r="EKN221" s="76"/>
      <c r="EKO221" s="76"/>
      <c r="EKP221" s="76"/>
      <c r="EKQ221" s="76"/>
      <c r="EKR221" s="76"/>
      <c r="EKS221" s="76"/>
      <c r="EKT221" s="76"/>
      <c r="EKU221" s="76"/>
      <c r="EKV221" s="76"/>
      <c r="EKW221" s="76"/>
      <c r="EKX221" s="76"/>
      <c r="EKY221" s="76"/>
      <c r="EKZ221" s="76"/>
      <c r="ELA221" s="76"/>
      <c r="ELB221" s="76"/>
      <c r="ELC221" s="76"/>
      <c r="ELD221" s="76"/>
      <c r="ELE221" s="76"/>
      <c r="ELF221" s="76"/>
      <c r="ELG221" s="76"/>
      <c r="ELH221" s="76"/>
      <c r="ELI221" s="76"/>
      <c r="ELJ221" s="76"/>
      <c r="ELK221" s="76"/>
      <c r="ELL221" s="76"/>
      <c r="ELM221" s="76"/>
      <c r="ELN221" s="76"/>
      <c r="ELO221" s="76"/>
      <c r="ELP221" s="76"/>
      <c r="ELQ221" s="76"/>
      <c r="ELR221" s="76"/>
      <c r="ELS221" s="76"/>
      <c r="ELT221" s="76"/>
      <c r="ELU221" s="76"/>
      <c r="ELV221" s="76"/>
      <c r="ELW221" s="76"/>
      <c r="ELX221" s="76"/>
      <c r="ELY221" s="76"/>
      <c r="ELZ221" s="76"/>
      <c r="EMA221" s="76"/>
      <c r="EMB221" s="76"/>
      <c r="EMC221" s="76"/>
      <c r="EMD221" s="76"/>
      <c r="EME221" s="76"/>
      <c r="EMF221" s="76"/>
      <c r="EMG221" s="76"/>
      <c r="EMH221" s="76"/>
      <c r="EMI221" s="76"/>
      <c r="EMJ221" s="76"/>
      <c r="EMK221" s="76"/>
      <c r="EML221" s="76"/>
      <c r="EMM221" s="76"/>
      <c r="EMN221" s="76"/>
      <c r="EMO221" s="76"/>
      <c r="EMP221" s="76"/>
      <c r="EMQ221" s="76"/>
      <c r="EMR221" s="76"/>
      <c r="EMS221" s="76"/>
      <c r="EMT221" s="76"/>
      <c r="EMU221" s="76"/>
      <c r="EMV221" s="76"/>
      <c r="EMW221" s="76"/>
      <c r="EMX221" s="76"/>
      <c r="EMY221" s="76"/>
      <c r="EMZ221" s="76"/>
      <c r="ENA221" s="76"/>
      <c r="ENB221" s="76"/>
      <c r="ENC221" s="76"/>
      <c r="END221" s="76"/>
      <c r="ENE221" s="76"/>
      <c r="ENF221" s="76"/>
      <c r="ENG221" s="76"/>
      <c r="ENH221" s="76"/>
      <c r="ENI221" s="76"/>
      <c r="ENJ221" s="76"/>
      <c r="ENK221" s="76"/>
      <c r="ENL221" s="76"/>
      <c r="ENM221" s="76"/>
      <c r="ENN221" s="76"/>
      <c r="ENO221" s="76"/>
      <c r="ENP221" s="76"/>
      <c r="ENQ221" s="76"/>
      <c r="ENR221" s="76"/>
      <c r="ENS221" s="76"/>
      <c r="ENT221" s="76"/>
      <c r="ENU221" s="76"/>
      <c r="ENV221" s="76"/>
      <c r="ENW221" s="76"/>
      <c r="ENX221" s="76"/>
      <c r="ENY221" s="76"/>
      <c r="ENZ221" s="76"/>
      <c r="EOA221" s="76"/>
      <c r="EOB221" s="76"/>
      <c r="EOC221" s="76"/>
      <c r="EOD221" s="76"/>
      <c r="EOE221" s="76"/>
      <c r="EOF221" s="76"/>
      <c r="EOG221" s="76"/>
      <c r="EOH221" s="76"/>
      <c r="EOI221" s="76"/>
      <c r="EOJ221" s="76"/>
      <c r="EOK221" s="76"/>
      <c r="EOL221" s="76"/>
      <c r="EOM221" s="76"/>
      <c r="EON221" s="76"/>
      <c r="EOO221" s="76"/>
      <c r="EOP221" s="76"/>
      <c r="EOQ221" s="76"/>
      <c r="EOR221" s="76"/>
      <c r="EOS221" s="76"/>
      <c r="EOT221" s="76"/>
      <c r="EOU221" s="76"/>
      <c r="EOV221" s="76"/>
      <c r="EOW221" s="76"/>
      <c r="EOX221" s="76"/>
      <c r="EOY221" s="76"/>
      <c r="EOZ221" s="76"/>
      <c r="EPA221" s="76"/>
      <c r="EPB221" s="76"/>
      <c r="EPC221" s="76"/>
      <c r="EPD221" s="76"/>
      <c r="EPE221" s="76"/>
      <c r="EPF221" s="76"/>
      <c r="EPG221" s="76"/>
      <c r="EPH221" s="76"/>
      <c r="EPI221" s="76"/>
      <c r="EPJ221" s="76"/>
      <c r="EPK221" s="76"/>
      <c r="EPL221" s="76"/>
      <c r="EPM221" s="76"/>
      <c r="EPN221" s="76"/>
      <c r="EPO221" s="76"/>
      <c r="EPP221" s="76"/>
      <c r="EPQ221" s="76"/>
      <c r="EPR221" s="76"/>
      <c r="EPS221" s="76"/>
      <c r="EPT221" s="76"/>
      <c r="EPU221" s="76"/>
      <c r="EPV221" s="76"/>
      <c r="EPW221" s="76"/>
      <c r="EPX221" s="76"/>
      <c r="EPY221" s="76"/>
      <c r="EPZ221" s="76"/>
      <c r="EQA221" s="76"/>
      <c r="EQB221" s="76"/>
      <c r="EQC221" s="76"/>
      <c r="EQD221" s="76"/>
      <c r="EQE221" s="76"/>
      <c r="EQF221" s="76"/>
      <c r="EQG221" s="76"/>
      <c r="EQH221" s="76"/>
      <c r="EQI221" s="76"/>
      <c r="EQJ221" s="76"/>
      <c r="EQK221" s="76"/>
      <c r="EQL221" s="76"/>
      <c r="EQM221" s="76"/>
      <c r="EQN221" s="76"/>
      <c r="EQO221" s="76"/>
      <c r="EQP221" s="76"/>
      <c r="EQQ221" s="76"/>
      <c r="EQR221" s="76"/>
      <c r="EQS221" s="76"/>
      <c r="EQT221" s="76"/>
      <c r="EQU221" s="76"/>
      <c r="EQV221" s="76"/>
      <c r="EQW221" s="76"/>
      <c r="EQX221" s="76"/>
      <c r="EQY221" s="76"/>
      <c r="EQZ221" s="76"/>
      <c r="ERA221" s="76"/>
      <c r="ERB221" s="76"/>
      <c r="ERC221" s="76"/>
      <c r="ERD221" s="76"/>
      <c r="ERE221" s="76"/>
      <c r="ERF221" s="76"/>
      <c r="ERG221" s="76"/>
      <c r="ERH221" s="76"/>
      <c r="ERI221" s="76"/>
      <c r="ERJ221" s="76"/>
      <c r="ERK221" s="76"/>
      <c r="ERL221" s="76"/>
      <c r="ERM221" s="76"/>
      <c r="ERN221" s="76"/>
      <c r="ERO221" s="76"/>
      <c r="ERP221" s="76"/>
      <c r="ERQ221" s="76"/>
      <c r="ERR221" s="76"/>
      <c r="ERS221" s="76"/>
      <c r="ERT221" s="76"/>
      <c r="ERU221" s="76"/>
      <c r="ERV221" s="76"/>
      <c r="ERW221" s="76"/>
      <c r="ERX221" s="76"/>
      <c r="ERY221" s="76"/>
      <c r="ERZ221" s="76"/>
      <c r="ESA221" s="76"/>
      <c r="ESB221" s="76"/>
      <c r="ESC221" s="76"/>
      <c r="ESD221" s="76"/>
      <c r="ESE221" s="76"/>
      <c r="ESF221" s="76"/>
      <c r="ESG221" s="76"/>
      <c r="ESH221" s="76"/>
      <c r="ESI221" s="76"/>
      <c r="ESJ221" s="76"/>
      <c r="ESK221" s="76"/>
      <c r="ESL221" s="76"/>
      <c r="ESM221" s="76"/>
      <c r="ESN221" s="76"/>
      <c r="ESO221" s="76"/>
      <c r="ESP221" s="76"/>
      <c r="ESQ221" s="76"/>
      <c r="ESR221" s="76"/>
      <c r="ESS221" s="76"/>
      <c r="EST221" s="76"/>
      <c r="ESU221" s="76"/>
      <c r="ESV221" s="76"/>
      <c r="ESW221" s="76"/>
      <c r="ESX221" s="76"/>
      <c r="ESY221" s="76"/>
      <c r="ESZ221" s="76"/>
      <c r="ETA221" s="76"/>
      <c r="ETB221" s="76"/>
      <c r="ETC221" s="76"/>
      <c r="ETD221" s="76"/>
      <c r="ETE221" s="76"/>
      <c r="ETF221" s="76"/>
      <c r="ETG221" s="76"/>
      <c r="ETH221" s="76"/>
      <c r="ETI221" s="76"/>
      <c r="ETJ221" s="76"/>
      <c r="ETK221" s="76"/>
      <c r="ETL221" s="76"/>
      <c r="ETM221" s="76"/>
      <c r="ETN221" s="76"/>
      <c r="ETO221" s="76"/>
      <c r="ETP221" s="76"/>
      <c r="ETQ221" s="76"/>
      <c r="ETR221" s="76"/>
      <c r="ETS221" s="76"/>
      <c r="ETT221" s="76"/>
      <c r="ETU221" s="76"/>
      <c r="ETV221" s="76"/>
      <c r="ETW221" s="76"/>
      <c r="ETX221" s="76"/>
      <c r="ETY221" s="76"/>
      <c r="ETZ221" s="76"/>
      <c r="EUA221" s="76"/>
      <c r="EUB221" s="76"/>
      <c r="EUC221" s="76"/>
      <c r="EUD221" s="76"/>
      <c r="EUE221" s="76"/>
      <c r="EUF221" s="76"/>
      <c r="EUG221" s="76"/>
      <c r="EUH221" s="76"/>
      <c r="EUI221" s="76"/>
      <c r="EUJ221" s="76"/>
      <c r="EUK221" s="76"/>
      <c r="EUL221" s="76"/>
      <c r="EUM221" s="76"/>
      <c r="EUN221" s="76"/>
      <c r="EUO221" s="76"/>
      <c r="EUP221" s="76"/>
      <c r="EUQ221" s="76"/>
      <c r="EUR221" s="76"/>
      <c r="EUS221" s="76"/>
      <c r="EUT221" s="76"/>
      <c r="EUU221" s="76"/>
      <c r="EUV221" s="76"/>
      <c r="EUW221" s="76"/>
      <c r="EUX221" s="76"/>
      <c r="EUY221" s="76"/>
      <c r="EUZ221" s="76"/>
      <c r="EVA221" s="76"/>
      <c r="EVB221" s="76"/>
      <c r="EVC221" s="76"/>
      <c r="EVD221" s="76"/>
      <c r="EVE221" s="76"/>
      <c r="EVF221" s="76"/>
      <c r="EVG221" s="76"/>
      <c r="EVH221" s="76"/>
      <c r="EVI221" s="76"/>
      <c r="EVJ221" s="76"/>
      <c r="EVK221" s="76"/>
      <c r="EVL221" s="76"/>
      <c r="EVM221" s="76"/>
      <c r="EVN221" s="76"/>
      <c r="EVO221" s="76"/>
      <c r="EVP221" s="76"/>
      <c r="EVQ221" s="76"/>
      <c r="EVR221" s="76"/>
      <c r="EVS221" s="76"/>
      <c r="EVT221" s="76"/>
      <c r="EVU221" s="76"/>
      <c r="EVV221" s="76"/>
      <c r="EVW221" s="76"/>
      <c r="EVX221" s="76"/>
      <c r="EVY221" s="76"/>
      <c r="EVZ221" s="76"/>
      <c r="EWA221" s="76"/>
      <c r="EWB221" s="76"/>
      <c r="EWC221" s="76"/>
      <c r="EWD221" s="76"/>
      <c r="EWE221" s="76"/>
      <c r="EWF221" s="76"/>
      <c r="EWG221" s="76"/>
      <c r="EWH221" s="76"/>
      <c r="EWI221" s="76"/>
      <c r="EWJ221" s="76"/>
      <c r="EWK221" s="76"/>
      <c r="EWL221" s="76"/>
      <c r="EWM221" s="76"/>
      <c r="EWN221" s="76"/>
      <c r="EWO221" s="76"/>
      <c r="EWP221" s="76"/>
      <c r="EWQ221" s="76"/>
      <c r="EWR221" s="76"/>
      <c r="EWS221" s="76"/>
      <c r="EWT221" s="76"/>
      <c r="EWU221" s="76"/>
      <c r="EWV221" s="76"/>
      <c r="EWW221" s="76"/>
      <c r="EWX221" s="76"/>
      <c r="EWY221" s="76"/>
      <c r="EWZ221" s="76"/>
      <c r="EXA221" s="76"/>
      <c r="EXB221" s="76"/>
      <c r="EXC221" s="76"/>
      <c r="EXD221" s="76"/>
      <c r="EXE221" s="76"/>
      <c r="EXF221" s="76"/>
      <c r="EXG221" s="76"/>
      <c r="EXH221" s="76"/>
      <c r="EXI221" s="76"/>
      <c r="EXJ221" s="76"/>
      <c r="EXK221" s="76"/>
      <c r="EXL221" s="76"/>
      <c r="EXM221" s="76"/>
      <c r="EXN221" s="76"/>
      <c r="EXO221" s="76"/>
      <c r="EXP221" s="76"/>
      <c r="EXQ221" s="76"/>
      <c r="EXR221" s="76"/>
      <c r="EXS221" s="76"/>
      <c r="EXT221" s="76"/>
      <c r="EXU221" s="76"/>
      <c r="EXV221" s="76"/>
      <c r="EXW221" s="76"/>
      <c r="EXX221" s="76"/>
      <c r="EXY221" s="76"/>
      <c r="EXZ221" s="76"/>
      <c r="EYA221" s="76"/>
      <c r="EYB221" s="76"/>
      <c r="EYC221" s="76"/>
      <c r="EYD221" s="76"/>
      <c r="EYE221" s="76"/>
      <c r="EYF221" s="76"/>
      <c r="EYG221" s="76"/>
      <c r="EYH221" s="76"/>
      <c r="EYI221" s="76"/>
      <c r="EYJ221" s="76"/>
      <c r="EYK221" s="76"/>
      <c r="EYL221" s="76"/>
      <c r="EYM221" s="76"/>
      <c r="EYN221" s="76"/>
      <c r="EYO221" s="76"/>
      <c r="EYP221" s="76"/>
      <c r="EYQ221" s="76"/>
      <c r="EYR221" s="76"/>
      <c r="EYS221" s="76"/>
      <c r="EYT221" s="76"/>
      <c r="EYU221" s="76"/>
      <c r="EYV221" s="76"/>
      <c r="EYW221" s="76"/>
      <c r="EYX221" s="76"/>
      <c r="EYY221" s="76"/>
      <c r="EYZ221" s="76"/>
      <c r="EZA221" s="76"/>
      <c r="EZB221" s="76"/>
      <c r="EZC221" s="76"/>
      <c r="EZD221" s="76"/>
      <c r="EZE221" s="76"/>
      <c r="EZF221" s="76"/>
      <c r="EZG221" s="76"/>
      <c r="EZH221" s="76"/>
      <c r="EZI221" s="76"/>
      <c r="EZJ221" s="76"/>
      <c r="EZK221" s="76"/>
      <c r="EZL221" s="76"/>
      <c r="EZM221" s="76"/>
      <c r="EZN221" s="76"/>
      <c r="EZO221" s="76"/>
      <c r="EZP221" s="76"/>
      <c r="EZQ221" s="76"/>
      <c r="EZR221" s="76"/>
      <c r="EZS221" s="76"/>
      <c r="EZT221" s="76"/>
      <c r="EZU221" s="76"/>
      <c r="EZV221" s="76"/>
      <c r="EZW221" s="76"/>
      <c r="EZX221" s="76"/>
      <c r="EZY221" s="76"/>
      <c r="EZZ221" s="76"/>
      <c r="FAA221" s="76"/>
      <c r="FAB221" s="76"/>
      <c r="FAC221" s="76"/>
      <c r="FAD221" s="76"/>
      <c r="FAE221" s="76"/>
      <c r="FAF221" s="76"/>
      <c r="FAG221" s="76"/>
      <c r="FAH221" s="76"/>
      <c r="FAI221" s="76"/>
      <c r="FAJ221" s="76"/>
      <c r="FAK221" s="76"/>
      <c r="FAL221" s="76"/>
      <c r="FAM221" s="76"/>
      <c r="FAN221" s="76"/>
      <c r="FAO221" s="76"/>
      <c r="FAP221" s="76"/>
      <c r="FAQ221" s="76"/>
      <c r="FAR221" s="76"/>
      <c r="FAS221" s="76"/>
      <c r="FAT221" s="76"/>
      <c r="FAU221" s="76"/>
      <c r="FAV221" s="76"/>
      <c r="FAW221" s="76"/>
      <c r="FAX221" s="76"/>
      <c r="FAY221" s="76"/>
      <c r="FAZ221" s="76"/>
      <c r="FBA221" s="76"/>
      <c r="FBB221" s="76"/>
      <c r="FBC221" s="76"/>
      <c r="FBD221" s="76"/>
      <c r="FBE221" s="76"/>
      <c r="FBF221" s="76"/>
      <c r="FBG221" s="76"/>
      <c r="FBH221" s="76"/>
      <c r="FBI221" s="76"/>
      <c r="FBJ221" s="76"/>
      <c r="FBK221" s="76"/>
      <c r="FBL221" s="76"/>
      <c r="FBM221" s="76"/>
      <c r="FBN221" s="76"/>
      <c r="FBO221" s="76"/>
      <c r="FBP221" s="76"/>
      <c r="FBQ221" s="76"/>
      <c r="FBR221" s="76"/>
      <c r="FBS221" s="76"/>
      <c r="FBT221" s="76"/>
      <c r="FBU221" s="76"/>
      <c r="FBV221" s="76"/>
      <c r="FBW221" s="76"/>
      <c r="FBX221" s="76"/>
      <c r="FBY221" s="76"/>
      <c r="FBZ221" s="76"/>
      <c r="FCA221" s="76"/>
      <c r="FCB221" s="76"/>
      <c r="FCC221" s="76"/>
      <c r="FCD221" s="76"/>
      <c r="FCE221" s="76"/>
      <c r="FCF221" s="76"/>
      <c r="FCG221" s="76"/>
      <c r="FCH221" s="76"/>
      <c r="FCI221" s="76"/>
      <c r="FCJ221" s="76"/>
      <c r="FCK221" s="76"/>
      <c r="FCL221" s="76"/>
      <c r="FCM221" s="76"/>
      <c r="FCN221" s="76"/>
      <c r="FCO221" s="76"/>
      <c r="FCP221" s="76"/>
      <c r="FCQ221" s="76"/>
      <c r="FCR221" s="76"/>
      <c r="FCS221" s="76"/>
      <c r="FCT221" s="76"/>
      <c r="FCU221" s="76"/>
      <c r="FCV221" s="76"/>
      <c r="FCW221" s="76"/>
      <c r="FCX221" s="76"/>
      <c r="FCY221" s="76"/>
      <c r="FCZ221" s="76"/>
      <c r="FDA221" s="76"/>
      <c r="FDB221" s="76"/>
      <c r="FDC221" s="76"/>
      <c r="FDD221" s="76"/>
      <c r="FDE221" s="76"/>
      <c r="FDF221" s="76"/>
      <c r="FDG221" s="76"/>
      <c r="FDH221" s="76"/>
      <c r="FDI221" s="76"/>
      <c r="FDJ221" s="76"/>
      <c r="FDK221" s="76"/>
      <c r="FDL221" s="76"/>
      <c r="FDM221" s="76"/>
      <c r="FDN221" s="76"/>
      <c r="FDO221" s="76"/>
      <c r="FDP221" s="76"/>
      <c r="FDQ221" s="76"/>
      <c r="FDR221" s="76"/>
      <c r="FDS221" s="76"/>
      <c r="FDT221" s="76"/>
      <c r="FDU221" s="76"/>
      <c r="FDV221" s="76"/>
      <c r="FDW221" s="76"/>
      <c r="FDX221" s="76"/>
      <c r="FDY221" s="76"/>
      <c r="FDZ221" s="76"/>
      <c r="FEA221" s="76"/>
      <c r="FEB221" s="76"/>
      <c r="FEC221" s="76"/>
      <c r="FED221" s="76"/>
      <c r="FEE221" s="76"/>
      <c r="FEF221" s="76"/>
      <c r="FEG221" s="76"/>
      <c r="FEH221" s="76"/>
      <c r="FEI221" s="76"/>
      <c r="FEJ221" s="76"/>
      <c r="FEK221" s="76"/>
      <c r="FEL221" s="76"/>
      <c r="FEM221" s="76"/>
      <c r="FEN221" s="76"/>
      <c r="FEO221" s="76"/>
      <c r="FEP221" s="76"/>
      <c r="FEQ221" s="76"/>
      <c r="FER221" s="76"/>
      <c r="FES221" s="76"/>
      <c r="FET221" s="76"/>
      <c r="FEU221" s="76"/>
      <c r="FEV221" s="76"/>
      <c r="FEW221" s="76"/>
      <c r="FEX221" s="76"/>
      <c r="FEY221" s="76"/>
      <c r="FEZ221" s="76"/>
      <c r="FFA221" s="76"/>
      <c r="FFB221" s="76"/>
      <c r="FFC221" s="76"/>
      <c r="FFD221" s="76"/>
      <c r="FFE221" s="76"/>
      <c r="FFF221" s="76"/>
      <c r="FFG221" s="76"/>
      <c r="FFH221" s="76"/>
      <c r="FFI221" s="76"/>
      <c r="FFJ221" s="76"/>
      <c r="FFK221" s="76"/>
      <c r="FFL221" s="76"/>
      <c r="FFM221" s="76"/>
      <c r="FFN221" s="76"/>
      <c r="FFO221" s="76"/>
      <c r="FFP221" s="76"/>
      <c r="FFQ221" s="76"/>
      <c r="FFR221" s="76"/>
      <c r="FFS221" s="76"/>
      <c r="FFT221" s="76"/>
      <c r="FFU221" s="76"/>
      <c r="FFV221" s="76"/>
      <c r="FFW221" s="76"/>
      <c r="FFX221" s="76"/>
      <c r="FFY221" s="76"/>
      <c r="FFZ221" s="76"/>
      <c r="FGA221" s="76"/>
      <c r="FGB221" s="76"/>
      <c r="FGC221" s="76"/>
      <c r="FGD221" s="76"/>
      <c r="FGE221" s="76"/>
      <c r="FGF221" s="76"/>
      <c r="FGG221" s="76"/>
      <c r="FGH221" s="76"/>
      <c r="FGI221" s="76"/>
      <c r="FGJ221" s="76"/>
      <c r="FGK221" s="76"/>
      <c r="FGL221" s="76"/>
      <c r="FGM221" s="76"/>
      <c r="FGN221" s="76"/>
      <c r="FGO221" s="76"/>
      <c r="FGP221" s="76"/>
      <c r="FGQ221" s="76"/>
      <c r="FGR221" s="76"/>
      <c r="FGS221" s="76"/>
      <c r="FGT221" s="76"/>
      <c r="FGU221" s="76"/>
      <c r="FGV221" s="76"/>
      <c r="FGW221" s="76"/>
      <c r="FGX221" s="76"/>
      <c r="FGY221" s="76"/>
      <c r="FGZ221" s="76"/>
      <c r="FHA221" s="76"/>
      <c r="FHB221" s="76"/>
      <c r="FHC221" s="76"/>
      <c r="FHD221" s="76"/>
      <c r="FHE221" s="76"/>
      <c r="FHF221" s="76"/>
      <c r="FHG221" s="76"/>
      <c r="FHH221" s="76"/>
      <c r="FHI221" s="76"/>
      <c r="FHJ221" s="76"/>
      <c r="FHK221" s="76"/>
      <c r="FHL221" s="76"/>
      <c r="FHM221" s="76"/>
      <c r="FHN221" s="76"/>
      <c r="FHO221" s="76"/>
      <c r="FHP221" s="76"/>
      <c r="FHQ221" s="76"/>
      <c r="FHR221" s="76"/>
      <c r="FHS221" s="76"/>
      <c r="FHT221" s="76"/>
      <c r="FHU221" s="76"/>
      <c r="FHV221" s="76"/>
      <c r="FHW221" s="76"/>
      <c r="FHX221" s="76"/>
      <c r="FHY221" s="76"/>
      <c r="FHZ221" s="76"/>
      <c r="FIA221" s="76"/>
      <c r="FIB221" s="76"/>
      <c r="FIC221" s="76"/>
      <c r="FID221" s="76"/>
      <c r="FIE221" s="76"/>
      <c r="FIF221" s="76"/>
      <c r="FIG221" s="76"/>
      <c r="FIH221" s="76"/>
      <c r="FII221" s="76"/>
      <c r="FIJ221" s="76"/>
      <c r="FIK221" s="76"/>
      <c r="FIL221" s="76"/>
      <c r="FIM221" s="76"/>
      <c r="FIN221" s="76"/>
      <c r="FIO221" s="76"/>
      <c r="FIP221" s="76"/>
      <c r="FIQ221" s="76"/>
      <c r="FIR221" s="76"/>
      <c r="FIS221" s="76"/>
      <c r="FIT221" s="76"/>
      <c r="FIU221" s="76"/>
      <c r="FIV221" s="76"/>
      <c r="FIW221" s="76"/>
      <c r="FIX221" s="76"/>
      <c r="FIY221" s="76"/>
      <c r="FIZ221" s="76"/>
      <c r="FJA221" s="76"/>
      <c r="FJB221" s="76"/>
      <c r="FJC221" s="76"/>
      <c r="FJD221" s="76"/>
      <c r="FJE221" s="76"/>
      <c r="FJF221" s="76"/>
      <c r="FJG221" s="76"/>
      <c r="FJH221" s="76"/>
      <c r="FJI221" s="76"/>
      <c r="FJJ221" s="76"/>
      <c r="FJK221" s="76"/>
      <c r="FJL221" s="76"/>
      <c r="FJM221" s="76"/>
      <c r="FJN221" s="76"/>
      <c r="FJO221" s="76"/>
      <c r="FJP221" s="76"/>
      <c r="FJQ221" s="76"/>
      <c r="FJR221" s="76"/>
      <c r="FJS221" s="76"/>
      <c r="FJT221" s="76"/>
      <c r="FJU221" s="76"/>
      <c r="FJV221" s="76"/>
      <c r="FJW221" s="76"/>
      <c r="FJX221" s="76"/>
      <c r="FJY221" s="76"/>
      <c r="FJZ221" s="76"/>
      <c r="FKA221" s="76"/>
      <c r="FKB221" s="76"/>
      <c r="FKC221" s="76"/>
      <c r="FKD221" s="76"/>
      <c r="FKE221" s="76"/>
      <c r="FKF221" s="76"/>
      <c r="FKG221" s="76"/>
      <c r="FKH221" s="76"/>
      <c r="FKI221" s="76"/>
      <c r="FKJ221" s="76"/>
      <c r="FKK221" s="76"/>
      <c r="FKL221" s="76"/>
      <c r="FKM221" s="76"/>
      <c r="FKN221" s="76"/>
      <c r="FKO221" s="76"/>
      <c r="FKP221" s="76"/>
      <c r="FKQ221" s="76"/>
      <c r="FKR221" s="76"/>
      <c r="FKS221" s="76"/>
      <c r="FKT221" s="76"/>
      <c r="FKU221" s="76"/>
      <c r="FKV221" s="76"/>
      <c r="FKW221" s="76"/>
      <c r="FKX221" s="76"/>
      <c r="FKY221" s="76"/>
      <c r="FKZ221" s="76"/>
      <c r="FLA221" s="76"/>
      <c r="FLB221" s="76"/>
      <c r="FLC221" s="76"/>
      <c r="FLD221" s="76"/>
      <c r="FLE221" s="76"/>
      <c r="FLF221" s="76"/>
      <c r="FLG221" s="76"/>
      <c r="FLH221" s="76"/>
      <c r="FLI221" s="76"/>
      <c r="FLJ221" s="76"/>
      <c r="FLK221" s="76"/>
      <c r="FLL221" s="76"/>
      <c r="FLM221" s="76"/>
      <c r="FLN221" s="76"/>
      <c r="FLO221" s="76"/>
      <c r="FLP221" s="76"/>
      <c r="FLQ221" s="76"/>
      <c r="FLR221" s="76"/>
      <c r="FLS221" s="76"/>
      <c r="FLT221" s="76"/>
      <c r="FLU221" s="76"/>
      <c r="FLV221" s="76"/>
      <c r="FLW221" s="76"/>
      <c r="FLX221" s="76"/>
      <c r="FLY221" s="76"/>
      <c r="FLZ221" s="76"/>
      <c r="FMA221" s="76"/>
      <c r="FMB221" s="76"/>
      <c r="FMC221" s="76"/>
      <c r="FMD221" s="76"/>
      <c r="FME221" s="76"/>
      <c r="FMF221" s="76"/>
      <c r="FMG221" s="76"/>
      <c r="FMH221" s="76"/>
      <c r="FMI221" s="76"/>
      <c r="FMJ221" s="76"/>
      <c r="FMK221" s="76"/>
      <c r="FML221" s="76"/>
      <c r="FMM221" s="76"/>
      <c r="FMN221" s="76"/>
      <c r="FMO221" s="76"/>
      <c r="FMP221" s="76"/>
      <c r="FMQ221" s="76"/>
      <c r="FMR221" s="76"/>
      <c r="FMS221" s="76"/>
      <c r="FMT221" s="76"/>
      <c r="FMU221" s="76"/>
      <c r="FMV221" s="76"/>
      <c r="FMW221" s="76"/>
      <c r="FMX221" s="76"/>
      <c r="FMY221" s="76"/>
      <c r="FMZ221" s="76"/>
      <c r="FNA221" s="76"/>
      <c r="FNB221" s="76"/>
      <c r="FNC221" s="76"/>
      <c r="FND221" s="76"/>
      <c r="FNE221" s="76"/>
      <c r="FNF221" s="76"/>
      <c r="FNG221" s="76"/>
      <c r="FNH221" s="76"/>
      <c r="FNI221" s="76"/>
      <c r="FNJ221" s="76"/>
      <c r="FNK221" s="76"/>
      <c r="FNL221" s="76"/>
      <c r="FNM221" s="76"/>
      <c r="FNN221" s="76"/>
      <c r="FNO221" s="76"/>
      <c r="FNP221" s="76"/>
      <c r="FNQ221" s="76"/>
      <c r="FNR221" s="76"/>
      <c r="FNS221" s="76"/>
      <c r="FNT221" s="76"/>
      <c r="FNU221" s="76"/>
      <c r="FNV221" s="76"/>
      <c r="FNW221" s="76"/>
      <c r="FNX221" s="76"/>
      <c r="FNY221" s="76"/>
      <c r="FNZ221" s="76"/>
      <c r="FOA221" s="76"/>
      <c r="FOB221" s="76"/>
      <c r="FOC221" s="76"/>
      <c r="FOD221" s="76"/>
      <c r="FOE221" s="76"/>
      <c r="FOF221" s="76"/>
      <c r="FOG221" s="76"/>
      <c r="FOH221" s="76"/>
      <c r="FOI221" s="76"/>
      <c r="FOJ221" s="76"/>
      <c r="FOK221" s="76"/>
      <c r="FOL221" s="76"/>
      <c r="FOM221" s="76"/>
      <c r="FON221" s="76"/>
      <c r="FOO221" s="76"/>
      <c r="FOP221" s="76"/>
      <c r="FOQ221" s="76"/>
      <c r="FOR221" s="76"/>
      <c r="FOS221" s="76"/>
      <c r="FOT221" s="76"/>
      <c r="FOU221" s="76"/>
      <c r="FOV221" s="76"/>
      <c r="FOW221" s="76"/>
      <c r="FOX221" s="76"/>
      <c r="FOY221" s="76"/>
      <c r="FOZ221" s="76"/>
      <c r="FPA221" s="76"/>
      <c r="FPB221" s="76"/>
      <c r="FPC221" s="76"/>
      <c r="FPD221" s="76"/>
      <c r="FPE221" s="76"/>
      <c r="FPF221" s="76"/>
      <c r="FPG221" s="76"/>
      <c r="FPH221" s="76"/>
      <c r="FPI221" s="76"/>
      <c r="FPJ221" s="76"/>
      <c r="FPK221" s="76"/>
      <c r="FPL221" s="76"/>
      <c r="FPM221" s="76"/>
      <c r="FPN221" s="76"/>
      <c r="FPO221" s="76"/>
      <c r="FPP221" s="76"/>
      <c r="FPQ221" s="76"/>
      <c r="FPR221" s="76"/>
      <c r="FPS221" s="76"/>
      <c r="FPT221" s="76"/>
      <c r="FPU221" s="76"/>
      <c r="FPV221" s="76"/>
      <c r="FPW221" s="76"/>
      <c r="FPX221" s="76"/>
      <c r="FPY221" s="76"/>
      <c r="FPZ221" s="76"/>
      <c r="FQA221" s="76"/>
      <c r="FQB221" s="76"/>
      <c r="FQC221" s="76"/>
      <c r="FQD221" s="76"/>
      <c r="FQE221" s="76"/>
      <c r="FQF221" s="76"/>
      <c r="FQG221" s="76"/>
      <c r="FQH221" s="76"/>
      <c r="FQI221" s="76"/>
      <c r="FQJ221" s="76"/>
      <c r="FQK221" s="76"/>
      <c r="FQL221" s="76"/>
      <c r="FQM221" s="76"/>
      <c r="FQN221" s="76"/>
      <c r="FQO221" s="76"/>
      <c r="FQP221" s="76"/>
      <c r="FQQ221" s="76"/>
      <c r="FQR221" s="76"/>
      <c r="FQS221" s="76"/>
      <c r="FQT221" s="76"/>
      <c r="FQU221" s="76"/>
      <c r="FQV221" s="76"/>
      <c r="FQW221" s="76"/>
      <c r="FQX221" s="76"/>
      <c r="FQY221" s="76"/>
      <c r="FQZ221" s="76"/>
      <c r="FRA221" s="76"/>
      <c r="FRB221" s="76"/>
      <c r="FRC221" s="76"/>
      <c r="FRD221" s="76"/>
      <c r="FRE221" s="76"/>
      <c r="FRF221" s="76"/>
      <c r="FRG221" s="76"/>
      <c r="FRH221" s="76"/>
      <c r="FRI221" s="76"/>
      <c r="FRJ221" s="76"/>
      <c r="FRK221" s="76"/>
      <c r="FRL221" s="76"/>
      <c r="FRM221" s="76"/>
      <c r="FRN221" s="76"/>
      <c r="FRO221" s="76"/>
      <c r="FRP221" s="76"/>
      <c r="FRQ221" s="76"/>
      <c r="FRR221" s="76"/>
      <c r="FRS221" s="76"/>
      <c r="FRT221" s="76"/>
      <c r="FRU221" s="76"/>
      <c r="FRV221" s="76"/>
      <c r="FRW221" s="76"/>
      <c r="FRX221" s="76"/>
      <c r="FRY221" s="76"/>
      <c r="FRZ221" s="76"/>
      <c r="FSA221" s="76"/>
      <c r="FSB221" s="76"/>
      <c r="FSC221" s="76"/>
      <c r="FSD221" s="76"/>
      <c r="FSE221" s="76"/>
      <c r="FSF221" s="76"/>
      <c r="FSG221" s="76"/>
      <c r="FSH221" s="76"/>
      <c r="FSI221" s="76"/>
      <c r="FSJ221" s="76"/>
      <c r="FSK221" s="76"/>
      <c r="FSL221" s="76"/>
      <c r="FSM221" s="76"/>
      <c r="FSN221" s="76"/>
      <c r="FSO221" s="76"/>
      <c r="FSP221" s="76"/>
      <c r="FSQ221" s="76"/>
      <c r="FSR221" s="76"/>
      <c r="FSS221" s="76"/>
      <c r="FST221" s="76"/>
      <c r="FSU221" s="76"/>
      <c r="FSV221" s="76"/>
      <c r="FSW221" s="76"/>
      <c r="FSX221" s="76"/>
      <c r="FSY221" s="76"/>
      <c r="FSZ221" s="76"/>
      <c r="FTA221" s="76"/>
      <c r="FTB221" s="76"/>
      <c r="FTC221" s="76"/>
      <c r="FTD221" s="76"/>
      <c r="FTE221" s="76"/>
      <c r="FTF221" s="76"/>
      <c r="FTG221" s="76"/>
      <c r="FTH221" s="76"/>
      <c r="FTI221" s="76"/>
      <c r="FTJ221" s="76"/>
      <c r="FTK221" s="76"/>
      <c r="FTL221" s="76"/>
      <c r="FTM221" s="76"/>
      <c r="FTN221" s="76"/>
      <c r="FTO221" s="76"/>
      <c r="FTP221" s="76"/>
      <c r="FTQ221" s="76"/>
      <c r="FTR221" s="76"/>
      <c r="FTS221" s="76"/>
      <c r="FTT221" s="76"/>
      <c r="FTU221" s="76"/>
      <c r="FTV221" s="76"/>
      <c r="FTW221" s="76"/>
      <c r="FTX221" s="76"/>
      <c r="FTY221" s="76"/>
      <c r="FTZ221" s="76"/>
      <c r="FUA221" s="76"/>
      <c r="FUB221" s="76"/>
      <c r="FUC221" s="76"/>
      <c r="FUD221" s="76"/>
      <c r="FUE221" s="76"/>
      <c r="FUF221" s="76"/>
      <c r="FUG221" s="76"/>
      <c r="FUH221" s="76"/>
      <c r="FUI221" s="76"/>
      <c r="FUJ221" s="76"/>
      <c r="FUK221" s="76"/>
      <c r="FUL221" s="76"/>
      <c r="FUM221" s="76"/>
      <c r="FUN221" s="76"/>
      <c r="FUO221" s="76"/>
      <c r="FUP221" s="76"/>
      <c r="FUQ221" s="76"/>
      <c r="FUR221" s="76"/>
      <c r="FUS221" s="76"/>
      <c r="FUT221" s="76"/>
      <c r="FUU221" s="76"/>
      <c r="FUV221" s="76"/>
      <c r="FUW221" s="76"/>
      <c r="FUX221" s="76"/>
      <c r="FUY221" s="76"/>
      <c r="FUZ221" s="76"/>
      <c r="FVA221" s="76"/>
      <c r="FVB221" s="76"/>
      <c r="FVC221" s="76"/>
      <c r="FVD221" s="76"/>
      <c r="FVE221" s="76"/>
      <c r="FVF221" s="76"/>
      <c r="FVG221" s="76"/>
      <c r="FVH221" s="76"/>
      <c r="FVI221" s="76"/>
      <c r="FVJ221" s="76"/>
      <c r="FVK221" s="76"/>
      <c r="FVL221" s="76"/>
      <c r="FVM221" s="76"/>
      <c r="FVN221" s="76"/>
      <c r="FVO221" s="76"/>
      <c r="FVP221" s="76"/>
      <c r="FVQ221" s="76"/>
      <c r="FVR221" s="76"/>
      <c r="FVS221" s="76"/>
      <c r="FVT221" s="76"/>
      <c r="FVU221" s="76"/>
      <c r="FVV221" s="76"/>
      <c r="FVW221" s="76"/>
      <c r="FVX221" s="76"/>
      <c r="FVY221" s="76"/>
      <c r="FVZ221" s="76"/>
      <c r="FWA221" s="76"/>
      <c r="FWB221" s="76"/>
      <c r="FWC221" s="76"/>
      <c r="FWD221" s="76"/>
      <c r="FWE221" s="76"/>
      <c r="FWF221" s="76"/>
      <c r="FWG221" s="76"/>
      <c r="FWH221" s="76"/>
      <c r="FWI221" s="76"/>
      <c r="FWJ221" s="76"/>
      <c r="FWK221" s="76"/>
      <c r="FWL221" s="76"/>
      <c r="FWM221" s="76"/>
      <c r="FWN221" s="76"/>
      <c r="FWO221" s="76"/>
      <c r="FWP221" s="76"/>
      <c r="FWQ221" s="76"/>
      <c r="FWR221" s="76"/>
      <c r="FWS221" s="76"/>
      <c r="FWT221" s="76"/>
      <c r="FWU221" s="76"/>
      <c r="FWV221" s="76"/>
      <c r="FWW221" s="76"/>
      <c r="FWX221" s="76"/>
      <c r="FWY221" s="76"/>
      <c r="FWZ221" s="76"/>
      <c r="FXA221" s="76"/>
      <c r="FXB221" s="76"/>
      <c r="FXC221" s="76"/>
      <c r="FXD221" s="76"/>
      <c r="FXE221" s="76"/>
      <c r="FXF221" s="76"/>
      <c r="FXG221" s="76"/>
      <c r="FXH221" s="76"/>
      <c r="FXI221" s="76"/>
      <c r="FXJ221" s="76"/>
      <c r="FXK221" s="76"/>
      <c r="FXL221" s="76"/>
      <c r="FXM221" s="76"/>
      <c r="FXN221" s="76"/>
      <c r="FXO221" s="76"/>
      <c r="FXP221" s="76"/>
      <c r="FXQ221" s="76"/>
      <c r="FXR221" s="76"/>
      <c r="FXS221" s="76"/>
      <c r="FXT221" s="76"/>
      <c r="FXU221" s="76"/>
      <c r="FXV221" s="76"/>
      <c r="FXW221" s="76"/>
      <c r="FXX221" s="76"/>
      <c r="FXY221" s="76"/>
      <c r="FXZ221" s="76"/>
      <c r="FYA221" s="76"/>
      <c r="FYB221" s="76"/>
      <c r="FYC221" s="76"/>
      <c r="FYD221" s="76"/>
      <c r="FYE221" s="76"/>
      <c r="FYF221" s="76"/>
      <c r="FYG221" s="76"/>
      <c r="FYH221" s="76"/>
      <c r="FYI221" s="76"/>
      <c r="FYJ221" s="76"/>
      <c r="FYK221" s="76"/>
      <c r="FYL221" s="76"/>
      <c r="FYM221" s="76"/>
      <c r="FYN221" s="76"/>
      <c r="FYO221" s="76"/>
      <c r="FYP221" s="76"/>
      <c r="FYQ221" s="76"/>
      <c r="FYR221" s="76"/>
      <c r="FYS221" s="76"/>
      <c r="FYT221" s="76"/>
      <c r="FYU221" s="76"/>
      <c r="FYV221" s="76"/>
      <c r="FYW221" s="76"/>
      <c r="FYX221" s="76"/>
      <c r="FYY221" s="76"/>
      <c r="FYZ221" s="76"/>
      <c r="FZA221" s="76"/>
      <c r="FZB221" s="76"/>
      <c r="FZC221" s="76"/>
      <c r="FZD221" s="76"/>
      <c r="FZE221" s="76"/>
      <c r="FZF221" s="76"/>
      <c r="FZG221" s="76"/>
      <c r="FZH221" s="76"/>
      <c r="FZI221" s="76"/>
      <c r="FZJ221" s="76"/>
      <c r="FZK221" s="76"/>
      <c r="FZL221" s="76"/>
      <c r="FZM221" s="76"/>
      <c r="FZN221" s="76"/>
      <c r="FZO221" s="76"/>
      <c r="FZP221" s="76"/>
      <c r="FZQ221" s="76"/>
      <c r="FZR221" s="76"/>
      <c r="FZS221" s="76"/>
      <c r="FZT221" s="76"/>
      <c r="FZU221" s="76"/>
      <c r="FZV221" s="76"/>
      <c r="FZW221" s="76"/>
      <c r="FZX221" s="76"/>
      <c r="FZY221" s="76"/>
      <c r="FZZ221" s="76"/>
      <c r="GAA221" s="76"/>
      <c r="GAB221" s="76"/>
      <c r="GAC221" s="76"/>
      <c r="GAD221" s="76"/>
      <c r="GAE221" s="76"/>
      <c r="GAF221" s="76"/>
      <c r="GAG221" s="76"/>
      <c r="GAH221" s="76"/>
      <c r="GAI221" s="76"/>
      <c r="GAJ221" s="76"/>
      <c r="GAK221" s="76"/>
      <c r="GAL221" s="76"/>
      <c r="GAM221" s="76"/>
      <c r="GAN221" s="76"/>
      <c r="GAO221" s="76"/>
      <c r="GAP221" s="76"/>
      <c r="GAQ221" s="76"/>
      <c r="GAR221" s="76"/>
      <c r="GAS221" s="76"/>
      <c r="GAT221" s="76"/>
      <c r="GAU221" s="76"/>
      <c r="GAV221" s="76"/>
      <c r="GAW221" s="76"/>
      <c r="GAX221" s="76"/>
      <c r="GAY221" s="76"/>
      <c r="GAZ221" s="76"/>
      <c r="GBA221" s="76"/>
      <c r="GBB221" s="76"/>
      <c r="GBC221" s="76"/>
      <c r="GBD221" s="76"/>
      <c r="GBE221" s="76"/>
      <c r="GBF221" s="76"/>
      <c r="GBG221" s="76"/>
      <c r="GBH221" s="76"/>
      <c r="GBI221" s="76"/>
      <c r="GBJ221" s="76"/>
      <c r="GBK221" s="76"/>
      <c r="GBL221" s="76"/>
      <c r="GBM221" s="76"/>
      <c r="GBN221" s="76"/>
      <c r="GBO221" s="76"/>
      <c r="GBP221" s="76"/>
      <c r="GBQ221" s="76"/>
      <c r="GBR221" s="76"/>
      <c r="GBS221" s="76"/>
      <c r="GBT221" s="76"/>
      <c r="GBU221" s="76"/>
      <c r="GBV221" s="76"/>
      <c r="GBW221" s="76"/>
      <c r="GBX221" s="76"/>
      <c r="GBY221" s="76"/>
      <c r="GBZ221" s="76"/>
      <c r="GCA221" s="76"/>
      <c r="GCB221" s="76"/>
      <c r="GCC221" s="76"/>
      <c r="GCD221" s="76"/>
      <c r="GCE221" s="76"/>
      <c r="GCF221" s="76"/>
      <c r="GCG221" s="76"/>
      <c r="GCH221" s="76"/>
      <c r="GCI221" s="76"/>
      <c r="GCJ221" s="76"/>
      <c r="GCK221" s="76"/>
      <c r="GCL221" s="76"/>
      <c r="GCM221" s="76"/>
      <c r="GCN221" s="76"/>
      <c r="GCO221" s="76"/>
      <c r="GCP221" s="76"/>
      <c r="GCQ221" s="76"/>
      <c r="GCR221" s="76"/>
      <c r="GCS221" s="76"/>
      <c r="GCT221" s="76"/>
      <c r="GCU221" s="76"/>
      <c r="GCV221" s="76"/>
      <c r="GCW221" s="76"/>
      <c r="GCX221" s="76"/>
      <c r="GCY221" s="76"/>
      <c r="GCZ221" s="76"/>
      <c r="GDA221" s="76"/>
      <c r="GDB221" s="76"/>
      <c r="GDC221" s="76"/>
      <c r="GDD221" s="76"/>
      <c r="GDE221" s="76"/>
      <c r="GDF221" s="76"/>
      <c r="GDG221" s="76"/>
      <c r="GDH221" s="76"/>
      <c r="GDI221" s="76"/>
      <c r="GDJ221" s="76"/>
      <c r="GDK221" s="76"/>
      <c r="GDL221" s="76"/>
      <c r="GDM221" s="76"/>
      <c r="GDN221" s="76"/>
      <c r="GDO221" s="76"/>
      <c r="GDP221" s="76"/>
      <c r="GDQ221" s="76"/>
      <c r="GDR221" s="76"/>
      <c r="GDS221" s="76"/>
      <c r="GDT221" s="76"/>
      <c r="GDU221" s="76"/>
      <c r="GDV221" s="76"/>
      <c r="GDW221" s="76"/>
      <c r="GDX221" s="76"/>
      <c r="GDY221" s="76"/>
      <c r="GDZ221" s="76"/>
      <c r="GEA221" s="76"/>
      <c r="GEB221" s="76"/>
      <c r="GEC221" s="76"/>
      <c r="GED221" s="76"/>
      <c r="GEE221" s="76"/>
      <c r="GEF221" s="76"/>
      <c r="GEG221" s="76"/>
      <c r="GEH221" s="76"/>
      <c r="GEI221" s="76"/>
      <c r="GEJ221" s="76"/>
      <c r="GEK221" s="76"/>
      <c r="GEL221" s="76"/>
      <c r="GEM221" s="76"/>
      <c r="GEN221" s="76"/>
      <c r="GEO221" s="76"/>
      <c r="GEP221" s="76"/>
      <c r="GEQ221" s="76"/>
      <c r="GER221" s="76"/>
      <c r="GES221" s="76"/>
      <c r="GET221" s="76"/>
      <c r="GEU221" s="76"/>
      <c r="GEV221" s="76"/>
      <c r="GEW221" s="76"/>
      <c r="GEX221" s="76"/>
      <c r="GEY221" s="76"/>
      <c r="GEZ221" s="76"/>
      <c r="GFA221" s="76"/>
      <c r="GFB221" s="76"/>
      <c r="GFC221" s="76"/>
      <c r="GFD221" s="76"/>
      <c r="GFE221" s="76"/>
      <c r="GFF221" s="76"/>
      <c r="GFG221" s="76"/>
      <c r="GFH221" s="76"/>
      <c r="GFI221" s="76"/>
      <c r="GFJ221" s="76"/>
      <c r="GFK221" s="76"/>
      <c r="GFL221" s="76"/>
      <c r="GFM221" s="76"/>
      <c r="GFN221" s="76"/>
      <c r="GFO221" s="76"/>
      <c r="GFP221" s="76"/>
      <c r="GFQ221" s="76"/>
      <c r="GFR221" s="76"/>
      <c r="GFS221" s="76"/>
      <c r="GFT221" s="76"/>
      <c r="GFU221" s="76"/>
      <c r="GFV221" s="76"/>
      <c r="GFW221" s="76"/>
      <c r="GFX221" s="76"/>
      <c r="GFY221" s="76"/>
      <c r="GFZ221" s="76"/>
      <c r="GGA221" s="76"/>
      <c r="GGB221" s="76"/>
      <c r="GGC221" s="76"/>
      <c r="GGD221" s="76"/>
      <c r="GGE221" s="76"/>
      <c r="GGF221" s="76"/>
      <c r="GGG221" s="76"/>
      <c r="GGH221" s="76"/>
      <c r="GGI221" s="76"/>
      <c r="GGJ221" s="76"/>
      <c r="GGK221" s="76"/>
      <c r="GGL221" s="76"/>
      <c r="GGM221" s="76"/>
      <c r="GGN221" s="76"/>
      <c r="GGO221" s="76"/>
      <c r="GGP221" s="76"/>
      <c r="GGQ221" s="76"/>
      <c r="GGR221" s="76"/>
      <c r="GGS221" s="76"/>
      <c r="GGT221" s="76"/>
      <c r="GGU221" s="76"/>
      <c r="GGV221" s="76"/>
      <c r="GGW221" s="76"/>
      <c r="GGX221" s="76"/>
      <c r="GGY221" s="76"/>
      <c r="GGZ221" s="76"/>
      <c r="GHA221" s="76"/>
      <c r="GHB221" s="76"/>
      <c r="GHC221" s="76"/>
      <c r="GHD221" s="76"/>
      <c r="GHE221" s="76"/>
      <c r="GHF221" s="76"/>
      <c r="GHG221" s="76"/>
      <c r="GHH221" s="76"/>
      <c r="GHI221" s="76"/>
      <c r="GHJ221" s="76"/>
      <c r="GHK221" s="76"/>
      <c r="GHL221" s="76"/>
      <c r="GHM221" s="76"/>
      <c r="GHN221" s="76"/>
      <c r="GHO221" s="76"/>
      <c r="GHP221" s="76"/>
      <c r="GHQ221" s="76"/>
      <c r="GHR221" s="76"/>
      <c r="GHS221" s="76"/>
      <c r="GHT221" s="76"/>
      <c r="GHU221" s="76"/>
      <c r="GHV221" s="76"/>
      <c r="GHW221" s="76"/>
      <c r="GHX221" s="76"/>
      <c r="GHY221" s="76"/>
      <c r="GHZ221" s="76"/>
      <c r="GIA221" s="76"/>
      <c r="GIB221" s="76"/>
      <c r="GIC221" s="76"/>
      <c r="GID221" s="76"/>
      <c r="GIE221" s="76"/>
      <c r="GIF221" s="76"/>
      <c r="GIG221" s="76"/>
      <c r="GIH221" s="76"/>
      <c r="GII221" s="76"/>
      <c r="GIJ221" s="76"/>
      <c r="GIK221" s="76"/>
      <c r="GIL221" s="76"/>
      <c r="GIM221" s="76"/>
      <c r="GIN221" s="76"/>
      <c r="GIO221" s="76"/>
      <c r="GIP221" s="76"/>
      <c r="GIQ221" s="76"/>
      <c r="GIR221" s="76"/>
      <c r="GIS221" s="76"/>
      <c r="GIT221" s="76"/>
      <c r="GIU221" s="76"/>
      <c r="GIV221" s="76"/>
      <c r="GIW221" s="76"/>
      <c r="GIX221" s="76"/>
      <c r="GIY221" s="76"/>
      <c r="GIZ221" s="76"/>
      <c r="GJA221" s="76"/>
      <c r="GJB221" s="76"/>
      <c r="GJC221" s="76"/>
      <c r="GJD221" s="76"/>
      <c r="GJE221" s="76"/>
      <c r="GJF221" s="76"/>
      <c r="GJG221" s="76"/>
      <c r="GJH221" s="76"/>
      <c r="GJI221" s="76"/>
      <c r="GJJ221" s="76"/>
      <c r="GJK221" s="76"/>
      <c r="GJL221" s="76"/>
      <c r="GJM221" s="76"/>
      <c r="GJN221" s="76"/>
      <c r="GJO221" s="76"/>
      <c r="GJP221" s="76"/>
      <c r="GJQ221" s="76"/>
      <c r="GJR221" s="76"/>
      <c r="GJS221" s="76"/>
      <c r="GJT221" s="76"/>
      <c r="GJU221" s="76"/>
      <c r="GJV221" s="76"/>
      <c r="GJW221" s="76"/>
      <c r="GJX221" s="76"/>
      <c r="GJY221" s="76"/>
      <c r="GJZ221" s="76"/>
      <c r="GKA221" s="76"/>
      <c r="GKB221" s="76"/>
      <c r="GKC221" s="76"/>
      <c r="GKD221" s="76"/>
      <c r="GKE221" s="76"/>
      <c r="GKF221" s="76"/>
      <c r="GKG221" s="76"/>
      <c r="GKH221" s="76"/>
      <c r="GKI221" s="76"/>
      <c r="GKJ221" s="76"/>
      <c r="GKK221" s="76"/>
      <c r="GKL221" s="76"/>
      <c r="GKM221" s="76"/>
      <c r="GKN221" s="76"/>
      <c r="GKO221" s="76"/>
      <c r="GKP221" s="76"/>
      <c r="GKQ221" s="76"/>
      <c r="GKR221" s="76"/>
      <c r="GKS221" s="76"/>
      <c r="GKT221" s="76"/>
      <c r="GKU221" s="76"/>
      <c r="GKV221" s="76"/>
      <c r="GKW221" s="76"/>
      <c r="GKX221" s="76"/>
      <c r="GKY221" s="76"/>
      <c r="GKZ221" s="76"/>
      <c r="GLA221" s="76"/>
      <c r="GLB221" s="76"/>
      <c r="GLC221" s="76"/>
      <c r="GLD221" s="76"/>
      <c r="GLE221" s="76"/>
      <c r="GLF221" s="76"/>
      <c r="GLG221" s="76"/>
      <c r="GLH221" s="76"/>
      <c r="GLI221" s="76"/>
      <c r="GLJ221" s="76"/>
      <c r="GLK221" s="76"/>
      <c r="GLL221" s="76"/>
      <c r="GLM221" s="76"/>
      <c r="GLN221" s="76"/>
      <c r="GLO221" s="76"/>
      <c r="GLP221" s="76"/>
      <c r="GLQ221" s="76"/>
      <c r="GLR221" s="76"/>
      <c r="GLS221" s="76"/>
      <c r="GLT221" s="76"/>
      <c r="GLU221" s="76"/>
      <c r="GLV221" s="76"/>
      <c r="GLW221" s="76"/>
      <c r="GLX221" s="76"/>
      <c r="GLY221" s="76"/>
      <c r="GLZ221" s="76"/>
      <c r="GMA221" s="76"/>
      <c r="GMB221" s="76"/>
      <c r="GMC221" s="76"/>
      <c r="GMD221" s="76"/>
      <c r="GME221" s="76"/>
      <c r="GMF221" s="76"/>
      <c r="GMG221" s="76"/>
      <c r="GMH221" s="76"/>
      <c r="GMI221" s="76"/>
      <c r="GMJ221" s="76"/>
      <c r="GMK221" s="76"/>
      <c r="GML221" s="76"/>
      <c r="GMM221" s="76"/>
      <c r="GMN221" s="76"/>
      <c r="GMO221" s="76"/>
      <c r="GMP221" s="76"/>
      <c r="GMQ221" s="76"/>
      <c r="GMR221" s="76"/>
      <c r="GMS221" s="76"/>
      <c r="GMT221" s="76"/>
      <c r="GMU221" s="76"/>
      <c r="GMV221" s="76"/>
      <c r="GMW221" s="76"/>
      <c r="GMX221" s="76"/>
      <c r="GMY221" s="76"/>
      <c r="GMZ221" s="76"/>
      <c r="GNA221" s="76"/>
      <c r="GNB221" s="76"/>
      <c r="GNC221" s="76"/>
      <c r="GND221" s="76"/>
      <c r="GNE221" s="76"/>
      <c r="GNF221" s="76"/>
      <c r="GNG221" s="76"/>
      <c r="GNH221" s="76"/>
      <c r="GNI221" s="76"/>
      <c r="GNJ221" s="76"/>
      <c r="GNK221" s="76"/>
      <c r="GNL221" s="76"/>
      <c r="GNM221" s="76"/>
      <c r="GNN221" s="76"/>
      <c r="GNO221" s="76"/>
      <c r="GNP221" s="76"/>
      <c r="GNQ221" s="76"/>
      <c r="GNR221" s="76"/>
      <c r="GNS221" s="76"/>
      <c r="GNT221" s="76"/>
      <c r="GNU221" s="76"/>
      <c r="GNV221" s="76"/>
      <c r="GNW221" s="76"/>
      <c r="GNX221" s="76"/>
      <c r="GNY221" s="76"/>
      <c r="GNZ221" s="76"/>
      <c r="GOA221" s="76"/>
      <c r="GOB221" s="76"/>
      <c r="GOC221" s="76"/>
      <c r="GOD221" s="76"/>
      <c r="GOE221" s="76"/>
      <c r="GOF221" s="76"/>
      <c r="GOG221" s="76"/>
      <c r="GOH221" s="76"/>
      <c r="GOI221" s="76"/>
      <c r="GOJ221" s="76"/>
      <c r="GOK221" s="76"/>
      <c r="GOL221" s="76"/>
      <c r="GOM221" s="76"/>
      <c r="GON221" s="76"/>
      <c r="GOO221" s="76"/>
      <c r="GOP221" s="76"/>
      <c r="GOQ221" s="76"/>
      <c r="GOR221" s="76"/>
      <c r="GOS221" s="76"/>
      <c r="GOT221" s="76"/>
      <c r="GOU221" s="76"/>
      <c r="GOV221" s="76"/>
      <c r="GOW221" s="76"/>
      <c r="GOX221" s="76"/>
      <c r="GOY221" s="76"/>
      <c r="GOZ221" s="76"/>
      <c r="GPA221" s="76"/>
      <c r="GPB221" s="76"/>
      <c r="GPC221" s="76"/>
      <c r="GPD221" s="76"/>
      <c r="GPE221" s="76"/>
      <c r="GPF221" s="76"/>
      <c r="GPG221" s="76"/>
      <c r="GPH221" s="76"/>
      <c r="GPI221" s="76"/>
      <c r="GPJ221" s="76"/>
      <c r="GPK221" s="76"/>
      <c r="GPL221" s="76"/>
      <c r="GPM221" s="76"/>
      <c r="GPN221" s="76"/>
      <c r="GPO221" s="76"/>
      <c r="GPP221" s="76"/>
      <c r="GPQ221" s="76"/>
      <c r="GPR221" s="76"/>
      <c r="GPS221" s="76"/>
      <c r="GPT221" s="76"/>
      <c r="GPU221" s="76"/>
      <c r="GPV221" s="76"/>
      <c r="GPW221" s="76"/>
      <c r="GPX221" s="76"/>
      <c r="GPY221" s="76"/>
      <c r="GPZ221" s="76"/>
      <c r="GQA221" s="76"/>
      <c r="GQB221" s="76"/>
      <c r="GQC221" s="76"/>
      <c r="GQD221" s="76"/>
      <c r="GQE221" s="76"/>
      <c r="GQF221" s="76"/>
      <c r="GQG221" s="76"/>
      <c r="GQH221" s="76"/>
      <c r="GQI221" s="76"/>
      <c r="GQJ221" s="76"/>
      <c r="GQK221" s="76"/>
      <c r="GQL221" s="76"/>
      <c r="GQM221" s="76"/>
      <c r="GQN221" s="76"/>
      <c r="GQO221" s="76"/>
      <c r="GQP221" s="76"/>
      <c r="GQQ221" s="76"/>
      <c r="GQR221" s="76"/>
      <c r="GQS221" s="76"/>
      <c r="GQT221" s="76"/>
      <c r="GQU221" s="76"/>
      <c r="GQV221" s="76"/>
      <c r="GQW221" s="76"/>
      <c r="GQX221" s="76"/>
      <c r="GQY221" s="76"/>
      <c r="GQZ221" s="76"/>
      <c r="GRA221" s="76"/>
      <c r="GRB221" s="76"/>
      <c r="GRC221" s="76"/>
      <c r="GRD221" s="76"/>
      <c r="GRE221" s="76"/>
      <c r="GRF221" s="76"/>
      <c r="GRG221" s="76"/>
      <c r="GRH221" s="76"/>
      <c r="GRI221" s="76"/>
      <c r="GRJ221" s="76"/>
      <c r="GRK221" s="76"/>
      <c r="GRL221" s="76"/>
      <c r="GRM221" s="76"/>
      <c r="GRN221" s="76"/>
      <c r="GRO221" s="76"/>
      <c r="GRP221" s="76"/>
      <c r="GRQ221" s="76"/>
      <c r="GRR221" s="76"/>
      <c r="GRS221" s="76"/>
      <c r="GRT221" s="76"/>
      <c r="GRU221" s="76"/>
      <c r="GRV221" s="76"/>
      <c r="GRW221" s="76"/>
      <c r="GRX221" s="76"/>
      <c r="GRY221" s="76"/>
      <c r="GRZ221" s="76"/>
      <c r="GSA221" s="76"/>
      <c r="GSB221" s="76"/>
      <c r="GSC221" s="76"/>
      <c r="GSD221" s="76"/>
      <c r="GSE221" s="76"/>
      <c r="GSF221" s="76"/>
      <c r="GSG221" s="76"/>
      <c r="GSH221" s="76"/>
      <c r="GSI221" s="76"/>
      <c r="GSJ221" s="76"/>
      <c r="GSK221" s="76"/>
      <c r="GSL221" s="76"/>
      <c r="GSM221" s="76"/>
      <c r="GSN221" s="76"/>
      <c r="GSO221" s="76"/>
      <c r="GSP221" s="76"/>
      <c r="GSQ221" s="76"/>
      <c r="GSR221" s="76"/>
      <c r="GSS221" s="76"/>
      <c r="GST221" s="76"/>
      <c r="GSU221" s="76"/>
      <c r="GSV221" s="76"/>
      <c r="GSW221" s="76"/>
      <c r="GSX221" s="76"/>
      <c r="GSY221" s="76"/>
      <c r="GSZ221" s="76"/>
      <c r="GTA221" s="76"/>
      <c r="GTB221" s="76"/>
      <c r="GTC221" s="76"/>
      <c r="GTD221" s="76"/>
      <c r="GTE221" s="76"/>
      <c r="GTF221" s="76"/>
      <c r="GTG221" s="76"/>
      <c r="GTH221" s="76"/>
      <c r="GTI221" s="76"/>
      <c r="GTJ221" s="76"/>
      <c r="GTK221" s="76"/>
      <c r="GTL221" s="76"/>
      <c r="GTM221" s="76"/>
      <c r="GTN221" s="76"/>
      <c r="GTO221" s="76"/>
      <c r="GTP221" s="76"/>
      <c r="GTQ221" s="76"/>
      <c r="GTR221" s="76"/>
      <c r="GTS221" s="76"/>
      <c r="GTT221" s="76"/>
      <c r="GTU221" s="76"/>
      <c r="GTV221" s="76"/>
      <c r="GTW221" s="76"/>
      <c r="GTX221" s="76"/>
      <c r="GTY221" s="76"/>
      <c r="GTZ221" s="76"/>
      <c r="GUA221" s="76"/>
      <c r="GUB221" s="76"/>
      <c r="GUC221" s="76"/>
      <c r="GUD221" s="76"/>
      <c r="GUE221" s="76"/>
      <c r="GUF221" s="76"/>
      <c r="GUG221" s="76"/>
      <c r="GUH221" s="76"/>
      <c r="GUI221" s="76"/>
      <c r="GUJ221" s="76"/>
      <c r="GUK221" s="76"/>
      <c r="GUL221" s="76"/>
      <c r="GUM221" s="76"/>
      <c r="GUN221" s="76"/>
      <c r="GUO221" s="76"/>
      <c r="GUP221" s="76"/>
      <c r="GUQ221" s="76"/>
      <c r="GUR221" s="76"/>
      <c r="GUS221" s="76"/>
      <c r="GUT221" s="76"/>
      <c r="GUU221" s="76"/>
      <c r="GUV221" s="76"/>
      <c r="GUW221" s="76"/>
      <c r="GUX221" s="76"/>
      <c r="GUY221" s="76"/>
      <c r="GUZ221" s="76"/>
      <c r="GVA221" s="76"/>
      <c r="GVB221" s="76"/>
      <c r="GVC221" s="76"/>
      <c r="GVD221" s="76"/>
      <c r="GVE221" s="76"/>
      <c r="GVF221" s="76"/>
      <c r="GVG221" s="76"/>
      <c r="GVH221" s="76"/>
      <c r="GVI221" s="76"/>
      <c r="GVJ221" s="76"/>
      <c r="GVK221" s="76"/>
      <c r="GVL221" s="76"/>
      <c r="GVM221" s="76"/>
      <c r="GVN221" s="76"/>
      <c r="GVO221" s="76"/>
      <c r="GVP221" s="76"/>
      <c r="GVQ221" s="76"/>
      <c r="GVR221" s="76"/>
      <c r="GVS221" s="76"/>
      <c r="GVT221" s="76"/>
      <c r="GVU221" s="76"/>
      <c r="GVV221" s="76"/>
      <c r="GVW221" s="76"/>
      <c r="GVX221" s="76"/>
      <c r="GVY221" s="76"/>
      <c r="GVZ221" s="76"/>
      <c r="GWA221" s="76"/>
      <c r="GWB221" s="76"/>
      <c r="GWC221" s="76"/>
      <c r="GWD221" s="76"/>
      <c r="GWE221" s="76"/>
      <c r="GWF221" s="76"/>
      <c r="GWG221" s="76"/>
      <c r="GWH221" s="76"/>
      <c r="GWI221" s="76"/>
      <c r="GWJ221" s="76"/>
      <c r="GWK221" s="76"/>
      <c r="GWL221" s="76"/>
      <c r="GWM221" s="76"/>
      <c r="GWN221" s="76"/>
      <c r="GWO221" s="76"/>
      <c r="GWP221" s="76"/>
      <c r="GWQ221" s="76"/>
      <c r="GWR221" s="76"/>
      <c r="GWS221" s="76"/>
      <c r="GWT221" s="76"/>
      <c r="GWU221" s="76"/>
      <c r="GWV221" s="76"/>
      <c r="GWW221" s="76"/>
      <c r="GWX221" s="76"/>
      <c r="GWY221" s="76"/>
      <c r="GWZ221" s="76"/>
      <c r="GXA221" s="76"/>
      <c r="GXB221" s="76"/>
      <c r="GXC221" s="76"/>
      <c r="GXD221" s="76"/>
      <c r="GXE221" s="76"/>
      <c r="GXF221" s="76"/>
      <c r="GXG221" s="76"/>
      <c r="GXH221" s="76"/>
      <c r="GXI221" s="76"/>
      <c r="GXJ221" s="76"/>
      <c r="GXK221" s="76"/>
      <c r="GXL221" s="76"/>
      <c r="GXM221" s="76"/>
      <c r="GXN221" s="76"/>
      <c r="GXO221" s="76"/>
      <c r="GXP221" s="76"/>
      <c r="GXQ221" s="76"/>
      <c r="GXR221" s="76"/>
      <c r="GXS221" s="76"/>
      <c r="GXT221" s="76"/>
      <c r="GXU221" s="76"/>
      <c r="GXV221" s="76"/>
      <c r="GXW221" s="76"/>
      <c r="GXX221" s="76"/>
      <c r="GXY221" s="76"/>
      <c r="GXZ221" s="76"/>
      <c r="GYA221" s="76"/>
      <c r="GYB221" s="76"/>
      <c r="GYC221" s="76"/>
      <c r="GYD221" s="76"/>
      <c r="GYE221" s="76"/>
      <c r="GYF221" s="76"/>
      <c r="GYG221" s="76"/>
      <c r="GYH221" s="76"/>
      <c r="GYI221" s="76"/>
      <c r="GYJ221" s="76"/>
      <c r="GYK221" s="76"/>
      <c r="GYL221" s="76"/>
      <c r="GYM221" s="76"/>
      <c r="GYN221" s="76"/>
      <c r="GYO221" s="76"/>
      <c r="GYP221" s="76"/>
      <c r="GYQ221" s="76"/>
      <c r="GYR221" s="76"/>
      <c r="GYS221" s="76"/>
      <c r="GYT221" s="76"/>
      <c r="GYU221" s="76"/>
      <c r="GYV221" s="76"/>
      <c r="GYW221" s="76"/>
      <c r="GYX221" s="76"/>
      <c r="GYY221" s="76"/>
      <c r="GYZ221" s="76"/>
      <c r="GZA221" s="76"/>
      <c r="GZB221" s="76"/>
      <c r="GZC221" s="76"/>
      <c r="GZD221" s="76"/>
      <c r="GZE221" s="76"/>
      <c r="GZF221" s="76"/>
      <c r="GZG221" s="76"/>
      <c r="GZH221" s="76"/>
      <c r="GZI221" s="76"/>
      <c r="GZJ221" s="76"/>
      <c r="GZK221" s="76"/>
      <c r="GZL221" s="76"/>
      <c r="GZM221" s="76"/>
      <c r="GZN221" s="76"/>
      <c r="GZO221" s="76"/>
      <c r="GZP221" s="76"/>
      <c r="GZQ221" s="76"/>
      <c r="GZR221" s="76"/>
      <c r="GZS221" s="76"/>
      <c r="GZT221" s="76"/>
      <c r="GZU221" s="76"/>
      <c r="GZV221" s="76"/>
      <c r="GZW221" s="76"/>
      <c r="GZX221" s="76"/>
      <c r="GZY221" s="76"/>
      <c r="GZZ221" s="76"/>
      <c r="HAA221" s="76"/>
      <c r="HAB221" s="76"/>
      <c r="HAC221" s="76"/>
      <c r="HAD221" s="76"/>
      <c r="HAE221" s="76"/>
      <c r="HAF221" s="76"/>
      <c r="HAG221" s="76"/>
      <c r="HAH221" s="76"/>
      <c r="HAI221" s="76"/>
      <c r="HAJ221" s="76"/>
      <c r="HAK221" s="76"/>
      <c r="HAL221" s="76"/>
      <c r="HAM221" s="76"/>
      <c r="HAN221" s="76"/>
      <c r="HAO221" s="76"/>
      <c r="HAP221" s="76"/>
      <c r="HAQ221" s="76"/>
      <c r="HAR221" s="76"/>
      <c r="HAS221" s="76"/>
      <c r="HAT221" s="76"/>
      <c r="HAU221" s="76"/>
      <c r="HAV221" s="76"/>
      <c r="HAW221" s="76"/>
      <c r="HAX221" s="76"/>
      <c r="HAY221" s="76"/>
      <c r="HAZ221" s="76"/>
      <c r="HBA221" s="76"/>
      <c r="HBB221" s="76"/>
      <c r="HBC221" s="76"/>
      <c r="HBD221" s="76"/>
      <c r="HBE221" s="76"/>
      <c r="HBF221" s="76"/>
      <c r="HBG221" s="76"/>
      <c r="HBH221" s="76"/>
      <c r="HBI221" s="76"/>
      <c r="HBJ221" s="76"/>
      <c r="HBK221" s="76"/>
      <c r="HBL221" s="76"/>
      <c r="HBM221" s="76"/>
      <c r="HBN221" s="76"/>
      <c r="HBO221" s="76"/>
      <c r="HBP221" s="76"/>
      <c r="HBQ221" s="76"/>
      <c r="HBR221" s="76"/>
      <c r="HBS221" s="76"/>
      <c r="HBT221" s="76"/>
      <c r="HBU221" s="76"/>
      <c r="HBV221" s="76"/>
      <c r="HBW221" s="76"/>
      <c r="HBX221" s="76"/>
      <c r="HBY221" s="76"/>
      <c r="HBZ221" s="76"/>
      <c r="HCA221" s="76"/>
      <c r="HCB221" s="76"/>
      <c r="HCC221" s="76"/>
      <c r="HCD221" s="76"/>
      <c r="HCE221" s="76"/>
      <c r="HCF221" s="76"/>
      <c r="HCG221" s="76"/>
      <c r="HCH221" s="76"/>
      <c r="HCI221" s="76"/>
      <c r="HCJ221" s="76"/>
      <c r="HCK221" s="76"/>
      <c r="HCL221" s="76"/>
      <c r="HCM221" s="76"/>
      <c r="HCN221" s="76"/>
      <c r="HCO221" s="76"/>
      <c r="HCP221" s="76"/>
      <c r="HCQ221" s="76"/>
      <c r="HCR221" s="76"/>
      <c r="HCS221" s="76"/>
      <c r="HCT221" s="76"/>
      <c r="HCU221" s="76"/>
      <c r="HCV221" s="76"/>
      <c r="HCW221" s="76"/>
      <c r="HCX221" s="76"/>
      <c r="HCY221" s="76"/>
      <c r="HCZ221" s="76"/>
      <c r="HDA221" s="76"/>
      <c r="HDB221" s="76"/>
      <c r="HDC221" s="76"/>
      <c r="HDD221" s="76"/>
      <c r="HDE221" s="76"/>
      <c r="HDF221" s="76"/>
      <c r="HDG221" s="76"/>
      <c r="HDH221" s="76"/>
      <c r="HDI221" s="76"/>
      <c r="HDJ221" s="76"/>
      <c r="HDK221" s="76"/>
      <c r="HDL221" s="76"/>
      <c r="HDM221" s="76"/>
      <c r="HDN221" s="76"/>
      <c r="HDO221" s="76"/>
      <c r="HDP221" s="76"/>
      <c r="HDQ221" s="76"/>
      <c r="HDR221" s="76"/>
      <c r="HDS221" s="76"/>
      <c r="HDT221" s="76"/>
      <c r="HDU221" s="76"/>
      <c r="HDV221" s="76"/>
      <c r="HDW221" s="76"/>
      <c r="HDX221" s="76"/>
      <c r="HDY221" s="76"/>
      <c r="HDZ221" s="76"/>
      <c r="HEA221" s="76"/>
      <c r="HEB221" s="76"/>
      <c r="HEC221" s="76"/>
      <c r="HED221" s="76"/>
      <c r="HEE221" s="76"/>
      <c r="HEF221" s="76"/>
      <c r="HEG221" s="76"/>
      <c r="HEH221" s="76"/>
      <c r="HEI221" s="76"/>
      <c r="HEJ221" s="76"/>
      <c r="HEK221" s="76"/>
      <c r="HEL221" s="76"/>
      <c r="HEM221" s="76"/>
      <c r="HEN221" s="76"/>
      <c r="HEO221" s="76"/>
      <c r="HEP221" s="76"/>
      <c r="HEQ221" s="76"/>
      <c r="HER221" s="76"/>
      <c r="HES221" s="76"/>
      <c r="HET221" s="76"/>
      <c r="HEU221" s="76"/>
      <c r="HEV221" s="76"/>
      <c r="HEW221" s="76"/>
      <c r="HEX221" s="76"/>
      <c r="HEY221" s="76"/>
      <c r="HEZ221" s="76"/>
      <c r="HFA221" s="76"/>
      <c r="HFB221" s="76"/>
      <c r="HFC221" s="76"/>
      <c r="HFD221" s="76"/>
      <c r="HFE221" s="76"/>
      <c r="HFF221" s="76"/>
      <c r="HFG221" s="76"/>
      <c r="HFH221" s="76"/>
      <c r="HFI221" s="76"/>
      <c r="HFJ221" s="76"/>
      <c r="HFK221" s="76"/>
      <c r="HFL221" s="76"/>
      <c r="HFM221" s="76"/>
      <c r="HFN221" s="76"/>
      <c r="HFO221" s="76"/>
      <c r="HFP221" s="76"/>
      <c r="HFQ221" s="76"/>
      <c r="HFR221" s="76"/>
      <c r="HFS221" s="76"/>
      <c r="HFT221" s="76"/>
      <c r="HFU221" s="76"/>
      <c r="HFV221" s="76"/>
      <c r="HFW221" s="76"/>
      <c r="HFX221" s="76"/>
      <c r="HFY221" s="76"/>
      <c r="HFZ221" s="76"/>
      <c r="HGA221" s="76"/>
      <c r="HGB221" s="76"/>
      <c r="HGC221" s="76"/>
      <c r="HGD221" s="76"/>
      <c r="HGE221" s="76"/>
      <c r="HGF221" s="76"/>
      <c r="HGG221" s="76"/>
      <c r="HGH221" s="76"/>
      <c r="HGI221" s="76"/>
      <c r="HGJ221" s="76"/>
      <c r="HGK221" s="76"/>
      <c r="HGL221" s="76"/>
      <c r="HGM221" s="76"/>
      <c r="HGN221" s="76"/>
      <c r="HGO221" s="76"/>
      <c r="HGP221" s="76"/>
      <c r="HGQ221" s="76"/>
      <c r="HGR221" s="76"/>
      <c r="HGS221" s="76"/>
      <c r="HGT221" s="76"/>
      <c r="HGU221" s="76"/>
      <c r="HGV221" s="76"/>
      <c r="HGW221" s="76"/>
      <c r="HGX221" s="76"/>
      <c r="HGY221" s="76"/>
      <c r="HGZ221" s="76"/>
      <c r="HHA221" s="76"/>
      <c r="HHB221" s="76"/>
      <c r="HHC221" s="76"/>
      <c r="HHD221" s="76"/>
      <c r="HHE221" s="76"/>
      <c r="HHF221" s="76"/>
      <c r="HHG221" s="76"/>
      <c r="HHH221" s="76"/>
      <c r="HHI221" s="76"/>
      <c r="HHJ221" s="76"/>
      <c r="HHK221" s="76"/>
      <c r="HHL221" s="76"/>
      <c r="HHM221" s="76"/>
      <c r="HHN221" s="76"/>
      <c r="HHO221" s="76"/>
      <c r="HHP221" s="76"/>
      <c r="HHQ221" s="76"/>
      <c r="HHR221" s="76"/>
      <c r="HHS221" s="76"/>
      <c r="HHT221" s="76"/>
      <c r="HHU221" s="76"/>
      <c r="HHV221" s="76"/>
      <c r="HHW221" s="76"/>
      <c r="HHX221" s="76"/>
      <c r="HHY221" s="76"/>
      <c r="HHZ221" s="76"/>
      <c r="HIA221" s="76"/>
      <c r="HIB221" s="76"/>
      <c r="HIC221" s="76"/>
      <c r="HID221" s="76"/>
      <c r="HIE221" s="76"/>
      <c r="HIF221" s="76"/>
      <c r="HIG221" s="76"/>
      <c r="HIH221" s="76"/>
      <c r="HII221" s="76"/>
      <c r="HIJ221" s="76"/>
      <c r="HIK221" s="76"/>
      <c r="HIL221" s="76"/>
      <c r="HIM221" s="76"/>
      <c r="HIN221" s="76"/>
      <c r="HIO221" s="76"/>
      <c r="HIP221" s="76"/>
      <c r="HIQ221" s="76"/>
      <c r="HIR221" s="76"/>
      <c r="HIS221" s="76"/>
      <c r="HIT221" s="76"/>
      <c r="HIU221" s="76"/>
      <c r="HIV221" s="76"/>
      <c r="HIW221" s="76"/>
      <c r="HIX221" s="76"/>
      <c r="HIY221" s="76"/>
      <c r="HIZ221" s="76"/>
      <c r="HJA221" s="76"/>
      <c r="HJB221" s="76"/>
      <c r="HJC221" s="76"/>
      <c r="HJD221" s="76"/>
      <c r="HJE221" s="76"/>
      <c r="HJF221" s="76"/>
      <c r="HJG221" s="76"/>
      <c r="HJH221" s="76"/>
      <c r="HJI221" s="76"/>
      <c r="HJJ221" s="76"/>
      <c r="HJK221" s="76"/>
      <c r="HJL221" s="76"/>
      <c r="HJM221" s="76"/>
      <c r="HJN221" s="76"/>
      <c r="HJO221" s="76"/>
      <c r="HJP221" s="76"/>
      <c r="HJQ221" s="76"/>
      <c r="HJR221" s="76"/>
      <c r="HJS221" s="76"/>
      <c r="HJT221" s="76"/>
      <c r="HJU221" s="76"/>
      <c r="HJV221" s="76"/>
      <c r="HJW221" s="76"/>
      <c r="HJX221" s="76"/>
      <c r="HJY221" s="76"/>
      <c r="HJZ221" s="76"/>
      <c r="HKA221" s="76"/>
      <c r="HKB221" s="76"/>
      <c r="HKC221" s="76"/>
      <c r="HKD221" s="76"/>
      <c r="HKE221" s="76"/>
      <c r="HKF221" s="76"/>
      <c r="HKG221" s="76"/>
      <c r="HKH221" s="76"/>
      <c r="HKI221" s="76"/>
      <c r="HKJ221" s="76"/>
      <c r="HKK221" s="76"/>
      <c r="HKL221" s="76"/>
      <c r="HKM221" s="76"/>
      <c r="HKN221" s="76"/>
      <c r="HKO221" s="76"/>
      <c r="HKP221" s="76"/>
      <c r="HKQ221" s="76"/>
      <c r="HKR221" s="76"/>
      <c r="HKS221" s="76"/>
      <c r="HKT221" s="76"/>
      <c r="HKU221" s="76"/>
      <c r="HKV221" s="76"/>
      <c r="HKW221" s="76"/>
      <c r="HKX221" s="76"/>
      <c r="HKY221" s="76"/>
      <c r="HKZ221" s="76"/>
      <c r="HLA221" s="76"/>
      <c r="HLB221" s="76"/>
      <c r="HLC221" s="76"/>
      <c r="HLD221" s="76"/>
      <c r="HLE221" s="76"/>
      <c r="HLF221" s="76"/>
      <c r="HLG221" s="76"/>
      <c r="HLH221" s="76"/>
      <c r="HLI221" s="76"/>
      <c r="HLJ221" s="76"/>
      <c r="HLK221" s="76"/>
      <c r="HLL221" s="76"/>
      <c r="HLM221" s="76"/>
      <c r="HLN221" s="76"/>
      <c r="HLO221" s="76"/>
      <c r="HLP221" s="76"/>
      <c r="HLQ221" s="76"/>
      <c r="HLR221" s="76"/>
      <c r="HLS221" s="76"/>
      <c r="HLT221" s="76"/>
      <c r="HLU221" s="76"/>
      <c r="HLV221" s="76"/>
      <c r="HLW221" s="76"/>
      <c r="HLX221" s="76"/>
      <c r="HLY221" s="76"/>
      <c r="HLZ221" s="76"/>
      <c r="HMA221" s="76"/>
      <c r="HMB221" s="76"/>
      <c r="HMC221" s="76"/>
      <c r="HMD221" s="76"/>
      <c r="HME221" s="76"/>
      <c r="HMF221" s="76"/>
      <c r="HMG221" s="76"/>
      <c r="HMH221" s="76"/>
      <c r="HMI221" s="76"/>
      <c r="HMJ221" s="76"/>
      <c r="HMK221" s="76"/>
      <c r="HML221" s="76"/>
      <c r="HMM221" s="76"/>
      <c r="HMN221" s="76"/>
      <c r="HMO221" s="76"/>
      <c r="HMP221" s="76"/>
      <c r="HMQ221" s="76"/>
      <c r="HMR221" s="76"/>
      <c r="HMS221" s="76"/>
      <c r="HMT221" s="76"/>
      <c r="HMU221" s="76"/>
      <c r="HMV221" s="76"/>
      <c r="HMW221" s="76"/>
      <c r="HMX221" s="76"/>
      <c r="HMY221" s="76"/>
      <c r="HMZ221" s="76"/>
      <c r="HNA221" s="76"/>
      <c r="HNB221" s="76"/>
      <c r="HNC221" s="76"/>
      <c r="HND221" s="76"/>
      <c r="HNE221" s="76"/>
      <c r="HNF221" s="76"/>
      <c r="HNG221" s="76"/>
      <c r="HNH221" s="76"/>
      <c r="HNI221" s="76"/>
      <c r="HNJ221" s="76"/>
      <c r="HNK221" s="76"/>
      <c r="HNL221" s="76"/>
      <c r="HNM221" s="76"/>
      <c r="HNN221" s="76"/>
      <c r="HNO221" s="76"/>
      <c r="HNP221" s="76"/>
      <c r="HNQ221" s="76"/>
      <c r="HNR221" s="76"/>
      <c r="HNS221" s="76"/>
      <c r="HNT221" s="76"/>
      <c r="HNU221" s="76"/>
      <c r="HNV221" s="76"/>
      <c r="HNW221" s="76"/>
      <c r="HNX221" s="76"/>
      <c r="HNY221" s="76"/>
      <c r="HNZ221" s="76"/>
      <c r="HOA221" s="76"/>
      <c r="HOB221" s="76"/>
      <c r="HOC221" s="76"/>
      <c r="HOD221" s="76"/>
      <c r="HOE221" s="76"/>
      <c r="HOF221" s="76"/>
      <c r="HOG221" s="76"/>
      <c r="HOH221" s="76"/>
      <c r="HOI221" s="76"/>
      <c r="HOJ221" s="76"/>
      <c r="HOK221" s="76"/>
      <c r="HOL221" s="76"/>
      <c r="HOM221" s="76"/>
      <c r="HON221" s="76"/>
      <c r="HOO221" s="76"/>
      <c r="HOP221" s="76"/>
      <c r="HOQ221" s="76"/>
      <c r="HOR221" s="76"/>
      <c r="HOS221" s="76"/>
      <c r="HOT221" s="76"/>
      <c r="HOU221" s="76"/>
      <c r="HOV221" s="76"/>
      <c r="HOW221" s="76"/>
      <c r="HOX221" s="76"/>
      <c r="HOY221" s="76"/>
      <c r="HOZ221" s="76"/>
      <c r="HPA221" s="76"/>
      <c r="HPB221" s="76"/>
      <c r="HPC221" s="76"/>
      <c r="HPD221" s="76"/>
      <c r="HPE221" s="76"/>
      <c r="HPF221" s="76"/>
      <c r="HPG221" s="76"/>
      <c r="HPH221" s="76"/>
      <c r="HPI221" s="76"/>
      <c r="HPJ221" s="76"/>
      <c r="HPK221" s="76"/>
      <c r="HPL221" s="76"/>
      <c r="HPM221" s="76"/>
      <c r="HPN221" s="76"/>
      <c r="HPO221" s="76"/>
      <c r="HPP221" s="76"/>
      <c r="HPQ221" s="76"/>
      <c r="HPR221" s="76"/>
      <c r="HPS221" s="76"/>
      <c r="HPT221" s="76"/>
      <c r="HPU221" s="76"/>
      <c r="HPV221" s="76"/>
      <c r="HPW221" s="76"/>
      <c r="HPX221" s="76"/>
      <c r="HPY221" s="76"/>
      <c r="HPZ221" s="76"/>
      <c r="HQA221" s="76"/>
      <c r="HQB221" s="76"/>
      <c r="HQC221" s="76"/>
      <c r="HQD221" s="76"/>
      <c r="HQE221" s="76"/>
      <c r="HQF221" s="76"/>
      <c r="HQG221" s="76"/>
      <c r="HQH221" s="76"/>
      <c r="HQI221" s="76"/>
      <c r="HQJ221" s="76"/>
      <c r="HQK221" s="76"/>
      <c r="HQL221" s="76"/>
      <c r="HQM221" s="76"/>
      <c r="HQN221" s="76"/>
      <c r="HQO221" s="76"/>
      <c r="HQP221" s="76"/>
      <c r="HQQ221" s="76"/>
      <c r="HQR221" s="76"/>
      <c r="HQS221" s="76"/>
      <c r="HQT221" s="76"/>
      <c r="HQU221" s="76"/>
      <c r="HQV221" s="76"/>
      <c r="HQW221" s="76"/>
      <c r="HQX221" s="76"/>
      <c r="HQY221" s="76"/>
      <c r="HQZ221" s="76"/>
      <c r="HRA221" s="76"/>
      <c r="HRB221" s="76"/>
      <c r="HRC221" s="76"/>
      <c r="HRD221" s="76"/>
      <c r="HRE221" s="76"/>
      <c r="HRF221" s="76"/>
      <c r="HRG221" s="76"/>
      <c r="HRH221" s="76"/>
      <c r="HRI221" s="76"/>
      <c r="HRJ221" s="76"/>
      <c r="HRK221" s="76"/>
      <c r="HRL221" s="76"/>
      <c r="HRM221" s="76"/>
      <c r="HRN221" s="76"/>
      <c r="HRO221" s="76"/>
      <c r="HRP221" s="76"/>
      <c r="HRQ221" s="76"/>
      <c r="HRR221" s="76"/>
      <c r="HRS221" s="76"/>
      <c r="HRT221" s="76"/>
      <c r="HRU221" s="76"/>
      <c r="HRV221" s="76"/>
      <c r="HRW221" s="76"/>
      <c r="HRX221" s="76"/>
      <c r="HRY221" s="76"/>
      <c r="HRZ221" s="76"/>
      <c r="HSA221" s="76"/>
      <c r="HSB221" s="76"/>
      <c r="HSC221" s="76"/>
      <c r="HSD221" s="76"/>
      <c r="HSE221" s="76"/>
      <c r="HSF221" s="76"/>
      <c r="HSG221" s="76"/>
      <c r="HSH221" s="76"/>
      <c r="HSI221" s="76"/>
      <c r="HSJ221" s="76"/>
      <c r="HSK221" s="76"/>
      <c r="HSL221" s="76"/>
      <c r="HSM221" s="76"/>
      <c r="HSN221" s="76"/>
      <c r="HSO221" s="76"/>
      <c r="HSP221" s="76"/>
      <c r="HSQ221" s="76"/>
      <c r="HSR221" s="76"/>
      <c r="HSS221" s="76"/>
      <c r="HST221" s="76"/>
      <c r="HSU221" s="76"/>
      <c r="HSV221" s="76"/>
      <c r="HSW221" s="76"/>
      <c r="HSX221" s="76"/>
      <c r="HSY221" s="76"/>
      <c r="HSZ221" s="76"/>
      <c r="HTA221" s="76"/>
      <c r="HTB221" s="76"/>
      <c r="HTC221" s="76"/>
      <c r="HTD221" s="76"/>
      <c r="HTE221" s="76"/>
      <c r="HTF221" s="76"/>
      <c r="HTG221" s="76"/>
      <c r="HTH221" s="76"/>
      <c r="HTI221" s="76"/>
      <c r="HTJ221" s="76"/>
      <c r="HTK221" s="76"/>
      <c r="HTL221" s="76"/>
      <c r="HTM221" s="76"/>
      <c r="HTN221" s="76"/>
      <c r="HTO221" s="76"/>
      <c r="HTP221" s="76"/>
      <c r="HTQ221" s="76"/>
      <c r="HTR221" s="76"/>
      <c r="HTS221" s="76"/>
      <c r="HTT221" s="76"/>
      <c r="HTU221" s="76"/>
      <c r="HTV221" s="76"/>
      <c r="HTW221" s="76"/>
      <c r="HTX221" s="76"/>
      <c r="HTY221" s="76"/>
      <c r="HTZ221" s="76"/>
      <c r="HUA221" s="76"/>
      <c r="HUB221" s="76"/>
      <c r="HUC221" s="76"/>
      <c r="HUD221" s="76"/>
      <c r="HUE221" s="76"/>
      <c r="HUF221" s="76"/>
      <c r="HUG221" s="76"/>
      <c r="HUH221" s="76"/>
      <c r="HUI221" s="76"/>
      <c r="HUJ221" s="76"/>
      <c r="HUK221" s="76"/>
      <c r="HUL221" s="76"/>
      <c r="HUM221" s="76"/>
      <c r="HUN221" s="76"/>
      <c r="HUO221" s="76"/>
      <c r="HUP221" s="76"/>
      <c r="HUQ221" s="76"/>
      <c r="HUR221" s="76"/>
      <c r="HUS221" s="76"/>
      <c r="HUT221" s="76"/>
      <c r="HUU221" s="76"/>
      <c r="HUV221" s="76"/>
      <c r="HUW221" s="76"/>
      <c r="HUX221" s="76"/>
      <c r="HUY221" s="76"/>
      <c r="HUZ221" s="76"/>
      <c r="HVA221" s="76"/>
      <c r="HVB221" s="76"/>
      <c r="HVC221" s="76"/>
      <c r="HVD221" s="76"/>
      <c r="HVE221" s="76"/>
      <c r="HVF221" s="76"/>
      <c r="HVG221" s="76"/>
      <c r="HVH221" s="76"/>
      <c r="HVI221" s="76"/>
      <c r="HVJ221" s="76"/>
      <c r="HVK221" s="76"/>
      <c r="HVL221" s="76"/>
      <c r="HVM221" s="76"/>
      <c r="HVN221" s="76"/>
      <c r="HVO221" s="76"/>
      <c r="HVP221" s="76"/>
      <c r="HVQ221" s="76"/>
      <c r="HVR221" s="76"/>
      <c r="HVS221" s="76"/>
      <c r="HVT221" s="76"/>
      <c r="HVU221" s="76"/>
      <c r="HVV221" s="76"/>
      <c r="HVW221" s="76"/>
      <c r="HVX221" s="76"/>
      <c r="HVY221" s="76"/>
      <c r="HVZ221" s="76"/>
      <c r="HWA221" s="76"/>
      <c r="HWB221" s="76"/>
      <c r="HWC221" s="76"/>
      <c r="HWD221" s="76"/>
      <c r="HWE221" s="76"/>
      <c r="HWF221" s="76"/>
      <c r="HWG221" s="76"/>
      <c r="HWH221" s="76"/>
      <c r="HWI221" s="76"/>
      <c r="HWJ221" s="76"/>
      <c r="HWK221" s="76"/>
      <c r="HWL221" s="76"/>
      <c r="HWM221" s="76"/>
      <c r="HWN221" s="76"/>
      <c r="HWO221" s="76"/>
      <c r="HWP221" s="76"/>
      <c r="HWQ221" s="76"/>
      <c r="HWR221" s="76"/>
      <c r="HWS221" s="76"/>
      <c r="HWT221" s="76"/>
      <c r="HWU221" s="76"/>
      <c r="HWV221" s="76"/>
      <c r="HWW221" s="76"/>
      <c r="HWX221" s="76"/>
      <c r="HWY221" s="76"/>
      <c r="HWZ221" s="76"/>
      <c r="HXA221" s="76"/>
      <c r="HXB221" s="76"/>
      <c r="HXC221" s="76"/>
      <c r="HXD221" s="76"/>
      <c r="HXE221" s="76"/>
      <c r="HXF221" s="76"/>
      <c r="HXG221" s="76"/>
      <c r="HXH221" s="76"/>
      <c r="HXI221" s="76"/>
      <c r="HXJ221" s="76"/>
      <c r="HXK221" s="76"/>
      <c r="HXL221" s="76"/>
      <c r="HXM221" s="76"/>
      <c r="HXN221" s="76"/>
      <c r="HXO221" s="76"/>
      <c r="HXP221" s="76"/>
      <c r="HXQ221" s="76"/>
      <c r="HXR221" s="76"/>
      <c r="HXS221" s="76"/>
      <c r="HXT221" s="76"/>
      <c r="HXU221" s="76"/>
      <c r="HXV221" s="76"/>
      <c r="HXW221" s="76"/>
      <c r="HXX221" s="76"/>
      <c r="HXY221" s="76"/>
      <c r="HXZ221" s="76"/>
      <c r="HYA221" s="76"/>
      <c r="HYB221" s="76"/>
      <c r="HYC221" s="76"/>
      <c r="HYD221" s="76"/>
      <c r="HYE221" s="76"/>
      <c r="HYF221" s="76"/>
      <c r="HYG221" s="76"/>
      <c r="HYH221" s="76"/>
      <c r="HYI221" s="76"/>
      <c r="HYJ221" s="76"/>
      <c r="HYK221" s="76"/>
      <c r="HYL221" s="76"/>
      <c r="HYM221" s="76"/>
      <c r="HYN221" s="76"/>
      <c r="HYO221" s="76"/>
      <c r="HYP221" s="76"/>
      <c r="HYQ221" s="76"/>
      <c r="HYR221" s="76"/>
      <c r="HYS221" s="76"/>
      <c r="HYT221" s="76"/>
      <c r="HYU221" s="76"/>
      <c r="HYV221" s="76"/>
      <c r="HYW221" s="76"/>
      <c r="HYX221" s="76"/>
      <c r="HYY221" s="76"/>
      <c r="HYZ221" s="76"/>
      <c r="HZA221" s="76"/>
      <c r="HZB221" s="76"/>
      <c r="HZC221" s="76"/>
      <c r="HZD221" s="76"/>
      <c r="HZE221" s="76"/>
      <c r="HZF221" s="76"/>
      <c r="HZG221" s="76"/>
      <c r="HZH221" s="76"/>
      <c r="HZI221" s="76"/>
      <c r="HZJ221" s="76"/>
      <c r="HZK221" s="76"/>
      <c r="HZL221" s="76"/>
      <c r="HZM221" s="76"/>
      <c r="HZN221" s="76"/>
      <c r="HZO221" s="76"/>
      <c r="HZP221" s="76"/>
      <c r="HZQ221" s="76"/>
      <c r="HZR221" s="76"/>
      <c r="HZS221" s="76"/>
      <c r="HZT221" s="76"/>
      <c r="HZU221" s="76"/>
      <c r="HZV221" s="76"/>
      <c r="HZW221" s="76"/>
      <c r="HZX221" s="76"/>
      <c r="HZY221" s="76"/>
      <c r="HZZ221" s="76"/>
      <c r="IAA221" s="76"/>
      <c r="IAB221" s="76"/>
      <c r="IAC221" s="76"/>
      <c r="IAD221" s="76"/>
      <c r="IAE221" s="76"/>
      <c r="IAF221" s="76"/>
      <c r="IAG221" s="76"/>
      <c r="IAH221" s="76"/>
      <c r="IAI221" s="76"/>
      <c r="IAJ221" s="76"/>
      <c r="IAK221" s="76"/>
      <c r="IAL221" s="76"/>
      <c r="IAM221" s="76"/>
      <c r="IAN221" s="76"/>
      <c r="IAO221" s="76"/>
      <c r="IAP221" s="76"/>
      <c r="IAQ221" s="76"/>
      <c r="IAR221" s="76"/>
      <c r="IAS221" s="76"/>
      <c r="IAT221" s="76"/>
      <c r="IAU221" s="76"/>
      <c r="IAV221" s="76"/>
      <c r="IAW221" s="76"/>
      <c r="IAX221" s="76"/>
      <c r="IAY221" s="76"/>
      <c r="IAZ221" s="76"/>
      <c r="IBA221" s="76"/>
      <c r="IBB221" s="76"/>
      <c r="IBC221" s="76"/>
      <c r="IBD221" s="76"/>
      <c r="IBE221" s="76"/>
      <c r="IBF221" s="76"/>
      <c r="IBG221" s="76"/>
      <c r="IBH221" s="76"/>
      <c r="IBI221" s="76"/>
      <c r="IBJ221" s="76"/>
      <c r="IBK221" s="76"/>
      <c r="IBL221" s="76"/>
      <c r="IBM221" s="76"/>
      <c r="IBN221" s="76"/>
      <c r="IBO221" s="76"/>
      <c r="IBP221" s="76"/>
      <c r="IBQ221" s="76"/>
      <c r="IBR221" s="76"/>
      <c r="IBS221" s="76"/>
      <c r="IBT221" s="76"/>
      <c r="IBU221" s="76"/>
      <c r="IBV221" s="76"/>
      <c r="IBW221" s="76"/>
      <c r="IBX221" s="76"/>
      <c r="IBY221" s="76"/>
      <c r="IBZ221" s="76"/>
      <c r="ICA221" s="76"/>
      <c r="ICB221" s="76"/>
      <c r="ICC221" s="76"/>
      <c r="ICD221" s="76"/>
      <c r="ICE221" s="76"/>
      <c r="ICF221" s="76"/>
      <c r="ICG221" s="76"/>
      <c r="ICH221" s="76"/>
      <c r="ICI221" s="76"/>
      <c r="ICJ221" s="76"/>
      <c r="ICK221" s="76"/>
      <c r="ICL221" s="76"/>
      <c r="ICM221" s="76"/>
      <c r="ICN221" s="76"/>
      <c r="ICO221" s="76"/>
      <c r="ICP221" s="76"/>
      <c r="ICQ221" s="76"/>
      <c r="ICR221" s="76"/>
      <c r="ICS221" s="76"/>
      <c r="ICT221" s="76"/>
      <c r="ICU221" s="76"/>
      <c r="ICV221" s="76"/>
      <c r="ICW221" s="76"/>
      <c r="ICX221" s="76"/>
      <c r="ICY221" s="76"/>
      <c r="ICZ221" s="76"/>
      <c r="IDA221" s="76"/>
      <c r="IDB221" s="76"/>
      <c r="IDC221" s="76"/>
      <c r="IDD221" s="76"/>
      <c r="IDE221" s="76"/>
      <c r="IDF221" s="76"/>
      <c r="IDG221" s="76"/>
      <c r="IDH221" s="76"/>
      <c r="IDI221" s="76"/>
      <c r="IDJ221" s="76"/>
      <c r="IDK221" s="76"/>
      <c r="IDL221" s="76"/>
      <c r="IDM221" s="76"/>
      <c r="IDN221" s="76"/>
      <c r="IDO221" s="76"/>
      <c r="IDP221" s="76"/>
      <c r="IDQ221" s="76"/>
      <c r="IDR221" s="76"/>
      <c r="IDS221" s="76"/>
      <c r="IDT221" s="76"/>
      <c r="IDU221" s="76"/>
      <c r="IDV221" s="76"/>
      <c r="IDW221" s="76"/>
      <c r="IDX221" s="76"/>
      <c r="IDY221" s="76"/>
      <c r="IDZ221" s="76"/>
      <c r="IEA221" s="76"/>
      <c r="IEB221" s="76"/>
      <c r="IEC221" s="76"/>
      <c r="IED221" s="76"/>
      <c r="IEE221" s="76"/>
      <c r="IEF221" s="76"/>
      <c r="IEG221" s="76"/>
      <c r="IEH221" s="76"/>
      <c r="IEI221" s="76"/>
      <c r="IEJ221" s="76"/>
      <c r="IEK221" s="76"/>
      <c r="IEL221" s="76"/>
      <c r="IEM221" s="76"/>
      <c r="IEN221" s="76"/>
      <c r="IEO221" s="76"/>
      <c r="IEP221" s="76"/>
      <c r="IEQ221" s="76"/>
      <c r="IER221" s="76"/>
      <c r="IES221" s="76"/>
      <c r="IET221" s="76"/>
      <c r="IEU221" s="76"/>
      <c r="IEV221" s="76"/>
      <c r="IEW221" s="76"/>
      <c r="IEX221" s="76"/>
      <c r="IEY221" s="76"/>
      <c r="IEZ221" s="76"/>
      <c r="IFA221" s="76"/>
      <c r="IFB221" s="76"/>
      <c r="IFC221" s="76"/>
      <c r="IFD221" s="76"/>
      <c r="IFE221" s="76"/>
      <c r="IFF221" s="76"/>
      <c r="IFG221" s="76"/>
      <c r="IFH221" s="76"/>
      <c r="IFI221" s="76"/>
      <c r="IFJ221" s="76"/>
      <c r="IFK221" s="76"/>
      <c r="IFL221" s="76"/>
      <c r="IFM221" s="76"/>
      <c r="IFN221" s="76"/>
      <c r="IFO221" s="76"/>
      <c r="IFP221" s="76"/>
      <c r="IFQ221" s="76"/>
      <c r="IFR221" s="76"/>
      <c r="IFS221" s="76"/>
      <c r="IFT221" s="76"/>
      <c r="IFU221" s="76"/>
      <c r="IFV221" s="76"/>
      <c r="IFW221" s="76"/>
      <c r="IFX221" s="76"/>
      <c r="IFY221" s="76"/>
      <c r="IFZ221" s="76"/>
      <c r="IGA221" s="76"/>
      <c r="IGB221" s="76"/>
      <c r="IGC221" s="76"/>
      <c r="IGD221" s="76"/>
      <c r="IGE221" s="76"/>
      <c r="IGF221" s="76"/>
      <c r="IGG221" s="76"/>
      <c r="IGH221" s="76"/>
      <c r="IGI221" s="76"/>
      <c r="IGJ221" s="76"/>
      <c r="IGK221" s="76"/>
      <c r="IGL221" s="76"/>
      <c r="IGM221" s="76"/>
      <c r="IGN221" s="76"/>
      <c r="IGO221" s="76"/>
      <c r="IGP221" s="76"/>
      <c r="IGQ221" s="76"/>
      <c r="IGR221" s="76"/>
      <c r="IGS221" s="76"/>
      <c r="IGT221" s="76"/>
      <c r="IGU221" s="76"/>
      <c r="IGV221" s="76"/>
      <c r="IGW221" s="76"/>
      <c r="IGX221" s="76"/>
      <c r="IGY221" s="76"/>
      <c r="IGZ221" s="76"/>
      <c r="IHA221" s="76"/>
      <c r="IHB221" s="76"/>
      <c r="IHC221" s="76"/>
      <c r="IHD221" s="76"/>
      <c r="IHE221" s="76"/>
      <c r="IHF221" s="76"/>
      <c r="IHG221" s="76"/>
      <c r="IHH221" s="76"/>
      <c r="IHI221" s="76"/>
      <c r="IHJ221" s="76"/>
      <c r="IHK221" s="76"/>
      <c r="IHL221" s="76"/>
      <c r="IHM221" s="76"/>
      <c r="IHN221" s="76"/>
      <c r="IHO221" s="76"/>
      <c r="IHP221" s="76"/>
      <c r="IHQ221" s="76"/>
      <c r="IHR221" s="76"/>
      <c r="IHS221" s="76"/>
      <c r="IHT221" s="76"/>
      <c r="IHU221" s="76"/>
      <c r="IHV221" s="76"/>
      <c r="IHW221" s="76"/>
      <c r="IHX221" s="76"/>
      <c r="IHY221" s="76"/>
      <c r="IHZ221" s="76"/>
      <c r="IIA221" s="76"/>
      <c r="IIB221" s="76"/>
      <c r="IIC221" s="76"/>
      <c r="IID221" s="76"/>
      <c r="IIE221" s="76"/>
      <c r="IIF221" s="76"/>
      <c r="IIG221" s="76"/>
      <c r="IIH221" s="76"/>
      <c r="III221" s="76"/>
      <c r="IIJ221" s="76"/>
      <c r="IIK221" s="76"/>
      <c r="IIL221" s="76"/>
      <c r="IIM221" s="76"/>
      <c r="IIN221" s="76"/>
      <c r="IIO221" s="76"/>
      <c r="IIP221" s="76"/>
      <c r="IIQ221" s="76"/>
      <c r="IIR221" s="76"/>
      <c r="IIS221" s="76"/>
      <c r="IIT221" s="76"/>
      <c r="IIU221" s="76"/>
      <c r="IIV221" s="76"/>
      <c r="IIW221" s="76"/>
      <c r="IIX221" s="76"/>
      <c r="IIY221" s="76"/>
      <c r="IIZ221" s="76"/>
      <c r="IJA221" s="76"/>
      <c r="IJB221" s="76"/>
      <c r="IJC221" s="76"/>
      <c r="IJD221" s="76"/>
      <c r="IJE221" s="76"/>
      <c r="IJF221" s="76"/>
      <c r="IJG221" s="76"/>
      <c r="IJH221" s="76"/>
      <c r="IJI221" s="76"/>
      <c r="IJJ221" s="76"/>
      <c r="IJK221" s="76"/>
      <c r="IJL221" s="76"/>
      <c r="IJM221" s="76"/>
      <c r="IJN221" s="76"/>
      <c r="IJO221" s="76"/>
      <c r="IJP221" s="76"/>
      <c r="IJQ221" s="76"/>
      <c r="IJR221" s="76"/>
      <c r="IJS221" s="76"/>
      <c r="IJT221" s="76"/>
      <c r="IJU221" s="76"/>
      <c r="IJV221" s="76"/>
      <c r="IJW221" s="76"/>
      <c r="IJX221" s="76"/>
      <c r="IJY221" s="76"/>
      <c r="IJZ221" s="76"/>
      <c r="IKA221" s="76"/>
      <c r="IKB221" s="76"/>
      <c r="IKC221" s="76"/>
      <c r="IKD221" s="76"/>
      <c r="IKE221" s="76"/>
      <c r="IKF221" s="76"/>
      <c r="IKG221" s="76"/>
      <c r="IKH221" s="76"/>
      <c r="IKI221" s="76"/>
      <c r="IKJ221" s="76"/>
      <c r="IKK221" s="76"/>
      <c r="IKL221" s="76"/>
      <c r="IKM221" s="76"/>
      <c r="IKN221" s="76"/>
      <c r="IKO221" s="76"/>
      <c r="IKP221" s="76"/>
      <c r="IKQ221" s="76"/>
      <c r="IKR221" s="76"/>
      <c r="IKS221" s="76"/>
      <c r="IKT221" s="76"/>
      <c r="IKU221" s="76"/>
      <c r="IKV221" s="76"/>
      <c r="IKW221" s="76"/>
      <c r="IKX221" s="76"/>
      <c r="IKY221" s="76"/>
      <c r="IKZ221" s="76"/>
      <c r="ILA221" s="76"/>
      <c r="ILB221" s="76"/>
      <c r="ILC221" s="76"/>
      <c r="ILD221" s="76"/>
      <c r="ILE221" s="76"/>
      <c r="ILF221" s="76"/>
      <c r="ILG221" s="76"/>
      <c r="ILH221" s="76"/>
      <c r="ILI221" s="76"/>
      <c r="ILJ221" s="76"/>
      <c r="ILK221" s="76"/>
      <c r="ILL221" s="76"/>
      <c r="ILM221" s="76"/>
      <c r="ILN221" s="76"/>
      <c r="ILO221" s="76"/>
      <c r="ILP221" s="76"/>
      <c r="ILQ221" s="76"/>
      <c r="ILR221" s="76"/>
      <c r="ILS221" s="76"/>
      <c r="ILT221" s="76"/>
      <c r="ILU221" s="76"/>
      <c r="ILV221" s="76"/>
      <c r="ILW221" s="76"/>
      <c r="ILX221" s="76"/>
      <c r="ILY221" s="76"/>
      <c r="ILZ221" s="76"/>
      <c r="IMA221" s="76"/>
      <c r="IMB221" s="76"/>
      <c r="IMC221" s="76"/>
      <c r="IMD221" s="76"/>
      <c r="IME221" s="76"/>
      <c r="IMF221" s="76"/>
      <c r="IMG221" s="76"/>
      <c r="IMH221" s="76"/>
      <c r="IMI221" s="76"/>
      <c r="IMJ221" s="76"/>
      <c r="IMK221" s="76"/>
      <c r="IML221" s="76"/>
      <c r="IMM221" s="76"/>
      <c r="IMN221" s="76"/>
      <c r="IMO221" s="76"/>
      <c r="IMP221" s="76"/>
      <c r="IMQ221" s="76"/>
      <c r="IMR221" s="76"/>
      <c r="IMS221" s="76"/>
      <c r="IMT221" s="76"/>
      <c r="IMU221" s="76"/>
      <c r="IMV221" s="76"/>
      <c r="IMW221" s="76"/>
      <c r="IMX221" s="76"/>
      <c r="IMY221" s="76"/>
      <c r="IMZ221" s="76"/>
      <c r="INA221" s="76"/>
      <c r="INB221" s="76"/>
      <c r="INC221" s="76"/>
      <c r="IND221" s="76"/>
      <c r="INE221" s="76"/>
      <c r="INF221" s="76"/>
      <c r="ING221" s="76"/>
      <c r="INH221" s="76"/>
      <c r="INI221" s="76"/>
      <c r="INJ221" s="76"/>
      <c r="INK221" s="76"/>
      <c r="INL221" s="76"/>
      <c r="INM221" s="76"/>
      <c r="INN221" s="76"/>
      <c r="INO221" s="76"/>
      <c r="INP221" s="76"/>
      <c r="INQ221" s="76"/>
      <c r="INR221" s="76"/>
      <c r="INS221" s="76"/>
      <c r="INT221" s="76"/>
      <c r="INU221" s="76"/>
      <c r="INV221" s="76"/>
      <c r="INW221" s="76"/>
      <c r="INX221" s="76"/>
      <c r="INY221" s="76"/>
      <c r="INZ221" s="76"/>
      <c r="IOA221" s="76"/>
      <c r="IOB221" s="76"/>
      <c r="IOC221" s="76"/>
      <c r="IOD221" s="76"/>
      <c r="IOE221" s="76"/>
      <c r="IOF221" s="76"/>
      <c r="IOG221" s="76"/>
      <c r="IOH221" s="76"/>
      <c r="IOI221" s="76"/>
      <c r="IOJ221" s="76"/>
      <c r="IOK221" s="76"/>
      <c r="IOL221" s="76"/>
      <c r="IOM221" s="76"/>
      <c r="ION221" s="76"/>
      <c r="IOO221" s="76"/>
      <c r="IOP221" s="76"/>
      <c r="IOQ221" s="76"/>
      <c r="IOR221" s="76"/>
      <c r="IOS221" s="76"/>
      <c r="IOT221" s="76"/>
      <c r="IOU221" s="76"/>
      <c r="IOV221" s="76"/>
      <c r="IOW221" s="76"/>
      <c r="IOX221" s="76"/>
      <c r="IOY221" s="76"/>
      <c r="IOZ221" s="76"/>
      <c r="IPA221" s="76"/>
      <c r="IPB221" s="76"/>
      <c r="IPC221" s="76"/>
      <c r="IPD221" s="76"/>
      <c r="IPE221" s="76"/>
      <c r="IPF221" s="76"/>
      <c r="IPG221" s="76"/>
      <c r="IPH221" s="76"/>
      <c r="IPI221" s="76"/>
      <c r="IPJ221" s="76"/>
      <c r="IPK221" s="76"/>
      <c r="IPL221" s="76"/>
      <c r="IPM221" s="76"/>
      <c r="IPN221" s="76"/>
      <c r="IPO221" s="76"/>
      <c r="IPP221" s="76"/>
      <c r="IPQ221" s="76"/>
      <c r="IPR221" s="76"/>
      <c r="IPS221" s="76"/>
      <c r="IPT221" s="76"/>
      <c r="IPU221" s="76"/>
      <c r="IPV221" s="76"/>
      <c r="IPW221" s="76"/>
      <c r="IPX221" s="76"/>
      <c r="IPY221" s="76"/>
      <c r="IPZ221" s="76"/>
      <c r="IQA221" s="76"/>
      <c r="IQB221" s="76"/>
      <c r="IQC221" s="76"/>
      <c r="IQD221" s="76"/>
      <c r="IQE221" s="76"/>
      <c r="IQF221" s="76"/>
      <c r="IQG221" s="76"/>
      <c r="IQH221" s="76"/>
      <c r="IQI221" s="76"/>
      <c r="IQJ221" s="76"/>
      <c r="IQK221" s="76"/>
      <c r="IQL221" s="76"/>
      <c r="IQM221" s="76"/>
      <c r="IQN221" s="76"/>
      <c r="IQO221" s="76"/>
      <c r="IQP221" s="76"/>
      <c r="IQQ221" s="76"/>
      <c r="IQR221" s="76"/>
      <c r="IQS221" s="76"/>
      <c r="IQT221" s="76"/>
      <c r="IQU221" s="76"/>
      <c r="IQV221" s="76"/>
      <c r="IQW221" s="76"/>
      <c r="IQX221" s="76"/>
      <c r="IQY221" s="76"/>
      <c r="IQZ221" s="76"/>
      <c r="IRA221" s="76"/>
      <c r="IRB221" s="76"/>
      <c r="IRC221" s="76"/>
      <c r="IRD221" s="76"/>
      <c r="IRE221" s="76"/>
      <c r="IRF221" s="76"/>
      <c r="IRG221" s="76"/>
      <c r="IRH221" s="76"/>
      <c r="IRI221" s="76"/>
      <c r="IRJ221" s="76"/>
      <c r="IRK221" s="76"/>
      <c r="IRL221" s="76"/>
      <c r="IRM221" s="76"/>
      <c r="IRN221" s="76"/>
      <c r="IRO221" s="76"/>
      <c r="IRP221" s="76"/>
      <c r="IRQ221" s="76"/>
      <c r="IRR221" s="76"/>
      <c r="IRS221" s="76"/>
      <c r="IRT221" s="76"/>
      <c r="IRU221" s="76"/>
      <c r="IRV221" s="76"/>
      <c r="IRW221" s="76"/>
      <c r="IRX221" s="76"/>
      <c r="IRY221" s="76"/>
      <c r="IRZ221" s="76"/>
      <c r="ISA221" s="76"/>
      <c r="ISB221" s="76"/>
      <c r="ISC221" s="76"/>
      <c r="ISD221" s="76"/>
      <c r="ISE221" s="76"/>
      <c r="ISF221" s="76"/>
      <c r="ISG221" s="76"/>
      <c r="ISH221" s="76"/>
      <c r="ISI221" s="76"/>
      <c r="ISJ221" s="76"/>
      <c r="ISK221" s="76"/>
      <c r="ISL221" s="76"/>
      <c r="ISM221" s="76"/>
      <c r="ISN221" s="76"/>
      <c r="ISO221" s="76"/>
      <c r="ISP221" s="76"/>
      <c r="ISQ221" s="76"/>
      <c r="ISR221" s="76"/>
      <c r="ISS221" s="76"/>
      <c r="IST221" s="76"/>
      <c r="ISU221" s="76"/>
      <c r="ISV221" s="76"/>
      <c r="ISW221" s="76"/>
      <c r="ISX221" s="76"/>
      <c r="ISY221" s="76"/>
      <c r="ISZ221" s="76"/>
      <c r="ITA221" s="76"/>
      <c r="ITB221" s="76"/>
      <c r="ITC221" s="76"/>
      <c r="ITD221" s="76"/>
      <c r="ITE221" s="76"/>
      <c r="ITF221" s="76"/>
      <c r="ITG221" s="76"/>
      <c r="ITH221" s="76"/>
      <c r="ITI221" s="76"/>
      <c r="ITJ221" s="76"/>
      <c r="ITK221" s="76"/>
      <c r="ITL221" s="76"/>
      <c r="ITM221" s="76"/>
      <c r="ITN221" s="76"/>
      <c r="ITO221" s="76"/>
      <c r="ITP221" s="76"/>
      <c r="ITQ221" s="76"/>
      <c r="ITR221" s="76"/>
      <c r="ITS221" s="76"/>
      <c r="ITT221" s="76"/>
      <c r="ITU221" s="76"/>
      <c r="ITV221" s="76"/>
      <c r="ITW221" s="76"/>
      <c r="ITX221" s="76"/>
      <c r="ITY221" s="76"/>
      <c r="ITZ221" s="76"/>
      <c r="IUA221" s="76"/>
      <c r="IUB221" s="76"/>
      <c r="IUC221" s="76"/>
      <c r="IUD221" s="76"/>
      <c r="IUE221" s="76"/>
      <c r="IUF221" s="76"/>
      <c r="IUG221" s="76"/>
      <c r="IUH221" s="76"/>
      <c r="IUI221" s="76"/>
      <c r="IUJ221" s="76"/>
      <c r="IUK221" s="76"/>
      <c r="IUL221" s="76"/>
      <c r="IUM221" s="76"/>
      <c r="IUN221" s="76"/>
      <c r="IUO221" s="76"/>
      <c r="IUP221" s="76"/>
      <c r="IUQ221" s="76"/>
      <c r="IUR221" s="76"/>
      <c r="IUS221" s="76"/>
      <c r="IUT221" s="76"/>
      <c r="IUU221" s="76"/>
      <c r="IUV221" s="76"/>
      <c r="IUW221" s="76"/>
      <c r="IUX221" s="76"/>
      <c r="IUY221" s="76"/>
      <c r="IUZ221" s="76"/>
      <c r="IVA221" s="76"/>
      <c r="IVB221" s="76"/>
      <c r="IVC221" s="76"/>
      <c r="IVD221" s="76"/>
      <c r="IVE221" s="76"/>
      <c r="IVF221" s="76"/>
      <c r="IVG221" s="76"/>
      <c r="IVH221" s="76"/>
      <c r="IVI221" s="76"/>
      <c r="IVJ221" s="76"/>
      <c r="IVK221" s="76"/>
      <c r="IVL221" s="76"/>
      <c r="IVM221" s="76"/>
      <c r="IVN221" s="76"/>
      <c r="IVO221" s="76"/>
      <c r="IVP221" s="76"/>
      <c r="IVQ221" s="76"/>
      <c r="IVR221" s="76"/>
      <c r="IVS221" s="76"/>
      <c r="IVT221" s="76"/>
      <c r="IVU221" s="76"/>
      <c r="IVV221" s="76"/>
      <c r="IVW221" s="76"/>
      <c r="IVX221" s="76"/>
      <c r="IVY221" s="76"/>
      <c r="IVZ221" s="76"/>
      <c r="IWA221" s="76"/>
      <c r="IWB221" s="76"/>
      <c r="IWC221" s="76"/>
      <c r="IWD221" s="76"/>
      <c r="IWE221" s="76"/>
      <c r="IWF221" s="76"/>
      <c r="IWG221" s="76"/>
      <c r="IWH221" s="76"/>
      <c r="IWI221" s="76"/>
      <c r="IWJ221" s="76"/>
      <c r="IWK221" s="76"/>
      <c r="IWL221" s="76"/>
      <c r="IWM221" s="76"/>
      <c r="IWN221" s="76"/>
      <c r="IWO221" s="76"/>
      <c r="IWP221" s="76"/>
      <c r="IWQ221" s="76"/>
      <c r="IWR221" s="76"/>
      <c r="IWS221" s="76"/>
      <c r="IWT221" s="76"/>
      <c r="IWU221" s="76"/>
      <c r="IWV221" s="76"/>
      <c r="IWW221" s="76"/>
      <c r="IWX221" s="76"/>
      <c r="IWY221" s="76"/>
      <c r="IWZ221" s="76"/>
      <c r="IXA221" s="76"/>
      <c r="IXB221" s="76"/>
      <c r="IXC221" s="76"/>
      <c r="IXD221" s="76"/>
      <c r="IXE221" s="76"/>
      <c r="IXF221" s="76"/>
      <c r="IXG221" s="76"/>
      <c r="IXH221" s="76"/>
      <c r="IXI221" s="76"/>
      <c r="IXJ221" s="76"/>
      <c r="IXK221" s="76"/>
      <c r="IXL221" s="76"/>
      <c r="IXM221" s="76"/>
      <c r="IXN221" s="76"/>
      <c r="IXO221" s="76"/>
      <c r="IXP221" s="76"/>
      <c r="IXQ221" s="76"/>
      <c r="IXR221" s="76"/>
      <c r="IXS221" s="76"/>
      <c r="IXT221" s="76"/>
      <c r="IXU221" s="76"/>
      <c r="IXV221" s="76"/>
      <c r="IXW221" s="76"/>
      <c r="IXX221" s="76"/>
      <c r="IXY221" s="76"/>
      <c r="IXZ221" s="76"/>
      <c r="IYA221" s="76"/>
      <c r="IYB221" s="76"/>
      <c r="IYC221" s="76"/>
      <c r="IYD221" s="76"/>
      <c r="IYE221" s="76"/>
      <c r="IYF221" s="76"/>
      <c r="IYG221" s="76"/>
      <c r="IYH221" s="76"/>
      <c r="IYI221" s="76"/>
      <c r="IYJ221" s="76"/>
      <c r="IYK221" s="76"/>
      <c r="IYL221" s="76"/>
      <c r="IYM221" s="76"/>
      <c r="IYN221" s="76"/>
      <c r="IYO221" s="76"/>
      <c r="IYP221" s="76"/>
      <c r="IYQ221" s="76"/>
      <c r="IYR221" s="76"/>
      <c r="IYS221" s="76"/>
      <c r="IYT221" s="76"/>
      <c r="IYU221" s="76"/>
      <c r="IYV221" s="76"/>
      <c r="IYW221" s="76"/>
      <c r="IYX221" s="76"/>
      <c r="IYY221" s="76"/>
      <c r="IYZ221" s="76"/>
      <c r="IZA221" s="76"/>
      <c r="IZB221" s="76"/>
      <c r="IZC221" s="76"/>
      <c r="IZD221" s="76"/>
      <c r="IZE221" s="76"/>
      <c r="IZF221" s="76"/>
      <c r="IZG221" s="76"/>
      <c r="IZH221" s="76"/>
      <c r="IZI221" s="76"/>
      <c r="IZJ221" s="76"/>
      <c r="IZK221" s="76"/>
      <c r="IZL221" s="76"/>
      <c r="IZM221" s="76"/>
      <c r="IZN221" s="76"/>
      <c r="IZO221" s="76"/>
      <c r="IZP221" s="76"/>
      <c r="IZQ221" s="76"/>
      <c r="IZR221" s="76"/>
      <c r="IZS221" s="76"/>
      <c r="IZT221" s="76"/>
      <c r="IZU221" s="76"/>
      <c r="IZV221" s="76"/>
      <c r="IZW221" s="76"/>
      <c r="IZX221" s="76"/>
      <c r="IZY221" s="76"/>
      <c r="IZZ221" s="76"/>
      <c r="JAA221" s="76"/>
      <c r="JAB221" s="76"/>
      <c r="JAC221" s="76"/>
      <c r="JAD221" s="76"/>
      <c r="JAE221" s="76"/>
      <c r="JAF221" s="76"/>
      <c r="JAG221" s="76"/>
      <c r="JAH221" s="76"/>
      <c r="JAI221" s="76"/>
      <c r="JAJ221" s="76"/>
      <c r="JAK221" s="76"/>
      <c r="JAL221" s="76"/>
      <c r="JAM221" s="76"/>
      <c r="JAN221" s="76"/>
      <c r="JAO221" s="76"/>
      <c r="JAP221" s="76"/>
      <c r="JAQ221" s="76"/>
      <c r="JAR221" s="76"/>
      <c r="JAS221" s="76"/>
      <c r="JAT221" s="76"/>
      <c r="JAU221" s="76"/>
      <c r="JAV221" s="76"/>
      <c r="JAW221" s="76"/>
      <c r="JAX221" s="76"/>
      <c r="JAY221" s="76"/>
      <c r="JAZ221" s="76"/>
      <c r="JBA221" s="76"/>
      <c r="JBB221" s="76"/>
      <c r="JBC221" s="76"/>
      <c r="JBD221" s="76"/>
      <c r="JBE221" s="76"/>
      <c r="JBF221" s="76"/>
      <c r="JBG221" s="76"/>
      <c r="JBH221" s="76"/>
      <c r="JBI221" s="76"/>
      <c r="JBJ221" s="76"/>
      <c r="JBK221" s="76"/>
      <c r="JBL221" s="76"/>
      <c r="JBM221" s="76"/>
      <c r="JBN221" s="76"/>
      <c r="JBO221" s="76"/>
      <c r="JBP221" s="76"/>
      <c r="JBQ221" s="76"/>
      <c r="JBR221" s="76"/>
      <c r="JBS221" s="76"/>
      <c r="JBT221" s="76"/>
      <c r="JBU221" s="76"/>
      <c r="JBV221" s="76"/>
      <c r="JBW221" s="76"/>
      <c r="JBX221" s="76"/>
      <c r="JBY221" s="76"/>
      <c r="JBZ221" s="76"/>
      <c r="JCA221" s="76"/>
      <c r="JCB221" s="76"/>
      <c r="JCC221" s="76"/>
      <c r="JCD221" s="76"/>
      <c r="JCE221" s="76"/>
      <c r="JCF221" s="76"/>
      <c r="JCG221" s="76"/>
      <c r="JCH221" s="76"/>
      <c r="JCI221" s="76"/>
      <c r="JCJ221" s="76"/>
      <c r="JCK221" s="76"/>
      <c r="JCL221" s="76"/>
      <c r="JCM221" s="76"/>
      <c r="JCN221" s="76"/>
      <c r="JCO221" s="76"/>
      <c r="JCP221" s="76"/>
      <c r="JCQ221" s="76"/>
      <c r="JCR221" s="76"/>
      <c r="JCS221" s="76"/>
      <c r="JCT221" s="76"/>
      <c r="JCU221" s="76"/>
      <c r="JCV221" s="76"/>
      <c r="JCW221" s="76"/>
      <c r="JCX221" s="76"/>
      <c r="JCY221" s="76"/>
      <c r="JCZ221" s="76"/>
      <c r="JDA221" s="76"/>
      <c r="JDB221" s="76"/>
      <c r="JDC221" s="76"/>
      <c r="JDD221" s="76"/>
      <c r="JDE221" s="76"/>
      <c r="JDF221" s="76"/>
      <c r="JDG221" s="76"/>
      <c r="JDH221" s="76"/>
      <c r="JDI221" s="76"/>
      <c r="JDJ221" s="76"/>
      <c r="JDK221" s="76"/>
      <c r="JDL221" s="76"/>
      <c r="JDM221" s="76"/>
      <c r="JDN221" s="76"/>
      <c r="JDO221" s="76"/>
      <c r="JDP221" s="76"/>
      <c r="JDQ221" s="76"/>
      <c r="JDR221" s="76"/>
      <c r="JDS221" s="76"/>
      <c r="JDT221" s="76"/>
      <c r="JDU221" s="76"/>
      <c r="JDV221" s="76"/>
      <c r="JDW221" s="76"/>
      <c r="JDX221" s="76"/>
      <c r="JDY221" s="76"/>
      <c r="JDZ221" s="76"/>
      <c r="JEA221" s="76"/>
      <c r="JEB221" s="76"/>
      <c r="JEC221" s="76"/>
      <c r="JED221" s="76"/>
      <c r="JEE221" s="76"/>
      <c r="JEF221" s="76"/>
      <c r="JEG221" s="76"/>
      <c r="JEH221" s="76"/>
      <c r="JEI221" s="76"/>
      <c r="JEJ221" s="76"/>
      <c r="JEK221" s="76"/>
      <c r="JEL221" s="76"/>
      <c r="JEM221" s="76"/>
      <c r="JEN221" s="76"/>
      <c r="JEO221" s="76"/>
      <c r="JEP221" s="76"/>
      <c r="JEQ221" s="76"/>
      <c r="JER221" s="76"/>
      <c r="JES221" s="76"/>
      <c r="JET221" s="76"/>
      <c r="JEU221" s="76"/>
      <c r="JEV221" s="76"/>
      <c r="JEW221" s="76"/>
      <c r="JEX221" s="76"/>
      <c r="JEY221" s="76"/>
      <c r="JEZ221" s="76"/>
      <c r="JFA221" s="76"/>
      <c r="JFB221" s="76"/>
      <c r="JFC221" s="76"/>
      <c r="JFD221" s="76"/>
      <c r="JFE221" s="76"/>
      <c r="JFF221" s="76"/>
      <c r="JFG221" s="76"/>
      <c r="JFH221" s="76"/>
      <c r="JFI221" s="76"/>
      <c r="JFJ221" s="76"/>
      <c r="JFK221" s="76"/>
      <c r="JFL221" s="76"/>
      <c r="JFM221" s="76"/>
      <c r="JFN221" s="76"/>
      <c r="JFO221" s="76"/>
      <c r="JFP221" s="76"/>
      <c r="JFQ221" s="76"/>
      <c r="JFR221" s="76"/>
      <c r="JFS221" s="76"/>
      <c r="JFT221" s="76"/>
      <c r="JFU221" s="76"/>
      <c r="JFV221" s="76"/>
      <c r="JFW221" s="76"/>
      <c r="JFX221" s="76"/>
      <c r="JFY221" s="76"/>
      <c r="JFZ221" s="76"/>
      <c r="JGA221" s="76"/>
      <c r="JGB221" s="76"/>
      <c r="JGC221" s="76"/>
      <c r="JGD221" s="76"/>
      <c r="JGE221" s="76"/>
      <c r="JGF221" s="76"/>
      <c r="JGG221" s="76"/>
      <c r="JGH221" s="76"/>
      <c r="JGI221" s="76"/>
      <c r="JGJ221" s="76"/>
      <c r="JGK221" s="76"/>
      <c r="JGL221" s="76"/>
      <c r="JGM221" s="76"/>
      <c r="JGN221" s="76"/>
      <c r="JGO221" s="76"/>
      <c r="JGP221" s="76"/>
      <c r="JGQ221" s="76"/>
      <c r="JGR221" s="76"/>
      <c r="JGS221" s="76"/>
      <c r="JGT221" s="76"/>
      <c r="JGU221" s="76"/>
      <c r="JGV221" s="76"/>
      <c r="JGW221" s="76"/>
      <c r="JGX221" s="76"/>
      <c r="JGY221" s="76"/>
      <c r="JGZ221" s="76"/>
      <c r="JHA221" s="76"/>
      <c r="JHB221" s="76"/>
      <c r="JHC221" s="76"/>
      <c r="JHD221" s="76"/>
      <c r="JHE221" s="76"/>
      <c r="JHF221" s="76"/>
      <c r="JHG221" s="76"/>
      <c r="JHH221" s="76"/>
      <c r="JHI221" s="76"/>
      <c r="JHJ221" s="76"/>
      <c r="JHK221" s="76"/>
      <c r="JHL221" s="76"/>
      <c r="JHM221" s="76"/>
      <c r="JHN221" s="76"/>
      <c r="JHO221" s="76"/>
      <c r="JHP221" s="76"/>
      <c r="JHQ221" s="76"/>
      <c r="JHR221" s="76"/>
      <c r="JHS221" s="76"/>
      <c r="JHT221" s="76"/>
      <c r="JHU221" s="76"/>
      <c r="JHV221" s="76"/>
      <c r="JHW221" s="76"/>
      <c r="JHX221" s="76"/>
      <c r="JHY221" s="76"/>
      <c r="JHZ221" s="76"/>
      <c r="JIA221" s="76"/>
      <c r="JIB221" s="76"/>
      <c r="JIC221" s="76"/>
      <c r="JID221" s="76"/>
      <c r="JIE221" s="76"/>
      <c r="JIF221" s="76"/>
      <c r="JIG221" s="76"/>
      <c r="JIH221" s="76"/>
      <c r="JII221" s="76"/>
      <c r="JIJ221" s="76"/>
      <c r="JIK221" s="76"/>
      <c r="JIL221" s="76"/>
      <c r="JIM221" s="76"/>
      <c r="JIN221" s="76"/>
      <c r="JIO221" s="76"/>
      <c r="JIP221" s="76"/>
      <c r="JIQ221" s="76"/>
      <c r="JIR221" s="76"/>
      <c r="JIS221" s="76"/>
      <c r="JIT221" s="76"/>
      <c r="JIU221" s="76"/>
      <c r="JIV221" s="76"/>
      <c r="JIW221" s="76"/>
      <c r="JIX221" s="76"/>
      <c r="JIY221" s="76"/>
      <c r="JIZ221" s="76"/>
      <c r="JJA221" s="76"/>
      <c r="JJB221" s="76"/>
      <c r="JJC221" s="76"/>
      <c r="JJD221" s="76"/>
      <c r="JJE221" s="76"/>
      <c r="JJF221" s="76"/>
      <c r="JJG221" s="76"/>
      <c r="JJH221" s="76"/>
      <c r="JJI221" s="76"/>
      <c r="JJJ221" s="76"/>
      <c r="JJK221" s="76"/>
      <c r="JJL221" s="76"/>
      <c r="JJM221" s="76"/>
      <c r="JJN221" s="76"/>
      <c r="JJO221" s="76"/>
      <c r="JJP221" s="76"/>
      <c r="JJQ221" s="76"/>
      <c r="JJR221" s="76"/>
      <c r="JJS221" s="76"/>
      <c r="JJT221" s="76"/>
      <c r="JJU221" s="76"/>
      <c r="JJV221" s="76"/>
      <c r="JJW221" s="76"/>
      <c r="JJX221" s="76"/>
      <c r="JJY221" s="76"/>
      <c r="JJZ221" s="76"/>
      <c r="JKA221" s="76"/>
      <c r="JKB221" s="76"/>
      <c r="JKC221" s="76"/>
      <c r="JKD221" s="76"/>
      <c r="JKE221" s="76"/>
      <c r="JKF221" s="76"/>
      <c r="JKG221" s="76"/>
      <c r="JKH221" s="76"/>
      <c r="JKI221" s="76"/>
      <c r="JKJ221" s="76"/>
      <c r="JKK221" s="76"/>
      <c r="JKL221" s="76"/>
      <c r="JKM221" s="76"/>
      <c r="JKN221" s="76"/>
      <c r="JKO221" s="76"/>
      <c r="JKP221" s="76"/>
      <c r="JKQ221" s="76"/>
      <c r="JKR221" s="76"/>
      <c r="JKS221" s="76"/>
      <c r="JKT221" s="76"/>
      <c r="JKU221" s="76"/>
      <c r="JKV221" s="76"/>
      <c r="JKW221" s="76"/>
      <c r="JKX221" s="76"/>
      <c r="JKY221" s="76"/>
      <c r="JKZ221" s="76"/>
      <c r="JLA221" s="76"/>
      <c r="JLB221" s="76"/>
      <c r="JLC221" s="76"/>
      <c r="JLD221" s="76"/>
      <c r="JLE221" s="76"/>
      <c r="JLF221" s="76"/>
      <c r="JLG221" s="76"/>
      <c r="JLH221" s="76"/>
      <c r="JLI221" s="76"/>
      <c r="JLJ221" s="76"/>
      <c r="JLK221" s="76"/>
      <c r="JLL221" s="76"/>
      <c r="JLM221" s="76"/>
      <c r="JLN221" s="76"/>
      <c r="JLO221" s="76"/>
      <c r="JLP221" s="76"/>
      <c r="JLQ221" s="76"/>
      <c r="JLR221" s="76"/>
      <c r="JLS221" s="76"/>
      <c r="JLT221" s="76"/>
      <c r="JLU221" s="76"/>
      <c r="JLV221" s="76"/>
      <c r="JLW221" s="76"/>
      <c r="JLX221" s="76"/>
      <c r="JLY221" s="76"/>
      <c r="JLZ221" s="76"/>
      <c r="JMA221" s="76"/>
      <c r="JMB221" s="76"/>
      <c r="JMC221" s="76"/>
      <c r="JMD221" s="76"/>
      <c r="JME221" s="76"/>
      <c r="JMF221" s="76"/>
      <c r="JMG221" s="76"/>
      <c r="JMH221" s="76"/>
      <c r="JMI221" s="76"/>
      <c r="JMJ221" s="76"/>
      <c r="JMK221" s="76"/>
      <c r="JML221" s="76"/>
      <c r="JMM221" s="76"/>
      <c r="JMN221" s="76"/>
      <c r="JMO221" s="76"/>
      <c r="JMP221" s="76"/>
      <c r="JMQ221" s="76"/>
      <c r="JMR221" s="76"/>
      <c r="JMS221" s="76"/>
      <c r="JMT221" s="76"/>
      <c r="JMU221" s="76"/>
      <c r="JMV221" s="76"/>
      <c r="JMW221" s="76"/>
      <c r="JMX221" s="76"/>
      <c r="JMY221" s="76"/>
      <c r="JMZ221" s="76"/>
      <c r="JNA221" s="76"/>
      <c r="JNB221" s="76"/>
      <c r="JNC221" s="76"/>
      <c r="JND221" s="76"/>
      <c r="JNE221" s="76"/>
      <c r="JNF221" s="76"/>
      <c r="JNG221" s="76"/>
      <c r="JNH221" s="76"/>
      <c r="JNI221" s="76"/>
      <c r="JNJ221" s="76"/>
      <c r="JNK221" s="76"/>
      <c r="JNL221" s="76"/>
      <c r="JNM221" s="76"/>
      <c r="JNN221" s="76"/>
      <c r="JNO221" s="76"/>
      <c r="JNP221" s="76"/>
      <c r="JNQ221" s="76"/>
      <c r="JNR221" s="76"/>
      <c r="JNS221" s="76"/>
      <c r="JNT221" s="76"/>
      <c r="JNU221" s="76"/>
      <c r="JNV221" s="76"/>
      <c r="JNW221" s="76"/>
      <c r="JNX221" s="76"/>
      <c r="JNY221" s="76"/>
      <c r="JNZ221" s="76"/>
      <c r="JOA221" s="76"/>
      <c r="JOB221" s="76"/>
      <c r="JOC221" s="76"/>
      <c r="JOD221" s="76"/>
      <c r="JOE221" s="76"/>
      <c r="JOF221" s="76"/>
      <c r="JOG221" s="76"/>
      <c r="JOH221" s="76"/>
      <c r="JOI221" s="76"/>
      <c r="JOJ221" s="76"/>
      <c r="JOK221" s="76"/>
      <c r="JOL221" s="76"/>
      <c r="JOM221" s="76"/>
      <c r="JON221" s="76"/>
      <c r="JOO221" s="76"/>
      <c r="JOP221" s="76"/>
      <c r="JOQ221" s="76"/>
      <c r="JOR221" s="76"/>
      <c r="JOS221" s="76"/>
      <c r="JOT221" s="76"/>
      <c r="JOU221" s="76"/>
      <c r="JOV221" s="76"/>
      <c r="JOW221" s="76"/>
      <c r="JOX221" s="76"/>
      <c r="JOY221" s="76"/>
      <c r="JOZ221" s="76"/>
      <c r="JPA221" s="76"/>
      <c r="JPB221" s="76"/>
      <c r="JPC221" s="76"/>
      <c r="JPD221" s="76"/>
      <c r="JPE221" s="76"/>
      <c r="JPF221" s="76"/>
      <c r="JPG221" s="76"/>
      <c r="JPH221" s="76"/>
      <c r="JPI221" s="76"/>
      <c r="JPJ221" s="76"/>
      <c r="JPK221" s="76"/>
      <c r="JPL221" s="76"/>
      <c r="JPM221" s="76"/>
      <c r="JPN221" s="76"/>
      <c r="JPO221" s="76"/>
      <c r="JPP221" s="76"/>
      <c r="JPQ221" s="76"/>
      <c r="JPR221" s="76"/>
      <c r="JPS221" s="76"/>
      <c r="JPT221" s="76"/>
      <c r="JPU221" s="76"/>
      <c r="JPV221" s="76"/>
      <c r="JPW221" s="76"/>
      <c r="JPX221" s="76"/>
      <c r="JPY221" s="76"/>
      <c r="JPZ221" s="76"/>
      <c r="JQA221" s="76"/>
      <c r="JQB221" s="76"/>
      <c r="JQC221" s="76"/>
      <c r="JQD221" s="76"/>
      <c r="JQE221" s="76"/>
      <c r="JQF221" s="76"/>
      <c r="JQG221" s="76"/>
      <c r="JQH221" s="76"/>
      <c r="JQI221" s="76"/>
      <c r="JQJ221" s="76"/>
      <c r="JQK221" s="76"/>
      <c r="JQL221" s="76"/>
      <c r="JQM221" s="76"/>
      <c r="JQN221" s="76"/>
      <c r="JQO221" s="76"/>
      <c r="JQP221" s="76"/>
      <c r="JQQ221" s="76"/>
      <c r="JQR221" s="76"/>
      <c r="JQS221" s="76"/>
      <c r="JQT221" s="76"/>
      <c r="JQU221" s="76"/>
      <c r="JQV221" s="76"/>
      <c r="JQW221" s="76"/>
      <c r="JQX221" s="76"/>
      <c r="JQY221" s="76"/>
      <c r="JQZ221" s="76"/>
      <c r="JRA221" s="76"/>
      <c r="JRB221" s="76"/>
      <c r="JRC221" s="76"/>
      <c r="JRD221" s="76"/>
      <c r="JRE221" s="76"/>
      <c r="JRF221" s="76"/>
      <c r="JRG221" s="76"/>
      <c r="JRH221" s="76"/>
      <c r="JRI221" s="76"/>
      <c r="JRJ221" s="76"/>
      <c r="JRK221" s="76"/>
      <c r="JRL221" s="76"/>
      <c r="JRM221" s="76"/>
      <c r="JRN221" s="76"/>
      <c r="JRO221" s="76"/>
      <c r="JRP221" s="76"/>
      <c r="JRQ221" s="76"/>
      <c r="JRR221" s="76"/>
      <c r="JRS221" s="76"/>
      <c r="JRT221" s="76"/>
      <c r="JRU221" s="76"/>
      <c r="JRV221" s="76"/>
      <c r="JRW221" s="76"/>
      <c r="JRX221" s="76"/>
      <c r="JRY221" s="76"/>
      <c r="JRZ221" s="76"/>
      <c r="JSA221" s="76"/>
      <c r="JSB221" s="76"/>
      <c r="JSC221" s="76"/>
      <c r="JSD221" s="76"/>
      <c r="JSE221" s="76"/>
      <c r="JSF221" s="76"/>
      <c r="JSG221" s="76"/>
      <c r="JSH221" s="76"/>
      <c r="JSI221" s="76"/>
      <c r="JSJ221" s="76"/>
      <c r="JSK221" s="76"/>
      <c r="JSL221" s="76"/>
      <c r="JSM221" s="76"/>
      <c r="JSN221" s="76"/>
      <c r="JSO221" s="76"/>
      <c r="JSP221" s="76"/>
      <c r="JSQ221" s="76"/>
      <c r="JSR221" s="76"/>
      <c r="JSS221" s="76"/>
      <c r="JST221" s="76"/>
      <c r="JSU221" s="76"/>
      <c r="JSV221" s="76"/>
      <c r="JSW221" s="76"/>
      <c r="JSX221" s="76"/>
      <c r="JSY221" s="76"/>
      <c r="JSZ221" s="76"/>
      <c r="JTA221" s="76"/>
      <c r="JTB221" s="76"/>
      <c r="JTC221" s="76"/>
      <c r="JTD221" s="76"/>
      <c r="JTE221" s="76"/>
      <c r="JTF221" s="76"/>
      <c r="JTG221" s="76"/>
      <c r="JTH221" s="76"/>
      <c r="JTI221" s="76"/>
      <c r="JTJ221" s="76"/>
      <c r="JTK221" s="76"/>
      <c r="JTL221" s="76"/>
      <c r="JTM221" s="76"/>
      <c r="JTN221" s="76"/>
      <c r="JTO221" s="76"/>
      <c r="JTP221" s="76"/>
      <c r="JTQ221" s="76"/>
      <c r="JTR221" s="76"/>
      <c r="JTS221" s="76"/>
      <c r="JTT221" s="76"/>
      <c r="JTU221" s="76"/>
      <c r="JTV221" s="76"/>
      <c r="JTW221" s="76"/>
      <c r="JTX221" s="76"/>
      <c r="JTY221" s="76"/>
      <c r="JTZ221" s="76"/>
      <c r="JUA221" s="76"/>
      <c r="JUB221" s="76"/>
      <c r="JUC221" s="76"/>
      <c r="JUD221" s="76"/>
      <c r="JUE221" s="76"/>
      <c r="JUF221" s="76"/>
      <c r="JUG221" s="76"/>
      <c r="JUH221" s="76"/>
      <c r="JUI221" s="76"/>
      <c r="JUJ221" s="76"/>
      <c r="JUK221" s="76"/>
      <c r="JUL221" s="76"/>
      <c r="JUM221" s="76"/>
      <c r="JUN221" s="76"/>
      <c r="JUO221" s="76"/>
      <c r="JUP221" s="76"/>
      <c r="JUQ221" s="76"/>
      <c r="JUR221" s="76"/>
      <c r="JUS221" s="76"/>
      <c r="JUT221" s="76"/>
      <c r="JUU221" s="76"/>
      <c r="JUV221" s="76"/>
      <c r="JUW221" s="76"/>
      <c r="JUX221" s="76"/>
      <c r="JUY221" s="76"/>
      <c r="JUZ221" s="76"/>
      <c r="JVA221" s="76"/>
      <c r="JVB221" s="76"/>
      <c r="JVC221" s="76"/>
      <c r="JVD221" s="76"/>
      <c r="JVE221" s="76"/>
      <c r="JVF221" s="76"/>
      <c r="JVG221" s="76"/>
      <c r="JVH221" s="76"/>
      <c r="JVI221" s="76"/>
      <c r="JVJ221" s="76"/>
      <c r="JVK221" s="76"/>
      <c r="JVL221" s="76"/>
      <c r="JVM221" s="76"/>
      <c r="JVN221" s="76"/>
      <c r="JVO221" s="76"/>
      <c r="JVP221" s="76"/>
      <c r="JVQ221" s="76"/>
      <c r="JVR221" s="76"/>
      <c r="JVS221" s="76"/>
      <c r="JVT221" s="76"/>
      <c r="JVU221" s="76"/>
      <c r="JVV221" s="76"/>
      <c r="JVW221" s="76"/>
      <c r="JVX221" s="76"/>
      <c r="JVY221" s="76"/>
      <c r="JVZ221" s="76"/>
      <c r="JWA221" s="76"/>
      <c r="JWB221" s="76"/>
      <c r="JWC221" s="76"/>
      <c r="JWD221" s="76"/>
      <c r="JWE221" s="76"/>
      <c r="JWF221" s="76"/>
      <c r="JWG221" s="76"/>
      <c r="JWH221" s="76"/>
      <c r="JWI221" s="76"/>
      <c r="JWJ221" s="76"/>
      <c r="JWK221" s="76"/>
      <c r="JWL221" s="76"/>
      <c r="JWM221" s="76"/>
      <c r="JWN221" s="76"/>
      <c r="JWO221" s="76"/>
      <c r="JWP221" s="76"/>
      <c r="JWQ221" s="76"/>
      <c r="JWR221" s="76"/>
      <c r="JWS221" s="76"/>
      <c r="JWT221" s="76"/>
      <c r="JWU221" s="76"/>
      <c r="JWV221" s="76"/>
      <c r="JWW221" s="76"/>
      <c r="JWX221" s="76"/>
      <c r="JWY221" s="76"/>
      <c r="JWZ221" s="76"/>
      <c r="JXA221" s="76"/>
      <c r="JXB221" s="76"/>
      <c r="JXC221" s="76"/>
      <c r="JXD221" s="76"/>
      <c r="JXE221" s="76"/>
      <c r="JXF221" s="76"/>
      <c r="JXG221" s="76"/>
      <c r="JXH221" s="76"/>
      <c r="JXI221" s="76"/>
      <c r="JXJ221" s="76"/>
      <c r="JXK221" s="76"/>
      <c r="JXL221" s="76"/>
      <c r="JXM221" s="76"/>
      <c r="JXN221" s="76"/>
      <c r="JXO221" s="76"/>
      <c r="JXP221" s="76"/>
      <c r="JXQ221" s="76"/>
      <c r="JXR221" s="76"/>
      <c r="JXS221" s="76"/>
      <c r="JXT221" s="76"/>
      <c r="JXU221" s="76"/>
      <c r="JXV221" s="76"/>
      <c r="JXW221" s="76"/>
      <c r="JXX221" s="76"/>
      <c r="JXY221" s="76"/>
      <c r="JXZ221" s="76"/>
      <c r="JYA221" s="76"/>
      <c r="JYB221" s="76"/>
      <c r="JYC221" s="76"/>
      <c r="JYD221" s="76"/>
      <c r="JYE221" s="76"/>
      <c r="JYF221" s="76"/>
      <c r="JYG221" s="76"/>
      <c r="JYH221" s="76"/>
      <c r="JYI221" s="76"/>
      <c r="JYJ221" s="76"/>
      <c r="JYK221" s="76"/>
      <c r="JYL221" s="76"/>
      <c r="JYM221" s="76"/>
      <c r="JYN221" s="76"/>
      <c r="JYO221" s="76"/>
      <c r="JYP221" s="76"/>
      <c r="JYQ221" s="76"/>
      <c r="JYR221" s="76"/>
      <c r="JYS221" s="76"/>
      <c r="JYT221" s="76"/>
      <c r="JYU221" s="76"/>
      <c r="JYV221" s="76"/>
      <c r="JYW221" s="76"/>
      <c r="JYX221" s="76"/>
      <c r="JYY221" s="76"/>
      <c r="JYZ221" s="76"/>
      <c r="JZA221" s="76"/>
      <c r="JZB221" s="76"/>
      <c r="JZC221" s="76"/>
      <c r="JZD221" s="76"/>
      <c r="JZE221" s="76"/>
      <c r="JZF221" s="76"/>
      <c r="JZG221" s="76"/>
      <c r="JZH221" s="76"/>
      <c r="JZI221" s="76"/>
      <c r="JZJ221" s="76"/>
      <c r="JZK221" s="76"/>
      <c r="JZL221" s="76"/>
      <c r="JZM221" s="76"/>
      <c r="JZN221" s="76"/>
      <c r="JZO221" s="76"/>
      <c r="JZP221" s="76"/>
      <c r="JZQ221" s="76"/>
      <c r="JZR221" s="76"/>
      <c r="JZS221" s="76"/>
      <c r="JZT221" s="76"/>
      <c r="JZU221" s="76"/>
      <c r="JZV221" s="76"/>
      <c r="JZW221" s="76"/>
      <c r="JZX221" s="76"/>
      <c r="JZY221" s="76"/>
      <c r="JZZ221" s="76"/>
      <c r="KAA221" s="76"/>
      <c r="KAB221" s="76"/>
      <c r="KAC221" s="76"/>
      <c r="KAD221" s="76"/>
      <c r="KAE221" s="76"/>
      <c r="KAF221" s="76"/>
      <c r="KAG221" s="76"/>
      <c r="KAH221" s="76"/>
      <c r="KAI221" s="76"/>
      <c r="KAJ221" s="76"/>
      <c r="KAK221" s="76"/>
      <c r="KAL221" s="76"/>
      <c r="KAM221" s="76"/>
      <c r="KAN221" s="76"/>
      <c r="KAO221" s="76"/>
      <c r="KAP221" s="76"/>
      <c r="KAQ221" s="76"/>
      <c r="KAR221" s="76"/>
      <c r="KAS221" s="76"/>
      <c r="KAT221" s="76"/>
      <c r="KAU221" s="76"/>
      <c r="KAV221" s="76"/>
      <c r="KAW221" s="76"/>
      <c r="KAX221" s="76"/>
      <c r="KAY221" s="76"/>
      <c r="KAZ221" s="76"/>
      <c r="KBA221" s="76"/>
      <c r="KBB221" s="76"/>
      <c r="KBC221" s="76"/>
      <c r="KBD221" s="76"/>
      <c r="KBE221" s="76"/>
      <c r="KBF221" s="76"/>
      <c r="KBG221" s="76"/>
      <c r="KBH221" s="76"/>
      <c r="KBI221" s="76"/>
      <c r="KBJ221" s="76"/>
      <c r="KBK221" s="76"/>
      <c r="KBL221" s="76"/>
      <c r="KBM221" s="76"/>
      <c r="KBN221" s="76"/>
      <c r="KBO221" s="76"/>
      <c r="KBP221" s="76"/>
      <c r="KBQ221" s="76"/>
      <c r="KBR221" s="76"/>
      <c r="KBS221" s="76"/>
      <c r="KBT221" s="76"/>
      <c r="KBU221" s="76"/>
      <c r="KBV221" s="76"/>
      <c r="KBW221" s="76"/>
      <c r="KBX221" s="76"/>
      <c r="KBY221" s="76"/>
      <c r="KBZ221" s="76"/>
      <c r="KCA221" s="76"/>
      <c r="KCB221" s="76"/>
      <c r="KCC221" s="76"/>
      <c r="KCD221" s="76"/>
      <c r="KCE221" s="76"/>
      <c r="KCF221" s="76"/>
      <c r="KCG221" s="76"/>
      <c r="KCH221" s="76"/>
      <c r="KCI221" s="76"/>
      <c r="KCJ221" s="76"/>
      <c r="KCK221" s="76"/>
      <c r="KCL221" s="76"/>
      <c r="KCM221" s="76"/>
      <c r="KCN221" s="76"/>
      <c r="KCO221" s="76"/>
      <c r="KCP221" s="76"/>
      <c r="KCQ221" s="76"/>
      <c r="KCR221" s="76"/>
      <c r="KCS221" s="76"/>
      <c r="KCT221" s="76"/>
      <c r="KCU221" s="76"/>
      <c r="KCV221" s="76"/>
      <c r="KCW221" s="76"/>
      <c r="KCX221" s="76"/>
      <c r="KCY221" s="76"/>
      <c r="KCZ221" s="76"/>
      <c r="KDA221" s="76"/>
      <c r="KDB221" s="76"/>
      <c r="KDC221" s="76"/>
      <c r="KDD221" s="76"/>
      <c r="KDE221" s="76"/>
      <c r="KDF221" s="76"/>
      <c r="KDG221" s="76"/>
      <c r="KDH221" s="76"/>
      <c r="KDI221" s="76"/>
      <c r="KDJ221" s="76"/>
      <c r="KDK221" s="76"/>
      <c r="KDL221" s="76"/>
      <c r="KDM221" s="76"/>
      <c r="KDN221" s="76"/>
      <c r="KDO221" s="76"/>
      <c r="KDP221" s="76"/>
      <c r="KDQ221" s="76"/>
      <c r="KDR221" s="76"/>
      <c r="KDS221" s="76"/>
      <c r="KDT221" s="76"/>
      <c r="KDU221" s="76"/>
      <c r="KDV221" s="76"/>
      <c r="KDW221" s="76"/>
      <c r="KDX221" s="76"/>
      <c r="KDY221" s="76"/>
      <c r="KDZ221" s="76"/>
      <c r="KEA221" s="76"/>
      <c r="KEB221" s="76"/>
      <c r="KEC221" s="76"/>
      <c r="KED221" s="76"/>
      <c r="KEE221" s="76"/>
      <c r="KEF221" s="76"/>
      <c r="KEG221" s="76"/>
      <c r="KEH221" s="76"/>
      <c r="KEI221" s="76"/>
      <c r="KEJ221" s="76"/>
      <c r="KEK221" s="76"/>
      <c r="KEL221" s="76"/>
      <c r="KEM221" s="76"/>
      <c r="KEN221" s="76"/>
      <c r="KEO221" s="76"/>
      <c r="KEP221" s="76"/>
      <c r="KEQ221" s="76"/>
      <c r="KER221" s="76"/>
      <c r="KES221" s="76"/>
      <c r="KET221" s="76"/>
      <c r="KEU221" s="76"/>
      <c r="KEV221" s="76"/>
      <c r="KEW221" s="76"/>
      <c r="KEX221" s="76"/>
      <c r="KEY221" s="76"/>
      <c r="KEZ221" s="76"/>
      <c r="KFA221" s="76"/>
      <c r="KFB221" s="76"/>
      <c r="KFC221" s="76"/>
      <c r="KFD221" s="76"/>
      <c r="KFE221" s="76"/>
      <c r="KFF221" s="76"/>
      <c r="KFG221" s="76"/>
      <c r="KFH221" s="76"/>
      <c r="KFI221" s="76"/>
      <c r="KFJ221" s="76"/>
      <c r="KFK221" s="76"/>
      <c r="KFL221" s="76"/>
      <c r="KFM221" s="76"/>
      <c r="KFN221" s="76"/>
      <c r="KFO221" s="76"/>
      <c r="KFP221" s="76"/>
      <c r="KFQ221" s="76"/>
      <c r="KFR221" s="76"/>
      <c r="KFS221" s="76"/>
      <c r="KFT221" s="76"/>
      <c r="KFU221" s="76"/>
      <c r="KFV221" s="76"/>
      <c r="KFW221" s="76"/>
      <c r="KFX221" s="76"/>
      <c r="KFY221" s="76"/>
      <c r="KFZ221" s="76"/>
      <c r="KGA221" s="76"/>
      <c r="KGB221" s="76"/>
      <c r="KGC221" s="76"/>
      <c r="KGD221" s="76"/>
      <c r="KGE221" s="76"/>
      <c r="KGF221" s="76"/>
      <c r="KGG221" s="76"/>
      <c r="KGH221" s="76"/>
      <c r="KGI221" s="76"/>
      <c r="KGJ221" s="76"/>
      <c r="KGK221" s="76"/>
      <c r="KGL221" s="76"/>
      <c r="KGM221" s="76"/>
      <c r="KGN221" s="76"/>
      <c r="KGO221" s="76"/>
      <c r="KGP221" s="76"/>
      <c r="KGQ221" s="76"/>
      <c r="KGR221" s="76"/>
      <c r="KGS221" s="76"/>
      <c r="KGT221" s="76"/>
      <c r="KGU221" s="76"/>
      <c r="KGV221" s="76"/>
      <c r="KGW221" s="76"/>
      <c r="KGX221" s="76"/>
      <c r="KGY221" s="76"/>
      <c r="KGZ221" s="76"/>
      <c r="KHA221" s="76"/>
      <c r="KHB221" s="76"/>
      <c r="KHC221" s="76"/>
      <c r="KHD221" s="76"/>
      <c r="KHE221" s="76"/>
      <c r="KHF221" s="76"/>
      <c r="KHG221" s="76"/>
      <c r="KHH221" s="76"/>
      <c r="KHI221" s="76"/>
      <c r="KHJ221" s="76"/>
      <c r="KHK221" s="76"/>
      <c r="KHL221" s="76"/>
      <c r="KHM221" s="76"/>
      <c r="KHN221" s="76"/>
      <c r="KHO221" s="76"/>
      <c r="KHP221" s="76"/>
      <c r="KHQ221" s="76"/>
      <c r="KHR221" s="76"/>
      <c r="KHS221" s="76"/>
      <c r="KHT221" s="76"/>
      <c r="KHU221" s="76"/>
      <c r="KHV221" s="76"/>
      <c r="KHW221" s="76"/>
      <c r="KHX221" s="76"/>
      <c r="KHY221" s="76"/>
      <c r="KHZ221" s="76"/>
      <c r="KIA221" s="76"/>
      <c r="KIB221" s="76"/>
      <c r="KIC221" s="76"/>
      <c r="KID221" s="76"/>
      <c r="KIE221" s="76"/>
      <c r="KIF221" s="76"/>
      <c r="KIG221" s="76"/>
      <c r="KIH221" s="76"/>
      <c r="KII221" s="76"/>
      <c r="KIJ221" s="76"/>
      <c r="KIK221" s="76"/>
      <c r="KIL221" s="76"/>
      <c r="KIM221" s="76"/>
      <c r="KIN221" s="76"/>
      <c r="KIO221" s="76"/>
      <c r="KIP221" s="76"/>
      <c r="KIQ221" s="76"/>
      <c r="KIR221" s="76"/>
      <c r="KIS221" s="76"/>
      <c r="KIT221" s="76"/>
      <c r="KIU221" s="76"/>
      <c r="KIV221" s="76"/>
      <c r="KIW221" s="76"/>
      <c r="KIX221" s="76"/>
      <c r="KIY221" s="76"/>
      <c r="KIZ221" s="76"/>
      <c r="KJA221" s="76"/>
      <c r="KJB221" s="76"/>
      <c r="KJC221" s="76"/>
      <c r="KJD221" s="76"/>
      <c r="KJE221" s="76"/>
      <c r="KJF221" s="76"/>
      <c r="KJG221" s="76"/>
      <c r="KJH221" s="76"/>
      <c r="KJI221" s="76"/>
      <c r="KJJ221" s="76"/>
      <c r="KJK221" s="76"/>
      <c r="KJL221" s="76"/>
      <c r="KJM221" s="76"/>
      <c r="KJN221" s="76"/>
      <c r="KJO221" s="76"/>
      <c r="KJP221" s="76"/>
      <c r="KJQ221" s="76"/>
      <c r="KJR221" s="76"/>
      <c r="KJS221" s="76"/>
      <c r="KJT221" s="76"/>
      <c r="KJU221" s="76"/>
      <c r="KJV221" s="76"/>
      <c r="KJW221" s="76"/>
      <c r="KJX221" s="76"/>
      <c r="KJY221" s="76"/>
      <c r="KJZ221" s="76"/>
      <c r="KKA221" s="76"/>
      <c r="KKB221" s="76"/>
      <c r="KKC221" s="76"/>
      <c r="KKD221" s="76"/>
      <c r="KKE221" s="76"/>
      <c r="KKF221" s="76"/>
      <c r="KKG221" s="76"/>
      <c r="KKH221" s="76"/>
      <c r="KKI221" s="76"/>
      <c r="KKJ221" s="76"/>
      <c r="KKK221" s="76"/>
      <c r="KKL221" s="76"/>
      <c r="KKM221" s="76"/>
      <c r="KKN221" s="76"/>
      <c r="KKO221" s="76"/>
      <c r="KKP221" s="76"/>
      <c r="KKQ221" s="76"/>
      <c r="KKR221" s="76"/>
      <c r="KKS221" s="76"/>
      <c r="KKT221" s="76"/>
      <c r="KKU221" s="76"/>
      <c r="KKV221" s="76"/>
      <c r="KKW221" s="76"/>
      <c r="KKX221" s="76"/>
      <c r="KKY221" s="76"/>
      <c r="KKZ221" s="76"/>
      <c r="KLA221" s="76"/>
      <c r="KLB221" s="76"/>
      <c r="KLC221" s="76"/>
      <c r="KLD221" s="76"/>
      <c r="KLE221" s="76"/>
      <c r="KLF221" s="76"/>
      <c r="KLG221" s="76"/>
      <c r="KLH221" s="76"/>
      <c r="KLI221" s="76"/>
      <c r="KLJ221" s="76"/>
      <c r="KLK221" s="76"/>
      <c r="KLL221" s="76"/>
      <c r="KLM221" s="76"/>
      <c r="KLN221" s="76"/>
      <c r="KLO221" s="76"/>
      <c r="KLP221" s="76"/>
      <c r="KLQ221" s="76"/>
      <c r="KLR221" s="76"/>
      <c r="KLS221" s="76"/>
      <c r="KLT221" s="76"/>
      <c r="KLU221" s="76"/>
      <c r="KLV221" s="76"/>
      <c r="KLW221" s="76"/>
      <c r="KLX221" s="76"/>
      <c r="KLY221" s="76"/>
      <c r="KLZ221" s="76"/>
      <c r="KMA221" s="76"/>
      <c r="KMB221" s="76"/>
      <c r="KMC221" s="76"/>
      <c r="KMD221" s="76"/>
      <c r="KME221" s="76"/>
      <c r="KMF221" s="76"/>
      <c r="KMG221" s="76"/>
      <c r="KMH221" s="76"/>
      <c r="KMI221" s="76"/>
      <c r="KMJ221" s="76"/>
      <c r="KMK221" s="76"/>
      <c r="KML221" s="76"/>
      <c r="KMM221" s="76"/>
      <c r="KMN221" s="76"/>
      <c r="KMO221" s="76"/>
      <c r="KMP221" s="76"/>
      <c r="KMQ221" s="76"/>
      <c r="KMR221" s="76"/>
      <c r="KMS221" s="76"/>
      <c r="KMT221" s="76"/>
      <c r="KMU221" s="76"/>
      <c r="KMV221" s="76"/>
      <c r="KMW221" s="76"/>
      <c r="KMX221" s="76"/>
      <c r="KMY221" s="76"/>
      <c r="KMZ221" s="76"/>
      <c r="KNA221" s="76"/>
      <c r="KNB221" s="76"/>
      <c r="KNC221" s="76"/>
      <c r="KND221" s="76"/>
      <c r="KNE221" s="76"/>
      <c r="KNF221" s="76"/>
      <c r="KNG221" s="76"/>
      <c r="KNH221" s="76"/>
      <c r="KNI221" s="76"/>
      <c r="KNJ221" s="76"/>
      <c r="KNK221" s="76"/>
      <c r="KNL221" s="76"/>
      <c r="KNM221" s="76"/>
      <c r="KNN221" s="76"/>
      <c r="KNO221" s="76"/>
      <c r="KNP221" s="76"/>
      <c r="KNQ221" s="76"/>
      <c r="KNR221" s="76"/>
      <c r="KNS221" s="76"/>
      <c r="KNT221" s="76"/>
      <c r="KNU221" s="76"/>
      <c r="KNV221" s="76"/>
      <c r="KNW221" s="76"/>
      <c r="KNX221" s="76"/>
      <c r="KNY221" s="76"/>
      <c r="KNZ221" s="76"/>
      <c r="KOA221" s="76"/>
      <c r="KOB221" s="76"/>
      <c r="KOC221" s="76"/>
      <c r="KOD221" s="76"/>
      <c r="KOE221" s="76"/>
      <c r="KOF221" s="76"/>
      <c r="KOG221" s="76"/>
      <c r="KOH221" s="76"/>
      <c r="KOI221" s="76"/>
      <c r="KOJ221" s="76"/>
      <c r="KOK221" s="76"/>
      <c r="KOL221" s="76"/>
      <c r="KOM221" s="76"/>
      <c r="KON221" s="76"/>
      <c r="KOO221" s="76"/>
      <c r="KOP221" s="76"/>
      <c r="KOQ221" s="76"/>
      <c r="KOR221" s="76"/>
      <c r="KOS221" s="76"/>
      <c r="KOT221" s="76"/>
      <c r="KOU221" s="76"/>
      <c r="KOV221" s="76"/>
      <c r="KOW221" s="76"/>
      <c r="KOX221" s="76"/>
      <c r="KOY221" s="76"/>
      <c r="KOZ221" s="76"/>
      <c r="KPA221" s="76"/>
      <c r="KPB221" s="76"/>
      <c r="KPC221" s="76"/>
      <c r="KPD221" s="76"/>
      <c r="KPE221" s="76"/>
      <c r="KPF221" s="76"/>
      <c r="KPG221" s="76"/>
      <c r="KPH221" s="76"/>
      <c r="KPI221" s="76"/>
      <c r="KPJ221" s="76"/>
      <c r="KPK221" s="76"/>
      <c r="KPL221" s="76"/>
      <c r="KPM221" s="76"/>
      <c r="KPN221" s="76"/>
      <c r="KPO221" s="76"/>
      <c r="KPP221" s="76"/>
      <c r="KPQ221" s="76"/>
      <c r="KPR221" s="76"/>
      <c r="KPS221" s="76"/>
      <c r="KPT221" s="76"/>
      <c r="KPU221" s="76"/>
      <c r="KPV221" s="76"/>
      <c r="KPW221" s="76"/>
      <c r="KPX221" s="76"/>
      <c r="KPY221" s="76"/>
      <c r="KPZ221" s="76"/>
      <c r="KQA221" s="76"/>
      <c r="KQB221" s="76"/>
      <c r="KQC221" s="76"/>
      <c r="KQD221" s="76"/>
      <c r="KQE221" s="76"/>
      <c r="KQF221" s="76"/>
      <c r="KQG221" s="76"/>
      <c r="KQH221" s="76"/>
      <c r="KQI221" s="76"/>
      <c r="KQJ221" s="76"/>
      <c r="KQK221" s="76"/>
      <c r="KQL221" s="76"/>
      <c r="KQM221" s="76"/>
      <c r="KQN221" s="76"/>
      <c r="KQO221" s="76"/>
      <c r="KQP221" s="76"/>
      <c r="KQQ221" s="76"/>
      <c r="KQR221" s="76"/>
      <c r="KQS221" s="76"/>
      <c r="KQT221" s="76"/>
      <c r="KQU221" s="76"/>
      <c r="KQV221" s="76"/>
      <c r="KQW221" s="76"/>
      <c r="KQX221" s="76"/>
      <c r="KQY221" s="76"/>
      <c r="KQZ221" s="76"/>
      <c r="KRA221" s="76"/>
      <c r="KRB221" s="76"/>
      <c r="KRC221" s="76"/>
      <c r="KRD221" s="76"/>
      <c r="KRE221" s="76"/>
      <c r="KRF221" s="76"/>
      <c r="KRG221" s="76"/>
      <c r="KRH221" s="76"/>
      <c r="KRI221" s="76"/>
      <c r="KRJ221" s="76"/>
      <c r="KRK221" s="76"/>
      <c r="KRL221" s="76"/>
      <c r="KRM221" s="76"/>
      <c r="KRN221" s="76"/>
      <c r="KRO221" s="76"/>
      <c r="KRP221" s="76"/>
      <c r="KRQ221" s="76"/>
      <c r="KRR221" s="76"/>
      <c r="KRS221" s="76"/>
      <c r="KRT221" s="76"/>
      <c r="KRU221" s="76"/>
      <c r="KRV221" s="76"/>
      <c r="KRW221" s="76"/>
      <c r="KRX221" s="76"/>
      <c r="KRY221" s="76"/>
      <c r="KRZ221" s="76"/>
      <c r="KSA221" s="76"/>
      <c r="KSB221" s="76"/>
      <c r="KSC221" s="76"/>
      <c r="KSD221" s="76"/>
      <c r="KSE221" s="76"/>
      <c r="KSF221" s="76"/>
      <c r="KSG221" s="76"/>
      <c r="KSH221" s="76"/>
      <c r="KSI221" s="76"/>
      <c r="KSJ221" s="76"/>
      <c r="KSK221" s="76"/>
      <c r="KSL221" s="76"/>
      <c r="KSM221" s="76"/>
      <c r="KSN221" s="76"/>
      <c r="KSO221" s="76"/>
      <c r="KSP221" s="76"/>
      <c r="KSQ221" s="76"/>
      <c r="KSR221" s="76"/>
      <c r="KSS221" s="76"/>
      <c r="KST221" s="76"/>
      <c r="KSU221" s="76"/>
      <c r="KSV221" s="76"/>
      <c r="KSW221" s="76"/>
      <c r="KSX221" s="76"/>
      <c r="KSY221" s="76"/>
      <c r="KSZ221" s="76"/>
      <c r="KTA221" s="76"/>
      <c r="KTB221" s="76"/>
      <c r="KTC221" s="76"/>
      <c r="KTD221" s="76"/>
      <c r="KTE221" s="76"/>
      <c r="KTF221" s="76"/>
      <c r="KTG221" s="76"/>
      <c r="KTH221" s="76"/>
      <c r="KTI221" s="76"/>
      <c r="KTJ221" s="76"/>
      <c r="KTK221" s="76"/>
      <c r="KTL221" s="76"/>
      <c r="KTM221" s="76"/>
      <c r="KTN221" s="76"/>
      <c r="KTO221" s="76"/>
      <c r="KTP221" s="76"/>
      <c r="KTQ221" s="76"/>
      <c r="KTR221" s="76"/>
      <c r="KTS221" s="76"/>
      <c r="KTT221" s="76"/>
      <c r="KTU221" s="76"/>
      <c r="KTV221" s="76"/>
      <c r="KTW221" s="76"/>
      <c r="KTX221" s="76"/>
      <c r="KTY221" s="76"/>
      <c r="KTZ221" s="76"/>
      <c r="KUA221" s="76"/>
      <c r="KUB221" s="76"/>
      <c r="KUC221" s="76"/>
      <c r="KUD221" s="76"/>
      <c r="KUE221" s="76"/>
      <c r="KUF221" s="76"/>
      <c r="KUG221" s="76"/>
      <c r="KUH221" s="76"/>
      <c r="KUI221" s="76"/>
      <c r="KUJ221" s="76"/>
      <c r="KUK221" s="76"/>
      <c r="KUL221" s="76"/>
      <c r="KUM221" s="76"/>
      <c r="KUN221" s="76"/>
      <c r="KUO221" s="76"/>
      <c r="KUP221" s="76"/>
      <c r="KUQ221" s="76"/>
      <c r="KUR221" s="76"/>
      <c r="KUS221" s="76"/>
      <c r="KUT221" s="76"/>
      <c r="KUU221" s="76"/>
      <c r="KUV221" s="76"/>
      <c r="KUW221" s="76"/>
      <c r="KUX221" s="76"/>
      <c r="KUY221" s="76"/>
      <c r="KUZ221" s="76"/>
      <c r="KVA221" s="76"/>
      <c r="KVB221" s="76"/>
      <c r="KVC221" s="76"/>
      <c r="KVD221" s="76"/>
      <c r="KVE221" s="76"/>
      <c r="KVF221" s="76"/>
      <c r="KVG221" s="76"/>
      <c r="KVH221" s="76"/>
      <c r="KVI221" s="76"/>
      <c r="KVJ221" s="76"/>
      <c r="KVK221" s="76"/>
      <c r="KVL221" s="76"/>
      <c r="KVM221" s="76"/>
      <c r="KVN221" s="76"/>
      <c r="KVO221" s="76"/>
      <c r="KVP221" s="76"/>
      <c r="KVQ221" s="76"/>
      <c r="KVR221" s="76"/>
      <c r="KVS221" s="76"/>
      <c r="KVT221" s="76"/>
      <c r="KVU221" s="76"/>
      <c r="KVV221" s="76"/>
      <c r="KVW221" s="76"/>
      <c r="KVX221" s="76"/>
      <c r="KVY221" s="76"/>
      <c r="KVZ221" s="76"/>
      <c r="KWA221" s="76"/>
      <c r="KWB221" s="76"/>
      <c r="KWC221" s="76"/>
      <c r="KWD221" s="76"/>
      <c r="KWE221" s="76"/>
      <c r="KWF221" s="76"/>
      <c r="KWG221" s="76"/>
      <c r="KWH221" s="76"/>
      <c r="KWI221" s="76"/>
      <c r="KWJ221" s="76"/>
      <c r="KWK221" s="76"/>
      <c r="KWL221" s="76"/>
      <c r="KWM221" s="76"/>
      <c r="KWN221" s="76"/>
      <c r="KWO221" s="76"/>
      <c r="KWP221" s="76"/>
      <c r="KWQ221" s="76"/>
      <c r="KWR221" s="76"/>
      <c r="KWS221" s="76"/>
      <c r="KWT221" s="76"/>
      <c r="KWU221" s="76"/>
      <c r="KWV221" s="76"/>
      <c r="KWW221" s="76"/>
      <c r="KWX221" s="76"/>
      <c r="KWY221" s="76"/>
      <c r="KWZ221" s="76"/>
      <c r="KXA221" s="76"/>
      <c r="KXB221" s="76"/>
      <c r="KXC221" s="76"/>
      <c r="KXD221" s="76"/>
      <c r="KXE221" s="76"/>
      <c r="KXF221" s="76"/>
      <c r="KXG221" s="76"/>
      <c r="KXH221" s="76"/>
      <c r="KXI221" s="76"/>
      <c r="KXJ221" s="76"/>
      <c r="KXK221" s="76"/>
      <c r="KXL221" s="76"/>
      <c r="KXM221" s="76"/>
      <c r="KXN221" s="76"/>
      <c r="KXO221" s="76"/>
      <c r="KXP221" s="76"/>
      <c r="KXQ221" s="76"/>
      <c r="KXR221" s="76"/>
      <c r="KXS221" s="76"/>
      <c r="KXT221" s="76"/>
      <c r="KXU221" s="76"/>
      <c r="KXV221" s="76"/>
      <c r="KXW221" s="76"/>
      <c r="KXX221" s="76"/>
      <c r="KXY221" s="76"/>
      <c r="KXZ221" s="76"/>
      <c r="KYA221" s="76"/>
      <c r="KYB221" s="76"/>
      <c r="KYC221" s="76"/>
      <c r="KYD221" s="76"/>
      <c r="KYE221" s="76"/>
      <c r="KYF221" s="76"/>
      <c r="KYG221" s="76"/>
      <c r="KYH221" s="76"/>
      <c r="KYI221" s="76"/>
      <c r="KYJ221" s="76"/>
      <c r="KYK221" s="76"/>
      <c r="KYL221" s="76"/>
      <c r="KYM221" s="76"/>
      <c r="KYN221" s="76"/>
      <c r="KYO221" s="76"/>
      <c r="KYP221" s="76"/>
      <c r="KYQ221" s="76"/>
      <c r="KYR221" s="76"/>
      <c r="KYS221" s="76"/>
      <c r="KYT221" s="76"/>
      <c r="KYU221" s="76"/>
      <c r="KYV221" s="76"/>
      <c r="KYW221" s="76"/>
      <c r="KYX221" s="76"/>
      <c r="KYY221" s="76"/>
      <c r="KYZ221" s="76"/>
      <c r="KZA221" s="76"/>
      <c r="KZB221" s="76"/>
      <c r="KZC221" s="76"/>
      <c r="KZD221" s="76"/>
      <c r="KZE221" s="76"/>
      <c r="KZF221" s="76"/>
      <c r="KZG221" s="76"/>
      <c r="KZH221" s="76"/>
      <c r="KZI221" s="76"/>
      <c r="KZJ221" s="76"/>
      <c r="KZK221" s="76"/>
      <c r="KZL221" s="76"/>
      <c r="KZM221" s="76"/>
      <c r="KZN221" s="76"/>
      <c r="KZO221" s="76"/>
      <c r="KZP221" s="76"/>
      <c r="KZQ221" s="76"/>
      <c r="KZR221" s="76"/>
      <c r="KZS221" s="76"/>
      <c r="KZT221" s="76"/>
      <c r="KZU221" s="76"/>
      <c r="KZV221" s="76"/>
      <c r="KZW221" s="76"/>
      <c r="KZX221" s="76"/>
      <c r="KZY221" s="76"/>
      <c r="KZZ221" s="76"/>
      <c r="LAA221" s="76"/>
      <c r="LAB221" s="76"/>
      <c r="LAC221" s="76"/>
      <c r="LAD221" s="76"/>
      <c r="LAE221" s="76"/>
      <c r="LAF221" s="76"/>
      <c r="LAG221" s="76"/>
      <c r="LAH221" s="76"/>
      <c r="LAI221" s="76"/>
      <c r="LAJ221" s="76"/>
      <c r="LAK221" s="76"/>
      <c r="LAL221" s="76"/>
      <c r="LAM221" s="76"/>
      <c r="LAN221" s="76"/>
      <c r="LAO221" s="76"/>
      <c r="LAP221" s="76"/>
      <c r="LAQ221" s="76"/>
      <c r="LAR221" s="76"/>
      <c r="LAS221" s="76"/>
      <c r="LAT221" s="76"/>
      <c r="LAU221" s="76"/>
      <c r="LAV221" s="76"/>
      <c r="LAW221" s="76"/>
      <c r="LAX221" s="76"/>
      <c r="LAY221" s="76"/>
      <c r="LAZ221" s="76"/>
      <c r="LBA221" s="76"/>
      <c r="LBB221" s="76"/>
      <c r="LBC221" s="76"/>
      <c r="LBD221" s="76"/>
      <c r="LBE221" s="76"/>
      <c r="LBF221" s="76"/>
      <c r="LBG221" s="76"/>
      <c r="LBH221" s="76"/>
      <c r="LBI221" s="76"/>
      <c r="LBJ221" s="76"/>
      <c r="LBK221" s="76"/>
      <c r="LBL221" s="76"/>
      <c r="LBM221" s="76"/>
      <c r="LBN221" s="76"/>
      <c r="LBO221" s="76"/>
      <c r="LBP221" s="76"/>
      <c r="LBQ221" s="76"/>
      <c r="LBR221" s="76"/>
      <c r="LBS221" s="76"/>
      <c r="LBT221" s="76"/>
      <c r="LBU221" s="76"/>
      <c r="LBV221" s="76"/>
      <c r="LBW221" s="76"/>
      <c r="LBX221" s="76"/>
      <c r="LBY221" s="76"/>
      <c r="LBZ221" s="76"/>
      <c r="LCA221" s="76"/>
      <c r="LCB221" s="76"/>
      <c r="LCC221" s="76"/>
      <c r="LCD221" s="76"/>
      <c r="LCE221" s="76"/>
      <c r="LCF221" s="76"/>
      <c r="LCG221" s="76"/>
      <c r="LCH221" s="76"/>
      <c r="LCI221" s="76"/>
      <c r="LCJ221" s="76"/>
      <c r="LCK221" s="76"/>
      <c r="LCL221" s="76"/>
      <c r="LCM221" s="76"/>
      <c r="LCN221" s="76"/>
      <c r="LCO221" s="76"/>
      <c r="LCP221" s="76"/>
      <c r="LCQ221" s="76"/>
      <c r="LCR221" s="76"/>
      <c r="LCS221" s="76"/>
      <c r="LCT221" s="76"/>
      <c r="LCU221" s="76"/>
      <c r="LCV221" s="76"/>
      <c r="LCW221" s="76"/>
      <c r="LCX221" s="76"/>
      <c r="LCY221" s="76"/>
      <c r="LCZ221" s="76"/>
      <c r="LDA221" s="76"/>
      <c r="LDB221" s="76"/>
      <c r="LDC221" s="76"/>
      <c r="LDD221" s="76"/>
      <c r="LDE221" s="76"/>
      <c r="LDF221" s="76"/>
      <c r="LDG221" s="76"/>
      <c r="LDH221" s="76"/>
      <c r="LDI221" s="76"/>
      <c r="LDJ221" s="76"/>
      <c r="LDK221" s="76"/>
      <c r="LDL221" s="76"/>
      <c r="LDM221" s="76"/>
      <c r="LDN221" s="76"/>
      <c r="LDO221" s="76"/>
      <c r="LDP221" s="76"/>
      <c r="LDQ221" s="76"/>
      <c r="LDR221" s="76"/>
      <c r="LDS221" s="76"/>
      <c r="LDT221" s="76"/>
      <c r="LDU221" s="76"/>
      <c r="LDV221" s="76"/>
      <c r="LDW221" s="76"/>
      <c r="LDX221" s="76"/>
      <c r="LDY221" s="76"/>
      <c r="LDZ221" s="76"/>
      <c r="LEA221" s="76"/>
      <c r="LEB221" s="76"/>
      <c r="LEC221" s="76"/>
      <c r="LED221" s="76"/>
      <c r="LEE221" s="76"/>
      <c r="LEF221" s="76"/>
      <c r="LEG221" s="76"/>
      <c r="LEH221" s="76"/>
      <c r="LEI221" s="76"/>
      <c r="LEJ221" s="76"/>
      <c r="LEK221" s="76"/>
      <c r="LEL221" s="76"/>
      <c r="LEM221" s="76"/>
      <c r="LEN221" s="76"/>
      <c r="LEO221" s="76"/>
      <c r="LEP221" s="76"/>
      <c r="LEQ221" s="76"/>
      <c r="LER221" s="76"/>
      <c r="LES221" s="76"/>
      <c r="LET221" s="76"/>
      <c r="LEU221" s="76"/>
      <c r="LEV221" s="76"/>
      <c r="LEW221" s="76"/>
      <c r="LEX221" s="76"/>
      <c r="LEY221" s="76"/>
      <c r="LEZ221" s="76"/>
      <c r="LFA221" s="76"/>
      <c r="LFB221" s="76"/>
      <c r="LFC221" s="76"/>
      <c r="LFD221" s="76"/>
      <c r="LFE221" s="76"/>
      <c r="LFF221" s="76"/>
      <c r="LFG221" s="76"/>
      <c r="LFH221" s="76"/>
      <c r="LFI221" s="76"/>
      <c r="LFJ221" s="76"/>
      <c r="LFK221" s="76"/>
      <c r="LFL221" s="76"/>
      <c r="LFM221" s="76"/>
      <c r="LFN221" s="76"/>
      <c r="LFO221" s="76"/>
      <c r="LFP221" s="76"/>
      <c r="LFQ221" s="76"/>
      <c r="LFR221" s="76"/>
      <c r="LFS221" s="76"/>
      <c r="LFT221" s="76"/>
      <c r="LFU221" s="76"/>
      <c r="LFV221" s="76"/>
      <c r="LFW221" s="76"/>
      <c r="LFX221" s="76"/>
      <c r="LFY221" s="76"/>
      <c r="LFZ221" s="76"/>
      <c r="LGA221" s="76"/>
      <c r="LGB221" s="76"/>
      <c r="LGC221" s="76"/>
      <c r="LGD221" s="76"/>
      <c r="LGE221" s="76"/>
      <c r="LGF221" s="76"/>
      <c r="LGG221" s="76"/>
      <c r="LGH221" s="76"/>
      <c r="LGI221" s="76"/>
      <c r="LGJ221" s="76"/>
      <c r="LGK221" s="76"/>
      <c r="LGL221" s="76"/>
      <c r="LGM221" s="76"/>
      <c r="LGN221" s="76"/>
      <c r="LGO221" s="76"/>
      <c r="LGP221" s="76"/>
      <c r="LGQ221" s="76"/>
      <c r="LGR221" s="76"/>
      <c r="LGS221" s="76"/>
      <c r="LGT221" s="76"/>
      <c r="LGU221" s="76"/>
      <c r="LGV221" s="76"/>
      <c r="LGW221" s="76"/>
      <c r="LGX221" s="76"/>
      <c r="LGY221" s="76"/>
      <c r="LGZ221" s="76"/>
      <c r="LHA221" s="76"/>
      <c r="LHB221" s="76"/>
      <c r="LHC221" s="76"/>
      <c r="LHD221" s="76"/>
      <c r="LHE221" s="76"/>
      <c r="LHF221" s="76"/>
      <c r="LHG221" s="76"/>
      <c r="LHH221" s="76"/>
      <c r="LHI221" s="76"/>
      <c r="LHJ221" s="76"/>
      <c r="LHK221" s="76"/>
      <c r="LHL221" s="76"/>
      <c r="LHM221" s="76"/>
      <c r="LHN221" s="76"/>
      <c r="LHO221" s="76"/>
      <c r="LHP221" s="76"/>
      <c r="LHQ221" s="76"/>
      <c r="LHR221" s="76"/>
      <c r="LHS221" s="76"/>
      <c r="LHT221" s="76"/>
      <c r="LHU221" s="76"/>
      <c r="LHV221" s="76"/>
      <c r="LHW221" s="76"/>
      <c r="LHX221" s="76"/>
      <c r="LHY221" s="76"/>
      <c r="LHZ221" s="76"/>
      <c r="LIA221" s="76"/>
      <c r="LIB221" s="76"/>
      <c r="LIC221" s="76"/>
      <c r="LID221" s="76"/>
      <c r="LIE221" s="76"/>
      <c r="LIF221" s="76"/>
      <c r="LIG221" s="76"/>
      <c r="LIH221" s="76"/>
      <c r="LII221" s="76"/>
      <c r="LIJ221" s="76"/>
      <c r="LIK221" s="76"/>
      <c r="LIL221" s="76"/>
      <c r="LIM221" s="76"/>
      <c r="LIN221" s="76"/>
      <c r="LIO221" s="76"/>
      <c r="LIP221" s="76"/>
      <c r="LIQ221" s="76"/>
      <c r="LIR221" s="76"/>
      <c r="LIS221" s="76"/>
      <c r="LIT221" s="76"/>
      <c r="LIU221" s="76"/>
      <c r="LIV221" s="76"/>
      <c r="LIW221" s="76"/>
      <c r="LIX221" s="76"/>
      <c r="LIY221" s="76"/>
      <c r="LIZ221" s="76"/>
      <c r="LJA221" s="76"/>
      <c r="LJB221" s="76"/>
      <c r="LJC221" s="76"/>
      <c r="LJD221" s="76"/>
      <c r="LJE221" s="76"/>
      <c r="LJF221" s="76"/>
      <c r="LJG221" s="76"/>
      <c r="LJH221" s="76"/>
      <c r="LJI221" s="76"/>
      <c r="LJJ221" s="76"/>
      <c r="LJK221" s="76"/>
      <c r="LJL221" s="76"/>
      <c r="LJM221" s="76"/>
      <c r="LJN221" s="76"/>
      <c r="LJO221" s="76"/>
      <c r="LJP221" s="76"/>
      <c r="LJQ221" s="76"/>
      <c r="LJR221" s="76"/>
      <c r="LJS221" s="76"/>
      <c r="LJT221" s="76"/>
      <c r="LJU221" s="76"/>
      <c r="LJV221" s="76"/>
      <c r="LJW221" s="76"/>
      <c r="LJX221" s="76"/>
      <c r="LJY221" s="76"/>
      <c r="LJZ221" s="76"/>
      <c r="LKA221" s="76"/>
      <c r="LKB221" s="76"/>
      <c r="LKC221" s="76"/>
      <c r="LKD221" s="76"/>
      <c r="LKE221" s="76"/>
      <c r="LKF221" s="76"/>
      <c r="LKG221" s="76"/>
      <c r="LKH221" s="76"/>
      <c r="LKI221" s="76"/>
      <c r="LKJ221" s="76"/>
      <c r="LKK221" s="76"/>
      <c r="LKL221" s="76"/>
      <c r="LKM221" s="76"/>
      <c r="LKN221" s="76"/>
      <c r="LKO221" s="76"/>
      <c r="LKP221" s="76"/>
      <c r="LKQ221" s="76"/>
      <c r="LKR221" s="76"/>
      <c r="LKS221" s="76"/>
      <c r="LKT221" s="76"/>
      <c r="LKU221" s="76"/>
      <c r="LKV221" s="76"/>
      <c r="LKW221" s="76"/>
      <c r="LKX221" s="76"/>
      <c r="LKY221" s="76"/>
      <c r="LKZ221" s="76"/>
      <c r="LLA221" s="76"/>
      <c r="LLB221" s="76"/>
      <c r="LLC221" s="76"/>
      <c r="LLD221" s="76"/>
      <c r="LLE221" s="76"/>
      <c r="LLF221" s="76"/>
      <c r="LLG221" s="76"/>
      <c r="LLH221" s="76"/>
      <c r="LLI221" s="76"/>
      <c r="LLJ221" s="76"/>
      <c r="LLK221" s="76"/>
      <c r="LLL221" s="76"/>
      <c r="LLM221" s="76"/>
      <c r="LLN221" s="76"/>
      <c r="LLO221" s="76"/>
      <c r="LLP221" s="76"/>
      <c r="LLQ221" s="76"/>
      <c r="LLR221" s="76"/>
      <c r="LLS221" s="76"/>
      <c r="LLT221" s="76"/>
      <c r="LLU221" s="76"/>
      <c r="LLV221" s="76"/>
      <c r="LLW221" s="76"/>
      <c r="LLX221" s="76"/>
      <c r="LLY221" s="76"/>
      <c r="LLZ221" s="76"/>
      <c r="LMA221" s="76"/>
      <c r="LMB221" s="76"/>
      <c r="LMC221" s="76"/>
      <c r="LMD221" s="76"/>
      <c r="LME221" s="76"/>
      <c r="LMF221" s="76"/>
      <c r="LMG221" s="76"/>
      <c r="LMH221" s="76"/>
      <c r="LMI221" s="76"/>
      <c r="LMJ221" s="76"/>
      <c r="LMK221" s="76"/>
      <c r="LML221" s="76"/>
      <c r="LMM221" s="76"/>
      <c r="LMN221" s="76"/>
      <c r="LMO221" s="76"/>
      <c r="LMP221" s="76"/>
      <c r="LMQ221" s="76"/>
      <c r="LMR221" s="76"/>
      <c r="LMS221" s="76"/>
      <c r="LMT221" s="76"/>
      <c r="LMU221" s="76"/>
      <c r="LMV221" s="76"/>
      <c r="LMW221" s="76"/>
      <c r="LMX221" s="76"/>
      <c r="LMY221" s="76"/>
      <c r="LMZ221" s="76"/>
      <c r="LNA221" s="76"/>
      <c r="LNB221" s="76"/>
      <c r="LNC221" s="76"/>
      <c r="LND221" s="76"/>
      <c r="LNE221" s="76"/>
      <c r="LNF221" s="76"/>
      <c r="LNG221" s="76"/>
      <c r="LNH221" s="76"/>
      <c r="LNI221" s="76"/>
      <c r="LNJ221" s="76"/>
      <c r="LNK221" s="76"/>
      <c r="LNL221" s="76"/>
      <c r="LNM221" s="76"/>
      <c r="LNN221" s="76"/>
      <c r="LNO221" s="76"/>
      <c r="LNP221" s="76"/>
      <c r="LNQ221" s="76"/>
      <c r="LNR221" s="76"/>
      <c r="LNS221" s="76"/>
      <c r="LNT221" s="76"/>
      <c r="LNU221" s="76"/>
      <c r="LNV221" s="76"/>
      <c r="LNW221" s="76"/>
      <c r="LNX221" s="76"/>
      <c r="LNY221" s="76"/>
      <c r="LNZ221" s="76"/>
      <c r="LOA221" s="76"/>
      <c r="LOB221" s="76"/>
      <c r="LOC221" s="76"/>
      <c r="LOD221" s="76"/>
      <c r="LOE221" s="76"/>
      <c r="LOF221" s="76"/>
      <c r="LOG221" s="76"/>
      <c r="LOH221" s="76"/>
      <c r="LOI221" s="76"/>
      <c r="LOJ221" s="76"/>
      <c r="LOK221" s="76"/>
      <c r="LOL221" s="76"/>
      <c r="LOM221" s="76"/>
      <c r="LON221" s="76"/>
      <c r="LOO221" s="76"/>
      <c r="LOP221" s="76"/>
      <c r="LOQ221" s="76"/>
      <c r="LOR221" s="76"/>
      <c r="LOS221" s="76"/>
      <c r="LOT221" s="76"/>
      <c r="LOU221" s="76"/>
      <c r="LOV221" s="76"/>
      <c r="LOW221" s="76"/>
      <c r="LOX221" s="76"/>
      <c r="LOY221" s="76"/>
      <c r="LOZ221" s="76"/>
      <c r="LPA221" s="76"/>
      <c r="LPB221" s="76"/>
      <c r="LPC221" s="76"/>
      <c r="LPD221" s="76"/>
      <c r="LPE221" s="76"/>
      <c r="LPF221" s="76"/>
      <c r="LPG221" s="76"/>
      <c r="LPH221" s="76"/>
      <c r="LPI221" s="76"/>
      <c r="LPJ221" s="76"/>
      <c r="LPK221" s="76"/>
      <c r="LPL221" s="76"/>
      <c r="LPM221" s="76"/>
      <c r="LPN221" s="76"/>
      <c r="LPO221" s="76"/>
      <c r="LPP221" s="76"/>
      <c r="LPQ221" s="76"/>
      <c r="LPR221" s="76"/>
      <c r="LPS221" s="76"/>
      <c r="LPT221" s="76"/>
      <c r="LPU221" s="76"/>
      <c r="LPV221" s="76"/>
      <c r="LPW221" s="76"/>
      <c r="LPX221" s="76"/>
      <c r="LPY221" s="76"/>
      <c r="LPZ221" s="76"/>
      <c r="LQA221" s="76"/>
      <c r="LQB221" s="76"/>
      <c r="LQC221" s="76"/>
      <c r="LQD221" s="76"/>
      <c r="LQE221" s="76"/>
      <c r="LQF221" s="76"/>
      <c r="LQG221" s="76"/>
      <c r="LQH221" s="76"/>
      <c r="LQI221" s="76"/>
      <c r="LQJ221" s="76"/>
      <c r="LQK221" s="76"/>
      <c r="LQL221" s="76"/>
      <c r="LQM221" s="76"/>
      <c r="LQN221" s="76"/>
      <c r="LQO221" s="76"/>
      <c r="LQP221" s="76"/>
      <c r="LQQ221" s="76"/>
      <c r="LQR221" s="76"/>
      <c r="LQS221" s="76"/>
      <c r="LQT221" s="76"/>
      <c r="LQU221" s="76"/>
      <c r="LQV221" s="76"/>
      <c r="LQW221" s="76"/>
      <c r="LQX221" s="76"/>
      <c r="LQY221" s="76"/>
      <c r="LQZ221" s="76"/>
      <c r="LRA221" s="76"/>
      <c r="LRB221" s="76"/>
      <c r="LRC221" s="76"/>
      <c r="LRD221" s="76"/>
      <c r="LRE221" s="76"/>
      <c r="LRF221" s="76"/>
      <c r="LRG221" s="76"/>
      <c r="LRH221" s="76"/>
      <c r="LRI221" s="76"/>
      <c r="LRJ221" s="76"/>
      <c r="LRK221" s="76"/>
      <c r="LRL221" s="76"/>
      <c r="LRM221" s="76"/>
      <c r="LRN221" s="76"/>
      <c r="LRO221" s="76"/>
      <c r="LRP221" s="76"/>
      <c r="LRQ221" s="76"/>
      <c r="LRR221" s="76"/>
      <c r="LRS221" s="76"/>
      <c r="LRT221" s="76"/>
      <c r="LRU221" s="76"/>
      <c r="LRV221" s="76"/>
      <c r="LRW221" s="76"/>
      <c r="LRX221" s="76"/>
      <c r="LRY221" s="76"/>
      <c r="LRZ221" s="76"/>
      <c r="LSA221" s="76"/>
      <c r="LSB221" s="76"/>
      <c r="LSC221" s="76"/>
      <c r="LSD221" s="76"/>
      <c r="LSE221" s="76"/>
      <c r="LSF221" s="76"/>
      <c r="LSG221" s="76"/>
      <c r="LSH221" s="76"/>
      <c r="LSI221" s="76"/>
      <c r="LSJ221" s="76"/>
      <c r="LSK221" s="76"/>
      <c r="LSL221" s="76"/>
      <c r="LSM221" s="76"/>
      <c r="LSN221" s="76"/>
      <c r="LSO221" s="76"/>
      <c r="LSP221" s="76"/>
      <c r="LSQ221" s="76"/>
      <c r="LSR221" s="76"/>
      <c r="LSS221" s="76"/>
      <c r="LST221" s="76"/>
      <c r="LSU221" s="76"/>
      <c r="LSV221" s="76"/>
      <c r="LSW221" s="76"/>
      <c r="LSX221" s="76"/>
      <c r="LSY221" s="76"/>
      <c r="LSZ221" s="76"/>
      <c r="LTA221" s="76"/>
      <c r="LTB221" s="76"/>
      <c r="LTC221" s="76"/>
      <c r="LTD221" s="76"/>
      <c r="LTE221" s="76"/>
      <c r="LTF221" s="76"/>
      <c r="LTG221" s="76"/>
      <c r="LTH221" s="76"/>
      <c r="LTI221" s="76"/>
      <c r="LTJ221" s="76"/>
      <c r="LTK221" s="76"/>
      <c r="LTL221" s="76"/>
      <c r="LTM221" s="76"/>
      <c r="LTN221" s="76"/>
      <c r="LTO221" s="76"/>
      <c r="LTP221" s="76"/>
      <c r="LTQ221" s="76"/>
      <c r="LTR221" s="76"/>
      <c r="LTS221" s="76"/>
      <c r="LTT221" s="76"/>
      <c r="LTU221" s="76"/>
      <c r="LTV221" s="76"/>
      <c r="LTW221" s="76"/>
      <c r="LTX221" s="76"/>
      <c r="LTY221" s="76"/>
      <c r="LTZ221" s="76"/>
      <c r="LUA221" s="76"/>
      <c r="LUB221" s="76"/>
      <c r="LUC221" s="76"/>
      <c r="LUD221" s="76"/>
      <c r="LUE221" s="76"/>
      <c r="LUF221" s="76"/>
      <c r="LUG221" s="76"/>
      <c r="LUH221" s="76"/>
      <c r="LUI221" s="76"/>
      <c r="LUJ221" s="76"/>
      <c r="LUK221" s="76"/>
      <c r="LUL221" s="76"/>
      <c r="LUM221" s="76"/>
      <c r="LUN221" s="76"/>
      <c r="LUO221" s="76"/>
      <c r="LUP221" s="76"/>
      <c r="LUQ221" s="76"/>
      <c r="LUR221" s="76"/>
      <c r="LUS221" s="76"/>
      <c r="LUT221" s="76"/>
      <c r="LUU221" s="76"/>
      <c r="LUV221" s="76"/>
      <c r="LUW221" s="76"/>
      <c r="LUX221" s="76"/>
      <c r="LUY221" s="76"/>
      <c r="LUZ221" s="76"/>
      <c r="LVA221" s="76"/>
      <c r="LVB221" s="76"/>
      <c r="LVC221" s="76"/>
      <c r="LVD221" s="76"/>
      <c r="LVE221" s="76"/>
      <c r="LVF221" s="76"/>
      <c r="LVG221" s="76"/>
      <c r="LVH221" s="76"/>
      <c r="LVI221" s="76"/>
      <c r="LVJ221" s="76"/>
      <c r="LVK221" s="76"/>
      <c r="LVL221" s="76"/>
      <c r="LVM221" s="76"/>
      <c r="LVN221" s="76"/>
      <c r="LVO221" s="76"/>
      <c r="LVP221" s="76"/>
      <c r="LVQ221" s="76"/>
      <c r="LVR221" s="76"/>
      <c r="LVS221" s="76"/>
      <c r="LVT221" s="76"/>
      <c r="LVU221" s="76"/>
      <c r="LVV221" s="76"/>
      <c r="LVW221" s="76"/>
      <c r="LVX221" s="76"/>
      <c r="LVY221" s="76"/>
      <c r="LVZ221" s="76"/>
      <c r="LWA221" s="76"/>
      <c r="LWB221" s="76"/>
      <c r="LWC221" s="76"/>
      <c r="LWD221" s="76"/>
      <c r="LWE221" s="76"/>
      <c r="LWF221" s="76"/>
      <c r="LWG221" s="76"/>
      <c r="LWH221" s="76"/>
      <c r="LWI221" s="76"/>
      <c r="LWJ221" s="76"/>
      <c r="LWK221" s="76"/>
      <c r="LWL221" s="76"/>
      <c r="LWM221" s="76"/>
      <c r="LWN221" s="76"/>
      <c r="LWO221" s="76"/>
      <c r="LWP221" s="76"/>
      <c r="LWQ221" s="76"/>
      <c r="LWR221" s="76"/>
      <c r="LWS221" s="76"/>
      <c r="LWT221" s="76"/>
      <c r="LWU221" s="76"/>
      <c r="LWV221" s="76"/>
      <c r="LWW221" s="76"/>
      <c r="LWX221" s="76"/>
      <c r="LWY221" s="76"/>
      <c r="LWZ221" s="76"/>
      <c r="LXA221" s="76"/>
      <c r="LXB221" s="76"/>
      <c r="LXC221" s="76"/>
      <c r="LXD221" s="76"/>
      <c r="LXE221" s="76"/>
      <c r="LXF221" s="76"/>
      <c r="LXG221" s="76"/>
      <c r="LXH221" s="76"/>
      <c r="LXI221" s="76"/>
      <c r="LXJ221" s="76"/>
      <c r="LXK221" s="76"/>
      <c r="LXL221" s="76"/>
      <c r="LXM221" s="76"/>
      <c r="LXN221" s="76"/>
      <c r="LXO221" s="76"/>
      <c r="LXP221" s="76"/>
      <c r="LXQ221" s="76"/>
      <c r="LXR221" s="76"/>
      <c r="LXS221" s="76"/>
      <c r="LXT221" s="76"/>
      <c r="LXU221" s="76"/>
      <c r="LXV221" s="76"/>
      <c r="LXW221" s="76"/>
      <c r="LXX221" s="76"/>
      <c r="LXY221" s="76"/>
      <c r="LXZ221" s="76"/>
      <c r="LYA221" s="76"/>
      <c r="LYB221" s="76"/>
      <c r="LYC221" s="76"/>
      <c r="LYD221" s="76"/>
      <c r="LYE221" s="76"/>
      <c r="LYF221" s="76"/>
      <c r="LYG221" s="76"/>
      <c r="LYH221" s="76"/>
      <c r="LYI221" s="76"/>
      <c r="LYJ221" s="76"/>
      <c r="LYK221" s="76"/>
      <c r="LYL221" s="76"/>
      <c r="LYM221" s="76"/>
      <c r="LYN221" s="76"/>
      <c r="LYO221" s="76"/>
      <c r="LYP221" s="76"/>
      <c r="LYQ221" s="76"/>
      <c r="LYR221" s="76"/>
      <c r="LYS221" s="76"/>
      <c r="LYT221" s="76"/>
      <c r="LYU221" s="76"/>
      <c r="LYV221" s="76"/>
      <c r="LYW221" s="76"/>
      <c r="LYX221" s="76"/>
      <c r="LYY221" s="76"/>
      <c r="LYZ221" s="76"/>
      <c r="LZA221" s="76"/>
      <c r="LZB221" s="76"/>
      <c r="LZC221" s="76"/>
      <c r="LZD221" s="76"/>
      <c r="LZE221" s="76"/>
      <c r="LZF221" s="76"/>
      <c r="LZG221" s="76"/>
      <c r="LZH221" s="76"/>
      <c r="LZI221" s="76"/>
      <c r="LZJ221" s="76"/>
      <c r="LZK221" s="76"/>
      <c r="LZL221" s="76"/>
      <c r="LZM221" s="76"/>
      <c r="LZN221" s="76"/>
      <c r="LZO221" s="76"/>
      <c r="LZP221" s="76"/>
      <c r="LZQ221" s="76"/>
      <c r="LZR221" s="76"/>
      <c r="LZS221" s="76"/>
      <c r="LZT221" s="76"/>
      <c r="LZU221" s="76"/>
      <c r="LZV221" s="76"/>
      <c r="LZW221" s="76"/>
      <c r="LZX221" s="76"/>
      <c r="LZY221" s="76"/>
      <c r="LZZ221" s="76"/>
      <c r="MAA221" s="76"/>
      <c r="MAB221" s="76"/>
      <c r="MAC221" s="76"/>
      <c r="MAD221" s="76"/>
      <c r="MAE221" s="76"/>
      <c r="MAF221" s="76"/>
      <c r="MAG221" s="76"/>
      <c r="MAH221" s="76"/>
      <c r="MAI221" s="76"/>
      <c r="MAJ221" s="76"/>
      <c r="MAK221" s="76"/>
      <c r="MAL221" s="76"/>
      <c r="MAM221" s="76"/>
      <c r="MAN221" s="76"/>
      <c r="MAO221" s="76"/>
      <c r="MAP221" s="76"/>
      <c r="MAQ221" s="76"/>
      <c r="MAR221" s="76"/>
      <c r="MAS221" s="76"/>
      <c r="MAT221" s="76"/>
      <c r="MAU221" s="76"/>
      <c r="MAV221" s="76"/>
      <c r="MAW221" s="76"/>
      <c r="MAX221" s="76"/>
      <c r="MAY221" s="76"/>
      <c r="MAZ221" s="76"/>
      <c r="MBA221" s="76"/>
      <c r="MBB221" s="76"/>
      <c r="MBC221" s="76"/>
      <c r="MBD221" s="76"/>
      <c r="MBE221" s="76"/>
      <c r="MBF221" s="76"/>
      <c r="MBG221" s="76"/>
      <c r="MBH221" s="76"/>
      <c r="MBI221" s="76"/>
      <c r="MBJ221" s="76"/>
      <c r="MBK221" s="76"/>
      <c r="MBL221" s="76"/>
      <c r="MBM221" s="76"/>
      <c r="MBN221" s="76"/>
      <c r="MBO221" s="76"/>
      <c r="MBP221" s="76"/>
      <c r="MBQ221" s="76"/>
      <c r="MBR221" s="76"/>
      <c r="MBS221" s="76"/>
      <c r="MBT221" s="76"/>
      <c r="MBU221" s="76"/>
      <c r="MBV221" s="76"/>
      <c r="MBW221" s="76"/>
      <c r="MBX221" s="76"/>
      <c r="MBY221" s="76"/>
      <c r="MBZ221" s="76"/>
      <c r="MCA221" s="76"/>
      <c r="MCB221" s="76"/>
      <c r="MCC221" s="76"/>
      <c r="MCD221" s="76"/>
      <c r="MCE221" s="76"/>
      <c r="MCF221" s="76"/>
      <c r="MCG221" s="76"/>
      <c r="MCH221" s="76"/>
      <c r="MCI221" s="76"/>
      <c r="MCJ221" s="76"/>
      <c r="MCK221" s="76"/>
      <c r="MCL221" s="76"/>
      <c r="MCM221" s="76"/>
      <c r="MCN221" s="76"/>
      <c r="MCO221" s="76"/>
      <c r="MCP221" s="76"/>
      <c r="MCQ221" s="76"/>
      <c r="MCR221" s="76"/>
      <c r="MCS221" s="76"/>
      <c r="MCT221" s="76"/>
      <c r="MCU221" s="76"/>
      <c r="MCV221" s="76"/>
      <c r="MCW221" s="76"/>
      <c r="MCX221" s="76"/>
      <c r="MCY221" s="76"/>
      <c r="MCZ221" s="76"/>
      <c r="MDA221" s="76"/>
      <c r="MDB221" s="76"/>
      <c r="MDC221" s="76"/>
      <c r="MDD221" s="76"/>
      <c r="MDE221" s="76"/>
      <c r="MDF221" s="76"/>
      <c r="MDG221" s="76"/>
      <c r="MDH221" s="76"/>
      <c r="MDI221" s="76"/>
      <c r="MDJ221" s="76"/>
      <c r="MDK221" s="76"/>
      <c r="MDL221" s="76"/>
      <c r="MDM221" s="76"/>
      <c r="MDN221" s="76"/>
      <c r="MDO221" s="76"/>
      <c r="MDP221" s="76"/>
      <c r="MDQ221" s="76"/>
      <c r="MDR221" s="76"/>
      <c r="MDS221" s="76"/>
      <c r="MDT221" s="76"/>
      <c r="MDU221" s="76"/>
      <c r="MDV221" s="76"/>
      <c r="MDW221" s="76"/>
      <c r="MDX221" s="76"/>
      <c r="MDY221" s="76"/>
      <c r="MDZ221" s="76"/>
      <c r="MEA221" s="76"/>
      <c r="MEB221" s="76"/>
      <c r="MEC221" s="76"/>
      <c r="MED221" s="76"/>
      <c r="MEE221" s="76"/>
      <c r="MEF221" s="76"/>
      <c r="MEG221" s="76"/>
      <c r="MEH221" s="76"/>
      <c r="MEI221" s="76"/>
      <c r="MEJ221" s="76"/>
      <c r="MEK221" s="76"/>
      <c r="MEL221" s="76"/>
      <c r="MEM221" s="76"/>
      <c r="MEN221" s="76"/>
      <c r="MEO221" s="76"/>
      <c r="MEP221" s="76"/>
      <c r="MEQ221" s="76"/>
      <c r="MER221" s="76"/>
      <c r="MES221" s="76"/>
      <c r="MET221" s="76"/>
      <c r="MEU221" s="76"/>
      <c r="MEV221" s="76"/>
      <c r="MEW221" s="76"/>
      <c r="MEX221" s="76"/>
      <c r="MEY221" s="76"/>
      <c r="MEZ221" s="76"/>
      <c r="MFA221" s="76"/>
      <c r="MFB221" s="76"/>
      <c r="MFC221" s="76"/>
      <c r="MFD221" s="76"/>
      <c r="MFE221" s="76"/>
      <c r="MFF221" s="76"/>
      <c r="MFG221" s="76"/>
      <c r="MFH221" s="76"/>
      <c r="MFI221" s="76"/>
      <c r="MFJ221" s="76"/>
      <c r="MFK221" s="76"/>
      <c r="MFL221" s="76"/>
      <c r="MFM221" s="76"/>
      <c r="MFN221" s="76"/>
      <c r="MFO221" s="76"/>
      <c r="MFP221" s="76"/>
      <c r="MFQ221" s="76"/>
      <c r="MFR221" s="76"/>
      <c r="MFS221" s="76"/>
      <c r="MFT221" s="76"/>
      <c r="MFU221" s="76"/>
      <c r="MFV221" s="76"/>
      <c r="MFW221" s="76"/>
      <c r="MFX221" s="76"/>
      <c r="MFY221" s="76"/>
      <c r="MFZ221" s="76"/>
      <c r="MGA221" s="76"/>
      <c r="MGB221" s="76"/>
      <c r="MGC221" s="76"/>
      <c r="MGD221" s="76"/>
      <c r="MGE221" s="76"/>
      <c r="MGF221" s="76"/>
      <c r="MGG221" s="76"/>
      <c r="MGH221" s="76"/>
      <c r="MGI221" s="76"/>
      <c r="MGJ221" s="76"/>
      <c r="MGK221" s="76"/>
      <c r="MGL221" s="76"/>
      <c r="MGM221" s="76"/>
      <c r="MGN221" s="76"/>
      <c r="MGO221" s="76"/>
      <c r="MGP221" s="76"/>
      <c r="MGQ221" s="76"/>
      <c r="MGR221" s="76"/>
      <c r="MGS221" s="76"/>
      <c r="MGT221" s="76"/>
      <c r="MGU221" s="76"/>
      <c r="MGV221" s="76"/>
      <c r="MGW221" s="76"/>
      <c r="MGX221" s="76"/>
      <c r="MGY221" s="76"/>
      <c r="MGZ221" s="76"/>
      <c r="MHA221" s="76"/>
      <c r="MHB221" s="76"/>
      <c r="MHC221" s="76"/>
      <c r="MHD221" s="76"/>
      <c r="MHE221" s="76"/>
      <c r="MHF221" s="76"/>
      <c r="MHG221" s="76"/>
      <c r="MHH221" s="76"/>
      <c r="MHI221" s="76"/>
      <c r="MHJ221" s="76"/>
      <c r="MHK221" s="76"/>
      <c r="MHL221" s="76"/>
      <c r="MHM221" s="76"/>
      <c r="MHN221" s="76"/>
      <c r="MHO221" s="76"/>
      <c r="MHP221" s="76"/>
      <c r="MHQ221" s="76"/>
      <c r="MHR221" s="76"/>
      <c r="MHS221" s="76"/>
      <c r="MHT221" s="76"/>
      <c r="MHU221" s="76"/>
      <c r="MHV221" s="76"/>
      <c r="MHW221" s="76"/>
      <c r="MHX221" s="76"/>
      <c r="MHY221" s="76"/>
      <c r="MHZ221" s="76"/>
      <c r="MIA221" s="76"/>
      <c r="MIB221" s="76"/>
      <c r="MIC221" s="76"/>
      <c r="MID221" s="76"/>
      <c r="MIE221" s="76"/>
      <c r="MIF221" s="76"/>
      <c r="MIG221" s="76"/>
      <c r="MIH221" s="76"/>
      <c r="MII221" s="76"/>
      <c r="MIJ221" s="76"/>
      <c r="MIK221" s="76"/>
      <c r="MIL221" s="76"/>
      <c r="MIM221" s="76"/>
      <c r="MIN221" s="76"/>
      <c r="MIO221" s="76"/>
      <c r="MIP221" s="76"/>
      <c r="MIQ221" s="76"/>
      <c r="MIR221" s="76"/>
      <c r="MIS221" s="76"/>
      <c r="MIT221" s="76"/>
      <c r="MIU221" s="76"/>
      <c r="MIV221" s="76"/>
      <c r="MIW221" s="76"/>
      <c r="MIX221" s="76"/>
      <c r="MIY221" s="76"/>
      <c r="MIZ221" s="76"/>
      <c r="MJA221" s="76"/>
      <c r="MJB221" s="76"/>
      <c r="MJC221" s="76"/>
      <c r="MJD221" s="76"/>
      <c r="MJE221" s="76"/>
      <c r="MJF221" s="76"/>
      <c r="MJG221" s="76"/>
      <c r="MJH221" s="76"/>
      <c r="MJI221" s="76"/>
      <c r="MJJ221" s="76"/>
      <c r="MJK221" s="76"/>
      <c r="MJL221" s="76"/>
      <c r="MJM221" s="76"/>
      <c r="MJN221" s="76"/>
      <c r="MJO221" s="76"/>
      <c r="MJP221" s="76"/>
      <c r="MJQ221" s="76"/>
      <c r="MJR221" s="76"/>
      <c r="MJS221" s="76"/>
      <c r="MJT221" s="76"/>
      <c r="MJU221" s="76"/>
      <c r="MJV221" s="76"/>
      <c r="MJW221" s="76"/>
      <c r="MJX221" s="76"/>
      <c r="MJY221" s="76"/>
      <c r="MJZ221" s="76"/>
      <c r="MKA221" s="76"/>
      <c r="MKB221" s="76"/>
      <c r="MKC221" s="76"/>
      <c r="MKD221" s="76"/>
      <c r="MKE221" s="76"/>
      <c r="MKF221" s="76"/>
      <c r="MKG221" s="76"/>
      <c r="MKH221" s="76"/>
      <c r="MKI221" s="76"/>
      <c r="MKJ221" s="76"/>
      <c r="MKK221" s="76"/>
      <c r="MKL221" s="76"/>
      <c r="MKM221" s="76"/>
      <c r="MKN221" s="76"/>
      <c r="MKO221" s="76"/>
      <c r="MKP221" s="76"/>
      <c r="MKQ221" s="76"/>
      <c r="MKR221" s="76"/>
      <c r="MKS221" s="76"/>
      <c r="MKT221" s="76"/>
      <c r="MKU221" s="76"/>
      <c r="MKV221" s="76"/>
      <c r="MKW221" s="76"/>
      <c r="MKX221" s="76"/>
      <c r="MKY221" s="76"/>
      <c r="MKZ221" s="76"/>
      <c r="MLA221" s="76"/>
      <c r="MLB221" s="76"/>
      <c r="MLC221" s="76"/>
      <c r="MLD221" s="76"/>
      <c r="MLE221" s="76"/>
      <c r="MLF221" s="76"/>
      <c r="MLG221" s="76"/>
      <c r="MLH221" s="76"/>
      <c r="MLI221" s="76"/>
      <c r="MLJ221" s="76"/>
      <c r="MLK221" s="76"/>
      <c r="MLL221" s="76"/>
      <c r="MLM221" s="76"/>
      <c r="MLN221" s="76"/>
      <c r="MLO221" s="76"/>
      <c r="MLP221" s="76"/>
      <c r="MLQ221" s="76"/>
      <c r="MLR221" s="76"/>
      <c r="MLS221" s="76"/>
      <c r="MLT221" s="76"/>
      <c r="MLU221" s="76"/>
      <c r="MLV221" s="76"/>
      <c r="MLW221" s="76"/>
      <c r="MLX221" s="76"/>
      <c r="MLY221" s="76"/>
      <c r="MLZ221" s="76"/>
      <c r="MMA221" s="76"/>
      <c r="MMB221" s="76"/>
      <c r="MMC221" s="76"/>
      <c r="MMD221" s="76"/>
      <c r="MME221" s="76"/>
      <c r="MMF221" s="76"/>
      <c r="MMG221" s="76"/>
      <c r="MMH221" s="76"/>
      <c r="MMI221" s="76"/>
      <c r="MMJ221" s="76"/>
      <c r="MMK221" s="76"/>
      <c r="MML221" s="76"/>
      <c r="MMM221" s="76"/>
      <c r="MMN221" s="76"/>
      <c r="MMO221" s="76"/>
      <c r="MMP221" s="76"/>
      <c r="MMQ221" s="76"/>
      <c r="MMR221" s="76"/>
      <c r="MMS221" s="76"/>
      <c r="MMT221" s="76"/>
      <c r="MMU221" s="76"/>
      <c r="MMV221" s="76"/>
      <c r="MMW221" s="76"/>
      <c r="MMX221" s="76"/>
      <c r="MMY221" s="76"/>
      <c r="MMZ221" s="76"/>
      <c r="MNA221" s="76"/>
      <c r="MNB221" s="76"/>
      <c r="MNC221" s="76"/>
      <c r="MND221" s="76"/>
      <c r="MNE221" s="76"/>
      <c r="MNF221" s="76"/>
      <c r="MNG221" s="76"/>
      <c r="MNH221" s="76"/>
      <c r="MNI221" s="76"/>
      <c r="MNJ221" s="76"/>
      <c r="MNK221" s="76"/>
      <c r="MNL221" s="76"/>
      <c r="MNM221" s="76"/>
      <c r="MNN221" s="76"/>
      <c r="MNO221" s="76"/>
      <c r="MNP221" s="76"/>
      <c r="MNQ221" s="76"/>
      <c r="MNR221" s="76"/>
      <c r="MNS221" s="76"/>
      <c r="MNT221" s="76"/>
      <c r="MNU221" s="76"/>
      <c r="MNV221" s="76"/>
      <c r="MNW221" s="76"/>
      <c r="MNX221" s="76"/>
      <c r="MNY221" s="76"/>
      <c r="MNZ221" s="76"/>
      <c r="MOA221" s="76"/>
      <c r="MOB221" s="76"/>
      <c r="MOC221" s="76"/>
      <c r="MOD221" s="76"/>
      <c r="MOE221" s="76"/>
      <c r="MOF221" s="76"/>
      <c r="MOG221" s="76"/>
      <c r="MOH221" s="76"/>
      <c r="MOI221" s="76"/>
      <c r="MOJ221" s="76"/>
      <c r="MOK221" s="76"/>
      <c r="MOL221" s="76"/>
      <c r="MOM221" s="76"/>
      <c r="MON221" s="76"/>
      <c r="MOO221" s="76"/>
      <c r="MOP221" s="76"/>
      <c r="MOQ221" s="76"/>
      <c r="MOR221" s="76"/>
      <c r="MOS221" s="76"/>
      <c r="MOT221" s="76"/>
      <c r="MOU221" s="76"/>
      <c r="MOV221" s="76"/>
      <c r="MOW221" s="76"/>
      <c r="MOX221" s="76"/>
      <c r="MOY221" s="76"/>
      <c r="MOZ221" s="76"/>
      <c r="MPA221" s="76"/>
      <c r="MPB221" s="76"/>
      <c r="MPC221" s="76"/>
      <c r="MPD221" s="76"/>
      <c r="MPE221" s="76"/>
      <c r="MPF221" s="76"/>
      <c r="MPG221" s="76"/>
      <c r="MPH221" s="76"/>
      <c r="MPI221" s="76"/>
      <c r="MPJ221" s="76"/>
      <c r="MPK221" s="76"/>
      <c r="MPL221" s="76"/>
      <c r="MPM221" s="76"/>
      <c r="MPN221" s="76"/>
      <c r="MPO221" s="76"/>
      <c r="MPP221" s="76"/>
      <c r="MPQ221" s="76"/>
      <c r="MPR221" s="76"/>
      <c r="MPS221" s="76"/>
      <c r="MPT221" s="76"/>
      <c r="MPU221" s="76"/>
      <c r="MPV221" s="76"/>
      <c r="MPW221" s="76"/>
      <c r="MPX221" s="76"/>
      <c r="MPY221" s="76"/>
      <c r="MPZ221" s="76"/>
      <c r="MQA221" s="76"/>
      <c r="MQB221" s="76"/>
      <c r="MQC221" s="76"/>
      <c r="MQD221" s="76"/>
      <c r="MQE221" s="76"/>
      <c r="MQF221" s="76"/>
      <c r="MQG221" s="76"/>
      <c r="MQH221" s="76"/>
      <c r="MQI221" s="76"/>
      <c r="MQJ221" s="76"/>
      <c r="MQK221" s="76"/>
      <c r="MQL221" s="76"/>
      <c r="MQM221" s="76"/>
      <c r="MQN221" s="76"/>
      <c r="MQO221" s="76"/>
      <c r="MQP221" s="76"/>
      <c r="MQQ221" s="76"/>
      <c r="MQR221" s="76"/>
      <c r="MQS221" s="76"/>
      <c r="MQT221" s="76"/>
      <c r="MQU221" s="76"/>
      <c r="MQV221" s="76"/>
      <c r="MQW221" s="76"/>
      <c r="MQX221" s="76"/>
      <c r="MQY221" s="76"/>
      <c r="MQZ221" s="76"/>
      <c r="MRA221" s="76"/>
      <c r="MRB221" s="76"/>
      <c r="MRC221" s="76"/>
      <c r="MRD221" s="76"/>
      <c r="MRE221" s="76"/>
      <c r="MRF221" s="76"/>
      <c r="MRG221" s="76"/>
      <c r="MRH221" s="76"/>
      <c r="MRI221" s="76"/>
      <c r="MRJ221" s="76"/>
      <c r="MRK221" s="76"/>
      <c r="MRL221" s="76"/>
      <c r="MRM221" s="76"/>
      <c r="MRN221" s="76"/>
      <c r="MRO221" s="76"/>
      <c r="MRP221" s="76"/>
      <c r="MRQ221" s="76"/>
      <c r="MRR221" s="76"/>
      <c r="MRS221" s="76"/>
      <c r="MRT221" s="76"/>
      <c r="MRU221" s="76"/>
      <c r="MRV221" s="76"/>
      <c r="MRW221" s="76"/>
      <c r="MRX221" s="76"/>
      <c r="MRY221" s="76"/>
      <c r="MRZ221" s="76"/>
      <c r="MSA221" s="76"/>
      <c r="MSB221" s="76"/>
      <c r="MSC221" s="76"/>
      <c r="MSD221" s="76"/>
      <c r="MSE221" s="76"/>
      <c r="MSF221" s="76"/>
      <c r="MSG221" s="76"/>
      <c r="MSH221" s="76"/>
      <c r="MSI221" s="76"/>
      <c r="MSJ221" s="76"/>
      <c r="MSK221" s="76"/>
      <c r="MSL221" s="76"/>
      <c r="MSM221" s="76"/>
      <c r="MSN221" s="76"/>
      <c r="MSO221" s="76"/>
      <c r="MSP221" s="76"/>
      <c r="MSQ221" s="76"/>
      <c r="MSR221" s="76"/>
      <c r="MSS221" s="76"/>
      <c r="MST221" s="76"/>
      <c r="MSU221" s="76"/>
      <c r="MSV221" s="76"/>
      <c r="MSW221" s="76"/>
      <c r="MSX221" s="76"/>
      <c r="MSY221" s="76"/>
      <c r="MSZ221" s="76"/>
      <c r="MTA221" s="76"/>
      <c r="MTB221" s="76"/>
      <c r="MTC221" s="76"/>
      <c r="MTD221" s="76"/>
      <c r="MTE221" s="76"/>
      <c r="MTF221" s="76"/>
      <c r="MTG221" s="76"/>
      <c r="MTH221" s="76"/>
      <c r="MTI221" s="76"/>
      <c r="MTJ221" s="76"/>
      <c r="MTK221" s="76"/>
      <c r="MTL221" s="76"/>
      <c r="MTM221" s="76"/>
      <c r="MTN221" s="76"/>
      <c r="MTO221" s="76"/>
      <c r="MTP221" s="76"/>
      <c r="MTQ221" s="76"/>
      <c r="MTR221" s="76"/>
      <c r="MTS221" s="76"/>
      <c r="MTT221" s="76"/>
      <c r="MTU221" s="76"/>
      <c r="MTV221" s="76"/>
      <c r="MTW221" s="76"/>
      <c r="MTX221" s="76"/>
      <c r="MTY221" s="76"/>
      <c r="MTZ221" s="76"/>
      <c r="MUA221" s="76"/>
      <c r="MUB221" s="76"/>
      <c r="MUC221" s="76"/>
      <c r="MUD221" s="76"/>
      <c r="MUE221" s="76"/>
      <c r="MUF221" s="76"/>
      <c r="MUG221" s="76"/>
      <c r="MUH221" s="76"/>
      <c r="MUI221" s="76"/>
      <c r="MUJ221" s="76"/>
      <c r="MUK221" s="76"/>
      <c r="MUL221" s="76"/>
      <c r="MUM221" s="76"/>
      <c r="MUN221" s="76"/>
      <c r="MUO221" s="76"/>
      <c r="MUP221" s="76"/>
      <c r="MUQ221" s="76"/>
      <c r="MUR221" s="76"/>
      <c r="MUS221" s="76"/>
      <c r="MUT221" s="76"/>
      <c r="MUU221" s="76"/>
      <c r="MUV221" s="76"/>
      <c r="MUW221" s="76"/>
      <c r="MUX221" s="76"/>
      <c r="MUY221" s="76"/>
      <c r="MUZ221" s="76"/>
      <c r="MVA221" s="76"/>
      <c r="MVB221" s="76"/>
      <c r="MVC221" s="76"/>
      <c r="MVD221" s="76"/>
      <c r="MVE221" s="76"/>
      <c r="MVF221" s="76"/>
      <c r="MVG221" s="76"/>
      <c r="MVH221" s="76"/>
      <c r="MVI221" s="76"/>
      <c r="MVJ221" s="76"/>
      <c r="MVK221" s="76"/>
      <c r="MVL221" s="76"/>
      <c r="MVM221" s="76"/>
      <c r="MVN221" s="76"/>
      <c r="MVO221" s="76"/>
      <c r="MVP221" s="76"/>
      <c r="MVQ221" s="76"/>
      <c r="MVR221" s="76"/>
      <c r="MVS221" s="76"/>
      <c r="MVT221" s="76"/>
      <c r="MVU221" s="76"/>
      <c r="MVV221" s="76"/>
      <c r="MVW221" s="76"/>
      <c r="MVX221" s="76"/>
      <c r="MVY221" s="76"/>
      <c r="MVZ221" s="76"/>
      <c r="MWA221" s="76"/>
      <c r="MWB221" s="76"/>
      <c r="MWC221" s="76"/>
      <c r="MWD221" s="76"/>
      <c r="MWE221" s="76"/>
      <c r="MWF221" s="76"/>
      <c r="MWG221" s="76"/>
      <c r="MWH221" s="76"/>
      <c r="MWI221" s="76"/>
      <c r="MWJ221" s="76"/>
      <c r="MWK221" s="76"/>
      <c r="MWL221" s="76"/>
      <c r="MWM221" s="76"/>
      <c r="MWN221" s="76"/>
      <c r="MWO221" s="76"/>
      <c r="MWP221" s="76"/>
      <c r="MWQ221" s="76"/>
      <c r="MWR221" s="76"/>
      <c r="MWS221" s="76"/>
      <c r="MWT221" s="76"/>
      <c r="MWU221" s="76"/>
      <c r="MWV221" s="76"/>
      <c r="MWW221" s="76"/>
      <c r="MWX221" s="76"/>
      <c r="MWY221" s="76"/>
      <c r="MWZ221" s="76"/>
      <c r="MXA221" s="76"/>
      <c r="MXB221" s="76"/>
      <c r="MXC221" s="76"/>
      <c r="MXD221" s="76"/>
      <c r="MXE221" s="76"/>
      <c r="MXF221" s="76"/>
      <c r="MXG221" s="76"/>
      <c r="MXH221" s="76"/>
      <c r="MXI221" s="76"/>
      <c r="MXJ221" s="76"/>
      <c r="MXK221" s="76"/>
      <c r="MXL221" s="76"/>
      <c r="MXM221" s="76"/>
      <c r="MXN221" s="76"/>
      <c r="MXO221" s="76"/>
      <c r="MXP221" s="76"/>
      <c r="MXQ221" s="76"/>
      <c r="MXR221" s="76"/>
      <c r="MXS221" s="76"/>
      <c r="MXT221" s="76"/>
      <c r="MXU221" s="76"/>
      <c r="MXV221" s="76"/>
      <c r="MXW221" s="76"/>
      <c r="MXX221" s="76"/>
      <c r="MXY221" s="76"/>
      <c r="MXZ221" s="76"/>
      <c r="MYA221" s="76"/>
      <c r="MYB221" s="76"/>
      <c r="MYC221" s="76"/>
      <c r="MYD221" s="76"/>
      <c r="MYE221" s="76"/>
      <c r="MYF221" s="76"/>
      <c r="MYG221" s="76"/>
      <c r="MYH221" s="76"/>
      <c r="MYI221" s="76"/>
      <c r="MYJ221" s="76"/>
      <c r="MYK221" s="76"/>
      <c r="MYL221" s="76"/>
      <c r="MYM221" s="76"/>
      <c r="MYN221" s="76"/>
      <c r="MYO221" s="76"/>
      <c r="MYP221" s="76"/>
      <c r="MYQ221" s="76"/>
      <c r="MYR221" s="76"/>
      <c r="MYS221" s="76"/>
      <c r="MYT221" s="76"/>
      <c r="MYU221" s="76"/>
      <c r="MYV221" s="76"/>
      <c r="MYW221" s="76"/>
      <c r="MYX221" s="76"/>
      <c r="MYY221" s="76"/>
      <c r="MYZ221" s="76"/>
      <c r="MZA221" s="76"/>
      <c r="MZB221" s="76"/>
      <c r="MZC221" s="76"/>
      <c r="MZD221" s="76"/>
      <c r="MZE221" s="76"/>
      <c r="MZF221" s="76"/>
      <c r="MZG221" s="76"/>
      <c r="MZH221" s="76"/>
      <c r="MZI221" s="76"/>
      <c r="MZJ221" s="76"/>
      <c r="MZK221" s="76"/>
      <c r="MZL221" s="76"/>
      <c r="MZM221" s="76"/>
      <c r="MZN221" s="76"/>
      <c r="MZO221" s="76"/>
      <c r="MZP221" s="76"/>
      <c r="MZQ221" s="76"/>
      <c r="MZR221" s="76"/>
      <c r="MZS221" s="76"/>
      <c r="MZT221" s="76"/>
      <c r="MZU221" s="76"/>
      <c r="MZV221" s="76"/>
      <c r="MZW221" s="76"/>
      <c r="MZX221" s="76"/>
      <c r="MZY221" s="76"/>
      <c r="MZZ221" s="76"/>
      <c r="NAA221" s="76"/>
      <c r="NAB221" s="76"/>
      <c r="NAC221" s="76"/>
      <c r="NAD221" s="76"/>
      <c r="NAE221" s="76"/>
      <c r="NAF221" s="76"/>
      <c r="NAG221" s="76"/>
      <c r="NAH221" s="76"/>
      <c r="NAI221" s="76"/>
      <c r="NAJ221" s="76"/>
      <c r="NAK221" s="76"/>
      <c r="NAL221" s="76"/>
      <c r="NAM221" s="76"/>
      <c r="NAN221" s="76"/>
      <c r="NAO221" s="76"/>
      <c r="NAP221" s="76"/>
      <c r="NAQ221" s="76"/>
      <c r="NAR221" s="76"/>
      <c r="NAS221" s="76"/>
      <c r="NAT221" s="76"/>
      <c r="NAU221" s="76"/>
      <c r="NAV221" s="76"/>
      <c r="NAW221" s="76"/>
      <c r="NAX221" s="76"/>
      <c r="NAY221" s="76"/>
      <c r="NAZ221" s="76"/>
      <c r="NBA221" s="76"/>
      <c r="NBB221" s="76"/>
      <c r="NBC221" s="76"/>
      <c r="NBD221" s="76"/>
      <c r="NBE221" s="76"/>
      <c r="NBF221" s="76"/>
      <c r="NBG221" s="76"/>
      <c r="NBH221" s="76"/>
      <c r="NBI221" s="76"/>
      <c r="NBJ221" s="76"/>
      <c r="NBK221" s="76"/>
      <c r="NBL221" s="76"/>
      <c r="NBM221" s="76"/>
      <c r="NBN221" s="76"/>
      <c r="NBO221" s="76"/>
      <c r="NBP221" s="76"/>
      <c r="NBQ221" s="76"/>
      <c r="NBR221" s="76"/>
      <c r="NBS221" s="76"/>
      <c r="NBT221" s="76"/>
      <c r="NBU221" s="76"/>
      <c r="NBV221" s="76"/>
      <c r="NBW221" s="76"/>
      <c r="NBX221" s="76"/>
      <c r="NBY221" s="76"/>
      <c r="NBZ221" s="76"/>
      <c r="NCA221" s="76"/>
      <c r="NCB221" s="76"/>
      <c r="NCC221" s="76"/>
      <c r="NCD221" s="76"/>
      <c r="NCE221" s="76"/>
      <c r="NCF221" s="76"/>
      <c r="NCG221" s="76"/>
      <c r="NCH221" s="76"/>
      <c r="NCI221" s="76"/>
      <c r="NCJ221" s="76"/>
      <c r="NCK221" s="76"/>
      <c r="NCL221" s="76"/>
      <c r="NCM221" s="76"/>
      <c r="NCN221" s="76"/>
      <c r="NCO221" s="76"/>
      <c r="NCP221" s="76"/>
      <c r="NCQ221" s="76"/>
      <c r="NCR221" s="76"/>
      <c r="NCS221" s="76"/>
      <c r="NCT221" s="76"/>
      <c r="NCU221" s="76"/>
      <c r="NCV221" s="76"/>
      <c r="NCW221" s="76"/>
      <c r="NCX221" s="76"/>
      <c r="NCY221" s="76"/>
      <c r="NCZ221" s="76"/>
      <c r="NDA221" s="76"/>
      <c r="NDB221" s="76"/>
      <c r="NDC221" s="76"/>
      <c r="NDD221" s="76"/>
      <c r="NDE221" s="76"/>
      <c r="NDF221" s="76"/>
      <c r="NDG221" s="76"/>
      <c r="NDH221" s="76"/>
      <c r="NDI221" s="76"/>
      <c r="NDJ221" s="76"/>
      <c r="NDK221" s="76"/>
      <c r="NDL221" s="76"/>
      <c r="NDM221" s="76"/>
      <c r="NDN221" s="76"/>
      <c r="NDO221" s="76"/>
      <c r="NDP221" s="76"/>
      <c r="NDQ221" s="76"/>
      <c r="NDR221" s="76"/>
      <c r="NDS221" s="76"/>
      <c r="NDT221" s="76"/>
      <c r="NDU221" s="76"/>
      <c r="NDV221" s="76"/>
      <c r="NDW221" s="76"/>
      <c r="NDX221" s="76"/>
      <c r="NDY221" s="76"/>
      <c r="NDZ221" s="76"/>
      <c r="NEA221" s="76"/>
      <c r="NEB221" s="76"/>
      <c r="NEC221" s="76"/>
      <c r="NED221" s="76"/>
      <c r="NEE221" s="76"/>
      <c r="NEF221" s="76"/>
      <c r="NEG221" s="76"/>
      <c r="NEH221" s="76"/>
      <c r="NEI221" s="76"/>
      <c r="NEJ221" s="76"/>
      <c r="NEK221" s="76"/>
      <c r="NEL221" s="76"/>
      <c r="NEM221" s="76"/>
      <c r="NEN221" s="76"/>
      <c r="NEO221" s="76"/>
      <c r="NEP221" s="76"/>
      <c r="NEQ221" s="76"/>
      <c r="NER221" s="76"/>
      <c r="NES221" s="76"/>
      <c r="NET221" s="76"/>
      <c r="NEU221" s="76"/>
      <c r="NEV221" s="76"/>
      <c r="NEW221" s="76"/>
      <c r="NEX221" s="76"/>
      <c r="NEY221" s="76"/>
      <c r="NEZ221" s="76"/>
      <c r="NFA221" s="76"/>
      <c r="NFB221" s="76"/>
      <c r="NFC221" s="76"/>
      <c r="NFD221" s="76"/>
      <c r="NFE221" s="76"/>
      <c r="NFF221" s="76"/>
      <c r="NFG221" s="76"/>
      <c r="NFH221" s="76"/>
      <c r="NFI221" s="76"/>
      <c r="NFJ221" s="76"/>
      <c r="NFK221" s="76"/>
      <c r="NFL221" s="76"/>
      <c r="NFM221" s="76"/>
      <c r="NFN221" s="76"/>
      <c r="NFO221" s="76"/>
      <c r="NFP221" s="76"/>
      <c r="NFQ221" s="76"/>
      <c r="NFR221" s="76"/>
      <c r="NFS221" s="76"/>
      <c r="NFT221" s="76"/>
      <c r="NFU221" s="76"/>
      <c r="NFV221" s="76"/>
      <c r="NFW221" s="76"/>
      <c r="NFX221" s="76"/>
      <c r="NFY221" s="76"/>
      <c r="NFZ221" s="76"/>
      <c r="NGA221" s="76"/>
      <c r="NGB221" s="76"/>
      <c r="NGC221" s="76"/>
      <c r="NGD221" s="76"/>
      <c r="NGE221" s="76"/>
      <c r="NGF221" s="76"/>
      <c r="NGG221" s="76"/>
      <c r="NGH221" s="76"/>
      <c r="NGI221" s="76"/>
      <c r="NGJ221" s="76"/>
      <c r="NGK221" s="76"/>
      <c r="NGL221" s="76"/>
      <c r="NGM221" s="76"/>
      <c r="NGN221" s="76"/>
      <c r="NGO221" s="76"/>
      <c r="NGP221" s="76"/>
      <c r="NGQ221" s="76"/>
      <c r="NGR221" s="76"/>
      <c r="NGS221" s="76"/>
      <c r="NGT221" s="76"/>
      <c r="NGU221" s="76"/>
      <c r="NGV221" s="76"/>
      <c r="NGW221" s="76"/>
      <c r="NGX221" s="76"/>
      <c r="NGY221" s="76"/>
      <c r="NGZ221" s="76"/>
      <c r="NHA221" s="76"/>
      <c r="NHB221" s="76"/>
      <c r="NHC221" s="76"/>
      <c r="NHD221" s="76"/>
      <c r="NHE221" s="76"/>
      <c r="NHF221" s="76"/>
      <c r="NHG221" s="76"/>
      <c r="NHH221" s="76"/>
      <c r="NHI221" s="76"/>
      <c r="NHJ221" s="76"/>
      <c r="NHK221" s="76"/>
      <c r="NHL221" s="76"/>
      <c r="NHM221" s="76"/>
      <c r="NHN221" s="76"/>
      <c r="NHO221" s="76"/>
      <c r="NHP221" s="76"/>
      <c r="NHQ221" s="76"/>
      <c r="NHR221" s="76"/>
      <c r="NHS221" s="76"/>
      <c r="NHT221" s="76"/>
      <c r="NHU221" s="76"/>
      <c r="NHV221" s="76"/>
      <c r="NHW221" s="76"/>
      <c r="NHX221" s="76"/>
      <c r="NHY221" s="76"/>
      <c r="NHZ221" s="76"/>
      <c r="NIA221" s="76"/>
      <c r="NIB221" s="76"/>
      <c r="NIC221" s="76"/>
      <c r="NID221" s="76"/>
      <c r="NIE221" s="76"/>
      <c r="NIF221" s="76"/>
      <c r="NIG221" s="76"/>
      <c r="NIH221" s="76"/>
      <c r="NII221" s="76"/>
      <c r="NIJ221" s="76"/>
      <c r="NIK221" s="76"/>
      <c r="NIL221" s="76"/>
      <c r="NIM221" s="76"/>
      <c r="NIN221" s="76"/>
      <c r="NIO221" s="76"/>
      <c r="NIP221" s="76"/>
      <c r="NIQ221" s="76"/>
      <c r="NIR221" s="76"/>
      <c r="NIS221" s="76"/>
      <c r="NIT221" s="76"/>
      <c r="NIU221" s="76"/>
      <c r="NIV221" s="76"/>
      <c r="NIW221" s="76"/>
      <c r="NIX221" s="76"/>
      <c r="NIY221" s="76"/>
      <c r="NIZ221" s="76"/>
      <c r="NJA221" s="76"/>
      <c r="NJB221" s="76"/>
      <c r="NJC221" s="76"/>
      <c r="NJD221" s="76"/>
      <c r="NJE221" s="76"/>
      <c r="NJF221" s="76"/>
      <c r="NJG221" s="76"/>
      <c r="NJH221" s="76"/>
      <c r="NJI221" s="76"/>
      <c r="NJJ221" s="76"/>
      <c r="NJK221" s="76"/>
      <c r="NJL221" s="76"/>
      <c r="NJM221" s="76"/>
      <c r="NJN221" s="76"/>
      <c r="NJO221" s="76"/>
      <c r="NJP221" s="76"/>
      <c r="NJQ221" s="76"/>
      <c r="NJR221" s="76"/>
      <c r="NJS221" s="76"/>
      <c r="NJT221" s="76"/>
      <c r="NJU221" s="76"/>
      <c r="NJV221" s="76"/>
      <c r="NJW221" s="76"/>
      <c r="NJX221" s="76"/>
      <c r="NJY221" s="76"/>
      <c r="NJZ221" s="76"/>
      <c r="NKA221" s="76"/>
      <c r="NKB221" s="76"/>
      <c r="NKC221" s="76"/>
      <c r="NKD221" s="76"/>
      <c r="NKE221" s="76"/>
      <c r="NKF221" s="76"/>
      <c r="NKG221" s="76"/>
      <c r="NKH221" s="76"/>
      <c r="NKI221" s="76"/>
      <c r="NKJ221" s="76"/>
      <c r="NKK221" s="76"/>
      <c r="NKL221" s="76"/>
      <c r="NKM221" s="76"/>
      <c r="NKN221" s="76"/>
      <c r="NKO221" s="76"/>
      <c r="NKP221" s="76"/>
      <c r="NKQ221" s="76"/>
      <c r="NKR221" s="76"/>
      <c r="NKS221" s="76"/>
      <c r="NKT221" s="76"/>
      <c r="NKU221" s="76"/>
      <c r="NKV221" s="76"/>
      <c r="NKW221" s="76"/>
      <c r="NKX221" s="76"/>
      <c r="NKY221" s="76"/>
      <c r="NKZ221" s="76"/>
      <c r="NLA221" s="76"/>
      <c r="NLB221" s="76"/>
      <c r="NLC221" s="76"/>
      <c r="NLD221" s="76"/>
      <c r="NLE221" s="76"/>
      <c r="NLF221" s="76"/>
      <c r="NLG221" s="76"/>
      <c r="NLH221" s="76"/>
      <c r="NLI221" s="76"/>
      <c r="NLJ221" s="76"/>
      <c r="NLK221" s="76"/>
      <c r="NLL221" s="76"/>
      <c r="NLM221" s="76"/>
      <c r="NLN221" s="76"/>
      <c r="NLO221" s="76"/>
      <c r="NLP221" s="76"/>
      <c r="NLQ221" s="76"/>
      <c r="NLR221" s="76"/>
      <c r="NLS221" s="76"/>
      <c r="NLT221" s="76"/>
      <c r="NLU221" s="76"/>
      <c r="NLV221" s="76"/>
      <c r="NLW221" s="76"/>
      <c r="NLX221" s="76"/>
      <c r="NLY221" s="76"/>
      <c r="NLZ221" s="76"/>
      <c r="NMA221" s="76"/>
      <c r="NMB221" s="76"/>
      <c r="NMC221" s="76"/>
      <c r="NMD221" s="76"/>
      <c r="NME221" s="76"/>
      <c r="NMF221" s="76"/>
      <c r="NMG221" s="76"/>
      <c r="NMH221" s="76"/>
      <c r="NMI221" s="76"/>
      <c r="NMJ221" s="76"/>
      <c r="NMK221" s="76"/>
      <c r="NML221" s="76"/>
      <c r="NMM221" s="76"/>
      <c r="NMN221" s="76"/>
      <c r="NMO221" s="76"/>
      <c r="NMP221" s="76"/>
      <c r="NMQ221" s="76"/>
      <c r="NMR221" s="76"/>
      <c r="NMS221" s="76"/>
      <c r="NMT221" s="76"/>
      <c r="NMU221" s="76"/>
      <c r="NMV221" s="76"/>
      <c r="NMW221" s="76"/>
      <c r="NMX221" s="76"/>
      <c r="NMY221" s="76"/>
      <c r="NMZ221" s="76"/>
      <c r="NNA221" s="76"/>
      <c r="NNB221" s="76"/>
      <c r="NNC221" s="76"/>
      <c r="NND221" s="76"/>
      <c r="NNE221" s="76"/>
      <c r="NNF221" s="76"/>
      <c r="NNG221" s="76"/>
      <c r="NNH221" s="76"/>
      <c r="NNI221" s="76"/>
      <c r="NNJ221" s="76"/>
      <c r="NNK221" s="76"/>
      <c r="NNL221" s="76"/>
      <c r="NNM221" s="76"/>
      <c r="NNN221" s="76"/>
      <c r="NNO221" s="76"/>
      <c r="NNP221" s="76"/>
      <c r="NNQ221" s="76"/>
      <c r="NNR221" s="76"/>
      <c r="NNS221" s="76"/>
      <c r="NNT221" s="76"/>
      <c r="NNU221" s="76"/>
      <c r="NNV221" s="76"/>
      <c r="NNW221" s="76"/>
      <c r="NNX221" s="76"/>
      <c r="NNY221" s="76"/>
      <c r="NNZ221" s="76"/>
      <c r="NOA221" s="76"/>
      <c r="NOB221" s="76"/>
      <c r="NOC221" s="76"/>
      <c r="NOD221" s="76"/>
      <c r="NOE221" s="76"/>
      <c r="NOF221" s="76"/>
      <c r="NOG221" s="76"/>
      <c r="NOH221" s="76"/>
      <c r="NOI221" s="76"/>
      <c r="NOJ221" s="76"/>
      <c r="NOK221" s="76"/>
      <c r="NOL221" s="76"/>
      <c r="NOM221" s="76"/>
      <c r="NON221" s="76"/>
      <c r="NOO221" s="76"/>
      <c r="NOP221" s="76"/>
      <c r="NOQ221" s="76"/>
      <c r="NOR221" s="76"/>
      <c r="NOS221" s="76"/>
      <c r="NOT221" s="76"/>
      <c r="NOU221" s="76"/>
      <c r="NOV221" s="76"/>
      <c r="NOW221" s="76"/>
      <c r="NOX221" s="76"/>
      <c r="NOY221" s="76"/>
      <c r="NOZ221" s="76"/>
      <c r="NPA221" s="76"/>
      <c r="NPB221" s="76"/>
      <c r="NPC221" s="76"/>
      <c r="NPD221" s="76"/>
      <c r="NPE221" s="76"/>
      <c r="NPF221" s="76"/>
      <c r="NPG221" s="76"/>
      <c r="NPH221" s="76"/>
      <c r="NPI221" s="76"/>
      <c r="NPJ221" s="76"/>
      <c r="NPK221" s="76"/>
      <c r="NPL221" s="76"/>
      <c r="NPM221" s="76"/>
      <c r="NPN221" s="76"/>
      <c r="NPO221" s="76"/>
      <c r="NPP221" s="76"/>
      <c r="NPQ221" s="76"/>
      <c r="NPR221" s="76"/>
      <c r="NPS221" s="76"/>
      <c r="NPT221" s="76"/>
      <c r="NPU221" s="76"/>
      <c r="NPV221" s="76"/>
      <c r="NPW221" s="76"/>
      <c r="NPX221" s="76"/>
      <c r="NPY221" s="76"/>
      <c r="NPZ221" s="76"/>
      <c r="NQA221" s="76"/>
      <c r="NQB221" s="76"/>
      <c r="NQC221" s="76"/>
      <c r="NQD221" s="76"/>
      <c r="NQE221" s="76"/>
      <c r="NQF221" s="76"/>
      <c r="NQG221" s="76"/>
      <c r="NQH221" s="76"/>
      <c r="NQI221" s="76"/>
      <c r="NQJ221" s="76"/>
      <c r="NQK221" s="76"/>
      <c r="NQL221" s="76"/>
      <c r="NQM221" s="76"/>
      <c r="NQN221" s="76"/>
      <c r="NQO221" s="76"/>
      <c r="NQP221" s="76"/>
      <c r="NQQ221" s="76"/>
      <c r="NQR221" s="76"/>
      <c r="NQS221" s="76"/>
      <c r="NQT221" s="76"/>
      <c r="NQU221" s="76"/>
      <c r="NQV221" s="76"/>
      <c r="NQW221" s="76"/>
      <c r="NQX221" s="76"/>
      <c r="NQY221" s="76"/>
      <c r="NQZ221" s="76"/>
      <c r="NRA221" s="76"/>
      <c r="NRB221" s="76"/>
      <c r="NRC221" s="76"/>
      <c r="NRD221" s="76"/>
      <c r="NRE221" s="76"/>
      <c r="NRF221" s="76"/>
      <c r="NRG221" s="76"/>
      <c r="NRH221" s="76"/>
      <c r="NRI221" s="76"/>
      <c r="NRJ221" s="76"/>
      <c r="NRK221" s="76"/>
      <c r="NRL221" s="76"/>
      <c r="NRM221" s="76"/>
      <c r="NRN221" s="76"/>
      <c r="NRO221" s="76"/>
      <c r="NRP221" s="76"/>
      <c r="NRQ221" s="76"/>
      <c r="NRR221" s="76"/>
      <c r="NRS221" s="76"/>
      <c r="NRT221" s="76"/>
      <c r="NRU221" s="76"/>
      <c r="NRV221" s="76"/>
      <c r="NRW221" s="76"/>
      <c r="NRX221" s="76"/>
      <c r="NRY221" s="76"/>
      <c r="NRZ221" s="76"/>
      <c r="NSA221" s="76"/>
      <c r="NSB221" s="76"/>
      <c r="NSC221" s="76"/>
      <c r="NSD221" s="76"/>
      <c r="NSE221" s="76"/>
      <c r="NSF221" s="76"/>
      <c r="NSG221" s="76"/>
      <c r="NSH221" s="76"/>
      <c r="NSI221" s="76"/>
      <c r="NSJ221" s="76"/>
      <c r="NSK221" s="76"/>
      <c r="NSL221" s="76"/>
      <c r="NSM221" s="76"/>
      <c r="NSN221" s="76"/>
      <c r="NSO221" s="76"/>
      <c r="NSP221" s="76"/>
      <c r="NSQ221" s="76"/>
      <c r="NSR221" s="76"/>
      <c r="NSS221" s="76"/>
      <c r="NST221" s="76"/>
      <c r="NSU221" s="76"/>
      <c r="NSV221" s="76"/>
      <c r="NSW221" s="76"/>
      <c r="NSX221" s="76"/>
      <c r="NSY221" s="76"/>
      <c r="NSZ221" s="76"/>
      <c r="NTA221" s="76"/>
      <c r="NTB221" s="76"/>
      <c r="NTC221" s="76"/>
      <c r="NTD221" s="76"/>
      <c r="NTE221" s="76"/>
      <c r="NTF221" s="76"/>
      <c r="NTG221" s="76"/>
      <c r="NTH221" s="76"/>
      <c r="NTI221" s="76"/>
      <c r="NTJ221" s="76"/>
      <c r="NTK221" s="76"/>
      <c r="NTL221" s="76"/>
      <c r="NTM221" s="76"/>
      <c r="NTN221" s="76"/>
      <c r="NTO221" s="76"/>
      <c r="NTP221" s="76"/>
      <c r="NTQ221" s="76"/>
      <c r="NTR221" s="76"/>
      <c r="NTS221" s="76"/>
      <c r="NTT221" s="76"/>
      <c r="NTU221" s="76"/>
      <c r="NTV221" s="76"/>
      <c r="NTW221" s="76"/>
      <c r="NTX221" s="76"/>
      <c r="NTY221" s="76"/>
      <c r="NTZ221" s="76"/>
      <c r="NUA221" s="76"/>
      <c r="NUB221" s="76"/>
      <c r="NUC221" s="76"/>
      <c r="NUD221" s="76"/>
      <c r="NUE221" s="76"/>
      <c r="NUF221" s="76"/>
      <c r="NUG221" s="76"/>
      <c r="NUH221" s="76"/>
      <c r="NUI221" s="76"/>
      <c r="NUJ221" s="76"/>
      <c r="NUK221" s="76"/>
      <c r="NUL221" s="76"/>
      <c r="NUM221" s="76"/>
      <c r="NUN221" s="76"/>
      <c r="NUO221" s="76"/>
      <c r="NUP221" s="76"/>
      <c r="NUQ221" s="76"/>
      <c r="NUR221" s="76"/>
      <c r="NUS221" s="76"/>
      <c r="NUT221" s="76"/>
      <c r="NUU221" s="76"/>
      <c r="NUV221" s="76"/>
      <c r="NUW221" s="76"/>
      <c r="NUX221" s="76"/>
      <c r="NUY221" s="76"/>
      <c r="NUZ221" s="76"/>
      <c r="NVA221" s="76"/>
      <c r="NVB221" s="76"/>
      <c r="NVC221" s="76"/>
      <c r="NVD221" s="76"/>
      <c r="NVE221" s="76"/>
      <c r="NVF221" s="76"/>
      <c r="NVG221" s="76"/>
      <c r="NVH221" s="76"/>
      <c r="NVI221" s="76"/>
      <c r="NVJ221" s="76"/>
      <c r="NVK221" s="76"/>
      <c r="NVL221" s="76"/>
      <c r="NVM221" s="76"/>
      <c r="NVN221" s="76"/>
      <c r="NVO221" s="76"/>
      <c r="NVP221" s="76"/>
      <c r="NVQ221" s="76"/>
      <c r="NVR221" s="76"/>
      <c r="NVS221" s="76"/>
      <c r="NVT221" s="76"/>
      <c r="NVU221" s="76"/>
      <c r="NVV221" s="76"/>
      <c r="NVW221" s="76"/>
      <c r="NVX221" s="76"/>
      <c r="NVY221" s="76"/>
      <c r="NVZ221" s="76"/>
      <c r="NWA221" s="76"/>
      <c r="NWB221" s="76"/>
      <c r="NWC221" s="76"/>
      <c r="NWD221" s="76"/>
      <c r="NWE221" s="76"/>
      <c r="NWF221" s="76"/>
      <c r="NWG221" s="76"/>
      <c r="NWH221" s="76"/>
      <c r="NWI221" s="76"/>
      <c r="NWJ221" s="76"/>
      <c r="NWK221" s="76"/>
      <c r="NWL221" s="76"/>
      <c r="NWM221" s="76"/>
      <c r="NWN221" s="76"/>
      <c r="NWO221" s="76"/>
      <c r="NWP221" s="76"/>
      <c r="NWQ221" s="76"/>
      <c r="NWR221" s="76"/>
      <c r="NWS221" s="76"/>
      <c r="NWT221" s="76"/>
      <c r="NWU221" s="76"/>
      <c r="NWV221" s="76"/>
      <c r="NWW221" s="76"/>
      <c r="NWX221" s="76"/>
      <c r="NWY221" s="76"/>
      <c r="NWZ221" s="76"/>
      <c r="NXA221" s="76"/>
      <c r="NXB221" s="76"/>
      <c r="NXC221" s="76"/>
      <c r="NXD221" s="76"/>
      <c r="NXE221" s="76"/>
      <c r="NXF221" s="76"/>
      <c r="NXG221" s="76"/>
      <c r="NXH221" s="76"/>
      <c r="NXI221" s="76"/>
      <c r="NXJ221" s="76"/>
      <c r="NXK221" s="76"/>
      <c r="NXL221" s="76"/>
      <c r="NXM221" s="76"/>
      <c r="NXN221" s="76"/>
      <c r="NXO221" s="76"/>
      <c r="NXP221" s="76"/>
      <c r="NXQ221" s="76"/>
      <c r="NXR221" s="76"/>
      <c r="NXS221" s="76"/>
      <c r="NXT221" s="76"/>
      <c r="NXU221" s="76"/>
      <c r="NXV221" s="76"/>
      <c r="NXW221" s="76"/>
      <c r="NXX221" s="76"/>
      <c r="NXY221" s="76"/>
      <c r="NXZ221" s="76"/>
      <c r="NYA221" s="76"/>
      <c r="NYB221" s="76"/>
      <c r="NYC221" s="76"/>
      <c r="NYD221" s="76"/>
      <c r="NYE221" s="76"/>
      <c r="NYF221" s="76"/>
      <c r="NYG221" s="76"/>
      <c r="NYH221" s="76"/>
      <c r="NYI221" s="76"/>
      <c r="NYJ221" s="76"/>
      <c r="NYK221" s="76"/>
      <c r="NYL221" s="76"/>
      <c r="NYM221" s="76"/>
      <c r="NYN221" s="76"/>
      <c r="NYO221" s="76"/>
      <c r="NYP221" s="76"/>
      <c r="NYQ221" s="76"/>
      <c r="NYR221" s="76"/>
      <c r="NYS221" s="76"/>
      <c r="NYT221" s="76"/>
      <c r="NYU221" s="76"/>
      <c r="NYV221" s="76"/>
      <c r="NYW221" s="76"/>
      <c r="NYX221" s="76"/>
      <c r="NYY221" s="76"/>
      <c r="NYZ221" s="76"/>
      <c r="NZA221" s="76"/>
      <c r="NZB221" s="76"/>
      <c r="NZC221" s="76"/>
      <c r="NZD221" s="76"/>
      <c r="NZE221" s="76"/>
      <c r="NZF221" s="76"/>
      <c r="NZG221" s="76"/>
      <c r="NZH221" s="76"/>
      <c r="NZI221" s="76"/>
      <c r="NZJ221" s="76"/>
      <c r="NZK221" s="76"/>
      <c r="NZL221" s="76"/>
      <c r="NZM221" s="76"/>
      <c r="NZN221" s="76"/>
      <c r="NZO221" s="76"/>
      <c r="NZP221" s="76"/>
      <c r="NZQ221" s="76"/>
      <c r="NZR221" s="76"/>
      <c r="NZS221" s="76"/>
      <c r="NZT221" s="76"/>
      <c r="NZU221" s="76"/>
      <c r="NZV221" s="76"/>
      <c r="NZW221" s="76"/>
      <c r="NZX221" s="76"/>
      <c r="NZY221" s="76"/>
      <c r="NZZ221" s="76"/>
      <c r="OAA221" s="76"/>
      <c r="OAB221" s="76"/>
      <c r="OAC221" s="76"/>
      <c r="OAD221" s="76"/>
      <c r="OAE221" s="76"/>
      <c r="OAF221" s="76"/>
      <c r="OAG221" s="76"/>
      <c r="OAH221" s="76"/>
      <c r="OAI221" s="76"/>
      <c r="OAJ221" s="76"/>
      <c r="OAK221" s="76"/>
      <c r="OAL221" s="76"/>
      <c r="OAM221" s="76"/>
      <c r="OAN221" s="76"/>
      <c r="OAO221" s="76"/>
      <c r="OAP221" s="76"/>
      <c r="OAQ221" s="76"/>
      <c r="OAR221" s="76"/>
      <c r="OAS221" s="76"/>
      <c r="OAT221" s="76"/>
      <c r="OAU221" s="76"/>
      <c r="OAV221" s="76"/>
      <c r="OAW221" s="76"/>
      <c r="OAX221" s="76"/>
      <c r="OAY221" s="76"/>
      <c r="OAZ221" s="76"/>
      <c r="OBA221" s="76"/>
      <c r="OBB221" s="76"/>
      <c r="OBC221" s="76"/>
      <c r="OBD221" s="76"/>
      <c r="OBE221" s="76"/>
      <c r="OBF221" s="76"/>
      <c r="OBG221" s="76"/>
      <c r="OBH221" s="76"/>
      <c r="OBI221" s="76"/>
      <c r="OBJ221" s="76"/>
      <c r="OBK221" s="76"/>
      <c r="OBL221" s="76"/>
      <c r="OBM221" s="76"/>
      <c r="OBN221" s="76"/>
      <c r="OBO221" s="76"/>
      <c r="OBP221" s="76"/>
      <c r="OBQ221" s="76"/>
      <c r="OBR221" s="76"/>
      <c r="OBS221" s="76"/>
      <c r="OBT221" s="76"/>
      <c r="OBU221" s="76"/>
      <c r="OBV221" s="76"/>
      <c r="OBW221" s="76"/>
      <c r="OBX221" s="76"/>
      <c r="OBY221" s="76"/>
      <c r="OBZ221" s="76"/>
      <c r="OCA221" s="76"/>
      <c r="OCB221" s="76"/>
      <c r="OCC221" s="76"/>
      <c r="OCD221" s="76"/>
      <c r="OCE221" s="76"/>
      <c r="OCF221" s="76"/>
      <c r="OCG221" s="76"/>
      <c r="OCH221" s="76"/>
      <c r="OCI221" s="76"/>
      <c r="OCJ221" s="76"/>
      <c r="OCK221" s="76"/>
      <c r="OCL221" s="76"/>
      <c r="OCM221" s="76"/>
      <c r="OCN221" s="76"/>
      <c r="OCO221" s="76"/>
      <c r="OCP221" s="76"/>
      <c r="OCQ221" s="76"/>
      <c r="OCR221" s="76"/>
      <c r="OCS221" s="76"/>
      <c r="OCT221" s="76"/>
      <c r="OCU221" s="76"/>
      <c r="OCV221" s="76"/>
      <c r="OCW221" s="76"/>
      <c r="OCX221" s="76"/>
      <c r="OCY221" s="76"/>
      <c r="OCZ221" s="76"/>
      <c r="ODA221" s="76"/>
      <c r="ODB221" s="76"/>
      <c r="ODC221" s="76"/>
      <c r="ODD221" s="76"/>
      <c r="ODE221" s="76"/>
      <c r="ODF221" s="76"/>
      <c r="ODG221" s="76"/>
      <c r="ODH221" s="76"/>
      <c r="ODI221" s="76"/>
      <c r="ODJ221" s="76"/>
      <c r="ODK221" s="76"/>
      <c r="ODL221" s="76"/>
      <c r="ODM221" s="76"/>
      <c r="ODN221" s="76"/>
      <c r="ODO221" s="76"/>
      <c r="ODP221" s="76"/>
      <c r="ODQ221" s="76"/>
      <c r="ODR221" s="76"/>
      <c r="ODS221" s="76"/>
      <c r="ODT221" s="76"/>
      <c r="ODU221" s="76"/>
      <c r="ODV221" s="76"/>
      <c r="ODW221" s="76"/>
      <c r="ODX221" s="76"/>
      <c r="ODY221" s="76"/>
      <c r="ODZ221" s="76"/>
      <c r="OEA221" s="76"/>
      <c r="OEB221" s="76"/>
      <c r="OEC221" s="76"/>
      <c r="OED221" s="76"/>
      <c r="OEE221" s="76"/>
      <c r="OEF221" s="76"/>
      <c r="OEG221" s="76"/>
      <c r="OEH221" s="76"/>
      <c r="OEI221" s="76"/>
      <c r="OEJ221" s="76"/>
      <c r="OEK221" s="76"/>
      <c r="OEL221" s="76"/>
      <c r="OEM221" s="76"/>
      <c r="OEN221" s="76"/>
      <c r="OEO221" s="76"/>
      <c r="OEP221" s="76"/>
      <c r="OEQ221" s="76"/>
      <c r="OER221" s="76"/>
      <c r="OES221" s="76"/>
      <c r="OET221" s="76"/>
      <c r="OEU221" s="76"/>
      <c r="OEV221" s="76"/>
      <c r="OEW221" s="76"/>
      <c r="OEX221" s="76"/>
      <c r="OEY221" s="76"/>
      <c r="OEZ221" s="76"/>
      <c r="OFA221" s="76"/>
      <c r="OFB221" s="76"/>
      <c r="OFC221" s="76"/>
      <c r="OFD221" s="76"/>
      <c r="OFE221" s="76"/>
      <c r="OFF221" s="76"/>
      <c r="OFG221" s="76"/>
      <c r="OFH221" s="76"/>
      <c r="OFI221" s="76"/>
      <c r="OFJ221" s="76"/>
      <c r="OFK221" s="76"/>
      <c r="OFL221" s="76"/>
      <c r="OFM221" s="76"/>
      <c r="OFN221" s="76"/>
      <c r="OFO221" s="76"/>
      <c r="OFP221" s="76"/>
      <c r="OFQ221" s="76"/>
      <c r="OFR221" s="76"/>
      <c r="OFS221" s="76"/>
      <c r="OFT221" s="76"/>
      <c r="OFU221" s="76"/>
      <c r="OFV221" s="76"/>
      <c r="OFW221" s="76"/>
      <c r="OFX221" s="76"/>
      <c r="OFY221" s="76"/>
      <c r="OFZ221" s="76"/>
      <c r="OGA221" s="76"/>
      <c r="OGB221" s="76"/>
      <c r="OGC221" s="76"/>
      <c r="OGD221" s="76"/>
      <c r="OGE221" s="76"/>
      <c r="OGF221" s="76"/>
      <c r="OGG221" s="76"/>
      <c r="OGH221" s="76"/>
      <c r="OGI221" s="76"/>
      <c r="OGJ221" s="76"/>
      <c r="OGK221" s="76"/>
      <c r="OGL221" s="76"/>
      <c r="OGM221" s="76"/>
      <c r="OGN221" s="76"/>
      <c r="OGO221" s="76"/>
      <c r="OGP221" s="76"/>
      <c r="OGQ221" s="76"/>
      <c r="OGR221" s="76"/>
      <c r="OGS221" s="76"/>
      <c r="OGT221" s="76"/>
      <c r="OGU221" s="76"/>
      <c r="OGV221" s="76"/>
      <c r="OGW221" s="76"/>
      <c r="OGX221" s="76"/>
      <c r="OGY221" s="76"/>
      <c r="OGZ221" s="76"/>
      <c r="OHA221" s="76"/>
      <c r="OHB221" s="76"/>
      <c r="OHC221" s="76"/>
      <c r="OHD221" s="76"/>
      <c r="OHE221" s="76"/>
      <c r="OHF221" s="76"/>
      <c r="OHG221" s="76"/>
      <c r="OHH221" s="76"/>
      <c r="OHI221" s="76"/>
      <c r="OHJ221" s="76"/>
      <c r="OHK221" s="76"/>
      <c r="OHL221" s="76"/>
      <c r="OHM221" s="76"/>
      <c r="OHN221" s="76"/>
      <c r="OHO221" s="76"/>
      <c r="OHP221" s="76"/>
      <c r="OHQ221" s="76"/>
      <c r="OHR221" s="76"/>
      <c r="OHS221" s="76"/>
      <c r="OHT221" s="76"/>
      <c r="OHU221" s="76"/>
      <c r="OHV221" s="76"/>
      <c r="OHW221" s="76"/>
      <c r="OHX221" s="76"/>
      <c r="OHY221" s="76"/>
      <c r="OHZ221" s="76"/>
      <c r="OIA221" s="76"/>
      <c r="OIB221" s="76"/>
      <c r="OIC221" s="76"/>
      <c r="OID221" s="76"/>
      <c r="OIE221" s="76"/>
      <c r="OIF221" s="76"/>
      <c r="OIG221" s="76"/>
      <c r="OIH221" s="76"/>
      <c r="OII221" s="76"/>
      <c r="OIJ221" s="76"/>
      <c r="OIK221" s="76"/>
      <c r="OIL221" s="76"/>
      <c r="OIM221" s="76"/>
      <c r="OIN221" s="76"/>
      <c r="OIO221" s="76"/>
      <c r="OIP221" s="76"/>
      <c r="OIQ221" s="76"/>
      <c r="OIR221" s="76"/>
      <c r="OIS221" s="76"/>
      <c r="OIT221" s="76"/>
      <c r="OIU221" s="76"/>
      <c r="OIV221" s="76"/>
      <c r="OIW221" s="76"/>
      <c r="OIX221" s="76"/>
      <c r="OIY221" s="76"/>
      <c r="OIZ221" s="76"/>
      <c r="OJA221" s="76"/>
      <c r="OJB221" s="76"/>
      <c r="OJC221" s="76"/>
      <c r="OJD221" s="76"/>
      <c r="OJE221" s="76"/>
      <c r="OJF221" s="76"/>
      <c r="OJG221" s="76"/>
      <c r="OJH221" s="76"/>
      <c r="OJI221" s="76"/>
      <c r="OJJ221" s="76"/>
      <c r="OJK221" s="76"/>
      <c r="OJL221" s="76"/>
      <c r="OJM221" s="76"/>
      <c r="OJN221" s="76"/>
      <c r="OJO221" s="76"/>
      <c r="OJP221" s="76"/>
      <c r="OJQ221" s="76"/>
      <c r="OJR221" s="76"/>
      <c r="OJS221" s="76"/>
      <c r="OJT221" s="76"/>
      <c r="OJU221" s="76"/>
      <c r="OJV221" s="76"/>
      <c r="OJW221" s="76"/>
      <c r="OJX221" s="76"/>
      <c r="OJY221" s="76"/>
      <c r="OJZ221" s="76"/>
      <c r="OKA221" s="76"/>
      <c r="OKB221" s="76"/>
      <c r="OKC221" s="76"/>
      <c r="OKD221" s="76"/>
      <c r="OKE221" s="76"/>
      <c r="OKF221" s="76"/>
      <c r="OKG221" s="76"/>
      <c r="OKH221" s="76"/>
      <c r="OKI221" s="76"/>
      <c r="OKJ221" s="76"/>
      <c r="OKK221" s="76"/>
      <c r="OKL221" s="76"/>
      <c r="OKM221" s="76"/>
      <c r="OKN221" s="76"/>
      <c r="OKO221" s="76"/>
      <c r="OKP221" s="76"/>
      <c r="OKQ221" s="76"/>
      <c r="OKR221" s="76"/>
      <c r="OKS221" s="76"/>
      <c r="OKT221" s="76"/>
      <c r="OKU221" s="76"/>
      <c r="OKV221" s="76"/>
      <c r="OKW221" s="76"/>
      <c r="OKX221" s="76"/>
      <c r="OKY221" s="76"/>
      <c r="OKZ221" s="76"/>
      <c r="OLA221" s="76"/>
      <c r="OLB221" s="76"/>
      <c r="OLC221" s="76"/>
      <c r="OLD221" s="76"/>
      <c r="OLE221" s="76"/>
      <c r="OLF221" s="76"/>
      <c r="OLG221" s="76"/>
      <c r="OLH221" s="76"/>
      <c r="OLI221" s="76"/>
      <c r="OLJ221" s="76"/>
      <c r="OLK221" s="76"/>
      <c r="OLL221" s="76"/>
      <c r="OLM221" s="76"/>
      <c r="OLN221" s="76"/>
      <c r="OLO221" s="76"/>
      <c r="OLP221" s="76"/>
      <c r="OLQ221" s="76"/>
      <c r="OLR221" s="76"/>
      <c r="OLS221" s="76"/>
      <c r="OLT221" s="76"/>
      <c r="OLU221" s="76"/>
      <c r="OLV221" s="76"/>
      <c r="OLW221" s="76"/>
      <c r="OLX221" s="76"/>
      <c r="OLY221" s="76"/>
      <c r="OLZ221" s="76"/>
      <c r="OMA221" s="76"/>
      <c r="OMB221" s="76"/>
      <c r="OMC221" s="76"/>
      <c r="OMD221" s="76"/>
      <c r="OME221" s="76"/>
      <c r="OMF221" s="76"/>
      <c r="OMG221" s="76"/>
      <c r="OMH221" s="76"/>
      <c r="OMI221" s="76"/>
      <c r="OMJ221" s="76"/>
      <c r="OMK221" s="76"/>
      <c r="OML221" s="76"/>
      <c r="OMM221" s="76"/>
      <c r="OMN221" s="76"/>
      <c r="OMO221" s="76"/>
      <c r="OMP221" s="76"/>
      <c r="OMQ221" s="76"/>
      <c r="OMR221" s="76"/>
      <c r="OMS221" s="76"/>
      <c r="OMT221" s="76"/>
      <c r="OMU221" s="76"/>
      <c r="OMV221" s="76"/>
      <c r="OMW221" s="76"/>
      <c r="OMX221" s="76"/>
      <c r="OMY221" s="76"/>
      <c r="OMZ221" s="76"/>
      <c r="ONA221" s="76"/>
      <c r="ONB221" s="76"/>
      <c r="ONC221" s="76"/>
      <c r="OND221" s="76"/>
      <c r="ONE221" s="76"/>
      <c r="ONF221" s="76"/>
      <c r="ONG221" s="76"/>
      <c r="ONH221" s="76"/>
      <c r="ONI221" s="76"/>
      <c r="ONJ221" s="76"/>
      <c r="ONK221" s="76"/>
      <c r="ONL221" s="76"/>
      <c r="ONM221" s="76"/>
      <c r="ONN221" s="76"/>
      <c r="ONO221" s="76"/>
      <c r="ONP221" s="76"/>
      <c r="ONQ221" s="76"/>
      <c r="ONR221" s="76"/>
      <c r="ONS221" s="76"/>
      <c r="ONT221" s="76"/>
      <c r="ONU221" s="76"/>
      <c r="ONV221" s="76"/>
      <c r="ONW221" s="76"/>
      <c r="ONX221" s="76"/>
      <c r="ONY221" s="76"/>
      <c r="ONZ221" s="76"/>
      <c r="OOA221" s="76"/>
      <c r="OOB221" s="76"/>
      <c r="OOC221" s="76"/>
      <c r="OOD221" s="76"/>
      <c r="OOE221" s="76"/>
      <c r="OOF221" s="76"/>
      <c r="OOG221" s="76"/>
      <c r="OOH221" s="76"/>
      <c r="OOI221" s="76"/>
      <c r="OOJ221" s="76"/>
      <c r="OOK221" s="76"/>
      <c r="OOL221" s="76"/>
      <c r="OOM221" s="76"/>
      <c r="OON221" s="76"/>
      <c r="OOO221" s="76"/>
      <c r="OOP221" s="76"/>
      <c r="OOQ221" s="76"/>
      <c r="OOR221" s="76"/>
      <c r="OOS221" s="76"/>
      <c r="OOT221" s="76"/>
      <c r="OOU221" s="76"/>
      <c r="OOV221" s="76"/>
      <c r="OOW221" s="76"/>
      <c r="OOX221" s="76"/>
      <c r="OOY221" s="76"/>
      <c r="OOZ221" s="76"/>
      <c r="OPA221" s="76"/>
      <c r="OPB221" s="76"/>
      <c r="OPC221" s="76"/>
      <c r="OPD221" s="76"/>
      <c r="OPE221" s="76"/>
      <c r="OPF221" s="76"/>
      <c r="OPG221" s="76"/>
      <c r="OPH221" s="76"/>
      <c r="OPI221" s="76"/>
      <c r="OPJ221" s="76"/>
      <c r="OPK221" s="76"/>
      <c r="OPL221" s="76"/>
      <c r="OPM221" s="76"/>
      <c r="OPN221" s="76"/>
      <c r="OPO221" s="76"/>
      <c r="OPP221" s="76"/>
      <c r="OPQ221" s="76"/>
      <c r="OPR221" s="76"/>
      <c r="OPS221" s="76"/>
      <c r="OPT221" s="76"/>
      <c r="OPU221" s="76"/>
      <c r="OPV221" s="76"/>
      <c r="OPW221" s="76"/>
      <c r="OPX221" s="76"/>
      <c r="OPY221" s="76"/>
      <c r="OPZ221" s="76"/>
      <c r="OQA221" s="76"/>
      <c r="OQB221" s="76"/>
      <c r="OQC221" s="76"/>
      <c r="OQD221" s="76"/>
      <c r="OQE221" s="76"/>
      <c r="OQF221" s="76"/>
      <c r="OQG221" s="76"/>
      <c r="OQH221" s="76"/>
      <c r="OQI221" s="76"/>
      <c r="OQJ221" s="76"/>
      <c r="OQK221" s="76"/>
      <c r="OQL221" s="76"/>
      <c r="OQM221" s="76"/>
      <c r="OQN221" s="76"/>
      <c r="OQO221" s="76"/>
      <c r="OQP221" s="76"/>
      <c r="OQQ221" s="76"/>
      <c r="OQR221" s="76"/>
      <c r="OQS221" s="76"/>
      <c r="OQT221" s="76"/>
      <c r="OQU221" s="76"/>
      <c r="OQV221" s="76"/>
      <c r="OQW221" s="76"/>
      <c r="OQX221" s="76"/>
      <c r="OQY221" s="76"/>
      <c r="OQZ221" s="76"/>
      <c r="ORA221" s="76"/>
      <c r="ORB221" s="76"/>
      <c r="ORC221" s="76"/>
      <c r="ORD221" s="76"/>
      <c r="ORE221" s="76"/>
      <c r="ORF221" s="76"/>
      <c r="ORG221" s="76"/>
      <c r="ORH221" s="76"/>
      <c r="ORI221" s="76"/>
      <c r="ORJ221" s="76"/>
      <c r="ORK221" s="76"/>
      <c r="ORL221" s="76"/>
      <c r="ORM221" s="76"/>
      <c r="ORN221" s="76"/>
      <c r="ORO221" s="76"/>
      <c r="ORP221" s="76"/>
      <c r="ORQ221" s="76"/>
      <c r="ORR221" s="76"/>
      <c r="ORS221" s="76"/>
      <c r="ORT221" s="76"/>
      <c r="ORU221" s="76"/>
      <c r="ORV221" s="76"/>
      <c r="ORW221" s="76"/>
      <c r="ORX221" s="76"/>
      <c r="ORY221" s="76"/>
      <c r="ORZ221" s="76"/>
      <c r="OSA221" s="76"/>
      <c r="OSB221" s="76"/>
      <c r="OSC221" s="76"/>
      <c r="OSD221" s="76"/>
      <c r="OSE221" s="76"/>
      <c r="OSF221" s="76"/>
      <c r="OSG221" s="76"/>
      <c r="OSH221" s="76"/>
      <c r="OSI221" s="76"/>
      <c r="OSJ221" s="76"/>
      <c r="OSK221" s="76"/>
      <c r="OSL221" s="76"/>
      <c r="OSM221" s="76"/>
      <c r="OSN221" s="76"/>
      <c r="OSO221" s="76"/>
      <c r="OSP221" s="76"/>
      <c r="OSQ221" s="76"/>
      <c r="OSR221" s="76"/>
      <c r="OSS221" s="76"/>
      <c r="OST221" s="76"/>
      <c r="OSU221" s="76"/>
      <c r="OSV221" s="76"/>
      <c r="OSW221" s="76"/>
      <c r="OSX221" s="76"/>
      <c r="OSY221" s="76"/>
      <c r="OSZ221" s="76"/>
      <c r="OTA221" s="76"/>
      <c r="OTB221" s="76"/>
      <c r="OTC221" s="76"/>
      <c r="OTD221" s="76"/>
      <c r="OTE221" s="76"/>
      <c r="OTF221" s="76"/>
      <c r="OTG221" s="76"/>
      <c r="OTH221" s="76"/>
      <c r="OTI221" s="76"/>
      <c r="OTJ221" s="76"/>
      <c r="OTK221" s="76"/>
      <c r="OTL221" s="76"/>
      <c r="OTM221" s="76"/>
      <c r="OTN221" s="76"/>
      <c r="OTO221" s="76"/>
      <c r="OTP221" s="76"/>
      <c r="OTQ221" s="76"/>
      <c r="OTR221" s="76"/>
      <c r="OTS221" s="76"/>
      <c r="OTT221" s="76"/>
      <c r="OTU221" s="76"/>
      <c r="OTV221" s="76"/>
      <c r="OTW221" s="76"/>
      <c r="OTX221" s="76"/>
      <c r="OTY221" s="76"/>
      <c r="OTZ221" s="76"/>
      <c r="OUA221" s="76"/>
      <c r="OUB221" s="76"/>
      <c r="OUC221" s="76"/>
      <c r="OUD221" s="76"/>
      <c r="OUE221" s="76"/>
      <c r="OUF221" s="76"/>
      <c r="OUG221" s="76"/>
      <c r="OUH221" s="76"/>
      <c r="OUI221" s="76"/>
      <c r="OUJ221" s="76"/>
      <c r="OUK221" s="76"/>
      <c r="OUL221" s="76"/>
      <c r="OUM221" s="76"/>
      <c r="OUN221" s="76"/>
      <c r="OUO221" s="76"/>
      <c r="OUP221" s="76"/>
      <c r="OUQ221" s="76"/>
      <c r="OUR221" s="76"/>
      <c r="OUS221" s="76"/>
      <c r="OUT221" s="76"/>
      <c r="OUU221" s="76"/>
      <c r="OUV221" s="76"/>
      <c r="OUW221" s="76"/>
      <c r="OUX221" s="76"/>
      <c r="OUY221" s="76"/>
      <c r="OUZ221" s="76"/>
      <c r="OVA221" s="76"/>
      <c r="OVB221" s="76"/>
      <c r="OVC221" s="76"/>
      <c r="OVD221" s="76"/>
      <c r="OVE221" s="76"/>
      <c r="OVF221" s="76"/>
      <c r="OVG221" s="76"/>
      <c r="OVH221" s="76"/>
      <c r="OVI221" s="76"/>
      <c r="OVJ221" s="76"/>
      <c r="OVK221" s="76"/>
      <c r="OVL221" s="76"/>
      <c r="OVM221" s="76"/>
      <c r="OVN221" s="76"/>
      <c r="OVO221" s="76"/>
      <c r="OVP221" s="76"/>
      <c r="OVQ221" s="76"/>
      <c r="OVR221" s="76"/>
      <c r="OVS221" s="76"/>
      <c r="OVT221" s="76"/>
      <c r="OVU221" s="76"/>
      <c r="OVV221" s="76"/>
      <c r="OVW221" s="76"/>
      <c r="OVX221" s="76"/>
      <c r="OVY221" s="76"/>
      <c r="OVZ221" s="76"/>
      <c r="OWA221" s="76"/>
      <c r="OWB221" s="76"/>
      <c r="OWC221" s="76"/>
      <c r="OWD221" s="76"/>
      <c r="OWE221" s="76"/>
      <c r="OWF221" s="76"/>
      <c r="OWG221" s="76"/>
      <c r="OWH221" s="76"/>
      <c r="OWI221" s="76"/>
      <c r="OWJ221" s="76"/>
      <c r="OWK221" s="76"/>
      <c r="OWL221" s="76"/>
      <c r="OWM221" s="76"/>
      <c r="OWN221" s="76"/>
      <c r="OWO221" s="76"/>
      <c r="OWP221" s="76"/>
      <c r="OWQ221" s="76"/>
      <c r="OWR221" s="76"/>
      <c r="OWS221" s="76"/>
      <c r="OWT221" s="76"/>
      <c r="OWU221" s="76"/>
      <c r="OWV221" s="76"/>
      <c r="OWW221" s="76"/>
      <c r="OWX221" s="76"/>
      <c r="OWY221" s="76"/>
      <c r="OWZ221" s="76"/>
      <c r="OXA221" s="76"/>
      <c r="OXB221" s="76"/>
      <c r="OXC221" s="76"/>
      <c r="OXD221" s="76"/>
      <c r="OXE221" s="76"/>
      <c r="OXF221" s="76"/>
      <c r="OXG221" s="76"/>
      <c r="OXH221" s="76"/>
      <c r="OXI221" s="76"/>
      <c r="OXJ221" s="76"/>
      <c r="OXK221" s="76"/>
      <c r="OXL221" s="76"/>
      <c r="OXM221" s="76"/>
      <c r="OXN221" s="76"/>
      <c r="OXO221" s="76"/>
      <c r="OXP221" s="76"/>
      <c r="OXQ221" s="76"/>
      <c r="OXR221" s="76"/>
      <c r="OXS221" s="76"/>
      <c r="OXT221" s="76"/>
      <c r="OXU221" s="76"/>
      <c r="OXV221" s="76"/>
      <c r="OXW221" s="76"/>
      <c r="OXX221" s="76"/>
      <c r="OXY221" s="76"/>
      <c r="OXZ221" s="76"/>
      <c r="OYA221" s="76"/>
      <c r="OYB221" s="76"/>
      <c r="OYC221" s="76"/>
      <c r="OYD221" s="76"/>
      <c r="OYE221" s="76"/>
      <c r="OYF221" s="76"/>
      <c r="OYG221" s="76"/>
      <c r="OYH221" s="76"/>
      <c r="OYI221" s="76"/>
      <c r="OYJ221" s="76"/>
      <c r="OYK221" s="76"/>
      <c r="OYL221" s="76"/>
      <c r="OYM221" s="76"/>
      <c r="OYN221" s="76"/>
      <c r="OYO221" s="76"/>
      <c r="OYP221" s="76"/>
      <c r="OYQ221" s="76"/>
      <c r="OYR221" s="76"/>
      <c r="OYS221" s="76"/>
      <c r="OYT221" s="76"/>
      <c r="OYU221" s="76"/>
      <c r="OYV221" s="76"/>
      <c r="OYW221" s="76"/>
      <c r="OYX221" s="76"/>
      <c r="OYY221" s="76"/>
      <c r="OYZ221" s="76"/>
      <c r="OZA221" s="76"/>
      <c r="OZB221" s="76"/>
      <c r="OZC221" s="76"/>
      <c r="OZD221" s="76"/>
      <c r="OZE221" s="76"/>
      <c r="OZF221" s="76"/>
      <c r="OZG221" s="76"/>
      <c r="OZH221" s="76"/>
      <c r="OZI221" s="76"/>
      <c r="OZJ221" s="76"/>
      <c r="OZK221" s="76"/>
      <c r="OZL221" s="76"/>
      <c r="OZM221" s="76"/>
      <c r="OZN221" s="76"/>
      <c r="OZO221" s="76"/>
      <c r="OZP221" s="76"/>
      <c r="OZQ221" s="76"/>
      <c r="OZR221" s="76"/>
      <c r="OZS221" s="76"/>
      <c r="OZT221" s="76"/>
      <c r="OZU221" s="76"/>
      <c r="OZV221" s="76"/>
      <c r="OZW221" s="76"/>
      <c r="OZX221" s="76"/>
      <c r="OZY221" s="76"/>
      <c r="OZZ221" s="76"/>
      <c r="PAA221" s="76"/>
      <c r="PAB221" s="76"/>
      <c r="PAC221" s="76"/>
      <c r="PAD221" s="76"/>
      <c r="PAE221" s="76"/>
      <c r="PAF221" s="76"/>
      <c r="PAG221" s="76"/>
      <c r="PAH221" s="76"/>
      <c r="PAI221" s="76"/>
      <c r="PAJ221" s="76"/>
      <c r="PAK221" s="76"/>
      <c r="PAL221" s="76"/>
      <c r="PAM221" s="76"/>
      <c r="PAN221" s="76"/>
      <c r="PAO221" s="76"/>
      <c r="PAP221" s="76"/>
      <c r="PAQ221" s="76"/>
      <c r="PAR221" s="76"/>
      <c r="PAS221" s="76"/>
      <c r="PAT221" s="76"/>
      <c r="PAU221" s="76"/>
      <c r="PAV221" s="76"/>
      <c r="PAW221" s="76"/>
      <c r="PAX221" s="76"/>
      <c r="PAY221" s="76"/>
      <c r="PAZ221" s="76"/>
      <c r="PBA221" s="76"/>
      <c r="PBB221" s="76"/>
      <c r="PBC221" s="76"/>
      <c r="PBD221" s="76"/>
      <c r="PBE221" s="76"/>
      <c r="PBF221" s="76"/>
      <c r="PBG221" s="76"/>
      <c r="PBH221" s="76"/>
      <c r="PBI221" s="76"/>
      <c r="PBJ221" s="76"/>
      <c r="PBK221" s="76"/>
      <c r="PBL221" s="76"/>
      <c r="PBM221" s="76"/>
      <c r="PBN221" s="76"/>
      <c r="PBO221" s="76"/>
      <c r="PBP221" s="76"/>
      <c r="PBQ221" s="76"/>
      <c r="PBR221" s="76"/>
      <c r="PBS221" s="76"/>
      <c r="PBT221" s="76"/>
      <c r="PBU221" s="76"/>
      <c r="PBV221" s="76"/>
      <c r="PBW221" s="76"/>
      <c r="PBX221" s="76"/>
      <c r="PBY221" s="76"/>
      <c r="PBZ221" s="76"/>
      <c r="PCA221" s="76"/>
      <c r="PCB221" s="76"/>
      <c r="PCC221" s="76"/>
      <c r="PCD221" s="76"/>
      <c r="PCE221" s="76"/>
      <c r="PCF221" s="76"/>
      <c r="PCG221" s="76"/>
      <c r="PCH221" s="76"/>
      <c r="PCI221" s="76"/>
      <c r="PCJ221" s="76"/>
      <c r="PCK221" s="76"/>
      <c r="PCL221" s="76"/>
      <c r="PCM221" s="76"/>
      <c r="PCN221" s="76"/>
      <c r="PCO221" s="76"/>
      <c r="PCP221" s="76"/>
      <c r="PCQ221" s="76"/>
      <c r="PCR221" s="76"/>
      <c r="PCS221" s="76"/>
      <c r="PCT221" s="76"/>
      <c r="PCU221" s="76"/>
      <c r="PCV221" s="76"/>
      <c r="PCW221" s="76"/>
      <c r="PCX221" s="76"/>
      <c r="PCY221" s="76"/>
      <c r="PCZ221" s="76"/>
      <c r="PDA221" s="76"/>
      <c r="PDB221" s="76"/>
      <c r="PDC221" s="76"/>
      <c r="PDD221" s="76"/>
      <c r="PDE221" s="76"/>
      <c r="PDF221" s="76"/>
      <c r="PDG221" s="76"/>
      <c r="PDH221" s="76"/>
      <c r="PDI221" s="76"/>
      <c r="PDJ221" s="76"/>
      <c r="PDK221" s="76"/>
      <c r="PDL221" s="76"/>
      <c r="PDM221" s="76"/>
      <c r="PDN221" s="76"/>
      <c r="PDO221" s="76"/>
      <c r="PDP221" s="76"/>
      <c r="PDQ221" s="76"/>
      <c r="PDR221" s="76"/>
      <c r="PDS221" s="76"/>
      <c r="PDT221" s="76"/>
      <c r="PDU221" s="76"/>
      <c r="PDV221" s="76"/>
      <c r="PDW221" s="76"/>
      <c r="PDX221" s="76"/>
      <c r="PDY221" s="76"/>
      <c r="PDZ221" s="76"/>
      <c r="PEA221" s="76"/>
      <c r="PEB221" s="76"/>
      <c r="PEC221" s="76"/>
      <c r="PED221" s="76"/>
      <c r="PEE221" s="76"/>
      <c r="PEF221" s="76"/>
      <c r="PEG221" s="76"/>
      <c r="PEH221" s="76"/>
      <c r="PEI221" s="76"/>
      <c r="PEJ221" s="76"/>
      <c r="PEK221" s="76"/>
      <c r="PEL221" s="76"/>
      <c r="PEM221" s="76"/>
      <c r="PEN221" s="76"/>
      <c r="PEO221" s="76"/>
      <c r="PEP221" s="76"/>
      <c r="PEQ221" s="76"/>
      <c r="PER221" s="76"/>
      <c r="PES221" s="76"/>
      <c r="PET221" s="76"/>
      <c r="PEU221" s="76"/>
      <c r="PEV221" s="76"/>
      <c r="PEW221" s="76"/>
      <c r="PEX221" s="76"/>
      <c r="PEY221" s="76"/>
      <c r="PEZ221" s="76"/>
      <c r="PFA221" s="76"/>
      <c r="PFB221" s="76"/>
      <c r="PFC221" s="76"/>
      <c r="PFD221" s="76"/>
      <c r="PFE221" s="76"/>
      <c r="PFF221" s="76"/>
      <c r="PFG221" s="76"/>
      <c r="PFH221" s="76"/>
      <c r="PFI221" s="76"/>
      <c r="PFJ221" s="76"/>
      <c r="PFK221" s="76"/>
      <c r="PFL221" s="76"/>
      <c r="PFM221" s="76"/>
      <c r="PFN221" s="76"/>
      <c r="PFO221" s="76"/>
      <c r="PFP221" s="76"/>
      <c r="PFQ221" s="76"/>
      <c r="PFR221" s="76"/>
      <c r="PFS221" s="76"/>
      <c r="PFT221" s="76"/>
      <c r="PFU221" s="76"/>
      <c r="PFV221" s="76"/>
      <c r="PFW221" s="76"/>
      <c r="PFX221" s="76"/>
      <c r="PFY221" s="76"/>
      <c r="PFZ221" s="76"/>
      <c r="PGA221" s="76"/>
      <c r="PGB221" s="76"/>
      <c r="PGC221" s="76"/>
      <c r="PGD221" s="76"/>
      <c r="PGE221" s="76"/>
      <c r="PGF221" s="76"/>
      <c r="PGG221" s="76"/>
      <c r="PGH221" s="76"/>
      <c r="PGI221" s="76"/>
      <c r="PGJ221" s="76"/>
      <c r="PGK221" s="76"/>
      <c r="PGL221" s="76"/>
      <c r="PGM221" s="76"/>
      <c r="PGN221" s="76"/>
      <c r="PGO221" s="76"/>
      <c r="PGP221" s="76"/>
      <c r="PGQ221" s="76"/>
      <c r="PGR221" s="76"/>
      <c r="PGS221" s="76"/>
      <c r="PGT221" s="76"/>
      <c r="PGU221" s="76"/>
      <c r="PGV221" s="76"/>
      <c r="PGW221" s="76"/>
      <c r="PGX221" s="76"/>
      <c r="PGY221" s="76"/>
      <c r="PGZ221" s="76"/>
      <c r="PHA221" s="76"/>
      <c r="PHB221" s="76"/>
      <c r="PHC221" s="76"/>
      <c r="PHD221" s="76"/>
      <c r="PHE221" s="76"/>
      <c r="PHF221" s="76"/>
      <c r="PHG221" s="76"/>
      <c r="PHH221" s="76"/>
      <c r="PHI221" s="76"/>
      <c r="PHJ221" s="76"/>
      <c r="PHK221" s="76"/>
      <c r="PHL221" s="76"/>
      <c r="PHM221" s="76"/>
      <c r="PHN221" s="76"/>
      <c r="PHO221" s="76"/>
      <c r="PHP221" s="76"/>
      <c r="PHQ221" s="76"/>
      <c r="PHR221" s="76"/>
      <c r="PHS221" s="76"/>
      <c r="PHT221" s="76"/>
      <c r="PHU221" s="76"/>
      <c r="PHV221" s="76"/>
      <c r="PHW221" s="76"/>
      <c r="PHX221" s="76"/>
      <c r="PHY221" s="76"/>
      <c r="PHZ221" s="76"/>
      <c r="PIA221" s="76"/>
      <c r="PIB221" s="76"/>
      <c r="PIC221" s="76"/>
      <c r="PID221" s="76"/>
      <c r="PIE221" s="76"/>
      <c r="PIF221" s="76"/>
      <c r="PIG221" s="76"/>
      <c r="PIH221" s="76"/>
      <c r="PII221" s="76"/>
      <c r="PIJ221" s="76"/>
      <c r="PIK221" s="76"/>
      <c r="PIL221" s="76"/>
      <c r="PIM221" s="76"/>
      <c r="PIN221" s="76"/>
      <c r="PIO221" s="76"/>
      <c r="PIP221" s="76"/>
      <c r="PIQ221" s="76"/>
      <c r="PIR221" s="76"/>
      <c r="PIS221" s="76"/>
      <c r="PIT221" s="76"/>
      <c r="PIU221" s="76"/>
      <c r="PIV221" s="76"/>
      <c r="PIW221" s="76"/>
      <c r="PIX221" s="76"/>
      <c r="PIY221" s="76"/>
      <c r="PIZ221" s="76"/>
      <c r="PJA221" s="76"/>
      <c r="PJB221" s="76"/>
      <c r="PJC221" s="76"/>
      <c r="PJD221" s="76"/>
      <c r="PJE221" s="76"/>
      <c r="PJF221" s="76"/>
      <c r="PJG221" s="76"/>
      <c r="PJH221" s="76"/>
      <c r="PJI221" s="76"/>
      <c r="PJJ221" s="76"/>
      <c r="PJK221" s="76"/>
      <c r="PJL221" s="76"/>
      <c r="PJM221" s="76"/>
      <c r="PJN221" s="76"/>
      <c r="PJO221" s="76"/>
      <c r="PJP221" s="76"/>
      <c r="PJQ221" s="76"/>
      <c r="PJR221" s="76"/>
      <c r="PJS221" s="76"/>
      <c r="PJT221" s="76"/>
      <c r="PJU221" s="76"/>
      <c r="PJV221" s="76"/>
      <c r="PJW221" s="76"/>
      <c r="PJX221" s="76"/>
      <c r="PJY221" s="76"/>
      <c r="PJZ221" s="76"/>
      <c r="PKA221" s="76"/>
      <c r="PKB221" s="76"/>
      <c r="PKC221" s="76"/>
      <c r="PKD221" s="76"/>
      <c r="PKE221" s="76"/>
      <c r="PKF221" s="76"/>
      <c r="PKG221" s="76"/>
      <c r="PKH221" s="76"/>
      <c r="PKI221" s="76"/>
      <c r="PKJ221" s="76"/>
      <c r="PKK221" s="76"/>
      <c r="PKL221" s="76"/>
      <c r="PKM221" s="76"/>
      <c r="PKN221" s="76"/>
      <c r="PKO221" s="76"/>
      <c r="PKP221" s="76"/>
      <c r="PKQ221" s="76"/>
      <c r="PKR221" s="76"/>
      <c r="PKS221" s="76"/>
      <c r="PKT221" s="76"/>
      <c r="PKU221" s="76"/>
      <c r="PKV221" s="76"/>
      <c r="PKW221" s="76"/>
      <c r="PKX221" s="76"/>
      <c r="PKY221" s="76"/>
      <c r="PKZ221" s="76"/>
      <c r="PLA221" s="76"/>
      <c r="PLB221" s="76"/>
      <c r="PLC221" s="76"/>
      <c r="PLD221" s="76"/>
      <c r="PLE221" s="76"/>
      <c r="PLF221" s="76"/>
      <c r="PLG221" s="76"/>
      <c r="PLH221" s="76"/>
      <c r="PLI221" s="76"/>
      <c r="PLJ221" s="76"/>
      <c r="PLK221" s="76"/>
      <c r="PLL221" s="76"/>
      <c r="PLM221" s="76"/>
      <c r="PLN221" s="76"/>
      <c r="PLO221" s="76"/>
      <c r="PLP221" s="76"/>
      <c r="PLQ221" s="76"/>
      <c r="PLR221" s="76"/>
      <c r="PLS221" s="76"/>
      <c r="PLT221" s="76"/>
      <c r="PLU221" s="76"/>
      <c r="PLV221" s="76"/>
      <c r="PLW221" s="76"/>
      <c r="PLX221" s="76"/>
      <c r="PLY221" s="76"/>
      <c r="PLZ221" s="76"/>
      <c r="PMA221" s="76"/>
      <c r="PMB221" s="76"/>
      <c r="PMC221" s="76"/>
      <c r="PMD221" s="76"/>
      <c r="PME221" s="76"/>
      <c r="PMF221" s="76"/>
      <c r="PMG221" s="76"/>
      <c r="PMH221" s="76"/>
      <c r="PMI221" s="76"/>
      <c r="PMJ221" s="76"/>
      <c r="PMK221" s="76"/>
      <c r="PML221" s="76"/>
      <c r="PMM221" s="76"/>
      <c r="PMN221" s="76"/>
      <c r="PMO221" s="76"/>
      <c r="PMP221" s="76"/>
      <c r="PMQ221" s="76"/>
      <c r="PMR221" s="76"/>
      <c r="PMS221" s="76"/>
      <c r="PMT221" s="76"/>
      <c r="PMU221" s="76"/>
      <c r="PMV221" s="76"/>
      <c r="PMW221" s="76"/>
      <c r="PMX221" s="76"/>
      <c r="PMY221" s="76"/>
      <c r="PMZ221" s="76"/>
      <c r="PNA221" s="76"/>
      <c r="PNB221" s="76"/>
      <c r="PNC221" s="76"/>
      <c r="PND221" s="76"/>
      <c r="PNE221" s="76"/>
      <c r="PNF221" s="76"/>
      <c r="PNG221" s="76"/>
      <c r="PNH221" s="76"/>
      <c r="PNI221" s="76"/>
      <c r="PNJ221" s="76"/>
      <c r="PNK221" s="76"/>
      <c r="PNL221" s="76"/>
      <c r="PNM221" s="76"/>
      <c r="PNN221" s="76"/>
      <c r="PNO221" s="76"/>
      <c r="PNP221" s="76"/>
      <c r="PNQ221" s="76"/>
      <c r="PNR221" s="76"/>
      <c r="PNS221" s="76"/>
      <c r="PNT221" s="76"/>
      <c r="PNU221" s="76"/>
      <c r="PNV221" s="76"/>
      <c r="PNW221" s="76"/>
      <c r="PNX221" s="76"/>
      <c r="PNY221" s="76"/>
      <c r="PNZ221" s="76"/>
      <c r="POA221" s="76"/>
      <c r="POB221" s="76"/>
      <c r="POC221" s="76"/>
      <c r="POD221" s="76"/>
      <c r="POE221" s="76"/>
      <c r="POF221" s="76"/>
      <c r="POG221" s="76"/>
      <c r="POH221" s="76"/>
      <c r="POI221" s="76"/>
      <c r="POJ221" s="76"/>
      <c r="POK221" s="76"/>
      <c r="POL221" s="76"/>
      <c r="POM221" s="76"/>
      <c r="PON221" s="76"/>
      <c r="POO221" s="76"/>
      <c r="POP221" s="76"/>
      <c r="POQ221" s="76"/>
      <c r="POR221" s="76"/>
      <c r="POS221" s="76"/>
      <c r="POT221" s="76"/>
      <c r="POU221" s="76"/>
      <c r="POV221" s="76"/>
      <c r="POW221" s="76"/>
      <c r="POX221" s="76"/>
      <c r="POY221" s="76"/>
      <c r="POZ221" s="76"/>
      <c r="PPA221" s="76"/>
      <c r="PPB221" s="76"/>
      <c r="PPC221" s="76"/>
      <c r="PPD221" s="76"/>
      <c r="PPE221" s="76"/>
      <c r="PPF221" s="76"/>
      <c r="PPG221" s="76"/>
      <c r="PPH221" s="76"/>
      <c r="PPI221" s="76"/>
      <c r="PPJ221" s="76"/>
      <c r="PPK221" s="76"/>
      <c r="PPL221" s="76"/>
      <c r="PPM221" s="76"/>
      <c r="PPN221" s="76"/>
      <c r="PPO221" s="76"/>
      <c r="PPP221" s="76"/>
      <c r="PPQ221" s="76"/>
      <c r="PPR221" s="76"/>
      <c r="PPS221" s="76"/>
      <c r="PPT221" s="76"/>
      <c r="PPU221" s="76"/>
      <c r="PPV221" s="76"/>
      <c r="PPW221" s="76"/>
      <c r="PPX221" s="76"/>
      <c r="PPY221" s="76"/>
      <c r="PPZ221" s="76"/>
      <c r="PQA221" s="76"/>
      <c r="PQB221" s="76"/>
      <c r="PQC221" s="76"/>
      <c r="PQD221" s="76"/>
      <c r="PQE221" s="76"/>
      <c r="PQF221" s="76"/>
      <c r="PQG221" s="76"/>
      <c r="PQH221" s="76"/>
      <c r="PQI221" s="76"/>
      <c r="PQJ221" s="76"/>
      <c r="PQK221" s="76"/>
      <c r="PQL221" s="76"/>
      <c r="PQM221" s="76"/>
      <c r="PQN221" s="76"/>
      <c r="PQO221" s="76"/>
      <c r="PQP221" s="76"/>
      <c r="PQQ221" s="76"/>
      <c r="PQR221" s="76"/>
      <c r="PQS221" s="76"/>
      <c r="PQT221" s="76"/>
      <c r="PQU221" s="76"/>
      <c r="PQV221" s="76"/>
      <c r="PQW221" s="76"/>
      <c r="PQX221" s="76"/>
      <c r="PQY221" s="76"/>
      <c r="PQZ221" s="76"/>
      <c r="PRA221" s="76"/>
      <c r="PRB221" s="76"/>
      <c r="PRC221" s="76"/>
      <c r="PRD221" s="76"/>
      <c r="PRE221" s="76"/>
      <c r="PRF221" s="76"/>
      <c r="PRG221" s="76"/>
      <c r="PRH221" s="76"/>
      <c r="PRI221" s="76"/>
      <c r="PRJ221" s="76"/>
      <c r="PRK221" s="76"/>
      <c r="PRL221" s="76"/>
      <c r="PRM221" s="76"/>
      <c r="PRN221" s="76"/>
      <c r="PRO221" s="76"/>
      <c r="PRP221" s="76"/>
      <c r="PRQ221" s="76"/>
      <c r="PRR221" s="76"/>
      <c r="PRS221" s="76"/>
      <c r="PRT221" s="76"/>
      <c r="PRU221" s="76"/>
      <c r="PRV221" s="76"/>
      <c r="PRW221" s="76"/>
      <c r="PRX221" s="76"/>
      <c r="PRY221" s="76"/>
      <c r="PRZ221" s="76"/>
      <c r="PSA221" s="76"/>
      <c r="PSB221" s="76"/>
      <c r="PSC221" s="76"/>
      <c r="PSD221" s="76"/>
      <c r="PSE221" s="76"/>
      <c r="PSF221" s="76"/>
      <c r="PSG221" s="76"/>
      <c r="PSH221" s="76"/>
      <c r="PSI221" s="76"/>
      <c r="PSJ221" s="76"/>
      <c r="PSK221" s="76"/>
      <c r="PSL221" s="76"/>
      <c r="PSM221" s="76"/>
      <c r="PSN221" s="76"/>
      <c r="PSO221" s="76"/>
      <c r="PSP221" s="76"/>
      <c r="PSQ221" s="76"/>
      <c r="PSR221" s="76"/>
      <c r="PSS221" s="76"/>
      <c r="PST221" s="76"/>
      <c r="PSU221" s="76"/>
      <c r="PSV221" s="76"/>
      <c r="PSW221" s="76"/>
      <c r="PSX221" s="76"/>
      <c r="PSY221" s="76"/>
      <c r="PSZ221" s="76"/>
      <c r="PTA221" s="76"/>
      <c r="PTB221" s="76"/>
      <c r="PTC221" s="76"/>
      <c r="PTD221" s="76"/>
      <c r="PTE221" s="76"/>
      <c r="PTF221" s="76"/>
      <c r="PTG221" s="76"/>
      <c r="PTH221" s="76"/>
      <c r="PTI221" s="76"/>
      <c r="PTJ221" s="76"/>
      <c r="PTK221" s="76"/>
      <c r="PTL221" s="76"/>
      <c r="PTM221" s="76"/>
      <c r="PTN221" s="76"/>
      <c r="PTO221" s="76"/>
      <c r="PTP221" s="76"/>
      <c r="PTQ221" s="76"/>
      <c r="PTR221" s="76"/>
      <c r="PTS221" s="76"/>
      <c r="PTT221" s="76"/>
      <c r="PTU221" s="76"/>
      <c r="PTV221" s="76"/>
      <c r="PTW221" s="76"/>
      <c r="PTX221" s="76"/>
      <c r="PTY221" s="76"/>
      <c r="PTZ221" s="76"/>
      <c r="PUA221" s="76"/>
      <c r="PUB221" s="76"/>
      <c r="PUC221" s="76"/>
      <c r="PUD221" s="76"/>
      <c r="PUE221" s="76"/>
      <c r="PUF221" s="76"/>
      <c r="PUG221" s="76"/>
      <c r="PUH221" s="76"/>
      <c r="PUI221" s="76"/>
      <c r="PUJ221" s="76"/>
      <c r="PUK221" s="76"/>
      <c r="PUL221" s="76"/>
      <c r="PUM221" s="76"/>
      <c r="PUN221" s="76"/>
      <c r="PUO221" s="76"/>
      <c r="PUP221" s="76"/>
      <c r="PUQ221" s="76"/>
      <c r="PUR221" s="76"/>
      <c r="PUS221" s="76"/>
      <c r="PUT221" s="76"/>
      <c r="PUU221" s="76"/>
      <c r="PUV221" s="76"/>
      <c r="PUW221" s="76"/>
      <c r="PUX221" s="76"/>
      <c r="PUY221" s="76"/>
      <c r="PUZ221" s="76"/>
      <c r="PVA221" s="76"/>
      <c r="PVB221" s="76"/>
      <c r="PVC221" s="76"/>
      <c r="PVD221" s="76"/>
      <c r="PVE221" s="76"/>
      <c r="PVF221" s="76"/>
      <c r="PVG221" s="76"/>
      <c r="PVH221" s="76"/>
      <c r="PVI221" s="76"/>
      <c r="PVJ221" s="76"/>
      <c r="PVK221" s="76"/>
      <c r="PVL221" s="76"/>
      <c r="PVM221" s="76"/>
      <c r="PVN221" s="76"/>
      <c r="PVO221" s="76"/>
      <c r="PVP221" s="76"/>
      <c r="PVQ221" s="76"/>
      <c r="PVR221" s="76"/>
      <c r="PVS221" s="76"/>
      <c r="PVT221" s="76"/>
      <c r="PVU221" s="76"/>
      <c r="PVV221" s="76"/>
      <c r="PVW221" s="76"/>
      <c r="PVX221" s="76"/>
      <c r="PVY221" s="76"/>
      <c r="PVZ221" s="76"/>
      <c r="PWA221" s="76"/>
      <c r="PWB221" s="76"/>
      <c r="PWC221" s="76"/>
      <c r="PWD221" s="76"/>
      <c r="PWE221" s="76"/>
      <c r="PWF221" s="76"/>
      <c r="PWG221" s="76"/>
      <c r="PWH221" s="76"/>
      <c r="PWI221" s="76"/>
      <c r="PWJ221" s="76"/>
      <c r="PWK221" s="76"/>
      <c r="PWL221" s="76"/>
      <c r="PWM221" s="76"/>
      <c r="PWN221" s="76"/>
      <c r="PWO221" s="76"/>
      <c r="PWP221" s="76"/>
      <c r="PWQ221" s="76"/>
      <c r="PWR221" s="76"/>
      <c r="PWS221" s="76"/>
      <c r="PWT221" s="76"/>
      <c r="PWU221" s="76"/>
      <c r="PWV221" s="76"/>
      <c r="PWW221" s="76"/>
      <c r="PWX221" s="76"/>
      <c r="PWY221" s="76"/>
      <c r="PWZ221" s="76"/>
      <c r="PXA221" s="76"/>
      <c r="PXB221" s="76"/>
      <c r="PXC221" s="76"/>
      <c r="PXD221" s="76"/>
      <c r="PXE221" s="76"/>
      <c r="PXF221" s="76"/>
      <c r="PXG221" s="76"/>
      <c r="PXH221" s="76"/>
      <c r="PXI221" s="76"/>
      <c r="PXJ221" s="76"/>
      <c r="PXK221" s="76"/>
      <c r="PXL221" s="76"/>
      <c r="PXM221" s="76"/>
      <c r="PXN221" s="76"/>
      <c r="PXO221" s="76"/>
      <c r="PXP221" s="76"/>
      <c r="PXQ221" s="76"/>
      <c r="PXR221" s="76"/>
      <c r="PXS221" s="76"/>
      <c r="PXT221" s="76"/>
      <c r="PXU221" s="76"/>
      <c r="PXV221" s="76"/>
      <c r="PXW221" s="76"/>
      <c r="PXX221" s="76"/>
      <c r="PXY221" s="76"/>
      <c r="PXZ221" s="76"/>
      <c r="PYA221" s="76"/>
      <c r="PYB221" s="76"/>
      <c r="PYC221" s="76"/>
      <c r="PYD221" s="76"/>
      <c r="PYE221" s="76"/>
      <c r="PYF221" s="76"/>
      <c r="PYG221" s="76"/>
      <c r="PYH221" s="76"/>
      <c r="PYI221" s="76"/>
      <c r="PYJ221" s="76"/>
      <c r="PYK221" s="76"/>
      <c r="PYL221" s="76"/>
      <c r="PYM221" s="76"/>
      <c r="PYN221" s="76"/>
      <c r="PYO221" s="76"/>
      <c r="PYP221" s="76"/>
      <c r="PYQ221" s="76"/>
      <c r="PYR221" s="76"/>
      <c r="PYS221" s="76"/>
      <c r="PYT221" s="76"/>
      <c r="PYU221" s="76"/>
      <c r="PYV221" s="76"/>
      <c r="PYW221" s="76"/>
      <c r="PYX221" s="76"/>
      <c r="PYY221" s="76"/>
      <c r="PYZ221" s="76"/>
      <c r="PZA221" s="76"/>
      <c r="PZB221" s="76"/>
      <c r="PZC221" s="76"/>
      <c r="PZD221" s="76"/>
      <c r="PZE221" s="76"/>
      <c r="PZF221" s="76"/>
      <c r="PZG221" s="76"/>
      <c r="PZH221" s="76"/>
      <c r="PZI221" s="76"/>
      <c r="PZJ221" s="76"/>
      <c r="PZK221" s="76"/>
      <c r="PZL221" s="76"/>
      <c r="PZM221" s="76"/>
      <c r="PZN221" s="76"/>
      <c r="PZO221" s="76"/>
      <c r="PZP221" s="76"/>
      <c r="PZQ221" s="76"/>
      <c r="PZR221" s="76"/>
      <c r="PZS221" s="76"/>
      <c r="PZT221" s="76"/>
      <c r="PZU221" s="76"/>
      <c r="PZV221" s="76"/>
      <c r="PZW221" s="76"/>
      <c r="PZX221" s="76"/>
      <c r="PZY221" s="76"/>
      <c r="PZZ221" s="76"/>
      <c r="QAA221" s="76"/>
      <c r="QAB221" s="76"/>
      <c r="QAC221" s="76"/>
      <c r="QAD221" s="76"/>
      <c r="QAE221" s="76"/>
      <c r="QAF221" s="76"/>
      <c r="QAG221" s="76"/>
      <c r="QAH221" s="76"/>
      <c r="QAI221" s="76"/>
      <c r="QAJ221" s="76"/>
      <c r="QAK221" s="76"/>
      <c r="QAL221" s="76"/>
      <c r="QAM221" s="76"/>
      <c r="QAN221" s="76"/>
      <c r="QAO221" s="76"/>
      <c r="QAP221" s="76"/>
      <c r="QAQ221" s="76"/>
      <c r="QAR221" s="76"/>
      <c r="QAS221" s="76"/>
      <c r="QAT221" s="76"/>
      <c r="QAU221" s="76"/>
      <c r="QAV221" s="76"/>
      <c r="QAW221" s="76"/>
      <c r="QAX221" s="76"/>
      <c r="QAY221" s="76"/>
      <c r="QAZ221" s="76"/>
      <c r="QBA221" s="76"/>
      <c r="QBB221" s="76"/>
      <c r="QBC221" s="76"/>
      <c r="QBD221" s="76"/>
      <c r="QBE221" s="76"/>
      <c r="QBF221" s="76"/>
      <c r="QBG221" s="76"/>
      <c r="QBH221" s="76"/>
      <c r="QBI221" s="76"/>
      <c r="QBJ221" s="76"/>
      <c r="QBK221" s="76"/>
      <c r="QBL221" s="76"/>
      <c r="QBM221" s="76"/>
      <c r="QBN221" s="76"/>
      <c r="QBO221" s="76"/>
      <c r="QBP221" s="76"/>
      <c r="QBQ221" s="76"/>
      <c r="QBR221" s="76"/>
      <c r="QBS221" s="76"/>
      <c r="QBT221" s="76"/>
      <c r="QBU221" s="76"/>
      <c r="QBV221" s="76"/>
      <c r="QBW221" s="76"/>
      <c r="QBX221" s="76"/>
      <c r="QBY221" s="76"/>
      <c r="QBZ221" s="76"/>
      <c r="QCA221" s="76"/>
      <c r="QCB221" s="76"/>
      <c r="QCC221" s="76"/>
      <c r="QCD221" s="76"/>
      <c r="QCE221" s="76"/>
      <c r="QCF221" s="76"/>
      <c r="QCG221" s="76"/>
      <c r="QCH221" s="76"/>
      <c r="QCI221" s="76"/>
      <c r="QCJ221" s="76"/>
      <c r="QCK221" s="76"/>
      <c r="QCL221" s="76"/>
      <c r="QCM221" s="76"/>
      <c r="QCN221" s="76"/>
      <c r="QCO221" s="76"/>
      <c r="QCP221" s="76"/>
      <c r="QCQ221" s="76"/>
      <c r="QCR221" s="76"/>
      <c r="QCS221" s="76"/>
      <c r="QCT221" s="76"/>
      <c r="QCU221" s="76"/>
      <c r="QCV221" s="76"/>
      <c r="QCW221" s="76"/>
      <c r="QCX221" s="76"/>
      <c r="QCY221" s="76"/>
      <c r="QCZ221" s="76"/>
      <c r="QDA221" s="76"/>
      <c r="QDB221" s="76"/>
      <c r="QDC221" s="76"/>
      <c r="QDD221" s="76"/>
      <c r="QDE221" s="76"/>
      <c r="QDF221" s="76"/>
      <c r="QDG221" s="76"/>
      <c r="QDH221" s="76"/>
      <c r="QDI221" s="76"/>
      <c r="QDJ221" s="76"/>
      <c r="QDK221" s="76"/>
      <c r="QDL221" s="76"/>
      <c r="QDM221" s="76"/>
      <c r="QDN221" s="76"/>
      <c r="QDO221" s="76"/>
      <c r="QDP221" s="76"/>
      <c r="QDQ221" s="76"/>
      <c r="QDR221" s="76"/>
      <c r="QDS221" s="76"/>
      <c r="QDT221" s="76"/>
      <c r="QDU221" s="76"/>
      <c r="QDV221" s="76"/>
      <c r="QDW221" s="76"/>
      <c r="QDX221" s="76"/>
      <c r="QDY221" s="76"/>
      <c r="QDZ221" s="76"/>
      <c r="QEA221" s="76"/>
      <c r="QEB221" s="76"/>
      <c r="QEC221" s="76"/>
      <c r="QED221" s="76"/>
      <c r="QEE221" s="76"/>
      <c r="QEF221" s="76"/>
      <c r="QEG221" s="76"/>
      <c r="QEH221" s="76"/>
      <c r="QEI221" s="76"/>
      <c r="QEJ221" s="76"/>
      <c r="QEK221" s="76"/>
      <c r="QEL221" s="76"/>
      <c r="QEM221" s="76"/>
      <c r="QEN221" s="76"/>
      <c r="QEO221" s="76"/>
      <c r="QEP221" s="76"/>
      <c r="QEQ221" s="76"/>
      <c r="QER221" s="76"/>
      <c r="QES221" s="76"/>
      <c r="QET221" s="76"/>
      <c r="QEU221" s="76"/>
      <c r="QEV221" s="76"/>
      <c r="QEW221" s="76"/>
      <c r="QEX221" s="76"/>
      <c r="QEY221" s="76"/>
      <c r="QEZ221" s="76"/>
      <c r="QFA221" s="76"/>
      <c r="QFB221" s="76"/>
      <c r="QFC221" s="76"/>
      <c r="QFD221" s="76"/>
      <c r="QFE221" s="76"/>
      <c r="QFF221" s="76"/>
      <c r="QFG221" s="76"/>
      <c r="QFH221" s="76"/>
      <c r="QFI221" s="76"/>
      <c r="QFJ221" s="76"/>
      <c r="QFK221" s="76"/>
      <c r="QFL221" s="76"/>
      <c r="QFM221" s="76"/>
      <c r="QFN221" s="76"/>
      <c r="QFO221" s="76"/>
      <c r="QFP221" s="76"/>
      <c r="QFQ221" s="76"/>
      <c r="QFR221" s="76"/>
      <c r="QFS221" s="76"/>
      <c r="QFT221" s="76"/>
      <c r="QFU221" s="76"/>
      <c r="QFV221" s="76"/>
      <c r="QFW221" s="76"/>
      <c r="QFX221" s="76"/>
      <c r="QFY221" s="76"/>
      <c r="QFZ221" s="76"/>
      <c r="QGA221" s="76"/>
      <c r="QGB221" s="76"/>
      <c r="QGC221" s="76"/>
      <c r="QGD221" s="76"/>
      <c r="QGE221" s="76"/>
      <c r="QGF221" s="76"/>
      <c r="QGG221" s="76"/>
      <c r="QGH221" s="76"/>
      <c r="QGI221" s="76"/>
      <c r="QGJ221" s="76"/>
      <c r="QGK221" s="76"/>
      <c r="QGL221" s="76"/>
      <c r="QGM221" s="76"/>
      <c r="QGN221" s="76"/>
      <c r="QGO221" s="76"/>
      <c r="QGP221" s="76"/>
      <c r="QGQ221" s="76"/>
      <c r="QGR221" s="76"/>
      <c r="QGS221" s="76"/>
      <c r="QGT221" s="76"/>
      <c r="QGU221" s="76"/>
      <c r="QGV221" s="76"/>
      <c r="QGW221" s="76"/>
      <c r="QGX221" s="76"/>
      <c r="QGY221" s="76"/>
      <c r="QGZ221" s="76"/>
      <c r="QHA221" s="76"/>
      <c r="QHB221" s="76"/>
      <c r="QHC221" s="76"/>
      <c r="QHD221" s="76"/>
      <c r="QHE221" s="76"/>
      <c r="QHF221" s="76"/>
      <c r="QHG221" s="76"/>
      <c r="QHH221" s="76"/>
      <c r="QHI221" s="76"/>
      <c r="QHJ221" s="76"/>
      <c r="QHK221" s="76"/>
      <c r="QHL221" s="76"/>
      <c r="QHM221" s="76"/>
      <c r="QHN221" s="76"/>
      <c r="QHO221" s="76"/>
      <c r="QHP221" s="76"/>
      <c r="QHQ221" s="76"/>
      <c r="QHR221" s="76"/>
      <c r="QHS221" s="76"/>
      <c r="QHT221" s="76"/>
      <c r="QHU221" s="76"/>
      <c r="QHV221" s="76"/>
      <c r="QHW221" s="76"/>
      <c r="QHX221" s="76"/>
      <c r="QHY221" s="76"/>
      <c r="QHZ221" s="76"/>
      <c r="QIA221" s="76"/>
      <c r="QIB221" s="76"/>
      <c r="QIC221" s="76"/>
      <c r="QID221" s="76"/>
      <c r="QIE221" s="76"/>
      <c r="QIF221" s="76"/>
      <c r="QIG221" s="76"/>
      <c r="QIH221" s="76"/>
      <c r="QII221" s="76"/>
      <c r="QIJ221" s="76"/>
      <c r="QIK221" s="76"/>
      <c r="QIL221" s="76"/>
      <c r="QIM221" s="76"/>
      <c r="QIN221" s="76"/>
      <c r="QIO221" s="76"/>
      <c r="QIP221" s="76"/>
      <c r="QIQ221" s="76"/>
      <c r="QIR221" s="76"/>
      <c r="QIS221" s="76"/>
      <c r="QIT221" s="76"/>
      <c r="QIU221" s="76"/>
      <c r="QIV221" s="76"/>
      <c r="QIW221" s="76"/>
      <c r="QIX221" s="76"/>
      <c r="QIY221" s="76"/>
      <c r="QIZ221" s="76"/>
      <c r="QJA221" s="76"/>
      <c r="QJB221" s="76"/>
      <c r="QJC221" s="76"/>
      <c r="QJD221" s="76"/>
      <c r="QJE221" s="76"/>
      <c r="QJF221" s="76"/>
      <c r="QJG221" s="76"/>
      <c r="QJH221" s="76"/>
      <c r="QJI221" s="76"/>
      <c r="QJJ221" s="76"/>
      <c r="QJK221" s="76"/>
      <c r="QJL221" s="76"/>
      <c r="QJM221" s="76"/>
      <c r="QJN221" s="76"/>
      <c r="QJO221" s="76"/>
      <c r="QJP221" s="76"/>
      <c r="QJQ221" s="76"/>
      <c r="QJR221" s="76"/>
      <c r="QJS221" s="76"/>
      <c r="QJT221" s="76"/>
      <c r="QJU221" s="76"/>
      <c r="QJV221" s="76"/>
      <c r="QJW221" s="76"/>
      <c r="QJX221" s="76"/>
      <c r="QJY221" s="76"/>
      <c r="QJZ221" s="76"/>
      <c r="QKA221" s="76"/>
      <c r="QKB221" s="76"/>
      <c r="QKC221" s="76"/>
      <c r="QKD221" s="76"/>
      <c r="QKE221" s="76"/>
      <c r="QKF221" s="76"/>
      <c r="QKG221" s="76"/>
      <c r="QKH221" s="76"/>
      <c r="QKI221" s="76"/>
      <c r="QKJ221" s="76"/>
      <c r="QKK221" s="76"/>
      <c r="QKL221" s="76"/>
      <c r="QKM221" s="76"/>
      <c r="QKN221" s="76"/>
      <c r="QKO221" s="76"/>
      <c r="QKP221" s="76"/>
      <c r="QKQ221" s="76"/>
      <c r="QKR221" s="76"/>
      <c r="QKS221" s="76"/>
      <c r="QKT221" s="76"/>
      <c r="QKU221" s="76"/>
      <c r="QKV221" s="76"/>
      <c r="QKW221" s="76"/>
      <c r="QKX221" s="76"/>
      <c r="QKY221" s="76"/>
      <c r="QKZ221" s="76"/>
      <c r="QLA221" s="76"/>
      <c r="QLB221" s="76"/>
      <c r="QLC221" s="76"/>
      <c r="QLD221" s="76"/>
      <c r="QLE221" s="76"/>
      <c r="QLF221" s="76"/>
      <c r="QLG221" s="76"/>
      <c r="QLH221" s="76"/>
      <c r="QLI221" s="76"/>
      <c r="QLJ221" s="76"/>
      <c r="QLK221" s="76"/>
      <c r="QLL221" s="76"/>
      <c r="QLM221" s="76"/>
      <c r="QLN221" s="76"/>
      <c r="QLO221" s="76"/>
      <c r="QLP221" s="76"/>
      <c r="QLQ221" s="76"/>
      <c r="QLR221" s="76"/>
      <c r="QLS221" s="76"/>
      <c r="QLT221" s="76"/>
      <c r="QLU221" s="76"/>
      <c r="QLV221" s="76"/>
      <c r="QLW221" s="76"/>
      <c r="QLX221" s="76"/>
      <c r="QLY221" s="76"/>
      <c r="QLZ221" s="76"/>
      <c r="QMA221" s="76"/>
      <c r="QMB221" s="76"/>
      <c r="QMC221" s="76"/>
      <c r="QMD221" s="76"/>
      <c r="QME221" s="76"/>
      <c r="QMF221" s="76"/>
      <c r="QMG221" s="76"/>
      <c r="QMH221" s="76"/>
      <c r="QMI221" s="76"/>
      <c r="QMJ221" s="76"/>
      <c r="QMK221" s="76"/>
      <c r="QML221" s="76"/>
      <c r="QMM221" s="76"/>
      <c r="QMN221" s="76"/>
      <c r="QMO221" s="76"/>
      <c r="QMP221" s="76"/>
      <c r="QMQ221" s="76"/>
      <c r="QMR221" s="76"/>
      <c r="QMS221" s="76"/>
      <c r="QMT221" s="76"/>
      <c r="QMU221" s="76"/>
      <c r="QMV221" s="76"/>
      <c r="QMW221" s="76"/>
      <c r="QMX221" s="76"/>
      <c r="QMY221" s="76"/>
      <c r="QMZ221" s="76"/>
      <c r="QNA221" s="76"/>
      <c r="QNB221" s="76"/>
      <c r="QNC221" s="76"/>
      <c r="QND221" s="76"/>
      <c r="QNE221" s="76"/>
      <c r="QNF221" s="76"/>
      <c r="QNG221" s="76"/>
      <c r="QNH221" s="76"/>
      <c r="QNI221" s="76"/>
      <c r="QNJ221" s="76"/>
      <c r="QNK221" s="76"/>
      <c r="QNL221" s="76"/>
      <c r="QNM221" s="76"/>
      <c r="QNN221" s="76"/>
      <c r="QNO221" s="76"/>
      <c r="QNP221" s="76"/>
      <c r="QNQ221" s="76"/>
      <c r="QNR221" s="76"/>
      <c r="QNS221" s="76"/>
      <c r="QNT221" s="76"/>
      <c r="QNU221" s="76"/>
      <c r="QNV221" s="76"/>
      <c r="QNW221" s="76"/>
      <c r="QNX221" s="76"/>
      <c r="QNY221" s="76"/>
      <c r="QNZ221" s="76"/>
      <c r="QOA221" s="76"/>
      <c r="QOB221" s="76"/>
      <c r="QOC221" s="76"/>
      <c r="QOD221" s="76"/>
      <c r="QOE221" s="76"/>
      <c r="QOF221" s="76"/>
      <c r="QOG221" s="76"/>
      <c r="QOH221" s="76"/>
      <c r="QOI221" s="76"/>
      <c r="QOJ221" s="76"/>
      <c r="QOK221" s="76"/>
      <c r="QOL221" s="76"/>
      <c r="QOM221" s="76"/>
      <c r="QON221" s="76"/>
      <c r="QOO221" s="76"/>
      <c r="QOP221" s="76"/>
      <c r="QOQ221" s="76"/>
      <c r="QOR221" s="76"/>
      <c r="QOS221" s="76"/>
      <c r="QOT221" s="76"/>
      <c r="QOU221" s="76"/>
      <c r="QOV221" s="76"/>
      <c r="QOW221" s="76"/>
      <c r="QOX221" s="76"/>
      <c r="QOY221" s="76"/>
      <c r="QOZ221" s="76"/>
      <c r="QPA221" s="76"/>
      <c r="QPB221" s="76"/>
      <c r="QPC221" s="76"/>
      <c r="QPD221" s="76"/>
      <c r="QPE221" s="76"/>
      <c r="QPF221" s="76"/>
      <c r="QPG221" s="76"/>
      <c r="QPH221" s="76"/>
      <c r="QPI221" s="76"/>
      <c r="QPJ221" s="76"/>
      <c r="QPK221" s="76"/>
      <c r="QPL221" s="76"/>
      <c r="QPM221" s="76"/>
      <c r="QPN221" s="76"/>
      <c r="QPO221" s="76"/>
      <c r="QPP221" s="76"/>
      <c r="QPQ221" s="76"/>
      <c r="QPR221" s="76"/>
      <c r="QPS221" s="76"/>
      <c r="QPT221" s="76"/>
      <c r="QPU221" s="76"/>
      <c r="QPV221" s="76"/>
      <c r="QPW221" s="76"/>
      <c r="QPX221" s="76"/>
      <c r="QPY221" s="76"/>
      <c r="QPZ221" s="76"/>
      <c r="QQA221" s="76"/>
      <c r="QQB221" s="76"/>
      <c r="QQC221" s="76"/>
      <c r="QQD221" s="76"/>
      <c r="QQE221" s="76"/>
      <c r="QQF221" s="76"/>
      <c r="QQG221" s="76"/>
      <c r="QQH221" s="76"/>
      <c r="QQI221" s="76"/>
      <c r="QQJ221" s="76"/>
      <c r="QQK221" s="76"/>
      <c r="QQL221" s="76"/>
      <c r="QQM221" s="76"/>
      <c r="QQN221" s="76"/>
      <c r="QQO221" s="76"/>
      <c r="QQP221" s="76"/>
      <c r="QQQ221" s="76"/>
      <c r="QQR221" s="76"/>
      <c r="QQS221" s="76"/>
      <c r="QQT221" s="76"/>
      <c r="QQU221" s="76"/>
      <c r="QQV221" s="76"/>
      <c r="QQW221" s="76"/>
      <c r="QQX221" s="76"/>
      <c r="QQY221" s="76"/>
      <c r="QQZ221" s="76"/>
      <c r="QRA221" s="76"/>
      <c r="QRB221" s="76"/>
      <c r="QRC221" s="76"/>
      <c r="QRD221" s="76"/>
      <c r="QRE221" s="76"/>
      <c r="QRF221" s="76"/>
      <c r="QRG221" s="76"/>
      <c r="QRH221" s="76"/>
      <c r="QRI221" s="76"/>
      <c r="QRJ221" s="76"/>
      <c r="QRK221" s="76"/>
      <c r="QRL221" s="76"/>
      <c r="QRM221" s="76"/>
      <c r="QRN221" s="76"/>
      <c r="QRO221" s="76"/>
      <c r="QRP221" s="76"/>
      <c r="QRQ221" s="76"/>
      <c r="QRR221" s="76"/>
      <c r="QRS221" s="76"/>
      <c r="QRT221" s="76"/>
      <c r="QRU221" s="76"/>
      <c r="QRV221" s="76"/>
      <c r="QRW221" s="76"/>
      <c r="QRX221" s="76"/>
      <c r="QRY221" s="76"/>
      <c r="QRZ221" s="76"/>
      <c r="QSA221" s="76"/>
      <c r="QSB221" s="76"/>
      <c r="QSC221" s="76"/>
      <c r="QSD221" s="76"/>
      <c r="QSE221" s="76"/>
      <c r="QSF221" s="76"/>
      <c r="QSG221" s="76"/>
      <c r="QSH221" s="76"/>
      <c r="QSI221" s="76"/>
      <c r="QSJ221" s="76"/>
      <c r="QSK221" s="76"/>
      <c r="QSL221" s="76"/>
      <c r="QSM221" s="76"/>
      <c r="QSN221" s="76"/>
      <c r="QSO221" s="76"/>
      <c r="QSP221" s="76"/>
      <c r="QSQ221" s="76"/>
      <c r="QSR221" s="76"/>
      <c r="QSS221" s="76"/>
      <c r="QST221" s="76"/>
      <c r="QSU221" s="76"/>
      <c r="QSV221" s="76"/>
      <c r="QSW221" s="76"/>
      <c r="QSX221" s="76"/>
      <c r="QSY221" s="76"/>
      <c r="QSZ221" s="76"/>
      <c r="QTA221" s="76"/>
      <c r="QTB221" s="76"/>
      <c r="QTC221" s="76"/>
      <c r="QTD221" s="76"/>
      <c r="QTE221" s="76"/>
      <c r="QTF221" s="76"/>
      <c r="QTG221" s="76"/>
      <c r="QTH221" s="76"/>
      <c r="QTI221" s="76"/>
      <c r="QTJ221" s="76"/>
      <c r="QTK221" s="76"/>
      <c r="QTL221" s="76"/>
      <c r="QTM221" s="76"/>
      <c r="QTN221" s="76"/>
      <c r="QTO221" s="76"/>
      <c r="QTP221" s="76"/>
      <c r="QTQ221" s="76"/>
      <c r="QTR221" s="76"/>
      <c r="QTS221" s="76"/>
      <c r="QTT221" s="76"/>
      <c r="QTU221" s="76"/>
      <c r="QTV221" s="76"/>
      <c r="QTW221" s="76"/>
      <c r="QTX221" s="76"/>
      <c r="QTY221" s="76"/>
      <c r="QTZ221" s="76"/>
      <c r="QUA221" s="76"/>
      <c r="QUB221" s="76"/>
      <c r="QUC221" s="76"/>
      <c r="QUD221" s="76"/>
      <c r="QUE221" s="76"/>
      <c r="QUF221" s="76"/>
      <c r="QUG221" s="76"/>
      <c r="QUH221" s="76"/>
      <c r="QUI221" s="76"/>
      <c r="QUJ221" s="76"/>
      <c r="QUK221" s="76"/>
      <c r="QUL221" s="76"/>
      <c r="QUM221" s="76"/>
      <c r="QUN221" s="76"/>
      <c r="QUO221" s="76"/>
      <c r="QUP221" s="76"/>
      <c r="QUQ221" s="76"/>
      <c r="QUR221" s="76"/>
      <c r="QUS221" s="76"/>
      <c r="QUT221" s="76"/>
      <c r="QUU221" s="76"/>
      <c r="QUV221" s="76"/>
      <c r="QUW221" s="76"/>
      <c r="QUX221" s="76"/>
      <c r="QUY221" s="76"/>
      <c r="QUZ221" s="76"/>
      <c r="QVA221" s="76"/>
      <c r="QVB221" s="76"/>
      <c r="QVC221" s="76"/>
      <c r="QVD221" s="76"/>
      <c r="QVE221" s="76"/>
      <c r="QVF221" s="76"/>
      <c r="QVG221" s="76"/>
      <c r="QVH221" s="76"/>
      <c r="QVI221" s="76"/>
      <c r="QVJ221" s="76"/>
      <c r="QVK221" s="76"/>
      <c r="QVL221" s="76"/>
      <c r="QVM221" s="76"/>
      <c r="QVN221" s="76"/>
      <c r="QVO221" s="76"/>
      <c r="QVP221" s="76"/>
      <c r="QVQ221" s="76"/>
      <c r="QVR221" s="76"/>
      <c r="QVS221" s="76"/>
      <c r="QVT221" s="76"/>
      <c r="QVU221" s="76"/>
      <c r="QVV221" s="76"/>
      <c r="QVW221" s="76"/>
      <c r="QVX221" s="76"/>
      <c r="QVY221" s="76"/>
      <c r="QVZ221" s="76"/>
      <c r="QWA221" s="76"/>
      <c r="QWB221" s="76"/>
      <c r="QWC221" s="76"/>
      <c r="QWD221" s="76"/>
      <c r="QWE221" s="76"/>
      <c r="QWF221" s="76"/>
      <c r="QWG221" s="76"/>
      <c r="QWH221" s="76"/>
      <c r="QWI221" s="76"/>
      <c r="QWJ221" s="76"/>
      <c r="QWK221" s="76"/>
      <c r="QWL221" s="76"/>
      <c r="QWM221" s="76"/>
      <c r="QWN221" s="76"/>
      <c r="QWO221" s="76"/>
      <c r="QWP221" s="76"/>
      <c r="QWQ221" s="76"/>
      <c r="QWR221" s="76"/>
      <c r="QWS221" s="76"/>
      <c r="QWT221" s="76"/>
      <c r="QWU221" s="76"/>
      <c r="QWV221" s="76"/>
      <c r="QWW221" s="76"/>
      <c r="QWX221" s="76"/>
      <c r="QWY221" s="76"/>
      <c r="QWZ221" s="76"/>
      <c r="QXA221" s="76"/>
      <c r="QXB221" s="76"/>
      <c r="QXC221" s="76"/>
      <c r="QXD221" s="76"/>
      <c r="QXE221" s="76"/>
      <c r="QXF221" s="76"/>
      <c r="QXG221" s="76"/>
      <c r="QXH221" s="76"/>
      <c r="QXI221" s="76"/>
      <c r="QXJ221" s="76"/>
      <c r="QXK221" s="76"/>
      <c r="QXL221" s="76"/>
      <c r="QXM221" s="76"/>
      <c r="QXN221" s="76"/>
      <c r="QXO221" s="76"/>
      <c r="QXP221" s="76"/>
      <c r="QXQ221" s="76"/>
      <c r="QXR221" s="76"/>
      <c r="QXS221" s="76"/>
      <c r="QXT221" s="76"/>
      <c r="QXU221" s="76"/>
      <c r="QXV221" s="76"/>
      <c r="QXW221" s="76"/>
      <c r="QXX221" s="76"/>
      <c r="QXY221" s="76"/>
      <c r="QXZ221" s="76"/>
      <c r="QYA221" s="76"/>
      <c r="QYB221" s="76"/>
      <c r="QYC221" s="76"/>
      <c r="QYD221" s="76"/>
      <c r="QYE221" s="76"/>
      <c r="QYF221" s="76"/>
      <c r="QYG221" s="76"/>
      <c r="QYH221" s="76"/>
      <c r="QYI221" s="76"/>
      <c r="QYJ221" s="76"/>
      <c r="QYK221" s="76"/>
      <c r="QYL221" s="76"/>
      <c r="QYM221" s="76"/>
      <c r="QYN221" s="76"/>
      <c r="QYO221" s="76"/>
      <c r="QYP221" s="76"/>
      <c r="QYQ221" s="76"/>
      <c r="QYR221" s="76"/>
      <c r="QYS221" s="76"/>
      <c r="QYT221" s="76"/>
      <c r="QYU221" s="76"/>
      <c r="QYV221" s="76"/>
      <c r="QYW221" s="76"/>
      <c r="QYX221" s="76"/>
      <c r="QYY221" s="76"/>
      <c r="QYZ221" s="76"/>
      <c r="QZA221" s="76"/>
      <c r="QZB221" s="76"/>
      <c r="QZC221" s="76"/>
      <c r="QZD221" s="76"/>
      <c r="QZE221" s="76"/>
      <c r="QZF221" s="76"/>
      <c r="QZG221" s="76"/>
      <c r="QZH221" s="76"/>
      <c r="QZI221" s="76"/>
      <c r="QZJ221" s="76"/>
      <c r="QZK221" s="76"/>
      <c r="QZL221" s="76"/>
      <c r="QZM221" s="76"/>
      <c r="QZN221" s="76"/>
      <c r="QZO221" s="76"/>
      <c r="QZP221" s="76"/>
      <c r="QZQ221" s="76"/>
      <c r="QZR221" s="76"/>
      <c r="QZS221" s="76"/>
      <c r="QZT221" s="76"/>
      <c r="QZU221" s="76"/>
      <c r="QZV221" s="76"/>
      <c r="QZW221" s="76"/>
      <c r="QZX221" s="76"/>
      <c r="QZY221" s="76"/>
      <c r="QZZ221" s="76"/>
      <c r="RAA221" s="76"/>
      <c r="RAB221" s="76"/>
      <c r="RAC221" s="76"/>
      <c r="RAD221" s="76"/>
      <c r="RAE221" s="76"/>
      <c r="RAF221" s="76"/>
      <c r="RAG221" s="76"/>
      <c r="RAH221" s="76"/>
      <c r="RAI221" s="76"/>
      <c r="RAJ221" s="76"/>
      <c r="RAK221" s="76"/>
      <c r="RAL221" s="76"/>
      <c r="RAM221" s="76"/>
      <c r="RAN221" s="76"/>
      <c r="RAO221" s="76"/>
      <c r="RAP221" s="76"/>
      <c r="RAQ221" s="76"/>
      <c r="RAR221" s="76"/>
      <c r="RAS221" s="76"/>
      <c r="RAT221" s="76"/>
      <c r="RAU221" s="76"/>
      <c r="RAV221" s="76"/>
      <c r="RAW221" s="76"/>
      <c r="RAX221" s="76"/>
      <c r="RAY221" s="76"/>
      <c r="RAZ221" s="76"/>
      <c r="RBA221" s="76"/>
      <c r="RBB221" s="76"/>
      <c r="RBC221" s="76"/>
      <c r="RBD221" s="76"/>
      <c r="RBE221" s="76"/>
      <c r="RBF221" s="76"/>
      <c r="RBG221" s="76"/>
      <c r="RBH221" s="76"/>
      <c r="RBI221" s="76"/>
      <c r="RBJ221" s="76"/>
      <c r="RBK221" s="76"/>
      <c r="RBL221" s="76"/>
      <c r="RBM221" s="76"/>
      <c r="RBN221" s="76"/>
      <c r="RBO221" s="76"/>
      <c r="RBP221" s="76"/>
      <c r="RBQ221" s="76"/>
      <c r="RBR221" s="76"/>
      <c r="RBS221" s="76"/>
      <c r="RBT221" s="76"/>
      <c r="RBU221" s="76"/>
      <c r="RBV221" s="76"/>
      <c r="RBW221" s="76"/>
      <c r="RBX221" s="76"/>
      <c r="RBY221" s="76"/>
      <c r="RBZ221" s="76"/>
      <c r="RCA221" s="76"/>
      <c r="RCB221" s="76"/>
      <c r="RCC221" s="76"/>
      <c r="RCD221" s="76"/>
      <c r="RCE221" s="76"/>
      <c r="RCF221" s="76"/>
      <c r="RCG221" s="76"/>
      <c r="RCH221" s="76"/>
      <c r="RCI221" s="76"/>
      <c r="RCJ221" s="76"/>
      <c r="RCK221" s="76"/>
      <c r="RCL221" s="76"/>
      <c r="RCM221" s="76"/>
      <c r="RCN221" s="76"/>
      <c r="RCO221" s="76"/>
      <c r="RCP221" s="76"/>
      <c r="RCQ221" s="76"/>
      <c r="RCR221" s="76"/>
      <c r="RCS221" s="76"/>
      <c r="RCT221" s="76"/>
      <c r="RCU221" s="76"/>
      <c r="RCV221" s="76"/>
      <c r="RCW221" s="76"/>
      <c r="RCX221" s="76"/>
      <c r="RCY221" s="76"/>
      <c r="RCZ221" s="76"/>
      <c r="RDA221" s="76"/>
      <c r="RDB221" s="76"/>
      <c r="RDC221" s="76"/>
      <c r="RDD221" s="76"/>
      <c r="RDE221" s="76"/>
      <c r="RDF221" s="76"/>
      <c r="RDG221" s="76"/>
      <c r="RDH221" s="76"/>
      <c r="RDI221" s="76"/>
      <c r="RDJ221" s="76"/>
      <c r="RDK221" s="76"/>
      <c r="RDL221" s="76"/>
      <c r="RDM221" s="76"/>
      <c r="RDN221" s="76"/>
      <c r="RDO221" s="76"/>
      <c r="RDP221" s="76"/>
      <c r="RDQ221" s="76"/>
      <c r="RDR221" s="76"/>
      <c r="RDS221" s="76"/>
      <c r="RDT221" s="76"/>
      <c r="RDU221" s="76"/>
      <c r="RDV221" s="76"/>
      <c r="RDW221" s="76"/>
      <c r="RDX221" s="76"/>
      <c r="RDY221" s="76"/>
      <c r="RDZ221" s="76"/>
      <c r="REA221" s="76"/>
      <c r="REB221" s="76"/>
      <c r="REC221" s="76"/>
      <c r="RED221" s="76"/>
      <c r="REE221" s="76"/>
      <c r="REF221" s="76"/>
      <c r="REG221" s="76"/>
      <c r="REH221" s="76"/>
      <c r="REI221" s="76"/>
      <c r="REJ221" s="76"/>
      <c r="REK221" s="76"/>
      <c r="REL221" s="76"/>
      <c r="REM221" s="76"/>
      <c r="REN221" s="76"/>
      <c r="REO221" s="76"/>
      <c r="REP221" s="76"/>
      <c r="REQ221" s="76"/>
      <c r="RER221" s="76"/>
      <c r="RES221" s="76"/>
      <c r="RET221" s="76"/>
      <c r="REU221" s="76"/>
      <c r="REV221" s="76"/>
      <c r="REW221" s="76"/>
      <c r="REX221" s="76"/>
      <c r="REY221" s="76"/>
      <c r="REZ221" s="76"/>
      <c r="RFA221" s="76"/>
      <c r="RFB221" s="76"/>
      <c r="RFC221" s="76"/>
      <c r="RFD221" s="76"/>
      <c r="RFE221" s="76"/>
      <c r="RFF221" s="76"/>
      <c r="RFG221" s="76"/>
      <c r="RFH221" s="76"/>
      <c r="RFI221" s="76"/>
      <c r="RFJ221" s="76"/>
      <c r="RFK221" s="76"/>
      <c r="RFL221" s="76"/>
      <c r="RFM221" s="76"/>
      <c r="RFN221" s="76"/>
      <c r="RFO221" s="76"/>
      <c r="RFP221" s="76"/>
      <c r="RFQ221" s="76"/>
      <c r="RFR221" s="76"/>
      <c r="RFS221" s="76"/>
      <c r="RFT221" s="76"/>
      <c r="RFU221" s="76"/>
      <c r="RFV221" s="76"/>
      <c r="RFW221" s="76"/>
      <c r="RFX221" s="76"/>
      <c r="RFY221" s="76"/>
      <c r="RFZ221" s="76"/>
      <c r="RGA221" s="76"/>
      <c r="RGB221" s="76"/>
      <c r="RGC221" s="76"/>
      <c r="RGD221" s="76"/>
      <c r="RGE221" s="76"/>
      <c r="RGF221" s="76"/>
      <c r="RGG221" s="76"/>
      <c r="RGH221" s="76"/>
      <c r="RGI221" s="76"/>
      <c r="RGJ221" s="76"/>
      <c r="RGK221" s="76"/>
      <c r="RGL221" s="76"/>
      <c r="RGM221" s="76"/>
      <c r="RGN221" s="76"/>
      <c r="RGO221" s="76"/>
      <c r="RGP221" s="76"/>
      <c r="RGQ221" s="76"/>
      <c r="RGR221" s="76"/>
      <c r="RGS221" s="76"/>
      <c r="RGT221" s="76"/>
      <c r="RGU221" s="76"/>
      <c r="RGV221" s="76"/>
      <c r="RGW221" s="76"/>
      <c r="RGX221" s="76"/>
      <c r="RGY221" s="76"/>
      <c r="RGZ221" s="76"/>
      <c r="RHA221" s="76"/>
      <c r="RHB221" s="76"/>
      <c r="RHC221" s="76"/>
      <c r="RHD221" s="76"/>
      <c r="RHE221" s="76"/>
      <c r="RHF221" s="76"/>
      <c r="RHG221" s="76"/>
      <c r="RHH221" s="76"/>
      <c r="RHI221" s="76"/>
      <c r="RHJ221" s="76"/>
      <c r="RHK221" s="76"/>
      <c r="RHL221" s="76"/>
      <c r="RHM221" s="76"/>
      <c r="RHN221" s="76"/>
      <c r="RHO221" s="76"/>
      <c r="RHP221" s="76"/>
      <c r="RHQ221" s="76"/>
      <c r="RHR221" s="76"/>
      <c r="RHS221" s="76"/>
      <c r="RHT221" s="76"/>
      <c r="RHU221" s="76"/>
      <c r="RHV221" s="76"/>
      <c r="RHW221" s="76"/>
      <c r="RHX221" s="76"/>
      <c r="RHY221" s="76"/>
      <c r="RHZ221" s="76"/>
      <c r="RIA221" s="76"/>
      <c r="RIB221" s="76"/>
      <c r="RIC221" s="76"/>
      <c r="RID221" s="76"/>
      <c r="RIE221" s="76"/>
      <c r="RIF221" s="76"/>
      <c r="RIG221" s="76"/>
      <c r="RIH221" s="76"/>
      <c r="RII221" s="76"/>
      <c r="RIJ221" s="76"/>
      <c r="RIK221" s="76"/>
      <c r="RIL221" s="76"/>
      <c r="RIM221" s="76"/>
      <c r="RIN221" s="76"/>
      <c r="RIO221" s="76"/>
      <c r="RIP221" s="76"/>
      <c r="RIQ221" s="76"/>
      <c r="RIR221" s="76"/>
      <c r="RIS221" s="76"/>
      <c r="RIT221" s="76"/>
      <c r="RIU221" s="76"/>
      <c r="RIV221" s="76"/>
      <c r="RIW221" s="76"/>
      <c r="RIX221" s="76"/>
      <c r="RIY221" s="76"/>
      <c r="RIZ221" s="76"/>
      <c r="RJA221" s="76"/>
      <c r="RJB221" s="76"/>
      <c r="RJC221" s="76"/>
      <c r="RJD221" s="76"/>
      <c r="RJE221" s="76"/>
      <c r="RJF221" s="76"/>
      <c r="RJG221" s="76"/>
      <c r="RJH221" s="76"/>
      <c r="RJI221" s="76"/>
      <c r="RJJ221" s="76"/>
      <c r="RJK221" s="76"/>
      <c r="RJL221" s="76"/>
      <c r="RJM221" s="76"/>
      <c r="RJN221" s="76"/>
      <c r="RJO221" s="76"/>
      <c r="RJP221" s="76"/>
      <c r="RJQ221" s="76"/>
      <c r="RJR221" s="76"/>
      <c r="RJS221" s="76"/>
      <c r="RJT221" s="76"/>
      <c r="RJU221" s="76"/>
      <c r="RJV221" s="76"/>
      <c r="RJW221" s="76"/>
      <c r="RJX221" s="76"/>
      <c r="RJY221" s="76"/>
      <c r="RJZ221" s="76"/>
      <c r="RKA221" s="76"/>
      <c r="RKB221" s="76"/>
      <c r="RKC221" s="76"/>
      <c r="RKD221" s="76"/>
      <c r="RKE221" s="76"/>
      <c r="RKF221" s="76"/>
      <c r="RKG221" s="76"/>
      <c r="RKH221" s="76"/>
      <c r="RKI221" s="76"/>
      <c r="RKJ221" s="76"/>
      <c r="RKK221" s="76"/>
      <c r="RKL221" s="76"/>
      <c r="RKM221" s="76"/>
      <c r="RKN221" s="76"/>
      <c r="RKO221" s="76"/>
      <c r="RKP221" s="76"/>
      <c r="RKQ221" s="76"/>
      <c r="RKR221" s="76"/>
      <c r="RKS221" s="76"/>
      <c r="RKT221" s="76"/>
      <c r="RKU221" s="76"/>
      <c r="RKV221" s="76"/>
      <c r="RKW221" s="76"/>
      <c r="RKX221" s="76"/>
      <c r="RKY221" s="76"/>
      <c r="RKZ221" s="76"/>
      <c r="RLA221" s="76"/>
      <c r="RLB221" s="76"/>
      <c r="RLC221" s="76"/>
      <c r="RLD221" s="76"/>
      <c r="RLE221" s="76"/>
      <c r="RLF221" s="76"/>
      <c r="RLG221" s="76"/>
      <c r="RLH221" s="76"/>
      <c r="RLI221" s="76"/>
      <c r="RLJ221" s="76"/>
      <c r="RLK221" s="76"/>
      <c r="RLL221" s="76"/>
      <c r="RLM221" s="76"/>
      <c r="RLN221" s="76"/>
      <c r="RLO221" s="76"/>
      <c r="RLP221" s="76"/>
      <c r="RLQ221" s="76"/>
      <c r="RLR221" s="76"/>
      <c r="RLS221" s="76"/>
      <c r="RLT221" s="76"/>
      <c r="RLU221" s="76"/>
      <c r="RLV221" s="76"/>
      <c r="RLW221" s="76"/>
      <c r="RLX221" s="76"/>
      <c r="RLY221" s="76"/>
      <c r="RLZ221" s="76"/>
      <c r="RMA221" s="76"/>
      <c r="RMB221" s="76"/>
      <c r="RMC221" s="76"/>
      <c r="RMD221" s="76"/>
      <c r="RME221" s="76"/>
      <c r="RMF221" s="76"/>
      <c r="RMG221" s="76"/>
      <c r="RMH221" s="76"/>
      <c r="RMI221" s="76"/>
      <c r="RMJ221" s="76"/>
      <c r="RMK221" s="76"/>
      <c r="RML221" s="76"/>
      <c r="RMM221" s="76"/>
      <c r="RMN221" s="76"/>
      <c r="RMO221" s="76"/>
      <c r="RMP221" s="76"/>
      <c r="RMQ221" s="76"/>
      <c r="RMR221" s="76"/>
      <c r="RMS221" s="76"/>
      <c r="RMT221" s="76"/>
      <c r="RMU221" s="76"/>
      <c r="RMV221" s="76"/>
      <c r="RMW221" s="76"/>
      <c r="RMX221" s="76"/>
      <c r="RMY221" s="76"/>
      <c r="RMZ221" s="76"/>
      <c r="RNA221" s="76"/>
      <c r="RNB221" s="76"/>
      <c r="RNC221" s="76"/>
      <c r="RND221" s="76"/>
      <c r="RNE221" s="76"/>
      <c r="RNF221" s="76"/>
      <c r="RNG221" s="76"/>
      <c r="RNH221" s="76"/>
      <c r="RNI221" s="76"/>
      <c r="RNJ221" s="76"/>
      <c r="RNK221" s="76"/>
      <c r="RNL221" s="76"/>
      <c r="RNM221" s="76"/>
      <c r="RNN221" s="76"/>
      <c r="RNO221" s="76"/>
      <c r="RNP221" s="76"/>
      <c r="RNQ221" s="76"/>
      <c r="RNR221" s="76"/>
      <c r="RNS221" s="76"/>
      <c r="RNT221" s="76"/>
      <c r="RNU221" s="76"/>
      <c r="RNV221" s="76"/>
      <c r="RNW221" s="76"/>
      <c r="RNX221" s="76"/>
      <c r="RNY221" s="76"/>
      <c r="RNZ221" s="76"/>
      <c r="ROA221" s="76"/>
      <c r="ROB221" s="76"/>
      <c r="ROC221" s="76"/>
      <c r="ROD221" s="76"/>
      <c r="ROE221" s="76"/>
      <c r="ROF221" s="76"/>
      <c r="ROG221" s="76"/>
      <c r="ROH221" s="76"/>
      <c r="ROI221" s="76"/>
      <c r="ROJ221" s="76"/>
      <c r="ROK221" s="76"/>
      <c r="ROL221" s="76"/>
      <c r="ROM221" s="76"/>
      <c r="RON221" s="76"/>
      <c r="ROO221" s="76"/>
      <c r="ROP221" s="76"/>
      <c r="ROQ221" s="76"/>
      <c r="ROR221" s="76"/>
      <c r="ROS221" s="76"/>
      <c r="ROT221" s="76"/>
      <c r="ROU221" s="76"/>
      <c r="ROV221" s="76"/>
      <c r="ROW221" s="76"/>
      <c r="ROX221" s="76"/>
      <c r="ROY221" s="76"/>
      <c r="ROZ221" s="76"/>
      <c r="RPA221" s="76"/>
      <c r="RPB221" s="76"/>
      <c r="RPC221" s="76"/>
      <c r="RPD221" s="76"/>
      <c r="RPE221" s="76"/>
      <c r="RPF221" s="76"/>
      <c r="RPG221" s="76"/>
      <c r="RPH221" s="76"/>
      <c r="RPI221" s="76"/>
      <c r="RPJ221" s="76"/>
      <c r="RPK221" s="76"/>
      <c r="RPL221" s="76"/>
      <c r="RPM221" s="76"/>
      <c r="RPN221" s="76"/>
      <c r="RPO221" s="76"/>
      <c r="RPP221" s="76"/>
      <c r="RPQ221" s="76"/>
      <c r="RPR221" s="76"/>
      <c r="RPS221" s="76"/>
      <c r="RPT221" s="76"/>
      <c r="RPU221" s="76"/>
      <c r="RPV221" s="76"/>
      <c r="RPW221" s="76"/>
      <c r="RPX221" s="76"/>
      <c r="RPY221" s="76"/>
      <c r="RPZ221" s="76"/>
      <c r="RQA221" s="76"/>
      <c r="RQB221" s="76"/>
      <c r="RQC221" s="76"/>
      <c r="RQD221" s="76"/>
      <c r="RQE221" s="76"/>
      <c r="RQF221" s="76"/>
      <c r="RQG221" s="76"/>
      <c r="RQH221" s="76"/>
      <c r="RQI221" s="76"/>
      <c r="RQJ221" s="76"/>
      <c r="RQK221" s="76"/>
      <c r="RQL221" s="76"/>
      <c r="RQM221" s="76"/>
      <c r="RQN221" s="76"/>
      <c r="RQO221" s="76"/>
      <c r="RQP221" s="76"/>
      <c r="RQQ221" s="76"/>
      <c r="RQR221" s="76"/>
      <c r="RQS221" s="76"/>
      <c r="RQT221" s="76"/>
      <c r="RQU221" s="76"/>
      <c r="RQV221" s="76"/>
      <c r="RQW221" s="76"/>
      <c r="RQX221" s="76"/>
      <c r="RQY221" s="76"/>
      <c r="RQZ221" s="76"/>
      <c r="RRA221" s="76"/>
      <c r="RRB221" s="76"/>
      <c r="RRC221" s="76"/>
      <c r="RRD221" s="76"/>
      <c r="RRE221" s="76"/>
      <c r="RRF221" s="76"/>
      <c r="RRG221" s="76"/>
      <c r="RRH221" s="76"/>
      <c r="RRI221" s="76"/>
      <c r="RRJ221" s="76"/>
      <c r="RRK221" s="76"/>
      <c r="RRL221" s="76"/>
      <c r="RRM221" s="76"/>
      <c r="RRN221" s="76"/>
      <c r="RRO221" s="76"/>
      <c r="RRP221" s="76"/>
      <c r="RRQ221" s="76"/>
      <c r="RRR221" s="76"/>
      <c r="RRS221" s="76"/>
      <c r="RRT221" s="76"/>
      <c r="RRU221" s="76"/>
      <c r="RRV221" s="76"/>
      <c r="RRW221" s="76"/>
      <c r="RRX221" s="76"/>
      <c r="RRY221" s="76"/>
      <c r="RRZ221" s="76"/>
      <c r="RSA221" s="76"/>
      <c r="RSB221" s="76"/>
      <c r="RSC221" s="76"/>
      <c r="RSD221" s="76"/>
      <c r="RSE221" s="76"/>
      <c r="RSF221" s="76"/>
      <c r="RSG221" s="76"/>
      <c r="RSH221" s="76"/>
      <c r="RSI221" s="76"/>
      <c r="RSJ221" s="76"/>
      <c r="RSK221" s="76"/>
      <c r="RSL221" s="76"/>
      <c r="RSM221" s="76"/>
      <c r="RSN221" s="76"/>
      <c r="RSO221" s="76"/>
      <c r="RSP221" s="76"/>
      <c r="RSQ221" s="76"/>
      <c r="RSR221" s="76"/>
      <c r="RSS221" s="76"/>
      <c r="RST221" s="76"/>
      <c r="RSU221" s="76"/>
      <c r="RSV221" s="76"/>
      <c r="RSW221" s="76"/>
      <c r="RSX221" s="76"/>
      <c r="RSY221" s="76"/>
      <c r="RSZ221" s="76"/>
      <c r="RTA221" s="76"/>
      <c r="RTB221" s="76"/>
      <c r="RTC221" s="76"/>
      <c r="RTD221" s="76"/>
      <c r="RTE221" s="76"/>
      <c r="RTF221" s="76"/>
      <c r="RTG221" s="76"/>
      <c r="RTH221" s="76"/>
      <c r="RTI221" s="76"/>
      <c r="RTJ221" s="76"/>
      <c r="RTK221" s="76"/>
      <c r="RTL221" s="76"/>
      <c r="RTM221" s="76"/>
      <c r="RTN221" s="76"/>
      <c r="RTO221" s="76"/>
      <c r="RTP221" s="76"/>
      <c r="RTQ221" s="76"/>
      <c r="RTR221" s="76"/>
      <c r="RTS221" s="76"/>
      <c r="RTT221" s="76"/>
      <c r="RTU221" s="76"/>
      <c r="RTV221" s="76"/>
      <c r="RTW221" s="76"/>
      <c r="RTX221" s="76"/>
      <c r="RTY221" s="76"/>
      <c r="RTZ221" s="76"/>
      <c r="RUA221" s="76"/>
      <c r="RUB221" s="76"/>
      <c r="RUC221" s="76"/>
      <c r="RUD221" s="76"/>
      <c r="RUE221" s="76"/>
      <c r="RUF221" s="76"/>
      <c r="RUG221" s="76"/>
      <c r="RUH221" s="76"/>
      <c r="RUI221" s="76"/>
      <c r="RUJ221" s="76"/>
      <c r="RUK221" s="76"/>
      <c r="RUL221" s="76"/>
      <c r="RUM221" s="76"/>
      <c r="RUN221" s="76"/>
      <c r="RUO221" s="76"/>
      <c r="RUP221" s="76"/>
      <c r="RUQ221" s="76"/>
      <c r="RUR221" s="76"/>
      <c r="RUS221" s="76"/>
      <c r="RUT221" s="76"/>
      <c r="RUU221" s="76"/>
      <c r="RUV221" s="76"/>
      <c r="RUW221" s="76"/>
      <c r="RUX221" s="76"/>
      <c r="RUY221" s="76"/>
      <c r="RUZ221" s="76"/>
      <c r="RVA221" s="76"/>
      <c r="RVB221" s="76"/>
      <c r="RVC221" s="76"/>
      <c r="RVD221" s="76"/>
      <c r="RVE221" s="76"/>
      <c r="RVF221" s="76"/>
      <c r="RVG221" s="76"/>
      <c r="RVH221" s="76"/>
      <c r="RVI221" s="76"/>
      <c r="RVJ221" s="76"/>
      <c r="RVK221" s="76"/>
      <c r="RVL221" s="76"/>
      <c r="RVM221" s="76"/>
      <c r="RVN221" s="76"/>
      <c r="RVO221" s="76"/>
      <c r="RVP221" s="76"/>
      <c r="RVQ221" s="76"/>
      <c r="RVR221" s="76"/>
      <c r="RVS221" s="76"/>
      <c r="RVT221" s="76"/>
      <c r="RVU221" s="76"/>
      <c r="RVV221" s="76"/>
      <c r="RVW221" s="76"/>
      <c r="RVX221" s="76"/>
      <c r="RVY221" s="76"/>
      <c r="RVZ221" s="76"/>
      <c r="RWA221" s="76"/>
      <c r="RWB221" s="76"/>
      <c r="RWC221" s="76"/>
      <c r="RWD221" s="76"/>
      <c r="RWE221" s="76"/>
      <c r="RWF221" s="76"/>
      <c r="RWG221" s="76"/>
      <c r="RWH221" s="76"/>
      <c r="RWI221" s="76"/>
      <c r="RWJ221" s="76"/>
      <c r="RWK221" s="76"/>
      <c r="RWL221" s="76"/>
      <c r="RWM221" s="76"/>
      <c r="RWN221" s="76"/>
      <c r="RWO221" s="76"/>
      <c r="RWP221" s="76"/>
      <c r="RWQ221" s="76"/>
      <c r="RWR221" s="76"/>
      <c r="RWS221" s="76"/>
      <c r="RWT221" s="76"/>
      <c r="RWU221" s="76"/>
      <c r="RWV221" s="76"/>
      <c r="RWW221" s="76"/>
      <c r="RWX221" s="76"/>
      <c r="RWY221" s="76"/>
      <c r="RWZ221" s="76"/>
      <c r="RXA221" s="76"/>
      <c r="RXB221" s="76"/>
      <c r="RXC221" s="76"/>
      <c r="RXD221" s="76"/>
      <c r="RXE221" s="76"/>
      <c r="RXF221" s="76"/>
      <c r="RXG221" s="76"/>
      <c r="RXH221" s="76"/>
      <c r="RXI221" s="76"/>
      <c r="RXJ221" s="76"/>
      <c r="RXK221" s="76"/>
      <c r="RXL221" s="76"/>
      <c r="RXM221" s="76"/>
      <c r="RXN221" s="76"/>
      <c r="RXO221" s="76"/>
      <c r="RXP221" s="76"/>
      <c r="RXQ221" s="76"/>
      <c r="RXR221" s="76"/>
      <c r="RXS221" s="76"/>
      <c r="RXT221" s="76"/>
      <c r="RXU221" s="76"/>
      <c r="RXV221" s="76"/>
      <c r="RXW221" s="76"/>
      <c r="RXX221" s="76"/>
      <c r="RXY221" s="76"/>
      <c r="RXZ221" s="76"/>
      <c r="RYA221" s="76"/>
      <c r="RYB221" s="76"/>
      <c r="RYC221" s="76"/>
      <c r="RYD221" s="76"/>
      <c r="RYE221" s="76"/>
      <c r="RYF221" s="76"/>
      <c r="RYG221" s="76"/>
      <c r="RYH221" s="76"/>
      <c r="RYI221" s="76"/>
      <c r="RYJ221" s="76"/>
      <c r="RYK221" s="76"/>
      <c r="RYL221" s="76"/>
      <c r="RYM221" s="76"/>
      <c r="RYN221" s="76"/>
      <c r="RYO221" s="76"/>
      <c r="RYP221" s="76"/>
      <c r="RYQ221" s="76"/>
      <c r="RYR221" s="76"/>
      <c r="RYS221" s="76"/>
      <c r="RYT221" s="76"/>
      <c r="RYU221" s="76"/>
      <c r="RYV221" s="76"/>
      <c r="RYW221" s="76"/>
      <c r="RYX221" s="76"/>
      <c r="RYY221" s="76"/>
      <c r="RYZ221" s="76"/>
      <c r="RZA221" s="76"/>
      <c r="RZB221" s="76"/>
      <c r="RZC221" s="76"/>
      <c r="RZD221" s="76"/>
      <c r="RZE221" s="76"/>
      <c r="RZF221" s="76"/>
      <c r="RZG221" s="76"/>
      <c r="RZH221" s="76"/>
      <c r="RZI221" s="76"/>
      <c r="RZJ221" s="76"/>
      <c r="RZK221" s="76"/>
      <c r="RZL221" s="76"/>
      <c r="RZM221" s="76"/>
      <c r="RZN221" s="76"/>
      <c r="RZO221" s="76"/>
      <c r="RZP221" s="76"/>
      <c r="RZQ221" s="76"/>
      <c r="RZR221" s="76"/>
      <c r="RZS221" s="76"/>
      <c r="RZT221" s="76"/>
      <c r="RZU221" s="76"/>
      <c r="RZV221" s="76"/>
      <c r="RZW221" s="76"/>
      <c r="RZX221" s="76"/>
      <c r="RZY221" s="76"/>
      <c r="RZZ221" s="76"/>
      <c r="SAA221" s="76"/>
      <c r="SAB221" s="76"/>
      <c r="SAC221" s="76"/>
      <c r="SAD221" s="76"/>
      <c r="SAE221" s="76"/>
      <c r="SAF221" s="76"/>
      <c r="SAG221" s="76"/>
      <c r="SAH221" s="76"/>
      <c r="SAI221" s="76"/>
      <c r="SAJ221" s="76"/>
      <c r="SAK221" s="76"/>
      <c r="SAL221" s="76"/>
      <c r="SAM221" s="76"/>
      <c r="SAN221" s="76"/>
      <c r="SAO221" s="76"/>
      <c r="SAP221" s="76"/>
      <c r="SAQ221" s="76"/>
      <c r="SAR221" s="76"/>
      <c r="SAS221" s="76"/>
      <c r="SAT221" s="76"/>
      <c r="SAU221" s="76"/>
      <c r="SAV221" s="76"/>
      <c r="SAW221" s="76"/>
      <c r="SAX221" s="76"/>
      <c r="SAY221" s="76"/>
      <c r="SAZ221" s="76"/>
      <c r="SBA221" s="76"/>
      <c r="SBB221" s="76"/>
      <c r="SBC221" s="76"/>
      <c r="SBD221" s="76"/>
      <c r="SBE221" s="76"/>
      <c r="SBF221" s="76"/>
      <c r="SBG221" s="76"/>
      <c r="SBH221" s="76"/>
      <c r="SBI221" s="76"/>
      <c r="SBJ221" s="76"/>
      <c r="SBK221" s="76"/>
      <c r="SBL221" s="76"/>
      <c r="SBM221" s="76"/>
      <c r="SBN221" s="76"/>
      <c r="SBO221" s="76"/>
      <c r="SBP221" s="76"/>
      <c r="SBQ221" s="76"/>
      <c r="SBR221" s="76"/>
      <c r="SBS221" s="76"/>
      <c r="SBT221" s="76"/>
      <c r="SBU221" s="76"/>
      <c r="SBV221" s="76"/>
      <c r="SBW221" s="76"/>
      <c r="SBX221" s="76"/>
      <c r="SBY221" s="76"/>
      <c r="SBZ221" s="76"/>
      <c r="SCA221" s="76"/>
      <c r="SCB221" s="76"/>
      <c r="SCC221" s="76"/>
      <c r="SCD221" s="76"/>
      <c r="SCE221" s="76"/>
      <c r="SCF221" s="76"/>
      <c r="SCG221" s="76"/>
      <c r="SCH221" s="76"/>
      <c r="SCI221" s="76"/>
      <c r="SCJ221" s="76"/>
      <c r="SCK221" s="76"/>
      <c r="SCL221" s="76"/>
      <c r="SCM221" s="76"/>
      <c r="SCN221" s="76"/>
      <c r="SCO221" s="76"/>
      <c r="SCP221" s="76"/>
      <c r="SCQ221" s="76"/>
      <c r="SCR221" s="76"/>
      <c r="SCS221" s="76"/>
      <c r="SCT221" s="76"/>
      <c r="SCU221" s="76"/>
      <c r="SCV221" s="76"/>
      <c r="SCW221" s="76"/>
      <c r="SCX221" s="76"/>
      <c r="SCY221" s="76"/>
      <c r="SCZ221" s="76"/>
      <c r="SDA221" s="76"/>
      <c r="SDB221" s="76"/>
      <c r="SDC221" s="76"/>
      <c r="SDD221" s="76"/>
      <c r="SDE221" s="76"/>
      <c r="SDF221" s="76"/>
      <c r="SDG221" s="76"/>
      <c r="SDH221" s="76"/>
      <c r="SDI221" s="76"/>
      <c r="SDJ221" s="76"/>
      <c r="SDK221" s="76"/>
      <c r="SDL221" s="76"/>
      <c r="SDM221" s="76"/>
      <c r="SDN221" s="76"/>
      <c r="SDO221" s="76"/>
      <c r="SDP221" s="76"/>
      <c r="SDQ221" s="76"/>
      <c r="SDR221" s="76"/>
      <c r="SDS221" s="76"/>
      <c r="SDT221" s="76"/>
      <c r="SDU221" s="76"/>
      <c r="SDV221" s="76"/>
      <c r="SDW221" s="76"/>
      <c r="SDX221" s="76"/>
      <c r="SDY221" s="76"/>
      <c r="SDZ221" s="76"/>
      <c r="SEA221" s="76"/>
      <c r="SEB221" s="76"/>
      <c r="SEC221" s="76"/>
      <c r="SED221" s="76"/>
      <c r="SEE221" s="76"/>
      <c r="SEF221" s="76"/>
      <c r="SEG221" s="76"/>
      <c r="SEH221" s="76"/>
      <c r="SEI221" s="76"/>
      <c r="SEJ221" s="76"/>
      <c r="SEK221" s="76"/>
      <c r="SEL221" s="76"/>
      <c r="SEM221" s="76"/>
      <c r="SEN221" s="76"/>
      <c r="SEO221" s="76"/>
      <c r="SEP221" s="76"/>
      <c r="SEQ221" s="76"/>
      <c r="SER221" s="76"/>
      <c r="SES221" s="76"/>
      <c r="SET221" s="76"/>
      <c r="SEU221" s="76"/>
      <c r="SEV221" s="76"/>
      <c r="SEW221" s="76"/>
      <c r="SEX221" s="76"/>
      <c r="SEY221" s="76"/>
      <c r="SEZ221" s="76"/>
      <c r="SFA221" s="76"/>
      <c r="SFB221" s="76"/>
      <c r="SFC221" s="76"/>
      <c r="SFD221" s="76"/>
      <c r="SFE221" s="76"/>
      <c r="SFF221" s="76"/>
      <c r="SFG221" s="76"/>
      <c r="SFH221" s="76"/>
      <c r="SFI221" s="76"/>
      <c r="SFJ221" s="76"/>
      <c r="SFK221" s="76"/>
      <c r="SFL221" s="76"/>
      <c r="SFM221" s="76"/>
      <c r="SFN221" s="76"/>
      <c r="SFO221" s="76"/>
      <c r="SFP221" s="76"/>
      <c r="SFQ221" s="76"/>
      <c r="SFR221" s="76"/>
      <c r="SFS221" s="76"/>
      <c r="SFT221" s="76"/>
      <c r="SFU221" s="76"/>
      <c r="SFV221" s="76"/>
      <c r="SFW221" s="76"/>
      <c r="SFX221" s="76"/>
      <c r="SFY221" s="76"/>
      <c r="SFZ221" s="76"/>
      <c r="SGA221" s="76"/>
      <c r="SGB221" s="76"/>
      <c r="SGC221" s="76"/>
      <c r="SGD221" s="76"/>
      <c r="SGE221" s="76"/>
      <c r="SGF221" s="76"/>
      <c r="SGG221" s="76"/>
      <c r="SGH221" s="76"/>
      <c r="SGI221" s="76"/>
      <c r="SGJ221" s="76"/>
      <c r="SGK221" s="76"/>
      <c r="SGL221" s="76"/>
      <c r="SGM221" s="76"/>
      <c r="SGN221" s="76"/>
      <c r="SGO221" s="76"/>
      <c r="SGP221" s="76"/>
      <c r="SGQ221" s="76"/>
      <c r="SGR221" s="76"/>
      <c r="SGS221" s="76"/>
      <c r="SGT221" s="76"/>
      <c r="SGU221" s="76"/>
      <c r="SGV221" s="76"/>
      <c r="SGW221" s="76"/>
      <c r="SGX221" s="76"/>
      <c r="SGY221" s="76"/>
      <c r="SGZ221" s="76"/>
      <c r="SHA221" s="76"/>
      <c r="SHB221" s="76"/>
      <c r="SHC221" s="76"/>
      <c r="SHD221" s="76"/>
      <c r="SHE221" s="76"/>
      <c r="SHF221" s="76"/>
      <c r="SHG221" s="76"/>
      <c r="SHH221" s="76"/>
      <c r="SHI221" s="76"/>
      <c r="SHJ221" s="76"/>
      <c r="SHK221" s="76"/>
      <c r="SHL221" s="76"/>
      <c r="SHM221" s="76"/>
      <c r="SHN221" s="76"/>
      <c r="SHO221" s="76"/>
      <c r="SHP221" s="76"/>
      <c r="SHQ221" s="76"/>
      <c r="SHR221" s="76"/>
      <c r="SHS221" s="76"/>
      <c r="SHT221" s="76"/>
      <c r="SHU221" s="76"/>
      <c r="SHV221" s="76"/>
      <c r="SHW221" s="76"/>
      <c r="SHX221" s="76"/>
      <c r="SHY221" s="76"/>
      <c r="SHZ221" s="76"/>
      <c r="SIA221" s="76"/>
      <c r="SIB221" s="76"/>
      <c r="SIC221" s="76"/>
      <c r="SID221" s="76"/>
      <c r="SIE221" s="76"/>
      <c r="SIF221" s="76"/>
      <c r="SIG221" s="76"/>
      <c r="SIH221" s="76"/>
      <c r="SII221" s="76"/>
      <c r="SIJ221" s="76"/>
      <c r="SIK221" s="76"/>
      <c r="SIL221" s="76"/>
      <c r="SIM221" s="76"/>
      <c r="SIN221" s="76"/>
      <c r="SIO221" s="76"/>
      <c r="SIP221" s="76"/>
      <c r="SIQ221" s="76"/>
      <c r="SIR221" s="76"/>
      <c r="SIS221" s="76"/>
      <c r="SIT221" s="76"/>
      <c r="SIU221" s="76"/>
      <c r="SIV221" s="76"/>
      <c r="SIW221" s="76"/>
      <c r="SIX221" s="76"/>
      <c r="SIY221" s="76"/>
      <c r="SIZ221" s="76"/>
      <c r="SJA221" s="76"/>
      <c r="SJB221" s="76"/>
      <c r="SJC221" s="76"/>
      <c r="SJD221" s="76"/>
      <c r="SJE221" s="76"/>
      <c r="SJF221" s="76"/>
      <c r="SJG221" s="76"/>
      <c r="SJH221" s="76"/>
      <c r="SJI221" s="76"/>
      <c r="SJJ221" s="76"/>
      <c r="SJK221" s="76"/>
      <c r="SJL221" s="76"/>
      <c r="SJM221" s="76"/>
      <c r="SJN221" s="76"/>
      <c r="SJO221" s="76"/>
      <c r="SJP221" s="76"/>
      <c r="SJQ221" s="76"/>
      <c r="SJR221" s="76"/>
      <c r="SJS221" s="76"/>
      <c r="SJT221" s="76"/>
      <c r="SJU221" s="76"/>
      <c r="SJV221" s="76"/>
      <c r="SJW221" s="76"/>
      <c r="SJX221" s="76"/>
      <c r="SJY221" s="76"/>
      <c r="SJZ221" s="76"/>
      <c r="SKA221" s="76"/>
      <c r="SKB221" s="76"/>
      <c r="SKC221" s="76"/>
      <c r="SKD221" s="76"/>
      <c r="SKE221" s="76"/>
      <c r="SKF221" s="76"/>
      <c r="SKG221" s="76"/>
      <c r="SKH221" s="76"/>
      <c r="SKI221" s="76"/>
      <c r="SKJ221" s="76"/>
      <c r="SKK221" s="76"/>
      <c r="SKL221" s="76"/>
      <c r="SKM221" s="76"/>
      <c r="SKN221" s="76"/>
      <c r="SKO221" s="76"/>
      <c r="SKP221" s="76"/>
      <c r="SKQ221" s="76"/>
      <c r="SKR221" s="76"/>
      <c r="SKS221" s="76"/>
      <c r="SKT221" s="76"/>
      <c r="SKU221" s="76"/>
      <c r="SKV221" s="76"/>
      <c r="SKW221" s="76"/>
      <c r="SKX221" s="76"/>
      <c r="SKY221" s="76"/>
      <c r="SKZ221" s="76"/>
      <c r="SLA221" s="76"/>
      <c r="SLB221" s="76"/>
      <c r="SLC221" s="76"/>
      <c r="SLD221" s="76"/>
      <c r="SLE221" s="76"/>
      <c r="SLF221" s="76"/>
      <c r="SLG221" s="76"/>
      <c r="SLH221" s="76"/>
      <c r="SLI221" s="76"/>
      <c r="SLJ221" s="76"/>
      <c r="SLK221" s="76"/>
      <c r="SLL221" s="76"/>
      <c r="SLM221" s="76"/>
      <c r="SLN221" s="76"/>
      <c r="SLO221" s="76"/>
      <c r="SLP221" s="76"/>
      <c r="SLQ221" s="76"/>
      <c r="SLR221" s="76"/>
      <c r="SLS221" s="76"/>
      <c r="SLT221" s="76"/>
      <c r="SLU221" s="76"/>
      <c r="SLV221" s="76"/>
      <c r="SLW221" s="76"/>
      <c r="SLX221" s="76"/>
      <c r="SLY221" s="76"/>
      <c r="SLZ221" s="76"/>
      <c r="SMA221" s="76"/>
      <c r="SMB221" s="76"/>
      <c r="SMC221" s="76"/>
      <c r="SMD221" s="76"/>
      <c r="SME221" s="76"/>
      <c r="SMF221" s="76"/>
      <c r="SMG221" s="76"/>
      <c r="SMH221" s="76"/>
      <c r="SMI221" s="76"/>
      <c r="SMJ221" s="76"/>
      <c r="SMK221" s="76"/>
      <c r="SML221" s="76"/>
      <c r="SMM221" s="76"/>
      <c r="SMN221" s="76"/>
      <c r="SMO221" s="76"/>
      <c r="SMP221" s="76"/>
      <c r="SMQ221" s="76"/>
      <c r="SMR221" s="76"/>
      <c r="SMS221" s="76"/>
      <c r="SMT221" s="76"/>
      <c r="SMU221" s="76"/>
      <c r="SMV221" s="76"/>
      <c r="SMW221" s="76"/>
      <c r="SMX221" s="76"/>
      <c r="SMY221" s="76"/>
      <c r="SMZ221" s="76"/>
      <c r="SNA221" s="76"/>
      <c r="SNB221" s="76"/>
      <c r="SNC221" s="76"/>
      <c r="SND221" s="76"/>
      <c r="SNE221" s="76"/>
      <c r="SNF221" s="76"/>
      <c r="SNG221" s="76"/>
      <c r="SNH221" s="76"/>
      <c r="SNI221" s="76"/>
      <c r="SNJ221" s="76"/>
      <c r="SNK221" s="76"/>
      <c r="SNL221" s="76"/>
      <c r="SNM221" s="76"/>
      <c r="SNN221" s="76"/>
      <c r="SNO221" s="76"/>
      <c r="SNP221" s="76"/>
      <c r="SNQ221" s="76"/>
      <c r="SNR221" s="76"/>
      <c r="SNS221" s="76"/>
      <c r="SNT221" s="76"/>
      <c r="SNU221" s="76"/>
      <c r="SNV221" s="76"/>
      <c r="SNW221" s="76"/>
      <c r="SNX221" s="76"/>
      <c r="SNY221" s="76"/>
      <c r="SNZ221" s="76"/>
      <c r="SOA221" s="76"/>
      <c r="SOB221" s="76"/>
      <c r="SOC221" s="76"/>
      <c r="SOD221" s="76"/>
      <c r="SOE221" s="76"/>
      <c r="SOF221" s="76"/>
      <c r="SOG221" s="76"/>
      <c r="SOH221" s="76"/>
      <c r="SOI221" s="76"/>
      <c r="SOJ221" s="76"/>
      <c r="SOK221" s="76"/>
      <c r="SOL221" s="76"/>
      <c r="SOM221" s="76"/>
      <c r="SON221" s="76"/>
      <c r="SOO221" s="76"/>
      <c r="SOP221" s="76"/>
      <c r="SOQ221" s="76"/>
      <c r="SOR221" s="76"/>
      <c r="SOS221" s="76"/>
      <c r="SOT221" s="76"/>
      <c r="SOU221" s="76"/>
      <c r="SOV221" s="76"/>
      <c r="SOW221" s="76"/>
      <c r="SOX221" s="76"/>
      <c r="SOY221" s="76"/>
      <c r="SOZ221" s="76"/>
      <c r="SPA221" s="76"/>
      <c r="SPB221" s="76"/>
      <c r="SPC221" s="76"/>
      <c r="SPD221" s="76"/>
      <c r="SPE221" s="76"/>
      <c r="SPF221" s="76"/>
      <c r="SPG221" s="76"/>
      <c r="SPH221" s="76"/>
      <c r="SPI221" s="76"/>
      <c r="SPJ221" s="76"/>
      <c r="SPK221" s="76"/>
      <c r="SPL221" s="76"/>
      <c r="SPM221" s="76"/>
      <c r="SPN221" s="76"/>
      <c r="SPO221" s="76"/>
      <c r="SPP221" s="76"/>
      <c r="SPQ221" s="76"/>
      <c r="SPR221" s="76"/>
      <c r="SPS221" s="76"/>
      <c r="SPT221" s="76"/>
      <c r="SPU221" s="76"/>
      <c r="SPV221" s="76"/>
      <c r="SPW221" s="76"/>
      <c r="SPX221" s="76"/>
      <c r="SPY221" s="76"/>
      <c r="SPZ221" s="76"/>
      <c r="SQA221" s="76"/>
      <c r="SQB221" s="76"/>
      <c r="SQC221" s="76"/>
      <c r="SQD221" s="76"/>
      <c r="SQE221" s="76"/>
      <c r="SQF221" s="76"/>
      <c r="SQG221" s="76"/>
      <c r="SQH221" s="76"/>
      <c r="SQI221" s="76"/>
      <c r="SQJ221" s="76"/>
      <c r="SQK221" s="76"/>
      <c r="SQL221" s="76"/>
      <c r="SQM221" s="76"/>
      <c r="SQN221" s="76"/>
      <c r="SQO221" s="76"/>
      <c r="SQP221" s="76"/>
      <c r="SQQ221" s="76"/>
      <c r="SQR221" s="76"/>
      <c r="SQS221" s="76"/>
      <c r="SQT221" s="76"/>
      <c r="SQU221" s="76"/>
      <c r="SQV221" s="76"/>
      <c r="SQW221" s="76"/>
      <c r="SQX221" s="76"/>
      <c r="SQY221" s="76"/>
      <c r="SQZ221" s="76"/>
      <c r="SRA221" s="76"/>
      <c r="SRB221" s="76"/>
      <c r="SRC221" s="76"/>
      <c r="SRD221" s="76"/>
      <c r="SRE221" s="76"/>
      <c r="SRF221" s="76"/>
      <c r="SRG221" s="76"/>
      <c r="SRH221" s="76"/>
      <c r="SRI221" s="76"/>
      <c r="SRJ221" s="76"/>
      <c r="SRK221" s="76"/>
      <c r="SRL221" s="76"/>
      <c r="SRM221" s="76"/>
      <c r="SRN221" s="76"/>
      <c r="SRO221" s="76"/>
      <c r="SRP221" s="76"/>
      <c r="SRQ221" s="76"/>
      <c r="SRR221" s="76"/>
      <c r="SRS221" s="76"/>
      <c r="SRT221" s="76"/>
      <c r="SRU221" s="76"/>
      <c r="SRV221" s="76"/>
      <c r="SRW221" s="76"/>
      <c r="SRX221" s="76"/>
      <c r="SRY221" s="76"/>
      <c r="SRZ221" s="76"/>
      <c r="SSA221" s="76"/>
      <c r="SSB221" s="76"/>
      <c r="SSC221" s="76"/>
      <c r="SSD221" s="76"/>
      <c r="SSE221" s="76"/>
      <c r="SSF221" s="76"/>
      <c r="SSG221" s="76"/>
      <c r="SSH221" s="76"/>
      <c r="SSI221" s="76"/>
      <c r="SSJ221" s="76"/>
      <c r="SSK221" s="76"/>
      <c r="SSL221" s="76"/>
      <c r="SSM221" s="76"/>
      <c r="SSN221" s="76"/>
      <c r="SSO221" s="76"/>
      <c r="SSP221" s="76"/>
      <c r="SSQ221" s="76"/>
      <c r="SSR221" s="76"/>
      <c r="SSS221" s="76"/>
      <c r="SST221" s="76"/>
      <c r="SSU221" s="76"/>
      <c r="SSV221" s="76"/>
      <c r="SSW221" s="76"/>
      <c r="SSX221" s="76"/>
      <c r="SSY221" s="76"/>
      <c r="SSZ221" s="76"/>
      <c r="STA221" s="76"/>
      <c r="STB221" s="76"/>
      <c r="STC221" s="76"/>
      <c r="STD221" s="76"/>
      <c r="STE221" s="76"/>
      <c r="STF221" s="76"/>
      <c r="STG221" s="76"/>
      <c r="STH221" s="76"/>
      <c r="STI221" s="76"/>
      <c r="STJ221" s="76"/>
      <c r="STK221" s="76"/>
      <c r="STL221" s="76"/>
      <c r="STM221" s="76"/>
      <c r="STN221" s="76"/>
      <c r="STO221" s="76"/>
      <c r="STP221" s="76"/>
      <c r="STQ221" s="76"/>
      <c r="STR221" s="76"/>
      <c r="STS221" s="76"/>
      <c r="STT221" s="76"/>
      <c r="STU221" s="76"/>
      <c r="STV221" s="76"/>
      <c r="STW221" s="76"/>
      <c r="STX221" s="76"/>
      <c r="STY221" s="76"/>
      <c r="STZ221" s="76"/>
      <c r="SUA221" s="76"/>
      <c r="SUB221" s="76"/>
      <c r="SUC221" s="76"/>
      <c r="SUD221" s="76"/>
      <c r="SUE221" s="76"/>
      <c r="SUF221" s="76"/>
      <c r="SUG221" s="76"/>
      <c r="SUH221" s="76"/>
      <c r="SUI221" s="76"/>
      <c r="SUJ221" s="76"/>
      <c r="SUK221" s="76"/>
      <c r="SUL221" s="76"/>
      <c r="SUM221" s="76"/>
      <c r="SUN221" s="76"/>
      <c r="SUO221" s="76"/>
      <c r="SUP221" s="76"/>
      <c r="SUQ221" s="76"/>
      <c r="SUR221" s="76"/>
      <c r="SUS221" s="76"/>
      <c r="SUT221" s="76"/>
      <c r="SUU221" s="76"/>
      <c r="SUV221" s="76"/>
      <c r="SUW221" s="76"/>
      <c r="SUX221" s="76"/>
      <c r="SUY221" s="76"/>
      <c r="SUZ221" s="76"/>
      <c r="SVA221" s="76"/>
      <c r="SVB221" s="76"/>
      <c r="SVC221" s="76"/>
      <c r="SVD221" s="76"/>
      <c r="SVE221" s="76"/>
      <c r="SVF221" s="76"/>
      <c r="SVG221" s="76"/>
      <c r="SVH221" s="76"/>
      <c r="SVI221" s="76"/>
      <c r="SVJ221" s="76"/>
      <c r="SVK221" s="76"/>
      <c r="SVL221" s="76"/>
      <c r="SVM221" s="76"/>
      <c r="SVN221" s="76"/>
      <c r="SVO221" s="76"/>
      <c r="SVP221" s="76"/>
      <c r="SVQ221" s="76"/>
      <c r="SVR221" s="76"/>
      <c r="SVS221" s="76"/>
      <c r="SVT221" s="76"/>
      <c r="SVU221" s="76"/>
      <c r="SVV221" s="76"/>
      <c r="SVW221" s="76"/>
      <c r="SVX221" s="76"/>
      <c r="SVY221" s="76"/>
      <c r="SVZ221" s="76"/>
      <c r="SWA221" s="76"/>
      <c r="SWB221" s="76"/>
      <c r="SWC221" s="76"/>
      <c r="SWD221" s="76"/>
      <c r="SWE221" s="76"/>
      <c r="SWF221" s="76"/>
      <c r="SWG221" s="76"/>
      <c r="SWH221" s="76"/>
      <c r="SWI221" s="76"/>
      <c r="SWJ221" s="76"/>
      <c r="SWK221" s="76"/>
      <c r="SWL221" s="76"/>
      <c r="SWM221" s="76"/>
      <c r="SWN221" s="76"/>
      <c r="SWO221" s="76"/>
      <c r="SWP221" s="76"/>
      <c r="SWQ221" s="76"/>
      <c r="SWR221" s="76"/>
      <c r="SWS221" s="76"/>
      <c r="SWT221" s="76"/>
      <c r="SWU221" s="76"/>
      <c r="SWV221" s="76"/>
      <c r="SWW221" s="76"/>
      <c r="SWX221" s="76"/>
      <c r="SWY221" s="76"/>
      <c r="SWZ221" s="76"/>
      <c r="SXA221" s="76"/>
      <c r="SXB221" s="76"/>
      <c r="SXC221" s="76"/>
      <c r="SXD221" s="76"/>
      <c r="SXE221" s="76"/>
      <c r="SXF221" s="76"/>
      <c r="SXG221" s="76"/>
      <c r="SXH221" s="76"/>
      <c r="SXI221" s="76"/>
      <c r="SXJ221" s="76"/>
      <c r="SXK221" s="76"/>
      <c r="SXL221" s="76"/>
      <c r="SXM221" s="76"/>
      <c r="SXN221" s="76"/>
      <c r="SXO221" s="76"/>
      <c r="SXP221" s="76"/>
      <c r="SXQ221" s="76"/>
      <c r="SXR221" s="76"/>
      <c r="SXS221" s="76"/>
      <c r="SXT221" s="76"/>
      <c r="SXU221" s="76"/>
      <c r="SXV221" s="76"/>
      <c r="SXW221" s="76"/>
      <c r="SXX221" s="76"/>
      <c r="SXY221" s="76"/>
      <c r="SXZ221" s="76"/>
      <c r="SYA221" s="76"/>
      <c r="SYB221" s="76"/>
      <c r="SYC221" s="76"/>
      <c r="SYD221" s="76"/>
      <c r="SYE221" s="76"/>
      <c r="SYF221" s="76"/>
      <c r="SYG221" s="76"/>
      <c r="SYH221" s="76"/>
      <c r="SYI221" s="76"/>
      <c r="SYJ221" s="76"/>
      <c r="SYK221" s="76"/>
      <c r="SYL221" s="76"/>
      <c r="SYM221" s="76"/>
      <c r="SYN221" s="76"/>
      <c r="SYO221" s="76"/>
      <c r="SYP221" s="76"/>
      <c r="SYQ221" s="76"/>
      <c r="SYR221" s="76"/>
      <c r="SYS221" s="76"/>
      <c r="SYT221" s="76"/>
      <c r="SYU221" s="76"/>
      <c r="SYV221" s="76"/>
      <c r="SYW221" s="76"/>
      <c r="SYX221" s="76"/>
      <c r="SYY221" s="76"/>
      <c r="SYZ221" s="76"/>
      <c r="SZA221" s="76"/>
      <c r="SZB221" s="76"/>
      <c r="SZC221" s="76"/>
      <c r="SZD221" s="76"/>
      <c r="SZE221" s="76"/>
      <c r="SZF221" s="76"/>
      <c r="SZG221" s="76"/>
      <c r="SZH221" s="76"/>
      <c r="SZI221" s="76"/>
      <c r="SZJ221" s="76"/>
      <c r="SZK221" s="76"/>
      <c r="SZL221" s="76"/>
      <c r="SZM221" s="76"/>
      <c r="SZN221" s="76"/>
      <c r="SZO221" s="76"/>
      <c r="SZP221" s="76"/>
      <c r="SZQ221" s="76"/>
      <c r="SZR221" s="76"/>
      <c r="SZS221" s="76"/>
      <c r="SZT221" s="76"/>
      <c r="SZU221" s="76"/>
      <c r="SZV221" s="76"/>
      <c r="SZW221" s="76"/>
      <c r="SZX221" s="76"/>
      <c r="SZY221" s="76"/>
      <c r="SZZ221" s="76"/>
      <c r="TAA221" s="76"/>
      <c r="TAB221" s="76"/>
      <c r="TAC221" s="76"/>
      <c r="TAD221" s="76"/>
      <c r="TAE221" s="76"/>
      <c r="TAF221" s="76"/>
      <c r="TAG221" s="76"/>
      <c r="TAH221" s="76"/>
      <c r="TAI221" s="76"/>
      <c r="TAJ221" s="76"/>
      <c r="TAK221" s="76"/>
      <c r="TAL221" s="76"/>
      <c r="TAM221" s="76"/>
      <c r="TAN221" s="76"/>
      <c r="TAO221" s="76"/>
      <c r="TAP221" s="76"/>
      <c r="TAQ221" s="76"/>
      <c r="TAR221" s="76"/>
      <c r="TAS221" s="76"/>
      <c r="TAT221" s="76"/>
      <c r="TAU221" s="76"/>
      <c r="TAV221" s="76"/>
      <c r="TAW221" s="76"/>
      <c r="TAX221" s="76"/>
      <c r="TAY221" s="76"/>
      <c r="TAZ221" s="76"/>
      <c r="TBA221" s="76"/>
      <c r="TBB221" s="76"/>
      <c r="TBC221" s="76"/>
      <c r="TBD221" s="76"/>
      <c r="TBE221" s="76"/>
      <c r="TBF221" s="76"/>
      <c r="TBG221" s="76"/>
      <c r="TBH221" s="76"/>
      <c r="TBI221" s="76"/>
      <c r="TBJ221" s="76"/>
      <c r="TBK221" s="76"/>
      <c r="TBL221" s="76"/>
      <c r="TBM221" s="76"/>
      <c r="TBN221" s="76"/>
      <c r="TBO221" s="76"/>
      <c r="TBP221" s="76"/>
      <c r="TBQ221" s="76"/>
      <c r="TBR221" s="76"/>
      <c r="TBS221" s="76"/>
      <c r="TBT221" s="76"/>
      <c r="TBU221" s="76"/>
      <c r="TBV221" s="76"/>
      <c r="TBW221" s="76"/>
      <c r="TBX221" s="76"/>
      <c r="TBY221" s="76"/>
      <c r="TBZ221" s="76"/>
      <c r="TCA221" s="76"/>
      <c r="TCB221" s="76"/>
      <c r="TCC221" s="76"/>
      <c r="TCD221" s="76"/>
      <c r="TCE221" s="76"/>
      <c r="TCF221" s="76"/>
      <c r="TCG221" s="76"/>
      <c r="TCH221" s="76"/>
      <c r="TCI221" s="76"/>
      <c r="TCJ221" s="76"/>
      <c r="TCK221" s="76"/>
      <c r="TCL221" s="76"/>
      <c r="TCM221" s="76"/>
      <c r="TCN221" s="76"/>
      <c r="TCO221" s="76"/>
      <c r="TCP221" s="76"/>
      <c r="TCQ221" s="76"/>
      <c r="TCR221" s="76"/>
      <c r="TCS221" s="76"/>
      <c r="TCT221" s="76"/>
      <c r="TCU221" s="76"/>
      <c r="TCV221" s="76"/>
      <c r="TCW221" s="76"/>
      <c r="TCX221" s="76"/>
      <c r="TCY221" s="76"/>
      <c r="TCZ221" s="76"/>
      <c r="TDA221" s="76"/>
      <c r="TDB221" s="76"/>
      <c r="TDC221" s="76"/>
      <c r="TDD221" s="76"/>
      <c r="TDE221" s="76"/>
      <c r="TDF221" s="76"/>
      <c r="TDG221" s="76"/>
      <c r="TDH221" s="76"/>
      <c r="TDI221" s="76"/>
      <c r="TDJ221" s="76"/>
      <c r="TDK221" s="76"/>
      <c r="TDL221" s="76"/>
      <c r="TDM221" s="76"/>
      <c r="TDN221" s="76"/>
      <c r="TDO221" s="76"/>
      <c r="TDP221" s="76"/>
      <c r="TDQ221" s="76"/>
      <c r="TDR221" s="76"/>
      <c r="TDS221" s="76"/>
      <c r="TDT221" s="76"/>
      <c r="TDU221" s="76"/>
      <c r="TDV221" s="76"/>
      <c r="TDW221" s="76"/>
      <c r="TDX221" s="76"/>
      <c r="TDY221" s="76"/>
      <c r="TDZ221" s="76"/>
      <c r="TEA221" s="76"/>
      <c r="TEB221" s="76"/>
      <c r="TEC221" s="76"/>
      <c r="TED221" s="76"/>
      <c r="TEE221" s="76"/>
      <c r="TEF221" s="76"/>
      <c r="TEG221" s="76"/>
      <c r="TEH221" s="76"/>
      <c r="TEI221" s="76"/>
      <c r="TEJ221" s="76"/>
      <c r="TEK221" s="76"/>
      <c r="TEL221" s="76"/>
      <c r="TEM221" s="76"/>
      <c r="TEN221" s="76"/>
      <c r="TEO221" s="76"/>
      <c r="TEP221" s="76"/>
      <c r="TEQ221" s="76"/>
      <c r="TER221" s="76"/>
      <c r="TES221" s="76"/>
      <c r="TET221" s="76"/>
      <c r="TEU221" s="76"/>
      <c r="TEV221" s="76"/>
      <c r="TEW221" s="76"/>
      <c r="TEX221" s="76"/>
      <c r="TEY221" s="76"/>
      <c r="TEZ221" s="76"/>
      <c r="TFA221" s="76"/>
      <c r="TFB221" s="76"/>
      <c r="TFC221" s="76"/>
      <c r="TFD221" s="76"/>
      <c r="TFE221" s="76"/>
      <c r="TFF221" s="76"/>
      <c r="TFG221" s="76"/>
      <c r="TFH221" s="76"/>
      <c r="TFI221" s="76"/>
      <c r="TFJ221" s="76"/>
      <c r="TFK221" s="76"/>
      <c r="TFL221" s="76"/>
      <c r="TFM221" s="76"/>
      <c r="TFN221" s="76"/>
      <c r="TFO221" s="76"/>
      <c r="TFP221" s="76"/>
      <c r="TFQ221" s="76"/>
      <c r="TFR221" s="76"/>
      <c r="TFS221" s="76"/>
      <c r="TFT221" s="76"/>
      <c r="TFU221" s="76"/>
      <c r="TFV221" s="76"/>
      <c r="TFW221" s="76"/>
      <c r="TFX221" s="76"/>
      <c r="TFY221" s="76"/>
      <c r="TFZ221" s="76"/>
      <c r="TGA221" s="76"/>
      <c r="TGB221" s="76"/>
      <c r="TGC221" s="76"/>
      <c r="TGD221" s="76"/>
      <c r="TGE221" s="76"/>
      <c r="TGF221" s="76"/>
      <c r="TGG221" s="76"/>
      <c r="TGH221" s="76"/>
      <c r="TGI221" s="76"/>
      <c r="TGJ221" s="76"/>
      <c r="TGK221" s="76"/>
      <c r="TGL221" s="76"/>
      <c r="TGM221" s="76"/>
      <c r="TGN221" s="76"/>
      <c r="TGO221" s="76"/>
      <c r="TGP221" s="76"/>
      <c r="TGQ221" s="76"/>
      <c r="TGR221" s="76"/>
      <c r="TGS221" s="76"/>
      <c r="TGT221" s="76"/>
      <c r="TGU221" s="76"/>
      <c r="TGV221" s="76"/>
      <c r="TGW221" s="76"/>
      <c r="TGX221" s="76"/>
      <c r="TGY221" s="76"/>
      <c r="TGZ221" s="76"/>
      <c r="THA221" s="76"/>
      <c r="THB221" s="76"/>
      <c r="THC221" s="76"/>
      <c r="THD221" s="76"/>
      <c r="THE221" s="76"/>
      <c r="THF221" s="76"/>
      <c r="THG221" s="76"/>
      <c r="THH221" s="76"/>
      <c r="THI221" s="76"/>
      <c r="THJ221" s="76"/>
      <c r="THK221" s="76"/>
      <c r="THL221" s="76"/>
      <c r="THM221" s="76"/>
      <c r="THN221" s="76"/>
      <c r="THO221" s="76"/>
      <c r="THP221" s="76"/>
      <c r="THQ221" s="76"/>
      <c r="THR221" s="76"/>
      <c r="THS221" s="76"/>
      <c r="THT221" s="76"/>
      <c r="THU221" s="76"/>
      <c r="THV221" s="76"/>
      <c r="THW221" s="76"/>
      <c r="THX221" s="76"/>
      <c r="THY221" s="76"/>
      <c r="THZ221" s="76"/>
      <c r="TIA221" s="76"/>
      <c r="TIB221" s="76"/>
      <c r="TIC221" s="76"/>
      <c r="TID221" s="76"/>
      <c r="TIE221" s="76"/>
      <c r="TIF221" s="76"/>
      <c r="TIG221" s="76"/>
      <c r="TIH221" s="76"/>
      <c r="TII221" s="76"/>
      <c r="TIJ221" s="76"/>
      <c r="TIK221" s="76"/>
      <c r="TIL221" s="76"/>
      <c r="TIM221" s="76"/>
      <c r="TIN221" s="76"/>
      <c r="TIO221" s="76"/>
      <c r="TIP221" s="76"/>
      <c r="TIQ221" s="76"/>
      <c r="TIR221" s="76"/>
      <c r="TIS221" s="76"/>
      <c r="TIT221" s="76"/>
      <c r="TIU221" s="76"/>
      <c r="TIV221" s="76"/>
      <c r="TIW221" s="76"/>
      <c r="TIX221" s="76"/>
      <c r="TIY221" s="76"/>
      <c r="TIZ221" s="76"/>
      <c r="TJA221" s="76"/>
      <c r="TJB221" s="76"/>
      <c r="TJC221" s="76"/>
      <c r="TJD221" s="76"/>
      <c r="TJE221" s="76"/>
      <c r="TJF221" s="76"/>
      <c r="TJG221" s="76"/>
      <c r="TJH221" s="76"/>
      <c r="TJI221" s="76"/>
      <c r="TJJ221" s="76"/>
      <c r="TJK221" s="76"/>
      <c r="TJL221" s="76"/>
      <c r="TJM221" s="76"/>
      <c r="TJN221" s="76"/>
      <c r="TJO221" s="76"/>
      <c r="TJP221" s="76"/>
      <c r="TJQ221" s="76"/>
      <c r="TJR221" s="76"/>
      <c r="TJS221" s="76"/>
      <c r="TJT221" s="76"/>
      <c r="TJU221" s="76"/>
      <c r="TJV221" s="76"/>
      <c r="TJW221" s="76"/>
      <c r="TJX221" s="76"/>
      <c r="TJY221" s="76"/>
      <c r="TJZ221" s="76"/>
      <c r="TKA221" s="76"/>
      <c r="TKB221" s="76"/>
      <c r="TKC221" s="76"/>
      <c r="TKD221" s="76"/>
      <c r="TKE221" s="76"/>
      <c r="TKF221" s="76"/>
      <c r="TKG221" s="76"/>
      <c r="TKH221" s="76"/>
      <c r="TKI221" s="76"/>
      <c r="TKJ221" s="76"/>
      <c r="TKK221" s="76"/>
      <c r="TKL221" s="76"/>
      <c r="TKM221" s="76"/>
      <c r="TKN221" s="76"/>
      <c r="TKO221" s="76"/>
      <c r="TKP221" s="76"/>
      <c r="TKQ221" s="76"/>
      <c r="TKR221" s="76"/>
      <c r="TKS221" s="76"/>
      <c r="TKT221" s="76"/>
      <c r="TKU221" s="76"/>
      <c r="TKV221" s="76"/>
      <c r="TKW221" s="76"/>
      <c r="TKX221" s="76"/>
      <c r="TKY221" s="76"/>
      <c r="TKZ221" s="76"/>
      <c r="TLA221" s="76"/>
      <c r="TLB221" s="76"/>
      <c r="TLC221" s="76"/>
      <c r="TLD221" s="76"/>
      <c r="TLE221" s="76"/>
      <c r="TLF221" s="76"/>
      <c r="TLG221" s="76"/>
      <c r="TLH221" s="76"/>
      <c r="TLI221" s="76"/>
      <c r="TLJ221" s="76"/>
      <c r="TLK221" s="76"/>
      <c r="TLL221" s="76"/>
      <c r="TLM221" s="76"/>
      <c r="TLN221" s="76"/>
      <c r="TLO221" s="76"/>
      <c r="TLP221" s="76"/>
      <c r="TLQ221" s="76"/>
      <c r="TLR221" s="76"/>
      <c r="TLS221" s="76"/>
      <c r="TLT221" s="76"/>
      <c r="TLU221" s="76"/>
      <c r="TLV221" s="76"/>
      <c r="TLW221" s="76"/>
      <c r="TLX221" s="76"/>
      <c r="TLY221" s="76"/>
      <c r="TLZ221" s="76"/>
      <c r="TMA221" s="76"/>
      <c r="TMB221" s="76"/>
      <c r="TMC221" s="76"/>
      <c r="TMD221" s="76"/>
      <c r="TME221" s="76"/>
      <c r="TMF221" s="76"/>
      <c r="TMG221" s="76"/>
      <c r="TMH221" s="76"/>
      <c r="TMI221" s="76"/>
      <c r="TMJ221" s="76"/>
      <c r="TMK221" s="76"/>
      <c r="TML221" s="76"/>
      <c r="TMM221" s="76"/>
      <c r="TMN221" s="76"/>
      <c r="TMO221" s="76"/>
      <c r="TMP221" s="76"/>
      <c r="TMQ221" s="76"/>
      <c r="TMR221" s="76"/>
      <c r="TMS221" s="76"/>
      <c r="TMT221" s="76"/>
      <c r="TMU221" s="76"/>
      <c r="TMV221" s="76"/>
      <c r="TMW221" s="76"/>
      <c r="TMX221" s="76"/>
      <c r="TMY221" s="76"/>
      <c r="TMZ221" s="76"/>
      <c r="TNA221" s="76"/>
      <c r="TNB221" s="76"/>
      <c r="TNC221" s="76"/>
      <c r="TND221" s="76"/>
      <c r="TNE221" s="76"/>
      <c r="TNF221" s="76"/>
      <c r="TNG221" s="76"/>
      <c r="TNH221" s="76"/>
      <c r="TNI221" s="76"/>
      <c r="TNJ221" s="76"/>
      <c r="TNK221" s="76"/>
      <c r="TNL221" s="76"/>
      <c r="TNM221" s="76"/>
      <c r="TNN221" s="76"/>
      <c r="TNO221" s="76"/>
      <c r="TNP221" s="76"/>
      <c r="TNQ221" s="76"/>
      <c r="TNR221" s="76"/>
      <c r="TNS221" s="76"/>
      <c r="TNT221" s="76"/>
      <c r="TNU221" s="76"/>
      <c r="TNV221" s="76"/>
      <c r="TNW221" s="76"/>
      <c r="TNX221" s="76"/>
      <c r="TNY221" s="76"/>
      <c r="TNZ221" s="76"/>
      <c r="TOA221" s="76"/>
      <c r="TOB221" s="76"/>
      <c r="TOC221" s="76"/>
      <c r="TOD221" s="76"/>
      <c r="TOE221" s="76"/>
      <c r="TOF221" s="76"/>
      <c r="TOG221" s="76"/>
      <c r="TOH221" s="76"/>
      <c r="TOI221" s="76"/>
      <c r="TOJ221" s="76"/>
      <c r="TOK221" s="76"/>
      <c r="TOL221" s="76"/>
      <c r="TOM221" s="76"/>
      <c r="TON221" s="76"/>
      <c r="TOO221" s="76"/>
      <c r="TOP221" s="76"/>
      <c r="TOQ221" s="76"/>
      <c r="TOR221" s="76"/>
      <c r="TOS221" s="76"/>
      <c r="TOT221" s="76"/>
      <c r="TOU221" s="76"/>
      <c r="TOV221" s="76"/>
      <c r="TOW221" s="76"/>
      <c r="TOX221" s="76"/>
      <c r="TOY221" s="76"/>
      <c r="TOZ221" s="76"/>
      <c r="TPA221" s="76"/>
      <c r="TPB221" s="76"/>
      <c r="TPC221" s="76"/>
      <c r="TPD221" s="76"/>
      <c r="TPE221" s="76"/>
      <c r="TPF221" s="76"/>
      <c r="TPG221" s="76"/>
      <c r="TPH221" s="76"/>
      <c r="TPI221" s="76"/>
      <c r="TPJ221" s="76"/>
      <c r="TPK221" s="76"/>
      <c r="TPL221" s="76"/>
      <c r="TPM221" s="76"/>
      <c r="TPN221" s="76"/>
      <c r="TPO221" s="76"/>
      <c r="TPP221" s="76"/>
      <c r="TPQ221" s="76"/>
      <c r="TPR221" s="76"/>
      <c r="TPS221" s="76"/>
      <c r="TPT221" s="76"/>
      <c r="TPU221" s="76"/>
      <c r="TPV221" s="76"/>
      <c r="TPW221" s="76"/>
      <c r="TPX221" s="76"/>
      <c r="TPY221" s="76"/>
      <c r="TPZ221" s="76"/>
      <c r="TQA221" s="76"/>
      <c r="TQB221" s="76"/>
      <c r="TQC221" s="76"/>
      <c r="TQD221" s="76"/>
      <c r="TQE221" s="76"/>
      <c r="TQF221" s="76"/>
      <c r="TQG221" s="76"/>
      <c r="TQH221" s="76"/>
      <c r="TQI221" s="76"/>
      <c r="TQJ221" s="76"/>
      <c r="TQK221" s="76"/>
      <c r="TQL221" s="76"/>
      <c r="TQM221" s="76"/>
      <c r="TQN221" s="76"/>
      <c r="TQO221" s="76"/>
      <c r="TQP221" s="76"/>
      <c r="TQQ221" s="76"/>
      <c r="TQR221" s="76"/>
      <c r="TQS221" s="76"/>
      <c r="TQT221" s="76"/>
      <c r="TQU221" s="76"/>
      <c r="TQV221" s="76"/>
      <c r="TQW221" s="76"/>
      <c r="TQX221" s="76"/>
      <c r="TQY221" s="76"/>
      <c r="TQZ221" s="76"/>
      <c r="TRA221" s="76"/>
      <c r="TRB221" s="76"/>
      <c r="TRC221" s="76"/>
      <c r="TRD221" s="76"/>
      <c r="TRE221" s="76"/>
      <c r="TRF221" s="76"/>
      <c r="TRG221" s="76"/>
      <c r="TRH221" s="76"/>
      <c r="TRI221" s="76"/>
      <c r="TRJ221" s="76"/>
      <c r="TRK221" s="76"/>
      <c r="TRL221" s="76"/>
      <c r="TRM221" s="76"/>
      <c r="TRN221" s="76"/>
      <c r="TRO221" s="76"/>
      <c r="TRP221" s="76"/>
      <c r="TRQ221" s="76"/>
      <c r="TRR221" s="76"/>
      <c r="TRS221" s="76"/>
      <c r="TRT221" s="76"/>
      <c r="TRU221" s="76"/>
      <c r="TRV221" s="76"/>
      <c r="TRW221" s="76"/>
      <c r="TRX221" s="76"/>
      <c r="TRY221" s="76"/>
      <c r="TRZ221" s="76"/>
      <c r="TSA221" s="76"/>
      <c r="TSB221" s="76"/>
      <c r="TSC221" s="76"/>
      <c r="TSD221" s="76"/>
      <c r="TSE221" s="76"/>
      <c r="TSF221" s="76"/>
      <c r="TSG221" s="76"/>
      <c r="TSH221" s="76"/>
      <c r="TSI221" s="76"/>
      <c r="TSJ221" s="76"/>
      <c r="TSK221" s="76"/>
      <c r="TSL221" s="76"/>
      <c r="TSM221" s="76"/>
      <c r="TSN221" s="76"/>
      <c r="TSO221" s="76"/>
      <c r="TSP221" s="76"/>
      <c r="TSQ221" s="76"/>
      <c r="TSR221" s="76"/>
      <c r="TSS221" s="76"/>
      <c r="TST221" s="76"/>
      <c r="TSU221" s="76"/>
      <c r="TSV221" s="76"/>
      <c r="TSW221" s="76"/>
      <c r="TSX221" s="76"/>
      <c r="TSY221" s="76"/>
      <c r="TSZ221" s="76"/>
      <c r="TTA221" s="76"/>
      <c r="TTB221" s="76"/>
      <c r="TTC221" s="76"/>
      <c r="TTD221" s="76"/>
      <c r="TTE221" s="76"/>
      <c r="TTF221" s="76"/>
      <c r="TTG221" s="76"/>
      <c r="TTH221" s="76"/>
      <c r="TTI221" s="76"/>
      <c r="TTJ221" s="76"/>
      <c r="TTK221" s="76"/>
      <c r="TTL221" s="76"/>
      <c r="TTM221" s="76"/>
      <c r="TTN221" s="76"/>
      <c r="TTO221" s="76"/>
      <c r="TTP221" s="76"/>
      <c r="TTQ221" s="76"/>
      <c r="TTR221" s="76"/>
      <c r="TTS221" s="76"/>
      <c r="TTT221" s="76"/>
      <c r="TTU221" s="76"/>
      <c r="TTV221" s="76"/>
      <c r="TTW221" s="76"/>
      <c r="TTX221" s="76"/>
      <c r="TTY221" s="76"/>
      <c r="TTZ221" s="76"/>
      <c r="TUA221" s="76"/>
      <c r="TUB221" s="76"/>
      <c r="TUC221" s="76"/>
      <c r="TUD221" s="76"/>
      <c r="TUE221" s="76"/>
      <c r="TUF221" s="76"/>
      <c r="TUG221" s="76"/>
      <c r="TUH221" s="76"/>
      <c r="TUI221" s="76"/>
      <c r="TUJ221" s="76"/>
      <c r="TUK221" s="76"/>
      <c r="TUL221" s="76"/>
      <c r="TUM221" s="76"/>
      <c r="TUN221" s="76"/>
      <c r="TUO221" s="76"/>
      <c r="TUP221" s="76"/>
      <c r="TUQ221" s="76"/>
      <c r="TUR221" s="76"/>
      <c r="TUS221" s="76"/>
      <c r="TUT221" s="76"/>
      <c r="TUU221" s="76"/>
      <c r="TUV221" s="76"/>
      <c r="TUW221" s="76"/>
      <c r="TUX221" s="76"/>
      <c r="TUY221" s="76"/>
      <c r="TUZ221" s="76"/>
      <c r="TVA221" s="76"/>
      <c r="TVB221" s="76"/>
      <c r="TVC221" s="76"/>
      <c r="TVD221" s="76"/>
      <c r="TVE221" s="76"/>
      <c r="TVF221" s="76"/>
      <c r="TVG221" s="76"/>
      <c r="TVH221" s="76"/>
      <c r="TVI221" s="76"/>
      <c r="TVJ221" s="76"/>
      <c r="TVK221" s="76"/>
      <c r="TVL221" s="76"/>
      <c r="TVM221" s="76"/>
      <c r="TVN221" s="76"/>
      <c r="TVO221" s="76"/>
      <c r="TVP221" s="76"/>
      <c r="TVQ221" s="76"/>
      <c r="TVR221" s="76"/>
      <c r="TVS221" s="76"/>
      <c r="TVT221" s="76"/>
      <c r="TVU221" s="76"/>
      <c r="TVV221" s="76"/>
      <c r="TVW221" s="76"/>
      <c r="TVX221" s="76"/>
      <c r="TVY221" s="76"/>
      <c r="TVZ221" s="76"/>
      <c r="TWA221" s="76"/>
      <c r="TWB221" s="76"/>
      <c r="TWC221" s="76"/>
      <c r="TWD221" s="76"/>
      <c r="TWE221" s="76"/>
      <c r="TWF221" s="76"/>
      <c r="TWG221" s="76"/>
      <c r="TWH221" s="76"/>
      <c r="TWI221" s="76"/>
      <c r="TWJ221" s="76"/>
      <c r="TWK221" s="76"/>
      <c r="TWL221" s="76"/>
      <c r="TWM221" s="76"/>
      <c r="TWN221" s="76"/>
      <c r="TWO221" s="76"/>
      <c r="TWP221" s="76"/>
      <c r="TWQ221" s="76"/>
      <c r="TWR221" s="76"/>
      <c r="TWS221" s="76"/>
      <c r="TWT221" s="76"/>
      <c r="TWU221" s="76"/>
      <c r="TWV221" s="76"/>
      <c r="TWW221" s="76"/>
      <c r="TWX221" s="76"/>
      <c r="TWY221" s="76"/>
      <c r="TWZ221" s="76"/>
      <c r="TXA221" s="76"/>
      <c r="TXB221" s="76"/>
      <c r="TXC221" s="76"/>
      <c r="TXD221" s="76"/>
      <c r="TXE221" s="76"/>
      <c r="TXF221" s="76"/>
      <c r="TXG221" s="76"/>
      <c r="TXH221" s="76"/>
      <c r="TXI221" s="76"/>
      <c r="TXJ221" s="76"/>
      <c r="TXK221" s="76"/>
      <c r="TXL221" s="76"/>
      <c r="TXM221" s="76"/>
      <c r="TXN221" s="76"/>
      <c r="TXO221" s="76"/>
      <c r="TXP221" s="76"/>
      <c r="TXQ221" s="76"/>
      <c r="TXR221" s="76"/>
      <c r="TXS221" s="76"/>
      <c r="TXT221" s="76"/>
      <c r="TXU221" s="76"/>
      <c r="TXV221" s="76"/>
      <c r="TXW221" s="76"/>
      <c r="TXX221" s="76"/>
      <c r="TXY221" s="76"/>
      <c r="TXZ221" s="76"/>
      <c r="TYA221" s="76"/>
      <c r="TYB221" s="76"/>
      <c r="TYC221" s="76"/>
      <c r="TYD221" s="76"/>
      <c r="TYE221" s="76"/>
      <c r="TYF221" s="76"/>
      <c r="TYG221" s="76"/>
      <c r="TYH221" s="76"/>
      <c r="TYI221" s="76"/>
      <c r="TYJ221" s="76"/>
      <c r="TYK221" s="76"/>
      <c r="TYL221" s="76"/>
      <c r="TYM221" s="76"/>
      <c r="TYN221" s="76"/>
      <c r="TYO221" s="76"/>
      <c r="TYP221" s="76"/>
      <c r="TYQ221" s="76"/>
      <c r="TYR221" s="76"/>
      <c r="TYS221" s="76"/>
      <c r="TYT221" s="76"/>
      <c r="TYU221" s="76"/>
      <c r="TYV221" s="76"/>
      <c r="TYW221" s="76"/>
      <c r="TYX221" s="76"/>
      <c r="TYY221" s="76"/>
      <c r="TYZ221" s="76"/>
      <c r="TZA221" s="76"/>
      <c r="TZB221" s="76"/>
      <c r="TZC221" s="76"/>
      <c r="TZD221" s="76"/>
      <c r="TZE221" s="76"/>
      <c r="TZF221" s="76"/>
      <c r="TZG221" s="76"/>
      <c r="TZH221" s="76"/>
      <c r="TZI221" s="76"/>
      <c r="TZJ221" s="76"/>
      <c r="TZK221" s="76"/>
      <c r="TZL221" s="76"/>
      <c r="TZM221" s="76"/>
      <c r="TZN221" s="76"/>
      <c r="TZO221" s="76"/>
      <c r="TZP221" s="76"/>
      <c r="TZQ221" s="76"/>
      <c r="TZR221" s="76"/>
      <c r="TZS221" s="76"/>
      <c r="TZT221" s="76"/>
      <c r="TZU221" s="76"/>
      <c r="TZV221" s="76"/>
      <c r="TZW221" s="76"/>
      <c r="TZX221" s="76"/>
      <c r="TZY221" s="76"/>
      <c r="TZZ221" s="76"/>
      <c r="UAA221" s="76"/>
      <c r="UAB221" s="76"/>
      <c r="UAC221" s="76"/>
      <c r="UAD221" s="76"/>
      <c r="UAE221" s="76"/>
      <c r="UAF221" s="76"/>
      <c r="UAG221" s="76"/>
      <c r="UAH221" s="76"/>
      <c r="UAI221" s="76"/>
      <c r="UAJ221" s="76"/>
      <c r="UAK221" s="76"/>
      <c r="UAL221" s="76"/>
      <c r="UAM221" s="76"/>
      <c r="UAN221" s="76"/>
      <c r="UAO221" s="76"/>
      <c r="UAP221" s="76"/>
      <c r="UAQ221" s="76"/>
      <c r="UAR221" s="76"/>
      <c r="UAS221" s="76"/>
      <c r="UAT221" s="76"/>
      <c r="UAU221" s="76"/>
      <c r="UAV221" s="76"/>
      <c r="UAW221" s="76"/>
      <c r="UAX221" s="76"/>
      <c r="UAY221" s="76"/>
      <c r="UAZ221" s="76"/>
      <c r="UBA221" s="76"/>
      <c r="UBB221" s="76"/>
      <c r="UBC221" s="76"/>
      <c r="UBD221" s="76"/>
      <c r="UBE221" s="76"/>
      <c r="UBF221" s="76"/>
      <c r="UBG221" s="76"/>
      <c r="UBH221" s="76"/>
      <c r="UBI221" s="76"/>
      <c r="UBJ221" s="76"/>
      <c r="UBK221" s="76"/>
      <c r="UBL221" s="76"/>
      <c r="UBM221" s="76"/>
      <c r="UBN221" s="76"/>
      <c r="UBO221" s="76"/>
      <c r="UBP221" s="76"/>
      <c r="UBQ221" s="76"/>
      <c r="UBR221" s="76"/>
      <c r="UBS221" s="76"/>
      <c r="UBT221" s="76"/>
      <c r="UBU221" s="76"/>
      <c r="UBV221" s="76"/>
      <c r="UBW221" s="76"/>
      <c r="UBX221" s="76"/>
      <c r="UBY221" s="76"/>
      <c r="UBZ221" s="76"/>
      <c r="UCA221" s="76"/>
      <c r="UCB221" s="76"/>
      <c r="UCC221" s="76"/>
      <c r="UCD221" s="76"/>
      <c r="UCE221" s="76"/>
      <c r="UCF221" s="76"/>
      <c r="UCG221" s="76"/>
      <c r="UCH221" s="76"/>
      <c r="UCI221" s="76"/>
      <c r="UCJ221" s="76"/>
      <c r="UCK221" s="76"/>
      <c r="UCL221" s="76"/>
      <c r="UCM221" s="76"/>
      <c r="UCN221" s="76"/>
      <c r="UCO221" s="76"/>
      <c r="UCP221" s="76"/>
      <c r="UCQ221" s="76"/>
      <c r="UCR221" s="76"/>
      <c r="UCS221" s="76"/>
      <c r="UCT221" s="76"/>
      <c r="UCU221" s="76"/>
      <c r="UCV221" s="76"/>
      <c r="UCW221" s="76"/>
      <c r="UCX221" s="76"/>
      <c r="UCY221" s="76"/>
      <c r="UCZ221" s="76"/>
      <c r="UDA221" s="76"/>
      <c r="UDB221" s="76"/>
      <c r="UDC221" s="76"/>
      <c r="UDD221" s="76"/>
      <c r="UDE221" s="76"/>
      <c r="UDF221" s="76"/>
      <c r="UDG221" s="76"/>
      <c r="UDH221" s="76"/>
      <c r="UDI221" s="76"/>
      <c r="UDJ221" s="76"/>
      <c r="UDK221" s="76"/>
      <c r="UDL221" s="76"/>
      <c r="UDM221" s="76"/>
      <c r="UDN221" s="76"/>
      <c r="UDO221" s="76"/>
      <c r="UDP221" s="76"/>
      <c r="UDQ221" s="76"/>
      <c r="UDR221" s="76"/>
      <c r="UDS221" s="76"/>
      <c r="UDT221" s="76"/>
      <c r="UDU221" s="76"/>
      <c r="UDV221" s="76"/>
      <c r="UDW221" s="76"/>
      <c r="UDX221" s="76"/>
      <c r="UDY221" s="76"/>
      <c r="UDZ221" s="76"/>
      <c r="UEA221" s="76"/>
      <c r="UEB221" s="76"/>
      <c r="UEC221" s="76"/>
      <c r="UED221" s="76"/>
      <c r="UEE221" s="76"/>
      <c r="UEF221" s="76"/>
      <c r="UEG221" s="76"/>
      <c r="UEH221" s="76"/>
      <c r="UEI221" s="76"/>
      <c r="UEJ221" s="76"/>
      <c r="UEK221" s="76"/>
      <c r="UEL221" s="76"/>
      <c r="UEM221" s="76"/>
      <c r="UEN221" s="76"/>
      <c r="UEO221" s="76"/>
      <c r="UEP221" s="76"/>
      <c r="UEQ221" s="76"/>
      <c r="UER221" s="76"/>
      <c r="UES221" s="76"/>
      <c r="UET221" s="76"/>
      <c r="UEU221" s="76"/>
      <c r="UEV221" s="76"/>
      <c r="UEW221" s="76"/>
      <c r="UEX221" s="76"/>
      <c r="UEY221" s="76"/>
      <c r="UEZ221" s="76"/>
      <c r="UFA221" s="76"/>
      <c r="UFB221" s="76"/>
      <c r="UFC221" s="76"/>
      <c r="UFD221" s="76"/>
      <c r="UFE221" s="76"/>
      <c r="UFF221" s="76"/>
      <c r="UFG221" s="76"/>
      <c r="UFH221" s="76"/>
      <c r="UFI221" s="76"/>
      <c r="UFJ221" s="76"/>
      <c r="UFK221" s="76"/>
      <c r="UFL221" s="76"/>
      <c r="UFM221" s="76"/>
      <c r="UFN221" s="76"/>
      <c r="UFO221" s="76"/>
      <c r="UFP221" s="76"/>
      <c r="UFQ221" s="76"/>
      <c r="UFR221" s="76"/>
      <c r="UFS221" s="76"/>
      <c r="UFT221" s="76"/>
      <c r="UFU221" s="76"/>
      <c r="UFV221" s="76"/>
      <c r="UFW221" s="76"/>
      <c r="UFX221" s="76"/>
      <c r="UFY221" s="76"/>
      <c r="UFZ221" s="76"/>
      <c r="UGA221" s="76"/>
      <c r="UGB221" s="76"/>
      <c r="UGC221" s="76"/>
      <c r="UGD221" s="76"/>
      <c r="UGE221" s="76"/>
      <c r="UGF221" s="76"/>
      <c r="UGG221" s="76"/>
      <c r="UGH221" s="76"/>
      <c r="UGI221" s="76"/>
      <c r="UGJ221" s="76"/>
      <c r="UGK221" s="76"/>
      <c r="UGL221" s="76"/>
      <c r="UGM221" s="76"/>
      <c r="UGN221" s="76"/>
      <c r="UGO221" s="76"/>
      <c r="UGP221" s="76"/>
      <c r="UGQ221" s="76"/>
      <c r="UGR221" s="76"/>
      <c r="UGS221" s="76"/>
      <c r="UGT221" s="76"/>
      <c r="UGU221" s="76"/>
      <c r="UGV221" s="76"/>
      <c r="UGW221" s="76"/>
      <c r="UGX221" s="76"/>
      <c r="UGY221" s="76"/>
      <c r="UGZ221" s="76"/>
      <c r="UHA221" s="76"/>
      <c r="UHB221" s="76"/>
      <c r="UHC221" s="76"/>
      <c r="UHD221" s="76"/>
      <c r="UHE221" s="76"/>
      <c r="UHF221" s="76"/>
      <c r="UHG221" s="76"/>
      <c r="UHH221" s="76"/>
      <c r="UHI221" s="76"/>
      <c r="UHJ221" s="76"/>
      <c r="UHK221" s="76"/>
      <c r="UHL221" s="76"/>
      <c r="UHM221" s="76"/>
      <c r="UHN221" s="76"/>
      <c r="UHO221" s="76"/>
      <c r="UHP221" s="76"/>
      <c r="UHQ221" s="76"/>
      <c r="UHR221" s="76"/>
      <c r="UHS221" s="76"/>
      <c r="UHT221" s="76"/>
      <c r="UHU221" s="76"/>
      <c r="UHV221" s="76"/>
      <c r="UHW221" s="76"/>
      <c r="UHX221" s="76"/>
      <c r="UHY221" s="76"/>
      <c r="UHZ221" s="76"/>
      <c r="UIA221" s="76"/>
      <c r="UIB221" s="76"/>
      <c r="UIC221" s="76"/>
      <c r="UID221" s="76"/>
      <c r="UIE221" s="76"/>
      <c r="UIF221" s="76"/>
      <c r="UIG221" s="76"/>
      <c r="UIH221" s="76"/>
      <c r="UII221" s="76"/>
      <c r="UIJ221" s="76"/>
      <c r="UIK221" s="76"/>
      <c r="UIL221" s="76"/>
      <c r="UIM221" s="76"/>
      <c r="UIN221" s="76"/>
      <c r="UIO221" s="76"/>
      <c r="UIP221" s="76"/>
      <c r="UIQ221" s="76"/>
      <c r="UIR221" s="76"/>
      <c r="UIS221" s="76"/>
      <c r="UIT221" s="76"/>
      <c r="UIU221" s="76"/>
      <c r="UIV221" s="76"/>
      <c r="UIW221" s="76"/>
      <c r="UIX221" s="76"/>
      <c r="UIY221" s="76"/>
      <c r="UIZ221" s="76"/>
      <c r="UJA221" s="76"/>
      <c r="UJB221" s="76"/>
      <c r="UJC221" s="76"/>
      <c r="UJD221" s="76"/>
      <c r="UJE221" s="76"/>
      <c r="UJF221" s="76"/>
      <c r="UJG221" s="76"/>
      <c r="UJH221" s="76"/>
      <c r="UJI221" s="76"/>
      <c r="UJJ221" s="76"/>
      <c r="UJK221" s="76"/>
      <c r="UJL221" s="76"/>
      <c r="UJM221" s="76"/>
      <c r="UJN221" s="76"/>
      <c r="UJO221" s="76"/>
      <c r="UJP221" s="76"/>
      <c r="UJQ221" s="76"/>
      <c r="UJR221" s="76"/>
      <c r="UJS221" s="76"/>
      <c r="UJT221" s="76"/>
      <c r="UJU221" s="76"/>
      <c r="UJV221" s="76"/>
      <c r="UJW221" s="76"/>
      <c r="UJX221" s="76"/>
      <c r="UJY221" s="76"/>
      <c r="UJZ221" s="76"/>
      <c r="UKA221" s="76"/>
      <c r="UKB221" s="76"/>
      <c r="UKC221" s="76"/>
      <c r="UKD221" s="76"/>
      <c r="UKE221" s="76"/>
      <c r="UKF221" s="76"/>
      <c r="UKG221" s="76"/>
      <c r="UKH221" s="76"/>
      <c r="UKI221" s="76"/>
      <c r="UKJ221" s="76"/>
      <c r="UKK221" s="76"/>
      <c r="UKL221" s="76"/>
      <c r="UKM221" s="76"/>
      <c r="UKN221" s="76"/>
      <c r="UKO221" s="76"/>
      <c r="UKP221" s="76"/>
      <c r="UKQ221" s="76"/>
      <c r="UKR221" s="76"/>
      <c r="UKS221" s="76"/>
      <c r="UKT221" s="76"/>
      <c r="UKU221" s="76"/>
      <c r="UKV221" s="76"/>
      <c r="UKW221" s="76"/>
      <c r="UKX221" s="76"/>
      <c r="UKY221" s="76"/>
      <c r="UKZ221" s="76"/>
      <c r="ULA221" s="76"/>
      <c r="ULB221" s="76"/>
      <c r="ULC221" s="76"/>
      <c r="ULD221" s="76"/>
      <c r="ULE221" s="76"/>
      <c r="ULF221" s="76"/>
      <c r="ULG221" s="76"/>
      <c r="ULH221" s="76"/>
      <c r="ULI221" s="76"/>
      <c r="ULJ221" s="76"/>
      <c r="ULK221" s="76"/>
      <c r="ULL221" s="76"/>
      <c r="ULM221" s="76"/>
      <c r="ULN221" s="76"/>
      <c r="ULO221" s="76"/>
      <c r="ULP221" s="76"/>
      <c r="ULQ221" s="76"/>
      <c r="ULR221" s="76"/>
      <c r="ULS221" s="76"/>
      <c r="ULT221" s="76"/>
      <c r="ULU221" s="76"/>
      <c r="ULV221" s="76"/>
      <c r="ULW221" s="76"/>
      <c r="ULX221" s="76"/>
      <c r="ULY221" s="76"/>
      <c r="ULZ221" s="76"/>
      <c r="UMA221" s="76"/>
      <c r="UMB221" s="76"/>
      <c r="UMC221" s="76"/>
      <c r="UMD221" s="76"/>
      <c r="UME221" s="76"/>
      <c r="UMF221" s="76"/>
      <c r="UMG221" s="76"/>
      <c r="UMH221" s="76"/>
      <c r="UMI221" s="76"/>
      <c r="UMJ221" s="76"/>
      <c r="UMK221" s="76"/>
      <c r="UML221" s="76"/>
      <c r="UMM221" s="76"/>
      <c r="UMN221" s="76"/>
      <c r="UMO221" s="76"/>
      <c r="UMP221" s="76"/>
      <c r="UMQ221" s="76"/>
      <c r="UMR221" s="76"/>
      <c r="UMS221" s="76"/>
      <c r="UMT221" s="76"/>
      <c r="UMU221" s="76"/>
      <c r="UMV221" s="76"/>
      <c r="UMW221" s="76"/>
      <c r="UMX221" s="76"/>
      <c r="UMY221" s="76"/>
      <c r="UMZ221" s="76"/>
      <c r="UNA221" s="76"/>
      <c r="UNB221" s="76"/>
      <c r="UNC221" s="76"/>
      <c r="UND221" s="76"/>
      <c r="UNE221" s="76"/>
      <c r="UNF221" s="76"/>
      <c r="UNG221" s="76"/>
      <c r="UNH221" s="76"/>
      <c r="UNI221" s="76"/>
      <c r="UNJ221" s="76"/>
      <c r="UNK221" s="76"/>
      <c r="UNL221" s="76"/>
      <c r="UNM221" s="76"/>
      <c r="UNN221" s="76"/>
      <c r="UNO221" s="76"/>
      <c r="UNP221" s="76"/>
      <c r="UNQ221" s="76"/>
      <c r="UNR221" s="76"/>
      <c r="UNS221" s="76"/>
      <c r="UNT221" s="76"/>
      <c r="UNU221" s="76"/>
      <c r="UNV221" s="76"/>
      <c r="UNW221" s="76"/>
      <c r="UNX221" s="76"/>
      <c r="UNY221" s="76"/>
      <c r="UNZ221" s="76"/>
      <c r="UOA221" s="76"/>
      <c r="UOB221" s="76"/>
      <c r="UOC221" s="76"/>
      <c r="UOD221" s="76"/>
      <c r="UOE221" s="76"/>
      <c r="UOF221" s="76"/>
      <c r="UOG221" s="76"/>
      <c r="UOH221" s="76"/>
      <c r="UOI221" s="76"/>
      <c r="UOJ221" s="76"/>
      <c r="UOK221" s="76"/>
      <c r="UOL221" s="76"/>
      <c r="UOM221" s="76"/>
      <c r="UON221" s="76"/>
      <c r="UOO221" s="76"/>
      <c r="UOP221" s="76"/>
      <c r="UOQ221" s="76"/>
      <c r="UOR221" s="76"/>
      <c r="UOS221" s="76"/>
      <c r="UOT221" s="76"/>
      <c r="UOU221" s="76"/>
      <c r="UOV221" s="76"/>
      <c r="UOW221" s="76"/>
      <c r="UOX221" s="76"/>
      <c r="UOY221" s="76"/>
      <c r="UOZ221" s="76"/>
      <c r="UPA221" s="76"/>
      <c r="UPB221" s="76"/>
      <c r="UPC221" s="76"/>
      <c r="UPD221" s="76"/>
      <c r="UPE221" s="76"/>
      <c r="UPF221" s="76"/>
      <c r="UPG221" s="76"/>
      <c r="UPH221" s="76"/>
      <c r="UPI221" s="76"/>
      <c r="UPJ221" s="76"/>
      <c r="UPK221" s="76"/>
      <c r="UPL221" s="76"/>
      <c r="UPM221" s="76"/>
      <c r="UPN221" s="76"/>
      <c r="UPO221" s="76"/>
      <c r="UPP221" s="76"/>
      <c r="UPQ221" s="76"/>
      <c r="UPR221" s="76"/>
      <c r="UPS221" s="76"/>
      <c r="UPT221" s="76"/>
      <c r="UPU221" s="76"/>
      <c r="UPV221" s="76"/>
      <c r="UPW221" s="76"/>
      <c r="UPX221" s="76"/>
      <c r="UPY221" s="76"/>
      <c r="UPZ221" s="76"/>
      <c r="UQA221" s="76"/>
      <c r="UQB221" s="76"/>
      <c r="UQC221" s="76"/>
      <c r="UQD221" s="76"/>
      <c r="UQE221" s="76"/>
      <c r="UQF221" s="76"/>
      <c r="UQG221" s="76"/>
      <c r="UQH221" s="76"/>
      <c r="UQI221" s="76"/>
      <c r="UQJ221" s="76"/>
      <c r="UQK221" s="76"/>
      <c r="UQL221" s="76"/>
      <c r="UQM221" s="76"/>
      <c r="UQN221" s="76"/>
      <c r="UQO221" s="76"/>
      <c r="UQP221" s="76"/>
      <c r="UQQ221" s="76"/>
      <c r="UQR221" s="76"/>
      <c r="UQS221" s="76"/>
      <c r="UQT221" s="76"/>
      <c r="UQU221" s="76"/>
      <c r="UQV221" s="76"/>
      <c r="UQW221" s="76"/>
      <c r="UQX221" s="76"/>
      <c r="UQY221" s="76"/>
      <c r="UQZ221" s="76"/>
      <c r="URA221" s="76"/>
      <c r="URB221" s="76"/>
      <c r="URC221" s="76"/>
      <c r="URD221" s="76"/>
      <c r="URE221" s="76"/>
      <c r="URF221" s="76"/>
      <c r="URG221" s="76"/>
      <c r="URH221" s="76"/>
      <c r="URI221" s="76"/>
      <c r="URJ221" s="76"/>
      <c r="URK221" s="76"/>
      <c r="URL221" s="76"/>
      <c r="URM221" s="76"/>
      <c r="URN221" s="76"/>
      <c r="URO221" s="76"/>
      <c r="URP221" s="76"/>
      <c r="URQ221" s="76"/>
      <c r="URR221" s="76"/>
      <c r="URS221" s="76"/>
      <c r="URT221" s="76"/>
      <c r="URU221" s="76"/>
      <c r="URV221" s="76"/>
      <c r="URW221" s="76"/>
      <c r="URX221" s="76"/>
      <c r="URY221" s="76"/>
      <c r="URZ221" s="76"/>
      <c r="USA221" s="76"/>
      <c r="USB221" s="76"/>
      <c r="USC221" s="76"/>
      <c r="USD221" s="76"/>
      <c r="USE221" s="76"/>
      <c r="USF221" s="76"/>
      <c r="USG221" s="76"/>
      <c r="USH221" s="76"/>
      <c r="USI221" s="76"/>
      <c r="USJ221" s="76"/>
      <c r="USK221" s="76"/>
      <c r="USL221" s="76"/>
      <c r="USM221" s="76"/>
      <c r="USN221" s="76"/>
      <c r="USO221" s="76"/>
      <c r="USP221" s="76"/>
      <c r="USQ221" s="76"/>
      <c r="USR221" s="76"/>
      <c r="USS221" s="76"/>
      <c r="UST221" s="76"/>
      <c r="USU221" s="76"/>
      <c r="USV221" s="76"/>
      <c r="USW221" s="76"/>
      <c r="USX221" s="76"/>
      <c r="USY221" s="76"/>
      <c r="USZ221" s="76"/>
      <c r="UTA221" s="76"/>
      <c r="UTB221" s="76"/>
      <c r="UTC221" s="76"/>
      <c r="UTD221" s="76"/>
      <c r="UTE221" s="76"/>
      <c r="UTF221" s="76"/>
      <c r="UTG221" s="76"/>
      <c r="UTH221" s="76"/>
      <c r="UTI221" s="76"/>
      <c r="UTJ221" s="76"/>
      <c r="UTK221" s="76"/>
      <c r="UTL221" s="76"/>
      <c r="UTM221" s="76"/>
      <c r="UTN221" s="76"/>
      <c r="UTO221" s="76"/>
      <c r="UTP221" s="76"/>
      <c r="UTQ221" s="76"/>
      <c r="UTR221" s="76"/>
      <c r="UTS221" s="76"/>
      <c r="UTT221" s="76"/>
      <c r="UTU221" s="76"/>
      <c r="UTV221" s="76"/>
      <c r="UTW221" s="76"/>
      <c r="UTX221" s="76"/>
      <c r="UTY221" s="76"/>
      <c r="UTZ221" s="76"/>
      <c r="UUA221" s="76"/>
      <c r="UUB221" s="76"/>
      <c r="UUC221" s="76"/>
      <c r="UUD221" s="76"/>
      <c r="UUE221" s="76"/>
      <c r="UUF221" s="76"/>
      <c r="UUG221" s="76"/>
      <c r="UUH221" s="76"/>
      <c r="UUI221" s="76"/>
      <c r="UUJ221" s="76"/>
      <c r="UUK221" s="76"/>
      <c r="UUL221" s="76"/>
      <c r="UUM221" s="76"/>
      <c r="UUN221" s="76"/>
      <c r="UUO221" s="76"/>
      <c r="UUP221" s="76"/>
      <c r="UUQ221" s="76"/>
      <c r="UUR221" s="76"/>
      <c r="UUS221" s="76"/>
      <c r="UUT221" s="76"/>
      <c r="UUU221" s="76"/>
      <c r="UUV221" s="76"/>
      <c r="UUW221" s="76"/>
      <c r="UUX221" s="76"/>
      <c r="UUY221" s="76"/>
      <c r="UUZ221" s="76"/>
      <c r="UVA221" s="76"/>
      <c r="UVB221" s="76"/>
      <c r="UVC221" s="76"/>
      <c r="UVD221" s="76"/>
      <c r="UVE221" s="76"/>
      <c r="UVF221" s="76"/>
      <c r="UVG221" s="76"/>
      <c r="UVH221" s="76"/>
      <c r="UVI221" s="76"/>
      <c r="UVJ221" s="76"/>
      <c r="UVK221" s="76"/>
      <c r="UVL221" s="76"/>
      <c r="UVM221" s="76"/>
      <c r="UVN221" s="76"/>
      <c r="UVO221" s="76"/>
      <c r="UVP221" s="76"/>
      <c r="UVQ221" s="76"/>
      <c r="UVR221" s="76"/>
      <c r="UVS221" s="76"/>
      <c r="UVT221" s="76"/>
      <c r="UVU221" s="76"/>
      <c r="UVV221" s="76"/>
      <c r="UVW221" s="76"/>
      <c r="UVX221" s="76"/>
      <c r="UVY221" s="76"/>
      <c r="UVZ221" s="76"/>
      <c r="UWA221" s="76"/>
      <c r="UWB221" s="76"/>
      <c r="UWC221" s="76"/>
      <c r="UWD221" s="76"/>
      <c r="UWE221" s="76"/>
      <c r="UWF221" s="76"/>
      <c r="UWG221" s="76"/>
      <c r="UWH221" s="76"/>
      <c r="UWI221" s="76"/>
      <c r="UWJ221" s="76"/>
      <c r="UWK221" s="76"/>
      <c r="UWL221" s="76"/>
      <c r="UWM221" s="76"/>
      <c r="UWN221" s="76"/>
      <c r="UWO221" s="76"/>
      <c r="UWP221" s="76"/>
      <c r="UWQ221" s="76"/>
      <c r="UWR221" s="76"/>
      <c r="UWS221" s="76"/>
      <c r="UWT221" s="76"/>
      <c r="UWU221" s="76"/>
      <c r="UWV221" s="76"/>
      <c r="UWW221" s="76"/>
      <c r="UWX221" s="76"/>
      <c r="UWY221" s="76"/>
      <c r="UWZ221" s="76"/>
      <c r="UXA221" s="76"/>
      <c r="UXB221" s="76"/>
      <c r="UXC221" s="76"/>
      <c r="UXD221" s="76"/>
      <c r="UXE221" s="76"/>
      <c r="UXF221" s="76"/>
      <c r="UXG221" s="76"/>
      <c r="UXH221" s="76"/>
      <c r="UXI221" s="76"/>
      <c r="UXJ221" s="76"/>
      <c r="UXK221" s="76"/>
      <c r="UXL221" s="76"/>
      <c r="UXM221" s="76"/>
      <c r="UXN221" s="76"/>
      <c r="UXO221" s="76"/>
      <c r="UXP221" s="76"/>
      <c r="UXQ221" s="76"/>
      <c r="UXR221" s="76"/>
      <c r="UXS221" s="76"/>
      <c r="UXT221" s="76"/>
      <c r="UXU221" s="76"/>
      <c r="UXV221" s="76"/>
      <c r="UXW221" s="76"/>
      <c r="UXX221" s="76"/>
      <c r="UXY221" s="76"/>
      <c r="UXZ221" s="76"/>
      <c r="UYA221" s="76"/>
      <c r="UYB221" s="76"/>
      <c r="UYC221" s="76"/>
      <c r="UYD221" s="76"/>
      <c r="UYE221" s="76"/>
      <c r="UYF221" s="76"/>
      <c r="UYG221" s="76"/>
      <c r="UYH221" s="76"/>
      <c r="UYI221" s="76"/>
      <c r="UYJ221" s="76"/>
      <c r="UYK221" s="76"/>
      <c r="UYL221" s="76"/>
      <c r="UYM221" s="76"/>
      <c r="UYN221" s="76"/>
      <c r="UYO221" s="76"/>
      <c r="UYP221" s="76"/>
      <c r="UYQ221" s="76"/>
      <c r="UYR221" s="76"/>
      <c r="UYS221" s="76"/>
      <c r="UYT221" s="76"/>
      <c r="UYU221" s="76"/>
      <c r="UYV221" s="76"/>
      <c r="UYW221" s="76"/>
      <c r="UYX221" s="76"/>
      <c r="UYY221" s="76"/>
      <c r="UYZ221" s="76"/>
      <c r="UZA221" s="76"/>
      <c r="UZB221" s="76"/>
      <c r="UZC221" s="76"/>
      <c r="UZD221" s="76"/>
      <c r="UZE221" s="76"/>
      <c r="UZF221" s="76"/>
      <c r="UZG221" s="76"/>
      <c r="UZH221" s="76"/>
      <c r="UZI221" s="76"/>
      <c r="UZJ221" s="76"/>
      <c r="UZK221" s="76"/>
      <c r="UZL221" s="76"/>
      <c r="UZM221" s="76"/>
      <c r="UZN221" s="76"/>
      <c r="UZO221" s="76"/>
      <c r="UZP221" s="76"/>
      <c r="UZQ221" s="76"/>
      <c r="UZR221" s="76"/>
      <c r="UZS221" s="76"/>
      <c r="UZT221" s="76"/>
      <c r="UZU221" s="76"/>
      <c r="UZV221" s="76"/>
      <c r="UZW221" s="76"/>
      <c r="UZX221" s="76"/>
      <c r="UZY221" s="76"/>
      <c r="UZZ221" s="76"/>
      <c r="VAA221" s="76"/>
      <c r="VAB221" s="76"/>
      <c r="VAC221" s="76"/>
      <c r="VAD221" s="76"/>
      <c r="VAE221" s="76"/>
      <c r="VAF221" s="76"/>
      <c r="VAG221" s="76"/>
      <c r="VAH221" s="76"/>
      <c r="VAI221" s="76"/>
      <c r="VAJ221" s="76"/>
      <c r="VAK221" s="76"/>
      <c r="VAL221" s="76"/>
      <c r="VAM221" s="76"/>
      <c r="VAN221" s="76"/>
      <c r="VAO221" s="76"/>
      <c r="VAP221" s="76"/>
      <c r="VAQ221" s="76"/>
      <c r="VAR221" s="76"/>
      <c r="VAS221" s="76"/>
      <c r="VAT221" s="76"/>
      <c r="VAU221" s="76"/>
      <c r="VAV221" s="76"/>
      <c r="VAW221" s="76"/>
      <c r="VAX221" s="76"/>
      <c r="VAY221" s="76"/>
      <c r="VAZ221" s="76"/>
      <c r="VBA221" s="76"/>
      <c r="VBB221" s="76"/>
      <c r="VBC221" s="76"/>
      <c r="VBD221" s="76"/>
      <c r="VBE221" s="76"/>
      <c r="VBF221" s="76"/>
      <c r="VBG221" s="76"/>
      <c r="VBH221" s="76"/>
      <c r="VBI221" s="76"/>
      <c r="VBJ221" s="76"/>
      <c r="VBK221" s="76"/>
      <c r="VBL221" s="76"/>
      <c r="VBM221" s="76"/>
      <c r="VBN221" s="76"/>
      <c r="VBO221" s="76"/>
      <c r="VBP221" s="76"/>
      <c r="VBQ221" s="76"/>
      <c r="VBR221" s="76"/>
      <c r="VBS221" s="76"/>
      <c r="VBT221" s="76"/>
      <c r="VBU221" s="76"/>
      <c r="VBV221" s="76"/>
      <c r="VBW221" s="76"/>
      <c r="VBX221" s="76"/>
      <c r="VBY221" s="76"/>
      <c r="VBZ221" s="76"/>
      <c r="VCA221" s="76"/>
      <c r="VCB221" s="76"/>
      <c r="VCC221" s="76"/>
      <c r="VCD221" s="76"/>
      <c r="VCE221" s="76"/>
      <c r="VCF221" s="76"/>
      <c r="VCG221" s="76"/>
      <c r="VCH221" s="76"/>
      <c r="VCI221" s="76"/>
      <c r="VCJ221" s="76"/>
      <c r="VCK221" s="76"/>
      <c r="VCL221" s="76"/>
      <c r="VCM221" s="76"/>
      <c r="VCN221" s="76"/>
      <c r="VCO221" s="76"/>
      <c r="VCP221" s="76"/>
      <c r="VCQ221" s="76"/>
      <c r="VCR221" s="76"/>
      <c r="VCS221" s="76"/>
      <c r="VCT221" s="76"/>
      <c r="VCU221" s="76"/>
      <c r="VCV221" s="76"/>
      <c r="VCW221" s="76"/>
      <c r="VCX221" s="76"/>
      <c r="VCY221" s="76"/>
      <c r="VCZ221" s="76"/>
      <c r="VDA221" s="76"/>
      <c r="VDB221" s="76"/>
      <c r="VDC221" s="76"/>
      <c r="VDD221" s="76"/>
      <c r="VDE221" s="76"/>
      <c r="VDF221" s="76"/>
      <c r="VDG221" s="76"/>
      <c r="VDH221" s="76"/>
      <c r="VDI221" s="76"/>
      <c r="VDJ221" s="76"/>
      <c r="VDK221" s="76"/>
      <c r="VDL221" s="76"/>
      <c r="VDM221" s="76"/>
      <c r="VDN221" s="76"/>
      <c r="VDO221" s="76"/>
      <c r="VDP221" s="76"/>
      <c r="VDQ221" s="76"/>
      <c r="VDR221" s="76"/>
      <c r="VDS221" s="76"/>
      <c r="VDT221" s="76"/>
      <c r="VDU221" s="76"/>
      <c r="VDV221" s="76"/>
      <c r="VDW221" s="76"/>
      <c r="VDX221" s="76"/>
      <c r="VDY221" s="76"/>
      <c r="VDZ221" s="76"/>
      <c r="VEA221" s="76"/>
      <c r="VEB221" s="76"/>
      <c r="VEC221" s="76"/>
      <c r="VED221" s="76"/>
      <c r="VEE221" s="76"/>
      <c r="VEF221" s="76"/>
      <c r="VEG221" s="76"/>
      <c r="VEH221" s="76"/>
      <c r="VEI221" s="76"/>
      <c r="VEJ221" s="76"/>
      <c r="VEK221" s="76"/>
      <c r="VEL221" s="76"/>
      <c r="VEM221" s="76"/>
      <c r="VEN221" s="76"/>
      <c r="VEO221" s="76"/>
      <c r="VEP221" s="76"/>
      <c r="VEQ221" s="76"/>
      <c r="VER221" s="76"/>
      <c r="VES221" s="76"/>
      <c r="VET221" s="76"/>
      <c r="VEU221" s="76"/>
      <c r="VEV221" s="76"/>
      <c r="VEW221" s="76"/>
      <c r="VEX221" s="76"/>
      <c r="VEY221" s="76"/>
      <c r="VEZ221" s="76"/>
      <c r="VFA221" s="76"/>
      <c r="VFB221" s="76"/>
      <c r="VFC221" s="76"/>
      <c r="VFD221" s="76"/>
      <c r="VFE221" s="76"/>
      <c r="VFF221" s="76"/>
      <c r="VFG221" s="76"/>
      <c r="VFH221" s="76"/>
      <c r="VFI221" s="76"/>
      <c r="VFJ221" s="76"/>
      <c r="VFK221" s="76"/>
      <c r="VFL221" s="76"/>
      <c r="VFM221" s="76"/>
      <c r="VFN221" s="76"/>
      <c r="VFO221" s="76"/>
      <c r="VFP221" s="76"/>
      <c r="VFQ221" s="76"/>
      <c r="VFR221" s="76"/>
      <c r="VFS221" s="76"/>
      <c r="VFT221" s="76"/>
      <c r="VFU221" s="76"/>
      <c r="VFV221" s="76"/>
      <c r="VFW221" s="76"/>
      <c r="VFX221" s="76"/>
      <c r="VFY221" s="76"/>
      <c r="VFZ221" s="76"/>
      <c r="VGA221" s="76"/>
      <c r="VGB221" s="76"/>
      <c r="VGC221" s="76"/>
      <c r="VGD221" s="76"/>
      <c r="VGE221" s="76"/>
      <c r="VGF221" s="76"/>
      <c r="VGG221" s="76"/>
      <c r="VGH221" s="76"/>
      <c r="VGI221" s="76"/>
      <c r="VGJ221" s="76"/>
      <c r="VGK221" s="76"/>
      <c r="VGL221" s="76"/>
      <c r="VGM221" s="76"/>
      <c r="VGN221" s="76"/>
      <c r="VGO221" s="76"/>
      <c r="VGP221" s="76"/>
      <c r="VGQ221" s="76"/>
      <c r="VGR221" s="76"/>
      <c r="VGS221" s="76"/>
      <c r="VGT221" s="76"/>
      <c r="VGU221" s="76"/>
      <c r="VGV221" s="76"/>
      <c r="VGW221" s="76"/>
      <c r="VGX221" s="76"/>
      <c r="VGY221" s="76"/>
      <c r="VGZ221" s="76"/>
      <c r="VHA221" s="76"/>
      <c r="VHB221" s="76"/>
      <c r="VHC221" s="76"/>
      <c r="VHD221" s="76"/>
      <c r="VHE221" s="76"/>
      <c r="VHF221" s="76"/>
      <c r="VHG221" s="76"/>
      <c r="VHH221" s="76"/>
      <c r="VHI221" s="76"/>
      <c r="VHJ221" s="76"/>
      <c r="VHK221" s="76"/>
      <c r="VHL221" s="76"/>
      <c r="VHM221" s="76"/>
      <c r="VHN221" s="76"/>
      <c r="VHO221" s="76"/>
      <c r="VHP221" s="76"/>
      <c r="VHQ221" s="76"/>
      <c r="VHR221" s="76"/>
      <c r="VHS221" s="76"/>
      <c r="VHT221" s="76"/>
      <c r="VHU221" s="76"/>
      <c r="VHV221" s="76"/>
      <c r="VHW221" s="76"/>
      <c r="VHX221" s="76"/>
      <c r="VHY221" s="76"/>
      <c r="VHZ221" s="76"/>
      <c r="VIA221" s="76"/>
      <c r="VIB221" s="76"/>
      <c r="VIC221" s="76"/>
      <c r="VID221" s="76"/>
      <c r="VIE221" s="76"/>
      <c r="VIF221" s="76"/>
      <c r="VIG221" s="76"/>
      <c r="VIH221" s="76"/>
      <c r="VII221" s="76"/>
      <c r="VIJ221" s="76"/>
      <c r="VIK221" s="76"/>
      <c r="VIL221" s="76"/>
      <c r="VIM221" s="76"/>
      <c r="VIN221" s="76"/>
      <c r="VIO221" s="76"/>
      <c r="VIP221" s="76"/>
      <c r="VIQ221" s="76"/>
      <c r="VIR221" s="76"/>
      <c r="VIS221" s="76"/>
      <c r="VIT221" s="76"/>
      <c r="VIU221" s="76"/>
      <c r="VIV221" s="76"/>
      <c r="VIW221" s="76"/>
      <c r="VIX221" s="76"/>
      <c r="VIY221" s="76"/>
      <c r="VIZ221" s="76"/>
      <c r="VJA221" s="76"/>
      <c r="VJB221" s="76"/>
      <c r="VJC221" s="76"/>
      <c r="VJD221" s="76"/>
      <c r="VJE221" s="76"/>
      <c r="VJF221" s="76"/>
      <c r="VJG221" s="76"/>
      <c r="VJH221" s="76"/>
      <c r="VJI221" s="76"/>
      <c r="VJJ221" s="76"/>
      <c r="VJK221" s="76"/>
      <c r="VJL221" s="76"/>
      <c r="VJM221" s="76"/>
      <c r="VJN221" s="76"/>
      <c r="VJO221" s="76"/>
      <c r="VJP221" s="76"/>
      <c r="VJQ221" s="76"/>
      <c r="VJR221" s="76"/>
      <c r="VJS221" s="76"/>
      <c r="VJT221" s="76"/>
      <c r="VJU221" s="76"/>
      <c r="VJV221" s="76"/>
      <c r="VJW221" s="76"/>
      <c r="VJX221" s="76"/>
      <c r="VJY221" s="76"/>
      <c r="VJZ221" s="76"/>
      <c r="VKA221" s="76"/>
      <c r="VKB221" s="76"/>
      <c r="VKC221" s="76"/>
      <c r="VKD221" s="76"/>
      <c r="VKE221" s="76"/>
      <c r="VKF221" s="76"/>
      <c r="VKG221" s="76"/>
      <c r="VKH221" s="76"/>
      <c r="VKI221" s="76"/>
      <c r="VKJ221" s="76"/>
      <c r="VKK221" s="76"/>
      <c r="VKL221" s="76"/>
      <c r="VKM221" s="76"/>
      <c r="VKN221" s="76"/>
      <c r="VKO221" s="76"/>
      <c r="VKP221" s="76"/>
      <c r="VKQ221" s="76"/>
      <c r="VKR221" s="76"/>
      <c r="VKS221" s="76"/>
      <c r="VKT221" s="76"/>
      <c r="VKU221" s="76"/>
      <c r="VKV221" s="76"/>
      <c r="VKW221" s="76"/>
      <c r="VKX221" s="76"/>
      <c r="VKY221" s="76"/>
      <c r="VKZ221" s="76"/>
      <c r="VLA221" s="76"/>
      <c r="VLB221" s="76"/>
      <c r="VLC221" s="76"/>
      <c r="VLD221" s="76"/>
      <c r="VLE221" s="76"/>
      <c r="VLF221" s="76"/>
      <c r="VLG221" s="76"/>
      <c r="VLH221" s="76"/>
      <c r="VLI221" s="76"/>
      <c r="VLJ221" s="76"/>
      <c r="VLK221" s="76"/>
      <c r="VLL221" s="76"/>
      <c r="VLM221" s="76"/>
      <c r="VLN221" s="76"/>
      <c r="VLO221" s="76"/>
      <c r="VLP221" s="76"/>
      <c r="VLQ221" s="76"/>
      <c r="VLR221" s="76"/>
      <c r="VLS221" s="76"/>
      <c r="VLT221" s="76"/>
      <c r="VLU221" s="76"/>
      <c r="VLV221" s="76"/>
      <c r="VLW221" s="76"/>
      <c r="VLX221" s="76"/>
      <c r="VLY221" s="76"/>
      <c r="VLZ221" s="76"/>
      <c r="VMA221" s="76"/>
      <c r="VMB221" s="76"/>
      <c r="VMC221" s="76"/>
      <c r="VMD221" s="76"/>
      <c r="VME221" s="76"/>
      <c r="VMF221" s="76"/>
      <c r="VMG221" s="76"/>
      <c r="VMH221" s="76"/>
      <c r="VMI221" s="76"/>
      <c r="VMJ221" s="76"/>
      <c r="VMK221" s="76"/>
      <c r="VML221" s="76"/>
      <c r="VMM221" s="76"/>
      <c r="VMN221" s="76"/>
      <c r="VMO221" s="76"/>
      <c r="VMP221" s="76"/>
      <c r="VMQ221" s="76"/>
      <c r="VMR221" s="76"/>
      <c r="VMS221" s="76"/>
      <c r="VMT221" s="76"/>
      <c r="VMU221" s="76"/>
      <c r="VMV221" s="76"/>
      <c r="VMW221" s="76"/>
      <c r="VMX221" s="76"/>
      <c r="VMY221" s="76"/>
      <c r="VMZ221" s="76"/>
      <c r="VNA221" s="76"/>
      <c r="VNB221" s="76"/>
      <c r="VNC221" s="76"/>
      <c r="VND221" s="76"/>
      <c r="VNE221" s="76"/>
      <c r="VNF221" s="76"/>
      <c r="VNG221" s="76"/>
      <c r="VNH221" s="76"/>
      <c r="VNI221" s="76"/>
      <c r="VNJ221" s="76"/>
      <c r="VNK221" s="76"/>
      <c r="VNL221" s="76"/>
      <c r="VNM221" s="76"/>
      <c r="VNN221" s="76"/>
      <c r="VNO221" s="76"/>
      <c r="VNP221" s="76"/>
      <c r="VNQ221" s="76"/>
      <c r="VNR221" s="76"/>
      <c r="VNS221" s="76"/>
      <c r="VNT221" s="76"/>
      <c r="VNU221" s="76"/>
      <c r="VNV221" s="76"/>
      <c r="VNW221" s="76"/>
      <c r="VNX221" s="76"/>
      <c r="VNY221" s="76"/>
      <c r="VNZ221" s="76"/>
      <c r="VOA221" s="76"/>
      <c r="VOB221" s="76"/>
      <c r="VOC221" s="76"/>
      <c r="VOD221" s="76"/>
      <c r="VOE221" s="76"/>
      <c r="VOF221" s="76"/>
      <c r="VOG221" s="76"/>
      <c r="VOH221" s="76"/>
      <c r="VOI221" s="76"/>
      <c r="VOJ221" s="76"/>
      <c r="VOK221" s="76"/>
      <c r="VOL221" s="76"/>
      <c r="VOM221" s="76"/>
      <c r="VON221" s="76"/>
      <c r="VOO221" s="76"/>
      <c r="VOP221" s="76"/>
      <c r="VOQ221" s="76"/>
      <c r="VOR221" s="76"/>
      <c r="VOS221" s="76"/>
      <c r="VOT221" s="76"/>
      <c r="VOU221" s="76"/>
      <c r="VOV221" s="76"/>
      <c r="VOW221" s="76"/>
      <c r="VOX221" s="76"/>
      <c r="VOY221" s="76"/>
      <c r="VOZ221" s="76"/>
      <c r="VPA221" s="76"/>
      <c r="VPB221" s="76"/>
      <c r="VPC221" s="76"/>
      <c r="VPD221" s="76"/>
      <c r="VPE221" s="76"/>
      <c r="VPF221" s="76"/>
      <c r="VPG221" s="76"/>
      <c r="VPH221" s="76"/>
      <c r="VPI221" s="76"/>
      <c r="VPJ221" s="76"/>
      <c r="VPK221" s="76"/>
      <c r="VPL221" s="76"/>
      <c r="VPM221" s="76"/>
      <c r="VPN221" s="76"/>
      <c r="VPO221" s="76"/>
      <c r="VPP221" s="76"/>
      <c r="VPQ221" s="76"/>
      <c r="VPR221" s="76"/>
      <c r="VPS221" s="76"/>
      <c r="VPT221" s="76"/>
      <c r="VPU221" s="76"/>
      <c r="VPV221" s="76"/>
      <c r="VPW221" s="76"/>
      <c r="VPX221" s="76"/>
      <c r="VPY221" s="76"/>
      <c r="VPZ221" s="76"/>
      <c r="VQA221" s="76"/>
      <c r="VQB221" s="76"/>
      <c r="VQC221" s="76"/>
      <c r="VQD221" s="76"/>
      <c r="VQE221" s="76"/>
      <c r="VQF221" s="76"/>
      <c r="VQG221" s="76"/>
      <c r="VQH221" s="76"/>
      <c r="VQI221" s="76"/>
      <c r="VQJ221" s="76"/>
      <c r="VQK221" s="76"/>
      <c r="VQL221" s="76"/>
      <c r="VQM221" s="76"/>
      <c r="VQN221" s="76"/>
      <c r="VQO221" s="76"/>
      <c r="VQP221" s="76"/>
      <c r="VQQ221" s="76"/>
      <c r="VQR221" s="76"/>
      <c r="VQS221" s="76"/>
      <c r="VQT221" s="76"/>
      <c r="VQU221" s="76"/>
      <c r="VQV221" s="76"/>
      <c r="VQW221" s="76"/>
      <c r="VQX221" s="76"/>
      <c r="VQY221" s="76"/>
      <c r="VQZ221" s="76"/>
      <c r="VRA221" s="76"/>
      <c r="VRB221" s="76"/>
      <c r="VRC221" s="76"/>
      <c r="VRD221" s="76"/>
      <c r="VRE221" s="76"/>
      <c r="VRF221" s="76"/>
      <c r="VRG221" s="76"/>
      <c r="VRH221" s="76"/>
      <c r="VRI221" s="76"/>
      <c r="VRJ221" s="76"/>
      <c r="VRK221" s="76"/>
      <c r="VRL221" s="76"/>
      <c r="VRM221" s="76"/>
      <c r="VRN221" s="76"/>
      <c r="VRO221" s="76"/>
      <c r="VRP221" s="76"/>
      <c r="VRQ221" s="76"/>
      <c r="VRR221" s="76"/>
      <c r="VRS221" s="76"/>
      <c r="VRT221" s="76"/>
      <c r="VRU221" s="76"/>
      <c r="VRV221" s="76"/>
      <c r="VRW221" s="76"/>
      <c r="VRX221" s="76"/>
      <c r="VRY221" s="76"/>
      <c r="VRZ221" s="76"/>
      <c r="VSA221" s="76"/>
      <c r="VSB221" s="76"/>
      <c r="VSC221" s="76"/>
      <c r="VSD221" s="76"/>
      <c r="VSE221" s="76"/>
      <c r="VSF221" s="76"/>
      <c r="VSG221" s="76"/>
      <c r="VSH221" s="76"/>
      <c r="VSI221" s="76"/>
      <c r="VSJ221" s="76"/>
      <c r="VSK221" s="76"/>
      <c r="VSL221" s="76"/>
      <c r="VSM221" s="76"/>
      <c r="VSN221" s="76"/>
      <c r="VSO221" s="76"/>
      <c r="VSP221" s="76"/>
      <c r="VSQ221" s="76"/>
      <c r="VSR221" s="76"/>
      <c r="VSS221" s="76"/>
      <c r="VST221" s="76"/>
      <c r="VSU221" s="76"/>
      <c r="VSV221" s="76"/>
      <c r="VSW221" s="76"/>
      <c r="VSX221" s="76"/>
      <c r="VSY221" s="76"/>
      <c r="VSZ221" s="76"/>
      <c r="VTA221" s="76"/>
      <c r="VTB221" s="76"/>
      <c r="VTC221" s="76"/>
      <c r="VTD221" s="76"/>
      <c r="VTE221" s="76"/>
      <c r="VTF221" s="76"/>
      <c r="VTG221" s="76"/>
      <c r="VTH221" s="76"/>
      <c r="VTI221" s="76"/>
      <c r="VTJ221" s="76"/>
      <c r="VTK221" s="76"/>
      <c r="VTL221" s="76"/>
      <c r="VTM221" s="76"/>
      <c r="VTN221" s="76"/>
      <c r="VTO221" s="76"/>
      <c r="VTP221" s="76"/>
      <c r="VTQ221" s="76"/>
      <c r="VTR221" s="76"/>
      <c r="VTS221" s="76"/>
      <c r="VTT221" s="76"/>
      <c r="VTU221" s="76"/>
      <c r="VTV221" s="76"/>
      <c r="VTW221" s="76"/>
      <c r="VTX221" s="76"/>
      <c r="VTY221" s="76"/>
      <c r="VTZ221" s="76"/>
      <c r="VUA221" s="76"/>
      <c r="VUB221" s="76"/>
      <c r="VUC221" s="76"/>
      <c r="VUD221" s="76"/>
      <c r="VUE221" s="76"/>
      <c r="VUF221" s="76"/>
      <c r="VUG221" s="76"/>
      <c r="VUH221" s="76"/>
      <c r="VUI221" s="76"/>
      <c r="VUJ221" s="76"/>
      <c r="VUK221" s="76"/>
      <c r="VUL221" s="76"/>
      <c r="VUM221" s="76"/>
      <c r="VUN221" s="76"/>
      <c r="VUO221" s="76"/>
      <c r="VUP221" s="76"/>
      <c r="VUQ221" s="76"/>
      <c r="VUR221" s="76"/>
      <c r="VUS221" s="76"/>
      <c r="VUT221" s="76"/>
      <c r="VUU221" s="76"/>
      <c r="VUV221" s="76"/>
      <c r="VUW221" s="76"/>
      <c r="VUX221" s="76"/>
      <c r="VUY221" s="76"/>
      <c r="VUZ221" s="76"/>
      <c r="VVA221" s="76"/>
      <c r="VVB221" s="76"/>
      <c r="VVC221" s="76"/>
      <c r="VVD221" s="76"/>
      <c r="VVE221" s="76"/>
      <c r="VVF221" s="76"/>
      <c r="VVG221" s="76"/>
      <c r="VVH221" s="76"/>
      <c r="VVI221" s="76"/>
      <c r="VVJ221" s="76"/>
      <c r="VVK221" s="76"/>
      <c r="VVL221" s="76"/>
      <c r="VVM221" s="76"/>
      <c r="VVN221" s="76"/>
      <c r="VVO221" s="76"/>
      <c r="VVP221" s="76"/>
      <c r="VVQ221" s="76"/>
      <c r="VVR221" s="76"/>
      <c r="VVS221" s="76"/>
      <c r="VVT221" s="76"/>
      <c r="VVU221" s="76"/>
      <c r="VVV221" s="76"/>
      <c r="VVW221" s="76"/>
      <c r="VVX221" s="76"/>
      <c r="VVY221" s="76"/>
      <c r="VVZ221" s="76"/>
      <c r="VWA221" s="76"/>
      <c r="VWB221" s="76"/>
      <c r="VWC221" s="76"/>
      <c r="VWD221" s="76"/>
      <c r="VWE221" s="76"/>
      <c r="VWF221" s="76"/>
      <c r="VWG221" s="76"/>
      <c r="VWH221" s="76"/>
      <c r="VWI221" s="76"/>
      <c r="VWJ221" s="76"/>
      <c r="VWK221" s="76"/>
      <c r="VWL221" s="76"/>
      <c r="VWM221" s="76"/>
      <c r="VWN221" s="76"/>
      <c r="VWO221" s="76"/>
      <c r="VWP221" s="76"/>
      <c r="VWQ221" s="76"/>
      <c r="VWR221" s="76"/>
      <c r="VWS221" s="76"/>
      <c r="VWT221" s="76"/>
      <c r="VWU221" s="76"/>
      <c r="VWV221" s="76"/>
      <c r="VWW221" s="76"/>
      <c r="VWX221" s="76"/>
      <c r="VWY221" s="76"/>
      <c r="VWZ221" s="76"/>
      <c r="VXA221" s="76"/>
      <c r="VXB221" s="76"/>
      <c r="VXC221" s="76"/>
      <c r="VXD221" s="76"/>
      <c r="VXE221" s="76"/>
      <c r="VXF221" s="76"/>
      <c r="VXG221" s="76"/>
      <c r="VXH221" s="76"/>
      <c r="VXI221" s="76"/>
      <c r="VXJ221" s="76"/>
      <c r="VXK221" s="76"/>
      <c r="VXL221" s="76"/>
      <c r="VXM221" s="76"/>
      <c r="VXN221" s="76"/>
      <c r="VXO221" s="76"/>
      <c r="VXP221" s="76"/>
      <c r="VXQ221" s="76"/>
      <c r="VXR221" s="76"/>
      <c r="VXS221" s="76"/>
      <c r="VXT221" s="76"/>
      <c r="VXU221" s="76"/>
      <c r="VXV221" s="76"/>
      <c r="VXW221" s="76"/>
      <c r="VXX221" s="76"/>
      <c r="VXY221" s="76"/>
      <c r="VXZ221" s="76"/>
      <c r="VYA221" s="76"/>
      <c r="VYB221" s="76"/>
      <c r="VYC221" s="76"/>
      <c r="VYD221" s="76"/>
      <c r="VYE221" s="76"/>
      <c r="VYF221" s="76"/>
      <c r="VYG221" s="76"/>
      <c r="VYH221" s="76"/>
      <c r="VYI221" s="76"/>
      <c r="VYJ221" s="76"/>
      <c r="VYK221" s="76"/>
      <c r="VYL221" s="76"/>
      <c r="VYM221" s="76"/>
      <c r="VYN221" s="76"/>
      <c r="VYO221" s="76"/>
      <c r="VYP221" s="76"/>
      <c r="VYQ221" s="76"/>
      <c r="VYR221" s="76"/>
      <c r="VYS221" s="76"/>
      <c r="VYT221" s="76"/>
      <c r="VYU221" s="76"/>
      <c r="VYV221" s="76"/>
      <c r="VYW221" s="76"/>
      <c r="VYX221" s="76"/>
      <c r="VYY221" s="76"/>
      <c r="VYZ221" s="76"/>
      <c r="VZA221" s="76"/>
      <c r="VZB221" s="76"/>
      <c r="VZC221" s="76"/>
      <c r="VZD221" s="76"/>
      <c r="VZE221" s="76"/>
      <c r="VZF221" s="76"/>
      <c r="VZG221" s="76"/>
      <c r="VZH221" s="76"/>
      <c r="VZI221" s="76"/>
      <c r="VZJ221" s="76"/>
      <c r="VZK221" s="76"/>
      <c r="VZL221" s="76"/>
      <c r="VZM221" s="76"/>
      <c r="VZN221" s="76"/>
      <c r="VZO221" s="76"/>
      <c r="VZP221" s="76"/>
      <c r="VZQ221" s="76"/>
      <c r="VZR221" s="76"/>
      <c r="VZS221" s="76"/>
      <c r="VZT221" s="76"/>
      <c r="VZU221" s="76"/>
      <c r="VZV221" s="76"/>
      <c r="VZW221" s="76"/>
      <c r="VZX221" s="76"/>
      <c r="VZY221" s="76"/>
      <c r="VZZ221" s="76"/>
      <c r="WAA221" s="76"/>
      <c r="WAB221" s="76"/>
      <c r="WAC221" s="76"/>
      <c r="WAD221" s="76"/>
      <c r="WAE221" s="76"/>
      <c r="WAF221" s="76"/>
      <c r="WAG221" s="76"/>
      <c r="WAH221" s="76"/>
      <c r="WAI221" s="76"/>
      <c r="WAJ221" s="76"/>
      <c r="WAK221" s="76"/>
      <c r="WAL221" s="76"/>
      <c r="WAM221" s="76"/>
      <c r="WAN221" s="76"/>
      <c r="WAO221" s="76"/>
      <c r="WAP221" s="76"/>
      <c r="WAQ221" s="76"/>
      <c r="WAR221" s="76"/>
      <c r="WAS221" s="76"/>
      <c r="WAT221" s="76"/>
      <c r="WAU221" s="76"/>
      <c r="WAV221" s="76"/>
      <c r="WAW221" s="76"/>
      <c r="WAX221" s="76"/>
      <c r="WAY221" s="76"/>
      <c r="WAZ221" s="76"/>
      <c r="WBA221" s="76"/>
      <c r="WBB221" s="76"/>
      <c r="WBC221" s="76"/>
      <c r="WBD221" s="76"/>
      <c r="WBE221" s="76"/>
      <c r="WBF221" s="76"/>
      <c r="WBG221" s="76"/>
      <c r="WBH221" s="76"/>
      <c r="WBI221" s="76"/>
      <c r="WBJ221" s="76"/>
      <c r="WBK221" s="76"/>
      <c r="WBL221" s="76"/>
      <c r="WBM221" s="76"/>
      <c r="WBN221" s="76"/>
      <c r="WBO221" s="76"/>
      <c r="WBP221" s="76"/>
      <c r="WBQ221" s="76"/>
      <c r="WBR221" s="76"/>
      <c r="WBS221" s="76"/>
      <c r="WBT221" s="76"/>
      <c r="WBU221" s="76"/>
      <c r="WBV221" s="76"/>
      <c r="WBW221" s="76"/>
      <c r="WBX221" s="76"/>
      <c r="WBY221" s="76"/>
      <c r="WBZ221" s="76"/>
      <c r="WCA221" s="76"/>
      <c r="WCB221" s="76"/>
      <c r="WCC221" s="76"/>
      <c r="WCD221" s="76"/>
      <c r="WCE221" s="76"/>
      <c r="WCF221" s="76"/>
      <c r="WCG221" s="76"/>
      <c r="WCH221" s="76"/>
      <c r="WCI221" s="76"/>
      <c r="WCJ221" s="76"/>
      <c r="WCK221" s="76"/>
      <c r="WCL221" s="76"/>
      <c r="WCM221" s="76"/>
      <c r="WCN221" s="76"/>
      <c r="WCO221" s="76"/>
      <c r="WCP221" s="76"/>
      <c r="WCQ221" s="76"/>
      <c r="WCR221" s="76"/>
      <c r="WCS221" s="76"/>
      <c r="WCT221" s="76"/>
      <c r="WCU221" s="76"/>
      <c r="WCV221" s="76"/>
      <c r="WCW221" s="76"/>
      <c r="WCX221" s="76"/>
      <c r="WCY221" s="76"/>
      <c r="WCZ221" s="76"/>
      <c r="WDA221" s="76"/>
      <c r="WDB221" s="76"/>
      <c r="WDC221" s="76"/>
      <c r="WDD221" s="76"/>
      <c r="WDE221" s="76"/>
      <c r="WDF221" s="76"/>
      <c r="WDG221" s="76"/>
      <c r="WDH221" s="76"/>
      <c r="WDI221" s="76"/>
      <c r="WDJ221" s="76"/>
      <c r="WDK221" s="76"/>
      <c r="WDL221" s="76"/>
      <c r="WDM221" s="76"/>
      <c r="WDN221" s="76"/>
      <c r="WDO221" s="76"/>
      <c r="WDP221" s="76"/>
      <c r="WDQ221" s="76"/>
      <c r="WDR221" s="76"/>
      <c r="WDS221" s="76"/>
      <c r="WDT221" s="76"/>
      <c r="WDU221" s="76"/>
      <c r="WDV221" s="76"/>
      <c r="WDW221" s="76"/>
      <c r="WDX221" s="76"/>
      <c r="WDY221" s="76"/>
      <c r="WDZ221" s="76"/>
      <c r="WEA221" s="76"/>
      <c r="WEB221" s="76"/>
      <c r="WEC221" s="76"/>
      <c r="WED221" s="76"/>
      <c r="WEE221" s="76"/>
      <c r="WEF221" s="76"/>
      <c r="WEG221" s="76"/>
      <c r="WEH221" s="76"/>
      <c r="WEI221" s="76"/>
      <c r="WEJ221" s="76"/>
      <c r="WEK221" s="76"/>
      <c r="WEL221" s="76"/>
      <c r="WEM221" s="76"/>
      <c r="WEN221" s="76"/>
      <c r="WEO221" s="76"/>
      <c r="WEP221" s="76"/>
      <c r="WEQ221" s="76"/>
      <c r="WER221" s="76"/>
      <c r="WES221" s="76"/>
      <c r="WET221" s="76"/>
      <c r="WEU221" s="76"/>
      <c r="WEV221" s="76"/>
      <c r="WEW221" s="76"/>
      <c r="WEX221" s="76"/>
      <c r="WEY221" s="76"/>
      <c r="WEZ221" s="76"/>
      <c r="WFA221" s="76"/>
      <c r="WFB221" s="76"/>
      <c r="WFC221" s="76"/>
      <c r="WFD221" s="76"/>
      <c r="WFE221" s="76"/>
      <c r="WFF221" s="76"/>
      <c r="WFG221" s="76"/>
      <c r="WFH221" s="76"/>
      <c r="WFI221" s="76"/>
      <c r="WFJ221" s="76"/>
      <c r="WFK221" s="76"/>
      <c r="WFL221" s="76"/>
      <c r="WFM221" s="76"/>
      <c r="WFN221" s="76"/>
      <c r="WFO221" s="76"/>
      <c r="WFP221" s="76"/>
      <c r="WFQ221" s="76"/>
      <c r="WFR221" s="76"/>
      <c r="WFS221" s="76"/>
      <c r="WFT221" s="76"/>
      <c r="WFU221" s="76"/>
      <c r="WFV221" s="76"/>
      <c r="WFW221" s="76"/>
      <c r="WFX221" s="76"/>
      <c r="WFY221" s="76"/>
      <c r="WFZ221" s="76"/>
      <c r="WGA221" s="76"/>
      <c r="WGB221" s="76"/>
      <c r="WGC221" s="76"/>
      <c r="WGD221" s="76"/>
      <c r="WGE221" s="76"/>
      <c r="WGF221" s="76"/>
      <c r="WGG221" s="76"/>
      <c r="WGH221" s="76"/>
      <c r="WGI221" s="76"/>
      <c r="WGJ221" s="76"/>
      <c r="WGK221" s="76"/>
      <c r="WGL221" s="76"/>
      <c r="WGM221" s="76"/>
      <c r="WGN221" s="76"/>
      <c r="WGO221" s="76"/>
      <c r="WGP221" s="76"/>
      <c r="WGQ221" s="76"/>
      <c r="WGR221" s="76"/>
      <c r="WGS221" s="76"/>
      <c r="WGT221" s="76"/>
      <c r="WGU221" s="76"/>
      <c r="WGV221" s="76"/>
      <c r="WGW221" s="76"/>
      <c r="WGX221" s="76"/>
      <c r="WGY221" s="76"/>
      <c r="WGZ221" s="76"/>
      <c r="WHA221" s="76"/>
      <c r="WHB221" s="76"/>
      <c r="WHC221" s="76"/>
      <c r="WHD221" s="76"/>
      <c r="WHE221" s="76"/>
      <c r="WHF221" s="76"/>
      <c r="WHG221" s="76"/>
      <c r="WHH221" s="76"/>
      <c r="WHI221" s="76"/>
      <c r="WHJ221" s="76"/>
      <c r="WHK221" s="76"/>
      <c r="WHL221" s="76"/>
      <c r="WHM221" s="76"/>
      <c r="WHN221" s="76"/>
      <c r="WHO221" s="76"/>
      <c r="WHP221" s="76"/>
      <c r="WHQ221" s="76"/>
      <c r="WHR221" s="76"/>
      <c r="WHS221" s="76"/>
      <c r="WHT221" s="76"/>
      <c r="WHU221" s="76"/>
      <c r="WHV221" s="76"/>
      <c r="WHW221" s="76"/>
      <c r="WHX221" s="76"/>
      <c r="WHY221" s="76"/>
      <c r="WHZ221" s="76"/>
      <c r="WIA221" s="76"/>
      <c r="WIB221" s="76"/>
      <c r="WIC221" s="76"/>
      <c r="WID221" s="76"/>
      <c r="WIE221" s="76"/>
      <c r="WIF221" s="76"/>
      <c r="WIG221" s="76"/>
      <c r="WIH221" s="76"/>
      <c r="WII221" s="76"/>
      <c r="WIJ221" s="76"/>
      <c r="WIK221" s="76"/>
      <c r="WIL221" s="76"/>
      <c r="WIM221" s="76"/>
      <c r="WIN221" s="76"/>
      <c r="WIO221" s="76"/>
      <c r="WIP221" s="76"/>
      <c r="WIQ221" s="76"/>
      <c r="WIR221" s="76"/>
      <c r="WIS221" s="76"/>
      <c r="WIT221" s="76"/>
      <c r="WIU221" s="76"/>
      <c r="WIV221" s="76"/>
      <c r="WIW221" s="76"/>
      <c r="WIX221" s="76"/>
      <c r="WIY221" s="76"/>
      <c r="WIZ221" s="76"/>
      <c r="WJA221" s="76"/>
      <c r="WJB221" s="76"/>
      <c r="WJC221" s="76"/>
      <c r="WJD221" s="76"/>
      <c r="WJE221" s="76"/>
      <c r="WJF221" s="76"/>
      <c r="WJG221" s="76"/>
      <c r="WJH221" s="76"/>
      <c r="WJI221" s="76"/>
      <c r="WJJ221" s="76"/>
      <c r="WJK221" s="76"/>
      <c r="WJL221" s="76"/>
      <c r="WJM221" s="76"/>
      <c r="WJN221" s="76"/>
      <c r="WJO221" s="76"/>
      <c r="WJP221" s="76"/>
      <c r="WJQ221" s="76"/>
      <c r="WJR221" s="76"/>
      <c r="WJS221" s="76"/>
      <c r="WJT221" s="76"/>
      <c r="WJU221" s="76"/>
      <c r="WJV221" s="76"/>
      <c r="WJW221" s="76"/>
      <c r="WJX221" s="76"/>
      <c r="WJY221" s="76"/>
      <c r="WJZ221" s="76"/>
      <c r="WKA221" s="76"/>
      <c r="WKB221" s="76"/>
      <c r="WKC221" s="76"/>
      <c r="WKD221" s="76"/>
      <c r="WKE221" s="76"/>
      <c r="WKF221" s="76"/>
      <c r="WKG221" s="76"/>
      <c r="WKH221" s="76"/>
      <c r="WKI221" s="76"/>
      <c r="WKJ221" s="76"/>
      <c r="WKK221" s="76"/>
      <c r="WKL221" s="76"/>
      <c r="WKM221" s="76"/>
      <c r="WKN221" s="76"/>
      <c r="WKO221" s="76"/>
      <c r="WKP221" s="76"/>
      <c r="WKQ221" s="76"/>
      <c r="WKR221" s="76"/>
      <c r="WKS221" s="76"/>
      <c r="WKT221" s="76"/>
      <c r="WKU221" s="76"/>
      <c r="WKV221" s="76"/>
      <c r="WKW221" s="76"/>
      <c r="WKX221" s="76"/>
      <c r="WKY221" s="76"/>
      <c r="WKZ221" s="76"/>
      <c r="WLA221" s="76"/>
      <c r="WLB221" s="76"/>
      <c r="WLC221" s="76"/>
      <c r="WLD221" s="76"/>
      <c r="WLE221" s="76"/>
      <c r="WLF221" s="76"/>
      <c r="WLG221" s="76"/>
      <c r="WLH221" s="76"/>
      <c r="WLI221" s="76"/>
      <c r="WLJ221" s="76"/>
      <c r="WLK221" s="76"/>
      <c r="WLL221" s="76"/>
      <c r="WLM221" s="76"/>
      <c r="WLN221" s="76"/>
      <c r="WLO221" s="76"/>
      <c r="WLP221" s="76"/>
      <c r="WLQ221" s="76"/>
      <c r="WLR221" s="76"/>
      <c r="WLS221" s="76"/>
      <c r="WLT221" s="76"/>
      <c r="WLU221" s="76"/>
      <c r="WLV221" s="76"/>
      <c r="WLW221" s="76"/>
      <c r="WLX221" s="76"/>
      <c r="WLY221" s="76"/>
      <c r="WLZ221" s="76"/>
      <c r="WMA221" s="76"/>
      <c r="WMB221" s="76"/>
      <c r="WMC221" s="76"/>
      <c r="WMD221" s="76"/>
      <c r="WME221" s="76"/>
      <c r="WMF221" s="76"/>
      <c r="WMG221" s="76"/>
      <c r="WMH221" s="76"/>
      <c r="WMI221" s="76"/>
      <c r="WMJ221" s="76"/>
      <c r="WMK221" s="76"/>
      <c r="WML221" s="76"/>
      <c r="WMM221" s="76"/>
      <c r="WMN221" s="76"/>
      <c r="WMO221" s="76"/>
      <c r="WMP221" s="76"/>
      <c r="WMQ221" s="76"/>
      <c r="WMR221" s="76"/>
      <c r="WMS221" s="76"/>
      <c r="WMT221" s="76"/>
      <c r="WMU221" s="76"/>
      <c r="WMV221" s="76"/>
      <c r="WMW221" s="76"/>
      <c r="WMX221" s="76"/>
      <c r="WMY221" s="76"/>
      <c r="WMZ221" s="76"/>
      <c r="WNA221" s="76"/>
      <c r="WNB221" s="76"/>
      <c r="WNC221" s="76"/>
      <c r="WND221" s="76"/>
      <c r="WNE221" s="76"/>
      <c r="WNF221" s="76"/>
      <c r="WNG221" s="76"/>
      <c r="WNH221" s="76"/>
      <c r="WNI221" s="76"/>
      <c r="WNJ221" s="76"/>
      <c r="WNK221" s="76"/>
      <c r="WNL221" s="76"/>
      <c r="WNM221" s="76"/>
      <c r="WNN221" s="76"/>
      <c r="WNO221" s="76"/>
      <c r="WNP221" s="76"/>
      <c r="WNQ221" s="76"/>
      <c r="WNR221" s="76"/>
      <c r="WNS221" s="76"/>
      <c r="WNT221" s="76"/>
      <c r="WNU221" s="76"/>
      <c r="WNV221" s="76"/>
      <c r="WNW221" s="76"/>
      <c r="WNX221" s="76"/>
      <c r="WNY221" s="76"/>
      <c r="WNZ221" s="76"/>
      <c r="WOA221" s="76"/>
      <c r="WOB221" s="76"/>
      <c r="WOC221" s="76"/>
      <c r="WOD221" s="76"/>
      <c r="WOE221" s="76"/>
      <c r="WOF221" s="76"/>
      <c r="WOG221" s="76"/>
      <c r="WOH221" s="76"/>
      <c r="WOI221" s="76"/>
      <c r="WOJ221" s="76"/>
      <c r="WOK221" s="76"/>
      <c r="WOL221" s="76"/>
      <c r="WOM221" s="76"/>
      <c r="WON221" s="76"/>
      <c r="WOO221" s="76"/>
      <c r="WOP221" s="76"/>
      <c r="WOQ221" s="76"/>
      <c r="WOR221" s="76"/>
      <c r="WOS221" s="76"/>
      <c r="WOT221" s="76"/>
      <c r="WOU221" s="76"/>
      <c r="WOV221" s="76"/>
      <c r="WOW221" s="76"/>
      <c r="WOX221" s="76"/>
      <c r="WOY221" s="76"/>
      <c r="WOZ221" s="76"/>
      <c r="WPA221" s="76"/>
      <c r="WPB221" s="76"/>
      <c r="WPC221" s="76"/>
      <c r="WPD221" s="76"/>
      <c r="WPE221" s="76"/>
      <c r="WPF221" s="76"/>
      <c r="WPG221" s="76"/>
      <c r="WPH221" s="76"/>
      <c r="WPI221" s="76"/>
      <c r="WPJ221" s="76"/>
      <c r="WPK221" s="76"/>
      <c r="WPL221" s="76"/>
      <c r="WPM221" s="76"/>
      <c r="WPN221" s="76"/>
      <c r="WPO221" s="76"/>
      <c r="WPP221" s="76"/>
      <c r="WPQ221" s="76"/>
      <c r="WPR221" s="76"/>
      <c r="WPS221" s="76"/>
      <c r="WPT221" s="76"/>
      <c r="WPU221" s="76"/>
      <c r="WPV221" s="76"/>
      <c r="WPW221" s="76"/>
      <c r="WPX221" s="76"/>
      <c r="WPY221" s="76"/>
      <c r="WPZ221" s="76"/>
      <c r="WQA221" s="76"/>
      <c r="WQB221" s="76"/>
      <c r="WQC221" s="76"/>
      <c r="WQD221" s="76"/>
      <c r="WQE221" s="76"/>
      <c r="WQF221" s="76"/>
      <c r="WQG221" s="76"/>
      <c r="WQH221" s="76"/>
      <c r="WQI221" s="76"/>
      <c r="WQJ221" s="76"/>
      <c r="WQK221" s="76"/>
      <c r="WQL221" s="76"/>
      <c r="WQM221" s="76"/>
      <c r="WQN221" s="76"/>
      <c r="WQO221" s="76"/>
      <c r="WQP221" s="76"/>
      <c r="WQQ221" s="76"/>
      <c r="WQR221" s="76"/>
      <c r="WQS221" s="76"/>
      <c r="WQT221" s="76"/>
      <c r="WQU221" s="76"/>
      <c r="WQV221" s="76"/>
      <c r="WQW221" s="76"/>
      <c r="WQX221" s="76"/>
      <c r="WQY221" s="76"/>
      <c r="WQZ221" s="76"/>
      <c r="WRA221" s="76"/>
      <c r="WRB221" s="76"/>
      <c r="WRC221" s="76"/>
      <c r="WRD221" s="76"/>
      <c r="WRE221" s="76"/>
      <c r="WRF221" s="76"/>
      <c r="WRG221" s="76"/>
      <c r="WRH221" s="76"/>
      <c r="WRI221" s="76"/>
      <c r="WRJ221" s="76"/>
      <c r="WRK221" s="76"/>
      <c r="WRL221" s="76"/>
      <c r="WRM221" s="76"/>
      <c r="WRN221" s="76"/>
      <c r="WRO221" s="76"/>
      <c r="WRP221" s="76"/>
      <c r="WRQ221" s="76"/>
      <c r="WRR221" s="76"/>
      <c r="WRS221" s="76"/>
      <c r="WRT221" s="76"/>
      <c r="WRU221" s="76"/>
      <c r="WRV221" s="76"/>
      <c r="WRW221" s="76"/>
      <c r="WRX221" s="76"/>
      <c r="WRY221" s="76"/>
      <c r="WRZ221" s="76"/>
      <c r="WSA221" s="76"/>
      <c r="WSB221" s="76"/>
      <c r="WSC221" s="76"/>
      <c r="WSD221" s="76"/>
      <c r="WSE221" s="76"/>
      <c r="WSF221" s="76"/>
      <c r="WSG221" s="76"/>
      <c r="WSH221" s="76"/>
      <c r="WSI221" s="76"/>
      <c r="WSJ221" s="76"/>
      <c r="WSK221" s="76"/>
      <c r="WSL221" s="76"/>
      <c r="WSM221" s="76"/>
      <c r="WSN221" s="76"/>
      <c r="WSO221" s="76"/>
      <c r="WSP221" s="76"/>
      <c r="WSQ221" s="76"/>
      <c r="WSR221" s="76"/>
      <c r="WSS221" s="76"/>
      <c r="WST221" s="76"/>
      <c r="WSU221" s="76"/>
      <c r="WSV221" s="76"/>
      <c r="WSW221" s="76"/>
      <c r="WSX221" s="76"/>
      <c r="WSY221" s="76"/>
      <c r="WSZ221" s="76"/>
      <c r="WTA221" s="76"/>
      <c r="WTB221" s="76"/>
      <c r="WTC221" s="76"/>
      <c r="WTD221" s="76"/>
      <c r="WTE221" s="76"/>
      <c r="WTF221" s="76"/>
      <c r="WTG221" s="76"/>
      <c r="WTH221" s="76"/>
      <c r="WTI221" s="76"/>
      <c r="WTJ221" s="76"/>
      <c r="WTK221" s="76"/>
      <c r="WTL221" s="76"/>
      <c r="WTM221" s="76"/>
      <c r="WTN221" s="76"/>
      <c r="WTO221" s="76"/>
      <c r="WTP221" s="76"/>
      <c r="WTQ221" s="76"/>
      <c r="WTR221" s="76"/>
      <c r="WTS221" s="76"/>
      <c r="WTT221" s="76"/>
      <c r="WTU221" s="76"/>
      <c r="WTV221" s="76"/>
      <c r="WTW221" s="76"/>
      <c r="WTX221" s="76"/>
      <c r="WTY221" s="76"/>
      <c r="WTZ221" s="76"/>
      <c r="WUA221" s="76"/>
      <c r="WUB221" s="76"/>
      <c r="WUC221" s="76"/>
      <c r="WUD221" s="76"/>
      <c r="WUE221" s="76"/>
      <c r="WUF221" s="76"/>
      <c r="WUG221" s="76"/>
      <c r="WUH221" s="76"/>
      <c r="WUI221" s="76"/>
      <c r="WUJ221" s="76"/>
      <c r="WUK221" s="76"/>
      <c r="WUL221" s="76"/>
      <c r="WUM221" s="76"/>
      <c r="WUN221" s="76"/>
      <c r="WUO221" s="76"/>
      <c r="WUP221" s="76"/>
      <c r="WUQ221" s="76"/>
      <c r="WUR221" s="76"/>
      <c r="WUS221" s="76"/>
      <c r="WUT221" s="76"/>
      <c r="WUU221" s="76"/>
      <c r="WUV221" s="76"/>
      <c r="WUW221" s="76"/>
      <c r="WUX221" s="76"/>
      <c r="WUY221" s="76"/>
      <c r="WUZ221" s="76"/>
      <c r="WVA221" s="76"/>
      <c r="WVB221" s="76"/>
      <c r="WVC221" s="76"/>
      <c r="WVD221" s="76"/>
      <c r="WVE221" s="76"/>
      <c r="WVF221" s="76"/>
      <c r="WVG221" s="76"/>
      <c r="WVH221" s="76"/>
      <c r="WVI221" s="76"/>
      <c r="WVJ221" s="76"/>
      <c r="WVK221" s="76"/>
      <c r="WVL221" s="76"/>
      <c r="WVM221" s="76"/>
      <c r="WVN221" s="76"/>
      <c r="WVO221" s="76"/>
      <c r="WVP221" s="76"/>
      <c r="WVQ221" s="76"/>
      <c r="WVR221" s="76"/>
      <c r="WVS221" s="76"/>
      <c r="WVT221" s="76"/>
      <c r="WVU221" s="76"/>
      <c r="WVV221" s="76"/>
      <c r="WVW221" s="76"/>
      <c r="WVX221" s="76"/>
      <c r="WVY221" s="76"/>
      <c r="WVZ221" s="76"/>
      <c r="WWA221" s="76"/>
      <c r="WWB221" s="76"/>
      <c r="WWC221" s="76"/>
      <c r="WWD221" s="76"/>
      <c r="WWE221" s="76"/>
      <c r="WWF221" s="76"/>
      <c r="WWG221" s="76"/>
      <c r="WWH221" s="76"/>
      <c r="WWI221" s="76"/>
      <c r="WWJ221" s="76"/>
      <c r="WWK221" s="76"/>
      <c r="WWL221" s="76"/>
      <c r="WWM221" s="76"/>
      <c r="WWN221" s="76"/>
      <c r="WWO221" s="76"/>
      <c r="WWP221" s="76"/>
      <c r="WWQ221" s="76"/>
      <c r="WWR221" s="76"/>
      <c r="WWS221" s="76"/>
    </row>
    <row r="222" spans="1:16165">
      <c r="P222" s="1101"/>
    </row>
    <row r="223" spans="1:16165">
      <c r="C223" s="1366" t="s">
        <v>3355</v>
      </c>
    </row>
    <row r="224" spans="1:16165" s="83" customFormat="1">
      <c r="A224" s="76"/>
      <c r="B224" s="76"/>
      <c r="C224" s="76" t="s">
        <v>2942</v>
      </c>
      <c r="D224" s="76"/>
      <c r="E224" s="76"/>
      <c r="F224" s="1365">
        <f>SUM(F12:F29,F40)</f>
        <v>0.88500000000000023</v>
      </c>
      <c r="G224" s="1365">
        <f t="shared" ref="G224:P224" si="406">SUM(G12:G29,G40)</f>
        <v>117</v>
      </c>
      <c r="H224" s="1365">
        <f t="shared" si="406"/>
        <v>0</v>
      </c>
      <c r="I224" s="1365">
        <f t="shared" si="406"/>
        <v>0</v>
      </c>
      <c r="J224" s="1365">
        <f t="shared" si="406"/>
        <v>0</v>
      </c>
      <c r="K224" s="1365">
        <f t="shared" si="406"/>
        <v>491.93065999999999</v>
      </c>
      <c r="L224" s="1365">
        <f t="shared" si="406"/>
        <v>0</v>
      </c>
      <c r="M224" s="1365">
        <f t="shared" si="406"/>
        <v>0</v>
      </c>
      <c r="N224" s="1365">
        <f t="shared" si="406"/>
        <v>0</v>
      </c>
      <c r="O224" s="1365">
        <f t="shared" si="406"/>
        <v>364.97</v>
      </c>
      <c r="P224" s="1365">
        <f t="shared" si="406"/>
        <v>856900.65999999992</v>
      </c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81"/>
      <c r="AB224" s="81"/>
      <c r="AC224" s="81"/>
      <c r="AD224" s="81"/>
      <c r="AE224" s="81"/>
      <c r="AF224" s="81"/>
      <c r="AG224" s="81"/>
      <c r="AH224" s="76"/>
      <c r="AI224" s="81"/>
      <c r="AJ224" s="81"/>
      <c r="AK224" s="81"/>
      <c r="AL224" s="81"/>
      <c r="AM224" s="81"/>
      <c r="AN224" s="82"/>
      <c r="AO224" s="82"/>
      <c r="AP224" s="82"/>
      <c r="AQ224" s="82"/>
      <c r="AS224" s="82"/>
      <c r="AT224" s="84"/>
      <c r="AU224" s="85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  <c r="CK224" s="76"/>
      <c r="CL224" s="76"/>
      <c r="CM224" s="76"/>
      <c r="CN224" s="76"/>
      <c r="CO224" s="76"/>
      <c r="CP224" s="76"/>
      <c r="CQ224" s="76"/>
      <c r="CR224" s="76"/>
      <c r="CS224" s="76"/>
      <c r="CT224" s="76"/>
      <c r="CU224" s="76"/>
      <c r="CV224" s="76"/>
      <c r="CW224" s="76"/>
      <c r="CX224" s="76"/>
      <c r="CY224" s="76"/>
      <c r="CZ224" s="76"/>
      <c r="DA224" s="76"/>
      <c r="DB224" s="76"/>
      <c r="DC224" s="76"/>
      <c r="DD224" s="76"/>
      <c r="DE224" s="76"/>
      <c r="DF224" s="76"/>
      <c r="DG224" s="76"/>
      <c r="DH224" s="76"/>
      <c r="DI224" s="76"/>
      <c r="DJ224" s="76"/>
      <c r="DK224" s="76"/>
      <c r="DL224" s="76"/>
      <c r="DM224" s="76"/>
      <c r="DN224" s="76"/>
      <c r="DO224" s="76"/>
      <c r="DP224" s="76"/>
      <c r="DQ224" s="76"/>
      <c r="DR224" s="76"/>
      <c r="DS224" s="76"/>
      <c r="DT224" s="76"/>
      <c r="DU224" s="76"/>
      <c r="DV224" s="76"/>
      <c r="DW224" s="76"/>
      <c r="DX224" s="76"/>
      <c r="DY224" s="76"/>
      <c r="DZ224" s="76"/>
      <c r="EA224" s="76"/>
      <c r="EB224" s="76"/>
      <c r="EC224" s="76"/>
      <c r="ED224" s="76"/>
      <c r="EE224" s="76"/>
      <c r="EF224" s="76"/>
      <c r="EG224" s="76"/>
      <c r="EH224" s="76"/>
      <c r="EI224" s="76"/>
      <c r="EJ224" s="76"/>
      <c r="EK224" s="76"/>
      <c r="EL224" s="76"/>
      <c r="EM224" s="76"/>
      <c r="EN224" s="76"/>
      <c r="EO224" s="76"/>
      <c r="EP224" s="76"/>
      <c r="EQ224" s="76"/>
      <c r="ER224" s="76"/>
      <c r="ES224" s="76"/>
      <c r="ET224" s="76"/>
      <c r="EU224" s="76"/>
      <c r="EV224" s="76"/>
      <c r="EW224" s="76"/>
      <c r="EX224" s="76"/>
      <c r="EY224" s="76"/>
      <c r="EZ224" s="76"/>
      <c r="FA224" s="76"/>
      <c r="FB224" s="76"/>
      <c r="FC224" s="76"/>
      <c r="FD224" s="76"/>
      <c r="FE224" s="76"/>
      <c r="FF224" s="76"/>
      <c r="FG224" s="76"/>
      <c r="FH224" s="76"/>
      <c r="FI224" s="76"/>
      <c r="FJ224" s="76"/>
      <c r="FK224" s="76"/>
      <c r="FL224" s="76"/>
      <c r="FM224" s="76"/>
      <c r="FN224" s="76"/>
      <c r="FO224" s="76"/>
      <c r="FP224" s="76"/>
      <c r="FQ224" s="76"/>
      <c r="FR224" s="76"/>
      <c r="FS224" s="76"/>
      <c r="FT224" s="76"/>
      <c r="FU224" s="76"/>
      <c r="FV224" s="76"/>
      <c r="FW224" s="76"/>
      <c r="FX224" s="76"/>
      <c r="FY224" s="76"/>
      <c r="FZ224" s="76"/>
      <c r="GA224" s="76"/>
      <c r="GB224" s="76"/>
      <c r="GC224" s="76"/>
      <c r="GD224" s="76"/>
      <c r="GE224" s="76"/>
      <c r="GF224" s="76"/>
      <c r="GG224" s="76"/>
      <c r="GH224" s="76"/>
      <c r="GI224" s="76"/>
      <c r="GJ224" s="76"/>
      <c r="GK224" s="76"/>
      <c r="GL224" s="76"/>
      <c r="GM224" s="76"/>
      <c r="GN224" s="76"/>
      <c r="GO224" s="76"/>
      <c r="GP224" s="76"/>
      <c r="GQ224" s="76"/>
      <c r="GR224" s="76"/>
      <c r="GS224" s="76"/>
      <c r="GT224" s="76"/>
      <c r="GU224" s="76"/>
      <c r="GV224" s="76"/>
      <c r="GW224" s="76"/>
      <c r="GX224" s="76"/>
      <c r="GY224" s="76"/>
      <c r="GZ224" s="76"/>
      <c r="HA224" s="76"/>
      <c r="HB224" s="76"/>
      <c r="HC224" s="76"/>
      <c r="HD224" s="76"/>
      <c r="HE224" s="76"/>
      <c r="HF224" s="76"/>
      <c r="HG224" s="76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76"/>
      <c r="IX224" s="76"/>
      <c r="IY224" s="76"/>
      <c r="IZ224" s="76"/>
      <c r="JA224" s="76"/>
      <c r="JB224" s="76"/>
      <c r="JC224" s="76"/>
      <c r="JD224" s="76"/>
      <c r="JE224" s="76"/>
      <c r="JF224" s="76"/>
      <c r="JG224" s="76"/>
      <c r="JH224" s="76"/>
      <c r="JI224" s="76"/>
      <c r="JJ224" s="76"/>
      <c r="JK224" s="76"/>
      <c r="JL224" s="76"/>
      <c r="JM224" s="76"/>
      <c r="JN224" s="76"/>
      <c r="JO224" s="76"/>
      <c r="JP224" s="76"/>
      <c r="JQ224" s="76"/>
      <c r="JR224" s="76"/>
      <c r="JS224" s="76"/>
      <c r="JT224" s="76"/>
      <c r="JU224" s="76"/>
      <c r="JV224" s="76"/>
      <c r="JW224" s="76"/>
      <c r="JX224" s="76"/>
      <c r="JY224" s="76"/>
      <c r="JZ224" s="76"/>
      <c r="KA224" s="76"/>
      <c r="KB224" s="76"/>
      <c r="KC224" s="76"/>
      <c r="KD224" s="76"/>
      <c r="KE224" s="76"/>
      <c r="KF224" s="76"/>
      <c r="KG224" s="76"/>
      <c r="KH224" s="76"/>
      <c r="KI224" s="76"/>
      <c r="KJ224" s="76"/>
      <c r="KK224" s="76"/>
      <c r="KL224" s="76"/>
      <c r="KM224" s="76"/>
      <c r="KN224" s="76"/>
      <c r="KO224" s="76"/>
      <c r="KP224" s="76"/>
      <c r="KQ224" s="76"/>
      <c r="KR224" s="76"/>
      <c r="KS224" s="76"/>
      <c r="KT224" s="76"/>
      <c r="KU224" s="76"/>
      <c r="KV224" s="76"/>
      <c r="KW224" s="76"/>
      <c r="KX224" s="76"/>
      <c r="KY224" s="76"/>
      <c r="KZ224" s="76"/>
      <c r="LA224" s="76"/>
      <c r="LB224" s="76"/>
      <c r="LC224" s="76"/>
      <c r="LD224" s="76"/>
      <c r="LE224" s="76"/>
      <c r="LF224" s="76"/>
      <c r="LG224" s="76"/>
      <c r="LH224" s="76"/>
      <c r="LI224" s="76"/>
      <c r="LJ224" s="76"/>
      <c r="LK224" s="76"/>
      <c r="LL224" s="76"/>
      <c r="LM224" s="76"/>
      <c r="LN224" s="76"/>
      <c r="LO224" s="76"/>
      <c r="LP224" s="76"/>
      <c r="LQ224" s="76"/>
      <c r="LR224" s="76"/>
      <c r="LS224" s="76"/>
      <c r="LT224" s="76"/>
      <c r="LU224" s="76"/>
      <c r="LV224" s="76"/>
      <c r="LW224" s="76"/>
      <c r="LX224" s="76"/>
      <c r="LY224" s="76"/>
      <c r="LZ224" s="76"/>
      <c r="MA224" s="76"/>
      <c r="MB224" s="76"/>
      <c r="MC224" s="76"/>
      <c r="MD224" s="76"/>
      <c r="ME224" s="76"/>
      <c r="MF224" s="76"/>
      <c r="MG224" s="76"/>
      <c r="MH224" s="76"/>
      <c r="MI224" s="76"/>
      <c r="MJ224" s="76"/>
      <c r="MK224" s="76"/>
      <c r="ML224" s="76"/>
      <c r="MM224" s="76"/>
      <c r="MN224" s="76"/>
      <c r="MO224" s="76"/>
      <c r="MP224" s="76"/>
      <c r="MQ224" s="76"/>
      <c r="MR224" s="76"/>
      <c r="MS224" s="76"/>
      <c r="MT224" s="76"/>
      <c r="MU224" s="76"/>
      <c r="MV224" s="76"/>
      <c r="MW224" s="76"/>
      <c r="MX224" s="76"/>
      <c r="MY224" s="76"/>
      <c r="MZ224" s="76"/>
      <c r="NA224" s="76"/>
      <c r="NB224" s="76"/>
      <c r="NC224" s="76"/>
      <c r="ND224" s="76"/>
      <c r="NE224" s="76"/>
      <c r="NF224" s="76"/>
      <c r="NG224" s="76"/>
      <c r="NH224" s="76"/>
      <c r="NI224" s="76"/>
      <c r="NJ224" s="76"/>
      <c r="NK224" s="76"/>
      <c r="NL224" s="76"/>
      <c r="NM224" s="76"/>
      <c r="NN224" s="76"/>
      <c r="NO224" s="76"/>
      <c r="NP224" s="76"/>
      <c r="NQ224" s="76"/>
      <c r="NR224" s="76"/>
      <c r="NS224" s="76"/>
      <c r="NT224" s="76"/>
      <c r="NU224" s="76"/>
      <c r="NV224" s="76"/>
      <c r="NW224" s="76"/>
      <c r="NX224" s="76"/>
      <c r="NY224" s="76"/>
      <c r="NZ224" s="76"/>
      <c r="OA224" s="76"/>
      <c r="OB224" s="76"/>
      <c r="OC224" s="76"/>
      <c r="OD224" s="76"/>
      <c r="OE224" s="76"/>
      <c r="OF224" s="76"/>
      <c r="OG224" s="76"/>
      <c r="OH224" s="76"/>
      <c r="OI224" s="76"/>
      <c r="OJ224" s="76"/>
      <c r="OK224" s="76"/>
      <c r="OL224" s="76"/>
      <c r="OM224" s="76"/>
      <c r="ON224" s="76"/>
      <c r="OO224" s="76"/>
      <c r="OP224" s="76"/>
      <c r="OQ224" s="76"/>
      <c r="OR224" s="76"/>
      <c r="OS224" s="76"/>
      <c r="OT224" s="76"/>
      <c r="OU224" s="76"/>
      <c r="OV224" s="76"/>
      <c r="OW224" s="76"/>
      <c r="OX224" s="76"/>
      <c r="OY224" s="76"/>
      <c r="OZ224" s="76"/>
      <c r="PA224" s="76"/>
      <c r="PB224" s="76"/>
      <c r="PC224" s="76"/>
      <c r="PD224" s="76"/>
      <c r="PE224" s="76"/>
      <c r="PF224" s="76"/>
      <c r="PG224" s="76"/>
      <c r="PH224" s="76"/>
      <c r="PI224" s="76"/>
      <c r="PJ224" s="76"/>
      <c r="PK224" s="76"/>
      <c r="PL224" s="76"/>
      <c r="PM224" s="76"/>
      <c r="PN224" s="76"/>
      <c r="PO224" s="76"/>
      <c r="PP224" s="76"/>
      <c r="PQ224" s="76"/>
      <c r="PR224" s="76"/>
      <c r="PS224" s="76"/>
      <c r="PT224" s="76"/>
      <c r="PU224" s="76"/>
      <c r="PV224" s="76"/>
      <c r="PW224" s="76"/>
      <c r="PX224" s="76"/>
      <c r="PY224" s="76"/>
      <c r="PZ224" s="76"/>
      <c r="QA224" s="76"/>
      <c r="QB224" s="76"/>
      <c r="QC224" s="76"/>
      <c r="QD224" s="76"/>
      <c r="QE224" s="76"/>
      <c r="QF224" s="76"/>
      <c r="QG224" s="76"/>
      <c r="QH224" s="76"/>
      <c r="QI224" s="76"/>
      <c r="QJ224" s="76"/>
      <c r="QK224" s="76"/>
      <c r="QL224" s="76"/>
      <c r="QM224" s="76"/>
      <c r="QN224" s="76"/>
      <c r="QO224" s="76"/>
      <c r="QP224" s="76"/>
      <c r="QQ224" s="76"/>
      <c r="QR224" s="76"/>
      <c r="QS224" s="76"/>
      <c r="QT224" s="76"/>
      <c r="QU224" s="76"/>
      <c r="QV224" s="76"/>
      <c r="QW224" s="76"/>
      <c r="QX224" s="76"/>
      <c r="QY224" s="76"/>
      <c r="QZ224" s="76"/>
      <c r="RA224" s="76"/>
      <c r="RB224" s="76"/>
      <c r="RC224" s="76"/>
      <c r="RD224" s="76"/>
      <c r="RE224" s="76"/>
      <c r="RF224" s="76"/>
      <c r="RG224" s="76"/>
      <c r="RH224" s="76"/>
      <c r="RI224" s="76"/>
      <c r="RJ224" s="76"/>
      <c r="RK224" s="76"/>
      <c r="RL224" s="76"/>
      <c r="RM224" s="76"/>
      <c r="RN224" s="76"/>
      <c r="RO224" s="76"/>
      <c r="RP224" s="76"/>
      <c r="RQ224" s="76"/>
      <c r="RR224" s="76"/>
      <c r="RS224" s="76"/>
      <c r="RT224" s="76"/>
      <c r="RU224" s="76"/>
      <c r="RV224" s="76"/>
      <c r="RW224" s="76"/>
      <c r="RX224" s="76"/>
      <c r="RY224" s="76"/>
      <c r="RZ224" s="76"/>
      <c r="SA224" s="76"/>
      <c r="SB224" s="76"/>
      <c r="SC224" s="76"/>
      <c r="SD224" s="76"/>
      <c r="SE224" s="76"/>
      <c r="SF224" s="76"/>
      <c r="SG224" s="76"/>
      <c r="SH224" s="76"/>
      <c r="SI224" s="76"/>
      <c r="SJ224" s="76"/>
      <c r="SK224" s="76"/>
      <c r="SL224" s="76"/>
      <c r="SM224" s="76"/>
      <c r="SN224" s="76"/>
      <c r="SO224" s="76"/>
      <c r="SP224" s="76"/>
      <c r="SQ224" s="76"/>
      <c r="SR224" s="76"/>
      <c r="SS224" s="76"/>
      <c r="ST224" s="76"/>
      <c r="SU224" s="76"/>
      <c r="SV224" s="76"/>
      <c r="SW224" s="76"/>
      <c r="SX224" s="76"/>
      <c r="SY224" s="76"/>
      <c r="SZ224" s="76"/>
      <c r="TA224" s="76"/>
      <c r="TB224" s="76"/>
      <c r="TC224" s="76"/>
      <c r="TD224" s="76"/>
      <c r="TE224" s="76"/>
      <c r="TF224" s="76"/>
      <c r="TG224" s="76"/>
      <c r="TH224" s="76"/>
      <c r="TI224" s="76"/>
      <c r="TJ224" s="76"/>
      <c r="TK224" s="76"/>
      <c r="TL224" s="76"/>
      <c r="TM224" s="76"/>
      <c r="TN224" s="76"/>
      <c r="TO224" s="76"/>
      <c r="TP224" s="76"/>
      <c r="TQ224" s="76"/>
      <c r="TR224" s="76"/>
      <c r="TS224" s="76"/>
      <c r="TT224" s="76"/>
      <c r="TU224" s="76"/>
      <c r="TV224" s="76"/>
      <c r="TW224" s="76"/>
      <c r="TX224" s="76"/>
      <c r="TY224" s="76"/>
      <c r="TZ224" s="76"/>
      <c r="UA224" s="76"/>
      <c r="UB224" s="76"/>
      <c r="UC224" s="76"/>
      <c r="UD224" s="76"/>
      <c r="UE224" s="76"/>
      <c r="UF224" s="76"/>
      <c r="UG224" s="76"/>
      <c r="UH224" s="76"/>
      <c r="UI224" s="76"/>
      <c r="UJ224" s="76"/>
      <c r="UK224" s="76"/>
      <c r="UL224" s="76"/>
      <c r="UM224" s="76"/>
      <c r="UN224" s="76"/>
      <c r="UO224" s="76"/>
      <c r="UP224" s="76"/>
      <c r="UQ224" s="76"/>
      <c r="UR224" s="76"/>
      <c r="US224" s="76"/>
      <c r="UT224" s="76"/>
      <c r="UU224" s="76"/>
      <c r="UV224" s="76"/>
      <c r="UW224" s="76"/>
      <c r="UX224" s="76"/>
      <c r="UY224" s="76"/>
      <c r="UZ224" s="76"/>
      <c r="VA224" s="76"/>
      <c r="VB224" s="76"/>
      <c r="VC224" s="76"/>
      <c r="VD224" s="76"/>
      <c r="VE224" s="76"/>
      <c r="VF224" s="76"/>
      <c r="VG224" s="76"/>
      <c r="VH224" s="76"/>
      <c r="VI224" s="76"/>
      <c r="VJ224" s="76"/>
      <c r="VK224" s="76"/>
      <c r="VL224" s="76"/>
      <c r="VM224" s="76"/>
      <c r="VN224" s="76"/>
      <c r="VO224" s="76"/>
      <c r="VP224" s="76"/>
      <c r="VQ224" s="76"/>
      <c r="VR224" s="76"/>
      <c r="VS224" s="76"/>
      <c r="VT224" s="76"/>
      <c r="VU224" s="76"/>
      <c r="VV224" s="76"/>
      <c r="VW224" s="76"/>
      <c r="VX224" s="76"/>
      <c r="VY224" s="76"/>
      <c r="VZ224" s="76"/>
      <c r="WA224" s="76"/>
      <c r="WB224" s="76"/>
      <c r="WC224" s="76"/>
      <c r="WD224" s="76"/>
      <c r="WE224" s="76"/>
      <c r="WF224" s="76"/>
      <c r="WG224" s="76"/>
      <c r="WH224" s="76"/>
      <c r="WI224" s="76"/>
      <c r="WJ224" s="76"/>
      <c r="WK224" s="76"/>
      <c r="WL224" s="76"/>
      <c r="WM224" s="76"/>
      <c r="WN224" s="76"/>
      <c r="WO224" s="76"/>
      <c r="WP224" s="76"/>
      <c r="WQ224" s="76"/>
      <c r="WR224" s="76"/>
      <c r="WS224" s="76"/>
      <c r="WT224" s="76"/>
      <c r="WU224" s="76"/>
      <c r="WV224" s="76"/>
      <c r="WW224" s="76"/>
      <c r="WX224" s="76"/>
      <c r="WY224" s="76"/>
      <c r="WZ224" s="76"/>
      <c r="XA224" s="76"/>
      <c r="XB224" s="76"/>
      <c r="XC224" s="76"/>
      <c r="XD224" s="76"/>
      <c r="XE224" s="76"/>
      <c r="XF224" s="76"/>
      <c r="XG224" s="76"/>
      <c r="XH224" s="76"/>
      <c r="XI224" s="76"/>
      <c r="XJ224" s="76"/>
      <c r="XK224" s="76"/>
      <c r="XL224" s="76"/>
      <c r="XM224" s="76"/>
      <c r="XN224" s="76"/>
      <c r="XO224" s="76"/>
      <c r="XP224" s="76"/>
      <c r="XQ224" s="76"/>
      <c r="XR224" s="76"/>
      <c r="XS224" s="76"/>
      <c r="XT224" s="76"/>
      <c r="XU224" s="76"/>
      <c r="XV224" s="76"/>
      <c r="XW224" s="76"/>
      <c r="XX224" s="76"/>
      <c r="XY224" s="76"/>
      <c r="XZ224" s="76"/>
      <c r="YA224" s="76"/>
      <c r="YB224" s="76"/>
      <c r="YC224" s="76"/>
      <c r="YD224" s="76"/>
      <c r="YE224" s="76"/>
      <c r="YF224" s="76"/>
      <c r="YG224" s="76"/>
      <c r="YH224" s="76"/>
      <c r="YI224" s="76"/>
      <c r="YJ224" s="76"/>
      <c r="YK224" s="76"/>
      <c r="YL224" s="76"/>
      <c r="YM224" s="76"/>
      <c r="YN224" s="76"/>
      <c r="YO224" s="76"/>
      <c r="YP224" s="76"/>
      <c r="YQ224" s="76"/>
      <c r="YR224" s="76"/>
      <c r="YS224" s="76"/>
      <c r="YT224" s="76"/>
      <c r="YU224" s="76"/>
      <c r="YV224" s="76"/>
      <c r="YW224" s="76"/>
      <c r="YX224" s="76"/>
      <c r="YY224" s="76"/>
      <c r="YZ224" s="76"/>
      <c r="ZA224" s="76"/>
      <c r="ZB224" s="76"/>
      <c r="ZC224" s="76"/>
      <c r="ZD224" s="76"/>
      <c r="ZE224" s="76"/>
      <c r="ZF224" s="76"/>
      <c r="ZG224" s="76"/>
      <c r="ZH224" s="76"/>
      <c r="ZI224" s="76"/>
      <c r="ZJ224" s="76"/>
      <c r="ZK224" s="76"/>
      <c r="ZL224" s="76"/>
      <c r="ZM224" s="76"/>
      <c r="ZN224" s="76"/>
      <c r="ZO224" s="76"/>
      <c r="ZP224" s="76"/>
      <c r="ZQ224" s="76"/>
      <c r="ZR224" s="76"/>
      <c r="ZS224" s="76"/>
      <c r="ZT224" s="76"/>
      <c r="ZU224" s="76"/>
      <c r="ZV224" s="76"/>
      <c r="ZW224" s="76"/>
      <c r="ZX224" s="76"/>
      <c r="ZY224" s="76"/>
      <c r="ZZ224" s="76"/>
      <c r="AAA224" s="76"/>
      <c r="AAB224" s="76"/>
      <c r="AAC224" s="76"/>
      <c r="AAD224" s="76"/>
      <c r="AAE224" s="76"/>
      <c r="AAF224" s="76"/>
      <c r="AAG224" s="76"/>
      <c r="AAH224" s="76"/>
      <c r="AAI224" s="76"/>
      <c r="AAJ224" s="76"/>
      <c r="AAK224" s="76"/>
      <c r="AAL224" s="76"/>
      <c r="AAM224" s="76"/>
      <c r="AAN224" s="76"/>
      <c r="AAO224" s="76"/>
      <c r="AAP224" s="76"/>
      <c r="AAQ224" s="76"/>
      <c r="AAR224" s="76"/>
      <c r="AAS224" s="76"/>
      <c r="AAT224" s="76"/>
      <c r="AAU224" s="76"/>
      <c r="AAV224" s="76"/>
      <c r="AAW224" s="76"/>
      <c r="AAX224" s="76"/>
      <c r="AAY224" s="76"/>
      <c r="AAZ224" s="76"/>
      <c r="ABA224" s="76"/>
      <c r="ABB224" s="76"/>
      <c r="ABC224" s="76"/>
      <c r="ABD224" s="76"/>
      <c r="ABE224" s="76"/>
      <c r="ABF224" s="76"/>
      <c r="ABG224" s="76"/>
      <c r="ABH224" s="76"/>
      <c r="ABI224" s="76"/>
      <c r="ABJ224" s="76"/>
      <c r="ABK224" s="76"/>
      <c r="ABL224" s="76"/>
      <c r="ABM224" s="76"/>
      <c r="ABN224" s="76"/>
      <c r="ABO224" s="76"/>
      <c r="ABP224" s="76"/>
      <c r="ABQ224" s="76"/>
      <c r="ABR224" s="76"/>
      <c r="ABS224" s="76"/>
      <c r="ABT224" s="76"/>
      <c r="ABU224" s="76"/>
      <c r="ABV224" s="76"/>
      <c r="ABW224" s="76"/>
      <c r="ABX224" s="76"/>
      <c r="ABY224" s="76"/>
      <c r="ABZ224" s="76"/>
      <c r="ACA224" s="76"/>
      <c r="ACB224" s="76"/>
      <c r="ACC224" s="76"/>
      <c r="ACD224" s="76"/>
      <c r="ACE224" s="76"/>
      <c r="ACF224" s="76"/>
      <c r="ACG224" s="76"/>
      <c r="ACH224" s="76"/>
      <c r="ACI224" s="76"/>
      <c r="ACJ224" s="76"/>
      <c r="ACK224" s="76"/>
      <c r="ACL224" s="76"/>
      <c r="ACM224" s="76"/>
      <c r="ACN224" s="76"/>
      <c r="ACO224" s="76"/>
      <c r="ACP224" s="76"/>
      <c r="ACQ224" s="76"/>
      <c r="ACR224" s="76"/>
      <c r="ACS224" s="76"/>
      <c r="ACT224" s="76"/>
      <c r="ACU224" s="76"/>
      <c r="ACV224" s="76"/>
      <c r="ACW224" s="76"/>
      <c r="ACX224" s="76"/>
      <c r="ACY224" s="76"/>
      <c r="ACZ224" s="76"/>
      <c r="ADA224" s="76"/>
      <c r="ADB224" s="76"/>
      <c r="ADC224" s="76"/>
      <c r="ADD224" s="76"/>
      <c r="ADE224" s="76"/>
      <c r="ADF224" s="76"/>
      <c r="ADG224" s="76"/>
      <c r="ADH224" s="76"/>
      <c r="ADI224" s="76"/>
      <c r="ADJ224" s="76"/>
      <c r="ADK224" s="76"/>
      <c r="ADL224" s="76"/>
      <c r="ADM224" s="76"/>
      <c r="ADN224" s="76"/>
      <c r="ADO224" s="76"/>
      <c r="ADP224" s="76"/>
      <c r="ADQ224" s="76"/>
      <c r="ADR224" s="76"/>
      <c r="ADS224" s="76"/>
      <c r="ADT224" s="76"/>
      <c r="ADU224" s="76"/>
      <c r="ADV224" s="76"/>
      <c r="ADW224" s="76"/>
      <c r="ADX224" s="76"/>
      <c r="ADY224" s="76"/>
      <c r="ADZ224" s="76"/>
      <c r="AEA224" s="76"/>
      <c r="AEB224" s="76"/>
      <c r="AEC224" s="76"/>
      <c r="AED224" s="76"/>
      <c r="AEE224" s="76"/>
      <c r="AEF224" s="76"/>
      <c r="AEG224" s="76"/>
      <c r="AEH224" s="76"/>
      <c r="AEI224" s="76"/>
      <c r="AEJ224" s="76"/>
      <c r="AEK224" s="76"/>
      <c r="AEL224" s="76"/>
      <c r="AEM224" s="76"/>
      <c r="AEN224" s="76"/>
      <c r="AEO224" s="76"/>
      <c r="AEP224" s="76"/>
      <c r="AEQ224" s="76"/>
      <c r="AER224" s="76"/>
      <c r="AES224" s="76"/>
      <c r="AET224" s="76"/>
      <c r="AEU224" s="76"/>
      <c r="AEV224" s="76"/>
      <c r="AEW224" s="76"/>
      <c r="AEX224" s="76"/>
      <c r="AEY224" s="76"/>
      <c r="AEZ224" s="76"/>
      <c r="AFA224" s="76"/>
      <c r="AFB224" s="76"/>
      <c r="AFC224" s="76"/>
      <c r="AFD224" s="76"/>
      <c r="AFE224" s="76"/>
      <c r="AFF224" s="76"/>
      <c r="AFG224" s="76"/>
      <c r="AFH224" s="76"/>
      <c r="AFI224" s="76"/>
      <c r="AFJ224" s="76"/>
      <c r="AFK224" s="76"/>
      <c r="AFL224" s="76"/>
      <c r="AFM224" s="76"/>
      <c r="AFN224" s="76"/>
      <c r="AFO224" s="76"/>
      <c r="AFP224" s="76"/>
      <c r="AFQ224" s="76"/>
      <c r="AFR224" s="76"/>
      <c r="AFS224" s="76"/>
      <c r="AFT224" s="76"/>
      <c r="AFU224" s="76"/>
      <c r="AFV224" s="76"/>
      <c r="AFW224" s="76"/>
      <c r="AFX224" s="76"/>
      <c r="AFY224" s="76"/>
      <c r="AFZ224" s="76"/>
      <c r="AGA224" s="76"/>
      <c r="AGB224" s="76"/>
      <c r="AGC224" s="76"/>
      <c r="AGD224" s="76"/>
      <c r="AGE224" s="76"/>
      <c r="AGF224" s="76"/>
      <c r="AGG224" s="76"/>
      <c r="AGH224" s="76"/>
      <c r="AGI224" s="76"/>
      <c r="AGJ224" s="76"/>
      <c r="AGK224" s="76"/>
      <c r="AGL224" s="76"/>
      <c r="AGM224" s="76"/>
      <c r="AGN224" s="76"/>
      <c r="AGO224" s="76"/>
      <c r="AGP224" s="76"/>
      <c r="AGQ224" s="76"/>
      <c r="AGR224" s="76"/>
      <c r="AGS224" s="76"/>
      <c r="AGT224" s="76"/>
      <c r="AGU224" s="76"/>
      <c r="AGV224" s="76"/>
      <c r="AGW224" s="76"/>
      <c r="AGX224" s="76"/>
      <c r="AGY224" s="76"/>
      <c r="AGZ224" s="76"/>
      <c r="AHA224" s="76"/>
      <c r="AHB224" s="76"/>
      <c r="AHC224" s="76"/>
      <c r="AHD224" s="76"/>
      <c r="AHE224" s="76"/>
      <c r="AHF224" s="76"/>
      <c r="AHG224" s="76"/>
      <c r="AHH224" s="76"/>
      <c r="AHI224" s="76"/>
      <c r="AHJ224" s="76"/>
      <c r="AHK224" s="76"/>
      <c r="AHL224" s="76"/>
      <c r="AHM224" s="76"/>
      <c r="AHN224" s="76"/>
      <c r="AHO224" s="76"/>
      <c r="AHP224" s="76"/>
      <c r="AHQ224" s="76"/>
      <c r="AHR224" s="76"/>
      <c r="AHS224" s="76"/>
      <c r="AHT224" s="76"/>
      <c r="AHU224" s="76"/>
      <c r="AHV224" s="76"/>
      <c r="AHW224" s="76"/>
      <c r="AHX224" s="76"/>
      <c r="AHY224" s="76"/>
      <c r="AHZ224" s="76"/>
      <c r="AIA224" s="76"/>
      <c r="AIB224" s="76"/>
      <c r="AIC224" s="76"/>
      <c r="AID224" s="76"/>
      <c r="AIE224" s="76"/>
      <c r="AIF224" s="76"/>
      <c r="AIG224" s="76"/>
      <c r="AIH224" s="76"/>
      <c r="AII224" s="76"/>
      <c r="AIJ224" s="76"/>
      <c r="AIK224" s="76"/>
      <c r="AIL224" s="76"/>
      <c r="AIM224" s="76"/>
      <c r="AIN224" s="76"/>
      <c r="AIO224" s="76"/>
      <c r="AIP224" s="76"/>
      <c r="AIQ224" s="76"/>
      <c r="AIR224" s="76"/>
      <c r="AIS224" s="76"/>
      <c r="AIT224" s="76"/>
      <c r="AIU224" s="76"/>
      <c r="AIV224" s="76"/>
      <c r="AIW224" s="76"/>
      <c r="AIX224" s="76"/>
      <c r="AIY224" s="76"/>
      <c r="AIZ224" s="76"/>
      <c r="AJA224" s="76"/>
      <c r="AJB224" s="76"/>
      <c r="AJC224" s="76"/>
      <c r="AJD224" s="76"/>
      <c r="AJE224" s="76"/>
      <c r="AJF224" s="76"/>
      <c r="AJG224" s="76"/>
      <c r="AJH224" s="76"/>
      <c r="AJI224" s="76"/>
      <c r="AJJ224" s="76"/>
      <c r="AJK224" s="76"/>
      <c r="AJL224" s="76"/>
      <c r="AJM224" s="76"/>
      <c r="AJN224" s="76"/>
      <c r="AJO224" s="76"/>
      <c r="AJP224" s="76"/>
      <c r="AJQ224" s="76"/>
      <c r="AJR224" s="76"/>
      <c r="AJS224" s="76"/>
      <c r="AJT224" s="76"/>
      <c r="AJU224" s="76"/>
      <c r="AJV224" s="76"/>
      <c r="AJW224" s="76"/>
      <c r="AJX224" s="76"/>
      <c r="AJY224" s="76"/>
      <c r="AJZ224" s="76"/>
      <c r="AKA224" s="76"/>
      <c r="AKB224" s="76"/>
      <c r="AKC224" s="76"/>
      <c r="AKD224" s="76"/>
      <c r="AKE224" s="76"/>
      <c r="AKF224" s="76"/>
      <c r="AKG224" s="76"/>
      <c r="AKH224" s="76"/>
      <c r="AKI224" s="76"/>
      <c r="AKJ224" s="76"/>
      <c r="AKK224" s="76"/>
      <c r="AKL224" s="76"/>
      <c r="AKM224" s="76"/>
      <c r="AKN224" s="76"/>
      <c r="AKO224" s="76"/>
      <c r="AKP224" s="76"/>
      <c r="AKQ224" s="76"/>
      <c r="AKR224" s="76"/>
      <c r="AKS224" s="76"/>
      <c r="AKT224" s="76"/>
      <c r="AKU224" s="76"/>
      <c r="AKV224" s="76"/>
      <c r="AKW224" s="76"/>
      <c r="AKX224" s="76"/>
      <c r="AKY224" s="76"/>
      <c r="AKZ224" s="76"/>
      <c r="ALA224" s="76"/>
      <c r="ALB224" s="76"/>
      <c r="ALC224" s="76"/>
      <c r="ALD224" s="76"/>
      <c r="ALE224" s="76"/>
      <c r="ALF224" s="76"/>
      <c r="ALG224" s="76"/>
      <c r="ALH224" s="76"/>
      <c r="ALI224" s="76"/>
      <c r="ALJ224" s="76"/>
      <c r="ALK224" s="76"/>
      <c r="ALL224" s="76"/>
      <c r="ALM224" s="76"/>
      <c r="ALN224" s="76"/>
      <c r="ALO224" s="76"/>
      <c r="ALP224" s="76"/>
      <c r="ALQ224" s="76"/>
      <c r="ALR224" s="76"/>
      <c r="ALS224" s="76"/>
      <c r="ALT224" s="76"/>
      <c r="ALU224" s="76"/>
      <c r="ALV224" s="76"/>
      <c r="ALW224" s="76"/>
      <c r="ALX224" s="76"/>
      <c r="ALY224" s="76"/>
      <c r="ALZ224" s="76"/>
      <c r="AMA224" s="76"/>
      <c r="AMB224" s="76"/>
      <c r="AMC224" s="76"/>
      <c r="AMD224" s="76"/>
      <c r="AME224" s="76"/>
      <c r="AMF224" s="76"/>
      <c r="AMG224" s="76"/>
      <c r="AMH224" s="76"/>
      <c r="AMI224" s="76"/>
      <c r="AMJ224" s="76"/>
      <c r="AMK224" s="76"/>
      <c r="AML224" s="76"/>
      <c r="AMM224" s="76"/>
      <c r="AMN224" s="76"/>
      <c r="AMO224" s="76"/>
      <c r="AMP224" s="76"/>
      <c r="AMQ224" s="76"/>
      <c r="AMR224" s="76"/>
      <c r="AMS224" s="76"/>
      <c r="AMT224" s="76"/>
      <c r="AMU224" s="76"/>
      <c r="AMV224" s="76"/>
      <c r="AMW224" s="76"/>
      <c r="AMX224" s="76"/>
      <c r="AMY224" s="76"/>
      <c r="AMZ224" s="76"/>
      <c r="ANA224" s="76"/>
      <c r="ANB224" s="76"/>
      <c r="ANC224" s="76"/>
      <c r="AND224" s="76"/>
      <c r="ANE224" s="76"/>
      <c r="ANF224" s="76"/>
      <c r="ANG224" s="76"/>
      <c r="ANH224" s="76"/>
      <c r="ANI224" s="76"/>
      <c r="ANJ224" s="76"/>
      <c r="ANK224" s="76"/>
      <c r="ANL224" s="76"/>
      <c r="ANM224" s="76"/>
      <c r="ANN224" s="76"/>
      <c r="ANO224" s="76"/>
      <c r="ANP224" s="76"/>
      <c r="ANQ224" s="76"/>
      <c r="ANR224" s="76"/>
      <c r="ANS224" s="76"/>
      <c r="ANT224" s="76"/>
      <c r="ANU224" s="76"/>
      <c r="ANV224" s="76"/>
      <c r="ANW224" s="76"/>
      <c r="ANX224" s="76"/>
      <c r="ANY224" s="76"/>
      <c r="ANZ224" s="76"/>
      <c r="AOA224" s="76"/>
      <c r="AOB224" s="76"/>
      <c r="AOC224" s="76"/>
      <c r="AOD224" s="76"/>
      <c r="AOE224" s="76"/>
      <c r="AOF224" s="76"/>
      <c r="AOG224" s="76"/>
      <c r="AOH224" s="76"/>
      <c r="AOI224" s="76"/>
      <c r="AOJ224" s="76"/>
      <c r="AOK224" s="76"/>
      <c r="AOL224" s="76"/>
      <c r="AOM224" s="76"/>
      <c r="AON224" s="76"/>
      <c r="AOO224" s="76"/>
      <c r="AOP224" s="76"/>
      <c r="AOQ224" s="76"/>
      <c r="AOR224" s="76"/>
      <c r="AOS224" s="76"/>
      <c r="AOT224" s="76"/>
      <c r="AOU224" s="76"/>
      <c r="AOV224" s="76"/>
      <c r="AOW224" s="76"/>
      <c r="AOX224" s="76"/>
      <c r="AOY224" s="76"/>
      <c r="AOZ224" s="76"/>
      <c r="APA224" s="76"/>
      <c r="APB224" s="76"/>
      <c r="APC224" s="76"/>
      <c r="APD224" s="76"/>
      <c r="APE224" s="76"/>
      <c r="APF224" s="76"/>
      <c r="APG224" s="76"/>
      <c r="APH224" s="76"/>
      <c r="API224" s="76"/>
      <c r="APJ224" s="76"/>
      <c r="APK224" s="76"/>
      <c r="APL224" s="76"/>
      <c r="APM224" s="76"/>
      <c r="APN224" s="76"/>
      <c r="APO224" s="76"/>
      <c r="APP224" s="76"/>
      <c r="APQ224" s="76"/>
      <c r="APR224" s="76"/>
      <c r="APS224" s="76"/>
      <c r="APT224" s="76"/>
      <c r="APU224" s="76"/>
      <c r="APV224" s="76"/>
      <c r="APW224" s="76"/>
      <c r="APX224" s="76"/>
      <c r="APY224" s="76"/>
      <c r="APZ224" s="76"/>
      <c r="AQA224" s="76"/>
      <c r="AQB224" s="76"/>
      <c r="AQC224" s="76"/>
      <c r="AQD224" s="76"/>
      <c r="AQE224" s="76"/>
      <c r="AQF224" s="76"/>
      <c r="AQG224" s="76"/>
      <c r="AQH224" s="76"/>
      <c r="AQI224" s="76"/>
      <c r="AQJ224" s="76"/>
      <c r="AQK224" s="76"/>
      <c r="AQL224" s="76"/>
      <c r="AQM224" s="76"/>
      <c r="AQN224" s="76"/>
      <c r="AQO224" s="76"/>
      <c r="AQP224" s="76"/>
      <c r="AQQ224" s="76"/>
      <c r="AQR224" s="76"/>
      <c r="AQS224" s="76"/>
      <c r="AQT224" s="76"/>
      <c r="AQU224" s="76"/>
      <c r="AQV224" s="76"/>
      <c r="AQW224" s="76"/>
      <c r="AQX224" s="76"/>
      <c r="AQY224" s="76"/>
      <c r="AQZ224" s="76"/>
      <c r="ARA224" s="76"/>
      <c r="ARB224" s="76"/>
      <c r="ARC224" s="76"/>
      <c r="ARD224" s="76"/>
      <c r="ARE224" s="76"/>
      <c r="ARF224" s="76"/>
      <c r="ARG224" s="76"/>
      <c r="ARH224" s="76"/>
      <c r="ARI224" s="76"/>
      <c r="ARJ224" s="76"/>
      <c r="ARK224" s="76"/>
      <c r="ARL224" s="76"/>
      <c r="ARM224" s="76"/>
      <c r="ARN224" s="76"/>
      <c r="ARO224" s="76"/>
      <c r="ARP224" s="76"/>
      <c r="ARQ224" s="76"/>
      <c r="ARR224" s="76"/>
      <c r="ARS224" s="76"/>
      <c r="ART224" s="76"/>
      <c r="ARU224" s="76"/>
      <c r="ARV224" s="76"/>
      <c r="ARW224" s="76"/>
      <c r="ARX224" s="76"/>
      <c r="ARY224" s="76"/>
      <c r="ARZ224" s="76"/>
      <c r="ASA224" s="76"/>
      <c r="ASB224" s="76"/>
      <c r="ASC224" s="76"/>
      <c r="ASD224" s="76"/>
      <c r="ASE224" s="76"/>
      <c r="ASF224" s="76"/>
      <c r="ASG224" s="76"/>
      <c r="ASH224" s="76"/>
      <c r="ASI224" s="76"/>
      <c r="ASJ224" s="76"/>
      <c r="ASK224" s="76"/>
      <c r="ASL224" s="76"/>
      <c r="ASM224" s="76"/>
      <c r="ASN224" s="76"/>
      <c r="ASO224" s="76"/>
      <c r="ASP224" s="76"/>
      <c r="ASQ224" s="76"/>
      <c r="ASR224" s="76"/>
      <c r="ASS224" s="76"/>
      <c r="AST224" s="76"/>
      <c r="ASU224" s="76"/>
      <c r="ASV224" s="76"/>
      <c r="ASW224" s="76"/>
      <c r="ASX224" s="76"/>
      <c r="ASY224" s="76"/>
      <c r="ASZ224" s="76"/>
      <c r="ATA224" s="76"/>
      <c r="ATB224" s="76"/>
      <c r="ATC224" s="76"/>
      <c r="ATD224" s="76"/>
      <c r="ATE224" s="76"/>
      <c r="ATF224" s="76"/>
      <c r="ATG224" s="76"/>
      <c r="ATH224" s="76"/>
      <c r="ATI224" s="76"/>
      <c r="ATJ224" s="76"/>
      <c r="ATK224" s="76"/>
      <c r="ATL224" s="76"/>
      <c r="ATM224" s="76"/>
      <c r="ATN224" s="76"/>
      <c r="ATO224" s="76"/>
      <c r="ATP224" s="76"/>
      <c r="ATQ224" s="76"/>
      <c r="ATR224" s="76"/>
      <c r="ATS224" s="76"/>
      <c r="ATT224" s="76"/>
      <c r="ATU224" s="76"/>
      <c r="ATV224" s="76"/>
      <c r="ATW224" s="76"/>
      <c r="ATX224" s="76"/>
      <c r="ATY224" s="76"/>
      <c r="ATZ224" s="76"/>
      <c r="AUA224" s="76"/>
      <c r="AUB224" s="76"/>
      <c r="AUC224" s="76"/>
      <c r="AUD224" s="76"/>
      <c r="AUE224" s="76"/>
      <c r="AUF224" s="76"/>
      <c r="AUG224" s="76"/>
      <c r="AUH224" s="76"/>
      <c r="AUI224" s="76"/>
      <c r="AUJ224" s="76"/>
      <c r="AUK224" s="76"/>
      <c r="AUL224" s="76"/>
      <c r="AUM224" s="76"/>
      <c r="AUN224" s="76"/>
      <c r="AUO224" s="76"/>
      <c r="AUP224" s="76"/>
      <c r="AUQ224" s="76"/>
      <c r="AUR224" s="76"/>
      <c r="AUS224" s="76"/>
      <c r="AUT224" s="76"/>
      <c r="AUU224" s="76"/>
      <c r="AUV224" s="76"/>
      <c r="AUW224" s="76"/>
      <c r="AUX224" s="76"/>
      <c r="AUY224" s="76"/>
      <c r="AUZ224" s="76"/>
      <c r="AVA224" s="76"/>
      <c r="AVB224" s="76"/>
      <c r="AVC224" s="76"/>
      <c r="AVD224" s="76"/>
      <c r="AVE224" s="76"/>
      <c r="AVF224" s="76"/>
      <c r="AVG224" s="76"/>
      <c r="AVH224" s="76"/>
      <c r="AVI224" s="76"/>
      <c r="AVJ224" s="76"/>
      <c r="AVK224" s="76"/>
      <c r="AVL224" s="76"/>
      <c r="AVM224" s="76"/>
      <c r="AVN224" s="76"/>
      <c r="AVO224" s="76"/>
      <c r="AVP224" s="76"/>
      <c r="AVQ224" s="76"/>
      <c r="AVR224" s="76"/>
      <c r="AVS224" s="76"/>
      <c r="AVT224" s="76"/>
      <c r="AVU224" s="76"/>
      <c r="AVV224" s="76"/>
      <c r="AVW224" s="76"/>
      <c r="AVX224" s="76"/>
      <c r="AVY224" s="76"/>
      <c r="AVZ224" s="76"/>
      <c r="AWA224" s="76"/>
      <c r="AWB224" s="76"/>
      <c r="AWC224" s="76"/>
      <c r="AWD224" s="76"/>
      <c r="AWE224" s="76"/>
      <c r="AWF224" s="76"/>
      <c r="AWG224" s="76"/>
      <c r="AWH224" s="76"/>
      <c r="AWI224" s="76"/>
      <c r="AWJ224" s="76"/>
      <c r="AWK224" s="76"/>
      <c r="AWL224" s="76"/>
      <c r="AWM224" s="76"/>
      <c r="AWN224" s="76"/>
      <c r="AWO224" s="76"/>
      <c r="AWP224" s="76"/>
      <c r="AWQ224" s="76"/>
      <c r="AWR224" s="76"/>
      <c r="AWS224" s="76"/>
      <c r="AWT224" s="76"/>
      <c r="AWU224" s="76"/>
      <c r="AWV224" s="76"/>
      <c r="AWW224" s="76"/>
      <c r="AWX224" s="76"/>
      <c r="AWY224" s="76"/>
      <c r="AWZ224" s="76"/>
      <c r="AXA224" s="76"/>
      <c r="AXB224" s="76"/>
      <c r="AXC224" s="76"/>
      <c r="AXD224" s="76"/>
      <c r="AXE224" s="76"/>
      <c r="AXF224" s="76"/>
      <c r="AXG224" s="76"/>
      <c r="AXH224" s="76"/>
      <c r="AXI224" s="76"/>
      <c r="AXJ224" s="76"/>
      <c r="AXK224" s="76"/>
      <c r="AXL224" s="76"/>
      <c r="AXM224" s="76"/>
      <c r="AXN224" s="76"/>
      <c r="AXO224" s="76"/>
      <c r="AXP224" s="76"/>
      <c r="AXQ224" s="76"/>
      <c r="AXR224" s="76"/>
      <c r="AXS224" s="76"/>
      <c r="AXT224" s="76"/>
      <c r="AXU224" s="76"/>
      <c r="AXV224" s="76"/>
      <c r="AXW224" s="76"/>
      <c r="AXX224" s="76"/>
      <c r="AXY224" s="76"/>
      <c r="AXZ224" s="76"/>
      <c r="AYA224" s="76"/>
      <c r="AYB224" s="76"/>
      <c r="AYC224" s="76"/>
      <c r="AYD224" s="76"/>
      <c r="AYE224" s="76"/>
      <c r="AYF224" s="76"/>
      <c r="AYG224" s="76"/>
      <c r="AYH224" s="76"/>
      <c r="AYI224" s="76"/>
      <c r="AYJ224" s="76"/>
      <c r="AYK224" s="76"/>
      <c r="AYL224" s="76"/>
      <c r="AYM224" s="76"/>
      <c r="AYN224" s="76"/>
      <c r="AYO224" s="76"/>
      <c r="AYP224" s="76"/>
      <c r="AYQ224" s="76"/>
      <c r="AYR224" s="76"/>
      <c r="AYS224" s="76"/>
      <c r="AYT224" s="76"/>
      <c r="AYU224" s="76"/>
      <c r="AYV224" s="76"/>
      <c r="AYW224" s="76"/>
      <c r="AYX224" s="76"/>
      <c r="AYY224" s="76"/>
      <c r="AYZ224" s="76"/>
      <c r="AZA224" s="76"/>
      <c r="AZB224" s="76"/>
      <c r="AZC224" s="76"/>
      <c r="AZD224" s="76"/>
      <c r="AZE224" s="76"/>
      <c r="AZF224" s="76"/>
      <c r="AZG224" s="76"/>
      <c r="AZH224" s="76"/>
      <c r="AZI224" s="76"/>
      <c r="AZJ224" s="76"/>
      <c r="AZK224" s="76"/>
      <c r="AZL224" s="76"/>
      <c r="AZM224" s="76"/>
      <c r="AZN224" s="76"/>
      <c r="AZO224" s="76"/>
      <c r="AZP224" s="76"/>
      <c r="AZQ224" s="76"/>
      <c r="AZR224" s="76"/>
      <c r="AZS224" s="76"/>
      <c r="AZT224" s="76"/>
      <c r="AZU224" s="76"/>
      <c r="AZV224" s="76"/>
      <c r="AZW224" s="76"/>
      <c r="AZX224" s="76"/>
      <c r="AZY224" s="76"/>
      <c r="AZZ224" s="76"/>
      <c r="BAA224" s="76"/>
      <c r="BAB224" s="76"/>
      <c r="BAC224" s="76"/>
      <c r="BAD224" s="76"/>
      <c r="BAE224" s="76"/>
      <c r="BAF224" s="76"/>
      <c r="BAG224" s="76"/>
      <c r="BAH224" s="76"/>
      <c r="BAI224" s="76"/>
      <c r="BAJ224" s="76"/>
      <c r="BAK224" s="76"/>
      <c r="BAL224" s="76"/>
      <c r="BAM224" s="76"/>
      <c r="BAN224" s="76"/>
      <c r="BAO224" s="76"/>
      <c r="BAP224" s="76"/>
      <c r="BAQ224" s="76"/>
      <c r="BAR224" s="76"/>
      <c r="BAS224" s="76"/>
      <c r="BAT224" s="76"/>
      <c r="BAU224" s="76"/>
      <c r="BAV224" s="76"/>
      <c r="BAW224" s="76"/>
      <c r="BAX224" s="76"/>
      <c r="BAY224" s="76"/>
      <c r="BAZ224" s="76"/>
      <c r="BBA224" s="76"/>
      <c r="BBB224" s="76"/>
      <c r="BBC224" s="76"/>
      <c r="BBD224" s="76"/>
      <c r="BBE224" s="76"/>
      <c r="BBF224" s="76"/>
      <c r="BBG224" s="76"/>
      <c r="BBH224" s="76"/>
      <c r="BBI224" s="76"/>
      <c r="BBJ224" s="76"/>
      <c r="BBK224" s="76"/>
      <c r="BBL224" s="76"/>
      <c r="BBM224" s="76"/>
      <c r="BBN224" s="76"/>
      <c r="BBO224" s="76"/>
      <c r="BBP224" s="76"/>
      <c r="BBQ224" s="76"/>
      <c r="BBR224" s="76"/>
      <c r="BBS224" s="76"/>
      <c r="BBT224" s="76"/>
      <c r="BBU224" s="76"/>
      <c r="BBV224" s="76"/>
      <c r="BBW224" s="76"/>
      <c r="BBX224" s="76"/>
      <c r="BBY224" s="76"/>
      <c r="BBZ224" s="76"/>
      <c r="BCA224" s="76"/>
      <c r="BCB224" s="76"/>
      <c r="BCC224" s="76"/>
      <c r="BCD224" s="76"/>
      <c r="BCE224" s="76"/>
      <c r="BCF224" s="76"/>
      <c r="BCG224" s="76"/>
      <c r="BCH224" s="76"/>
      <c r="BCI224" s="76"/>
      <c r="BCJ224" s="76"/>
      <c r="BCK224" s="76"/>
      <c r="BCL224" s="76"/>
      <c r="BCM224" s="76"/>
      <c r="BCN224" s="76"/>
      <c r="BCO224" s="76"/>
      <c r="BCP224" s="76"/>
      <c r="BCQ224" s="76"/>
      <c r="BCR224" s="76"/>
      <c r="BCS224" s="76"/>
      <c r="BCT224" s="76"/>
      <c r="BCU224" s="76"/>
      <c r="BCV224" s="76"/>
      <c r="BCW224" s="76"/>
      <c r="BCX224" s="76"/>
      <c r="BCY224" s="76"/>
      <c r="BCZ224" s="76"/>
      <c r="BDA224" s="76"/>
      <c r="BDB224" s="76"/>
      <c r="BDC224" s="76"/>
      <c r="BDD224" s="76"/>
      <c r="BDE224" s="76"/>
      <c r="BDF224" s="76"/>
      <c r="BDG224" s="76"/>
      <c r="BDH224" s="76"/>
      <c r="BDI224" s="76"/>
      <c r="BDJ224" s="76"/>
      <c r="BDK224" s="76"/>
      <c r="BDL224" s="76"/>
      <c r="BDM224" s="76"/>
      <c r="BDN224" s="76"/>
      <c r="BDO224" s="76"/>
      <c r="BDP224" s="76"/>
      <c r="BDQ224" s="76"/>
      <c r="BDR224" s="76"/>
      <c r="BDS224" s="76"/>
      <c r="BDT224" s="76"/>
      <c r="BDU224" s="76"/>
      <c r="BDV224" s="76"/>
      <c r="BDW224" s="76"/>
      <c r="BDX224" s="76"/>
      <c r="BDY224" s="76"/>
      <c r="BDZ224" s="76"/>
      <c r="BEA224" s="76"/>
      <c r="BEB224" s="76"/>
      <c r="BEC224" s="76"/>
      <c r="BED224" s="76"/>
      <c r="BEE224" s="76"/>
      <c r="BEF224" s="76"/>
      <c r="BEG224" s="76"/>
      <c r="BEH224" s="76"/>
      <c r="BEI224" s="76"/>
      <c r="BEJ224" s="76"/>
      <c r="BEK224" s="76"/>
      <c r="BEL224" s="76"/>
      <c r="BEM224" s="76"/>
      <c r="BEN224" s="76"/>
      <c r="BEO224" s="76"/>
      <c r="BEP224" s="76"/>
      <c r="BEQ224" s="76"/>
      <c r="BER224" s="76"/>
      <c r="BES224" s="76"/>
      <c r="BET224" s="76"/>
      <c r="BEU224" s="76"/>
      <c r="BEV224" s="76"/>
      <c r="BEW224" s="76"/>
      <c r="BEX224" s="76"/>
      <c r="BEY224" s="76"/>
      <c r="BEZ224" s="76"/>
      <c r="BFA224" s="76"/>
      <c r="BFB224" s="76"/>
      <c r="BFC224" s="76"/>
      <c r="BFD224" s="76"/>
      <c r="BFE224" s="76"/>
      <c r="BFF224" s="76"/>
      <c r="BFG224" s="76"/>
      <c r="BFH224" s="76"/>
      <c r="BFI224" s="76"/>
      <c r="BFJ224" s="76"/>
      <c r="BFK224" s="76"/>
      <c r="BFL224" s="76"/>
      <c r="BFM224" s="76"/>
      <c r="BFN224" s="76"/>
      <c r="BFO224" s="76"/>
      <c r="BFP224" s="76"/>
      <c r="BFQ224" s="76"/>
      <c r="BFR224" s="76"/>
      <c r="BFS224" s="76"/>
      <c r="BFT224" s="76"/>
      <c r="BFU224" s="76"/>
      <c r="BFV224" s="76"/>
      <c r="BFW224" s="76"/>
      <c r="BFX224" s="76"/>
      <c r="BFY224" s="76"/>
      <c r="BFZ224" s="76"/>
      <c r="BGA224" s="76"/>
      <c r="BGB224" s="76"/>
      <c r="BGC224" s="76"/>
      <c r="BGD224" s="76"/>
      <c r="BGE224" s="76"/>
      <c r="BGF224" s="76"/>
      <c r="BGG224" s="76"/>
      <c r="BGH224" s="76"/>
      <c r="BGI224" s="76"/>
      <c r="BGJ224" s="76"/>
      <c r="BGK224" s="76"/>
      <c r="BGL224" s="76"/>
      <c r="BGM224" s="76"/>
      <c r="BGN224" s="76"/>
      <c r="BGO224" s="76"/>
      <c r="BGP224" s="76"/>
      <c r="BGQ224" s="76"/>
      <c r="BGR224" s="76"/>
      <c r="BGS224" s="76"/>
      <c r="BGT224" s="76"/>
      <c r="BGU224" s="76"/>
      <c r="BGV224" s="76"/>
      <c r="BGW224" s="76"/>
      <c r="BGX224" s="76"/>
      <c r="BGY224" s="76"/>
      <c r="BGZ224" s="76"/>
      <c r="BHA224" s="76"/>
      <c r="BHB224" s="76"/>
      <c r="BHC224" s="76"/>
      <c r="BHD224" s="76"/>
      <c r="BHE224" s="76"/>
      <c r="BHF224" s="76"/>
      <c r="BHG224" s="76"/>
      <c r="BHH224" s="76"/>
      <c r="BHI224" s="76"/>
      <c r="BHJ224" s="76"/>
      <c r="BHK224" s="76"/>
      <c r="BHL224" s="76"/>
      <c r="BHM224" s="76"/>
      <c r="BHN224" s="76"/>
      <c r="BHO224" s="76"/>
      <c r="BHP224" s="76"/>
      <c r="BHQ224" s="76"/>
      <c r="BHR224" s="76"/>
      <c r="BHS224" s="76"/>
      <c r="BHT224" s="76"/>
      <c r="BHU224" s="76"/>
      <c r="BHV224" s="76"/>
      <c r="BHW224" s="76"/>
      <c r="BHX224" s="76"/>
      <c r="BHY224" s="76"/>
      <c r="BHZ224" s="76"/>
      <c r="BIA224" s="76"/>
      <c r="BIB224" s="76"/>
      <c r="BIC224" s="76"/>
      <c r="BID224" s="76"/>
      <c r="BIE224" s="76"/>
      <c r="BIF224" s="76"/>
      <c r="BIG224" s="76"/>
      <c r="BIH224" s="76"/>
      <c r="BII224" s="76"/>
      <c r="BIJ224" s="76"/>
      <c r="BIK224" s="76"/>
      <c r="BIL224" s="76"/>
      <c r="BIM224" s="76"/>
      <c r="BIN224" s="76"/>
      <c r="BIO224" s="76"/>
      <c r="BIP224" s="76"/>
      <c r="BIQ224" s="76"/>
      <c r="BIR224" s="76"/>
      <c r="BIS224" s="76"/>
      <c r="BIT224" s="76"/>
      <c r="BIU224" s="76"/>
      <c r="BIV224" s="76"/>
      <c r="BIW224" s="76"/>
      <c r="BIX224" s="76"/>
      <c r="BIY224" s="76"/>
      <c r="BIZ224" s="76"/>
      <c r="BJA224" s="76"/>
      <c r="BJB224" s="76"/>
      <c r="BJC224" s="76"/>
      <c r="BJD224" s="76"/>
      <c r="BJE224" s="76"/>
      <c r="BJF224" s="76"/>
      <c r="BJG224" s="76"/>
      <c r="BJH224" s="76"/>
      <c r="BJI224" s="76"/>
      <c r="BJJ224" s="76"/>
      <c r="BJK224" s="76"/>
      <c r="BJL224" s="76"/>
      <c r="BJM224" s="76"/>
      <c r="BJN224" s="76"/>
      <c r="BJO224" s="76"/>
      <c r="BJP224" s="76"/>
      <c r="BJQ224" s="76"/>
      <c r="BJR224" s="76"/>
      <c r="BJS224" s="76"/>
      <c r="BJT224" s="76"/>
      <c r="BJU224" s="76"/>
      <c r="BJV224" s="76"/>
      <c r="BJW224" s="76"/>
      <c r="BJX224" s="76"/>
      <c r="BJY224" s="76"/>
      <c r="BJZ224" s="76"/>
      <c r="BKA224" s="76"/>
      <c r="BKB224" s="76"/>
      <c r="BKC224" s="76"/>
      <c r="BKD224" s="76"/>
      <c r="BKE224" s="76"/>
      <c r="BKF224" s="76"/>
      <c r="BKG224" s="76"/>
      <c r="BKH224" s="76"/>
      <c r="BKI224" s="76"/>
      <c r="BKJ224" s="76"/>
      <c r="BKK224" s="76"/>
      <c r="BKL224" s="76"/>
      <c r="BKM224" s="76"/>
      <c r="BKN224" s="76"/>
      <c r="BKO224" s="76"/>
      <c r="BKP224" s="76"/>
      <c r="BKQ224" s="76"/>
      <c r="BKR224" s="76"/>
      <c r="BKS224" s="76"/>
      <c r="BKT224" s="76"/>
      <c r="BKU224" s="76"/>
      <c r="BKV224" s="76"/>
      <c r="BKW224" s="76"/>
      <c r="BKX224" s="76"/>
      <c r="BKY224" s="76"/>
      <c r="BKZ224" s="76"/>
      <c r="BLA224" s="76"/>
      <c r="BLB224" s="76"/>
      <c r="BLC224" s="76"/>
      <c r="BLD224" s="76"/>
      <c r="BLE224" s="76"/>
      <c r="BLF224" s="76"/>
      <c r="BLG224" s="76"/>
      <c r="BLH224" s="76"/>
      <c r="BLI224" s="76"/>
      <c r="BLJ224" s="76"/>
      <c r="BLK224" s="76"/>
      <c r="BLL224" s="76"/>
      <c r="BLM224" s="76"/>
      <c r="BLN224" s="76"/>
      <c r="BLO224" s="76"/>
      <c r="BLP224" s="76"/>
      <c r="BLQ224" s="76"/>
      <c r="BLR224" s="76"/>
      <c r="BLS224" s="76"/>
      <c r="BLT224" s="76"/>
      <c r="BLU224" s="76"/>
      <c r="BLV224" s="76"/>
      <c r="BLW224" s="76"/>
      <c r="BLX224" s="76"/>
      <c r="BLY224" s="76"/>
      <c r="BLZ224" s="76"/>
      <c r="BMA224" s="76"/>
      <c r="BMB224" s="76"/>
      <c r="BMC224" s="76"/>
      <c r="BMD224" s="76"/>
      <c r="BME224" s="76"/>
      <c r="BMF224" s="76"/>
      <c r="BMG224" s="76"/>
      <c r="BMH224" s="76"/>
      <c r="BMI224" s="76"/>
      <c r="BMJ224" s="76"/>
      <c r="BMK224" s="76"/>
      <c r="BML224" s="76"/>
      <c r="BMM224" s="76"/>
      <c r="BMN224" s="76"/>
      <c r="BMO224" s="76"/>
      <c r="BMP224" s="76"/>
      <c r="BMQ224" s="76"/>
      <c r="BMR224" s="76"/>
      <c r="BMS224" s="76"/>
      <c r="BMT224" s="76"/>
      <c r="BMU224" s="76"/>
      <c r="BMV224" s="76"/>
      <c r="BMW224" s="76"/>
      <c r="BMX224" s="76"/>
      <c r="BMY224" s="76"/>
      <c r="BMZ224" s="76"/>
      <c r="BNA224" s="76"/>
      <c r="BNB224" s="76"/>
      <c r="BNC224" s="76"/>
      <c r="BND224" s="76"/>
      <c r="BNE224" s="76"/>
      <c r="BNF224" s="76"/>
      <c r="BNG224" s="76"/>
      <c r="BNH224" s="76"/>
      <c r="BNI224" s="76"/>
      <c r="BNJ224" s="76"/>
      <c r="BNK224" s="76"/>
      <c r="BNL224" s="76"/>
      <c r="BNM224" s="76"/>
      <c r="BNN224" s="76"/>
      <c r="BNO224" s="76"/>
      <c r="BNP224" s="76"/>
      <c r="BNQ224" s="76"/>
      <c r="BNR224" s="76"/>
      <c r="BNS224" s="76"/>
      <c r="BNT224" s="76"/>
      <c r="BNU224" s="76"/>
      <c r="BNV224" s="76"/>
      <c r="BNW224" s="76"/>
      <c r="BNX224" s="76"/>
      <c r="BNY224" s="76"/>
      <c r="BNZ224" s="76"/>
      <c r="BOA224" s="76"/>
      <c r="BOB224" s="76"/>
      <c r="BOC224" s="76"/>
      <c r="BOD224" s="76"/>
      <c r="BOE224" s="76"/>
      <c r="BOF224" s="76"/>
      <c r="BOG224" s="76"/>
      <c r="BOH224" s="76"/>
      <c r="BOI224" s="76"/>
      <c r="BOJ224" s="76"/>
      <c r="BOK224" s="76"/>
      <c r="BOL224" s="76"/>
      <c r="BOM224" s="76"/>
      <c r="BON224" s="76"/>
      <c r="BOO224" s="76"/>
      <c r="BOP224" s="76"/>
      <c r="BOQ224" s="76"/>
      <c r="BOR224" s="76"/>
      <c r="BOS224" s="76"/>
      <c r="BOT224" s="76"/>
      <c r="BOU224" s="76"/>
      <c r="BOV224" s="76"/>
      <c r="BOW224" s="76"/>
      <c r="BOX224" s="76"/>
      <c r="BOY224" s="76"/>
      <c r="BOZ224" s="76"/>
      <c r="BPA224" s="76"/>
      <c r="BPB224" s="76"/>
      <c r="BPC224" s="76"/>
      <c r="BPD224" s="76"/>
      <c r="BPE224" s="76"/>
      <c r="BPF224" s="76"/>
      <c r="BPG224" s="76"/>
      <c r="BPH224" s="76"/>
      <c r="BPI224" s="76"/>
      <c r="BPJ224" s="76"/>
      <c r="BPK224" s="76"/>
      <c r="BPL224" s="76"/>
      <c r="BPM224" s="76"/>
      <c r="BPN224" s="76"/>
      <c r="BPO224" s="76"/>
      <c r="BPP224" s="76"/>
      <c r="BPQ224" s="76"/>
      <c r="BPR224" s="76"/>
      <c r="BPS224" s="76"/>
      <c r="BPT224" s="76"/>
      <c r="BPU224" s="76"/>
      <c r="BPV224" s="76"/>
      <c r="BPW224" s="76"/>
      <c r="BPX224" s="76"/>
      <c r="BPY224" s="76"/>
      <c r="BPZ224" s="76"/>
      <c r="BQA224" s="76"/>
      <c r="BQB224" s="76"/>
      <c r="BQC224" s="76"/>
      <c r="BQD224" s="76"/>
      <c r="BQE224" s="76"/>
      <c r="BQF224" s="76"/>
      <c r="BQG224" s="76"/>
      <c r="BQH224" s="76"/>
      <c r="BQI224" s="76"/>
      <c r="BQJ224" s="76"/>
      <c r="BQK224" s="76"/>
      <c r="BQL224" s="76"/>
      <c r="BQM224" s="76"/>
      <c r="BQN224" s="76"/>
      <c r="BQO224" s="76"/>
      <c r="BQP224" s="76"/>
      <c r="BQQ224" s="76"/>
      <c r="BQR224" s="76"/>
      <c r="BQS224" s="76"/>
      <c r="BQT224" s="76"/>
      <c r="BQU224" s="76"/>
      <c r="BQV224" s="76"/>
      <c r="BQW224" s="76"/>
      <c r="BQX224" s="76"/>
      <c r="BQY224" s="76"/>
      <c r="BQZ224" s="76"/>
      <c r="BRA224" s="76"/>
      <c r="BRB224" s="76"/>
      <c r="BRC224" s="76"/>
      <c r="BRD224" s="76"/>
      <c r="BRE224" s="76"/>
      <c r="BRF224" s="76"/>
      <c r="BRG224" s="76"/>
      <c r="BRH224" s="76"/>
      <c r="BRI224" s="76"/>
      <c r="BRJ224" s="76"/>
      <c r="BRK224" s="76"/>
      <c r="BRL224" s="76"/>
      <c r="BRM224" s="76"/>
      <c r="BRN224" s="76"/>
      <c r="BRO224" s="76"/>
      <c r="BRP224" s="76"/>
      <c r="BRQ224" s="76"/>
      <c r="BRR224" s="76"/>
      <c r="BRS224" s="76"/>
      <c r="BRT224" s="76"/>
      <c r="BRU224" s="76"/>
      <c r="BRV224" s="76"/>
      <c r="BRW224" s="76"/>
      <c r="BRX224" s="76"/>
      <c r="BRY224" s="76"/>
      <c r="BRZ224" s="76"/>
      <c r="BSA224" s="76"/>
      <c r="BSB224" s="76"/>
      <c r="BSC224" s="76"/>
      <c r="BSD224" s="76"/>
      <c r="BSE224" s="76"/>
      <c r="BSF224" s="76"/>
      <c r="BSG224" s="76"/>
      <c r="BSH224" s="76"/>
      <c r="BSI224" s="76"/>
      <c r="BSJ224" s="76"/>
      <c r="BSK224" s="76"/>
      <c r="BSL224" s="76"/>
      <c r="BSM224" s="76"/>
      <c r="BSN224" s="76"/>
      <c r="BSO224" s="76"/>
      <c r="BSP224" s="76"/>
      <c r="BSQ224" s="76"/>
      <c r="BSR224" s="76"/>
      <c r="BSS224" s="76"/>
      <c r="BST224" s="76"/>
      <c r="BSU224" s="76"/>
      <c r="BSV224" s="76"/>
      <c r="BSW224" s="76"/>
      <c r="BSX224" s="76"/>
      <c r="BSY224" s="76"/>
      <c r="BSZ224" s="76"/>
      <c r="BTA224" s="76"/>
      <c r="BTB224" s="76"/>
      <c r="BTC224" s="76"/>
      <c r="BTD224" s="76"/>
      <c r="BTE224" s="76"/>
      <c r="BTF224" s="76"/>
      <c r="BTG224" s="76"/>
      <c r="BTH224" s="76"/>
      <c r="BTI224" s="76"/>
      <c r="BTJ224" s="76"/>
      <c r="BTK224" s="76"/>
      <c r="BTL224" s="76"/>
      <c r="BTM224" s="76"/>
      <c r="BTN224" s="76"/>
      <c r="BTO224" s="76"/>
      <c r="BTP224" s="76"/>
      <c r="BTQ224" s="76"/>
      <c r="BTR224" s="76"/>
      <c r="BTS224" s="76"/>
      <c r="BTT224" s="76"/>
      <c r="BTU224" s="76"/>
      <c r="BTV224" s="76"/>
      <c r="BTW224" s="76"/>
      <c r="BTX224" s="76"/>
      <c r="BTY224" s="76"/>
      <c r="BTZ224" s="76"/>
      <c r="BUA224" s="76"/>
      <c r="BUB224" s="76"/>
      <c r="BUC224" s="76"/>
      <c r="BUD224" s="76"/>
      <c r="BUE224" s="76"/>
      <c r="BUF224" s="76"/>
      <c r="BUG224" s="76"/>
      <c r="BUH224" s="76"/>
      <c r="BUI224" s="76"/>
      <c r="BUJ224" s="76"/>
      <c r="BUK224" s="76"/>
      <c r="BUL224" s="76"/>
      <c r="BUM224" s="76"/>
      <c r="BUN224" s="76"/>
      <c r="BUO224" s="76"/>
      <c r="BUP224" s="76"/>
      <c r="BUQ224" s="76"/>
      <c r="BUR224" s="76"/>
      <c r="BUS224" s="76"/>
      <c r="BUT224" s="76"/>
      <c r="BUU224" s="76"/>
      <c r="BUV224" s="76"/>
      <c r="BUW224" s="76"/>
      <c r="BUX224" s="76"/>
      <c r="BUY224" s="76"/>
      <c r="BUZ224" s="76"/>
      <c r="BVA224" s="76"/>
      <c r="BVB224" s="76"/>
      <c r="BVC224" s="76"/>
      <c r="BVD224" s="76"/>
      <c r="BVE224" s="76"/>
      <c r="BVF224" s="76"/>
      <c r="BVG224" s="76"/>
      <c r="BVH224" s="76"/>
      <c r="BVI224" s="76"/>
      <c r="BVJ224" s="76"/>
      <c r="BVK224" s="76"/>
      <c r="BVL224" s="76"/>
      <c r="BVM224" s="76"/>
      <c r="BVN224" s="76"/>
      <c r="BVO224" s="76"/>
      <c r="BVP224" s="76"/>
      <c r="BVQ224" s="76"/>
      <c r="BVR224" s="76"/>
      <c r="BVS224" s="76"/>
      <c r="BVT224" s="76"/>
      <c r="BVU224" s="76"/>
      <c r="BVV224" s="76"/>
      <c r="BVW224" s="76"/>
      <c r="BVX224" s="76"/>
      <c r="BVY224" s="76"/>
      <c r="BVZ224" s="76"/>
      <c r="BWA224" s="76"/>
      <c r="BWB224" s="76"/>
      <c r="BWC224" s="76"/>
      <c r="BWD224" s="76"/>
      <c r="BWE224" s="76"/>
      <c r="BWF224" s="76"/>
      <c r="BWG224" s="76"/>
      <c r="BWH224" s="76"/>
      <c r="BWI224" s="76"/>
      <c r="BWJ224" s="76"/>
      <c r="BWK224" s="76"/>
      <c r="BWL224" s="76"/>
      <c r="BWM224" s="76"/>
      <c r="BWN224" s="76"/>
      <c r="BWO224" s="76"/>
      <c r="BWP224" s="76"/>
      <c r="BWQ224" s="76"/>
      <c r="BWR224" s="76"/>
      <c r="BWS224" s="76"/>
      <c r="BWT224" s="76"/>
      <c r="BWU224" s="76"/>
      <c r="BWV224" s="76"/>
      <c r="BWW224" s="76"/>
      <c r="BWX224" s="76"/>
      <c r="BWY224" s="76"/>
      <c r="BWZ224" s="76"/>
      <c r="BXA224" s="76"/>
      <c r="BXB224" s="76"/>
      <c r="BXC224" s="76"/>
      <c r="BXD224" s="76"/>
      <c r="BXE224" s="76"/>
      <c r="BXF224" s="76"/>
      <c r="BXG224" s="76"/>
      <c r="BXH224" s="76"/>
      <c r="BXI224" s="76"/>
      <c r="BXJ224" s="76"/>
      <c r="BXK224" s="76"/>
      <c r="BXL224" s="76"/>
      <c r="BXM224" s="76"/>
      <c r="BXN224" s="76"/>
      <c r="BXO224" s="76"/>
      <c r="BXP224" s="76"/>
      <c r="BXQ224" s="76"/>
      <c r="BXR224" s="76"/>
      <c r="BXS224" s="76"/>
      <c r="BXT224" s="76"/>
      <c r="BXU224" s="76"/>
      <c r="BXV224" s="76"/>
      <c r="BXW224" s="76"/>
      <c r="BXX224" s="76"/>
      <c r="BXY224" s="76"/>
      <c r="BXZ224" s="76"/>
      <c r="BYA224" s="76"/>
      <c r="BYB224" s="76"/>
      <c r="BYC224" s="76"/>
      <c r="BYD224" s="76"/>
      <c r="BYE224" s="76"/>
      <c r="BYF224" s="76"/>
      <c r="BYG224" s="76"/>
      <c r="BYH224" s="76"/>
      <c r="BYI224" s="76"/>
      <c r="BYJ224" s="76"/>
      <c r="BYK224" s="76"/>
      <c r="BYL224" s="76"/>
      <c r="BYM224" s="76"/>
      <c r="BYN224" s="76"/>
      <c r="BYO224" s="76"/>
      <c r="BYP224" s="76"/>
      <c r="BYQ224" s="76"/>
      <c r="BYR224" s="76"/>
      <c r="BYS224" s="76"/>
      <c r="BYT224" s="76"/>
      <c r="BYU224" s="76"/>
      <c r="BYV224" s="76"/>
      <c r="BYW224" s="76"/>
      <c r="BYX224" s="76"/>
      <c r="BYY224" s="76"/>
      <c r="BYZ224" s="76"/>
      <c r="BZA224" s="76"/>
      <c r="BZB224" s="76"/>
      <c r="BZC224" s="76"/>
      <c r="BZD224" s="76"/>
      <c r="BZE224" s="76"/>
      <c r="BZF224" s="76"/>
      <c r="BZG224" s="76"/>
      <c r="BZH224" s="76"/>
      <c r="BZI224" s="76"/>
      <c r="BZJ224" s="76"/>
      <c r="BZK224" s="76"/>
      <c r="BZL224" s="76"/>
      <c r="BZM224" s="76"/>
      <c r="BZN224" s="76"/>
      <c r="BZO224" s="76"/>
      <c r="BZP224" s="76"/>
      <c r="BZQ224" s="76"/>
      <c r="BZR224" s="76"/>
      <c r="BZS224" s="76"/>
      <c r="BZT224" s="76"/>
      <c r="BZU224" s="76"/>
      <c r="BZV224" s="76"/>
      <c r="BZW224" s="76"/>
      <c r="BZX224" s="76"/>
      <c r="BZY224" s="76"/>
      <c r="BZZ224" s="76"/>
      <c r="CAA224" s="76"/>
      <c r="CAB224" s="76"/>
      <c r="CAC224" s="76"/>
      <c r="CAD224" s="76"/>
      <c r="CAE224" s="76"/>
      <c r="CAF224" s="76"/>
      <c r="CAG224" s="76"/>
      <c r="CAH224" s="76"/>
      <c r="CAI224" s="76"/>
      <c r="CAJ224" s="76"/>
      <c r="CAK224" s="76"/>
      <c r="CAL224" s="76"/>
      <c r="CAM224" s="76"/>
      <c r="CAN224" s="76"/>
      <c r="CAO224" s="76"/>
      <c r="CAP224" s="76"/>
      <c r="CAQ224" s="76"/>
      <c r="CAR224" s="76"/>
      <c r="CAS224" s="76"/>
      <c r="CAT224" s="76"/>
      <c r="CAU224" s="76"/>
      <c r="CAV224" s="76"/>
      <c r="CAW224" s="76"/>
      <c r="CAX224" s="76"/>
      <c r="CAY224" s="76"/>
      <c r="CAZ224" s="76"/>
      <c r="CBA224" s="76"/>
      <c r="CBB224" s="76"/>
      <c r="CBC224" s="76"/>
      <c r="CBD224" s="76"/>
      <c r="CBE224" s="76"/>
      <c r="CBF224" s="76"/>
      <c r="CBG224" s="76"/>
      <c r="CBH224" s="76"/>
      <c r="CBI224" s="76"/>
      <c r="CBJ224" s="76"/>
      <c r="CBK224" s="76"/>
      <c r="CBL224" s="76"/>
      <c r="CBM224" s="76"/>
      <c r="CBN224" s="76"/>
      <c r="CBO224" s="76"/>
      <c r="CBP224" s="76"/>
      <c r="CBQ224" s="76"/>
      <c r="CBR224" s="76"/>
      <c r="CBS224" s="76"/>
      <c r="CBT224" s="76"/>
      <c r="CBU224" s="76"/>
      <c r="CBV224" s="76"/>
      <c r="CBW224" s="76"/>
      <c r="CBX224" s="76"/>
      <c r="CBY224" s="76"/>
      <c r="CBZ224" s="76"/>
      <c r="CCA224" s="76"/>
      <c r="CCB224" s="76"/>
      <c r="CCC224" s="76"/>
      <c r="CCD224" s="76"/>
      <c r="CCE224" s="76"/>
      <c r="CCF224" s="76"/>
      <c r="CCG224" s="76"/>
      <c r="CCH224" s="76"/>
      <c r="CCI224" s="76"/>
      <c r="CCJ224" s="76"/>
      <c r="CCK224" s="76"/>
      <c r="CCL224" s="76"/>
      <c r="CCM224" s="76"/>
      <c r="CCN224" s="76"/>
      <c r="CCO224" s="76"/>
      <c r="CCP224" s="76"/>
      <c r="CCQ224" s="76"/>
      <c r="CCR224" s="76"/>
      <c r="CCS224" s="76"/>
      <c r="CCT224" s="76"/>
      <c r="CCU224" s="76"/>
      <c r="CCV224" s="76"/>
      <c r="CCW224" s="76"/>
      <c r="CCX224" s="76"/>
      <c r="CCY224" s="76"/>
      <c r="CCZ224" s="76"/>
      <c r="CDA224" s="76"/>
      <c r="CDB224" s="76"/>
      <c r="CDC224" s="76"/>
      <c r="CDD224" s="76"/>
      <c r="CDE224" s="76"/>
      <c r="CDF224" s="76"/>
      <c r="CDG224" s="76"/>
      <c r="CDH224" s="76"/>
      <c r="CDI224" s="76"/>
      <c r="CDJ224" s="76"/>
      <c r="CDK224" s="76"/>
      <c r="CDL224" s="76"/>
      <c r="CDM224" s="76"/>
      <c r="CDN224" s="76"/>
      <c r="CDO224" s="76"/>
      <c r="CDP224" s="76"/>
      <c r="CDQ224" s="76"/>
      <c r="CDR224" s="76"/>
      <c r="CDS224" s="76"/>
      <c r="CDT224" s="76"/>
      <c r="CDU224" s="76"/>
      <c r="CDV224" s="76"/>
      <c r="CDW224" s="76"/>
      <c r="CDX224" s="76"/>
      <c r="CDY224" s="76"/>
      <c r="CDZ224" s="76"/>
      <c r="CEA224" s="76"/>
      <c r="CEB224" s="76"/>
      <c r="CEC224" s="76"/>
      <c r="CED224" s="76"/>
      <c r="CEE224" s="76"/>
      <c r="CEF224" s="76"/>
      <c r="CEG224" s="76"/>
      <c r="CEH224" s="76"/>
      <c r="CEI224" s="76"/>
      <c r="CEJ224" s="76"/>
      <c r="CEK224" s="76"/>
      <c r="CEL224" s="76"/>
      <c r="CEM224" s="76"/>
      <c r="CEN224" s="76"/>
      <c r="CEO224" s="76"/>
      <c r="CEP224" s="76"/>
      <c r="CEQ224" s="76"/>
      <c r="CER224" s="76"/>
      <c r="CES224" s="76"/>
      <c r="CET224" s="76"/>
      <c r="CEU224" s="76"/>
      <c r="CEV224" s="76"/>
      <c r="CEW224" s="76"/>
      <c r="CEX224" s="76"/>
      <c r="CEY224" s="76"/>
      <c r="CEZ224" s="76"/>
      <c r="CFA224" s="76"/>
      <c r="CFB224" s="76"/>
      <c r="CFC224" s="76"/>
      <c r="CFD224" s="76"/>
      <c r="CFE224" s="76"/>
      <c r="CFF224" s="76"/>
      <c r="CFG224" s="76"/>
      <c r="CFH224" s="76"/>
      <c r="CFI224" s="76"/>
      <c r="CFJ224" s="76"/>
      <c r="CFK224" s="76"/>
      <c r="CFL224" s="76"/>
      <c r="CFM224" s="76"/>
      <c r="CFN224" s="76"/>
      <c r="CFO224" s="76"/>
      <c r="CFP224" s="76"/>
      <c r="CFQ224" s="76"/>
      <c r="CFR224" s="76"/>
      <c r="CFS224" s="76"/>
      <c r="CFT224" s="76"/>
      <c r="CFU224" s="76"/>
      <c r="CFV224" s="76"/>
      <c r="CFW224" s="76"/>
      <c r="CFX224" s="76"/>
      <c r="CFY224" s="76"/>
      <c r="CFZ224" s="76"/>
      <c r="CGA224" s="76"/>
      <c r="CGB224" s="76"/>
      <c r="CGC224" s="76"/>
      <c r="CGD224" s="76"/>
      <c r="CGE224" s="76"/>
      <c r="CGF224" s="76"/>
      <c r="CGG224" s="76"/>
      <c r="CGH224" s="76"/>
      <c r="CGI224" s="76"/>
      <c r="CGJ224" s="76"/>
      <c r="CGK224" s="76"/>
      <c r="CGL224" s="76"/>
      <c r="CGM224" s="76"/>
      <c r="CGN224" s="76"/>
      <c r="CGO224" s="76"/>
      <c r="CGP224" s="76"/>
      <c r="CGQ224" s="76"/>
      <c r="CGR224" s="76"/>
      <c r="CGS224" s="76"/>
      <c r="CGT224" s="76"/>
      <c r="CGU224" s="76"/>
      <c r="CGV224" s="76"/>
      <c r="CGW224" s="76"/>
      <c r="CGX224" s="76"/>
      <c r="CGY224" s="76"/>
      <c r="CGZ224" s="76"/>
      <c r="CHA224" s="76"/>
      <c r="CHB224" s="76"/>
      <c r="CHC224" s="76"/>
      <c r="CHD224" s="76"/>
      <c r="CHE224" s="76"/>
      <c r="CHF224" s="76"/>
      <c r="CHG224" s="76"/>
      <c r="CHH224" s="76"/>
      <c r="CHI224" s="76"/>
      <c r="CHJ224" s="76"/>
      <c r="CHK224" s="76"/>
      <c r="CHL224" s="76"/>
      <c r="CHM224" s="76"/>
      <c r="CHN224" s="76"/>
      <c r="CHO224" s="76"/>
      <c r="CHP224" s="76"/>
      <c r="CHQ224" s="76"/>
      <c r="CHR224" s="76"/>
      <c r="CHS224" s="76"/>
      <c r="CHT224" s="76"/>
      <c r="CHU224" s="76"/>
      <c r="CHV224" s="76"/>
      <c r="CHW224" s="76"/>
      <c r="CHX224" s="76"/>
      <c r="CHY224" s="76"/>
      <c r="CHZ224" s="76"/>
      <c r="CIA224" s="76"/>
      <c r="CIB224" s="76"/>
      <c r="CIC224" s="76"/>
      <c r="CID224" s="76"/>
      <c r="CIE224" s="76"/>
      <c r="CIF224" s="76"/>
      <c r="CIG224" s="76"/>
      <c r="CIH224" s="76"/>
      <c r="CII224" s="76"/>
      <c r="CIJ224" s="76"/>
      <c r="CIK224" s="76"/>
      <c r="CIL224" s="76"/>
      <c r="CIM224" s="76"/>
      <c r="CIN224" s="76"/>
      <c r="CIO224" s="76"/>
      <c r="CIP224" s="76"/>
      <c r="CIQ224" s="76"/>
      <c r="CIR224" s="76"/>
      <c r="CIS224" s="76"/>
      <c r="CIT224" s="76"/>
      <c r="CIU224" s="76"/>
      <c r="CIV224" s="76"/>
      <c r="CIW224" s="76"/>
      <c r="CIX224" s="76"/>
      <c r="CIY224" s="76"/>
      <c r="CIZ224" s="76"/>
      <c r="CJA224" s="76"/>
      <c r="CJB224" s="76"/>
      <c r="CJC224" s="76"/>
      <c r="CJD224" s="76"/>
      <c r="CJE224" s="76"/>
      <c r="CJF224" s="76"/>
      <c r="CJG224" s="76"/>
      <c r="CJH224" s="76"/>
      <c r="CJI224" s="76"/>
      <c r="CJJ224" s="76"/>
      <c r="CJK224" s="76"/>
      <c r="CJL224" s="76"/>
      <c r="CJM224" s="76"/>
      <c r="CJN224" s="76"/>
      <c r="CJO224" s="76"/>
      <c r="CJP224" s="76"/>
      <c r="CJQ224" s="76"/>
      <c r="CJR224" s="76"/>
      <c r="CJS224" s="76"/>
      <c r="CJT224" s="76"/>
      <c r="CJU224" s="76"/>
      <c r="CJV224" s="76"/>
      <c r="CJW224" s="76"/>
      <c r="CJX224" s="76"/>
      <c r="CJY224" s="76"/>
      <c r="CJZ224" s="76"/>
      <c r="CKA224" s="76"/>
      <c r="CKB224" s="76"/>
      <c r="CKC224" s="76"/>
      <c r="CKD224" s="76"/>
      <c r="CKE224" s="76"/>
      <c r="CKF224" s="76"/>
      <c r="CKG224" s="76"/>
      <c r="CKH224" s="76"/>
      <c r="CKI224" s="76"/>
      <c r="CKJ224" s="76"/>
      <c r="CKK224" s="76"/>
      <c r="CKL224" s="76"/>
      <c r="CKM224" s="76"/>
      <c r="CKN224" s="76"/>
      <c r="CKO224" s="76"/>
      <c r="CKP224" s="76"/>
      <c r="CKQ224" s="76"/>
      <c r="CKR224" s="76"/>
      <c r="CKS224" s="76"/>
      <c r="CKT224" s="76"/>
      <c r="CKU224" s="76"/>
      <c r="CKV224" s="76"/>
      <c r="CKW224" s="76"/>
      <c r="CKX224" s="76"/>
      <c r="CKY224" s="76"/>
      <c r="CKZ224" s="76"/>
      <c r="CLA224" s="76"/>
      <c r="CLB224" s="76"/>
      <c r="CLC224" s="76"/>
      <c r="CLD224" s="76"/>
      <c r="CLE224" s="76"/>
      <c r="CLF224" s="76"/>
      <c r="CLG224" s="76"/>
      <c r="CLH224" s="76"/>
      <c r="CLI224" s="76"/>
      <c r="CLJ224" s="76"/>
      <c r="CLK224" s="76"/>
      <c r="CLL224" s="76"/>
      <c r="CLM224" s="76"/>
      <c r="CLN224" s="76"/>
      <c r="CLO224" s="76"/>
      <c r="CLP224" s="76"/>
      <c r="CLQ224" s="76"/>
      <c r="CLR224" s="76"/>
      <c r="CLS224" s="76"/>
      <c r="CLT224" s="76"/>
      <c r="CLU224" s="76"/>
      <c r="CLV224" s="76"/>
      <c r="CLW224" s="76"/>
      <c r="CLX224" s="76"/>
      <c r="CLY224" s="76"/>
      <c r="CLZ224" s="76"/>
      <c r="CMA224" s="76"/>
      <c r="CMB224" s="76"/>
      <c r="CMC224" s="76"/>
      <c r="CMD224" s="76"/>
      <c r="CME224" s="76"/>
      <c r="CMF224" s="76"/>
      <c r="CMG224" s="76"/>
      <c r="CMH224" s="76"/>
      <c r="CMI224" s="76"/>
      <c r="CMJ224" s="76"/>
      <c r="CMK224" s="76"/>
      <c r="CML224" s="76"/>
      <c r="CMM224" s="76"/>
      <c r="CMN224" s="76"/>
      <c r="CMO224" s="76"/>
      <c r="CMP224" s="76"/>
      <c r="CMQ224" s="76"/>
      <c r="CMR224" s="76"/>
      <c r="CMS224" s="76"/>
      <c r="CMT224" s="76"/>
      <c r="CMU224" s="76"/>
      <c r="CMV224" s="76"/>
      <c r="CMW224" s="76"/>
      <c r="CMX224" s="76"/>
      <c r="CMY224" s="76"/>
      <c r="CMZ224" s="76"/>
      <c r="CNA224" s="76"/>
      <c r="CNB224" s="76"/>
      <c r="CNC224" s="76"/>
      <c r="CND224" s="76"/>
      <c r="CNE224" s="76"/>
      <c r="CNF224" s="76"/>
      <c r="CNG224" s="76"/>
      <c r="CNH224" s="76"/>
      <c r="CNI224" s="76"/>
      <c r="CNJ224" s="76"/>
      <c r="CNK224" s="76"/>
      <c r="CNL224" s="76"/>
      <c r="CNM224" s="76"/>
      <c r="CNN224" s="76"/>
      <c r="CNO224" s="76"/>
      <c r="CNP224" s="76"/>
      <c r="CNQ224" s="76"/>
      <c r="CNR224" s="76"/>
      <c r="CNS224" s="76"/>
      <c r="CNT224" s="76"/>
      <c r="CNU224" s="76"/>
      <c r="CNV224" s="76"/>
      <c r="CNW224" s="76"/>
      <c r="CNX224" s="76"/>
      <c r="CNY224" s="76"/>
      <c r="CNZ224" s="76"/>
      <c r="COA224" s="76"/>
      <c r="COB224" s="76"/>
      <c r="COC224" s="76"/>
      <c r="COD224" s="76"/>
      <c r="COE224" s="76"/>
      <c r="COF224" s="76"/>
      <c r="COG224" s="76"/>
      <c r="COH224" s="76"/>
      <c r="COI224" s="76"/>
      <c r="COJ224" s="76"/>
      <c r="COK224" s="76"/>
      <c r="COL224" s="76"/>
      <c r="COM224" s="76"/>
      <c r="CON224" s="76"/>
      <c r="COO224" s="76"/>
      <c r="COP224" s="76"/>
      <c r="COQ224" s="76"/>
      <c r="COR224" s="76"/>
      <c r="COS224" s="76"/>
      <c r="COT224" s="76"/>
      <c r="COU224" s="76"/>
      <c r="COV224" s="76"/>
      <c r="COW224" s="76"/>
      <c r="COX224" s="76"/>
      <c r="COY224" s="76"/>
      <c r="COZ224" s="76"/>
      <c r="CPA224" s="76"/>
      <c r="CPB224" s="76"/>
      <c r="CPC224" s="76"/>
      <c r="CPD224" s="76"/>
      <c r="CPE224" s="76"/>
      <c r="CPF224" s="76"/>
      <c r="CPG224" s="76"/>
      <c r="CPH224" s="76"/>
      <c r="CPI224" s="76"/>
      <c r="CPJ224" s="76"/>
      <c r="CPK224" s="76"/>
      <c r="CPL224" s="76"/>
      <c r="CPM224" s="76"/>
      <c r="CPN224" s="76"/>
      <c r="CPO224" s="76"/>
      <c r="CPP224" s="76"/>
      <c r="CPQ224" s="76"/>
      <c r="CPR224" s="76"/>
      <c r="CPS224" s="76"/>
      <c r="CPT224" s="76"/>
      <c r="CPU224" s="76"/>
      <c r="CPV224" s="76"/>
      <c r="CPW224" s="76"/>
      <c r="CPX224" s="76"/>
      <c r="CPY224" s="76"/>
      <c r="CPZ224" s="76"/>
      <c r="CQA224" s="76"/>
      <c r="CQB224" s="76"/>
      <c r="CQC224" s="76"/>
      <c r="CQD224" s="76"/>
      <c r="CQE224" s="76"/>
      <c r="CQF224" s="76"/>
      <c r="CQG224" s="76"/>
      <c r="CQH224" s="76"/>
      <c r="CQI224" s="76"/>
      <c r="CQJ224" s="76"/>
      <c r="CQK224" s="76"/>
      <c r="CQL224" s="76"/>
      <c r="CQM224" s="76"/>
      <c r="CQN224" s="76"/>
      <c r="CQO224" s="76"/>
      <c r="CQP224" s="76"/>
      <c r="CQQ224" s="76"/>
      <c r="CQR224" s="76"/>
      <c r="CQS224" s="76"/>
      <c r="CQT224" s="76"/>
      <c r="CQU224" s="76"/>
      <c r="CQV224" s="76"/>
      <c r="CQW224" s="76"/>
      <c r="CQX224" s="76"/>
      <c r="CQY224" s="76"/>
      <c r="CQZ224" s="76"/>
      <c r="CRA224" s="76"/>
      <c r="CRB224" s="76"/>
      <c r="CRC224" s="76"/>
      <c r="CRD224" s="76"/>
      <c r="CRE224" s="76"/>
      <c r="CRF224" s="76"/>
      <c r="CRG224" s="76"/>
      <c r="CRH224" s="76"/>
      <c r="CRI224" s="76"/>
      <c r="CRJ224" s="76"/>
      <c r="CRK224" s="76"/>
      <c r="CRL224" s="76"/>
      <c r="CRM224" s="76"/>
      <c r="CRN224" s="76"/>
      <c r="CRO224" s="76"/>
      <c r="CRP224" s="76"/>
      <c r="CRQ224" s="76"/>
      <c r="CRR224" s="76"/>
      <c r="CRS224" s="76"/>
      <c r="CRT224" s="76"/>
      <c r="CRU224" s="76"/>
      <c r="CRV224" s="76"/>
      <c r="CRW224" s="76"/>
      <c r="CRX224" s="76"/>
      <c r="CRY224" s="76"/>
      <c r="CRZ224" s="76"/>
      <c r="CSA224" s="76"/>
      <c r="CSB224" s="76"/>
      <c r="CSC224" s="76"/>
      <c r="CSD224" s="76"/>
      <c r="CSE224" s="76"/>
      <c r="CSF224" s="76"/>
      <c r="CSG224" s="76"/>
      <c r="CSH224" s="76"/>
      <c r="CSI224" s="76"/>
      <c r="CSJ224" s="76"/>
      <c r="CSK224" s="76"/>
      <c r="CSL224" s="76"/>
      <c r="CSM224" s="76"/>
      <c r="CSN224" s="76"/>
      <c r="CSO224" s="76"/>
      <c r="CSP224" s="76"/>
      <c r="CSQ224" s="76"/>
      <c r="CSR224" s="76"/>
      <c r="CSS224" s="76"/>
      <c r="CST224" s="76"/>
      <c r="CSU224" s="76"/>
      <c r="CSV224" s="76"/>
      <c r="CSW224" s="76"/>
      <c r="CSX224" s="76"/>
      <c r="CSY224" s="76"/>
      <c r="CSZ224" s="76"/>
      <c r="CTA224" s="76"/>
      <c r="CTB224" s="76"/>
      <c r="CTC224" s="76"/>
      <c r="CTD224" s="76"/>
      <c r="CTE224" s="76"/>
      <c r="CTF224" s="76"/>
      <c r="CTG224" s="76"/>
      <c r="CTH224" s="76"/>
      <c r="CTI224" s="76"/>
      <c r="CTJ224" s="76"/>
      <c r="CTK224" s="76"/>
      <c r="CTL224" s="76"/>
      <c r="CTM224" s="76"/>
      <c r="CTN224" s="76"/>
      <c r="CTO224" s="76"/>
      <c r="CTP224" s="76"/>
      <c r="CTQ224" s="76"/>
      <c r="CTR224" s="76"/>
      <c r="CTS224" s="76"/>
      <c r="CTT224" s="76"/>
      <c r="CTU224" s="76"/>
      <c r="CTV224" s="76"/>
      <c r="CTW224" s="76"/>
      <c r="CTX224" s="76"/>
      <c r="CTY224" s="76"/>
      <c r="CTZ224" s="76"/>
      <c r="CUA224" s="76"/>
      <c r="CUB224" s="76"/>
      <c r="CUC224" s="76"/>
      <c r="CUD224" s="76"/>
      <c r="CUE224" s="76"/>
      <c r="CUF224" s="76"/>
      <c r="CUG224" s="76"/>
      <c r="CUH224" s="76"/>
      <c r="CUI224" s="76"/>
      <c r="CUJ224" s="76"/>
      <c r="CUK224" s="76"/>
      <c r="CUL224" s="76"/>
      <c r="CUM224" s="76"/>
      <c r="CUN224" s="76"/>
      <c r="CUO224" s="76"/>
      <c r="CUP224" s="76"/>
      <c r="CUQ224" s="76"/>
      <c r="CUR224" s="76"/>
      <c r="CUS224" s="76"/>
      <c r="CUT224" s="76"/>
      <c r="CUU224" s="76"/>
      <c r="CUV224" s="76"/>
      <c r="CUW224" s="76"/>
      <c r="CUX224" s="76"/>
      <c r="CUY224" s="76"/>
      <c r="CUZ224" s="76"/>
      <c r="CVA224" s="76"/>
      <c r="CVB224" s="76"/>
      <c r="CVC224" s="76"/>
      <c r="CVD224" s="76"/>
      <c r="CVE224" s="76"/>
      <c r="CVF224" s="76"/>
      <c r="CVG224" s="76"/>
      <c r="CVH224" s="76"/>
      <c r="CVI224" s="76"/>
      <c r="CVJ224" s="76"/>
      <c r="CVK224" s="76"/>
      <c r="CVL224" s="76"/>
      <c r="CVM224" s="76"/>
      <c r="CVN224" s="76"/>
      <c r="CVO224" s="76"/>
      <c r="CVP224" s="76"/>
      <c r="CVQ224" s="76"/>
      <c r="CVR224" s="76"/>
      <c r="CVS224" s="76"/>
      <c r="CVT224" s="76"/>
      <c r="CVU224" s="76"/>
      <c r="CVV224" s="76"/>
      <c r="CVW224" s="76"/>
      <c r="CVX224" s="76"/>
      <c r="CVY224" s="76"/>
      <c r="CVZ224" s="76"/>
      <c r="CWA224" s="76"/>
      <c r="CWB224" s="76"/>
      <c r="CWC224" s="76"/>
      <c r="CWD224" s="76"/>
      <c r="CWE224" s="76"/>
      <c r="CWF224" s="76"/>
      <c r="CWG224" s="76"/>
      <c r="CWH224" s="76"/>
      <c r="CWI224" s="76"/>
      <c r="CWJ224" s="76"/>
      <c r="CWK224" s="76"/>
      <c r="CWL224" s="76"/>
      <c r="CWM224" s="76"/>
      <c r="CWN224" s="76"/>
      <c r="CWO224" s="76"/>
      <c r="CWP224" s="76"/>
      <c r="CWQ224" s="76"/>
      <c r="CWR224" s="76"/>
      <c r="CWS224" s="76"/>
      <c r="CWT224" s="76"/>
      <c r="CWU224" s="76"/>
      <c r="CWV224" s="76"/>
      <c r="CWW224" s="76"/>
      <c r="CWX224" s="76"/>
      <c r="CWY224" s="76"/>
      <c r="CWZ224" s="76"/>
      <c r="CXA224" s="76"/>
      <c r="CXB224" s="76"/>
      <c r="CXC224" s="76"/>
      <c r="CXD224" s="76"/>
      <c r="CXE224" s="76"/>
      <c r="CXF224" s="76"/>
      <c r="CXG224" s="76"/>
      <c r="CXH224" s="76"/>
      <c r="CXI224" s="76"/>
      <c r="CXJ224" s="76"/>
      <c r="CXK224" s="76"/>
      <c r="CXL224" s="76"/>
      <c r="CXM224" s="76"/>
      <c r="CXN224" s="76"/>
      <c r="CXO224" s="76"/>
      <c r="CXP224" s="76"/>
      <c r="CXQ224" s="76"/>
      <c r="CXR224" s="76"/>
      <c r="CXS224" s="76"/>
      <c r="CXT224" s="76"/>
      <c r="CXU224" s="76"/>
      <c r="CXV224" s="76"/>
      <c r="CXW224" s="76"/>
      <c r="CXX224" s="76"/>
      <c r="CXY224" s="76"/>
      <c r="CXZ224" s="76"/>
      <c r="CYA224" s="76"/>
      <c r="CYB224" s="76"/>
      <c r="CYC224" s="76"/>
      <c r="CYD224" s="76"/>
      <c r="CYE224" s="76"/>
      <c r="CYF224" s="76"/>
      <c r="CYG224" s="76"/>
      <c r="CYH224" s="76"/>
      <c r="CYI224" s="76"/>
      <c r="CYJ224" s="76"/>
      <c r="CYK224" s="76"/>
      <c r="CYL224" s="76"/>
      <c r="CYM224" s="76"/>
      <c r="CYN224" s="76"/>
      <c r="CYO224" s="76"/>
      <c r="CYP224" s="76"/>
      <c r="CYQ224" s="76"/>
      <c r="CYR224" s="76"/>
      <c r="CYS224" s="76"/>
      <c r="CYT224" s="76"/>
      <c r="CYU224" s="76"/>
      <c r="CYV224" s="76"/>
      <c r="CYW224" s="76"/>
      <c r="CYX224" s="76"/>
      <c r="CYY224" s="76"/>
      <c r="CYZ224" s="76"/>
      <c r="CZA224" s="76"/>
      <c r="CZB224" s="76"/>
      <c r="CZC224" s="76"/>
      <c r="CZD224" s="76"/>
      <c r="CZE224" s="76"/>
      <c r="CZF224" s="76"/>
      <c r="CZG224" s="76"/>
      <c r="CZH224" s="76"/>
      <c r="CZI224" s="76"/>
      <c r="CZJ224" s="76"/>
      <c r="CZK224" s="76"/>
      <c r="CZL224" s="76"/>
      <c r="CZM224" s="76"/>
      <c r="CZN224" s="76"/>
      <c r="CZO224" s="76"/>
      <c r="CZP224" s="76"/>
      <c r="CZQ224" s="76"/>
      <c r="CZR224" s="76"/>
      <c r="CZS224" s="76"/>
      <c r="CZT224" s="76"/>
      <c r="CZU224" s="76"/>
      <c r="CZV224" s="76"/>
      <c r="CZW224" s="76"/>
      <c r="CZX224" s="76"/>
      <c r="CZY224" s="76"/>
      <c r="CZZ224" s="76"/>
      <c r="DAA224" s="76"/>
      <c r="DAB224" s="76"/>
      <c r="DAC224" s="76"/>
      <c r="DAD224" s="76"/>
      <c r="DAE224" s="76"/>
      <c r="DAF224" s="76"/>
      <c r="DAG224" s="76"/>
      <c r="DAH224" s="76"/>
      <c r="DAI224" s="76"/>
      <c r="DAJ224" s="76"/>
      <c r="DAK224" s="76"/>
      <c r="DAL224" s="76"/>
      <c r="DAM224" s="76"/>
      <c r="DAN224" s="76"/>
      <c r="DAO224" s="76"/>
      <c r="DAP224" s="76"/>
      <c r="DAQ224" s="76"/>
      <c r="DAR224" s="76"/>
      <c r="DAS224" s="76"/>
      <c r="DAT224" s="76"/>
      <c r="DAU224" s="76"/>
      <c r="DAV224" s="76"/>
      <c r="DAW224" s="76"/>
      <c r="DAX224" s="76"/>
      <c r="DAY224" s="76"/>
      <c r="DAZ224" s="76"/>
      <c r="DBA224" s="76"/>
      <c r="DBB224" s="76"/>
      <c r="DBC224" s="76"/>
      <c r="DBD224" s="76"/>
      <c r="DBE224" s="76"/>
      <c r="DBF224" s="76"/>
      <c r="DBG224" s="76"/>
      <c r="DBH224" s="76"/>
      <c r="DBI224" s="76"/>
      <c r="DBJ224" s="76"/>
      <c r="DBK224" s="76"/>
      <c r="DBL224" s="76"/>
      <c r="DBM224" s="76"/>
      <c r="DBN224" s="76"/>
      <c r="DBO224" s="76"/>
      <c r="DBP224" s="76"/>
      <c r="DBQ224" s="76"/>
      <c r="DBR224" s="76"/>
      <c r="DBS224" s="76"/>
      <c r="DBT224" s="76"/>
      <c r="DBU224" s="76"/>
      <c r="DBV224" s="76"/>
      <c r="DBW224" s="76"/>
      <c r="DBX224" s="76"/>
      <c r="DBY224" s="76"/>
      <c r="DBZ224" s="76"/>
      <c r="DCA224" s="76"/>
      <c r="DCB224" s="76"/>
      <c r="DCC224" s="76"/>
      <c r="DCD224" s="76"/>
      <c r="DCE224" s="76"/>
      <c r="DCF224" s="76"/>
      <c r="DCG224" s="76"/>
      <c r="DCH224" s="76"/>
      <c r="DCI224" s="76"/>
      <c r="DCJ224" s="76"/>
      <c r="DCK224" s="76"/>
      <c r="DCL224" s="76"/>
      <c r="DCM224" s="76"/>
      <c r="DCN224" s="76"/>
      <c r="DCO224" s="76"/>
      <c r="DCP224" s="76"/>
      <c r="DCQ224" s="76"/>
      <c r="DCR224" s="76"/>
      <c r="DCS224" s="76"/>
      <c r="DCT224" s="76"/>
      <c r="DCU224" s="76"/>
      <c r="DCV224" s="76"/>
      <c r="DCW224" s="76"/>
      <c r="DCX224" s="76"/>
      <c r="DCY224" s="76"/>
      <c r="DCZ224" s="76"/>
      <c r="DDA224" s="76"/>
      <c r="DDB224" s="76"/>
      <c r="DDC224" s="76"/>
      <c r="DDD224" s="76"/>
      <c r="DDE224" s="76"/>
      <c r="DDF224" s="76"/>
      <c r="DDG224" s="76"/>
      <c r="DDH224" s="76"/>
      <c r="DDI224" s="76"/>
      <c r="DDJ224" s="76"/>
      <c r="DDK224" s="76"/>
      <c r="DDL224" s="76"/>
      <c r="DDM224" s="76"/>
      <c r="DDN224" s="76"/>
      <c r="DDO224" s="76"/>
      <c r="DDP224" s="76"/>
      <c r="DDQ224" s="76"/>
      <c r="DDR224" s="76"/>
      <c r="DDS224" s="76"/>
      <c r="DDT224" s="76"/>
      <c r="DDU224" s="76"/>
      <c r="DDV224" s="76"/>
      <c r="DDW224" s="76"/>
      <c r="DDX224" s="76"/>
      <c r="DDY224" s="76"/>
      <c r="DDZ224" s="76"/>
      <c r="DEA224" s="76"/>
      <c r="DEB224" s="76"/>
      <c r="DEC224" s="76"/>
      <c r="DED224" s="76"/>
      <c r="DEE224" s="76"/>
      <c r="DEF224" s="76"/>
      <c r="DEG224" s="76"/>
      <c r="DEH224" s="76"/>
      <c r="DEI224" s="76"/>
      <c r="DEJ224" s="76"/>
      <c r="DEK224" s="76"/>
      <c r="DEL224" s="76"/>
      <c r="DEM224" s="76"/>
      <c r="DEN224" s="76"/>
      <c r="DEO224" s="76"/>
      <c r="DEP224" s="76"/>
      <c r="DEQ224" s="76"/>
      <c r="DER224" s="76"/>
      <c r="DES224" s="76"/>
      <c r="DET224" s="76"/>
      <c r="DEU224" s="76"/>
      <c r="DEV224" s="76"/>
      <c r="DEW224" s="76"/>
      <c r="DEX224" s="76"/>
      <c r="DEY224" s="76"/>
      <c r="DEZ224" s="76"/>
      <c r="DFA224" s="76"/>
      <c r="DFB224" s="76"/>
      <c r="DFC224" s="76"/>
      <c r="DFD224" s="76"/>
      <c r="DFE224" s="76"/>
      <c r="DFF224" s="76"/>
      <c r="DFG224" s="76"/>
      <c r="DFH224" s="76"/>
      <c r="DFI224" s="76"/>
      <c r="DFJ224" s="76"/>
      <c r="DFK224" s="76"/>
      <c r="DFL224" s="76"/>
      <c r="DFM224" s="76"/>
      <c r="DFN224" s="76"/>
      <c r="DFO224" s="76"/>
      <c r="DFP224" s="76"/>
      <c r="DFQ224" s="76"/>
      <c r="DFR224" s="76"/>
      <c r="DFS224" s="76"/>
      <c r="DFT224" s="76"/>
      <c r="DFU224" s="76"/>
      <c r="DFV224" s="76"/>
      <c r="DFW224" s="76"/>
      <c r="DFX224" s="76"/>
      <c r="DFY224" s="76"/>
      <c r="DFZ224" s="76"/>
      <c r="DGA224" s="76"/>
      <c r="DGB224" s="76"/>
      <c r="DGC224" s="76"/>
      <c r="DGD224" s="76"/>
      <c r="DGE224" s="76"/>
      <c r="DGF224" s="76"/>
      <c r="DGG224" s="76"/>
      <c r="DGH224" s="76"/>
      <c r="DGI224" s="76"/>
      <c r="DGJ224" s="76"/>
      <c r="DGK224" s="76"/>
      <c r="DGL224" s="76"/>
      <c r="DGM224" s="76"/>
      <c r="DGN224" s="76"/>
      <c r="DGO224" s="76"/>
      <c r="DGP224" s="76"/>
      <c r="DGQ224" s="76"/>
      <c r="DGR224" s="76"/>
      <c r="DGS224" s="76"/>
      <c r="DGT224" s="76"/>
      <c r="DGU224" s="76"/>
      <c r="DGV224" s="76"/>
      <c r="DGW224" s="76"/>
      <c r="DGX224" s="76"/>
      <c r="DGY224" s="76"/>
      <c r="DGZ224" s="76"/>
      <c r="DHA224" s="76"/>
      <c r="DHB224" s="76"/>
      <c r="DHC224" s="76"/>
      <c r="DHD224" s="76"/>
      <c r="DHE224" s="76"/>
      <c r="DHF224" s="76"/>
      <c r="DHG224" s="76"/>
      <c r="DHH224" s="76"/>
      <c r="DHI224" s="76"/>
      <c r="DHJ224" s="76"/>
      <c r="DHK224" s="76"/>
      <c r="DHL224" s="76"/>
      <c r="DHM224" s="76"/>
      <c r="DHN224" s="76"/>
      <c r="DHO224" s="76"/>
      <c r="DHP224" s="76"/>
      <c r="DHQ224" s="76"/>
      <c r="DHR224" s="76"/>
      <c r="DHS224" s="76"/>
      <c r="DHT224" s="76"/>
      <c r="DHU224" s="76"/>
      <c r="DHV224" s="76"/>
      <c r="DHW224" s="76"/>
      <c r="DHX224" s="76"/>
      <c r="DHY224" s="76"/>
      <c r="DHZ224" s="76"/>
      <c r="DIA224" s="76"/>
      <c r="DIB224" s="76"/>
      <c r="DIC224" s="76"/>
      <c r="DID224" s="76"/>
      <c r="DIE224" s="76"/>
      <c r="DIF224" s="76"/>
      <c r="DIG224" s="76"/>
      <c r="DIH224" s="76"/>
      <c r="DII224" s="76"/>
      <c r="DIJ224" s="76"/>
      <c r="DIK224" s="76"/>
      <c r="DIL224" s="76"/>
      <c r="DIM224" s="76"/>
      <c r="DIN224" s="76"/>
      <c r="DIO224" s="76"/>
      <c r="DIP224" s="76"/>
      <c r="DIQ224" s="76"/>
      <c r="DIR224" s="76"/>
      <c r="DIS224" s="76"/>
      <c r="DIT224" s="76"/>
      <c r="DIU224" s="76"/>
      <c r="DIV224" s="76"/>
      <c r="DIW224" s="76"/>
      <c r="DIX224" s="76"/>
      <c r="DIY224" s="76"/>
      <c r="DIZ224" s="76"/>
      <c r="DJA224" s="76"/>
      <c r="DJB224" s="76"/>
      <c r="DJC224" s="76"/>
      <c r="DJD224" s="76"/>
      <c r="DJE224" s="76"/>
      <c r="DJF224" s="76"/>
      <c r="DJG224" s="76"/>
      <c r="DJH224" s="76"/>
      <c r="DJI224" s="76"/>
      <c r="DJJ224" s="76"/>
      <c r="DJK224" s="76"/>
      <c r="DJL224" s="76"/>
      <c r="DJM224" s="76"/>
      <c r="DJN224" s="76"/>
      <c r="DJO224" s="76"/>
      <c r="DJP224" s="76"/>
      <c r="DJQ224" s="76"/>
      <c r="DJR224" s="76"/>
      <c r="DJS224" s="76"/>
      <c r="DJT224" s="76"/>
      <c r="DJU224" s="76"/>
      <c r="DJV224" s="76"/>
      <c r="DJW224" s="76"/>
      <c r="DJX224" s="76"/>
      <c r="DJY224" s="76"/>
      <c r="DJZ224" s="76"/>
      <c r="DKA224" s="76"/>
      <c r="DKB224" s="76"/>
      <c r="DKC224" s="76"/>
      <c r="DKD224" s="76"/>
      <c r="DKE224" s="76"/>
      <c r="DKF224" s="76"/>
      <c r="DKG224" s="76"/>
      <c r="DKH224" s="76"/>
      <c r="DKI224" s="76"/>
      <c r="DKJ224" s="76"/>
      <c r="DKK224" s="76"/>
      <c r="DKL224" s="76"/>
      <c r="DKM224" s="76"/>
      <c r="DKN224" s="76"/>
      <c r="DKO224" s="76"/>
      <c r="DKP224" s="76"/>
      <c r="DKQ224" s="76"/>
      <c r="DKR224" s="76"/>
      <c r="DKS224" s="76"/>
      <c r="DKT224" s="76"/>
      <c r="DKU224" s="76"/>
      <c r="DKV224" s="76"/>
      <c r="DKW224" s="76"/>
      <c r="DKX224" s="76"/>
      <c r="DKY224" s="76"/>
      <c r="DKZ224" s="76"/>
      <c r="DLA224" s="76"/>
      <c r="DLB224" s="76"/>
      <c r="DLC224" s="76"/>
      <c r="DLD224" s="76"/>
      <c r="DLE224" s="76"/>
      <c r="DLF224" s="76"/>
      <c r="DLG224" s="76"/>
      <c r="DLH224" s="76"/>
      <c r="DLI224" s="76"/>
      <c r="DLJ224" s="76"/>
      <c r="DLK224" s="76"/>
      <c r="DLL224" s="76"/>
      <c r="DLM224" s="76"/>
      <c r="DLN224" s="76"/>
      <c r="DLO224" s="76"/>
      <c r="DLP224" s="76"/>
      <c r="DLQ224" s="76"/>
      <c r="DLR224" s="76"/>
      <c r="DLS224" s="76"/>
      <c r="DLT224" s="76"/>
      <c r="DLU224" s="76"/>
      <c r="DLV224" s="76"/>
      <c r="DLW224" s="76"/>
      <c r="DLX224" s="76"/>
      <c r="DLY224" s="76"/>
      <c r="DLZ224" s="76"/>
      <c r="DMA224" s="76"/>
      <c r="DMB224" s="76"/>
      <c r="DMC224" s="76"/>
      <c r="DMD224" s="76"/>
      <c r="DME224" s="76"/>
      <c r="DMF224" s="76"/>
      <c r="DMG224" s="76"/>
      <c r="DMH224" s="76"/>
      <c r="DMI224" s="76"/>
      <c r="DMJ224" s="76"/>
      <c r="DMK224" s="76"/>
      <c r="DML224" s="76"/>
      <c r="DMM224" s="76"/>
      <c r="DMN224" s="76"/>
      <c r="DMO224" s="76"/>
      <c r="DMP224" s="76"/>
      <c r="DMQ224" s="76"/>
      <c r="DMR224" s="76"/>
      <c r="DMS224" s="76"/>
      <c r="DMT224" s="76"/>
      <c r="DMU224" s="76"/>
      <c r="DMV224" s="76"/>
      <c r="DMW224" s="76"/>
      <c r="DMX224" s="76"/>
      <c r="DMY224" s="76"/>
      <c r="DMZ224" s="76"/>
      <c r="DNA224" s="76"/>
      <c r="DNB224" s="76"/>
      <c r="DNC224" s="76"/>
      <c r="DND224" s="76"/>
      <c r="DNE224" s="76"/>
      <c r="DNF224" s="76"/>
      <c r="DNG224" s="76"/>
      <c r="DNH224" s="76"/>
      <c r="DNI224" s="76"/>
      <c r="DNJ224" s="76"/>
      <c r="DNK224" s="76"/>
      <c r="DNL224" s="76"/>
      <c r="DNM224" s="76"/>
      <c r="DNN224" s="76"/>
      <c r="DNO224" s="76"/>
      <c r="DNP224" s="76"/>
      <c r="DNQ224" s="76"/>
      <c r="DNR224" s="76"/>
      <c r="DNS224" s="76"/>
      <c r="DNT224" s="76"/>
      <c r="DNU224" s="76"/>
      <c r="DNV224" s="76"/>
      <c r="DNW224" s="76"/>
      <c r="DNX224" s="76"/>
      <c r="DNY224" s="76"/>
      <c r="DNZ224" s="76"/>
      <c r="DOA224" s="76"/>
      <c r="DOB224" s="76"/>
      <c r="DOC224" s="76"/>
      <c r="DOD224" s="76"/>
      <c r="DOE224" s="76"/>
      <c r="DOF224" s="76"/>
      <c r="DOG224" s="76"/>
      <c r="DOH224" s="76"/>
      <c r="DOI224" s="76"/>
      <c r="DOJ224" s="76"/>
      <c r="DOK224" s="76"/>
      <c r="DOL224" s="76"/>
      <c r="DOM224" s="76"/>
      <c r="DON224" s="76"/>
      <c r="DOO224" s="76"/>
      <c r="DOP224" s="76"/>
      <c r="DOQ224" s="76"/>
      <c r="DOR224" s="76"/>
      <c r="DOS224" s="76"/>
      <c r="DOT224" s="76"/>
      <c r="DOU224" s="76"/>
      <c r="DOV224" s="76"/>
      <c r="DOW224" s="76"/>
      <c r="DOX224" s="76"/>
      <c r="DOY224" s="76"/>
      <c r="DOZ224" s="76"/>
      <c r="DPA224" s="76"/>
      <c r="DPB224" s="76"/>
      <c r="DPC224" s="76"/>
      <c r="DPD224" s="76"/>
      <c r="DPE224" s="76"/>
      <c r="DPF224" s="76"/>
      <c r="DPG224" s="76"/>
      <c r="DPH224" s="76"/>
      <c r="DPI224" s="76"/>
      <c r="DPJ224" s="76"/>
      <c r="DPK224" s="76"/>
      <c r="DPL224" s="76"/>
      <c r="DPM224" s="76"/>
      <c r="DPN224" s="76"/>
      <c r="DPO224" s="76"/>
      <c r="DPP224" s="76"/>
      <c r="DPQ224" s="76"/>
      <c r="DPR224" s="76"/>
      <c r="DPS224" s="76"/>
      <c r="DPT224" s="76"/>
      <c r="DPU224" s="76"/>
      <c r="DPV224" s="76"/>
      <c r="DPW224" s="76"/>
      <c r="DPX224" s="76"/>
      <c r="DPY224" s="76"/>
      <c r="DPZ224" s="76"/>
      <c r="DQA224" s="76"/>
      <c r="DQB224" s="76"/>
      <c r="DQC224" s="76"/>
      <c r="DQD224" s="76"/>
      <c r="DQE224" s="76"/>
      <c r="DQF224" s="76"/>
      <c r="DQG224" s="76"/>
      <c r="DQH224" s="76"/>
      <c r="DQI224" s="76"/>
      <c r="DQJ224" s="76"/>
      <c r="DQK224" s="76"/>
      <c r="DQL224" s="76"/>
      <c r="DQM224" s="76"/>
      <c r="DQN224" s="76"/>
      <c r="DQO224" s="76"/>
      <c r="DQP224" s="76"/>
      <c r="DQQ224" s="76"/>
      <c r="DQR224" s="76"/>
      <c r="DQS224" s="76"/>
      <c r="DQT224" s="76"/>
      <c r="DQU224" s="76"/>
      <c r="DQV224" s="76"/>
      <c r="DQW224" s="76"/>
      <c r="DQX224" s="76"/>
      <c r="DQY224" s="76"/>
      <c r="DQZ224" s="76"/>
      <c r="DRA224" s="76"/>
      <c r="DRB224" s="76"/>
      <c r="DRC224" s="76"/>
      <c r="DRD224" s="76"/>
      <c r="DRE224" s="76"/>
      <c r="DRF224" s="76"/>
      <c r="DRG224" s="76"/>
      <c r="DRH224" s="76"/>
      <c r="DRI224" s="76"/>
      <c r="DRJ224" s="76"/>
      <c r="DRK224" s="76"/>
      <c r="DRL224" s="76"/>
      <c r="DRM224" s="76"/>
      <c r="DRN224" s="76"/>
      <c r="DRO224" s="76"/>
      <c r="DRP224" s="76"/>
      <c r="DRQ224" s="76"/>
      <c r="DRR224" s="76"/>
      <c r="DRS224" s="76"/>
      <c r="DRT224" s="76"/>
      <c r="DRU224" s="76"/>
      <c r="DRV224" s="76"/>
      <c r="DRW224" s="76"/>
      <c r="DRX224" s="76"/>
      <c r="DRY224" s="76"/>
      <c r="DRZ224" s="76"/>
      <c r="DSA224" s="76"/>
      <c r="DSB224" s="76"/>
      <c r="DSC224" s="76"/>
      <c r="DSD224" s="76"/>
      <c r="DSE224" s="76"/>
      <c r="DSF224" s="76"/>
      <c r="DSG224" s="76"/>
      <c r="DSH224" s="76"/>
      <c r="DSI224" s="76"/>
      <c r="DSJ224" s="76"/>
      <c r="DSK224" s="76"/>
      <c r="DSL224" s="76"/>
      <c r="DSM224" s="76"/>
      <c r="DSN224" s="76"/>
      <c r="DSO224" s="76"/>
      <c r="DSP224" s="76"/>
      <c r="DSQ224" s="76"/>
      <c r="DSR224" s="76"/>
      <c r="DSS224" s="76"/>
      <c r="DST224" s="76"/>
      <c r="DSU224" s="76"/>
      <c r="DSV224" s="76"/>
      <c r="DSW224" s="76"/>
      <c r="DSX224" s="76"/>
      <c r="DSY224" s="76"/>
      <c r="DSZ224" s="76"/>
      <c r="DTA224" s="76"/>
      <c r="DTB224" s="76"/>
      <c r="DTC224" s="76"/>
      <c r="DTD224" s="76"/>
      <c r="DTE224" s="76"/>
      <c r="DTF224" s="76"/>
      <c r="DTG224" s="76"/>
      <c r="DTH224" s="76"/>
      <c r="DTI224" s="76"/>
      <c r="DTJ224" s="76"/>
      <c r="DTK224" s="76"/>
      <c r="DTL224" s="76"/>
      <c r="DTM224" s="76"/>
      <c r="DTN224" s="76"/>
      <c r="DTO224" s="76"/>
      <c r="DTP224" s="76"/>
      <c r="DTQ224" s="76"/>
      <c r="DTR224" s="76"/>
      <c r="DTS224" s="76"/>
      <c r="DTT224" s="76"/>
      <c r="DTU224" s="76"/>
      <c r="DTV224" s="76"/>
      <c r="DTW224" s="76"/>
      <c r="DTX224" s="76"/>
      <c r="DTY224" s="76"/>
      <c r="DTZ224" s="76"/>
      <c r="DUA224" s="76"/>
      <c r="DUB224" s="76"/>
      <c r="DUC224" s="76"/>
      <c r="DUD224" s="76"/>
      <c r="DUE224" s="76"/>
      <c r="DUF224" s="76"/>
      <c r="DUG224" s="76"/>
      <c r="DUH224" s="76"/>
      <c r="DUI224" s="76"/>
      <c r="DUJ224" s="76"/>
      <c r="DUK224" s="76"/>
      <c r="DUL224" s="76"/>
      <c r="DUM224" s="76"/>
      <c r="DUN224" s="76"/>
      <c r="DUO224" s="76"/>
      <c r="DUP224" s="76"/>
      <c r="DUQ224" s="76"/>
      <c r="DUR224" s="76"/>
      <c r="DUS224" s="76"/>
      <c r="DUT224" s="76"/>
      <c r="DUU224" s="76"/>
      <c r="DUV224" s="76"/>
      <c r="DUW224" s="76"/>
      <c r="DUX224" s="76"/>
      <c r="DUY224" s="76"/>
      <c r="DUZ224" s="76"/>
      <c r="DVA224" s="76"/>
      <c r="DVB224" s="76"/>
      <c r="DVC224" s="76"/>
      <c r="DVD224" s="76"/>
      <c r="DVE224" s="76"/>
      <c r="DVF224" s="76"/>
      <c r="DVG224" s="76"/>
      <c r="DVH224" s="76"/>
      <c r="DVI224" s="76"/>
      <c r="DVJ224" s="76"/>
      <c r="DVK224" s="76"/>
      <c r="DVL224" s="76"/>
      <c r="DVM224" s="76"/>
      <c r="DVN224" s="76"/>
      <c r="DVO224" s="76"/>
      <c r="DVP224" s="76"/>
      <c r="DVQ224" s="76"/>
      <c r="DVR224" s="76"/>
      <c r="DVS224" s="76"/>
      <c r="DVT224" s="76"/>
      <c r="DVU224" s="76"/>
      <c r="DVV224" s="76"/>
      <c r="DVW224" s="76"/>
      <c r="DVX224" s="76"/>
      <c r="DVY224" s="76"/>
      <c r="DVZ224" s="76"/>
      <c r="DWA224" s="76"/>
      <c r="DWB224" s="76"/>
      <c r="DWC224" s="76"/>
      <c r="DWD224" s="76"/>
      <c r="DWE224" s="76"/>
      <c r="DWF224" s="76"/>
      <c r="DWG224" s="76"/>
      <c r="DWH224" s="76"/>
      <c r="DWI224" s="76"/>
      <c r="DWJ224" s="76"/>
      <c r="DWK224" s="76"/>
      <c r="DWL224" s="76"/>
      <c r="DWM224" s="76"/>
      <c r="DWN224" s="76"/>
      <c r="DWO224" s="76"/>
      <c r="DWP224" s="76"/>
      <c r="DWQ224" s="76"/>
      <c r="DWR224" s="76"/>
      <c r="DWS224" s="76"/>
      <c r="DWT224" s="76"/>
      <c r="DWU224" s="76"/>
      <c r="DWV224" s="76"/>
      <c r="DWW224" s="76"/>
      <c r="DWX224" s="76"/>
      <c r="DWY224" s="76"/>
      <c r="DWZ224" s="76"/>
      <c r="DXA224" s="76"/>
      <c r="DXB224" s="76"/>
      <c r="DXC224" s="76"/>
      <c r="DXD224" s="76"/>
      <c r="DXE224" s="76"/>
      <c r="DXF224" s="76"/>
      <c r="DXG224" s="76"/>
      <c r="DXH224" s="76"/>
      <c r="DXI224" s="76"/>
      <c r="DXJ224" s="76"/>
      <c r="DXK224" s="76"/>
      <c r="DXL224" s="76"/>
      <c r="DXM224" s="76"/>
      <c r="DXN224" s="76"/>
      <c r="DXO224" s="76"/>
      <c r="DXP224" s="76"/>
      <c r="DXQ224" s="76"/>
      <c r="DXR224" s="76"/>
      <c r="DXS224" s="76"/>
      <c r="DXT224" s="76"/>
      <c r="DXU224" s="76"/>
      <c r="DXV224" s="76"/>
      <c r="DXW224" s="76"/>
      <c r="DXX224" s="76"/>
      <c r="DXY224" s="76"/>
      <c r="DXZ224" s="76"/>
      <c r="DYA224" s="76"/>
      <c r="DYB224" s="76"/>
      <c r="DYC224" s="76"/>
      <c r="DYD224" s="76"/>
      <c r="DYE224" s="76"/>
      <c r="DYF224" s="76"/>
      <c r="DYG224" s="76"/>
      <c r="DYH224" s="76"/>
      <c r="DYI224" s="76"/>
      <c r="DYJ224" s="76"/>
      <c r="DYK224" s="76"/>
      <c r="DYL224" s="76"/>
      <c r="DYM224" s="76"/>
      <c r="DYN224" s="76"/>
      <c r="DYO224" s="76"/>
      <c r="DYP224" s="76"/>
      <c r="DYQ224" s="76"/>
      <c r="DYR224" s="76"/>
      <c r="DYS224" s="76"/>
      <c r="DYT224" s="76"/>
      <c r="DYU224" s="76"/>
      <c r="DYV224" s="76"/>
      <c r="DYW224" s="76"/>
      <c r="DYX224" s="76"/>
      <c r="DYY224" s="76"/>
      <c r="DYZ224" s="76"/>
      <c r="DZA224" s="76"/>
      <c r="DZB224" s="76"/>
      <c r="DZC224" s="76"/>
      <c r="DZD224" s="76"/>
      <c r="DZE224" s="76"/>
      <c r="DZF224" s="76"/>
      <c r="DZG224" s="76"/>
      <c r="DZH224" s="76"/>
      <c r="DZI224" s="76"/>
      <c r="DZJ224" s="76"/>
      <c r="DZK224" s="76"/>
      <c r="DZL224" s="76"/>
      <c r="DZM224" s="76"/>
      <c r="DZN224" s="76"/>
      <c r="DZO224" s="76"/>
      <c r="DZP224" s="76"/>
      <c r="DZQ224" s="76"/>
      <c r="DZR224" s="76"/>
      <c r="DZS224" s="76"/>
      <c r="DZT224" s="76"/>
      <c r="DZU224" s="76"/>
      <c r="DZV224" s="76"/>
      <c r="DZW224" s="76"/>
      <c r="DZX224" s="76"/>
      <c r="DZY224" s="76"/>
      <c r="DZZ224" s="76"/>
      <c r="EAA224" s="76"/>
      <c r="EAB224" s="76"/>
      <c r="EAC224" s="76"/>
      <c r="EAD224" s="76"/>
      <c r="EAE224" s="76"/>
      <c r="EAF224" s="76"/>
      <c r="EAG224" s="76"/>
      <c r="EAH224" s="76"/>
      <c r="EAI224" s="76"/>
      <c r="EAJ224" s="76"/>
      <c r="EAK224" s="76"/>
      <c r="EAL224" s="76"/>
      <c r="EAM224" s="76"/>
      <c r="EAN224" s="76"/>
      <c r="EAO224" s="76"/>
      <c r="EAP224" s="76"/>
      <c r="EAQ224" s="76"/>
      <c r="EAR224" s="76"/>
      <c r="EAS224" s="76"/>
      <c r="EAT224" s="76"/>
      <c r="EAU224" s="76"/>
      <c r="EAV224" s="76"/>
      <c r="EAW224" s="76"/>
      <c r="EAX224" s="76"/>
      <c r="EAY224" s="76"/>
      <c r="EAZ224" s="76"/>
      <c r="EBA224" s="76"/>
      <c r="EBB224" s="76"/>
      <c r="EBC224" s="76"/>
      <c r="EBD224" s="76"/>
      <c r="EBE224" s="76"/>
      <c r="EBF224" s="76"/>
      <c r="EBG224" s="76"/>
      <c r="EBH224" s="76"/>
      <c r="EBI224" s="76"/>
      <c r="EBJ224" s="76"/>
      <c r="EBK224" s="76"/>
      <c r="EBL224" s="76"/>
      <c r="EBM224" s="76"/>
      <c r="EBN224" s="76"/>
      <c r="EBO224" s="76"/>
      <c r="EBP224" s="76"/>
      <c r="EBQ224" s="76"/>
      <c r="EBR224" s="76"/>
      <c r="EBS224" s="76"/>
      <c r="EBT224" s="76"/>
      <c r="EBU224" s="76"/>
      <c r="EBV224" s="76"/>
      <c r="EBW224" s="76"/>
      <c r="EBX224" s="76"/>
      <c r="EBY224" s="76"/>
      <c r="EBZ224" s="76"/>
      <c r="ECA224" s="76"/>
      <c r="ECB224" s="76"/>
      <c r="ECC224" s="76"/>
      <c r="ECD224" s="76"/>
      <c r="ECE224" s="76"/>
      <c r="ECF224" s="76"/>
      <c r="ECG224" s="76"/>
      <c r="ECH224" s="76"/>
      <c r="ECI224" s="76"/>
      <c r="ECJ224" s="76"/>
      <c r="ECK224" s="76"/>
      <c r="ECL224" s="76"/>
      <c r="ECM224" s="76"/>
      <c r="ECN224" s="76"/>
      <c r="ECO224" s="76"/>
      <c r="ECP224" s="76"/>
      <c r="ECQ224" s="76"/>
      <c r="ECR224" s="76"/>
      <c r="ECS224" s="76"/>
      <c r="ECT224" s="76"/>
      <c r="ECU224" s="76"/>
      <c r="ECV224" s="76"/>
      <c r="ECW224" s="76"/>
      <c r="ECX224" s="76"/>
      <c r="ECY224" s="76"/>
      <c r="ECZ224" s="76"/>
      <c r="EDA224" s="76"/>
      <c r="EDB224" s="76"/>
      <c r="EDC224" s="76"/>
      <c r="EDD224" s="76"/>
      <c r="EDE224" s="76"/>
      <c r="EDF224" s="76"/>
      <c r="EDG224" s="76"/>
      <c r="EDH224" s="76"/>
      <c r="EDI224" s="76"/>
      <c r="EDJ224" s="76"/>
      <c r="EDK224" s="76"/>
      <c r="EDL224" s="76"/>
      <c r="EDM224" s="76"/>
      <c r="EDN224" s="76"/>
      <c r="EDO224" s="76"/>
      <c r="EDP224" s="76"/>
      <c r="EDQ224" s="76"/>
      <c r="EDR224" s="76"/>
      <c r="EDS224" s="76"/>
      <c r="EDT224" s="76"/>
      <c r="EDU224" s="76"/>
      <c r="EDV224" s="76"/>
      <c r="EDW224" s="76"/>
      <c r="EDX224" s="76"/>
      <c r="EDY224" s="76"/>
      <c r="EDZ224" s="76"/>
      <c r="EEA224" s="76"/>
      <c r="EEB224" s="76"/>
      <c r="EEC224" s="76"/>
      <c r="EED224" s="76"/>
      <c r="EEE224" s="76"/>
      <c r="EEF224" s="76"/>
      <c r="EEG224" s="76"/>
      <c r="EEH224" s="76"/>
      <c r="EEI224" s="76"/>
      <c r="EEJ224" s="76"/>
      <c r="EEK224" s="76"/>
      <c r="EEL224" s="76"/>
      <c r="EEM224" s="76"/>
      <c r="EEN224" s="76"/>
      <c r="EEO224" s="76"/>
      <c r="EEP224" s="76"/>
      <c r="EEQ224" s="76"/>
      <c r="EER224" s="76"/>
      <c r="EES224" s="76"/>
      <c r="EET224" s="76"/>
      <c r="EEU224" s="76"/>
      <c r="EEV224" s="76"/>
      <c r="EEW224" s="76"/>
      <c r="EEX224" s="76"/>
      <c r="EEY224" s="76"/>
      <c r="EEZ224" s="76"/>
      <c r="EFA224" s="76"/>
      <c r="EFB224" s="76"/>
      <c r="EFC224" s="76"/>
      <c r="EFD224" s="76"/>
      <c r="EFE224" s="76"/>
      <c r="EFF224" s="76"/>
      <c r="EFG224" s="76"/>
      <c r="EFH224" s="76"/>
      <c r="EFI224" s="76"/>
      <c r="EFJ224" s="76"/>
      <c r="EFK224" s="76"/>
      <c r="EFL224" s="76"/>
      <c r="EFM224" s="76"/>
      <c r="EFN224" s="76"/>
      <c r="EFO224" s="76"/>
      <c r="EFP224" s="76"/>
      <c r="EFQ224" s="76"/>
      <c r="EFR224" s="76"/>
      <c r="EFS224" s="76"/>
      <c r="EFT224" s="76"/>
      <c r="EFU224" s="76"/>
      <c r="EFV224" s="76"/>
      <c r="EFW224" s="76"/>
      <c r="EFX224" s="76"/>
      <c r="EFY224" s="76"/>
      <c r="EFZ224" s="76"/>
      <c r="EGA224" s="76"/>
      <c r="EGB224" s="76"/>
      <c r="EGC224" s="76"/>
      <c r="EGD224" s="76"/>
      <c r="EGE224" s="76"/>
      <c r="EGF224" s="76"/>
      <c r="EGG224" s="76"/>
      <c r="EGH224" s="76"/>
      <c r="EGI224" s="76"/>
      <c r="EGJ224" s="76"/>
      <c r="EGK224" s="76"/>
      <c r="EGL224" s="76"/>
      <c r="EGM224" s="76"/>
      <c r="EGN224" s="76"/>
      <c r="EGO224" s="76"/>
      <c r="EGP224" s="76"/>
      <c r="EGQ224" s="76"/>
      <c r="EGR224" s="76"/>
      <c r="EGS224" s="76"/>
      <c r="EGT224" s="76"/>
      <c r="EGU224" s="76"/>
      <c r="EGV224" s="76"/>
      <c r="EGW224" s="76"/>
      <c r="EGX224" s="76"/>
      <c r="EGY224" s="76"/>
      <c r="EGZ224" s="76"/>
      <c r="EHA224" s="76"/>
      <c r="EHB224" s="76"/>
      <c r="EHC224" s="76"/>
      <c r="EHD224" s="76"/>
      <c r="EHE224" s="76"/>
      <c r="EHF224" s="76"/>
      <c r="EHG224" s="76"/>
      <c r="EHH224" s="76"/>
      <c r="EHI224" s="76"/>
      <c r="EHJ224" s="76"/>
      <c r="EHK224" s="76"/>
      <c r="EHL224" s="76"/>
      <c r="EHM224" s="76"/>
      <c r="EHN224" s="76"/>
      <c r="EHO224" s="76"/>
      <c r="EHP224" s="76"/>
      <c r="EHQ224" s="76"/>
      <c r="EHR224" s="76"/>
      <c r="EHS224" s="76"/>
      <c r="EHT224" s="76"/>
      <c r="EHU224" s="76"/>
      <c r="EHV224" s="76"/>
      <c r="EHW224" s="76"/>
      <c r="EHX224" s="76"/>
      <c r="EHY224" s="76"/>
      <c r="EHZ224" s="76"/>
      <c r="EIA224" s="76"/>
      <c r="EIB224" s="76"/>
      <c r="EIC224" s="76"/>
      <c r="EID224" s="76"/>
      <c r="EIE224" s="76"/>
      <c r="EIF224" s="76"/>
      <c r="EIG224" s="76"/>
      <c r="EIH224" s="76"/>
      <c r="EII224" s="76"/>
      <c r="EIJ224" s="76"/>
      <c r="EIK224" s="76"/>
      <c r="EIL224" s="76"/>
      <c r="EIM224" s="76"/>
      <c r="EIN224" s="76"/>
      <c r="EIO224" s="76"/>
      <c r="EIP224" s="76"/>
      <c r="EIQ224" s="76"/>
      <c r="EIR224" s="76"/>
      <c r="EIS224" s="76"/>
      <c r="EIT224" s="76"/>
      <c r="EIU224" s="76"/>
      <c r="EIV224" s="76"/>
      <c r="EIW224" s="76"/>
      <c r="EIX224" s="76"/>
      <c r="EIY224" s="76"/>
      <c r="EIZ224" s="76"/>
      <c r="EJA224" s="76"/>
      <c r="EJB224" s="76"/>
      <c r="EJC224" s="76"/>
      <c r="EJD224" s="76"/>
      <c r="EJE224" s="76"/>
      <c r="EJF224" s="76"/>
      <c r="EJG224" s="76"/>
      <c r="EJH224" s="76"/>
      <c r="EJI224" s="76"/>
      <c r="EJJ224" s="76"/>
      <c r="EJK224" s="76"/>
      <c r="EJL224" s="76"/>
      <c r="EJM224" s="76"/>
      <c r="EJN224" s="76"/>
      <c r="EJO224" s="76"/>
      <c r="EJP224" s="76"/>
      <c r="EJQ224" s="76"/>
      <c r="EJR224" s="76"/>
      <c r="EJS224" s="76"/>
      <c r="EJT224" s="76"/>
      <c r="EJU224" s="76"/>
      <c r="EJV224" s="76"/>
      <c r="EJW224" s="76"/>
      <c r="EJX224" s="76"/>
      <c r="EJY224" s="76"/>
      <c r="EJZ224" s="76"/>
      <c r="EKA224" s="76"/>
      <c r="EKB224" s="76"/>
      <c r="EKC224" s="76"/>
      <c r="EKD224" s="76"/>
      <c r="EKE224" s="76"/>
      <c r="EKF224" s="76"/>
      <c r="EKG224" s="76"/>
      <c r="EKH224" s="76"/>
      <c r="EKI224" s="76"/>
      <c r="EKJ224" s="76"/>
      <c r="EKK224" s="76"/>
      <c r="EKL224" s="76"/>
      <c r="EKM224" s="76"/>
      <c r="EKN224" s="76"/>
      <c r="EKO224" s="76"/>
      <c r="EKP224" s="76"/>
      <c r="EKQ224" s="76"/>
      <c r="EKR224" s="76"/>
      <c r="EKS224" s="76"/>
      <c r="EKT224" s="76"/>
      <c r="EKU224" s="76"/>
      <c r="EKV224" s="76"/>
      <c r="EKW224" s="76"/>
      <c r="EKX224" s="76"/>
      <c r="EKY224" s="76"/>
      <c r="EKZ224" s="76"/>
      <c r="ELA224" s="76"/>
      <c r="ELB224" s="76"/>
      <c r="ELC224" s="76"/>
      <c r="ELD224" s="76"/>
      <c r="ELE224" s="76"/>
      <c r="ELF224" s="76"/>
      <c r="ELG224" s="76"/>
      <c r="ELH224" s="76"/>
      <c r="ELI224" s="76"/>
      <c r="ELJ224" s="76"/>
      <c r="ELK224" s="76"/>
      <c r="ELL224" s="76"/>
      <c r="ELM224" s="76"/>
      <c r="ELN224" s="76"/>
      <c r="ELO224" s="76"/>
      <c r="ELP224" s="76"/>
      <c r="ELQ224" s="76"/>
      <c r="ELR224" s="76"/>
      <c r="ELS224" s="76"/>
      <c r="ELT224" s="76"/>
      <c r="ELU224" s="76"/>
      <c r="ELV224" s="76"/>
      <c r="ELW224" s="76"/>
      <c r="ELX224" s="76"/>
      <c r="ELY224" s="76"/>
      <c r="ELZ224" s="76"/>
      <c r="EMA224" s="76"/>
      <c r="EMB224" s="76"/>
      <c r="EMC224" s="76"/>
      <c r="EMD224" s="76"/>
      <c r="EME224" s="76"/>
      <c r="EMF224" s="76"/>
      <c r="EMG224" s="76"/>
      <c r="EMH224" s="76"/>
      <c r="EMI224" s="76"/>
      <c r="EMJ224" s="76"/>
      <c r="EMK224" s="76"/>
      <c r="EML224" s="76"/>
      <c r="EMM224" s="76"/>
      <c r="EMN224" s="76"/>
      <c r="EMO224" s="76"/>
      <c r="EMP224" s="76"/>
      <c r="EMQ224" s="76"/>
      <c r="EMR224" s="76"/>
      <c r="EMS224" s="76"/>
      <c r="EMT224" s="76"/>
      <c r="EMU224" s="76"/>
      <c r="EMV224" s="76"/>
      <c r="EMW224" s="76"/>
      <c r="EMX224" s="76"/>
      <c r="EMY224" s="76"/>
      <c r="EMZ224" s="76"/>
      <c r="ENA224" s="76"/>
      <c r="ENB224" s="76"/>
      <c r="ENC224" s="76"/>
      <c r="END224" s="76"/>
      <c r="ENE224" s="76"/>
      <c r="ENF224" s="76"/>
      <c r="ENG224" s="76"/>
      <c r="ENH224" s="76"/>
      <c r="ENI224" s="76"/>
      <c r="ENJ224" s="76"/>
      <c r="ENK224" s="76"/>
      <c r="ENL224" s="76"/>
      <c r="ENM224" s="76"/>
      <c r="ENN224" s="76"/>
      <c r="ENO224" s="76"/>
      <c r="ENP224" s="76"/>
      <c r="ENQ224" s="76"/>
      <c r="ENR224" s="76"/>
      <c r="ENS224" s="76"/>
      <c r="ENT224" s="76"/>
      <c r="ENU224" s="76"/>
      <c r="ENV224" s="76"/>
      <c r="ENW224" s="76"/>
      <c r="ENX224" s="76"/>
      <c r="ENY224" s="76"/>
      <c r="ENZ224" s="76"/>
      <c r="EOA224" s="76"/>
      <c r="EOB224" s="76"/>
      <c r="EOC224" s="76"/>
      <c r="EOD224" s="76"/>
      <c r="EOE224" s="76"/>
      <c r="EOF224" s="76"/>
      <c r="EOG224" s="76"/>
      <c r="EOH224" s="76"/>
      <c r="EOI224" s="76"/>
      <c r="EOJ224" s="76"/>
      <c r="EOK224" s="76"/>
      <c r="EOL224" s="76"/>
      <c r="EOM224" s="76"/>
      <c r="EON224" s="76"/>
      <c r="EOO224" s="76"/>
      <c r="EOP224" s="76"/>
      <c r="EOQ224" s="76"/>
      <c r="EOR224" s="76"/>
      <c r="EOS224" s="76"/>
      <c r="EOT224" s="76"/>
      <c r="EOU224" s="76"/>
      <c r="EOV224" s="76"/>
      <c r="EOW224" s="76"/>
      <c r="EOX224" s="76"/>
      <c r="EOY224" s="76"/>
      <c r="EOZ224" s="76"/>
      <c r="EPA224" s="76"/>
      <c r="EPB224" s="76"/>
      <c r="EPC224" s="76"/>
      <c r="EPD224" s="76"/>
      <c r="EPE224" s="76"/>
      <c r="EPF224" s="76"/>
      <c r="EPG224" s="76"/>
      <c r="EPH224" s="76"/>
      <c r="EPI224" s="76"/>
      <c r="EPJ224" s="76"/>
      <c r="EPK224" s="76"/>
      <c r="EPL224" s="76"/>
      <c r="EPM224" s="76"/>
      <c r="EPN224" s="76"/>
      <c r="EPO224" s="76"/>
      <c r="EPP224" s="76"/>
      <c r="EPQ224" s="76"/>
      <c r="EPR224" s="76"/>
      <c r="EPS224" s="76"/>
      <c r="EPT224" s="76"/>
      <c r="EPU224" s="76"/>
      <c r="EPV224" s="76"/>
      <c r="EPW224" s="76"/>
      <c r="EPX224" s="76"/>
      <c r="EPY224" s="76"/>
      <c r="EPZ224" s="76"/>
      <c r="EQA224" s="76"/>
      <c r="EQB224" s="76"/>
      <c r="EQC224" s="76"/>
      <c r="EQD224" s="76"/>
      <c r="EQE224" s="76"/>
      <c r="EQF224" s="76"/>
      <c r="EQG224" s="76"/>
      <c r="EQH224" s="76"/>
      <c r="EQI224" s="76"/>
      <c r="EQJ224" s="76"/>
      <c r="EQK224" s="76"/>
      <c r="EQL224" s="76"/>
      <c r="EQM224" s="76"/>
      <c r="EQN224" s="76"/>
      <c r="EQO224" s="76"/>
      <c r="EQP224" s="76"/>
      <c r="EQQ224" s="76"/>
      <c r="EQR224" s="76"/>
      <c r="EQS224" s="76"/>
      <c r="EQT224" s="76"/>
      <c r="EQU224" s="76"/>
      <c r="EQV224" s="76"/>
      <c r="EQW224" s="76"/>
      <c r="EQX224" s="76"/>
      <c r="EQY224" s="76"/>
      <c r="EQZ224" s="76"/>
      <c r="ERA224" s="76"/>
      <c r="ERB224" s="76"/>
      <c r="ERC224" s="76"/>
      <c r="ERD224" s="76"/>
      <c r="ERE224" s="76"/>
      <c r="ERF224" s="76"/>
      <c r="ERG224" s="76"/>
      <c r="ERH224" s="76"/>
      <c r="ERI224" s="76"/>
      <c r="ERJ224" s="76"/>
      <c r="ERK224" s="76"/>
      <c r="ERL224" s="76"/>
      <c r="ERM224" s="76"/>
      <c r="ERN224" s="76"/>
      <c r="ERO224" s="76"/>
      <c r="ERP224" s="76"/>
      <c r="ERQ224" s="76"/>
      <c r="ERR224" s="76"/>
      <c r="ERS224" s="76"/>
      <c r="ERT224" s="76"/>
      <c r="ERU224" s="76"/>
      <c r="ERV224" s="76"/>
      <c r="ERW224" s="76"/>
      <c r="ERX224" s="76"/>
      <c r="ERY224" s="76"/>
      <c r="ERZ224" s="76"/>
      <c r="ESA224" s="76"/>
      <c r="ESB224" s="76"/>
      <c r="ESC224" s="76"/>
      <c r="ESD224" s="76"/>
      <c r="ESE224" s="76"/>
      <c r="ESF224" s="76"/>
      <c r="ESG224" s="76"/>
      <c r="ESH224" s="76"/>
      <c r="ESI224" s="76"/>
      <c r="ESJ224" s="76"/>
      <c r="ESK224" s="76"/>
      <c r="ESL224" s="76"/>
      <c r="ESM224" s="76"/>
      <c r="ESN224" s="76"/>
      <c r="ESO224" s="76"/>
      <c r="ESP224" s="76"/>
      <c r="ESQ224" s="76"/>
      <c r="ESR224" s="76"/>
      <c r="ESS224" s="76"/>
      <c r="EST224" s="76"/>
      <c r="ESU224" s="76"/>
      <c r="ESV224" s="76"/>
      <c r="ESW224" s="76"/>
      <c r="ESX224" s="76"/>
      <c r="ESY224" s="76"/>
      <c r="ESZ224" s="76"/>
      <c r="ETA224" s="76"/>
      <c r="ETB224" s="76"/>
      <c r="ETC224" s="76"/>
      <c r="ETD224" s="76"/>
      <c r="ETE224" s="76"/>
      <c r="ETF224" s="76"/>
      <c r="ETG224" s="76"/>
      <c r="ETH224" s="76"/>
      <c r="ETI224" s="76"/>
      <c r="ETJ224" s="76"/>
      <c r="ETK224" s="76"/>
      <c r="ETL224" s="76"/>
      <c r="ETM224" s="76"/>
      <c r="ETN224" s="76"/>
      <c r="ETO224" s="76"/>
      <c r="ETP224" s="76"/>
      <c r="ETQ224" s="76"/>
      <c r="ETR224" s="76"/>
      <c r="ETS224" s="76"/>
      <c r="ETT224" s="76"/>
      <c r="ETU224" s="76"/>
      <c r="ETV224" s="76"/>
      <c r="ETW224" s="76"/>
      <c r="ETX224" s="76"/>
      <c r="ETY224" s="76"/>
      <c r="ETZ224" s="76"/>
      <c r="EUA224" s="76"/>
      <c r="EUB224" s="76"/>
      <c r="EUC224" s="76"/>
      <c r="EUD224" s="76"/>
      <c r="EUE224" s="76"/>
      <c r="EUF224" s="76"/>
      <c r="EUG224" s="76"/>
      <c r="EUH224" s="76"/>
      <c r="EUI224" s="76"/>
      <c r="EUJ224" s="76"/>
      <c r="EUK224" s="76"/>
      <c r="EUL224" s="76"/>
      <c r="EUM224" s="76"/>
      <c r="EUN224" s="76"/>
      <c r="EUO224" s="76"/>
      <c r="EUP224" s="76"/>
      <c r="EUQ224" s="76"/>
      <c r="EUR224" s="76"/>
      <c r="EUS224" s="76"/>
      <c r="EUT224" s="76"/>
      <c r="EUU224" s="76"/>
      <c r="EUV224" s="76"/>
      <c r="EUW224" s="76"/>
      <c r="EUX224" s="76"/>
      <c r="EUY224" s="76"/>
      <c r="EUZ224" s="76"/>
      <c r="EVA224" s="76"/>
      <c r="EVB224" s="76"/>
      <c r="EVC224" s="76"/>
      <c r="EVD224" s="76"/>
      <c r="EVE224" s="76"/>
      <c r="EVF224" s="76"/>
      <c r="EVG224" s="76"/>
      <c r="EVH224" s="76"/>
      <c r="EVI224" s="76"/>
      <c r="EVJ224" s="76"/>
      <c r="EVK224" s="76"/>
      <c r="EVL224" s="76"/>
      <c r="EVM224" s="76"/>
      <c r="EVN224" s="76"/>
      <c r="EVO224" s="76"/>
      <c r="EVP224" s="76"/>
      <c r="EVQ224" s="76"/>
      <c r="EVR224" s="76"/>
      <c r="EVS224" s="76"/>
      <c r="EVT224" s="76"/>
      <c r="EVU224" s="76"/>
      <c r="EVV224" s="76"/>
      <c r="EVW224" s="76"/>
      <c r="EVX224" s="76"/>
      <c r="EVY224" s="76"/>
      <c r="EVZ224" s="76"/>
      <c r="EWA224" s="76"/>
      <c r="EWB224" s="76"/>
      <c r="EWC224" s="76"/>
      <c r="EWD224" s="76"/>
      <c r="EWE224" s="76"/>
      <c r="EWF224" s="76"/>
      <c r="EWG224" s="76"/>
      <c r="EWH224" s="76"/>
      <c r="EWI224" s="76"/>
      <c r="EWJ224" s="76"/>
      <c r="EWK224" s="76"/>
      <c r="EWL224" s="76"/>
      <c r="EWM224" s="76"/>
      <c r="EWN224" s="76"/>
      <c r="EWO224" s="76"/>
      <c r="EWP224" s="76"/>
      <c r="EWQ224" s="76"/>
      <c r="EWR224" s="76"/>
      <c r="EWS224" s="76"/>
      <c r="EWT224" s="76"/>
      <c r="EWU224" s="76"/>
      <c r="EWV224" s="76"/>
      <c r="EWW224" s="76"/>
      <c r="EWX224" s="76"/>
      <c r="EWY224" s="76"/>
      <c r="EWZ224" s="76"/>
      <c r="EXA224" s="76"/>
      <c r="EXB224" s="76"/>
      <c r="EXC224" s="76"/>
      <c r="EXD224" s="76"/>
      <c r="EXE224" s="76"/>
      <c r="EXF224" s="76"/>
      <c r="EXG224" s="76"/>
      <c r="EXH224" s="76"/>
      <c r="EXI224" s="76"/>
      <c r="EXJ224" s="76"/>
      <c r="EXK224" s="76"/>
      <c r="EXL224" s="76"/>
      <c r="EXM224" s="76"/>
      <c r="EXN224" s="76"/>
      <c r="EXO224" s="76"/>
      <c r="EXP224" s="76"/>
      <c r="EXQ224" s="76"/>
      <c r="EXR224" s="76"/>
      <c r="EXS224" s="76"/>
      <c r="EXT224" s="76"/>
      <c r="EXU224" s="76"/>
      <c r="EXV224" s="76"/>
      <c r="EXW224" s="76"/>
      <c r="EXX224" s="76"/>
      <c r="EXY224" s="76"/>
      <c r="EXZ224" s="76"/>
      <c r="EYA224" s="76"/>
      <c r="EYB224" s="76"/>
      <c r="EYC224" s="76"/>
      <c r="EYD224" s="76"/>
      <c r="EYE224" s="76"/>
      <c r="EYF224" s="76"/>
      <c r="EYG224" s="76"/>
      <c r="EYH224" s="76"/>
      <c r="EYI224" s="76"/>
      <c r="EYJ224" s="76"/>
      <c r="EYK224" s="76"/>
      <c r="EYL224" s="76"/>
      <c r="EYM224" s="76"/>
      <c r="EYN224" s="76"/>
      <c r="EYO224" s="76"/>
      <c r="EYP224" s="76"/>
      <c r="EYQ224" s="76"/>
      <c r="EYR224" s="76"/>
      <c r="EYS224" s="76"/>
      <c r="EYT224" s="76"/>
      <c r="EYU224" s="76"/>
      <c r="EYV224" s="76"/>
      <c r="EYW224" s="76"/>
      <c r="EYX224" s="76"/>
      <c r="EYY224" s="76"/>
      <c r="EYZ224" s="76"/>
      <c r="EZA224" s="76"/>
      <c r="EZB224" s="76"/>
      <c r="EZC224" s="76"/>
      <c r="EZD224" s="76"/>
      <c r="EZE224" s="76"/>
      <c r="EZF224" s="76"/>
      <c r="EZG224" s="76"/>
      <c r="EZH224" s="76"/>
      <c r="EZI224" s="76"/>
      <c r="EZJ224" s="76"/>
      <c r="EZK224" s="76"/>
      <c r="EZL224" s="76"/>
      <c r="EZM224" s="76"/>
      <c r="EZN224" s="76"/>
      <c r="EZO224" s="76"/>
      <c r="EZP224" s="76"/>
      <c r="EZQ224" s="76"/>
      <c r="EZR224" s="76"/>
      <c r="EZS224" s="76"/>
      <c r="EZT224" s="76"/>
      <c r="EZU224" s="76"/>
      <c r="EZV224" s="76"/>
      <c r="EZW224" s="76"/>
      <c r="EZX224" s="76"/>
      <c r="EZY224" s="76"/>
      <c r="EZZ224" s="76"/>
      <c r="FAA224" s="76"/>
      <c r="FAB224" s="76"/>
      <c r="FAC224" s="76"/>
      <c r="FAD224" s="76"/>
      <c r="FAE224" s="76"/>
      <c r="FAF224" s="76"/>
      <c r="FAG224" s="76"/>
      <c r="FAH224" s="76"/>
      <c r="FAI224" s="76"/>
      <c r="FAJ224" s="76"/>
      <c r="FAK224" s="76"/>
      <c r="FAL224" s="76"/>
      <c r="FAM224" s="76"/>
      <c r="FAN224" s="76"/>
      <c r="FAO224" s="76"/>
      <c r="FAP224" s="76"/>
      <c r="FAQ224" s="76"/>
      <c r="FAR224" s="76"/>
      <c r="FAS224" s="76"/>
      <c r="FAT224" s="76"/>
      <c r="FAU224" s="76"/>
      <c r="FAV224" s="76"/>
      <c r="FAW224" s="76"/>
      <c r="FAX224" s="76"/>
      <c r="FAY224" s="76"/>
      <c r="FAZ224" s="76"/>
      <c r="FBA224" s="76"/>
      <c r="FBB224" s="76"/>
      <c r="FBC224" s="76"/>
      <c r="FBD224" s="76"/>
      <c r="FBE224" s="76"/>
      <c r="FBF224" s="76"/>
      <c r="FBG224" s="76"/>
      <c r="FBH224" s="76"/>
      <c r="FBI224" s="76"/>
      <c r="FBJ224" s="76"/>
      <c r="FBK224" s="76"/>
      <c r="FBL224" s="76"/>
      <c r="FBM224" s="76"/>
      <c r="FBN224" s="76"/>
      <c r="FBO224" s="76"/>
      <c r="FBP224" s="76"/>
      <c r="FBQ224" s="76"/>
      <c r="FBR224" s="76"/>
      <c r="FBS224" s="76"/>
      <c r="FBT224" s="76"/>
      <c r="FBU224" s="76"/>
      <c r="FBV224" s="76"/>
      <c r="FBW224" s="76"/>
      <c r="FBX224" s="76"/>
      <c r="FBY224" s="76"/>
      <c r="FBZ224" s="76"/>
      <c r="FCA224" s="76"/>
      <c r="FCB224" s="76"/>
      <c r="FCC224" s="76"/>
      <c r="FCD224" s="76"/>
      <c r="FCE224" s="76"/>
      <c r="FCF224" s="76"/>
      <c r="FCG224" s="76"/>
      <c r="FCH224" s="76"/>
      <c r="FCI224" s="76"/>
      <c r="FCJ224" s="76"/>
      <c r="FCK224" s="76"/>
      <c r="FCL224" s="76"/>
      <c r="FCM224" s="76"/>
      <c r="FCN224" s="76"/>
      <c r="FCO224" s="76"/>
      <c r="FCP224" s="76"/>
      <c r="FCQ224" s="76"/>
      <c r="FCR224" s="76"/>
      <c r="FCS224" s="76"/>
      <c r="FCT224" s="76"/>
      <c r="FCU224" s="76"/>
      <c r="FCV224" s="76"/>
      <c r="FCW224" s="76"/>
      <c r="FCX224" s="76"/>
      <c r="FCY224" s="76"/>
      <c r="FCZ224" s="76"/>
      <c r="FDA224" s="76"/>
      <c r="FDB224" s="76"/>
      <c r="FDC224" s="76"/>
      <c r="FDD224" s="76"/>
      <c r="FDE224" s="76"/>
      <c r="FDF224" s="76"/>
      <c r="FDG224" s="76"/>
      <c r="FDH224" s="76"/>
      <c r="FDI224" s="76"/>
      <c r="FDJ224" s="76"/>
      <c r="FDK224" s="76"/>
      <c r="FDL224" s="76"/>
      <c r="FDM224" s="76"/>
      <c r="FDN224" s="76"/>
      <c r="FDO224" s="76"/>
      <c r="FDP224" s="76"/>
      <c r="FDQ224" s="76"/>
      <c r="FDR224" s="76"/>
      <c r="FDS224" s="76"/>
      <c r="FDT224" s="76"/>
      <c r="FDU224" s="76"/>
      <c r="FDV224" s="76"/>
      <c r="FDW224" s="76"/>
      <c r="FDX224" s="76"/>
      <c r="FDY224" s="76"/>
      <c r="FDZ224" s="76"/>
      <c r="FEA224" s="76"/>
      <c r="FEB224" s="76"/>
      <c r="FEC224" s="76"/>
      <c r="FED224" s="76"/>
      <c r="FEE224" s="76"/>
      <c r="FEF224" s="76"/>
      <c r="FEG224" s="76"/>
      <c r="FEH224" s="76"/>
      <c r="FEI224" s="76"/>
      <c r="FEJ224" s="76"/>
      <c r="FEK224" s="76"/>
      <c r="FEL224" s="76"/>
      <c r="FEM224" s="76"/>
      <c r="FEN224" s="76"/>
      <c r="FEO224" s="76"/>
      <c r="FEP224" s="76"/>
      <c r="FEQ224" s="76"/>
      <c r="FER224" s="76"/>
      <c r="FES224" s="76"/>
      <c r="FET224" s="76"/>
      <c r="FEU224" s="76"/>
      <c r="FEV224" s="76"/>
      <c r="FEW224" s="76"/>
      <c r="FEX224" s="76"/>
      <c r="FEY224" s="76"/>
      <c r="FEZ224" s="76"/>
      <c r="FFA224" s="76"/>
      <c r="FFB224" s="76"/>
      <c r="FFC224" s="76"/>
      <c r="FFD224" s="76"/>
      <c r="FFE224" s="76"/>
      <c r="FFF224" s="76"/>
      <c r="FFG224" s="76"/>
      <c r="FFH224" s="76"/>
      <c r="FFI224" s="76"/>
      <c r="FFJ224" s="76"/>
      <c r="FFK224" s="76"/>
      <c r="FFL224" s="76"/>
      <c r="FFM224" s="76"/>
      <c r="FFN224" s="76"/>
      <c r="FFO224" s="76"/>
      <c r="FFP224" s="76"/>
      <c r="FFQ224" s="76"/>
      <c r="FFR224" s="76"/>
      <c r="FFS224" s="76"/>
      <c r="FFT224" s="76"/>
      <c r="FFU224" s="76"/>
      <c r="FFV224" s="76"/>
      <c r="FFW224" s="76"/>
      <c r="FFX224" s="76"/>
      <c r="FFY224" s="76"/>
      <c r="FFZ224" s="76"/>
      <c r="FGA224" s="76"/>
      <c r="FGB224" s="76"/>
      <c r="FGC224" s="76"/>
      <c r="FGD224" s="76"/>
      <c r="FGE224" s="76"/>
      <c r="FGF224" s="76"/>
      <c r="FGG224" s="76"/>
      <c r="FGH224" s="76"/>
      <c r="FGI224" s="76"/>
      <c r="FGJ224" s="76"/>
      <c r="FGK224" s="76"/>
      <c r="FGL224" s="76"/>
      <c r="FGM224" s="76"/>
      <c r="FGN224" s="76"/>
      <c r="FGO224" s="76"/>
      <c r="FGP224" s="76"/>
      <c r="FGQ224" s="76"/>
      <c r="FGR224" s="76"/>
      <c r="FGS224" s="76"/>
      <c r="FGT224" s="76"/>
      <c r="FGU224" s="76"/>
      <c r="FGV224" s="76"/>
      <c r="FGW224" s="76"/>
      <c r="FGX224" s="76"/>
      <c r="FGY224" s="76"/>
      <c r="FGZ224" s="76"/>
      <c r="FHA224" s="76"/>
      <c r="FHB224" s="76"/>
      <c r="FHC224" s="76"/>
      <c r="FHD224" s="76"/>
      <c r="FHE224" s="76"/>
      <c r="FHF224" s="76"/>
      <c r="FHG224" s="76"/>
      <c r="FHH224" s="76"/>
      <c r="FHI224" s="76"/>
      <c r="FHJ224" s="76"/>
      <c r="FHK224" s="76"/>
      <c r="FHL224" s="76"/>
      <c r="FHM224" s="76"/>
      <c r="FHN224" s="76"/>
      <c r="FHO224" s="76"/>
      <c r="FHP224" s="76"/>
      <c r="FHQ224" s="76"/>
      <c r="FHR224" s="76"/>
      <c r="FHS224" s="76"/>
      <c r="FHT224" s="76"/>
      <c r="FHU224" s="76"/>
      <c r="FHV224" s="76"/>
      <c r="FHW224" s="76"/>
      <c r="FHX224" s="76"/>
      <c r="FHY224" s="76"/>
      <c r="FHZ224" s="76"/>
      <c r="FIA224" s="76"/>
      <c r="FIB224" s="76"/>
      <c r="FIC224" s="76"/>
      <c r="FID224" s="76"/>
      <c r="FIE224" s="76"/>
      <c r="FIF224" s="76"/>
      <c r="FIG224" s="76"/>
      <c r="FIH224" s="76"/>
      <c r="FII224" s="76"/>
      <c r="FIJ224" s="76"/>
      <c r="FIK224" s="76"/>
      <c r="FIL224" s="76"/>
      <c r="FIM224" s="76"/>
      <c r="FIN224" s="76"/>
      <c r="FIO224" s="76"/>
      <c r="FIP224" s="76"/>
      <c r="FIQ224" s="76"/>
      <c r="FIR224" s="76"/>
      <c r="FIS224" s="76"/>
      <c r="FIT224" s="76"/>
      <c r="FIU224" s="76"/>
      <c r="FIV224" s="76"/>
      <c r="FIW224" s="76"/>
      <c r="FIX224" s="76"/>
      <c r="FIY224" s="76"/>
      <c r="FIZ224" s="76"/>
      <c r="FJA224" s="76"/>
      <c r="FJB224" s="76"/>
      <c r="FJC224" s="76"/>
      <c r="FJD224" s="76"/>
      <c r="FJE224" s="76"/>
      <c r="FJF224" s="76"/>
      <c r="FJG224" s="76"/>
      <c r="FJH224" s="76"/>
      <c r="FJI224" s="76"/>
      <c r="FJJ224" s="76"/>
      <c r="FJK224" s="76"/>
      <c r="FJL224" s="76"/>
      <c r="FJM224" s="76"/>
      <c r="FJN224" s="76"/>
      <c r="FJO224" s="76"/>
      <c r="FJP224" s="76"/>
      <c r="FJQ224" s="76"/>
      <c r="FJR224" s="76"/>
      <c r="FJS224" s="76"/>
      <c r="FJT224" s="76"/>
      <c r="FJU224" s="76"/>
      <c r="FJV224" s="76"/>
      <c r="FJW224" s="76"/>
      <c r="FJX224" s="76"/>
      <c r="FJY224" s="76"/>
      <c r="FJZ224" s="76"/>
      <c r="FKA224" s="76"/>
      <c r="FKB224" s="76"/>
      <c r="FKC224" s="76"/>
      <c r="FKD224" s="76"/>
      <c r="FKE224" s="76"/>
      <c r="FKF224" s="76"/>
      <c r="FKG224" s="76"/>
      <c r="FKH224" s="76"/>
      <c r="FKI224" s="76"/>
      <c r="FKJ224" s="76"/>
      <c r="FKK224" s="76"/>
      <c r="FKL224" s="76"/>
      <c r="FKM224" s="76"/>
      <c r="FKN224" s="76"/>
      <c r="FKO224" s="76"/>
      <c r="FKP224" s="76"/>
      <c r="FKQ224" s="76"/>
      <c r="FKR224" s="76"/>
      <c r="FKS224" s="76"/>
      <c r="FKT224" s="76"/>
      <c r="FKU224" s="76"/>
      <c r="FKV224" s="76"/>
      <c r="FKW224" s="76"/>
      <c r="FKX224" s="76"/>
      <c r="FKY224" s="76"/>
      <c r="FKZ224" s="76"/>
      <c r="FLA224" s="76"/>
      <c r="FLB224" s="76"/>
      <c r="FLC224" s="76"/>
      <c r="FLD224" s="76"/>
      <c r="FLE224" s="76"/>
      <c r="FLF224" s="76"/>
      <c r="FLG224" s="76"/>
      <c r="FLH224" s="76"/>
      <c r="FLI224" s="76"/>
      <c r="FLJ224" s="76"/>
      <c r="FLK224" s="76"/>
      <c r="FLL224" s="76"/>
      <c r="FLM224" s="76"/>
      <c r="FLN224" s="76"/>
      <c r="FLO224" s="76"/>
      <c r="FLP224" s="76"/>
      <c r="FLQ224" s="76"/>
      <c r="FLR224" s="76"/>
      <c r="FLS224" s="76"/>
      <c r="FLT224" s="76"/>
      <c r="FLU224" s="76"/>
      <c r="FLV224" s="76"/>
      <c r="FLW224" s="76"/>
      <c r="FLX224" s="76"/>
      <c r="FLY224" s="76"/>
      <c r="FLZ224" s="76"/>
      <c r="FMA224" s="76"/>
      <c r="FMB224" s="76"/>
      <c r="FMC224" s="76"/>
      <c r="FMD224" s="76"/>
      <c r="FME224" s="76"/>
      <c r="FMF224" s="76"/>
      <c r="FMG224" s="76"/>
      <c r="FMH224" s="76"/>
      <c r="FMI224" s="76"/>
      <c r="FMJ224" s="76"/>
      <c r="FMK224" s="76"/>
      <c r="FML224" s="76"/>
      <c r="FMM224" s="76"/>
      <c r="FMN224" s="76"/>
      <c r="FMO224" s="76"/>
      <c r="FMP224" s="76"/>
      <c r="FMQ224" s="76"/>
      <c r="FMR224" s="76"/>
      <c r="FMS224" s="76"/>
      <c r="FMT224" s="76"/>
      <c r="FMU224" s="76"/>
      <c r="FMV224" s="76"/>
      <c r="FMW224" s="76"/>
      <c r="FMX224" s="76"/>
      <c r="FMY224" s="76"/>
      <c r="FMZ224" s="76"/>
      <c r="FNA224" s="76"/>
      <c r="FNB224" s="76"/>
      <c r="FNC224" s="76"/>
      <c r="FND224" s="76"/>
      <c r="FNE224" s="76"/>
      <c r="FNF224" s="76"/>
      <c r="FNG224" s="76"/>
      <c r="FNH224" s="76"/>
      <c r="FNI224" s="76"/>
      <c r="FNJ224" s="76"/>
      <c r="FNK224" s="76"/>
      <c r="FNL224" s="76"/>
      <c r="FNM224" s="76"/>
      <c r="FNN224" s="76"/>
      <c r="FNO224" s="76"/>
      <c r="FNP224" s="76"/>
      <c r="FNQ224" s="76"/>
      <c r="FNR224" s="76"/>
      <c r="FNS224" s="76"/>
      <c r="FNT224" s="76"/>
      <c r="FNU224" s="76"/>
      <c r="FNV224" s="76"/>
      <c r="FNW224" s="76"/>
      <c r="FNX224" s="76"/>
      <c r="FNY224" s="76"/>
      <c r="FNZ224" s="76"/>
      <c r="FOA224" s="76"/>
      <c r="FOB224" s="76"/>
      <c r="FOC224" s="76"/>
      <c r="FOD224" s="76"/>
      <c r="FOE224" s="76"/>
      <c r="FOF224" s="76"/>
      <c r="FOG224" s="76"/>
      <c r="FOH224" s="76"/>
      <c r="FOI224" s="76"/>
      <c r="FOJ224" s="76"/>
      <c r="FOK224" s="76"/>
      <c r="FOL224" s="76"/>
      <c r="FOM224" s="76"/>
      <c r="FON224" s="76"/>
      <c r="FOO224" s="76"/>
      <c r="FOP224" s="76"/>
      <c r="FOQ224" s="76"/>
      <c r="FOR224" s="76"/>
      <c r="FOS224" s="76"/>
      <c r="FOT224" s="76"/>
      <c r="FOU224" s="76"/>
      <c r="FOV224" s="76"/>
      <c r="FOW224" s="76"/>
      <c r="FOX224" s="76"/>
      <c r="FOY224" s="76"/>
      <c r="FOZ224" s="76"/>
      <c r="FPA224" s="76"/>
      <c r="FPB224" s="76"/>
      <c r="FPC224" s="76"/>
      <c r="FPD224" s="76"/>
      <c r="FPE224" s="76"/>
      <c r="FPF224" s="76"/>
      <c r="FPG224" s="76"/>
      <c r="FPH224" s="76"/>
      <c r="FPI224" s="76"/>
      <c r="FPJ224" s="76"/>
      <c r="FPK224" s="76"/>
      <c r="FPL224" s="76"/>
      <c r="FPM224" s="76"/>
      <c r="FPN224" s="76"/>
      <c r="FPO224" s="76"/>
      <c r="FPP224" s="76"/>
      <c r="FPQ224" s="76"/>
      <c r="FPR224" s="76"/>
      <c r="FPS224" s="76"/>
      <c r="FPT224" s="76"/>
      <c r="FPU224" s="76"/>
      <c r="FPV224" s="76"/>
      <c r="FPW224" s="76"/>
      <c r="FPX224" s="76"/>
      <c r="FPY224" s="76"/>
      <c r="FPZ224" s="76"/>
      <c r="FQA224" s="76"/>
      <c r="FQB224" s="76"/>
      <c r="FQC224" s="76"/>
      <c r="FQD224" s="76"/>
      <c r="FQE224" s="76"/>
      <c r="FQF224" s="76"/>
      <c r="FQG224" s="76"/>
      <c r="FQH224" s="76"/>
      <c r="FQI224" s="76"/>
      <c r="FQJ224" s="76"/>
      <c r="FQK224" s="76"/>
      <c r="FQL224" s="76"/>
      <c r="FQM224" s="76"/>
      <c r="FQN224" s="76"/>
      <c r="FQO224" s="76"/>
      <c r="FQP224" s="76"/>
      <c r="FQQ224" s="76"/>
      <c r="FQR224" s="76"/>
      <c r="FQS224" s="76"/>
      <c r="FQT224" s="76"/>
      <c r="FQU224" s="76"/>
      <c r="FQV224" s="76"/>
      <c r="FQW224" s="76"/>
      <c r="FQX224" s="76"/>
      <c r="FQY224" s="76"/>
      <c r="FQZ224" s="76"/>
      <c r="FRA224" s="76"/>
      <c r="FRB224" s="76"/>
      <c r="FRC224" s="76"/>
      <c r="FRD224" s="76"/>
      <c r="FRE224" s="76"/>
      <c r="FRF224" s="76"/>
      <c r="FRG224" s="76"/>
      <c r="FRH224" s="76"/>
      <c r="FRI224" s="76"/>
      <c r="FRJ224" s="76"/>
      <c r="FRK224" s="76"/>
      <c r="FRL224" s="76"/>
      <c r="FRM224" s="76"/>
      <c r="FRN224" s="76"/>
      <c r="FRO224" s="76"/>
      <c r="FRP224" s="76"/>
      <c r="FRQ224" s="76"/>
      <c r="FRR224" s="76"/>
      <c r="FRS224" s="76"/>
      <c r="FRT224" s="76"/>
      <c r="FRU224" s="76"/>
      <c r="FRV224" s="76"/>
      <c r="FRW224" s="76"/>
      <c r="FRX224" s="76"/>
      <c r="FRY224" s="76"/>
      <c r="FRZ224" s="76"/>
      <c r="FSA224" s="76"/>
      <c r="FSB224" s="76"/>
      <c r="FSC224" s="76"/>
      <c r="FSD224" s="76"/>
      <c r="FSE224" s="76"/>
      <c r="FSF224" s="76"/>
      <c r="FSG224" s="76"/>
      <c r="FSH224" s="76"/>
      <c r="FSI224" s="76"/>
      <c r="FSJ224" s="76"/>
      <c r="FSK224" s="76"/>
      <c r="FSL224" s="76"/>
      <c r="FSM224" s="76"/>
      <c r="FSN224" s="76"/>
      <c r="FSO224" s="76"/>
      <c r="FSP224" s="76"/>
      <c r="FSQ224" s="76"/>
      <c r="FSR224" s="76"/>
      <c r="FSS224" s="76"/>
      <c r="FST224" s="76"/>
      <c r="FSU224" s="76"/>
      <c r="FSV224" s="76"/>
      <c r="FSW224" s="76"/>
      <c r="FSX224" s="76"/>
      <c r="FSY224" s="76"/>
      <c r="FSZ224" s="76"/>
      <c r="FTA224" s="76"/>
      <c r="FTB224" s="76"/>
      <c r="FTC224" s="76"/>
      <c r="FTD224" s="76"/>
      <c r="FTE224" s="76"/>
      <c r="FTF224" s="76"/>
      <c r="FTG224" s="76"/>
      <c r="FTH224" s="76"/>
      <c r="FTI224" s="76"/>
      <c r="FTJ224" s="76"/>
      <c r="FTK224" s="76"/>
      <c r="FTL224" s="76"/>
      <c r="FTM224" s="76"/>
      <c r="FTN224" s="76"/>
      <c r="FTO224" s="76"/>
      <c r="FTP224" s="76"/>
      <c r="FTQ224" s="76"/>
      <c r="FTR224" s="76"/>
      <c r="FTS224" s="76"/>
      <c r="FTT224" s="76"/>
      <c r="FTU224" s="76"/>
      <c r="FTV224" s="76"/>
      <c r="FTW224" s="76"/>
      <c r="FTX224" s="76"/>
      <c r="FTY224" s="76"/>
      <c r="FTZ224" s="76"/>
      <c r="FUA224" s="76"/>
      <c r="FUB224" s="76"/>
      <c r="FUC224" s="76"/>
      <c r="FUD224" s="76"/>
      <c r="FUE224" s="76"/>
      <c r="FUF224" s="76"/>
      <c r="FUG224" s="76"/>
      <c r="FUH224" s="76"/>
      <c r="FUI224" s="76"/>
      <c r="FUJ224" s="76"/>
      <c r="FUK224" s="76"/>
      <c r="FUL224" s="76"/>
      <c r="FUM224" s="76"/>
      <c r="FUN224" s="76"/>
      <c r="FUO224" s="76"/>
      <c r="FUP224" s="76"/>
      <c r="FUQ224" s="76"/>
      <c r="FUR224" s="76"/>
      <c r="FUS224" s="76"/>
      <c r="FUT224" s="76"/>
      <c r="FUU224" s="76"/>
      <c r="FUV224" s="76"/>
      <c r="FUW224" s="76"/>
      <c r="FUX224" s="76"/>
      <c r="FUY224" s="76"/>
      <c r="FUZ224" s="76"/>
      <c r="FVA224" s="76"/>
      <c r="FVB224" s="76"/>
      <c r="FVC224" s="76"/>
      <c r="FVD224" s="76"/>
      <c r="FVE224" s="76"/>
      <c r="FVF224" s="76"/>
      <c r="FVG224" s="76"/>
      <c r="FVH224" s="76"/>
      <c r="FVI224" s="76"/>
      <c r="FVJ224" s="76"/>
      <c r="FVK224" s="76"/>
      <c r="FVL224" s="76"/>
      <c r="FVM224" s="76"/>
      <c r="FVN224" s="76"/>
      <c r="FVO224" s="76"/>
      <c r="FVP224" s="76"/>
      <c r="FVQ224" s="76"/>
      <c r="FVR224" s="76"/>
      <c r="FVS224" s="76"/>
      <c r="FVT224" s="76"/>
      <c r="FVU224" s="76"/>
      <c r="FVV224" s="76"/>
      <c r="FVW224" s="76"/>
      <c r="FVX224" s="76"/>
      <c r="FVY224" s="76"/>
      <c r="FVZ224" s="76"/>
      <c r="FWA224" s="76"/>
      <c r="FWB224" s="76"/>
      <c r="FWC224" s="76"/>
      <c r="FWD224" s="76"/>
      <c r="FWE224" s="76"/>
      <c r="FWF224" s="76"/>
      <c r="FWG224" s="76"/>
      <c r="FWH224" s="76"/>
      <c r="FWI224" s="76"/>
      <c r="FWJ224" s="76"/>
      <c r="FWK224" s="76"/>
      <c r="FWL224" s="76"/>
      <c r="FWM224" s="76"/>
      <c r="FWN224" s="76"/>
      <c r="FWO224" s="76"/>
      <c r="FWP224" s="76"/>
      <c r="FWQ224" s="76"/>
      <c r="FWR224" s="76"/>
      <c r="FWS224" s="76"/>
      <c r="FWT224" s="76"/>
      <c r="FWU224" s="76"/>
      <c r="FWV224" s="76"/>
      <c r="FWW224" s="76"/>
      <c r="FWX224" s="76"/>
      <c r="FWY224" s="76"/>
      <c r="FWZ224" s="76"/>
      <c r="FXA224" s="76"/>
      <c r="FXB224" s="76"/>
      <c r="FXC224" s="76"/>
      <c r="FXD224" s="76"/>
      <c r="FXE224" s="76"/>
      <c r="FXF224" s="76"/>
      <c r="FXG224" s="76"/>
      <c r="FXH224" s="76"/>
      <c r="FXI224" s="76"/>
      <c r="FXJ224" s="76"/>
      <c r="FXK224" s="76"/>
      <c r="FXL224" s="76"/>
      <c r="FXM224" s="76"/>
      <c r="FXN224" s="76"/>
      <c r="FXO224" s="76"/>
      <c r="FXP224" s="76"/>
      <c r="FXQ224" s="76"/>
      <c r="FXR224" s="76"/>
      <c r="FXS224" s="76"/>
      <c r="FXT224" s="76"/>
      <c r="FXU224" s="76"/>
      <c r="FXV224" s="76"/>
      <c r="FXW224" s="76"/>
      <c r="FXX224" s="76"/>
      <c r="FXY224" s="76"/>
      <c r="FXZ224" s="76"/>
      <c r="FYA224" s="76"/>
      <c r="FYB224" s="76"/>
      <c r="FYC224" s="76"/>
      <c r="FYD224" s="76"/>
      <c r="FYE224" s="76"/>
      <c r="FYF224" s="76"/>
      <c r="FYG224" s="76"/>
      <c r="FYH224" s="76"/>
      <c r="FYI224" s="76"/>
      <c r="FYJ224" s="76"/>
      <c r="FYK224" s="76"/>
      <c r="FYL224" s="76"/>
      <c r="FYM224" s="76"/>
      <c r="FYN224" s="76"/>
      <c r="FYO224" s="76"/>
      <c r="FYP224" s="76"/>
      <c r="FYQ224" s="76"/>
      <c r="FYR224" s="76"/>
      <c r="FYS224" s="76"/>
      <c r="FYT224" s="76"/>
      <c r="FYU224" s="76"/>
      <c r="FYV224" s="76"/>
      <c r="FYW224" s="76"/>
      <c r="FYX224" s="76"/>
      <c r="FYY224" s="76"/>
      <c r="FYZ224" s="76"/>
      <c r="FZA224" s="76"/>
      <c r="FZB224" s="76"/>
      <c r="FZC224" s="76"/>
      <c r="FZD224" s="76"/>
      <c r="FZE224" s="76"/>
      <c r="FZF224" s="76"/>
      <c r="FZG224" s="76"/>
      <c r="FZH224" s="76"/>
      <c r="FZI224" s="76"/>
      <c r="FZJ224" s="76"/>
      <c r="FZK224" s="76"/>
      <c r="FZL224" s="76"/>
      <c r="FZM224" s="76"/>
      <c r="FZN224" s="76"/>
      <c r="FZO224" s="76"/>
      <c r="FZP224" s="76"/>
      <c r="FZQ224" s="76"/>
      <c r="FZR224" s="76"/>
      <c r="FZS224" s="76"/>
      <c r="FZT224" s="76"/>
      <c r="FZU224" s="76"/>
      <c r="FZV224" s="76"/>
      <c r="FZW224" s="76"/>
      <c r="FZX224" s="76"/>
      <c r="FZY224" s="76"/>
      <c r="FZZ224" s="76"/>
      <c r="GAA224" s="76"/>
      <c r="GAB224" s="76"/>
      <c r="GAC224" s="76"/>
      <c r="GAD224" s="76"/>
      <c r="GAE224" s="76"/>
      <c r="GAF224" s="76"/>
      <c r="GAG224" s="76"/>
      <c r="GAH224" s="76"/>
      <c r="GAI224" s="76"/>
      <c r="GAJ224" s="76"/>
      <c r="GAK224" s="76"/>
      <c r="GAL224" s="76"/>
      <c r="GAM224" s="76"/>
      <c r="GAN224" s="76"/>
      <c r="GAO224" s="76"/>
      <c r="GAP224" s="76"/>
      <c r="GAQ224" s="76"/>
      <c r="GAR224" s="76"/>
      <c r="GAS224" s="76"/>
      <c r="GAT224" s="76"/>
      <c r="GAU224" s="76"/>
      <c r="GAV224" s="76"/>
      <c r="GAW224" s="76"/>
      <c r="GAX224" s="76"/>
      <c r="GAY224" s="76"/>
      <c r="GAZ224" s="76"/>
      <c r="GBA224" s="76"/>
      <c r="GBB224" s="76"/>
      <c r="GBC224" s="76"/>
      <c r="GBD224" s="76"/>
      <c r="GBE224" s="76"/>
      <c r="GBF224" s="76"/>
      <c r="GBG224" s="76"/>
      <c r="GBH224" s="76"/>
      <c r="GBI224" s="76"/>
      <c r="GBJ224" s="76"/>
      <c r="GBK224" s="76"/>
      <c r="GBL224" s="76"/>
      <c r="GBM224" s="76"/>
      <c r="GBN224" s="76"/>
      <c r="GBO224" s="76"/>
      <c r="GBP224" s="76"/>
      <c r="GBQ224" s="76"/>
      <c r="GBR224" s="76"/>
      <c r="GBS224" s="76"/>
      <c r="GBT224" s="76"/>
      <c r="GBU224" s="76"/>
      <c r="GBV224" s="76"/>
      <c r="GBW224" s="76"/>
      <c r="GBX224" s="76"/>
      <c r="GBY224" s="76"/>
      <c r="GBZ224" s="76"/>
      <c r="GCA224" s="76"/>
      <c r="GCB224" s="76"/>
      <c r="GCC224" s="76"/>
      <c r="GCD224" s="76"/>
      <c r="GCE224" s="76"/>
      <c r="GCF224" s="76"/>
      <c r="GCG224" s="76"/>
      <c r="GCH224" s="76"/>
      <c r="GCI224" s="76"/>
      <c r="GCJ224" s="76"/>
      <c r="GCK224" s="76"/>
      <c r="GCL224" s="76"/>
      <c r="GCM224" s="76"/>
      <c r="GCN224" s="76"/>
      <c r="GCO224" s="76"/>
      <c r="GCP224" s="76"/>
      <c r="GCQ224" s="76"/>
      <c r="GCR224" s="76"/>
      <c r="GCS224" s="76"/>
      <c r="GCT224" s="76"/>
      <c r="GCU224" s="76"/>
      <c r="GCV224" s="76"/>
      <c r="GCW224" s="76"/>
      <c r="GCX224" s="76"/>
      <c r="GCY224" s="76"/>
      <c r="GCZ224" s="76"/>
      <c r="GDA224" s="76"/>
      <c r="GDB224" s="76"/>
      <c r="GDC224" s="76"/>
      <c r="GDD224" s="76"/>
      <c r="GDE224" s="76"/>
      <c r="GDF224" s="76"/>
      <c r="GDG224" s="76"/>
      <c r="GDH224" s="76"/>
      <c r="GDI224" s="76"/>
      <c r="GDJ224" s="76"/>
      <c r="GDK224" s="76"/>
      <c r="GDL224" s="76"/>
      <c r="GDM224" s="76"/>
      <c r="GDN224" s="76"/>
      <c r="GDO224" s="76"/>
      <c r="GDP224" s="76"/>
      <c r="GDQ224" s="76"/>
      <c r="GDR224" s="76"/>
      <c r="GDS224" s="76"/>
      <c r="GDT224" s="76"/>
      <c r="GDU224" s="76"/>
      <c r="GDV224" s="76"/>
      <c r="GDW224" s="76"/>
      <c r="GDX224" s="76"/>
      <c r="GDY224" s="76"/>
      <c r="GDZ224" s="76"/>
      <c r="GEA224" s="76"/>
      <c r="GEB224" s="76"/>
      <c r="GEC224" s="76"/>
      <c r="GED224" s="76"/>
      <c r="GEE224" s="76"/>
      <c r="GEF224" s="76"/>
      <c r="GEG224" s="76"/>
      <c r="GEH224" s="76"/>
      <c r="GEI224" s="76"/>
      <c r="GEJ224" s="76"/>
      <c r="GEK224" s="76"/>
      <c r="GEL224" s="76"/>
      <c r="GEM224" s="76"/>
      <c r="GEN224" s="76"/>
      <c r="GEO224" s="76"/>
      <c r="GEP224" s="76"/>
      <c r="GEQ224" s="76"/>
      <c r="GER224" s="76"/>
      <c r="GES224" s="76"/>
      <c r="GET224" s="76"/>
      <c r="GEU224" s="76"/>
      <c r="GEV224" s="76"/>
      <c r="GEW224" s="76"/>
      <c r="GEX224" s="76"/>
      <c r="GEY224" s="76"/>
      <c r="GEZ224" s="76"/>
      <c r="GFA224" s="76"/>
      <c r="GFB224" s="76"/>
      <c r="GFC224" s="76"/>
      <c r="GFD224" s="76"/>
      <c r="GFE224" s="76"/>
      <c r="GFF224" s="76"/>
      <c r="GFG224" s="76"/>
      <c r="GFH224" s="76"/>
      <c r="GFI224" s="76"/>
      <c r="GFJ224" s="76"/>
      <c r="GFK224" s="76"/>
      <c r="GFL224" s="76"/>
      <c r="GFM224" s="76"/>
      <c r="GFN224" s="76"/>
      <c r="GFO224" s="76"/>
      <c r="GFP224" s="76"/>
      <c r="GFQ224" s="76"/>
      <c r="GFR224" s="76"/>
      <c r="GFS224" s="76"/>
      <c r="GFT224" s="76"/>
      <c r="GFU224" s="76"/>
      <c r="GFV224" s="76"/>
      <c r="GFW224" s="76"/>
      <c r="GFX224" s="76"/>
      <c r="GFY224" s="76"/>
      <c r="GFZ224" s="76"/>
      <c r="GGA224" s="76"/>
      <c r="GGB224" s="76"/>
      <c r="GGC224" s="76"/>
      <c r="GGD224" s="76"/>
      <c r="GGE224" s="76"/>
      <c r="GGF224" s="76"/>
      <c r="GGG224" s="76"/>
      <c r="GGH224" s="76"/>
      <c r="GGI224" s="76"/>
      <c r="GGJ224" s="76"/>
      <c r="GGK224" s="76"/>
      <c r="GGL224" s="76"/>
      <c r="GGM224" s="76"/>
      <c r="GGN224" s="76"/>
      <c r="GGO224" s="76"/>
      <c r="GGP224" s="76"/>
      <c r="GGQ224" s="76"/>
      <c r="GGR224" s="76"/>
      <c r="GGS224" s="76"/>
      <c r="GGT224" s="76"/>
      <c r="GGU224" s="76"/>
      <c r="GGV224" s="76"/>
      <c r="GGW224" s="76"/>
      <c r="GGX224" s="76"/>
      <c r="GGY224" s="76"/>
      <c r="GGZ224" s="76"/>
      <c r="GHA224" s="76"/>
      <c r="GHB224" s="76"/>
      <c r="GHC224" s="76"/>
      <c r="GHD224" s="76"/>
      <c r="GHE224" s="76"/>
      <c r="GHF224" s="76"/>
      <c r="GHG224" s="76"/>
      <c r="GHH224" s="76"/>
      <c r="GHI224" s="76"/>
      <c r="GHJ224" s="76"/>
      <c r="GHK224" s="76"/>
      <c r="GHL224" s="76"/>
      <c r="GHM224" s="76"/>
      <c r="GHN224" s="76"/>
      <c r="GHO224" s="76"/>
      <c r="GHP224" s="76"/>
      <c r="GHQ224" s="76"/>
      <c r="GHR224" s="76"/>
      <c r="GHS224" s="76"/>
      <c r="GHT224" s="76"/>
      <c r="GHU224" s="76"/>
      <c r="GHV224" s="76"/>
      <c r="GHW224" s="76"/>
      <c r="GHX224" s="76"/>
      <c r="GHY224" s="76"/>
      <c r="GHZ224" s="76"/>
      <c r="GIA224" s="76"/>
      <c r="GIB224" s="76"/>
      <c r="GIC224" s="76"/>
      <c r="GID224" s="76"/>
      <c r="GIE224" s="76"/>
      <c r="GIF224" s="76"/>
      <c r="GIG224" s="76"/>
      <c r="GIH224" s="76"/>
      <c r="GII224" s="76"/>
      <c r="GIJ224" s="76"/>
      <c r="GIK224" s="76"/>
      <c r="GIL224" s="76"/>
      <c r="GIM224" s="76"/>
      <c r="GIN224" s="76"/>
      <c r="GIO224" s="76"/>
      <c r="GIP224" s="76"/>
      <c r="GIQ224" s="76"/>
      <c r="GIR224" s="76"/>
      <c r="GIS224" s="76"/>
      <c r="GIT224" s="76"/>
      <c r="GIU224" s="76"/>
      <c r="GIV224" s="76"/>
      <c r="GIW224" s="76"/>
      <c r="GIX224" s="76"/>
      <c r="GIY224" s="76"/>
      <c r="GIZ224" s="76"/>
      <c r="GJA224" s="76"/>
      <c r="GJB224" s="76"/>
      <c r="GJC224" s="76"/>
      <c r="GJD224" s="76"/>
      <c r="GJE224" s="76"/>
      <c r="GJF224" s="76"/>
      <c r="GJG224" s="76"/>
      <c r="GJH224" s="76"/>
      <c r="GJI224" s="76"/>
      <c r="GJJ224" s="76"/>
      <c r="GJK224" s="76"/>
      <c r="GJL224" s="76"/>
      <c r="GJM224" s="76"/>
      <c r="GJN224" s="76"/>
      <c r="GJO224" s="76"/>
      <c r="GJP224" s="76"/>
      <c r="GJQ224" s="76"/>
      <c r="GJR224" s="76"/>
      <c r="GJS224" s="76"/>
      <c r="GJT224" s="76"/>
      <c r="GJU224" s="76"/>
      <c r="GJV224" s="76"/>
      <c r="GJW224" s="76"/>
      <c r="GJX224" s="76"/>
      <c r="GJY224" s="76"/>
      <c r="GJZ224" s="76"/>
      <c r="GKA224" s="76"/>
      <c r="GKB224" s="76"/>
      <c r="GKC224" s="76"/>
      <c r="GKD224" s="76"/>
      <c r="GKE224" s="76"/>
      <c r="GKF224" s="76"/>
      <c r="GKG224" s="76"/>
      <c r="GKH224" s="76"/>
      <c r="GKI224" s="76"/>
      <c r="GKJ224" s="76"/>
      <c r="GKK224" s="76"/>
      <c r="GKL224" s="76"/>
      <c r="GKM224" s="76"/>
      <c r="GKN224" s="76"/>
      <c r="GKO224" s="76"/>
      <c r="GKP224" s="76"/>
      <c r="GKQ224" s="76"/>
      <c r="GKR224" s="76"/>
      <c r="GKS224" s="76"/>
      <c r="GKT224" s="76"/>
      <c r="GKU224" s="76"/>
      <c r="GKV224" s="76"/>
      <c r="GKW224" s="76"/>
      <c r="GKX224" s="76"/>
      <c r="GKY224" s="76"/>
      <c r="GKZ224" s="76"/>
      <c r="GLA224" s="76"/>
      <c r="GLB224" s="76"/>
      <c r="GLC224" s="76"/>
      <c r="GLD224" s="76"/>
      <c r="GLE224" s="76"/>
      <c r="GLF224" s="76"/>
      <c r="GLG224" s="76"/>
      <c r="GLH224" s="76"/>
      <c r="GLI224" s="76"/>
      <c r="GLJ224" s="76"/>
      <c r="GLK224" s="76"/>
      <c r="GLL224" s="76"/>
      <c r="GLM224" s="76"/>
      <c r="GLN224" s="76"/>
      <c r="GLO224" s="76"/>
      <c r="GLP224" s="76"/>
      <c r="GLQ224" s="76"/>
      <c r="GLR224" s="76"/>
      <c r="GLS224" s="76"/>
      <c r="GLT224" s="76"/>
      <c r="GLU224" s="76"/>
      <c r="GLV224" s="76"/>
      <c r="GLW224" s="76"/>
      <c r="GLX224" s="76"/>
      <c r="GLY224" s="76"/>
      <c r="GLZ224" s="76"/>
      <c r="GMA224" s="76"/>
      <c r="GMB224" s="76"/>
      <c r="GMC224" s="76"/>
      <c r="GMD224" s="76"/>
      <c r="GME224" s="76"/>
      <c r="GMF224" s="76"/>
      <c r="GMG224" s="76"/>
      <c r="GMH224" s="76"/>
      <c r="GMI224" s="76"/>
      <c r="GMJ224" s="76"/>
      <c r="GMK224" s="76"/>
      <c r="GML224" s="76"/>
      <c r="GMM224" s="76"/>
      <c r="GMN224" s="76"/>
      <c r="GMO224" s="76"/>
      <c r="GMP224" s="76"/>
      <c r="GMQ224" s="76"/>
      <c r="GMR224" s="76"/>
      <c r="GMS224" s="76"/>
      <c r="GMT224" s="76"/>
      <c r="GMU224" s="76"/>
      <c r="GMV224" s="76"/>
      <c r="GMW224" s="76"/>
      <c r="GMX224" s="76"/>
      <c r="GMY224" s="76"/>
      <c r="GMZ224" s="76"/>
      <c r="GNA224" s="76"/>
      <c r="GNB224" s="76"/>
      <c r="GNC224" s="76"/>
      <c r="GND224" s="76"/>
      <c r="GNE224" s="76"/>
      <c r="GNF224" s="76"/>
      <c r="GNG224" s="76"/>
      <c r="GNH224" s="76"/>
      <c r="GNI224" s="76"/>
      <c r="GNJ224" s="76"/>
      <c r="GNK224" s="76"/>
      <c r="GNL224" s="76"/>
      <c r="GNM224" s="76"/>
      <c r="GNN224" s="76"/>
      <c r="GNO224" s="76"/>
      <c r="GNP224" s="76"/>
      <c r="GNQ224" s="76"/>
      <c r="GNR224" s="76"/>
      <c r="GNS224" s="76"/>
      <c r="GNT224" s="76"/>
      <c r="GNU224" s="76"/>
      <c r="GNV224" s="76"/>
      <c r="GNW224" s="76"/>
      <c r="GNX224" s="76"/>
      <c r="GNY224" s="76"/>
      <c r="GNZ224" s="76"/>
      <c r="GOA224" s="76"/>
      <c r="GOB224" s="76"/>
      <c r="GOC224" s="76"/>
      <c r="GOD224" s="76"/>
      <c r="GOE224" s="76"/>
      <c r="GOF224" s="76"/>
      <c r="GOG224" s="76"/>
      <c r="GOH224" s="76"/>
      <c r="GOI224" s="76"/>
      <c r="GOJ224" s="76"/>
      <c r="GOK224" s="76"/>
      <c r="GOL224" s="76"/>
      <c r="GOM224" s="76"/>
      <c r="GON224" s="76"/>
      <c r="GOO224" s="76"/>
      <c r="GOP224" s="76"/>
      <c r="GOQ224" s="76"/>
      <c r="GOR224" s="76"/>
      <c r="GOS224" s="76"/>
      <c r="GOT224" s="76"/>
      <c r="GOU224" s="76"/>
      <c r="GOV224" s="76"/>
      <c r="GOW224" s="76"/>
      <c r="GOX224" s="76"/>
      <c r="GOY224" s="76"/>
      <c r="GOZ224" s="76"/>
      <c r="GPA224" s="76"/>
      <c r="GPB224" s="76"/>
      <c r="GPC224" s="76"/>
      <c r="GPD224" s="76"/>
      <c r="GPE224" s="76"/>
      <c r="GPF224" s="76"/>
      <c r="GPG224" s="76"/>
      <c r="GPH224" s="76"/>
      <c r="GPI224" s="76"/>
      <c r="GPJ224" s="76"/>
      <c r="GPK224" s="76"/>
      <c r="GPL224" s="76"/>
      <c r="GPM224" s="76"/>
      <c r="GPN224" s="76"/>
      <c r="GPO224" s="76"/>
      <c r="GPP224" s="76"/>
      <c r="GPQ224" s="76"/>
      <c r="GPR224" s="76"/>
      <c r="GPS224" s="76"/>
      <c r="GPT224" s="76"/>
      <c r="GPU224" s="76"/>
      <c r="GPV224" s="76"/>
      <c r="GPW224" s="76"/>
      <c r="GPX224" s="76"/>
      <c r="GPY224" s="76"/>
      <c r="GPZ224" s="76"/>
      <c r="GQA224" s="76"/>
      <c r="GQB224" s="76"/>
      <c r="GQC224" s="76"/>
      <c r="GQD224" s="76"/>
      <c r="GQE224" s="76"/>
      <c r="GQF224" s="76"/>
      <c r="GQG224" s="76"/>
      <c r="GQH224" s="76"/>
      <c r="GQI224" s="76"/>
      <c r="GQJ224" s="76"/>
      <c r="GQK224" s="76"/>
      <c r="GQL224" s="76"/>
      <c r="GQM224" s="76"/>
      <c r="GQN224" s="76"/>
      <c r="GQO224" s="76"/>
      <c r="GQP224" s="76"/>
      <c r="GQQ224" s="76"/>
      <c r="GQR224" s="76"/>
      <c r="GQS224" s="76"/>
      <c r="GQT224" s="76"/>
      <c r="GQU224" s="76"/>
      <c r="GQV224" s="76"/>
      <c r="GQW224" s="76"/>
      <c r="GQX224" s="76"/>
      <c r="GQY224" s="76"/>
      <c r="GQZ224" s="76"/>
      <c r="GRA224" s="76"/>
      <c r="GRB224" s="76"/>
      <c r="GRC224" s="76"/>
      <c r="GRD224" s="76"/>
      <c r="GRE224" s="76"/>
      <c r="GRF224" s="76"/>
      <c r="GRG224" s="76"/>
      <c r="GRH224" s="76"/>
      <c r="GRI224" s="76"/>
      <c r="GRJ224" s="76"/>
      <c r="GRK224" s="76"/>
      <c r="GRL224" s="76"/>
      <c r="GRM224" s="76"/>
      <c r="GRN224" s="76"/>
      <c r="GRO224" s="76"/>
      <c r="GRP224" s="76"/>
      <c r="GRQ224" s="76"/>
      <c r="GRR224" s="76"/>
      <c r="GRS224" s="76"/>
      <c r="GRT224" s="76"/>
      <c r="GRU224" s="76"/>
      <c r="GRV224" s="76"/>
      <c r="GRW224" s="76"/>
      <c r="GRX224" s="76"/>
      <c r="GRY224" s="76"/>
      <c r="GRZ224" s="76"/>
      <c r="GSA224" s="76"/>
      <c r="GSB224" s="76"/>
      <c r="GSC224" s="76"/>
      <c r="GSD224" s="76"/>
      <c r="GSE224" s="76"/>
      <c r="GSF224" s="76"/>
      <c r="GSG224" s="76"/>
      <c r="GSH224" s="76"/>
      <c r="GSI224" s="76"/>
      <c r="GSJ224" s="76"/>
      <c r="GSK224" s="76"/>
      <c r="GSL224" s="76"/>
      <c r="GSM224" s="76"/>
      <c r="GSN224" s="76"/>
      <c r="GSO224" s="76"/>
      <c r="GSP224" s="76"/>
      <c r="GSQ224" s="76"/>
      <c r="GSR224" s="76"/>
      <c r="GSS224" s="76"/>
      <c r="GST224" s="76"/>
      <c r="GSU224" s="76"/>
      <c r="GSV224" s="76"/>
      <c r="GSW224" s="76"/>
      <c r="GSX224" s="76"/>
      <c r="GSY224" s="76"/>
      <c r="GSZ224" s="76"/>
      <c r="GTA224" s="76"/>
      <c r="GTB224" s="76"/>
      <c r="GTC224" s="76"/>
      <c r="GTD224" s="76"/>
      <c r="GTE224" s="76"/>
      <c r="GTF224" s="76"/>
      <c r="GTG224" s="76"/>
      <c r="GTH224" s="76"/>
      <c r="GTI224" s="76"/>
      <c r="GTJ224" s="76"/>
      <c r="GTK224" s="76"/>
      <c r="GTL224" s="76"/>
      <c r="GTM224" s="76"/>
      <c r="GTN224" s="76"/>
      <c r="GTO224" s="76"/>
      <c r="GTP224" s="76"/>
      <c r="GTQ224" s="76"/>
      <c r="GTR224" s="76"/>
      <c r="GTS224" s="76"/>
      <c r="GTT224" s="76"/>
      <c r="GTU224" s="76"/>
      <c r="GTV224" s="76"/>
      <c r="GTW224" s="76"/>
      <c r="GTX224" s="76"/>
      <c r="GTY224" s="76"/>
      <c r="GTZ224" s="76"/>
      <c r="GUA224" s="76"/>
      <c r="GUB224" s="76"/>
      <c r="GUC224" s="76"/>
      <c r="GUD224" s="76"/>
      <c r="GUE224" s="76"/>
      <c r="GUF224" s="76"/>
      <c r="GUG224" s="76"/>
      <c r="GUH224" s="76"/>
      <c r="GUI224" s="76"/>
      <c r="GUJ224" s="76"/>
      <c r="GUK224" s="76"/>
      <c r="GUL224" s="76"/>
      <c r="GUM224" s="76"/>
      <c r="GUN224" s="76"/>
      <c r="GUO224" s="76"/>
      <c r="GUP224" s="76"/>
      <c r="GUQ224" s="76"/>
      <c r="GUR224" s="76"/>
      <c r="GUS224" s="76"/>
      <c r="GUT224" s="76"/>
      <c r="GUU224" s="76"/>
      <c r="GUV224" s="76"/>
      <c r="GUW224" s="76"/>
      <c r="GUX224" s="76"/>
      <c r="GUY224" s="76"/>
      <c r="GUZ224" s="76"/>
      <c r="GVA224" s="76"/>
      <c r="GVB224" s="76"/>
      <c r="GVC224" s="76"/>
      <c r="GVD224" s="76"/>
      <c r="GVE224" s="76"/>
      <c r="GVF224" s="76"/>
      <c r="GVG224" s="76"/>
      <c r="GVH224" s="76"/>
      <c r="GVI224" s="76"/>
      <c r="GVJ224" s="76"/>
      <c r="GVK224" s="76"/>
      <c r="GVL224" s="76"/>
      <c r="GVM224" s="76"/>
      <c r="GVN224" s="76"/>
      <c r="GVO224" s="76"/>
      <c r="GVP224" s="76"/>
      <c r="GVQ224" s="76"/>
      <c r="GVR224" s="76"/>
      <c r="GVS224" s="76"/>
      <c r="GVT224" s="76"/>
      <c r="GVU224" s="76"/>
      <c r="GVV224" s="76"/>
      <c r="GVW224" s="76"/>
      <c r="GVX224" s="76"/>
      <c r="GVY224" s="76"/>
      <c r="GVZ224" s="76"/>
      <c r="GWA224" s="76"/>
      <c r="GWB224" s="76"/>
      <c r="GWC224" s="76"/>
      <c r="GWD224" s="76"/>
      <c r="GWE224" s="76"/>
      <c r="GWF224" s="76"/>
      <c r="GWG224" s="76"/>
      <c r="GWH224" s="76"/>
      <c r="GWI224" s="76"/>
      <c r="GWJ224" s="76"/>
      <c r="GWK224" s="76"/>
      <c r="GWL224" s="76"/>
      <c r="GWM224" s="76"/>
      <c r="GWN224" s="76"/>
      <c r="GWO224" s="76"/>
      <c r="GWP224" s="76"/>
      <c r="GWQ224" s="76"/>
      <c r="GWR224" s="76"/>
      <c r="GWS224" s="76"/>
      <c r="GWT224" s="76"/>
      <c r="GWU224" s="76"/>
      <c r="GWV224" s="76"/>
      <c r="GWW224" s="76"/>
      <c r="GWX224" s="76"/>
      <c r="GWY224" s="76"/>
      <c r="GWZ224" s="76"/>
      <c r="GXA224" s="76"/>
      <c r="GXB224" s="76"/>
      <c r="GXC224" s="76"/>
      <c r="GXD224" s="76"/>
      <c r="GXE224" s="76"/>
      <c r="GXF224" s="76"/>
      <c r="GXG224" s="76"/>
      <c r="GXH224" s="76"/>
      <c r="GXI224" s="76"/>
      <c r="GXJ224" s="76"/>
      <c r="GXK224" s="76"/>
      <c r="GXL224" s="76"/>
      <c r="GXM224" s="76"/>
      <c r="GXN224" s="76"/>
      <c r="GXO224" s="76"/>
      <c r="GXP224" s="76"/>
      <c r="GXQ224" s="76"/>
      <c r="GXR224" s="76"/>
      <c r="GXS224" s="76"/>
      <c r="GXT224" s="76"/>
      <c r="GXU224" s="76"/>
      <c r="GXV224" s="76"/>
      <c r="GXW224" s="76"/>
      <c r="GXX224" s="76"/>
      <c r="GXY224" s="76"/>
      <c r="GXZ224" s="76"/>
      <c r="GYA224" s="76"/>
      <c r="GYB224" s="76"/>
      <c r="GYC224" s="76"/>
      <c r="GYD224" s="76"/>
      <c r="GYE224" s="76"/>
      <c r="GYF224" s="76"/>
      <c r="GYG224" s="76"/>
      <c r="GYH224" s="76"/>
      <c r="GYI224" s="76"/>
      <c r="GYJ224" s="76"/>
      <c r="GYK224" s="76"/>
      <c r="GYL224" s="76"/>
      <c r="GYM224" s="76"/>
      <c r="GYN224" s="76"/>
      <c r="GYO224" s="76"/>
      <c r="GYP224" s="76"/>
      <c r="GYQ224" s="76"/>
      <c r="GYR224" s="76"/>
      <c r="GYS224" s="76"/>
      <c r="GYT224" s="76"/>
      <c r="GYU224" s="76"/>
      <c r="GYV224" s="76"/>
      <c r="GYW224" s="76"/>
      <c r="GYX224" s="76"/>
      <c r="GYY224" s="76"/>
      <c r="GYZ224" s="76"/>
      <c r="GZA224" s="76"/>
      <c r="GZB224" s="76"/>
      <c r="GZC224" s="76"/>
      <c r="GZD224" s="76"/>
      <c r="GZE224" s="76"/>
      <c r="GZF224" s="76"/>
      <c r="GZG224" s="76"/>
      <c r="GZH224" s="76"/>
      <c r="GZI224" s="76"/>
      <c r="GZJ224" s="76"/>
      <c r="GZK224" s="76"/>
      <c r="GZL224" s="76"/>
      <c r="GZM224" s="76"/>
      <c r="GZN224" s="76"/>
      <c r="GZO224" s="76"/>
      <c r="GZP224" s="76"/>
      <c r="GZQ224" s="76"/>
      <c r="GZR224" s="76"/>
      <c r="GZS224" s="76"/>
      <c r="GZT224" s="76"/>
      <c r="GZU224" s="76"/>
      <c r="GZV224" s="76"/>
      <c r="GZW224" s="76"/>
      <c r="GZX224" s="76"/>
      <c r="GZY224" s="76"/>
      <c r="GZZ224" s="76"/>
      <c r="HAA224" s="76"/>
      <c r="HAB224" s="76"/>
      <c r="HAC224" s="76"/>
      <c r="HAD224" s="76"/>
      <c r="HAE224" s="76"/>
      <c r="HAF224" s="76"/>
      <c r="HAG224" s="76"/>
      <c r="HAH224" s="76"/>
      <c r="HAI224" s="76"/>
      <c r="HAJ224" s="76"/>
      <c r="HAK224" s="76"/>
      <c r="HAL224" s="76"/>
      <c r="HAM224" s="76"/>
      <c r="HAN224" s="76"/>
      <c r="HAO224" s="76"/>
      <c r="HAP224" s="76"/>
      <c r="HAQ224" s="76"/>
      <c r="HAR224" s="76"/>
      <c r="HAS224" s="76"/>
      <c r="HAT224" s="76"/>
      <c r="HAU224" s="76"/>
      <c r="HAV224" s="76"/>
      <c r="HAW224" s="76"/>
      <c r="HAX224" s="76"/>
      <c r="HAY224" s="76"/>
      <c r="HAZ224" s="76"/>
      <c r="HBA224" s="76"/>
      <c r="HBB224" s="76"/>
      <c r="HBC224" s="76"/>
      <c r="HBD224" s="76"/>
      <c r="HBE224" s="76"/>
      <c r="HBF224" s="76"/>
      <c r="HBG224" s="76"/>
      <c r="HBH224" s="76"/>
      <c r="HBI224" s="76"/>
      <c r="HBJ224" s="76"/>
      <c r="HBK224" s="76"/>
      <c r="HBL224" s="76"/>
      <c r="HBM224" s="76"/>
      <c r="HBN224" s="76"/>
      <c r="HBO224" s="76"/>
      <c r="HBP224" s="76"/>
      <c r="HBQ224" s="76"/>
      <c r="HBR224" s="76"/>
      <c r="HBS224" s="76"/>
      <c r="HBT224" s="76"/>
      <c r="HBU224" s="76"/>
      <c r="HBV224" s="76"/>
      <c r="HBW224" s="76"/>
      <c r="HBX224" s="76"/>
      <c r="HBY224" s="76"/>
      <c r="HBZ224" s="76"/>
      <c r="HCA224" s="76"/>
      <c r="HCB224" s="76"/>
      <c r="HCC224" s="76"/>
      <c r="HCD224" s="76"/>
      <c r="HCE224" s="76"/>
      <c r="HCF224" s="76"/>
      <c r="HCG224" s="76"/>
      <c r="HCH224" s="76"/>
      <c r="HCI224" s="76"/>
      <c r="HCJ224" s="76"/>
      <c r="HCK224" s="76"/>
      <c r="HCL224" s="76"/>
      <c r="HCM224" s="76"/>
      <c r="HCN224" s="76"/>
      <c r="HCO224" s="76"/>
      <c r="HCP224" s="76"/>
      <c r="HCQ224" s="76"/>
      <c r="HCR224" s="76"/>
      <c r="HCS224" s="76"/>
      <c r="HCT224" s="76"/>
      <c r="HCU224" s="76"/>
      <c r="HCV224" s="76"/>
      <c r="HCW224" s="76"/>
      <c r="HCX224" s="76"/>
      <c r="HCY224" s="76"/>
      <c r="HCZ224" s="76"/>
      <c r="HDA224" s="76"/>
      <c r="HDB224" s="76"/>
      <c r="HDC224" s="76"/>
      <c r="HDD224" s="76"/>
      <c r="HDE224" s="76"/>
      <c r="HDF224" s="76"/>
      <c r="HDG224" s="76"/>
      <c r="HDH224" s="76"/>
      <c r="HDI224" s="76"/>
      <c r="HDJ224" s="76"/>
      <c r="HDK224" s="76"/>
      <c r="HDL224" s="76"/>
      <c r="HDM224" s="76"/>
      <c r="HDN224" s="76"/>
      <c r="HDO224" s="76"/>
      <c r="HDP224" s="76"/>
      <c r="HDQ224" s="76"/>
      <c r="HDR224" s="76"/>
      <c r="HDS224" s="76"/>
      <c r="HDT224" s="76"/>
      <c r="HDU224" s="76"/>
      <c r="HDV224" s="76"/>
      <c r="HDW224" s="76"/>
      <c r="HDX224" s="76"/>
      <c r="HDY224" s="76"/>
      <c r="HDZ224" s="76"/>
      <c r="HEA224" s="76"/>
      <c r="HEB224" s="76"/>
      <c r="HEC224" s="76"/>
      <c r="HED224" s="76"/>
      <c r="HEE224" s="76"/>
      <c r="HEF224" s="76"/>
      <c r="HEG224" s="76"/>
      <c r="HEH224" s="76"/>
      <c r="HEI224" s="76"/>
      <c r="HEJ224" s="76"/>
      <c r="HEK224" s="76"/>
      <c r="HEL224" s="76"/>
      <c r="HEM224" s="76"/>
      <c r="HEN224" s="76"/>
      <c r="HEO224" s="76"/>
      <c r="HEP224" s="76"/>
      <c r="HEQ224" s="76"/>
      <c r="HER224" s="76"/>
      <c r="HES224" s="76"/>
      <c r="HET224" s="76"/>
      <c r="HEU224" s="76"/>
      <c r="HEV224" s="76"/>
      <c r="HEW224" s="76"/>
      <c r="HEX224" s="76"/>
      <c r="HEY224" s="76"/>
      <c r="HEZ224" s="76"/>
      <c r="HFA224" s="76"/>
      <c r="HFB224" s="76"/>
      <c r="HFC224" s="76"/>
      <c r="HFD224" s="76"/>
      <c r="HFE224" s="76"/>
      <c r="HFF224" s="76"/>
      <c r="HFG224" s="76"/>
      <c r="HFH224" s="76"/>
      <c r="HFI224" s="76"/>
      <c r="HFJ224" s="76"/>
      <c r="HFK224" s="76"/>
      <c r="HFL224" s="76"/>
      <c r="HFM224" s="76"/>
      <c r="HFN224" s="76"/>
      <c r="HFO224" s="76"/>
      <c r="HFP224" s="76"/>
      <c r="HFQ224" s="76"/>
      <c r="HFR224" s="76"/>
      <c r="HFS224" s="76"/>
      <c r="HFT224" s="76"/>
      <c r="HFU224" s="76"/>
      <c r="HFV224" s="76"/>
      <c r="HFW224" s="76"/>
      <c r="HFX224" s="76"/>
      <c r="HFY224" s="76"/>
      <c r="HFZ224" s="76"/>
      <c r="HGA224" s="76"/>
      <c r="HGB224" s="76"/>
      <c r="HGC224" s="76"/>
      <c r="HGD224" s="76"/>
      <c r="HGE224" s="76"/>
      <c r="HGF224" s="76"/>
      <c r="HGG224" s="76"/>
      <c r="HGH224" s="76"/>
      <c r="HGI224" s="76"/>
      <c r="HGJ224" s="76"/>
      <c r="HGK224" s="76"/>
      <c r="HGL224" s="76"/>
      <c r="HGM224" s="76"/>
      <c r="HGN224" s="76"/>
      <c r="HGO224" s="76"/>
      <c r="HGP224" s="76"/>
      <c r="HGQ224" s="76"/>
      <c r="HGR224" s="76"/>
      <c r="HGS224" s="76"/>
      <c r="HGT224" s="76"/>
      <c r="HGU224" s="76"/>
      <c r="HGV224" s="76"/>
      <c r="HGW224" s="76"/>
      <c r="HGX224" s="76"/>
      <c r="HGY224" s="76"/>
      <c r="HGZ224" s="76"/>
      <c r="HHA224" s="76"/>
      <c r="HHB224" s="76"/>
      <c r="HHC224" s="76"/>
      <c r="HHD224" s="76"/>
      <c r="HHE224" s="76"/>
      <c r="HHF224" s="76"/>
      <c r="HHG224" s="76"/>
      <c r="HHH224" s="76"/>
      <c r="HHI224" s="76"/>
      <c r="HHJ224" s="76"/>
      <c r="HHK224" s="76"/>
      <c r="HHL224" s="76"/>
      <c r="HHM224" s="76"/>
      <c r="HHN224" s="76"/>
      <c r="HHO224" s="76"/>
      <c r="HHP224" s="76"/>
      <c r="HHQ224" s="76"/>
      <c r="HHR224" s="76"/>
      <c r="HHS224" s="76"/>
      <c r="HHT224" s="76"/>
      <c r="HHU224" s="76"/>
      <c r="HHV224" s="76"/>
      <c r="HHW224" s="76"/>
      <c r="HHX224" s="76"/>
      <c r="HHY224" s="76"/>
      <c r="HHZ224" s="76"/>
      <c r="HIA224" s="76"/>
      <c r="HIB224" s="76"/>
      <c r="HIC224" s="76"/>
      <c r="HID224" s="76"/>
      <c r="HIE224" s="76"/>
      <c r="HIF224" s="76"/>
      <c r="HIG224" s="76"/>
      <c r="HIH224" s="76"/>
      <c r="HII224" s="76"/>
      <c r="HIJ224" s="76"/>
      <c r="HIK224" s="76"/>
      <c r="HIL224" s="76"/>
      <c r="HIM224" s="76"/>
      <c r="HIN224" s="76"/>
      <c r="HIO224" s="76"/>
      <c r="HIP224" s="76"/>
      <c r="HIQ224" s="76"/>
      <c r="HIR224" s="76"/>
      <c r="HIS224" s="76"/>
      <c r="HIT224" s="76"/>
      <c r="HIU224" s="76"/>
      <c r="HIV224" s="76"/>
      <c r="HIW224" s="76"/>
      <c r="HIX224" s="76"/>
      <c r="HIY224" s="76"/>
      <c r="HIZ224" s="76"/>
      <c r="HJA224" s="76"/>
      <c r="HJB224" s="76"/>
      <c r="HJC224" s="76"/>
      <c r="HJD224" s="76"/>
      <c r="HJE224" s="76"/>
      <c r="HJF224" s="76"/>
      <c r="HJG224" s="76"/>
      <c r="HJH224" s="76"/>
      <c r="HJI224" s="76"/>
      <c r="HJJ224" s="76"/>
      <c r="HJK224" s="76"/>
      <c r="HJL224" s="76"/>
      <c r="HJM224" s="76"/>
      <c r="HJN224" s="76"/>
      <c r="HJO224" s="76"/>
      <c r="HJP224" s="76"/>
      <c r="HJQ224" s="76"/>
      <c r="HJR224" s="76"/>
      <c r="HJS224" s="76"/>
      <c r="HJT224" s="76"/>
      <c r="HJU224" s="76"/>
      <c r="HJV224" s="76"/>
      <c r="HJW224" s="76"/>
      <c r="HJX224" s="76"/>
      <c r="HJY224" s="76"/>
      <c r="HJZ224" s="76"/>
      <c r="HKA224" s="76"/>
      <c r="HKB224" s="76"/>
      <c r="HKC224" s="76"/>
      <c r="HKD224" s="76"/>
      <c r="HKE224" s="76"/>
      <c r="HKF224" s="76"/>
      <c r="HKG224" s="76"/>
      <c r="HKH224" s="76"/>
      <c r="HKI224" s="76"/>
      <c r="HKJ224" s="76"/>
      <c r="HKK224" s="76"/>
      <c r="HKL224" s="76"/>
      <c r="HKM224" s="76"/>
      <c r="HKN224" s="76"/>
      <c r="HKO224" s="76"/>
      <c r="HKP224" s="76"/>
      <c r="HKQ224" s="76"/>
      <c r="HKR224" s="76"/>
      <c r="HKS224" s="76"/>
      <c r="HKT224" s="76"/>
      <c r="HKU224" s="76"/>
      <c r="HKV224" s="76"/>
      <c r="HKW224" s="76"/>
      <c r="HKX224" s="76"/>
      <c r="HKY224" s="76"/>
      <c r="HKZ224" s="76"/>
      <c r="HLA224" s="76"/>
      <c r="HLB224" s="76"/>
      <c r="HLC224" s="76"/>
      <c r="HLD224" s="76"/>
      <c r="HLE224" s="76"/>
      <c r="HLF224" s="76"/>
      <c r="HLG224" s="76"/>
      <c r="HLH224" s="76"/>
      <c r="HLI224" s="76"/>
      <c r="HLJ224" s="76"/>
      <c r="HLK224" s="76"/>
      <c r="HLL224" s="76"/>
      <c r="HLM224" s="76"/>
      <c r="HLN224" s="76"/>
      <c r="HLO224" s="76"/>
      <c r="HLP224" s="76"/>
      <c r="HLQ224" s="76"/>
      <c r="HLR224" s="76"/>
      <c r="HLS224" s="76"/>
      <c r="HLT224" s="76"/>
      <c r="HLU224" s="76"/>
      <c r="HLV224" s="76"/>
      <c r="HLW224" s="76"/>
      <c r="HLX224" s="76"/>
      <c r="HLY224" s="76"/>
      <c r="HLZ224" s="76"/>
      <c r="HMA224" s="76"/>
      <c r="HMB224" s="76"/>
      <c r="HMC224" s="76"/>
      <c r="HMD224" s="76"/>
      <c r="HME224" s="76"/>
      <c r="HMF224" s="76"/>
      <c r="HMG224" s="76"/>
      <c r="HMH224" s="76"/>
      <c r="HMI224" s="76"/>
      <c r="HMJ224" s="76"/>
      <c r="HMK224" s="76"/>
      <c r="HML224" s="76"/>
      <c r="HMM224" s="76"/>
      <c r="HMN224" s="76"/>
      <c r="HMO224" s="76"/>
      <c r="HMP224" s="76"/>
      <c r="HMQ224" s="76"/>
      <c r="HMR224" s="76"/>
      <c r="HMS224" s="76"/>
      <c r="HMT224" s="76"/>
      <c r="HMU224" s="76"/>
      <c r="HMV224" s="76"/>
      <c r="HMW224" s="76"/>
      <c r="HMX224" s="76"/>
      <c r="HMY224" s="76"/>
      <c r="HMZ224" s="76"/>
      <c r="HNA224" s="76"/>
      <c r="HNB224" s="76"/>
      <c r="HNC224" s="76"/>
      <c r="HND224" s="76"/>
      <c r="HNE224" s="76"/>
      <c r="HNF224" s="76"/>
      <c r="HNG224" s="76"/>
      <c r="HNH224" s="76"/>
      <c r="HNI224" s="76"/>
      <c r="HNJ224" s="76"/>
      <c r="HNK224" s="76"/>
      <c r="HNL224" s="76"/>
      <c r="HNM224" s="76"/>
      <c r="HNN224" s="76"/>
      <c r="HNO224" s="76"/>
      <c r="HNP224" s="76"/>
      <c r="HNQ224" s="76"/>
      <c r="HNR224" s="76"/>
      <c r="HNS224" s="76"/>
      <c r="HNT224" s="76"/>
      <c r="HNU224" s="76"/>
      <c r="HNV224" s="76"/>
      <c r="HNW224" s="76"/>
      <c r="HNX224" s="76"/>
      <c r="HNY224" s="76"/>
      <c r="HNZ224" s="76"/>
      <c r="HOA224" s="76"/>
      <c r="HOB224" s="76"/>
      <c r="HOC224" s="76"/>
      <c r="HOD224" s="76"/>
      <c r="HOE224" s="76"/>
      <c r="HOF224" s="76"/>
      <c r="HOG224" s="76"/>
      <c r="HOH224" s="76"/>
      <c r="HOI224" s="76"/>
      <c r="HOJ224" s="76"/>
      <c r="HOK224" s="76"/>
      <c r="HOL224" s="76"/>
      <c r="HOM224" s="76"/>
      <c r="HON224" s="76"/>
      <c r="HOO224" s="76"/>
      <c r="HOP224" s="76"/>
      <c r="HOQ224" s="76"/>
      <c r="HOR224" s="76"/>
      <c r="HOS224" s="76"/>
      <c r="HOT224" s="76"/>
      <c r="HOU224" s="76"/>
      <c r="HOV224" s="76"/>
      <c r="HOW224" s="76"/>
      <c r="HOX224" s="76"/>
      <c r="HOY224" s="76"/>
      <c r="HOZ224" s="76"/>
      <c r="HPA224" s="76"/>
      <c r="HPB224" s="76"/>
      <c r="HPC224" s="76"/>
      <c r="HPD224" s="76"/>
      <c r="HPE224" s="76"/>
      <c r="HPF224" s="76"/>
      <c r="HPG224" s="76"/>
      <c r="HPH224" s="76"/>
      <c r="HPI224" s="76"/>
      <c r="HPJ224" s="76"/>
      <c r="HPK224" s="76"/>
      <c r="HPL224" s="76"/>
      <c r="HPM224" s="76"/>
      <c r="HPN224" s="76"/>
      <c r="HPO224" s="76"/>
      <c r="HPP224" s="76"/>
      <c r="HPQ224" s="76"/>
      <c r="HPR224" s="76"/>
      <c r="HPS224" s="76"/>
      <c r="HPT224" s="76"/>
      <c r="HPU224" s="76"/>
      <c r="HPV224" s="76"/>
      <c r="HPW224" s="76"/>
      <c r="HPX224" s="76"/>
      <c r="HPY224" s="76"/>
      <c r="HPZ224" s="76"/>
      <c r="HQA224" s="76"/>
      <c r="HQB224" s="76"/>
      <c r="HQC224" s="76"/>
      <c r="HQD224" s="76"/>
      <c r="HQE224" s="76"/>
      <c r="HQF224" s="76"/>
      <c r="HQG224" s="76"/>
      <c r="HQH224" s="76"/>
      <c r="HQI224" s="76"/>
      <c r="HQJ224" s="76"/>
      <c r="HQK224" s="76"/>
      <c r="HQL224" s="76"/>
      <c r="HQM224" s="76"/>
      <c r="HQN224" s="76"/>
      <c r="HQO224" s="76"/>
      <c r="HQP224" s="76"/>
      <c r="HQQ224" s="76"/>
      <c r="HQR224" s="76"/>
      <c r="HQS224" s="76"/>
      <c r="HQT224" s="76"/>
      <c r="HQU224" s="76"/>
      <c r="HQV224" s="76"/>
      <c r="HQW224" s="76"/>
      <c r="HQX224" s="76"/>
      <c r="HQY224" s="76"/>
      <c r="HQZ224" s="76"/>
      <c r="HRA224" s="76"/>
      <c r="HRB224" s="76"/>
      <c r="HRC224" s="76"/>
      <c r="HRD224" s="76"/>
      <c r="HRE224" s="76"/>
      <c r="HRF224" s="76"/>
      <c r="HRG224" s="76"/>
      <c r="HRH224" s="76"/>
      <c r="HRI224" s="76"/>
      <c r="HRJ224" s="76"/>
      <c r="HRK224" s="76"/>
      <c r="HRL224" s="76"/>
      <c r="HRM224" s="76"/>
      <c r="HRN224" s="76"/>
      <c r="HRO224" s="76"/>
      <c r="HRP224" s="76"/>
      <c r="HRQ224" s="76"/>
      <c r="HRR224" s="76"/>
      <c r="HRS224" s="76"/>
      <c r="HRT224" s="76"/>
      <c r="HRU224" s="76"/>
      <c r="HRV224" s="76"/>
      <c r="HRW224" s="76"/>
      <c r="HRX224" s="76"/>
      <c r="HRY224" s="76"/>
      <c r="HRZ224" s="76"/>
      <c r="HSA224" s="76"/>
      <c r="HSB224" s="76"/>
      <c r="HSC224" s="76"/>
      <c r="HSD224" s="76"/>
      <c r="HSE224" s="76"/>
      <c r="HSF224" s="76"/>
      <c r="HSG224" s="76"/>
      <c r="HSH224" s="76"/>
      <c r="HSI224" s="76"/>
      <c r="HSJ224" s="76"/>
      <c r="HSK224" s="76"/>
      <c r="HSL224" s="76"/>
      <c r="HSM224" s="76"/>
      <c r="HSN224" s="76"/>
      <c r="HSO224" s="76"/>
      <c r="HSP224" s="76"/>
      <c r="HSQ224" s="76"/>
      <c r="HSR224" s="76"/>
      <c r="HSS224" s="76"/>
      <c r="HST224" s="76"/>
      <c r="HSU224" s="76"/>
      <c r="HSV224" s="76"/>
      <c r="HSW224" s="76"/>
      <c r="HSX224" s="76"/>
      <c r="HSY224" s="76"/>
      <c r="HSZ224" s="76"/>
      <c r="HTA224" s="76"/>
      <c r="HTB224" s="76"/>
      <c r="HTC224" s="76"/>
      <c r="HTD224" s="76"/>
      <c r="HTE224" s="76"/>
      <c r="HTF224" s="76"/>
      <c r="HTG224" s="76"/>
      <c r="HTH224" s="76"/>
      <c r="HTI224" s="76"/>
      <c r="HTJ224" s="76"/>
      <c r="HTK224" s="76"/>
      <c r="HTL224" s="76"/>
      <c r="HTM224" s="76"/>
      <c r="HTN224" s="76"/>
      <c r="HTO224" s="76"/>
      <c r="HTP224" s="76"/>
      <c r="HTQ224" s="76"/>
      <c r="HTR224" s="76"/>
      <c r="HTS224" s="76"/>
      <c r="HTT224" s="76"/>
      <c r="HTU224" s="76"/>
      <c r="HTV224" s="76"/>
      <c r="HTW224" s="76"/>
      <c r="HTX224" s="76"/>
      <c r="HTY224" s="76"/>
      <c r="HTZ224" s="76"/>
      <c r="HUA224" s="76"/>
      <c r="HUB224" s="76"/>
      <c r="HUC224" s="76"/>
      <c r="HUD224" s="76"/>
      <c r="HUE224" s="76"/>
      <c r="HUF224" s="76"/>
      <c r="HUG224" s="76"/>
      <c r="HUH224" s="76"/>
      <c r="HUI224" s="76"/>
      <c r="HUJ224" s="76"/>
      <c r="HUK224" s="76"/>
      <c r="HUL224" s="76"/>
      <c r="HUM224" s="76"/>
      <c r="HUN224" s="76"/>
      <c r="HUO224" s="76"/>
      <c r="HUP224" s="76"/>
      <c r="HUQ224" s="76"/>
      <c r="HUR224" s="76"/>
      <c r="HUS224" s="76"/>
      <c r="HUT224" s="76"/>
      <c r="HUU224" s="76"/>
      <c r="HUV224" s="76"/>
      <c r="HUW224" s="76"/>
      <c r="HUX224" s="76"/>
      <c r="HUY224" s="76"/>
      <c r="HUZ224" s="76"/>
      <c r="HVA224" s="76"/>
      <c r="HVB224" s="76"/>
      <c r="HVC224" s="76"/>
      <c r="HVD224" s="76"/>
      <c r="HVE224" s="76"/>
      <c r="HVF224" s="76"/>
      <c r="HVG224" s="76"/>
      <c r="HVH224" s="76"/>
      <c r="HVI224" s="76"/>
      <c r="HVJ224" s="76"/>
      <c r="HVK224" s="76"/>
      <c r="HVL224" s="76"/>
      <c r="HVM224" s="76"/>
      <c r="HVN224" s="76"/>
      <c r="HVO224" s="76"/>
      <c r="HVP224" s="76"/>
      <c r="HVQ224" s="76"/>
      <c r="HVR224" s="76"/>
      <c r="HVS224" s="76"/>
      <c r="HVT224" s="76"/>
      <c r="HVU224" s="76"/>
      <c r="HVV224" s="76"/>
      <c r="HVW224" s="76"/>
      <c r="HVX224" s="76"/>
      <c r="HVY224" s="76"/>
      <c r="HVZ224" s="76"/>
      <c r="HWA224" s="76"/>
      <c r="HWB224" s="76"/>
      <c r="HWC224" s="76"/>
      <c r="HWD224" s="76"/>
      <c r="HWE224" s="76"/>
      <c r="HWF224" s="76"/>
      <c r="HWG224" s="76"/>
      <c r="HWH224" s="76"/>
      <c r="HWI224" s="76"/>
      <c r="HWJ224" s="76"/>
      <c r="HWK224" s="76"/>
      <c r="HWL224" s="76"/>
      <c r="HWM224" s="76"/>
      <c r="HWN224" s="76"/>
      <c r="HWO224" s="76"/>
      <c r="HWP224" s="76"/>
      <c r="HWQ224" s="76"/>
      <c r="HWR224" s="76"/>
      <c r="HWS224" s="76"/>
      <c r="HWT224" s="76"/>
      <c r="HWU224" s="76"/>
      <c r="HWV224" s="76"/>
      <c r="HWW224" s="76"/>
      <c r="HWX224" s="76"/>
      <c r="HWY224" s="76"/>
      <c r="HWZ224" s="76"/>
      <c r="HXA224" s="76"/>
      <c r="HXB224" s="76"/>
      <c r="HXC224" s="76"/>
      <c r="HXD224" s="76"/>
      <c r="HXE224" s="76"/>
      <c r="HXF224" s="76"/>
      <c r="HXG224" s="76"/>
      <c r="HXH224" s="76"/>
      <c r="HXI224" s="76"/>
      <c r="HXJ224" s="76"/>
      <c r="HXK224" s="76"/>
      <c r="HXL224" s="76"/>
      <c r="HXM224" s="76"/>
      <c r="HXN224" s="76"/>
      <c r="HXO224" s="76"/>
      <c r="HXP224" s="76"/>
      <c r="HXQ224" s="76"/>
      <c r="HXR224" s="76"/>
      <c r="HXS224" s="76"/>
      <c r="HXT224" s="76"/>
      <c r="HXU224" s="76"/>
      <c r="HXV224" s="76"/>
      <c r="HXW224" s="76"/>
      <c r="HXX224" s="76"/>
      <c r="HXY224" s="76"/>
      <c r="HXZ224" s="76"/>
      <c r="HYA224" s="76"/>
      <c r="HYB224" s="76"/>
      <c r="HYC224" s="76"/>
      <c r="HYD224" s="76"/>
      <c r="HYE224" s="76"/>
      <c r="HYF224" s="76"/>
      <c r="HYG224" s="76"/>
      <c r="HYH224" s="76"/>
      <c r="HYI224" s="76"/>
      <c r="HYJ224" s="76"/>
      <c r="HYK224" s="76"/>
      <c r="HYL224" s="76"/>
      <c r="HYM224" s="76"/>
      <c r="HYN224" s="76"/>
      <c r="HYO224" s="76"/>
      <c r="HYP224" s="76"/>
      <c r="HYQ224" s="76"/>
      <c r="HYR224" s="76"/>
      <c r="HYS224" s="76"/>
      <c r="HYT224" s="76"/>
      <c r="HYU224" s="76"/>
      <c r="HYV224" s="76"/>
      <c r="HYW224" s="76"/>
      <c r="HYX224" s="76"/>
      <c r="HYY224" s="76"/>
      <c r="HYZ224" s="76"/>
      <c r="HZA224" s="76"/>
      <c r="HZB224" s="76"/>
      <c r="HZC224" s="76"/>
      <c r="HZD224" s="76"/>
      <c r="HZE224" s="76"/>
      <c r="HZF224" s="76"/>
      <c r="HZG224" s="76"/>
      <c r="HZH224" s="76"/>
      <c r="HZI224" s="76"/>
      <c r="HZJ224" s="76"/>
      <c r="HZK224" s="76"/>
      <c r="HZL224" s="76"/>
      <c r="HZM224" s="76"/>
      <c r="HZN224" s="76"/>
      <c r="HZO224" s="76"/>
      <c r="HZP224" s="76"/>
      <c r="HZQ224" s="76"/>
      <c r="HZR224" s="76"/>
      <c r="HZS224" s="76"/>
      <c r="HZT224" s="76"/>
      <c r="HZU224" s="76"/>
      <c r="HZV224" s="76"/>
      <c r="HZW224" s="76"/>
      <c r="HZX224" s="76"/>
      <c r="HZY224" s="76"/>
      <c r="HZZ224" s="76"/>
      <c r="IAA224" s="76"/>
      <c r="IAB224" s="76"/>
      <c r="IAC224" s="76"/>
      <c r="IAD224" s="76"/>
      <c r="IAE224" s="76"/>
      <c r="IAF224" s="76"/>
      <c r="IAG224" s="76"/>
      <c r="IAH224" s="76"/>
      <c r="IAI224" s="76"/>
      <c r="IAJ224" s="76"/>
      <c r="IAK224" s="76"/>
      <c r="IAL224" s="76"/>
      <c r="IAM224" s="76"/>
      <c r="IAN224" s="76"/>
      <c r="IAO224" s="76"/>
      <c r="IAP224" s="76"/>
      <c r="IAQ224" s="76"/>
      <c r="IAR224" s="76"/>
      <c r="IAS224" s="76"/>
      <c r="IAT224" s="76"/>
      <c r="IAU224" s="76"/>
      <c r="IAV224" s="76"/>
      <c r="IAW224" s="76"/>
      <c r="IAX224" s="76"/>
      <c r="IAY224" s="76"/>
      <c r="IAZ224" s="76"/>
      <c r="IBA224" s="76"/>
      <c r="IBB224" s="76"/>
      <c r="IBC224" s="76"/>
      <c r="IBD224" s="76"/>
      <c r="IBE224" s="76"/>
      <c r="IBF224" s="76"/>
      <c r="IBG224" s="76"/>
      <c r="IBH224" s="76"/>
      <c r="IBI224" s="76"/>
      <c r="IBJ224" s="76"/>
      <c r="IBK224" s="76"/>
      <c r="IBL224" s="76"/>
      <c r="IBM224" s="76"/>
      <c r="IBN224" s="76"/>
      <c r="IBO224" s="76"/>
      <c r="IBP224" s="76"/>
      <c r="IBQ224" s="76"/>
      <c r="IBR224" s="76"/>
      <c r="IBS224" s="76"/>
      <c r="IBT224" s="76"/>
      <c r="IBU224" s="76"/>
      <c r="IBV224" s="76"/>
      <c r="IBW224" s="76"/>
      <c r="IBX224" s="76"/>
      <c r="IBY224" s="76"/>
      <c r="IBZ224" s="76"/>
      <c r="ICA224" s="76"/>
      <c r="ICB224" s="76"/>
      <c r="ICC224" s="76"/>
      <c r="ICD224" s="76"/>
      <c r="ICE224" s="76"/>
      <c r="ICF224" s="76"/>
      <c r="ICG224" s="76"/>
      <c r="ICH224" s="76"/>
      <c r="ICI224" s="76"/>
      <c r="ICJ224" s="76"/>
      <c r="ICK224" s="76"/>
      <c r="ICL224" s="76"/>
      <c r="ICM224" s="76"/>
      <c r="ICN224" s="76"/>
      <c r="ICO224" s="76"/>
      <c r="ICP224" s="76"/>
      <c r="ICQ224" s="76"/>
      <c r="ICR224" s="76"/>
      <c r="ICS224" s="76"/>
      <c r="ICT224" s="76"/>
      <c r="ICU224" s="76"/>
      <c r="ICV224" s="76"/>
      <c r="ICW224" s="76"/>
      <c r="ICX224" s="76"/>
      <c r="ICY224" s="76"/>
      <c r="ICZ224" s="76"/>
      <c r="IDA224" s="76"/>
      <c r="IDB224" s="76"/>
      <c r="IDC224" s="76"/>
      <c r="IDD224" s="76"/>
      <c r="IDE224" s="76"/>
      <c r="IDF224" s="76"/>
      <c r="IDG224" s="76"/>
      <c r="IDH224" s="76"/>
      <c r="IDI224" s="76"/>
      <c r="IDJ224" s="76"/>
      <c r="IDK224" s="76"/>
      <c r="IDL224" s="76"/>
      <c r="IDM224" s="76"/>
      <c r="IDN224" s="76"/>
      <c r="IDO224" s="76"/>
      <c r="IDP224" s="76"/>
      <c r="IDQ224" s="76"/>
      <c r="IDR224" s="76"/>
      <c r="IDS224" s="76"/>
      <c r="IDT224" s="76"/>
      <c r="IDU224" s="76"/>
      <c r="IDV224" s="76"/>
      <c r="IDW224" s="76"/>
      <c r="IDX224" s="76"/>
      <c r="IDY224" s="76"/>
      <c r="IDZ224" s="76"/>
      <c r="IEA224" s="76"/>
      <c r="IEB224" s="76"/>
      <c r="IEC224" s="76"/>
      <c r="IED224" s="76"/>
      <c r="IEE224" s="76"/>
      <c r="IEF224" s="76"/>
      <c r="IEG224" s="76"/>
      <c r="IEH224" s="76"/>
      <c r="IEI224" s="76"/>
      <c r="IEJ224" s="76"/>
      <c r="IEK224" s="76"/>
      <c r="IEL224" s="76"/>
      <c r="IEM224" s="76"/>
      <c r="IEN224" s="76"/>
      <c r="IEO224" s="76"/>
      <c r="IEP224" s="76"/>
      <c r="IEQ224" s="76"/>
      <c r="IER224" s="76"/>
      <c r="IES224" s="76"/>
      <c r="IET224" s="76"/>
      <c r="IEU224" s="76"/>
      <c r="IEV224" s="76"/>
      <c r="IEW224" s="76"/>
      <c r="IEX224" s="76"/>
      <c r="IEY224" s="76"/>
      <c r="IEZ224" s="76"/>
      <c r="IFA224" s="76"/>
      <c r="IFB224" s="76"/>
      <c r="IFC224" s="76"/>
      <c r="IFD224" s="76"/>
      <c r="IFE224" s="76"/>
      <c r="IFF224" s="76"/>
      <c r="IFG224" s="76"/>
      <c r="IFH224" s="76"/>
      <c r="IFI224" s="76"/>
      <c r="IFJ224" s="76"/>
      <c r="IFK224" s="76"/>
      <c r="IFL224" s="76"/>
      <c r="IFM224" s="76"/>
      <c r="IFN224" s="76"/>
      <c r="IFO224" s="76"/>
      <c r="IFP224" s="76"/>
      <c r="IFQ224" s="76"/>
      <c r="IFR224" s="76"/>
      <c r="IFS224" s="76"/>
      <c r="IFT224" s="76"/>
      <c r="IFU224" s="76"/>
      <c r="IFV224" s="76"/>
      <c r="IFW224" s="76"/>
      <c r="IFX224" s="76"/>
      <c r="IFY224" s="76"/>
      <c r="IFZ224" s="76"/>
      <c r="IGA224" s="76"/>
      <c r="IGB224" s="76"/>
      <c r="IGC224" s="76"/>
      <c r="IGD224" s="76"/>
      <c r="IGE224" s="76"/>
      <c r="IGF224" s="76"/>
      <c r="IGG224" s="76"/>
      <c r="IGH224" s="76"/>
      <c r="IGI224" s="76"/>
      <c r="IGJ224" s="76"/>
      <c r="IGK224" s="76"/>
      <c r="IGL224" s="76"/>
      <c r="IGM224" s="76"/>
      <c r="IGN224" s="76"/>
      <c r="IGO224" s="76"/>
      <c r="IGP224" s="76"/>
      <c r="IGQ224" s="76"/>
      <c r="IGR224" s="76"/>
      <c r="IGS224" s="76"/>
      <c r="IGT224" s="76"/>
      <c r="IGU224" s="76"/>
      <c r="IGV224" s="76"/>
      <c r="IGW224" s="76"/>
      <c r="IGX224" s="76"/>
      <c r="IGY224" s="76"/>
      <c r="IGZ224" s="76"/>
      <c r="IHA224" s="76"/>
      <c r="IHB224" s="76"/>
      <c r="IHC224" s="76"/>
      <c r="IHD224" s="76"/>
      <c r="IHE224" s="76"/>
      <c r="IHF224" s="76"/>
      <c r="IHG224" s="76"/>
      <c r="IHH224" s="76"/>
      <c r="IHI224" s="76"/>
      <c r="IHJ224" s="76"/>
      <c r="IHK224" s="76"/>
      <c r="IHL224" s="76"/>
      <c r="IHM224" s="76"/>
      <c r="IHN224" s="76"/>
      <c r="IHO224" s="76"/>
      <c r="IHP224" s="76"/>
      <c r="IHQ224" s="76"/>
      <c r="IHR224" s="76"/>
      <c r="IHS224" s="76"/>
      <c r="IHT224" s="76"/>
      <c r="IHU224" s="76"/>
      <c r="IHV224" s="76"/>
      <c r="IHW224" s="76"/>
      <c r="IHX224" s="76"/>
      <c r="IHY224" s="76"/>
      <c r="IHZ224" s="76"/>
      <c r="IIA224" s="76"/>
      <c r="IIB224" s="76"/>
      <c r="IIC224" s="76"/>
      <c r="IID224" s="76"/>
      <c r="IIE224" s="76"/>
      <c r="IIF224" s="76"/>
      <c r="IIG224" s="76"/>
      <c r="IIH224" s="76"/>
      <c r="III224" s="76"/>
      <c r="IIJ224" s="76"/>
      <c r="IIK224" s="76"/>
      <c r="IIL224" s="76"/>
      <c r="IIM224" s="76"/>
      <c r="IIN224" s="76"/>
      <c r="IIO224" s="76"/>
      <c r="IIP224" s="76"/>
      <c r="IIQ224" s="76"/>
      <c r="IIR224" s="76"/>
      <c r="IIS224" s="76"/>
      <c r="IIT224" s="76"/>
      <c r="IIU224" s="76"/>
      <c r="IIV224" s="76"/>
      <c r="IIW224" s="76"/>
      <c r="IIX224" s="76"/>
      <c r="IIY224" s="76"/>
      <c r="IIZ224" s="76"/>
      <c r="IJA224" s="76"/>
      <c r="IJB224" s="76"/>
      <c r="IJC224" s="76"/>
      <c r="IJD224" s="76"/>
      <c r="IJE224" s="76"/>
      <c r="IJF224" s="76"/>
      <c r="IJG224" s="76"/>
      <c r="IJH224" s="76"/>
      <c r="IJI224" s="76"/>
      <c r="IJJ224" s="76"/>
      <c r="IJK224" s="76"/>
      <c r="IJL224" s="76"/>
      <c r="IJM224" s="76"/>
      <c r="IJN224" s="76"/>
      <c r="IJO224" s="76"/>
      <c r="IJP224" s="76"/>
      <c r="IJQ224" s="76"/>
      <c r="IJR224" s="76"/>
      <c r="IJS224" s="76"/>
      <c r="IJT224" s="76"/>
      <c r="IJU224" s="76"/>
      <c r="IJV224" s="76"/>
      <c r="IJW224" s="76"/>
      <c r="IJX224" s="76"/>
      <c r="IJY224" s="76"/>
      <c r="IJZ224" s="76"/>
      <c r="IKA224" s="76"/>
      <c r="IKB224" s="76"/>
      <c r="IKC224" s="76"/>
      <c r="IKD224" s="76"/>
      <c r="IKE224" s="76"/>
      <c r="IKF224" s="76"/>
      <c r="IKG224" s="76"/>
      <c r="IKH224" s="76"/>
      <c r="IKI224" s="76"/>
      <c r="IKJ224" s="76"/>
      <c r="IKK224" s="76"/>
      <c r="IKL224" s="76"/>
      <c r="IKM224" s="76"/>
      <c r="IKN224" s="76"/>
      <c r="IKO224" s="76"/>
      <c r="IKP224" s="76"/>
      <c r="IKQ224" s="76"/>
      <c r="IKR224" s="76"/>
      <c r="IKS224" s="76"/>
      <c r="IKT224" s="76"/>
      <c r="IKU224" s="76"/>
      <c r="IKV224" s="76"/>
      <c r="IKW224" s="76"/>
      <c r="IKX224" s="76"/>
      <c r="IKY224" s="76"/>
      <c r="IKZ224" s="76"/>
      <c r="ILA224" s="76"/>
      <c r="ILB224" s="76"/>
      <c r="ILC224" s="76"/>
      <c r="ILD224" s="76"/>
      <c r="ILE224" s="76"/>
      <c r="ILF224" s="76"/>
      <c r="ILG224" s="76"/>
      <c r="ILH224" s="76"/>
      <c r="ILI224" s="76"/>
      <c r="ILJ224" s="76"/>
      <c r="ILK224" s="76"/>
      <c r="ILL224" s="76"/>
      <c r="ILM224" s="76"/>
      <c r="ILN224" s="76"/>
      <c r="ILO224" s="76"/>
      <c r="ILP224" s="76"/>
      <c r="ILQ224" s="76"/>
      <c r="ILR224" s="76"/>
      <c r="ILS224" s="76"/>
      <c r="ILT224" s="76"/>
      <c r="ILU224" s="76"/>
      <c r="ILV224" s="76"/>
      <c r="ILW224" s="76"/>
      <c r="ILX224" s="76"/>
      <c r="ILY224" s="76"/>
      <c r="ILZ224" s="76"/>
      <c r="IMA224" s="76"/>
      <c r="IMB224" s="76"/>
      <c r="IMC224" s="76"/>
      <c r="IMD224" s="76"/>
      <c r="IME224" s="76"/>
      <c r="IMF224" s="76"/>
      <c r="IMG224" s="76"/>
      <c r="IMH224" s="76"/>
      <c r="IMI224" s="76"/>
      <c r="IMJ224" s="76"/>
      <c r="IMK224" s="76"/>
      <c r="IML224" s="76"/>
      <c r="IMM224" s="76"/>
      <c r="IMN224" s="76"/>
      <c r="IMO224" s="76"/>
      <c r="IMP224" s="76"/>
      <c r="IMQ224" s="76"/>
      <c r="IMR224" s="76"/>
      <c r="IMS224" s="76"/>
      <c r="IMT224" s="76"/>
      <c r="IMU224" s="76"/>
      <c r="IMV224" s="76"/>
      <c r="IMW224" s="76"/>
      <c r="IMX224" s="76"/>
      <c r="IMY224" s="76"/>
      <c r="IMZ224" s="76"/>
      <c r="INA224" s="76"/>
      <c r="INB224" s="76"/>
      <c r="INC224" s="76"/>
      <c r="IND224" s="76"/>
      <c r="INE224" s="76"/>
      <c r="INF224" s="76"/>
      <c r="ING224" s="76"/>
      <c r="INH224" s="76"/>
      <c r="INI224" s="76"/>
      <c r="INJ224" s="76"/>
      <c r="INK224" s="76"/>
      <c r="INL224" s="76"/>
      <c r="INM224" s="76"/>
      <c r="INN224" s="76"/>
      <c r="INO224" s="76"/>
      <c r="INP224" s="76"/>
      <c r="INQ224" s="76"/>
      <c r="INR224" s="76"/>
      <c r="INS224" s="76"/>
      <c r="INT224" s="76"/>
      <c r="INU224" s="76"/>
      <c r="INV224" s="76"/>
      <c r="INW224" s="76"/>
      <c r="INX224" s="76"/>
      <c r="INY224" s="76"/>
      <c r="INZ224" s="76"/>
      <c r="IOA224" s="76"/>
      <c r="IOB224" s="76"/>
      <c r="IOC224" s="76"/>
      <c r="IOD224" s="76"/>
      <c r="IOE224" s="76"/>
      <c r="IOF224" s="76"/>
      <c r="IOG224" s="76"/>
      <c r="IOH224" s="76"/>
      <c r="IOI224" s="76"/>
      <c r="IOJ224" s="76"/>
      <c r="IOK224" s="76"/>
      <c r="IOL224" s="76"/>
      <c r="IOM224" s="76"/>
      <c r="ION224" s="76"/>
      <c r="IOO224" s="76"/>
      <c r="IOP224" s="76"/>
      <c r="IOQ224" s="76"/>
      <c r="IOR224" s="76"/>
      <c r="IOS224" s="76"/>
      <c r="IOT224" s="76"/>
      <c r="IOU224" s="76"/>
      <c r="IOV224" s="76"/>
      <c r="IOW224" s="76"/>
      <c r="IOX224" s="76"/>
      <c r="IOY224" s="76"/>
      <c r="IOZ224" s="76"/>
      <c r="IPA224" s="76"/>
      <c r="IPB224" s="76"/>
      <c r="IPC224" s="76"/>
      <c r="IPD224" s="76"/>
      <c r="IPE224" s="76"/>
      <c r="IPF224" s="76"/>
      <c r="IPG224" s="76"/>
      <c r="IPH224" s="76"/>
      <c r="IPI224" s="76"/>
      <c r="IPJ224" s="76"/>
      <c r="IPK224" s="76"/>
      <c r="IPL224" s="76"/>
      <c r="IPM224" s="76"/>
      <c r="IPN224" s="76"/>
      <c r="IPO224" s="76"/>
      <c r="IPP224" s="76"/>
      <c r="IPQ224" s="76"/>
      <c r="IPR224" s="76"/>
      <c r="IPS224" s="76"/>
      <c r="IPT224" s="76"/>
      <c r="IPU224" s="76"/>
      <c r="IPV224" s="76"/>
      <c r="IPW224" s="76"/>
      <c r="IPX224" s="76"/>
      <c r="IPY224" s="76"/>
      <c r="IPZ224" s="76"/>
      <c r="IQA224" s="76"/>
      <c r="IQB224" s="76"/>
      <c r="IQC224" s="76"/>
      <c r="IQD224" s="76"/>
      <c r="IQE224" s="76"/>
      <c r="IQF224" s="76"/>
      <c r="IQG224" s="76"/>
      <c r="IQH224" s="76"/>
      <c r="IQI224" s="76"/>
      <c r="IQJ224" s="76"/>
      <c r="IQK224" s="76"/>
      <c r="IQL224" s="76"/>
      <c r="IQM224" s="76"/>
      <c r="IQN224" s="76"/>
      <c r="IQO224" s="76"/>
      <c r="IQP224" s="76"/>
      <c r="IQQ224" s="76"/>
      <c r="IQR224" s="76"/>
      <c r="IQS224" s="76"/>
      <c r="IQT224" s="76"/>
      <c r="IQU224" s="76"/>
      <c r="IQV224" s="76"/>
      <c r="IQW224" s="76"/>
      <c r="IQX224" s="76"/>
      <c r="IQY224" s="76"/>
      <c r="IQZ224" s="76"/>
      <c r="IRA224" s="76"/>
      <c r="IRB224" s="76"/>
      <c r="IRC224" s="76"/>
      <c r="IRD224" s="76"/>
      <c r="IRE224" s="76"/>
      <c r="IRF224" s="76"/>
      <c r="IRG224" s="76"/>
      <c r="IRH224" s="76"/>
      <c r="IRI224" s="76"/>
      <c r="IRJ224" s="76"/>
      <c r="IRK224" s="76"/>
      <c r="IRL224" s="76"/>
      <c r="IRM224" s="76"/>
      <c r="IRN224" s="76"/>
      <c r="IRO224" s="76"/>
      <c r="IRP224" s="76"/>
      <c r="IRQ224" s="76"/>
      <c r="IRR224" s="76"/>
      <c r="IRS224" s="76"/>
      <c r="IRT224" s="76"/>
      <c r="IRU224" s="76"/>
      <c r="IRV224" s="76"/>
      <c r="IRW224" s="76"/>
      <c r="IRX224" s="76"/>
      <c r="IRY224" s="76"/>
      <c r="IRZ224" s="76"/>
      <c r="ISA224" s="76"/>
      <c r="ISB224" s="76"/>
      <c r="ISC224" s="76"/>
      <c r="ISD224" s="76"/>
      <c r="ISE224" s="76"/>
      <c r="ISF224" s="76"/>
      <c r="ISG224" s="76"/>
      <c r="ISH224" s="76"/>
      <c r="ISI224" s="76"/>
      <c r="ISJ224" s="76"/>
      <c r="ISK224" s="76"/>
      <c r="ISL224" s="76"/>
      <c r="ISM224" s="76"/>
      <c r="ISN224" s="76"/>
      <c r="ISO224" s="76"/>
      <c r="ISP224" s="76"/>
      <c r="ISQ224" s="76"/>
      <c r="ISR224" s="76"/>
      <c r="ISS224" s="76"/>
      <c r="IST224" s="76"/>
      <c r="ISU224" s="76"/>
      <c r="ISV224" s="76"/>
      <c r="ISW224" s="76"/>
      <c r="ISX224" s="76"/>
      <c r="ISY224" s="76"/>
      <c r="ISZ224" s="76"/>
      <c r="ITA224" s="76"/>
      <c r="ITB224" s="76"/>
      <c r="ITC224" s="76"/>
      <c r="ITD224" s="76"/>
      <c r="ITE224" s="76"/>
      <c r="ITF224" s="76"/>
      <c r="ITG224" s="76"/>
      <c r="ITH224" s="76"/>
      <c r="ITI224" s="76"/>
      <c r="ITJ224" s="76"/>
      <c r="ITK224" s="76"/>
      <c r="ITL224" s="76"/>
      <c r="ITM224" s="76"/>
      <c r="ITN224" s="76"/>
      <c r="ITO224" s="76"/>
      <c r="ITP224" s="76"/>
      <c r="ITQ224" s="76"/>
      <c r="ITR224" s="76"/>
      <c r="ITS224" s="76"/>
      <c r="ITT224" s="76"/>
      <c r="ITU224" s="76"/>
      <c r="ITV224" s="76"/>
      <c r="ITW224" s="76"/>
      <c r="ITX224" s="76"/>
      <c r="ITY224" s="76"/>
      <c r="ITZ224" s="76"/>
      <c r="IUA224" s="76"/>
      <c r="IUB224" s="76"/>
      <c r="IUC224" s="76"/>
      <c r="IUD224" s="76"/>
      <c r="IUE224" s="76"/>
      <c r="IUF224" s="76"/>
      <c r="IUG224" s="76"/>
      <c r="IUH224" s="76"/>
      <c r="IUI224" s="76"/>
      <c r="IUJ224" s="76"/>
      <c r="IUK224" s="76"/>
      <c r="IUL224" s="76"/>
      <c r="IUM224" s="76"/>
      <c r="IUN224" s="76"/>
      <c r="IUO224" s="76"/>
      <c r="IUP224" s="76"/>
      <c r="IUQ224" s="76"/>
      <c r="IUR224" s="76"/>
      <c r="IUS224" s="76"/>
      <c r="IUT224" s="76"/>
      <c r="IUU224" s="76"/>
      <c r="IUV224" s="76"/>
      <c r="IUW224" s="76"/>
      <c r="IUX224" s="76"/>
      <c r="IUY224" s="76"/>
      <c r="IUZ224" s="76"/>
      <c r="IVA224" s="76"/>
      <c r="IVB224" s="76"/>
      <c r="IVC224" s="76"/>
      <c r="IVD224" s="76"/>
      <c r="IVE224" s="76"/>
      <c r="IVF224" s="76"/>
      <c r="IVG224" s="76"/>
      <c r="IVH224" s="76"/>
      <c r="IVI224" s="76"/>
      <c r="IVJ224" s="76"/>
      <c r="IVK224" s="76"/>
      <c r="IVL224" s="76"/>
      <c r="IVM224" s="76"/>
      <c r="IVN224" s="76"/>
      <c r="IVO224" s="76"/>
      <c r="IVP224" s="76"/>
      <c r="IVQ224" s="76"/>
      <c r="IVR224" s="76"/>
      <c r="IVS224" s="76"/>
      <c r="IVT224" s="76"/>
      <c r="IVU224" s="76"/>
      <c r="IVV224" s="76"/>
      <c r="IVW224" s="76"/>
      <c r="IVX224" s="76"/>
      <c r="IVY224" s="76"/>
      <c r="IVZ224" s="76"/>
      <c r="IWA224" s="76"/>
      <c r="IWB224" s="76"/>
      <c r="IWC224" s="76"/>
      <c r="IWD224" s="76"/>
      <c r="IWE224" s="76"/>
      <c r="IWF224" s="76"/>
      <c r="IWG224" s="76"/>
      <c r="IWH224" s="76"/>
      <c r="IWI224" s="76"/>
      <c r="IWJ224" s="76"/>
      <c r="IWK224" s="76"/>
      <c r="IWL224" s="76"/>
      <c r="IWM224" s="76"/>
      <c r="IWN224" s="76"/>
      <c r="IWO224" s="76"/>
      <c r="IWP224" s="76"/>
      <c r="IWQ224" s="76"/>
      <c r="IWR224" s="76"/>
      <c r="IWS224" s="76"/>
      <c r="IWT224" s="76"/>
      <c r="IWU224" s="76"/>
      <c r="IWV224" s="76"/>
      <c r="IWW224" s="76"/>
      <c r="IWX224" s="76"/>
      <c r="IWY224" s="76"/>
      <c r="IWZ224" s="76"/>
      <c r="IXA224" s="76"/>
      <c r="IXB224" s="76"/>
      <c r="IXC224" s="76"/>
      <c r="IXD224" s="76"/>
      <c r="IXE224" s="76"/>
      <c r="IXF224" s="76"/>
      <c r="IXG224" s="76"/>
      <c r="IXH224" s="76"/>
      <c r="IXI224" s="76"/>
      <c r="IXJ224" s="76"/>
      <c r="IXK224" s="76"/>
      <c r="IXL224" s="76"/>
      <c r="IXM224" s="76"/>
      <c r="IXN224" s="76"/>
      <c r="IXO224" s="76"/>
      <c r="IXP224" s="76"/>
      <c r="IXQ224" s="76"/>
      <c r="IXR224" s="76"/>
      <c r="IXS224" s="76"/>
      <c r="IXT224" s="76"/>
      <c r="IXU224" s="76"/>
      <c r="IXV224" s="76"/>
      <c r="IXW224" s="76"/>
      <c r="IXX224" s="76"/>
      <c r="IXY224" s="76"/>
      <c r="IXZ224" s="76"/>
      <c r="IYA224" s="76"/>
      <c r="IYB224" s="76"/>
      <c r="IYC224" s="76"/>
      <c r="IYD224" s="76"/>
      <c r="IYE224" s="76"/>
      <c r="IYF224" s="76"/>
      <c r="IYG224" s="76"/>
      <c r="IYH224" s="76"/>
      <c r="IYI224" s="76"/>
      <c r="IYJ224" s="76"/>
      <c r="IYK224" s="76"/>
      <c r="IYL224" s="76"/>
      <c r="IYM224" s="76"/>
      <c r="IYN224" s="76"/>
      <c r="IYO224" s="76"/>
      <c r="IYP224" s="76"/>
      <c r="IYQ224" s="76"/>
      <c r="IYR224" s="76"/>
      <c r="IYS224" s="76"/>
      <c r="IYT224" s="76"/>
      <c r="IYU224" s="76"/>
      <c r="IYV224" s="76"/>
      <c r="IYW224" s="76"/>
      <c r="IYX224" s="76"/>
      <c r="IYY224" s="76"/>
      <c r="IYZ224" s="76"/>
      <c r="IZA224" s="76"/>
      <c r="IZB224" s="76"/>
      <c r="IZC224" s="76"/>
      <c r="IZD224" s="76"/>
      <c r="IZE224" s="76"/>
      <c r="IZF224" s="76"/>
      <c r="IZG224" s="76"/>
      <c r="IZH224" s="76"/>
      <c r="IZI224" s="76"/>
      <c r="IZJ224" s="76"/>
      <c r="IZK224" s="76"/>
      <c r="IZL224" s="76"/>
      <c r="IZM224" s="76"/>
      <c r="IZN224" s="76"/>
      <c r="IZO224" s="76"/>
      <c r="IZP224" s="76"/>
      <c r="IZQ224" s="76"/>
      <c r="IZR224" s="76"/>
      <c r="IZS224" s="76"/>
      <c r="IZT224" s="76"/>
      <c r="IZU224" s="76"/>
      <c r="IZV224" s="76"/>
      <c r="IZW224" s="76"/>
      <c r="IZX224" s="76"/>
      <c r="IZY224" s="76"/>
      <c r="IZZ224" s="76"/>
      <c r="JAA224" s="76"/>
      <c r="JAB224" s="76"/>
      <c r="JAC224" s="76"/>
      <c r="JAD224" s="76"/>
      <c r="JAE224" s="76"/>
      <c r="JAF224" s="76"/>
      <c r="JAG224" s="76"/>
      <c r="JAH224" s="76"/>
      <c r="JAI224" s="76"/>
      <c r="JAJ224" s="76"/>
      <c r="JAK224" s="76"/>
      <c r="JAL224" s="76"/>
      <c r="JAM224" s="76"/>
      <c r="JAN224" s="76"/>
      <c r="JAO224" s="76"/>
      <c r="JAP224" s="76"/>
      <c r="JAQ224" s="76"/>
      <c r="JAR224" s="76"/>
      <c r="JAS224" s="76"/>
      <c r="JAT224" s="76"/>
      <c r="JAU224" s="76"/>
      <c r="JAV224" s="76"/>
      <c r="JAW224" s="76"/>
      <c r="JAX224" s="76"/>
      <c r="JAY224" s="76"/>
      <c r="JAZ224" s="76"/>
      <c r="JBA224" s="76"/>
      <c r="JBB224" s="76"/>
      <c r="JBC224" s="76"/>
      <c r="JBD224" s="76"/>
      <c r="JBE224" s="76"/>
      <c r="JBF224" s="76"/>
      <c r="JBG224" s="76"/>
      <c r="JBH224" s="76"/>
      <c r="JBI224" s="76"/>
      <c r="JBJ224" s="76"/>
      <c r="JBK224" s="76"/>
      <c r="JBL224" s="76"/>
      <c r="JBM224" s="76"/>
      <c r="JBN224" s="76"/>
      <c r="JBO224" s="76"/>
      <c r="JBP224" s="76"/>
      <c r="JBQ224" s="76"/>
      <c r="JBR224" s="76"/>
      <c r="JBS224" s="76"/>
      <c r="JBT224" s="76"/>
      <c r="JBU224" s="76"/>
      <c r="JBV224" s="76"/>
      <c r="JBW224" s="76"/>
      <c r="JBX224" s="76"/>
      <c r="JBY224" s="76"/>
      <c r="JBZ224" s="76"/>
      <c r="JCA224" s="76"/>
      <c r="JCB224" s="76"/>
      <c r="JCC224" s="76"/>
      <c r="JCD224" s="76"/>
      <c r="JCE224" s="76"/>
      <c r="JCF224" s="76"/>
      <c r="JCG224" s="76"/>
      <c r="JCH224" s="76"/>
      <c r="JCI224" s="76"/>
      <c r="JCJ224" s="76"/>
      <c r="JCK224" s="76"/>
      <c r="JCL224" s="76"/>
      <c r="JCM224" s="76"/>
      <c r="JCN224" s="76"/>
      <c r="JCO224" s="76"/>
      <c r="JCP224" s="76"/>
      <c r="JCQ224" s="76"/>
      <c r="JCR224" s="76"/>
      <c r="JCS224" s="76"/>
      <c r="JCT224" s="76"/>
      <c r="JCU224" s="76"/>
      <c r="JCV224" s="76"/>
      <c r="JCW224" s="76"/>
      <c r="JCX224" s="76"/>
      <c r="JCY224" s="76"/>
      <c r="JCZ224" s="76"/>
      <c r="JDA224" s="76"/>
      <c r="JDB224" s="76"/>
      <c r="JDC224" s="76"/>
      <c r="JDD224" s="76"/>
      <c r="JDE224" s="76"/>
      <c r="JDF224" s="76"/>
      <c r="JDG224" s="76"/>
      <c r="JDH224" s="76"/>
      <c r="JDI224" s="76"/>
      <c r="JDJ224" s="76"/>
      <c r="JDK224" s="76"/>
      <c r="JDL224" s="76"/>
      <c r="JDM224" s="76"/>
      <c r="JDN224" s="76"/>
      <c r="JDO224" s="76"/>
      <c r="JDP224" s="76"/>
      <c r="JDQ224" s="76"/>
      <c r="JDR224" s="76"/>
      <c r="JDS224" s="76"/>
      <c r="JDT224" s="76"/>
      <c r="JDU224" s="76"/>
      <c r="JDV224" s="76"/>
      <c r="JDW224" s="76"/>
      <c r="JDX224" s="76"/>
      <c r="JDY224" s="76"/>
      <c r="JDZ224" s="76"/>
      <c r="JEA224" s="76"/>
      <c r="JEB224" s="76"/>
      <c r="JEC224" s="76"/>
      <c r="JED224" s="76"/>
      <c r="JEE224" s="76"/>
      <c r="JEF224" s="76"/>
      <c r="JEG224" s="76"/>
      <c r="JEH224" s="76"/>
      <c r="JEI224" s="76"/>
      <c r="JEJ224" s="76"/>
      <c r="JEK224" s="76"/>
      <c r="JEL224" s="76"/>
      <c r="JEM224" s="76"/>
      <c r="JEN224" s="76"/>
      <c r="JEO224" s="76"/>
      <c r="JEP224" s="76"/>
      <c r="JEQ224" s="76"/>
      <c r="JER224" s="76"/>
      <c r="JES224" s="76"/>
      <c r="JET224" s="76"/>
      <c r="JEU224" s="76"/>
      <c r="JEV224" s="76"/>
      <c r="JEW224" s="76"/>
      <c r="JEX224" s="76"/>
      <c r="JEY224" s="76"/>
      <c r="JEZ224" s="76"/>
      <c r="JFA224" s="76"/>
      <c r="JFB224" s="76"/>
      <c r="JFC224" s="76"/>
      <c r="JFD224" s="76"/>
      <c r="JFE224" s="76"/>
      <c r="JFF224" s="76"/>
      <c r="JFG224" s="76"/>
      <c r="JFH224" s="76"/>
      <c r="JFI224" s="76"/>
      <c r="JFJ224" s="76"/>
      <c r="JFK224" s="76"/>
      <c r="JFL224" s="76"/>
      <c r="JFM224" s="76"/>
      <c r="JFN224" s="76"/>
      <c r="JFO224" s="76"/>
      <c r="JFP224" s="76"/>
      <c r="JFQ224" s="76"/>
      <c r="JFR224" s="76"/>
      <c r="JFS224" s="76"/>
      <c r="JFT224" s="76"/>
      <c r="JFU224" s="76"/>
      <c r="JFV224" s="76"/>
      <c r="JFW224" s="76"/>
      <c r="JFX224" s="76"/>
      <c r="JFY224" s="76"/>
      <c r="JFZ224" s="76"/>
      <c r="JGA224" s="76"/>
      <c r="JGB224" s="76"/>
      <c r="JGC224" s="76"/>
      <c r="JGD224" s="76"/>
      <c r="JGE224" s="76"/>
      <c r="JGF224" s="76"/>
      <c r="JGG224" s="76"/>
      <c r="JGH224" s="76"/>
      <c r="JGI224" s="76"/>
      <c r="JGJ224" s="76"/>
      <c r="JGK224" s="76"/>
      <c r="JGL224" s="76"/>
      <c r="JGM224" s="76"/>
      <c r="JGN224" s="76"/>
      <c r="JGO224" s="76"/>
      <c r="JGP224" s="76"/>
      <c r="JGQ224" s="76"/>
      <c r="JGR224" s="76"/>
      <c r="JGS224" s="76"/>
      <c r="JGT224" s="76"/>
      <c r="JGU224" s="76"/>
      <c r="JGV224" s="76"/>
      <c r="JGW224" s="76"/>
      <c r="JGX224" s="76"/>
      <c r="JGY224" s="76"/>
      <c r="JGZ224" s="76"/>
      <c r="JHA224" s="76"/>
      <c r="JHB224" s="76"/>
      <c r="JHC224" s="76"/>
      <c r="JHD224" s="76"/>
      <c r="JHE224" s="76"/>
      <c r="JHF224" s="76"/>
      <c r="JHG224" s="76"/>
      <c r="JHH224" s="76"/>
      <c r="JHI224" s="76"/>
      <c r="JHJ224" s="76"/>
      <c r="JHK224" s="76"/>
      <c r="JHL224" s="76"/>
      <c r="JHM224" s="76"/>
      <c r="JHN224" s="76"/>
      <c r="JHO224" s="76"/>
      <c r="JHP224" s="76"/>
      <c r="JHQ224" s="76"/>
      <c r="JHR224" s="76"/>
      <c r="JHS224" s="76"/>
      <c r="JHT224" s="76"/>
      <c r="JHU224" s="76"/>
      <c r="JHV224" s="76"/>
      <c r="JHW224" s="76"/>
      <c r="JHX224" s="76"/>
      <c r="JHY224" s="76"/>
      <c r="JHZ224" s="76"/>
      <c r="JIA224" s="76"/>
      <c r="JIB224" s="76"/>
      <c r="JIC224" s="76"/>
      <c r="JID224" s="76"/>
      <c r="JIE224" s="76"/>
      <c r="JIF224" s="76"/>
      <c r="JIG224" s="76"/>
      <c r="JIH224" s="76"/>
      <c r="JII224" s="76"/>
      <c r="JIJ224" s="76"/>
      <c r="JIK224" s="76"/>
      <c r="JIL224" s="76"/>
      <c r="JIM224" s="76"/>
      <c r="JIN224" s="76"/>
      <c r="JIO224" s="76"/>
      <c r="JIP224" s="76"/>
      <c r="JIQ224" s="76"/>
      <c r="JIR224" s="76"/>
      <c r="JIS224" s="76"/>
      <c r="JIT224" s="76"/>
      <c r="JIU224" s="76"/>
      <c r="JIV224" s="76"/>
      <c r="JIW224" s="76"/>
      <c r="JIX224" s="76"/>
      <c r="JIY224" s="76"/>
      <c r="JIZ224" s="76"/>
      <c r="JJA224" s="76"/>
      <c r="JJB224" s="76"/>
      <c r="JJC224" s="76"/>
      <c r="JJD224" s="76"/>
      <c r="JJE224" s="76"/>
      <c r="JJF224" s="76"/>
      <c r="JJG224" s="76"/>
      <c r="JJH224" s="76"/>
      <c r="JJI224" s="76"/>
      <c r="JJJ224" s="76"/>
      <c r="JJK224" s="76"/>
      <c r="JJL224" s="76"/>
      <c r="JJM224" s="76"/>
      <c r="JJN224" s="76"/>
      <c r="JJO224" s="76"/>
      <c r="JJP224" s="76"/>
      <c r="JJQ224" s="76"/>
      <c r="JJR224" s="76"/>
      <c r="JJS224" s="76"/>
      <c r="JJT224" s="76"/>
      <c r="JJU224" s="76"/>
      <c r="JJV224" s="76"/>
      <c r="JJW224" s="76"/>
      <c r="JJX224" s="76"/>
      <c r="JJY224" s="76"/>
      <c r="JJZ224" s="76"/>
      <c r="JKA224" s="76"/>
      <c r="JKB224" s="76"/>
      <c r="JKC224" s="76"/>
      <c r="JKD224" s="76"/>
      <c r="JKE224" s="76"/>
      <c r="JKF224" s="76"/>
      <c r="JKG224" s="76"/>
      <c r="JKH224" s="76"/>
      <c r="JKI224" s="76"/>
      <c r="JKJ224" s="76"/>
      <c r="JKK224" s="76"/>
      <c r="JKL224" s="76"/>
      <c r="JKM224" s="76"/>
      <c r="JKN224" s="76"/>
      <c r="JKO224" s="76"/>
      <c r="JKP224" s="76"/>
      <c r="JKQ224" s="76"/>
      <c r="JKR224" s="76"/>
      <c r="JKS224" s="76"/>
      <c r="JKT224" s="76"/>
      <c r="JKU224" s="76"/>
      <c r="JKV224" s="76"/>
      <c r="JKW224" s="76"/>
      <c r="JKX224" s="76"/>
      <c r="JKY224" s="76"/>
      <c r="JKZ224" s="76"/>
      <c r="JLA224" s="76"/>
      <c r="JLB224" s="76"/>
      <c r="JLC224" s="76"/>
      <c r="JLD224" s="76"/>
      <c r="JLE224" s="76"/>
      <c r="JLF224" s="76"/>
      <c r="JLG224" s="76"/>
      <c r="JLH224" s="76"/>
      <c r="JLI224" s="76"/>
      <c r="JLJ224" s="76"/>
      <c r="JLK224" s="76"/>
      <c r="JLL224" s="76"/>
      <c r="JLM224" s="76"/>
      <c r="JLN224" s="76"/>
      <c r="JLO224" s="76"/>
      <c r="JLP224" s="76"/>
      <c r="JLQ224" s="76"/>
      <c r="JLR224" s="76"/>
      <c r="JLS224" s="76"/>
      <c r="JLT224" s="76"/>
      <c r="JLU224" s="76"/>
      <c r="JLV224" s="76"/>
      <c r="JLW224" s="76"/>
      <c r="JLX224" s="76"/>
      <c r="JLY224" s="76"/>
      <c r="JLZ224" s="76"/>
      <c r="JMA224" s="76"/>
      <c r="JMB224" s="76"/>
      <c r="JMC224" s="76"/>
      <c r="JMD224" s="76"/>
      <c r="JME224" s="76"/>
      <c r="JMF224" s="76"/>
      <c r="JMG224" s="76"/>
      <c r="JMH224" s="76"/>
      <c r="JMI224" s="76"/>
      <c r="JMJ224" s="76"/>
      <c r="JMK224" s="76"/>
      <c r="JML224" s="76"/>
      <c r="JMM224" s="76"/>
      <c r="JMN224" s="76"/>
      <c r="JMO224" s="76"/>
      <c r="JMP224" s="76"/>
      <c r="JMQ224" s="76"/>
      <c r="JMR224" s="76"/>
      <c r="JMS224" s="76"/>
      <c r="JMT224" s="76"/>
      <c r="JMU224" s="76"/>
      <c r="JMV224" s="76"/>
      <c r="JMW224" s="76"/>
      <c r="JMX224" s="76"/>
      <c r="JMY224" s="76"/>
      <c r="JMZ224" s="76"/>
      <c r="JNA224" s="76"/>
      <c r="JNB224" s="76"/>
      <c r="JNC224" s="76"/>
      <c r="JND224" s="76"/>
      <c r="JNE224" s="76"/>
      <c r="JNF224" s="76"/>
      <c r="JNG224" s="76"/>
      <c r="JNH224" s="76"/>
      <c r="JNI224" s="76"/>
      <c r="JNJ224" s="76"/>
      <c r="JNK224" s="76"/>
      <c r="JNL224" s="76"/>
      <c r="JNM224" s="76"/>
      <c r="JNN224" s="76"/>
      <c r="JNO224" s="76"/>
      <c r="JNP224" s="76"/>
      <c r="JNQ224" s="76"/>
      <c r="JNR224" s="76"/>
      <c r="JNS224" s="76"/>
      <c r="JNT224" s="76"/>
      <c r="JNU224" s="76"/>
      <c r="JNV224" s="76"/>
      <c r="JNW224" s="76"/>
      <c r="JNX224" s="76"/>
      <c r="JNY224" s="76"/>
      <c r="JNZ224" s="76"/>
      <c r="JOA224" s="76"/>
      <c r="JOB224" s="76"/>
      <c r="JOC224" s="76"/>
      <c r="JOD224" s="76"/>
      <c r="JOE224" s="76"/>
      <c r="JOF224" s="76"/>
      <c r="JOG224" s="76"/>
      <c r="JOH224" s="76"/>
      <c r="JOI224" s="76"/>
      <c r="JOJ224" s="76"/>
      <c r="JOK224" s="76"/>
      <c r="JOL224" s="76"/>
      <c r="JOM224" s="76"/>
      <c r="JON224" s="76"/>
      <c r="JOO224" s="76"/>
      <c r="JOP224" s="76"/>
      <c r="JOQ224" s="76"/>
      <c r="JOR224" s="76"/>
      <c r="JOS224" s="76"/>
      <c r="JOT224" s="76"/>
      <c r="JOU224" s="76"/>
      <c r="JOV224" s="76"/>
      <c r="JOW224" s="76"/>
      <c r="JOX224" s="76"/>
      <c r="JOY224" s="76"/>
      <c r="JOZ224" s="76"/>
      <c r="JPA224" s="76"/>
      <c r="JPB224" s="76"/>
      <c r="JPC224" s="76"/>
      <c r="JPD224" s="76"/>
      <c r="JPE224" s="76"/>
      <c r="JPF224" s="76"/>
      <c r="JPG224" s="76"/>
      <c r="JPH224" s="76"/>
      <c r="JPI224" s="76"/>
      <c r="JPJ224" s="76"/>
      <c r="JPK224" s="76"/>
      <c r="JPL224" s="76"/>
      <c r="JPM224" s="76"/>
      <c r="JPN224" s="76"/>
      <c r="JPO224" s="76"/>
      <c r="JPP224" s="76"/>
      <c r="JPQ224" s="76"/>
      <c r="JPR224" s="76"/>
      <c r="JPS224" s="76"/>
      <c r="JPT224" s="76"/>
      <c r="JPU224" s="76"/>
      <c r="JPV224" s="76"/>
      <c r="JPW224" s="76"/>
      <c r="JPX224" s="76"/>
      <c r="JPY224" s="76"/>
      <c r="JPZ224" s="76"/>
      <c r="JQA224" s="76"/>
      <c r="JQB224" s="76"/>
      <c r="JQC224" s="76"/>
      <c r="JQD224" s="76"/>
      <c r="JQE224" s="76"/>
      <c r="JQF224" s="76"/>
      <c r="JQG224" s="76"/>
      <c r="JQH224" s="76"/>
      <c r="JQI224" s="76"/>
      <c r="JQJ224" s="76"/>
      <c r="JQK224" s="76"/>
      <c r="JQL224" s="76"/>
      <c r="JQM224" s="76"/>
      <c r="JQN224" s="76"/>
      <c r="JQO224" s="76"/>
      <c r="JQP224" s="76"/>
      <c r="JQQ224" s="76"/>
      <c r="JQR224" s="76"/>
      <c r="JQS224" s="76"/>
      <c r="JQT224" s="76"/>
      <c r="JQU224" s="76"/>
      <c r="JQV224" s="76"/>
      <c r="JQW224" s="76"/>
      <c r="JQX224" s="76"/>
      <c r="JQY224" s="76"/>
      <c r="JQZ224" s="76"/>
      <c r="JRA224" s="76"/>
      <c r="JRB224" s="76"/>
      <c r="JRC224" s="76"/>
      <c r="JRD224" s="76"/>
      <c r="JRE224" s="76"/>
      <c r="JRF224" s="76"/>
      <c r="JRG224" s="76"/>
      <c r="JRH224" s="76"/>
      <c r="JRI224" s="76"/>
      <c r="JRJ224" s="76"/>
      <c r="JRK224" s="76"/>
      <c r="JRL224" s="76"/>
      <c r="JRM224" s="76"/>
      <c r="JRN224" s="76"/>
      <c r="JRO224" s="76"/>
      <c r="JRP224" s="76"/>
      <c r="JRQ224" s="76"/>
      <c r="JRR224" s="76"/>
      <c r="JRS224" s="76"/>
      <c r="JRT224" s="76"/>
      <c r="JRU224" s="76"/>
      <c r="JRV224" s="76"/>
      <c r="JRW224" s="76"/>
      <c r="JRX224" s="76"/>
      <c r="JRY224" s="76"/>
      <c r="JRZ224" s="76"/>
      <c r="JSA224" s="76"/>
      <c r="JSB224" s="76"/>
      <c r="JSC224" s="76"/>
      <c r="JSD224" s="76"/>
      <c r="JSE224" s="76"/>
      <c r="JSF224" s="76"/>
      <c r="JSG224" s="76"/>
      <c r="JSH224" s="76"/>
      <c r="JSI224" s="76"/>
      <c r="JSJ224" s="76"/>
      <c r="JSK224" s="76"/>
      <c r="JSL224" s="76"/>
      <c r="JSM224" s="76"/>
      <c r="JSN224" s="76"/>
      <c r="JSO224" s="76"/>
      <c r="JSP224" s="76"/>
      <c r="JSQ224" s="76"/>
      <c r="JSR224" s="76"/>
      <c r="JSS224" s="76"/>
      <c r="JST224" s="76"/>
      <c r="JSU224" s="76"/>
      <c r="JSV224" s="76"/>
      <c r="JSW224" s="76"/>
      <c r="JSX224" s="76"/>
      <c r="JSY224" s="76"/>
      <c r="JSZ224" s="76"/>
      <c r="JTA224" s="76"/>
      <c r="JTB224" s="76"/>
      <c r="JTC224" s="76"/>
      <c r="JTD224" s="76"/>
      <c r="JTE224" s="76"/>
      <c r="JTF224" s="76"/>
      <c r="JTG224" s="76"/>
      <c r="JTH224" s="76"/>
      <c r="JTI224" s="76"/>
      <c r="JTJ224" s="76"/>
      <c r="JTK224" s="76"/>
      <c r="JTL224" s="76"/>
      <c r="JTM224" s="76"/>
      <c r="JTN224" s="76"/>
      <c r="JTO224" s="76"/>
      <c r="JTP224" s="76"/>
      <c r="JTQ224" s="76"/>
      <c r="JTR224" s="76"/>
      <c r="JTS224" s="76"/>
      <c r="JTT224" s="76"/>
      <c r="JTU224" s="76"/>
      <c r="JTV224" s="76"/>
      <c r="JTW224" s="76"/>
      <c r="JTX224" s="76"/>
      <c r="JTY224" s="76"/>
      <c r="JTZ224" s="76"/>
      <c r="JUA224" s="76"/>
      <c r="JUB224" s="76"/>
      <c r="JUC224" s="76"/>
      <c r="JUD224" s="76"/>
      <c r="JUE224" s="76"/>
      <c r="JUF224" s="76"/>
      <c r="JUG224" s="76"/>
      <c r="JUH224" s="76"/>
      <c r="JUI224" s="76"/>
      <c r="JUJ224" s="76"/>
      <c r="JUK224" s="76"/>
      <c r="JUL224" s="76"/>
      <c r="JUM224" s="76"/>
      <c r="JUN224" s="76"/>
      <c r="JUO224" s="76"/>
      <c r="JUP224" s="76"/>
      <c r="JUQ224" s="76"/>
      <c r="JUR224" s="76"/>
      <c r="JUS224" s="76"/>
      <c r="JUT224" s="76"/>
      <c r="JUU224" s="76"/>
      <c r="JUV224" s="76"/>
      <c r="JUW224" s="76"/>
      <c r="JUX224" s="76"/>
      <c r="JUY224" s="76"/>
      <c r="JUZ224" s="76"/>
      <c r="JVA224" s="76"/>
      <c r="JVB224" s="76"/>
      <c r="JVC224" s="76"/>
      <c r="JVD224" s="76"/>
      <c r="JVE224" s="76"/>
      <c r="JVF224" s="76"/>
      <c r="JVG224" s="76"/>
      <c r="JVH224" s="76"/>
      <c r="JVI224" s="76"/>
      <c r="JVJ224" s="76"/>
      <c r="JVK224" s="76"/>
      <c r="JVL224" s="76"/>
      <c r="JVM224" s="76"/>
      <c r="JVN224" s="76"/>
      <c r="JVO224" s="76"/>
      <c r="JVP224" s="76"/>
      <c r="JVQ224" s="76"/>
      <c r="JVR224" s="76"/>
      <c r="JVS224" s="76"/>
      <c r="JVT224" s="76"/>
      <c r="JVU224" s="76"/>
      <c r="JVV224" s="76"/>
      <c r="JVW224" s="76"/>
      <c r="JVX224" s="76"/>
      <c r="JVY224" s="76"/>
      <c r="JVZ224" s="76"/>
      <c r="JWA224" s="76"/>
      <c r="JWB224" s="76"/>
      <c r="JWC224" s="76"/>
      <c r="JWD224" s="76"/>
      <c r="JWE224" s="76"/>
      <c r="JWF224" s="76"/>
      <c r="JWG224" s="76"/>
      <c r="JWH224" s="76"/>
      <c r="JWI224" s="76"/>
      <c r="JWJ224" s="76"/>
      <c r="JWK224" s="76"/>
      <c r="JWL224" s="76"/>
      <c r="JWM224" s="76"/>
      <c r="JWN224" s="76"/>
      <c r="JWO224" s="76"/>
      <c r="JWP224" s="76"/>
      <c r="JWQ224" s="76"/>
      <c r="JWR224" s="76"/>
      <c r="JWS224" s="76"/>
      <c r="JWT224" s="76"/>
      <c r="JWU224" s="76"/>
      <c r="JWV224" s="76"/>
      <c r="JWW224" s="76"/>
      <c r="JWX224" s="76"/>
      <c r="JWY224" s="76"/>
      <c r="JWZ224" s="76"/>
      <c r="JXA224" s="76"/>
      <c r="JXB224" s="76"/>
      <c r="JXC224" s="76"/>
      <c r="JXD224" s="76"/>
      <c r="JXE224" s="76"/>
      <c r="JXF224" s="76"/>
      <c r="JXG224" s="76"/>
      <c r="JXH224" s="76"/>
      <c r="JXI224" s="76"/>
      <c r="JXJ224" s="76"/>
      <c r="JXK224" s="76"/>
      <c r="JXL224" s="76"/>
      <c r="JXM224" s="76"/>
      <c r="JXN224" s="76"/>
      <c r="JXO224" s="76"/>
      <c r="JXP224" s="76"/>
      <c r="JXQ224" s="76"/>
      <c r="JXR224" s="76"/>
      <c r="JXS224" s="76"/>
      <c r="JXT224" s="76"/>
      <c r="JXU224" s="76"/>
      <c r="JXV224" s="76"/>
      <c r="JXW224" s="76"/>
      <c r="JXX224" s="76"/>
      <c r="JXY224" s="76"/>
      <c r="JXZ224" s="76"/>
      <c r="JYA224" s="76"/>
      <c r="JYB224" s="76"/>
      <c r="JYC224" s="76"/>
      <c r="JYD224" s="76"/>
      <c r="JYE224" s="76"/>
      <c r="JYF224" s="76"/>
      <c r="JYG224" s="76"/>
      <c r="JYH224" s="76"/>
      <c r="JYI224" s="76"/>
      <c r="JYJ224" s="76"/>
      <c r="JYK224" s="76"/>
      <c r="JYL224" s="76"/>
      <c r="JYM224" s="76"/>
      <c r="JYN224" s="76"/>
      <c r="JYO224" s="76"/>
      <c r="JYP224" s="76"/>
      <c r="JYQ224" s="76"/>
      <c r="JYR224" s="76"/>
      <c r="JYS224" s="76"/>
      <c r="JYT224" s="76"/>
      <c r="JYU224" s="76"/>
      <c r="JYV224" s="76"/>
      <c r="JYW224" s="76"/>
      <c r="JYX224" s="76"/>
      <c r="JYY224" s="76"/>
      <c r="JYZ224" s="76"/>
      <c r="JZA224" s="76"/>
      <c r="JZB224" s="76"/>
      <c r="JZC224" s="76"/>
      <c r="JZD224" s="76"/>
      <c r="JZE224" s="76"/>
      <c r="JZF224" s="76"/>
      <c r="JZG224" s="76"/>
      <c r="JZH224" s="76"/>
      <c r="JZI224" s="76"/>
      <c r="JZJ224" s="76"/>
      <c r="JZK224" s="76"/>
      <c r="JZL224" s="76"/>
      <c r="JZM224" s="76"/>
      <c r="JZN224" s="76"/>
      <c r="JZO224" s="76"/>
      <c r="JZP224" s="76"/>
      <c r="JZQ224" s="76"/>
      <c r="JZR224" s="76"/>
      <c r="JZS224" s="76"/>
      <c r="JZT224" s="76"/>
      <c r="JZU224" s="76"/>
      <c r="JZV224" s="76"/>
      <c r="JZW224" s="76"/>
      <c r="JZX224" s="76"/>
      <c r="JZY224" s="76"/>
      <c r="JZZ224" s="76"/>
      <c r="KAA224" s="76"/>
      <c r="KAB224" s="76"/>
      <c r="KAC224" s="76"/>
      <c r="KAD224" s="76"/>
      <c r="KAE224" s="76"/>
      <c r="KAF224" s="76"/>
      <c r="KAG224" s="76"/>
      <c r="KAH224" s="76"/>
      <c r="KAI224" s="76"/>
      <c r="KAJ224" s="76"/>
      <c r="KAK224" s="76"/>
      <c r="KAL224" s="76"/>
      <c r="KAM224" s="76"/>
      <c r="KAN224" s="76"/>
      <c r="KAO224" s="76"/>
      <c r="KAP224" s="76"/>
      <c r="KAQ224" s="76"/>
      <c r="KAR224" s="76"/>
      <c r="KAS224" s="76"/>
      <c r="KAT224" s="76"/>
      <c r="KAU224" s="76"/>
      <c r="KAV224" s="76"/>
      <c r="KAW224" s="76"/>
      <c r="KAX224" s="76"/>
      <c r="KAY224" s="76"/>
      <c r="KAZ224" s="76"/>
      <c r="KBA224" s="76"/>
      <c r="KBB224" s="76"/>
      <c r="KBC224" s="76"/>
      <c r="KBD224" s="76"/>
      <c r="KBE224" s="76"/>
      <c r="KBF224" s="76"/>
      <c r="KBG224" s="76"/>
      <c r="KBH224" s="76"/>
      <c r="KBI224" s="76"/>
      <c r="KBJ224" s="76"/>
      <c r="KBK224" s="76"/>
      <c r="KBL224" s="76"/>
      <c r="KBM224" s="76"/>
      <c r="KBN224" s="76"/>
      <c r="KBO224" s="76"/>
      <c r="KBP224" s="76"/>
      <c r="KBQ224" s="76"/>
      <c r="KBR224" s="76"/>
      <c r="KBS224" s="76"/>
      <c r="KBT224" s="76"/>
      <c r="KBU224" s="76"/>
      <c r="KBV224" s="76"/>
      <c r="KBW224" s="76"/>
      <c r="KBX224" s="76"/>
      <c r="KBY224" s="76"/>
      <c r="KBZ224" s="76"/>
      <c r="KCA224" s="76"/>
      <c r="KCB224" s="76"/>
      <c r="KCC224" s="76"/>
      <c r="KCD224" s="76"/>
      <c r="KCE224" s="76"/>
      <c r="KCF224" s="76"/>
      <c r="KCG224" s="76"/>
      <c r="KCH224" s="76"/>
      <c r="KCI224" s="76"/>
      <c r="KCJ224" s="76"/>
      <c r="KCK224" s="76"/>
      <c r="KCL224" s="76"/>
      <c r="KCM224" s="76"/>
      <c r="KCN224" s="76"/>
      <c r="KCO224" s="76"/>
      <c r="KCP224" s="76"/>
      <c r="KCQ224" s="76"/>
      <c r="KCR224" s="76"/>
      <c r="KCS224" s="76"/>
      <c r="KCT224" s="76"/>
      <c r="KCU224" s="76"/>
      <c r="KCV224" s="76"/>
      <c r="KCW224" s="76"/>
      <c r="KCX224" s="76"/>
      <c r="KCY224" s="76"/>
      <c r="KCZ224" s="76"/>
      <c r="KDA224" s="76"/>
      <c r="KDB224" s="76"/>
      <c r="KDC224" s="76"/>
      <c r="KDD224" s="76"/>
      <c r="KDE224" s="76"/>
      <c r="KDF224" s="76"/>
      <c r="KDG224" s="76"/>
      <c r="KDH224" s="76"/>
      <c r="KDI224" s="76"/>
      <c r="KDJ224" s="76"/>
      <c r="KDK224" s="76"/>
      <c r="KDL224" s="76"/>
      <c r="KDM224" s="76"/>
      <c r="KDN224" s="76"/>
      <c r="KDO224" s="76"/>
      <c r="KDP224" s="76"/>
      <c r="KDQ224" s="76"/>
      <c r="KDR224" s="76"/>
      <c r="KDS224" s="76"/>
      <c r="KDT224" s="76"/>
      <c r="KDU224" s="76"/>
      <c r="KDV224" s="76"/>
      <c r="KDW224" s="76"/>
      <c r="KDX224" s="76"/>
      <c r="KDY224" s="76"/>
      <c r="KDZ224" s="76"/>
      <c r="KEA224" s="76"/>
      <c r="KEB224" s="76"/>
      <c r="KEC224" s="76"/>
      <c r="KED224" s="76"/>
      <c r="KEE224" s="76"/>
      <c r="KEF224" s="76"/>
      <c r="KEG224" s="76"/>
      <c r="KEH224" s="76"/>
      <c r="KEI224" s="76"/>
      <c r="KEJ224" s="76"/>
      <c r="KEK224" s="76"/>
      <c r="KEL224" s="76"/>
      <c r="KEM224" s="76"/>
      <c r="KEN224" s="76"/>
      <c r="KEO224" s="76"/>
      <c r="KEP224" s="76"/>
      <c r="KEQ224" s="76"/>
      <c r="KER224" s="76"/>
      <c r="KES224" s="76"/>
      <c r="KET224" s="76"/>
      <c r="KEU224" s="76"/>
      <c r="KEV224" s="76"/>
      <c r="KEW224" s="76"/>
      <c r="KEX224" s="76"/>
      <c r="KEY224" s="76"/>
      <c r="KEZ224" s="76"/>
      <c r="KFA224" s="76"/>
      <c r="KFB224" s="76"/>
      <c r="KFC224" s="76"/>
      <c r="KFD224" s="76"/>
      <c r="KFE224" s="76"/>
      <c r="KFF224" s="76"/>
      <c r="KFG224" s="76"/>
      <c r="KFH224" s="76"/>
      <c r="KFI224" s="76"/>
      <c r="KFJ224" s="76"/>
      <c r="KFK224" s="76"/>
      <c r="KFL224" s="76"/>
      <c r="KFM224" s="76"/>
      <c r="KFN224" s="76"/>
      <c r="KFO224" s="76"/>
      <c r="KFP224" s="76"/>
      <c r="KFQ224" s="76"/>
      <c r="KFR224" s="76"/>
      <c r="KFS224" s="76"/>
      <c r="KFT224" s="76"/>
      <c r="KFU224" s="76"/>
      <c r="KFV224" s="76"/>
      <c r="KFW224" s="76"/>
      <c r="KFX224" s="76"/>
      <c r="KFY224" s="76"/>
      <c r="KFZ224" s="76"/>
      <c r="KGA224" s="76"/>
      <c r="KGB224" s="76"/>
      <c r="KGC224" s="76"/>
      <c r="KGD224" s="76"/>
      <c r="KGE224" s="76"/>
      <c r="KGF224" s="76"/>
      <c r="KGG224" s="76"/>
      <c r="KGH224" s="76"/>
      <c r="KGI224" s="76"/>
      <c r="KGJ224" s="76"/>
      <c r="KGK224" s="76"/>
      <c r="KGL224" s="76"/>
      <c r="KGM224" s="76"/>
      <c r="KGN224" s="76"/>
      <c r="KGO224" s="76"/>
      <c r="KGP224" s="76"/>
      <c r="KGQ224" s="76"/>
      <c r="KGR224" s="76"/>
      <c r="KGS224" s="76"/>
      <c r="KGT224" s="76"/>
      <c r="KGU224" s="76"/>
      <c r="KGV224" s="76"/>
      <c r="KGW224" s="76"/>
      <c r="KGX224" s="76"/>
      <c r="KGY224" s="76"/>
      <c r="KGZ224" s="76"/>
      <c r="KHA224" s="76"/>
      <c r="KHB224" s="76"/>
      <c r="KHC224" s="76"/>
      <c r="KHD224" s="76"/>
      <c r="KHE224" s="76"/>
      <c r="KHF224" s="76"/>
      <c r="KHG224" s="76"/>
      <c r="KHH224" s="76"/>
      <c r="KHI224" s="76"/>
      <c r="KHJ224" s="76"/>
      <c r="KHK224" s="76"/>
      <c r="KHL224" s="76"/>
      <c r="KHM224" s="76"/>
      <c r="KHN224" s="76"/>
      <c r="KHO224" s="76"/>
      <c r="KHP224" s="76"/>
      <c r="KHQ224" s="76"/>
      <c r="KHR224" s="76"/>
      <c r="KHS224" s="76"/>
      <c r="KHT224" s="76"/>
      <c r="KHU224" s="76"/>
      <c r="KHV224" s="76"/>
      <c r="KHW224" s="76"/>
      <c r="KHX224" s="76"/>
      <c r="KHY224" s="76"/>
      <c r="KHZ224" s="76"/>
      <c r="KIA224" s="76"/>
      <c r="KIB224" s="76"/>
      <c r="KIC224" s="76"/>
      <c r="KID224" s="76"/>
      <c r="KIE224" s="76"/>
      <c r="KIF224" s="76"/>
      <c r="KIG224" s="76"/>
      <c r="KIH224" s="76"/>
      <c r="KII224" s="76"/>
      <c r="KIJ224" s="76"/>
      <c r="KIK224" s="76"/>
      <c r="KIL224" s="76"/>
      <c r="KIM224" s="76"/>
      <c r="KIN224" s="76"/>
      <c r="KIO224" s="76"/>
      <c r="KIP224" s="76"/>
      <c r="KIQ224" s="76"/>
      <c r="KIR224" s="76"/>
      <c r="KIS224" s="76"/>
      <c r="KIT224" s="76"/>
      <c r="KIU224" s="76"/>
      <c r="KIV224" s="76"/>
      <c r="KIW224" s="76"/>
      <c r="KIX224" s="76"/>
      <c r="KIY224" s="76"/>
      <c r="KIZ224" s="76"/>
      <c r="KJA224" s="76"/>
      <c r="KJB224" s="76"/>
      <c r="KJC224" s="76"/>
      <c r="KJD224" s="76"/>
      <c r="KJE224" s="76"/>
      <c r="KJF224" s="76"/>
      <c r="KJG224" s="76"/>
      <c r="KJH224" s="76"/>
      <c r="KJI224" s="76"/>
      <c r="KJJ224" s="76"/>
      <c r="KJK224" s="76"/>
      <c r="KJL224" s="76"/>
      <c r="KJM224" s="76"/>
      <c r="KJN224" s="76"/>
      <c r="KJO224" s="76"/>
      <c r="KJP224" s="76"/>
      <c r="KJQ224" s="76"/>
      <c r="KJR224" s="76"/>
      <c r="KJS224" s="76"/>
      <c r="KJT224" s="76"/>
      <c r="KJU224" s="76"/>
      <c r="KJV224" s="76"/>
      <c r="KJW224" s="76"/>
      <c r="KJX224" s="76"/>
      <c r="KJY224" s="76"/>
      <c r="KJZ224" s="76"/>
      <c r="KKA224" s="76"/>
      <c r="KKB224" s="76"/>
      <c r="KKC224" s="76"/>
      <c r="KKD224" s="76"/>
      <c r="KKE224" s="76"/>
      <c r="KKF224" s="76"/>
      <c r="KKG224" s="76"/>
      <c r="KKH224" s="76"/>
      <c r="KKI224" s="76"/>
      <c r="KKJ224" s="76"/>
      <c r="KKK224" s="76"/>
      <c r="KKL224" s="76"/>
      <c r="KKM224" s="76"/>
      <c r="KKN224" s="76"/>
      <c r="KKO224" s="76"/>
      <c r="KKP224" s="76"/>
      <c r="KKQ224" s="76"/>
      <c r="KKR224" s="76"/>
      <c r="KKS224" s="76"/>
      <c r="KKT224" s="76"/>
      <c r="KKU224" s="76"/>
      <c r="KKV224" s="76"/>
      <c r="KKW224" s="76"/>
      <c r="KKX224" s="76"/>
      <c r="KKY224" s="76"/>
      <c r="KKZ224" s="76"/>
      <c r="KLA224" s="76"/>
      <c r="KLB224" s="76"/>
      <c r="KLC224" s="76"/>
      <c r="KLD224" s="76"/>
      <c r="KLE224" s="76"/>
      <c r="KLF224" s="76"/>
      <c r="KLG224" s="76"/>
      <c r="KLH224" s="76"/>
      <c r="KLI224" s="76"/>
      <c r="KLJ224" s="76"/>
      <c r="KLK224" s="76"/>
      <c r="KLL224" s="76"/>
      <c r="KLM224" s="76"/>
      <c r="KLN224" s="76"/>
      <c r="KLO224" s="76"/>
      <c r="KLP224" s="76"/>
      <c r="KLQ224" s="76"/>
      <c r="KLR224" s="76"/>
      <c r="KLS224" s="76"/>
      <c r="KLT224" s="76"/>
      <c r="KLU224" s="76"/>
      <c r="KLV224" s="76"/>
      <c r="KLW224" s="76"/>
      <c r="KLX224" s="76"/>
      <c r="KLY224" s="76"/>
      <c r="KLZ224" s="76"/>
      <c r="KMA224" s="76"/>
      <c r="KMB224" s="76"/>
      <c r="KMC224" s="76"/>
      <c r="KMD224" s="76"/>
      <c r="KME224" s="76"/>
      <c r="KMF224" s="76"/>
      <c r="KMG224" s="76"/>
      <c r="KMH224" s="76"/>
      <c r="KMI224" s="76"/>
      <c r="KMJ224" s="76"/>
      <c r="KMK224" s="76"/>
      <c r="KML224" s="76"/>
      <c r="KMM224" s="76"/>
      <c r="KMN224" s="76"/>
      <c r="KMO224" s="76"/>
      <c r="KMP224" s="76"/>
      <c r="KMQ224" s="76"/>
      <c r="KMR224" s="76"/>
      <c r="KMS224" s="76"/>
      <c r="KMT224" s="76"/>
      <c r="KMU224" s="76"/>
      <c r="KMV224" s="76"/>
      <c r="KMW224" s="76"/>
      <c r="KMX224" s="76"/>
      <c r="KMY224" s="76"/>
      <c r="KMZ224" s="76"/>
      <c r="KNA224" s="76"/>
      <c r="KNB224" s="76"/>
      <c r="KNC224" s="76"/>
      <c r="KND224" s="76"/>
      <c r="KNE224" s="76"/>
      <c r="KNF224" s="76"/>
      <c r="KNG224" s="76"/>
      <c r="KNH224" s="76"/>
      <c r="KNI224" s="76"/>
      <c r="KNJ224" s="76"/>
      <c r="KNK224" s="76"/>
      <c r="KNL224" s="76"/>
      <c r="KNM224" s="76"/>
      <c r="KNN224" s="76"/>
      <c r="KNO224" s="76"/>
      <c r="KNP224" s="76"/>
      <c r="KNQ224" s="76"/>
      <c r="KNR224" s="76"/>
      <c r="KNS224" s="76"/>
      <c r="KNT224" s="76"/>
      <c r="KNU224" s="76"/>
      <c r="KNV224" s="76"/>
      <c r="KNW224" s="76"/>
      <c r="KNX224" s="76"/>
      <c r="KNY224" s="76"/>
      <c r="KNZ224" s="76"/>
      <c r="KOA224" s="76"/>
      <c r="KOB224" s="76"/>
      <c r="KOC224" s="76"/>
      <c r="KOD224" s="76"/>
      <c r="KOE224" s="76"/>
      <c r="KOF224" s="76"/>
      <c r="KOG224" s="76"/>
      <c r="KOH224" s="76"/>
      <c r="KOI224" s="76"/>
      <c r="KOJ224" s="76"/>
      <c r="KOK224" s="76"/>
      <c r="KOL224" s="76"/>
      <c r="KOM224" s="76"/>
      <c r="KON224" s="76"/>
      <c r="KOO224" s="76"/>
      <c r="KOP224" s="76"/>
      <c r="KOQ224" s="76"/>
      <c r="KOR224" s="76"/>
      <c r="KOS224" s="76"/>
      <c r="KOT224" s="76"/>
      <c r="KOU224" s="76"/>
      <c r="KOV224" s="76"/>
      <c r="KOW224" s="76"/>
      <c r="KOX224" s="76"/>
      <c r="KOY224" s="76"/>
      <c r="KOZ224" s="76"/>
      <c r="KPA224" s="76"/>
      <c r="KPB224" s="76"/>
      <c r="KPC224" s="76"/>
      <c r="KPD224" s="76"/>
      <c r="KPE224" s="76"/>
      <c r="KPF224" s="76"/>
      <c r="KPG224" s="76"/>
      <c r="KPH224" s="76"/>
      <c r="KPI224" s="76"/>
      <c r="KPJ224" s="76"/>
      <c r="KPK224" s="76"/>
      <c r="KPL224" s="76"/>
      <c r="KPM224" s="76"/>
      <c r="KPN224" s="76"/>
      <c r="KPO224" s="76"/>
      <c r="KPP224" s="76"/>
      <c r="KPQ224" s="76"/>
      <c r="KPR224" s="76"/>
      <c r="KPS224" s="76"/>
      <c r="KPT224" s="76"/>
      <c r="KPU224" s="76"/>
      <c r="KPV224" s="76"/>
      <c r="KPW224" s="76"/>
      <c r="KPX224" s="76"/>
      <c r="KPY224" s="76"/>
      <c r="KPZ224" s="76"/>
      <c r="KQA224" s="76"/>
      <c r="KQB224" s="76"/>
      <c r="KQC224" s="76"/>
      <c r="KQD224" s="76"/>
      <c r="KQE224" s="76"/>
      <c r="KQF224" s="76"/>
      <c r="KQG224" s="76"/>
      <c r="KQH224" s="76"/>
      <c r="KQI224" s="76"/>
      <c r="KQJ224" s="76"/>
      <c r="KQK224" s="76"/>
      <c r="KQL224" s="76"/>
      <c r="KQM224" s="76"/>
      <c r="KQN224" s="76"/>
      <c r="KQO224" s="76"/>
      <c r="KQP224" s="76"/>
      <c r="KQQ224" s="76"/>
      <c r="KQR224" s="76"/>
      <c r="KQS224" s="76"/>
      <c r="KQT224" s="76"/>
      <c r="KQU224" s="76"/>
      <c r="KQV224" s="76"/>
      <c r="KQW224" s="76"/>
      <c r="KQX224" s="76"/>
      <c r="KQY224" s="76"/>
      <c r="KQZ224" s="76"/>
      <c r="KRA224" s="76"/>
      <c r="KRB224" s="76"/>
      <c r="KRC224" s="76"/>
      <c r="KRD224" s="76"/>
      <c r="KRE224" s="76"/>
      <c r="KRF224" s="76"/>
      <c r="KRG224" s="76"/>
      <c r="KRH224" s="76"/>
      <c r="KRI224" s="76"/>
      <c r="KRJ224" s="76"/>
      <c r="KRK224" s="76"/>
      <c r="KRL224" s="76"/>
      <c r="KRM224" s="76"/>
      <c r="KRN224" s="76"/>
      <c r="KRO224" s="76"/>
      <c r="KRP224" s="76"/>
      <c r="KRQ224" s="76"/>
      <c r="KRR224" s="76"/>
      <c r="KRS224" s="76"/>
      <c r="KRT224" s="76"/>
      <c r="KRU224" s="76"/>
      <c r="KRV224" s="76"/>
      <c r="KRW224" s="76"/>
      <c r="KRX224" s="76"/>
      <c r="KRY224" s="76"/>
      <c r="KRZ224" s="76"/>
      <c r="KSA224" s="76"/>
      <c r="KSB224" s="76"/>
      <c r="KSC224" s="76"/>
      <c r="KSD224" s="76"/>
      <c r="KSE224" s="76"/>
      <c r="KSF224" s="76"/>
      <c r="KSG224" s="76"/>
      <c r="KSH224" s="76"/>
      <c r="KSI224" s="76"/>
      <c r="KSJ224" s="76"/>
      <c r="KSK224" s="76"/>
      <c r="KSL224" s="76"/>
      <c r="KSM224" s="76"/>
      <c r="KSN224" s="76"/>
      <c r="KSO224" s="76"/>
      <c r="KSP224" s="76"/>
      <c r="KSQ224" s="76"/>
      <c r="KSR224" s="76"/>
      <c r="KSS224" s="76"/>
      <c r="KST224" s="76"/>
      <c r="KSU224" s="76"/>
      <c r="KSV224" s="76"/>
      <c r="KSW224" s="76"/>
      <c r="KSX224" s="76"/>
      <c r="KSY224" s="76"/>
      <c r="KSZ224" s="76"/>
      <c r="KTA224" s="76"/>
      <c r="KTB224" s="76"/>
      <c r="KTC224" s="76"/>
      <c r="KTD224" s="76"/>
      <c r="KTE224" s="76"/>
      <c r="KTF224" s="76"/>
      <c r="KTG224" s="76"/>
      <c r="KTH224" s="76"/>
      <c r="KTI224" s="76"/>
      <c r="KTJ224" s="76"/>
      <c r="KTK224" s="76"/>
      <c r="KTL224" s="76"/>
      <c r="KTM224" s="76"/>
      <c r="KTN224" s="76"/>
      <c r="KTO224" s="76"/>
      <c r="KTP224" s="76"/>
      <c r="KTQ224" s="76"/>
      <c r="KTR224" s="76"/>
      <c r="KTS224" s="76"/>
      <c r="KTT224" s="76"/>
      <c r="KTU224" s="76"/>
      <c r="KTV224" s="76"/>
      <c r="KTW224" s="76"/>
      <c r="KTX224" s="76"/>
      <c r="KTY224" s="76"/>
      <c r="KTZ224" s="76"/>
      <c r="KUA224" s="76"/>
      <c r="KUB224" s="76"/>
      <c r="KUC224" s="76"/>
      <c r="KUD224" s="76"/>
      <c r="KUE224" s="76"/>
      <c r="KUF224" s="76"/>
      <c r="KUG224" s="76"/>
      <c r="KUH224" s="76"/>
      <c r="KUI224" s="76"/>
      <c r="KUJ224" s="76"/>
      <c r="KUK224" s="76"/>
      <c r="KUL224" s="76"/>
      <c r="KUM224" s="76"/>
      <c r="KUN224" s="76"/>
      <c r="KUO224" s="76"/>
      <c r="KUP224" s="76"/>
      <c r="KUQ224" s="76"/>
      <c r="KUR224" s="76"/>
      <c r="KUS224" s="76"/>
      <c r="KUT224" s="76"/>
      <c r="KUU224" s="76"/>
      <c r="KUV224" s="76"/>
      <c r="KUW224" s="76"/>
      <c r="KUX224" s="76"/>
      <c r="KUY224" s="76"/>
      <c r="KUZ224" s="76"/>
      <c r="KVA224" s="76"/>
      <c r="KVB224" s="76"/>
      <c r="KVC224" s="76"/>
      <c r="KVD224" s="76"/>
      <c r="KVE224" s="76"/>
      <c r="KVF224" s="76"/>
      <c r="KVG224" s="76"/>
      <c r="KVH224" s="76"/>
      <c r="KVI224" s="76"/>
      <c r="KVJ224" s="76"/>
      <c r="KVK224" s="76"/>
      <c r="KVL224" s="76"/>
      <c r="KVM224" s="76"/>
      <c r="KVN224" s="76"/>
      <c r="KVO224" s="76"/>
      <c r="KVP224" s="76"/>
      <c r="KVQ224" s="76"/>
      <c r="KVR224" s="76"/>
      <c r="KVS224" s="76"/>
      <c r="KVT224" s="76"/>
      <c r="KVU224" s="76"/>
      <c r="KVV224" s="76"/>
      <c r="KVW224" s="76"/>
      <c r="KVX224" s="76"/>
      <c r="KVY224" s="76"/>
      <c r="KVZ224" s="76"/>
      <c r="KWA224" s="76"/>
      <c r="KWB224" s="76"/>
      <c r="KWC224" s="76"/>
      <c r="KWD224" s="76"/>
      <c r="KWE224" s="76"/>
      <c r="KWF224" s="76"/>
      <c r="KWG224" s="76"/>
      <c r="KWH224" s="76"/>
      <c r="KWI224" s="76"/>
      <c r="KWJ224" s="76"/>
      <c r="KWK224" s="76"/>
      <c r="KWL224" s="76"/>
      <c r="KWM224" s="76"/>
      <c r="KWN224" s="76"/>
      <c r="KWO224" s="76"/>
      <c r="KWP224" s="76"/>
      <c r="KWQ224" s="76"/>
      <c r="KWR224" s="76"/>
      <c r="KWS224" s="76"/>
      <c r="KWT224" s="76"/>
      <c r="KWU224" s="76"/>
      <c r="KWV224" s="76"/>
      <c r="KWW224" s="76"/>
      <c r="KWX224" s="76"/>
      <c r="KWY224" s="76"/>
      <c r="KWZ224" s="76"/>
      <c r="KXA224" s="76"/>
      <c r="KXB224" s="76"/>
      <c r="KXC224" s="76"/>
      <c r="KXD224" s="76"/>
      <c r="KXE224" s="76"/>
      <c r="KXF224" s="76"/>
      <c r="KXG224" s="76"/>
      <c r="KXH224" s="76"/>
      <c r="KXI224" s="76"/>
      <c r="KXJ224" s="76"/>
      <c r="KXK224" s="76"/>
      <c r="KXL224" s="76"/>
      <c r="KXM224" s="76"/>
      <c r="KXN224" s="76"/>
      <c r="KXO224" s="76"/>
      <c r="KXP224" s="76"/>
      <c r="KXQ224" s="76"/>
      <c r="KXR224" s="76"/>
      <c r="KXS224" s="76"/>
      <c r="KXT224" s="76"/>
      <c r="KXU224" s="76"/>
      <c r="KXV224" s="76"/>
      <c r="KXW224" s="76"/>
      <c r="KXX224" s="76"/>
      <c r="KXY224" s="76"/>
      <c r="KXZ224" s="76"/>
      <c r="KYA224" s="76"/>
      <c r="KYB224" s="76"/>
      <c r="KYC224" s="76"/>
      <c r="KYD224" s="76"/>
      <c r="KYE224" s="76"/>
      <c r="KYF224" s="76"/>
      <c r="KYG224" s="76"/>
      <c r="KYH224" s="76"/>
      <c r="KYI224" s="76"/>
      <c r="KYJ224" s="76"/>
      <c r="KYK224" s="76"/>
      <c r="KYL224" s="76"/>
      <c r="KYM224" s="76"/>
      <c r="KYN224" s="76"/>
      <c r="KYO224" s="76"/>
      <c r="KYP224" s="76"/>
      <c r="KYQ224" s="76"/>
      <c r="KYR224" s="76"/>
      <c r="KYS224" s="76"/>
      <c r="KYT224" s="76"/>
      <c r="KYU224" s="76"/>
      <c r="KYV224" s="76"/>
      <c r="KYW224" s="76"/>
      <c r="KYX224" s="76"/>
      <c r="KYY224" s="76"/>
      <c r="KYZ224" s="76"/>
      <c r="KZA224" s="76"/>
      <c r="KZB224" s="76"/>
      <c r="KZC224" s="76"/>
      <c r="KZD224" s="76"/>
      <c r="KZE224" s="76"/>
      <c r="KZF224" s="76"/>
      <c r="KZG224" s="76"/>
      <c r="KZH224" s="76"/>
      <c r="KZI224" s="76"/>
      <c r="KZJ224" s="76"/>
      <c r="KZK224" s="76"/>
      <c r="KZL224" s="76"/>
      <c r="KZM224" s="76"/>
      <c r="KZN224" s="76"/>
      <c r="KZO224" s="76"/>
      <c r="KZP224" s="76"/>
      <c r="KZQ224" s="76"/>
      <c r="KZR224" s="76"/>
      <c r="KZS224" s="76"/>
      <c r="KZT224" s="76"/>
      <c r="KZU224" s="76"/>
      <c r="KZV224" s="76"/>
      <c r="KZW224" s="76"/>
      <c r="KZX224" s="76"/>
      <c r="KZY224" s="76"/>
      <c r="KZZ224" s="76"/>
      <c r="LAA224" s="76"/>
      <c r="LAB224" s="76"/>
      <c r="LAC224" s="76"/>
      <c r="LAD224" s="76"/>
      <c r="LAE224" s="76"/>
      <c r="LAF224" s="76"/>
      <c r="LAG224" s="76"/>
      <c r="LAH224" s="76"/>
      <c r="LAI224" s="76"/>
      <c r="LAJ224" s="76"/>
      <c r="LAK224" s="76"/>
      <c r="LAL224" s="76"/>
      <c r="LAM224" s="76"/>
      <c r="LAN224" s="76"/>
      <c r="LAO224" s="76"/>
      <c r="LAP224" s="76"/>
      <c r="LAQ224" s="76"/>
      <c r="LAR224" s="76"/>
      <c r="LAS224" s="76"/>
      <c r="LAT224" s="76"/>
      <c r="LAU224" s="76"/>
      <c r="LAV224" s="76"/>
      <c r="LAW224" s="76"/>
      <c r="LAX224" s="76"/>
      <c r="LAY224" s="76"/>
      <c r="LAZ224" s="76"/>
      <c r="LBA224" s="76"/>
      <c r="LBB224" s="76"/>
      <c r="LBC224" s="76"/>
      <c r="LBD224" s="76"/>
      <c r="LBE224" s="76"/>
      <c r="LBF224" s="76"/>
      <c r="LBG224" s="76"/>
      <c r="LBH224" s="76"/>
      <c r="LBI224" s="76"/>
      <c r="LBJ224" s="76"/>
      <c r="LBK224" s="76"/>
      <c r="LBL224" s="76"/>
      <c r="LBM224" s="76"/>
      <c r="LBN224" s="76"/>
      <c r="LBO224" s="76"/>
      <c r="LBP224" s="76"/>
      <c r="LBQ224" s="76"/>
      <c r="LBR224" s="76"/>
      <c r="LBS224" s="76"/>
      <c r="LBT224" s="76"/>
      <c r="LBU224" s="76"/>
      <c r="LBV224" s="76"/>
      <c r="LBW224" s="76"/>
      <c r="LBX224" s="76"/>
      <c r="LBY224" s="76"/>
      <c r="LBZ224" s="76"/>
      <c r="LCA224" s="76"/>
      <c r="LCB224" s="76"/>
      <c r="LCC224" s="76"/>
      <c r="LCD224" s="76"/>
      <c r="LCE224" s="76"/>
      <c r="LCF224" s="76"/>
      <c r="LCG224" s="76"/>
      <c r="LCH224" s="76"/>
      <c r="LCI224" s="76"/>
      <c r="LCJ224" s="76"/>
      <c r="LCK224" s="76"/>
      <c r="LCL224" s="76"/>
      <c r="LCM224" s="76"/>
      <c r="LCN224" s="76"/>
      <c r="LCO224" s="76"/>
      <c r="LCP224" s="76"/>
      <c r="LCQ224" s="76"/>
      <c r="LCR224" s="76"/>
      <c r="LCS224" s="76"/>
      <c r="LCT224" s="76"/>
      <c r="LCU224" s="76"/>
      <c r="LCV224" s="76"/>
      <c r="LCW224" s="76"/>
      <c r="LCX224" s="76"/>
      <c r="LCY224" s="76"/>
      <c r="LCZ224" s="76"/>
      <c r="LDA224" s="76"/>
      <c r="LDB224" s="76"/>
      <c r="LDC224" s="76"/>
      <c r="LDD224" s="76"/>
      <c r="LDE224" s="76"/>
      <c r="LDF224" s="76"/>
      <c r="LDG224" s="76"/>
      <c r="LDH224" s="76"/>
      <c r="LDI224" s="76"/>
      <c r="LDJ224" s="76"/>
      <c r="LDK224" s="76"/>
      <c r="LDL224" s="76"/>
      <c r="LDM224" s="76"/>
      <c r="LDN224" s="76"/>
      <c r="LDO224" s="76"/>
      <c r="LDP224" s="76"/>
      <c r="LDQ224" s="76"/>
      <c r="LDR224" s="76"/>
      <c r="LDS224" s="76"/>
      <c r="LDT224" s="76"/>
      <c r="LDU224" s="76"/>
      <c r="LDV224" s="76"/>
      <c r="LDW224" s="76"/>
      <c r="LDX224" s="76"/>
      <c r="LDY224" s="76"/>
      <c r="LDZ224" s="76"/>
      <c r="LEA224" s="76"/>
      <c r="LEB224" s="76"/>
      <c r="LEC224" s="76"/>
      <c r="LED224" s="76"/>
      <c r="LEE224" s="76"/>
      <c r="LEF224" s="76"/>
      <c r="LEG224" s="76"/>
      <c r="LEH224" s="76"/>
      <c r="LEI224" s="76"/>
      <c r="LEJ224" s="76"/>
      <c r="LEK224" s="76"/>
      <c r="LEL224" s="76"/>
      <c r="LEM224" s="76"/>
      <c r="LEN224" s="76"/>
      <c r="LEO224" s="76"/>
      <c r="LEP224" s="76"/>
      <c r="LEQ224" s="76"/>
      <c r="LER224" s="76"/>
      <c r="LES224" s="76"/>
      <c r="LET224" s="76"/>
      <c r="LEU224" s="76"/>
      <c r="LEV224" s="76"/>
      <c r="LEW224" s="76"/>
      <c r="LEX224" s="76"/>
      <c r="LEY224" s="76"/>
      <c r="LEZ224" s="76"/>
      <c r="LFA224" s="76"/>
      <c r="LFB224" s="76"/>
      <c r="LFC224" s="76"/>
      <c r="LFD224" s="76"/>
      <c r="LFE224" s="76"/>
      <c r="LFF224" s="76"/>
      <c r="LFG224" s="76"/>
      <c r="LFH224" s="76"/>
      <c r="LFI224" s="76"/>
      <c r="LFJ224" s="76"/>
      <c r="LFK224" s="76"/>
      <c r="LFL224" s="76"/>
      <c r="LFM224" s="76"/>
      <c r="LFN224" s="76"/>
      <c r="LFO224" s="76"/>
      <c r="LFP224" s="76"/>
      <c r="LFQ224" s="76"/>
      <c r="LFR224" s="76"/>
      <c r="LFS224" s="76"/>
      <c r="LFT224" s="76"/>
      <c r="LFU224" s="76"/>
      <c r="LFV224" s="76"/>
      <c r="LFW224" s="76"/>
      <c r="LFX224" s="76"/>
      <c r="LFY224" s="76"/>
      <c r="LFZ224" s="76"/>
      <c r="LGA224" s="76"/>
      <c r="LGB224" s="76"/>
      <c r="LGC224" s="76"/>
      <c r="LGD224" s="76"/>
      <c r="LGE224" s="76"/>
      <c r="LGF224" s="76"/>
      <c r="LGG224" s="76"/>
      <c r="LGH224" s="76"/>
      <c r="LGI224" s="76"/>
      <c r="LGJ224" s="76"/>
      <c r="LGK224" s="76"/>
      <c r="LGL224" s="76"/>
      <c r="LGM224" s="76"/>
      <c r="LGN224" s="76"/>
      <c r="LGO224" s="76"/>
      <c r="LGP224" s="76"/>
      <c r="LGQ224" s="76"/>
      <c r="LGR224" s="76"/>
      <c r="LGS224" s="76"/>
      <c r="LGT224" s="76"/>
      <c r="LGU224" s="76"/>
      <c r="LGV224" s="76"/>
      <c r="LGW224" s="76"/>
      <c r="LGX224" s="76"/>
      <c r="LGY224" s="76"/>
      <c r="LGZ224" s="76"/>
      <c r="LHA224" s="76"/>
      <c r="LHB224" s="76"/>
      <c r="LHC224" s="76"/>
      <c r="LHD224" s="76"/>
      <c r="LHE224" s="76"/>
      <c r="LHF224" s="76"/>
      <c r="LHG224" s="76"/>
      <c r="LHH224" s="76"/>
      <c r="LHI224" s="76"/>
      <c r="LHJ224" s="76"/>
      <c r="LHK224" s="76"/>
      <c r="LHL224" s="76"/>
      <c r="LHM224" s="76"/>
      <c r="LHN224" s="76"/>
      <c r="LHO224" s="76"/>
      <c r="LHP224" s="76"/>
      <c r="LHQ224" s="76"/>
      <c r="LHR224" s="76"/>
      <c r="LHS224" s="76"/>
      <c r="LHT224" s="76"/>
      <c r="LHU224" s="76"/>
      <c r="LHV224" s="76"/>
      <c r="LHW224" s="76"/>
      <c r="LHX224" s="76"/>
      <c r="LHY224" s="76"/>
      <c r="LHZ224" s="76"/>
      <c r="LIA224" s="76"/>
      <c r="LIB224" s="76"/>
      <c r="LIC224" s="76"/>
      <c r="LID224" s="76"/>
      <c r="LIE224" s="76"/>
      <c r="LIF224" s="76"/>
      <c r="LIG224" s="76"/>
      <c r="LIH224" s="76"/>
      <c r="LII224" s="76"/>
      <c r="LIJ224" s="76"/>
      <c r="LIK224" s="76"/>
      <c r="LIL224" s="76"/>
      <c r="LIM224" s="76"/>
      <c r="LIN224" s="76"/>
      <c r="LIO224" s="76"/>
      <c r="LIP224" s="76"/>
      <c r="LIQ224" s="76"/>
      <c r="LIR224" s="76"/>
      <c r="LIS224" s="76"/>
      <c r="LIT224" s="76"/>
      <c r="LIU224" s="76"/>
      <c r="LIV224" s="76"/>
      <c r="LIW224" s="76"/>
      <c r="LIX224" s="76"/>
      <c r="LIY224" s="76"/>
      <c r="LIZ224" s="76"/>
      <c r="LJA224" s="76"/>
      <c r="LJB224" s="76"/>
      <c r="LJC224" s="76"/>
      <c r="LJD224" s="76"/>
      <c r="LJE224" s="76"/>
      <c r="LJF224" s="76"/>
      <c r="LJG224" s="76"/>
      <c r="LJH224" s="76"/>
      <c r="LJI224" s="76"/>
      <c r="LJJ224" s="76"/>
      <c r="LJK224" s="76"/>
      <c r="LJL224" s="76"/>
      <c r="LJM224" s="76"/>
      <c r="LJN224" s="76"/>
      <c r="LJO224" s="76"/>
      <c r="LJP224" s="76"/>
      <c r="LJQ224" s="76"/>
      <c r="LJR224" s="76"/>
      <c r="LJS224" s="76"/>
      <c r="LJT224" s="76"/>
      <c r="LJU224" s="76"/>
      <c r="LJV224" s="76"/>
      <c r="LJW224" s="76"/>
      <c r="LJX224" s="76"/>
      <c r="LJY224" s="76"/>
      <c r="LJZ224" s="76"/>
      <c r="LKA224" s="76"/>
      <c r="LKB224" s="76"/>
      <c r="LKC224" s="76"/>
      <c r="LKD224" s="76"/>
      <c r="LKE224" s="76"/>
      <c r="LKF224" s="76"/>
      <c r="LKG224" s="76"/>
      <c r="LKH224" s="76"/>
      <c r="LKI224" s="76"/>
      <c r="LKJ224" s="76"/>
      <c r="LKK224" s="76"/>
      <c r="LKL224" s="76"/>
      <c r="LKM224" s="76"/>
      <c r="LKN224" s="76"/>
      <c r="LKO224" s="76"/>
      <c r="LKP224" s="76"/>
      <c r="LKQ224" s="76"/>
      <c r="LKR224" s="76"/>
      <c r="LKS224" s="76"/>
      <c r="LKT224" s="76"/>
      <c r="LKU224" s="76"/>
      <c r="LKV224" s="76"/>
      <c r="LKW224" s="76"/>
      <c r="LKX224" s="76"/>
      <c r="LKY224" s="76"/>
      <c r="LKZ224" s="76"/>
      <c r="LLA224" s="76"/>
      <c r="LLB224" s="76"/>
      <c r="LLC224" s="76"/>
      <c r="LLD224" s="76"/>
      <c r="LLE224" s="76"/>
      <c r="LLF224" s="76"/>
      <c r="LLG224" s="76"/>
      <c r="LLH224" s="76"/>
      <c r="LLI224" s="76"/>
      <c r="LLJ224" s="76"/>
      <c r="LLK224" s="76"/>
      <c r="LLL224" s="76"/>
      <c r="LLM224" s="76"/>
      <c r="LLN224" s="76"/>
      <c r="LLO224" s="76"/>
      <c r="LLP224" s="76"/>
      <c r="LLQ224" s="76"/>
      <c r="LLR224" s="76"/>
      <c r="LLS224" s="76"/>
      <c r="LLT224" s="76"/>
      <c r="LLU224" s="76"/>
      <c r="LLV224" s="76"/>
      <c r="LLW224" s="76"/>
      <c r="LLX224" s="76"/>
      <c r="LLY224" s="76"/>
      <c r="LLZ224" s="76"/>
      <c r="LMA224" s="76"/>
      <c r="LMB224" s="76"/>
      <c r="LMC224" s="76"/>
      <c r="LMD224" s="76"/>
      <c r="LME224" s="76"/>
      <c r="LMF224" s="76"/>
      <c r="LMG224" s="76"/>
      <c r="LMH224" s="76"/>
      <c r="LMI224" s="76"/>
      <c r="LMJ224" s="76"/>
      <c r="LMK224" s="76"/>
      <c r="LML224" s="76"/>
      <c r="LMM224" s="76"/>
      <c r="LMN224" s="76"/>
      <c r="LMO224" s="76"/>
      <c r="LMP224" s="76"/>
      <c r="LMQ224" s="76"/>
      <c r="LMR224" s="76"/>
      <c r="LMS224" s="76"/>
      <c r="LMT224" s="76"/>
      <c r="LMU224" s="76"/>
      <c r="LMV224" s="76"/>
      <c r="LMW224" s="76"/>
      <c r="LMX224" s="76"/>
      <c r="LMY224" s="76"/>
      <c r="LMZ224" s="76"/>
      <c r="LNA224" s="76"/>
      <c r="LNB224" s="76"/>
      <c r="LNC224" s="76"/>
      <c r="LND224" s="76"/>
      <c r="LNE224" s="76"/>
      <c r="LNF224" s="76"/>
      <c r="LNG224" s="76"/>
      <c r="LNH224" s="76"/>
      <c r="LNI224" s="76"/>
      <c r="LNJ224" s="76"/>
      <c r="LNK224" s="76"/>
      <c r="LNL224" s="76"/>
      <c r="LNM224" s="76"/>
      <c r="LNN224" s="76"/>
      <c r="LNO224" s="76"/>
      <c r="LNP224" s="76"/>
      <c r="LNQ224" s="76"/>
      <c r="LNR224" s="76"/>
      <c r="LNS224" s="76"/>
      <c r="LNT224" s="76"/>
      <c r="LNU224" s="76"/>
      <c r="LNV224" s="76"/>
      <c r="LNW224" s="76"/>
      <c r="LNX224" s="76"/>
      <c r="LNY224" s="76"/>
      <c r="LNZ224" s="76"/>
      <c r="LOA224" s="76"/>
      <c r="LOB224" s="76"/>
      <c r="LOC224" s="76"/>
      <c r="LOD224" s="76"/>
      <c r="LOE224" s="76"/>
      <c r="LOF224" s="76"/>
      <c r="LOG224" s="76"/>
      <c r="LOH224" s="76"/>
      <c r="LOI224" s="76"/>
      <c r="LOJ224" s="76"/>
      <c r="LOK224" s="76"/>
      <c r="LOL224" s="76"/>
      <c r="LOM224" s="76"/>
      <c r="LON224" s="76"/>
      <c r="LOO224" s="76"/>
      <c r="LOP224" s="76"/>
      <c r="LOQ224" s="76"/>
      <c r="LOR224" s="76"/>
      <c r="LOS224" s="76"/>
      <c r="LOT224" s="76"/>
      <c r="LOU224" s="76"/>
      <c r="LOV224" s="76"/>
      <c r="LOW224" s="76"/>
      <c r="LOX224" s="76"/>
      <c r="LOY224" s="76"/>
      <c r="LOZ224" s="76"/>
      <c r="LPA224" s="76"/>
      <c r="LPB224" s="76"/>
      <c r="LPC224" s="76"/>
      <c r="LPD224" s="76"/>
      <c r="LPE224" s="76"/>
      <c r="LPF224" s="76"/>
      <c r="LPG224" s="76"/>
      <c r="LPH224" s="76"/>
      <c r="LPI224" s="76"/>
      <c r="LPJ224" s="76"/>
      <c r="LPK224" s="76"/>
      <c r="LPL224" s="76"/>
      <c r="LPM224" s="76"/>
      <c r="LPN224" s="76"/>
      <c r="LPO224" s="76"/>
      <c r="LPP224" s="76"/>
      <c r="LPQ224" s="76"/>
      <c r="LPR224" s="76"/>
      <c r="LPS224" s="76"/>
      <c r="LPT224" s="76"/>
      <c r="LPU224" s="76"/>
      <c r="LPV224" s="76"/>
      <c r="LPW224" s="76"/>
      <c r="LPX224" s="76"/>
      <c r="LPY224" s="76"/>
      <c r="LPZ224" s="76"/>
      <c r="LQA224" s="76"/>
      <c r="LQB224" s="76"/>
      <c r="LQC224" s="76"/>
      <c r="LQD224" s="76"/>
      <c r="LQE224" s="76"/>
      <c r="LQF224" s="76"/>
      <c r="LQG224" s="76"/>
      <c r="LQH224" s="76"/>
      <c r="LQI224" s="76"/>
      <c r="LQJ224" s="76"/>
      <c r="LQK224" s="76"/>
      <c r="LQL224" s="76"/>
      <c r="LQM224" s="76"/>
      <c r="LQN224" s="76"/>
      <c r="LQO224" s="76"/>
      <c r="LQP224" s="76"/>
      <c r="LQQ224" s="76"/>
      <c r="LQR224" s="76"/>
      <c r="LQS224" s="76"/>
      <c r="LQT224" s="76"/>
      <c r="LQU224" s="76"/>
      <c r="LQV224" s="76"/>
      <c r="LQW224" s="76"/>
      <c r="LQX224" s="76"/>
      <c r="LQY224" s="76"/>
      <c r="LQZ224" s="76"/>
      <c r="LRA224" s="76"/>
      <c r="LRB224" s="76"/>
      <c r="LRC224" s="76"/>
      <c r="LRD224" s="76"/>
      <c r="LRE224" s="76"/>
      <c r="LRF224" s="76"/>
      <c r="LRG224" s="76"/>
      <c r="LRH224" s="76"/>
      <c r="LRI224" s="76"/>
      <c r="LRJ224" s="76"/>
      <c r="LRK224" s="76"/>
      <c r="LRL224" s="76"/>
      <c r="LRM224" s="76"/>
      <c r="LRN224" s="76"/>
      <c r="LRO224" s="76"/>
      <c r="LRP224" s="76"/>
      <c r="LRQ224" s="76"/>
      <c r="LRR224" s="76"/>
      <c r="LRS224" s="76"/>
      <c r="LRT224" s="76"/>
      <c r="LRU224" s="76"/>
      <c r="LRV224" s="76"/>
      <c r="LRW224" s="76"/>
      <c r="LRX224" s="76"/>
      <c r="LRY224" s="76"/>
      <c r="LRZ224" s="76"/>
      <c r="LSA224" s="76"/>
      <c r="LSB224" s="76"/>
      <c r="LSC224" s="76"/>
      <c r="LSD224" s="76"/>
      <c r="LSE224" s="76"/>
      <c r="LSF224" s="76"/>
      <c r="LSG224" s="76"/>
      <c r="LSH224" s="76"/>
      <c r="LSI224" s="76"/>
      <c r="LSJ224" s="76"/>
      <c r="LSK224" s="76"/>
      <c r="LSL224" s="76"/>
      <c r="LSM224" s="76"/>
      <c r="LSN224" s="76"/>
      <c r="LSO224" s="76"/>
      <c r="LSP224" s="76"/>
      <c r="LSQ224" s="76"/>
      <c r="LSR224" s="76"/>
      <c r="LSS224" s="76"/>
      <c r="LST224" s="76"/>
      <c r="LSU224" s="76"/>
      <c r="LSV224" s="76"/>
      <c r="LSW224" s="76"/>
      <c r="LSX224" s="76"/>
      <c r="LSY224" s="76"/>
      <c r="LSZ224" s="76"/>
      <c r="LTA224" s="76"/>
      <c r="LTB224" s="76"/>
      <c r="LTC224" s="76"/>
      <c r="LTD224" s="76"/>
      <c r="LTE224" s="76"/>
      <c r="LTF224" s="76"/>
      <c r="LTG224" s="76"/>
      <c r="LTH224" s="76"/>
      <c r="LTI224" s="76"/>
      <c r="LTJ224" s="76"/>
      <c r="LTK224" s="76"/>
      <c r="LTL224" s="76"/>
      <c r="LTM224" s="76"/>
      <c r="LTN224" s="76"/>
      <c r="LTO224" s="76"/>
      <c r="LTP224" s="76"/>
      <c r="LTQ224" s="76"/>
      <c r="LTR224" s="76"/>
      <c r="LTS224" s="76"/>
      <c r="LTT224" s="76"/>
      <c r="LTU224" s="76"/>
      <c r="LTV224" s="76"/>
      <c r="LTW224" s="76"/>
      <c r="LTX224" s="76"/>
      <c r="LTY224" s="76"/>
      <c r="LTZ224" s="76"/>
      <c r="LUA224" s="76"/>
      <c r="LUB224" s="76"/>
      <c r="LUC224" s="76"/>
      <c r="LUD224" s="76"/>
      <c r="LUE224" s="76"/>
      <c r="LUF224" s="76"/>
      <c r="LUG224" s="76"/>
      <c r="LUH224" s="76"/>
      <c r="LUI224" s="76"/>
      <c r="LUJ224" s="76"/>
      <c r="LUK224" s="76"/>
      <c r="LUL224" s="76"/>
      <c r="LUM224" s="76"/>
      <c r="LUN224" s="76"/>
      <c r="LUO224" s="76"/>
      <c r="LUP224" s="76"/>
      <c r="LUQ224" s="76"/>
      <c r="LUR224" s="76"/>
      <c r="LUS224" s="76"/>
      <c r="LUT224" s="76"/>
      <c r="LUU224" s="76"/>
      <c r="LUV224" s="76"/>
      <c r="LUW224" s="76"/>
      <c r="LUX224" s="76"/>
      <c r="LUY224" s="76"/>
      <c r="LUZ224" s="76"/>
      <c r="LVA224" s="76"/>
      <c r="LVB224" s="76"/>
      <c r="LVC224" s="76"/>
      <c r="LVD224" s="76"/>
      <c r="LVE224" s="76"/>
      <c r="LVF224" s="76"/>
      <c r="LVG224" s="76"/>
      <c r="LVH224" s="76"/>
      <c r="LVI224" s="76"/>
      <c r="LVJ224" s="76"/>
      <c r="LVK224" s="76"/>
      <c r="LVL224" s="76"/>
      <c r="LVM224" s="76"/>
      <c r="LVN224" s="76"/>
      <c r="LVO224" s="76"/>
      <c r="LVP224" s="76"/>
      <c r="LVQ224" s="76"/>
      <c r="LVR224" s="76"/>
      <c r="LVS224" s="76"/>
      <c r="LVT224" s="76"/>
      <c r="LVU224" s="76"/>
      <c r="LVV224" s="76"/>
      <c r="LVW224" s="76"/>
      <c r="LVX224" s="76"/>
      <c r="LVY224" s="76"/>
      <c r="LVZ224" s="76"/>
      <c r="LWA224" s="76"/>
      <c r="LWB224" s="76"/>
      <c r="LWC224" s="76"/>
      <c r="LWD224" s="76"/>
      <c r="LWE224" s="76"/>
      <c r="LWF224" s="76"/>
      <c r="LWG224" s="76"/>
      <c r="LWH224" s="76"/>
      <c r="LWI224" s="76"/>
      <c r="LWJ224" s="76"/>
      <c r="LWK224" s="76"/>
      <c r="LWL224" s="76"/>
      <c r="LWM224" s="76"/>
      <c r="LWN224" s="76"/>
      <c r="LWO224" s="76"/>
      <c r="LWP224" s="76"/>
      <c r="LWQ224" s="76"/>
      <c r="LWR224" s="76"/>
      <c r="LWS224" s="76"/>
      <c r="LWT224" s="76"/>
      <c r="LWU224" s="76"/>
      <c r="LWV224" s="76"/>
      <c r="LWW224" s="76"/>
      <c r="LWX224" s="76"/>
      <c r="LWY224" s="76"/>
      <c r="LWZ224" s="76"/>
      <c r="LXA224" s="76"/>
      <c r="LXB224" s="76"/>
      <c r="LXC224" s="76"/>
      <c r="LXD224" s="76"/>
      <c r="LXE224" s="76"/>
      <c r="LXF224" s="76"/>
      <c r="LXG224" s="76"/>
      <c r="LXH224" s="76"/>
      <c r="LXI224" s="76"/>
      <c r="LXJ224" s="76"/>
      <c r="LXK224" s="76"/>
      <c r="LXL224" s="76"/>
      <c r="LXM224" s="76"/>
      <c r="LXN224" s="76"/>
      <c r="LXO224" s="76"/>
      <c r="LXP224" s="76"/>
      <c r="LXQ224" s="76"/>
      <c r="LXR224" s="76"/>
      <c r="LXS224" s="76"/>
      <c r="LXT224" s="76"/>
      <c r="LXU224" s="76"/>
      <c r="LXV224" s="76"/>
      <c r="LXW224" s="76"/>
      <c r="LXX224" s="76"/>
      <c r="LXY224" s="76"/>
      <c r="LXZ224" s="76"/>
      <c r="LYA224" s="76"/>
      <c r="LYB224" s="76"/>
      <c r="LYC224" s="76"/>
      <c r="LYD224" s="76"/>
      <c r="LYE224" s="76"/>
      <c r="LYF224" s="76"/>
      <c r="LYG224" s="76"/>
      <c r="LYH224" s="76"/>
      <c r="LYI224" s="76"/>
      <c r="LYJ224" s="76"/>
      <c r="LYK224" s="76"/>
      <c r="LYL224" s="76"/>
      <c r="LYM224" s="76"/>
      <c r="LYN224" s="76"/>
      <c r="LYO224" s="76"/>
      <c r="LYP224" s="76"/>
      <c r="LYQ224" s="76"/>
      <c r="LYR224" s="76"/>
      <c r="LYS224" s="76"/>
      <c r="LYT224" s="76"/>
      <c r="LYU224" s="76"/>
      <c r="LYV224" s="76"/>
      <c r="LYW224" s="76"/>
      <c r="LYX224" s="76"/>
      <c r="LYY224" s="76"/>
      <c r="LYZ224" s="76"/>
      <c r="LZA224" s="76"/>
      <c r="LZB224" s="76"/>
      <c r="LZC224" s="76"/>
      <c r="LZD224" s="76"/>
      <c r="LZE224" s="76"/>
      <c r="LZF224" s="76"/>
      <c r="LZG224" s="76"/>
      <c r="LZH224" s="76"/>
      <c r="LZI224" s="76"/>
      <c r="LZJ224" s="76"/>
      <c r="LZK224" s="76"/>
      <c r="LZL224" s="76"/>
      <c r="LZM224" s="76"/>
      <c r="LZN224" s="76"/>
      <c r="LZO224" s="76"/>
      <c r="LZP224" s="76"/>
      <c r="LZQ224" s="76"/>
      <c r="LZR224" s="76"/>
      <c r="LZS224" s="76"/>
      <c r="LZT224" s="76"/>
      <c r="LZU224" s="76"/>
      <c r="LZV224" s="76"/>
      <c r="LZW224" s="76"/>
      <c r="LZX224" s="76"/>
      <c r="LZY224" s="76"/>
      <c r="LZZ224" s="76"/>
      <c r="MAA224" s="76"/>
      <c r="MAB224" s="76"/>
      <c r="MAC224" s="76"/>
      <c r="MAD224" s="76"/>
      <c r="MAE224" s="76"/>
      <c r="MAF224" s="76"/>
      <c r="MAG224" s="76"/>
      <c r="MAH224" s="76"/>
      <c r="MAI224" s="76"/>
      <c r="MAJ224" s="76"/>
      <c r="MAK224" s="76"/>
      <c r="MAL224" s="76"/>
      <c r="MAM224" s="76"/>
      <c r="MAN224" s="76"/>
      <c r="MAO224" s="76"/>
      <c r="MAP224" s="76"/>
      <c r="MAQ224" s="76"/>
      <c r="MAR224" s="76"/>
      <c r="MAS224" s="76"/>
      <c r="MAT224" s="76"/>
      <c r="MAU224" s="76"/>
      <c r="MAV224" s="76"/>
      <c r="MAW224" s="76"/>
      <c r="MAX224" s="76"/>
      <c r="MAY224" s="76"/>
      <c r="MAZ224" s="76"/>
      <c r="MBA224" s="76"/>
      <c r="MBB224" s="76"/>
      <c r="MBC224" s="76"/>
      <c r="MBD224" s="76"/>
      <c r="MBE224" s="76"/>
      <c r="MBF224" s="76"/>
      <c r="MBG224" s="76"/>
      <c r="MBH224" s="76"/>
      <c r="MBI224" s="76"/>
      <c r="MBJ224" s="76"/>
      <c r="MBK224" s="76"/>
      <c r="MBL224" s="76"/>
      <c r="MBM224" s="76"/>
      <c r="MBN224" s="76"/>
      <c r="MBO224" s="76"/>
      <c r="MBP224" s="76"/>
      <c r="MBQ224" s="76"/>
      <c r="MBR224" s="76"/>
      <c r="MBS224" s="76"/>
      <c r="MBT224" s="76"/>
      <c r="MBU224" s="76"/>
      <c r="MBV224" s="76"/>
      <c r="MBW224" s="76"/>
      <c r="MBX224" s="76"/>
      <c r="MBY224" s="76"/>
      <c r="MBZ224" s="76"/>
      <c r="MCA224" s="76"/>
      <c r="MCB224" s="76"/>
      <c r="MCC224" s="76"/>
      <c r="MCD224" s="76"/>
      <c r="MCE224" s="76"/>
      <c r="MCF224" s="76"/>
      <c r="MCG224" s="76"/>
      <c r="MCH224" s="76"/>
      <c r="MCI224" s="76"/>
      <c r="MCJ224" s="76"/>
      <c r="MCK224" s="76"/>
      <c r="MCL224" s="76"/>
      <c r="MCM224" s="76"/>
      <c r="MCN224" s="76"/>
      <c r="MCO224" s="76"/>
      <c r="MCP224" s="76"/>
      <c r="MCQ224" s="76"/>
      <c r="MCR224" s="76"/>
      <c r="MCS224" s="76"/>
      <c r="MCT224" s="76"/>
      <c r="MCU224" s="76"/>
      <c r="MCV224" s="76"/>
      <c r="MCW224" s="76"/>
      <c r="MCX224" s="76"/>
      <c r="MCY224" s="76"/>
      <c r="MCZ224" s="76"/>
      <c r="MDA224" s="76"/>
      <c r="MDB224" s="76"/>
      <c r="MDC224" s="76"/>
      <c r="MDD224" s="76"/>
      <c r="MDE224" s="76"/>
      <c r="MDF224" s="76"/>
      <c r="MDG224" s="76"/>
      <c r="MDH224" s="76"/>
      <c r="MDI224" s="76"/>
      <c r="MDJ224" s="76"/>
      <c r="MDK224" s="76"/>
      <c r="MDL224" s="76"/>
      <c r="MDM224" s="76"/>
      <c r="MDN224" s="76"/>
      <c r="MDO224" s="76"/>
      <c r="MDP224" s="76"/>
      <c r="MDQ224" s="76"/>
      <c r="MDR224" s="76"/>
      <c r="MDS224" s="76"/>
      <c r="MDT224" s="76"/>
      <c r="MDU224" s="76"/>
      <c r="MDV224" s="76"/>
      <c r="MDW224" s="76"/>
      <c r="MDX224" s="76"/>
      <c r="MDY224" s="76"/>
      <c r="MDZ224" s="76"/>
      <c r="MEA224" s="76"/>
      <c r="MEB224" s="76"/>
      <c r="MEC224" s="76"/>
      <c r="MED224" s="76"/>
      <c r="MEE224" s="76"/>
      <c r="MEF224" s="76"/>
      <c r="MEG224" s="76"/>
      <c r="MEH224" s="76"/>
      <c r="MEI224" s="76"/>
      <c r="MEJ224" s="76"/>
      <c r="MEK224" s="76"/>
      <c r="MEL224" s="76"/>
      <c r="MEM224" s="76"/>
      <c r="MEN224" s="76"/>
      <c r="MEO224" s="76"/>
      <c r="MEP224" s="76"/>
      <c r="MEQ224" s="76"/>
      <c r="MER224" s="76"/>
      <c r="MES224" s="76"/>
      <c r="MET224" s="76"/>
      <c r="MEU224" s="76"/>
      <c r="MEV224" s="76"/>
      <c r="MEW224" s="76"/>
      <c r="MEX224" s="76"/>
      <c r="MEY224" s="76"/>
      <c r="MEZ224" s="76"/>
      <c r="MFA224" s="76"/>
      <c r="MFB224" s="76"/>
      <c r="MFC224" s="76"/>
      <c r="MFD224" s="76"/>
      <c r="MFE224" s="76"/>
      <c r="MFF224" s="76"/>
      <c r="MFG224" s="76"/>
      <c r="MFH224" s="76"/>
      <c r="MFI224" s="76"/>
      <c r="MFJ224" s="76"/>
      <c r="MFK224" s="76"/>
      <c r="MFL224" s="76"/>
      <c r="MFM224" s="76"/>
      <c r="MFN224" s="76"/>
      <c r="MFO224" s="76"/>
      <c r="MFP224" s="76"/>
      <c r="MFQ224" s="76"/>
      <c r="MFR224" s="76"/>
      <c r="MFS224" s="76"/>
      <c r="MFT224" s="76"/>
      <c r="MFU224" s="76"/>
      <c r="MFV224" s="76"/>
      <c r="MFW224" s="76"/>
      <c r="MFX224" s="76"/>
      <c r="MFY224" s="76"/>
      <c r="MFZ224" s="76"/>
      <c r="MGA224" s="76"/>
      <c r="MGB224" s="76"/>
      <c r="MGC224" s="76"/>
      <c r="MGD224" s="76"/>
      <c r="MGE224" s="76"/>
      <c r="MGF224" s="76"/>
      <c r="MGG224" s="76"/>
      <c r="MGH224" s="76"/>
      <c r="MGI224" s="76"/>
      <c r="MGJ224" s="76"/>
      <c r="MGK224" s="76"/>
      <c r="MGL224" s="76"/>
      <c r="MGM224" s="76"/>
      <c r="MGN224" s="76"/>
      <c r="MGO224" s="76"/>
      <c r="MGP224" s="76"/>
      <c r="MGQ224" s="76"/>
      <c r="MGR224" s="76"/>
      <c r="MGS224" s="76"/>
      <c r="MGT224" s="76"/>
      <c r="MGU224" s="76"/>
      <c r="MGV224" s="76"/>
      <c r="MGW224" s="76"/>
      <c r="MGX224" s="76"/>
      <c r="MGY224" s="76"/>
      <c r="MGZ224" s="76"/>
      <c r="MHA224" s="76"/>
      <c r="MHB224" s="76"/>
      <c r="MHC224" s="76"/>
      <c r="MHD224" s="76"/>
      <c r="MHE224" s="76"/>
      <c r="MHF224" s="76"/>
      <c r="MHG224" s="76"/>
      <c r="MHH224" s="76"/>
      <c r="MHI224" s="76"/>
      <c r="MHJ224" s="76"/>
      <c r="MHK224" s="76"/>
      <c r="MHL224" s="76"/>
      <c r="MHM224" s="76"/>
      <c r="MHN224" s="76"/>
      <c r="MHO224" s="76"/>
      <c r="MHP224" s="76"/>
      <c r="MHQ224" s="76"/>
      <c r="MHR224" s="76"/>
      <c r="MHS224" s="76"/>
      <c r="MHT224" s="76"/>
      <c r="MHU224" s="76"/>
      <c r="MHV224" s="76"/>
      <c r="MHW224" s="76"/>
      <c r="MHX224" s="76"/>
      <c r="MHY224" s="76"/>
      <c r="MHZ224" s="76"/>
      <c r="MIA224" s="76"/>
      <c r="MIB224" s="76"/>
      <c r="MIC224" s="76"/>
      <c r="MID224" s="76"/>
      <c r="MIE224" s="76"/>
      <c r="MIF224" s="76"/>
      <c r="MIG224" s="76"/>
      <c r="MIH224" s="76"/>
      <c r="MII224" s="76"/>
      <c r="MIJ224" s="76"/>
      <c r="MIK224" s="76"/>
      <c r="MIL224" s="76"/>
      <c r="MIM224" s="76"/>
      <c r="MIN224" s="76"/>
      <c r="MIO224" s="76"/>
      <c r="MIP224" s="76"/>
      <c r="MIQ224" s="76"/>
      <c r="MIR224" s="76"/>
      <c r="MIS224" s="76"/>
      <c r="MIT224" s="76"/>
      <c r="MIU224" s="76"/>
      <c r="MIV224" s="76"/>
      <c r="MIW224" s="76"/>
      <c r="MIX224" s="76"/>
      <c r="MIY224" s="76"/>
      <c r="MIZ224" s="76"/>
      <c r="MJA224" s="76"/>
      <c r="MJB224" s="76"/>
      <c r="MJC224" s="76"/>
      <c r="MJD224" s="76"/>
      <c r="MJE224" s="76"/>
      <c r="MJF224" s="76"/>
      <c r="MJG224" s="76"/>
      <c r="MJH224" s="76"/>
      <c r="MJI224" s="76"/>
      <c r="MJJ224" s="76"/>
      <c r="MJK224" s="76"/>
      <c r="MJL224" s="76"/>
      <c r="MJM224" s="76"/>
      <c r="MJN224" s="76"/>
      <c r="MJO224" s="76"/>
      <c r="MJP224" s="76"/>
      <c r="MJQ224" s="76"/>
      <c r="MJR224" s="76"/>
      <c r="MJS224" s="76"/>
      <c r="MJT224" s="76"/>
      <c r="MJU224" s="76"/>
      <c r="MJV224" s="76"/>
      <c r="MJW224" s="76"/>
      <c r="MJX224" s="76"/>
      <c r="MJY224" s="76"/>
      <c r="MJZ224" s="76"/>
      <c r="MKA224" s="76"/>
      <c r="MKB224" s="76"/>
      <c r="MKC224" s="76"/>
      <c r="MKD224" s="76"/>
      <c r="MKE224" s="76"/>
      <c r="MKF224" s="76"/>
      <c r="MKG224" s="76"/>
      <c r="MKH224" s="76"/>
      <c r="MKI224" s="76"/>
      <c r="MKJ224" s="76"/>
      <c r="MKK224" s="76"/>
      <c r="MKL224" s="76"/>
      <c r="MKM224" s="76"/>
      <c r="MKN224" s="76"/>
      <c r="MKO224" s="76"/>
      <c r="MKP224" s="76"/>
      <c r="MKQ224" s="76"/>
      <c r="MKR224" s="76"/>
      <c r="MKS224" s="76"/>
      <c r="MKT224" s="76"/>
      <c r="MKU224" s="76"/>
      <c r="MKV224" s="76"/>
      <c r="MKW224" s="76"/>
      <c r="MKX224" s="76"/>
      <c r="MKY224" s="76"/>
      <c r="MKZ224" s="76"/>
      <c r="MLA224" s="76"/>
      <c r="MLB224" s="76"/>
      <c r="MLC224" s="76"/>
      <c r="MLD224" s="76"/>
      <c r="MLE224" s="76"/>
      <c r="MLF224" s="76"/>
      <c r="MLG224" s="76"/>
      <c r="MLH224" s="76"/>
      <c r="MLI224" s="76"/>
      <c r="MLJ224" s="76"/>
      <c r="MLK224" s="76"/>
      <c r="MLL224" s="76"/>
      <c r="MLM224" s="76"/>
      <c r="MLN224" s="76"/>
      <c r="MLO224" s="76"/>
      <c r="MLP224" s="76"/>
      <c r="MLQ224" s="76"/>
      <c r="MLR224" s="76"/>
      <c r="MLS224" s="76"/>
      <c r="MLT224" s="76"/>
      <c r="MLU224" s="76"/>
      <c r="MLV224" s="76"/>
      <c r="MLW224" s="76"/>
      <c r="MLX224" s="76"/>
      <c r="MLY224" s="76"/>
      <c r="MLZ224" s="76"/>
      <c r="MMA224" s="76"/>
      <c r="MMB224" s="76"/>
      <c r="MMC224" s="76"/>
      <c r="MMD224" s="76"/>
      <c r="MME224" s="76"/>
      <c r="MMF224" s="76"/>
      <c r="MMG224" s="76"/>
      <c r="MMH224" s="76"/>
      <c r="MMI224" s="76"/>
      <c r="MMJ224" s="76"/>
      <c r="MMK224" s="76"/>
      <c r="MML224" s="76"/>
      <c r="MMM224" s="76"/>
      <c r="MMN224" s="76"/>
      <c r="MMO224" s="76"/>
      <c r="MMP224" s="76"/>
      <c r="MMQ224" s="76"/>
      <c r="MMR224" s="76"/>
      <c r="MMS224" s="76"/>
      <c r="MMT224" s="76"/>
      <c r="MMU224" s="76"/>
      <c r="MMV224" s="76"/>
      <c r="MMW224" s="76"/>
      <c r="MMX224" s="76"/>
      <c r="MMY224" s="76"/>
      <c r="MMZ224" s="76"/>
      <c r="MNA224" s="76"/>
      <c r="MNB224" s="76"/>
      <c r="MNC224" s="76"/>
      <c r="MND224" s="76"/>
      <c r="MNE224" s="76"/>
      <c r="MNF224" s="76"/>
      <c r="MNG224" s="76"/>
      <c r="MNH224" s="76"/>
      <c r="MNI224" s="76"/>
      <c r="MNJ224" s="76"/>
      <c r="MNK224" s="76"/>
      <c r="MNL224" s="76"/>
      <c r="MNM224" s="76"/>
      <c r="MNN224" s="76"/>
      <c r="MNO224" s="76"/>
      <c r="MNP224" s="76"/>
      <c r="MNQ224" s="76"/>
      <c r="MNR224" s="76"/>
      <c r="MNS224" s="76"/>
      <c r="MNT224" s="76"/>
      <c r="MNU224" s="76"/>
      <c r="MNV224" s="76"/>
      <c r="MNW224" s="76"/>
      <c r="MNX224" s="76"/>
      <c r="MNY224" s="76"/>
      <c r="MNZ224" s="76"/>
      <c r="MOA224" s="76"/>
      <c r="MOB224" s="76"/>
      <c r="MOC224" s="76"/>
      <c r="MOD224" s="76"/>
      <c r="MOE224" s="76"/>
      <c r="MOF224" s="76"/>
      <c r="MOG224" s="76"/>
      <c r="MOH224" s="76"/>
      <c r="MOI224" s="76"/>
      <c r="MOJ224" s="76"/>
      <c r="MOK224" s="76"/>
      <c r="MOL224" s="76"/>
      <c r="MOM224" s="76"/>
      <c r="MON224" s="76"/>
      <c r="MOO224" s="76"/>
      <c r="MOP224" s="76"/>
      <c r="MOQ224" s="76"/>
      <c r="MOR224" s="76"/>
      <c r="MOS224" s="76"/>
      <c r="MOT224" s="76"/>
      <c r="MOU224" s="76"/>
      <c r="MOV224" s="76"/>
      <c r="MOW224" s="76"/>
      <c r="MOX224" s="76"/>
      <c r="MOY224" s="76"/>
      <c r="MOZ224" s="76"/>
      <c r="MPA224" s="76"/>
      <c r="MPB224" s="76"/>
      <c r="MPC224" s="76"/>
      <c r="MPD224" s="76"/>
      <c r="MPE224" s="76"/>
      <c r="MPF224" s="76"/>
      <c r="MPG224" s="76"/>
      <c r="MPH224" s="76"/>
      <c r="MPI224" s="76"/>
      <c r="MPJ224" s="76"/>
      <c r="MPK224" s="76"/>
      <c r="MPL224" s="76"/>
      <c r="MPM224" s="76"/>
      <c r="MPN224" s="76"/>
      <c r="MPO224" s="76"/>
      <c r="MPP224" s="76"/>
      <c r="MPQ224" s="76"/>
      <c r="MPR224" s="76"/>
      <c r="MPS224" s="76"/>
      <c r="MPT224" s="76"/>
      <c r="MPU224" s="76"/>
      <c r="MPV224" s="76"/>
      <c r="MPW224" s="76"/>
      <c r="MPX224" s="76"/>
      <c r="MPY224" s="76"/>
      <c r="MPZ224" s="76"/>
      <c r="MQA224" s="76"/>
      <c r="MQB224" s="76"/>
      <c r="MQC224" s="76"/>
      <c r="MQD224" s="76"/>
      <c r="MQE224" s="76"/>
      <c r="MQF224" s="76"/>
      <c r="MQG224" s="76"/>
      <c r="MQH224" s="76"/>
      <c r="MQI224" s="76"/>
      <c r="MQJ224" s="76"/>
      <c r="MQK224" s="76"/>
      <c r="MQL224" s="76"/>
      <c r="MQM224" s="76"/>
      <c r="MQN224" s="76"/>
      <c r="MQO224" s="76"/>
      <c r="MQP224" s="76"/>
      <c r="MQQ224" s="76"/>
      <c r="MQR224" s="76"/>
      <c r="MQS224" s="76"/>
      <c r="MQT224" s="76"/>
      <c r="MQU224" s="76"/>
      <c r="MQV224" s="76"/>
      <c r="MQW224" s="76"/>
      <c r="MQX224" s="76"/>
      <c r="MQY224" s="76"/>
      <c r="MQZ224" s="76"/>
      <c r="MRA224" s="76"/>
      <c r="MRB224" s="76"/>
      <c r="MRC224" s="76"/>
      <c r="MRD224" s="76"/>
      <c r="MRE224" s="76"/>
      <c r="MRF224" s="76"/>
      <c r="MRG224" s="76"/>
      <c r="MRH224" s="76"/>
      <c r="MRI224" s="76"/>
      <c r="MRJ224" s="76"/>
      <c r="MRK224" s="76"/>
      <c r="MRL224" s="76"/>
      <c r="MRM224" s="76"/>
      <c r="MRN224" s="76"/>
      <c r="MRO224" s="76"/>
      <c r="MRP224" s="76"/>
      <c r="MRQ224" s="76"/>
      <c r="MRR224" s="76"/>
      <c r="MRS224" s="76"/>
      <c r="MRT224" s="76"/>
      <c r="MRU224" s="76"/>
      <c r="MRV224" s="76"/>
      <c r="MRW224" s="76"/>
      <c r="MRX224" s="76"/>
      <c r="MRY224" s="76"/>
      <c r="MRZ224" s="76"/>
      <c r="MSA224" s="76"/>
      <c r="MSB224" s="76"/>
      <c r="MSC224" s="76"/>
      <c r="MSD224" s="76"/>
      <c r="MSE224" s="76"/>
      <c r="MSF224" s="76"/>
      <c r="MSG224" s="76"/>
      <c r="MSH224" s="76"/>
      <c r="MSI224" s="76"/>
      <c r="MSJ224" s="76"/>
      <c r="MSK224" s="76"/>
      <c r="MSL224" s="76"/>
      <c r="MSM224" s="76"/>
      <c r="MSN224" s="76"/>
      <c r="MSO224" s="76"/>
      <c r="MSP224" s="76"/>
      <c r="MSQ224" s="76"/>
      <c r="MSR224" s="76"/>
      <c r="MSS224" s="76"/>
      <c r="MST224" s="76"/>
      <c r="MSU224" s="76"/>
      <c r="MSV224" s="76"/>
      <c r="MSW224" s="76"/>
      <c r="MSX224" s="76"/>
      <c r="MSY224" s="76"/>
      <c r="MSZ224" s="76"/>
      <c r="MTA224" s="76"/>
      <c r="MTB224" s="76"/>
      <c r="MTC224" s="76"/>
      <c r="MTD224" s="76"/>
      <c r="MTE224" s="76"/>
      <c r="MTF224" s="76"/>
      <c r="MTG224" s="76"/>
      <c r="MTH224" s="76"/>
      <c r="MTI224" s="76"/>
      <c r="MTJ224" s="76"/>
      <c r="MTK224" s="76"/>
      <c r="MTL224" s="76"/>
      <c r="MTM224" s="76"/>
      <c r="MTN224" s="76"/>
      <c r="MTO224" s="76"/>
      <c r="MTP224" s="76"/>
      <c r="MTQ224" s="76"/>
      <c r="MTR224" s="76"/>
      <c r="MTS224" s="76"/>
      <c r="MTT224" s="76"/>
      <c r="MTU224" s="76"/>
      <c r="MTV224" s="76"/>
      <c r="MTW224" s="76"/>
      <c r="MTX224" s="76"/>
      <c r="MTY224" s="76"/>
      <c r="MTZ224" s="76"/>
      <c r="MUA224" s="76"/>
      <c r="MUB224" s="76"/>
      <c r="MUC224" s="76"/>
      <c r="MUD224" s="76"/>
      <c r="MUE224" s="76"/>
      <c r="MUF224" s="76"/>
      <c r="MUG224" s="76"/>
      <c r="MUH224" s="76"/>
      <c r="MUI224" s="76"/>
      <c r="MUJ224" s="76"/>
      <c r="MUK224" s="76"/>
      <c r="MUL224" s="76"/>
      <c r="MUM224" s="76"/>
      <c r="MUN224" s="76"/>
      <c r="MUO224" s="76"/>
      <c r="MUP224" s="76"/>
      <c r="MUQ224" s="76"/>
      <c r="MUR224" s="76"/>
      <c r="MUS224" s="76"/>
      <c r="MUT224" s="76"/>
      <c r="MUU224" s="76"/>
      <c r="MUV224" s="76"/>
      <c r="MUW224" s="76"/>
      <c r="MUX224" s="76"/>
      <c r="MUY224" s="76"/>
      <c r="MUZ224" s="76"/>
      <c r="MVA224" s="76"/>
      <c r="MVB224" s="76"/>
      <c r="MVC224" s="76"/>
      <c r="MVD224" s="76"/>
      <c r="MVE224" s="76"/>
      <c r="MVF224" s="76"/>
      <c r="MVG224" s="76"/>
      <c r="MVH224" s="76"/>
      <c r="MVI224" s="76"/>
      <c r="MVJ224" s="76"/>
      <c r="MVK224" s="76"/>
      <c r="MVL224" s="76"/>
      <c r="MVM224" s="76"/>
      <c r="MVN224" s="76"/>
      <c r="MVO224" s="76"/>
      <c r="MVP224" s="76"/>
      <c r="MVQ224" s="76"/>
      <c r="MVR224" s="76"/>
      <c r="MVS224" s="76"/>
      <c r="MVT224" s="76"/>
      <c r="MVU224" s="76"/>
      <c r="MVV224" s="76"/>
      <c r="MVW224" s="76"/>
      <c r="MVX224" s="76"/>
      <c r="MVY224" s="76"/>
      <c r="MVZ224" s="76"/>
      <c r="MWA224" s="76"/>
      <c r="MWB224" s="76"/>
      <c r="MWC224" s="76"/>
      <c r="MWD224" s="76"/>
      <c r="MWE224" s="76"/>
      <c r="MWF224" s="76"/>
      <c r="MWG224" s="76"/>
      <c r="MWH224" s="76"/>
      <c r="MWI224" s="76"/>
      <c r="MWJ224" s="76"/>
      <c r="MWK224" s="76"/>
      <c r="MWL224" s="76"/>
      <c r="MWM224" s="76"/>
      <c r="MWN224" s="76"/>
      <c r="MWO224" s="76"/>
      <c r="MWP224" s="76"/>
      <c r="MWQ224" s="76"/>
      <c r="MWR224" s="76"/>
      <c r="MWS224" s="76"/>
      <c r="MWT224" s="76"/>
      <c r="MWU224" s="76"/>
      <c r="MWV224" s="76"/>
      <c r="MWW224" s="76"/>
      <c r="MWX224" s="76"/>
      <c r="MWY224" s="76"/>
      <c r="MWZ224" s="76"/>
      <c r="MXA224" s="76"/>
      <c r="MXB224" s="76"/>
      <c r="MXC224" s="76"/>
      <c r="MXD224" s="76"/>
      <c r="MXE224" s="76"/>
      <c r="MXF224" s="76"/>
      <c r="MXG224" s="76"/>
      <c r="MXH224" s="76"/>
      <c r="MXI224" s="76"/>
      <c r="MXJ224" s="76"/>
      <c r="MXK224" s="76"/>
      <c r="MXL224" s="76"/>
      <c r="MXM224" s="76"/>
      <c r="MXN224" s="76"/>
      <c r="MXO224" s="76"/>
      <c r="MXP224" s="76"/>
      <c r="MXQ224" s="76"/>
      <c r="MXR224" s="76"/>
      <c r="MXS224" s="76"/>
      <c r="MXT224" s="76"/>
      <c r="MXU224" s="76"/>
      <c r="MXV224" s="76"/>
      <c r="MXW224" s="76"/>
      <c r="MXX224" s="76"/>
      <c r="MXY224" s="76"/>
      <c r="MXZ224" s="76"/>
      <c r="MYA224" s="76"/>
      <c r="MYB224" s="76"/>
      <c r="MYC224" s="76"/>
      <c r="MYD224" s="76"/>
      <c r="MYE224" s="76"/>
      <c r="MYF224" s="76"/>
      <c r="MYG224" s="76"/>
      <c r="MYH224" s="76"/>
      <c r="MYI224" s="76"/>
      <c r="MYJ224" s="76"/>
      <c r="MYK224" s="76"/>
      <c r="MYL224" s="76"/>
      <c r="MYM224" s="76"/>
      <c r="MYN224" s="76"/>
      <c r="MYO224" s="76"/>
      <c r="MYP224" s="76"/>
      <c r="MYQ224" s="76"/>
      <c r="MYR224" s="76"/>
      <c r="MYS224" s="76"/>
      <c r="MYT224" s="76"/>
      <c r="MYU224" s="76"/>
      <c r="MYV224" s="76"/>
      <c r="MYW224" s="76"/>
      <c r="MYX224" s="76"/>
      <c r="MYY224" s="76"/>
      <c r="MYZ224" s="76"/>
      <c r="MZA224" s="76"/>
      <c r="MZB224" s="76"/>
      <c r="MZC224" s="76"/>
      <c r="MZD224" s="76"/>
      <c r="MZE224" s="76"/>
      <c r="MZF224" s="76"/>
      <c r="MZG224" s="76"/>
      <c r="MZH224" s="76"/>
      <c r="MZI224" s="76"/>
      <c r="MZJ224" s="76"/>
      <c r="MZK224" s="76"/>
      <c r="MZL224" s="76"/>
      <c r="MZM224" s="76"/>
      <c r="MZN224" s="76"/>
      <c r="MZO224" s="76"/>
      <c r="MZP224" s="76"/>
      <c r="MZQ224" s="76"/>
      <c r="MZR224" s="76"/>
      <c r="MZS224" s="76"/>
      <c r="MZT224" s="76"/>
      <c r="MZU224" s="76"/>
      <c r="MZV224" s="76"/>
      <c r="MZW224" s="76"/>
      <c r="MZX224" s="76"/>
      <c r="MZY224" s="76"/>
      <c r="MZZ224" s="76"/>
      <c r="NAA224" s="76"/>
      <c r="NAB224" s="76"/>
      <c r="NAC224" s="76"/>
      <c r="NAD224" s="76"/>
      <c r="NAE224" s="76"/>
      <c r="NAF224" s="76"/>
      <c r="NAG224" s="76"/>
      <c r="NAH224" s="76"/>
      <c r="NAI224" s="76"/>
      <c r="NAJ224" s="76"/>
      <c r="NAK224" s="76"/>
      <c r="NAL224" s="76"/>
      <c r="NAM224" s="76"/>
      <c r="NAN224" s="76"/>
      <c r="NAO224" s="76"/>
      <c r="NAP224" s="76"/>
      <c r="NAQ224" s="76"/>
      <c r="NAR224" s="76"/>
      <c r="NAS224" s="76"/>
      <c r="NAT224" s="76"/>
      <c r="NAU224" s="76"/>
      <c r="NAV224" s="76"/>
      <c r="NAW224" s="76"/>
      <c r="NAX224" s="76"/>
      <c r="NAY224" s="76"/>
      <c r="NAZ224" s="76"/>
      <c r="NBA224" s="76"/>
      <c r="NBB224" s="76"/>
      <c r="NBC224" s="76"/>
      <c r="NBD224" s="76"/>
      <c r="NBE224" s="76"/>
      <c r="NBF224" s="76"/>
      <c r="NBG224" s="76"/>
      <c r="NBH224" s="76"/>
      <c r="NBI224" s="76"/>
      <c r="NBJ224" s="76"/>
      <c r="NBK224" s="76"/>
      <c r="NBL224" s="76"/>
      <c r="NBM224" s="76"/>
      <c r="NBN224" s="76"/>
      <c r="NBO224" s="76"/>
      <c r="NBP224" s="76"/>
      <c r="NBQ224" s="76"/>
      <c r="NBR224" s="76"/>
      <c r="NBS224" s="76"/>
      <c r="NBT224" s="76"/>
      <c r="NBU224" s="76"/>
      <c r="NBV224" s="76"/>
      <c r="NBW224" s="76"/>
      <c r="NBX224" s="76"/>
      <c r="NBY224" s="76"/>
      <c r="NBZ224" s="76"/>
      <c r="NCA224" s="76"/>
      <c r="NCB224" s="76"/>
      <c r="NCC224" s="76"/>
      <c r="NCD224" s="76"/>
      <c r="NCE224" s="76"/>
      <c r="NCF224" s="76"/>
      <c r="NCG224" s="76"/>
      <c r="NCH224" s="76"/>
      <c r="NCI224" s="76"/>
      <c r="NCJ224" s="76"/>
      <c r="NCK224" s="76"/>
      <c r="NCL224" s="76"/>
      <c r="NCM224" s="76"/>
      <c r="NCN224" s="76"/>
      <c r="NCO224" s="76"/>
      <c r="NCP224" s="76"/>
      <c r="NCQ224" s="76"/>
      <c r="NCR224" s="76"/>
      <c r="NCS224" s="76"/>
      <c r="NCT224" s="76"/>
      <c r="NCU224" s="76"/>
      <c r="NCV224" s="76"/>
      <c r="NCW224" s="76"/>
      <c r="NCX224" s="76"/>
      <c r="NCY224" s="76"/>
      <c r="NCZ224" s="76"/>
      <c r="NDA224" s="76"/>
      <c r="NDB224" s="76"/>
      <c r="NDC224" s="76"/>
      <c r="NDD224" s="76"/>
      <c r="NDE224" s="76"/>
      <c r="NDF224" s="76"/>
      <c r="NDG224" s="76"/>
      <c r="NDH224" s="76"/>
      <c r="NDI224" s="76"/>
      <c r="NDJ224" s="76"/>
      <c r="NDK224" s="76"/>
      <c r="NDL224" s="76"/>
      <c r="NDM224" s="76"/>
      <c r="NDN224" s="76"/>
      <c r="NDO224" s="76"/>
      <c r="NDP224" s="76"/>
      <c r="NDQ224" s="76"/>
      <c r="NDR224" s="76"/>
      <c r="NDS224" s="76"/>
      <c r="NDT224" s="76"/>
      <c r="NDU224" s="76"/>
      <c r="NDV224" s="76"/>
      <c r="NDW224" s="76"/>
      <c r="NDX224" s="76"/>
      <c r="NDY224" s="76"/>
      <c r="NDZ224" s="76"/>
      <c r="NEA224" s="76"/>
      <c r="NEB224" s="76"/>
      <c r="NEC224" s="76"/>
      <c r="NED224" s="76"/>
      <c r="NEE224" s="76"/>
      <c r="NEF224" s="76"/>
      <c r="NEG224" s="76"/>
      <c r="NEH224" s="76"/>
      <c r="NEI224" s="76"/>
      <c r="NEJ224" s="76"/>
      <c r="NEK224" s="76"/>
      <c r="NEL224" s="76"/>
      <c r="NEM224" s="76"/>
      <c r="NEN224" s="76"/>
      <c r="NEO224" s="76"/>
      <c r="NEP224" s="76"/>
      <c r="NEQ224" s="76"/>
      <c r="NER224" s="76"/>
      <c r="NES224" s="76"/>
      <c r="NET224" s="76"/>
      <c r="NEU224" s="76"/>
      <c r="NEV224" s="76"/>
      <c r="NEW224" s="76"/>
      <c r="NEX224" s="76"/>
      <c r="NEY224" s="76"/>
      <c r="NEZ224" s="76"/>
      <c r="NFA224" s="76"/>
      <c r="NFB224" s="76"/>
      <c r="NFC224" s="76"/>
      <c r="NFD224" s="76"/>
      <c r="NFE224" s="76"/>
      <c r="NFF224" s="76"/>
      <c r="NFG224" s="76"/>
      <c r="NFH224" s="76"/>
      <c r="NFI224" s="76"/>
      <c r="NFJ224" s="76"/>
      <c r="NFK224" s="76"/>
      <c r="NFL224" s="76"/>
      <c r="NFM224" s="76"/>
      <c r="NFN224" s="76"/>
      <c r="NFO224" s="76"/>
      <c r="NFP224" s="76"/>
      <c r="NFQ224" s="76"/>
      <c r="NFR224" s="76"/>
      <c r="NFS224" s="76"/>
      <c r="NFT224" s="76"/>
      <c r="NFU224" s="76"/>
      <c r="NFV224" s="76"/>
      <c r="NFW224" s="76"/>
      <c r="NFX224" s="76"/>
      <c r="NFY224" s="76"/>
      <c r="NFZ224" s="76"/>
      <c r="NGA224" s="76"/>
      <c r="NGB224" s="76"/>
      <c r="NGC224" s="76"/>
      <c r="NGD224" s="76"/>
      <c r="NGE224" s="76"/>
      <c r="NGF224" s="76"/>
      <c r="NGG224" s="76"/>
      <c r="NGH224" s="76"/>
      <c r="NGI224" s="76"/>
      <c r="NGJ224" s="76"/>
      <c r="NGK224" s="76"/>
      <c r="NGL224" s="76"/>
      <c r="NGM224" s="76"/>
      <c r="NGN224" s="76"/>
      <c r="NGO224" s="76"/>
      <c r="NGP224" s="76"/>
      <c r="NGQ224" s="76"/>
      <c r="NGR224" s="76"/>
      <c r="NGS224" s="76"/>
      <c r="NGT224" s="76"/>
      <c r="NGU224" s="76"/>
      <c r="NGV224" s="76"/>
      <c r="NGW224" s="76"/>
      <c r="NGX224" s="76"/>
      <c r="NGY224" s="76"/>
      <c r="NGZ224" s="76"/>
      <c r="NHA224" s="76"/>
      <c r="NHB224" s="76"/>
      <c r="NHC224" s="76"/>
      <c r="NHD224" s="76"/>
      <c r="NHE224" s="76"/>
      <c r="NHF224" s="76"/>
      <c r="NHG224" s="76"/>
      <c r="NHH224" s="76"/>
      <c r="NHI224" s="76"/>
      <c r="NHJ224" s="76"/>
      <c r="NHK224" s="76"/>
      <c r="NHL224" s="76"/>
      <c r="NHM224" s="76"/>
      <c r="NHN224" s="76"/>
      <c r="NHO224" s="76"/>
      <c r="NHP224" s="76"/>
      <c r="NHQ224" s="76"/>
      <c r="NHR224" s="76"/>
      <c r="NHS224" s="76"/>
      <c r="NHT224" s="76"/>
      <c r="NHU224" s="76"/>
      <c r="NHV224" s="76"/>
      <c r="NHW224" s="76"/>
      <c r="NHX224" s="76"/>
      <c r="NHY224" s="76"/>
      <c r="NHZ224" s="76"/>
      <c r="NIA224" s="76"/>
      <c r="NIB224" s="76"/>
      <c r="NIC224" s="76"/>
      <c r="NID224" s="76"/>
      <c r="NIE224" s="76"/>
      <c r="NIF224" s="76"/>
      <c r="NIG224" s="76"/>
      <c r="NIH224" s="76"/>
      <c r="NII224" s="76"/>
      <c r="NIJ224" s="76"/>
      <c r="NIK224" s="76"/>
      <c r="NIL224" s="76"/>
      <c r="NIM224" s="76"/>
      <c r="NIN224" s="76"/>
      <c r="NIO224" s="76"/>
      <c r="NIP224" s="76"/>
      <c r="NIQ224" s="76"/>
      <c r="NIR224" s="76"/>
      <c r="NIS224" s="76"/>
      <c r="NIT224" s="76"/>
      <c r="NIU224" s="76"/>
      <c r="NIV224" s="76"/>
      <c r="NIW224" s="76"/>
      <c r="NIX224" s="76"/>
      <c r="NIY224" s="76"/>
      <c r="NIZ224" s="76"/>
      <c r="NJA224" s="76"/>
      <c r="NJB224" s="76"/>
      <c r="NJC224" s="76"/>
      <c r="NJD224" s="76"/>
      <c r="NJE224" s="76"/>
      <c r="NJF224" s="76"/>
      <c r="NJG224" s="76"/>
      <c r="NJH224" s="76"/>
      <c r="NJI224" s="76"/>
      <c r="NJJ224" s="76"/>
      <c r="NJK224" s="76"/>
      <c r="NJL224" s="76"/>
      <c r="NJM224" s="76"/>
      <c r="NJN224" s="76"/>
      <c r="NJO224" s="76"/>
      <c r="NJP224" s="76"/>
      <c r="NJQ224" s="76"/>
      <c r="NJR224" s="76"/>
      <c r="NJS224" s="76"/>
      <c r="NJT224" s="76"/>
      <c r="NJU224" s="76"/>
      <c r="NJV224" s="76"/>
      <c r="NJW224" s="76"/>
      <c r="NJX224" s="76"/>
      <c r="NJY224" s="76"/>
      <c r="NJZ224" s="76"/>
      <c r="NKA224" s="76"/>
      <c r="NKB224" s="76"/>
      <c r="NKC224" s="76"/>
      <c r="NKD224" s="76"/>
      <c r="NKE224" s="76"/>
      <c r="NKF224" s="76"/>
      <c r="NKG224" s="76"/>
      <c r="NKH224" s="76"/>
      <c r="NKI224" s="76"/>
      <c r="NKJ224" s="76"/>
      <c r="NKK224" s="76"/>
      <c r="NKL224" s="76"/>
      <c r="NKM224" s="76"/>
      <c r="NKN224" s="76"/>
      <c r="NKO224" s="76"/>
      <c r="NKP224" s="76"/>
      <c r="NKQ224" s="76"/>
      <c r="NKR224" s="76"/>
      <c r="NKS224" s="76"/>
      <c r="NKT224" s="76"/>
      <c r="NKU224" s="76"/>
      <c r="NKV224" s="76"/>
      <c r="NKW224" s="76"/>
      <c r="NKX224" s="76"/>
      <c r="NKY224" s="76"/>
      <c r="NKZ224" s="76"/>
      <c r="NLA224" s="76"/>
      <c r="NLB224" s="76"/>
      <c r="NLC224" s="76"/>
      <c r="NLD224" s="76"/>
      <c r="NLE224" s="76"/>
      <c r="NLF224" s="76"/>
      <c r="NLG224" s="76"/>
      <c r="NLH224" s="76"/>
      <c r="NLI224" s="76"/>
      <c r="NLJ224" s="76"/>
      <c r="NLK224" s="76"/>
      <c r="NLL224" s="76"/>
      <c r="NLM224" s="76"/>
      <c r="NLN224" s="76"/>
      <c r="NLO224" s="76"/>
      <c r="NLP224" s="76"/>
      <c r="NLQ224" s="76"/>
      <c r="NLR224" s="76"/>
      <c r="NLS224" s="76"/>
      <c r="NLT224" s="76"/>
      <c r="NLU224" s="76"/>
      <c r="NLV224" s="76"/>
      <c r="NLW224" s="76"/>
      <c r="NLX224" s="76"/>
      <c r="NLY224" s="76"/>
      <c r="NLZ224" s="76"/>
      <c r="NMA224" s="76"/>
      <c r="NMB224" s="76"/>
      <c r="NMC224" s="76"/>
      <c r="NMD224" s="76"/>
      <c r="NME224" s="76"/>
      <c r="NMF224" s="76"/>
      <c r="NMG224" s="76"/>
      <c r="NMH224" s="76"/>
      <c r="NMI224" s="76"/>
      <c r="NMJ224" s="76"/>
      <c r="NMK224" s="76"/>
      <c r="NML224" s="76"/>
      <c r="NMM224" s="76"/>
      <c r="NMN224" s="76"/>
      <c r="NMO224" s="76"/>
      <c r="NMP224" s="76"/>
      <c r="NMQ224" s="76"/>
      <c r="NMR224" s="76"/>
      <c r="NMS224" s="76"/>
      <c r="NMT224" s="76"/>
      <c r="NMU224" s="76"/>
      <c r="NMV224" s="76"/>
      <c r="NMW224" s="76"/>
      <c r="NMX224" s="76"/>
      <c r="NMY224" s="76"/>
      <c r="NMZ224" s="76"/>
      <c r="NNA224" s="76"/>
      <c r="NNB224" s="76"/>
      <c r="NNC224" s="76"/>
      <c r="NND224" s="76"/>
      <c r="NNE224" s="76"/>
      <c r="NNF224" s="76"/>
      <c r="NNG224" s="76"/>
      <c r="NNH224" s="76"/>
      <c r="NNI224" s="76"/>
      <c r="NNJ224" s="76"/>
      <c r="NNK224" s="76"/>
      <c r="NNL224" s="76"/>
      <c r="NNM224" s="76"/>
      <c r="NNN224" s="76"/>
      <c r="NNO224" s="76"/>
      <c r="NNP224" s="76"/>
      <c r="NNQ224" s="76"/>
      <c r="NNR224" s="76"/>
      <c r="NNS224" s="76"/>
      <c r="NNT224" s="76"/>
      <c r="NNU224" s="76"/>
      <c r="NNV224" s="76"/>
      <c r="NNW224" s="76"/>
      <c r="NNX224" s="76"/>
      <c r="NNY224" s="76"/>
      <c r="NNZ224" s="76"/>
      <c r="NOA224" s="76"/>
      <c r="NOB224" s="76"/>
      <c r="NOC224" s="76"/>
      <c r="NOD224" s="76"/>
      <c r="NOE224" s="76"/>
      <c r="NOF224" s="76"/>
      <c r="NOG224" s="76"/>
      <c r="NOH224" s="76"/>
      <c r="NOI224" s="76"/>
      <c r="NOJ224" s="76"/>
      <c r="NOK224" s="76"/>
      <c r="NOL224" s="76"/>
      <c r="NOM224" s="76"/>
      <c r="NON224" s="76"/>
      <c r="NOO224" s="76"/>
      <c r="NOP224" s="76"/>
      <c r="NOQ224" s="76"/>
      <c r="NOR224" s="76"/>
      <c r="NOS224" s="76"/>
      <c r="NOT224" s="76"/>
      <c r="NOU224" s="76"/>
      <c r="NOV224" s="76"/>
      <c r="NOW224" s="76"/>
      <c r="NOX224" s="76"/>
      <c r="NOY224" s="76"/>
      <c r="NOZ224" s="76"/>
      <c r="NPA224" s="76"/>
      <c r="NPB224" s="76"/>
      <c r="NPC224" s="76"/>
      <c r="NPD224" s="76"/>
      <c r="NPE224" s="76"/>
      <c r="NPF224" s="76"/>
      <c r="NPG224" s="76"/>
      <c r="NPH224" s="76"/>
      <c r="NPI224" s="76"/>
      <c r="NPJ224" s="76"/>
      <c r="NPK224" s="76"/>
      <c r="NPL224" s="76"/>
      <c r="NPM224" s="76"/>
      <c r="NPN224" s="76"/>
      <c r="NPO224" s="76"/>
      <c r="NPP224" s="76"/>
      <c r="NPQ224" s="76"/>
      <c r="NPR224" s="76"/>
      <c r="NPS224" s="76"/>
      <c r="NPT224" s="76"/>
      <c r="NPU224" s="76"/>
      <c r="NPV224" s="76"/>
      <c r="NPW224" s="76"/>
      <c r="NPX224" s="76"/>
      <c r="NPY224" s="76"/>
      <c r="NPZ224" s="76"/>
      <c r="NQA224" s="76"/>
      <c r="NQB224" s="76"/>
      <c r="NQC224" s="76"/>
      <c r="NQD224" s="76"/>
      <c r="NQE224" s="76"/>
      <c r="NQF224" s="76"/>
      <c r="NQG224" s="76"/>
      <c r="NQH224" s="76"/>
      <c r="NQI224" s="76"/>
      <c r="NQJ224" s="76"/>
      <c r="NQK224" s="76"/>
      <c r="NQL224" s="76"/>
      <c r="NQM224" s="76"/>
      <c r="NQN224" s="76"/>
      <c r="NQO224" s="76"/>
      <c r="NQP224" s="76"/>
      <c r="NQQ224" s="76"/>
      <c r="NQR224" s="76"/>
      <c r="NQS224" s="76"/>
      <c r="NQT224" s="76"/>
      <c r="NQU224" s="76"/>
      <c r="NQV224" s="76"/>
      <c r="NQW224" s="76"/>
      <c r="NQX224" s="76"/>
      <c r="NQY224" s="76"/>
      <c r="NQZ224" s="76"/>
      <c r="NRA224" s="76"/>
      <c r="NRB224" s="76"/>
      <c r="NRC224" s="76"/>
      <c r="NRD224" s="76"/>
      <c r="NRE224" s="76"/>
      <c r="NRF224" s="76"/>
      <c r="NRG224" s="76"/>
      <c r="NRH224" s="76"/>
      <c r="NRI224" s="76"/>
      <c r="NRJ224" s="76"/>
      <c r="NRK224" s="76"/>
      <c r="NRL224" s="76"/>
      <c r="NRM224" s="76"/>
      <c r="NRN224" s="76"/>
      <c r="NRO224" s="76"/>
      <c r="NRP224" s="76"/>
      <c r="NRQ224" s="76"/>
      <c r="NRR224" s="76"/>
      <c r="NRS224" s="76"/>
      <c r="NRT224" s="76"/>
      <c r="NRU224" s="76"/>
      <c r="NRV224" s="76"/>
      <c r="NRW224" s="76"/>
      <c r="NRX224" s="76"/>
      <c r="NRY224" s="76"/>
      <c r="NRZ224" s="76"/>
      <c r="NSA224" s="76"/>
      <c r="NSB224" s="76"/>
      <c r="NSC224" s="76"/>
      <c r="NSD224" s="76"/>
      <c r="NSE224" s="76"/>
      <c r="NSF224" s="76"/>
      <c r="NSG224" s="76"/>
      <c r="NSH224" s="76"/>
      <c r="NSI224" s="76"/>
      <c r="NSJ224" s="76"/>
      <c r="NSK224" s="76"/>
      <c r="NSL224" s="76"/>
      <c r="NSM224" s="76"/>
      <c r="NSN224" s="76"/>
      <c r="NSO224" s="76"/>
      <c r="NSP224" s="76"/>
      <c r="NSQ224" s="76"/>
      <c r="NSR224" s="76"/>
      <c r="NSS224" s="76"/>
      <c r="NST224" s="76"/>
      <c r="NSU224" s="76"/>
      <c r="NSV224" s="76"/>
      <c r="NSW224" s="76"/>
      <c r="NSX224" s="76"/>
      <c r="NSY224" s="76"/>
      <c r="NSZ224" s="76"/>
      <c r="NTA224" s="76"/>
      <c r="NTB224" s="76"/>
      <c r="NTC224" s="76"/>
      <c r="NTD224" s="76"/>
      <c r="NTE224" s="76"/>
      <c r="NTF224" s="76"/>
      <c r="NTG224" s="76"/>
      <c r="NTH224" s="76"/>
      <c r="NTI224" s="76"/>
      <c r="NTJ224" s="76"/>
      <c r="NTK224" s="76"/>
      <c r="NTL224" s="76"/>
      <c r="NTM224" s="76"/>
      <c r="NTN224" s="76"/>
      <c r="NTO224" s="76"/>
      <c r="NTP224" s="76"/>
      <c r="NTQ224" s="76"/>
      <c r="NTR224" s="76"/>
      <c r="NTS224" s="76"/>
      <c r="NTT224" s="76"/>
      <c r="NTU224" s="76"/>
      <c r="NTV224" s="76"/>
      <c r="NTW224" s="76"/>
      <c r="NTX224" s="76"/>
      <c r="NTY224" s="76"/>
      <c r="NTZ224" s="76"/>
      <c r="NUA224" s="76"/>
      <c r="NUB224" s="76"/>
      <c r="NUC224" s="76"/>
      <c r="NUD224" s="76"/>
      <c r="NUE224" s="76"/>
      <c r="NUF224" s="76"/>
      <c r="NUG224" s="76"/>
      <c r="NUH224" s="76"/>
      <c r="NUI224" s="76"/>
      <c r="NUJ224" s="76"/>
      <c r="NUK224" s="76"/>
      <c r="NUL224" s="76"/>
      <c r="NUM224" s="76"/>
      <c r="NUN224" s="76"/>
      <c r="NUO224" s="76"/>
      <c r="NUP224" s="76"/>
      <c r="NUQ224" s="76"/>
      <c r="NUR224" s="76"/>
      <c r="NUS224" s="76"/>
      <c r="NUT224" s="76"/>
      <c r="NUU224" s="76"/>
      <c r="NUV224" s="76"/>
      <c r="NUW224" s="76"/>
      <c r="NUX224" s="76"/>
      <c r="NUY224" s="76"/>
      <c r="NUZ224" s="76"/>
      <c r="NVA224" s="76"/>
      <c r="NVB224" s="76"/>
      <c r="NVC224" s="76"/>
      <c r="NVD224" s="76"/>
      <c r="NVE224" s="76"/>
      <c r="NVF224" s="76"/>
      <c r="NVG224" s="76"/>
      <c r="NVH224" s="76"/>
      <c r="NVI224" s="76"/>
      <c r="NVJ224" s="76"/>
      <c r="NVK224" s="76"/>
      <c r="NVL224" s="76"/>
      <c r="NVM224" s="76"/>
      <c r="NVN224" s="76"/>
      <c r="NVO224" s="76"/>
      <c r="NVP224" s="76"/>
      <c r="NVQ224" s="76"/>
      <c r="NVR224" s="76"/>
      <c r="NVS224" s="76"/>
      <c r="NVT224" s="76"/>
      <c r="NVU224" s="76"/>
      <c r="NVV224" s="76"/>
      <c r="NVW224" s="76"/>
      <c r="NVX224" s="76"/>
      <c r="NVY224" s="76"/>
      <c r="NVZ224" s="76"/>
      <c r="NWA224" s="76"/>
      <c r="NWB224" s="76"/>
      <c r="NWC224" s="76"/>
      <c r="NWD224" s="76"/>
      <c r="NWE224" s="76"/>
      <c r="NWF224" s="76"/>
      <c r="NWG224" s="76"/>
      <c r="NWH224" s="76"/>
      <c r="NWI224" s="76"/>
      <c r="NWJ224" s="76"/>
      <c r="NWK224" s="76"/>
      <c r="NWL224" s="76"/>
      <c r="NWM224" s="76"/>
      <c r="NWN224" s="76"/>
      <c r="NWO224" s="76"/>
      <c r="NWP224" s="76"/>
      <c r="NWQ224" s="76"/>
      <c r="NWR224" s="76"/>
      <c r="NWS224" s="76"/>
      <c r="NWT224" s="76"/>
      <c r="NWU224" s="76"/>
      <c r="NWV224" s="76"/>
      <c r="NWW224" s="76"/>
      <c r="NWX224" s="76"/>
      <c r="NWY224" s="76"/>
      <c r="NWZ224" s="76"/>
      <c r="NXA224" s="76"/>
      <c r="NXB224" s="76"/>
      <c r="NXC224" s="76"/>
      <c r="NXD224" s="76"/>
      <c r="NXE224" s="76"/>
      <c r="NXF224" s="76"/>
      <c r="NXG224" s="76"/>
      <c r="NXH224" s="76"/>
      <c r="NXI224" s="76"/>
      <c r="NXJ224" s="76"/>
      <c r="NXK224" s="76"/>
      <c r="NXL224" s="76"/>
      <c r="NXM224" s="76"/>
      <c r="NXN224" s="76"/>
      <c r="NXO224" s="76"/>
      <c r="NXP224" s="76"/>
      <c r="NXQ224" s="76"/>
      <c r="NXR224" s="76"/>
      <c r="NXS224" s="76"/>
      <c r="NXT224" s="76"/>
      <c r="NXU224" s="76"/>
      <c r="NXV224" s="76"/>
      <c r="NXW224" s="76"/>
      <c r="NXX224" s="76"/>
      <c r="NXY224" s="76"/>
      <c r="NXZ224" s="76"/>
      <c r="NYA224" s="76"/>
      <c r="NYB224" s="76"/>
      <c r="NYC224" s="76"/>
      <c r="NYD224" s="76"/>
      <c r="NYE224" s="76"/>
      <c r="NYF224" s="76"/>
      <c r="NYG224" s="76"/>
      <c r="NYH224" s="76"/>
      <c r="NYI224" s="76"/>
      <c r="NYJ224" s="76"/>
      <c r="NYK224" s="76"/>
      <c r="NYL224" s="76"/>
      <c r="NYM224" s="76"/>
      <c r="NYN224" s="76"/>
      <c r="NYO224" s="76"/>
      <c r="NYP224" s="76"/>
      <c r="NYQ224" s="76"/>
      <c r="NYR224" s="76"/>
      <c r="NYS224" s="76"/>
      <c r="NYT224" s="76"/>
      <c r="NYU224" s="76"/>
      <c r="NYV224" s="76"/>
      <c r="NYW224" s="76"/>
      <c r="NYX224" s="76"/>
      <c r="NYY224" s="76"/>
      <c r="NYZ224" s="76"/>
      <c r="NZA224" s="76"/>
      <c r="NZB224" s="76"/>
      <c r="NZC224" s="76"/>
      <c r="NZD224" s="76"/>
      <c r="NZE224" s="76"/>
      <c r="NZF224" s="76"/>
      <c r="NZG224" s="76"/>
      <c r="NZH224" s="76"/>
      <c r="NZI224" s="76"/>
      <c r="NZJ224" s="76"/>
      <c r="NZK224" s="76"/>
      <c r="NZL224" s="76"/>
      <c r="NZM224" s="76"/>
      <c r="NZN224" s="76"/>
      <c r="NZO224" s="76"/>
      <c r="NZP224" s="76"/>
      <c r="NZQ224" s="76"/>
      <c r="NZR224" s="76"/>
      <c r="NZS224" s="76"/>
      <c r="NZT224" s="76"/>
      <c r="NZU224" s="76"/>
      <c r="NZV224" s="76"/>
      <c r="NZW224" s="76"/>
      <c r="NZX224" s="76"/>
      <c r="NZY224" s="76"/>
      <c r="NZZ224" s="76"/>
      <c r="OAA224" s="76"/>
      <c r="OAB224" s="76"/>
      <c r="OAC224" s="76"/>
      <c r="OAD224" s="76"/>
      <c r="OAE224" s="76"/>
      <c r="OAF224" s="76"/>
      <c r="OAG224" s="76"/>
      <c r="OAH224" s="76"/>
      <c r="OAI224" s="76"/>
      <c r="OAJ224" s="76"/>
      <c r="OAK224" s="76"/>
      <c r="OAL224" s="76"/>
      <c r="OAM224" s="76"/>
      <c r="OAN224" s="76"/>
      <c r="OAO224" s="76"/>
      <c r="OAP224" s="76"/>
      <c r="OAQ224" s="76"/>
      <c r="OAR224" s="76"/>
      <c r="OAS224" s="76"/>
      <c r="OAT224" s="76"/>
      <c r="OAU224" s="76"/>
      <c r="OAV224" s="76"/>
      <c r="OAW224" s="76"/>
      <c r="OAX224" s="76"/>
      <c r="OAY224" s="76"/>
      <c r="OAZ224" s="76"/>
      <c r="OBA224" s="76"/>
      <c r="OBB224" s="76"/>
      <c r="OBC224" s="76"/>
      <c r="OBD224" s="76"/>
      <c r="OBE224" s="76"/>
      <c r="OBF224" s="76"/>
      <c r="OBG224" s="76"/>
      <c r="OBH224" s="76"/>
      <c r="OBI224" s="76"/>
      <c r="OBJ224" s="76"/>
      <c r="OBK224" s="76"/>
      <c r="OBL224" s="76"/>
      <c r="OBM224" s="76"/>
      <c r="OBN224" s="76"/>
      <c r="OBO224" s="76"/>
      <c r="OBP224" s="76"/>
      <c r="OBQ224" s="76"/>
      <c r="OBR224" s="76"/>
      <c r="OBS224" s="76"/>
      <c r="OBT224" s="76"/>
      <c r="OBU224" s="76"/>
      <c r="OBV224" s="76"/>
      <c r="OBW224" s="76"/>
      <c r="OBX224" s="76"/>
      <c r="OBY224" s="76"/>
      <c r="OBZ224" s="76"/>
      <c r="OCA224" s="76"/>
      <c r="OCB224" s="76"/>
      <c r="OCC224" s="76"/>
      <c r="OCD224" s="76"/>
      <c r="OCE224" s="76"/>
      <c r="OCF224" s="76"/>
      <c r="OCG224" s="76"/>
      <c r="OCH224" s="76"/>
      <c r="OCI224" s="76"/>
      <c r="OCJ224" s="76"/>
      <c r="OCK224" s="76"/>
      <c r="OCL224" s="76"/>
      <c r="OCM224" s="76"/>
      <c r="OCN224" s="76"/>
      <c r="OCO224" s="76"/>
      <c r="OCP224" s="76"/>
      <c r="OCQ224" s="76"/>
      <c r="OCR224" s="76"/>
      <c r="OCS224" s="76"/>
      <c r="OCT224" s="76"/>
      <c r="OCU224" s="76"/>
      <c r="OCV224" s="76"/>
      <c r="OCW224" s="76"/>
      <c r="OCX224" s="76"/>
      <c r="OCY224" s="76"/>
      <c r="OCZ224" s="76"/>
      <c r="ODA224" s="76"/>
      <c r="ODB224" s="76"/>
      <c r="ODC224" s="76"/>
      <c r="ODD224" s="76"/>
      <c r="ODE224" s="76"/>
      <c r="ODF224" s="76"/>
      <c r="ODG224" s="76"/>
      <c r="ODH224" s="76"/>
      <c r="ODI224" s="76"/>
      <c r="ODJ224" s="76"/>
      <c r="ODK224" s="76"/>
      <c r="ODL224" s="76"/>
      <c r="ODM224" s="76"/>
      <c r="ODN224" s="76"/>
      <c r="ODO224" s="76"/>
      <c r="ODP224" s="76"/>
      <c r="ODQ224" s="76"/>
      <c r="ODR224" s="76"/>
      <c r="ODS224" s="76"/>
      <c r="ODT224" s="76"/>
      <c r="ODU224" s="76"/>
      <c r="ODV224" s="76"/>
      <c r="ODW224" s="76"/>
      <c r="ODX224" s="76"/>
      <c r="ODY224" s="76"/>
      <c r="ODZ224" s="76"/>
      <c r="OEA224" s="76"/>
      <c r="OEB224" s="76"/>
      <c r="OEC224" s="76"/>
      <c r="OED224" s="76"/>
      <c r="OEE224" s="76"/>
      <c r="OEF224" s="76"/>
      <c r="OEG224" s="76"/>
      <c r="OEH224" s="76"/>
      <c r="OEI224" s="76"/>
      <c r="OEJ224" s="76"/>
      <c r="OEK224" s="76"/>
      <c r="OEL224" s="76"/>
      <c r="OEM224" s="76"/>
      <c r="OEN224" s="76"/>
      <c r="OEO224" s="76"/>
      <c r="OEP224" s="76"/>
      <c r="OEQ224" s="76"/>
      <c r="OER224" s="76"/>
      <c r="OES224" s="76"/>
      <c r="OET224" s="76"/>
      <c r="OEU224" s="76"/>
      <c r="OEV224" s="76"/>
      <c r="OEW224" s="76"/>
      <c r="OEX224" s="76"/>
      <c r="OEY224" s="76"/>
      <c r="OEZ224" s="76"/>
      <c r="OFA224" s="76"/>
      <c r="OFB224" s="76"/>
      <c r="OFC224" s="76"/>
      <c r="OFD224" s="76"/>
      <c r="OFE224" s="76"/>
      <c r="OFF224" s="76"/>
      <c r="OFG224" s="76"/>
      <c r="OFH224" s="76"/>
      <c r="OFI224" s="76"/>
      <c r="OFJ224" s="76"/>
      <c r="OFK224" s="76"/>
      <c r="OFL224" s="76"/>
      <c r="OFM224" s="76"/>
      <c r="OFN224" s="76"/>
      <c r="OFO224" s="76"/>
      <c r="OFP224" s="76"/>
      <c r="OFQ224" s="76"/>
      <c r="OFR224" s="76"/>
      <c r="OFS224" s="76"/>
      <c r="OFT224" s="76"/>
      <c r="OFU224" s="76"/>
      <c r="OFV224" s="76"/>
      <c r="OFW224" s="76"/>
      <c r="OFX224" s="76"/>
      <c r="OFY224" s="76"/>
      <c r="OFZ224" s="76"/>
      <c r="OGA224" s="76"/>
      <c r="OGB224" s="76"/>
      <c r="OGC224" s="76"/>
      <c r="OGD224" s="76"/>
      <c r="OGE224" s="76"/>
      <c r="OGF224" s="76"/>
      <c r="OGG224" s="76"/>
      <c r="OGH224" s="76"/>
      <c r="OGI224" s="76"/>
      <c r="OGJ224" s="76"/>
      <c r="OGK224" s="76"/>
      <c r="OGL224" s="76"/>
      <c r="OGM224" s="76"/>
      <c r="OGN224" s="76"/>
      <c r="OGO224" s="76"/>
      <c r="OGP224" s="76"/>
      <c r="OGQ224" s="76"/>
      <c r="OGR224" s="76"/>
      <c r="OGS224" s="76"/>
      <c r="OGT224" s="76"/>
      <c r="OGU224" s="76"/>
      <c r="OGV224" s="76"/>
      <c r="OGW224" s="76"/>
      <c r="OGX224" s="76"/>
      <c r="OGY224" s="76"/>
      <c r="OGZ224" s="76"/>
      <c r="OHA224" s="76"/>
      <c r="OHB224" s="76"/>
      <c r="OHC224" s="76"/>
      <c r="OHD224" s="76"/>
      <c r="OHE224" s="76"/>
      <c r="OHF224" s="76"/>
      <c r="OHG224" s="76"/>
      <c r="OHH224" s="76"/>
      <c r="OHI224" s="76"/>
      <c r="OHJ224" s="76"/>
      <c r="OHK224" s="76"/>
      <c r="OHL224" s="76"/>
      <c r="OHM224" s="76"/>
      <c r="OHN224" s="76"/>
      <c r="OHO224" s="76"/>
      <c r="OHP224" s="76"/>
      <c r="OHQ224" s="76"/>
      <c r="OHR224" s="76"/>
      <c r="OHS224" s="76"/>
      <c r="OHT224" s="76"/>
      <c r="OHU224" s="76"/>
      <c r="OHV224" s="76"/>
      <c r="OHW224" s="76"/>
      <c r="OHX224" s="76"/>
      <c r="OHY224" s="76"/>
      <c r="OHZ224" s="76"/>
      <c r="OIA224" s="76"/>
      <c r="OIB224" s="76"/>
      <c r="OIC224" s="76"/>
      <c r="OID224" s="76"/>
      <c r="OIE224" s="76"/>
      <c r="OIF224" s="76"/>
      <c r="OIG224" s="76"/>
      <c r="OIH224" s="76"/>
      <c r="OII224" s="76"/>
      <c r="OIJ224" s="76"/>
      <c r="OIK224" s="76"/>
      <c r="OIL224" s="76"/>
      <c r="OIM224" s="76"/>
      <c r="OIN224" s="76"/>
      <c r="OIO224" s="76"/>
      <c r="OIP224" s="76"/>
      <c r="OIQ224" s="76"/>
      <c r="OIR224" s="76"/>
      <c r="OIS224" s="76"/>
      <c r="OIT224" s="76"/>
      <c r="OIU224" s="76"/>
      <c r="OIV224" s="76"/>
      <c r="OIW224" s="76"/>
      <c r="OIX224" s="76"/>
      <c r="OIY224" s="76"/>
      <c r="OIZ224" s="76"/>
      <c r="OJA224" s="76"/>
      <c r="OJB224" s="76"/>
      <c r="OJC224" s="76"/>
      <c r="OJD224" s="76"/>
      <c r="OJE224" s="76"/>
      <c r="OJF224" s="76"/>
      <c r="OJG224" s="76"/>
      <c r="OJH224" s="76"/>
      <c r="OJI224" s="76"/>
      <c r="OJJ224" s="76"/>
      <c r="OJK224" s="76"/>
      <c r="OJL224" s="76"/>
      <c r="OJM224" s="76"/>
      <c r="OJN224" s="76"/>
      <c r="OJO224" s="76"/>
      <c r="OJP224" s="76"/>
      <c r="OJQ224" s="76"/>
      <c r="OJR224" s="76"/>
      <c r="OJS224" s="76"/>
      <c r="OJT224" s="76"/>
      <c r="OJU224" s="76"/>
      <c r="OJV224" s="76"/>
      <c r="OJW224" s="76"/>
      <c r="OJX224" s="76"/>
      <c r="OJY224" s="76"/>
      <c r="OJZ224" s="76"/>
      <c r="OKA224" s="76"/>
      <c r="OKB224" s="76"/>
      <c r="OKC224" s="76"/>
      <c r="OKD224" s="76"/>
      <c r="OKE224" s="76"/>
      <c r="OKF224" s="76"/>
      <c r="OKG224" s="76"/>
      <c r="OKH224" s="76"/>
      <c r="OKI224" s="76"/>
      <c r="OKJ224" s="76"/>
      <c r="OKK224" s="76"/>
      <c r="OKL224" s="76"/>
      <c r="OKM224" s="76"/>
      <c r="OKN224" s="76"/>
      <c r="OKO224" s="76"/>
      <c r="OKP224" s="76"/>
      <c r="OKQ224" s="76"/>
      <c r="OKR224" s="76"/>
      <c r="OKS224" s="76"/>
      <c r="OKT224" s="76"/>
      <c r="OKU224" s="76"/>
      <c r="OKV224" s="76"/>
      <c r="OKW224" s="76"/>
      <c r="OKX224" s="76"/>
      <c r="OKY224" s="76"/>
      <c r="OKZ224" s="76"/>
      <c r="OLA224" s="76"/>
      <c r="OLB224" s="76"/>
      <c r="OLC224" s="76"/>
      <c r="OLD224" s="76"/>
      <c r="OLE224" s="76"/>
      <c r="OLF224" s="76"/>
      <c r="OLG224" s="76"/>
      <c r="OLH224" s="76"/>
      <c r="OLI224" s="76"/>
      <c r="OLJ224" s="76"/>
      <c r="OLK224" s="76"/>
      <c r="OLL224" s="76"/>
      <c r="OLM224" s="76"/>
      <c r="OLN224" s="76"/>
      <c r="OLO224" s="76"/>
      <c r="OLP224" s="76"/>
      <c r="OLQ224" s="76"/>
      <c r="OLR224" s="76"/>
      <c r="OLS224" s="76"/>
      <c r="OLT224" s="76"/>
      <c r="OLU224" s="76"/>
      <c r="OLV224" s="76"/>
      <c r="OLW224" s="76"/>
      <c r="OLX224" s="76"/>
      <c r="OLY224" s="76"/>
      <c r="OLZ224" s="76"/>
      <c r="OMA224" s="76"/>
      <c r="OMB224" s="76"/>
      <c r="OMC224" s="76"/>
      <c r="OMD224" s="76"/>
      <c r="OME224" s="76"/>
      <c r="OMF224" s="76"/>
      <c r="OMG224" s="76"/>
      <c r="OMH224" s="76"/>
      <c r="OMI224" s="76"/>
      <c r="OMJ224" s="76"/>
      <c r="OMK224" s="76"/>
      <c r="OML224" s="76"/>
      <c r="OMM224" s="76"/>
      <c r="OMN224" s="76"/>
      <c r="OMO224" s="76"/>
      <c r="OMP224" s="76"/>
      <c r="OMQ224" s="76"/>
      <c r="OMR224" s="76"/>
      <c r="OMS224" s="76"/>
      <c r="OMT224" s="76"/>
      <c r="OMU224" s="76"/>
      <c r="OMV224" s="76"/>
      <c r="OMW224" s="76"/>
      <c r="OMX224" s="76"/>
      <c r="OMY224" s="76"/>
      <c r="OMZ224" s="76"/>
      <c r="ONA224" s="76"/>
      <c r="ONB224" s="76"/>
      <c r="ONC224" s="76"/>
      <c r="OND224" s="76"/>
      <c r="ONE224" s="76"/>
      <c r="ONF224" s="76"/>
      <c r="ONG224" s="76"/>
      <c r="ONH224" s="76"/>
      <c r="ONI224" s="76"/>
      <c r="ONJ224" s="76"/>
      <c r="ONK224" s="76"/>
      <c r="ONL224" s="76"/>
      <c r="ONM224" s="76"/>
      <c r="ONN224" s="76"/>
      <c r="ONO224" s="76"/>
      <c r="ONP224" s="76"/>
      <c r="ONQ224" s="76"/>
      <c r="ONR224" s="76"/>
      <c r="ONS224" s="76"/>
      <c r="ONT224" s="76"/>
      <c r="ONU224" s="76"/>
      <c r="ONV224" s="76"/>
      <c r="ONW224" s="76"/>
      <c r="ONX224" s="76"/>
      <c r="ONY224" s="76"/>
      <c r="ONZ224" s="76"/>
      <c r="OOA224" s="76"/>
      <c r="OOB224" s="76"/>
      <c r="OOC224" s="76"/>
      <c r="OOD224" s="76"/>
      <c r="OOE224" s="76"/>
      <c r="OOF224" s="76"/>
      <c r="OOG224" s="76"/>
      <c r="OOH224" s="76"/>
      <c r="OOI224" s="76"/>
      <c r="OOJ224" s="76"/>
      <c r="OOK224" s="76"/>
      <c r="OOL224" s="76"/>
      <c r="OOM224" s="76"/>
      <c r="OON224" s="76"/>
      <c r="OOO224" s="76"/>
      <c r="OOP224" s="76"/>
      <c r="OOQ224" s="76"/>
      <c r="OOR224" s="76"/>
      <c r="OOS224" s="76"/>
      <c r="OOT224" s="76"/>
      <c r="OOU224" s="76"/>
      <c r="OOV224" s="76"/>
      <c r="OOW224" s="76"/>
      <c r="OOX224" s="76"/>
      <c r="OOY224" s="76"/>
      <c r="OOZ224" s="76"/>
      <c r="OPA224" s="76"/>
      <c r="OPB224" s="76"/>
      <c r="OPC224" s="76"/>
      <c r="OPD224" s="76"/>
      <c r="OPE224" s="76"/>
      <c r="OPF224" s="76"/>
      <c r="OPG224" s="76"/>
      <c r="OPH224" s="76"/>
      <c r="OPI224" s="76"/>
      <c r="OPJ224" s="76"/>
      <c r="OPK224" s="76"/>
      <c r="OPL224" s="76"/>
      <c r="OPM224" s="76"/>
      <c r="OPN224" s="76"/>
      <c r="OPO224" s="76"/>
      <c r="OPP224" s="76"/>
      <c r="OPQ224" s="76"/>
      <c r="OPR224" s="76"/>
      <c r="OPS224" s="76"/>
      <c r="OPT224" s="76"/>
      <c r="OPU224" s="76"/>
      <c r="OPV224" s="76"/>
      <c r="OPW224" s="76"/>
      <c r="OPX224" s="76"/>
      <c r="OPY224" s="76"/>
      <c r="OPZ224" s="76"/>
      <c r="OQA224" s="76"/>
      <c r="OQB224" s="76"/>
      <c r="OQC224" s="76"/>
      <c r="OQD224" s="76"/>
      <c r="OQE224" s="76"/>
      <c r="OQF224" s="76"/>
      <c r="OQG224" s="76"/>
      <c r="OQH224" s="76"/>
      <c r="OQI224" s="76"/>
      <c r="OQJ224" s="76"/>
      <c r="OQK224" s="76"/>
      <c r="OQL224" s="76"/>
      <c r="OQM224" s="76"/>
      <c r="OQN224" s="76"/>
      <c r="OQO224" s="76"/>
      <c r="OQP224" s="76"/>
      <c r="OQQ224" s="76"/>
      <c r="OQR224" s="76"/>
      <c r="OQS224" s="76"/>
      <c r="OQT224" s="76"/>
      <c r="OQU224" s="76"/>
      <c r="OQV224" s="76"/>
      <c r="OQW224" s="76"/>
      <c r="OQX224" s="76"/>
      <c r="OQY224" s="76"/>
      <c r="OQZ224" s="76"/>
      <c r="ORA224" s="76"/>
      <c r="ORB224" s="76"/>
      <c r="ORC224" s="76"/>
      <c r="ORD224" s="76"/>
      <c r="ORE224" s="76"/>
      <c r="ORF224" s="76"/>
      <c r="ORG224" s="76"/>
      <c r="ORH224" s="76"/>
      <c r="ORI224" s="76"/>
      <c r="ORJ224" s="76"/>
      <c r="ORK224" s="76"/>
      <c r="ORL224" s="76"/>
      <c r="ORM224" s="76"/>
      <c r="ORN224" s="76"/>
      <c r="ORO224" s="76"/>
      <c r="ORP224" s="76"/>
      <c r="ORQ224" s="76"/>
      <c r="ORR224" s="76"/>
      <c r="ORS224" s="76"/>
      <c r="ORT224" s="76"/>
      <c r="ORU224" s="76"/>
      <c r="ORV224" s="76"/>
      <c r="ORW224" s="76"/>
      <c r="ORX224" s="76"/>
      <c r="ORY224" s="76"/>
      <c r="ORZ224" s="76"/>
      <c r="OSA224" s="76"/>
      <c r="OSB224" s="76"/>
      <c r="OSC224" s="76"/>
      <c r="OSD224" s="76"/>
      <c r="OSE224" s="76"/>
      <c r="OSF224" s="76"/>
      <c r="OSG224" s="76"/>
      <c r="OSH224" s="76"/>
      <c r="OSI224" s="76"/>
      <c r="OSJ224" s="76"/>
      <c r="OSK224" s="76"/>
      <c r="OSL224" s="76"/>
      <c r="OSM224" s="76"/>
      <c r="OSN224" s="76"/>
      <c r="OSO224" s="76"/>
      <c r="OSP224" s="76"/>
      <c r="OSQ224" s="76"/>
      <c r="OSR224" s="76"/>
      <c r="OSS224" s="76"/>
      <c r="OST224" s="76"/>
      <c r="OSU224" s="76"/>
      <c r="OSV224" s="76"/>
      <c r="OSW224" s="76"/>
      <c r="OSX224" s="76"/>
      <c r="OSY224" s="76"/>
      <c r="OSZ224" s="76"/>
      <c r="OTA224" s="76"/>
      <c r="OTB224" s="76"/>
      <c r="OTC224" s="76"/>
      <c r="OTD224" s="76"/>
      <c r="OTE224" s="76"/>
      <c r="OTF224" s="76"/>
      <c r="OTG224" s="76"/>
      <c r="OTH224" s="76"/>
      <c r="OTI224" s="76"/>
      <c r="OTJ224" s="76"/>
      <c r="OTK224" s="76"/>
      <c r="OTL224" s="76"/>
      <c r="OTM224" s="76"/>
      <c r="OTN224" s="76"/>
      <c r="OTO224" s="76"/>
      <c r="OTP224" s="76"/>
      <c r="OTQ224" s="76"/>
      <c r="OTR224" s="76"/>
      <c r="OTS224" s="76"/>
      <c r="OTT224" s="76"/>
      <c r="OTU224" s="76"/>
      <c r="OTV224" s="76"/>
      <c r="OTW224" s="76"/>
      <c r="OTX224" s="76"/>
      <c r="OTY224" s="76"/>
      <c r="OTZ224" s="76"/>
      <c r="OUA224" s="76"/>
      <c r="OUB224" s="76"/>
      <c r="OUC224" s="76"/>
      <c r="OUD224" s="76"/>
      <c r="OUE224" s="76"/>
      <c r="OUF224" s="76"/>
      <c r="OUG224" s="76"/>
      <c r="OUH224" s="76"/>
      <c r="OUI224" s="76"/>
      <c r="OUJ224" s="76"/>
      <c r="OUK224" s="76"/>
      <c r="OUL224" s="76"/>
      <c r="OUM224" s="76"/>
      <c r="OUN224" s="76"/>
      <c r="OUO224" s="76"/>
      <c r="OUP224" s="76"/>
      <c r="OUQ224" s="76"/>
      <c r="OUR224" s="76"/>
      <c r="OUS224" s="76"/>
      <c r="OUT224" s="76"/>
      <c r="OUU224" s="76"/>
      <c r="OUV224" s="76"/>
      <c r="OUW224" s="76"/>
      <c r="OUX224" s="76"/>
      <c r="OUY224" s="76"/>
      <c r="OUZ224" s="76"/>
      <c r="OVA224" s="76"/>
      <c r="OVB224" s="76"/>
      <c r="OVC224" s="76"/>
      <c r="OVD224" s="76"/>
      <c r="OVE224" s="76"/>
      <c r="OVF224" s="76"/>
      <c r="OVG224" s="76"/>
      <c r="OVH224" s="76"/>
      <c r="OVI224" s="76"/>
      <c r="OVJ224" s="76"/>
      <c r="OVK224" s="76"/>
      <c r="OVL224" s="76"/>
      <c r="OVM224" s="76"/>
      <c r="OVN224" s="76"/>
      <c r="OVO224" s="76"/>
      <c r="OVP224" s="76"/>
      <c r="OVQ224" s="76"/>
      <c r="OVR224" s="76"/>
      <c r="OVS224" s="76"/>
      <c r="OVT224" s="76"/>
      <c r="OVU224" s="76"/>
      <c r="OVV224" s="76"/>
      <c r="OVW224" s="76"/>
      <c r="OVX224" s="76"/>
      <c r="OVY224" s="76"/>
      <c r="OVZ224" s="76"/>
      <c r="OWA224" s="76"/>
      <c r="OWB224" s="76"/>
      <c r="OWC224" s="76"/>
      <c r="OWD224" s="76"/>
      <c r="OWE224" s="76"/>
      <c r="OWF224" s="76"/>
      <c r="OWG224" s="76"/>
      <c r="OWH224" s="76"/>
      <c r="OWI224" s="76"/>
      <c r="OWJ224" s="76"/>
      <c r="OWK224" s="76"/>
      <c r="OWL224" s="76"/>
      <c r="OWM224" s="76"/>
      <c r="OWN224" s="76"/>
      <c r="OWO224" s="76"/>
      <c r="OWP224" s="76"/>
      <c r="OWQ224" s="76"/>
      <c r="OWR224" s="76"/>
      <c r="OWS224" s="76"/>
      <c r="OWT224" s="76"/>
      <c r="OWU224" s="76"/>
      <c r="OWV224" s="76"/>
      <c r="OWW224" s="76"/>
      <c r="OWX224" s="76"/>
      <c r="OWY224" s="76"/>
      <c r="OWZ224" s="76"/>
      <c r="OXA224" s="76"/>
      <c r="OXB224" s="76"/>
      <c r="OXC224" s="76"/>
      <c r="OXD224" s="76"/>
      <c r="OXE224" s="76"/>
      <c r="OXF224" s="76"/>
      <c r="OXG224" s="76"/>
      <c r="OXH224" s="76"/>
      <c r="OXI224" s="76"/>
      <c r="OXJ224" s="76"/>
      <c r="OXK224" s="76"/>
      <c r="OXL224" s="76"/>
      <c r="OXM224" s="76"/>
      <c r="OXN224" s="76"/>
      <c r="OXO224" s="76"/>
      <c r="OXP224" s="76"/>
      <c r="OXQ224" s="76"/>
      <c r="OXR224" s="76"/>
      <c r="OXS224" s="76"/>
      <c r="OXT224" s="76"/>
      <c r="OXU224" s="76"/>
      <c r="OXV224" s="76"/>
      <c r="OXW224" s="76"/>
      <c r="OXX224" s="76"/>
      <c r="OXY224" s="76"/>
      <c r="OXZ224" s="76"/>
      <c r="OYA224" s="76"/>
      <c r="OYB224" s="76"/>
      <c r="OYC224" s="76"/>
      <c r="OYD224" s="76"/>
      <c r="OYE224" s="76"/>
      <c r="OYF224" s="76"/>
      <c r="OYG224" s="76"/>
      <c r="OYH224" s="76"/>
      <c r="OYI224" s="76"/>
      <c r="OYJ224" s="76"/>
      <c r="OYK224" s="76"/>
      <c r="OYL224" s="76"/>
      <c r="OYM224" s="76"/>
      <c r="OYN224" s="76"/>
      <c r="OYO224" s="76"/>
      <c r="OYP224" s="76"/>
      <c r="OYQ224" s="76"/>
      <c r="OYR224" s="76"/>
      <c r="OYS224" s="76"/>
      <c r="OYT224" s="76"/>
      <c r="OYU224" s="76"/>
      <c r="OYV224" s="76"/>
      <c r="OYW224" s="76"/>
      <c r="OYX224" s="76"/>
      <c r="OYY224" s="76"/>
      <c r="OYZ224" s="76"/>
      <c r="OZA224" s="76"/>
      <c r="OZB224" s="76"/>
      <c r="OZC224" s="76"/>
      <c r="OZD224" s="76"/>
      <c r="OZE224" s="76"/>
      <c r="OZF224" s="76"/>
      <c r="OZG224" s="76"/>
      <c r="OZH224" s="76"/>
      <c r="OZI224" s="76"/>
      <c r="OZJ224" s="76"/>
      <c r="OZK224" s="76"/>
      <c r="OZL224" s="76"/>
      <c r="OZM224" s="76"/>
      <c r="OZN224" s="76"/>
      <c r="OZO224" s="76"/>
      <c r="OZP224" s="76"/>
      <c r="OZQ224" s="76"/>
      <c r="OZR224" s="76"/>
      <c r="OZS224" s="76"/>
      <c r="OZT224" s="76"/>
      <c r="OZU224" s="76"/>
      <c r="OZV224" s="76"/>
      <c r="OZW224" s="76"/>
      <c r="OZX224" s="76"/>
      <c r="OZY224" s="76"/>
      <c r="OZZ224" s="76"/>
      <c r="PAA224" s="76"/>
      <c r="PAB224" s="76"/>
      <c r="PAC224" s="76"/>
      <c r="PAD224" s="76"/>
      <c r="PAE224" s="76"/>
      <c r="PAF224" s="76"/>
      <c r="PAG224" s="76"/>
      <c r="PAH224" s="76"/>
      <c r="PAI224" s="76"/>
      <c r="PAJ224" s="76"/>
      <c r="PAK224" s="76"/>
      <c r="PAL224" s="76"/>
      <c r="PAM224" s="76"/>
      <c r="PAN224" s="76"/>
      <c r="PAO224" s="76"/>
      <c r="PAP224" s="76"/>
      <c r="PAQ224" s="76"/>
      <c r="PAR224" s="76"/>
      <c r="PAS224" s="76"/>
      <c r="PAT224" s="76"/>
      <c r="PAU224" s="76"/>
      <c r="PAV224" s="76"/>
      <c r="PAW224" s="76"/>
      <c r="PAX224" s="76"/>
      <c r="PAY224" s="76"/>
      <c r="PAZ224" s="76"/>
      <c r="PBA224" s="76"/>
      <c r="PBB224" s="76"/>
      <c r="PBC224" s="76"/>
      <c r="PBD224" s="76"/>
      <c r="PBE224" s="76"/>
      <c r="PBF224" s="76"/>
      <c r="PBG224" s="76"/>
      <c r="PBH224" s="76"/>
      <c r="PBI224" s="76"/>
      <c r="PBJ224" s="76"/>
      <c r="PBK224" s="76"/>
      <c r="PBL224" s="76"/>
      <c r="PBM224" s="76"/>
      <c r="PBN224" s="76"/>
      <c r="PBO224" s="76"/>
      <c r="PBP224" s="76"/>
      <c r="PBQ224" s="76"/>
      <c r="PBR224" s="76"/>
      <c r="PBS224" s="76"/>
      <c r="PBT224" s="76"/>
      <c r="PBU224" s="76"/>
      <c r="PBV224" s="76"/>
      <c r="PBW224" s="76"/>
      <c r="PBX224" s="76"/>
      <c r="PBY224" s="76"/>
      <c r="PBZ224" s="76"/>
      <c r="PCA224" s="76"/>
      <c r="PCB224" s="76"/>
      <c r="PCC224" s="76"/>
      <c r="PCD224" s="76"/>
      <c r="PCE224" s="76"/>
      <c r="PCF224" s="76"/>
      <c r="PCG224" s="76"/>
      <c r="PCH224" s="76"/>
      <c r="PCI224" s="76"/>
      <c r="PCJ224" s="76"/>
      <c r="PCK224" s="76"/>
      <c r="PCL224" s="76"/>
      <c r="PCM224" s="76"/>
      <c r="PCN224" s="76"/>
      <c r="PCO224" s="76"/>
      <c r="PCP224" s="76"/>
      <c r="PCQ224" s="76"/>
      <c r="PCR224" s="76"/>
      <c r="PCS224" s="76"/>
      <c r="PCT224" s="76"/>
      <c r="PCU224" s="76"/>
      <c r="PCV224" s="76"/>
      <c r="PCW224" s="76"/>
      <c r="PCX224" s="76"/>
      <c r="PCY224" s="76"/>
      <c r="PCZ224" s="76"/>
      <c r="PDA224" s="76"/>
      <c r="PDB224" s="76"/>
      <c r="PDC224" s="76"/>
      <c r="PDD224" s="76"/>
      <c r="PDE224" s="76"/>
      <c r="PDF224" s="76"/>
      <c r="PDG224" s="76"/>
      <c r="PDH224" s="76"/>
      <c r="PDI224" s="76"/>
      <c r="PDJ224" s="76"/>
      <c r="PDK224" s="76"/>
      <c r="PDL224" s="76"/>
      <c r="PDM224" s="76"/>
      <c r="PDN224" s="76"/>
      <c r="PDO224" s="76"/>
      <c r="PDP224" s="76"/>
      <c r="PDQ224" s="76"/>
      <c r="PDR224" s="76"/>
      <c r="PDS224" s="76"/>
      <c r="PDT224" s="76"/>
      <c r="PDU224" s="76"/>
      <c r="PDV224" s="76"/>
      <c r="PDW224" s="76"/>
      <c r="PDX224" s="76"/>
      <c r="PDY224" s="76"/>
      <c r="PDZ224" s="76"/>
      <c r="PEA224" s="76"/>
      <c r="PEB224" s="76"/>
      <c r="PEC224" s="76"/>
      <c r="PED224" s="76"/>
      <c r="PEE224" s="76"/>
      <c r="PEF224" s="76"/>
      <c r="PEG224" s="76"/>
      <c r="PEH224" s="76"/>
      <c r="PEI224" s="76"/>
      <c r="PEJ224" s="76"/>
      <c r="PEK224" s="76"/>
      <c r="PEL224" s="76"/>
      <c r="PEM224" s="76"/>
      <c r="PEN224" s="76"/>
      <c r="PEO224" s="76"/>
      <c r="PEP224" s="76"/>
      <c r="PEQ224" s="76"/>
      <c r="PER224" s="76"/>
      <c r="PES224" s="76"/>
      <c r="PET224" s="76"/>
      <c r="PEU224" s="76"/>
      <c r="PEV224" s="76"/>
      <c r="PEW224" s="76"/>
      <c r="PEX224" s="76"/>
      <c r="PEY224" s="76"/>
      <c r="PEZ224" s="76"/>
      <c r="PFA224" s="76"/>
      <c r="PFB224" s="76"/>
      <c r="PFC224" s="76"/>
      <c r="PFD224" s="76"/>
      <c r="PFE224" s="76"/>
      <c r="PFF224" s="76"/>
      <c r="PFG224" s="76"/>
      <c r="PFH224" s="76"/>
      <c r="PFI224" s="76"/>
      <c r="PFJ224" s="76"/>
      <c r="PFK224" s="76"/>
      <c r="PFL224" s="76"/>
      <c r="PFM224" s="76"/>
      <c r="PFN224" s="76"/>
      <c r="PFO224" s="76"/>
      <c r="PFP224" s="76"/>
      <c r="PFQ224" s="76"/>
      <c r="PFR224" s="76"/>
      <c r="PFS224" s="76"/>
      <c r="PFT224" s="76"/>
      <c r="PFU224" s="76"/>
      <c r="PFV224" s="76"/>
      <c r="PFW224" s="76"/>
      <c r="PFX224" s="76"/>
      <c r="PFY224" s="76"/>
      <c r="PFZ224" s="76"/>
      <c r="PGA224" s="76"/>
      <c r="PGB224" s="76"/>
      <c r="PGC224" s="76"/>
      <c r="PGD224" s="76"/>
      <c r="PGE224" s="76"/>
      <c r="PGF224" s="76"/>
      <c r="PGG224" s="76"/>
      <c r="PGH224" s="76"/>
      <c r="PGI224" s="76"/>
      <c r="PGJ224" s="76"/>
      <c r="PGK224" s="76"/>
      <c r="PGL224" s="76"/>
      <c r="PGM224" s="76"/>
      <c r="PGN224" s="76"/>
      <c r="PGO224" s="76"/>
      <c r="PGP224" s="76"/>
      <c r="PGQ224" s="76"/>
      <c r="PGR224" s="76"/>
      <c r="PGS224" s="76"/>
      <c r="PGT224" s="76"/>
      <c r="PGU224" s="76"/>
      <c r="PGV224" s="76"/>
      <c r="PGW224" s="76"/>
      <c r="PGX224" s="76"/>
      <c r="PGY224" s="76"/>
      <c r="PGZ224" s="76"/>
      <c r="PHA224" s="76"/>
      <c r="PHB224" s="76"/>
      <c r="PHC224" s="76"/>
      <c r="PHD224" s="76"/>
      <c r="PHE224" s="76"/>
      <c r="PHF224" s="76"/>
      <c r="PHG224" s="76"/>
      <c r="PHH224" s="76"/>
      <c r="PHI224" s="76"/>
      <c r="PHJ224" s="76"/>
      <c r="PHK224" s="76"/>
      <c r="PHL224" s="76"/>
      <c r="PHM224" s="76"/>
      <c r="PHN224" s="76"/>
      <c r="PHO224" s="76"/>
      <c r="PHP224" s="76"/>
      <c r="PHQ224" s="76"/>
      <c r="PHR224" s="76"/>
      <c r="PHS224" s="76"/>
      <c r="PHT224" s="76"/>
      <c r="PHU224" s="76"/>
      <c r="PHV224" s="76"/>
      <c r="PHW224" s="76"/>
      <c r="PHX224" s="76"/>
      <c r="PHY224" s="76"/>
      <c r="PHZ224" s="76"/>
      <c r="PIA224" s="76"/>
      <c r="PIB224" s="76"/>
      <c r="PIC224" s="76"/>
      <c r="PID224" s="76"/>
      <c r="PIE224" s="76"/>
      <c r="PIF224" s="76"/>
      <c r="PIG224" s="76"/>
      <c r="PIH224" s="76"/>
      <c r="PII224" s="76"/>
      <c r="PIJ224" s="76"/>
      <c r="PIK224" s="76"/>
      <c r="PIL224" s="76"/>
      <c r="PIM224" s="76"/>
      <c r="PIN224" s="76"/>
      <c r="PIO224" s="76"/>
      <c r="PIP224" s="76"/>
      <c r="PIQ224" s="76"/>
      <c r="PIR224" s="76"/>
      <c r="PIS224" s="76"/>
      <c r="PIT224" s="76"/>
      <c r="PIU224" s="76"/>
      <c r="PIV224" s="76"/>
      <c r="PIW224" s="76"/>
      <c r="PIX224" s="76"/>
      <c r="PIY224" s="76"/>
      <c r="PIZ224" s="76"/>
      <c r="PJA224" s="76"/>
      <c r="PJB224" s="76"/>
      <c r="PJC224" s="76"/>
      <c r="PJD224" s="76"/>
      <c r="PJE224" s="76"/>
      <c r="PJF224" s="76"/>
      <c r="PJG224" s="76"/>
      <c r="PJH224" s="76"/>
      <c r="PJI224" s="76"/>
      <c r="PJJ224" s="76"/>
      <c r="PJK224" s="76"/>
      <c r="PJL224" s="76"/>
      <c r="PJM224" s="76"/>
      <c r="PJN224" s="76"/>
      <c r="PJO224" s="76"/>
      <c r="PJP224" s="76"/>
      <c r="PJQ224" s="76"/>
      <c r="PJR224" s="76"/>
      <c r="PJS224" s="76"/>
      <c r="PJT224" s="76"/>
      <c r="PJU224" s="76"/>
      <c r="PJV224" s="76"/>
      <c r="PJW224" s="76"/>
      <c r="PJX224" s="76"/>
      <c r="PJY224" s="76"/>
      <c r="PJZ224" s="76"/>
      <c r="PKA224" s="76"/>
      <c r="PKB224" s="76"/>
      <c r="PKC224" s="76"/>
      <c r="PKD224" s="76"/>
      <c r="PKE224" s="76"/>
      <c r="PKF224" s="76"/>
      <c r="PKG224" s="76"/>
      <c r="PKH224" s="76"/>
      <c r="PKI224" s="76"/>
      <c r="PKJ224" s="76"/>
      <c r="PKK224" s="76"/>
      <c r="PKL224" s="76"/>
      <c r="PKM224" s="76"/>
      <c r="PKN224" s="76"/>
      <c r="PKO224" s="76"/>
      <c r="PKP224" s="76"/>
      <c r="PKQ224" s="76"/>
      <c r="PKR224" s="76"/>
      <c r="PKS224" s="76"/>
      <c r="PKT224" s="76"/>
      <c r="PKU224" s="76"/>
      <c r="PKV224" s="76"/>
      <c r="PKW224" s="76"/>
      <c r="PKX224" s="76"/>
      <c r="PKY224" s="76"/>
      <c r="PKZ224" s="76"/>
      <c r="PLA224" s="76"/>
      <c r="PLB224" s="76"/>
      <c r="PLC224" s="76"/>
      <c r="PLD224" s="76"/>
      <c r="PLE224" s="76"/>
      <c r="PLF224" s="76"/>
      <c r="PLG224" s="76"/>
      <c r="PLH224" s="76"/>
      <c r="PLI224" s="76"/>
      <c r="PLJ224" s="76"/>
      <c r="PLK224" s="76"/>
      <c r="PLL224" s="76"/>
      <c r="PLM224" s="76"/>
      <c r="PLN224" s="76"/>
      <c r="PLO224" s="76"/>
      <c r="PLP224" s="76"/>
      <c r="PLQ224" s="76"/>
      <c r="PLR224" s="76"/>
      <c r="PLS224" s="76"/>
      <c r="PLT224" s="76"/>
      <c r="PLU224" s="76"/>
      <c r="PLV224" s="76"/>
      <c r="PLW224" s="76"/>
      <c r="PLX224" s="76"/>
      <c r="PLY224" s="76"/>
      <c r="PLZ224" s="76"/>
      <c r="PMA224" s="76"/>
      <c r="PMB224" s="76"/>
      <c r="PMC224" s="76"/>
      <c r="PMD224" s="76"/>
      <c r="PME224" s="76"/>
      <c r="PMF224" s="76"/>
      <c r="PMG224" s="76"/>
      <c r="PMH224" s="76"/>
      <c r="PMI224" s="76"/>
      <c r="PMJ224" s="76"/>
      <c r="PMK224" s="76"/>
      <c r="PML224" s="76"/>
      <c r="PMM224" s="76"/>
      <c r="PMN224" s="76"/>
      <c r="PMO224" s="76"/>
      <c r="PMP224" s="76"/>
      <c r="PMQ224" s="76"/>
      <c r="PMR224" s="76"/>
      <c r="PMS224" s="76"/>
      <c r="PMT224" s="76"/>
      <c r="PMU224" s="76"/>
      <c r="PMV224" s="76"/>
      <c r="PMW224" s="76"/>
      <c r="PMX224" s="76"/>
      <c r="PMY224" s="76"/>
      <c r="PMZ224" s="76"/>
      <c r="PNA224" s="76"/>
      <c r="PNB224" s="76"/>
      <c r="PNC224" s="76"/>
      <c r="PND224" s="76"/>
      <c r="PNE224" s="76"/>
      <c r="PNF224" s="76"/>
      <c r="PNG224" s="76"/>
      <c r="PNH224" s="76"/>
      <c r="PNI224" s="76"/>
      <c r="PNJ224" s="76"/>
      <c r="PNK224" s="76"/>
      <c r="PNL224" s="76"/>
      <c r="PNM224" s="76"/>
      <c r="PNN224" s="76"/>
      <c r="PNO224" s="76"/>
      <c r="PNP224" s="76"/>
      <c r="PNQ224" s="76"/>
      <c r="PNR224" s="76"/>
      <c r="PNS224" s="76"/>
      <c r="PNT224" s="76"/>
      <c r="PNU224" s="76"/>
      <c r="PNV224" s="76"/>
      <c r="PNW224" s="76"/>
      <c r="PNX224" s="76"/>
      <c r="PNY224" s="76"/>
      <c r="PNZ224" s="76"/>
      <c r="POA224" s="76"/>
      <c r="POB224" s="76"/>
      <c r="POC224" s="76"/>
      <c r="POD224" s="76"/>
      <c r="POE224" s="76"/>
      <c r="POF224" s="76"/>
      <c r="POG224" s="76"/>
      <c r="POH224" s="76"/>
      <c r="POI224" s="76"/>
      <c r="POJ224" s="76"/>
      <c r="POK224" s="76"/>
      <c r="POL224" s="76"/>
      <c r="POM224" s="76"/>
      <c r="PON224" s="76"/>
      <c r="POO224" s="76"/>
      <c r="POP224" s="76"/>
      <c r="POQ224" s="76"/>
      <c r="POR224" s="76"/>
      <c r="POS224" s="76"/>
      <c r="POT224" s="76"/>
      <c r="POU224" s="76"/>
      <c r="POV224" s="76"/>
      <c r="POW224" s="76"/>
      <c r="POX224" s="76"/>
      <c r="POY224" s="76"/>
      <c r="POZ224" s="76"/>
      <c r="PPA224" s="76"/>
      <c r="PPB224" s="76"/>
      <c r="PPC224" s="76"/>
      <c r="PPD224" s="76"/>
      <c r="PPE224" s="76"/>
      <c r="PPF224" s="76"/>
      <c r="PPG224" s="76"/>
      <c r="PPH224" s="76"/>
      <c r="PPI224" s="76"/>
      <c r="PPJ224" s="76"/>
      <c r="PPK224" s="76"/>
      <c r="PPL224" s="76"/>
      <c r="PPM224" s="76"/>
      <c r="PPN224" s="76"/>
      <c r="PPO224" s="76"/>
      <c r="PPP224" s="76"/>
      <c r="PPQ224" s="76"/>
      <c r="PPR224" s="76"/>
      <c r="PPS224" s="76"/>
      <c r="PPT224" s="76"/>
      <c r="PPU224" s="76"/>
      <c r="PPV224" s="76"/>
      <c r="PPW224" s="76"/>
      <c r="PPX224" s="76"/>
      <c r="PPY224" s="76"/>
      <c r="PPZ224" s="76"/>
      <c r="PQA224" s="76"/>
      <c r="PQB224" s="76"/>
      <c r="PQC224" s="76"/>
      <c r="PQD224" s="76"/>
      <c r="PQE224" s="76"/>
      <c r="PQF224" s="76"/>
      <c r="PQG224" s="76"/>
      <c r="PQH224" s="76"/>
      <c r="PQI224" s="76"/>
      <c r="PQJ224" s="76"/>
      <c r="PQK224" s="76"/>
      <c r="PQL224" s="76"/>
      <c r="PQM224" s="76"/>
      <c r="PQN224" s="76"/>
      <c r="PQO224" s="76"/>
      <c r="PQP224" s="76"/>
      <c r="PQQ224" s="76"/>
      <c r="PQR224" s="76"/>
      <c r="PQS224" s="76"/>
      <c r="PQT224" s="76"/>
      <c r="PQU224" s="76"/>
      <c r="PQV224" s="76"/>
      <c r="PQW224" s="76"/>
      <c r="PQX224" s="76"/>
      <c r="PQY224" s="76"/>
      <c r="PQZ224" s="76"/>
      <c r="PRA224" s="76"/>
      <c r="PRB224" s="76"/>
      <c r="PRC224" s="76"/>
      <c r="PRD224" s="76"/>
      <c r="PRE224" s="76"/>
      <c r="PRF224" s="76"/>
      <c r="PRG224" s="76"/>
      <c r="PRH224" s="76"/>
      <c r="PRI224" s="76"/>
      <c r="PRJ224" s="76"/>
      <c r="PRK224" s="76"/>
      <c r="PRL224" s="76"/>
      <c r="PRM224" s="76"/>
      <c r="PRN224" s="76"/>
      <c r="PRO224" s="76"/>
      <c r="PRP224" s="76"/>
      <c r="PRQ224" s="76"/>
      <c r="PRR224" s="76"/>
      <c r="PRS224" s="76"/>
      <c r="PRT224" s="76"/>
      <c r="PRU224" s="76"/>
      <c r="PRV224" s="76"/>
      <c r="PRW224" s="76"/>
      <c r="PRX224" s="76"/>
      <c r="PRY224" s="76"/>
      <c r="PRZ224" s="76"/>
      <c r="PSA224" s="76"/>
      <c r="PSB224" s="76"/>
      <c r="PSC224" s="76"/>
      <c r="PSD224" s="76"/>
      <c r="PSE224" s="76"/>
      <c r="PSF224" s="76"/>
      <c r="PSG224" s="76"/>
      <c r="PSH224" s="76"/>
      <c r="PSI224" s="76"/>
      <c r="PSJ224" s="76"/>
      <c r="PSK224" s="76"/>
      <c r="PSL224" s="76"/>
      <c r="PSM224" s="76"/>
      <c r="PSN224" s="76"/>
      <c r="PSO224" s="76"/>
      <c r="PSP224" s="76"/>
      <c r="PSQ224" s="76"/>
      <c r="PSR224" s="76"/>
      <c r="PSS224" s="76"/>
      <c r="PST224" s="76"/>
      <c r="PSU224" s="76"/>
      <c r="PSV224" s="76"/>
      <c r="PSW224" s="76"/>
      <c r="PSX224" s="76"/>
      <c r="PSY224" s="76"/>
      <c r="PSZ224" s="76"/>
      <c r="PTA224" s="76"/>
      <c r="PTB224" s="76"/>
      <c r="PTC224" s="76"/>
      <c r="PTD224" s="76"/>
      <c r="PTE224" s="76"/>
      <c r="PTF224" s="76"/>
      <c r="PTG224" s="76"/>
      <c r="PTH224" s="76"/>
      <c r="PTI224" s="76"/>
      <c r="PTJ224" s="76"/>
      <c r="PTK224" s="76"/>
      <c r="PTL224" s="76"/>
      <c r="PTM224" s="76"/>
      <c r="PTN224" s="76"/>
      <c r="PTO224" s="76"/>
      <c r="PTP224" s="76"/>
      <c r="PTQ224" s="76"/>
      <c r="PTR224" s="76"/>
      <c r="PTS224" s="76"/>
      <c r="PTT224" s="76"/>
      <c r="PTU224" s="76"/>
      <c r="PTV224" s="76"/>
      <c r="PTW224" s="76"/>
      <c r="PTX224" s="76"/>
      <c r="PTY224" s="76"/>
      <c r="PTZ224" s="76"/>
      <c r="PUA224" s="76"/>
      <c r="PUB224" s="76"/>
      <c r="PUC224" s="76"/>
      <c r="PUD224" s="76"/>
      <c r="PUE224" s="76"/>
      <c r="PUF224" s="76"/>
      <c r="PUG224" s="76"/>
      <c r="PUH224" s="76"/>
      <c r="PUI224" s="76"/>
      <c r="PUJ224" s="76"/>
      <c r="PUK224" s="76"/>
      <c r="PUL224" s="76"/>
      <c r="PUM224" s="76"/>
      <c r="PUN224" s="76"/>
      <c r="PUO224" s="76"/>
      <c r="PUP224" s="76"/>
      <c r="PUQ224" s="76"/>
      <c r="PUR224" s="76"/>
      <c r="PUS224" s="76"/>
      <c r="PUT224" s="76"/>
      <c r="PUU224" s="76"/>
      <c r="PUV224" s="76"/>
      <c r="PUW224" s="76"/>
      <c r="PUX224" s="76"/>
      <c r="PUY224" s="76"/>
      <c r="PUZ224" s="76"/>
      <c r="PVA224" s="76"/>
      <c r="PVB224" s="76"/>
      <c r="PVC224" s="76"/>
      <c r="PVD224" s="76"/>
      <c r="PVE224" s="76"/>
      <c r="PVF224" s="76"/>
      <c r="PVG224" s="76"/>
      <c r="PVH224" s="76"/>
      <c r="PVI224" s="76"/>
      <c r="PVJ224" s="76"/>
      <c r="PVK224" s="76"/>
      <c r="PVL224" s="76"/>
      <c r="PVM224" s="76"/>
      <c r="PVN224" s="76"/>
      <c r="PVO224" s="76"/>
      <c r="PVP224" s="76"/>
      <c r="PVQ224" s="76"/>
      <c r="PVR224" s="76"/>
      <c r="PVS224" s="76"/>
      <c r="PVT224" s="76"/>
      <c r="PVU224" s="76"/>
      <c r="PVV224" s="76"/>
      <c r="PVW224" s="76"/>
      <c r="PVX224" s="76"/>
      <c r="PVY224" s="76"/>
      <c r="PVZ224" s="76"/>
      <c r="PWA224" s="76"/>
      <c r="PWB224" s="76"/>
      <c r="PWC224" s="76"/>
      <c r="PWD224" s="76"/>
      <c r="PWE224" s="76"/>
      <c r="PWF224" s="76"/>
      <c r="PWG224" s="76"/>
      <c r="PWH224" s="76"/>
      <c r="PWI224" s="76"/>
      <c r="PWJ224" s="76"/>
      <c r="PWK224" s="76"/>
      <c r="PWL224" s="76"/>
      <c r="PWM224" s="76"/>
      <c r="PWN224" s="76"/>
      <c r="PWO224" s="76"/>
      <c r="PWP224" s="76"/>
      <c r="PWQ224" s="76"/>
      <c r="PWR224" s="76"/>
      <c r="PWS224" s="76"/>
      <c r="PWT224" s="76"/>
      <c r="PWU224" s="76"/>
      <c r="PWV224" s="76"/>
      <c r="PWW224" s="76"/>
      <c r="PWX224" s="76"/>
      <c r="PWY224" s="76"/>
      <c r="PWZ224" s="76"/>
      <c r="PXA224" s="76"/>
      <c r="PXB224" s="76"/>
      <c r="PXC224" s="76"/>
      <c r="PXD224" s="76"/>
      <c r="PXE224" s="76"/>
      <c r="PXF224" s="76"/>
      <c r="PXG224" s="76"/>
      <c r="PXH224" s="76"/>
      <c r="PXI224" s="76"/>
      <c r="PXJ224" s="76"/>
      <c r="PXK224" s="76"/>
      <c r="PXL224" s="76"/>
      <c r="PXM224" s="76"/>
      <c r="PXN224" s="76"/>
      <c r="PXO224" s="76"/>
      <c r="PXP224" s="76"/>
      <c r="PXQ224" s="76"/>
      <c r="PXR224" s="76"/>
      <c r="PXS224" s="76"/>
      <c r="PXT224" s="76"/>
      <c r="PXU224" s="76"/>
      <c r="PXV224" s="76"/>
      <c r="PXW224" s="76"/>
      <c r="PXX224" s="76"/>
      <c r="PXY224" s="76"/>
      <c r="PXZ224" s="76"/>
      <c r="PYA224" s="76"/>
      <c r="PYB224" s="76"/>
      <c r="PYC224" s="76"/>
      <c r="PYD224" s="76"/>
      <c r="PYE224" s="76"/>
      <c r="PYF224" s="76"/>
      <c r="PYG224" s="76"/>
      <c r="PYH224" s="76"/>
      <c r="PYI224" s="76"/>
      <c r="PYJ224" s="76"/>
      <c r="PYK224" s="76"/>
      <c r="PYL224" s="76"/>
      <c r="PYM224" s="76"/>
      <c r="PYN224" s="76"/>
      <c r="PYO224" s="76"/>
      <c r="PYP224" s="76"/>
      <c r="PYQ224" s="76"/>
      <c r="PYR224" s="76"/>
      <c r="PYS224" s="76"/>
      <c r="PYT224" s="76"/>
      <c r="PYU224" s="76"/>
      <c r="PYV224" s="76"/>
      <c r="PYW224" s="76"/>
      <c r="PYX224" s="76"/>
      <c r="PYY224" s="76"/>
      <c r="PYZ224" s="76"/>
      <c r="PZA224" s="76"/>
      <c r="PZB224" s="76"/>
      <c r="PZC224" s="76"/>
      <c r="PZD224" s="76"/>
      <c r="PZE224" s="76"/>
      <c r="PZF224" s="76"/>
      <c r="PZG224" s="76"/>
      <c r="PZH224" s="76"/>
      <c r="PZI224" s="76"/>
      <c r="PZJ224" s="76"/>
      <c r="PZK224" s="76"/>
      <c r="PZL224" s="76"/>
      <c r="PZM224" s="76"/>
      <c r="PZN224" s="76"/>
      <c r="PZO224" s="76"/>
      <c r="PZP224" s="76"/>
      <c r="PZQ224" s="76"/>
      <c r="PZR224" s="76"/>
      <c r="PZS224" s="76"/>
      <c r="PZT224" s="76"/>
      <c r="PZU224" s="76"/>
      <c r="PZV224" s="76"/>
      <c r="PZW224" s="76"/>
      <c r="PZX224" s="76"/>
      <c r="PZY224" s="76"/>
      <c r="PZZ224" s="76"/>
      <c r="QAA224" s="76"/>
      <c r="QAB224" s="76"/>
      <c r="QAC224" s="76"/>
      <c r="QAD224" s="76"/>
      <c r="QAE224" s="76"/>
      <c r="QAF224" s="76"/>
      <c r="QAG224" s="76"/>
      <c r="QAH224" s="76"/>
      <c r="QAI224" s="76"/>
      <c r="QAJ224" s="76"/>
      <c r="QAK224" s="76"/>
      <c r="QAL224" s="76"/>
      <c r="QAM224" s="76"/>
      <c r="QAN224" s="76"/>
      <c r="QAO224" s="76"/>
      <c r="QAP224" s="76"/>
      <c r="QAQ224" s="76"/>
      <c r="QAR224" s="76"/>
      <c r="QAS224" s="76"/>
      <c r="QAT224" s="76"/>
      <c r="QAU224" s="76"/>
      <c r="QAV224" s="76"/>
      <c r="QAW224" s="76"/>
      <c r="QAX224" s="76"/>
      <c r="QAY224" s="76"/>
      <c r="QAZ224" s="76"/>
      <c r="QBA224" s="76"/>
      <c r="QBB224" s="76"/>
      <c r="QBC224" s="76"/>
      <c r="QBD224" s="76"/>
      <c r="QBE224" s="76"/>
      <c r="QBF224" s="76"/>
      <c r="QBG224" s="76"/>
      <c r="QBH224" s="76"/>
      <c r="QBI224" s="76"/>
      <c r="QBJ224" s="76"/>
      <c r="QBK224" s="76"/>
      <c r="QBL224" s="76"/>
      <c r="QBM224" s="76"/>
      <c r="QBN224" s="76"/>
      <c r="QBO224" s="76"/>
      <c r="QBP224" s="76"/>
      <c r="QBQ224" s="76"/>
      <c r="QBR224" s="76"/>
      <c r="QBS224" s="76"/>
      <c r="QBT224" s="76"/>
      <c r="QBU224" s="76"/>
      <c r="QBV224" s="76"/>
      <c r="QBW224" s="76"/>
      <c r="QBX224" s="76"/>
      <c r="QBY224" s="76"/>
      <c r="QBZ224" s="76"/>
      <c r="QCA224" s="76"/>
      <c r="QCB224" s="76"/>
      <c r="QCC224" s="76"/>
      <c r="QCD224" s="76"/>
      <c r="QCE224" s="76"/>
      <c r="QCF224" s="76"/>
      <c r="QCG224" s="76"/>
      <c r="QCH224" s="76"/>
      <c r="QCI224" s="76"/>
      <c r="QCJ224" s="76"/>
      <c r="QCK224" s="76"/>
      <c r="QCL224" s="76"/>
      <c r="QCM224" s="76"/>
      <c r="QCN224" s="76"/>
      <c r="QCO224" s="76"/>
      <c r="QCP224" s="76"/>
      <c r="QCQ224" s="76"/>
      <c r="QCR224" s="76"/>
      <c r="QCS224" s="76"/>
      <c r="QCT224" s="76"/>
      <c r="QCU224" s="76"/>
      <c r="QCV224" s="76"/>
      <c r="QCW224" s="76"/>
      <c r="QCX224" s="76"/>
      <c r="QCY224" s="76"/>
      <c r="QCZ224" s="76"/>
      <c r="QDA224" s="76"/>
      <c r="QDB224" s="76"/>
      <c r="QDC224" s="76"/>
      <c r="QDD224" s="76"/>
      <c r="QDE224" s="76"/>
      <c r="QDF224" s="76"/>
      <c r="QDG224" s="76"/>
      <c r="QDH224" s="76"/>
      <c r="QDI224" s="76"/>
      <c r="QDJ224" s="76"/>
      <c r="QDK224" s="76"/>
      <c r="QDL224" s="76"/>
      <c r="QDM224" s="76"/>
      <c r="QDN224" s="76"/>
      <c r="QDO224" s="76"/>
      <c r="QDP224" s="76"/>
      <c r="QDQ224" s="76"/>
      <c r="QDR224" s="76"/>
      <c r="QDS224" s="76"/>
      <c r="QDT224" s="76"/>
      <c r="QDU224" s="76"/>
      <c r="QDV224" s="76"/>
      <c r="QDW224" s="76"/>
      <c r="QDX224" s="76"/>
      <c r="QDY224" s="76"/>
      <c r="QDZ224" s="76"/>
      <c r="QEA224" s="76"/>
      <c r="QEB224" s="76"/>
      <c r="QEC224" s="76"/>
      <c r="QED224" s="76"/>
      <c r="QEE224" s="76"/>
      <c r="QEF224" s="76"/>
      <c r="QEG224" s="76"/>
      <c r="QEH224" s="76"/>
      <c r="QEI224" s="76"/>
      <c r="QEJ224" s="76"/>
      <c r="QEK224" s="76"/>
      <c r="QEL224" s="76"/>
      <c r="QEM224" s="76"/>
      <c r="QEN224" s="76"/>
      <c r="QEO224" s="76"/>
      <c r="QEP224" s="76"/>
      <c r="QEQ224" s="76"/>
      <c r="QER224" s="76"/>
      <c r="QES224" s="76"/>
      <c r="QET224" s="76"/>
      <c r="QEU224" s="76"/>
      <c r="QEV224" s="76"/>
      <c r="QEW224" s="76"/>
      <c r="QEX224" s="76"/>
      <c r="QEY224" s="76"/>
      <c r="QEZ224" s="76"/>
      <c r="QFA224" s="76"/>
      <c r="QFB224" s="76"/>
      <c r="QFC224" s="76"/>
      <c r="QFD224" s="76"/>
      <c r="QFE224" s="76"/>
      <c r="QFF224" s="76"/>
      <c r="QFG224" s="76"/>
      <c r="QFH224" s="76"/>
      <c r="QFI224" s="76"/>
      <c r="QFJ224" s="76"/>
      <c r="QFK224" s="76"/>
      <c r="QFL224" s="76"/>
      <c r="QFM224" s="76"/>
      <c r="QFN224" s="76"/>
      <c r="QFO224" s="76"/>
      <c r="QFP224" s="76"/>
      <c r="QFQ224" s="76"/>
      <c r="QFR224" s="76"/>
      <c r="QFS224" s="76"/>
      <c r="QFT224" s="76"/>
      <c r="QFU224" s="76"/>
      <c r="QFV224" s="76"/>
      <c r="QFW224" s="76"/>
      <c r="QFX224" s="76"/>
      <c r="QFY224" s="76"/>
      <c r="QFZ224" s="76"/>
      <c r="QGA224" s="76"/>
      <c r="QGB224" s="76"/>
      <c r="QGC224" s="76"/>
      <c r="QGD224" s="76"/>
      <c r="QGE224" s="76"/>
      <c r="QGF224" s="76"/>
      <c r="QGG224" s="76"/>
      <c r="QGH224" s="76"/>
      <c r="QGI224" s="76"/>
      <c r="QGJ224" s="76"/>
      <c r="QGK224" s="76"/>
      <c r="QGL224" s="76"/>
      <c r="QGM224" s="76"/>
      <c r="QGN224" s="76"/>
      <c r="QGO224" s="76"/>
      <c r="QGP224" s="76"/>
      <c r="QGQ224" s="76"/>
      <c r="QGR224" s="76"/>
      <c r="QGS224" s="76"/>
      <c r="QGT224" s="76"/>
      <c r="QGU224" s="76"/>
      <c r="QGV224" s="76"/>
      <c r="QGW224" s="76"/>
      <c r="QGX224" s="76"/>
      <c r="QGY224" s="76"/>
      <c r="QGZ224" s="76"/>
      <c r="QHA224" s="76"/>
      <c r="QHB224" s="76"/>
      <c r="QHC224" s="76"/>
      <c r="QHD224" s="76"/>
      <c r="QHE224" s="76"/>
      <c r="QHF224" s="76"/>
      <c r="QHG224" s="76"/>
      <c r="QHH224" s="76"/>
      <c r="QHI224" s="76"/>
      <c r="QHJ224" s="76"/>
      <c r="QHK224" s="76"/>
      <c r="QHL224" s="76"/>
      <c r="QHM224" s="76"/>
      <c r="QHN224" s="76"/>
      <c r="QHO224" s="76"/>
      <c r="QHP224" s="76"/>
      <c r="QHQ224" s="76"/>
      <c r="QHR224" s="76"/>
      <c r="QHS224" s="76"/>
      <c r="QHT224" s="76"/>
      <c r="QHU224" s="76"/>
      <c r="QHV224" s="76"/>
      <c r="QHW224" s="76"/>
      <c r="QHX224" s="76"/>
      <c r="QHY224" s="76"/>
      <c r="QHZ224" s="76"/>
      <c r="QIA224" s="76"/>
      <c r="QIB224" s="76"/>
      <c r="QIC224" s="76"/>
      <c r="QID224" s="76"/>
      <c r="QIE224" s="76"/>
      <c r="QIF224" s="76"/>
      <c r="QIG224" s="76"/>
      <c r="QIH224" s="76"/>
      <c r="QII224" s="76"/>
      <c r="QIJ224" s="76"/>
      <c r="QIK224" s="76"/>
      <c r="QIL224" s="76"/>
      <c r="QIM224" s="76"/>
      <c r="QIN224" s="76"/>
      <c r="QIO224" s="76"/>
      <c r="QIP224" s="76"/>
      <c r="QIQ224" s="76"/>
      <c r="QIR224" s="76"/>
      <c r="QIS224" s="76"/>
      <c r="QIT224" s="76"/>
      <c r="QIU224" s="76"/>
      <c r="QIV224" s="76"/>
      <c r="QIW224" s="76"/>
      <c r="QIX224" s="76"/>
      <c r="QIY224" s="76"/>
      <c r="QIZ224" s="76"/>
      <c r="QJA224" s="76"/>
      <c r="QJB224" s="76"/>
      <c r="QJC224" s="76"/>
      <c r="QJD224" s="76"/>
      <c r="QJE224" s="76"/>
      <c r="QJF224" s="76"/>
      <c r="QJG224" s="76"/>
      <c r="QJH224" s="76"/>
      <c r="QJI224" s="76"/>
      <c r="QJJ224" s="76"/>
      <c r="QJK224" s="76"/>
      <c r="QJL224" s="76"/>
      <c r="QJM224" s="76"/>
      <c r="QJN224" s="76"/>
      <c r="QJO224" s="76"/>
      <c r="QJP224" s="76"/>
      <c r="QJQ224" s="76"/>
      <c r="QJR224" s="76"/>
      <c r="QJS224" s="76"/>
      <c r="QJT224" s="76"/>
      <c r="QJU224" s="76"/>
      <c r="QJV224" s="76"/>
      <c r="QJW224" s="76"/>
      <c r="QJX224" s="76"/>
      <c r="QJY224" s="76"/>
      <c r="QJZ224" s="76"/>
      <c r="QKA224" s="76"/>
      <c r="QKB224" s="76"/>
      <c r="QKC224" s="76"/>
      <c r="QKD224" s="76"/>
      <c r="QKE224" s="76"/>
      <c r="QKF224" s="76"/>
      <c r="QKG224" s="76"/>
      <c r="QKH224" s="76"/>
      <c r="QKI224" s="76"/>
      <c r="QKJ224" s="76"/>
      <c r="QKK224" s="76"/>
      <c r="QKL224" s="76"/>
      <c r="QKM224" s="76"/>
      <c r="QKN224" s="76"/>
      <c r="QKO224" s="76"/>
      <c r="QKP224" s="76"/>
      <c r="QKQ224" s="76"/>
      <c r="QKR224" s="76"/>
      <c r="QKS224" s="76"/>
      <c r="QKT224" s="76"/>
      <c r="QKU224" s="76"/>
      <c r="QKV224" s="76"/>
      <c r="QKW224" s="76"/>
      <c r="QKX224" s="76"/>
      <c r="QKY224" s="76"/>
      <c r="QKZ224" s="76"/>
      <c r="QLA224" s="76"/>
      <c r="QLB224" s="76"/>
      <c r="QLC224" s="76"/>
      <c r="QLD224" s="76"/>
      <c r="QLE224" s="76"/>
      <c r="QLF224" s="76"/>
      <c r="QLG224" s="76"/>
      <c r="QLH224" s="76"/>
      <c r="QLI224" s="76"/>
      <c r="QLJ224" s="76"/>
      <c r="QLK224" s="76"/>
      <c r="QLL224" s="76"/>
      <c r="QLM224" s="76"/>
      <c r="QLN224" s="76"/>
      <c r="QLO224" s="76"/>
      <c r="QLP224" s="76"/>
      <c r="QLQ224" s="76"/>
      <c r="QLR224" s="76"/>
      <c r="QLS224" s="76"/>
      <c r="QLT224" s="76"/>
      <c r="QLU224" s="76"/>
      <c r="QLV224" s="76"/>
      <c r="QLW224" s="76"/>
      <c r="QLX224" s="76"/>
      <c r="QLY224" s="76"/>
      <c r="QLZ224" s="76"/>
      <c r="QMA224" s="76"/>
      <c r="QMB224" s="76"/>
      <c r="QMC224" s="76"/>
      <c r="QMD224" s="76"/>
      <c r="QME224" s="76"/>
      <c r="QMF224" s="76"/>
      <c r="QMG224" s="76"/>
      <c r="QMH224" s="76"/>
      <c r="QMI224" s="76"/>
      <c r="QMJ224" s="76"/>
      <c r="QMK224" s="76"/>
      <c r="QML224" s="76"/>
      <c r="QMM224" s="76"/>
      <c r="QMN224" s="76"/>
      <c r="QMO224" s="76"/>
      <c r="QMP224" s="76"/>
      <c r="QMQ224" s="76"/>
      <c r="QMR224" s="76"/>
      <c r="QMS224" s="76"/>
      <c r="QMT224" s="76"/>
      <c r="QMU224" s="76"/>
      <c r="QMV224" s="76"/>
      <c r="QMW224" s="76"/>
      <c r="QMX224" s="76"/>
      <c r="QMY224" s="76"/>
      <c r="QMZ224" s="76"/>
      <c r="QNA224" s="76"/>
      <c r="QNB224" s="76"/>
      <c r="QNC224" s="76"/>
      <c r="QND224" s="76"/>
      <c r="QNE224" s="76"/>
      <c r="QNF224" s="76"/>
      <c r="QNG224" s="76"/>
      <c r="QNH224" s="76"/>
      <c r="QNI224" s="76"/>
      <c r="QNJ224" s="76"/>
      <c r="QNK224" s="76"/>
      <c r="QNL224" s="76"/>
      <c r="QNM224" s="76"/>
      <c r="QNN224" s="76"/>
      <c r="QNO224" s="76"/>
      <c r="QNP224" s="76"/>
      <c r="QNQ224" s="76"/>
      <c r="QNR224" s="76"/>
      <c r="QNS224" s="76"/>
      <c r="QNT224" s="76"/>
      <c r="QNU224" s="76"/>
      <c r="QNV224" s="76"/>
      <c r="QNW224" s="76"/>
      <c r="QNX224" s="76"/>
      <c r="QNY224" s="76"/>
      <c r="QNZ224" s="76"/>
      <c r="QOA224" s="76"/>
      <c r="QOB224" s="76"/>
      <c r="QOC224" s="76"/>
      <c r="QOD224" s="76"/>
      <c r="QOE224" s="76"/>
      <c r="QOF224" s="76"/>
      <c r="QOG224" s="76"/>
      <c r="QOH224" s="76"/>
      <c r="QOI224" s="76"/>
      <c r="QOJ224" s="76"/>
      <c r="QOK224" s="76"/>
      <c r="QOL224" s="76"/>
      <c r="QOM224" s="76"/>
      <c r="QON224" s="76"/>
      <c r="QOO224" s="76"/>
      <c r="QOP224" s="76"/>
      <c r="QOQ224" s="76"/>
      <c r="QOR224" s="76"/>
      <c r="QOS224" s="76"/>
      <c r="QOT224" s="76"/>
      <c r="QOU224" s="76"/>
      <c r="QOV224" s="76"/>
      <c r="QOW224" s="76"/>
      <c r="QOX224" s="76"/>
      <c r="QOY224" s="76"/>
      <c r="QOZ224" s="76"/>
      <c r="QPA224" s="76"/>
      <c r="QPB224" s="76"/>
      <c r="QPC224" s="76"/>
      <c r="QPD224" s="76"/>
      <c r="QPE224" s="76"/>
      <c r="QPF224" s="76"/>
      <c r="QPG224" s="76"/>
      <c r="QPH224" s="76"/>
      <c r="QPI224" s="76"/>
      <c r="QPJ224" s="76"/>
      <c r="QPK224" s="76"/>
      <c r="QPL224" s="76"/>
      <c r="QPM224" s="76"/>
      <c r="QPN224" s="76"/>
      <c r="QPO224" s="76"/>
      <c r="QPP224" s="76"/>
      <c r="QPQ224" s="76"/>
      <c r="QPR224" s="76"/>
      <c r="QPS224" s="76"/>
      <c r="QPT224" s="76"/>
      <c r="QPU224" s="76"/>
      <c r="QPV224" s="76"/>
      <c r="QPW224" s="76"/>
      <c r="QPX224" s="76"/>
      <c r="QPY224" s="76"/>
      <c r="QPZ224" s="76"/>
      <c r="QQA224" s="76"/>
      <c r="QQB224" s="76"/>
      <c r="QQC224" s="76"/>
      <c r="QQD224" s="76"/>
      <c r="QQE224" s="76"/>
      <c r="QQF224" s="76"/>
      <c r="QQG224" s="76"/>
      <c r="QQH224" s="76"/>
      <c r="QQI224" s="76"/>
      <c r="QQJ224" s="76"/>
      <c r="QQK224" s="76"/>
      <c r="QQL224" s="76"/>
      <c r="QQM224" s="76"/>
      <c r="QQN224" s="76"/>
      <c r="QQO224" s="76"/>
      <c r="QQP224" s="76"/>
      <c r="QQQ224" s="76"/>
      <c r="QQR224" s="76"/>
      <c r="QQS224" s="76"/>
      <c r="QQT224" s="76"/>
      <c r="QQU224" s="76"/>
      <c r="QQV224" s="76"/>
      <c r="QQW224" s="76"/>
      <c r="QQX224" s="76"/>
      <c r="QQY224" s="76"/>
      <c r="QQZ224" s="76"/>
      <c r="QRA224" s="76"/>
      <c r="QRB224" s="76"/>
      <c r="QRC224" s="76"/>
      <c r="QRD224" s="76"/>
      <c r="QRE224" s="76"/>
      <c r="QRF224" s="76"/>
      <c r="QRG224" s="76"/>
      <c r="QRH224" s="76"/>
      <c r="QRI224" s="76"/>
      <c r="QRJ224" s="76"/>
      <c r="QRK224" s="76"/>
      <c r="QRL224" s="76"/>
      <c r="QRM224" s="76"/>
      <c r="QRN224" s="76"/>
      <c r="QRO224" s="76"/>
      <c r="QRP224" s="76"/>
      <c r="QRQ224" s="76"/>
      <c r="QRR224" s="76"/>
      <c r="QRS224" s="76"/>
      <c r="QRT224" s="76"/>
      <c r="QRU224" s="76"/>
      <c r="QRV224" s="76"/>
      <c r="QRW224" s="76"/>
      <c r="QRX224" s="76"/>
      <c r="QRY224" s="76"/>
      <c r="QRZ224" s="76"/>
      <c r="QSA224" s="76"/>
      <c r="QSB224" s="76"/>
      <c r="QSC224" s="76"/>
      <c r="QSD224" s="76"/>
      <c r="QSE224" s="76"/>
      <c r="QSF224" s="76"/>
      <c r="QSG224" s="76"/>
      <c r="QSH224" s="76"/>
      <c r="QSI224" s="76"/>
      <c r="QSJ224" s="76"/>
      <c r="QSK224" s="76"/>
      <c r="QSL224" s="76"/>
      <c r="QSM224" s="76"/>
      <c r="QSN224" s="76"/>
      <c r="QSO224" s="76"/>
      <c r="QSP224" s="76"/>
      <c r="QSQ224" s="76"/>
      <c r="QSR224" s="76"/>
      <c r="QSS224" s="76"/>
      <c r="QST224" s="76"/>
      <c r="QSU224" s="76"/>
      <c r="QSV224" s="76"/>
      <c r="QSW224" s="76"/>
      <c r="QSX224" s="76"/>
      <c r="QSY224" s="76"/>
      <c r="QSZ224" s="76"/>
      <c r="QTA224" s="76"/>
      <c r="QTB224" s="76"/>
      <c r="QTC224" s="76"/>
      <c r="QTD224" s="76"/>
      <c r="QTE224" s="76"/>
      <c r="QTF224" s="76"/>
      <c r="QTG224" s="76"/>
      <c r="QTH224" s="76"/>
      <c r="QTI224" s="76"/>
      <c r="QTJ224" s="76"/>
      <c r="QTK224" s="76"/>
      <c r="QTL224" s="76"/>
      <c r="QTM224" s="76"/>
      <c r="QTN224" s="76"/>
      <c r="QTO224" s="76"/>
      <c r="QTP224" s="76"/>
      <c r="QTQ224" s="76"/>
      <c r="QTR224" s="76"/>
      <c r="QTS224" s="76"/>
      <c r="QTT224" s="76"/>
      <c r="QTU224" s="76"/>
      <c r="QTV224" s="76"/>
      <c r="QTW224" s="76"/>
      <c r="QTX224" s="76"/>
      <c r="QTY224" s="76"/>
      <c r="QTZ224" s="76"/>
      <c r="QUA224" s="76"/>
      <c r="QUB224" s="76"/>
      <c r="QUC224" s="76"/>
      <c r="QUD224" s="76"/>
      <c r="QUE224" s="76"/>
      <c r="QUF224" s="76"/>
      <c r="QUG224" s="76"/>
      <c r="QUH224" s="76"/>
      <c r="QUI224" s="76"/>
      <c r="QUJ224" s="76"/>
      <c r="QUK224" s="76"/>
      <c r="QUL224" s="76"/>
      <c r="QUM224" s="76"/>
      <c r="QUN224" s="76"/>
      <c r="QUO224" s="76"/>
      <c r="QUP224" s="76"/>
      <c r="QUQ224" s="76"/>
      <c r="QUR224" s="76"/>
      <c r="QUS224" s="76"/>
      <c r="QUT224" s="76"/>
      <c r="QUU224" s="76"/>
      <c r="QUV224" s="76"/>
      <c r="QUW224" s="76"/>
      <c r="QUX224" s="76"/>
      <c r="QUY224" s="76"/>
      <c r="QUZ224" s="76"/>
      <c r="QVA224" s="76"/>
      <c r="QVB224" s="76"/>
      <c r="QVC224" s="76"/>
      <c r="QVD224" s="76"/>
      <c r="QVE224" s="76"/>
      <c r="QVF224" s="76"/>
      <c r="QVG224" s="76"/>
      <c r="QVH224" s="76"/>
      <c r="QVI224" s="76"/>
      <c r="QVJ224" s="76"/>
      <c r="QVK224" s="76"/>
      <c r="QVL224" s="76"/>
      <c r="QVM224" s="76"/>
      <c r="QVN224" s="76"/>
      <c r="QVO224" s="76"/>
      <c r="QVP224" s="76"/>
      <c r="QVQ224" s="76"/>
      <c r="QVR224" s="76"/>
      <c r="QVS224" s="76"/>
      <c r="QVT224" s="76"/>
      <c r="QVU224" s="76"/>
      <c r="QVV224" s="76"/>
      <c r="QVW224" s="76"/>
      <c r="QVX224" s="76"/>
      <c r="QVY224" s="76"/>
      <c r="QVZ224" s="76"/>
      <c r="QWA224" s="76"/>
      <c r="QWB224" s="76"/>
      <c r="QWC224" s="76"/>
      <c r="QWD224" s="76"/>
      <c r="QWE224" s="76"/>
      <c r="QWF224" s="76"/>
      <c r="QWG224" s="76"/>
      <c r="QWH224" s="76"/>
      <c r="QWI224" s="76"/>
      <c r="QWJ224" s="76"/>
      <c r="QWK224" s="76"/>
      <c r="QWL224" s="76"/>
      <c r="QWM224" s="76"/>
      <c r="QWN224" s="76"/>
      <c r="QWO224" s="76"/>
      <c r="QWP224" s="76"/>
      <c r="QWQ224" s="76"/>
      <c r="QWR224" s="76"/>
      <c r="QWS224" s="76"/>
      <c r="QWT224" s="76"/>
      <c r="QWU224" s="76"/>
      <c r="QWV224" s="76"/>
      <c r="QWW224" s="76"/>
      <c r="QWX224" s="76"/>
      <c r="QWY224" s="76"/>
      <c r="QWZ224" s="76"/>
      <c r="QXA224" s="76"/>
      <c r="QXB224" s="76"/>
      <c r="QXC224" s="76"/>
      <c r="QXD224" s="76"/>
      <c r="QXE224" s="76"/>
      <c r="QXF224" s="76"/>
      <c r="QXG224" s="76"/>
      <c r="QXH224" s="76"/>
      <c r="QXI224" s="76"/>
      <c r="QXJ224" s="76"/>
      <c r="QXK224" s="76"/>
      <c r="QXL224" s="76"/>
      <c r="QXM224" s="76"/>
      <c r="QXN224" s="76"/>
      <c r="QXO224" s="76"/>
      <c r="QXP224" s="76"/>
      <c r="QXQ224" s="76"/>
      <c r="QXR224" s="76"/>
      <c r="QXS224" s="76"/>
      <c r="QXT224" s="76"/>
      <c r="QXU224" s="76"/>
      <c r="QXV224" s="76"/>
      <c r="QXW224" s="76"/>
      <c r="QXX224" s="76"/>
      <c r="QXY224" s="76"/>
      <c r="QXZ224" s="76"/>
      <c r="QYA224" s="76"/>
      <c r="QYB224" s="76"/>
      <c r="QYC224" s="76"/>
      <c r="QYD224" s="76"/>
      <c r="QYE224" s="76"/>
      <c r="QYF224" s="76"/>
      <c r="QYG224" s="76"/>
      <c r="QYH224" s="76"/>
      <c r="QYI224" s="76"/>
      <c r="QYJ224" s="76"/>
      <c r="QYK224" s="76"/>
      <c r="QYL224" s="76"/>
      <c r="QYM224" s="76"/>
      <c r="QYN224" s="76"/>
      <c r="QYO224" s="76"/>
      <c r="QYP224" s="76"/>
      <c r="QYQ224" s="76"/>
      <c r="QYR224" s="76"/>
      <c r="QYS224" s="76"/>
      <c r="QYT224" s="76"/>
      <c r="QYU224" s="76"/>
      <c r="QYV224" s="76"/>
      <c r="QYW224" s="76"/>
      <c r="QYX224" s="76"/>
      <c r="QYY224" s="76"/>
      <c r="QYZ224" s="76"/>
      <c r="QZA224" s="76"/>
      <c r="QZB224" s="76"/>
      <c r="QZC224" s="76"/>
      <c r="QZD224" s="76"/>
      <c r="QZE224" s="76"/>
      <c r="QZF224" s="76"/>
      <c r="QZG224" s="76"/>
      <c r="QZH224" s="76"/>
      <c r="QZI224" s="76"/>
      <c r="QZJ224" s="76"/>
      <c r="QZK224" s="76"/>
      <c r="QZL224" s="76"/>
      <c r="QZM224" s="76"/>
      <c r="QZN224" s="76"/>
      <c r="QZO224" s="76"/>
      <c r="QZP224" s="76"/>
      <c r="QZQ224" s="76"/>
      <c r="QZR224" s="76"/>
      <c r="QZS224" s="76"/>
      <c r="QZT224" s="76"/>
      <c r="QZU224" s="76"/>
      <c r="QZV224" s="76"/>
      <c r="QZW224" s="76"/>
      <c r="QZX224" s="76"/>
      <c r="QZY224" s="76"/>
      <c r="QZZ224" s="76"/>
      <c r="RAA224" s="76"/>
      <c r="RAB224" s="76"/>
      <c r="RAC224" s="76"/>
      <c r="RAD224" s="76"/>
      <c r="RAE224" s="76"/>
      <c r="RAF224" s="76"/>
      <c r="RAG224" s="76"/>
      <c r="RAH224" s="76"/>
      <c r="RAI224" s="76"/>
      <c r="RAJ224" s="76"/>
      <c r="RAK224" s="76"/>
      <c r="RAL224" s="76"/>
      <c r="RAM224" s="76"/>
      <c r="RAN224" s="76"/>
      <c r="RAO224" s="76"/>
      <c r="RAP224" s="76"/>
      <c r="RAQ224" s="76"/>
      <c r="RAR224" s="76"/>
      <c r="RAS224" s="76"/>
      <c r="RAT224" s="76"/>
      <c r="RAU224" s="76"/>
      <c r="RAV224" s="76"/>
      <c r="RAW224" s="76"/>
      <c r="RAX224" s="76"/>
      <c r="RAY224" s="76"/>
      <c r="RAZ224" s="76"/>
      <c r="RBA224" s="76"/>
      <c r="RBB224" s="76"/>
      <c r="RBC224" s="76"/>
      <c r="RBD224" s="76"/>
      <c r="RBE224" s="76"/>
      <c r="RBF224" s="76"/>
      <c r="RBG224" s="76"/>
      <c r="RBH224" s="76"/>
      <c r="RBI224" s="76"/>
      <c r="RBJ224" s="76"/>
      <c r="RBK224" s="76"/>
      <c r="RBL224" s="76"/>
      <c r="RBM224" s="76"/>
      <c r="RBN224" s="76"/>
      <c r="RBO224" s="76"/>
      <c r="RBP224" s="76"/>
      <c r="RBQ224" s="76"/>
      <c r="RBR224" s="76"/>
      <c r="RBS224" s="76"/>
      <c r="RBT224" s="76"/>
      <c r="RBU224" s="76"/>
      <c r="RBV224" s="76"/>
      <c r="RBW224" s="76"/>
      <c r="RBX224" s="76"/>
      <c r="RBY224" s="76"/>
      <c r="RBZ224" s="76"/>
      <c r="RCA224" s="76"/>
      <c r="RCB224" s="76"/>
      <c r="RCC224" s="76"/>
      <c r="RCD224" s="76"/>
      <c r="RCE224" s="76"/>
      <c r="RCF224" s="76"/>
      <c r="RCG224" s="76"/>
      <c r="RCH224" s="76"/>
      <c r="RCI224" s="76"/>
      <c r="RCJ224" s="76"/>
      <c r="RCK224" s="76"/>
      <c r="RCL224" s="76"/>
      <c r="RCM224" s="76"/>
      <c r="RCN224" s="76"/>
      <c r="RCO224" s="76"/>
      <c r="RCP224" s="76"/>
      <c r="RCQ224" s="76"/>
      <c r="RCR224" s="76"/>
      <c r="RCS224" s="76"/>
      <c r="RCT224" s="76"/>
      <c r="RCU224" s="76"/>
      <c r="RCV224" s="76"/>
      <c r="RCW224" s="76"/>
      <c r="RCX224" s="76"/>
      <c r="RCY224" s="76"/>
      <c r="RCZ224" s="76"/>
      <c r="RDA224" s="76"/>
      <c r="RDB224" s="76"/>
      <c r="RDC224" s="76"/>
      <c r="RDD224" s="76"/>
      <c r="RDE224" s="76"/>
      <c r="RDF224" s="76"/>
      <c r="RDG224" s="76"/>
      <c r="RDH224" s="76"/>
      <c r="RDI224" s="76"/>
      <c r="RDJ224" s="76"/>
      <c r="RDK224" s="76"/>
      <c r="RDL224" s="76"/>
      <c r="RDM224" s="76"/>
      <c r="RDN224" s="76"/>
      <c r="RDO224" s="76"/>
      <c r="RDP224" s="76"/>
      <c r="RDQ224" s="76"/>
      <c r="RDR224" s="76"/>
      <c r="RDS224" s="76"/>
      <c r="RDT224" s="76"/>
      <c r="RDU224" s="76"/>
      <c r="RDV224" s="76"/>
      <c r="RDW224" s="76"/>
      <c r="RDX224" s="76"/>
      <c r="RDY224" s="76"/>
      <c r="RDZ224" s="76"/>
      <c r="REA224" s="76"/>
      <c r="REB224" s="76"/>
      <c r="REC224" s="76"/>
      <c r="RED224" s="76"/>
      <c r="REE224" s="76"/>
      <c r="REF224" s="76"/>
      <c r="REG224" s="76"/>
      <c r="REH224" s="76"/>
      <c r="REI224" s="76"/>
      <c r="REJ224" s="76"/>
      <c r="REK224" s="76"/>
      <c r="REL224" s="76"/>
      <c r="REM224" s="76"/>
      <c r="REN224" s="76"/>
      <c r="REO224" s="76"/>
      <c r="REP224" s="76"/>
      <c r="REQ224" s="76"/>
      <c r="RER224" s="76"/>
      <c r="RES224" s="76"/>
      <c r="RET224" s="76"/>
      <c r="REU224" s="76"/>
      <c r="REV224" s="76"/>
      <c r="REW224" s="76"/>
      <c r="REX224" s="76"/>
      <c r="REY224" s="76"/>
      <c r="REZ224" s="76"/>
      <c r="RFA224" s="76"/>
      <c r="RFB224" s="76"/>
      <c r="RFC224" s="76"/>
      <c r="RFD224" s="76"/>
      <c r="RFE224" s="76"/>
      <c r="RFF224" s="76"/>
      <c r="RFG224" s="76"/>
      <c r="RFH224" s="76"/>
      <c r="RFI224" s="76"/>
      <c r="RFJ224" s="76"/>
      <c r="RFK224" s="76"/>
      <c r="RFL224" s="76"/>
      <c r="RFM224" s="76"/>
      <c r="RFN224" s="76"/>
      <c r="RFO224" s="76"/>
      <c r="RFP224" s="76"/>
      <c r="RFQ224" s="76"/>
      <c r="RFR224" s="76"/>
      <c r="RFS224" s="76"/>
      <c r="RFT224" s="76"/>
      <c r="RFU224" s="76"/>
      <c r="RFV224" s="76"/>
      <c r="RFW224" s="76"/>
      <c r="RFX224" s="76"/>
      <c r="RFY224" s="76"/>
      <c r="RFZ224" s="76"/>
      <c r="RGA224" s="76"/>
      <c r="RGB224" s="76"/>
      <c r="RGC224" s="76"/>
      <c r="RGD224" s="76"/>
      <c r="RGE224" s="76"/>
      <c r="RGF224" s="76"/>
      <c r="RGG224" s="76"/>
      <c r="RGH224" s="76"/>
      <c r="RGI224" s="76"/>
      <c r="RGJ224" s="76"/>
      <c r="RGK224" s="76"/>
      <c r="RGL224" s="76"/>
      <c r="RGM224" s="76"/>
      <c r="RGN224" s="76"/>
      <c r="RGO224" s="76"/>
      <c r="RGP224" s="76"/>
      <c r="RGQ224" s="76"/>
      <c r="RGR224" s="76"/>
      <c r="RGS224" s="76"/>
      <c r="RGT224" s="76"/>
      <c r="RGU224" s="76"/>
      <c r="RGV224" s="76"/>
      <c r="RGW224" s="76"/>
      <c r="RGX224" s="76"/>
      <c r="RGY224" s="76"/>
      <c r="RGZ224" s="76"/>
      <c r="RHA224" s="76"/>
      <c r="RHB224" s="76"/>
      <c r="RHC224" s="76"/>
      <c r="RHD224" s="76"/>
      <c r="RHE224" s="76"/>
      <c r="RHF224" s="76"/>
      <c r="RHG224" s="76"/>
      <c r="RHH224" s="76"/>
      <c r="RHI224" s="76"/>
      <c r="RHJ224" s="76"/>
      <c r="RHK224" s="76"/>
      <c r="RHL224" s="76"/>
      <c r="RHM224" s="76"/>
      <c r="RHN224" s="76"/>
      <c r="RHO224" s="76"/>
      <c r="RHP224" s="76"/>
      <c r="RHQ224" s="76"/>
      <c r="RHR224" s="76"/>
      <c r="RHS224" s="76"/>
      <c r="RHT224" s="76"/>
      <c r="RHU224" s="76"/>
      <c r="RHV224" s="76"/>
      <c r="RHW224" s="76"/>
      <c r="RHX224" s="76"/>
      <c r="RHY224" s="76"/>
      <c r="RHZ224" s="76"/>
      <c r="RIA224" s="76"/>
      <c r="RIB224" s="76"/>
      <c r="RIC224" s="76"/>
      <c r="RID224" s="76"/>
      <c r="RIE224" s="76"/>
      <c r="RIF224" s="76"/>
      <c r="RIG224" s="76"/>
      <c r="RIH224" s="76"/>
      <c r="RII224" s="76"/>
      <c r="RIJ224" s="76"/>
      <c r="RIK224" s="76"/>
      <c r="RIL224" s="76"/>
      <c r="RIM224" s="76"/>
      <c r="RIN224" s="76"/>
      <c r="RIO224" s="76"/>
      <c r="RIP224" s="76"/>
      <c r="RIQ224" s="76"/>
      <c r="RIR224" s="76"/>
      <c r="RIS224" s="76"/>
      <c r="RIT224" s="76"/>
      <c r="RIU224" s="76"/>
      <c r="RIV224" s="76"/>
      <c r="RIW224" s="76"/>
      <c r="RIX224" s="76"/>
      <c r="RIY224" s="76"/>
      <c r="RIZ224" s="76"/>
      <c r="RJA224" s="76"/>
      <c r="RJB224" s="76"/>
      <c r="RJC224" s="76"/>
      <c r="RJD224" s="76"/>
      <c r="RJE224" s="76"/>
      <c r="RJF224" s="76"/>
      <c r="RJG224" s="76"/>
      <c r="RJH224" s="76"/>
      <c r="RJI224" s="76"/>
      <c r="RJJ224" s="76"/>
      <c r="RJK224" s="76"/>
      <c r="RJL224" s="76"/>
      <c r="RJM224" s="76"/>
      <c r="RJN224" s="76"/>
      <c r="RJO224" s="76"/>
      <c r="RJP224" s="76"/>
      <c r="RJQ224" s="76"/>
      <c r="RJR224" s="76"/>
      <c r="RJS224" s="76"/>
      <c r="RJT224" s="76"/>
      <c r="RJU224" s="76"/>
      <c r="RJV224" s="76"/>
      <c r="RJW224" s="76"/>
      <c r="RJX224" s="76"/>
      <c r="RJY224" s="76"/>
      <c r="RJZ224" s="76"/>
      <c r="RKA224" s="76"/>
      <c r="RKB224" s="76"/>
      <c r="RKC224" s="76"/>
      <c r="RKD224" s="76"/>
      <c r="RKE224" s="76"/>
      <c r="RKF224" s="76"/>
      <c r="RKG224" s="76"/>
      <c r="RKH224" s="76"/>
      <c r="RKI224" s="76"/>
      <c r="RKJ224" s="76"/>
      <c r="RKK224" s="76"/>
      <c r="RKL224" s="76"/>
      <c r="RKM224" s="76"/>
      <c r="RKN224" s="76"/>
      <c r="RKO224" s="76"/>
      <c r="RKP224" s="76"/>
      <c r="RKQ224" s="76"/>
      <c r="RKR224" s="76"/>
      <c r="RKS224" s="76"/>
      <c r="RKT224" s="76"/>
      <c r="RKU224" s="76"/>
      <c r="RKV224" s="76"/>
      <c r="RKW224" s="76"/>
      <c r="RKX224" s="76"/>
      <c r="RKY224" s="76"/>
      <c r="RKZ224" s="76"/>
      <c r="RLA224" s="76"/>
      <c r="RLB224" s="76"/>
      <c r="RLC224" s="76"/>
      <c r="RLD224" s="76"/>
      <c r="RLE224" s="76"/>
      <c r="RLF224" s="76"/>
      <c r="RLG224" s="76"/>
      <c r="RLH224" s="76"/>
      <c r="RLI224" s="76"/>
      <c r="RLJ224" s="76"/>
      <c r="RLK224" s="76"/>
      <c r="RLL224" s="76"/>
      <c r="RLM224" s="76"/>
      <c r="RLN224" s="76"/>
      <c r="RLO224" s="76"/>
      <c r="RLP224" s="76"/>
      <c r="RLQ224" s="76"/>
      <c r="RLR224" s="76"/>
      <c r="RLS224" s="76"/>
      <c r="RLT224" s="76"/>
      <c r="RLU224" s="76"/>
      <c r="RLV224" s="76"/>
      <c r="RLW224" s="76"/>
      <c r="RLX224" s="76"/>
      <c r="RLY224" s="76"/>
      <c r="RLZ224" s="76"/>
      <c r="RMA224" s="76"/>
      <c r="RMB224" s="76"/>
      <c r="RMC224" s="76"/>
      <c r="RMD224" s="76"/>
      <c r="RME224" s="76"/>
      <c r="RMF224" s="76"/>
      <c r="RMG224" s="76"/>
      <c r="RMH224" s="76"/>
      <c r="RMI224" s="76"/>
      <c r="RMJ224" s="76"/>
      <c r="RMK224" s="76"/>
      <c r="RML224" s="76"/>
      <c r="RMM224" s="76"/>
      <c r="RMN224" s="76"/>
      <c r="RMO224" s="76"/>
      <c r="RMP224" s="76"/>
      <c r="RMQ224" s="76"/>
      <c r="RMR224" s="76"/>
      <c r="RMS224" s="76"/>
      <c r="RMT224" s="76"/>
      <c r="RMU224" s="76"/>
      <c r="RMV224" s="76"/>
      <c r="RMW224" s="76"/>
      <c r="RMX224" s="76"/>
      <c r="RMY224" s="76"/>
      <c r="RMZ224" s="76"/>
      <c r="RNA224" s="76"/>
      <c r="RNB224" s="76"/>
      <c r="RNC224" s="76"/>
      <c r="RND224" s="76"/>
      <c r="RNE224" s="76"/>
      <c r="RNF224" s="76"/>
      <c r="RNG224" s="76"/>
      <c r="RNH224" s="76"/>
      <c r="RNI224" s="76"/>
      <c r="RNJ224" s="76"/>
      <c r="RNK224" s="76"/>
      <c r="RNL224" s="76"/>
      <c r="RNM224" s="76"/>
      <c r="RNN224" s="76"/>
      <c r="RNO224" s="76"/>
      <c r="RNP224" s="76"/>
      <c r="RNQ224" s="76"/>
      <c r="RNR224" s="76"/>
      <c r="RNS224" s="76"/>
      <c r="RNT224" s="76"/>
      <c r="RNU224" s="76"/>
      <c r="RNV224" s="76"/>
      <c r="RNW224" s="76"/>
      <c r="RNX224" s="76"/>
      <c r="RNY224" s="76"/>
      <c r="RNZ224" s="76"/>
      <c r="ROA224" s="76"/>
      <c r="ROB224" s="76"/>
      <c r="ROC224" s="76"/>
      <c r="ROD224" s="76"/>
      <c r="ROE224" s="76"/>
      <c r="ROF224" s="76"/>
      <c r="ROG224" s="76"/>
      <c r="ROH224" s="76"/>
      <c r="ROI224" s="76"/>
      <c r="ROJ224" s="76"/>
      <c r="ROK224" s="76"/>
      <c r="ROL224" s="76"/>
      <c r="ROM224" s="76"/>
      <c r="RON224" s="76"/>
      <c r="ROO224" s="76"/>
      <c r="ROP224" s="76"/>
      <c r="ROQ224" s="76"/>
      <c r="ROR224" s="76"/>
      <c r="ROS224" s="76"/>
      <c r="ROT224" s="76"/>
      <c r="ROU224" s="76"/>
      <c r="ROV224" s="76"/>
      <c r="ROW224" s="76"/>
      <c r="ROX224" s="76"/>
      <c r="ROY224" s="76"/>
      <c r="ROZ224" s="76"/>
      <c r="RPA224" s="76"/>
      <c r="RPB224" s="76"/>
      <c r="RPC224" s="76"/>
      <c r="RPD224" s="76"/>
      <c r="RPE224" s="76"/>
      <c r="RPF224" s="76"/>
      <c r="RPG224" s="76"/>
      <c r="RPH224" s="76"/>
      <c r="RPI224" s="76"/>
      <c r="RPJ224" s="76"/>
      <c r="RPK224" s="76"/>
      <c r="RPL224" s="76"/>
      <c r="RPM224" s="76"/>
      <c r="RPN224" s="76"/>
      <c r="RPO224" s="76"/>
      <c r="RPP224" s="76"/>
      <c r="RPQ224" s="76"/>
      <c r="RPR224" s="76"/>
      <c r="RPS224" s="76"/>
      <c r="RPT224" s="76"/>
      <c r="RPU224" s="76"/>
      <c r="RPV224" s="76"/>
      <c r="RPW224" s="76"/>
      <c r="RPX224" s="76"/>
      <c r="RPY224" s="76"/>
      <c r="RPZ224" s="76"/>
      <c r="RQA224" s="76"/>
      <c r="RQB224" s="76"/>
      <c r="RQC224" s="76"/>
      <c r="RQD224" s="76"/>
      <c r="RQE224" s="76"/>
      <c r="RQF224" s="76"/>
      <c r="RQG224" s="76"/>
      <c r="RQH224" s="76"/>
      <c r="RQI224" s="76"/>
      <c r="RQJ224" s="76"/>
      <c r="RQK224" s="76"/>
      <c r="RQL224" s="76"/>
      <c r="RQM224" s="76"/>
      <c r="RQN224" s="76"/>
      <c r="RQO224" s="76"/>
      <c r="RQP224" s="76"/>
      <c r="RQQ224" s="76"/>
      <c r="RQR224" s="76"/>
      <c r="RQS224" s="76"/>
      <c r="RQT224" s="76"/>
      <c r="RQU224" s="76"/>
      <c r="RQV224" s="76"/>
      <c r="RQW224" s="76"/>
      <c r="RQX224" s="76"/>
      <c r="RQY224" s="76"/>
      <c r="RQZ224" s="76"/>
      <c r="RRA224" s="76"/>
      <c r="RRB224" s="76"/>
      <c r="RRC224" s="76"/>
      <c r="RRD224" s="76"/>
      <c r="RRE224" s="76"/>
      <c r="RRF224" s="76"/>
      <c r="RRG224" s="76"/>
      <c r="RRH224" s="76"/>
      <c r="RRI224" s="76"/>
      <c r="RRJ224" s="76"/>
      <c r="RRK224" s="76"/>
      <c r="RRL224" s="76"/>
      <c r="RRM224" s="76"/>
      <c r="RRN224" s="76"/>
      <c r="RRO224" s="76"/>
      <c r="RRP224" s="76"/>
      <c r="RRQ224" s="76"/>
      <c r="RRR224" s="76"/>
      <c r="RRS224" s="76"/>
      <c r="RRT224" s="76"/>
      <c r="RRU224" s="76"/>
      <c r="RRV224" s="76"/>
      <c r="RRW224" s="76"/>
      <c r="RRX224" s="76"/>
      <c r="RRY224" s="76"/>
      <c r="RRZ224" s="76"/>
      <c r="RSA224" s="76"/>
      <c r="RSB224" s="76"/>
      <c r="RSC224" s="76"/>
      <c r="RSD224" s="76"/>
      <c r="RSE224" s="76"/>
      <c r="RSF224" s="76"/>
      <c r="RSG224" s="76"/>
      <c r="RSH224" s="76"/>
      <c r="RSI224" s="76"/>
      <c r="RSJ224" s="76"/>
      <c r="RSK224" s="76"/>
      <c r="RSL224" s="76"/>
      <c r="RSM224" s="76"/>
      <c r="RSN224" s="76"/>
      <c r="RSO224" s="76"/>
      <c r="RSP224" s="76"/>
      <c r="RSQ224" s="76"/>
      <c r="RSR224" s="76"/>
      <c r="RSS224" s="76"/>
      <c r="RST224" s="76"/>
      <c r="RSU224" s="76"/>
      <c r="RSV224" s="76"/>
      <c r="RSW224" s="76"/>
      <c r="RSX224" s="76"/>
      <c r="RSY224" s="76"/>
      <c r="RSZ224" s="76"/>
      <c r="RTA224" s="76"/>
      <c r="RTB224" s="76"/>
      <c r="RTC224" s="76"/>
      <c r="RTD224" s="76"/>
      <c r="RTE224" s="76"/>
      <c r="RTF224" s="76"/>
      <c r="RTG224" s="76"/>
      <c r="RTH224" s="76"/>
      <c r="RTI224" s="76"/>
      <c r="RTJ224" s="76"/>
      <c r="RTK224" s="76"/>
      <c r="RTL224" s="76"/>
      <c r="RTM224" s="76"/>
      <c r="RTN224" s="76"/>
      <c r="RTO224" s="76"/>
      <c r="RTP224" s="76"/>
      <c r="RTQ224" s="76"/>
      <c r="RTR224" s="76"/>
      <c r="RTS224" s="76"/>
      <c r="RTT224" s="76"/>
      <c r="RTU224" s="76"/>
      <c r="RTV224" s="76"/>
      <c r="RTW224" s="76"/>
      <c r="RTX224" s="76"/>
      <c r="RTY224" s="76"/>
      <c r="RTZ224" s="76"/>
      <c r="RUA224" s="76"/>
      <c r="RUB224" s="76"/>
      <c r="RUC224" s="76"/>
      <c r="RUD224" s="76"/>
      <c r="RUE224" s="76"/>
      <c r="RUF224" s="76"/>
      <c r="RUG224" s="76"/>
      <c r="RUH224" s="76"/>
      <c r="RUI224" s="76"/>
      <c r="RUJ224" s="76"/>
      <c r="RUK224" s="76"/>
      <c r="RUL224" s="76"/>
      <c r="RUM224" s="76"/>
      <c r="RUN224" s="76"/>
      <c r="RUO224" s="76"/>
      <c r="RUP224" s="76"/>
      <c r="RUQ224" s="76"/>
      <c r="RUR224" s="76"/>
      <c r="RUS224" s="76"/>
      <c r="RUT224" s="76"/>
      <c r="RUU224" s="76"/>
      <c r="RUV224" s="76"/>
      <c r="RUW224" s="76"/>
      <c r="RUX224" s="76"/>
      <c r="RUY224" s="76"/>
      <c r="RUZ224" s="76"/>
      <c r="RVA224" s="76"/>
      <c r="RVB224" s="76"/>
      <c r="RVC224" s="76"/>
      <c r="RVD224" s="76"/>
      <c r="RVE224" s="76"/>
      <c r="RVF224" s="76"/>
      <c r="RVG224" s="76"/>
      <c r="RVH224" s="76"/>
      <c r="RVI224" s="76"/>
      <c r="RVJ224" s="76"/>
      <c r="RVK224" s="76"/>
      <c r="RVL224" s="76"/>
      <c r="RVM224" s="76"/>
      <c r="RVN224" s="76"/>
      <c r="RVO224" s="76"/>
      <c r="RVP224" s="76"/>
      <c r="RVQ224" s="76"/>
      <c r="RVR224" s="76"/>
      <c r="RVS224" s="76"/>
      <c r="RVT224" s="76"/>
      <c r="RVU224" s="76"/>
      <c r="RVV224" s="76"/>
      <c r="RVW224" s="76"/>
      <c r="RVX224" s="76"/>
      <c r="RVY224" s="76"/>
      <c r="RVZ224" s="76"/>
      <c r="RWA224" s="76"/>
      <c r="RWB224" s="76"/>
      <c r="RWC224" s="76"/>
      <c r="RWD224" s="76"/>
      <c r="RWE224" s="76"/>
      <c r="RWF224" s="76"/>
      <c r="RWG224" s="76"/>
      <c r="RWH224" s="76"/>
      <c r="RWI224" s="76"/>
      <c r="RWJ224" s="76"/>
      <c r="RWK224" s="76"/>
      <c r="RWL224" s="76"/>
      <c r="RWM224" s="76"/>
      <c r="RWN224" s="76"/>
      <c r="RWO224" s="76"/>
      <c r="RWP224" s="76"/>
      <c r="RWQ224" s="76"/>
      <c r="RWR224" s="76"/>
      <c r="RWS224" s="76"/>
      <c r="RWT224" s="76"/>
      <c r="RWU224" s="76"/>
      <c r="RWV224" s="76"/>
      <c r="RWW224" s="76"/>
      <c r="RWX224" s="76"/>
      <c r="RWY224" s="76"/>
      <c r="RWZ224" s="76"/>
      <c r="RXA224" s="76"/>
      <c r="RXB224" s="76"/>
      <c r="RXC224" s="76"/>
      <c r="RXD224" s="76"/>
      <c r="RXE224" s="76"/>
      <c r="RXF224" s="76"/>
      <c r="RXG224" s="76"/>
      <c r="RXH224" s="76"/>
      <c r="RXI224" s="76"/>
      <c r="RXJ224" s="76"/>
      <c r="RXK224" s="76"/>
      <c r="RXL224" s="76"/>
      <c r="RXM224" s="76"/>
      <c r="RXN224" s="76"/>
      <c r="RXO224" s="76"/>
      <c r="RXP224" s="76"/>
      <c r="RXQ224" s="76"/>
      <c r="RXR224" s="76"/>
      <c r="RXS224" s="76"/>
      <c r="RXT224" s="76"/>
      <c r="RXU224" s="76"/>
      <c r="RXV224" s="76"/>
      <c r="RXW224" s="76"/>
      <c r="RXX224" s="76"/>
      <c r="RXY224" s="76"/>
      <c r="RXZ224" s="76"/>
      <c r="RYA224" s="76"/>
      <c r="RYB224" s="76"/>
      <c r="RYC224" s="76"/>
      <c r="RYD224" s="76"/>
      <c r="RYE224" s="76"/>
      <c r="RYF224" s="76"/>
      <c r="RYG224" s="76"/>
      <c r="RYH224" s="76"/>
      <c r="RYI224" s="76"/>
      <c r="RYJ224" s="76"/>
      <c r="RYK224" s="76"/>
      <c r="RYL224" s="76"/>
      <c r="RYM224" s="76"/>
      <c r="RYN224" s="76"/>
      <c r="RYO224" s="76"/>
      <c r="RYP224" s="76"/>
      <c r="RYQ224" s="76"/>
      <c r="RYR224" s="76"/>
      <c r="RYS224" s="76"/>
      <c r="RYT224" s="76"/>
      <c r="RYU224" s="76"/>
      <c r="RYV224" s="76"/>
      <c r="RYW224" s="76"/>
      <c r="RYX224" s="76"/>
      <c r="RYY224" s="76"/>
      <c r="RYZ224" s="76"/>
      <c r="RZA224" s="76"/>
      <c r="RZB224" s="76"/>
      <c r="RZC224" s="76"/>
      <c r="RZD224" s="76"/>
      <c r="RZE224" s="76"/>
      <c r="RZF224" s="76"/>
      <c r="RZG224" s="76"/>
      <c r="RZH224" s="76"/>
      <c r="RZI224" s="76"/>
      <c r="RZJ224" s="76"/>
      <c r="RZK224" s="76"/>
      <c r="RZL224" s="76"/>
      <c r="RZM224" s="76"/>
      <c r="RZN224" s="76"/>
      <c r="RZO224" s="76"/>
      <c r="RZP224" s="76"/>
      <c r="RZQ224" s="76"/>
      <c r="RZR224" s="76"/>
      <c r="RZS224" s="76"/>
      <c r="RZT224" s="76"/>
      <c r="RZU224" s="76"/>
      <c r="RZV224" s="76"/>
      <c r="RZW224" s="76"/>
      <c r="RZX224" s="76"/>
      <c r="RZY224" s="76"/>
      <c r="RZZ224" s="76"/>
      <c r="SAA224" s="76"/>
      <c r="SAB224" s="76"/>
      <c r="SAC224" s="76"/>
      <c r="SAD224" s="76"/>
      <c r="SAE224" s="76"/>
      <c r="SAF224" s="76"/>
      <c r="SAG224" s="76"/>
      <c r="SAH224" s="76"/>
      <c r="SAI224" s="76"/>
      <c r="SAJ224" s="76"/>
      <c r="SAK224" s="76"/>
      <c r="SAL224" s="76"/>
      <c r="SAM224" s="76"/>
      <c r="SAN224" s="76"/>
      <c r="SAO224" s="76"/>
      <c r="SAP224" s="76"/>
      <c r="SAQ224" s="76"/>
      <c r="SAR224" s="76"/>
      <c r="SAS224" s="76"/>
      <c r="SAT224" s="76"/>
      <c r="SAU224" s="76"/>
      <c r="SAV224" s="76"/>
      <c r="SAW224" s="76"/>
      <c r="SAX224" s="76"/>
      <c r="SAY224" s="76"/>
      <c r="SAZ224" s="76"/>
      <c r="SBA224" s="76"/>
      <c r="SBB224" s="76"/>
      <c r="SBC224" s="76"/>
      <c r="SBD224" s="76"/>
      <c r="SBE224" s="76"/>
      <c r="SBF224" s="76"/>
      <c r="SBG224" s="76"/>
      <c r="SBH224" s="76"/>
      <c r="SBI224" s="76"/>
      <c r="SBJ224" s="76"/>
      <c r="SBK224" s="76"/>
      <c r="SBL224" s="76"/>
      <c r="SBM224" s="76"/>
      <c r="SBN224" s="76"/>
      <c r="SBO224" s="76"/>
      <c r="SBP224" s="76"/>
      <c r="SBQ224" s="76"/>
      <c r="SBR224" s="76"/>
      <c r="SBS224" s="76"/>
      <c r="SBT224" s="76"/>
      <c r="SBU224" s="76"/>
      <c r="SBV224" s="76"/>
      <c r="SBW224" s="76"/>
      <c r="SBX224" s="76"/>
      <c r="SBY224" s="76"/>
      <c r="SBZ224" s="76"/>
      <c r="SCA224" s="76"/>
      <c r="SCB224" s="76"/>
      <c r="SCC224" s="76"/>
      <c r="SCD224" s="76"/>
      <c r="SCE224" s="76"/>
      <c r="SCF224" s="76"/>
      <c r="SCG224" s="76"/>
      <c r="SCH224" s="76"/>
      <c r="SCI224" s="76"/>
      <c r="SCJ224" s="76"/>
      <c r="SCK224" s="76"/>
      <c r="SCL224" s="76"/>
      <c r="SCM224" s="76"/>
      <c r="SCN224" s="76"/>
      <c r="SCO224" s="76"/>
      <c r="SCP224" s="76"/>
      <c r="SCQ224" s="76"/>
      <c r="SCR224" s="76"/>
      <c r="SCS224" s="76"/>
      <c r="SCT224" s="76"/>
      <c r="SCU224" s="76"/>
      <c r="SCV224" s="76"/>
      <c r="SCW224" s="76"/>
      <c r="SCX224" s="76"/>
      <c r="SCY224" s="76"/>
      <c r="SCZ224" s="76"/>
      <c r="SDA224" s="76"/>
      <c r="SDB224" s="76"/>
      <c r="SDC224" s="76"/>
      <c r="SDD224" s="76"/>
      <c r="SDE224" s="76"/>
      <c r="SDF224" s="76"/>
      <c r="SDG224" s="76"/>
      <c r="SDH224" s="76"/>
      <c r="SDI224" s="76"/>
      <c r="SDJ224" s="76"/>
      <c r="SDK224" s="76"/>
      <c r="SDL224" s="76"/>
      <c r="SDM224" s="76"/>
      <c r="SDN224" s="76"/>
      <c r="SDO224" s="76"/>
      <c r="SDP224" s="76"/>
      <c r="SDQ224" s="76"/>
      <c r="SDR224" s="76"/>
      <c r="SDS224" s="76"/>
      <c r="SDT224" s="76"/>
      <c r="SDU224" s="76"/>
      <c r="SDV224" s="76"/>
      <c r="SDW224" s="76"/>
      <c r="SDX224" s="76"/>
      <c r="SDY224" s="76"/>
      <c r="SDZ224" s="76"/>
      <c r="SEA224" s="76"/>
      <c r="SEB224" s="76"/>
      <c r="SEC224" s="76"/>
      <c r="SED224" s="76"/>
      <c r="SEE224" s="76"/>
      <c r="SEF224" s="76"/>
      <c r="SEG224" s="76"/>
      <c r="SEH224" s="76"/>
      <c r="SEI224" s="76"/>
      <c r="SEJ224" s="76"/>
      <c r="SEK224" s="76"/>
      <c r="SEL224" s="76"/>
      <c r="SEM224" s="76"/>
      <c r="SEN224" s="76"/>
      <c r="SEO224" s="76"/>
      <c r="SEP224" s="76"/>
      <c r="SEQ224" s="76"/>
      <c r="SER224" s="76"/>
      <c r="SES224" s="76"/>
      <c r="SET224" s="76"/>
      <c r="SEU224" s="76"/>
      <c r="SEV224" s="76"/>
      <c r="SEW224" s="76"/>
      <c r="SEX224" s="76"/>
      <c r="SEY224" s="76"/>
      <c r="SEZ224" s="76"/>
      <c r="SFA224" s="76"/>
      <c r="SFB224" s="76"/>
      <c r="SFC224" s="76"/>
      <c r="SFD224" s="76"/>
      <c r="SFE224" s="76"/>
      <c r="SFF224" s="76"/>
      <c r="SFG224" s="76"/>
      <c r="SFH224" s="76"/>
      <c r="SFI224" s="76"/>
      <c r="SFJ224" s="76"/>
      <c r="SFK224" s="76"/>
      <c r="SFL224" s="76"/>
      <c r="SFM224" s="76"/>
      <c r="SFN224" s="76"/>
      <c r="SFO224" s="76"/>
      <c r="SFP224" s="76"/>
      <c r="SFQ224" s="76"/>
      <c r="SFR224" s="76"/>
      <c r="SFS224" s="76"/>
      <c r="SFT224" s="76"/>
      <c r="SFU224" s="76"/>
      <c r="SFV224" s="76"/>
      <c r="SFW224" s="76"/>
      <c r="SFX224" s="76"/>
      <c r="SFY224" s="76"/>
      <c r="SFZ224" s="76"/>
      <c r="SGA224" s="76"/>
      <c r="SGB224" s="76"/>
      <c r="SGC224" s="76"/>
      <c r="SGD224" s="76"/>
      <c r="SGE224" s="76"/>
      <c r="SGF224" s="76"/>
      <c r="SGG224" s="76"/>
      <c r="SGH224" s="76"/>
      <c r="SGI224" s="76"/>
      <c r="SGJ224" s="76"/>
      <c r="SGK224" s="76"/>
      <c r="SGL224" s="76"/>
      <c r="SGM224" s="76"/>
      <c r="SGN224" s="76"/>
      <c r="SGO224" s="76"/>
      <c r="SGP224" s="76"/>
      <c r="SGQ224" s="76"/>
      <c r="SGR224" s="76"/>
      <c r="SGS224" s="76"/>
      <c r="SGT224" s="76"/>
      <c r="SGU224" s="76"/>
      <c r="SGV224" s="76"/>
      <c r="SGW224" s="76"/>
      <c r="SGX224" s="76"/>
      <c r="SGY224" s="76"/>
      <c r="SGZ224" s="76"/>
      <c r="SHA224" s="76"/>
      <c r="SHB224" s="76"/>
      <c r="SHC224" s="76"/>
      <c r="SHD224" s="76"/>
      <c r="SHE224" s="76"/>
      <c r="SHF224" s="76"/>
      <c r="SHG224" s="76"/>
      <c r="SHH224" s="76"/>
      <c r="SHI224" s="76"/>
      <c r="SHJ224" s="76"/>
      <c r="SHK224" s="76"/>
      <c r="SHL224" s="76"/>
      <c r="SHM224" s="76"/>
      <c r="SHN224" s="76"/>
      <c r="SHO224" s="76"/>
      <c r="SHP224" s="76"/>
      <c r="SHQ224" s="76"/>
      <c r="SHR224" s="76"/>
      <c r="SHS224" s="76"/>
      <c r="SHT224" s="76"/>
      <c r="SHU224" s="76"/>
      <c r="SHV224" s="76"/>
      <c r="SHW224" s="76"/>
      <c r="SHX224" s="76"/>
      <c r="SHY224" s="76"/>
      <c r="SHZ224" s="76"/>
      <c r="SIA224" s="76"/>
      <c r="SIB224" s="76"/>
      <c r="SIC224" s="76"/>
      <c r="SID224" s="76"/>
      <c r="SIE224" s="76"/>
      <c r="SIF224" s="76"/>
      <c r="SIG224" s="76"/>
      <c r="SIH224" s="76"/>
      <c r="SII224" s="76"/>
      <c r="SIJ224" s="76"/>
      <c r="SIK224" s="76"/>
      <c r="SIL224" s="76"/>
      <c r="SIM224" s="76"/>
      <c r="SIN224" s="76"/>
      <c r="SIO224" s="76"/>
      <c r="SIP224" s="76"/>
      <c r="SIQ224" s="76"/>
      <c r="SIR224" s="76"/>
      <c r="SIS224" s="76"/>
      <c r="SIT224" s="76"/>
      <c r="SIU224" s="76"/>
      <c r="SIV224" s="76"/>
      <c r="SIW224" s="76"/>
      <c r="SIX224" s="76"/>
      <c r="SIY224" s="76"/>
      <c r="SIZ224" s="76"/>
      <c r="SJA224" s="76"/>
      <c r="SJB224" s="76"/>
      <c r="SJC224" s="76"/>
      <c r="SJD224" s="76"/>
      <c r="SJE224" s="76"/>
      <c r="SJF224" s="76"/>
      <c r="SJG224" s="76"/>
      <c r="SJH224" s="76"/>
      <c r="SJI224" s="76"/>
      <c r="SJJ224" s="76"/>
      <c r="SJK224" s="76"/>
      <c r="SJL224" s="76"/>
      <c r="SJM224" s="76"/>
      <c r="SJN224" s="76"/>
      <c r="SJO224" s="76"/>
      <c r="SJP224" s="76"/>
      <c r="SJQ224" s="76"/>
      <c r="SJR224" s="76"/>
      <c r="SJS224" s="76"/>
      <c r="SJT224" s="76"/>
      <c r="SJU224" s="76"/>
      <c r="SJV224" s="76"/>
      <c r="SJW224" s="76"/>
      <c r="SJX224" s="76"/>
      <c r="SJY224" s="76"/>
      <c r="SJZ224" s="76"/>
      <c r="SKA224" s="76"/>
      <c r="SKB224" s="76"/>
      <c r="SKC224" s="76"/>
      <c r="SKD224" s="76"/>
      <c r="SKE224" s="76"/>
      <c r="SKF224" s="76"/>
      <c r="SKG224" s="76"/>
      <c r="SKH224" s="76"/>
      <c r="SKI224" s="76"/>
      <c r="SKJ224" s="76"/>
      <c r="SKK224" s="76"/>
      <c r="SKL224" s="76"/>
      <c r="SKM224" s="76"/>
      <c r="SKN224" s="76"/>
      <c r="SKO224" s="76"/>
      <c r="SKP224" s="76"/>
      <c r="SKQ224" s="76"/>
      <c r="SKR224" s="76"/>
      <c r="SKS224" s="76"/>
      <c r="SKT224" s="76"/>
      <c r="SKU224" s="76"/>
      <c r="SKV224" s="76"/>
      <c r="SKW224" s="76"/>
      <c r="SKX224" s="76"/>
      <c r="SKY224" s="76"/>
      <c r="SKZ224" s="76"/>
      <c r="SLA224" s="76"/>
      <c r="SLB224" s="76"/>
      <c r="SLC224" s="76"/>
      <c r="SLD224" s="76"/>
      <c r="SLE224" s="76"/>
      <c r="SLF224" s="76"/>
      <c r="SLG224" s="76"/>
      <c r="SLH224" s="76"/>
      <c r="SLI224" s="76"/>
      <c r="SLJ224" s="76"/>
      <c r="SLK224" s="76"/>
      <c r="SLL224" s="76"/>
      <c r="SLM224" s="76"/>
      <c r="SLN224" s="76"/>
      <c r="SLO224" s="76"/>
      <c r="SLP224" s="76"/>
      <c r="SLQ224" s="76"/>
      <c r="SLR224" s="76"/>
      <c r="SLS224" s="76"/>
      <c r="SLT224" s="76"/>
      <c r="SLU224" s="76"/>
      <c r="SLV224" s="76"/>
      <c r="SLW224" s="76"/>
      <c r="SLX224" s="76"/>
      <c r="SLY224" s="76"/>
      <c r="SLZ224" s="76"/>
      <c r="SMA224" s="76"/>
      <c r="SMB224" s="76"/>
      <c r="SMC224" s="76"/>
      <c r="SMD224" s="76"/>
      <c r="SME224" s="76"/>
      <c r="SMF224" s="76"/>
      <c r="SMG224" s="76"/>
      <c r="SMH224" s="76"/>
      <c r="SMI224" s="76"/>
      <c r="SMJ224" s="76"/>
      <c r="SMK224" s="76"/>
      <c r="SML224" s="76"/>
      <c r="SMM224" s="76"/>
      <c r="SMN224" s="76"/>
      <c r="SMO224" s="76"/>
      <c r="SMP224" s="76"/>
      <c r="SMQ224" s="76"/>
      <c r="SMR224" s="76"/>
      <c r="SMS224" s="76"/>
      <c r="SMT224" s="76"/>
      <c r="SMU224" s="76"/>
      <c r="SMV224" s="76"/>
      <c r="SMW224" s="76"/>
      <c r="SMX224" s="76"/>
      <c r="SMY224" s="76"/>
      <c r="SMZ224" s="76"/>
      <c r="SNA224" s="76"/>
      <c r="SNB224" s="76"/>
      <c r="SNC224" s="76"/>
      <c r="SND224" s="76"/>
      <c r="SNE224" s="76"/>
      <c r="SNF224" s="76"/>
      <c r="SNG224" s="76"/>
      <c r="SNH224" s="76"/>
      <c r="SNI224" s="76"/>
      <c r="SNJ224" s="76"/>
      <c r="SNK224" s="76"/>
      <c r="SNL224" s="76"/>
      <c r="SNM224" s="76"/>
      <c r="SNN224" s="76"/>
      <c r="SNO224" s="76"/>
      <c r="SNP224" s="76"/>
      <c r="SNQ224" s="76"/>
      <c r="SNR224" s="76"/>
      <c r="SNS224" s="76"/>
      <c r="SNT224" s="76"/>
      <c r="SNU224" s="76"/>
      <c r="SNV224" s="76"/>
      <c r="SNW224" s="76"/>
      <c r="SNX224" s="76"/>
      <c r="SNY224" s="76"/>
      <c r="SNZ224" s="76"/>
      <c r="SOA224" s="76"/>
      <c r="SOB224" s="76"/>
      <c r="SOC224" s="76"/>
      <c r="SOD224" s="76"/>
      <c r="SOE224" s="76"/>
      <c r="SOF224" s="76"/>
      <c r="SOG224" s="76"/>
      <c r="SOH224" s="76"/>
      <c r="SOI224" s="76"/>
      <c r="SOJ224" s="76"/>
      <c r="SOK224" s="76"/>
      <c r="SOL224" s="76"/>
      <c r="SOM224" s="76"/>
      <c r="SON224" s="76"/>
      <c r="SOO224" s="76"/>
      <c r="SOP224" s="76"/>
      <c r="SOQ224" s="76"/>
      <c r="SOR224" s="76"/>
      <c r="SOS224" s="76"/>
      <c r="SOT224" s="76"/>
      <c r="SOU224" s="76"/>
      <c r="SOV224" s="76"/>
      <c r="SOW224" s="76"/>
      <c r="SOX224" s="76"/>
      <c r="SOY224" s="76"/>
      <c r="SOZ224" s="76"/>
      <c r="SPA224" s="76"/>
      <c r="SPB224" s="76"/>
      <c r="SPC224" s="76"/>
      <c r="SPD224" s="76"/>
      <c r="SPE224" s="76"/>
      <c r="SPF224" s="76"/>
      <c r="SPG224" s="76"/>
      <c r="SPH224" s="76"/>
      <c r="SPI224" s="76"/>
      <c r="SPJ224" s="76"/>
      <c r="SPK224" s="76"/>
      <c r="SPL224" s="76"/>
      <c r="SPM224" s="76"/>
      <c r="SPN224" s="76"/>
      <c r="SPO224" s="76"/>
      <c r="SPP224" s="76"/>
      <c r="SPQ224" s="76"/>
      <c r="SPR224" s="76"/>
      <c r="SPS224" s="76"/>
      <c r="SPT224" s="76"/>
      <c r="SPU224" s="76"/>
      <c r="SPV224" s="76"/>
      <c r="SPW224" s="76"/>
      <c r="SPX224" s="76"/>
      <c r="SPY224" s="76"/>
      <c r="SPZ224" s="76"/>
      <c r="SQA224" s="76"/>
      <c r="SQB224" s="76"/>
      <c r="SQC224" s="76"/>
      <c r="SQD224" s="76"/>
      <c r="SQE224" s="76"/>
      <c r="SQF224" s="76"/>
      <c r="SQG224" s="76"/>
      <c r="SQH224" s="76"/>
      <c r="SQI224" s="76"/>
      <c r="SQJ224" s="76"/>
      <c r="SQK224" s="76"/>
      <c r="SQL224" s="76"/>
      <c r="SQM224" s="76"/>
      <c r="SQN224" s="76"/>
      <c r="SQO224" s="76"/>
      <c r="SQP224" s="76"/>
      <c r="SQQ224" s="76"/>
      <c r="SQR224" s="76"/>
      <c r="SQS224" s="76"/>
      <c r="SQT224" s="76"/>
      <c r="SQU224" s="76"/>
      <c r="SQV224" s="76"/>
      <c r="SQW224" s="76"/>
      <c r="SQX224" s="76"/>
      <c r="SQY224" s="76"/>
      <c r="SQZ224" s="76"/>
      <c r="SRA224" s="76"/>
      <c r="SRB224" s="76"/>
      <c r="SRC224" s="76"/>
      <c r="SRD224" s="76"/>
      <c r="SRE224" s="76"/>
      <c r="SRF224" s="76"/>
      <c r="SRG224" s="76"/>
      <c r="SRH224" s="76"/>
      <c r="SRI224" s="76"/>
      <c r="SRJ224" s="76"/>
      <c r="SRK224" s="76"/>
      <c r="SRL224" s="76"/>
      <c r="SRM224" s="76"/>
      <c r="SRN224" s="76"/>
      <c r="SRO224" s="76"/>
      <c r="SRP224" s="76"/>
      <c r="SRQ224" s="76"/>
      <c r="SRR224" s="76"/>
      <c r="SRS224" s="76"/>
      <c r="SRT224" s="76"/>
      <c r="SRU224" s="76"/>
      <c r="SRV224" s="76"/>
      <c r="SRW224" s="76"/>
      <c r="SRX224" s="76"/>
      <c r="SRY224" s="76"/>
      <c r="SRZ224" s="76"/>
      <c r="SSA224" s="76"/>
      <c r="SSB224" s="76"/>
      <c r="SSC224" s="76"/>
      <c r="SSD224" s="76"/>
      <c r="SSE224" s="76"/>
      <c r="SSF224" s="76"/>
      <c r="SSG224" s="76"/>
      <c r="SSH224" s="76"/>
      <c r="SSI224" s="76"/>
      <c r="SSJ224" s="76"/>
      <c r="SSK224" s="76"/>
      <c r="SSL224" s="76"/>
      <c r="SSM224" s="76"/>
      <c r="SSN224" s="76"/>
      <c r="SSO224" s="76"/>
      <c r="SSP224" s="76"/>
      <c r="SSQ224" s="76"/>
      <c r="SSR224" s="76"/>
      <c r="SSS224" s="76"/>
      <c r="SST224" s="76"/>
      <c r="SSU224" s="76"/>
      <c r="SSV224" s="76"/>
      <c r="SSW224" s="76"/>
      <c r="SSX224" s="76"/>
      <c r="SSY224" s="76"/>
      <c r="SSZ224" s="76"/>
      <c r="STA224" s="76"/>
      <c r="STB224" s="76"/>
      <c r="STC224" s="76"/>
      <c r="STD224" s="76"/>
      <c r="STE224" s="76"/>
      <c r="STF224" s="76"/>
      <c r="STG224" s="76"/>
      <c r="STH224" s="76"/>
      <c r="STI224" s="76"/>
      <c r="STJ224" s="76"/>
      <c r="STK224" s="76"/>
      <c r="STL224" s="76"/>
      <c r="STM224" s="76"/>
      <c r="STN224" s="76"/>
      <c r="STO224" s="76"/>
      <c r="STP224" s="76"/>
      <c r="STQ224" s="76"/>
      <c r="STR224" s="76"/>
      <c r="STS224" s="76"/>
      <c r="STT224" s="76"/>
      <c r="STU224" s="76"/>
      <c r="STV224" s="76"/>
      <c r="STW224" s="76"/>
      <c r="STX224" s="76"/>
      <c r="STY224" s="76"/>
      <c r="STZ224" s="76"/>
      <c r="SUA224" s="76"/>
      <c r="SUB224" s="76"/>
      <c r="SUC224" s="76"/>
      <c r="SUD224" s="76"/>
      <c r="SUE224" s="76"/>
      <c r="SUF224" s="76"/>
      <c r="SUG224" s="76"/>
      <c r="SUH224" s="76"/>
      <c r="SUI224" s="76"/>
      <c r="SUJ224" s="76"/>
      <c r="SUK224" s="76"/>
      <c r="SUL224" s="76"/>
      <c r="SUM224" s="76"/>
      <c r="SUN224" s="76"/>
      <c r="SUO224" s="76"/>
      <c r="SUP224" s="76"/>
      <c r="SUQ224" s="76"/>
      <c r="SUR224" s="76"/>
      <c r="SUS224" s="76"/>
      <c r="SUT224" s="76"/>
      <c r="SUU224" s="76"/>
      <c r="SUV224" s="76"/>
      <c r="SUW224" s="76"/>
      <c r="SUX224" s="76"/>
      <c r="SUY224" s="76"/>
      <c r="SUZ224" s="76"/>
      <c r="SVA224" s="76"/>
      <c r="SVB224" s="76"/>
      <c r="SVC224" s="76"/>
      <c r="SVD224" s="76"/>
      <c r="SVE224" s="76"/>
      <c r="SVF224" s="76"/>
      <c r="SVG224" s="76"/>
      <c r="SVH224" s="76"/>
      <c r="SVI224" s="76"/>
      <c r="SVJ224" s="76"/>
      <c r="SVK224" s="76"/>
      <c r="SVL224" s="76"/>
      <c r="SVM224" s="76"/>
      <c r="SVN224" s="76"/>
      <c r="SVO224" s="76"/>
      <c r="SVP224" s="76"/>
      <c r="SVQ224" s="76"/>
      <c r="SVR224" s="76"/>
      <c r="SVS224" s="76"/>
      <c r="SVT224" s="76"/>
      <c r="SVU224" s="76"/>
      <c r="SVV224" s="76"/>
      <c r="SVW224" s="76"/>
      <c r="SVX224" s="76"/>
      <c r="SVY224" s="76"/>
      <c r="SVZ224" s="76"/>
      <c r="SWA224" s="76"/>
      <c r="SWB224" s="76"/>
      <c r="SWC224" s="76"/>
      <c r="SWD224" s="76"/>
      <c r="SWE224" s="76"/>
      <c r="SWF224" s="76"/>
      <c r="SWG224" s="76"/>
      <c r="SWH224" s="76"/>
      <c r="SWI224" s="76"/>
      <c r="SWJ224" s="76"/>
      <c r="SWK224" s="76"/>
      <c r="SWL224" s="76"/>
      <c r="SWM224" s="76"/>
      <c r="SWN224" s="76"/>
      <c r="SWO224" s="76"/>
      <c r="SWP224" s="76"/>
      <c r="SWQ224" s="76"/>
      <c r="SWR224" s="76"/>
      <c r="SWS224" s="76"/>
      <c r="SWT224" s="76"/>
      <c r="SWU224" s="76"/>
      <c r="SWV224" s="76"/>
      <c r="SWW224" s="76"/>
      <c r="SWX224" s="76"/>
      <c r="SWY224" s="76"/>
      <c r="SWZ224" s="76"/>
      <c r="SXA224" s="76"/>
      <c r="SXB224" s="76"/>
      <c r="SXC224" s="76"/>
      <c r="SXD224" s="76"/>
      <c r="SXE224" s="76"/>
      <c r="SXF224" s="76"/>
      <c r="SXG224" s="76"/>
      <c r="SXH224" s="76"/>
      <c r="SXI224" s="76"/>
      <c r="SXJ224" s="76"/>
      <c r="SXK224" s="76"/>
      <c r="SXL224" s="76"/>
      <c r="SXM224" s="76"/>
      <c r="SXN224" s="76"/>
      <c r="SXO224" s="76"/>
      <c r="SXP224" s="76"/>
      <c r="SXQ224" s="76"/>
      <c r="SXR224" s="76"/>
      <c r="SXS224" s="76"/>
      <c r="SXT224" s="76"/>
      <c r="SXU224" s="76"/>
      <c r="SXV224" s="76"/>
      <c r="SXW224" s="76"/>
      <c r="SXX224" s="76"/>
      <c r="SXY224" s="76"/>
      <c r="SXZ224" s="76"/>
      <c r="SYA224" s="76"/>
      <c r="SYB224" s="76"/>
      <c r="SYC224" s="76"/>
      <c r="SYD224" s="76"/>
      <c r="SYE224" s="76"/>
      <c r="SYF224" s="76"/>
      <c r="SYG224" s="76"/>
      <c r="SYH224" s="76"/>
      <c r="SYI224" s="76"/>
      <c r="SYJ224" s="76"/>
      <c r="SYK224" s="76"/>
      <c r="SYL224" s="76"/>
      <c r="SYM224" s="76"/>
      <c r="SYN224" s="76"/>
      <c r="SYO224" s="76"/>
      <c r="SYP224" s="76"/>
      <c r="SYQ224" s="76"/>
      <c r="SYR224" s="76"/>
      <c r="SYS224" s="76"/>
      <c r="SYT224" s="76"/>
      <c r="SYU224" s="76"/>
      <c r="SYV224" s="76"/>
      <c r="SYW224" s="76"/>
      <c r="SYX224" s="76"/>
      <c r="SYY224" s="76"/>
      <c r="SYZ224" s="76"/>
      <c r="SZA224" s="76"/>
      <c r="SZB224" s="76"/>
      <c r="SZC224" s="76"/>
      <c r="SZD224" s="76"/>
      <c r="SZE224" s="76"/>
      <c r="SZF224" s="76"/>
      <c r="SZG224" s="76"/>
      <c r="SZH224" s="76"/>
      <c r="SZI224" s="76"/>
      <c r="SZJ224" s="76"/>
      <c r="SZK224" s="76"/>
      <c r="SZL224" s="76"/>
      <c r="SZM224" s="76"/>
      <c r="SZN224" s="76"/>
      <c r="SZO224" s="76"/>
      <c r="SZP224" s="76"/>
      <c r="SZQ224" s="76"/>
      <c r="SZR224" s="76"/>
      <c r="SZS224" s="76"/>
      <c r="SZT224" s="76"/>
      <c r="SZU224" s="76"/>
      <c r="SZV224" s="76"/>
      <c r="SZW224" s="76"/>
      <c r="SZX224" s="76"/>
      <c r="SZY224" s="76"/>
      <c r="SZZ224" s="76"/>
      <c r="TAA224" s="76"/>
      <c r="TAB224" s="76"/>
      <c r="TAC224" s="76"/>
      <c r="TAD224" s="76"/>
      <c r="TAE224" s="76"/>
      <c r="TAF224" s="76"/>
      <c r="TAG224" s="76"/>
      <c r="TAH224" s="76"/>
      <c r="TAI224" s="76"/>
      <c r="TAJ224" s="76"/>
      <c r="TAK224" s="76"/>
      <c r="TAL224" s="76"/>
      <c r="TAM224" s="76"/>
      <c r="TAN224" s="76"/>
      <c r="TAO224" s="76"/>
      <c r="TAP224" s="76"/>
      <c r="TAQ224" s="76"/>
      <c r="TAR224" s="76"/>
      <c r="TAS224" s="76"/>
      <c r="TAT224" s="76"/>
      <c r="TAU224" s="76"/>
      <c r="TAV224" s="76"/>
      <c r="TAW224" s="76"/>
      <c r="TAX224" s="76"/>
      <c r="TAY224" s="76"/>
      <c r="TAZ224" s="76"/>
      <c r="TBA224" s="76"/>
      <c r="TBB224" s="76"/>
      <c r="TBC224" s="76"/>
      <c r="TBD224" s="76"/>
      <c r="TBE224" s="76"/>
      <c r="TBF224" s="76"/>
      <c r="TBG224" s="76"/>
      <c r="TBH224" s="76"/>
      <c r="TBI224" s="76"/>
      <c r="TBJ224" s="76"/>
      <c r="TBK224" s="76"/>
      <c r="TBL224" s="76"/>
      <c r="TBM224" s="76"/>
      <c r="TBN224" s="76"/>
      <c r="TBO224" s="76"/>
      <c r="TBP224" s="76"/>
      <c r="TBQ224" s="76"/>
      <c r="TBR224" s="76"/>
      <c r="TBS224" s="76"/>
      <c r="TBT224" s="76"/>
      <c r="TBU224" s="76"/>
      <c r="TBV224" s="76"/>
      <c r="TBW224" s="76"/>
      <c r="TBX224" s="76"/>
      <c r="TBY224" s="76"/>
      <c r="TBZ224" s="76"/>
      <c r="TCA224" s="76"/>
      <c r="TCB224" s="76"/>
      <c r="TCC224" s="76"/>
      <c r="TCD224" s="76"/>
      <c r="TCE224" s="76"/>
      <c r="TCF224" s="76"/>
      <c r="TCG224" s="76"/>
      <c r="TCH224" s="76"/>
      <c r="TCI224" s="76"/>
      <c r="TCJ224" s="76"/>
      <c r="TCK224" s="76"/>
      <c r="TCL224" s="76"/>
      <c r="TCM224" s="76"/>
      <c r="TCN224" s="76"/>
      <c r="TCO224" s="76"/>
      <c r="TCP224" s="76"/>
      <c r="TCQ224" s="76"/>
      <c r="TCR224" s="76"/>
      <c r="TCS224" s="76"/>
      <c r="TCT224" s="76"/>
      <c r="TCU224" s="76"/>
      <c r="TCV224" s="76"/>
      <c r="TCW224" s="76"/>
      <c r="TCX224" s="76"/>
      <c r="TCY224" s="76"/>
      <c r="TCZ224" s="76"/>
      <c r="TDA224" s="76"/>
      <c r="TDB224" s="76"/>
      <c r="TDC224" s="76"/>
      <c r="TDD224" s="76"/>
      <c r="TDE224" s="76"/>
      <c r="TDF224" s="76"/>
      <c r="TDG224" s="76"/>
      <c r="TDH224" s="76"/>
      <c r="TDI224" s="76"/>
      <c r="TDJ224" s="76"/>
      <c r="TDK224" s="76"/>
      <c r="TDL224" s="76"/>
      <c r="TDM224" s="76"/>
      <c r="TDN224" s="76"/>
      <c r="TDO224" s="76"/>
      <c r="TDP224" s="76"/>
      <c r="TDQ224" s="76"/>
      <c r="TDR224" s="76"/>
      <c r="TDS224" s="76"/>
      <c r="TDT224" s="76"/>
      <c r="TDU224" s="76"/>
      <c r="TDV224" s="76"/>
      <c r="TDW224" s="76"/>
      <c r="TDX224" s="76"/>
      <c r="TDY224" s="76"/>
      <c r="TDZ224" s="76"/>
      <c r="TEA224" s="76"/>
      <c r="TEB224" s="76"/>
      <c r="TEC224" s="76"/>
      <c r="TED224" s="76"/>
      <c r="TEE224" s="76"/>
      <c r="TEF224" s="76"/>
      <c r="TEG224" s="76"/>
      <c r="TEH224" s="76"/>
      <c r="TEI224" s="76"/>
      <c r="TEJ224" s="76"/>
      <c r="TEK224" s="76"/>
      <c r="TEL224" s="76"/>
      <c r="TEM224" s="76"/>
      <c r="TEN224" s="76"/>
      <c r="TEO224" s="76"/>
      <c r="TEP224" s="76"/>
      <c r="TEQ224" s="76"/>
      <c r="TER224" s="76"/>
      <c r="TES224" s="76"/>
      <c r="TET224" s="76"/>
      <c r="TEU224" s="76"/>
      <c r="TEV224" s="76"/>
      <c r="TEW224" s="76"/>
      <c r="TEX224" s="76"/>
      <c r="TEY224" s="76"/>
      <c r="TEZ224" s="76"/>
      <c r="TFA224" s="76"/>
      <c r="TFB224" s="76"/>
      <c r="TFC224" s="76"/>
      <c r="TFD224" s="76"/>
      <c r="TFE224" s="76"/>
      <c r="TFF224" s="76"/>
      <c r="TFG224" s="76"/>
      <c r="TFH224" s="76"/>
      <c r="TFI224" s="76"/>
      <c r="TFJ224" s="76"/>
      <c r="TFK224" s="76"/>
      <c r="TFL224" s="76"/>
      <c r="TFM224" s="76"/>
      <c r="TFN224" s="76"/>
      <c r="TFO224" s="76"/>
      <c r="TFP224" s="76"/>
      <c r="TFQ224" s="76"/>
      <c r="TFR224" s="76"/>
      <c r="TFS224" s="76"/>
      <c r="TFT224" s="76"/>
      <c r="TFU224" s="76"/>
      <c r="TFV224" s="76"/>
      <c r="TFW224" s="76"/>
      <c r="TFX224" s="76"/>
      <c r="TFY224" s="76"/>
      <c r="TFZ224" s="76"/>
      <c r="TGA224" s="76"/>
      <c r="TGB224" s="76"/>
      <c r="TGC224" s="76"/>
      <c r="TGD224" s="76"/>
      <c r="TGE224" s="76"/>
      <c r="TGF224" s="76"/>
      <c r="TGG224" s="76"/>
      <c r="TGH224" s="76"/>
      <c r="TGI224" s="76"/>
      <c r="TGJ224" s="76"/>
      <c r="TGK224" s="76"/>
      <c r="TGL224" s="76"/>
      <c r="TGM224" s="76"/>
      <c r="TGN224" s="76"/>
      <c r="TGO224" s="76"/>
      <c r="TGP224" s="76"/>
      <c r="TGQ224" s="76"/>
      <c r="TGR224" s="76"/>
      <c r="TGS224" s="76"/>
      <c r="TGT224" s="76"/>
      <c r="TGU224" s="76"/>
      <c r="TGV224" s="76"/>
      <c r="TGW224" s="76"/>
      <c r="TGX224" s="76"/>
      <c r="TGY224" s="76"/>
      <c r="TGZ224" s="76"/>
      <c r="THA224" s="76"/>
      <c r="THB224" s="76"/>
      <c r="THC224" s="76"/>
      <c r="THD224" s="76"/>
      <c r="THE224" s="76"/>
      <c r="THF224" s="76"/>
      <c r="THG224" s="76"/>
      <c r="THH224" s="76"/>
      <c r="THI224" s="76"/>
      <c r="THJ224" s="76"/>
      <c r="THK224" s="76"/>
      <c r="THL224" s="76"/>
      <c r="THM224" s="76"/>
      <c r="THN224" s="76"/>
      <c r="THO224" s="76"/>
      <c r="THP224" s="76"/>
      <c r="THQ224" s="76"/>
      <c r="THR224" s="76"/>
      <c r="THS224" s="76"/>
      <c r="THT224" s="76"/>
      <c r="THU224" s="76"/>
      <c r="THV224" s="76"/>
      <c r="THW224" s="76"/>
      <c r="THX224" s="76"/>
      <c r="THY224" s="76"/>
      <c r="THZ224" s="76"/>
      <c r="TIA224" s="76"/>
      <c r="TIB224" s="76"/>
      <c r="TIC224" s="76"/>
      <c r="TID224" s="76"/>
      <c r="TIE224" s="76"/>
      <c r="TIF224" s="76"/>
      <c r="TIG224" s="76"/>
      <c r="TIH224" s="76"/>
      <c r="TII224" s="76"/>
      <c r="TIJ224" s="76"/>
      <c r="TIK224" s="76"/>
      <c r="TIL224" s="76"/>
      <c r="TIM224" s="76"/>
      <c r="TIN224" s="76"/>
      <c r="TIO224" s="76"/>
      <c r="TIP224" s="76"/>
      <c r="TIQ224" s="76"/>
      <c r="TIR224" s="76"/>
      <c r="TIS224" s="76"/>
      <c r="TIT224" s="76"/>
      <c r="TIU224" s="76"/>
      <c r="TIV224" s="76"/>
      <c r="TIW224" s="76"/>
      <c r="TIX224" s="76"/>
      <c r="TIY224" s="76"/>
      <c r="TIZ224" s="76"/>
      <c r="TJA224" s="76"/>
      <c r="TJB224" s="76"/>
      <c r="TJC224" s="76"/>
      <c r="TJD224" s="76"/>
      <c r="TJE224" s="76"/>
      <c r="TJF224" s="76"/>
      <c r="TJG224" s="76"/>
      <c r="TJH224" s="76"/>
      <c r="TJI224" s="76"/>
      <c r="TJJ224" s="76"/>
      <c r="TJK224" s="76"/>
      <c r="TJL224" s="76"/>
      <c r="TJM224" s="76"/>
      <c r="TJN224" s="76"/>
      <c r="TJO224" s="76"/>
      <c r="TJP224" s="76"/>
      <c r="TJQ224" s="76"/>
      <c r="TJR224" s="76"/>
      <c r="TJS224" s="76"/>
      <c r="TJT224" s="76"/>
      <c r="TJU224" s="76"/>
      <c r="TJV224" s="76"/>
      <c r="TJW224" s="76"/>
      <c r="TJX224" s="76"/>
      <c r="TJY224" s="76"/>
      <c r="TJZ224" s="76"/>
      <c r="TKA224" s="76"/>
      <c r="TKB224" s="76"/>
      <c r="TKC224" s="76"/>
      <c r="TKD224" s="76"/>
      <c r="TKE224" s="76"/>
      <c r="TKF224" s="76"/>
      <c r="TKG224" s="76"/>
      <c r="TKH224" s="76"/>
      <c r="TKI224" s="76"/>
      <c r="TKJ224" s="76"/>
      <c r="TKK224" s="76"/>
      <c r="TKL224" s="76"/>
      <c r="TKM224" s="76"/>
      <c r="TKN224" s="76"/>
      <c r="TKO224" s="76"/>
      <c r="TKP224" s="76"/>
      <c r="TKQ224" s="76"/>
      <c r="TKR224" s="76"/>
      <c r="TKS224" s="76"/>
      <c r="TKT224" s="76"/>
      <c r="TKU224" s="76"/>
      <c r="TKV224" s="76"/>
      <c r="TKW224" s="76"/>
      <c r="TKX224" s="76"/>
      <c r="TKY224" s="76"/>
      <c r="TKZ224" s="76"/>
      <c r="TLA224" s="76"/>
      <c r="TLB224" s="76"/>
      <c r="TLC224" s="76"/>
      <c r="TLD224" s="76"/>
      <c r="TLE224" s="76"/>
      <c r="TLF224" s="76"/>
      <c r="TLG224" s="76"/>
      <c r="TLH224" s="76"/>
      <c r="TLI224" s="76"/>
      <c r="TLJ224" s="76"/>
      <c r="TLK224" s="76"/>
      <c r="TLL224" s="76"/>
      <c r="TLM224" s="76"/>
      <c r="TLN224" s="76"/>
      <c r="TLO224" s="76"/>
      <c r="TLP224" s="76"/>
      <c r="TLQ224" s="76"/>
      <c r="TLR224" s="76"/>
      <c r="TLS224" s="76"/>
      <c r="TLT224" s="76"/>
      <c r="TLU224" s="76"/>
      <c r="TLV224" s="76"/>
      <c r="TLW224" s="76"/>
      <c r="TLX224" s="76"/>
      <c r="TLY224" s="76"/>
      <c r="TLZ224" s="76"/>
      <c r="TMA224" s="76"/>
      <c r="TMB224" s="76"/>
      <c r="TMC224" s="76"/>
      <c r="TMD224" s="76"/>
      <c r="TME224" s="76"/>
      <c r="TMF224" s="76"/>
      <c r="TMG224" s="76"/>
      <c r="TMH224" s="76"/>
      <c r="TMI224" s="76"/>
      <c r="TMJ224" s="76"/>
      <c r="TMK224" s="76"/>
      <c r="TML224" s="76"/>
      <c r="TMM224" s="76"/>
      <c r="TMN224" s="76"/>
      <c r="TMO224" s="76"/>
      <c r="TMP224" s="76"/>
      <c r="TMQ224" s="76"/>
      <c r="TMR224" s="76"/>
      <c r="TMS224" s="76"/>
      <c r="TMT224" s="76"/>
      <c r="TMU224" s="76"/>
      <c r="TMV224" s="76"/>
      <c r="TMW224" s="76"/>
      <c r="TMX224" s="76"/>
      <c r="TMY224" s="76"/>
      <c r="TMZ224" s="76"/>
      <c r="TNA224" s="76"/>
      <c r="TNB224" s="76"/>
      <c r="TNC224" s="76"/>
      <c r="TND224" s="76"/>
      <c r="TNE224" s="76"/>
      <c r="TNF224" s="76"/>
      <c r="TNG224" s="76"/>
      <c r="TNH224" s="76"/>
      <c r="TNI224" s="76"/>
      <c r="TNJ224" s="76"/>
      <c r="TNK224" s="76"/>
      <c r="TNL224" s="76"/>
      <c r="TNM224" s="76"/>
      <c r="TNN224" s="76"/>
      <c r="TNO224" s="76"/>
      <c r="TNP224" s="76"/>
      <c r="TNQ224" s="76"/>
      <c r="TNR224" s="76"/>
      <c r="TNS224" s="76"/>
      <c r="TNT224" s="76"/>
      <c r="TNU224" s="76"/>
      <c r="TNV224" s="76"/>
      <c r="TNW224" s="76"/>
      <c r="TNX224" s="76"/>
      <c r="TNY224" s="76"/>
      <c r="TNZ224" s="76"/>
      <c r="TOA224" s="76"/>
      <c r="TOB224" s="76"/>
      <c r="TOC224" s="76"/>
      <c r="TOD224" s="76"/>
      <c r="TOE224" s="76"/>
      <c r="TOF224" s="76"/>
      <c r="TOG224" s="76"/>
      <c r="TOH224" s="76"/>
      <c r="TOI224" s="76"/>
      <c r="TOJ224" s="76"/>
      <c r="TOK224" s="76"/>
      <c r="TOL224" s="76"/>
      <c r="TOM224" s="76"/>
      <c r="TON224" s="76"/>
      <c r="TOO224" s="76"/>
      <c r="TOP224" s="76"/>
      <c r="TOQ224" s="76"/>
      <c r="TOR224" s="76"/>
      <c r="TOS224" s="76"/>
      <c r="TOT224" s="76"/>
      <c r="TOU224" s="76"/>
      <c r="TOV224" s="76"/>
      <c r="TOW224" s="76"/>
      <c r="TOX224" s="76"/>
      <c r="TOY224" s="76"/>
      <c r="TOZ224" s="76"/>
      <c r="TPA224" s="76"/>
      <c r="TPB224" s="76"/>
      <c r="TPC224" s="76"/>
      <c r="TPD224" s="76"/>
      <c r="TPE224" s="76"/>
      <c r="TPF224" s="76"/>
      <c r="TPG224" s="76"/>
      <c r="TPH224" s="76"/>
      <c r="TPI224" s="76"/>
      <c r="TPJ224" s="76"/>
      <c r="TPK224" s="76"/>
      <c r="TPL224" s="76"/>
      <c r="TPM224" s="76"/>
      <c r="TPN224" s="76"/>
      <c r="TPO224" s="76"/>
      <c r="TPP224" s="76"/>
      <c r="TPQ224" s="76"/>
      <c r="TPR224" s="76"/>
      <c r="TPS224" s="76"/>
      <c r="TPT224" s="76"/>
      <c r="TPU224" s="76"/>
      <c r="TPV224" s="76"/>
      <c r="TPW224" s="76"/>
      <c r="TPX224" s="76"/>
      <c r="TPY224" s="76"/>
      <c r="TPZ224" s="76"/>
      <c r="TQA224" s="76"/>
      <c r="TQB224" s="76"/>
      <c r="TQC224" s="76"/>
      <c r="TQD224" s="76"/>
      <c r="TQE224" s="76"/>
      <c r="TQF224" s="76"/>
      <c r="TQG224" s="76"/>
      <c r="TQH224" s="76"/>
      <c r="TQI224" s="76"/>
      <c r="TQJ224" s="76"/>
      <c r="TQK224" s="76"/>
      <c r="TQL224" s="76"/>
      <c r="TQM224" s="76"/>
      <c r="TQN224" s="76"/>
      <c r="TQO224" s="76"/>
      <c r="TQP224" s="76"/>
      <c r="TQQ224" s="76"/>
      <c r="TQR224" s="76"/>
      <c r="TQS224" s="76"/>
      <c r="TQT224" s="76"/>
      <c r="TQU224" s="76"/>
      <c r="TQV224" s="76"/>
      <c r="TQW224" s="76"/>
      <c r="TQX224" s="76"/>
      <c r="TQY224" s="76"/>
      <c r="TQZ224" s="76"/>
      <c r="TRA224" s="76"/>
      <c r="TRB224" s="76"/>
      <c r="TRC224" s="76"/>
      <c r="TRD224" s="76"/>
      <c r="TRE224" s="76"/>
      <c r="TRF224" s="76"/>
      <c r="TRG224" s="76"/>
      <c r="TRH224" s="76"/>
      <c r="TRI224" s="76"/>
      <c r="TRJ224" s="76"/>
      <c r="TRK224" s="76"/>
      <c r="TRL224" s="76"/>
      <c r="TRM224" s="76"/>
      <c r="TRN224" s="76"/>
      <c r="TRO224" s="76"/>
      <c r="TRP224" s="76"/>
      <c r="TRQ224" s="76"/>
      <c r="TRR224" s="76"/>
      <c r="TRS224" s="76"/>
      <c r="TRT224" s="76"/>
      <c r="TRU224" s="76"/>
      <c r="TRV224" s="76"/>
      <c r="TRW224" s="76"/>
      <c r="TRX224" s="76"/>
      <c r="TRY224" s="76"/>
      <c r="TRZ224" s="76"/>
      <c r="TSA224" s="76"/>
      <c r="TSB224" s="76"/>
      <c r="TSC224" s="76"/>
      <c r="TSD224" s="76"/>
      <c r="TSE224" s="76"/>
      <c r="TSF224" s="76"/>
      <c r="TSG224" s="76"/>
      <c r="TSH224" s="76"/>
      <c r="TSI224" s="76"/>
      <c r="TSJ224" s="76"/>
      <c r="TSK224" s="76"/>
      <c r="TSL224" s="76"/>
      <c r="TSM224" s="76"/>
      <c r="TSN224" s="76"/>
      <c r="TSO224" s="76"/>
      <c r="TSP224" s="76"/>
      <c r="TSQ224" s="76"/>
      <c r="TSR224" s="76"/>
      <c r="TSS224" s="76"/>
      <c r="TST224" s="76"/>
      <c r="TSU224" s="76"/>
      <c r="TSV224" s="76"/>
      <c r="TSW224" s="76"/>
      <c r="TSX224" s="76"/>
      <c r="TSY224" s="76"/>
      <c r="TSZ224" s="76"/>
      <c r="TTA224" s="76"/>
      <c r="TTB224" s="76"/>
      <c r="TTC224" s="76"/>
      <c r="TTD224" s="76"/>
      <c r="TTE224" s="76"/>
      <c r="TTF224" s="76"/>
      <c r="TTG224" s="76"/>
      <c r="TTH224" s="76"/>
      <c r="TTI224" s="76"/>
      <c r="TTJ224" s="76"/>
      <c r="TTK224" s="76"/>
      <c r="TTL224" s="76"/>
      <c r="TTM224" s="76"/>
      <c r="TTN224" s="76"/>
      <c r="TTO224" s="76"/>
      <c r="TTP224" s="76"/>
      <c r="TTQ224" s="76"/>
      <c r="TTR224" s="76"/>
      <c r="TTS224" s="76"/>
      <c r="TTT224" s="76"/>
      <c r="TTU224" s="76"/>
      <c r="TTV224" s="76"/>
      <c r="TTW224" s="76"/>
      <c r="TTX224" s="76"/>
      <c r="TTY224" s="76"/>
      <c r="TTZ224" s="76"/>
      <c r="TUA224" s="76"/>
      <c r="TUB224" s="76"/>
      <c r="TUC224" s="76"/>
      <c r="TUD224" s="76"/>
      <c r="TUE224" s="76"/>
      <c r="TUF224" s="76"/>
      <c r="TUG224" s="76"/>
      <c r="TUH224" s="76"/>
      <c r="TUI224" s="76"/>
      <c r="TUJ224" s="76"/>
      <c r="TUK224" s="76"/>
      <c r="TUL224" s="76"/>
      <c r="TUM224" s="76"/>
      <c r="TUN224" s="76"/>
      <c r="TUO224" s="76"/>
      <c r="TUP224" s="76"/>
      <c r="TUQ224" s="76"/>
      <c r="TUR224" s="76"/>
      <c r="TUS224" s="76"/>
      <c r="TUT224" s="76"/>
      <c r="TUU224" s="76"/>
      <c r="TUV224" s="76"/>
      <c r="TUW224" s="76"/>
      <c r="TUX224" s="76"/>
      <c r="TUY224" s="76"/>
      <c r="TUZ224" s="76"/>
      <c r="TVA224" s="76"/>
      <c r="TVB224" s="76"/>
      <c r="TVC224" s="76"/>
      <c r="TVD224" s="76"/>
      <c r="TVE224" s="76"/>
      <c r="TVF224" s="76"/>
      <c r="TVG224" s="76"/>
      <c r="TVH224" s="76"/>
      <c r="TVI224" s="76"/>
      <c r="TVJ224" s="76"/>
      <c r="TVK224" s="76"/>
      <c r="TVL224" s="76"/>
      <c r="TVM224" s="76"/>
      <c r="TVN224" s="76"/>
      <c r="TVO224" s="76"/>
      <c r="TVP224" s="76"/>
      <c r="TVQ224" s="76"/>
      <c r="TVR224" s="76"/>
      <c r="TVS224" s="76"/>
      <c r="TVT224" s="76"/>
      <c r="TVU224" s="76"/>
      <c r="TVV224" s="76"/>
      <c r="TVW224" s="76"/>
      <c r="TVX224" s="76"/>
      <c r="TVY224" s="76"/>
      <c r="TVZ224" s="76"/>
      <c r="TWA224" s="76"/>
      <c r="TWB224" s="76"/>
      <c r="TWC224" s="76"/>
      <c r="TWD224" s="76"/>
      <c r="TWE224" s="76"/>
      <c r="TWF224" s="76"/>
      <c r="TWG224" s="76"/>
      <c r="TWH224" s="76"/>
      <c r="TWI224" s="76"/>
      <c r="TWJ224" s="76"/>
      <c r="TWK224" s="76"/>
      <c r="TWL224" s="76"/>
      <c r="TWM224" s="76"/>
      <c r="TWN224" s="76"/>
      <c r="TWO224" s="76"/>
      <c r="TWP224" s="76"/>
      <c r="TWQ224" s="76"/>
      <c r="TWR224" s="76"/>
      <c r="TWS224" s="76"/>
      <c r="TWT224" s="76"/>
      <c r="TWU224" s="76"/>
      <c r="TWV224" s="76"/>
      <c r="TWW224" s="76"/>
      <c r="TWX224" s="76"/>
      <c r="TWY224" s="76"/>
      <c r="TWZ224" s="76"/>
      <c r="TXA224" s="76"/>
      <c r="TXB224" s="76"/>
      <c r="TXC224" s="76"/>
      <c r="TXD224" s="76"/>
      <c r="TXE224" s="76"/>
      <c r="TXF224" s="76"/>
      <c r="TXG224" s="76"/>
      <c r="TXH224" s="76"/>
      <c r="TXI224" s="76"/>
      <c r="TXJ224" s="76"/>
      <c r="TXK224" s="76"/>
      <c r="TXL224" s="76"/>
      <c r="TXM224" s="76"/>
      <c r="TXN224" s="76"/>
      <c r="TXO224" s="76"/>
      <c r="TXP224" s="76"/>
      <c r="TXQ224" s="76"/>
      <c r="TXR224" s="76"/>
      <c r="TXS224" s="76"/>
      <c r="TXT224" s="76"/>
      <c r="TXU224" s="76"/>
      <c r="TXV224" s="76"/>
      <c r="TXW224" s="76"/>
      <c r="TXX224" s="76"/>
      <c r="TXY224" s="76"/>
      <c r="TXZ224" s="76"/>
      <c r="TYA224" s="76"/>
      <c r="TYB224" s="76"/>
      <c r="TYC224" s="76"/>
      <c r="TYD224" s="76"/>
      <c r="TYE224" s="76"/>
      <c r="TYF224" s="76"/>
      <c r="TYG224" s="76"/>
      <c r="TYH224" s="76"/>
      <c r="TYI224" s="76"/>
      <c r="TYJ224" s="76"/>
      <c r="TYK224" s="76"/>
      <c r="TYL224" s="76"/>
      <c r="TYM224" s="76"/>
      <c r="TYN224" s="76"/>
      <c r="TYO224" s="76"/>
      <c r="TYP224" s="76"/>
      <c r="TYQ224" s="76"/>
      <c r="TYR224" s="76"/>
      <c r="TYS224" s="76"/>
      <c r="TYT224" s="76"/>
      <c r="TYU224" s="76"/>
      <c r="TYV224" s="76"/>
      <c r="TYW224" s="76"/>
      <c r="TYX224" s="76"/>
      <c r="TYY224" s="76"/>
      <c r="TYZ224" s="76"/>
      <c r="TZA224" s="76"/>
      <c r="TZB224" s="76"/>
      <c r="TZC224" s="76"/>
      <c r="TZD224" s="76"/>
      <c r="TZE224" s="76"/>
      <c r="TZF224" s="76"/>
      <c r="TZG224" s="76"/>
      <c r="TZH224" s="76"/>
      <c r="TZI224" s="76"/>
      <c r="TZJ224" s="76"/>
      <c r="TZK224" s="76"/>
      <c r="TZL224" s="76"/>
      <c r="TZM224" s="76"/>
      <c r="TZN224" s="76"/>
      <c r="TZO224" s="76"/>
      <c r="TZP224" s="76"/>
      <c r="TZQ224" s="76"/>
      <c r="TZR224" s="76"/>
      <c r="TZS224" s="76"/>
      <c r="TZT224" s="76"/>
      <c r="TZU224" s="76"/>
      <c r="TZV224" s="76"/>
      <c r="TZW224" s="76"/>
      <c r="TZX224" s="76"/>
      <c r="TZY224" s="76"/>
      <c r="TZZ224" s="76"/>
      <c r="UAA224" s="76"/>
      <c r="UAB224" s="76"/>
      <c r="UAC224" s="76"/>
      <c r="UAD224" s="76"/>
      <c r="UAE224" s="76"/>
      <c r="UAF224" s="76"/>
      <c r="UAG224" s="76"/>
      <c r="UAH224" s="76"/>
      <c r="UAI224" s="76"/>
      <c r="UAJ224" s="76"/>
      <c r="UAK224" s="76"/>
      <c r="UAL224" s="76"/>
      <c r="UAM224" s="76"/>
      <c r="UAN224" s="76"/>
      <c r="UAO224" s="76"/>
      <c r="UAP224" s="76"/>
      <c r="UAQ224" s="76"/>
      <c r="UAR224" s="76"/>
      <c r="UAS224" s="76"/>
      <c r="UAT224" s="76"/>
      <c r="UAU224" s="76"/>
      <c r="UAV224" s="76"/>
      <c r="UAW224" s="76"/>
      <c r="UAX224" s="76"/>
      <c r="UAY224" s="76"/>
      <c r="UAZ224" s="76"/>
      <c r="UBA224" s="76"/>
      <c r="UBB224" s="76"/>
      <c r="UBC224" s="76"/>
      <c r="UBD224" s="76"/>
      <c r="UBE224" s="76"/>
      <c r="UBF224" s="76"/>
      <c r="UBG224" s="76"/>
      <c r="UBH224" s="76"/>
      <c r="UBI224" s="76"/>
      <c r="UBJ224" s="76"/>
      <c r="UBK224" s="76"/>
      <c r="UBL224" s="76"/>
      <c r="UBM224" s="76"/>
      <c r="UBN224" s="76"/>
      <c r="UBO224" s="76"/>
      <c r="UBP224" s="76"/>
      <c r="UBQ224" s="76"/>
      <c r="UBR224" s="76"/>
      <c r="UBS224" s="76"/>
      <c r="UBT224" s="76"/>
      <c r="UBU224" s="76"/>
      <c r="UBV224" s="76"/>
      <c r="UBW224" s="76"/>
      <c r="UBX224" s="76"/>
      <c r="UBY224" s="76"/>
      <c r="UBZ224" s="76"/>
      <c r="UCA224" s="76"/>
      <c r="UCB224" s="76"/>
      <c r="UCC224" s="76"/>
      <c r="UCD224" s="76"/>
      <c r="UCE224" s="76"/>
      <c r="UCF224" s="76"/>
      <c r="UCG224" s="76"/>
      <c r="UCH224" s="76"/>
      <c r="UCI224" s="76"/>
      <c r="UCJ224" s="76"/>
      <c r="UCK224" s="76"/>
      <c r="UCL224" s="76"/>
      <c r="UCM224" s="76"/>
      <c r="UCN224" s="76"/>
      <c r="UCO224" s="76"/>
      <c r="UCP224" s="76"/>
      <c r="UCQ224" s="76"/>
      <c r="UCR224" s="76"/>
      <c r="UCS224" s="76"/>
      <c r="UCT224" s="76"/>
      <c r="UCU224" s="76"/>
      <c r="UCV224" s="76"/>
      <c r="UCW224" s="76"/>
      <c r="UCX224" s="76"/>
      <c r="UCY224" s="76"/>
      <c r="UCZ224" s="76"/>
      <c r="UDA224" s="76"/>
      <c r="UDB224" s="76"/>
      <c r="UDC224" s="76"/>
      <c r="UDD224" s="76"/>
      <c r="UDE224" s="76"/>
      <c r="UDF224" s="76"/>
      <c r="UDG224" s="76"/>
      <c r="UDH224" s="76"/>
      <c r="UDI224" s="76"/>
      <c r="UDJ224" s="76"/>
      <c r="UDK224" s="76"/>
      <c r="UDL224" s="76"/>
      <c r="UDM224" s="76"/>
      <c r="UDN224" s="76"/>
      <c r="UDO224" s="76"/>
      <c r="UDP224" s="76"/>
      <c r="UDQ224" s="76"/>
      <c r="UDR224" s="76"/>
      <c r="UDS224" s="76"/>
      <c r="UDT224" s="76"/>
      <c r="UDU224" s="76"/>
      <c r="UDV224" s="76"/>
      <c r="UDW224" s="76"/>
      <c r="UDX224" s="76"/>
      <c r="UDY224" s="76"/>
      <c r="UDZ224" s="76"/>
      <c r="UEA224" s="76"/>
      <c r="UEB224" s="76"/>
      <c r="UEC224" s="76"/>
      <c r="UED224" s="76"/>
      <c r="UEE224" s="76"/>
      <c r="UEF224" s="76"/>
      <c r="UEG224" s="76"/>
      <c r="UEH224" s="76"/>
      <c r="UEI224" s="76"/>
      <c r="UEJ224" s="76"/>
      <c r="UEK224" s="76"/>
      <c r="UEL224" s="76"/>
      <c r="UEM224" s="76"/>
      <c r="UEN224" s="76"/>
      <c r="UEO224" s="76"/>
      <c r="UEP224" s="76"/>
      <c r="UEQ224" s="76"/>
      <c r="UER224" s="76"/>
      <c r="UES224" s="76"/>
      <c r="UET224" s="76"/>
      <c r="UEU224" s="76"/>
      <c r="UEV224" s="76"/>
      <c r="UEW224" s="76"/>
      <c r="UEX224" s="76"/>
      <c r="UEY224" s="76"/>
      <c r="UEZ224" s="76"/>
      <c r="UFA224" s="76"/>
      <c r="UFB224" s="76"/>
      <c r="UFC224" s="76"/>
      <c r="UFD224" s="76"/>
      <c r="UFE224" s="76"/>
      <c r="UFF224" s="76"/>
      <c r="UFG224" s="76"/>
      <c r="UFH224" s="76"/>
      <c r="UFI224" s="76"/>
      <c r="UFJ224" s="76"/>
      <c r="UFK224" s="76"/>
      <c r="UFL224" s="76"/>
      <c r="UFM224" s="76"/>
      <c r="UFN224" s="76"/>
      <c r="UFO224" s="76"/>
      <c r="UFP224" s="76"/>
      <c r="UFQ224" s="76"/>
      <c r="UFR224" s="76"/>
      <c r="UFS224" s="76"/>
      <c r="UFT224" s="76"/>
      <c r="UFU224" s="76"/>
      <c r="UFV224" s="76"/>
      <c r="UFW224" s="76"/>
      <c r="UFX224" s="76"/>
      <c r="UFY224" s="76"/>
      <c r="UFZ224" s="76"/>
      <c r="UGA224" s="76"/>
      <c r="UGB224" s="76"/>
      <c r="UGC224" s="76"/>
      <c r="UGD224" s="76"/>
      <c r="UGE224" s="76"/>
      <c r="UGF224" s="76"/>
      <c r="UGG224" s="76"/>
      <c r="UGH224" s="76"/>
      <c r="UGI224" s="76"/>
      <c r="UGJ224" s="76"/>
      <c r="UGK224" s="76"/>
      <c r="UGL224" s="76"/>
      <c r="UGM224" s="76"/>
      <c r="UGN224" s="76"/>
      <c r="UGO224" s="76"/>
      <c r="UGP224" s="76"/>
      <c r="UGQ224" s="76"/>
      <c r="UGR224" s="76"/>
      <c r="UGS224" s="76"/>
      <c r="UGT224" s="76"/>
      <c r="UGU224" s="76"/>
      <c r="UGV224" s="76"/>
      <c r="UGW224" s="76"/>
      <c r="UGX224" s="76"/>
      <c r="UGY224" s="76"/>
      <c r="UGZ224" s="76"/>
      <c r="UHA224" s="76"/>
      <c r="UHB224" s="76"/>
      <c r="UHC224" s="76"/>
      <c r="UHD224" s="76"/>
      <c r="UHE224" s="76"/>
      <c r="UHF224" s="76"/>
      <c r="UHG224" s="76"/>
      <c r="UHH224" s="76"/>
      <c r="UHI224" s="76"/>
      <c r="UHJ224" s="76"/>
      <c r="UHK224" s="76"/>
      <c r="UHL224" s="76"/>
      <c r="UHM224" s="76"/>
      <c r="UHN224" s="76"/>
      <c r="UHO224" s="76"/>
      <c r="UHP224" s="76"/>
      <c r="UHQ224" s="76"/>
      <c r="UHR224" s="76"/>
      <c r="UHS224" s="76"/>
      <c r="UHT224" s="76"/>
      <c r="UHU224" s="76"/>
      <c r="UHV224" s="76"/>
      <c r="UHW224" s="76"/>
      <c r="UHX224" s="76"/>
      <c r="UHY224" s="76"/>
      <c r="UHZ224" s="76"/>
      <c r="UIA224" s="76"/>
      <c r="UIB224" s="76"/>
      <c r="UIC224" s="76"/>
      <c r="UID224" s="76"/>
      <c r="UIE224" s="76"/>
      <c r="UIF224" s="76"/>
      <c r="UIG224" s="76"/>
      <c r="UIH224" s="76"/>
      <c r="UII224" s="76"/>
      <c r="UIJ224" s="76"/>
      <c r="UIK224" s="76"/>
      <c r="UIL224" s="76"/>
      <c r="UIM224" s="76"/>
      <c r="UIN224" s="76"/>
      <c r="UIO224" s="76"/>
      <c r="UIP224" s="76"/>
      <c r="UIQ224" s="76"/>
      <c r="UIR224" s="76"/>
      <c r="UIS224" s="76"/>
      <c r="UIT224" s="76"/>
      <c r="UIU224" s="76"/>
      <c r="UIV224" s="76"/>
      <c r="UIW224" s="76"/>
      <c r="UIX224" s="76"/>
      <c r="UIY224" s="76"/>
      <c r="UIZ224" s="76"/>
      <c r="UJA224" s="76"/>
      <c r="UJB224" s="76"/>
      <c r="UJC224" s="76"/>
      <c r="UJD224" s="76"/>
      <c r="UJE224" s="76"/>
      <c r="UJF224" s="76"/>
      <c r="UJG224" s="76"/>
      <c r="UJH224" s="76"/>
      <c r="UJI224" s="76"/>
      <c r="UJJ224" s="76"/>
      <c r="UJK224" s="76"/>
      <c r="UJL224" s="76"/>
      <c r="UJM224" s="76"/>
      <c r="UJN224" s="76"/>
      <c r="UJO224" s="76"/>
      <c r="UJP224" s="76"/>
      <c r="UJQ224" s="76"/>
      <c r="UJR224" s="76"/>
      <c r="UJS224" s="76"/>
      <c r="UJT224" s="76"/>
      <c r="UJU224" s="76"/>
      <c r="UJV224" s="76"/>
      <c r="UJW224" s="76"/>
      <c r="UJX224" s="76"/>
      <c r="UJY224" s="76"/>
      <c r="UJZ224" s="76"/>
      <c r="UKA224" s="76"/>
      <c r="UKB224" s="76"/>
      <c r="UKC224" s="76"/>
      <c r="UKD224" s="76"/>
      <c r="UKE224" s="76"/>
      <c r="UKF224" s="76"/>
      <c r="UKG224" s="76"/>
      <c r="UKH224" s="76"/>
      <c r="UKI224" s="76"/>
      <c r="UKJ224" s="76"/>
      <c r="UKK224" s="76"/>
      <c r="UKL224" s="76"/>
      <c r="UKM224" s="76"/>
      <c r="UKN224" s="76"/>
      <c r="UKO224" s="76"/>
      <c r="UKP224" s="76"/>
      <c r="UKQ224" s="76"/>
      <c r="UKR224" s="76"/>
      <c r="UKS224" s="76"/>
      <c r="UKT224" s="76"/>
      <c r="UKU224" s="76"/>
      <c r="UKV224" s="76"/>
      <c r="UKW224" s="76"/>
      <c r="UKX224" s="76"/>
      <c r="UKY224" s="76"/>
      <c r="UKZ224" s="76"/>
      <c r="ULA224" s="76"/>
      <c r="ULB224" s="76"/>
      <c r="ULC224" s="76"/>
      <c r="ULD224" s="76"/>
      <c r="ULE224" s="76"/>
      <c r="ULF224" s="76"/>
      <c r="ULG224" s="76"/>
      <c r="ULH224" s="76"/>
      <c r="ULI224" s="76"/>
      <c r="ULJ224" s="76"/>
      <c r="ULK224" s="76"/>
      <c r="ULL224" s="76"/>
      <c r="ULM224" s="76"/>
      <c r="ULN224" s="76"/>
      <c r="ULO224" s="76"/>
      <c r="ULP224" s="76"/>
      <c r="ULQ224" s="76"/>
      <c r="ULR224" s="76"/>
      <c r="ULS224" s="76"/>
      <c r="ULT224" s="76"/>
      <c r="ULU224" s="76"/>
      <c r="ULV224" s="76"/>
      <c r="ULW224" s="76"/>
      <c r="ULX224" s="76"/>
      <c r="ULY224" s="76"/>
      <c r="ULZ224" s="76"/>
      <c r="UMA224" s="76"/>
      <c r="UMB224" s="76"/>
      <c r="UMC224" s="76"/>
      <c r="UMD224" s="76"/>
      <c r="UME224" s="76"/>
      <c r="UMF224" s="76"/>
      <c r="UMG224" s="76"/>
      <c r="UMH224" s="76"/>
      <c r="UMI224" s="76"/>
      <c r="UMJ224" s="76"/>
      <c r="UMK224" s="76"/>
      <c r="UML224" s="76"/>
      <c r="UMM224" s="76"/>
      <c r="UMN224" s="76"/>
      <c r="UMO224" s="76"/>
      <c r="UMP224" s="76"/>
      <c r="UMQ224" s="76"/>
      <c r="UMR224" s="76"/>
      <c r="UMS224" s="76"/>
      <c r="UMT224" s="76"/>
      <c r="UMU224" s="76"/>
      <c r="UMV224" s="76"/>
      <c r="UMW224" s="76"/>
      <c r="UMX224" s="76"/>
      <c r="UMY224" s="76"/>
      <c r="UMZ224" s="76"/>
      <c r="UNA224" s="76"/>
      <c r="UNB224" s="76"/>
      <c r="UNC224" s="76"/>
      <c r="UND224" s="76"/>
      <c r="UNE224" s="76"/>
      <c r="UNF224" s="76"/>
      <c r="UNG224" s="76"/>
      <c r="UNH224" s="76"/>
      <c r="UNI224" s="76"/>
      <c r="UNJ224" s="76"/>
      <c r="UNK224" s="76"/>
      <c r="UNL224" s="76"/>
      <c r="UNM224" s="76"/>
      <c r="UNN224" s="76"/>
      <c r="UNO224" s="76"/>
      <c r="UNP224" s="76"/>
      <c r="UNQ224" s="76"/>
      <c r="UNR224" s="76"/>
      <c r="UNS224" s="76"/>
      <c r="UNT224" s="76"/>
      <c r="UNU224" s="76"/>
      <c r="UNV224" s="76"/>
      <c r="UNW224" s="76"/>
      <c r="UNX224" s="76"/>
      <c r="UNY224" s="76"/>
      <c r="UNZ224" s="76"/>
      <c r="UOA224" s="76"/>
      <c r="UOB224" s="76"/>
      <c r="UOC224" s="76"/>
      <c r="UOD224" s="76"/>
      <c r="UOE224" s="76"/>
      <c r="UOF224" s="76"/>
      <c r="UOG224" s="76"/>
      <c r="UOH224" s="76"/>
      <c r="UOI224" s="76"/>
      <c r="UOJ224" s="76"/>
      <c r="UOK224" s="76"/>
      <c r="UOL224" s="76"/>
      <c r="UOM224" s="76"/>
      <c r="UON224" s="76"/>
      <c r="UOO224" s="76"/>
      <c r="UOP224" s="76"/>
      <c r="UOQ224" s="76"/>
      <c r="UOR224" s="76"/>
      <c r="UOS224" s="76"/>
      <c r="UOT224" s="76"/>
      <c r="UOU224" s="76"/>
      <c r="UOV224" s="76"/>
      <c r="UOW224" s="76"/>
      <c r="UOX224" s="76"/>
      <c r="UOY224" s="76"/>
      <c r="UOZ224" s="76"/>
      <c r="UPA224" s="76"/>
      <c r="UPB224" s="76"/>
      <c r="UPC224" s="76"/>
      <c r="UPD224" s="76"/>
      <c r="UPE224" s="76"/>
      <c r="UPF224" s="76"/>
      <c r="UPG224" s="76"/>
      <c r="UPH224" s="76"/>
      <c r="UPI224" s="76"/>
      <c r="UPJ224" s="76"/>
      <c r="UPK224" s="76"/>
      <c r="UPL224" s="76"/>
      <c r="UPM224" s="76"/>
      <c r="UPN224" s="76"/>
      <c r="UPO224" s="76"/>
      <c r="UPP224" s="76"/>
      <c r="UPQ224" s="76"/>
      <c r="UPR224" s="76"/>
      <c r="UPS224" s="76"/>
      <c r="UPT224" s="76"/>
      <c r="UPU224" s="76"/>
      <c r="UPV224" s="76"/>
      <c r="UPW224" s="76"/>
      <c r="UPX224" s="76"/>
      <c r="UPY224" s="76"/>
      <c r="UPZ224" s="76"/>
      <c r="UQA224" s="76"/>
      <c r="UQB224" s="76"/>
      <c r="UQC224" s="76"/>
      <c r="UQD224" s="76"/>
      <c r="UQE224" s="76"/>
      <c r="UQF224" s="76"/>
      <c r="UQG224" s="76"/>
      <c r="UQH224" s="76"/>
      <c r="UQI224" s="76"/>
      <c r="UQJ224" s="76"/>
      <c r="UQK224" s="76"/>
      <c r="UQL224" s="76"/>
      <c r="UQM224" s="76"/>
      <c r="UQN224" s="76"/>
      <c r="UQO224" s="76"/>
      <c r="UQP224" s="76"/>
      <c r="UQQ224" s="76"/>
      <c r="UQR224" s="76"/>
      <c r="UQS224" s="76"/>
      <c r="UQT224" s="76"/>
      <c r="UQU224" s="76"/>
      <c r="UQV224" s="76"/>
      <c r="UQW224" s="76"/>
      <c r="UQX224" s="76"/>
      <c r="UQY224" s="76"/>
      <c r="UQZ224" s="76"/>
      <c r="URA224" s="76"/>
      <c r="URB224" s="76"/>
      <c r="URC224" s="76"/>
      <c r="URD224" s="76"/>
      <c r="URE224" s="76"/>
      <c r="URF224" s="76"/>
      <c r="URG224" s="76"/>
      <c r="URH224" s="76"/>
      <c r="URI224" s="76"/>
      <c r="URJ224" s="76"/>
      <c r="URK224" s="76"/>
      <c r="URL224" s="76"/>
      <c r="URM224" s="76"/>
      <c r="URN224" s="76"/>
      <c r="URO224" s="76"/>
      <c r="URP224" s="76"/>
      <c r="URQ224" s="76"/>
      <c r="URR224" s="76"/>
      <c r="URS224" s="76"/>
      <c r="URT224" s="76"/>
      <c r="URU224" s="76"/>
      <c r="URV224" s="76"/>
      <c r="URW224" s="76"/>
      <c r="URX224" s="76"/>
      <c r="URY224" s="76"/>
      <c r="URZ224" s="76"/>
      <c r="USA224" s="76"/>
      <c r="USB224" s="76"/>
      <c r="USC224" s="76"/>
      <c r="USD224" s="76"/>
      <c r="USE224" s="76"/>
      <c r="USF224" s="76"/>
      <c r="USG224" s="76"/>
      <c r="USH224" s="76"/>
      <c r="USI224" s="76"/>
      <c r="USJ224" s="76"/>
      <c r="USK224" s="76"/>
      <c r="USL224" s="76"/>
      <c r="USM224" s="76"/>
      <c r="USN224" s="76"/>
      <c r="USO224" s="76"/>
      <c r="USP224" s="76"/>
      <c r="USQ224" s="76"/>
      <c r="USR224" s="76"/>
      <c r="USS224" s="76"/>
      <c r="UST224" s="76"/>
      <c r="USU224" s="76"/>
      <c r="USV224" s="76"/>
      <c r="USW224" s="76"/>
      <c r="USX224" s="76"/>
      <c r="USY224" s="76"/>
      <c r="USZ224" s="76"/>
      <c r="UTA224" s="76"/>
      <c r="UTB224" s="76"/>
      <c r="UTC224" s="76"/>
      <c r="UTD224" s="76"/>
      <c r="UTE224" s="76"/>
      <c r="UTF224" s="76"/>
      <c r="UTG224" s="76"/>
      <c r="UTH224" s="76"/>
      <c r="UTI224" s="76"/>
      <c r="UTJ224" s="76"/>
      <c r="UTK224" s="76"/>
      <c r="UTL224" s="76"/>
      <c r="UTM224" s="76"/>
      <c r="UTN224" s="76"/>
      <c r="UTO224" s="76"/>
      <c r="UTP224" s="76"/>
      <c r="UTQ224" s="76"/>
      <c r="UTR224" s="76"/>
      <c r="UTS224" s="76"/>
      <c r="UTT224" s="76"/>
      <c r="UTU224" s="76"/>
      <c r="UTV224" s="76"/>
      <c r="UTW224" s="76"/>
      <c r="UTX224" s="76"/>
      <c r="UTY224" s="76"/>
      <c r="UTZ224" s="76"/>
      <c r="UUA224" s="76"/>
      <c r="UUB224" s="76"/>
      <c r="UUC224" s="76"/>
      <c r="UUD224" s="76"/>
      <c r="UUE224" s="76"/>
      <c r="UUF224" s="76"/>
      <c r="UUG224" s="76"/>
      <c r="UUH224" s="76"/>
      <c r="UUI224" s="76"/>
      <c r="UUJ224" s="76"/>
      <c r="UUK224" s="76"/>
      <c r="UUL224" s="76"/>
      <c r="UUM224" s="76"/>
      <c r="UUN224" s="76"/>
      <c r="UUO224" s="76"/>
      <c r="UUP224" s="76"/>
      <c r="UUQ224" s="76"/>
      <c r="UUR224" s="76"/>
      <c r="UUS224" s="76"/>
      <c r="UUT224" s="76"/>
      <c r="UUU224" s="76"/>
      <c r="UUV224" s="76"/>
      <c r="UUW224" s="76"/>
      <c r="UUX224" s="76"/>
      <c r="UUY224" s="76"/>
      <c r="UUZ224" s="76"/>
      <c r="UVA224" s="76"/>
      <c r="UVB224" s="76"/>
      <c r="UVC224" s="76"/>
      <c r="UVD224" s="76"/>
      <c r="UVE224" s="76"/>
      <c r="UVF224" s="76"/>
      <c r="UVG224" s="76"/>
      <c r="UVH224" s="76"/>
      <c r="UVI224" s="76"/>
      <c r="UVJ224" s="76"/>
      <c r="UVK224" s="76"/>
      <c r="UVL224" s="76"/>
      <c r="UVM224" s="76"/>
      <c r="UVN224" s="76"/>
      <c r="UVO224" s="76"/>
      <c r="UVP224" s="76"/>
      <c r="UVQ224" s="76"/>
      <c r="UVR224" s="76"/>
      <c r="UVS224" s="76"/>
      <c r="UVT224" s="76"/>
      <c r="UVU224" s="76"/>
      <c r="UVV224" s="76"/>
      <c r="UVW224" s="76"/>
      <c r="UVX224" s="76"/>
      <c r="UVY224" s="76"/>
      <c r="UVZ224" s="76"/>
      <c r="UWA224" s="76"/>
      <c r="UWB224" s="76"/>
      <c r="UWC224" s="76"/>
      <c r="UWD224" s="76"/>
      <c r="UWE224" s="76"/>
      <c r="UWF224" s="76"/>
      <c r="UWG224" s="76"/>
      <c r="UWH224" s="76"/>
      <c r="UWI224" s="76"/>
      <c r="UWJ224" s="76"/>
      <c r="UWK224" s="76"/>
      <c r="UWL224" s="76"/>
      <c r="UWM224" s="76"/>
      <c r="UWN224" s="76"/>
      <c r="UWO224" s="76"/>
      <c r="UWP224" s="76"/>
      <c r="UWQ224" s="76"/>
      <c r="UWR224" s="76"/>
      <c r="UWS224" s="76"/>
      <c r="UWT224" s="76"/>
      <c r="UWU224" s="76"/>
      <c r="UWV224" s="76"/>
      <c r="UWW224" s="76"/>
      <c r="UWX224" s="76"/>
      <c r="UWY224" s="76"/>
      <c r="UWZ224" s="76"/>
      <c r="UXA224" s="76"/>
      <c r="UXB224" s="76"/>
      <c r="UXC224" s="76"/>
      <c r="UXD224" s="76"/>
      <c r="UXE224" s="76"/>
      <c r="UXF224" s="76"/>
      <c r="UXG224" s="76"/>
      <c r="UXH224" s="76"/>
      <c r="UXI224" s="76"/>
      <c r="UXJ224" s="76"/>
      <c r="UXK224" s="76"/>
      <c r="UXL224" s="76"/>
      <c r="UXM224" s="76"/>
      <c r="UXN224" s="76"/>
      <c r="UXO224" s="76"/>
      <c r="UXP224" s="76"/>
      <c r="UXQ224" s="76"/>
      <c r="UXR224" s="76"/>
      <c r="UXS224" s="76"/>
      <c r="UXT224" s="76"/>
      <c r="UXU224" s="76"/>
      <c r="UXV224" s="76"/>
      <c r="UXW224" s="76"/>
      <c r="UXX224" s="76"/>
      <c r="UXY224" s="76"/>
      <c r="UXZ224" s="76"/>
      <c r="UYA224" s="76"/>
      <c r="UYB224" s="76"/>
      <c r="UYC224" s="76"/>
      <c r="UYD224" s="76"/>
      <c r="UYE224" s="76"/>
      <c r="UYF224" s="76"/>
      <c r="UYG224" s="76"/>
      <c r="UYH224" s="76"/>
      <c r="UYI224" s="76"/>
      <c r="UYJ224" s="76"/>
      <c r="UYK224" s="76"/>
      <c r="UYL224" s="76"/>
      <c r="UYM224" s="76"/>
      <c r="UYN224" s="76"/>
      <c r="UYO224" s="76"/>
      <c r="UYP224" s="76"/>
      <c r="UYQ224" s="76"/>
      <c r="UYR224" s="76"/>
      <c r="UYS224" s="76"/>
      <c r="UYT224" s="76"/>
      <c r="UYU224" s="76"/>
      <c r="UYV224" s="76"/>
      <c r="UYW224" s="76"/>
      <c r="UYX224" s="76"/>
      <c r="UYY224" s="76"/>
      <c r="UYZ224" s="76"/>
      <c r="UZA224" s="76"/>
      <c r="UZB224" s="76"/>
      <c r="UZC224" s="76"/>
      <c r="UZD224" s="76"/>
      <c r="UZE224" s="76"/>
      <c r="UZF224" s="76"/>
      <c r="UZG224" s="76"/>
      <c r="UZH224" s="76"/>
      <c r="UZI224" s="76"/>
      <c r="UZJ224" s="76"/>
      <c r="UZK224" s="76"/>
      <c r="UZL224" s="76"/>
      <c r="UZM224" s="76"/>
      <c r="UZN224" s="76"/>
      <c r="UZO224" s="76"/>
      <c r="UZP224" s="76"/>
      <c r="UZQ224" s="76"/>
      <c r="UZR224" s="76"/>
      <c r="UZS224" s="76"/>
      <c r="UZT224" s="76"/>
      <c r="UZU224" s="76"/>
      <c r="UZV224" s="76"/>
      <c r="UZW224" s="76"/>
      <c r="UZX224" s="76"/>
      <c r="UZY224" s="76"/>
      <c r="UZZ224" s="76"/>
      <c r="VAA224" s="76"/>
      <c r="VAB224" s="76"/>
      <c r="VAC224" s="76"/>
      <c r="VAD224" s="76"/>
      <c r="VAE224" s="76"/>
      <c r="VAF224" s="76"/>
      <c r="VAG224" s="76"/>
      <c r="VAH224" s="76"/>
      <c r="VAI224" s="76"/>
      <c r="VAJ224" s="76"/>
      <c r="VAK224" s="76"/>
      <c r="VAL224" s="76"/>
      <c r="VAM224" s="76"/>
      <c r="VAN224" s="76"/>
      <c r="VAO224" s="76"/>
      <c r="VAP224" s="76"/>
      <c r="VAQ224" s="76"/>
      <c r="VAR224" s="76"/>
      <c r="VAS224" s="76"/>
      <c r="VAT224" s="76"/>
      <c r="VAU224" s="76"/>
      <c r="VAV224" s="76"/>
      <c r="VAW224" s="76"/>
      <c r="VAX224" s="76"/>
      <c r="VAY224" s="76"/>
      <c r="VAZ224" s="76"/>
      <c r="VBA224" s="76"/>
      <c r="VBB224" s="76"/>
      <c r="VBC224" s="76"/>
      <c r="VBD224" s="76"/>
      <c r="VBE224" s="76"/>
      <c r="VBF224" s="76"/>
      <c r="VBG224" s="76"/>
      <c r="VBH224" s="76"/>
      <c r="VBI224" s="76"/>
      <c r="VBJ224" s="76"/>
      <c r="VBK224" s="76"/>
      <c r="VBL224" s="76"/>
      <c r="VBM224" s="76"/>
      <c r="VBN224" s="76"/>
      <c r="VBO224" s="76"/>
      <c r="VBP224" s="76"/>
      <c r="VBQ224" s="76"/>
      <c r="VBR224" s="76"/>
      <c r="VBS224" s="76"/>
      <c r="VBT224" s="76"/>
      <c r="VBU224" s="76"/>
      <c r="VBV224" s="76"/>
      <c r="VBW224" s="76"/>
      <c r="VBX224" s="76"/>
      <c r="VBY224" s="76"/>
      <c r="VBZ224" s="76"/>
      <c r="VCA224" s="76"/>
      <c r="VCB224" s="76"/>
      <c r="VCC224" s="76"/>
      <c r="VCD224" s="76"/>
      <c r="VCE224" s="76"/>
      <c r="VCF224" s="76"/>
      <c r="VCG224" s="76"/>
      <c r="VCH224" s="76"/>
      <c r="VCI224" s="76"/>
      <c r="VCJ224" s="76"/>
      <c r="VCK224" s="76"/>
      <c r="VCL224" s="76"/>
      <c r="VCM224" s="76"/>
      <c r="VCN224" s="76"/>
      <c r="VCO224" s="76"/>
      <c r="VCP224" s="76"/>
      <c r="VCQ224" s="76"/>
      <c r="VCR224" s="76"/>
      <c r="VCS224" s="76"/>
      <c r="VCT224" s="76"/>
      <c r="VCU224" s="76"/>
      <c r="VCV224" s="76"/>
      <c r="VCW224" s="76"/>
      <c r="VCX224" s="76"/>
      <c r="VCY224" s="76"/>
      <c r="VCZ224" s="76"/>
      <c r="VDA224" s="76"/>
      <c r="VDB224" s="76"/>
      <c r="VDC224" s="76"/>
      <c r="VDD224" s="76"/>
      <c r="VDE224" s="76"/>
      <c r="VDF224" s="76"/>
      <c r="VDG224" s="76"/>
      <c r="VDH224" s="76"/>
      <c r="VDI224" s="76"/>
      <c r="VDJ224" s="76"/>
      <c r="VDK224" s="76"/>
      <c r="VDL224" s="76"/>
      <c r="VDM224" s="76"/>
      <c r="VDN224" s="76"/>
      <c r="VDO224" s="76"/>
      <c r="VDP224" s="76"/>
      <c r="VDQ224" s="76"/>
      <c r="VDR224" s="76"/>
      <c r="VDS224" s="76"/>
      <c r="VDT224" s="76"/>
      <c r="VDU224" s="76"/>
      <c r="VDV224" s="76"/>
      <c r="VDW224" s="76"/>
      <c r="VDX224" s="76"/>
      <c r="VDY224" s="76"/>
      <c r="VDZ224" s="76"/>
      <c r="VEA224" s="76"/>
      <c r="VEB224" s="76"/>
      <c r="VEC224" s="76"/>
      <c r="VED224" s="76"/>
      <c r="VEE224" s="76"/>
      <c r="VEF224" s="76"/>
      <c r="VEG224" s="76"/>
      <c r="VEH224" s="76"/>
      <c r="VEI224" s="76"/>
      <c r="VEJ224" s="76"/>
      <c r="VEK224" s="76"/>
      <c r="VEL224" s="76"/>
      <c r="VEM224" s="76"/>
      <c r="VEN224" s="76"/>
      <c r="VEO224" s="76"/>
      <c r="VEP224" s="76"/>
      <c r="VEQ224" s="76"/>
      <c r="VER224" s="76"/>
      <c r="VES224" s="76"/>
      <c r="VET224" s="76"/>
      <c r="VEU224" s="76"/>
      <c r="VEV224" s="76"/>
      <c r="VEW224" s="76"/>
      <c r="VEX224" s="76"/>
      <c r="VEY224" s="76"/>
      <c r="VEZ224" s="76"/>
      <c r="VFA224" s="76"/>
      <c r="VFB224" s="76"/>
      <c r="VFC224" s="76"/>
      <c r="VFD224" s="76"/>
      <c r="VFE224" s="76"/>
      <c r="VFF224" s="76"/>
      <c r="VFG224" s="76"/>
      <c r="VFH224" s="76"/>
      <c r="VFI224" s="76"/>
      <c r="VFJ224" s="76"/>
      <c r="VFK224" s="76"/>
      <c r="VFL224" s="76"/>
      <c r="VFM224" s="76"/>
      <c r="VFN224" s="76"/>
      <c r="VFO224" s="76"/>
      <c r="VFP224" s="76"/>
      <c r="VFQ224" s="76"/>
      <c r="VFR224" s="76"/>
      <c r="VFS224" s="76"/>
      <c r="VFT224" s="76"/>
      <c r="VFU224" s="76"/>
      <c r="VFV224" s="76"/>
      <c r="VFW224" s="76"/>
      <c r="VFX224" s="76"/>
      <c r="VFY224" s="76"/>
      <c r="VFZ224" s="76"/>
      <c r="VGA224" s="76"/>
      <c r="VGB224" s="76"/>
      <c r="VGC224" s="76"/>
      <c r="VGD224" s="76"/>
      <c r="VGE224" s="76"/>
      <c r="VGF224" s="76"/>
      <c r="VGG224" s="76"/>
      <c r="VGH224" s="76"/>
      <c r="VGI224" s="76"/>
      <c r="VGJ224" s="76"/>
      <c r="VGK224" s="76"/>
      <c r="VGL224" s="76"/>
      <c r="VGM224" s="76"/>
      <c r="VGN224" s="76"/>
      <c r="VGO224" s="76"/>
      <c r="VGP224" s="76"/>
      <c r="VGQ224" s="76"/>
      <c r="VGR224" s="76"/>
      <c r="VGS224" s="76"/>
      <c r="VGT224" s="76"/>
      <c r="VGU224" s="76"/>
      <c r="VGV224" s="76"/>
      <c r="VGW224" s="76"/>
      <c r="VGX224" s="76"/>
      <c r="VGY224" s="76"/>
      <c r="VGZ224" s="76"/>
      <c r="VHA224" s="76"/>
      <c r="VHB224" s="76"/>
      <c r="VHC224" s="76"/>
      <c r="VHD224" s="76"/>
      <c r="VHE224" s="76"/>
      <c r="VHF224" s="76"/>
      <c r="VHG224" s="76"/>
      <c r="VHH224" s="76"/>
      <c r="VHI224" s="76"/>
      <c r="VHJ224" s="76"/>
      <c r="VHK224" s="76"/>
      <c r="VHL224" s="76"/>
      <c r="VHM224" s="76"/>
      <c r="VHN224" s="76"/>
      <c r="VHO224" s="76"/>
      <c r="VHP224" s="76"/>
      <c r="VHQ224" s="76"/>
      <c r="VHR224" s="76"/>
      <c r="VHS224" s="76"/>
      <c r="VHT224" s="76"/>
      <c r="VHU224" s="76"/>
      <c r="VHV224" s="76"/>
      <c r="VHW224" s="76"/>
      <c r="VHX224" s="76"/>
      <c r="VHY224" s="76"/>
      <c r="VHZ224" s="76"/>
      <c r="VIA224" s="76"/>
      <c r="VIB224" s="76"/>
      <c r="VIC224" s="76"/>
      <c r="VID224" s="76"/>
      <c r="VIE224" s="76"/>
      <c r="VIF224" s="76"/>
      <c r="VIG224" s="76"/>
      <c r="VIH224" s="76"/>
      <c r="VII224" s="76"/>
      <c r="VIJ224" s="76"/>
      <c r="VIK224" s="76"/>
      <c r="VIL224" s="76"/>
      <c r="VIM224" s="76"/>
      <c r="VIN224" s="76"/>
      <c r="VIO224" s="76"/>
      <c r="VIP224" s="76"/>
      <c r="VIQ224" s="76"/>
      <c r="VIR224" s="76"/>
      <c r="VIS224" s="76"/>
      <c r="VIT224" s="76"/>
      <c r="VIU224" s="76"/>
      <c r="VIV224" s="76"/>
      <c r="VIW224" s="76"/>
      <c r="VIX224" s="76"/>
      <c r="VIY224" s="76"/>
      <c r="VIZ224" s="76"/>
      <c r="VJA224" s="76"/>
      <c r="VJB224" s="76"/>
      <c r="VJC224" s="76"/>
      <c r="VJD224" s="76"/>
      <c r="VJE224" s="76"/>
      <c r="VJF224" s="76"/>
      <c r="VJG224" s="76"/>
      <c r="VJH224" s="76"/>
      <c r="VJI224" s="76"/>
      <c r="VJJ224" s="76"/>
      <c r="VJK224" s="76"/>
      <c r="VJL224" s="76"/>
      <c r="VJM224" s="76"/>
      <c r="VJN224" s="76"/>
      <c r="VJO224" s="76"/>
      <c r="VJP224" s="76"/>
      <c r="VJQ224" s="76"/>
      <c r="VJR224" s="76"/>
      <c r="VJS224" s="76"/>
      <c r="VJT224" s="76"/>
      <c r="VJU224" s="76"/>
      <c r="VJV224" s="76"/>
      <c r="VJW224" s="76"/>
      <c r="VJX224" s="76"/>
      <c r="VJY224" s="76"/>
      <c r="VJZ224" s="76"/>
      <c r="VKA224" s="76"/>
      <c r="VKB224" s="76"/>
      <c r="VKC224" s="76"/>
      <c r="VKD224" s="76"/>
      <c r="VKE224" s="76"/>
      <c r="VKF224" s="76"/>
      <c r="VKG224" s="76"/>
      <c r="VKH224" s="76"/>
      <c r="VKI224" s="76"/>
      <c r="VKJ224" s="76"/>
      <c r="VKK224" s="76"/>
      <c r="VKL224" s="76"/>
      <c r="VKM224" s="76"/>
      <c r="VKN224" s="76"/>
      <c r="VKO224" s="76"/>
      <c r="VKP224" s="76"/>
      <c r="VKQ224" s="76"/>
      <c r="VKR224" s="76"/>
      <c r="VKS224" s="76"/>
      <c r="VKT224" s="76"/>
      <c r="VKU224" s="76"/>
      <c r="VKV224" s="76"/>
      <c r="VKW224" s="76"/>
      <c r="VKX224" s="76"/>
      <c r="VKY224" s="76"/>
      <c r="VKZ224" s="76"/>
      <c r="VLA224" s="76"/>
      <c r="VLB224" s="76"/>
      <c r="VLC224" s="76"/>
      <c r="VLD224" s="76"/>
      <c r="VLE224" s="76"/>
      <c r="VLF224" s="76"/>
      <c r="VLG224" s="76"/>
      <c r="VLH224" s="76"/>
      <c r="VLI224" s="76"/>
      <c r="VLJ224" s="76"/>
      <c r="VLK224" s="76"/>
      <c r="VLL224" s="76"/>
      <c r="VLM224" s="76"/>
      <c r="VLN224" s="76"/>
      <c r="VLO224" s="76"/>
      <c r="VLP224" s="76"/>
      <c r="VLQ224" s="76"/>
      <c r="VLR224" s="76"/>
      <c r="VLS224" s="76"/>
      <c r="VLT224" s="76"/>
      <c r="VLU224" s="76"/>
      <c r="VLV224" s="76"/>
      <c r="VLW224" s="76"/>
      <c r="VLX224" s="76"/>
      <c r="VLY224" s="76"/>
      <c r="VLZ224" s="76"/>
      <c r="VMA224" s="76"/>
      <c r="VMB224" s="76"/>
      <c r="VMC224" s="76"/>
      <c r="VMD224" s="76"/>
      <c r="VME224" s="76"/>
      <c r="VMF224" s="76"/>
      <c r="VMG224" s="76"/>
      <c r="VMH224" s="76"/>
      <c r="VMI224" s="76"/>
      <c r="VMJ224" s="76"/>
      <c r="VMK224" s="76"/>
      <c r="VML224" s="76"/>
      <c r="VMM224" s="76"/>
      <c r="VMN224" s="76"/>
      <c r="VMO224" s="76"/>
      <c r="VMP224" s="76"/>
      <c r="VMQ224" s="76"/>
      <c r="VMR224" s="76"/>
      <c r="VMS224" s="76"/>
      <c r="VMT224" s="76"/>
      <c r="VMU224" s="76"/>
      <c r="VMV224" s="76"/>
      <c r="VMW224" s="76"/>
      <c r="VMX224" s="76"/>
      <c r="VMY224" s="76"/>
      <c r="VMZ224" s="76"/>
      <c r="VNA224" s="76"/>
      <c r="VNB224" s="76"/>
      <c r="VNC224" s="76"/>
      <c r="VND224" s="76"/>
      <c r="VNE224" s="76"/>
      <c r="VNF224" s="76"/>
      <c r="VNG224" s="76"/>
      <c r="VNH224" s="76"/>
      <c r="VNI224" s="76"/>
      <c r="VNJ224" s="76"/>
      <c r="VNK224" s="76"/>
      <c r="VNL224" s="76"/>
      <c r="VNM224" s="76"/>
      <c r="VNN224" s="76"/>
      <c r="VNO224" s="76"/>
      <c r="VNP224" s="76"/>
      <c r="VNQ224" s="76"/>
      <c r="VNR224" s="76"/>
      <c r="VNS224" s="76"/>
      <c r="VNT224" s="76"/>
      <c r="VNU224" s="76"/>
      <c r="VNV224" s="76"/>
      <c r="VNW224" s="76"/>
      <c r="VNX224" s="76"/>
      <c r="VNY224" s="76"/>
      <c r="VNZ224" s="76"/>
      <c r="VOA224" s="76"/>
      <c r="VOB224" s="76"/>
      <c r="VOC224" s="76"/>
      <c r="VOD224" s="76"/>
      <c r="VOE224" s="76"/>
      <c r="VOF224" s="76"/>
      <c r="VOG224" s="76"/>
      <c r="VOH224" s="76"/>
      <c r="VOI224" s="76"/>
      <c r="VOJ224" s="76"/>
      <c r="VOK224" s="76"/>
      <c r="VOL224" s="76"/>
      <c r="VOM224" s="76"/>
      <c r="VON224" s="76"/>
      <c r="VOO224" s="76"/>
      <c r="VOP224" s="76"/>
      <c r="VOQ224" s="76"/>
      <c r="VOR224" s="76"/>
      <c r="VOS224" s="76"/>
      <c r="VOT224" s="76"/>
      <c r="VOU224" s="76"/>
      <c r="VOV224" s="76"/>
      <c r="VOW224" s="76"/>
      <c r="VOX224" s="76"/>
      <c r="VOY224" s="76"/>
      <c r="VOZ224" s="76"/>
      <c r="VPA224" s="76"/>
      <c r="VPB224" s="76"/>
      <c r="VPC224" s="76"/>
      <c r="VPD224" s="76"/>
      <c r="VPE224" s="76"/>
      <c r="VPF224" s="76"/>
      <c r="VPG224" s="76"/>
      <c r="VPH224" s="76"/>
      <c r="VPI224" s="76"/>
      <c r="VPJ224" s="76"/>
      <c r="VPK224" s="76"/>
      <c r="VPL224" s="76"/>
      <c r="VPM224" s="76"/>
      <c r="VPN224" s="76"/>
      <c r="VPO224" s="76"/>
      <c r="VPP224" s="76"/>
      <c r="VPQ224" s="76"/>
      <c r="VPR224" s="76"/>
      <c r="VPS224" s="76"/>
      <c r="VPT224" s="76"/>
      <c r="VPU224" s="76"/>
      <c r="VPV224" s="76"/>
      <c r="VPW224" s="76"/>
      <c r="VPX224" s="76"/>
      <c r="VPY224" s="76"/>
      <c r="VPZ224" s="76"/>
      <c r="VQA224" s="76"/>
      <c r="VQB224" s="76"/>
      <c r="VQC224" s="76"/>
      <c r="VQD224" s="76"/>
      <c r="VQE224" s="76"/>
      <c r="VQF224" s="76"/>
      <c r="VQG224" s="76"/>
      <c r="VQH224" s="76"/>
      <c r="VQI224" s="76"/>
      <c r="VQJ224" s="76"/>
      <c r="VQK224" s="76"/>
      <c r="VQL224" s="76"/>
      <c r="VQM224" s="76"/>
      <c r="VQN224" s="76"/>
      <c r="VQO224" s="76"/>
      <c r="VQP224" s="76"/>
      <c r="VQQ224" s="76"/>
      <c r="VQR224" s="76"/>
      <c r="VQS224" s="76"/>
      <c r="VQT224" s="76"/>
      <c r="VQU224" s="76"/>
      <c r="VQV224" s="76"/>
      <c r="VQW224" s="76"/>
      <c r="VQX224" s="76"/>
      <c r="VQY224" s="76"/>
      <c r="VQZ224" s="76"/>
      <c r="VRA224" s="76"/>
      <c r="VRB224" s="76"/>
      <c r="VRC224" s="76"/>
      <c r="VRD224" s="76"/>
      <c r="VRE224" s="76"/>
      <c r="VRF224" s="76"/>
      <c r="VRG224" s="76"/>
      <c r="VRH224" s="76"/>
      <c r="VRI224" s="76"/>
      <c r="VRJ224" s="76"/>
      <c r="VRK224" s="76"/>
      <c r="VRL224" s="76"/>
      <c r="VRM224" s="76"/>
      <c r="VRN224" s="76"/>
      <c r="VRO224" s="76"/>
      <c r="VRP224" s="76"/>
      <c r="VRQ224" s="76"/>
      <c r="VRR224" s="76"/>
      <c r="VRS224" s="76"/>
      <c r="VRT224" s="76"/>
      <c r="VRU224" s="76"/>
      <c r="VRV224" s="76"/>
      <c r="VRW224" s="76"/>
      <c r="VRX224" s="76"/>
      <c r="VRY224" s="76"/>
      <c r="VRZ224" s="76"/>
      <c r="VSA224" s="76"/>
      <c r="VSB224" s="76"/>
      <c r="VSC224" s="76"/>
      <c r="VSD224" s="76"/>
      <c r="VSE224" s="76"/>
      <c r="VSF224" s="76"/>
      <c r="VSG224" s="76"/>
      <c r="VSH224" s="76"/>
      <c r="VSI224" s="76"/>
      <c r="VSJ224" s="76"/>
      <c r="VSK224" s="76"/>
      <c r="VSL224" s="76"/>
      <c r="VSM224" s="76"/>
      <c r="VSN224" s="76"/>
      <c r="VSO224" s="76"/>
      <c r="VSP224" s="76"/>
      <c r="VSQ224" s="76"/>
      <c r="VSR224" s="76"/>
      <c r="VSS224" s="76"/>
      <c r="VST224" s="76"/>
      <c r="VSU224" s="76"/>
      <c r="VSV224" s="76"/>
      <c r="VSW224" s="76"/>
      <c r="VSX224" s="76"/>
      <c r="VSY224" s="76"/>
      <c r="VSZ224" s="76"/>
      <c r="VTA224" s="76"/>
      <c r="VTB224" s="76"/>
      <c r="VTC224" s="76"/>
      <c r="VTD224" s="76"/>
      <c r="VTE224" s="76"/>
      <c r="VTF224" s="76"/>
      <c r="VTG224" s="76"/>
      <c r="VTH224" s="76"/>
      <c r="VTI224" s="76"/>
      <c r="VTJ224" s="76"/>
      <c r="VTK224" s="76"/>
      <c r="VTL224" s="76"/>
      <c r="VTM224" s="76"/>
      <c r="VTN224" s="76"/>
      <c r="VTO224" s="76"/>
      <c r="VTP224" s="76"/>
      <c r="VTQ224" s="76"/>
      <c r="VTR224" s="76"/>
      <c r="VTS224" s="76"/>
      <c r="VTT224" s="76"/>
      <c r="VTU224" s="76"/>
      <c r="VTV224" s="76"/>
      <c r="VTW224" s="76"/>
      <c r="VTX224" s="76"/>
      <c r="VTY224" s="76"/>
      <c r="VTZ224" s="76"/>
      <c r="VUA224" s="76"/>
      <c r="VUB224" s="76"/>
      <c r="VUC224" s="76"/>
      <c r="VUD224" s="76"/>
      <c r="VUE224" s="76"/>
      <c r="VUF224" s="76"/>
      <c r="VUG224" s="76"/>
      <c r="VUH224" s="76"/>
      <c r="VUI224" s="76"/>
      <c r="VUJ224" s="76"/>
      <c r="VUK224" s="76"/>
      <c r="VUL224" s="76"/>
      <c r="VUM224" s="76"/>
      <c r="VUN224" s="76"/>
      <c r="VUO224" s="76"/>
      <c r="VUP224" s="76"/>
      <c r="VUQ224" s="76"/>
      <c r="VUR224" s="76"/>
      <c r="VUS224" s="76"/>
      <c r="VUT224" s="76"/>
      <c r="VUU224" s="76"/>
      <c r="VUV224" s="76"/>
      <c r="VUW224" s="76"/>
      <c r="VUX224" s="76"/>
      <c r="VUY224" s="76"/>
      <c r="VUZ224" s="76"/>
      <c r="VVA224" s="76"/>
      <c r="VVB224" s="76"/>
      <c r="VVC224" s="76"/>
      <c r="VVD224" s="76"/>
      <c r="VVE224" s="76"/>
      <c r="VVF224" s="76"/>
      <c r="VVG224" s="76"/>
      <c r="VVH224" s="76"/>
      <c r="VVI224" s="76"/>
      <c r="VVJ224" s="76"/>
      <c r="VVK224" s="76"/>
      <c r="VVL224" s="76"/>
      <c r="VVM224" s="76"/>
      <c r="VVN224" s="76"/>
      <c r="VVO224" s="76"/>
      <c r="VVP224" s="76"/>
      <c r="VVQ224" s="76"/>
      <c r="VVR224" s="76"/>
      <c r="VVS224" s="76"/>
      <c r="VVT224" s="76"/>
      <c r="VVU224" s="76"/>
      <c r="VVV224" s="76"/>
      <c r="VVW224" s="76"/>
      <c r="VVX224" s="76"/>
      <c r="VVY224" s="76"/>
      <c r="VVZ224" s="76"/>
      <c r="VWA224" s="76"/>
      <c r="VWB224" s="76"/>
      <c r="VWC224" s="76"/>
      <c r="VWD224" s="76"/>
      <c r="VWE224" s="76"/>
      <c r="VWF224" s="76"/>
      <c r="VWG224" s="76"/>
      <c r="VWH224" s="76"/>
      <c r="VWI224" s="76"/>
      <c r="VWJ224" s="76"/>
      <c r="VWK224" s="76"/>
      <c r="VWL224" s="76"/>
      <c r="VWM224" s="76"/>
      <c r="VWN224" s="76"/>
      <c r="VWO224" s="76"/>
      <c r="VWP224" s="76"/>
      <c r="VWQ224" s="76"/>
      <c r="VWR224" s="76"/>
      <c r="VWS224" s="76"/>
      <c r="VWT224" s="76"/>
      <c r="VWU224" s="76"/>
      <c r="VWV224" s="76"/>
      <c r="VWW224" s="76"/>
      <c r="VWX224" s="76"/>
      <c r="VWY224" s="76"/>
      <c r="VWZ224" s="76"/>
      <c r="VXA224" s="76"/>
      <c r="VXB224" s="76"/>
      <c r="VXC224" s="76"/>
      <c r="VXD224" s="76"/>
      <c r="VXE224" s="76"/>
      <c r="VXF224" s="76"/>
      <c r="VXG224" s="76"/>
      <c r="VXH224" s="76"/>
      <c r="VXI224" s="76"/>
      <c r="VXJ224" s="76"/>
      <c r="VXK224" s="76"/>
      <c r="VXL224" s="76"/>
      <c r="VXM224" s="76"/>
      <c r="VXN224" s="76"/>
      <c r="VXO224" s="76"/>
      <c r="VXP224" s="76"/>
      <c r="VXQ224" s="76"/>
      <c r="VXR224" s="76"/>
      <c r="VXS224" s="76"/>
      <c r="VXT224" s="76"/>
      <c r="VXU224" s="76"/>
      <c r="VXV224" s="76"/>
      <c r="VXW224" s="76"/>
      <c r="VXX224" s="76"/>
      <c r="VXY224" s="76"/>
      <c r="VXZ224" s="76"/>
      <c r="VYA224" s="76"/>
      <c r="VYB224" s="76"/>
      <c r="VYC224" s="76"/>
      <c r="VYD224" s="76"/>
      <c r="VYE224" s="76"/>
      <c r="VYF224" s="76"/>
      <c r="VYG224" s="76"/>
      <c r="VYH224" s="76"/>
      <c r="VYI224" s="76"/>
      <c r="VYJ224" s="76"/>
      <c r="VYK224" s="76"/>
      <c r="VYL224" s="76"/>
      <c r="VYM224" s="76"/>
      <c r="VYN224" s="76"/>
      <c r="VYO224" s="76"/>
      <c r="VYP224" s="76"/>
      <c r="VYQ224" s="76"/>
      <c r="VYR224" s="76"/>
      <c r="VYS224" s="76"/>
      <c r="VYT224" s="76"/>
      <c r="VYU224" s="76"/>
      <c r="VYV224" s="76"/>
      <c r="VYW224" s="76"/>
      <c r="VYX224" s="76"/>
      <c r="VYY224" s="76"/>
      <c r="VYZ224" s="76"/>
      <c r="VZA224" s="76"/>
      <c r="VZB224" s="76"/>
      <c r="VZC224" s="76"/>
      <c r="VZD224" s="76"/>
      <c r="VZE224" s="76"/>
      <c r="VZF224" s="76"/>
      <c r="VZG224" s="76"/>
      <c r="VZH224" s="76"/>
      <c r="VZI224" s="76"/>
      <c r="VZJ224" s="76"/>
      <c r="VZK224" s="76"/>
      <c r="VZL224" s="76"/>
      <c r="VZM224" s="76"/>
      <c r="VZN224" s="76"/>
      <c r="VZO224" s="76"/>
      <c r="VZP224" s="76"/>
      <c r="VZQ224" s="76"/>
      <c r="VZR224" s="76"/>
      <c r="VZS224" s="76"/>
      <c r="VZT224" s="76"/>
      <c r="VZU224" s="76"/>
      <c r="VZV224" s="76"/>
      <c r="VZW224" s="76"/>
      <c r="VZX224" s="76"/>
      <c r="VZY224" s="76"/>
      <c r="VZZ224" s="76"/>
      <c r="WAA224" s="76"/>
      <c r="WAB224" s="76"/>
      <c r="WAC224" s="76"/>
      <c r="WAD224" s="76"/>
      <c r="WAE224" s="76"/>
      <c r="WAF224" s="76"/>
      <c r="WAG224" s="76"/>
      <c r="WAH224" s="76"/>
      <c r="WAI224" s="76"/>
      <c r="WAJ224" s="76"/>
      <c r="WAK224" s="76"/>
      <c r="WAL224" s="76"/>
      <c r="WAM224" s="76"/>
      <c r="WAN224" s="76"/>
      <c r="WAO224" s="76"/>
      <c r="WAP224" s="76"/>
      <c r="WAQ224" s="76"/>
      <c r="WAR224" s="76"/>
      <c r="WAS224" s="76"/>
      <c r="WAT224" s="76"/>
      <c r="WAU224" s="76"/>
      <c r="WAV224" s="76"/>
      <c r="WAW224" s="76"/>
      <c r="WAX224" s="76"/>
      <c r="WAY224" s="76"/>
      <c r="WAZ224" s="76"/>
      <c r="WBA224" s="76"/>
      <c r="WBB224" s="76"/>
      <c r="WBC224" s="76"/>
      <c r="WBD224" s="76"/>
      <c r="WBE224" s="76"/>
      <c r="WBF224" s="76"/>
      <c r="WBG224" s="76"/>
      <c r="WBH224" s="76"/>
      <c r="WBI224" s="76"/>
      <c r="WBJ224" s="76"/>
      <c r="WBK224" s="76"/>
      <c r="WBL224" s="76"/>
      <c r="WBM224" s="76"/>
      <c r="WBN224" s="76"/>
      <c r="WBO224" s="76"/>
      <c r="WBP224" s="76"/>
      <c r="WBQ224" s="76"/>
      <c r="WBR224" s="76"/>
      <c r="WBS224" s="76"/>
      <c r="WBT224" s="76"/>
      <c r="WBU224" s="76"/>
      <c r="WBV224" s="76"/>
      <c r="WBW224" s="76"/>
      <c r="WBX224" s="76"/>
      <c r="WBY224" s="76"/>
      <c r="WBZ224" s="76"/>
      <c r="WCA224" s="76"/>
      <c r="WCB224" s="76"/>
      <c r="WCC224" s="76"/>
      <c r="WCD224" s="76"/>
      <c r="WCE224" s="76"/>
      <c r="WCF224" s="76"/>
      <c r="WCG224" s="76"/>
      <c r="WCH224" s="76"/>
      <c r="WCI224" s="76"/>
      <c r="WCJ224" s="76"/>
      <c r="WCK224" s="76"/>
      <c r="WCL224" s="76"/>
      <c r="WCM224" s="76"/>
      <c r="WCN224" s="76"/>
      <c r="WCO224" s="76"/>
      <c r="WCP224" s="76"/>
      <c r="WCQ224" s="76"/>
      <c r="WCR224" s="76"/>
      <c r="WCS224" s="76"/>
      <c r="WCT224" s="76"/>
      <c r="WCU224" s="76"/>
      <c r="WCV224" s="76"/>
      <c r="WCW224" s="76"/>
      <c r="WCX224" s="76"/>
      <c r="WCY224" s="76"/>
      <c r="WCZ224" s="76"/>
      <c r="WDA224" s="76"/>
      <c r="WDB224" s="76"/>
      <c r="WDC224" s="76"/>
      <c r="WDD224" s="76"/>
      <c r="WDE224" s="76"/>
      <c r="WDF224" s="76"/>
      <c r="WDG224" s="76"/>
      <c r="WDH224" s="76"/>
      <c r="WDI224" s="76"/>
      <c r="WDJ224" s="76"/>
      <c r="WDK224" s="76"/>
      <c r="WDL224" s="76"/>
      <c r="WDM224" s="76"/>
      <c r="WDN224" s="76"/>
      <c r="WDO224" s="76"/>
      <c r="WDP224" s="76"/>
      <c r="WDQ224" s="76"/>
      <c r="WDR224" s="76"/>
      <c r="WDS224" s="76"/>
      <c r="WDT224" s="76"/>
      <c r="WDU224" s="76"/>
      <c r="WDV224" s="76"/>
      <c r="WDW224" s="76"/>
      <c r="WDX224" s="76"/>
      <c r="WDY224" s="76"/>
      <c r="WDZ224" s="76"/>
      <c r="WEA224" s="76"/>
      <c r="WEB224" s="76"/>
      <c r="WEC224" s="76"/>
      <c r="WED224" s="76"/>
      <c r="WEE224" s="76"/>
      <c r="WEF224" s="76"/>
      <c r="WEG224" s="76"/>
      <c r="WEH224" s="76"/>
      <c r="WEI224" s="76"/>
      <c r="WEJ224" s="76"/>
      <c r="WEK224" s="76"/>
      <c r="WEL224" s="76"/>
      <c r="WEM224" s="76"/>
      <c r="WEN224" s="76"/>
      <c r="WEO224" s="76"/>
      <c r="WEP224" s="76"/>
      <c r="WEQ224" s="76"/>
      <c r="WER224" s="76"/>
      <c r="WES224" s="76"/>
      <c r="WET224" s="76"/>
      <c r="WEU224" s="76"/>
      <c r="WEV224" s="76"/>
      <c r="WEW224" s="76"/>
      <c r="WEX224" s="76"/>
      <c r="WEY224" s="76"/>
      <c r="WEZ224" s="76"/>
      <c r="WFA224" s="76"/>
      <c r="WFB224" s="76"/>
      <c r="WFC224" s="76"/>
      <c r="WFD224" s="76"/>
      <c r="WFE224" s="76"/>
      <c r="WFF224" s="76"/>
      <c r="WFG224" s="76"/>
      <c r="WFH224" s="76"/>
      <c r="WFI224" s="76"/>
      <c r="WFJ224" s="76"/>
      <c r="WFK224" s="76"/>
      <c r="WFL224" s="76"/>
      <c r="WFM224" s="76"/>
      <c r="WFN224" s="76"/>
      <c r="WFO224" s="76"/>
      <c r="WFP224" s="76"/>
      <c r="WFQ224" s="76"/>
      <c r="WFR224" s="76"/>
      <c r="WFS224" s="76"/>
      <c r="WFT224" s="76"/>
      <c r="WFU224" s="76"/>
      <c r="WFV224" s="76"/>
      <c r="WFW224" s="76"/>
      <c r="WFX224" s="76"/>
      <c r="WFY224" s="76"/>
      <c r="WFZ224" s="76"/>
      <c r="WGA224" s="76"/>
      <c r="WGB224" s="76"/>
      <c r="WGC224" s="76"/>
      <c r="WGD224" s="76"/>
      <c r="WGE224" s="76"/>
      <c r="WGF224" s="76"/>
      <c r="WGG224" s="76"/>
      <c r="WGH224" s="76"/>
      <c r="WGI224" s="76"/>
      <c r="WGJ224" s="76"/>
      <c r="WGK224" s="76"/>
      <c r="WGL224" s="76"/>
      <c r="WGM224" s="76"/>
      <c r="WGN224" s="76"/>
      <c r="WGO224" s="76"/>
      <c r="WGP224" s="76"/>
      <c r="WGQ224" s="76"/>
      <c r="WGR224" s="76"/>
      <c r="WGS224" s="76"/>
      <c r="WGT224" s="76"/>
      <c r="WGU224" s="76"/>
      <c r="WGV224" s="76"/>
      <c r="WGW224" s="76"/>
      <c r="WGX224" s="76"/>
      <c r="WGY224" s="76"/>
      <c r="WGZ224" s="76"/>
      <c r="WHA224" s="76"/>
      <c r="WHB224" s="76"/>
      <c r="WHC224" s="76"/>
      <c r="WHD224" s="76"/>
      <c r="WHE224" s="76"/>
      <c r="WHF224" s="76"/>
      <c r="WHG224" s="76"/>
      <c r="WHH224" s="76"/>
      <c r="WHI224" s="76"/>
      <c r="WHJ224" s="76"/>
      <c r="WHK224" s="76"/>
      <c r="WHL224" s="76"/>
      <c r="WHM224" s="76"/>
      <c r="WHN224" s="76"/>
      <c r="WHO224" s="76"/>
      <c r="WHP224" s="76"/>
      <c r="WHQ224" s="76"/>
      <c r="WHR224" s="76"/>
      <c r="WHS224" s="76"/>
      <c r="WHT224" s="76"/>
      <c r="WHU224" s="76"/>
      <c r="WHV224" s="76"/>
      <c r="WHW224" s="76"/>
      <c r="WHX224" s="76"/>
      <c r="WHY224" s="76"/>
      <c r="WHZ224" s="76"/>
      <c r="WIA224" s="76"/>
      <c r="WIB224" s="76"/>
      <c r="WIC224" s="76"/>
      <c r="WID224" s="76"/>
      <c r="WIE224" s="76"/>
      <c r="WIF224" s="76"/>
      <c r="WIG224" s="76"/>
      <c r="WIH224" s="76"/>
      <c r="WII224" s="76"/>
      <c r="WIJ224" s="76"/>
      <c r="WIK224" s="76"/>
      <c r="WIL224" s="76"/>
      <c r="WIM224" s="76"/>
      <c r="WIN224" s="76"/>
      <c r="WIO224" s="76"/>
      <c r="WIP224" s="76"/>
      <c r="WIQ224" s="76"/>
      <c r="WIR224" s="76"/>
      <c r="WIS224" s="76"/>
      <c r="WIT224" s="76"/>
      <c r="WIU224" s="76"/>
      <c r="WIV224" s="76"/>
      <c r="WIW224" s="76"/>
      <c r="WIX224" s="76"/>
      <c r="WIY224" s="76"/>
      <c r="WIZ224" s="76"/>
      <c r="WJA224" s="76"/>
      <c r="WJB224" s="76"/>
      <c r="WJC224" s="76"/>
      <c r="WJD224" s="76"/>
      <c r="WJE224" s="76"/>
      <c r="WJF224" s="76"/>
      <c r="WJG224" s="76"/>
      <c r="WJH224" s="76"/>
      <c r="WJI224" s="76"/>
      <c r="WJJ224" s="76"/>
      <c r="WJK224" s="76"/>
      <c r="WJL224" s="76"/>
      <c r="WJM224" s="76"/>
      <c r="WJN224" s="76"/>
      <c r="WJO224" s="76"/>
      <c r="WJP224" s="76"/>
      <c r="WJQ224" s="76"/>
      <c r="WJR224" s="76"/>
      <c r="WJS224" s="76"/>
      <c r="WJT224" s="76"/>
      <c r="WJU224" s="76"/>
      <c r="WJV224" s="76"/>
      <c r="WJW224" s="76"/>
      <c r="WJX224" s="76"/>
      <c r="WJY224" s="76"/>
      <c r="WJZ224" s="76"/>
      <c r="WKA224" s="76"/>
      <c r="WKB224" s="76"/>
      <c r="WKC224" s="76"/>
      <c r="WKD224" s="76"/>
      <c r="WKE224" s="76"/>
      <c r="WKF224" s="76"/>
      <c r="WKG224" s="76"/>
      <c r="WKH224" s="76"/>
      <c r="WKI224" s="76"/>
      <c r="WKJ224" s="76"/>
      <c r="WKK224" s="76"/>
      <c r="WKL224" s="76"/>
      <c r="WKM224" s="76"/>
      <c r="WKN224" s="76"/>
      <c r="WKO224" s="76"/>
      <c r="WKP224" s="76"/>
      <c r="WKQ224" s="76"/>
      <c r="WKR224" s="76"/>
      <c r="WKS224" s="76"/>
      <c r="WKT224" s="76"/>
      <c r="WKU224" s="76"/>
      <c r="WKV224" s="76"/>
      <c r="WKW224" s="76"/>
      <c r="WKX224" s="76"/>
      <c r="WKY224" s="76"/>
      <c r="WKZ224" s="76"/>
      <c r="WLA224" s="76"/>
      <c r="WLB224" s="76"/>
      <c r="WLC224" s="76"/>
      <c r="WLD224" s="76"/>
      <c r="WLE224" s="76"/>
      <c r="WLF224" s="76"/>
      <c r="WLG224" s="76"/>
      <c r="WLH224" s="76"/>
      <c r="WLI224" s="76"/>
      <c r="WLJ224" s="76"/>
      <c r="WLK224" s="76"/>
      <c r="WLL224" s="76"/>
      <c r="WLM224" s="76"/>
      <c r="WLN224" s="76"/>
      <c r="WLO224" s="76"/>
      <c r="WLP224" s="76"/>
      <c r="WLQ224" s="76"/>
      <c r="WLR224" s="76"/>
      <c r="WLS224" s="76"/>
      <c r="WLT224" s="76"/>
      <c r="WLU224" s="76"/>
      <c r="WLV224" s="76"/>
      <c r="WLW224" s="76"/>
      <c r="WLX224" s="76"/>
      <c r="WLY224" s="76"/>
      <c r="WLZ224" s="76"/>
      <c r="WMA224" s="76"/>
      <c r="WMB224" s="76"/>
      <c r="WMC224" s="76"/>
      <c r="WMD224" s="76"/>
      <c r="WME224" s="76"/>
      <c r="WMF224" s="76"/>
      <c r="WMG224" s="76"/>
      <c r="WMH224" s="76"/>
      <c r="WMI224" s="76"/>
      <c r="WMJ224" s="76"/>
      <c r="WMK224" s="76"/>
      <c r="WML224" s="76"/>
      <c r="WMM224" s="76"/>
      <c r="WMN224" s="76"/>
      <c r="WMO224" s="76"/>
      <c r="WMP224" s="76"/>
      <c r="WMQ224" s="76"/>
      <c r="WMR224" s="76"/>
      <c r="WMS224" s="76"/>
      <c r="WMT224" s="76"/>
      <c r="WMU224" s="76"/>
      <c r="WMV224" s="76"/>
      <c r="WMW224" s="76"/>
      <c r="WMX224" s="76"/>
      <c r="WMY224" s="76"/>
      <c r="WMZ224" s="76"/>
      <c r="WNA224" s="76"/>
      <c r="WNB224" s="76"/>
      <c r="WNC224" s="76"/>
      <c r="WND224" s="76"/>
      <c r="WNE224" s="76"/>
      <c r="WNF224" s="76"/>
      <c r="WNG224" s="76"/>
      <c r="WNH224" s="76"/>
      <c r="WNI224" s="76"/>
      <c r="WNJ224" s="76"/>
      <c r="WNK224" s="76"/>
      <c r="WNL224" s="76"/>
      <c r="WNM224" s="76"/>
      <c r="WNN224" s="76"/>
      <c r="WNO224" s="76"/>
      <c r="WNP224" s="76"/>
      <c r="WNQ224" s="76"/>
      <c r="WNR224" s="76"/>
      <c r="WNS224" s="76"/>
      <c r="WNT224" s="76"/>
      <c r="WNU224" s="76"/>
      <c r="WNV224" s="76"/>
      <c r="WNW224" s="76"/>
      <c r="WNX224" s="76"/>
      <c r="WNY224" s="76"/>
      <c r="WNZ224" s="76"/>
      <c r="WOA224" s="76"/>
      <c r="WOB224" s="76"/>
      <c r="WOC224" s="76"/>
      <c r="WOD224" s="76"/>
      <c r="WOE224" s="76"/>
      <c r="WOF224" s="76"/>
      <c r="WOG224" s="76"/>
      <c r="WOH224" s="76"/>
      <c r="WOI224" s="76"/>
      <c r="WOJ224" s="76"/>
      <c r="WOK224" s="76"/>
      <c r="WOL224" s="76"/>
      <c r="WOM224" s="76"/>
      <c r="WON224" s="76"/>
      <c r="WOO224" s="76"/>
      <c r="WOP224" s="76"/>
      <c r="WOQ224" s="76"/>
      <c r="WOR224" s="76"/>
      <c r="WOS224" s="76"/>
      <c r="WOT224" s="76"/>
      <c r="WOU224" s="76"/>
      <c r="WOV224" s="76"/>
      <c r="WOW224" s="76"/>
      <c r="WOX224" s="76"/>
      <c r="WOY224" s="76"/>
      <c r="WOZ224" s="76"/>
      <c r="WPA224" s="76"/>
      <c r="WPB224" s="76"/>
      <c r="WPC224" s="76"/>
      <c r="WPD224" s="76"/>
      <c r="WPE224" s="76"/>
      <c r="WPF224" s="76"/>
      <c r="WPG224" s="76"/>
      <c r="WPH224" s="76"/>
      <c r="WPI224" s="76"/>
      <c r="WPJ224" s="76"/>
      <c r="WPK224" s="76"/>
      <c r="WPL224" s="76"/>
      <c r="WPM224" s="76"/>
      <c r="WPN224" s="76"/>
      <c r="WPO224" s="76"/>
      <c r="WPP224" s="76"/>
      <c r="WPQ224" s="76"/>
      <c r="WPR224" s="76"/>
      <c r="WPS224" s="76"/>
      <c r="WPT224" s="76"/>
      <c r="WPU224" s="76"/>
      <c r="WPV224" s="76"/>
      <c r="WPW224" s="76"/>
      <c r="WPX224" s="76"/>
      <c r="WPY224" s="76"/>
      <c r="WPZ224" s="76"/>
      <c r="WQA224" s="76"/>
      <c r="WQB224" s="76"/>
      <c r="WQC224" s="76"/>
      <c r="WQD224" s="76"/>
      <c r="WQE224" s="76"/>
      <c r="WQF224" s="76"/>
      <c r="WQG224" s="76"/>
      <c r="WQH224" s="76"/>
      <c r="WQI224" s="76"/>
      <c r="WQJ224" s="76"/>
      <c r="WQK224" s="76"/>
      <c r="WQL224" s="76"/>
      <c r="WQM224" s="76"/>
      <c r="WQN224" s="76"/>
      <c r="WQO224" s="76"/>
      <c r="WQP224" s="76"/>
      <c r="WQQ224" s="76"/>
      <c r="WQR224" s="76"/>
      <c r="WQS224" s="76"/>
      <c r="WQT224" s="76"/>
      <c r="WQU224" s="76"/>
      <c r="WQV224" s="76"/>
      <c r="WQW224" s="76"/>
      <c r="WQX224" s="76"/>
      <c r="WQY224" s="76"/>
      <c r="WQZ224" s="76"/>
      <c r="WRA224" s="76"/>
      <c r="WRB224" s="76"/>
      <c r="WRC224" s="76"/>
      <c r="WRD224" s="76"/>
      <c r="WRE224" s="76"/>
      <c r="WRF224" s="76"/>
      <c r="WRG224" s="76"/>
      <c r="WRH224" s="76"/>
      <c r="WRI224" s="76"/>
      <c r="WRJ224" s="76"/>
      <c r="WRK224" s="76"/>
      <c r="WRL224" s="76"/>
      <c r="WRM224" s="76"/>
      <c r="WRN224" s="76"/>
      <c r="WRO224" s="76"/>
      <c r="WRP224" s="76"/>
      <c r="WRQ224" s="76"/>
      <c r="WRR224" s="76"/>
      <c r="WRS224" s="76"/>
      <c r="WRT224" s="76"/>
      <c r="WRU224" s="76"/>
      <c r="WRV224" s="76"/>
      <c r="WRW224" s="76"/>
      <c r="WRX224" s="76"/>
      <c r="WRY224" s="76"/>
      <c r="WRZ224" s="76"/>
      <c r="WSA224" s="76"/>
      <c r="WSB224" s="76"/>
      <c r="WSC224" s="76"/>
      <c r="WSD224" s="76"/>
      <c r="WSE224" s="76"/>
      <c r="WSF224" s="76"/>
      <c r="WSG224" s="76"/>
      <c r="WSH224" s="76"/>
      <c r="WSI224" s="76"/>
      <c r="WSJ224" s="76"/>
      <c r="WSK224" s="76"/>
      <c r="WSL224" s="76"/>
      <c r="WSM224" s="76"/>
      <c r="WSN224" s="76"/>
      <c r="WSO224" s="76"/>
      <c r="WSP224" s="76"/>
      <c r="WSQ224" s="76"/>
      <c r="WSR224" s="76"/>
      <c r="WSS224" s="76"/>
      <c r="WST224" s="76"/>
      <c r="WSU224" s="76"/>
      <c r="WSV224" s="76"/>
      <c r="WSW224" s="76"/>
      <c r="WSX224" s="76"/>
      <c r="WSY224" s="76"/>
      <c r="WSZ224" s="76"/>
      <c r="WTA224" s="76"/>
      <c r="WTB224" s="76"/>
      <c r="WTC224" s="76"/>
      <c r="WTD224" s="76"/>
      <c r="WTE224" s="76"/>
      <c r="WTF224" s="76"/>
      <c r="WTG224" s="76"/>
      <c r="WTH224" s="76"/>
      <c r="WTI224" s="76"/>
      <c r="WTJ224" s="76"/>
      <c r="WTK224" s="76"/>
      <c r="WTL224" s="76"/>
      <c r="WTM224" s="76"/>
      <c r="WTN224" s="76"/>
      <c r="WTO224" s="76"/>
      <c r="WTP224" s="76"/>
      <c r="WTQ224" s="76"/>
      <c r="WTR224" s="76"/>
      <c r="WTS224" s="76"/>
      <c r="WTT224" s="76"/>
      <c r="WTU224" s="76"/>
      <c r="WTV224" s="76"/>
      <c r="WTW224" s="76"/>
      <c r="WTX224" s="76"/>
      <c r="WTY224" s="76"/>
      <c r="WTZ224" s="76"/>
      <c r="WUA224" s="76"/>
      <c r="WUB224" s="76"/>
      <c r="WUC224" s="76"/>
      <c r="WUD224" s="76"/>
      <c r="WUE224" s="76"/>
      <c r="WUF224" s="76"/>
      <c r="WUG224" s="76"/>
      <c r="WUH224" s="76"/>
      <c r="WUI224" s="76"/>
      <c r="WUJ224" s="76"/>
      <c r="WUK224" s="76"/>
      <c r="WUL224" s="76"/>
      <c r="WUM224" s="76"/>
      <c r="WUN224" s="76"/>
      <c r="WUO224" s="76"/>
      <c r="WUP224" s="76"/>
      <c r="WUQ224" s="76"/>
      <c r="WUR224" s="76"/>
      <c r="WUS224" s="76"/>
      <c r="WUT224" s="76"/>
      <c r="WUU224" s="76"/>
      <c r="WUV224" s="76"/>
      <c r="WUW224" s="76"/>
      <c r="WUX224" s="76"/>
      <c r="WUY224" s="76"/>
      <c r="WUZ224" s="76"/>
      <c r="WVA224" s="76"/>
      <c r="WVB224" s="76"/>
      <c r="WVC224" s="76"/>
      <c r="WVD224" s="76"/>
      <c r="WVE224" s="76"/>
      <c r="WVF224" s="76"/>
      <c r="WVG224" s="76"/>
      <c r="WVH224" s="76"/>
      <c r="WVI224" s="76"/>
      <c r="WVJ224" s="76"/>
      <c r="WVK224" s="76"/>
      <c r="WVL224" s="76"/>
      <c r="WVM224" s="76"/>
      <c r="WVN224" s="76"/>
      <c r="WVO224" s="76"/>
      <c r="WVP224" s="76"/>
      <c r="WVQ224" s="76"/>
      <c r="WVR224" s="76"/>
      <c r="WVS224" s="76"/>
      <c r="WVT224" s="76"/>
      <c r="WVU224" s="76"/>
      <c r="WVV224" s="76"/>
      <c r="WVW224" s="76"/>
      <c r="WVX224" s="76"/>
      <c r="WVY224" s="76"/>
      <c r="WVZ224" s="76"/>
      <c r="WWA224" s="76"/>
      <c r="WWB224" s="76"/>
      <c r="WWC224" s="76"/>
      <c r="WWD224" s="76"/>
      <c r="WWE224" s="76"/>
      <c r="WWF224" s="76"/>
      <c r="WWG224" s="76"/>
      <c r="WWH224" s="76"/>
      <c r="WWI224" s="76"/>
      <c r="WWJ224" s="76"/>
      <c r="WWK224" s="76"/>
      <c r="WWL224" s="76"/>
      <c r="WWM224" s="76"/>
      <c r="WWN224" s="76"/>
      <c r="WWO224" s="76"/>
      <c r="WWP224" s="76"/>
      <c r="WWQ224" s="76"/>
      <c r="WWR224" s="76"/>
      <c r="WWS224" s="76"/>
    </row>
    <row r="225" spans="3:16">
      <c r="C225" s="76" t="s">
        <v>2943</v>
      </c>
      <c r="F225" s="1365">
        <f>SUM(F30:F31,F41)</f>
        <v>0.38800000000000001</v>
      </c>
      <c r="G225" s="1365">
        <f t="shared" ref="G225:P225" si="407">SUM(G30:G31,G41)</f>
        <v>38</v>
      </c>
      <c r="H225" s="1365">
        <f t="shared" si="407"/>
        <v>0</v>
      </c>
      <c r="I225" s="1365">
        <f t="shared" si="407"/>
        <v>0</v>
      </c>
      <c r="J225" s="1365">
        <f t="shared" si="407"/>
        <v>0</v>
      </c>
      <c r="K225" s="1365">
        <f t="shared" si="407"/>
        <v>84.488439999999997</v>
      </c>
      <c r="L225" s="1365">
        <f t="shared" si="407"/>
        <v>0</v>
      </c>
      <c r="M225" s="1365">
        <f t="shared" si="407"/>
        <v>0</v>
      </c>
      <c r="N225" s="1365">
        <f t="shared" si="407"/>
        <v>0</v>
      </c>
      <c r="O225" s="1365">
        <f t="shared" si="407"/>
        <v>191.50068999999999</v>
      </c>
      <c r="P225" s="1365">
        <f t="shared" si="407"/>
        <v>275989.13</v>
      </c>
    </row>
    <row r="226" spans="3:16">
      <c r="C226" s="76" t="s">
        <v>2569</v>
      </c>
      <c r="F226" s="1365">
        <f>SUM(F32:F33,)</f>
        <v>0.34499999999999997</v>
      </c>
      <c r="G226" s="1365">
        <f t="shared" ref="G226:P226" si="408">SUM(G32:G33,)</f>
        <v>17</v>
      </c>
      <c r="H226" s="1365">
        <f t="shared" si="408"/>
        <v>0</v>
      </c>
      <c r="I226" s="1365">
        <f t="shared" si="408"/>
        <v>0</v>
      </c>
      <c r="J226" s="1365">
        <f t="shared" si="408"/>
        <v>0</v>
      </c>
      <c r="K226" s="1365">
        <f t="shared" si="408"/>
        <v>120.34979</v>
      </c>
      <c r="L226" s="1365">
        <f t="shared" si="408"/>
        <v>0</v>
      </c>
      <c r="M226" s="1365">
        <f t="shared" si="408"/>
        <v>0</v>
      </c>
      <c r="N226" s="1365">
        <f t="shared" si="408"/>
        <v>0</v>
      </c>
      <c r="O226" s="1365">
        <f t="shared" si="408"/>
        <v>153.19668000000001</v>
      </c>
      <c r="P226" s="1365">
        <f t="shared" si="408"/>
        <v>273546.46999999997</v>
      </c>
    </row>
    <row r="227" spans="3:16">
      <c r="C227" s="76" t="s">
        <v>3658</v>
      </c>
      <c r="F227" s="1365">
        <f>SUM(F49)</f>
        <v>0.08</v>
      </c>
      <c r="G227" s="1365">
        <f t="shared" ref="G227:P227" si="409">SUM(G49)</f>
        <v>4.3</v>
      </c>
      <c r="H227" s="1365">
        <f t="shared" si="409"/>
        <v>0</v>
      </c>
      <c r="I227" s="1365">
        <f t="shared" si="409"/>
        <v>0</v>
      </c>
      <c r="J227" s="1365">
        <f t="shared" si="409"/>
        <v>0</v>
      </c>
      <c r="K227" s="1365">
        <f t="shared" si="409"/>
        <v>0</v>
      </c>
      <c r="L227" s="1365">
        <f t="shared" si="409"/>
        <v>0</v>
      </c>
      <c r="M227" s="1365">
        <f t="shared" si="409"/>
        <v>0</v>
      </c>
      <c r="N227" s="1365">
        <f t="shared" si="409"/>
        <v>0</v>
      </c>
      <c r="O227" s="1365">
        <f t="shared" si="409"/>
        <v>57.053809999999999</v>
      </c>
      <c r="P227" s="1365">
        <f t="shared" si="409"/>
        <v>57053.81</v>
      </c>
    </row>
    <row r="228" spans="3:16">
      <c r="C228" s="76" t="s">
        <v>3354</v>
      </c>
      <c r="F228" s="1365">
        <f>SUM(F44:F45)</f>
        <v>0.78</v>
      </c>
      <c r="G228" s="1365">
        <f t="shared" ref="G228:P228" si="410">SUM(G44:G45)</f>
        <v>16.55</v>
      </c>
      <c r="H228" s="1365">
        <f t="shared" si="410"/>
        <v>0</v>
      </c>
      <c r="I228" s="1365">
        <f t="shared" si="410"/>
        <v>0</v>
      </c>
      <c r="J228" s="1365">
        <f t="shared" si="410"/>
        <v>0</v>
      </c>
      <c r="K228" s="1365">
        <f t="shared" si="410"/>
        <v>0</v>
      </c>
      <c r="L228" s="1365">
        <f t="shared" si="410"/>
        <v>0</v>
      </c>
      <c r="M228" s="1365">
        <f t="shared" si="410"/>
        <v>0</v>
      </c>
      <c r="N228" s="1365">
        <f t="shared" si="410"/>
        <v>0</v>
      </c>
      <c r="O228" s="1365">
        <f t="shared" si="410"/>
        <v>504.04990999999995</v>
      </c>
      <c r="P228" s="1365">
        <f t="shared" si="410"/>
        <v>504049.91000000003</v>
      </c>
    </row>
    <row r="229" spans="3:16">
      <c r="C229" s="76" t="s">
        <v>2945</v>
      </c>
      <c r="F229" s="1365">
        <f>SUM(F35:F36)</f>
        <v>0.51200000000000001</v>
      </c>
      <c r="G229" s="1365">
        <f t="shared" ref="G229:P229" si="411">SUM(G35:G36)</f>
        <v>15</v>
      </c>
      <c r="H229" s="1365">
        <f t="shared" si="411"/>
        <v>0</v>
      </c>
      <c r="I229" s="1365">
        <f t="shared" si="411"/>
        <v>0</v>
      </c>
      <c r="J229" s="1365">
        <f t="shared" si="411"/>
        <v>0</v>
      </c>
      <c r="K229" s="1365">
        <f t="shared" si="411"/>
        <v>128.85336000000001</v>
      </c>
      <c r="L229" s="1365">
        <f t="shared" si="411"/>
        <v>0</v>
      </c>
      <c r="M229" s="1365">
        <f t="shared" si="411"/>
        <v>0</v>
      </c>
      <c r="N229" s="1365">
        <f t="shared" si="411"/>
        <v>0</v>
      </c>
      <c r="O229" s="1365">
        <f t="shared" si="411"/>
        <v>238.31053</v>
      </c>
      <c r="P229" s="1365">
        <f t="shared" si="411"/>
        <v>367163.89</v>
      </c>
    </row>
    <row r="230" spans="3:16">
      <c r="C230" s="76" t="s">
        <v>2606</v>
      </c>
      <c r="F230" s="1365">
        <f>SUM(F34)</f>
        <v>5.1999999999999998E-2</v>
      </c>
      <c r="G230" s="1365">
        <f t="shared" ref="G230:P230" si="412">SUM(G34)</f>
        <v>14.52</v>
      </c>
      <c r="H230" s="1365">
        <f t="shared" si="412"/>
        <v>0</v>
      </c>
      <c r="I230" s="1365">
        <f t="shared" si="412"/>
        <v>0</v>
      </c>
      <c r="J230" s="1365">
        <f t="shared" si="412"/>
        <v>0</v>
      </c>
      <c r="K230" s="1365">
        <f t="shared" si="412"/>
        <v>0</v>
      </c>
      <c r="L230" s="1365">
        <f t="shared" si="412"/>
        <v>0</v>
      </c>
      <c r="M230" s="1365">
        <f t="shared" si="412"/>
        <v>0</v>
      </c>
      <c r="N230" s="1365">
        <f t="shared" si="412"/>
        <v>0</v>
      </c>
      <c r="O230" s="1365">
        <f t="shared" si="412"/>
        <v>26.060030000000001</v>
      </c>
      <c r="P230" s="1365">
        <f t="shared" si="412"/>
        <v>26060.03</v>
      </c>
    </row>
    <row r="231" spans="3:16">
      <c r="C231" s="76" t="s">
        <v>21</v>
      </c>
      <c r="F231" s="1367">
        <f t="shared" ref="F231:P231" si="413">F224+F225+F226+F227+F228+F229+F230</f>
        <v>3.0420000000000003</v>
      </c>
      <c r="G231" s="1367">
        <f t="shared" si="413"/>
        <v>222.37000000000003</v>
      </c>
      <c r="H231" s="1367">
        <f t="shared" si="413"/>
        <v>0</v>
      </c>
      <c r="I231" s="1367">
        <f t="shared" si="413"/>
        <v>0</v>
      </c>
      <c r="J231" s="1367">
        <f t="shared" si="413"/>
        <v>0</v>
      </c>
      <c r="K231" s="1367">
        <f t="shared" si="413"/>
        <v>825.62224999999989</v>
      </c>
      <c r="L231" s="1367">
        <f t="shared" si="413"/>
        <v>0</v>
      </c>
      <c r="M231" s="1367">
        <f t="shared" si="413"/>
        <v>0</v>
      </c>
      <c r="N231" s="1367">
        <f t="shared" si="413"/>
        <v>0</v>
      </c>
      <c r="O231" s="1367">
        <f t="shared" si="413"/>
        <v>1535.14165</v>
      </c>
      <c r="P231" s="1367">
        <f t="shared" si="413"/>
        <v>2360763.9</v>
      </c>
    </row>
    <row r="233" spans="3:16">
      <c r="C233" s="1366" t="s">
        <v>3356</v>
      </c>
    </row>
    <row r="234" spans="3:16">
      <c r="C234" s="76" t="s">
        <v>2942</v>
      </c>
      <c r="F234" s="1365"/>
      <c r="G234" s="1365"/>
      <c r="H234" s="1365"/>
      <c r="I234" s="1365"/>
      <c r="J234" s="1365"/>
      <c r="K234" s="1365"/>
      <c r="L234" s="1365"/>
      <c r="M234" s="1365"/>
      <c r="N234" s="1365"/>
      <c r="O234" s="1365"/>
      <c r="P234" s="1365"/>
    </row>
    <row r="235" spans="3:16">
      <c r="C235" s="76" t="s">
        <v>2943</v>
      </c>
      <c r="F235" s="1365"/>
      <c r="G235" s="1365"/>
      <c r="H235" s="1365"/>
      <c r="I235" s="1365"/>
      <c r="J235" s="1365"/>
      <c r="K235" s="1365"/>
      <c r="L235" s="1365"/>
      <c r="M235" s="1365"/>
      <c r="N235" s="1365"/>
      <c r="O235" s="1365"/>
      <c r="P235" s="1365"/>
    </row>
    <row r="236" spans="3:16">
      <c r="C236" s="76" t="s">
        <v>2569</v>
      </c>
      <c r="F236" s="1365"/>
      <c r="G236" s="1365"/>
      <c r="H236" s="1365"/>
      <c r="I236" s="1365"/>
      <c r="J236" s="1365"/>
      <c r="K236" s="1365"/>
      <c r="L236" s="1365"/>
      <c r="M236" s="1365"/>
      <c r="N236" s="1365"/>
      <c r="O236" s="1365"/>
      <c r="P236" s="1365"/>
    </row>
    <row r="237" spans="3:16">
      <c r="C237" s="76" t="s">
        <v>3353</v>
      </c>
      <c r="F237" s="1365">
        <f>SUM(F60,F64:F66)</f>
        <v>0.73299999999999998</v>
      </c>
      <c r="G237" s="1365">
        <f t="shared" ref="G237:P237" si="414">SUM(G60,G64:G66)</f>
        <v>47</v>
      </c>
      <c r="H237" s="1365">
        <f t="shared" si="414"/>
        <v>0</v>
      </c>
      <c r="I237" s="1365">
        <f t="shared" si="414"/>
        <v>0</v>
      </c>
      <c r="J237" s="1365">
        <f t="shared" si="414"/>
        <v>0</v>
      </c>
      <c r="K237" s="1365">
        <f t="shared" si="414"/>
        <v>233.36069000000001</v>
      </c>
      <c r="L237" s="1365">
        <f t="shared" si="414"/>
        <v>0</v>
      </c>
      <c r="M237" s="1365">
        <f t="shared" si="414"/>
        <v>0</v>
      </c>
      <c r="N237" s="1365">
        <f t="shared" si="414"/>
        <v>0</v>
      </c>
      <c r="O237" s="1365">
        <f t="shared" si="414"/>
        <v>310.99197000000004</v>
      </c>
      <c r="P237" s="1365">
        <f t="shared" si="414"/>
        <v>648306.92999999993</v>
      </c>
    </row>
    <row r="238" spans="3:16">
      <c r="C238" s="76" t="s">
        <v>3354</v>
      </c>
      <c r="F238" s="1365"/>
      <c r="G238" s="1365"/>
      <c r="H238" s="1365"/>
      <c r="I238" s="1365"/>
      <c r="J238" s="1365"/>
      <c r="K238" s="1365"/>
      <c r="L238" s="1365"/>
      <c r="M238" s="1365"/>
      <c r="N238" s="1365"/>
      <c r="O238" s="1365"/>
      <c r="P238" s="1365"/>
    </row>
    <row r="239" spans="3:16">
      <c r="C239" s="76" t="s">
        <v>2945</v>
      </c>
      <c r="F239" s="1365"/>
      <c r="G239" s="1365"/>
      <c r="H239" s="1365"/>
      <c r="I239" s="1365"/>
      <c r="J239" s="1365"/>
      <c r="K239" s="1365"/>
      <c r="L239" s="1365"/>
      <c r="M239" s="1365"/>
      <c r="N239" s="1365"/>
      <c r="O239" s="1365"/>
      <c r="P239" s="1365"/>
    </row>
    <row r="240" spans="3:16">
      <c r="C240" s="76" t="s">
        <v>2606</v>
      </c>
      <c r="F240" s="1365"/>
      <c r="G240" s="1365"/>
      <c r="H240" s="1365"/>
      <c r="I240" s="1365"/>
      <c r="J240" s="1365"/>
      <c r="K240" s="1365"/>
      <c r="L240" s="1365"/>
      <c r="M240" s="1365"/>
      <c r="N240" s="1365"/>
      <c r="O240" s="1365"/>
      <c r="P240" s="1365"/>
    </row>
    <row r="241" spans="3:16">
      <c r="C241" s="76" t="s">
        <v>21</v>
      </c>
      <c r="F241" s="1367">
        <f t="shared" ref="F241:P241" si="415">F234+F235+F236+F237+F238+F239+F240</f>
        <v>0.73299999999999998</v>
      </c>
      <c r="G241" s="1367">
        <f t="shared" si="415"/>
        <v>47</v>
      </c>
      <c r="H241" s="1367">
        <f t="shared" si="415"/>
        <v>0</v>
      </c>
      <c r="I241" s="1367">
        <f t="shared" si="415"/>
        <v>0</v>
      </c>
      <c r="J241" s="1367">
        <f t="shared" si="415"/>
        <v>0</v>
      </c>
      <c r="K241" s="1367">
        <f t="shared" si="415"/>
        <v>233.36069000000001</v>
      </c>
      <c r="L241" s="1367">
        <f t="shared" si="415"/>
        <v>0</v>
      </c>
      <c r="M241" s="1367">
        <f t="shared" si="415"/>
        <v>0</v>
      </c>
      <c r="N241" s="1367">
        <f t="shared" si="415"/>
        <v>0</v>
      </c>
      <c r="O241" s="1367">
        <f t="shared" si="415"/>
        <v>310.99197000000004</v>
      </c>
      <c r="P241" s="1367">
        <f t="shared" si="415"/>
        <v>648306.92999999993</v>
      </c>
    </row>
  </sheetData>
  <autoFilter ref="B7:AU191"/>
  <mergeCells count="34">
    <mergeCell ref="AU153:AU154"/>
    <mergeCell ref="BA5:BA6"/>
    <mergeCell ref="AG5:AG6"/>
    <mergeCell ref="M5:M6"/>
    <mergeCell ref="N5:N6"/>
    <mergeCell ref="O5:O6"/>
    <mergeCell ref="Q5:Q6"/>
    <mergeCell ref="R5:R6"/>
    <mergeCell ref="S5:S6"/>
    <mergeCell ref="BC5:BC6"/>
    <mergeCell ref="BE5:BE6"/>
    <mergeCell ref="C8:T8"/>
    <mergeCell ref="AU44:AU45"/>
    <mergeCell ref="AI5:AL5"/>
    <mergeCell ref="AO5:AO6"/>
    <mergeCell ref="AP5:AP6"/>
    <mergeCell ref="AQ5:AQ6"/>
    <mergeCell ref="AR5:AR6"/>
    <mergeCell ref="AT5:AT6"/>
    <mergeCell ref="T5:T6"/>
    <mergeCell ref="X5:X6"/>
    <mergeCell ref="Y5:Y6"/>
    <mergeCell ref="AB5:AE5"/>
    <mergeCell ref="AF5:AF6"/>
    <mergeCell ref="B3:R3"/>
    <mergeCell ref="B5:B6"/>
    <mergeCell ref="C5:C6"/>
    <mergeCell ref="D5:D6"/>
    <mergeCell ref="E5:E6"/>
    <mergeCell ref="F5:G5"/>
    <mergeCell ref="H5:H6"/>
    <mergeCell ref="I5:I6"/>
    <mergeCell ref="J5:J6"/>
    <mergeCell ref="K5:L5"/>
  </mergeCells>
  <pageMargins left="0.7" right="0.7" top="0.75" bottom="0.75" header="0.3" footer="0.3"/>
  <pageSetup paperSize="9" scale="28" orientation="portrait" r:id="rId1"/>
  <colBreaks count="1" manualBreakCount="1">
    <brk id="20" max="1048575" man="1"/>
  </colBreaks>
  <ignoredErrors>
    <ignoredError sqref="F225:P225 F22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10</vt:i4>
      </vt:variant>
    </vt:vector>
  </HeadingPairs>
  <TitlesOfParts>
    <vt:vector size="37" baseType="lpstr">
      <vt:lpstr>НВВ ТБР</vt:lpstr>
      <vt:lpstr>Приложение 1</vt:lpstr>
      <vt:lpstr>приложение 1(1)</vt:lpstr>
      <vt:lpstr>Приложение 2</vt:lpstr>
      <vt:lpstr>Приложение 3</vt:lpstr>
      <vt:lpstr>Приложение 5</vt:lpstr>
      <vt:lpstr> (стр.15)</vt:lpstr>
      <vt:lpstr>(стр.16)</vt:lpstr>
      <vt:lpstr>(Стр.17)</vt:lpstr>
      <vt:lpstr>Затр.2015-2017, 6мес 2018 </vt:lpstr>
      <vt:lpstr>БДР 5 мес 2018</vt:lpstr>
      <vt:lpstr>Выручка, УО_ 2015</vt:lpstr>
      <vt:lpstr>Выручка, УО_ 2016</vt:lpstr>
      <vt:lpstr>Выручка, УО_2017</vt:lpstr>
      <vt:lpstr>С1 2015</vt:lpstr>
      <vt:lpstr>C1 2016</vt:lpstr>
      <vt:lpstr>C1 2017</vt:lpstr>
      <vt:lpstr>СС 2015</vt:lpstr>
      <vt:lpstr>СС 2016</vt:lpstr>
      <vt:lpstr>СС2017 </vt:lpstr>
      <vt:lpstr>УО2017г</vt:lpstr>
      <vt:lpstr>выручка2017</vt:lpstr>
      <vt:lpstr>об.счета20</vt:lpstr>
      <vt:lpstr>Утв.СТС 2018г</vt:lpstr>
      <vt:lpstr>Утв.СП 2018г</vt:lpstr>
      <vt:lpstr>20 сч. 1пг 2018г</vt:lpstr>
      <vt:lpstr>6-10</vt:lpstr>
      <vt:lpstr>' (стр.15)'!Область_печати</vt:lpstr>
      <vt:lpstr>'(стр.16)'!Область_печати</vt:lpstr>
      <vt:lpstr>'(Стр.17)'!Область_печати</vt:lpstr>
      <vt:lpstr>'Приложение 1'!Область_печати</vt:lpstr>
      <vt:lpstr>'приложение 1(1)'!Область_печати</vt:lpstr>
      <vt:lpstr>'Приложение 2'!Область_печати</vt:lpstr>
      <vt:lpstr>'Приложение 3'!Область_печати</vt:lpstr>
      <vt:lpstr>'Приложение 5'!Область_печати</vt:lpstr>
      <vt:lpstr>'Утв.СП 2018г'!Область_печати</vt:lpstr>
      <vt:lpstr>'Утв.СТС 2018г'!Область_печати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Нохашкеев Санджи Сергеевич</dc:creator>
  <cp:lastModifiedBy>Носачев Алексей Викторович</cp:lastModifiedBy>
  <cp:lastPrinted>2018-06-28T13:59:07Z</cp:lastPrinted>
  <dcterms:created xsi:type="dcterms:W3CDTF">2014-04-01T12:33:18Z</dcterms:created>
  <dcterms:modified xsi:type="dcterms:W3CDTF">2018-10-18T13:42:32Z</dcterms:modified>
</cp:coreProperties>
</file>